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6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7.xml" ContentType="application/vnd.openxmlformats-officedocument.drawing+xml"/>
  <Override PartName="/xl/charts/chart38.xml" ContentType="application/vnd.openxmlformats-officedocument.drawingml.chart+xml"/>
  <Override PartName="/xl/drawings/drawing8.xml" ContentType="application/vnd.openxmlformats-officedocument.drawing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9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1625" yWindow="2385" windowWidth="22410" windowHeight="8910" tabRatio="827" activeTab="8"/>
  </bookViews>
  <sheets>
    <sheet name="HPR" sheetId="4" r:id="rId1"/>
    <sheet name="TransaccionesRFt-1" sheetId="6" r:id="rId2"/>
    <sheet name="TransaccionesRF" sheetId="7" r:id="rId3"/>
    <sheet name="Informe" sheetId="12" r:id="rId4"/>
    <sheet name="Bear" sheetId="9" state="hidden" r:id="rId5"/>
    <sheet name="Base" sheetId="10" state="hidden" r:id="rId6"/>
    <sheet name="Bull" sheetId="11" state="hidden" r:id="rId7"/>
    <sheet name="Informe2" sheetId="27" r:id="rId8"/>
    <sheet name="Informe3" sheetId="23" r:id="rId9"/>
    <sheet name="Informe4" sheetId="25" r:id="rId10"/>
    <sheet name="Informe5" sheetId="29" r:id="rId11"/>
    <sheet name="RPM" sheetId="13" r:id="rId12"/>
    <sheet name="Feriados" sheetId="17" r:id="rId13"/>
    <sheet name="VolIndicesRA" sheetId="20" r:id="rId14"/>
    <sheet name="SimulaSwapCL" sheetId="32" r:id="rId15"/>
    <sheet name="Zero_swap_CL" sheetId="15" r:id="rId16"/>
    <sheet name="Inflation_FWD" sheetId="16" r:id="rId17"/>
    <sheet name="BEI" sheetId="28" r:id="rId18"/>
  </sheets>
  <functionGroups builtInGroupCount="17"/>
  <externalReferences>
    <externalReference r:id="rId19"/>
  </externalReferences>
  <definedNames>
    <definedName name="_xlnm.Print_Area" localSheetId="3">Informe!$A$1:$T$108</definedName>
    <definedName name="_xlnm.Print_Area" localSheetId="7">Informe2!$B$1:$T$112</definedName>
    <definedName name="_xlnm.Print_Area" localSheetId="8">Informe3!$B$2:$X$101</definedName>
    <definedName name="_xlnm.Print_Area" localSheetId="9">Informe4!$B$2:$X$109</definedName>
    <definedName name="_xlnm.Print_Area" localSheetId="10">Informe5!$B$1:$X$81</definedName>
    <definedName name="CLFCLPt">Inflation_FWD!$P$1</definedName>
    <definedName name="depCLP120d">HPR!$C$8</definedName>
    <definedName name="fechaHoy">HPR!$C$1</definedName>
    <definedName name="probBase">HPR!$X$17</definedName>
    <definedName name="probBear">HPR!$U$17</definedName>
    <definedName name="probBull">HPR!$AA$17</definedName>
    <definedName name="solver_eng" localSheetId="15" hidden="1">1</definedName>
    <definedName name="solver_neg" localSheetId="15" hidden="1">1</definedName>
    <definedName name="solver_num" localSheetId="15" hidden="1">0</definedName>
    <definedName name="solver_opt" localSheetId="15" hidden="1">Zero_swap_CL!$S$2</definedName>
    <definedName name="solver_typ" localSheetId="15" hidden="1">1</definedName>
    <definedName name="solver_val" localSheetId="15" hidden="1">0</definedName>
    <definedName name="solver_ver" localSheetId="15" hidden="1">3</definedName>
  </definedNames>
  <calcPr calcId="145621" iterate="1" iterateCount="1"/>
</workbook>
</file>

<file path=xl/calcChain.xml><?xml version="1.0" encoding="utf-8"?>
<calcChain xmlns="http://schemas.openxmlformats.org/spreadsheetml/2006/main">
  <c r="G5" i="4" l="1"/>
  <c r="G4" i="4"/>
  <c r="G3" i="4"/>
  <c r="Q7" i="16" l="1"/>
  <c r="Q8" i="16"/>
  <c r="Q9" i="16"/>
  <c r="Q10" i="16"/>
  <c r="Q11" i="16"/>
  <c r="Q12" i="16"/>
  <c r="Q13" i="16"/>
  <c r="Q14" i="16"/>
  <c r="Q15" i="16"/>
  <c r="Q16" i="16"/>
  <c r="Q17" i="16"/>
  <c r="Q18" i="16"/>
  <c r="Q19" i="16"/>
  <c r="Q20" i="16"/>
  <c r="Q21" i="16"/>
  <c r="Q22" i="16"/>
  <c r="Q23" i="16"/>
  <c r="Q24" i="16"/>
  <c r="Q25" i="16"/>
  <c r="Q26" i="16"/>
  <c r="Q27" i="16"/>
  <c r="Q28" i="16"/>
  <c r="Q29" i="16"/>
  <c r="Q30" i="16"/>
  <c r="Q31" i="16"/>
  <c r="Q32" i="16"/>
  <c r="Q33" i="16"/>
  <c r="Q34" i="16"/>
  <c r="Q35" i="16"/>
  <c r="Q36" i="16"/>
  <c r="Q37" i="16"/>
  <c r="Q38" i="16"/>
  <c r="Q39" i="16"/>
  <c r="Q40" i="16"/>
  <c r="Q41" i="16"/>
  <c r="Q42" i="16"/>
  <c r="Q43" i="16"/>
  <c r="Q44" i="16"/>
  <c r="Q45" i="16"/>
  <c r="Q46" i="16"/>
  <c r="Q47" i="16"/>
  <c r="Q48" i="16"/>
  <c r="Q49" i="16"/>
  <c r="Q6" i="16"/>
  <c r="S18" i="16"/>
  <c r="S19" i="16"/>
  <c r="S20" i="16"/>
  <c r="S21" i="16"/>
  <c r="S22" i="16"/>
  <c r="S23" i="16"/>
  <c r="S24" i="16"/>
  <c r="S25" i="16"/>
  <c r="S26" i="16"/>
  <c r="S27" i="16"/>
  <c r="S28" i="16"/>
  <c r="S29" i="16"/>
  <c r="S30" i="16"/>
  <c r="S31" i="16"/>
  <c r="S32" i="16"/>
  <c r="S33" i="16"/>
  <c r="S34" i="16"/>
  <c r="S35" i="16"/>
  <c r="S36" i="16"/>
  <c r="S37" i="16"/>
  <c r="S38" i="16"/>
  <c r="S39" i="16"/>
  <c r="S40" i="16"/>
  <c r="S41" i="16"/>
  <c r="S42" i="16"/>
  <c r="S43" i="16"/>
  <c r="S44" i="16"/>
  <c r="S45" i="16"/>
  <c r="S46" i="16"/>
  <c r="S47" i="16"/>
  <c r="S48" i="16"/>
  <c r="S49" i="16"/>
  <c r="S17" i="16"/>
  <c r="L5" i="16"/>
  <c r="B6" i="16"/>
  <c r="C6" i="16"/>
  <c r="B15" i="16"/>
  <c r="B18" i="16"/>
  <c r="B5" i="16"/>
  <c r="B13" i="16"/>
  <c r="B12" i="16"/>
  <c r="B14" i="16"/>
  <c r="B17" i="16"/>
  <c r="B10" i="16"/>
  <c r="C5" i="16"/>
  <c r="B4" i="16"/>
  <c r="B9" i="16"/>
  <c r="B7" i="16"/>
  <c r="C7" i="16"/>
  <c r="B16" i="16"/>
  <c r="C4" i="16"/>
  <c r="B11" i="16"/>
  <c r="C8" i="16"/>
  <c r="B19" i="16"/>
  <c r="B8" i="16"/>
  <c r="N5" i="16" l="1"/>
  <c r="O5" i="16"/>
  <c r="X16" i="16"/>
  <c r="AJ4" i="16" s="1"/>
  <c r="X21" i="16"/>
  <c r="AO4" i="16" s="1"/>
  <c r="X13" i="16"/>
  <c r="AG4" i="16" s="1"/>
  <c r="X15" i="16"/>
  <c r="AI4" i="16" s="1"/>
  <c r="X7" i="16"/>
  <c r="AA4" i="16" s="1"/>
  <c r="G5" i="16"/>
  <c r="H5" i="16"/>
  <c r="X19" i="16"/>
  <c r="AM4" i="16" s="1"/>
  <c r="X20" i="16"/>
  <c r="AN4" i="16" s="1"/>
  <c r="X12" i="16"/>
  <c r="AF4" i="16" s="1"/>
  <c r="X17" i="16"/>
  <c r="AK4" i="16" s="1"/>
  <c r="H7" i="16"/>
  <c r="G7" i="16"/>
  <c r="X9" i="16"/>
  <c r="AC4" i="16" s="1"/>
  <c r="X14" i="16"/>
  <c r="AH4" i="16" s="1"/>
  <c r="X11" i="16"/>
  <c r="AE4" i="16" s="1"/>
  <c r="H9" i="16"/>
  <c r="X8" i="16"/>
  <c r="AB4" i="16" s="1"/>
  <c r="H6" i="16"/>
  <c r="G6" i="16"/>
  <c r="G4" i="16"/>
  <c r="B3" i="16"/>
  <c r="H4" i="16"/>
  <c r="X6" i="16"/>
  <c r="Z4" i="16" s="1"/>
  <c r="X18" i="16"/>
  <c r="AL4" i="16" s="1"/>
  <c r="H8" i="16"/>
  <c r="X10" i="16"/>
  <c r="AD4" i="16" s="1"/>
  <c r="G8" i="16"/>
  <c r="C3" i="16"/>
  <c r="C9" i="16"/>
  <c r="E3" i="16" l="1"/>
  <c r="X5" i="16"/>
  <c r="Y4" i="16" s="1"/>
  <c r="D3" i="16"/>
  <c r="G9" i="16"/>
  <c r="H10" i="16"/>
  <c r="C10" i="16"/>
  <c r="D4" i="16" l="1"/>
  <c r="F4" i="16"/>
  <c r="I4" i="16" s="1"/>
  <c r="E4" i="16" s="1"/>
  <c r="G10" i="16"/>
  <c r="H11" i="16"/>
  <c r="C11" i="16"/>
  <c r="D5" i="16" l="1"/>
  <c r="F5" i="16"/>
  <c r="I5" i="16" s="1"/>
  <c r="E5" i="16" s="1"/>
  <c r="G11" i="16"/>
  <c r="H12" i="16"/>
  <c r="C12" i="16"/>
  <c r="D6" i="16" l="1"/>
  <c r="F6" i="16"/>
  <c r="I6" i="16" s="1"/>
  <c r="E6" i="16" s="1"/>
  <c r="G12" i="16"/>
  <c r="H13" i="16"/>
  <c r="C13" i="16"/>
  <c r="F7" i="16" l="1"/>
  <c r="I7" i="16" s="1"/>
  <c r="E7" i="16" s="1"/>
  <c r="D7" i="16"/>
  <c r="G13" i="16"/>
  <c r="H14" i="16"/>
  <c r="C14" i="16"/>
  <c r="F8" i="16" l="1"/>
  <c r="I8" i="16" s="1"/>
  <c r="E8" i="16" s="1"/>
  <c r="D8" i="16"/>
  <c r="G14" i="16"/>
  <c r="H15" i="16"/>
  <c r="C15" i="16"/>
  <c r="F9" i="16" l="1"/>
  <c r="I9" i="16" s="1"/>
  <c r="E9" i="16" s="1"/>
  <c r="D9" i="16"/>
  <c r="G15" i="16"/>
  <c r="H16" i="16"/>
  <c r="C16" i="16"/>
  <c r="F10" i="16" l="1"/>
  <c r="I10" i="16" s="1"/>
  <c r="E10" i="16" s="1"/>
  <c r="D10" i="16"/>
  <c r="G16" i="16"/>
  <c r="H17" i="16"/>
  <c r="C17" i="16"/>
  <c r="F11" i="16" l="1"/>
  <c r="I11" i="16" s="1"/>
  <c r="E11" i="16" s="1"/>
  <c r="D11" i="16"/>
  <c r="G17" i="16"/>
  <c r="H18" i="16"/>
  <c r="C18" i="16"/>
  <c r="F12" i="16" l="1"/>
  <c r="I12" i="16" s="1"/>
  <c r="E12" i="16" s="1"/>
  <c r="D12" i="16"/>
  <c r="G18" i="16"/>
  <c r="H19" i="16"/>
  <c r="C19" i="16"/>
  <c r="F13" i="16" l="1"/>
  <c r="I13" i="16" s="1"/>
  <c r="E13" i="16" s="1"/>
  <c r="D13" i="16"/>
  <c r="G19" i="16"/>
  <c r="B20" i="16"/>
  <c r="F14" i="16" l="1"/>
  <c r="I14" i="16" s="1"/>
  <c r="E14" i="16" s="1"/>
  <c r="D14" i="16"/>
  <c r="H20" i="16"/>
  <c r="P5" i="16" s="1"/>
  <c r="G20" i="16"/>
  <c r="Y5" i="16"/>
  <c r="Z5" i="16"/>
  <c r="AA5" i="16"/>
  <c r="AB5" i="16"/>
  <c r="AC5" i="16"/>
  <c r="AD5" i="16"/>
  <c r="AE5" i="16"/>
  <c r="AF5" i="16"/>
  <c r="AG5" i="16"/>
  <c r="AH5" i="16"/>
  <c r="AI5" i="16"/>
  <c r="AJ5" i="16"/>
  <c r="AK5" i="16"/>
  <c r="AL5" i="16"/>
  <c r="AM5" i="16"/>
  <c r="AN5" i="16"/>
  <c r="AO5" i="16"/>
  <c r="N6" i="16"/>
  <c r="O6" i="16"/>
  <c r="Y6" i="16"/>
  <c r="N7" i="16"/>
  <c r="O7" i="16"/>
  <c r="Y7" i="16"/>
  <c r="Z7" i="16"/>
  <c r="N8" i="16"/>
  <c r="O8" i="16"/>
  <c r="Y8" i="16"/>
  <c r="Z8" i="16"/>
  <c r="AA8" i="16"/>
  <c r="N9" i="16"/>
  <c r="O9" i="16"/>
  <c r="P9" i="16" s="1"/>
  <c r="Y9" i="16"/>
  <c r="Z9" i="16"/>
  <c r="AA9" i="16"/>
  <c r="AB9" i="16"/>
  <c r="N10" i="16"/>
  <c r="O10" i="16"/>
  <c r="Y10" i="16"/>
  <c r="Z10" i="16"/>
  <c r="AA10" i="16"/>
  <c r="AB10" i="16"/>
  <c r="AC10" i="16"/>
  <c r="N11" i="16"/>
  <c r="O11" i="16"/>
  <c r="Y11" i="16"/>
  <c r="Z11" i="16"/>
  <c r="AA11" i="16"/>
  <c r="AB11" i="16"/>
  <c r="AC11" i="16"/>
  <c r="AD11" i="16"/>
  <c r="N12" i="16"/>
  <c r="O12" i="16"/>
  <c r="Y12" i="16"/>
  <c r="Z12" i="16"/>
  <c r="AA12" i="16"/>
  <c r="AB12" i="16"/>
  <c r="AC12" i="16"/>
  <c r="AD12" i="16"/>
  <c r="AE12" i="16"/>
  <c r="N13" i="16"/>
  <c r="O13" i="16"/>
  <c r="P13" i="16" s="1"/>
  <c r="Y13" i="16"/>
  <c r="Z13" i="16"/>
  <c r="AA13" i="16"/>
  <c r="AB13" i="16"/>
  <c r="AC13" i="16"/>
  <c r="AD13" i="16"/>
  <c r="AE13" i="16"/>
  <c r="AF13" i="16"/>
  <c r="N14" i="16"/>
  <c r="O14" i="16"/>
  <c r="P14" i="16" s="1"/>
  <c r="Y14" i="16"/>
  <c r="Z14" i="16"/>
  <c r="AA14" i="16"/>
  <c r="AB14" i="16"/>
  <c r="AC14" i="16"/>
  <c r="AD14" i="16"/>
  <c r="AE14" i="16"/>
  <c r="AF14" i="16"/>
  <c r="AG14" i="16"/>
  <c r="N15" i="16"/>
  <c r="O15" i="16"/>
  <c r="P15" i="16" s="1"/>
  <c r="Y15" i="16"/>
  <c r="Z15" i="16"/>
  <c r="AA15" i="16"/>
  <c r="AB15" i="16"/>
  <c r="AC15" i="16"/>
  <c r="AD15" i="16"/>
  <c r="AE15" i="16"/>
  <c r="AF15" i="16"/>
  <c r="AG15" i="16"/>
  <c r="AH15" i="16"/>
  <c r="N16" i="16"/>
  <c r="O16" i="16"/>
  <c r="P16" i="16" s="1"/>
  <c r="T16" i="16"/>
  <c r="Y16" i="16"/>
  <c r="Z16" i="16"/>
  <c r="AA16" i="16"/>
  <c r="AB16" i="16"/>
  <c r="AC16" i="16"/>
  <c r="AD16" i="16"/>
  <c r="AE16" i="16"/>
  <c r="AF16" i="16"/>
  <c r="AG16" i="16"/>
  <c r="AH16" i="16"/>
  <c r="AI16" i="16"/>
  <c r="N17" i="16"/>
  <c r="O17" i="16"/>
  <c r="P17" i="16" s="1"/>
  <c r="T17" i="16"/>
  <c r="Y17" i="16"/>
  <c r="Z17" i="16"/>
  <c r="AA17" i="16"/>
  <c r="AB17" i="16"/>
  <c r="AC17" i="16"/>
  <c r="AD17" i="16"/>
  <c r="AE17" i="16"/>
  <c r="AF17" i="16"/>
  <c r="AG17" i="16"/>
  <c r="AH17" i="16"/>
  <c r="AI17" i="16"/>
  <c r="AJ17" i="16"/>
  <c r="N18" i="16"/>
  <c r="O18" i="16"/>
  <c r="P18" i="16" s="1"/>
  <c r="T18" i="16"/>
  <c r="Y18" i="16"/>
  <c r="Z18" i="16"/>
  <c r="AA18" i="16"/>
  <c r="AB18" i="16"/>
  <c r="AC18" i="16"/>
  <c r="AD18" i="16"/>
  <c r="AE18" i="16"/>
  <c r="AF18" i="16"/>
  <c r="AG18" i="16"/>
  <c r="AH18" i="16"/>
  <c r="AI18" i="16"/>
  <c r="AJ18" i="16"/>
  <c r="AK18" i="16"/>
  <c r="N19" i="16"/>
  <c r="O19" i="16"/>
  <c r="P19" i="16" s="1"/>
  <c r="T19" i="16"/>
  <c r="Y19" i="16"/>
  <c r="Z19" i="16"/>
  <c r="AA19" i="16"/>
  <c r="AB19" i="16"/>
  <c r="AC19" i="16"/>
  <c r="AD19" i="16"/>
  <c r="AE19" i="16"/>
  <c r="AF19" i="16"/>
  <c r="AG19" i="16"/>
  <c r="AH19" i="16"/>
  <c r="AI19" i="16"/>
  <c r="AJ19" i="16"/>
  <c r="AK19" i="16"/>
  <c r="AL19" i="16"/>
  <c r="N20" i="16"/>
  <c r="O20" i="16"/>
  <c r="P20" i="16" s="1"/>
  <c r="T20" i="16"/>
  <c r="Y20" i="16"/>
  <c r="Z20" i="16"/>
  <c r="AA20" i="16"/>
  <c r="AB20" i="16"/>
  <c r="AC20" i="16"/>
  <c r="AD20" i="16"/>
  <c r="AE20" i="16"/>
  <c r="AF20" i="16"/>
  <c r="AG20" i="16"/>
  <c r="AH20" i="16"/>
  <c r="AI20" i="16"/>
  <c r="AJ20" i="16"/>
  <c r="AK20" i="16"/>
  <c r="AL20" i="16"/>
  <c r="AM20" i="16"/>
  <c r="N21" i="16"/>
  <c r="O21" i="16"/>
  <c r="P21" i="16" s="1"/>
  <c r="T21" i="16"/>
  <c r="Y21" i="16"/>
  <c r="Z21" i="16"/>
  <c r="AA21" i="16"/>
  <c r="AB21" i="16"/>
  <c r="AC21" i="16"/>
  <c r="AD21" i="16"/>
  <c r="AE21" i="16"/>
  <c r="AF21" i="16"/>
  <c r="AG21" i="16"/>
  <c r="AH21" i="16"/>
  <c r="AI21" i="16"/>
  <c r="AJ21" i="16"/>
  <c r="AK21" i="16"/>
  <c r="AL21" i="16"/>
  <c r="AM21" i="16"/>
  <c r="AN21" i="16"/>
  <c r="N22" i="16"/>
  <c r="O22" i="16"/>
  <c r="P22" i="16" s="1"/>
  <c r="T22" i="16"/>
  <c r="X22" i="16"/>
  <c r="N23" i="16"/>
  <c r="O23" i="16"/>
  <c r="P23" i="16" s="1"/>
  <c r="T23" i="16"/>
  <c r="N24" i="16"/>
  <c r="O24" i="16"/>
  <c r="P24" i="16" s="1"/>
  <c r="T24" i="16"/>
  <c r="N25" i="16"/>
  <c r="O25" i="16"/>
  <c r="P25" i="16" s="1"/>
  <c r="T25" i="16"/>
  <c r="F26" i="16"/>
  <c r="G26" i="16"/>
  <c r="N26" i="16"/>
  <c r="O26" i="16"/>
  <c r="P26" i="16" s="1"/>
  <c r="T26" i="16"/>
  <c r="N27" i="16"/>
  <c r="O27" i="16"/>
  <c r="P27" i="16" s="1"/>
  <c r="T27" i="16"/>
  <c r="N28" i="16"/>
  <c r="O28" i="16"/>
  <c r="P28" i="16" s="1"/>
  <c r="T28" i="16"/>
  <c r="N29" i="16"/>
  <c r="O29" i="16"/>
  <c r="P29" i="16" s="1"/>
  <c r="T29" i="16"/>
  <c r="N30" i="16"/>
  <c r="O30" i="16"/>
  <c r="P30" i="16" s="1"/>
  <c r="T30" i="16"/>
  <c r="N31" i="16"/>
  <c r="O31" i="16"/>
  <c r="P31" i="16" s="1"/>
  <c r="T31" i="16"/>
  <c r="N32" i="16"/>
  <c r="O32" i="16"/>
  <c r="P32" i="16" s="1"/>
  <c r="T32" i="16"/>
  <c r="N33" i="16"/>
  <c r="O33" i="16"/>
  <c r="P33" i="16" s="1"/>
  <c r="T33" i="16"/>
  <c r="N34" i="16"/>
  <c r="O34" i="16"/>
  <c r="P34" i="16" s="1"/>
  <c r="T34" i="16"/>
  <c r="N35" i="16"/>
  <c r="O35" i="16"/>
  <c r="P35" i="16" s="1"/>
  <c r="T35" i="16"/>
  <c r="N36" i="16"/>
  <c r="O36" i="16"/>
  <c r="P36" i="16" s="1"/>
  <c r="T36" i="16"/>
  <c r="N37" i="16"/>
  <c r="O37" i="16"/>
  <c r="P37" i="16" s="1"/>
  <c r="T37" i="16"/>
  <c r="N38" i="16"/>
  <c r="O38" i="16"/>
  <c r="P38" i="16" s="1"/>
  <c r="T38" i="16"/>
  <c r="N39" i="16"/>
  <c r="O39" i="16"/>
  <c r="P39" i="16" s="1"/>
  <c r="T39" i="16"/>
  <c r="N40" i="16"/>
  <c r="O40" i="16"/>
  <c r="P40" i="16" s="1"/>
  <c r="T40" i="16"/>
  <c r="N41" i="16"/>
  <c r="O41" i="16"/>
  <c r="P41" i="16" s="1"/>
  <c r="T41" i="16"/>
  <c r="N42" i="16"/>
  <c r="O42" i="16"/>
  <c r="P42" i="16" s="1"/>
  <c r="T42" i="16"/>
  <c r="N43" i="16"/>
  <c r="O43" i="16"/>
  <c r="P43" i="16" s="1"/>
  <c r="T43" i="16"/>
  <c r="N44" i="16"/>
  <c r="O44" i="16"/>
  <c r="P44" i="16" s="1"/>
  <c r="T44" i="16"/>
  <c r="N45" i="16"/>
  <c r="O45" i="16"/>
  <c r="P45" i="16" s="1"/>
  <c r="T45" i="16"/>
  <c r="N46" i="16"/>
  <c r="O46" i="16"/>
  <c r="P46" i="16" s="1"/>
  <c r="T46" i="16"/>
  <c r="N47" i="16"/>
  <c r="O47" i="16"/>
  <c r="P47" i="16" s="1"/>
  <c r="T47" i="16"/>
  <c r="N48" i="16"/>
  <c r="O48" i="16"/>
  <c r="P48" i="16" s="1"/>
  <c r="T48" i="16"/>
  <c r="N49" i="16"/>
  <c r="O49" i="16"/>
  <c r="O50" i="16" s="1"/>
  <c r="O51" i="16" s="1"/>
  <c r="T49" i="16"/>
  <c r="N50" i="16"/>
  <c r="N51" i="16"/>
  <c r="S51" i="16"/>
  <c r="N52" i="16"/>
  <c r="S52" i="16"/>
  <c r="N53" i="16"/>
  <c r="S53" i="16"/>
  <c r="N54" i="16"/>
  <c r="S54" i="16"/>
  <c r="N55" i="16"/>
  <c r="S55" i="16"/>
  <c r="N56" i="16"/>
  <c r="S56" i="16"/>
  <c r="N57" i="16"/>
  <c r="S57" i="16"/>
  <c r="N58" i="16"/>
  <c r="S58" i="16"/>
  <c r="N59" i="16"/>
  <c r="S59" i="16"/>
  <c r="N60" i="16"/>
  <c r="S60" i="16"/>
  <c r="N61" i="16"/>
  <c r="S61" i="16"/>
  <c r="N62" i="16"/>
  <c r="S62" i="16"/>
  <c r="N63" i="16"/>
  <c r="S63" i="16"/>
  <c r="N64" i="16"/>
  <c r="S64" i="16"/>
  <c r="N65" i="16"/>
  <c r="S65" i="16"/>
  <c r="N66" i="16"/>
  <c r="S66" i="16"/>
  <c r="N67" i="16"/>
  <c r="S67" i="16"/>
  <c r="N68" i="16"/>
  <c r="S68" i="16"/>
  <c r="N69" i="16"/>
  <c r="S69" i="16"/>
  <c r="N70" i="16"/>
  <c r="S70" i="16"/>
  <c r="N71" i="16"/>
  <c r="S71" i="16"/>
  <c r="N72" i="16"/>
  <c r="S72" i="16"/>
  <c r="N73" i="16"/>
  <c r="S73" i="16"/>
  <c r="N74" i="16"/>
  <c r="S74" i="16"/>
  <c r="N75" i="16"/>
  <c r="S75" i="16"/>
  <c r="N76" i="16"/>
  <c r="S76" i="16"/>
  <c r="D2" i="28"/>
  <c r="D3" i="28"/>
  <c r="C20" i="16"/>
  <c r="P12" i="16" l="1"/>
  <c r="P11" i="16"/>
  <c r="P10" i="16"/>
  <c r="P8" i="16"/>
  <c r="P6" i="16"/>
  <c r="P7" i="16"/>
  <c r="AD22" i="16"/>
  <c r="F15" i="16"/>
  <c r="I15" i="16" s="1"/>
  <c r="E15" i="16" s="1"/>
  <c r="D15" i="16"/>
  <c r="AH22" i="16"/>
  <c r="AF22" i="16"/>
  <c r="AA22" i="16"/>
  <c r="P49" i="16"/>
  <c r="AN22" i="16"/>
  <c r="AI22" i="16"/>
  <c r="Z22" i="16"/>
  <c r="O52" i="16"/>
  <c r="P51" i="16"/>
  <c r="Q51" i="16" s="1"/>
  <c r="AL22" i="16"/>
  <c r="AK22" i="16"/>
  <c r="AC22" i="16"/>
  <c r="P50" i="16"/>
  <c r="Q50" i="16" s="1"/>
  <c r="R50" i="16" s="1"/>
  <c r="AJ22" i="16"/>
  <c r="AB22" i="16"/>
  <c r="AO22" i="16"/>
  <c r="AG22" i="16"/>
  <c r="Y22" i="16"/>
  <c r="AM22" i="16"/>
  <c r="AE22" i="16"/>
  <c r="L2" i="15"/>
  <c r="P2" i="15"/>
  <c r="T50" i="16" l="1"/>
  <c r="R51" i="16"/>
  <c r="S50" i="16"/>
  <c r="F16" i="16"/>
  <c r="I16" i="16" s="1"/>
  <c r="E16" i="16" s="1"/>
  <c r="D16" i="16"/>
  <c r="O53" i="16"/>
  <c r="P52" i="16"/>
  <c r="Q52" i="16" s="1"/>
  <c r="R2" i="15"/>
  <c r="S2" i="15"/>
  <c r="C3" i="15"/>
  <c r="T51" i="16" l="1"/>
  <c r="R52" i="16"/>
  <c r="F17" i="16"/>
  <c r="I17" i="16" s="1"/>
  <c r="E17" i="16" s="1"/>
  <c r="D17" i="16"/>
  <c r="P53" i="16"/>
  <c r="Q53" i="16" s="1"/>
  <c r="O54" i="16"/>
  <c r="G3" i="15"/>
  <c r="H3" i="15"/>
  <c r="J3" i="15"/>
  <c r="I3" i="15"/>
  <c r="R53" i="16" l="1"/>
  <c r="T52" i="16"/>
  <c r="F18" i="16"/>
  <c r="I18" i="16" s="1"/>
  <c r="E18" i="16" s="1"/>
  <c r="D18" i="16"/>
  <c r="O55" i="16"/>
  <c r="P54" i="16"/>
  <c r="Q54" i="16" s="1"/>
  <c r="L3" i="15"/>
  <c r="Q3" i="15"/>
  <c r="P3" i="15"/>
  <c r="R54" i="16" l="1"/>
  <c r="T53" i="16"/>
  <c r="F19" i="16"/>
  <c r="I19" i="16" s="1"/>
  <c r="E19" i="16" s="1"/>
  <c r="D19" i="16"/>
  <c r="O56" i="16"/>
  <c r="P55" i="16"/>
  <c r="Q55" i="16" s="1"/>
  <c r="R3" i="15"/>
  <c r="S3" i="15"/>
  <c r="C4" i="15"/>
  <c r="R55" i="16" l="1"/>
  <c r="T54" i="16"/>
  <c r="F20" i="16"/>
  <c r="I20" i="16" s="1"/>
  <c r="E20" i="16" s="1"/>
  <c r="D20" i="16"/>
  <c r="P56" i="16"/>
  <c r="Q56" i="16" s="1"/>
  <c r="O57" i="16"/>
  <c r="G4" i="15"/>
  <c r="H4" i="15"/>
  <c r="J4" i="15"/>
  <c r="I4" i="15"/>
  <c r="R56" i="16" l="1"/>
  <c r="T55" i="16"/>
  <c r="O58" i="16"/>
  <c r="P57" i="16"/>
  <c r="Q57" i="16" s="1"/>
  <c r="L4" i="15"/>
  <c r="P4" i="15"/>
  <c r="Q4" i="15"/>
  <c r="R57" i="16" l="1"/>
  <c r="T56" i="16"/>
  <c r="O59" i="16"/>
  <c r="P58" i="16"/>
  <c r="Q58" i="16" s="1"/>
  <c r="R4" i="15"/>
  <c r="S4" i="15"/>
  <c r="C5" i="15"/>
  <c r="R58" i="16" l="1"/>
  <c r="T57" i="16"/>
  <c r="O60" i="16"/>
  <c r="P59" i="16"/>
  <c r="Q59" i="16" s="1"/>
  <c r="G5" i="15"/>
  <c r="H5" i="15"/>
  <c r="I5" i="15"/>
  <c r="J5" i="15"/>
  <c r="R59" i="16" l="1"/>
  <c r="T58" i="16"/>
  <c r="P60" i="16"/>
  <c r="Q60" i="16" s="1"/>
  <c r="O61" i="16"/>
  <c r="L5" i="15"/>
  <c r="Q5" i="15"/>
  <c r="P5" i="15"/>
  <c r="R60" i="16" l="1"/>
  <c r="T59" i="16"/>
  <c r="P61" i="16"/>
  <c r="Q61" i="16" s="1"/>
  <c r="O62" i="16"/>
  <c r="R5" i="15"/>
  <c r="S5" i="15"/>
  <c r="C6" i="15"/>
  <c r="R61" i="16" l="1"/>
  <c r="T60" i="16"/>
  <c r="O63" i="16"/>
  <c r="P62" i="16"/>
  <c r="Q62" i="16" s="1"/>
  <c r="G6" i="15"/>
  <c r="H6" i="15"/>
  <c r="J6" i="15"/>
  <c r="I6" i="15"/>
  <c r="R62" i="16" l="1"/>
  <c r="T61" i="16"/>
  <c r="O64" i="16"/>
  <c r="P63" i="16"/>
  <c r="Q63" i="16" s="1"/>
  <c r="L6" i="15"/>
  <c r="P6" i="15"/>
  <c r="Q6" i="15"/>
  <c r="R63" i="16" l="1"/>
  <c r="T62" i="16"/>
  <c r="O65" i="16"/>
  <c r="P64" i="16"/>
  <c r="Q64" i="16" s="1"/>
  <c r="R6" i="15"/>
  <c r="S6" i="15"/>
  <c r="C7" i="15"/>
  <c r="R64" i="16" l="1"/>
  <c r="T63" i="16"/>
  <c r="P65" i="16"/>
  <c r="Q65" i="16" s="1"/>
  <c r="O66" i="16"/>
  <c r="G7" i="15"/>
  <c r="H7" i="15"/>
  <c r="J7" i="15"/>
  <c r="I7" i="15"/>
  <c r="R65" i="16" l="1"/>
  <c r="T64" i="16"/>
  <c r="O67" i="16"/>
  <c r="P66" i="16"/>
  <c r="Q66" i="16" s="1"/>
  <c r="L7" i="15"/>
  <c r="Q7" i="15"/>
  <c r="P7" i="15"/>
  <c r="R66" i="16" l="1"/>
  <c r="T65" i="16"/>
  <c r="P67" i="16"/>
  <c r="Q67" i="16" s="1"/>
  <c r="O68" i="16"/>
  <c r="R7" i="15"/>
  <c r="S7" i="15"/>
  <c r="C8" i="15"/>
  <c r="R67" i="16" l="1"/>
  <c r="T66" i="16"/>
  <c r="P68" i="16"/>
  <c r="Q68" i="16" s="1"/>
  <c r="O69" i="16"/>
  <c r="G8" i="15"/>
  <c r="H8" i="15"/>
  <c r="J8" i="15"/>
  <c r="I8" i="15"/>
  <c r="R68" i="16" l="1"/>
  <c r="T67" i="16"/>
  <c r="P69" i="16"/>
  <c r="Q69" i="16" s="1"/>
  <c r="O70" i="16"/>
  <c r="L8" i="15"/>
  <c r="P8" i="15"/>
  <c r="Q8" i="15"/>
  <c r="R69" i="16" l="1"/>
  <c r="T68" i="16"/>
  <c r="O71" i="16"/>
  <c r="P70" i="16"/>
  <c r="Q70" i="16" s="1"/>
  <c r="R8" i="15"/>
  <c r="S8" i="15"/>
  <c r="C9" i="15"/>
  <c r="R70" i="16" l="1"/>
  <c r="T69" i="16"/>
  <c r="P71" i="16"/>
  <c r="Q71" i="16" s="1"/>
  <c r="O72" i="16"/>
  <c r="G9" i="15"/>
  <c r="H9" i="15"/>
  <c r="J9" i="15"/>
  <c r="I9" i="15"/>
  <c r="R71" i="16" l="1"/>
  <c r="T70" i="16"/>
  <c r="O73" i="16"/>
  <c r="P72" i="16"/>
  <c r="Q72" i="16" s="1"/>
  <c r="L9" i="15"/>
  <c r="Q9" i="15"/>
  <c r="P9" i="15"/>
  <c r="R72" i="16" l="1"/>
  <c r="T71" i="16"/>
  <c r="O74" i="16"/>
  <c r="P73" i="16"/>
  <c r="Q73" i="16" s="1"/>
  <c r="R9" i="15"/>
  <c r="S9" i="15"/>
  <c r="C10" i="15"/>
  <c r="R73" i="16" l="1"/>
  <c r="T72" i="16"/>
  <c r="O75" i="16"/>
  <c r="P74" i="16"/>
  <c r="Q74" i="16" s="1"/>
  <c r="G10" i="15"/>
  <c r="H10" i="15"/>
  <c r="J10" i="15"/>
  <c r="I10" i="15"/>
  <c r="R74" i="16" l="1"/>
  <c r="T73" i="16"/>
  <c r="O76" i="16"/>
  <c r="P76" i="16" s="1"/>
  <c r="Q76" i="16" s="1"/>
  <c r="P75" i="16"/>
  <c r="Q75" i="16" s="1"/>
  <c r="L10" i="15"/>
  <c r="P10" i="15"/>
  <c r="Q10" i="15"/>
  <c r="R75" i="16" l="1"/>
  <c r="T74" i="16"/>
  <c r="R10" i="15"/>
  <c r="S10" i="15"/>
  <c r="C11" i="15"/>
  <c r="G11" i="15"/>
  <c r="H11" i="15"/>
  <c r="C12" i="15"/>
  <c r="G12" i="15"/>
  <c r="H12" i="15"/>
  <c r="C13" i="15"/>
  <c r="G13" i="15"/>
  <c r="H13" i="15"/>
  <c r="C14" i="15"/>
  <c r="G14" i="15"/>
  <c r="H14" i="15"/>
  <c r="C15" i="15"/>
  <c r="G15" i="15"/>
  <c r="H15" i="15"/>
  <c r="C16" i="15"/>
  <c r="G16" i="15"/>
  <c r="H16" i="15"/>
  <c r="C17" i="15"/>
  <c r="G17" i="15"/>
  <c r="H17" i="15"/>
  <c r="C18" i="15"/>
  <c r="G18" i="15"/>
  <c r="H18" i="15"/>
  <c r="L23" i="15"/>
  <c r="G24" i="15"/>
  <c r="H24" i="15"/>
  <c r="I24" i="15"/>
  <c r="J24" i="15"/>
  <c r="L24" i="15" s="1"/>
  <c r="G25" i="15"/>
  <c r="H25" i="15"/>
  <c r="I25" i="15"/>
  <c r="J25" i="15"/>
  <c r="L25" i="15" s="1"/>
  <c r="G26" i="15"/>
  <c r="H26" i="15"/>
  <c r="I26" i="15"/>
  <c r="J26" i="15"/>
  <c r="L26" i="15" s="1"/>
  <c r="G27" i="15"/>
  <c r="H27" i="15"/>
  <c r="I27" i="15"/>
  <c r="J27" i="15"/>
  <c r="L27" i="15" s="1"/>
  <c r="G28" i="15"/>
  <c r="H28" i="15"/>
  <c r="I28" i="15"/>
  <c r="J28" i="15"/>
  <c r="D47" i="15" s="1"/>
  <c r="L28" i="15"/>
  <c r="G29" i="15"/>
  <c r="H29" i="15"/>
  <c r="I29" i="15"/>
  <c r="J29" i="15"/>
  <c r="L29" i="15" s="1"/>
  <c r="G30" i="15"/>
  <c r="H30" i="15"/>
  <c r="I30" i="15"/>
  <c r="J30" i="15"/>
  <c r="L30" i="15" s="1"/>
  <c r="G31" i="15"/>
  <c r="H31" i="15"/>
  <c r="I31" i="15"/>
  <c r="J31" i="15"/>
  <c r="L31" i="15" s="1"/>
  <c r="G32" i="15"/>
  <c r="H32" i="15"/>
  <c r="G33" i="15"/>
  <c r="H33" i="15"/>
  <c r="G34" i="15"/>
  <c r="H34" i="15"/>
  <c r="G35" i="15"/>
  <c r="H35" i="15"/>
  <c r="G36" i="15"/>
  <c r="H36" i="15"/>
  <c r="G37" i="15"/>
  <c r="H37" i="15"/>
  <c r="G38" i="15"/>
  <c r="H38" i="15"/>
  <c r="G39" i="15"/>
  <c r="H39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P31" i="32"/>
  <c r="Q31" i="32"/>
  <c r="B32" i="32"/>
  <c r="M32" i="32"/>
  <c r="B33" i="32"/>
  <c r="M33" i="32"/>
  <c r="B34" i="32"/>
  <c r="M34" i="32"/>
  <c r="B35" i="32"/>
  <c r="M35" i="32"/>
  <c r="B36" i="32"/>
  <c r="M36" i="32"/>
  <c r="B37" i="32"/>
  <c r="M37" i="32"/>
  <c r="N32" i="32"/>
  <c r="P32" i="32"/>
  <c r="Q32" i="32"/>
  <c r="N33" i="32"/>
  <c r="P33" i="32"/>
  <c r="Q33" i="32"/>
  <c r="N34" i="32"/>
  <c r="P34" i="32"/>
  <c r="Q34" i="32"/>
  <c r="N35" i="32"/>
  <c r="P35" i="32"/>
  <c r="Q35" i="32"/>
  <c r="N36" i="32"/>
  <c r="P36" i="32"/>
  <c r="Q36" i="32"/>
  <c r="N37" i="32"/>
  <c r="P37" i="32"/>
  <c r="Q37" i="32"/>
  <c r="N38" i="32"/>
  <c r="P38" i="32"/>
  <c r="Q38" i="32"/>
  <c r="N39" i="32"/>
  <c r="P39" i="32"/>
  <c r="Q39" i="32"/>
  <c r="N40" i="32"/>
  <c r="P40" i="32"/>
  <c r="Q40" i="32"/>
  <c r="P12" i="15"/>
  <c r="Q18" i="15"/>
  <c r="Q14" i="15"/>
  <c r="P14" i="15"/>
  <c r="C3" i="20"/>
  <c r="C6" i="20"/>
  <c r="C14" i="20"/>
  <c r="P15" i="15"/>
  <c r="Q16" i="15"/>
  <c r="C8" i="20"/>
  <c r="J18" i="15"/>
  <c r="I17" i="15"/>
  <c r="C7" i="20"/>
  <c r="C9" i="20"/>
  <c r="Q12" i="15"/>
  <c r="C20" i="20"/>
  <c r="P11" i="15"/>
  <c r="C11" i="20"/>
  <c r="C15" i="20"/>
  <c r="I12" i="15"/>
  <c r="I14" i="15"/>
  <c r="C19" i="20"/>
  <c r="J11" i="15"/>
  <c r="Q13" i="15"/>
  <c r="I18" i="15"/>
  <c r="C10" i="20"/>
  <c r="P16" i="15"/>
  <c r="J14" i="15"/>
  <c r="C12" i="20"/>
  <c r="I13" i="15"/>
  <c r="Q11" i="15"/>
  <c r="J15" i="15"/>
  <c r="I16" i="15"/>
  <c r="C17" i="20"/>
  <c r="C4" i="20"/>
  <c r="P13" i="15"/>
  <c r="J16" i="15"/>
  <c r="C5" i="20"/>
  <c r="J17" i="15"/>
  <c r="C18" i="20"/>
  <c r="C2" i="20"/>
  <c r="Q15" i="15"/>
  <c r="I11" i="15"/>
  <c r="I15" i="15"/>
  <c r="C13" i="20"/>
  <c r="C16" i="20"/>
  <c r="J13" i="15"/>
  <c r="P17" i="15"/>
  <c r="J12" i="15"/>
  <c r="P18" i="15"/>
  <c r="Q17" i="15"/>
  <c r="D44" i="15" l="1"/>
  <c r="O83" i="15"/>
  <c r="D48" i="15"/>
  <c r="D46" i="15"/>
  <c r="O84" i="15"/>
  <c r="R76" i="16"/>
  <c r="T76" i="16" s="1"/>
  <c r="T75" i="16"/>
  <c r="D43" i="15"/>
  <c r="D45" i="15"/>
  <c r="O85" i="15"/>
  <c r="D50" i="15"/>
  <c r="I33" i="15"/>
  <c r="I37" i="15"/>
  <c r="R18" i="15"/>
  <c r="S18" i="15"/>
  <c r="L15" i="15"/>
  <c r="J36" i="15"/>
  <c r="R14" i="15"/>
  <c r="S14" i="15"/>
  <c r="J32" i="15"/>
  <c r="L11" i="15"/>
  <c r="I36" i="15"/>
  <c r="I32" i="15"/>
  <c r="J39" i="15"/>
  <c r="L18" i="15"/>
  <c r="R17" i="15"/>
  <c r="S17" i="15"/>
  <c r="J35" i="15"/>
  <c r="D54" i="15" s="1"/>
  <c r="L14" i="15"/>
  <c r="R13" i="15"/>
  <c r="S13" i="15"/>
  <c r="I35" i="15"/>
  <c r="I39" i="15"/>
  <c r="J38" i="15"/>
  <c r="D57" i="15" s="1"/>
  <c r="L17" i="15"/>
  <c r="R16" i="15"/>
  <c r="S16" i="15"/>
  <c r="L13" i="15"/>
  <c r="J34" i="15"/>
  <c r="R12" i="15"/>
  <c r="S12" i="15"/>
  <c r="I38" i="15"/>
  <c r="I34" i="15"/>
  <c r="L16" i="15"/>
  <c r="J37" i="15"/>
  <c r="R15" i="15"/>
  <c r="S15" i="15"/>
  <c r="L12" i="15"/>
  <c r="J33" i="15"/>
  <c r="L33" i="15" s="1"/>
  <c r="R11" i="15"/>
  <c r="S11" i="15"/>
  <c r="O86" i="15"/>
  <c r="D49" i="15"/>
  <c r="F30" i="29"/>
  <c r="G30" i="29"/>
  <c r="H30" i="29"/>
  <c r="F31" i="29"/>
  <c r="G31" i="29"/>
  <c r="H31" i="29"/>
  <c r="H37" i="29" s="1"/>
  <c r="F32" i="29"/>
  <c r="G32" i="29"/>
  <c r="H32" i="29"/>
  <c r="F68" i="29"/>
  <c r="G68" i="29"/>
  <c r="H68" i="29"/>
  <c r="F69" i="29"/>
  <c r="F75" i="29" s="1"/>
  <c r="G69" i="29"/>
  <c r="H69" i="29"/>
  <c r="H75" i="29" s="1"/>
  <c r="F70" i="29"/>
  <c r="G70" i="29"/>
  <c r="H70" i="29"/>
  <c r="AE644" i="29"/>
  <c r="AH644" i="29"/>
  <c r="AK644" i="29"/>
  <c r="AI644" i="29"/>
  <c r="AJ644" i="29"/>
  <c r="AG644" i="29"/>
  <c r="AF644" i="29"/>
  <c r="O93" i="15" l="1"/>
  <c r="F37" i="29"/>
  <c r="L35" i="15"/>
  <c r="G75" i="29"/>
  <c r="O90" i="15"/>
  <c r="O88" i="15"/>
  <c r="D52" i="15"/>
  <c r="L36" i="15"/>
  <c r="O91" i="15"/>
  <c r="D55" i="15"/>
  <c r="L38" i="15"/>
  <c r="L39" i="15"/>
  <c r="D58" i="15"/>
  <c r="O94" i="15"/>
  <c r="L34" i="15"/>
  <c r="O89" i="15"/>
  <c r="D53" i="15"/>
  <c r="L37" i="15"/>
  <c r="O92" i="15"/>
  <c r="D56" i="15"/>
  <c r="L32" i="15"/>
  <c r="D51" i="15"/>
  <c r="O87" i="15"/>
  <c r="G37" i="29"/>
  <c r="AR644" i="29"/>
  <c r="AP644" i="29"/>
  <c r="AN644" i="29"/>
  <c r="AL644" i="29"/>
  <c r="AQ644" i="29"/>
  <c r="AS644" i="29" s="1"/>
  <c r="AM644" i="29"/>
  <c r="AO644" i="29" s="1"/>
  <c r="D30" i="23"/>
  <c r="G30" i="23"/>
  <c r="P30" i="23"/>
  <c r="S30" i="23"/>
  <c r="B31" i="23"/>
  <c r="N31" i="23"/>
  <c r="AB90" i="23"/>
  <c r="D47" i="23"/>
  <c r="G47" i="23"/>
  <c r="P47" i="23"/>
  <c r="S47" i="23"/>
  <c r="B48" i="23"/>
  <c r="N48" i="23"/>
  <c r="AB107" i="23"/>
  <c r="D64" i="23"/>
  <c r="G64" i="23"/>
  <c r="P64" i="23"/>
  <c r="S64" i="23"/>
  <c r="B65" i="23"/>
  <c r="N65" i="23"/>
  <c r="E81" i="23"/>
  <c r="F81" i="23"/>
  <c r="G81" i="23"/>
  <c r="H81" i="23"/>
  <c r="I81" i="23"/>
  <c r="J81" i="23"/>
  <c r="K81" i="23"/>
  <c r="L81" i="23"/>
  <c r="M81" i="23"/>
  <c r="N81" i="23"/>
  <c r="O81" i="23"/>
  <c r="P81" i="23"/>
  <c r="Q81" i="23"/>
  <c r="R81" i="23"/>
  <c r="S81" i="23"/>
  <c r="T81" i="23"/>
  <c r="U81" i="23"/>
  <c r="D82" i="23"/>
  <c r="E82" i="23"/>
  <c r="F82" i="23"/>
  <c r="G82" i="23"/>
  <c r="H82" i="23"/>
  <c r="I82" i="23"/>
  <c r="J82" i="23"/>
  <c r="K82" i="23"/>
  <c r="L82" i="23"/>
  <c r="M82" i="23"/>
  <c r="N82" i="23"/>
  <c r="O82" i="23"/>
  <c r="P82" i="23"/>
  <c r="Q82" i="23"/>
  <c r="R82" i="23"/>
  <c r="S82" i="23"/>
  <c r="T82" i="23"/>
  <c r="U82" i="23"/>
  <c r="D83" i="23"/>
  <c r="E83" i="23"/>
  <c r="D84" i="23"/>
  <c r="E84" i="23"/>
  <c r="F84" i="23"/>
  <c r="D85" i="23"/>
  <c r="E85" i="23"/>
  <c r="F85" i="23"/>
  <c r="G85" i="23"/>
  <c r="D86" i="23"/>
  <c r="E86" i="23"/>
  <c r="F86" i="23"/>
  <c r="G86" i="23"/>
  <c r="H86" i="23"/>
  <c r="D87" i="23"/>
  <c r="E87" i="23"/>
  <c r="F87" i="23"/>
  <c r="G87" i="23"/>
  <c r="H87" i="23"/>
  <c r="I87" i="23"/>
  <c r="D88" i="23"/>
  <c r="E88" i="23"/>
  <c r="F88" i="23"/>
  <c r="G88" i="23"/>
  <c r="H88" i="23"/>
  <c r="I88" i="23"/>
  <c r="J88" i="23"/>
  <c r="D89" i="23"/>
  <c r="E89" i="23"/>
  <c r="F89" i="23"/>
  <c r="G89" i="23"/>
  <c r="H89" i="23"/>
  <c r="I89" i="23"/>
  <c r="J89" i="23"/>
  <c r="K89" i="23"/>
  <c r="AD89" i="23"/>
  <c r="AG89" i="23"/>
  <c r="D90" i="23"/>
  <c r="E90" i="23"/>
  <c r="F90" i="23"/>
  <c r="G90" i="23"/>
  <c r="H90" i="23"/>
  <c r="I90" i="23"/>
  <c r="J90" i="23"/>
  <c r="K90" i="23"/>
  <c r="L90" i="23"/>
  <c r="D91" i="23"/>
  <c r="E91" i="23"/>
  <c r="F91" i="23"/>
  <c r="G91" i="23"/>
  <c r="H91" i="23"/>
  <c r="I91" i="23"/>
  <c r="J91" i="23"/>
  <c r="K91" i="23"/>
  <c r="L91" i="23"/>
  <c r="M91" i="23"/>
  <c r="D92" i="23"/>
  <c r="E92" i="23"/>
  <c r="F92" i="23"/>
  <c r="G92" i="23"/>
  <c r="H92" i="23"/>
  <c r="I92" i="23"/>
  <c r="J92" i="23"/>
  <c r="K92" i="23"/>
  <c r="L92" i="23"/>
  <c r="M92" i="23"/>
  <c r="N92" i="23"/>
  <c r="D93" i="23"/>
  <c r="E93" i="23"/>
  <c r="F93" i="23"/>
  <c r="G93" i="23"/>
  <c r="H93" i="23"/>
  <c r="I93" i="23"/>
  <c r="J93" i="23"/>
  <c r="K93" i="23"/>
  <c r="L93" i="23"/>
  <c r="M93" i="23"/>
  <c r="N93" i="23"/>
  <c r="O93" i="23"/>
  <c r="D94" i="23"/>
  <c r="E94" i="23"/>
  <c r="F94" i="23"/>
  <c r="G94" i="23"/>
  <c r="H94" i="23"/>
  <c r="I94" i="23"/>
  <c r="J94" i="23"/>
  <c r="K94" i="23"/>
  <c r="L94" i="23"/>
  <c r="M94" i="23"/>
  <c r="N94" i="23"/>
  <c r="O94" i="23"/>
  <c r="P94" i="23"/>
  <c r="D95" i="23"/>
  <c r="E95" i="23"/>
  <c r="F95" i="23"/>
  <c r="G95" i="23"/>
  <c r="H95" i="23"/>
  <c r="I95" i="23"/>
  <c r="J95" i="23"/>
  <c r="K95" i="23"/>
  <c r="L95" i="23"/>
  <c r="M95" i="23"/>
  <c r="N95" i="23"/>
  <c r="O95" i="23"/>
  <c r="P95" i="23"/>
  <c r="Q95" i="23"/>
  <c r="D96" i="23"/>
  <c r="E96" i="23"/>
  <c r="F96" i="23"/>
  <c r="G96" i="23"/>
  <c r="H96" i="23"/>
  <c r="I96" i="23"/>
  <c r="J96" i="23"/>
  <c r="K96" i="23"/>
  <c r="L96" i="23"/>
  <c r="M96" i="23"/>
  <c r="N96" i="23"/>
  <c r="O96" i="23"/>
  <c r="P96" i="23"/>
  <c r="Q96" i="23"/>
  <c r="R96" i="23"/>
  <c r="D97" i="23"/>
  <c r="E97" i="23"/>
  <c r="F97" i="23"/>
  <c r="G97" i="23"/>
  <c r="H97" i="23"/>
  <c r="I97" i="23"/>
  <c r="J97" i="23"/>
  <c r="K97" i="23"/>
  <c r="L97" i="23"/>
  <c r="M97" i="23"/>
  <c r="N97" i="23"/>
  <c r="O97" i="23"/>
  <c r="P97" i="23"/>
  <c r="Q97" i="23"/>
  <c r="R97" i="23"/>
  <c r="S97" i="23"/>
  <c r="D98" i="23"/>
  <c r="E98" i="23"/>
  <c r="F98" i="23"/>
  <c r="G98" i="23"/>
  <c r="H98" i="23"/>
  <c r="I98" i="23"/>
  <c r="J98" i="23"/>
  <c r="K98" i="23"/>
  <c r="L98" i="23"/>
  <c r="M98" i="23"/>
  <c r="N98" i="23"/>
  <c r="O98" i="23"/>
  <c r="P98" i="23"/>
  <c r="Q98" i="23"/>
  <c r="R98" i="23"/>
  <c r="S98" i="23"/>
  <c r="T98" i="23"/>
  <c r="D99" i="23"/>
  <c r="E99" i="23"/>
  <c r="F99" i="23"/>
  <c r="G99" i="23"/>
  <c r="H99" i="23"/>
  <c r="I99" i="23"/>
  <c r="J99" i="23"/>
  <c r="K99" i="23"/>
  <c r="L99" i="23"/>
  <c r="M99" i="23"/>
  <c r="N99" i="23"/>
  <c r="O99" i="23"/>
  <c r="P99" i="23"/>
  <c r="Q99" i="23"/>
  <c r="R99" i="23"/>
  <c r="S99" i="23"/>
  <c r="T99" i="23"/>
  <c r="U99" i="23"/>
  <c r="B106" i="23"/>
  <c r="AD106" i="23"/>
  <c r="AG106" i="23"/>
  <c r="AD123" i="23"/>
  <c r="AG123" i="23"/>
  <c r="AB124" i="23"/>
  <c r="B9" i="27"/>
  <c r="AA30" i="16" s="1"/>
  <c r="AA29" i="16" s="1"/>
  <c r="AA28" i="16" s="1"/>
  <c r="AA27" i="16" s="1"/>
  <c r="AA26" i="16" s="1"/>
  <c r="B10" i="27"/>
  <c r="AA31" i="16" s="1"/>
  <c r="B11" i="27"/>
  <c r="AA32" i="16" s="1"/>
  <c r="B12" i="27"/>
  <c r="AA33" i="16" s="1"/>
  <c r="B13" i="27"/>
  <c r="AA34" i="16" s="1"/>
  <c r="B14" i="27"/>
  <c r="AA35" i="16" s="1"/>
  <c r="B15" i="27"/>
  <c r="AA36" i="16" s="1"/>
  <c r="B16" i="27"/>
  <c r="AA37" i="16" s="1"/>
  <c r="B17" i="27"/>
  <c r="AA38" i="16" s="1"/>
  <c r="B18" i="27"/>
  <c r="AA39" i="16" s="1"/>
  <c r="B19" i="27"/>
  <c r="AA40" i="16" s="1"/>
  <c r="B20" i="27"/>
  <c r="AA41" i="16" s="1"/>
  <c r="B21" i="27"/>
  <c r="AA42" i="16" s="1"/>
  <c r="B22" i="27"/>
  <c r="AA43" i="16" s="1"/>
  <c r="B23" i="27"/>
  <c r="AA44" i="16" s="1"/>
  <c r="B24" i="27"/>
  <c r="AA45" i="16" s="1"/>
  <c r="B25" i="27"/>
  <c r="C25" i="27" s="1"/>
  <c r="D25" i="27" s="1"/>
  <c r="B30" i="27"/>
  <c r="B32" i="27"/>
  <c r="E37" i="27"/>
  <c r="F37" i="27"/>
  <c r="C13" i="27" l="1"/>
  <c r="AD34" i="16" s="1"/>
  <c r="C23" i="27"/>
  <c r="AD44" i="16" s="1"/>
  <c r="C9" i="27"/>
  <c r="AD30" i="16" s="1"/>
  <c r="C17" i="27"/>
  <c r="AD38" i="16" s="1"/>
  <c r="C11" i="27"/>
  <c r="AD32" i="16" s="1"/>
  <c r="C10" i="27"/>
  <c r="AD31" i="16" s="1"/>
  <c r="C21" i="27"/>
  <c r="AD42" i="16" s="1"/>
  <c r="C22" i="27"/>
  <c r="AD43" i="16" s="1"/>
  <c r="C19" i="27"/>
  <c r="AD40" i="16" s="1"/>
  <c r="C15" i="27"/>
  <c r="AD36" i="16" s="1"/>
  <c r="C24" i="27"/>
  <c r="AD45" i="16" s="1"/>
  <c r="C18" i="27"/>
  <c r="AD39" i="16" s="1"/>
  <c r="C14" i="27"/>
  <c r="AD35" i="16" s="1"/>
  <c r="C20" i="27"/>
  <c r="AD41" i="16" s="1"/>
  <c r="C16" i="27"/>
  <c r="AD37" i="16" s="1"/>
  <c r="C12" i="27"/>
  <c r="AD33" i="16" s="1"/>
  <c r="G37" i="27"/>
  <c r="B38" i="27"/>
  <c r="D23" i="27" l="1"/>
  <c r="D13" i="27"/>
  <c r="D9" i="27"/>
  <c r="D11" i="27"/>
  <c r="E9" i="27"/>
  <c r="D17" i="27"/>
  <c r="D21" i="27"/>
  <c r="D10" i="27"/>
  <c r="E20" i="27"/>
  <c r="E21" i="27"/>
  <c r="D22" i="27"/>
  <c r="E13" i="27"/>
  <c r="F11" i="27"/>
  <c r="E12" i="27"/>
  <c r="F10" i="27"/>
  <c r="D14" i="27"/>
  <c r="E17" i="27"/>
  <c r="D18" i="27"/>
  <c r="F14" i="27"/>
  <c r="E16" i="27"/>
  <c r="E23" i="27"/>
  <c r="D24" i="27"/>
  <c r="E19" i="27"/>
  <c r="D20" i="27"/>
  <c r="E11" i="27"/>
  <c r="F9" i="27"/>
  <c r="E10" i="27"/>
  <c r="D12" i="27"/>
  <c r="F12" i="27"/>
  <c r="D15" i="27"/>
  <c r="E14" i="27"/>
  <c r="E18" i="27"/>
  <c r="D19" i="27"/>
  <c r="E15" i="27"/>
  <c r="D16" i="27"/>
  <c r="F13" i="27"/>
  <c r="E22" i="27"/>
  <c r="B39" i="27"/>
  <c r="B40" i="27"/>
  <c r="B41" i="27"/>
  <c r="B42" i="27"/>
  <c r="B56" i="27"/>
  <c r="B58" i="27"/>
  <c r="F63" i="27"/>
  <c r="E63" i="27"/>
  <c r="H39" i="27" l="1"/>
  <c r="H41" i="27"/>
  <c r="H37" i="27"/>
  <c r="H42" i="27"/>
  <c r="H40" i="27"/>
  <c r="H38" i="27"/>
  <c r="G63" i="27"/>
  <c r="H63" i="27"/>
  <c r="B64" i="27"/>
  <c r="H64" i="27"/>
  <c r="B65" i="27"/>
  <c r="H65" i="27"/>
  <c r="B66" i="27"/>
  <c r="H66" i="27"/>
  <c r="B67" i="27"/>
  <c r="H67" i="27"/>
  <c r="B68" i="27"/>
  <c r="H68" i="27"/>
  <c r="J85" i="27"/>
  <c r="K85" i="27" s="1"/>
  <c r="J86" i="27"/>
  <c r="J87" i="27" s="1"/>
  <c r="J91" i="27"/>
  <c r="K91" i="27" s="1"/>
  <c r="K86" i="27" l="1"/>
  <c r="K87" i="27" s="1"/>
  <c r="K88" i="27" s="1"/>
  <c r="I88" i="27"/>
  <c r="J88" i="27"/>
  <c r="J92" i="27"/>
  <c r="K92" i="27" s="1"/>
  <c r="I89" i="27" l="1"/>
  <c r="I90" i="27" s="1"/>
  <c r="Y93" i="27" s="1"/>
  <c r="J89" i="27"/>
  <c r="J90" i="27" s="1"/>
  <c r="K89" i="27"/>
  <c r="K90" i="27" s="1"/>
  <c r="W94" i="27"/>
  <c r="W95" i="27"/>
  <c r="B5" i="12"/>
  <c r="D5" i="12"/>
  <c r="F5" i="12"/>
  <c r="B6" i="12"/>
  <c r="D6" i="12"/>
  <c r="F6" i="12"/>
  <c r="C8" i="12"/>
  <c r="E8" i="12"/>
  <c r="G8" i="12"/>
  <c r="H8" i="12"/>
  <c r="M8" i="12"/>
  <c r="C9" i="12"/>
  <c r="E9" i="12"/>
  <c r="G9" i="12"/>
  <c r="H9" i="12"/>
  <c r="C10" i="12"/>
  <c r="E10" i="12"/>
  <c r="G10" i="12"/>
  <c r="H10" i="12"/>
  <c r="B11" i="12"/>
  <c r="D11" i="12"/>
  <c r="F11" i="12"/>
  <c r="C13" i="12"/>
  <c r="E13" i="12"/>
  <c r="G13" i="12"/>
  <c r="C14" i="12"/>
  <c r="E14" i="12"/>
  <c r="G14" i="12"/>
  <c r="C15" i="12"/>
  <c r="E15" i="12"/>
  <c r="G15" i="12"/>
  <c r="L15" i="12"/>
  <c r="C16" i="12"/>
  <c r="E16" i="12"/>
  <c r="G16" i="12"/>
  <c r="L16" i="12"/>
  <c r="C17" i="12"/>
  <c r="E17" i="12"/>
  <c r="G17" i="12"/>
  <c r="L17" i="12"/>
  <c r="C18" i="12"/>
  <c r="E18" i="12"/>
  <c r="G18" i="12"/>
  <c r="L18" i="12"/>
  <c r="C19" i="12"/>
  <c r="E19" i="12"/>
  <c r="G19" i="12"/>
  <c r="K19" i="12"/>
  <c r="R19" i="12" s="1"/>
  <c r="C20" i="12"/>
  <c r="E20" i="12"/>
  <c r="G20" i="12"/>
  <c r="K20" i="12"/>
  <c r="R20" i="12" s="1"/>
  <c r="C21" i="12"/>
  <c r="E21" i="12"/>
  <c r="G21" i="12"/>
  <c r="K21" i="12"/>
  <c r="R21" i="12"/>
  <c r="C22" i="12"/>
  <c r="E22" i="12"/>
  <c r="G22" i="12"/>
  <c r="K22" i="12"/>
  <c r="R22" i="12"/>
  <c r="C23" i="12"/>
  <c r="E23" i="12"/>
  <c r="G23" i="12"/>
  <c r="K23" i="12"/>
  <c r="R23" i="12"/>
  <c r="C24" i="12"/>
  <c r="E24" i="12"/>
  <c r="G24" i="12"/>
  <c r="K24" i="12"/>
  <c r="R24" i="12"/>
  <c r="C25" i="12"/>
  <c r="E25" i="12"/>
  <c r="G25" i="12"/>
  <c r="K25" i="12"/>
  <c r="R25" i="12" s="1"/>
  <c r="C26" i="12"/>
  <c r="E26" i="12"/>
  <c r="G26" i="12"/>
  <c r="K26" i="12"/>
  <c r="R26" i="12"/>
  <c r="C27" i="12"/>
  <c r="E27" i="12"/>
  <c r="G27" i="12"/>
  <c r="K27" i="12"/>
  <c r="R27" i="12" s="1"/>
  <c r="C28" i="12"/>
  <c r="E28" i="12"/>
  <c r="G28" i="12"/>
  <c r="K28" i="12"/>
  <c r="R28" i="12" s="1"/>
  <c r="C29" i="12"/>
  <c r="E29" i="12"/>
  <c r="G29" i="12"/>
  <c r="K29" i="12"/>
  <c r="R29" i="12"/>
  <c r="C30" i="12"/>
  <c r="E30" i="12"/>
  <c r="G30" i="12"/>
  <c r="K30" i="12"/>
  <c r="R30" i="12"/>
  <c r="C31" i="12"/>
  <c r="E31" i="12"/>
  <c r="G31" i="12"/>
  <c r="K31" i="12"/>
  <c r="R31" i="12"/>
  <c r="C32" i="12"/>
  <c r="E32" i="12"/>
  <c r="G32" i="12"/>
  <c r="K32" i="12"/>
  <c r="R32" i="12"/>
  <c r="C33" i="12"/>
  <c r="E33" i="12"/>
  <c r="G33" i="12"/>
  <c r="K33" i="12"/>
  <c r="R33" i="12" s="1"/>
  <c r="AA35" i="12"/>
  <c r="AB35" i="12"/>
  <c r="AC35" i="12"/>
  <c r="AD35" i="12"/>
  <c r="B36" i="12"/>
  <c r="C36" i="12"/>
  <c r="V36" i="12" s="1"/>
  <c r="W36" i="12" s="1"/>
  <c r="B37" i="12"/>
  <c r="C37" i="12"/>
  <c r="I37" i="12" s="1"/>
  <c r="AC37" i="12" s="1"/>
  <c r="G37" i="12"/>
  <c r="AA37" i="12" s="1"/>
  <c r="H37" i="12"/>
  <c r="AB37" i="12" s="1"/>
  <c r="B38" i="12"/>
  <c r="C38" i="12"/>
  <c r="G38" i="12" s="1"/>
  <c r="AA38" i="12" s="1"/>
  <c r="V38" i="12"/>
  <c r="W38" i="12"/>
  <c r="B39" i="12"/>
  <c r="C39" i="12"/>
  <c r="G39" i="12"/>
  <c r="AA39" i="12" s="1"/>
  <c r="H39" i="12"/>
  <c r="AB39" i="12" s="1"/>
  <c r="I39" i="12"/>
  <c r="AC39" i="12" s="1"/>
  <c r="V39" i="12"/>
  <c r="W39" i="12" s="1"/>
  <c r="B40" i="12"/>
  <c r="C40" i="12"/>
  <c r="H40" i="12" s="1"/>
  <c r="AB40" i="12" s="1"/>
  <c r="G40" i="12"/>
  <c r="AA40" i="12" s="1"/>
  <c r="I40" i="12"/>
  <c r="AC40" i="12" s="1"/>
  <c r="V40" i="12"/>
  <c r="W40" i="12"/>
  <c r="B41" i="12"/>
  <c r="C41" i="12"/>
  <c r="G41" i="12" s="1"/>
  <c r="AA41" i="12" s="1"/>
  <c r="V41" i="12"/>
  <c r="W41" i="12" s="1"/>
  <c r="B42" i="12"/>
  <c r="C42" i="12"/>
  <c r="V42" i="12" s="1"/>
  <c r="W42" i="12" s="1"/>
  <c r="G42" i="12"/>
  <c r="AA42" i="12" s="1"/>
  <c r="H42" i="12"/>
  <c r="AB42" i="12" s="1"/>
  <c r="I42" i="12"/>
  <c r="AC42" i="12" s="1"/>
  <c r="B43" i="12"/>
  <c r="C43" i="12"/>
  <c r="G43" i="12" s="1"/>
  <c r="AA43" i="12" s="1"/>
  <c r="V43" i="12"/>
  <c r="W43" i="12" s="1"/>
  <c r="B44" i="12"/>
  <c r="C44" i="12"/>
  <c r="B45" i="12"/>
  <c r="C45" i="12"/>
  <c r="G45" i="12"/>
  <c r="AA45" i="12" s="1"/>
  <c r="H45" i="12"/>
  <c r="AB45" i="12" s="1"/>
  <c r="I45" i="12"/>
  <c r="AC45" i="12" s="1"/>
  <c r="V45" i="12"/>
  <c r="W45" i="12"/>
  <c r="B46" i="12"/>
  <c r="C46" i="12"/>
  <c r="V46" i="12"/>
  <c r="W46" i="12" s="1"/>
  <c r="B47" i="12"/>
  <c r="C47" i="12"/>
  <c r="V47" i="12" s="1"/>
  <c r="W47" i="12" s="1"/>
  <c r="G47" i="12"/>
  <c r="AA47" i="12" s="1"/>
  <c r="H47" i="12"/>
  <c r="AB47" i="12" s="1"/>
  <c r="I47" i="12"/>
  <c r="AC47" i="12" s="1"/>
  <c r="B48" i="12"/>
  <c r="C48" i="12"/>
  <c r="G48" i="12"/>
  <c r="AA48" i="12" s="1"/>
  <c r="H48" i="12"/>
  <c r="AB48" i="12" s="1"/>
  <c r="I48" i="12"/>
  <c r="AC48" i="12" s="1"/>
  <c r="V48" i="12"/>
  <c r="W48" i="12"/>
  <c r="B49" i="12"/>
  <c r="C49" i="12"/>
  <c r="B50" i="12"/>
  <c r="C50" i="12"/>
  <c r="V50" i="12" s="1"/>
  <c r="W50" i="12" s="1"/>
  <c r="G50" i="12"/>
  <c r="AA50" i="12" s="1"/>
  <c r="H50" i="12"/>
  <c r="AB50" i="12" s="1"/>
  <c r="I50" i="12"/>
  <c r="AC50" i="12" s="1"/>
  <c r="B51" i="12"/>
  <c r="C51" i="12"/>
  <c r="I51" i="12" s="1"/>
  <c r="AC51" i="12" s="1"/>
  <c r="G51" i="12"/>
  <c r="AA51" i="12" s="1"/>
  <c r="H51" i="12"/>
  <c r="AB51" i="12" s="1"/>
  <c r="V51" i="12"/>
  <c r="W51" i="12"/>
  <c r="B52" i="12"/>
  <c r="C52" i="12"/>
  <c r="G52" i="12" s="1"/>
  <c r="AA52" i="12" s="1"/>
  <c r="I52" i="12"/>
  <c r="AC52" i="12" s="1"/>
  <c r="V52" i="12"/>
  <c r="W52" i="12"/>
  <c r="B53" i="12"/>
  <c r="C53" i="12"/>
  <c r="V53" i="12" s="1"/>
  <c r="G53" i="12"/>
  <c r="AA53" i="12" s="1"/>
  <c r="H53" i="12"/>
  <c r="AB53" i="12" s="1"/>
  <c r="I53" i="12"/>
  <c r="AC53" i="12" s="1"/>
  <c r="W53" i="12"/>
  <c r="B54" i="12"/>
  <c r="C54" i="12"/>
  <c r="B55" i="12"/>
  <c r="C55" i="12"/>
  <c r="G55" i="12" s="1"/>
  <c r="AA55" i="12" s="1"/>
  <c r="B56" i="12"/>
  <c r="C56" i="12"/>
  <c r="G56" i="12"/>
  <c r="AA56" i="12" s="1"/>
  <c r="H56" i="12"/>
  <c r="AB56" i="12" s="1"/>
  <c r="I56" i="12"/>
  <c r="AC56" i="12" s="1"/>
  <c r="V56" i="12"/>
  <c r="W56" i="12"/>
  <c r="B57" i="12"/>
  <c r="C57" i="12"/>
  <c r="G57" i="12"/>
  <c r="AA57" i="12" s="1"/>
  <c r="H57" i="12"/>
  <c r="AB57" i="12" s="1"/>
  <c r="I57" i="12"/>
  <c r="AC57" i="12" s="1"/>
  <c r="V57" i="12"/>
  <c r="W57" i="12"/>
  <c r="B58" i="12"/>
  <c r="C58" i="12"/>
  <c r="V58" i="12" s="1"/>
  <c r="W58" i="12" s="1"/>
  <c r="AA61" i="12"/>
  <c r="AB61" i="12"/>
  <c r="AC61" i="12"/>
  <c r="AL61" i="12"/>
  <c r="B62" i="12"/>
  <c r="C62" i="12"/>
  <c r="H62" i="12" s="1"/>
  <c r="AB62" i="12" s="1"/>
  <c r="G62" i="12"/>
  <c r="AA62" i="12" s="1"/>
  <c r="V62" i="12"/>
  <c r="AF62" i="12" s="1"/>
  <c r="B63" i="12"/>
  <c r="C63" i="12"/>
  <c r="V63" i="12" s="1"/>
  <c r="B64" i="12"/>
  <c r="C64" i="12"/>
  <c r="H64" i="12" s="1"/>
  <c r="AB64" i="12" s="1"/>
  <c r="G64" i="12"/>
  <c r="AA64" i="12" s="1"/>
  <c r="V64" i="12"/>
  <c r="AF64" i="12" s="1"/>
  <c r="B65" i="12"/>
  <c r="C65" i="12"/>
  <c r="H65" i="12" s="1"/>
  <c r="AB65" i="12" s="1"/>
  <c r="V65" i="12"/>
  <c r="AF65" i="12" s="1"/>
  <c r="B66" i="12"/>
  <c r="C66" i="12"/>
  <c r="H66" i="12" s="1"/>
  <c r="AB66" i="12" s="1"/>
  <c r="G66" i="12"/>
  <c r="AA66" i="12" s="1"/>
  <c r="V66" i="12"/>
  <c r="B67" i="12"/>
  <c r="C67" i="12"/>
  <c r="I67" i="12" s="1"/>
  <c r="AC67" i="12" s="1"/>
  <c r="G67" i="12"/>
  <c r="AA67" i="12" s="1"/>
  <c r="V67" i="12"/>
  <c r="W67" i="12" s="1"/>
  <c r="B68" i="12"/>
  <c r="C68" i="12"/>
  <c r="G68" i="12"/>
  <c r="AA68" i="12" s="1"/>
  <c r="B69" i="12"/>
  <c r="C69" i="12"/>
  <c r="I69" i="12" s="1"/>
  <c r="AC69" i="12" s="1"/>
  <c r="V69" i="12"/>
  <c r="B70" i="12"/>
  <c r="C70" i="12"/>
  <c r="G70" i="12" s="1"/>
  <c r="AA70" i="12" s="1"/>
  <c r="B71" i="12"/>
  <c r="C71" i="12"/>
  <c r="I71" i="12" s="1"/>
  <c r="AC71" i="12" s="1"/>
  <c r="G71" i="12"/>
  <c r="AA71" i="12" s="1"/>
  <c r="H71" i="12"/>
  <c r="AB71" i="12" s="1"/>
  <c r="V71" i="12"/>
  <c r="W71" i="12" s="1"/>
  <c r="AG71" i="12"/>
  <c r="B72" i="12"/>
  <c r="C72" i="12"/>
  <c r="I72" i="12" s="1"/>
  <c r="AC72" i="12" s="1"/>
  <c r="G72" i="12"/>
  <c r="AA72" i="12" s="1"/>
  <c r="H72" i="12"/>
  <c r="AB72" i="12" s="1"/>
  <c r="V72" i="12"/>
  <c r="B73" i="12"/>
  <c r="C73" i="12"/>
  <c r="H73" i="12" s="1"/>
  <c r="AB73" i="12" s="1"/>
  <c r="V73" i="12"/>
  <c r="W73" i="12"/>
  <c r="AG73" i="12"/>
  <c r="B74" i="12"/>
  <c r="C74" i="12"/>
  <c r="B75" i="12"/>
  <c r="C75" i="12"/>
  <c r="G75" i="12"/>
  <c r="AA75" i="12" s="1"/>
  <c r="H75" i="12"/>
  <c r="AB75" i="12" s="1"/>
  <c r="I75" i="12"/>
  <c r="AC75" i="12" s="1"/>
  <c r="V75" i="12"/>
  <c r="AG75" i="12" s="1"/>
  <c r="W75" i="12"/>
  <c r="B76" i="12"/>
  <c r="C76" i="12"/>
  <c r="B77" i="12"/>
  <c r="C77" i="12"/>
  <c r="V77" i="12" s="1"/>
  <c r="G77" i="12"/>
  <c r="AA77" i="12" s="1"/>
  <c r="H77" i="12"/>
  <c r="AB77" i="12" s="1"/>
  <c r="W77" i="12"/>
  <c r="AF77" i="12"/>
  <c r="B78" i="12"/>
  <c r="C78" i="12"/>
  <c r="I78" i="12" s="1"/>
  <c r="AC78" i="12" s="1"/>
  <c r="G78" i="12"/>
  <c r="AA78" i="12" s="1"/>
  <c r="H78" i="12"/>
  <c r="AB78" i="12" s="1"/>
  <c r="V78" i="12"/>
  <c r="B79" i="12"/>
  <c r="C79" i="12"/>
  <c r="I79" i="12"/>
  <c r="AC79" i="12" s="1"/>
  <c r="V79" i="12"/>
  <c r="W79" i="12" s="1"/>
  <c r="AF79" i="12"/>
  <c r="B80" i="12"/>
  <c r="C80" i="12"/>
  <c r="I80" i="12" s="1"/>
  <c r="AC80" i="12" s="1"/>
  <c r="B81" i="12"/>
  <c r="C81" i="12"/>
  <c r="B82" i="12"/>
  <c r="C82" i="12"/>
  <c r="G82" i="12"/>
  <c r="AA82" i="12" s="1"/>
  <c r="H82" i="12"/>
  <c r="AB82" i="12" s="1"/>
  <c r="I82" i="12"/>
  <c r="AC82" i="12" s="1"/>
  <c r="V82" i="12"/>
  <c r="W82" i="12"/>
  <c r="AG82" i="12"/>
  <c r="B83" i="12"/>
  <c r="C83" i="12"/>
  <c r="G83" i="12"/>
  <c r="AA83" i="12" s="1"/>
  <c r="V83" i="12"/>
  <c r="B84" i="12"/>
  <c r="C84" i="12"/>
  <c r="G84" i="12"/>
  <c r="AA84" i="12" s="1"/>
  <c r="H84" i="12"/>
  <c r="AB84" i="12" s="1"/>
  <c r="I84" i="12"/>
  <c r="AC84" i="12" s="1"/>
  <c r="V84" i="12"/>
  <c r="W84" i="12" s="1"/>
  <c r="AG84" i="12"/>
  <c r="B85" i="12"/>
  <c r="C85" i="12"/>
  <c r="V85" i="12"/>
  <c r="B86" i="12"/>
  <c r="C86" i="12"/>
  <c r="G86" i="12"/>
  <c r="AA86" i="12" s="1"/>
  <c r="H86" i="12"/>
  <c r="AB86" i="12" s="1"/>
  <c r="I86" i="12"/>
  <c r="AC86" i="12" s="1"/>
  <c r="V86" i="12"/>
  <c r="W86" i="12" s="1"/>
  <c r="AG86" i="12"/>
  <c r="B87" i="12"/>
  <c r="C87" i="12"/>
  <c r="G87" i="12"/>
  <c r="AA87" i="12" s="1"/>
  <c r="V87" i="12"/>
  <c r="B88" i="12"/>
  <c r="C88" i="12"/>
  <c r="G88" i="12"/>
  <c r="AA88" i="12" s="1"/>
  <c r="H88" i="12"/>
  <c r="AB88" i="12" s="1"/>
  <c r="I88" i="12"/>
  <c r="AC88" i="12" s="1"/>
  <c r="V88" i="12"/>
  <c r="AF88" i="12" s="1"/>
  <c r="W88" i="12"/>
  <c r="B89" i="12"/>
  <c r="C89" i="12"/>
  <c r="G89" i="12" s="1"/>
  <c r="AA89" i="12" s="1"/>
  <c r="B90" i="12"/>
  <c r="C90" i="12"/>
  <c r="G90" i="12"/>
  <c r="AA90" i="12" s="1"/>
  <c r="H90" i="12"/>
  <c r="AB90" i="12" s="1"/>
  <c r="I90" i="12"/>
  <c r="AC90" i="12" s="1"/>
  <c r="V90" i="12"/>
  <c r="W90" i="12"/>
  <c r="AG90" i="12"/>
  <c r="B91" i="12"/>
  <c r="C91" i="12"/>
  <c r="G91" i="12"/>
  <c r="AA91" i="12" s="1"/>
  <c r="V91" i="12"/>
  <c r="B92" i="12"/>
  <c r="C92" i="12"/>
  <c r="G92" i="12"/>
  <c r="AA92" i="12" s="1"/>
  <c r="H92" i="12"/>
  <c r="AB92" i="12" s="1"/>
  <c r="I92" i="12"/>
  <c r="AC92" i="12" s="1"/>
  <c r="V92" i="12"/>
  <c r="W92" i="12"/>
  <c r="B93" i="12"/>
  <c r="C93" i="12"/>
  <c r="H93" i="12" s="1"/>
  <c r="AB93" i="12" s="1"/>
  <c r="B94" i="12"/>
  <c r="C94" i="12"/>
  <c r="I94" i="12" s="1"/>
  <c r="AC94" i="12" s="1"/>
  <c r="G94" i="12"/>
  <c r="AA94" i="12" s="1"/>
  <c r="V94" i="12"/>
  <c r="W94" i="12"/>
  <c r="AG94" i="12"/>
  <c r="B95" i="12"/>
  <c r="C95" i="12"/>
  <c r="H95" i="12" s="1"/>
  <c r="AB95" i="12" s="1"/>
  <c r="G95" i="12"/>
  <c r="AA95" i="12" s="1"/>
  <c r="I95" i="12"/>
  <c r="AC95" i="12" s="1"/>
  <c r="B96" i="12"/>
  <c r="C96" i="12"/>
  <c r="I96" i="12" s="1"/>
  <c r="AC96" i="12" s="1"/>
  <c r="G96" i="12"/>
  <c r="AA96" i="12" s="1"/>
  <c r="H96" i="12"/>
  <c r="AB96" i="12" s="1"/>
  <c r="V96" i="12"/>
  <c r="W96" i="12"/>
  <c r="AF96" i="12"/>
  <c r="B97" i="12"/>
  <c r="C97" i="12"/>
  <c r="G97" i="12" s="1"/>
  <c r="AA97" i="12" s="1"/>
  <c r="B98" i="12"/>
  <c r="C98" i="12"/>
  <c r="I98" i="12" s="1"/>
  <c r="AC98" i="12" s="1"/>
  <c r="G98" i="12"/>
  <c r="AA98" i="12" s="1"/>
  <c r="H98" i="12"/>
  <c r="AB98" i="12" s="1"/>
  <c r="V98" i="12"/>
  <c r="W98" i="12"/>
  <c r="AF98" i="12"/>
  <c r="B99" i="12"/>
  <c r="C99" i="12"/>
  <c r="G99" i="12" s="1"/>
  <c r="AA99" i="12" s="1"/>
  <c r="B100" i="12"/>
  <c r="C100" i="12"/>
  <c r="I100" i="12" s="1"/>
  <c r="AC100" i="12" s="1"/>
  <c r="G100" i="12"/>
  <c r="AA100" i="12" s="1"/>
  <c r="H100" i="12"/>
  <c r="AB100" i="12" s="1"/>
  <c r="V100" i="12"/>
  <c r="W100" i="12"/>
  <c r="AF100" i="12"/>
  <c r="B101" i="12"/>
  <c r="C101" i="12"/>
  <c r="H101" i="12" s="1"/>
  <c r="AB101" i="12" s="1"/>
  <c r="C1" i="4"/>
  <c r="S3" i="4"/>
  <c r="I8" i="12" s="1"/>
  <c r="E5" i="15"/>
  <c r="E30" i="15"/>
  <c r="E28" i="15"/>
  <c r="AX37" i="4"/>
  <c r="E11" i="15"/>
  <c r="E4" i="15"/>
  <c r="AX33" i="4"/>
  <c r="E6" i="15"/>
  <c r="AX31" i="4"/>
  <c r="E26" i="15"/>
  <c r="E18" i="15"/>
  <c r="AX29" i="4"/>
  <c r="P1" i="16"/>
  <c r="AX35" i="4"/>
  <c r="AX36" i="4"/>
  <c r="E35" i="15"/>
  <c r="E29" i="15"/>
  <c r="E12" i="15"/>
  <c r="AX28" i="4"/>
  <c r="AX30" i="4"/>
  <c r="E36" i="15"/>
  <c r="AX32" i="4"/>
  <c r="E14" i="15"/>
  <c r="E15" i="15"/>
  <c r="AX26" i="4"/>
  <c r="E34" i="15"/>
  <c r="E37" i="15"/>
  <c r="E17" i="15"/>
  <c r="E38" i="15"/>
  <c r="E10" i="15"/>
  <c r="E2" i="15"/>
  <c r="E25" i="15"/>
  <c r="E33" i="15"/>
  <c r="E32" i="15"/>
  <c r="E3" i="15"/>
  <c r="X70" i="27" s="1"/>
  <c r="E24" i="15"/>
  <c r="E16" i="15"/>
  <c r="X41" i="27"/>
  <c r="E39" i="15"/>
  <c r="X40" i="27"/>
  <c r="E27" i="15"/>
  <c r="E8" i="15"/>
  <c r="P2" i="16"/>
  <c r="E31" i="15"/>
  <c r="E13" i="15"/>
  <c r="AX34" i="4"/>
  <c r="E7" i="15"/>
  <c r="E9" i="15"/>
  <c r="X67" i="27"/>
  <c r="X68" i="27"/>
  <c r="X44" i="27"/>
  <c r="X71" i="27"/>
  <c r="X69" i="27"/>
  <c r="X42" i="27"/>
  <c r="AA93" i="27" l="1"/>
  <c r="AK71" i="12"/>
  <c r="AJ77" i="12"/>
  <c r="AK75" i="12"/>
  <c r="AJ98" i="12"/>
  <c r="AJ88" i="12"/>
  <c r="D38" i="27"/>
  <c r="D37" i="27"/>
  <c r="AM29" i="4"/>
  <c r="B2" i="16"/>
  <c r="J3" i="16"/>
  <c r="J4" i="16"/>
  <c r="J5" i="16"/>
  <c r="J6" i="16"/>
  <c r="J11" i="16"/>
  <c r="J16" i="16"/>
  <c r="J20" i="16"/>
  <c r="J15" i="16"/>
  <c r="J19" i="16"/>
  <c r="J12" i="16"/>
  <c r="J17" i="16"/>
  <c r="J14" i="16"/>
  <c r="J8" i="16"/>
  <c r="J9" i="16"/>
  <c r="J7" i="16"/>
  <c r="J10" i="16"/>
  <c r="J18" i="16"/>
  <c r="J13" i="16"/>
  <c r="AJ62" i="12"/>
  <c r="AJ96" i="12"/>
  <c r="K2" i="15"/>
  <c r="M2" i="15"/>
  <c r="E23" i="15"/>
  <c r="M3" i="15"/>
  <c r="K3" i="15"/>
  <c r="E43" i="15"/>
  <c r="B40" i="32"/>
  <c r="M4" i="15"/>
  <c r="K4" i="15"/>
  <c r="E44" i="15"/>
  <c r="B41" i="32"/>
  <c r="M5" i="15"/>
  <c r="K5" i="15"/>
  <c r="E45" i="15"/>
  <c r="B42" i="32"/>
  <c r="K6" i="15"/>
  <c r="M6" i="15"/>
  <c r="E46" i="15"/>
  <c r="B43" i="32"/>
  <c r="M7" i="15"/>
  <c r="K7" i="15"/>
  <c r="E47" i="15"/>
  <c r="B44" i="32"/>
  <c r="E48" i="15"/>
  <c r="E92" i="15"/>
  <c r="E93" i="15"/>
  <c r="E94" i="15"/>
  <c r="E100" i="15"/>
  <c r="E95" i="15"/>
  <c r="B45" i="32"/>
  <c r="E49" i="15"/>
  <c r="E50" i="15"/>
  <c r="E51" i="15"/>
  <c r="C31" i="29"/>
  <c r="E52" i="15"/>
  <c r="E53" i="15"/>
  <c r="E54" i="15"/>
  <c r="E55" i="15"/>
  <c r="E56" i="15"/>
  <c r="C30" i="29"/>
  <c r="C32" i="29"/>
  <c r="E57" i="15"/>
  <c r="E58" i="15"/>
  <c r="K28" i="15"/>
  <c r="M28" i="15"/>
  <c r="C69" i="29"/>
  <c r="C68" i="29"/>
  <c r="C70" i="29"/>
  <c r="AJ100" i="12"/>
  <c r="G101" i="12"/>
  <c r="AA101" i="12" s="1"/>
  <c r="AE6" i="29"/>
  <c r="D39" i="27"/>
  <c r="D40" i="27"/>
  <c r="D41" i="27"/>
  <c r="D42" i="27"/>
  <c r="D63" i="27"/>
  <c r="D64" i="27"/>
  <c r="D65" i="27"/>
  <c r="D66" i="27"/>
  <c r="D67" i="27"/>
  <c r="D68" i="27"/>
  <c r="M85" i="27"/>
  <c r="L85" i="27"/>
  <c r="M86" i="27"/>
  <c r="L86" i="27"/>
  <c r="L91" i="27"/>
  <c r="M91" i="27"/>
  <c r="L92" i="27"/>
  <c r="M92" i="27"/>
  <c r="M7" i="12"/>
  <c r="B4" i="12"/>
  <c r="W93" i="27"/>
  <c r="AG88" i="12"/>
  <c r="AK88" i="12" s="1"/>
  <c r="I87" i="12"/>
  <c r="AC87" i="12" s="1"/>
  <c r="H87" i="12"/>
  <c r="AB87" i="12" s="1"/>
  <c r="AK84" i="12"/>
  <c r="AG100" i="12"/>
  <c r="AK100" i="12" s="1"/>
  <c r="AG98" i="12"/>
  <c r="AK98" i="12" s="1"/>
  <c r="AG96" i="12"/>
  <c r="AK96" i="12" s="1"/>
  <c r="V95" i="12"/>
  <c r="H94" i="12"/>
  <c r="AB94" i="12" s="1"/>
  <c r="AF84" i="12"/>
  <c r="AJ84" i="12" s="1"/>
  <c r="AG77" i="12"/>
  <c r="I76" i="12"/>
  <c r="AC76" i="12" s="1"/>
  <c r="G76" i="12"/>
  <c r="AA76" i="12" s="1"/>
  <c r="V76" i="12"/>
  <c r="W63" i="12"/>
  <c r="AG63" i="12"/>
  <c r="AF63" i="12"/>
  <c r="V101" i="12"/>
  <c r="W87" i="12"/>
  <c r="AG87" i="12"/>
  <c r="AF87" i="12"/>
  <c r="AJ87" i="12" s="1"/>
  <c r="AG85" i="12"/>
  <c r="W85" i="12"/>
  <c r="AF85" i="12"/>
  <c r="W83" i="12"/>
  <c r="AG83" i="12"/>
  <c r="AF83" i="12"/>
  <c r="AJ83" i="12" s="1"/>
  <c r="W78" i="12"/>
  <c r="AG78" i="12"/>
  <c r="AK78" i="12" s="1"/>
  <c r="AF78" i="12"/>
  <c r="AJ78" i="12" s="1"/>
  <c r="AK86" i="12"/>
  <c r="AK82" i="12"/>
  <c r="I81" i="12"/>
  <c r="AC81" i="12" s="1"/>
  <c r="H81" i="12"/>
  <c r="AB81" i="12" s="1"/>
  <c r="AK90" i="12"/>
  <c r="I89" i="12"/>
  <c r="AC89" i="12" s="1"/>
  <c r="H89" i="12"/>
  <c r="AB89" i="12" s="1"/>
  <c r="I85" i="12"/>
  <c r="AC85" i="12" s="1"/>
  <c r="H85" i="12"/>
  <c r="AB85" i="12" s="1"/>
  <c r="I101" i="12"/>
  <c r="AC101" i="12" s="1"/>
  <c r="I99" i="12"/>
  <c r="AC99" i="12" s="1"/>
  <c r="I97" i="12"/>
  <c r="AC97" i="12" s="1"/>
  <c r="AF94" i="12"/>
  <c r="AJ94" i="12" s="1"/>
  <c r="I93" i="12"/>
  <c r="AC93" i="12" s="1"/>
  <c r="AF90" i="12"/>
  <c r="AJ90" i="12" s="1"/>
  <c r="AF86" i="12"/>
  <c r="AJ86" i="12" s="1"/>
  <c r="AF82" i="12"/>
  <c r="AJ82" i="12" s="1"/>
  <c r="AG79" i="12"/>
  <c r="AK79" i="12" s="1"/>
  <c r="G79" i="12"/>
  <c r="AA79" i="12" s="1"/>
  <c r="H79" i="12"/>
  <c r="AB79" i="12" s="1"/>
  <c r="AJ79" i="12"/>
  <c r="AK94" i="12"/>
  <c r="H99" i="12"/>
  <c r="AB99" i="12" s="1"/>
  <c r="H97" i="12"/>
  <c r="AB97" i="12" s="1"/>
  <c r="G93" i="12"/>
  <c r="AA93" i="12" s="1"/>
  <c r="AG92" i="12"/>
  <c r="AK92" i="12" s="1"/>
  <c r="AG91" i="12"/>
  <c r="W91" i="12"/>
  <c r="AF91" i="12"/>
  <c r="AJ91" i="12" s="1"/>
  <c r="V89" i="12"/>
  <c r="V81" i="12"/>
  <c r="I74" i="12"/>
  <c r="AC74" i="12" s="1"/>
  <c r="V74" i="12"/>
  <c r="G74" i="12"/>
  <c r="AA74" i="12" s="1"/>
  <c r="H74" i="12"/>
  <c r="AB74" i="12" s="1"/>
  <c r="V99" i="12"/>
  <c r="V97" i="12"/>
  <c r="V93" i="12"/>
  <c r="AF92" i="12"/>
  <c r="AJ92" i="12" s="1"/>
  <c r="I91" i="12"/>
  <c r="AC91" i="12" s="1"/>
  <c r="H91" i="12"/>
  <c r="AB91" i="12" s="1"/>
  <c r="G85" i="12"/>
  <c r="AA85" i="12" s="1"/>
  <c r="I83" i="12"/>
  <c r="AC83" i="12" s="1"/>
  <c r="H83" i="12"/>
  <c r="AB83" i="12" s="1"/>
  <c r="G81" i="12"/>
  <c r="AA81" i="12" s="1"/>
  <c r="H76" i="12"/>
  <c r="AB76" i="12" s="1"/>
  <c r="G80" i="12"/>
  <c r="AA80" i="12" s="1"/>
  <c r="I77" i="12"/>
  <c r="AC77" i="12" s="1"/>
  <c r="AF75" i="12"/>
  <c r="AJ75" i="12" s="1"/>
  <c r="G73" i="12"/>
  <c r="AA73" i="12" s="1"/>
  <c r="G69" i="12"/>
  <c r="AA69" i="12" s="1"/>
  <c r="H68" i="12"/>
  <c r="AB68" i="12" s="1"/>
  <c r="I68" i="12"/>
  <c r="AC68" i="12" s="1"/>
  <c r="AG67" i="12"/>
  <c r="AK67" i="12" s="1"/>
  <c r="AF66" i="12"/>
  <c r="AJ66" i="12" s="1"/>
  <c r="W66" i="12"/>
  <c r="AG66" i="12"/>
  <c r="W72" i="12"/>
  <c r="AG72" i="12"/>
  <c r="AK72" i="12" s="1"/>
  <c r="AF73" i="12"/>
  <c r="H70" i="12"/>
  <c r="AB70" i="12" s="1"/>
  <c r="I70" i="12"/>
  <c r="AC70" i="12" s="1"/>
  <c r="V70" i="12"/>
  <c r="V68" i="12"/>
  <c r="AF67" i="12"/>
  <c r="AJ67" i="12" s="1"/>
  <c r="H67" i="12"/>
  <c r="AB67" i="12" s="1"/>
  <c r="W69" i="12"/>
  <c r="AG69" i="12"/>
  <c r="AK69" i="12" s="1"/>
  <c r="W65" i="12"/>
  <c r="AG65" i="12"/>
  <c r="I63" i="12"/>
  <c r="AC63" i="12" s="1"/>
  <c r="G63" i="12"/>
  <c r="AA63" i="12" s="1"/>
  <c r="H63" i="12"/>
  <c r="AB63" i="12" s="1"/>
  <c r="V80" i="12"/>
  <c r="I73" i="12"/>
  <c r="AC73" i="12" s="1"/>
  <c r="AK73" i="12" s="1"/>
  <c r="AF71" i="12"/>
  <c r="AJ71" i="12" s="1"/>
  <c r="AJ64" i="12"/>
  <c r="H80" i="12"/>
  <c r="AB80" i="12" s="1"/>
  <c r="AF72" i="12"/>
  <c r="AJ72" i="12" s="1"/>
  <c r="AF69" i="12"/>
  <c r="H69" i="12"/>
  <c r="AB69" i="12" s="1"/>
  <c r="I65" i="12"/>
  <c r="AC65" i="12" s="1"/>
  <c r="G65" i="12"/>
  <c r="AA65" i="12" s="1"/>
  <c r="AJ65" i="12" s="1"/>
  <c r="H54" i="12"/>
  <c r="AB54" i="12" s="1"/>
  <c r="I54" i="12"/>
  <c r="AC54" i="12" s="1"/>
  <c r="V44" i="12"/>
  <c r="W44" i="12" s="1"/>
  <c r="G44" i="12"/>
  <c r="AA44" i="12" s="1"/>
  <c r="H44" i="12"/>
  <c r="AB44" i="12" s="1"/>
  <c r="V54" i="12"/>
  <c r="W54" i="12" s="1"/>
  <c r="G49" i="12"/>
  <c r="AA49" i="12" s="1"/>
  <c r="H49" i="12"/>
  <c r="AB49" i="12" s="1"/>
  <c r="I58" i="12"/>
  <c r="AC58" i="12" s="1"/>
  <c r="V55" i="12"/>
  <c r="W55" i="12" s="1"/>
  <c r="H52" i="12"/>
  <c r="AB52" i="12" s="1"/>
  <c r="V49" i="12"/>
  <c r="W49" i="12" s="1"/>
  <c r="I66" i="12"/>
  <c r="AC66" i="12" s="1"/>
  <c r="AG64" i="12"/>
  <c r="W64" i="12"/>
  <c r="I64" i="12"/>
  <c r="AC64" i="12" s="1"/>
  <c r="AG62" i="12"/>
  <c r="W62" i="12"/>
  <c r="I62" i="12"/>
  <c r="AC62" i="12" s="1"/>
  <c r="H58" i="12"/>
  <c r="AB58" i="12" s="1"/>
  <c r="G58" i="12"/>
  <c r="AA58" i="12" s="1"/>
  <c r="G54" i="12"/>
  <c r="AA54" i="12" s="1"/>
  <c r="I55" i="12"/>
  <c r="AC55" i="12" s="1"/>
  <c r="I49" i="12"/>
  <c r="AC49" i="12" s="1"/>
  <c r="G46" i="12"/>
  <c r="AA46" i="12" s="1"/>
  <c r="H46" i="12"/>
  <c r="AB46" i="12" s="1"/>
  <c r="I46" i="12"/>
  <c r="AC46" i="12" s="1"/>
  <c r="H55" i="12"/>
  <c r="AB55" i="12" s="1"/>
  <c r="I44" i="12"/>
  <c r="AC44" i="12" s="1"/>
  <c r="I36" i="12"/>
  <c r="AC36" i="12" s="1"/>
  <c r="I41" i="12"/>
  <c r="AC41" i="12" s="1"/>
  <c r="H36" i="12"/>
  <c r="AB36" i="12" s="1"/>
  <c r="H41" i="12"/>
  <c r="AB41" i="12" s="1"/>
  <c r="I38" i="12"/>
  <c r="AC38" i="12" s="1"/>
  <c r="V37" i="12"/>
  <c r="W37" i="12" s="1"/>
  <c r="G36" i="12"/>
  <c r="AA36" i="12" s="1"/>
  <c r="I43" i="12"/>
  <c r="AC43" i="12" s="1"/>
  <c r="H38" i="12"/>
  <c r="AB38" i="12" s="1"/>
  <c r="H43" i="12"/>
  <c r="AB43" i="12" s="1"/>
  <c r="M10" i="25"/>
  <c r="F10" i="25"/>
  <c r="P23" i="15"/>
  <c r="N8" i="25"/>
  <c r="Q29" i="15"/>
  <c r="Z87" i="27"/>
  <c r="M8" i="25"/>
  <c r="P35" i="15"/>
  <c r="P82" i="15"/>
  <c r="Q42" i="15"/>
  <c r="F8" i="25"/>
  <c r="Q61" i="15"/>
  <c r="O11" i="25"/>
  <c r="H32" i="23"/>
  <c r="Q53" i="15"/>
  <c r="Q38" i="15"/>
  <c r="Q40" i="15"/>
  <c r="P56" i="15"/>
  <c r="AF6" i="29"/>
  <c r="Q54" i="15"/>
  <c r="Q39" i="15"/>
  <c r="D34" i="23"/>
  <c r="R81" i="15"/>
  <c r="Q44" i="15"/>
  <c r="P28" i="15"/>
  <c r="K8" i="15"/>
  <c r="Q70" i="15"/>
  <c r="H12" i="25"/>
  <c r="P57" i="15"/>
  <c r="G48" i="27"/>
  <c r="Z68" i="27"/>
  <c r="R55" i="15"/>
  <c r="Q36" i="15"/>
  <c r="R63" i="15"/>
  <c r="R76" i="15"/>
  <c r="R82" i="15"/>
  <c r="R47" i="15"/>
  <c r="AA44" i="27"/>
  <c r="P12" i="25"/>
  <c r="AB43" i="27"/>
  <c r="D48" i="27"/>
  <c r="P68" i="15"/>
  <c r="Z71" i="27"/>
  <c r="P49" i="15"/>
  <c r="Q71" i="15"/>
  <c r="P74" i="15"/>
  <c r="Q48" i="15"/>
  <c r="AJ6" i="29"/>
  <c r="G34" i="23"/>
  <c r="AK6" i="29"/>
  <c r="Q66" i="15"/>
  <c r="P47" i="15"/>
  <c r="N9" i="25"/>
  <c r="Q65" i="15"/>
  <c r="D35" i="23"/>
  <c r="P71" i="15"/>
  <c r="F11" i="25"/>
  <c r="K11" i="25"/>
  <c r="Q58" i="15"/>
  <c r="Q31" i="15"/>
  <c r="P11" i="25"/>
  <c r="Z42" i="27"/>
  <c r="Z67" i="27"/>
  <c r="P29" i="15"/>
  <c r="R33" i="15"/>
  <c r="C35" i="23"/>
  <c r="P31" i="15"/>
  <c r="G47" i="27"/>
  <c r="P80" i="15"/>
  <c r="O12" i="25"/>
  <c r="G9" i="25"/>
  <c r="R51" i="15"/>
  <c r="E48" i="27"/>
  <c r="R34" i="15"/>
  <c r="R57" i="15"/>
  <c r="R70" i="15"/>
  <c r="R45" i="15"/>
  <c r="R32" i="15"/>
  <c r="R73" i="15"/>
  <c r="AA42" i="27"/>
  <c r="I12" i="25"/>
  <c r="F47" i="27"/>
  <c r="C48" i="27"/>
  <c r="Q82" i="15"/>
  <c r="Q34" i="15"/>
  <c r="P53" i="15"/>
  <c r="E11" i="25"/>
  <c r="P60" i="15"/>
  <c r="N10" i="25"/>
  <c r="J10" i="25"/>
  <c r="C11" i="25"/>
  <c r="E8" i="25"/>
  <c r="Q51" i="15"/>
  <c r="Q62" i="15"/>
  <c r="Y85" i="27"/>
  <c r="O9" i="25"/>
  <c r="E33" i="23"/>
  <c r="L8" i="25"/>
  <c r="AI6" i="29"/>
  <c r="P72" i="15"/>
  <c r="Q78" i="15"/>
  <c r="Q23" i="15"/>
  <c r="R26" i="15"/>
  <c r="I11" i="25"/>
  <c r="E32" i="23"/>
  <c r="C9" i="25"/>
  <c r="Q80" i="15"/>
  <c r="E31" i="23"/>
  <c r="AH6" i="29"/>
  <c r="R61" i="15"/>
  <c r="AB42" i="27"/>
  <c r="Q57" i="15"/>
  <c r="AB44" i="27"/>
  <c r="P70" i="15"/>
  <c r="P46" i="15"/>
  <c r="R40" i="15"/>
  <c r="R48" i="15"/>
  <c r="R39" i="15"/>
  <c r="R67" i="15"/>
  <c r="R56" i="15"/>
  <c r="N12" i="25"/>
  <c r="M12" i="25"/>
  <c r="E47" i="27"/>
  <c r="AA43" i="27"/>
  <c r="Z70" i="27"/>
  <c r="H9" i="25"/>
  <c r="Q55" i="15"/>
  <c r="Q67" i="15"/>
  <c r="Q64" i="15"/>
  <c r="G8" i="25"/>
  <c r="P59" i="15"/>
  <c r="P36" i="15"/>
  <c r="J11" i="25"/>
  <c r="P37" i="15"/>
  <c r="P55" i="15"/>
  <c r="C34" i="23"/>
  <c r="C32" i="23"/>
  <c r="P9" i="25"/>
  <c r="X43" i="27"/>
  <c r="P30" i="15"/>
  <c r="Q77" i="15"/>
  <c r="G33" i="23"/>
  <c r="Q35" i="15"/>
  <c r="P41" i="15"/>
  <c r="Q63" i="15"/>
  <c r="P48" i="15"/>
  <c r="H11" i="25"/>
  <c r="E9" i="25"/>
  <c r="P32" i="15"/>
  <c r="Y87" i="27"/>
  <c r="Q27" i="15"/>
  <c r="AG6" i="29"/>
  <c r="R62" i="15"/>
  <c r="D12" i="25"/>
  <c r="E10" i="25"/>
  <c r="Q60" i="15"/>
  <c r="R27" i="15"/>
  <c r="R53" i="15"/>
  <c r="R78" i="15"/>
  <c r="R31" i="15"/>
  <c r="H48" i="27"/>
  <c r="L12" i="25"/>
  <c r="H34" i="23"/>
  <c r="C47" i="27"/>
  <c r="P61" i="15"/>
  <c r="Z69" i="27"/>
  <c r="P67" i="15"/>
  <c r="K8" i="25"/>
  <c r="K10" i="25"/>
  <c r="P81" i="15"/>
  <c r="Q73" i="15"/>
  <c r="J9" i="25"/>
  <c r="P64" i="15"/>
  <c r="Q41" i="15"/>
  <c r="G31" i="23"/>
  <c r="E34" i="23"/>
  <c r="Q74" i="15"/>
  <c r="Z41" i="27"/>
  <c r="Q76" i="15"/>
  <c r="Q43" i="15"/>
  <c r="F31" i="23"/>
  <c r="H33" i="23"/>
  <c r="C2" i="16"/>
  <c r="C8" i="25"/>
  <c r="R23" i="15"/>
  <c r="P44" i="15"/>
  <c r="R38" i="15"/>
  <c r="R72" i="15"/>
  <c r="D9" i="25"/>
  <c r="R71" i="15"/>
  <c r="D47" i="27"/>
  <c r="I10" i="25"/>
  <c r="C36" i="23"/>
  <c r="P54" i="15"/>
  <c r="P39" i="15"/>
  <c r="Q49" i="15"/>
  <c r="R29" i="15"/>
  <c r="R52" i="15"/>
  <c r="Z40" i="27"/>
  <c r="R80" i="15"/>
  <c r="R43" i="15"/>
  <c r="E12" i="25"/>
  <c r="G35" i="23"/>
  <c r="G12" i="25"/>
  <c r="J12" i="25"/>
  <c r="P40" i="15"/>
  <c r="G10" i="25"/>
  <c r="Q56" i="15"/>
  <c r="Q45" i="15"/>
  <c r="Q24" i="15"/>
  <c r="P66" i="15"/>
  <c r="Q69" i="15"/>
  <c r="C31" i="23"/>
  <c r="P10" i="25"/>
  <c r="L10" i="25"/>
  <c r="J8" i="25"/>
  <c r="F35" i="23"/>
  <c r="D8" i="25"/>
  <c r="P50" i="15"/>
  <c r="Q33" i="15"/>
  <c r="Q28" i="15"/>
  <c r="P43" i="15"/>
  <c r="C2" i="4"/>
  <c r="R46" i="15"/>
  <c r="Q46" i="15"/>
  <c r="Q79" i="15"/>
  <c r="P52" i="15"/>
  <c r="K9" i="25"/>
  <c r="R66" i="15"/>
  <c r="Q68" i="15"/>
  <c r="AB41" i="27"/>
  <c r="P42" i="15"/>
  <c r="R64" i="15"/>
  <c r="R44" i="15"/>
  <c r="P51" i="15"/>
  <c r="P25" i="15"/>
  <c r="C10" i="25"/>
  <c r="R60" i="15"/>
  <c r="R41" i="15"/>
  <c r="R75" i="15"/>
  <c r="R74" i="15"/>
  <c r="R35" i="15"/>
  <c r="K12" i="25"/>
  <c r="K9" i="15"/>
  <c r="H35" i="23"/>
  <c r="AA40" i="27"/>
  <c r="I33" i="23"/>
  <c r="F13" i="25"/>
  <c r="H13" i="25"/>
  <c r="E13" i="25"/>
  <c r="E35" i="23"/>
  <c r="Z43" i="27"/>
  <c r="P78" i="15"/>
  <c r="Q52" i="15"/>
  <c r="Q59" i="15"/>
  <c r="P75" i="15"/>
  <c r="Z44" i="27"/>
  <c r="G32" i="23"/>
  <c r="P58" i="15"/>
  <c r="D31" i="23"/>
  <c r="P77" i="15"/>
  <c r="Q81" i="15"/>
  <c r="P45" i="15"/>
  <c r="C33" i="23"/>
  <c r="O8" i="25"/>
  <c r="M9" i="25"/>
  <c r="I8" i="25"/>
  <c r="Q25" i="15"/>
  <c r="P26" i="15"/>
  <c r="H31" i="23"/>
  <c r="Q50" i="15"/>
  <c r="F33" i="23"/>
  <c r="R69" i="15"/>
  <c r="P8" i="25"/>
  <c r="L11" i="25"/>
  <c r="R65" i="15"/>
  <c r="P34" i="15"/>
  <c r="Q37" i="15"/>
  <c r="H8" i="25"/>
  <c r="M11" i="25"/>
  <c r="R30" i="15"/>
  <c r="M8" i="15"/>
  <c r="P24" i="15"/>
  <c r="R54" i="15"/>
  <c r="R68" i="15"/>
  <c r="R59" i="15"/>
  <c r="R28" i="15"/>
  <c r="R37" i="15"/>
  <c r="F12" i="25"/>
  <c r="P83" i="15"/>
  <c r="AB40" i="27"/>
  <c r="AA41" i="27"/>
  <c r="L13" i="25"/>
  <c r="C37" i="23"/>
  <c r="G36" i="23"/>
  <c r="G13" i="25"/>
  <c r="P69" i="15"/>
  <c r="D11" i="25"/>
  <c r="Q30" i="15"/>
  <c r="P27" i="15"/>
  <c r="P76" i="15"/>
  <c r="AX27" i="4"/>
  <c r="P62" i="15"/>
  <c r="Z85" i="27"/>
  <c r="F32" i="23"/>
  <c r="Q75" i="15"/>
  <c r="P73" i="15"/>
  <c r="P38" i="15"/>
  <c r="D33" i="23"/>
  <c r="Q32" i="15"/>
  <c r="I9" i="25"/>
  <c r="Q47" i="15"/>
  <c r="G11" i="25"/>
  <c r="H10" i="25"/>
  <c r="L9" i="25"/>
  <c r="P63" i="15"/>
  <c r="R50" i="15"/>
  <c r="Q72" i="15"/>
  <c r="R42" i="15"/>
  <c r="F34" i="23"/>
  <c r="D10" i="25"/>
  <c r="O10" i="25"/>
  <c r="P79" i="15"/>
  <c r="Q26" i="15"/>
  <c r="F9" i="25"/>
  <c r="N11" i="25"/>
  <c r="D32" i="23"/>
  <c r="P65" i="15"/>
  <c r="P33" i="15"/>
  <c r="R49" i="15"/>
  <c r="R58" i="15"/>
  <c r="R79" i="15"/>
  <c r="R36" i="15"/>
  <c r="R77" i="15"/>
  <c r="H47" i="27"/>
  <c r="I34" i="23"/>
  <c r="F48" i="27"/>
  <c r="C12" i="25"/>
  <c r="F36" i="23"/>
  <c r="O13" i="25"/>
  <c r="D36" i="23"/>
  <c r="R25" i="15"/>
  <c r="R24" i="15"/>
  <c r="E36" i="23"/>
  <c r="P13" i="25"/>
  <c r="I13" i="25"/>
  <c r="K13" i="25"/>
  <c r="K10" i="15"/>
  <c r="P84" i="15"/>
  <c r="I31" i="23"/>
  <c r="C13" i="25"/>
  <c r="M13" i="25"/>
  <c r="I32" i="23"/>
  <c r="I35" i="23"/>
  <c r="J34" i="23"/>
  <c r="D13" i="25"/>
  <c r="J13" i="25"/>
  <c r="J35" i="23"/>
  <c r="J33" i="23"/>
  <c r="N13" i="25"/>
  <c r="H36" i="23"/>
  <c r="J32" i="23"/>
  <c r="H14" i="25"/>
  <c r="N14" i="25"/>
  <c r="J31" i="23"/>
  <c r="O14" i="25"/>
  <c r="J14" i="25"/>
  <c r="E37" i="23"/>
  <c r="E14" i="25"/>
  <c r="G37" i="23"/>
  <c r="H37" i="23"/>
  <c r="K11" i="15"/>
  <c r="C14" i="25"/>
  <c r="K31" i="23"/>
  <c r="D37" i="23"/>
  <c r="P14" i="25"/>
  <c r="D14" i="25"/>
  <c r="P85" i="15"/>
  <c r="C38" i="23"/>
  <c r="I14" i="25"/>
  <c r="K14" i="25"/>
  <c r="F14" i="25"/>
  <c r="L14" i="25"/>
  <c r="F37" i="23"/>
  <c r="I36" i="23"/>
  <c r="K34" i="23"/>
  <c r="M14" i="25"/>
  <c r="G14" i="25"/>
  <c r="K32" i="23"/>
  <c r="K35" i="23"/>
  <c r="K33" i="23"/>
  <c r="AA68" i="27"/>
  <c r="F74" i="27"/>
  <c r="H15" i="25"/>
  <c r="AA69" i="27"/>
  <c r="E38" i="23"/>
  <c r="G75" i="27"/>
  <c r="D75" i="27"/>
  <c r="F15" i="25"/>
  <c r="AA70" i="27"/>
  <c r="G38" i="23"/>
  <c r="H38" i="23"/>
  <c r="I37" i="23"/>
  <c r="C39" i="23"/>
  <c r="O15" i="25"/>
  <c r="D15" i="25"/>
  <c r="P15" i="25"/>
  <c r="D38" i="23"/>
  <c r="J36" i="23"/>
  <c r="D74" i="27"/>
  <c r="K12" i="15"/>
  <c r="E15" i="25"/>
  <c r="N15" i="25"/>
  <c r="C15" i="25"/>
  <c r="AB71" i="27"/>
  <c r="F38" i="23"/>
  <c r="L15" i="25"/>
  <c r="AB67" i="27"/>
  <c r="C74" i="27"/>
  <c r="J15" i="25"/>
  <c r="AB70" i="27"/>
  <c r="E75" i="27"/>
  <c r="H75" i="27"/>
  <c r="I15" i="25"/>
  <c r="AB69" i="27"/>
  <c r="H74" i="27"/>
  <c r="AA71" i="27"/>
  <c r="P86" i="15"/>
  <c r="AA67" i="27"/>
  <c r="AB68" i="27"/>
  <c r="G74" i="27"/>
  <c r="K15" i="25"/>
  <c r="M15" i="25"/>
  <c r="C75" i="27"/>
  <c r="F75" i="27"/>
  <c r="G15" i="25"/>
  <c r="E74" i="27"/>
  <c r="L32" i="23"/>
  <c r="L35" i="23"/>
  <c r="L33" i="23"/>
  <c r="L34" i="23"/>
  <c r="L31" i="23"/>
  <c r="K36" i="23"/>
  <c r="P16" i="25"/>
  <c r="E16" i="25"/>
  <c r="D39" i="23"/>
  <c r="J37" i="23"/>
  <c r="F39" i="23"/>
  <c r="K16" i="25"/>
  <c r="I38" i="23"/>
  <c r="M16" i="25"/>
  <c r="G16" i="25"/>
  <c r="P87" i="15"/>
  <c r="O16" i="25"/>
  <c r="G39" i="23"/>
  <c r="H16" i="25"/>
  <c r="F16" i="25"/>
  <c r="E39" i="23"/>
  <c r="D16" i="25"/>
  <c r="C16" i="25"/>
  <c r="N16" i="25"/>
  <c r="K13" i="15"/>
  <c r="J16" i="25"/>
  <c r="I16" i="25"/>
  <c r="H39" i="23"/>
  <c r="C40" i="23"/>
  <c r="L16" i="25"/>
  <c r="L36" i="23"/>
  <c r="K37" i="23"/>
  <c r="J17" i="25"/>
  <c r="L17" i="25"/>
  <c r="H17" i="25"/>
  <c r="P17" i="25"/>
  <c r="P88" i="15"/>
  <c r="C41" i="23"/>
  <c r="F17" i="25"/>
  <c r="H40" i="23"/>
  <c r="J38" i="23"/>
  <c r="G40" i="23"/>
  <c r="E40" i="23"/>
  <c r="K17" i="25"/>
  <c r="E17" i="25"/>
  <c r="G17" i="25"/>
  <c r="F40" i="23"/>
  <c r="C17" i="25"/>
  <c r="N17" i="25"/>
  <c r="O17" i="25"/>
  <c r="I17" i="25"/>
  <c r="M17" i="25"/>
  <c r="D40" i="23"/>
  <c r="D17" i="25"/>
  <c r="I39" i="23"/>
  <c r="K14" i="15"/>
  <c r="L37" i="23"/>
  <c r="K38" i="23"/>
  <c r="K18" i="25"/>
  <c r="F41" i="23"/>
  <c r="L18" i="25"/>
  <c r="M18" i="25"/>
  <c r="I18" i="25"/>
  <c r="G41" i="23"/>
  <c r="P89" i="15"/>
  <c r="E41" i="23"/>
  <c r="G18" i="25"/>
  <c r="D41" i="23"/>
  <c r="P18" i="25"/>
  <c r="H41" i="23"/>
  <c r="J18" i="25"/>
  <c r="F18" i="25"/>
  <c r="E18" i="25"/>
  <c r="H18" i="25"/>
  <c r="D18" i="25"/>
  <c r="C42" i="23"/>
  <c r="C18" i="25"/>
  <c r="I40" i="23"/>
  <c r="N18" i="25"/>
  <c r="O18" i="25"/>
  <c r="J39" i="23"/>
  <c r="K15" i="15"/>
  <c r="L38" i="23"/>
  <c r="K39" i="23"/>
  <c r="I41" i="23"/>
  <c r="N19" i="25"/>
  <c r="C19" i="25"/>
  <c r="E42" i="23"/>
  <c r="C43" i="23"/>
  <c r="H42" i="23"/>
  <c r="P19" i="25"/>
  <c r="F42" i="23"/>
  <c r="D42" i="23"/>
  <c r="G42" i="23"/>
  <c r="E19" i="25"/>
  <c r="K19" i="25"/>
  <c r="O19" i="25"/>
  <c r="D19" i="25"/>
  <c r="M19" i="25"/>
  <c r="J40" i="23"/>
  <c r="F19" i="25"/>
  <c r="H19" i="25"/>
  <c r="G19" i="25"/>
  <c r="L19" i="25"/>
  <c r="J19" i="25"/>
  <c r="I19" i="25"/>
  <c r="P90" i="15"/>
  <c r="K16" i="15"/>
  <c r="L39" i="23"/>
  <c r="K40" i="23"/>
  <c r="J41" i="23"/>
  <c r="D43" i="23"/>
  <c r="E20" i="25"/>
  <c r="D20" i="25"/>
  <c r="K17" i="15"/>
  <c r="L20" i="25"/>
  <c r="K20" i="25"/>
  <c r="E43" i="23"/>
  <c r="C44" i="23"/>
  <c r="F20" i="25"/>
  <c r="G20" i="25"/>
  <c r="P20" i="25"/>
  <c r="H20" i="25"/>
  <c r="F43" i="23"/>
  <c r="J20" i="25"/>
  <c r="C20" i="25"/>
  <c r="G43" i="23"/>
  <c r="I20" i="25"/>
  <c r="H43" i="23"/>
  <c r="M20" i="25"/>
  <c r="P91" i="15"/>
  <c r="I42" i="23"/>
  <c r="O20" i="25"/>
  <c r="N20" i="25"/>
  <c r="L43" i="23"/>
  <c r="L40" i="23"/>
  <c r="L41" i="23"/>
  <c r="L42" i="23"/>
  <c r="L44" i="23"/>
  <c r="K42" i="23"/>
  <c r="K43" i="23"/>
  <c r="K44" i="23"/>
  <c r="K41" i="23"/>
  <c r="J42" i="23"/>
  <c r="J43" i="23"/>
  <c r="J44" i="23"/>
  <c r="G44" i="23"/>
  <c r="F44" i="23"/>
  <c r="I43" i="23"/>
  <c r="D44" i="23"/>
  <c r="I44" i="23"/>
  <c r="E44" i="23"/>
  <c r="K18" i="15"/>
  <c r="H44" i="23"/>
  <c r="P92" i="15"/>
  <c r="P93" i="15"/>
  <c r="P94" i="15"/>
  <c r="AK87" i="12" l="1"/>
  <c r="AU1" i="4"/>
  <c r="AK66" i="12"/>
  <c r="AJ73" i="12"/>
  <c r="K78" i="15"/>
  <c r="K77" i="15"/>
  <c r="J9" i="29"/>
  <c r="J11" i="29"/>
  <c r="J46" i="25"/>
  <c r="K9" i="29"/>
  <c r="K11" i="29"/>
  <c r="K46" i="25"/>
  <c r="L9" i="29"/>
  <c r="L11" i="29"/>
  <c r="L46" i="25"/>
  <c r="M9" i="29"/>
  <c r="M11" i="29"/>
  <c r="M46" i="25"/>
  <c r="N9" i="29"/>
  <c r="N11" i="29"/>
  <c r="N46" i="25"/>
  <c r="O9" i="29"/>
  <c r="O11" i="29"/>
  <c r="O46" i="25"/>
  <c r="P9" i="29"/>
  <c r="P11" i="29"/>
  <c r="P46" i="25"/>
  <c r="I9" i="29"/>
  <c r="I11" i="29"/>
  <c r="I46" i="25"/>
  <c r="W20" i="25"/>
  <c r="H9" i="29"/>
  <c r="H11" i="29"/>
  <c r="H46" i="25"/>
  <c r="V20" i="25"/>
  <c r="G9" i="29"/>
  <c r="G11" i="29"/>
  <c r="U20" i="25"/>
  <c r="G46" i="25"/>
  <c r="F9" i="29"/>
  <c r="F11" i="29"/>
  <c r="T20" i="25"/>
  <c r="F46" i="25"/>
  <c r="E9" i="29"/>
  <c r="E11" i="29"/>
  <c r="S20" i="25"/>
  <c r="E46" i="25"/>
  <c r="D9" i="29"/>
  <c r="D11" i="29"/>
  <c r="R20" i="25"/>
  <c r="D46" i="25"/>
  <c r="C9" i="29"/>
  <c r="C11" i="29"/>
  <c r="Q20" i="25"/>
  <c r="C46" i="25"/>
  <c r="K76" i="15"/>
  <c r="J45" i="25"/>
  <c r="K45" i="25"/>
  <c r="L45" i="25"/>
  <c r="M45" i="25"/>
  <c r="N45" i="25"/>
  <c r="O45" i="25"/>
  <c r="P45" i="25"/>
  <c r="W19" i="25"/>
  <c r="I45" i="25"/>
  <c r="V19" i="25"/>
  <c r="H45" i="25"/>
  <c r="U19" i="25"/>
  <c r="G45" i="25"/>
  <c r="T19" i="25"/>
  <c r="F45" i="25"/>
  <c r="S19" i="25"/>
  <c r="E45" i="25"/>
  <c r="R19" i="25"/>
  <c r="D45" i="25"/>
  <c r="Q19" i="25"/>
  <c r="C45" i="25"/>
  <c r="K75" i="15"/>
  <c r="J44" i="25"/>
  <c r="K44" i="25"/>
  <c r="L44" i="25"/>
  <c r="M44" i="25"/>
  <c r="N44" i="25"/>
  <c r="O44" i="25"/>
  <c r="P44" i="25"/>
  <c r="W18" i="25"/>
  <c r="I44" i="25"/>
  <c r="V18" i="25"/>
  <c r="H44" i="25"/>
  <c r="U18" i="25"/>
  <c r="G44" i="25"/>
  <c r="T18" i="25"/>
  <c r="F44" i="25"/>
  <c r="S18" i="25"/>
  <c r="E44" i="25"/>
  <c r="R18" i="25"/>
  <c r="D44" i="25"/>
  <c r="Q18" i="25"/>
  <c r="C44" i="25"/>
  <c r="K74" i="15"/>
  <c r="J43" i="25"/>
  <c r="K43" i="25"/>
  <c r="L43" i="25"/>
  <c r="M43" i="25"/>
  <c r="N43" i="25"/>
  <c r="O43" i="25"/>
  <c r="P43" i="25"/>
  <c r="W17" i="25"/>
  <c r="I43" i="25"/>
  <c r="V17" i="25"/>
  <c r="H43" i="25"/>
  <c r="U17" i="25"/>
  <c r="G43" i="25"/>
  <c r="U43" i="25" s="1"/>
  <c r="T17" i="25"/>
  <c r="F43" i="25"/>
  <c r="S17" i="25"/>
  <c r="E43" i="25"/>
  <c r="R17" i="25"/>
  <c r="D43" i="25"/>
  <c r="Q17" i="25"/>
  <c r="C43" i="25"/>
  <c r="K73" i="15"/>
  <c r="J42" i="25"/>
  <c r="K42" i="25"/>
  <c r="L42" i="25"/>
  <c r="M42" i="25"/>
  <c r="N42" i="25"/>
  <c r="O42" i="25"/>
  <c r="P42" i="25"/>
  <c r="W16" i="25"/>
  <c r="I42" i="25"/>
  <c r="V16" i="25"/>
  <c r="H42" i="25"/>
  <c r="U16" i="25"/>
  <c r="G42" i="25"/>
  <c r="T16" i="25"/>
  <c r="F42" i="25"/>
  <c r="S16" i="25"/>
  <c r="E42" i="25"/>
  <c r="R16" i="25"/>
  <c r="D42" i="25"/>
  <c r="Q16" i="25"/>
  <c r="C42" i="25"/>
  <c r="K72" i="15"/>
  <c r="J10" i="29"/>
  <c r="J41" i="25"/>
  <c r="K10" i="29"/>
  <c r="K41" i="25"/>
  <c r="L10" i="29"/>
  <c r="L41" i="25"/>
  <c r="M10" i="29"/>
  <c r="M41" i="25"/>
  <c r="N10" i="29"/>
  <c r="N41" i="25"/>
  <c r="O10" i="29"/>
  <c r="O41" i="25"/>
  <c r="P10" i="29"/>
  <c r="P41" i="25"/>
  <c r="C79" i="27"/>
  <c r="D79" i="27"/>
  <c r="E79" i="27"/>
  <c r="F79" i="27"/>
  <c r="G79" i="27"/>
  <c r="H79" i="27"/>
  <c r="AC71" i="27"/>
  <c r="E68" i="27" s="1"/>
  <c r="AC70" i="27"/>
  <c r="E67" i="27" s="1"/>
  <c r="H76" i="27"/>
  <c r="H80" i="27" s="1"/>
  <c r="H78" i="27"/>
  <c r="G76" i="27"/>
  <c r="G80" i="27" s="1"/>
  <c r="G78" i="27"/>
  <c r="F76" i="27"/>
  <c r="F80" i="27" s="1"/>
  <c r="F78" i="27"/>
  <c r="E76" i="27"/>
  <c r="E80" i="27" s="1"/>
  <c r="E78" i="27"/>
  <c r="D78" i="27"/>
  <c r="D76" i="27"/>
  <c r="D80" i="27" s="1"/>
  <c r="C78" i="27"/>
  <c r="C76" i="27"/>
  <c r="C80" i="27" s="1"/>
  <c r="AC69" i="27"/>
  <c r="E66" i="27" s="1"/>
  <c r="AC68" i="27"/>
  <c r="E65" i="27" s="1"/>
  <c r="AC67" i="27"/>
  <c r="E64" i="27" s="1"/>
  <c r="I10" i="29"/>
  <c r="W15" i="25"/>
  <c r="I41" i="25"/>
  <c r="H10" i="29"/>
  <c r="V15" i="25"/>
  <c r="H41" i="25"/>
  <c r="G10" i="29"/>
  <c r="U15" i="25"/>
  <c r="G41" i="25"/>
  <c r="F10" i="29"/>
  <c r="T15" i="25"/>
  <c r="F41" i="25"/>
  <c r="E10" i="29"/>
  <c r="S15" i="25"/>
  <c r="E41" i="25"/>
  <c r="D10" i="29"/>
  <c r="R15" i="25"/>
  <c r="D41" i="25"/>
  <c r="C10" i="29"/>
  <c r="Q15" i="25"/>
  <c r="C41" i="25"/>
  <c r="Q41" i="25" s="1"/>
  <c r="K71" i="15"/>
  <c r="J40" i="25"/>
  <c r="K40" i="25"/>
  <c r="L40" i="25"/>
  <c r="M40" i="25"/>
  <c r="N40" i="25"/>
  <c r="O40" i="25"/>
  <c r="P40" i="25"/>
  <c r="W14" i="25"/>
  <c r="I40" i="25"/>
  <c r="V14" i="25"/>
  <c r="H40" i="25"/>
  <c r="U14" i="25"/>
  <c r="G40" i="25"/>
  <c r="T14" i="25"/>
  <c r="F40" i="25"/>
  <c r="S14" i="25"/>
  <c r="E40" i="25"/>
  <c r="R14" i="25"/>
  <c r="D40" i="25"/>
  <c r="Q14" i="25"/>
  <c r="C40" i="25"/>
  <c r="K70" i="15"/>
  <c r="J39" i="25"/>
  <c r="K39" i="25"/>
  <c r="L39" i="25"/>
  <c r="M39" i="25"/>
  <c r="N39" i="25"/>
  <c r="O39" i="25"/>
  <c r="P39" i="25"/>
  <c r="W13" i="25"/>
  <c r="I39" i="25"/>
  <c r="V13" i="25"/>
  <c r="H39" i="25"/>
  <c r="U13" i="25"/>
  <c r="G39" i="25"/>
  <c r="U39" i="25" s="1"/>
  <c r="T13" i="25"/>
  <c r="F39" i="25"/>
  <c r="S13" i="25"/>
  <c r="E39" i="25"/>
  <c r="R13" i="25"/>
  <c r="D39" i="25"/>
  <c r="Q13" i="25"/>
  <c r="C39" i="25"/>
  <c r="K69" i="15"/>
  <c r="J38" i="25"/>
  <c r="K38" i="25"/>
  <c r="L38" i="25"/>
  <c r="M38" i="25"/>
  <c r="N38" i="25"/>
  <c r="O38" i="25"/>
  <c r="P38" i="25"/>
  <c r="C52" i="27"/>
  <c r="D52" i="27"/>
  <c r="E52" i="27"/>
  <c r="F52" i="27"/>
  <c r="G52" i="27"/>
  <c r="H52" i="27"/>
  <c r="AC44" i="27"/>
  <c r="E42" i="27" s="1"/>
  <c r="AC43" i="27"/>
  <c r="E41" i="27" s="1"/>
  <c r="H49" i="27"/>
  <c r="H53" i="27" s="1"/>
  <c r="H51" i="27"/>
  <c r="G49" i="27"/>
  <c r="G53" i="27" s="1"/>
  <c r="G51" i="27"/>
  <c r="F49" i="27"/>
  <c r="F53" i="27" s="1"/>
  <c r="F51" i="27"/>
  <c r="E49" i="27"/>
  <c r="E53" i="27" s="1"/>
  <c r="E51" i="27"/>
  <c r="D51" i="27"/>
  <c r="D49" i="27"/>
  <c r="D53" i="27" s="1"/>
  <c r="C51" i="27"/>
  <c r="C49" i="27"/>
  <c r="C53" i="27" s="1"/>
  <c r="AC42" i="27"/>
  <c r="E40" i="27" s="1"/>
  <c r="AC41" i="27"/>
  <c r="E39" i="27" s="1"/>
  <c r="AC40" i="27"/>
  <c r="E38" i="27" s="1"/>
  <c r="W12" i="25"/>
  <c r="I38" i="25"/>
  <c r="V12" i="25"/>
  <c r="H38" i="25"/>
  <c r="U12" i="25"/>
  <c r="G38" i="25"/>
  <c r="T12" i="25"/>
  <c r="F38" i="25"/>
  <c r="S12" i="25"/>
  <c r="E38" i="25"/>
  <c r="R12" i="25"/>
  <c r="D38" i="25"/>
  <c r="Q12" i="25"/>
  <c r="C38" i="25"/>
  <c r="Q3" i="32"/>
  <c r="R3" i="32"/>
  <c r="S3" i="32"/>
  <c r="T3" i="32"/>
  <c r="M3" i="32"/>
  <c r="U3" i="32"/>
  <c r="N3" i="32"/>
  <c r="V3" i="32"/>
  <c r="O3" i="32"/>
  <c r="P3" i="32"/>
  <c r="Y40" i="27"/>
  <c r="Y67" i="27"/>
  <c r="K19" i="15"/>
  <c r="K68" i="15"/>
  <c r="S69" i="15"/>
  <c r="U69" i="15" s="1"/>
  <c r="S70" i="15"/>
  <c r="U70" i="15" s="1"/>
  <c r="S71" i="15"/>
  <c r="U71" i="15" s="1"/>
  <c r="S72" i="15"/>
  <c r="U72" i="15" s="1"/>
  <c r="S73" i="15"/>
  <c r="U73" i="15" s="1"/>
  <c r="S74" i="15"/>
  <c r="U74" i="15" s="1"/>
  <c r="S75" i="15"/>
  <c r="U75" i="15" s="1"/>
  <c r="S76" i="15"/>
  <c r="U76" i="15" s="1"/>
  <c r="S77" i="15"/>
  <c r="U77" i="15" s="1"/>
  <c r="S78" i="15"/>
  <c r="U78" i="15" s="1"/>
  <c r="S79" i="15"/>
  <c r="U79" i="15" s="1"/>
  <c r="S80" i="15"/>
  <c r="U80" i="15" s="1"/>
  <c r="S81" i="15"/>
  <c r="U81" i="15" s="1"/>
  <c r="S82" i="15"/>
  <c r="U82" i="15" s="1"/>
  <c r="J37" i="25"/>
  <c r="K37" i="25"/>
  <c r="L37" i="25"/>
  <c r="M37" i="25"/>
  <c r="N37" i="25"/>
  <c r="O37" i="25"/>
  <c r="P37" i="25"/>
  <c r="S51" i="15"/>
  <c r="U51" i="15" s="1"/>
  <c r="S59" i="15"/>
  <c r="U59" i="15" s="1"/>
  <c r="S52" i="15"/>
  <c r="U52" i="15" s="1"/>
  <c r="S53" i="15"/>
  <c r="U53" i="15" s="1"/>
  <c r="S54" i="15"/>
  <c r="U54" i="15" s="1"/>
  <c r="S55" i="15"/>
  <c r="U55" i="15" s="1"/>
  <c r="S56" i="15"/>
  <c r="U56" i="15" s="1"/>
  <c r="S57" i="15"/>
  <c r="U57" i="15" s="1"/>
  <c r="S58" i="15"/>
  <c r="U58" i="15" s="1"/>
  <c r="J35" i="25"/>
  <c r="K35" i="25"/>
  <c r="L35" i="25"/>
  <c r="M35" i="25"/>
  <c r="N35" i="25"/>
  <c r="O35" i="25"/>
  <c r="P35" i="25"/>
  <c r="S24" i="15"/>
  <c r="U24" i="15" s="1"/>
  <c r="S23" i="15"/>
  <c r="U23" i="15" s="1"/>
  <c r="S41" i="15"/>
  <c r="U41" i="15" s="1"/>
  <c r="S25" i="15"/>
  <c r="U25" i="15" s="1"/>
  <c r="S26" i="15"/>
  <c r="U26" i="15" s="1"/>
  <c r="S27" i="15"/>
  <c r="U27" i="15" s="1"/>
  <c r="S28" i="15"/>
  <c r="U28" i="15" s="1"/>
  <c r="S29" i="15"/>
  <c r="U29" i="15" s="1"/>
  <c r="S30" i="15"/>
  <c r="U30" i="15" s="1"/>
  <c r="S31" i="15"/>
  <c r="U31" i="15" s="1"/>
  <c r="S32" i="15"/>
  <c r="U32" i="15" s="1"/>
  <c r="S33" i="15"/>
  <c r="U33" i="15" s="1"/>
  <c r="S34" i="15"/>
  <c r="U34" i="15" s="1"/>
  <c r="S35" i="15"/>
  <c r="U35" i="15" s="1"/>
  <c r="S36" i="15"/>
  <c r="U36" i="15" s="1"/>
  <c r="S37" i="15"/>
  <c r="U37" i="15" s="1"/>
  <c r="S38" i="15"/>
  <c r="U38" i="15" s="1"/>
  <c r="S39" i="15"/>
  <c r="U39" i="15" s="1"/>
  <c r="S40" i="15"/>
  <c r="U40" i="15" s="1"/>
  <c r="Q8" i="25"/>
  <c r="C34" i="25"/>
  <c r="R8" i="25"/>
  <c r="D34" i="25"/>
  <c r="S8" i="25"/>
  <c r="E34" i="25"/>
  <c r="T8" i="25"/>
  <c r="F34" i="25"/>
  <c r="U8" i="25"/>
  <c r="G34" i="25"/>
  <c r="V8" i="25"/>
  <c r="H34" i="25"/>
  <c r="W8" i="25"/>
  <c r="I34" i="25"/>
  <c r="Q9" i="25"/>
  <c r="C35" i="25"/>
  <c r="R9" i="25"/>
  <c r="D35" i="25"/>
  <c r="S9" i="25"/>
  <c r="E35" i="25"/>
  <c r="T9" i="25"/>
  <c r="F35" i="25"/>
  <c r="U9" i="25"/>
  <c r="G35" i="25"/>
  <c r="V9" i="25"/>
  <c r="H35" i="25"/>
  <c r="W9" i="25"/>
  <c r="I35" i="25"/>
  <c r="Q10" i="25"/>
  <c r="C36" i="25"/>
  <c r="R10" i="25"/>
  <c r="D36" i="25"/>
  <c r="S10" i="25"/>
  <c r="E36" i="25"/>
  <c r="T10" i="25"/>
  <c r="F36" i="25"/>
  <c r="U10" i="25"/>
  <c r="G36" i="25"/>
  <c r="V10" i="25"/>
  <c r="H36" i="25"/>
  <c r="W10" i="25"/>
  <c r="I36" i="25"/>
  <c r="Q11" i="25"/>
  <c r="C37" i="25"/>
  <c r="R11" i="25"/>
  <c r="D37" i="25"/>
  <c r="S11" i="25"/>
  <c r="E37" i="25"/>
  <c r="T11" i="25"/>
  <c r="F37" i="25"/>
  <c r="T37" i="25" s="1"/>
  <c r="U11" i="25"/>
  <c r="G37" i="25"/>
  <c r="V11" i="25"/>
  <c r="H37" i="25"/>
  <c r="W11" i="25"/>
  <c r="I37" i="25"/>
  <c r="AM6" i="29"/>
  <c r="AL6" i="29"/>
  <c r="AN6" i="29"/>
  <c r="AQ6" i="29"/>
  <c r="AR6" i="29"/>
  <c r="AP6" i="29"/>
  <c r="M19" i="15"/>
  <c r="M68" i="15"/>
  <c r="T69" i="15"/>
  <c r="V69" i="15" s="1"/>
  <c r="T70" i="15"/>
  <c r="V70" i="15" s="1"/>
  <c r="T71" i="15"/>
  <c r="V71" i="15" s="1"/>
  <c r="T72" i="15"/>
  <c r="V72" i="15" s="1"/>
  <c r="T73" i="15"/>
  <c r="V73" i="15" s="1"/>
  <c r="T74" i="15"/>
  <c r="V74" i="15" s="1"/>
  <c r="T75" i="15"/>
  <c r="V75" i="15" s="1"/>
  <c r="T76" i="15"/>
  <c r="V76" i="15" s="1"/>
  <c r="T77" i="15"/>
  <c r="V77" i="15" s="1"/>
  <c r="T78" i="15"/>
  <c r="V78" i="15" s="1"/>
  <c r="T79" i="15"/>
  <c r="V79" i="15" s="1"/>
  <c r="T80" i="15"/>
  <c r="V80" i="15" s="1"/>
  <c r="T81" i="15"/>
  <c r="V81" i="15" s="1"/>
  <c r="T82" i="15"/>
  <c r="V82" i="15" s="1"/>
  <c r="T51" i="15"/>
  <c r="V51" i="15" s="1"/>
  <c r="T59" i="15"/>
  <c r="V59" i="15" s="1"/>
  <c r="T52" i="15"/>
  <c r="V52" i="15" s="1"/>
  <c r="T53" i="15"/>
  <c r="V53" i="15" s="1"/>
  <c r="T54" i="15"/>
  <c r="V54" i="15" s="1"/>
  <c r="T55" i="15"/>
  <c r="V55" i="15" s="1"/>
  <c r="T56" i="15"/>
  <c r="V56" i="15" s="1"/>
  <c r="T57" i="15"/>
  <c r="V57" i="15" s="1"/>
  <c r="T58" i="15"/>
  <c r="V58" i="15" s="1"/>
  <c r="T24" i="15"/>
  <c r="V24" i="15" s="1"/>
  <c r="T23" i="15"/>
  <c r="V23" i="15" s="1"/>
  <c r="T41" i="15"/>
  <c r="V41" i="15" s="1"/>
  <c r="T25" i="15"/>
  <c r="V25" i="15" s="1"/>
  <c r="T26" i="15"/>
  <c r="V26" i="15" s="1"/>
  <c r="T27" i="15"/>
  <c r="V27" i="15" s="1"/>
  <c r="T28" i="15"/>
  <c r="V28" i="15" s="1"/>
  <c r="T29" i="15"/>
  <c r="V29" i="15" s="1"/>
  <c r="T30" i="15"/>
  <c r="V30" i="15" s="1"/>
  <c r="T31" i="15"/>
  <c r="V31" i="15" s="1"/>
  <c r="T32" i="15"/>
  <c r="V32" i="15" s="1"/>
  <c r="T33" i="15"/>
  <c r="V33" i="15" s="1"/>
  <c r="T34" i="15"/>
  <c r="V34" i="15" s="1"/>
  <c r="T35" i="15"/>
  <c r="V35" i="15" s="1"/>
  <c r="T36" i="15"/>
  <c r="V36" i="15" s="1"/>
  <c r="T37" i="15"/>
  <c r="V37" i="15" s="1"/>
  <c r="T38" i="15"/>
  <c r="V38" i="15" s="1"/>
  <c r="T39" i="15"/>
  <c r="V39" i="15" s="1"/>
  <c r="T40" i="15"/>
  <c r="V40" i="15" s="1"/>
  <c r="Y41" i="27"/>
  <c r="Y42" i="27"/>
  <c r="Y43" i="27"/>
  <c r="Y44" i="27"/>
  <c r="Y68" i="27"/>
  <c r="Y69" i="27"/>
  <c r="Y70" i="27"/>
  <c r="Y71" i="27"/>
  <c r="T60" i="15"/>
  <c r="V60" i="15" s="1"/>
  <c r="T68" i="15"/>
  <c r="V68" i="15" s="1"/>
  <c r="T61" i="15"/>
  <c r="V61" i="15" s="1"/>
  <c r="T62" i="15"/>
  <c r="V62" i="15" s="1"/>
  <c r="T63" i="15"/>
  <c r="V63" i="15" s="1"/>
  <c r="T64" i="15"/>
  <c r="V64" i="15" s="1"/>
  <c r="T65" i="15"/>
  <c r="V65" i="15" s="1"/>
  <c r="T66" i="15"/>
  <c r="V66" i="15" s="1"/>
  <c r="T67" i="15"/>
  <c r="V67" i="15" s="1"/>
  <c r="S42" i="15"/>
  <c r="U42" i="15" s="1"/>
  <c r="S50" i="15"/>
  <c r="U50" i="15" s="1"/>
  <c r="S43" i="15"/>
  <c r="U43" i="15" s="1"/>
  <c r="S44" i="15"/>
  <c r="U44" i="15" s="1"/>
  <c r="S45" i="15"/>
  <c r="U45" i="15" s="1"/>
  <c r="S46" i="15"/>
  <c r="U46" i="15" s="1"/>
  <c r="S47" i="15"/>
  <c r="U47" i="15" s="1"/>
  <c r="S48" i="15"/>
  <c r="U48" i="15" s="1"/>
  <c r="S49" i="15"/>
  <c r="U49" i="15" s="1"/>
  <c r="J34" i="25"/>
  <c r="K34" i="25"/>
  <c r="L34" i="25"/>
  <c r="M34" i="25"/>
  <c r="N34" i="25"/>
  <c r="O34" i="25"/>
  <c r="P34" i="25"/>
  <c r="S60" i="15"/>
  <c r="U60" i="15" s="1"/>
  <c r="S68" i="15"/>
  <c r="U68" i="15" s="1"/>
  <c r="S61" i="15"/>
  <c r="U61" i="15" s="1"/>
  <c r="S62" i="15"/>
  <c r="U62" i="15" s="1"/>
  <c r="S63" i="15"/>
  <c r="U63" i="15" s="1"/>
  <c r="S64" i="15"/>
  <c r="U64" i="15" s="1"/>
  <c r="S65" i="15"/>
  <c r="U65" i="15" s="1"/>
  <c r="S66" i="15"/>
  <c r="U66" i="15" s="1"/>
  <c r="S67" i="15"/>
  <c r="U67" i="15" s="1"/>
  <c r="J36" i="25"/>
  <c r="K36" i="25"/>
  <c r="L36" i="25"/>
  <c r="M36" i="25"/>
  <c r="N36" i="25"/>
  <c r="O36" i="25"/>
  <c r="P36" i="25"/>
  <c r="T42" i="15"/>
  <c r="V42" i="15" s="1"/>
  <c r="T50" i="15"/>
  <c r="V50" i="15" s="1"/>
  <c r="T43" i="15"/>
  <c r="V43" i="15" s="1"/>
  <c r="T44" i="15"/>
  <c r="V44" i="15" s="1"/>
  <c r="T45" i="15"/>
  <c r="V45" i="15" s="1"/>
  <c r="T46" i="15"/>
  <c r="V46" i="15" s="1"/>
  <c r="T47" i="15"/>
  <c r="V47" i="15" s="1"/>
  <c r="T48" i="15"/>
  <c r="V48" i="15" s="1"/>
  <c r="T49" i="15"/>
  <c r="V49" i="15" s="1"/>
  <c r="W74" i="12"/>
  <c r="AG74" i="12"/>
  <c r="AK74" i="12" s="1"/>
  <c r="AF74" i="12"/>
  <c r="AJ74" i="12" s="1"/>
  <c r="T83" i="15"/>
  <c r="I95" i="15"/>
  <c r="AK91" i="12"/>
  <c r="S83" i="15"/>
  <c r="K67" i="15"/>
  <c r="K65" i="15"/>
  <c r="K63" i="15"/>
  <c r="AK83" i="12"/>
  <c r="W76" i="12"/>
  <c r="AG76" i="12"/>
  <c r="AK76" i="12" s="1"/>
  <c r="AF76" i="12"/>
  <c r="AJ76" i="12" s="1"/>
  <c r="L87" i="27"/>
  <c r="L88" i="27" s="1"/>
  <c r="AE7" i="29"/>
  <c r="I94" i="15"/>
  <c r="M67" i="15"/>
  <c r="M65" i="15"/>
  <c r="M63" i="15"/>
  <c r="AK62" i="12"/>
  <c r="W93" i="12"/>
  <c r="AF93" i="12"/>
  <c r="AJ93" i="12" s="1"/>
  <c r="AG93" i="12"/>
  <c r="AK93" i="12" s="1"/>
  <c r="W81" i="12"/>
  <c r="AG81" i="12"/>
  <c r="AK81" i="12" s="1"/>
  <c r="AF81" i="12"/>
  <c r="AJ81" i="12" s="1"/>
  <c r="AF101" i="12"/>
  <c r="AJ101" i="12" s="1"/>
  <c r="W101" i="12"/>
  <c r="AG101" i="12"/>
  <c r="AK101" i="12" s="1"/>
  <c r="W95" i="12"/>
  <c r="AF95" i="12"/>
  <c r="AJ95" i="12" s="1"/>
  <c r="AG95" i="12"/>
  <c r="AK95" i="12" s="1"/>
  <c r="M87" i="27"/>
  <c r="M88" i="27" s="1"/>
  <c r="C37" i="29"/>
  <c r="I93" i="15"/>
  <c r="AK65" i="12"/>
  <c r="AF68" i="12"/>
  <c r="AJ68" i="12" s="1"/>
  <c r="W68" i="12"/>
  <c r="AG68" i="12"/>
  <c r="AK68" i="12" s="1"/>
  <c r="W97" i="12"/>
  <c r="AF97" i="12"/>
  <c r="AJ97" i="12" s="1"/>
  <c r="AG97" i="12"/>
  <c r="AK97" i="12" s="1"/>
  <c r="AJ85" i="12"/>
  <c r="AJ63" i="12"/>
  <c r="I92" i="15"/>
  <c r="W70" i="12"/>
  <c r="AF70" i="12"/>
  <c r="AJ70" i="12" s="1"/>
  <c r="AG70" i="12"/>
  <c r="AK70" i="12" s="1"/>
  <c r="W99" i="12"/>
  <c r="AF99" i="12"/>
  <c r="AJ99" i="12" s="1"/>
  <c r="AG99" i="12"/>
  <c r="AK99" i="12" s="1"/>
  <c r="M66" i="15"/>
  <c r="K64" i="15"/>
  <c r="AK64" i="12"/>
  <c r="W80" i="12"/>
  <c r="AF80" i="12"/>
  <c r="AJ80" i="12" s="1"/>
  <c r="AG80" i="12"/>
  <c r="AK80" i="12" s="1"/>
  <c r="W89" i="12"/>
  <c r="AG89" i="12"/>
  <c r="AK89" i="12" s="1"/>
  <c r="AF89" i="12"/>
  <c r="AJ89" i="12" s="1"/>
  <c r="AK85" i="12"/>
  <c r="AK77" i="12"/>
  <c r="K66" i="15"/>
  <c r="M64" i="15"/>
  <c r="AJ69" i="12"/>
  <c r="AK63" i="12"/>
  <c r="C75" i="29"/>
  <c r="D2" i="4"/>
  <c r="H61" i="25"/>
  <c r="P60" i="25"/>
  <c r="AG7" i="29"/>
  <c r="C60" i="25"/>
  <c r="M23" i="15"/>
  <c r="E50" i="23"/>
  <c r="AK7" i="29"/>
  <c r="F61" i="25"/>
  <c r="K60" i="25"/>
  <c r="D48" i="23"/>
  <c r="J60" i="25"/>
  <c r="D52" i="23"/>
  <c r="P62" i="25"/>
  <c r="Y88" i="27"/>
  <c r="M62" i="25"/>
  <c r="E48" i="23"/>
  <c r="O61" i="25"/>
  <c r="E49" i="23"/>
  <c r="AI2" i="4"/>
  <c r="M24" i="15"/>
  <c r="M61" i="25"/>
  <c r="M25" i="15"/>
  <c r="E60" i="25"/>
  <c r="H48" i="23"/>
  <c r="E61" i="25"/>
  <c r="C51" i="23"/>
  <c r="O62" i="25"/>
  <c r="I62" i="25"/>
  <c r="K26" i="15"/>
  <c r="C49" i="23"/>
  <c r="J61" i="25"/>
  <c r="N61" i="25"/>
  <c r="Y86" i="27"/>
  <c r="F60" i="25"/>
  <c r="H49" i="23"/>
  <c r="C50" i="23"/>
  <c r="AJ7" i="29"/>
  <c r="G60" i="25"/>
  <c r="G49" i="23"/>
  <c r="J62" i="25"/>
  <c r="E52" i="23"/>
  <c r="N60" i="25"/>
  <c r="M26" i="15"/>
  <c r="G61" i="25"/>
  <c r="F50" i="23"/>
  <c r="AF7" i="29"/>
  <c r="K25" i="15"/>
  <c r="C61" i="25"/>
  <c r="G50" i="23"/>
  <c r="O60" i="25"/>
  <c r="M9" i="15"/>
  <c r="AH7" i="29"/>
  <c r="D61" i="25"/>
  <c r="K61" i="25"/>
  <c r="K62" i="25"/>
  <c r="M83" i="15"/>
  <c r="D51" i="23"/>
  <c r="F51" i="23"/>
  <c r="AI7" i="29"/>
  <c r="G62" i="25"/>
  <c r="K24" i="15"/>
  <c r="H60" i="25"/>
  <c r="E62" i="25"/>
  <c r="G48" i="23"/>
  <c r="C62" i="25"/>
  <c r="D62" i="25"/>
  <c r="L62" i="25"/>
  <c r="I61" i="25"/>
  <c r="F48" i="23"/>
  <c r="P61" i="25"/>
  <c r="H62" i="25"/>
  <c r="E51" i="23"/>
  <c r="M60" i="25"/>
  <c r="L61" i="25"/>
  <c r="M27" i="15"/>
  <c r="Q83" i="15"/>
  <c r="D60" i="25"/>
  <c r="N88" i="27"/>
  <c r="F49" i="23"/>
  <c r="C52" i="23"/>
  <c r="K23" i="15"/>
  <c r="D49" i="23"/>
  <c r="D50" i="23"/>
  <c r="N62" i="25"/>
  <c r="I60" i="25"/>
  <c r="Z86" i="27"/>
  <c r="F62" i="25"/>
  <c r="K27" i="15"/>
  <c r="Z88" i="27"/>
  <c r="L60" i="25"/>
  <c r="C48" i="23"/>
  <c r="P88" i="27"/>
  <c r="U42" i="25" l="1"/>
  <c r="C12" i="29"/>
  <c r="U45" i="25"/>
  <c r="P12" i="29"/>
  <c r="M20" i="15"/>
  <c r="M69" i="15"/>
  <c r="N69" i="15" s="1"/>
  <c r="G12" i="29"/>
  <c r="U40" i="25"/>
  <c r="V83" i="15"/>
  <c r="S46" i="25"/>
  <c r="R38" i="25"/>
  <c r="L12" i="29"/>
  <c r="U35" i="25"/>
  <c r="T35" i="25"/>
  <c r="V37" i="25"/>
  <c r="O12" i="29"/>
  <c r="V35" i="25"/>
  <c r="S37" i="25"/>
  <c r="U41" i="25"/>
  <c r="Q43" i="25"/>
  <c r="W37" i="25"/>
  <c r="AS6" i="29"/>
  <c r="W35" i="25"/>
  <c r="T39" i="25"/>
  <c r="N12" i="29"/>
  <c r="J12" i="29"/>
  <c r="Q38" i="25"/>
  <c r="U38" i="25"/>
  <c r="V41" i="25"/>
  <c r="H12" i="29"/>
  <c r="Q39" i="25"/>
  <c r="R41" i="25"/>
  <c r="F12" i="29"/>
  <c r="M12" i="29"/>
  <c r="D12" i="29"/>
  <c r="Q42" i="25"/>
  <c r="S40" i="25"/>
  <c r="W40" i="25"/>
  <c r="R43" i="25"/>
  <c r="V43" i="25"/>
  <c r="S42" i="25"/>
  <c r="Q46" i="25"/>
  <c r="V38" i="25"/>
  <c r="T40" i="25"/>
  <c r="T45" i="25"/>
  <c r="E12" i="29"/>
  <c r="W42" i="25"/>
  <c r="U46" i="25"/>
  <c r="T41" i="25"/>
  <c r="I12" i="29"/>
  <c r="R37" i="25"/>
  <c r="W39" i="25"/>
  <c r="K12" i="29"/>
  <c r="I96" i="15"/>
  <c r="R35" i="25"/>
  <c r="T38" i="25"/>
  <c r="V40" i="25"/>
  <c r="R46" i="25"/>
  <c r="S45" i="25"/>
  <c r="W45" i="25"/>
  <c r="V46" i="25"/>
  <c r="V42" i="25"/>
  <c r="T44" i="25"/>
  <c r="V39" i="25"/>
  <c r="V44" i="25"/>
  <c r="R42" i="25"/>
  <c r="U37" i="25"/>
  <c r="S35" i="25"/>
  <c r="W43" i="25"/>
  <c r="W38" i="25"/>
  <c r="AO6" i="29"/>
  <c r="R39" i="25"/>
  <c r="R44" i="25"/>
  <c r="T46" i="25"/>
  <c r="S39" i="25"/>
  <c r="S41" i="25"/>
  <c r="S44" i="25"/>
  <c r="W44" i="25"/>
  <c r="Q37" i="25"/>
  <c r="S43" i="25"/>
  <c r="S38" i="25"/>
  <c r="Q40" i="25"/>
  <c r="Q45" i="25"/>
  <c r="W46" i="25"/>
  <c r="W41" i="25"/>
  <c r="T42" i="25"/>
  <c r="Q35" i="25"/>
  <c r="R40" i="25"/>
  <c r="R60" i="25"/>
  <c r="D86" i="25"/>
  <c r="R61" i="25"/>
  <c r="D87" i="25"/>
  <c r="R62" i="25"/>
  <c r="D88" i="25"/>
  <c r="J86" i="25"/>
  <c r="K86" i="25"/>
  <c r="L86" i="25"/>
  <c r="M86" i="25"/>
  <c r="N86" i="25"/>
  <c r="O86" i="25"/>
  <c r="P86" i="25"/>
  <c r="F65" i="23"/>
  <c r="F66" i="23"/>
  <c r="C67" i="23"/>
  <c r="F67" i="23"/>
  <c r="F68" i="23"/>
  <c r="W60" i="25"/>
  <c r="I86" i="25"/>
  <c r="W61" i="25"/>
  <c r="I87" i="25"/>
  <c r="W62" i="25"/>
  <c r="I88" i="25"/>
  <c r="E65" i="23"/>
  <c r="C66" i="23"/>
  <c r="E66" i="23"/>
  <c r="E67" i="23"/>
  <c r="E68" i="23"/>
  <c r="E69" i="23"/>
  <c r="V60" i="25"/>
  <c r="H86" i="25"/>
  <c r="V61" i="25"/>
  <c r="H87" i="25"/>
  <c r="V62" i="25"/>
  <c r="H88" i="25"/>
  <c r="T60" i="25"/>
  <c r="F86" i="25"/>
  <c r="T61" i="25"/>
  <c r="F87" i="25"/>
  <c r="T62" i="25"/>
  <c r="F88" i="25"/>
  <c r="J88" i="25"/>
  <c r="K88" i="25"/>
  <c r="L88" i="25"/>
  <c r="M88" i="25"/>
  <c r="N88" i="25"/>
  <c r="O88" i="25"/>
  <c r="P88" i="25"/>
  <c r="H65" i="23"/>
  <c r="H66" i="23"/>
  <c r="C69" i="23"/>
  <c r="J87" i="25"/>
  <c r="K87" i="25"/>
  <c r="L87" i="25"/>
  <c r="M87" i="25"/>
  <c r="N87" i="25"/>
  <c r="O87" i="25"/>
  <c r="P87" i="25"/>
  <c r="G65" i="23"/>
  <c r="G66" i="23"/>
  <c r="G67" i="23"/>
  <c r="C68" i="23"/>
  <c r="AM7" i="29"/>
  <c r="AL7" i="29"/>
  <c r="AN7" i="29"/>
  <c r="AQ7" i="29"/>
  <c r="AP7" i="29"/>
  <c r="AR7" i="29"/>
  <c r="U60" i="25"/>
  <c r="G86" i="25"/>
  <c r="U61" i="25"/>
  <c r="G87" i="25"/>
  <c r="U62" i="25"/>
  <c r="G88" i="25"/>
  <c r="C65" i="23"/>
  <c r="D65" i="23"/>
  <c r="D66" i="23"/>
  <c r="D67" i="23"/>
  <c r="D68" i="23"/>
  <c r="D69" i="23"/>
  <c r="S60" i="25"/>
  <c r="E86" i="25"/>
  <c r="S61" i="25"/>
  <c r="E87" i="25"/>
  <c r="S62" i="25"/>
  <c r="E88" i="25"/>
  <c r="Q60" i="25"/>
  <c r="C86" i="25"/>
  <c r="Q61" i="25"/>
  <c r="C87" i="25"/>
  <c r="Q62" i="25"/>
  <c r="C88" i="25"/>
  <c r="L89" i="27"/>
  <c r="N65" i="15"/>
  <c r="L65" i="15"/>
  <c r="W36" i="25"/>
  <c r="S36" i="25"/>
  <c r="U34" i="25"/>
  <c r="Q34" i="25"/>
  <c r="T4" i="32"/>
  <c r="Q10" i="29"/>
  <c r="L76" i="15"/>
  <c r="L67" i="15"/>
  <c r="N67" i="15"/>
  <c r="F94" i="15"/>
  <c r="G94" i="15" s="1"/>
  <c r="S4" i="32"/>
  <c r="T10" i="29"/>
  <c r="L73" i="15"/>
  <c r="V9" i="29"/>
  <c r="V11" i="29"/>
  <c r="L77" i="15"/>
  <c r="V36" i="25"/>
  <c r="R36" i="25"/>
  <c r="T34" i="25"/>
  <c r="P4" i="32"/>
  <c r="R4" i="32"/>
  <c r="W10" i="29"/>
  <c r="R45" i="25"/>
  <c r="V45" i="25"/>
  <c r="R9" i="29"/>
  <c r="R11" i="29"/>
  <c r="T9" i="29"/>
  <c r="T11" i="29"/>
  <c r="O4" i="32"/>
  <c r="Q4" i="32"/>
  <c r="U83" i="15"/>
  <c r="L70" i="15"/>
  <c r="R10" i="29"/>
  <c r="Q44" i="25"/>
  <c r="U44" i="25"/>
  <c r="L75" i="15"/>
  <c r="L78" i="15"/>
  <c r="M89" i="27"/>
  <c r="U36" i="25"/>
  <c r="Q36" i="25"/>
  <c r="W34" i="25"/>
  <c r="S34" i="25"/>
  <c r="V4" i="32"/>
  <c r="L69" i="15"/>
  <c r="L71" i="15"/>
  <c r="U10" i="29"/>
  <c r="L72" i="15"/>
  <c r="T43" i="25"/>
  <c r="N4" i="32"/>
  <c r="W9" i="29"/>
  <c r="W11" i="29"/>
  <c r="L64" i="15"/>
  <c r="N64" i="15"/>
  <c r="F92" i="15"/>
  <c r="G92" i="15" s="1"/>
  <c r="G88" i="15"/>
  <c r="T36" i="25"/>
  <c r="V34" i="25"/>
  <c r="R34" i="25"/>
  <c r="L68" i="15"/>
  <c r="N68" i="15"/>
  <c r="F95" i="15"/>
  <c r="G95" i="15" s="1"/>
  <c r="U4" i="32"/>
  <c r="S10" i="29"/>
  <c r="L74" i="15"/>
  <c r="Q9" i="29"/>
  <c r="Q11" i="29"/>
  <c r="S9" i="29"/>
  <c r="S11" i="29"/>
  <c r="U9" i="29"/>
  <c r="U11" i="29"/>
  <c r="N66" i="15"/>
  <c r="L66" i="15"/>
  <c r="F93" i="15"/>
  <c r="G93" i="15" s="1"/>
  <c r="AE8" i="29"/>
  <c r="L63" i="15"/>
  <c r="N63" i="15"/>
  <c r="M4" i="32"/>
  <c r="V10" i="29"/>
  <c r="AK2" i="4"/>
  <c r="S4" i="4"/>
  <c r="I9" i="12" s="1"/>
  <c r="AX45" i="4"/>
  <c r="AJ8" i="29"/>
  <c r="AX41" i="4"/>
  <c r="AX43" i="4"/>
  <c r="AF8" i="29"/>
  <c r="M10" i="15"/>
  <c r="M29" i="15"/>
  <c r="AX46" i="4"/>
  <c r="AX40" i="4"/>
  <c r="AX39" i="4"/>
  <c r="AK8" i="29"/>
  <c r="AX38" i="4"/>
  <c r="AI8" i="29"/>
  <c r="AX48" i="4"/>
  <c r="M11" i="15"/>
  <c r="AX44" i="4"/>
  <c r="AX49" i="4"/>
  <c r="Q85" i="15"/>
  <c r="K29" i="15"/>
  <c r="Q84" i="15"/>
  <c r="AG8" i="29"/>
  <c r="AH8" i="29"/>
  <c r="M12" i="15"/>
  <c r="M13" i="15" s="1"/>
  <c r="M14" i="15" s="1"/>
  <c r="AX42" i="4"/>
  <c r="Q86" i="15"/>
  <c r="AX47" i="4"/>
  <c r="Q88" i="15"/>
  <c r="Q87" i="15"/>
  <c r="Q89" i="15"/>
  <c r="M15" i="15"/>
  <c r="M16" i="15"/>
  <c r="M17" i="15" s="1"/>
  <c r="Q90" i="15"/>
  <c r="Q91" i="15"/>
  <c r="M18" i="15"/>
  <c r="Q92" i="15"/>
  <c r="Q94" i="15"/>
  <c r="Q93" i="15"/>
  <c r="M78" i="15" l="1"/>
  <c r="N78" i="15" s="1"/>
  <c r="M77" i="15"/>
  <c r="N77" i="15" s="1"/>
  <c r="M76" i="15"/>
  <c r="N76" i="15" s="1"/>
  <c r="M75" i="15"/>
  <c r="N75" i="15" s="1"/>
  <c r="M74" i="15"/>
  <c r="N74" i="15" s="1"/>
  <c r="M73" i="15"/>
  <c r="N73" i="15" s="1"/>
  <c r="M72" i="15"/>
  <c r="N72" i="15" s="1"/>
  <c r="M71" i="15"/>
  <c r="N71" i="15" s="1"/>
  <c r="M70" i="15"/>
  <c r="N70" i="15" s="1"/>
  <c r="W86" i="25"/>
  <c r="T84" i="15"/>
  <c r="V84" i="15" s="1"/>
  <c r="S84" i="15"/>
  <c r="S87" i="25"/>
  <c r="S86" i="25"/>
  <c r="Q86" i="25"/>
  <c r="S88" i="25"/>
  <c r="AO7" i="29"/>
  <c r="T86" i="25"/>
  <c r="Q87" i="25"/>
  <c r="AS7" i="29"/>
  <c r="U87" i="25"/>
  <c r="V86" i="25"/>
  <c r="T88" i="25"/>
  <c r="V88" i="25"/>
  <c r="Q12" i="29"/>
  <c r="W88" i="25"/>
  <c r="AM8" i="29"/>
  <c r="AL8" i="29"/>
  <c r="AN8" i="29"/>
  <c r="AQ8" i="29"/>
  <c r="AP8" i="29"/>
  <c r="AR8" i="29"/>
  <c r="AE9" i="29"/>
  <c r="Q5" i="32"/>
  <c r="R86" i="25"/>
  <c r="S5" i="32"/>
  <c r="U12" i="29"/>
  <c r="O5" i="32"/>
  <c r="Q88" i="25"/>
  <c r="U86" i="25"/>
  <c r="V12" i="29"/>
  <c r="R12" i="29"/>
  <c r="W12" i="29"/>
  <c r="T12" i="29"/>
  <c r="W87" i="25"/>
  <c r="M5" i="32"/>
  <c r="S12" i="29"/>
  <c r="M90" i="27"/>
  <c r="R5" i="32"/>
  <c r="R88" i="25"/>
  <c r="N5" i="32"/>
  <c r="U88" i="25"/>
  <c r="R87" i="25"/>
  <c r="U5" i="32"/>
  <c r="G96" i="15"/>
  <c r="V5" i="32"/>
  <c r="P5" i="32"/>
  <c r="T5" i="32"/>
  <c r="L90" i="27"/>
  <c r="T87" i="25"/>
  <c r="V87" i="25"/>
  <c r="AU2" i="4"/>
  <c r="M48" i="27"/>
  <c r="L63" i="25"/>
  <c r="G52" i="23"/>
  <c r="K47" i="27"/>
  <c r="D64" i="25"/>
  <c r="G63" i="25"/>
  <c r="AI9" i="29"/>
  <c r="H50" i="23"/>
  <c r="N48" i="27"/>
  <c r="D63" i="25"/>
  <c r="AK9" i="29"/>
  <c r="J64" i="25"/>
  <c r="AD41" i="27"/>
  <c r="AE44" i="27"/>
  <c r="AD40" i="27"/>
  <c r="AE41" i="27"/>
  <c r="J48" i="27"/>
  <c r="M30" i="15"/>
  <c r="C63" i="25"/>
  <c r="L48" i="27"/>
  <c r="N64" i="25"/>
  <c r="J47" i="27"/>
  <c r="P63" i="25"/>
  <c r="AE42" i="27"/>
  <c r="F63" i="25"/>
  <c r="I47" i="27"/>
  <c r="N47" i="27"/>
  <c r="I48" i="27"/>
  <c r="J63" i="25"/>
  <c r="H64" i="25"/>
  <c r="L47" i="27"/>
  <c r="H51" i="23"/>
  <c r="I64" i="25"/>
  <c r="E63" i="25"/>
  <c r="AX2" i="4"/>
  <c r="AJ9" i="29"/>
  <c r="F64" i="25"/>
  <c r="L64" i="25"/>
  <c r="P64" i="25"/>
  <c r="AF9" i="29"/>
  <c r="H63" i="25"/>
  <c r="H52" i="23"/>
  <c r="G64" i="25"/>
  <c r="K30" i="15"/>
  <c r="K63" i="25"/>
  <c r="N63" i="25"/>
  <c r="K64" i="25"/>
  <c r="O64" i="25"/>
  <c r="AH9" i="29"/>
  <c r="AD43" i="27"/>
  <c r="C64" i="25"/>
  <c r="AD44" i="27"/>
  <c r="AE43" i="27"/>
  <c r="AG9" i="29"/>
  <c r="M63" i="25"/>
  <c r="M64" i="25"/>
  <c r="AE40" i="27"/>
  <c r="AD42" i="27"/>
  <c r="G51" i="23"/>
  <c r="M47" i="27"/>
  <c r="C53" i="23"/>
  <c r="I63" i="25"/>
  <c r="K48" i="27"/>
  <c r="E64" i="25"/>
  <c r="F52" i="23"/>
  <c r="O63" i="25"/>
  <c r="V63" i="25" l="1"/>
  <c r="H89" i="25"/>
  <c r="K89" i="25"/>
  <c r="H67" i="23"/>
  <c r="T63" i="25"/>
  <c r="F89" i="25"/>
  <c r="P89" i="25"/>
  <c r="F69" i="23"/>
  <c r="Q63" i="25"/>
  <c r="C89" i="25"/>
  <c r="S63" i="25"/>
  <c r="E89" i="25"/>
  <c r="L89" i="25"/>
  <c r="G68" i="23"/>
  <c r="N89" i="25"/>
  <c r="D89" i="25"/>
  <c r="R63" i="25"/>
  <c r="W63" i="25"/>
  <c r="I89" i="25"/>
  <c r="M89" i="25"/>
  <c r="U63" i="25"/>
  <c r="G89" i="25"/>
  <c r="J89" i="25"/>
  <c r="O89" i="25"/>
  <c r="U84" i="15"/>
  <c r="S85" i="15"/>
  <c r="T85" i="15"/>
  <c r="V85" i="15" s="1"/>
  <c r="AF43" i="27"/>
  <c r="F41" i="27" s="1"/>
  <c r="G41" i="27" s="1"/>
  <c r="AF44" i="27"/>
  <c r="F42" i="27" s="1"/>
  <c r="G42" i="27" s="1"/>
  <c r="Q47" i="27"/>
  <c r="Q51" i="27" s="1"/>
  <c r="K49" i="27"/>
  <c r="K53" i="27" s="1"/>
  <c r="K51" i="27"/>
  <c r="I52" i="27"/>
  <c r="O48" i="27"/>
  <c r="O52" i="27" s="1"/>
  <c r="M90" i="25"/>
  <c r="W64" i="25"/>
  <c r="I90" i="25"/>
  <c r="H68" i="23"/>
  <c r="Q64" i="25"/>
  <c r="C90" i="25"/>
  <c r="L90" i="25"/>
  <c r="AF42" i="27"/>
  <c r="AG42" i="27" s="1"/>
  <c r="H69" i="23"/>
  <c r="O47" i="27"/>
  <c r="I49" i="27"/>
  <c r="I53" i="27" s="1"/>
  <c r="I51" i="27"/>
  <c r="K90" i="25"/>
  <c r="V64" i="25"/>
  <c r="H90" i="25"/>
  <c r="G69" i="23"/>
  <c r="N52" i="27"/>
  <c r="T48" i="27"/>
  <c r="T52" i="27" s="1"/>
  <c r="J90" i="25"/>
  <c r="AF41" i="27"/>
  <c r="F39" i="27" s="1"/>
  <c r="G39" i="27" s="1"/>
  <c r="G90" i="25"/>
  <c r="U64" i="25"/>
  <c r="M52" i="27"/>
  <c r="S48" i="27"/>
  <c r="S52" i="27" s="1"/>
  <c r="T47" i="27"/>
  <c r="T51" i="27" s="1"/>
  <c r="N49" i="27"/>
  <c r="N53" i="27" s="1"/>
  <c r="N51" i="27"/>
  <c r="AF40" i="27"/>
  <c r="F38" i="27" s="1"/>
  <c r="G38" i="27" s="1"/>
  <c r="L52" i="27"/>
  <c r="R48" i="27"/>
  <c r="R52" i="27" s="1"/>
  <c r="P90" i="25"/>
  <c r="D90" i="25"/>
  <c r="R64" i="25"/>
  <c r="T64" i="25"/>
  <c r="F90" i="25"/>
  <c r="S47" i="27"/>
  <c r="S51" i="27" s="1"/>
  <c r="M49" i="27"/>
  <c r="M53" i="27" s="1"/>
  <c r="M51" i="27"/>
  <c r="Q48" i="27"/>
  <c r="Q52" i="27" s="1"/>
  <c r="K52" i="27"/>
  <c r="O90" i="25"/>
  <c r="J51" i="27"/>
  <c r="P47" i="27"/>
  <c r="J49" i="27"/>
  <c r="J53" i="27" s="1"/>
  <c r="L51" i="27"/>
  <c r="R47" i="27"/>
  <c r="R51" i="27" s="1"/>
  <c r="L49" i="27"/>
  <c r="L53" i="27" s="1"/>
  <c r="S64" i="25"/>
  <c r="E90" i="25"/>
  <c r="J52" i="27"/>
  <c r="P48" i="27"/>
  <c r="P52" i="27" s="1"/>
  <c r="C70" i="23"/>
  <c r="N90" i="25"/>
  <c r="AS8" i="29"/>
  <c r="AM9" i="29"/>
  <c r="AL9" i="29"/>
  <c r="AN9" i="29"/>
  <c r="AQ9" i="29"/>
  <c r="AP9" i="29"/>
  <c r="AR9" i="29"/>
  <c r="U6" i="32"/>
  <c r="T6" i="32"/>
  <c r="N6" i="32"/>
  <c r="R6" i="32"/>
  <c r="P6" i="32"/>
  <c r="O6" i="32"/>
  <c r="Q6" i="32"/>
  <c r="S6" i="32"/>
  <c r="AE10" i="29"/>
  <c r="M6" i="32"/>
  <c r="V6" i="32"/>
  <c r="F40" i="27"/>
  <c r="G40" i="27" s="1"/>
  <c r="AO8" i="29"/>
  <c r="AZ2" i="4"/>
  <c r="CF2" i="4"/>
  <c r="CG2" i="4"/>
  <c r="F3" i="4"/>
  <c r="P8" i="12" s="1"/>
  <c r="Q8" i="12"/>
  <c r="D65" i="25"/>
  <c r="AI10" i="29"/>
  <c r="K65" i="25"/>
  <c r="AJ10" i="29"/>
  <c r="I52" i="23"/>
  <c r="D53" i="23"/>
  <c r="I48" i="23"/>
  <c r="G53" i="23"/>
  <c r="M31" i="15"/>
  <c r="C65" i="25"/>
  <c r="G65" i="25"/>
  <c r="F53" i="23"/>
  <c r="L65" i="25"/>
  <c r="N65" i="25"/>
  <c r="E53" i="23"/>
  <c r="AI3" i="4" a="1"/>
  <c r="O65" i="25"/>
  <c r="I49" i="23"/>
  <c r="E65" i="25"/>
  <c r="AK10" i="29"/>
  <c r="AF10" i="29"/>
  <c r="I50" i="23"/>
  <c r="M65" i="25"/>
  <c r="K31" i="15"/>
  <c r="F65" i="25"/>
  <c r="I65" i="25"/>
  <c r="AH10" i="29"/>
  <c r="H53" i="23"/>
  <c r="I51" i="23"/>
  <c r="C54" i="23"/>
  <c r="H65" i="25"/>
  <c r="J65" i="25"/>
  <c r="AG10" i="29"/>
  <c r="P65" i="25"/>
  <c r="T86" i="15" l="1"/>
  <c r="V86" i="15" s="1"/>
  <c r="S86" i="15"/>
  <c r="U86" i="15" s="1"/>
  <c r="O49" i="27"/>
  <c r="O53" i="27" s="1"/>
  <c r="R49" i="27"/>
  <c r="R53" i="27" s="1"/>
  <c r="W89" i="25"/>
  <c r="U89" i="25"/>
  <c r="O51" i="27"/>
  <c r="AG43" i="27"/>
  <c r="Q90" i="25"/>
  <c r="P49" i="27"/>
  <c r="P53" i="27" s="1"/>
  <c r="T89" i="25"/>
  <c r="AG44" i="27"/>
  <c r="Q89" i="25"/>
  <c r="R89" i="25"/>
  <c r="P51" i="27"/>
  <c r="S89" i="25"/>
  <c r="Q49" i="27"/>
  <c r="Q53" i="27" s="1"/>
  <c r="J91" i="25"/>
  <c r="K91" i="25"/>
  <c r="I67" i="23"/>
  <c r="E91" i="25"/>
  <c r="S65" i="25"/>
  <c r="I65" i="23"/>
  <c r="I66" i="23"/>
  <c r="W65" i="25"/>
  <c r="I91" i="25"/>
  <c r="G70" i="23"/>
  <c r="N91" i="25"/>
  <c r="H70" i="23"/>
  <c r="P91" i="25"/>
  <c r="D70" i="23"/>
  <c r="U65" i="25"/>
  <c r="G91" i="25"/>
  <c r="I69" i="23"/>
  <c r="O91" i="25"/>
  <c r="F70" i="23"/>
  <c r="D91" i="25"/>
  <c r="R65" i="25"/>
  <c r="M91" i="25"/>
  <c r="L91" i="25"/>
  <c r="C71" i="23"/>
  <c r="C91" i="25"/>
  <c r="Q65" i="25"/>
  <c r="I68" i="23"/>
  <c r="F91" i="25"/>
  <c r="T65" i="25"/>
  <c r="E70" i="23"/>
  <c r="H91" i="25"/>
  <c r="V65" i="25"/>
  <c r="U85" i="15"/>
  <c r="V89" i="25"/>
  <c r="S49" i="27"/>
  <c r="S53" i="27" s="1"/>
  <c r="AG40" i="27"/>
  <c r="AG41" i="27"/>
  <c r="W90" i="25"/>
  <c r="U90" i="25"/>
  <c r="S90" i="25"/>
  <c r="V90" i="25"/>
  <c r="T90" i="25"/>
  <c r="T49" i="27"/>
  <c r="T53" i="27" s="1"/>
  <c r="R90" i="25"/>
  <c r="AS9" i="29"/>
  <c r="AM10" i="29"/>
  <c r="AL10" i="29"/>
  <c r="AN10" i="29"/>
  <c r="AQ10" i="29"/>
  <c r="AP10" i="29"/>
  <c r="AR10" i="29"/>
  <c r="P7" i="32"/>
  <c r="U7" i="32"/>
  <c r="Q7" i="32"/>
  <c r="T7" i="32"/>
  <c r="AE11" i="29"/>
  <c r="O7" i="32"/>
  <c r="V7" i="32"/>
  <c r="M7" i="32"/>
  <c r="S7" i="32"/>
  <c r="R7" i="32"/>
  <c r="N7" i="32"/>
  <c r="AO9" i="29"/>
  <c r="AI3" i="4"/>
  <c r="AJ3" i="4" s="1"/>
  <c r="S9" i="4"/>
  <c r="I13" i="12" s="1"/>
  <c r="E66" i="25"/>
  <c r="F54" i="23"/>
  <c r="AF11" i="29"/>
  <c r="F66" i="25"/>
  <c r="AX3" i="4"/>
  <c r="K32" i="15"/>
  <c r="M32" i="15"/>
  <c r="AK11" i="29"/>
  <c r="I66" i="25"/>
  <c r="E54" i="23"/>
  <c r="C66" i="25"/>
  <c r="J51" i="23"/>
  <c r="J52" i="23"/>
  <c r="L66" i="25"/>
  <c r="J48" i="23"/>
  <c r="I53" i="23"/>
  <c r="K66" i="25"/>
  <c r="J66" i="25"/>
  <c r="M66" i="25"/>
  <c r="AG11" i="29"/>
  <c r="J49" i="23"/>
  <c r="H66" i="25"/>
  <c r="N66" i="25"/>
  <c r="G66" i="25"/>
  <c r="AH11" i="29"/>
  <c r="AJ11" i="29"/>
  <c r="AI11" i="29"/>
  <c r="C55" i="23"/>
  <c r="D54" i="23"/>
  <c r="G54" i="23"/>
  <c r="O66" i="25"/>
  <c r="P66" i="25"/>
  <c r="H54" i="23"/>
  <c r="D66" i="25"/>
  <c r="J50" i="23"/>
  <c r="S87" i="15" l="1"/>
  <c r="T87" i="15"/>
  <c r="V87" i="15" s="1"/>
  <c r="T91" i="25"/>
  <c r="G92" i="25"/>
  <c r="U66" i="25"/>
  <c r="E71" i="23"/>
  <c r="M92" i="25"/>
  <c r="J65" i="23"/>
  <c r="D71" i="23"/>
  <c r="H92" i="25"/>
  <c r="V66" i="25"/>
  <c r="P92" i="25"/>
  <c r="N92" i="25"/>
  <c r="K92" i="25"/>
  <c r="O92" i="25"/>
  <c r="J68" i="23"/>
  <c r="G71" i="23"/>
  <c r="I70" i="23"/>
  <c r="L92" i="25"/>
  <c r="E92" i="25"/>
  <c r="S66" i="25"/>
  <c r="R66" i="25"/>
  <c r="D92" i="25"/>
  <c r="C72" i="23"/>
  <c r="F71" i="23"/>
  <c r="W66" i="25"/>
  <c r="I92" i="25"/>
  <c r="J69" i="23"/>
  <c r="J67" i="23"/>
  <c r="H71" i="23"/>
  <c r="Q66" i="25"/>
  <c r="C92" i="25"/>
  <c r="T66" i="25"/>
  <c r="F92" i="25"/>
  <c r="J92" i="25"/>
  <c r="J66" i="23"/>
  <c r="U91" i="25"/>
  <c r="Q91" i="25"/>
  <c r="V91" i="25"/>
  <c r="R91" i="25"/>
  <c r="S91" i="25"/>
  <c r="W91" i="25"/>
  <c r="AO10" i="29"/>
  <c r="AM11" i="29"/>
  <c r="AL11" i="29"/>
  <c r="AN11" i="29"/>
  <c r="AQ11" i="29"/>
  <c r="AR11" i="29"/>
  <c r="AP11" i="29"/>
  <c r="O8" i="32"/>
  <c r="AE12" i="29"/>
  <c r="P8" i="32"/>
  <c r="T8" i="32"/>
  <c r="S8" i="32"/>
  <c r="M8" i="32"/>
  <c r="Q8" i="32"/>
  <c r="AS10" i="29"/>
  <c r="N8" i="32"/>
  <c r="V8" i="32"/>
  <c r="AK3" i="4"/>
  <c r="R8" i="32"/>
  <c r="U8" i="32"/>
  <c r="AZ3" i="4"/>
  <c r="BA3" i="4"/>
  <c r="BI3" i="4"/>
  <c r="E36" i="12" s="1"/>
  <c r="Y36" i="12" s="1"/>
  <c r="AR31" i="4"/>
  <c r="AR32" i="4"/>
  <c r="AR33" i="4"/>
  <c r="AR34" i="4"/>
  <c r="AI31" i="4"/>
  <c r="E55" i="23"/>
  <c r="K49" i="23"/>
  <c r="K50" i="23"/>
  <c r="K48" i="23"/>
  <c r="G55" i="23"/>
  <c r="AD67" i="27"/>
  <c r="P89" i="27"/>
  <c r="J53" i="23"/>
  <c r="I75" i="27"/>
  <c r="AE70" i="27"/>
  <c r="N75" i="27"/>
  <c r="N74" i="27"/>
  <c r="D67" i="25"/>
  <c r="C67" i="25"/>
  <c r="L74" i="27"/>
  <c r="N67" i="25"/>
  <c r="G67" i="25"/>
  <c r="K67" i="25"/>
  <c r="AE67" i="27"/>
  <c r="AD70" i="27"/>
  <c r="F55" i="23"/>
  <c r="E67" i="25"/>
  <c r="I67" i="25"/>
  <c r="AI12" i="29"/>
  <c r="J74" i="27"/>
  <c r="AJ12" i="29"/>
  <c r="H55" i="23"/>
  <c r="I54" i="23"/>
  <c r="AE71" i="27"/>
  <c r="M67" i="25"/>
  <c r="M75" i="27"/>
  <c r="P67" i="25"/>
  <c r="F67" i="25"/>
  <c r="K74" i="27"/>
  <c r="AE69" i="27"/>
  <c r="M74" i="27"/>
  <c r="AK12" i="29"/>
  <c r="AG12" i="29"/>
  <c r="AD68" i="27"/>
  <c r="AD69" i="27"/>
  <c r="K52" i="23"/>
  <c r="C56" i="23"/>
  <c r="AE68" i="27"/>
  <c r="J75" i="27"/>
  <c r="K75" i="27"/>
  <c r="H67" i="25"/>
  <c r="I74" i="27"/>
  <c r="J67" i="25"/>
  <c r="AH12" i="29"/>
  <c r="D55" i="23"/>
  <c r="AD71" i="27"/>
  <c r="M33" i="15"/>
  <c r="AF12" i="29"/>
  <c r="O67" i="25"/>
  <c r="AI4" i="4"/>
  <c r="L75" i="27"/>
  <c r="K33" i="15"/>
  <c r="K51" i="23"/>
  <c r="N89" i="27"/>
  <c r="L67" i="25"/>
  <c r="S88" i="15" l="1"/>
  <c r="T88" i="15"/>
  <c r="V88" i="15" s="1"/>
  <c r="R92" i="25"/>
  <c r="V92" i="25"/>
  <c r="S92" i="25"/>
  <c r="Q92" i="25"/>
  <c r="D72" i="23"/>
  <c r="AF68" i="27"/>
  <c r="F65" i="27" s="1"/>
  <c r="G65" i="27" s="1"/>
  <c r="N47" i="29"/>
  <c r="N93" i="25"/>
  <c r="J47" i="29"/>
  <c r="J93" i="25"/>
  <c r="K69" i="23"/>
  <c r="AF69" i="27"/>
  <c r="I71" i="23"/>
  <c r="J70" i="23"/>
  <c r="J76" i="27"/>
  <c r="J80" i="27" s="1"/>
  <c r="P74" i="27"/>
  <c r="J78" i="27"/>
  <c r="M76" i="27"/>
  <c r="M80" i="27" s="1"/>
  <c r="M78" i="27"/>
  <c r="S74" i="27"/>
  <c r="S78" i="27" s="1"/>
  <c r="V67" i="25"/>
  <c r="V47" i="29" s="1"/>
  <c r="H93" i="25"/>
  <c r="H47" i="29"/>
  <c r="U67" i="25"/>
  <c r="U47" i="29" s="1"/>
  <c r="G47" i="29"/>
  <c r="G93" i="25"/>
  <c r="L93" i="25"/>
  <c r="L47" i="29"/>
  <c r="K79" i="27"/>
  <c r="Q75" i="27"/>
  <c r="Q79" i="27" s="1"/>
  <c r="P75" i="27"/>
  <c r="P79" i="27" s="1"/>
  <c r="J79" i="27"/>
  <c r="C73" i="23"/>
  <c r="M47" i="29"/>
  <c r="M93" i="25"/>
  <c r="I79" i="27"/>
  <c r="O75" i="27"/>
  <c r="O79" i="27" s="1"/>
  <c r="H72" i="23"/>
  <c r="Q74" i="27"/>
  <c r="K78" i="27"/>
  <c r="K76" i="27"/>
  <c r="K80" i="27" s="1"/>
  <c r="F93" i="25"/>
  <c r="F47" i="29"/>
  <c r="T67" i="25"/>
  <c r="T47" i="29" s="1"/>
  <c r="P93" i="25"/>
  <c r="P47" i="29"/>
  <c r="M79" i="27"/>
  <c r="S75" i="27"/>
  <c r="S79" i="27" s="1"/>
  <c r="K47" i="29"/>
  <c r="K93" i="25"/>
  <c r="I93" i="25"/>
  <c r="I47" i="29"/>
  <c r="W67" i="25"/>
  <c r="W47" i="29" s="1"/>
  <c r="S67" i="25"/>
  <c r="S47" i="29" s="1"/>
  <c r="E93" i="25"/>
  <c r="E47" i="29"/>
  <c r="F72" i="23"/>
  <c r="AF70" i="27"/>
  <c r="N79" i="27"/>
  <c r="T75" i="27"/>
  <c r="T79" i="27" s="1"/>
  <c r="E72" i="23"/>
  <c r="O74" i="27"/>
  <c r="O78" i="27" s="1"/>
  <c r="I78" i="27"/>
  <c r="I76" i="27"/>
  <c r="I80" i="27" s="1"/>
  <c r="L76" i="27"/>
  <c r="L80" i="27" s="1"/>
  <c r="L78" i="27"/>
  <c r="R74" i="27"/>
  <c r="Q67" i="25"/>
  <c r="Q47" i="29" s="1"/>
  <c r="C93" i="25"/>
  <c r="C47" i="29"/>
  <c r="D93" i="25"/>
  <c r="D47" i="29"/>
  <c r="R67" i="25"/>
  <c r="R47" i="29" s="1"/>
  <c r="T74" i="27"/>
  <c r="N76" i="27"/>
  <c r="N80" i="27" s="1"/>
  <c r="N78" i="27"/>
  <c r="K67" i="23"/>
  <c r="P90" i="27"/>
  <c r="Y95" i="27" s="1"/>
  <c r="AA95" i="27"/>
  <c r="AF67" i="27"/>
  <c r="G72" i="23"/>
  <c r="K65" i="23"/>
  <c r="K68" i="23"/>
  <c r="K66" i="23"/>
  <c r="R75" i="27"/>
  <c r="R79" i="27" s="1"/>
  <c r="L79" i="27"/>
  <c r="AF71" i="27"/>
  <c r="AA94" i="27"/>
  <c r="N90" i="27"/>
  <c r="Y94" i="27" s="1"/>
  <c r="O93" i="25"/>
  <c r="O47" i="29"/>
  <c r="T92" i="25"/>
  <c r="W92" i="25"/>
  <c r="U87" i="15"/>
  <c r="U92" i="25"/>
  <c r="AO11" i="29"/>
  <c r="AM12" i="29"/>
  <c r="AL12" i="29"/>
  <c r="AN12" i="29"/>
  <c r="AQ12" i="29"/>
  <c r="AP12" i="29"/>
  <c r="AR12" i="29"/>
  <c r="V9" i="32"/>
  <c r="M9" i="32"/>
  <c r="O9" i="32"/>
  <c r="BE3" i="4"/>
  <c r="N9" i="32"/>
  <c r="T9" i="32"/>
  <c r="AS11" i="29"/>
  <c r="Q9" i="32"/>
  <c r="P9" i="32"/>
  <c r="AE13" i="29"/>
  <c r="S9" i="32"/>
  <c r="U9" i="32"/>
  <c r="BF3" i="4"/>
  <c r="R9" i="32"/>
  <c r="AH4" i="4"/>
  <c r="AH5" i="4" s="1"/>
  <c r="AH6" i="4" s="1"/>
  <c r="K34" i="15"/>
  <c r="K35" i="15" s="1"/>
  <c r="C57" i="23"/>
  <c r="H68" i="25"/>
  <c r="L68" i="25"/>
  <c r="J68" i="25"/>
  <c r="I55" i="23"/>
  <c r="L48" i="23"/>
  <c r="E68" i="25"/>
  <c r="M68" i="25"/>
  <c r="AH13" i="29"/>
  <c r="O68" i="25"/>
  <c r="J54" i="23"/>
  <c r="F68" i="25"/>
  <c r="F56" i="23"/>
  <c r="I68" i="25"/>
  <c r="AF13" i="29"/>
  <c r="C68" i="25"/>
  <c r="L51" i="23"/>
  <c r="AG13" i="29"/>
  <c r="D56" i="23"/>
  <c r="L50" i="23"/>
  <c r="D68" i="25"/>
  <c r="K68" i="25"/>
  <c r="AI13" i="29"/>
  <c r="P68" i="25"/>
  <c r="M34" i="15"/>
  <c r="M35" i="15" s="1"/>
  <c r="E56" i="23"/>
  <c r="G68" i="25"/>
  <c r="AK13" i="29"/>
  <c r="G56" i="23"/>
  <c r="L52" i="23"/>
  <c r="L49" i="23"/>
  <c r="AJ13" i="29"/>
  <c r="AI5" i="4"/>
  <c r="H56" i="23"/>
  <c r="N68" i="25"/>
  <c r="K53" i="23"/>
  <c r="K36" i="15"/>
  <c r="M36" i="15"/>
  <c r="K37" i="15"/>
  <c r="M37" i="15"/>
  <c r="K38" i="15"/>
  <c r="M38" i="15"/>
  <c r="K39" i="15"/>
  <c r="M39" i="15"/>
  <c r="T94" i="15" l="1"/>
  <c r="V94" i="15" s="1"/>
  <c r="S94" i="15"/>
  <c r="U94" i="15" s="1"/>
  <c r="T93" i="15"/>
  <c r="V93" i="15" s="1"/>
  <c r="S93" i="15"/>
  <c r="T92" i="15"/>
  <c r="V92" i="15" s="1"/>
  <c r="S92" i="15"/>
  <c r="T91" i="15"/>
  <c r="V91" i="15" s="1"/>
  <c r="S91" i="15"/>
  <c r="U91" i="15" s="1"/>
  <c r="T90" i="15"/>
  <c r="V90" i="15" s="1"/>
  <c r="S90" i="15"/>
  <c r="U90" i="15" s="1"/>
  <c r="T89" i="15"/>
  <c r="V89" i="15" s="1"/>
  <c r="S89" i="15"/>
  <c r="W93" i="25"/>
  <c r="L68" i="23"/>
  <c r="M94" i="25"/>
  <c r="J94" i="25"/>
  <c r="L94" i="25"/>
  <c r="D73" i="23"/>
  <c r="L66" i="23"/>
  <c r="F94" i="25"/>
  <c r="T68" i="25"/>
  <c r="K94" i="25"/>
  <c r="J71" i="23"/>
  <c r="E94" i="25"/>
  <c r="S68" i="25"/>
  <c r="K70" i="23"/>
  <c r="F73" i="23"/>
  <c r="G94" i="25"/>
  <c r="U68" i="25"/>
  <c r="L69" i="23"/>
  <c r="P94" i="25"/>
  <c r="D94" i="25"/>
  <c r="R68" i="25"/>
  <c r="Q68" i="25"/>
  <c r="C94" i="25"/>
  <c r="L65" i="23"/>
  <c r="I94" i="25"/>
  <c r="W68" i="25"/>
  <c r="V68" i="25"/>
  <c r="H94" i="25"/>
  <c r="N94" i="25"/>
  <c r="G73" i="23"/>
  <c r="E73" i="23"/>
  <c r="L67" i="23"/>
  <c r="O94" i="25"/>
  <c r="I72" i="23"/>
  <c r="H73" i="23"/>
  <c r="C74" i="23"/>
  <c r="U88" i="15"/>
  <c r="AG68" i="27"/>
  <c r="R93" i="25"/>
  <c r="U93" i="25"/>
  <c r="Q93" i="25"/>
  <c r="S76" i="27"/>
  <c r="S80" i="27" s="1"/>
  <c r="T93" i="25"/>
  <c r="S93" i="25"/>
  <c r="O76" i="27"/>
  <c r="O80" i="27" s="1"/>
  <c r="Q78" i="27"/>
  <c r="Q76" i="27"/>
  <c r="Q80" i="27" s="1"/>
  <c r="R78" i="27"/>
  <c r="R76" i="27"/>
  <c r="R80" i="27" s="1"/>
  <c r="P78" i="27"/>
  <c r="P76" i="27"/>
  <c r="P80" i="27" s="1"/>
  <c r="F68" i="27"/>
  <c r="G68" i="27" s="1"/>
  <c r="AG71" i="27"/>
  <c r="F64" i="27"/>
  <c r="G64" i="27" s="1"/>
  <c r="AG67" i="27"/>
  <c r="T78" i="27"/>
  <c r="T76" i="27"/>
  <c r="T80" i="27" s="1"/>
  <c r="AG70" i="27"/>
  <c r="F67" i="27"/>
  <c r="G67" i="27" s="1"/>
  <c r="V93" i="25"/>
  <c r="AG69" i="27"/>
  <c r="F66" i="27"/>
  <c r="G66" i="27" s="1"/>
  <c r="AM13" i="29"/>
  <c r="AL13" i="29"/>
  <c r="AN13" i="29"/>
  <c r="AQ13" i="29"/>
  <c r="AR13" i="29"/>
  <c r="AP13" i="29"/>
  <c r="U10" i="32"/>
  <c r="Q10" i="32"/>
  <c r="S10" i="32"/>
  <c r="T10" i="32"/>
  <c r="AO12" i="29"/>
  <c r="V10" i="32"/>
  <c r="AS12" i="29"/>
  <c r="O10" i="32"/>
  <c r="M10" i="32"/>
  <c r="AE14" i="29"/>
  <c r="N10" i="32"/>
  <c r="P10" i="32"/>
  <c r="R10" i="32"/>
  <c r="AH7" i="4"/>
  <c r="D61" i="23"/>
  <c r="G61" i="23"/>
  <c r="H61" i="23"/>
  <c r="J60" i="23"/>
  <c r="K60" i="23"/>
  <c r="J61" i="23"/>
  <c r="E61" i="23"/>
  <c r="J59" i="23"/>
  <c r="L61" i="23"/>
  <c r="L60" i="23"/>
  <c r="F61" i="23"/>
  <c r="I61" i="23"/>
  <c r="L57" i="23"/>
  <c r="K59" i="23"/>
  <c r="K58" i="23"/>
  <c r="L58" i="23"/>
  <c r="I60" i="23"/>
  <c r="K61" i="23"/>
  <c r="L59" i="23"/>
  <c r="L69" i="25"/>
  <c r="I56" i="23"/>
  <c r="G69" i="25"/>
  <c r="I69" i="25"/>
  <c r="D69" i="25"/>
  <c r="H69" i="25"/>
  <c r="D57" i="23"/>
  <c r="J55" i="23"/>
  <c r="O69" i="25"/>
  <c r="C69" i="25"/>
  <c r="J69" i="25"/>
  <c r="H57" i="23"/>
  <c r="N69" i="25"/>
  <c r="K69" i="25"/>
  <c r="K54" i="23"/>
  <c r="F57" i="23"/>
  <c r="G57" i="23"/>
  <c r="L53" i="23"/>
  <c r="M69" i="25"/>
  <c r="F69" i="25"/>
  <c r="C58" i="23"/>
  <c r="E57" i="23"/>
  <c r="P69" i="25"/>
  <c r="E69" i="25"/>
  <c r="D72" i="25"/>
  <c r="F72" i="25"/>
  <c r="K57" i="23"/>
  <c r="I72" i="25"/>
  <c r="E60" i="23"/>
  <c r="N72" i="25"/>
  <c r="P72" i="25"/>
  <c r="D60" i="23"/>
  <c r="H60" i="23"/>
  <c r="M72" i="25"/>
  <c r="C61" i="23"/>
  <c r="J58" i="23"/>
  <c r="J72" i="25"/>
  <c r="L56" i="23"/>
  <c r="G72" i="25"/>
  <c r="F60" i="23"/>
  <c r="C72" i="25"/>
  <c r="H72" i="25"/>
  <c r="L72" i="25"/>
  <c r="K72" i="25"/>
  <c r="E72" i="25"/>
  <c r="G60" i="23"/>
  <c r="I59" i="23"/>
  <c r="O72" i="25"/>
  <c r="G71" i="25"/>
  <c r="L55" i="23"/>
  <c r="I58" i="23"/>
  <c r="D58" i="23"/>
  <c r="G70" i="25"/>
  <c r="F58" i="23"/>
  <c r="E58" i="23"/>
  <c r="O71" i="25"/>
  <c r="H59" i="23"/>
  <c r="C71" i="25"/>
  <c r="K56" i="23"/>
  <c r="G58" i="23"/>
  <c r="I70" i="25"/>
  <c r="O70" i="25"/>
  <c r="C59" i="23"/>
  <c r="L71" i="25"/>
  <c r="I71" i="25"/>
  <c r="D71" i="25"/>
  <c r="P70" i="25"/>
  <c r="L70" i="25"/>
  <c r="J70" i="25"/>
  <c r="F70" i="25"/>
  <c r="E59" i="23"/>
  <c r="F59" i="23"/>
  <c r="F71" i="25"/>
  <c r="J56" i="23"/>
  <c r="H58" i="23"/>
  <c r="M70" i="25"/>
  <c r="C60" i="23"/>
  <c r="H71" i="25"/>
  <c r="J57" i="23"/>
  <c r="C70" i="25"/>
  <c r="N70" i="25"/>
  <c r="L54" i="23"/>
  <c r="E71" i="25"/>
  <c r="K71" i="25"/>
  <c r="G59" i="23"/>
  <c r="M71" i="25"/>
  <c r="H70" i="25"/>
  <c r="K55" i="23"/>
  <c r="I57" i="23"/>
  <c r="D59" i="23"/>
  <c r="P71" i="25"/>
  <c r="J71" i="25"/>
  <c r="N71" i="25"/>
  <c r="E70" i="25"/>
  <c r="D70" i="25"/>
  <c r="K70" i="25"/>
  <c r="AK14" i="29"/>
  <c r="AI6" i="4"/>
  <c r="AF14" i="29"/>
  <c r="AH14" i="29"/>
  <c r="AI14" i="29"/>
  <c r="AJ14" i="29"/>
  <c r="AG14" i="29"/>
  <c r="S94" i="25" l="1"/>
  <c r="V94" i="25"/>
  <c r="R94" i="25"/>
  <c r="O48" i="29"/>
  <c r="O49" i="29" s="1"/>
  <c r="O98" i="25"/>
  <c r="O46" i="29"/>
  <c r="I76" i="23"/>
  <c r="G77" i="23"/>
  <c r="E46" i="29"/>
  <c r="S72" i="25"/>
  <c r="E98" i="25"/>
  <c r="E48" i="29"/>
  <c r="E49" i="29" s="1"/>
  <c r="K48" i="29"/>
  <c r="K49" i="29" s="1"/>
  <c r="K46" i="29"/>
  <c r="K98" i="25"/>
  <c r="L48" i="29"/>
  <c r="L49" i="29" s="1"/>
  <c r="L46" i="29"/>
  <c r="L98" i="25"/>
  <c r="H48" i="29"/>
  <c r="H49" i="29" s="1"/>
  <c r="H98" i="25"/>
  <c r="H46" i="29"/>
  <c r="V72" i="25"/>
  <c r="C46" i="29"/>
  <c r="C48" i="29"/>
  <c r="C49" i="29" s="1"/>
  <c r="Q72" i="25"/>
  <c r="Q46" i="29" s="1"/>
  <c r="C98" i="25"/>
  <c r="F77" i="23"/>
  <c r="G46" i="29"/>
  <c r="U72" i="25"/>
  <c r="G98" i="25"/>
  <c r="G48" i="29"/>
  <c r="G49" i="29" s="1"/>
  <c r="L73" i="23"/>
  <c r="J48" i="29"/>
  <c r="J49" i="29" s="1"/>
  <c r="J98" i="25"/>
  <c r="J46" i="29"/>
  <c r="J75" i="23"/>
  <c r="C78" i="23"/>
  <c r="M48" i="29"/>
  <c r="M49" i="29" s="1"/>
  <c r="M98" i="25"/>
  <c r="M46" i="29"/>
  <c r="H77" i="23"/>
  <c r="D77" i="23"/>
  <c r="P48" i="29"/>
  <c r="P49" i="29" s="1"/>
  <c r="P98" i="25"/>
  <c r="P46" i="29"/>
  <c r="N46" i="29"/>
  <c r="N48" i="29"/>
  <c r="N49" i="29" s="1"/>
  <c r="N98" i="25"/>
  <c r="E77" i="23"/>
  <c r="I46" i="29"/>
  <c r="I48" i="29"/>
  <c r="I49" i="29" s="1"/>
  <c r="I98" i="25"/>
  <c r="W72" i="25"/>
  <c r="W46" i="29" s="1"/>
  <c r="K74" i="23"/>
  <c r="F46" i="29"/>
  <c r="F98" i="25"/>
  <c r="T98" i="25" s="1"/>
  <c r="F48" i="29"/>
  <c r="F49" i="29" s="1"/>
  <c r="T72" i="25"/>
  <c r="D48" i="29"/>
  <c r="D49" i="29" s="1"/>
  <c r="D46" i="29"/>
  <c r="R72" i="25"/>
  <c r="D98" i="25"/>
  <c r="E95" i="25"/>
  <c r="S69" i="25"/>
  <c r="P95" i="25"/>
  <c r="E74" i="23"/>
  <c r="C75" i="23"/>
  <c r="T69" i="25"/>
  <c r="F95" i="25"/>
  <c r="M95" i="25"/>
  <c r="L70" i="23"/>
  <c r="G74" i="23"/>
  <c r="F74" i="23"/>
  <c r="K71" i="23"/>
  <c r="K95" i="25"/>
  <c r="N95" i="25"/>
  <c r="H74" i="23"/>
  <c r="J95" i="25"/>
  <c r="Q69" i="25"/>
  <c r="C95" i="25"/>
  <c r="O95" i="25"/>
  <c r="J72" i="23"/>
  <c r="D74" i="23"/>
  <c r="V69" i="25"/>
  <c r="H95" i="25"/>
  <c r="D95" i="25"/>
  <c r="R69" i="25"/>
  <c r="I95" i="25"/>
  <c r="W69" i="25"/>
  <c r="G95" i="25"/>
  <c r="U95" i="25" s="1"/>
  <c r="U69" i="25"/>
  <c r="I73" i="23"/>
  <c r="L95" i="25"/>
  <c r="L76" i="23"/>
  <c r="K78" i="23"/>
  <c r="I77" i="23"/>
  <c r="L75" i="23"/>
  <c r="K75" i="23"/>
  <c r="K76" i="23"/>
  <c r="L74" i="23"/>
  <c r="I78" i="23"/>
  <c r="F78" i="23"/>
  <c r="L77" i="23"/>
  <c r="L78" i="23"/>
  <c r="J76" i="23"/>
  <c r="E78" i="23"/>
  <c r="J78" i="23"/>
  <c r="K77" i="23"/>
  <c r="J77" i="23"/>
  <c r="H78" i="23"/>
  <c r="G78" i="23"/>
  <c r="D78" i="23"/>
  <c r="U92" i="15"/>
  <c r="U93" i="15"/>
  <c r="K96" i="25"/>
  <c r="R70" i="25"/>
  <c r="D96" i="25"/>
  <c r="E96" i="25"/>
  <c r="S70" i="25"/>
  <c r="N97" i="25"/>
  <c r="J97" i="25"/>
  <c r="P97" i="25"/>
  <c r="D76" i="23"/>
  <c r="I74" i="23"/>
  <c r="K72" i="23"/>
  <c r="V70" i="25"/>
  <c r="H96" i="25"/>
  <c r="M97" i="25"/>
  <c r="G76" i="23"/>
  <c r="K97" i="25"/>
  <c r="S71" i="25"/>
  <c r="E97" i="25"/>
  <c r="L71" i="23"/>
  <c r="N96" i="25"/>
  <c r="Q70" i="25"/>
  <c r="C96" i="25"/>
  <c r="J74" i="23"/>
  <c r="H97" i="25"/>
  <c r="V71" i="25"/>
  <c r="C77" i="23"/>
  <c r="M96" i="25"/>
  <c r="H75" i="23"/>
  <c r="J73" i="23"/>
  <c r="F97" i="25"/>
  <c r="T97" i="25" s="1"/>
  <c r="T71" i="25"/>
  <c r="F76" i="23"/>
  <c r="E76" i="23"/>
  <c r="F96" i="25"/>
  <c r="T70" i="25"/>
  <c r="J96" i="25"/>
  <c r="L96" i="25"/>
  <c r="S96" i="25" s="1"/>
  <c r="P96" i="25"/>
  <c r="R71" i="25"/>
  <c r="D97" i="25"/>
  <c r="R97" i="25" s="1"/>
  <c r="W71" i="25"/>
  <c r="I97" i="25"/>
  <c r="L97" i="25"/>
  <c r="S97" i="25" s="1"/>
  <c r="C76" i="23"/>
  <c r="O96" i="25"/>
  <c r="I96" i="25"/>
  <c r="W96" i="25" s="1"/>
  <c r="W70" i="25"/>
  <c r="G75" i="23"/>
  <c r="K73" i="23"/>
  <c r="C97" i="25"/>
  <c r="Q71" i="25"/>
  <c r="H76" i="23"/>
  <c r="O97" i="25"/>
  <c r="E75" i="23"/>
  <c r="F75" i="23"/>
  <c r="U70" i="25"/>
  <c r="G96" i="25"/>
  <c r="D75" i="23"/>
  <c r="I75" i="23"/>
  <c r="L72" i="23"/>
  <c r="G97" i="25"/>
  <c r="U71" i="25"/>
  <c r="U89" i="15"/>
  <c r="R95" i="25"/>
  <c r="S95" i="25"/>
  <c r="W94" i="25"/>
  <c r="T95" i="25"/>
  <c r="R98" i="25"/>
  <c r="U94" i="25"/>
  <c r="T94" i="25"/>
  <c r="Q94" i="25"/>
  <c r="T96" i="25"/>
  <c r="W48" i="29"/>
  <c r="W49" i="29" s="1"/>
  <c r="Q96" i="25"/>
  <c r="W98" i="25"/>
  <c r="AS13" i="29"/>
  <c r="AM14" i="29"/>
  <c r="AL14" i="29"/>
  <c r="AN14" i="29"/>
  <c r="AQ14" i="29"/>
  <c r="AP14" i="29"/>
  <c r="AR14" i="29"/>
  <c r="N11" i="32"/>
  <c r="V11" i="32"/>
  <c r="AE15" i="29"/>
  <c r="R11" i="32"/>
  <c r="M11" i="32"/>
  <c r="T11" i="32"/>
  <c r="S11" i="32"/>
  <c r="U11" i="32"/>
  <c r="P11" i="32"/>
  <c r="O11" i="32"/>
  <c r="Q11" i="32"/>
  <c r="AO13" i="29"/>
  <c r="AH8" i="4"/>
  <c r="AJ15" i="29"/>
  <c r="AI15" i="29"/>
  <c r="AG15" i="29"/>
  <c r="AH15" i="29"/>
  <c r="AK15" i="29"/>
  <c r="AI7" i="4"/>
  <c r="AF15" i="29"/>
  <c r="Q95" i="25" l="1"/>
  <c r="U97" i="25"/>
  <c r="R96" i="25"/>
  <c r="Q48" i="29"/>
  <c r="Q49" i="29" s="1"/>
  <c r="W95" i="25"/>
  <c r="V96" i="25"/>
  <c r="V95" i="25"/>
  <c r="Q97" i="25"/>
  <c r="S98" i="25"/>
  <c r="V97" i="25"/>
  <c r="Q98" i="25"/>
  <c r="S48" i="29"/>
  <c r="S49" i="29" s="1"/>
  <c r="S46" i="29"/>
  <c r="T48" i="29"/>
  <c r="T49" i="29" s="1"/>
  <c r="T46" i="29"/>
  <c r="U96" i="25"/>
  <c r="U98" i="25"/>
  <c r="V46" i="29"/>
  <c r="V48" i="29"/>
  <c r="V49" i="29" s="1"/>
  <c r="R48" i="29"/>
  <c r="R49" i="29" s="1"/>
  <c r="R46" i="29"/>
  <c r="U46" i="29"/>
  <c r="U48" i="29"/>
  <c r="U49" i="29" s="1"/>
  <c r="V98" i="25"/>
  <c r="W97" i="25"/>
  <c r="AS14" i="29"/>
  <c r="AM15" i="29"/>
  <c r="AL15" i="29"/>
  <c r="AN15" i="29"/>
  <c r="AQ15" i="29"/>
  <c r="AP15" i="29"/>
  <c r="AR15" i="29"/>
  <c r="R12" i="32"/>
  <c r="T12" i="32"/>
  <c r="N12" i="32"/>
  <c r="P12" i="32"/>
  <c r="M12" i="32"/>
  <c r="U12" i="32"/>
  <c r="AE16" i="29"/>
  <c r="Q12" i="32"/>
  <c r="S12" i="32"/>
  <c r="V12" i="32"/>
  <c r="O12" i="32"/>
  <c r="AO14" i="29"/>
  <c r="AH9" i="4"/>
  <c r="AJ16" i="29"/>
  <c r="AI16" i="29"/>
  <c r="AG16" i="29"/>
  <c r="AK16" i="29"/>
  <c r="AI8" i="4"/>
  <c r="AF16" i="29"/>
  <c r="AH16" i="29"/>
  <c r="AM16" i="29" l="1"/>
  <c r="AL16" i="29"/>
  <c r="AN16" i="29"/>
  <c r="AQ16" i="29"/>
  <c r="AP16" i="29"/>
  <c r="AR16" i="29"/>
  <c r="V13" i="32"/>
  <c r="M13" i="32"/>
  <c r="R13" i="32"/>
  <c r="S13" i="32"/>
  <c r="P13" i="32"/>
  <c r="Q13" i="32"/>
  <c r="AS15" i="29"/>
  <c r="AE17" i="29"/>
  <c r="N13" i="32"/>
  <c r="O13" i="32"/>
  <c r="U13" i="32"/>
  <c r="T13" i="32"/>
  <c r="AO15" i="29"/>
  <c r="AH10" i="4"/>
  <c r="AI9" i="4"/>
  <c r="AF17" i="29"/>
  <c r="AK17" i="29"/>
  <c r="AI17" i="29"/>
  <c r="AJ17" i="29"/>
  <c r="AH17" i="29"/>
  <c r="AG17" i="29"/>
  <c r="AM17" i="29" l="1"/>
  <c r="AL17" i="29"/>
  <c r="AN17" i="29"/>
  <c r="AQ17" i="29"/>
  <c r="AR17" i="29"/>
  <c r="AP17" i="29"/>
  <c r="O14" i="32"/>
  <c r="P14" i="32"/>
  <c r="V14" i="32"/>
  <c r="N14" i="32"/>
  <c r="S14" i="32"/>
  <c r="AS16" i="29"/>
  <c r="AE18" i="29"/>
  <c r="R14" i="32"/>
  <c r="T14" i="32"/>
  <c r="Q14" i="32"/>
  <c r="U14" i="32"/>
  <c r="M14" i="32"/>
  <c r="AO16" i="29"/>
  <c r="AH11" i="4"/>
  <c r="AJ18" i="29"/>
  <c r="AG18" i="29"/>
  <c r="AH18" i="29"/>
  <c r="AF18" i="29"/>
  <c r="AK18" i="29"/>
  <c r="AI18" i="29"/>
  <c r="AI10" i="4"/>
  <c r="AS17" i="29" l="1"/>
  <c r="AM18" i="29"/>
  <c r="AL18" i="29"/>
  <c r="AN18" i="29"/>
  <c r="AQ18" i="29"/>
  <c r="AR18" i="29"/>
  <c r="AP18" i="29"/>
  <c r="O15" i="32"/>
  <c r="Q15" i="32"/>
  <c r="S15" i="32"/>
  <c r="T15" i="32"/>
  <c r="N15" i="32"/>
  <c r="V15" i="32"/>
  <c r="R15" i="32"/>
  <c r="M15" i="32"/>
  <c r="U15" i="32"/>
  <c r="AE19" i="29"/>
  <c r="P15" i="32"/>
  <c r="AO17" i="29"/>
  <c r="AH12" i="4"/>
  <c r="AK19" i="29"/>
  <c r="AG19" i="29"/>
  <c r="AI11" i="4"/>
  <c r="AJ19" i="29"/>
  <c r="AH19" i="29"/>
  <c r="AF19" i="29"/>
  <c r="AI19" i="29"/>
  <c r="AS18" i="29" l="1"/>
  <c r="AM19" i="29"/>
  <c r="AL19" i="29"/>
  <c r="AN19" i="29"/>
  <c r="AQ19" i="29"/>
  <c r="AR19" i="29"/>
  <c r="AP19" i="29"/>
  <c r="U16" i="32"/>
  <c r="N16" i="32"/>
  <c r="O16" i="32"/>
  <c r="T16" i="32"/>
  <c r="M16" i="32"/>
  <c r="R16" i="32"/>
  <c r="S16" i="32"/>
  <c r="P16" i="32"/>
  <c r="Q16" i="32"/>
  <c r="AE20" i="29"/>
  <c r="V16" i="32"/>
  <c r="AO18" i="29"/>
  <c r="F4" i="4"/>
  <c r="P9" i="12" s="1"/>
  <c r="F5" i="4"/>
  <c r="P10" i="12" s="1"/>
  <c r="Q9" i="12"/>
  <c r="Q10" i="12"/>
  <c r="AF20" i="29"/>
  <c r="AG20" i="29"/>
  <c r="AK20" i="29"/>
  <c r="AJ20" i="29"/>
  <c r="AI20" i="29"/>
  <c r="AH20" i="29"/>
  <c r="AI12" i="4"/>
  <c r="AS19" i="29" l="1"/>
  <c r="AM20" i="29"/>
  <c r="AL20" i="29"/>
  <c r="AN20" i="29"/>
  <c r="AQ20" i="29"/>
  <c r="AR20" i="29"/>
  <c r="AP20" i="29"/>
  <c r="S17" i="32"/>
  <c r="Q17" i="32"/>
  <c r="T17" i="32"/>
  <c r="M17" i="32"/>
  <c r="U17" i="32"/>
  <c r="P17" i="32"/>
  <c r="O17" i="32"/>
  <c r="V17" i="32"/>
  <c r="N17" i="32"/>
  <c r="AE21" i="29"/>
  <c r="R17" i="32"/>
  <c r="AO19" i="29"/>
  <c r="AH32" i="4"/>
  <c r="AH33" i="4"/>
  <c r="AI33" i="4" s="1"/>
  <c r="S10" i="4"/>
  <c r="I14" i="12" s="1"/>
  <c r="S11" i="4"/>
  <c r="I15" i="12" s="1"/>
  <c r="S12" i="4"/>
  <c r="I16" i="12" s="1"/>
  <c r="S13" i="4"/>
  <c r="I17" i="12" s="1"/>
  <c r="S14" i="4"/>
  <c r="I18" i="12" s="1"/>
  <c r="S15" i="4"/>
  <c r="I19" i="12" s="1"/>
  <c r="S16" i="4"/>
  <c r="I20" i="12" s="1"/>
  <c r="S17" i="4"/>
  <c r="I21" i="12" s="1"/>
  <c r="AH13" i="4"/>
  <c r="AG21" i="29"/>
  <c r="AI21" i="29"/>
  <c r="AJ21" i="29"/>
  <c r="AF21" i="29"/>
  <c r="AH21" i="29"/>
  <c r="AI13" i="4"/>
  <c r="AK21" i="29"/>
  <c r="AK9" i="4" l="1"/>
  <c r="AK10" i="4"/>
  <c r="AK8" i="4"/>
  <c r="AS20" i="29"/>
  <c r="AM21" i="29"/>
  <c r="AL21" i="29"/>
  <c r="AN21" i="29"/>
  <c r="AQ21" i="29"/>
  <c r="AR21" i="29"/>
  <c r="AP21" i="29"/>
  <c r="AK11" i="4"/>
  <c r="N18" i="32"/>
  <c r="U18" i="32"/>
  <c r="S18" i="32"/>
  <c r="AK7" i="4"/>
  <c r="AK4" i="4"/>
  <c r="AH34" i="4"/>
  <c r="V18" i="32"/>
  <c r="M18" i="32"/>
  <c r="AK5" i="4"/>
  <c r="T18" i="32"/>
  <c r="O18" i="32"/>
  <c r="AK6" i="4"/>
  <c r="R18" i="32"/>
  <c r="AI32" i="4"/>
  <c r="AE22" i="29"/>
  <c r="P18" i="32"/>
  <c r="Q18" i="32"/>
  <c r="AO20" i="29"/>
  <c r="S18" i="4"/>
  <c r="I22" i="12" s="1"/>
  <c r="AH14" i="4"/>
  <c r="AH22" i="29"/>
  <c r="AI22" i="29"/>
  <c r="AK22" i="29"/>
  <c r="AF22" i="29"/>
  <c r="AG22" i="29"/>
  <c r="AI14" i="4"/>
  <c r="AJ22" i="29"/>
  <c r="AK12" i="4" l="1"/>
  <c r="AS21" i="29"/>
  <c r="AM22" i="29"/>
  <c r="AL22" i="29"/>
  <c r="AN22" i="29"/>
  <c r="AQ22" i="29"/>
  <c r="AP22" i="29"/>
  <c r="AR22" i="29"/>
  <c r="R19" i="32"/>
  <c r="T19" i="32"/>
  <c r="N19" i="32"/>
  <c r="S19" i="32"/>
  <c r="Q19" i="32"/>
  <c r="AI34" i="4"/>
  <c r="AH35" i="4"/>
  <c r="M19" i="32"/>
  <c r="P19" i="32"/>
  <c r="O19" i="32"/>
  <c r="U19" i="32"/>
  <c r="AE23" i="29"/>
  <c r="V19" i="32"/>
  <c r="AO21" i="29"/>
  <c r="AI15" i="4"/>
  <c r="AJ15" i="4" s="1"/>
  <c r="AJ12" i="4"/>
  <c r="AJ13" i="4"/>
  <c r="AJ4" i="4"/>
  <c r="AJ5" i="4"/>
  <c r="AJ6" i="4"/>
  <c r="AJ7" i="4"/>
  <c r="AJ8" i="4"/>
  <c r="AJ9" i="4"/>
  <c r="AJ10" i="4"/>
  <c r="AJ11" i="4"/>
  <c r="AJ14" i="4"/>
  <c r="S19" i="4"/>
  <c r="I23" i="12" s="1"/>
  <c r="S20" i="4"/>
  <c r="I24" i="12" s="1"/>
  <c r="S21" i="4"/>
  <c r="I25" i="12" s="1"/>
  <c r="S22" i="4"/>
  <c r="I26" i="12" s="1"/>
  <c r="S23" i="4"/>
  <c r="I27" i="12" s="1"/>
  <c r="S24" i="4"/>
  <c r="I28" i="12" s="1"/>
  <c r="S25" i="4"/>
  <c r="I29" i="12" s="1"/>
  <c r="S26" i="4"/>
  <c r="I30" i="12" s="1"/>
  <c r="S27" i="4"/>
  <c r="I31" i="12" s="1"/>
  <c r="S28" i="4"/>
  <c r="I32" i="12" s="1"/>
  <c r="S29" i="4"/>
  <c r="I33" i="12" s="1"/>
  <c r="AH23" i="29"/>
  <c r="AI23" i="29"/>
  <c r="AJ23" i="29"/>
  <c r="AG23" i="29"/>
  <c r="AK23" i="29"/>
  <c r="AF23" i="29"/>
  <c r="AK18" i="4" l="1"/>
  <c r="AK14" i="4"/>
  <c r="AK13" i="4"/>
  <c r="AK20" i="4"/>
  <c r="AS22" i="29"/>
  <c r="AK16" i="4"/>
  <c r="AK22" i="4"/>
  <c r="AI16" i="4"/>
  <c r="AM23" i="29"/>
  <c r="AL23" i="29"/>
  <c r="AN23" i="29"/>
  <c r="AQ23" i="29"/>
  <c r="AR23" i="29"/>
  <c r="AP23" i="29"/>
  <c r="O20" i="32"/>
  <c r="V20" i="32"/>
  <c r="T20" i="32"/>
  <c r="P20" i="32"/>
  <c r="Q20" i="32"/>
  <c r="AK21" i="4"/>
  <c r="AK17" i="4"/>
  <c r="AE24" i="29"/>
  <c r="M20" i="32"/>
  <c r="S20" i="32"/>
  <c r="U20" i="32"/>
  <c r="R20" i="32"/>
  <c r="AH36" i="4"/>
  <c r="AI35" i="4"/>
  <c r="AK23" i="4"/>
  <c r="AK19" i="4"/>
  <c r="AK15" i="4"/>
  <c r="N20" i="32"/>
  <c r="AO22" i="29"/>
  <c r="AK24" i="29"/>
  <c r="AH24" i="29"/>
  <c r="AG24" i="29"/>
  <c r="AF24" i="29"/>
  <c r="AJ24" i="29"/>
  <c r="AI24" i="29"/>
  <c r="AI17" i="4" l="1"/>
  <c r="AI18" i="4" s="1"/>
  <c r="AI19" i="4" s="1"/>
  <c r="AJ16" i="4"/>
  <c r="AS23" i="29"/>
  <c r="AO23" i="29"/>
  <c r="AM24" i="29"/>
  <c r="AL24" i="29"/>
  <c r="AN24" i="29"/>
  <c r="AQ24" i="29"/>
  <c r="AR24" i="29"/>
  <c r="AP24" i="29"/>
  <c r="U21" i="32"/>
  <c r="V21" i="32"/>
  <c r="AI36" i="4"/>
  <c r="AH37" i="4"/>
  <c r="S21" i="32"/>
  <c r="Q21" i="32"/>
  <c r="O21" i="32"/>
  <c r="N21" i="32"/>
  <c r="M21" i="32"/>
  <c r="P21" i="32"/>
  <c r="T21" i="32"/>
  <c r="R21" i="32"/>
  <c r="AE25" i="29"/>
  <c r="AI25" i="29"/>
  <c r="AF25" i="29"/>
  <c r="AK25" i="29"/>
  <c r="AG25" i="29"/>
  <c r="AJ25" i="29"/>
  <c r="AH25" i="29"/>
  <c r="AJ17" i="4" l="1"/>
  <c r="AS24" i="29"/>
  <c r="AJ18" i="4"/>
  <c r="AM25" i="29"/>
  <c r="AL25" i="29"/>
  <c r="AN25" i="29"/>
  <c r="AQ25" i="29"/>
  <c r="AR25" i="29"/>
  <c r="AP25" i="29"/>
  <c r="P22" i="32"/>
  <c r="AH38" i="4"/>
  <c r="AI37" i="4"/>
  <c r="U22" i="32"/>
  <c r="S22" i="32"/>
  <c r="T22" i="32"/>
  <c r="AJ19" i="4"/>
  <c r="AI20" i="4"/>
  <c r="N22" i="32"/>
  <c r="O22" i="32"/>
  <c r="AE26" i="29"/>
  <c r="R22" i="32"/>
  <c r="M22" i="32"/>
  <c r="Q22" i="32"/>
  <c r="V22" i="32"/>
  <c r="AO24" i="29"/>
  <c r="AK26" i="29"/>
  <c r="AI26" i="29"/>
  <c r="AF26" i="29"/>
  <c r="AH26" i="29"/>
  <c r="AJ26" i="29"/>
  <c r="AG26" i="29"/>
  <c r="AS25" i="29" l="1"/>
  <c r="AM26" i="29"/>
  <c r="AL26" i="29"/>
  <c r="AN26" i="29"/>
  <c r="AQ26" i="29"/>
  <c r="AR26" i="29"/>
  <c r="AP26" i="29"/>
  <c r="Q23" i="32"/>
  <c r="N23" i="32"/>
  <c r="M23" i="32"/>
  <c r="U23" i="32"/>
  <c r="R23" i="32"/>
  <c r="T23" i="32"/>
  <c r="AJ20" i="4"/>
  <c r="AI21" i="4"/>
  <c r="AE27" i="29"/>
  <c r="AI38" i="4"/>
  <c r="AH39" i="4"/>
  <c r="V23" i="32"/>
  <c r="O23" i="32"/>
  <c r="S23" i="32"/>
  <c r="P23" i="32"/>
  <c r="AO25" i="29"/>
  <c r="AF27" i="29"/>
  <c r="AK27" i="29"/>
  <c r="AI27" i="29"/>
  <c r="AH27" i="29"/>
  <c r="AJ27" i="29"/>
  <c r="AG27" i="29"/>
  <c r="AS26" i="29" l="1"/>
  <c r="AM27" i="29"/>
  <c r="AL27" i="29"/>
  <c r="AN27" i="29"/>
  <c r="AQ27" i="29"/>
  <c r="AR27" i="29"/>
  <c r="AP27" i="29"/>
  <c r="P24" i="32"/>
  <c r="R24" i="32"/>
  <c r="O24" i="32"/>
  <c r="AI39" i="4"/>
  <c r="AH40" i="4"/>
  <c r="AJ21" i="4"/>
  <c r="AI22" i="4"/>
  <c r="U24" i="32"/>
  <c r="N24" i="32"/>
  <c r="Q24" i="32"/>
  <c r="T24" i="32"/>
  <c r="V24" i="32"/>
  <c r="S24" i="32"/>
  <c r="AE28" i="29"/>
  <c r="M24" i="32"/>
  <c r="AO26" i="29"/>
  <c r="AJ28" i="29"/>
  <c r="AH28" i="29"/>
  <c r="AI28" i="29"/>
  <c r="AG28" i="29"/>
  <c r="AK28" i="29"/>
  <c r="AF28" i="29"/>
  <c r="AS27" i="29" l="1"/>
  <c r="AM28" i="29"/>
  <c r="AL28" i="29"/>
  <c r="AN28" i="29"/>
  <c r="AQ28" i="29"/>
  <c r="AP28" i="29"/>
  <c r="AR28" i="29"/>
  <c r="S25" i="32"/>
  <c r="O25" i="32"/>
  <c r="U25" i="32"/>
  <c r="AE29" i="29"/>
  <c r="T25" i="32"/>
  <c r="V25" i="32"/>
  <c r="M25" i="32"/>
  <c r="Q25" i="32"/>
  <c r="AH41" i="4"/>
  <c r="AI40" i="4"/>
  <c r="AJ40" i="4" s="1"/>
  <c r="AK40" i="4" s="1"/>
  <c r="R25" i="32"/>
  <c r="P25" i="32"/>
  <c r="AJ22" i="4"/>
  <c r="AI23" i="4"/>
  <c r="AJ39" i="4" s="1"/>
  <c r="AK39" i="4" s="1"/>
  <c r="N25" i="32"/>
  <c r="AO27" i="29"/>
  <c r="AJ29" i="29"/>
  <c r="AF29" i="29"/>
  <c r="AI29" i="29"/>
  <c r="AK29" i="29"/>
  <c r="AH29" i="29"/>
  <c r="AG29" i="29"/>
  <c r="AJ36" i="4" l="1"/>
  <c r="AK36" i="4" s="1"/>
  <c r="AJ23" i="4"/>
  <c r="AJ33" i="4"/>
  <c r="AK33" i="4" s="1"/>
  <c r="AJ31" i="4"/>
  <c r="AK31" i="4" s="1"/>
  <c r="AL31" i="4" s="1"/>
  <c r="AJ34" i="4"/>
  <c r="AK34" i="4" s="1"/>
  <c r="AJ32" i="4"/>
  <c r="AK32" i="4" s="1"/>
  <c r="AJ37" i="4"/>
  <c r="AK37" i="4" s="1"/>
  <c r="AJ35" i="4"/>
  <c r="AK35" i="4" s="1"/>
  <c r="AJ38" i="4"/>
  <c r="AK38" i="4" s="1"/>
  <c r="AM29" i="29"/>
  <c r="AL29" i="29"/>
  <c r="AN29" i="29"/>
  <c r="AQ29" i="29"/>
  <c r="AP29" i="29"/>
  <c r="AR29" i="29"/>
  <c r="N26" i="32"/>
  <c r="T26" i="32"/>
  <c r="AI41" i="4"/>
  <c r="AJ41" i="4" s="1"/>
  <c r="AK41" i="4" s="1"/>
  <c r="AH42" i="4"/>
  <c r="AE30" i="29"/>
  <c r="Q26" i="32"/>
  <c r="U26" i="32"/>
  <c r="M26" i="32"/>
  <c r="AS28" i="29"/>
  <c r="P26" i="32"/>
  <c r="V26" i="32"/>
  <c r="O26" i="32"/>
  <c r="R26" i="32"/>
  <c r="S26" i="32"/>
  <c r="AO28" i="29"/>
  <c r="AF30" i="29"/>
  <c r="AH30" i="29"/>
  <c r="AS31" i="4"/>
  <c r="AJ30" i="29"/>
  <c r="AG30" i="29"/>
  <c r="AK30" i="29"/>
  <c r="AI30" i="29"/>
  <c r="AL32" i="4" l="1"/>
  <c r="AC10" i="23"/>
  <c r="AE10" i="23" s="1"/>
  <c r="AM30" i="29"/>
  <c r="AL30" i="29"/>
  <c r="AN30" i="29"/>
  <c r="AQ30" i="29"/>
  <c r="AP30" i="29"/>
  <c r="AR30" i="29"/>
  <c r="S27" i="32"/>
  <c r="P27" i="32"/>
  <c r="N27" i="32"/>
  <c r="AE31" i="29"/>
  <c r="R27" i="32"/>
  <c r="AH43" i="4"/>
  <c r="AI42" i="4"/>
  <c r="AJ42" i="4" s="1"/>
  <c r="AK42" i="4" s="1"/>
  <c r="M27" i="32"/>
  <c r="AS29" i="29"/>
  <c r="O27" i="32"/>
  <c r="U27" i="32"/>
  <c r="T27" i="32"/>
  <c r="V27" i="32"/>
  <c r="Q27" i="32"/>
  <c r="AO29" i="29"/>
  <c r="AG31" i="29"/>
  <c r="AH31" i="29"/>
  <c r="AF31" i="29"/>
  <c r="AK31" i="29"/>
  <c r="AJ31" i="29"/>
  <c r="AI31" i="29"/>
  <c r="AL33" i="4" l="1"/>
  <c r="AO30" i="29"/>
  <c r="AM31" i="29"/>
  <c r="AL31" i="29"/>
  <c r="AN31" i="29"/>
  <c r="AQ31" i="29"/>
  <c r="AP31" i="29"/>
  <c r="AR31" i="29"/>
  <c r="S28" i="32"/>
  <c r="AH44" i="4"/>
  <c r="AI43" i="4"/>
  <c r="AJ43" i="4" s="1"/>
  <c r="AK43" i="4" s="1"/>
  <c r="O28" i="32"/>
  <c r="Q28" i="32"/>
  <c r="R28" i="32"/>
  <c r="U28" i="32"/>
  <c r="V28" i="32"/>
  <c r="M28" i="32"/>
  <c r="AS30" i="29"/>
  <c r="AE32" i="29"/>
  <c r="N28" i="32"/>
  <c r="T28" i="32"/>
  <c r="P28" i="32"/>
  <c r="AJ32" i="29"/>
  <c r="AG32" i="29"/>
  <c r="AI32" i="29"/>
  <c r="AH32" i="29"/>
  <c r="AK32" i="29"/>
  <c r="AF32" i="29"/>
  <c r="AL34" i="4" l="1"/>
  <c r="AM32" i="29"/>
  <c r="AL32" i="29"/>
  <c r="AN32" i="29"/>
  <c r="AQ32" i="29"/>
  <c r="AR32" i="29"/>
  <c r="AP32" i="29"/>
  <c r="AE33" i="29"/>
  <c r="AO31" i="29"/>
  <c r="AS31" i="29"/>
  <c r="AI44" i="4"/>
  <c r="AJ44" i="4" s="1"/>
  <c r="AK44" i="4" s="1"/>
  <c r="AH45" i="4"/>
  <c r="AJ33" i="29"/>
  <c r="AI33" i="29"/>
  <c r="AK33" i="29"/>
  <c r="AF33" i="29"/>
  <c r="AG33" i="29"/>
  <c r="AH33" i="29"/>
  <c r="AL35" i="4" l="1"/>
  <c r="AL36" i="4" s="1"/>
  <c r="AM33" i="29"/>
  <c r="AL33" i="29"/>
  <c r="AN33" i="29"/>
  <c r="AQ33" i="29"/>
  <c r="AP33" i="29"/>
  <c r="AR33" i="29"/>
  <c r="AO32" i="29"/>
  <c r="AE34" i="29"/>
  <c r="AH46" i="4"/>
  <c r="AI45" i="4"/>
  <c r="AJ45" i="4" s="1"/>
  <c r="AK45" i="4" s="1"/>
  <c r="AS32" i="29"/>
  <c r="AK34" i="29"/>
  <c r="AF34" i="29"/>
  <c r="AH34" i="29"/>
  <c r="AI34" i="29"/>
  <c r="AJ34" i="29"/>
  <c r="AG34" i="29"/>
  <c r="AL37" i="4" l="1"/>
  <c r="AC11" i="23"/>
  <c r="AE11" i="23" s="1"/>
  <c r="AM34" i="29"/>
  <c r="AL34" i="29"/>
  <c r="AN34" i="29"/>
  <c r="AQ34" i="29"/>
  <c r="AP34" i="29"/>
  <c r="AR34" i="29"/>
  <c r="AE35" i="29"/>
  <c r="AO33" i="29"/>
  <c r="AS33" i="29"/>
  <c r="AI46" i="4"/>
  <c r="AJ46" i="4" s="1"/>
  <c r="AK46" i="4" s="1"/>
  <c r="AH47" i="4"/>
  <c r="AJ35" i="29"/>
  <c r="AI35" i="29"/>
  <c r="AH35" i="29"/>
  <c r="AK35" i="29"/>
  <c r="AF35" i="29"/>
  <c r="AG35" i="29"/>
  <c r="AL38" i="4" l="1"/>
  <c r="AS34" i="29"/>
  <c r="AM35" i="29"/>
  <c r="AL35" i="29"/>
  <c r="AN35" i="29"/>
  <c r="AQ35" i="29"/>
  <c r="AR35" i="29"/>
  <c r="AP35" i="29"/>
  <c r="AE36" i="29"/>
  <c r="AI47" i="4"/>
  <c r="AJ47" i="4" s="1"/>
  <c r="AK47" i="4" s="1"/>
  <c r="AH48" i="4"/>
  <c r="AO34" i="29"/>
  <c r="AJ36" i="29"/>
  <c r="AI36" i="29"/>
  <c r="AH36" i="29"/>
  <c r="AG36" i="29"/>
  <c r="AK36" i="29"/>
  <c r="AF36" i="29"/>
  <c r="AL39" i="4" l="1"/>
  <c r="AS35" i="29"/>
  <c r="AM36" i="29"/>
  <c r="AL36" i="29"/>
  <c r="AN36" i="29"/>
  <c r="AQ36" i="29"/>
  <c r="AP36" i="29"/>
  <c r="AR36" i="29"/>
  <c r="AE37" i="29"/>
  <c r="AH49" i="4"/>
  <c r="AI48" i="4"/>
  <c r="AJ48" i="4" s="1"/>
  <c r="AK48" i="4" s="1"/>
  <c r="AO35" i="29"/>
  <c r="AH37" i="29"/>
  <c r="AJ37" i="29"/>
  <c r="AI37" i="29"/>
  <c r="AG37" i="29"/>
  <c r="AK37" i="29"/>
  <c r="AF37" i="29"/>
  <c r="AL40" i="4" l="1"/>
  <c r="AM37" i="29"/>
  <c r="AL37" i="29"/>
  <c r="AN37" i="29"/>
  <c r="AQ37" i="29"/>
  <c r="AR37" i="29"/>
  <c r="AP37" i="29"/>
  <c r="AI49" i="4"/>
  <c r="AJ49" i="4" s="1"/>
  <c r="AK49" i="4" s="1"/>
  <c r="AH50" i="4"/>
  <c r="AO36" i="29"/>
  <c r="AE38" i="29"/>
  <c r="AS36" i="29"/>
  <c r="AH38" i="29"/>
  <c r="AJ38" i="29"/>
  <c r="AI38" i="29"/>
  <c r="AG38" i="29"/>
  <c r="AF38" i="29"/>
  <c r="AK38" i="29"/>
  <c r="AL41" i="4" l="1"/>
  <c r="AO37" i="29"/>
  <c r="AS37" i="29"/>
  <c r="AM38" i="29"/>
  <c r="AL38" i="29"/>
  <c r="AN38" i="29"/>
  <c r="AQ38" i="29"/>
  <c r="AP38" i="29"/>
  <c r="AR38" i="29"/>
  <c r="AE39" i="29"/>
  <c r="AH51" i="4"/>
  <c r="AI50" i="4"/>
  <c r="AJ50" i="4" s="1"/>
  <c r="AK50" i="4" s="1"/>
  <c r="AI39" i="29"/>
  <c r="AK39" i="29"/>
  <c r="AF39" i="29"/>
  <c r="AG39" i="29"/>
  <c r="AJ39" i="29"/>
  <c r="AH39" i="29"/>
  <c r="AL42" i="4" l="1"/>
  <c r="AS38" i="29"/>
  <c r="AM39" i="29"/>
  <c r="AL39" i="29"/>
  <c r="AN39" i="29"/>
  <c r="AQ39" i="29"/>
  <c r="AR39" i="29"/>
  <c r="AP39" i="29"/>
  <c r="AE40" i="29"/>
  <c r="AH52" i="4"/>
  <c r="AI51" i="4"/>
  <c r="AJ51" i="4" s="1"/>
  <c r="AK51" i="4" s="1"/>
  <c r="AO38" i="29"/>
  <c r="AG40" i="29"/>
  <c r="AF40" i="29"/>
  <c r="AI40" i="29"/>
  <c r="AJ40" i="29"/>
  <c r="AH40" i="29"/>
  <c r="AK40" i="29"/>
  <c r="AL43" i="4" l="1"/>
  <c r="AM40" i="29"/>
  <c r="AL40" i="29"/>
  <c r="AN40" i="29"/>
  <c r="AQ40" i="29"/>
  <c r="AR40" i="29"/>
  <c r="AP40" i="29"/>
  <c r="AI52" i="4"/>
  <c r="AJ52" i="4" s="1"/>
  <c r="AK52" i="4" s="1"/>
  <c r="AH53" i="4"/>
  <c r="AE41" i="29"/>
  <c r="AS39" i="29"/>
  <c r="AO39" i="29"/>
  <c r="AI41" i="29"/>
  <c r="AK41" i="29"/>
  <c r="AH41" i="29"/>
  <c r="AJ41" i="29"/>
  <c r="AG41" i="29"/>
  <c r="AF41" i="29"/>
  <c r="AL44" i="4" l="1"/>
  <c r="AM41" i="29"/>
  <c r="AL41" i="29"/>
  <c r="AN41" i="29"/>
  <c r="AQ41" i="29"/>
  <c r="AR41" i="29"/>
  <c r="AP41" i="29"/>
  <c r="AS40" i="29"/>
  <c r="AO40" i="29"/>
  <c r="AE42" i="29"/>
  <c r="AH54" i="4"/>
  <c r="AI53" i="4"/>
  <c r="AJ53" i="4" s="1"/>
  <c r="AK53" i="4" s="1"/>
  <c r="AH42" i="29"/>
  <c r="AJ42" i="29"/>
  <c r="AF42" i="29"/>
  <c r="AK42" i="29"/>
  <c r="AG42" i="29"/>
  <c r="AI42" i="29"/>
  <c r="AL45" i="4" l="1"/>
  <c r="AM42" i="29"/>
  <c r="AL42" i="29"/>
  <c r="AN42" i="29"/>
  <c r="AQ42" i="29"/>
  <c r="AR42" i="29"/>
  <c r="AP42" i="29"/>
  <c r="AI54" i="4"/>
  <c r="AJ54" i="4" s="1"/>
  <c r="AK54" i="4" s="1"/>
  <c r="AH55" i="4"/>
  <c r="AE43" i="29"/>
  <c r="AO41" i="29"/>
  <c r="AS41" i="29"/>
  <c r="AH43" i="29"/>
  <c r="AJ43" i="29"/>
  <c r="AF43" i="29"/>
  <c r="AI43" i="29"/>
  <c r="AK43" i="29"/>
  <c r="AG43" i="29"/>
  <c r="AL46" i="4" l="1"/>
  <c r="AM43" i="29"/>
  <c r="AL43" i="29"/>
  <c r="AN43" i="29"/>
  <c r="AQ43" i="29"/>
  <c r="AP43" i="29"/>
  <c r="AR43" i="29"/>
  <c r="AE44" i="29"/>
  <c r="AO42" i="29"/>
  <c r="AI55" i="4"/>
  <c r="AJ55" i="4" s="1"/>
  <c r="AK55" i="4" s="1"/>
  <c r="AH56" i="4"/>
  <c r="AS42" i="29"/>
  <c r="AG44" i="29"/>
  <c r="AH44" i="29"/>
  <c r="AJ44" i="29"/>
  <c r="AF44" i="29"/>
  <c r="AK44" i="29"/>
  <c r="AI44" i="29"/>
  <c r="AL47" i="4" l="1"/>
  <c r="AM44" i="29"/>
  <c r="AL44" i="29"/>
  <c r="AN44" i="29"/>
  <c r="AQ44" i="29"/>
  <c r="AR44" i="29"/>
  <c r="AP44" i="29"/>
  <c r="AE45" i="29"/>
  <c r="AH57" i="4"/>
  <c r="AI56" i="4"/>
  <c r="AJ56" i="4" s="1"/>
  <c r="AK56" i="4" s="1"/>
  <c r="AS43" i="29"/>
  <c r="AO43" i="29"/>
  <c r="AH45" i="29"/>
  <c r="AJ45" i="29"/>
  <c r="AI45" i="29"/>
  <c r="AF45" i="29"/>
  <c r="AG45" i="29"/>
  <c r="AK45" i="29"/>
  <c r="AL48" i="4" l="1"/>
  <c r="AS44" i="29"/>
  <c r="AM45" i="29"/>
  <c r="AL45" i="29"/>
  <c r="AN45" i="29"/>
  <c r="AQ45" i="29"/>
  <c r="AR45" i="29"/>
  <c r="AP45" i="29"/>
  <c r="AE46" i="29"/>
  <c r="AI57" i="4"/>
  <c r="AJ57" i="4" s="1"/>
  <c r="AK57" i="4" s="1"/>
  <c r="AH58" i="4"/>
  <c r="AO44" i="29"/>
  <c r="AG46" i="29"/>
  <c r="AI46" i="29"/>
  <c r="AJ46" i="29"/>
  <c r="AK46" i="29"/>
  <c r="AF46" i="29"/>
  <c r="AH46" i="29"/>
  <c r="AL49" i="4" l="1"/>
  <c r="AM46" i="29"/>
  <c r="AL46" i="29"/>
  <c r="AN46" i="29"/>
  <c r="AQ46" i="29"/>
  <c r="AP46" i="29"/>
  <c r="AR46" i="29"/>
  <c r="AO45" i="29"/>
  <c r="AE47" i="29"/>
  <c r="AH59" i="4"/>
  <c r="AI58" i="4"/>
  <c r="AJ58" i="4" s="1"/>
  <c r="AK58" i="4" s="1"/>
  <c r="AS45" i="29"/>
  <c r="AI47" i="29"/>
  <c r="AH47" i="29"/>
  <c r="AF47" i="29"/>
  <c r="AK47" i="29"/>
  <c r="AJ47" i="29"/>
  <c r="AG47" i="29"/>
  <c r="AL50" i="4" l="1"/>
  <c r="AM47" i="29"/>
  <c r="AL47" i="29"/>
  <c r="AN47" i="29"/>
  <c r="AQ47" i="29"/>
  <c r="AP47" i="29"/>
  <c r="AR47" i="29"/>
  <c r="AS46" i="29"/>
  <c r="AE48" i="29"/>
  <c r="AO46" i="29"/>
  <c r="AH60" i="4"/>
  <c r="AI59" i="4"/>
  <c r="AJ59" i="4" s="1"/>
  <c r="AK59" i="4" s="1"/>
  <c r="AH48" i="29"/>
  <c r="AG48" i="29"/>
  <c r="AF48" i="29"/>
  <c r="AK48" i="29"/>
  <c r="AI48" i="29"/>
  <c r="AJ48" i="29"/>
  <c r="AL51" i="4" l="1"/>
  <c r="AM48" i="29"/>
  <c r="AL48" i="29"/>
  <c r="AN48" i="29"/>
  <c r="AQ48" i="29"/>
  <c r="AP48" i="29"/>
  <c r="AR48" i="29"/>
  <c r="AI60" i="4"/>
  <c r="AJ60" i="4" s="1"/>
  <c r="AK60" i="4" s="1"/>
  <c r="AH61" i="4"/>
  <c r="AE49" i="29"/>
  <c r="AO47" i="29"/>
  <c r="AS47" i="29"/>
  <c r="AG49" i="29"/>
  <c r="AJ49" i="29"/>
  <c r="AH49" i="29"/>
  <c r="AF49" i="29"/>
  <c r="AI49" i="29"/>
  <c r="AK49" i="29"/>
  <c r="AL52" i="4" l="1"/>
  <c r="AM49" i="29"/>
  <c r="AL49" i="29"/>
  <c r="AN49" i="29"/>
  <c r="AQ49" i="29"/>
  <c r="AP49" i="29"/>
  <c r="AR49" i="29"/>
  <c r="AH62" i="4"/>
  <c r="AI61" i="4"/>
  <c r="AJ61" i="4" s="1"/>
  <c r="AK61" i="4" s="1"/>
  <c r="AO48" i="29"/>
  <c r="AE50" i="29"/>
  <c r="AS48" i="29"/>
  <c r="AI50" i="29"/>
  <c r="AG50" i="29"/>
  <c r="AJ50" i="29"/>
  <c r="AF50" i="29"/>
  <c r="AH50" i="29"/>
  <c r="AK50" i="29"/>
  <c r="AL53" i="4" l="1"/>
  <c r="AM50" i="29"/>
  <c r="AL50" i="29"/>
  <c r="AN50" i="29"/>
  <c r="AQ50" i="29"/>
  <c r="AR50" i="29"/>
  <c r="AP50" i="29"/>
  <c r="AO49" i="29"/>
  <c r="AI62" i="4"/>
  <c r="AJ62" i="4" s="1"/>
  <c r="AK62" i="4" s="1"/>
  <c r="AH63" i="4"/>
  <c r="AE51" i="29"/>
  <c r="AS49" i="29"/>
  <c r="AH51" i="29"/>
  <c r="AG51" i="29"/>
  <c r="AF51" i="29"/>
  <c r="AJ51" i="29"/>
  <c r="AK51" i="29"/>
  <c r="AI51" i="29"/>
  <c r="AL54" i="4" l="1"/>
  <c r="AS50" i="29"/>
  <c r="AM51" i="29"/>
  <c r="AL51" i="29"/>
  <c r="AN51" i="29"/>
  <c r="AQ51" i="29"/>
  <c r="AP51" i="29"/>
  <c r="AR51" i="29"/>
  <c r="AE52" i="29"/>
  <c r="AI63" i="4"/>
  <c r="AJ63" i="4" s="1"/>
  <c r="AK63" i="4" s="1"/>
  <c r="AH64" i="4"/>
  <c r="AO50" i="29"/>
  <c r="AH52" i="29"/>
  <c r="AK52" i="29"/>
  <c r="AI52" i="29"/>
  <c r="AG52" i="29"/>
  <c r="AF52" i="29"/>
  <c r="AJ52" i="29"/>
  <c r="AL55" i="4" l="1"/>
  <c r="AS51" i="29"/>
  <c r="AM52" i="29"/>
  <c r="AL52" i="29"/>
  <c r="AN52" i="29"/>
  <c r="AQ52" i="29"/>
  <c r="AR52" i="29"/>
  <c r="AP52" i="29"/>
  <c r="AE53" i="29"/>
  <c r="AH65" i="4"/>
  <c r="AI64" i="4"/>
  <c r="AJ64" i="4" s="1"/>
  <c r="AK64" i="4" s="1"/>
  <c r="AO51" i="29"/>
  <c r="AK53" i="29"/>
  <c r="AG53" i="29"/>
  <c r="AH53" i="29"/>
  <c r="AF53" i="29"/>
  <c r="AI53" i="29"/>
  <c r="AJ53" i="29"/>
  <c r="AL56" i="4" l="1"/>
  <c r="AM53" i="29"/>
  <c r="AL53" i="29"/>
  <c r="AN53" i="29"/>
  <c r="AQ53" i="29"/>
  <c r="AR53" i="29"/>
  <c r="AP53" i="29"/>
  <c r="AE54" i="29"/>
  <c r="AS52" i="29"/>
  <c r="AI65" i="4"/>
  <c r="AJ65" i="4" s="1"/>
  <c r="AK65" i="4" s="1"/>
  <c r="AH66" i="4"/>
  <c r="AO52" i="29"/>
  <c r="AI54" i="29"/>
  <c r="AG54" i="29"/>
  <c r="AK54" i="29"/>
  <c r="AH54" i="29"/>
  <c r="AJ54" i="29"/>
  <c r="AF54" i="29"/>
  <c r="AL57" i="4" l="1"/>
  <c r="AM54" i="29"/>
  <c r="AL54" i="29"/>
  <c r="AN54" i="29"/>
  <c r="AQ54" i="29"/>
  <c r="AR54" i="29"/>
  <c r="AP54" i="29"/>
  <c r="AO53" i="29"/>
  <c r="AE55" i="29"/>
  <c r="AH67" i="4"/>
  <c r="AI66" i="4"/>
  <c r="AJ66" i="4" s="1"/>
  <c r="AK66" i="4" s="1"/>
  <c r="AS53" i="29"/>
  <c r="AJ55" i="29"/>
  <c r="AH55" i="29"/>
  <c r="AF55" i="29"/>
  <c r="AK55" i="29"/>
  <c r="AG55" i="29"/>
  <c r="AI55" i="29"/>
  <c r="AL58" i="4" l="1"/>
  <c r="AM55" i="29"/>
  <c r="AL55" i="29"/>
  <c r="AN55" i="29"/>
  <c r="AQ55" i="29"/>
  <c r="AR55" i="29"/>
  <c r="AP55" i="29"/>
  <c r="AH68" i="4"/>
  <c r="AI67" i="4"/>
  <c r="AJ67" i="4" s="1"/>
  <c r="AK67" i="4" s="1"/>
  <c r="AE56" i="29"/>
  <c r="AO54" i="29"/>
  <c r="AS54" i="29"/>
  <c r="AJ56" i="29"/>
  <c r="AK56" i="29"/>
  <c r="AH56" i="29"/>
  <c r="AF56" i="29"/>
  <c r="AI56" i="29"/>
  <c r="AG56" i="29"/>
  <c r="AL59" i="4" l="1"/>
  <c r="AS55" i="29"/>
  <c r="AM56" i="29"/>
  <c r="AL56" i="29"/>
  <c r="AN56" i="29"/>
  <c r="AQ56" i="29"/>
  <c r="AR56" i="29"/>
  <c r="AP56" i="29"/>
  <c r="AI68" i="4"/>
  <c r="AJ68" i="4" s="1"/>
  <c r="AK68" i="4" s="1"/>
  <c r="AH69" i="4"/>
  <c r="AE57" i="29"/>
  <c r="AO55" i="29"/>
  <c r="AG57" i="29"/>
  <c r="AH57" i="29"/>
  <c r="AF57" i="29"/>
  <c r="AK57" i="29"/>
  <c r="AI57" i="29"/>
  <c r="AJ57" i="29"/>
  <c r="AL60" i="4" l="1"/>
  <c r="AM57" i="29"/>
  <c r="AL57" i="29"/>
  <c r="AN57" i="29"/>
  <c r="AQ57" i="29"/>
  <c r="AR57" i="29"/>
  <c r="AP57" i="29"/>
  <c r="AE58" i="29"/>
  <c r="AS56" i="29"/>
  <c r="AI69" i="4"/>
  <c r="AJ69" i="4" s="1"/>
  <c r="AK69" i="4" s="1"/>
  <c r="AH70" i="4"/>
  <c r="AO56" i="29"/>
  <c r="AI58" i="29"/>
  <c r="AF58" i="29"/>
  <c r="AK58" i="29"/>
  <c r="AH58" i="29"/>
  <c r="AS32" i="4"/>
  <c r="AJ58" i="29"/>
  <c r="AG58" i="29"/>
  <c r="AL61" i="4" l="1"/>
  <c r="AM58" i="29"/>
  <c r="AL58" i="29"/>
  <c r="AN58" i="29"/>
  <c r="AQ58" i="29"/>
  <c r="AR58" i="29"/>
  <c r="AP58" i="29"/>
  <c r="AO57" i="29"/>
  <c r="AE59" i="29"/>
  <c r="AH71" i="4"/>
  <c r="AI70" i="4"/>
  <c r="AJ70" i="4" s="1"/>
  <c r="AK70" i="4" s="1"/>
  <c r="AS57" i="29"/>
  <c r="AI59" i="29"/>
  <c r="AF59" i="29"/>
  <c r="AK59" i="29"/>
  <c r="AH59" i="29"/>
  <c r="AG59" i="29"/>
  <c r="AJ59" i="29"/>
  <c r="AL62" i="4" l="1"/>
  <c r="AM59" i="29"/>
  <c r="AL59" i="29"/>
  <c r="AN59" i="29"/>
  <c r="AQ59" i="29"/>
  <c r="AP59" i="29"/>
  <c r="AR59" i="29"/>
  <c r="AE60" i="29"/>
  <c r="AO58" i="29"/>
  <c r="AI71" i="4"/>
  <c r="AJ71" i="4" s="1"/>
  <c r="AK71" i="4" s="1"/>
  <c r="AH72" i="4"/>
  <c r="AS58" i="29"/>
  <c r="AJ60" i="29"/>
  <c r="AF60" i="29"/>
  <c r="AH60" i="29"/>
  <c r="AK60" i="29"/>
  <c r="AG60" i="29"/>
  <c r="AI60" i="29"/>
  <c r="AL63" i="4" l="1"/>
  <c r="AM60" i="29"/>
  <c r="AL60" i="29"/>
  <c r="AN60" i="29"/>
  <c r="AQ60" i="29"/>
  <c r="AP60" i="29"/>
  <c r="AR60" i="29"/>
  <c r="AH73" i="4"/>
  <c r="AI72" i="4"/>
  <c r="AJ72" i="4" s="1"/>
  <c r="AK72" i="4" s="1"/>
  <c r="AS59" i="29"/>
  <c r="AO59" i="29"/>
  <c r="AE61" i="29"/>
  <c r="AF61" i="29"/>
  <c r="AJ61" i="29"/>
  <c r="AG61" i="29"/>
  <c r="AI61" i="29"/>
  <c r="AH61" i="29"/>
  <c r="AK61" i="29"/>
  <c r="AL64" i="4" l="1"/>
  <c r="AM61" i="29"/>
  <c r="AL61" i="29"/>
  <c r="AN61" i="29"/>
  <c r="AQ61" i="29"/>
  <c r="AR61" i="29"/>
  <c r="AP61" i="29"/>
  <c r="AH74" i="4"/>
  <c r="AI73" i="4"/>
  <c r="AJ73" i="4" s="1"/>
  <c r="AK73" i="4" s="1"/>
  <c r="AO60" i="29"/>
  <c r="AE62" i="29"/>
  <c r="AS60" i="29"/>
  <c r="AF62" i="29"/>
  <c r="AG62" i="29"/>
  <c r="AK62" i="29"/>
  <c r="AJ62" i="29"/>
  <c r="AI62" i="29"/>
  <c r="AH62" i="29"/>
  <c r="AL65" i="4" l="1"/>
  <c r="AM62" i="29"/>
  <c r="AL62" i="29"/>
  <c r="AN62" i="29"/>
  <c r="AQ62" i="29"/>
  <c r="AP62" i="29"/>
  <c r="AR62" i="29"/>
  <c r="AO61" i="29"/>
  <c r="AI74" i="4"/>
  <c r="AJ74" i="4" s="1"/>
  <c r="AK74" i="4" s="1"/>
  <c r="AH75" i="4"/>
  <c r="AE63" i="29"/>
  <c r="AS61" i="29"/>
  <c r="AF63" i="29"/>
  <c r="AH63" i="29"/>
  <c r="AJ63" i="29"/>
  <c r="AK63" i="29"/>
  <c r="AG63" i="29"/>
  <c r="AI63" i="29"/>
  <c r="AL66" i="4" l="1"/>
  <c r="AS62" i="29"/>
  <c r="AM63" i="29"/>
  <c r="AL63" i="29"/>
  <c r="AN63" i="29"/>
  <c r="AQ63" i="29"/>
  <c r="AR63" i="29"/>
  <c r="AP63" i="29"/>
  <c r="AE64" i="29"/>
  <c r="AH76" i="4"/>
  <c r="AI75" i="4"/>
  <c r="AJ75" i="4" s="1"/>
  <c r="AK75" i="4" s="1"/>
  <c r="AO62" i="29"/>
  <c r="AG64" i="29"/>
  <c r="AJ64" i="29"/>
  <c r="AF64" i="29"/>
  <c r="AH64" i="29"/>
  <c r="AI64" i="29"/>
  <c r="AK64" i="29"/>
  <c r="AL67" i="4" l="1"/>
  <c r="AO63" i="29"/>
  <c r="AM64" i="29"/>
  <c r="AL64" i="29"/>
  <c r="AN64" i="29"/>
  <c r="AQ64" i="29"/>
  <c r="AR64" i="29"/>
  <c r="AP64" i="29"/>
  <c r="AE65" i="29"/>
  <c r="AI76" i="4"/>
  <c r="AJ76" i="4" s="1"/>
  <c r="AK76" i="4" s="1"/>
  <c r="AH77" i="4"/>
  <c r="AS63" i="29"/>
  <c r="AF65" i="29"/>
  <c r="AH65" i="29"/>
  <c r="AJ65" i="29"/>
  <c r="AK65" i="29"/>
  <c r="AI65" i="29"/>
  <c r="AG65" i="29"/>
  <c r="AL68" i="4" l="1"/>
  <c r="AM65" i="29"/>
  <c r="AL65" i="29"/>
  <c r="AN65" i="29"/>
  <c r="AQ65" i="29"/>
  <c r="AP65" i="29"/>
  <c r="AR65" i="29"/>
  <c r="AO64" i="29"/>
  <c r="AE66" i="29"/>
  <c r="AI77" i="4"/>
  <c r="AJ77" i="4" s="1"/>
  <c r="AK77" i="4" s="1"/>
  <c r="AH78" i="4"/>
  <c r="AS64" i="29"/>
  <c r="AI66" i="29"/>
  <c r="AK66" i="29"/>
  <c r="AJ66" i="29"/>
  <c r="AH66" i="29"/>
  <c r="AF66" i="29"/>
  <c r="AG66" i="29"/>
  <c r="AL69" i="4" l="1"/>
  <c r="AM66" i="29"/>
  <c r="AL66" i="29"/>
  <c r="AN66" i="29"/>
  <c r="AQ66" i="29"/>
  <c r="AR66" i="29"/>
  <c r="AP66" i="29"/>
  <c r="AS65" i="29"/>
  <c r="AH79" i="4"/>
  <c r="AI78" i="4"/>
  <c r="AJ78" i="4" s="1"/>
  <c r="AK78" i="4" s="1"/>
  <c r="AE67" i="29"/>
  <c r="AO65" i="29"/>
  <c r="AI67" i="29"/>
  <c r="AG67" i="29"/>
  <c r="AK67" i="29"/>
  <c r="AJ67" i="29"/>
  <c r="AH67" i="29"/>
  <c r="AF67" i="29"/>
  <c r="AL70" i="4" l="1"/>
  <c r="AM67" i="29"/>
  <c r="AL67" i="29"/>
  <c r="AN67" i="29"/>
  <c r="AQ67" i="29"/>
  <c r="AP67" i="29"/>
  <c r="AR67" i="29"/>
  <c r="AE68" i="29"/>
  <c r="AS66" i="29"/>
  <c r="AI79" i="4"/>
  <c r="AJ79" i="4" s="1"/>
  <c r="AK79" i="4" s="1"/>
  <c r="AH80" i="4"/>
  <c r="AO66" i="29"/>
  <c r="AH68" i="29"/>
  <c r="AJ68" i="29"/>
  <c r="AI68" i="29"/>
  <c r="AG68" i="29"/>
  <c r="AK68" i="29"/>
  <c r="AF68" i="29"/>
  <c r="AL71" i="4" l="1"/>
  <c r="AS67" i="29"/>
  <c r="AO67" i="29"/>
  <c r="AM68" i="29"/>
  <c r="AL68" i="29"/>
  <c r="AN68" i="29"/>
  <c r="AQ68" i="29"/>
  <c r="AP68" i="29"/>
  <c r="AR68" i="29"/>
  <c r="AE69" i="29"/>
  <c r="AH81" i="4"/>
  <c r="AI80" i="4"/>
  <c r="AJ80" i="4" s="1"/>
  <c r="AK80" i="4" s="1"/>
  <c r="AG69" i="29"/>
  <c r="AK69" i="29"/>
  <c r="AI69" i="29"/>
  <c r="AF69" i="29"/>
  <c r="AJ69" i="29"/>
  <c r="AH69" i="29"/>
  <c r="AL72" i="4" l="1"/>
  <c r="AM69" i="29"/>
  <c r="AL69" i="29"/>
  <c r="AN69" i="29"/>
  <c r="AQ69" i="29"/>
  <c r="AP69" i="29"/>
  <c r="AR69" i="29"/>
  <c r="AE70" i="29"/>
  <c r="AH82" i="4"/>
  <c r="AI81" i="4"/>
  <c r="AJ81" i="4" s="1"/>
  <c r="AK81" i="4" s="1"/>
  <c r="AO68" i="29"/>
  <c r="AS68" i="29"/>
  <c r="AG70" i="29"/>
  <c r="AF70" i="29"/>
  <c r="AK70" i="29"/>
  <c r="AH70" i="29"/>
  <c r="AI70" i="29"/>
  <c r="AJ70" i="29"/>
  <c r="AL73" i="4" l="1"/>
  <c r="AM70" i="29"/>
  <c r="AL70" i="29"/>
  <c r="AN70" i="29"/>
  <c r="AQ70" i="29"/>
  <c r="AR70" i="29"/>
  <c r="AP70" i="29"/>
  <c r="AI82" i="4"/>
  <c r="AJ82" i="4" s="1"/>
  <c r="AK82" i="4" s="1"/>
  <c r="AH83" i="4"/>
  <c r="AO69" i="29"/>
  <c r="AE71" i="29"/>
  <c r="AS69" i="29"/>
  <c r="AF71" i="29"/>
  <c r="AI71" i="29"/>
  <c r="AH71" i="29"/>
  <c r="AG71" i="29"/>
  <c r="AK71" i="29"/>
  <c r="AJ71" i="29"/>
  <c r="AL74" i="4" l="1"/>
  <c r="AM71" i="29"/>
  <c r="AL71" i="29"/>
  <c r="AN71" i="29"/>
  <c r="AQ71" i="29"/>
  <c r="AP71" i="29"/>
  <c r="AR71" i="29"/>
  <c r="AO70" i="29"/>
  <c r="AE72" i="29"/>
  <c r="AS70" i="29"/>
  <c r="AH84" i="4"/>
  <c r="AI83" i="4"/>
  <c r="AJ83" i="4" s="1"/>
  <c r="AK83" i="4" s="1"/>
  <c r="AH72" i="29"/>
  <c r="AJ72" i="29"/>
  <c r="AF72" i="29"/>
  <c r="AK72" i="29"/>
  <c r="AI72" i="29"/>
  <c r="AG72" i="29"/>
  <c r="AL75" i="4" l="1"/>
  <c r="AM72" i="29"/>
  <c r="AL72" i="29"/>
  <c r="AN72" i="29"/>
  <c r="AQ72" i="29"/>
  <c r="AP72" i="29"/>
  <c r="AR72" i="29"/>
  <c r="AI84" i="4"/>
  <c r="AJ84" i="4" s="1"/>
  <c r="AK84" i="4" s="1"/>
  <c r="AH85" i="4"/>
  <c r="AE73" i="29"/>
  <c r="AO71" i="29"/>
  <c r="AS71" i="29"/>
  <c r="AI73" i="29"/>
  <c r="AG73" i="29"/>
  <c r="AH73" i="29"/>
  <c r="AK73" i="29"/>
  <c r="AJ73" i="29"/>
  <c r="AF73" i="29"/>
  <c r="AL76" i="4" l="1"/>
  <c r="AM73" i="29"/>
  <c r="AL73" i="29"/>
  <c r="AN73" i="29"/>
  <c r="AQ73" i="29"/>
  <c r="AR73" i="29"/>
  <c r="AP73" i="29"/>
  <c r="AS72" i="29"/>
  <c r="AE74" i="29"/>
  <c r="AI85" i="4"/>
  <c r="AJ85" i="4" s="1"/>
  <c r="AK85" i="4" s="1"/>
  <c r="AH86" i="4"/>
  <c r="AO72" i="29"/>
  <c r="AJ74" i="29"/>
  <c r="AF74" i="29"/>
  <c r="AI74" i="29"/>
  <c r="AK74" i="29"/>
  <c r="AH74" i="29"/>
  <c r="AG74" i="29"/>
  <c r="AL77" i="4" l="1"/>
  <c r="AO73" i="29"/>
  <c r="AM74" i="29"/>
  <c r="AL74" i="29"/>
  <c r="AN74" i="29"/>
  <c r="AQ74" i="29"/>
  <c r="AR74" i="29"/>
  <c r="AP74" i="29"/>
  <c r="AH87" i="4"/>
  <c r="AI86" i="4"/>
  <c r="AJ86" i="4" s="1"/>
  <c r="AK86" i="4" s="1"/>
  <c r="AS73" i="29"/>
  <c r="AE75" i="29"/>
  <c r="AG75" i="29"/>
  <c r="AK75" i="29"/>
  <c r="AH75" i="29"/>
  <c r="AI75" i="29"/>
  <c r="AJ75" i="29"/>
  <c r="AF75" i="29"/>
  <c r="AL78" i="4" l="1"/>
  <c r="AO74" i="29"/>
  <c r="AM75" i="29"/>
  <c r="AL75" i="29"/>
  <c r="AN75" i="29"/>
  <c r="AQ75" i="29"/>
  <c r="AP75" i="29"/>
  <c r="AR75" i="29"/>
  <c r="AI87" i="4"/>
  <c r="AJ87" i="4" s="1"/>
  <c r="AK87" i="4" s="1"/>
  <c r="AH88" i="4"/>
  <c r="AE76" i="29"/>
  <c r="AS74" i="29"/>
  <c r="AK76" i="29"/>
  <c r="AF76" i="29"/>
  <c r="AH76" i="29"/>
  <c r="AJ76" i="29"/>
  <c r="AG76" i="29"/>
  <c r="AI76" i="29"/>
  <c r="AL79" i="4" l="1"/>
  <c r="AM76" i="29"/>
  <c r="AL76" i="29"/>
  <c r="AN76" i="29"/>
  <c r="AQ76" i="29"/>
  <c r="AP76" i="29"/>
  <c r="AR76" i="29"/>
  <c r="AS75" i="29"/>
  <c r="AO75" i="29"/>
  <c r="AE77" i="29"/>
  <c r="AH89" i="4"/>
  <c r="AI88" i="4"/>
  <c r="AJ88" i="4" s="1"/>
  <c r="AK88" i="4" s="1"/>
  <c r="AI77" i="29"/>
  <c r="AH77" i="29"/>
  <c r="AF77" i="29"/>
  <c r="AK77" i="29"/>
  <c r="AG77" i="29"/>
  <c r="AJ77" i="29"/>
  <c r="AL80" i="4" l="1"/>
  <c r="AM77" i="29"/>
  <c r="AL77" i="29"/>
  <c r="AN77" i="29"/>
  <c r="AQ77" i="29"/>
  <c r="AR77" i="29"/>
  <c r="AP77" i="29"/>
  <c r="AH90" i="4"/>
  <c r="AI89" i="4"/>
  <c r="AJ89" i="4" s="1"/>
  <c r="AK89" i="4" s="1"/>
  <c r="AS76" i="29"/>
  <c r="AO76" i="29"/>
  <c r="AE78" i="29"/>
  <c r="AH78" i="29"/>
  <c r="AI78" i="29"/>
  <c r="AG78" i="29"/>
  <c r="AF78" i="29"/>
  <c r="AK78" i="29"/>
  <c r="AJ78" i="29"/>
  <c r="AL81" i="4" l="1"/>
  <c r="AS77" i="29"/>
  <c r="AM78" i="29"/>
  <c r="AL78" i="29"/>
  <c r="AN78" i="29"/>
  <c r="AQ78" i="29"/>
  <c r="AR78" i="29"/>
  <c r="AP78" i="29"/>
  <c r="AI90" i="4"/>
  <c r="AJ90" i="4" s="1"/>
  <c r="AK90" i="4" s="1"/>
  <c r="AH91" i="4"/>
  <c r="AE79" i="29"/>
  <c r="AO77" i="29"/>
  <c r="AI79" i="29"/>
  <c r="AG79" i="29"/>
  <c r="AJ79" i="29"/>
  <c r="AK79" i="29"/>
  <c r="AF79" i="29"/>
  <c r="AH79" i="29"/>
  <c r="AL82" i="4" l="1"/>
  <c r="AO78" i="29"/>
  <c r="AM79" i="29"/>
  <c r="AL79" i="29"/>
  <c r="AN79" i="29"/>
  <c r="AQ79" i="29"/>
  <c r="AP79" i="29"/>
  <c r="AR79" i="29"/>
  <c r="AS78" i="29"/>
  <c r="AE80" i="29"/>
  <c r="AH92" i="4"/>
  <c r="AI91" i="4"/>
  <c r="AJ91" i="4" s="1"/>
  <c r="AK91" i="4" s="1"/>
  <c r="AI80" i="29"/>
  <c r="AJ80" i="29"/>
  <c r="AG80" i="29"/>
  <c r="AK80" i="29"/>
  <c r="AF80" i="29"/>
  <c r="AH80" i="29"/>
  <c r="AL83" i="4" l="1"/>
  <c r="AM80" i="29"/>
  <c r="AL80" i="29"/>
  <c r="AN80" i="29"/>
  <c r="AQ80" i="29"/>
  <c r="AR80" i="29"/>
  <c r="AP80" i="29"/>
  <c r="AI92" i="4"/>
  <c r="AJ92" i="4" s="1"/>
  <c r="AK92" i="4" s="1"/>
  <c r="AH93" i="4"/>
  <c r="AE81" i="29"/>
  <c r="AO79" i="29"/>
  <c r="AS79" i="29"/>
  <c r="AK81" i="29"/>
  <c r="AJ81" i="29"/>
  <c r="AI81" i="29"/>
  <c r="AH81" i="29"/>
  <c r="AG81" i="29"/>
  <c r="AF81" i="29"/>
  <c r="AL84" i="4" l="1"/>
  <c r="AO80" i="29"/>
  <c r="AM81" i="29"/>
  <c r="AL81" i="29"/>
  <c r="AN81" i="29"/>
  <c r="AQ81" i="29"/>
  <c r="AP81" i="29"/>
  <c r="AR81" i="29"/>
  <c r="AI93" i="4"/>
  <c r="AJ93" i="4" s="1"/>
  <c r="AK93" i="4" s="1"/>
  <c r="AH94" i="4"/>
  <c r="AS80" i="29"/>
  <c r="AE82" i="29"/>
  <c r="AF82" i="29"/>
  <c r="AJ82" i="29"/>
  <c r="AI82" i="29"/>
  <c r="AH82" i="29"/>
  <c r="AG82" i="29"/>
  <c r="AK82" i="29"/>
  <c r="AL85" i="4" l="1"/>
  <c r="AM82" i="29"/>
  <c r="AL82" i="29"/>
  <c r="AN82" i="29"/>
  <c r="AQ82" i="29"/>
  <c r="AR82" i="29"/>
  <c r="AP82" i="29"/>
  <c r="AH95" i="4"/>
  <c r="AI94" i="4"/>
  <c r="AJ94" i="4" s="1"/>
  <c r="AK94" i="4" s="1"/>
  <c r="AO81" i="29"/>
  <c r="AE83" i="29"/>
  <c r="AS81" i="29"/>
  <c r="AI83" i="29"/>
  <c r="AG83" i="29"/>
  <c r="AF83" i="29"/>
  <c r="AJ83" i="29"/>
  <c r="AH83" i="29"/>
  <c r="AK83" i="29"/>
  <c r="AL86" i="4" l="1"/>
  <c r="AM83" i="29"/>
  <c r="AL83" i="29"/>
  <c r="AN83" i="29"/>
  <c r="AQ83" i="29"/>
  <c r="AP83" i="29"/>
  <c r="AR83" i="29"/>
  <c r="AE84" i="29"/>
  <c r="AO82" i="29"/>
  <c r="AH96" i="4"/>
  <c r="AI95" i="4"/>
  <c r="AJ95" i="4" s="1"/>
  <c r="AK95" i="4" s="1"/>
  <c r="AS82" i="29"/>
  <c r="AJ84" i="29"/>
  <c r="AF84" i="29"/>
  <c r="AK84" i="29"/>
  <c r="AI84" i="29"/>
  <c r="AG84" i="29"/>
  <c r="AH84" i="29"/>
  <c r="AL87" i="4" l="1"/>
  <c r="AM84" i="29"/>
  <c r="AL84" i="29"/>
  <c r="AN84" i="29"/>
  <c r="AQ84" i="29"/>
  <c r="AR84" i="29"/>
  <c r="AP84" i="29"/>
  <c r="AI96" i="4"/>
  <c r="AJ96" i="4" s="1"/>
  <c r="AK96" i="4" s="1"/>
  <c r="AH97" i="4"/>
  <c r="AO83" i="29"/>
  <c r="AE85" i="29"/>
  <c r="AS83" i="29"/>
  <c r="AJ85" i="29"/>
  <c r="AI85" i="29"/>
  <c r="AH85" i="29"/>
  <c r="AG85" i="29"/>
  <c r="AK85" i="29"/>
  <c r="AF85" i="29"/>
  <c r="AL88" i="4" l="1"/>
  <c r="AM85" i="29"/>
  <c r="AL85" i="29"/>
  <c r="AN85" i="29"/>
  <c r="AQ85" i="29"/>
  <c r="AP85" i="29"/>
  <c r="AR85" i="29"/>
  <c r="AO84" i="29"/>
  <c r="AH98" i="4"/>
  <c r="AI97" i="4"/>
  <c r="AJ97" i="4" s="1"/>
  <c r="AK97" i="4" s="1"/>
  <c r="AE86" i="29"/>
  <c r="AS84" i="29"/>
  <c r="AJ86" i="29"/>
  <c r="AG86" i="29"/>
  <c r="AF86" i="29"/>
  <c r="AH86" i="29"/>
  <c r="AI86" i="29"/>
  <c r="AK86" i="29"/>
  <c r="AL89" i="4" l="1"/>
  <c r="AM86" i="29"/>
  <c r="AL86" i="29"/>
  <c r="AN86" i="29"/>
  <c r="AQ86" i="29"/>
  <c r="AP86" i="29"/>
  <c r="AR86" i="29"/>
  <c r="AE87" i="29"/>
  <c r="AS85" i="29"/>
  <c r="AI98" i="4"/>
  <c r="AJ98" i="4" s="1"/>
  <c r="AK98" i="4" s="1"/>
  <c r="AH99" i="4"/>
  <c r="AO85" i="29"/>
  <c r="AJ87" i="29"/>
  <c r="AF87" i="29"/>
  <c r="AI87" i="29"/>
  <c r="AK87" i="29"/>
  <c r="AH87" i="29"/>
  <c r="AG87" i="29"/>
  <c r="AL90" i="4" l="1"/>
  <c r="AM87" i="29"/>
  <c r="AL87" i="29"/>
  <c r="AN87" i="29"/>
  <c r="AQ87" i="29"/>
  <c r="AR87" i="29"/>
  <c r="AP87" i="29"/>
  <c r="AE88" i="29"/>
  <c r="AI99" i="4"/>
  <c r="AJ99" i="4" s="1"/>
  <c r="AK99" i="4" s="1"/>
  <c r="AH100" i="4"/>
  <c r="AS86" i="29"/>
  <c r="AO86" i="29"/>
  <c r="AF88" i="29"/>
  <c r="AK88" i="29"/>
  <c r="AG88" i="29"/>
  <c r="AH88" i="29"/>
  <c r="AJ88" i="29"/>
  <c r="AI88" i="29"/>
  <c r="AS33" i="4"/>
  <c r="AL91" i="4" l="1"/>
  <c r="AM88" i="29"/>
  <c r="AL88" i="29"/>
  <c r="AN88" i="29"/>
  <c r="AQ88" i="29"/>
  <c r="AP88" i="29"/>
  <c r="AR88" i="29"/>
  <c r="AO87" i="29"/>
  <c r="AE89" i="29"/>
  <c r="AH101" i="4"/>
  <c r="AI100" i="4"/>
  <c r="AJ100" i="4" s="1"/>
  <c r="AK100" i="4" s="1"/>
  <c r="AS87" i="29"/>
  <c r="AJ89" i="29"/>
  <c r="AF89" i="29"/>
  <c r="AG89" i="29"/>
  <c r="AI89" i="29"/>
  <c r="AH89" i="29"/>
  <c r="AK89" i="29"/>
  <c r="AL92" i="4" l="1"/>
  <c r="AS88" i="29"/>
  <c r="AM89" i="29"/>
  <c r="AL89" i="29"/>
  <c r="AN89" i="29"/>
  <c r="AQ89" i="29"/>
  <c r="AR89" i="29"/>
  <c r="AP89" i="29"/>
  <c r="AI101" i="4"/>
  <c r="AJ101" i="4" s="1"/>
  <c r="AK101" i="4" s="1"/>
  <c r="AH102" i="4"/>
  <c r="AE90" i="29"/>
  <c r="AO88" i="29"/>
  <c r="AI90" i="29"/>
  <c r="AK90" i="29"/>
  <c r="AH90" i="29"/>
  <c r="AG90" i="29"/>
  <c r="AF90" i="29"/>
  <c r="AJ90" i="29"/>
  <c r="AL93" i="4" l="1"/>
  <c r="AS89" i="29"/>
  <c r="AM90" i="29"/>
  <c r="AL90" i="29"/>
  <c r="AN90" i="29"/>
  <c r="AQ90" i="29"/>
  <c r="AR90" i="29"/>
  <c r="AP90" i="29"/>
  <c r="AE91" i="29"/>
  <c r="AH103" i="4"/>
  <c r="AI102" i="4"/>
  <c r="AJ102" i="4" s="1"/>
  <c r="AK102" i="4" s="1"/>
  <c r="AO89" i="29"/>
  <c r="AF91" i="29"/>
  <c r="AI91" i="29"/>
  <c r="AK91" i="29"/>
  <c r="AH91" i="29"/>
  <c r="AJ91" i="29"/>
  <c r="AG91" i="29"/>
  <c r="AL94" i="4" l="1"/>
  <c r="AM91" i="29"/>
  <c r="AL91" i="29"/>
  <c r="AN91" i="29"/>
  <c r="AQ91" i="29"/>
  <c r="AP91" i="29"/>
  <c r="AR91" i="29"/>
  <c r="AH104" i="4"/>
  <c r="AI103" i="4"/>
  <c r="AJ103" i="4" s="1"/>
  <c r="AK103" i="4" s="1"/>
  <c r="AO90" i="29"/>
  <c r="AE92" i="29"/>
  <c r="AS90" i="29"/>
  <c r="AJ92" i="29"/>
  <c r="AF92" i="29"/>
  <c r="AH92" i="29"/>
  <c r="AI92" i="29"/>
  <c r="AK92" i="29"/>
  <c r="AG92" i="29"/>
  <c r="AL95" i="4" l="1"/>
  <c r="AM92" i="29"/>
  <c r="AL92" i="29"/>
  <c r="AN92" i="29"/>
  <c r="AQ92" i="29"/>
  <c r="AR92" i="29"/>
  <c r="AP92" i="29"/>
  <c r="AO91" i="29"/>
  <c r="AI104" i="4"/>
  <c r="AJ104" i="4" s="1"/>
  <c r="AK104" i="4" s="1"/>
  <c r="AH105" i="4"/>
  <c r="AE93" i="29"/>
  <c r="AS91" i="29"/>
  <c r="AK93" i="29"/>
  <c r="AH93" i="29"/>
  <c r="AJ93" i="29"/>
  <c r="AF93" i="29"/>
  <c r="AI93" i="29"/>
  <c r="AG93" i="29"/>
  <c r="AL96" i="4" l="1"/>
  <c r="AM93" i="29"/>
  <c r="AL93" i="29"/>
  <c r="AN93" i="29"/>
  <c r="AQ93" i="29"/>
  <c r="AP93" i="29"/>
  <c r="AR93" i="29"/>
  <c r="AO92" i="29"/>
  <c r="AH106" i="4"/>
  <c r="AI105" i="4"/>
  <c r="AJ105" i="4" s="1"/>
  <c r="AK105" i="4" s="1"/>
  <c r="AE94" i="29"/>
  <c r="AS92" i="29"/>
  <c r="AI94" i="29"/>
  <c r="AJ94" i="29"/>
  <c r="AG94" i="29"/>
  <c r="AH94" i="29"/>
  <c r="AK94" i="29"/>
  <c r="AF94" i="29"/>
  <c r="AL97" i="4" l="1"/>
  <c r="AM94" i="29"/>
  <c r="AL94" i="29"/>
  <c r="AN94" i="29"/>
  <c r="AQ94" i="29"/>
  <c r="AR94" i="29"/>
  <c r="AP94" i="29"/>
  <c r="AI106" i="4"/>
  <c r="AJ106" i="4" s="1"/>
  <c r="AK106" i="4" s="1"/>
  <c r="AH107" i="4"/>
  <c r="AO93" i="29"/>
  <c r="AE95" i="29"/>
  <c r="AS93" i="29"/>
  <c r="AJ95" i="29"/>
  <c r="AI95" i="29"/>
  <c r="AF95" i="29"/>
  <c r="AH95" i="29"/>
  <c r="AG95" i="29"/>
  <c r="AK95" i="29"/>
  <c r="AL98" i="4" l="1"/>
  <c r="AM95" i="29"/>
  <c r="AL95" i="29"/>
  <c r="AN95" i="29"/>
  <c r="AQ95" i="29"/>
  <c r="AP95" i="29"/>
  <c r="AR95" i="29"/>
  <c r="AI107" i="4"/>
  <c r="AJ107" i="4" s="1"/>
  <c r="AK107" i="4" s="1"/>
  <c r="AH108" i="4"/>
  <c r="AO94" i="29"/>
  <c r="AE96" i="29"/>
  <c r="AS94" i="29"/>
  <c r="AJ96" i="29"/>
  <c r="AH96" i="29"/>
  <c r="AG96" i="29"/>
  <c r="AI96" i="29"/>
  <c r="AK96" i="29"/>
  <c r="AF96" i="29"/>
  <c r="AL99" i="4" l="1"/>
  <c r="AM96" i="29"/>
  <c r="AL96" i="29"/>
  <c r="AN96" i="29"/>
  <c r="AQ96" i="29"/>
  <c r="AP96" i="29"/>
  <c r="AR96" i="29"/>
  <c r="AS95" i="29"/>
  <c r="AE97" i="29"/>
  <c r="AH109" i="4"/>
  <c r="AI108" i="4"/>
  <c r="AJ108" i="4" s="1"/>
  <c r="AK108" i="4" s="1"/>
  <c r="AO95" i="29"/>
  <c r="AH97" i="29"/>
  <c r="AG97" i="29"/>
  <c r="AF97" i="29"/>
  <c r="AK97" i="29"/>
  <c r="AJ97" i="29"/>
  <c r="AI97" i="29"/>
  <c r="AL100" i="4" l="1"/>
  <c r="AM97" i="29"/>
  <c r="AL97" i="29"/>
  <c r="AN97" i="29"/>
  <c r="AQ97" i="29"/>
  <c r="AP97" i="29"/>
  <c r="AR97" i="29"/>
  <c r="AS96" i="29"/>
  <c r="AI109" i="4"/>
  <c r="AJ109" i="4" s="1"/>
  <c r="AK109" i="4" s="1"/>
  <c r="AH110" i="4"/>
  <c r="AE98" i="29"/>
  <c r="AO96" i="29"/>
  <c r="AJ98" i="29"/>
  <c r="AH98" i="29"/>
  <c r="AI98" i="29"/>
  <c r="AF98" i="29"/>
  <c r="AK98" i="29"/>
  <c r="AG98" i="29"/>
  <c r="AL101" i="4" l="1"/>
  <c r="AM98" i="29"/>
  <c r="AL98" i="29"/>
  <c r="AN98" i="29"/>
  <c r="AQ98" i="29"/>
  <c r="AR98" i="29"/>
  <c r="AP98" i="29"/>
  <c r="AO97" i="29"/>
  <c r="AH111" i="4"/>
  <c r="AI110" i="4"/>
  <c r="AJ110" i="4" s="1"/>
  <c r="AK110" i="4" s="1"/>
  <c r="AE99" i="29"/>
  <c r="AS97" i="29"/>
  <c r="AH99" i="29"/>
  <c r="AF99" i="29"/>
  <c r="AK99" i="29"/>
  <c r="AI99" i="29"/>
  <c r="AJ99" i="29"/>
  <c r="AG99" i="29"/>
  <c r="AL102" i="4" l="1"/>
  <c r="AO98" i="29"/>
  <c r="AM99" i="29"/>
  <c r="AL99" i="29"/>
  <c r="AN99" i="29"/>
  <c r="AQ99" i="29"/>
  <c r="AP99" i="29"/>
  <c r="AR99" i="29"/>
  <c r="AS98" i="29"/>
  <c r="AE100" i="29"/>
  <c r="AH112" i="4"/>
  <c r="AI111" i="4"/>
  <c r="AJ111" i="4" s="1"/>
  <c r="AK111" i="4" s="1"/>
  <c r="AF100" i="29"/>
  <c r="AK100" i="29"/>
  <c r="AJ100" i="29"/>
  <c r="AG100" i="29"/>
  <c r="AI100" i="29"/>
  <c r="AH100" i="29"/>
  <c r="AL103" i="4" l="1"/>
  <c r="AM100" i="29"/>
  <c r="AL100" i="29"/>
  <c r="AN100" i="29"/>
  <c r="AQ100" i="29"/>
  <c r="AP100" i="29"/>
  <c r="AR100" i="29"/>
  <c r="AI112" i="4"/>
  <c r="AJ112" i="4" s="1"/>
  <c r="AK112" i="4" s="1"/>
  <c r="AH113" i="4"/>
  <c r="AE101" i="29"/>
  <c r="AO99" i="29"/>
  <c r="AS99" i="29"/>
  <c r="AH101" i="29"/>
  <c r="AF101" i="29"/>
  <c r="AK101" i="29"/>
  <c r="AJ101" i="29"/>
  <c r="AI101" i="29"/>
  <c r="AG101" i="29"/>
  <c r="AL104" i="4" l="1"/>
  <c r="AS100" i="29"/>
  <c r="AM101" i="29"/>
  <c r="AL101" i="29"/>
  <c r="AN101" i="29"/>
  <c r="AQ101" i="29"/>
  <c r="AP101" i="29"/>
  <c r="AR101" i="29"/>
  <c r="AE102" i="29"/>
  <c r="AH114" i="4"/>
  <c r="AI113" i="4"/>
  <c r="AJ113" i="4" s="1"/>
  <c r="AK113" i="4" s="1"/>
  <c r="AO100" i="29"/>
  <c r="AH102" i="29"/>
  <c r="AI102" i="29"/>
  <c r="AG102" i="29"/>
  <c r="AK102" i="29"/>
  <c r="AF102" i="29"/>
  <c r="AJ102" i="29"/>
  <c r="AL105" i="4" l="1"/>
  <c r="AM102" i="29"/>
  <c r="AL102" i="29"/>
  <c r="AN102" i="29"/>
  <c r="AQ102" i="29"/>
  <c r="AR102" i="29"/>
  <c r="AP102" i="29"/>
  <c r="AE103" i="29"/>
  <c r="AS101" i="29"/>
  <c r="AI114" i="4"/>
  <c r="AJ114" i="4" s="1"/>
  <c r="AK114" i="4" s="1"/>
  <c r="AH115" i="4"/>
  <c r="AO101" i="29"/>
  <c r="AK103" i="29"/>
  <c r="AI103" i="29"/>
  <c r="AF103" i="29"/>
  <c r="AG103" i="29"/>
  <c r="AH103" i="29"/>
  <c r="AJ103" i="29"/>
  <c r="AL106" i="4" l="1"/>
  <c r="AS102" i="29"/>
  <c r="AM103" i="29"/>
  <c r="AL103" i="29"/>
  <c r="AN103" i="29"/>
  <c r="AQ103" i="29"/>
  <c r="AP103" i="29"/>
  <c r="AR103" i="29"/>
  <c r="AE104" i="29"/>
  <c r="AI115" i="4"/>
  <c r="AJ115" i="4" s="1"/>
  <c r="AK115" i="4" s="1"/>
  <c r="AH116" i="4"/>
  <c r="AO102" i="29"/>
  <c r="AK104" i="29"/>
  <c r="AI104" i="29"/>
  <c r="AG104" i="29"/>
  <c r="AJ104" i="29"/>
  <c r="AH104" i="29"/>
  <c r="AF104" i="29"/>
  <c r="AL107" i="4" l="1"/>
  <c r="AM104" i="29"/>
  <c r="AL104" i="29"/>
  <c r="AN104" i="29"/>
  <c r="AQ104" i="29"/>
  <c r="AP104" i="29"/>
  <c r="AR104" i="29"/>
  <c r="AO103" i="29"/>
  <c r="AE105" i="29"/>
  <c r="AH117" i="4"/>
  <c r="AI116" i="4"/>
  <c r="AJ116" i="4" s="1"/>
  <c r="AK116" i="4" s="1"/>
  <c r="AS103" i="29"/>
  <c r="AF105" i="29"/>
  <c r="AJ105" i="29"/>
  <c r="AI105" i="29"/>
  <c r="AG105" i="29"/>
  <c r="AH105" i="29"/>
  <c r="AK105" i="29"/>
  <c r="AL108" i="4" l="1"/>
  <c r="AS104" i="29"/>
  <c r="AO104" i="29"/>
  <c r="AM105" i="29"/>
  <c r="AL105" i="29"/>
  <c r="AN105" i="29"/>
  <c r="AQ105" i="29"/>
  <c r="AR105" i="29"/>
  <c r="AP105" i="29"/>
  <c r="AE106" i="29"/>
  <c r="AI117" i="4"/>
  <c r="AJ117" i="4" s="1"/>
  <c r="AK117" i="4" s="1"/>
  <c r="AH118" i="4"/>
  <c r="AI106" i="29"/>
  <c r="AK106" i="29"/>
  <c r="AG106" i="29"/>
  <c r="AF106" i="29"/>
  <c r="AH106" i="29"/>
  <c r="AJ106" i="29"/>
  <c r="AL109" i="4" l="1"/>
  <c r="AM106" i="29"/>
  <c r="AL106" i="29"/>
  <c r="AN106" i="29"/>
  <c r="AQ106" i="29"/>
  <c r="AR106" i="29"/>
  <c r="AP106" i="29"/>
  <c r="AO105" i="29"/>
  <c r="AE107" i="29"/>
  <c r="AH119" i="4"/>
  <c r="AI118" i="4"/>
  <c r="AJ118" i="4" s="1"/>
  <c r="AK118" i="4" s="1"/>
  <c r="AS105" i="29"/>
  <c r="AI107" i="29"/>
  <c r="AF107" i="29"/>
  <c r="AG107" i="29"/>
  <c r="AJ107" i="29"/>
  <c r="AH107" i="29"/>
  <c r="AK107" i="29"/>
  <c r="AL110" i="4" l="1"/>
  <c r="AM107" i="29"/>
  <c r="AL107" i="29"/>
  <c r="AN107" i="29"/>
  <c r="AQ107" i="29"/>
  <c r="AP107" i="29"/>
  <c r="AR107" i="29"/>
  <c r="AH120" i="4"/>
  <c r="AI119" i="4"/>
  <c r="AJ119" i="4" s="1"/>
  <c r="AK119" i="4" s="1"/>
  <c r="AE108" i="29"/>
  <c r="AO106" i="29"/>
  <c r="AS106" i="29"/>
  <c r="AJ108" i="29"/>
  <c r="AF108" i="29"/>
  <c r="AH108" i="29"/>
  <c r="AI108" i="29"/>
  <c r="AG108" i="29"/>
  <c r="AK108" i="29"/>
  <c r="AL111" i="4" l="1"/>
  <c r="AM108" i="29"/>
  <c r="AL108" i="29"/>
  <c r="AN108" i="29"/>
  <c r="AQ108" i="29"/>
  <c r="AR108" i="29"/>
  <c r="AP108" i="29"/>
  <c r="AS107" i="29"/>
  <c r="AE109" i="29"/>
  <c r="AO107" i="29"/>
  <c r="AI120" i="4"/>
  <c r="AJ120" i="4" s="1"/>
  <c r="AK120" i="4" s="1"/>
  <c r="AH121" i="4"/>
  <c r="AH109" i="29"/>
  <c r="AJ109" i="29"/>
  <c r="AF109" i="29"/>
  <c r="AK109" i="29"/>
  <c r="AI109" i="29"/>
  <c r="AG109" i="29"/>
  <c r="AL112" i="4" l="1"/>
  <c r="AS108" i="29"/>
  <c r="AM109" i="29"/>
  <c r="AL109" i="29"/>
  <c r="AN109" i="29"/>
  <c r="AQ109" i="29"/>
  <c r="AP109" i="29"/>
  <c r="AR109" i="29"/>
  <c r="AH122" i="4"/>
  <c r="AI121" i="4"/>
  <c r="AJ121" i="4" s="1"/>
  <c r="AK121" i="4" s="1"/>
  <c r="AE110" i="29"/>
  <c r="AO108" i="29"/>
  <c r="AK110" i="29"/>
  <c r="AJ110" i="29"/>
  <c r="AH110" i="29"/>
  <c r="AF110" i="29"/>
  <c r="AI110" i="29"/>
  <c r="AG110" i="29"/>
  <c r="AL113" i="4" l="1"/>
  <c r="AM110" i="29"/>
  <c r="AN110" i="29"/>
  <c r="AL110" i="29"/>
  <c r="AQ110" i="29"/>
  <c r="AR110" i="29"/>
  <c r="AP110" i="29"/>
  <c r="AI122" i="4"/>
  <c r="AJ122" i="4" s="1"/>
  <c r="AK122" i="4" s="1"/>
  <c r="AH123" i="4"/>
  <c r="AS109" i="29"/>
  <c r="AE111" i="29"/>
  <c r="AO109" i="29"/>
  <c r="AK111" i="29"/>
  <c r="AG111" i="29"/>
  <c r="AJ111" i="29"/>
  <c r="AH111" i="29"/>
  <c r="AF111" i="29"/>
  <c r="AI111" i="29"/>
  <c r="AL114" i="4" l="1"/>
  <c r="AM111" i="29"/>
  <c r="AL111" i="29"/>
  <c r="AN111" i="29"/>
  <c r="AQ111" i="29"/>
  <c r="AP111" i="29"/>
  <c r="AR111" i="29"/>
  <c r="AO110" i="29"/>
  <c r="AI123" i="4"/>
  <c r="AJ123" i="4" s="1"/>
  <c r="AK123" i="4" s="1"/>
  <c r="AH124" i="4"/>
  <c r="AE112" i="29"/>
  <c r="AS110" i="29"/>
  <c r="AF112" i="29"/>
  <c r="AJ112" i="29"/>
  <c r="AK112" i="29"/>
  <c r="AI112" i="29"/>
  <c r="AH112" i="29"/>
  <c r="AG112" i="29"/>
  <c r="AL115" i="4" l="1"/>
  <c r="AM112" i="29"/>
  <c r="AL112" i="29"/>
  <c r="AN112" i="29"/>
  <c r="AQ112" i="29"/>
  <c r="AP112" i="29"/>
  <c r="AR112" i="29"/>
  <c r="AE113" i="29"/>
  <c r="AS111" i="29"/>
  <c r="AH125" i="4"/>
  <c r="AI124" i="4"/>
  <c r="AJ124" i="4" s="1"/>
  <c r="AK124" i="4" s="1"/>
  <c r="AO111" i="29"/>
  <c r="AF113" i="29"/>
  <c r="AK113" i="29"/>
  <c r="AI113" i="29"/>
  <c r="AJ113" i="29"/>
  <c r="AH113" i="29"/>
  <c r="AG113" i="29"/>
  <c r="AL116" i="4" l="1"/>
  <c r="AO112" i="29"/>
  <c r="AS112" i="29"/>
  <c r="AM113" i="29"/>
  <c r="AL113" i="29"/>
  <c r="AN113" i="29"/>
  <c r="AQ113" i="29"/>
  <c r="AP113" i="29"/>
  <c r="AR113" i="29"/>
  <c r="AE114" i="29"/>
  <c r="AI125" i="4"/>
  <c r="AJ125" i="4" s="1"/>
  <c r="AK125" i="4" s="1"/>
  <c r="AH126" i="4"/>
  <c r="AK114" i="29"/>
  <c r="AI114" i="29"/>
  <c r="AF114" i="29"/>
  <c r="AG114" i="29"/>
  <c r="AH114" i="29"/>
  <c r="AJ114" i="29"/>
  <c r="AL117" i="4" l="1"/>
  <c r="AO113" i="29"/>
  <c r="AM114" i="29"/>
  <c r="AL114" i="29"/>
  <c r="AN114" i="29"/>
  <c r="AQ114" i="29"/>
  <c r="AP114" i="29"/>
  <c r="AR114" i="29"/>
  <c r="AE115" i="29"/>
  <c r="AS113" i="29"/>
  <c r="AH127" i="4"/>
  <c r="AI126" i="4"/>
  <c r="AJ126" i="4" s="1"/>
  <c r="AK126" i="4" s="1"/>
  <c r="AH115" i="29"/>
  <c r="AK115" i="29"/>
  <c r="AG115" i="29"/>
  <c r="AJ115" i="29"/>
  <c r="AI115" i="29"/>
  <c r="AF115" i="29"/>
  <c r="AL118" i="4" l="1"/>
  <c r="AO114" i="29"/>
  <c r="AS114" i="29"/>
  <c r="AM115" i="29"/>
  <c r="AL115" i="29"/>
  <c r="AN115" i="29"/>
  <c r="AQ115" i="29"/>
  <c r="AP115" i="29"/>
  <c r="AR115" i="29"/>
  <c r="AE116" i="29"/>
  <c r="AH128" i="4"/>
  <c r="AI127" i="4"/>
  <c r="AJ127" i="4" s="1"/>
  <c r="AK127" i="4" s="1"/>
  <c r="AG116" i="29"/>
  <c r="AI116" i="29"/>
  <c r="AK116" i="29"/>
  <c r="AJ116" i="29"/>
  <c r="AH116" i="29"/>
  <c r="AF116" i="29"/>
  <c r="AL119" i="4" l="1"/>
  <c r="AM116" i="29"/>
  <c r="AL116" i="29"/>
  <c r="AN116" i="29"/>
  <c r="AQ116" i="29"/>
  <c r="AR116" i="29"/>
  <c r="AP116" i="29"/>
  <c r="AE117" i="29"/>
  <c r="AS115" i="29"/>
  <c r="AI128" i="4"/>
  <c r="AJ128" i="4" s="1"/>
  <c r="AK128" i="4" s="1"/>
  <c r="AH129" i="4"/>
  <c r="AO115" i="29"/>
  <c r="AI117" i="29"/>
  <c r="AF117" i="29"/>
  <c r="AH117" i="29"/>
  <c r="AJ117" i="29"/>
  <c r="AG117" i="29"/>
  <c r="AK117" i="29"/>
  <c r="AL120" i="4" l="1"/>
  <c r="AO116" i="29"/>
  <c r="AM117" i="29"/>
  <c r="AL117" i="29"/>
  <c r="AN117" i="29"/>
  <c r="AQ117" i="29"/>
  <c r="AP117" i="29"/>
  <c r="AR117" i="29"/>
  <c r="AE118" i="29"/>
  <c r="AI129" i="4"/>
  <c r="AJ129" i="4" s="1"/>
  <c r="AK129" i="4" s="1"/>
  <c r="AH130" i="4"/>
  <c r="AS116" i="29"/>
  <c r="AH118" i="29"/>
  <c r="AF118" i="29"/>
  <c r="AK118" i="29"/>
  <c r="AI118" i="29"/>
  <c r="AG118" i="29"/>
  <c r="AJ118" i="29"/>
  <c r="AS34" i="4"/>
  <c r="AL121" i="4" l="1"/>
  <c r="AM118" i="29"/>
  <c r="AL118" i="29"/>
  <c r="AN118" i="29"/>
  <c r="AQ118" i="29"/>
  <c r="AP118" i="29"/>
  <c r="AR118" i="29"/>
  <c r="AS117" i="29"/>
  <c r="AH131" i="4"/>
  <c r="AI130" i="4"/>
  <c r="AJ130" i="4" s="1"/>
  <c r="AK130" i="4" s="1"/>
  <c r="AE119" i="29"/>
  <c r="AO117" i="29"/>
  <c r="AJ119" i="29"/>
  <c r="AF119" i="29"/>
  <c r="AH119" i="29"/>
  <c r="AG119" i="29"/>
  <c r="AK119" i="29"/>
  <c r="AI119" i="29"/>
  <c r="AL122" i="4" l="1"/>
  <c r="AM119" i="29"/>
  <c r="AL119" i="29"/>
  <c r="AN119" i="29"/>
  <c r="AQ119" i="29"/>
  <c r="AR119" i="29"/>
  <c r="AP119" i="29"/>
  <c r="AE120" i="29"/>
  <c r="AS118" i="29"/>
  <c r="AI131" i="4"/>
  <c r="AJ131" i="4" s="1"/>
  <c r="AK131" i="4" s="1"/>
  <c r="AH132" i="4"/>
  <c r="AO118" i="29"/>
  <c r="AJ120" i="29"/>
  <c r="AF120" i="29"/>
  <c r="AH120" i="29"/>
  <c r="AG120" i="29"/>
  <c r="AI120" i="29"/>
  <c r="AK120" i="29"/>
  <c r="AL123" i="4" l="1"/>
  <c r="AO119" i="29"/>
  <c r="AM120" i="29"/>
  <c r="AL120" i="29"/>
  <c r="AN120" i="29"/>
  <c r="AQ120" i="29"/>
  <c r="AR120" i="29"/>
  <c r="AP120" i="29"/>
  <c r="AE121" i="29"/>
  <c r="AS119" i="29"/>
  <c r="AH133" i="4"/>
  <c r="AI132" i="4"/>
  <c r="AJ132" i="4" s="1"/>
  <c r="AK132" i="4" s="1"/>
  <c r="AH121" i="29"/>
  <c r="AG121" i="29"/>
  <c r="AK121" i="29"/>
  <c r="AI121" i="29"/>
  <c r="AF121" i="29"/>
  <c r="AJ121" i="29"/>
  <c r="AL124" i="4" l="1"/>
  <c r="AS120" i="29"/>
  <c r="AM121" i="29"/>
  <c r="AL121" i="29"/>
  <c r="AN121" i="29"/>
  <c r="AQ121" i="29"/>
  <c r="AP121" i="29"/>
  <c r="AR121" i="29"/>
  <c r="AE122" i="29"/>
  <c r="AH134" i="4"/>
  <c r="AI133" i="4"/>
  <c r="AJ133" i="4" s="1"/>
  <c r="AK133" i="4" s="1"/>
  <c r="AO120" i="29"/>
  <c r="AH122" i="29"/>
  <c r="AF122" i="29"/>
  <c r="AJ122" i="29"/>
  <c r="AI122" i="29"/>
  <c r="AG122" i="29"/>
  <c r="AK122" i="29"/>
  <c r="AL125" i="4" l="1"/>
  <c r="AS121" i="29"/>
  <c r="AM122" i="29"/>
  <c r="AL122" i="29"/>
  <c r="AN122" i="29"/>
  <c r="AQ122" i="29"/>
  <c r="AR122" i="29"/>
  <c r="AP122" i="29"/>
  <c r="AE123" i="29"/>
  <c r="AI134" i="4"/>
  <c r="AJ134" i="4" s="1"/>
  <c r="AK134" i="4" s="1"/>
  <c r="AH135" i="4"/>
  <c r="AO121" i="29"/>
  <c r="AH123" i="29"/>
  <c r="AI123" i="29"/>
  <c r="AG123" i="29"/>
  <c r="AJ123" i="29"/>
  <c r="AF123" i="29"/>
  <c r="AK123" i="29"/>
  <c r="AL126" i="4" l="1"/>
  <c r="AO122" i="29"/>
  <c r="AS122" i="29"/>
  <c r="AM123" i="29"/>
  <c r="AL123" i="29"/>
  <c r="AN123" i="29"/>
  <c r="AQ123" i="29"/>
  <c r="AR123" i="29"/>
  <c r="AP123" i="29"/>
  <c r="AE124" i="29"/>
  <c r="AH136" i="4"/>
  <c r="AI135" i="4"/>
  <c r="AJ135" i="4" s="1"/>
  <c r="AK135" i="4" s="1"/>
  <c r="AJ124" i="29"/>
  <c r="AI124" i="29"/>
  <c r="AG124" i="29"/>
  <c r="AH124" i="29"/>
  <c r="AF124" i="29"/>
  <c r="AK124" i="29"/>
  <c r="AL127" i="4" l="1"/>
  <c r="AO123" i="29"/>
  <c r="AS123" i="29"/>
  <c r="AM124" i="29"/>
  <c r="AL124" i="29"/>
  <c r="AN124" i="29"/>
  <c r="AQ124" i="29"/>
  <c r="AP124" i="29"/>
  <c r="AR124" i="29"/>
  <c r="AE125" i="29"/>
  <c r="AI136" i="4"/>
  <c r="AJ136" i="4" s="1"/>
  <c r="AK136" i="4" s="1"/>
  <c r="AH137" i="4"/>
  <c r="AG125" i="29"/>
  <c r="AF125" i="29"/>
  <c r="AJ125" i="29"/>
  <c r="AI125" i="29"/>
  <c r="AK125" i="29"/>
  <c r="AH125" i="29"/>
  <c r="AL128" i="4" l="1"/>
  <c r="AS124" i="29"/>
  <c r="AM125" i="29"/>
  <c r="AL125" i="29"/>
  <c r="AN125" i="29"/>
  <c r="AQ125" i="29"/>
  <c r="AR125" i="29"/>
  <c r="AP125" i="29"/>
  <c r="AE126" i="29"/>
  <c r="AI137" i="4"/>
  <c r="AJ137" i="4" s="1"/>
  <c r="AK137" i="4" s="1"/>
  <c r="AH138" i="4"/>
  <c r="AO124" i="29"/>
  <c r="AJ126" i="29"/>
  <c r="AI126" i="29"/>
  <c r="AK126" i="29"/>
  <c r="AF126" i="29"/>
  <c r="AH126" i="29"/>
  <c r="AG126" i="29"/>
  <c r="AL129" i="4" l="1"/>
  <c r="AO125" i="29"/>
  <c r="AM126" i="29"/>
  <c r="AL126" i="29"/>
  <c r="AN126" i="29"/>
  <c r="AQ126" i="29"/>
  <c r="AR126" i="29"/>
  <c r="AP126" i="29"/>
  <c r="AE127" i="29"/>
  <c r="AS125" i="29"/>
  <c r="AH139" i="4"/>
  <c r="AI138" i="4"/>
  <c r="AJ138" i="4" s="1"/>
  <c r="AK138" i="4" s="1"/>
  <c r="AI127" i="29"/>
  <c r="AG127" i="29"/>
  <c r="AF127" i="29"/>
  <c r="AJ127" i="29"/>
  <c r="AK127" i="29"/>
  <c r="AH127" i="29"/>
  <c r="AL130" i="4" l="1"/>
  <c r="AO126" i="29"/>
  <c r="AM127" i="29"/>
  <c r="AL127" i="29"/>
  <c r="AN127" i="29"/>
  <c r="AQ127" i="29"/>
  <c r="AR127" i="29"/>
  <c r="AP127" i="29"/>
  <c r="AE128" i="29"/>
  <c r="AI139" i="4"/>
  <c r="AJ139" i="4" s="1"/>
  <c r="AK139" i="4" s="1"/>
  <c r="AH140" i="4"/>
  <c r="AS126" i="29"/>
  <c r="AI128" i="29"/>
  <c r="AF128" i="29"/>
  <c r="AG128" i="29"/>
  <c r="AH128" i="29"/>
  <c r="AK128" i="29"/>
  <c r="AJ128" i="29"/>
  <c r="AL131" i="4" l="1"/>
  <c r="AM128" i="29"/>
  <c r="AL128" i="29"/>
  <c r="AN128" i="29"/>
  <c r="AQ128" i="29"/>
  <c r="AR128" i="29"/>
  <c r="AP128" i="29"/>
  <c r="AE129" i="29"/>
  <c r="AS127" i="29"/>
  <c r="AH141" i="4"/>
  <c r="AI140" i="4"/>
  <c r="AJ140" i="4" s="1"/>
  <c r="AK140" i="4" s="1"/>
  <c r="AO127" i="29"/>
  <c r="AI129" i="29"/>
  <c r="AG129" i="29"/>
  <c r="AJ129" i="29"/>
  <c r="AK129" i="29"/>
  <c r="AF129" i="29"/>
  <c r="AH129" i="29"/>
  <c r="AL132" i="4" l="1"/>
  <c r="AO128" i="29"/>
  <c r="AS128" i="29"/>
  <c r="AM129" i="29"/>
  <c r="AL129" i="29"/>
  <c r="AN129" i="29"/>
  <c r="AQ129" i="29"/>
  <c r="AR129" i="29"/>
  <c r="AP129" i="29"/>
  <c r="AE130" i="29"/>
  <c r="AH142" i="4"/>
  <c r="AI141" i="4"/>
  <c r="AJ141" i="4" s="1"/>
  <c r="AK141" i="4" s="1"/>
  <c r="AI130" i="29"/>
  <c r="AG130" i="29"/>
  <c r="AJ130" i="29"/>
  <c r="AF130" i="29"/>
  <c r="AH130" i="29"/>
  <c r="AK130" i="29"/>
  <c r="AL133" i="4" l="1"/>
  <c r="AO129" i="29"/>
  <c r="AM130" i="29"/>
  <c r="AL130" i="29"/>
  <c r="AN130" i="29"/>
  <c r="AQ130" i="29"/>
  <c r="AR130" i="29"/>
  <c r="AP130" i="29"/>
  <c r="AE131" i="29"/>
  <c r="AS129" i="29"/>
  <c r="AI142" i="4"/>
  <c r="AJ142" i="4" s="1"/>
  <c r="AK142" i="4" s="1"/>
  <c r="AH143" i="4"/>
  <c r="AK131" i="29"/>
  <c r="AJ131" i="29"/>
  <c r="AG131" i="29"/>
  <c r="AI131" i="29"/>
  <c r="AH131" i="29"/>
  <c r="AF131" i="29"/>
  <c r="AL134" i="4" l="1"/>
  <c r="AO130" i="29"/>
  <c r="AM131" i="29"/>
  <c r="AL131" i="29"/>
  <c r="AN131" i="29"/>
  <c r="AQ131" i="29"/>
  <c r="AR131" i="29"/>
  <c r="AP131" i="29"/>
  <c r="AE132" i="29"/>
  <c r="AH144" i="4"/>
  <c r="AI143" i="4"/>
  <c r="AJ143" i="4" s="1"/>
  <c r="AK143" i="4" s="1"/>
  <c r="AS130" i="29"/>
  <c r="AF132" i="29"/>
  <c r="AG132" i="29"/>
  <c r="AK132" i="29"/>
  <c r="AI132" i="29"/>
  <c r="AH132" i="29"/>
  <c r="AJ132" i="29"/>
  <c r="AL135" i="4" l="1"/>
  <c r="AM132" i="29"/>
  <c r="AL132" i="29"/>
  <c r="AN132" i="29"/>
  <c r="AQ132" i="29"/>
  <c r="AP132" i="29"/>
  <c r="AR132" i="29"/>
  <c r="AE133" i="29"/>
  <c r="AS131" i="29"/>
  <c r="AI144" i="4"/>
  <c r="AJ144" i="4" s="1"/>
  <c r="AK144" i="4" s="1"/>
  <c r="AH145" i="4"/>
  <c r="AO131" i="29"/>
  <c r="AK133" i="29"/>
  <c r="AJ133" i="29"/>
  <c r="AI133" i="29"/>
  <c r="AF133" i="29"/>
  <c r="AH133" i="29"/>
  <c r="AG133" i="29"/>
  <c r="AL136" i="4" l="1"/>
  <c r="AS132" i="29"/>
  <c r="AM133" i="29"/>
  <c r="AL133" i="29"/>
  <c r="AN133" i="29"/>
  <c r="AQ133" i="29"/>
  <c r="AR133" i="29"/>
  <c r="AP133" i="29"/>
  <c r="AE134" i="29"/>
  <c r="AI145" i="4"/>
  <c r="AJ145" i="4" s="1"/>
  <c r="AK145" i="4" s="1"/>
  <c r="AH146" i="4"/>
  <c r="AO132" i="29"/>
  <c r="AK134" i="29"/>
  <c r="AJ134" i="29"/>
  <c r="AF134" i="29"/>
  <c r="AH134" i="29"/>
  <c r="AI134" i="29"/>
  <c r="AG134" i="29"/>
  <c r="AL137" i="4" l="1"/>
  <c r="AO133" i="29"/>
  <c r="AM134" i="29"/>
  <c r="AL134" i="29"/>
  <c r="AN134" i="29"/>
  <c r="AQ134" i="29"/>
  <c r="AR134" i="29"/>
  <c r="AP134" i="29"/>
  <c r="AE135" i="29"/>
  <c r="AS133" i="29"/>
  <c r="AH147" i="4"/>
  <c r="AI146" i="4"/>
  <c r="AJ146" i="4" s="1"/>
  <c r="AK146" i="4" s="1"/>
  <c r="AF135" i="29"/>
  <c r="AJ135" i="29"/>
  <c r="AG135" i="29"/>
  <c r="AK135" i="29"/>
  <c r="AI135" i="29"/>
  <c r="AH135" i="29"/>
  <c r="AL138" i="4" l="1"/>
  <c r="AO134" i="29"/>
  <c r="AM135" i="29"/>
  <c r="AL135" i="29"/>
  <c r="AN135" i="29"/>
  <c r="AQ135" i="29"/>
  <c r="AR135" i="29"/>
  <c r="AP135" i="29"/>
  <c r="AI147" i="4"/>
  <c r="AJ147" i="4" s="1"/>
  <c r="AK147" i="4" s="1"/>
  <c r="AH148" i="4"/>
  <c r="AE136" i="29"/>
  <c r="AS134" i="29"/>
  <c r="AK136" i="29"/>
  <c r="AH136" i="29"/>
  <c r="AI136" i="29"/>
  <c r="AG136" i="29"/>
  <c r="AF136" i="29"/>
  <c r="AJ136" i="29"/>
  <c r="AL139" i="4" l="1"/>
  <c r="AO135" i="29"/>
  <c r="AM136" i="29"/>
  <c r="AL136" i="29"/>
  <c r="AN136" i="29"/>
  <c r="AQ136" i="29"/>
  <c r="AP136" i="29"/>
  <c r="AR136" i="29"/>
  <c r="AH149" i="4"/>
  <c r="AI148" i="4"/>
  <c r="AJ148" i="4" s="1"/>
  <c r="AK148" i="4" s="1"/>
  <c r="AS135" i="29"/>
  <c r="AE137" i="29"/>
  <c r="AJ137" i="29"/>
  <c r="AF137" i="29"/>
  <c r="AH137" i="29"/>
  <c r="AI137" i="29"/>
  <c r="AK137" i="29"/>
  <c r="AG137" i="29"/>
  <c r="AL140" i="4" l="1"/>
  <c r="AS136" i="29"/>
  <c r="AM137" i="29"/>
  <c r="AL137" i="29"/>
  <c r="AN137" i="29"/>
  <c r="AQ137" i="29"/>
  <c r="AP137" i="29"/>
  <c r="AR137" i="29"/>
  <c r="AE138" i="29"/>
  <c r="AH150" i="4"/>
  <c r="AI149" i="4"/>
  <c r="AJ149" i="4" s="1"/>
  <c r="AK149" i="4" s="1"/>
  <c r="AO136" i="29"/>
  <c r="AF138" i="29"/>
  <c r="AK138" i="29"/>
  <c r="AH138" i="29"/>
  <c r="AJ138" i="29"/>
  <c r="AI138" i="29"/>
  <c r="AG138" i="29"/>
  <c r="AL141" i="4" l="1"/>
  <c r="AM138" i="29"/>
  <c r="AL138" i="29"/>
  <c r="AN138" i="29"/>
  <c r="AQ138" i="29"/>
  <c r="AR138" i="29"/>
  <c r="AP138" i="29"/>
  <c r="AE139" i="29"/>
  <c r="AS137" i="29"/>
  <c r="AI150" i="4"/>
  <c r="AJ150" i="4" s="1"/>
  <c r="AK150" i="4" s="1"/>
  <c r="AH151" i="4"/>
  <c r="AO137" i="29"/>
  <c r="AF139" i="29"/>
  <c r="AH139" i="29"/>
  <c r="AI139" i="29"/>
  <c r="AJ139" i="29"/>
  <c r="AK139" i="29"/>
  <c r="AG139" i="29"/>
  <c r="AL142" i="4" l="1"/>
  <c r="AO138" i="29"/>
  <c r="AM139" i="29"/>
  <c r="AL139" i="29"/>
  <c r="AN139" i="29"/>
  <c r="AQ139" i="29"/>
  <c r="AR139" i="29"/>
  <c r="AP139" i="29"/>
  <c r="AE140" i="29"/>
  <c r="AH152" i="4"/>
  <c r="AI151" i="4"/>
  <c r="AJ151" i="4" s="1"/>
  <c r="AK151" i="4" s="1"/>
  <c r="AS138" i="29"/>
  <c r="AF140" i="29"/>
  <c r="AG140" i="29"/>
  <c r="AJ140" i="29"/>
  <c r="AI140" i="29"/>
  <c r="AH140" i="29"/>
  <c r="AK140" i="29"/>
  <c r="AL143" i="4" l="1"/>
  <c r="AO139" i="29"/>
  <c r="AM140" i="29"/>
  <c r="AL140" i="29"/>
  <c r="AN140" i="29"/>
  <c r="AQ140" i="29"/>
  <c r="AR140" i="29"/>
  <c r="AP140" i="29"/>
  <c r="AE141" i="29"/>
  <c r="AI152" i="4"/>
  <c r="AJ152" i="4" s="1"/>
  <c r="AK152" i="4" s="1"/>
  <c r="AH153" i="4"/>
  <c r="AS139" i="29"/>
  <c r="AH141" i="29"/>
  <c r="AK141" i="29"/>
  <c r="AJ141" i="29"/>
  <c r="AF141" i="29"/>
  <c r="AG141" i="29"/>
  <c r="AI141" i="29"/>
  <c r="AL144" i="4" l="1"/>
  <c r="AO140" i="29"/>
  <c r="AM141" i="29"/>
  <c r="AL141" i="29"/>
  <c r="AN141" i="29"/>
  <c r="AQ141" i="29"/>
  <c r="AR141" i="29"/>
  <c r="AP141" i="29"/>
  <c r="AE142" i="29"/>
  <c r="AS140" i="29"/>
  <c r="AI153" i="4"/>
  <c r="AJ153" i="4" s="1"/>
  <c r="AK153" i="4" s="1"/>
  <c r="AH154" i="4"/>
  <c r="AH142" i="29"/>
  <c r="AG142" i="29"/>
  <c r="AK142" i="29"/>
  <c r="AF142" i="29"/>
  <c r="AJ142" i="29"/>
  <c r="AI142" i="29"/>
  <c r="AL145" i="4" l="1"/>
  <c r="AO141" i="29"/>
  <c r="AM142" i="29"/>
  <c r="AL142" i="29"/>
  <c r="AN142" i="29"/>
  <c r="AQ142" i="29"/>
  <c r="AR142" i="29"/>
  <c r="AP142" i="29"/>
  <c r="AE143" i="29"/>
  <c r="AH155" i="4"/>
  <c r="AI154" i="4"/>
  <c r="AJ154" i="4" s="1"/>
  <c r="AK154" i="4" s="1"/>
  <c r="AS141" i="29"/>
  <c r="AG143" i="29"/>
  <c r="AH143" i="29"/>
  <c r="AK143" i="29"/>
  <c r="AF143" i="29"/>
  <c r="AJ143" i="29"/>
  <c r="AI143" i="29"/>
  <c r="AL146" i="4" l="1"/>
  <c r="AS142" i="29"/>
  <c r="AM143" i="29"/>
  <c r="AL143" i="29"/>
  <c r="AN143" i="29"/>
  <c r="AQ143" i="29"/>
  <c r="AR143" i="29"/>
  <c r="AP143" i="29"/>
  <c r="AE144" i="29"/>
  <c r="AI155" i="4"/>
  <c r="AJ155" i="4" s="1"/>
  <c r="AK155" i="4" s="1"/>
  <c r="AH156" i="4"/>
  <c r="AO142" i="29"/>
  <c r="AF144" i="29"/>
  <c r="AG144" i="29"/>
  <c r="AH144" i="29"/>
  <c r="AI144" i="29"/>
  <c r="AJ144" i="29"/>
  <c r="AK144" i="29"/>
  <c r="AL147" i="4" l="1"/>
  <c r="AM144" i="29"/>
  <c r="AL144" i="29"/>
  <c r="AN144" i="29"/>
  <c r="AQ144" i="29"/>
  <c r="AP144" i="29"/>
  <c r="AR144" i="29"/>
  <c r="AE145" i="29"/>
  <c r="AS143" i="29"/>
  <c r="AH157" i="4"/>
  <c r="AI156" i="4"/>
  <c r="AJ156" i="4" s="1"/>
  <c r="AK156" i="4" s="1"/>
  <c r="AO143" i="29"/>
  <c r="AI145" i="29"/>
  <c r="AH145" i="29"/>
  <c r="AJ145" i="29"/>
  <c r="AF145" i="29"/>
  <c r="AG145" i="29"/>
  <c r="AK145" i="29"/>
  <c r="AL148" i="4" l="1"/>
  <c r="AO144" i="29"/>
  <c r="AM145" i="29"/>
  <c r="AL145" i="29"/>
  <c r="AN145" i="29"/>
  <c r="AQ145" i="29"/>
  <c r="AP145" i="29"/>
  <c r="AR145" i="29"/>
  <c r="AE146" i="29"/>
  <c r="AS144" i="29"/>
  <c r="AH158" i="4"/>
  <c r="AI157" i="4"/>
  <c r="AJ157" i="4" s="1"/>
  <c r="AK157" i="4" s="1"/>
  <c r="AF146" i="29"/>
  <c r="AJ146" i="29"/>
  <c r="AG146" i="29"/>
  <c r="AI146" i="29"/>
  <c r="AH146" i="29"/>
  <c r="AK146" i="29"/>
  <c r="AL149" i="4" l="1"/>
  <c r="AO145" i="29"/>
  <c r="AM146" i="29"/>
  <c r="AL146" i="29"/>
  <c r="AN146" i="29"/>
  <c r="AQ146" i="29"/>
  <c r="AR146" i="29"/>
  <c r="AP146" i="29"/>
  <c r="AI158" i="4"/>
  <c r="AJ158" i="4" s="1"/>
  <c r="AK158" i="4" s="1"/>
  <c r="AH159" i="4"/>
  <c r="AE147" i="29"/>
  <c r="AS145" i="29"/>
  <c r="AH147" i="29"/>
  <c r="AJ147" i="29"/>
  <c r="AF147" i="29"/>
  <c r="AG147" i="29"/>
  <c r="AI147" i="29"/>
  <c r="AK147" i="29"/>
  <c r="AL150" i="4" l="1"/>
  <c r="AO146" i="29"/>
  <c r="AM147" i="29"/>
  <c r="AL147" i="29"/>
  <c r="AN147" i="29"/>
  <c r="AQ147" i="29"/>
  <c r="AR147" i="29"/>
  <c r="AP147" i="29"/>
  <c r="AI159" i="4"/>
  <c r="AJ159" i="4" s="1"/>
  <c r="AK159" i="4" s="1"/>
  <c r="AH160" i="4"/>
  <c r="AS146" i="29"/>
  <c r="AE148" i="29"/>
  <c r="AF148" i="29"/>
  <c r="AS35" i="4"/>
  <c r="AH148" i="29"/>
  <c r="AG148" i="29"/>
  <c r="AI148" i="29"/>
  <c r="AJ148" i="29"/>
  <c r="AK148" i="29"/>
  <c r="AL151" i="4" l="1"/>
  <c r="AS147" i="29"/>
  <c r="AM148" i="29"/>
  <c r="AL148" i="29"/>
  <c r="AN148" i="29"/>
  <c r="AQ148" i="29"/>
  <c r="AP148" i="29"/>
  <c r="AR148" i="29"/>
  <c r="AE149" i="29"/>
  <c r="AH161" i="4"/>
  <c r="AI160" i="4"/>
  <c r="AJ160" i="4" s="1"/>
  <c r="AK160" i="4" s="1"/>
  <c r="AO147" i="29"/>
  <c r="AK149" i="29"/>
  <c r="AH149" i="29"/>
  <c r="AF149" i="29"/>
  <c r="AJ149" i="29"/>
  <c r="AG149" i="29"/>
  <c r="AI149" i="29"/>
  <c r="AL152" i="4" l="1"/>
  <c r="AS148" i="29"/>
  <c r="AO148" i="29"/>
  <c r="AM149" i="29"/>
  <c r="AL149" i="29"/>
  <c r="AN149" i="29"/>
  <c r="AQ149" i="29"/>
  <c r="AP149" i="29"/>
  <c r="AR149" i="29"/>
  <c r="AI161" i="4"/>
  <c r="AJ161" i="4" s="1"/>
  <c r="AK161" i="4" s="1"/>
  <c r="AH162" i="4"/>
  <c r="AE150" i="29"/>
  <c r="AJ150" i="29"/>
  <c r="AF150" i="29"/>
  <c r="AG150" i="29"/>
  <c r="AI150" i="29"/>
  <c r="AK150" i="29"/>
  <c r="AH150" i="29"/>
  <c r="AL153" i="4" l="1"/>
  <c r="AO149" i="29"/>
  <c r="AS149" i="29"/>
  <c r="AM150" i="29"/>
  <c r="AL150" i="29"/>
  <c r="AN150" i="29"/>
  <c r="AQ150" i="29"/>
  <c r="AP150" i="29"/>
  <c r="AR150" i="29"/>
  <c r="AI162" i="4"/>
  <c r="AJ162" i="4" s="1"/>
  <c r="AK162" i="4" s="1"/>
  <c r="AH163" i="4"/>
  <c r="AE151" i="29"/>
  <c r="AJ151" i="29"/>
  <c r="AK151" i="29"/>
  <c r="AF151" i="29"/>
  <c r="AH151" i="29"/>
  <c r="AI151" i="29"/>
  <c r="AG151" i="29"/>
  <c r="AL154" i="4" l="1"/>
  <c r="AO150" i="29"/>
  <c r="AM151" i="29"/>
  <c r="AL151" i="29"/>
  <c r="AN151" i="29"/>
  <c r="AQ151" i="29"/>
  <c r="AP151" i="29"/>
  <c r="AR151" i="29"/>
  <c r="AH164" i="4"/>
  <c r="AI163" i="4"/>
  <c r="AJ163" i="4" s="1"/>
  <c r="AK163" i="4" s="1"/>
  <c r="AS150" i="29"/>
  <c r="AE152" i="29"/>
  <c r="AI152" i="29"/>
  <c r="AK152" i="29"/>
  <c r="AF152" i="29"/>
  <c r="AH152" i="29"/>
  <c r="AG152" i="29"/>
  <c r="AJ152" i="29"/>
  <c r="AL155" i="4" l="1"/>
  <c r="AO151" i="29"/>
  <c r="AM152" i="29"/>
  <c r="AL152" i="29"/>
  <c r="AN152" i="29"/>
  <c r="AQ152" i="29"/>
  <c r="AP152" i="29"/>
  <c r="AR152" i="29"/>
  <c r="AI164" i="4"/>
  <c r="AJ164" i="4" s="1"/>
  <c r="AK164" i="4" s="1"/>
  <c r="AH165" i="4"/>
  <c r="AS151" i="29"/>
  <c r="AE153" i="29"/>
  <c r="AG153" i="29"/>
  <c r="AK153" i="29"/>
  <c r="AJ153" i="29"/>
  <c r="AH153" i="29"/>
  <c r="AI153" i="29"/>
  <c r="AF153" i="29"/>
  <c r="AL156" i="4" l="1"/>
  <c r="AS152" i="29"/>
  <c r="AO152" i="29"/>
  <c r="AM153" i="29"/>
  <c r="AL153" i="29"/>
  <c r="AN153" i="29"/>
  <c r="AQ153" i="29"/>
  <c r="AP153" i="29"/>
  <c r="AR153" i="29"/>
  <c r="AE154" i="29"/>
  <c r="AH166" i="4"/>
  <c r="AI165" i="4"/>
  <c r="AJ165" i="4" s="1"/>
  <c r="AK165" i="4" s="1"/>
  <c r="AI154" i="29"/>
  <c r="AJ154" i="29"/>
  <c r="AH154" i="29"/>
  <c r="AF154" i="29"/>
  <c r="AG154" i="29"/>
  <c r="AK154" i="29"/>
  <c r="AL157" i="4" l="1"/>
  <c r="AS153" i="29"/>
  <c r="AO153" i="29"/>
  <c r="AM154" i="29"/>
  <c r="AL154" i="29"/>
  <c r="AN154" i="29"/>
  <c r="AQ154" i="29"/>
  <c r="AP154" i="29"/>
  <c r="AR154" i="29"/>
  <c r="AE155" i="29"/>
  <c r="AH167" i="4"/>
  <c r="AI166" i="4"/>
  <c r="AJ166" i="4" s="1"/>
  <c r="AK166" i="4" s="1"/>
  <c r="AI155" i="29"/>
  <c r="AK155" i="29"/>
  <c r="AF155" i="29"/>
  <c r="AJ155" i="29"/>
  <c r="AH155" i="29"/>
  <c r="AG155" i="29"/>
  <c r="AL158" i="4" l="1"/>
  <c r="AO154" i="29"/>
  <c r="AM155" i="29"/>
  <c r="AL155" i="29"/>
  <c r="AN155" i="29"/>
  <c r="AQ155" i="29"/>
  <c r="AR155" i="29"/>
  <c r="AP155" i="29"/>
  <c r="AE156" i="29"/>
  <c r="AI167" i="4"/>
  <c r="AJ167" i="4" s="1"/>
  <c r="AK167" i="4" s="1"/>
  <c r="AH168" i="4"/>
  <c r="AS154" i="29"/>
  <c r="AG156" i="29"/>
  <c r="AJ156" i="29"/>
  <c r="AH156" i="29"/>
  <c r="AK156" i="29"/>
  <c r="AI156" i="29"/>
  <c r="AF156" i="29"/>
  <c r="AL159" i="4" l="1"/>
  <c r="AO155" i="29"/>
  <c r="AM156" i="29"/>
  <c r="AL156" i="29"/>
  <c r="AN156" i="29"/>
  <c r="AQ156" i="29"/>
  <c r="AP156" i="29"/>
  <c r="AR156" i="29"/>
  <c r="AE157" i="29"/>
  <c r="AS155" i="29"/>
  <c r="AH169" i="4"/>
  <c r="AI168" i="4"/>
  <c r="AJ168" i="4" s="1"/>
  <c r="AK168" i="4" s="1"/>
  <c r="AK157" i="29"/>
  <c r="AF157" i="29"/>
  <c r="AJ157" i="29"/>
  <c r="AG157" i="29"/>
  <c r="AI157" i="29"/>
  <c r="AH157" i="29"/>
  <c r="AL160" i="4" l="1"/>
  <c r="AO156" i="29"/>
  <c r="AM157" i="29"/>
  <c r="AL157" i="29"/>
  <c r="AN157" i="29"/>
  <c r="AQ157" i="29"/>
  <c r="AP157" i="29"/>
  <c r="AR157" i="29"/>
  <c r="AI169" i="4"/>
  <c r="AJ169" i="4" s="1"/>
  <c r="AK169" i="4" s="1"/>
  <c r="AH170" i="4"/>
  <c r="AE158" i="29"/>
  <c r="AS156" i="29"/>
  <c r="AI158" i="29"/>
  <c r="AK158" i="29"/>
  <c r="AJ158" i="29"/>
  <c r="AG158" i="29"/>
  <c r="AF158" i="29"/>
  <c r="AH158" i="29"/>
  <c r="AL161" i="4" l="1"/>
  <c r="AO157" i="29"/>
  <c r="AM158" i="29"/>
  <c r="AL158" i="29"/>
  <c r="AN158" i="29"/>
  <c r="AQ158" i="29"/>
  <c r="AR158" i="29"/>
  <c r="AP158" i="29"/>
  <c r="AI170" i="4"/>
  <c r="AJ170" i="4" s="1"/>
  <c r="AK170" i="4" s="1"/>
  <c r="AH171" i="4"/>
  <c r="AS157" i="29"/>
  <c r="AE159" i="29"/>
  <c r="AH159" i="29"/>
  <c r="AI159" i="29"/>
  <c r="AJ159" i="29"/>
  <c r="AG159" i="29"/>
  <c r="AF159" i="29"/>
  <c r="AK159" i="29"/>
  <c r="AL162" i="4" l="1"/>
  <c r="AO158" i="29"/>
  <c r="AM159" i="29"/>
  <c r="AL159" i="29"/>
  <c r="AN159" i="29"/>
  <c r="AQ159" i="29"/>
  <c r="AR159" i="29"/>
  <c r="AP159" i="29"/>
  <c r="AH172" i="4"/>
  <c r="AI171" i="4"/>
  <c r="AJ171" i="4" s="1"/>
  <c r="AK171" i="4" s="1"/>
  <c r="AS158" i="29"/>
  <c r="AE160" i="29"/>
  <c r="AF160" i="29"/>
  <c r="AI160" i="29"/>
  <c r="AK160" i="29"/>
  <c r="AJ160" i="29"/>
  <c r="AG160" i="29"/>
  <c r="AH160" i="29"/>
  <c r="AL163" i="4" l="1"/>
  <c r="AO159" i="29"/>
  <c r="AM160" i="29"/>
  <c r="AL160" i="29"/>
  <c r="AN160" i="29"/>
  <c r="AQ160" i="29"/>
  <c r="AP160" i="29"/>
  <c r="AR160" i="29"/>
  <c r="AI172" i="4"/>
  <c r="AJ172" i="4" s="1"/>
  <c r="AK172" i="4" s="1"/>
  <c r="AH173" i="4"/>
  <c r="AE161" i="29"/>
  <c r="AS159" i="29"/>
  <c r="AF161" i="29"/>
  <c r="AI161" i="29"/>
  <c r="AG161" i="29"/>
  <c r="AJ161" i="29"/>
  <c r="AK161" i="29"/>
  <c r="AH161" i="29"/>
  <c r="AL164" i="4" l="1"/>
  <c r="AM161" i="29"/>
  <c r="AL161" i="29"/>
  <c r="AN161" i="29"/>
  <c r="AQ161" i="29"/>
  <c r="AR161" i="29"/>
  <c r="AP161" i="29"/>
  <c r="AS160" i="29"/>
  <c r="AE162" i="29"/>
  <c r="AH174" i="4"/>
  <c r="AI173" i="4"/>
  <c r="AJ173" i="4" s="1"/>
  <c r="AK173" i="4" s="1"/>
  <c r="AO160" i="29"/>
  <c r="AK162" i="29"/>
  <c r="AG162" i="29"/>
  <c r="AJ162" i="29"/>
  <c r="AI162" i="29"/>
  <c r="AF162" i="29"/>
  <c r="AH162" i="29"/>
  <c r="AL165" i="4" l="1"/>
  <c r="AO161" i="29"/>
  <c r="AS161" i="29"/>
  <c r="AM162" i="29"/>
  <c r="AL162" i="29"/>
  <c r="AN162" i="29"/>
  <c r="AQ162" i="29"/>
  <c r="AP162" i="29"/>
  <c r="AR162" i="29"/>
  <c r="AE163" i="29"/>
  <c r="AH175" i="4"/>
  <c r="AI174" i="4"/>
  <c r="AJ174" i="4" s="1"/>
  <c r="AK174" i="4" s="1"/>
  <c r="AH163" i="29"/>
  <c r="AI163" i="29"/>
  <c r="AF163" i="29"/>
  <c r="AJ163" i="29"/>
  <c r="AG163" i="29"/>
  <c r="AK163" i="29"/>
  <c r="AL166" i="4" l="1"/>
  <c r="AS162" i="29"/>
  <c r="AO162" i="29"/>
  <c r="AM163" i="29"/>
  <c r="AL163" i="29"/>
  <c r="AN163" i="29"/>
  <c r="AQ163" i="29"/>
  <c r="AP163" i="29"/>
  <c r="AR163" i="29"/>
  <c r="AE164" i="29"/>
  <c r="AI175" i="4"/>
  <c r="AJ175" i="4" s="1"/>
  <c r="AK175" i="4" s="1"/>
  <c r="AH176" i="4"/>
  <c r="AH164" i="29"/>
  <c r="AI164" i="29"/>
  <c r="AF164" i="29"/>
  <c r="AG164" i="29"/>
  <c r="AJ164" i="29"/>
  <c r="AK164" i="29"/>
  <c r="AL167" i="4" l="1"/>
  <c r="AS163" i="29"/>
  <c r="AO163" i="29"/>
  <c r="AM164" i="29"/>
  <c r="AL164" i="29"/>
  <c r="AN164" i="29"/>
  <c r="AQ164" i="29"/>
  <c r="AR164" i="29"/>
  <c r="AP164" i="29"/>
  <c r="AE165" i="29"/>
  <c r="AH177" i="4"/>
  <c r="AI176" i="4"/>
  <c r="AJ176" i="4" s="1"/>
  <c r="AK176" i="4" s="1"/>
  <c r="AJ165" i="29"/>
  <c r="AH165" i="29"/>
  <c r="AF165" i="29"/>
  <c r="AI165" i="29"/>
  <c r="AK165" i="29"/>
  <c r="AG165" i="29"/>
  <c r="AL168" i="4" l="1"/>
  <c r="AO164" i="29"/>
  <c r="AM165" i="29"/>
  <c r="AL165" i="29"/>
  <c r="AN165" i="29"/>
  <c r="AQ165" i="29"/>
  <c r="AR165" i="29"/>
  <c r="AP165" i="29"/>
  <c r="AE166" i="29"/>
  <c r="AI177" i="4"/>
  <c r="AJ177" i="4" s="1"/>
  <c r="AK177" i="4" s="1"/>
  <c r="AH178" i="4"/>
  <c r="AS164" i="29"/>
  <c r="AG166" i="29"/>
  <c r="AH166" i="29"/>
  <c r="AK166" i="29"/>
  <c r="AF166" i="29"/>
  <c r="AI166" i="29"/>
  <c r="AJ166" i="29"/>
  <c r="AL169" i="4" l="1"/>
  <c r="AO165" i="29"/>
  <c r="AM166" i="29"/>
  <c r="AL166" i="29"/>
  <c r="AN166" i="29"/>
  <c r="AQ166" i="29"/>
  <c r="AR166" i="29"/>
  <c r="AP166" i="29"/>
  <c r="AE167" i="29"/>
  <c r="AS165" i="29"/>
  <c r="AI178" i="4"/>
  <c r="AJ178" i="4" s="1"/>
  <c r="AK178" i="4" s="1"/>
  <c r="AH179" i="4"/>
  <c r="AH167" i="29"/>
  <c r="AG167" i="29"/>
  <c r="AI167" i="29"/>
  <c r="AK167" i="29"/>
  <c r="AF167" i="29"/>
  <c r="AJ167" i="29"/>
  <c r="AL170" i="4" l="1"/>
  <c r="AM167" i="29"/>
  <c r="AL167" i="29"/>
  <c r="AN167" i="29"/>
  <c r="AQ167" i="29"/>
  <c r="AP167" i="29"/>
  <c r="AR167" i="29"/>
  <c r="AH180" i="4"/>
  <c r="AI179" i="4"/>
  <c r="AJ179" i="4" s="1"/>
  <c r="AK179" i="4" s="1"/>
  <c r="AS166" i="29"/>
  <c r="AE168" i="29"/>
  <c r="AO166" i="29"/>
  <c r="AF168" i="29"/>
  <c r="AH168" i="29"/>
  <c r="AK168" i="29"/>
  <c r="AJ168" i="29"/>
  <c r="AI168" i="29"/>
  <c r="AG168" i="29"/>
  <c r="AL171" i="4" l="1"/>
  <c r="AO167" i="29"/>
  <c r="AM168" i="29"/>
  <c r="AL168" i="29"/>
  <c r="AN168" i="29"/>
  <c r="AQ168" i="29"/>
  <c r="AP168" i="29"/>
  <c r="AR168" i="29"/>
  <c r="AI180" i="4"/>
  <c r="AJ180" i="4" s="1"/>
  <c r="AK180" i="4" s="1"/>
  <c r="AH181" i="4"/>
  <c r="AS167" i="29"/>
  <c r="AE169" i="29"/>
  <c r="AH169" i="29"/>
  <c r="AF169" i="29"/>
  <c r="AG169" i="29"/>
  <c r="AI169" i="29"/>
  <c r="AJ169" i="29"/>
  <c r="AK169" i="29"/>
  <c r="AL172" i="4" l="1"/>
  <c r="AM169" i="29"/>
  <c r="AL169" i="29"/>
  <c r="AN169" i="29"/>
  <c r="AQ169" i="29"/>
  <c r="AR169" i="29"/>
  <c r="AP169" i="29"/>
  <c r="AE170" i="29"/>
  <c r="AS168" i="29"/>
  <c r="AH182" i="4"/>
  <c r="AI181" i="4"/>
  <c r="AJ181" i="4" s="1"/>
  <c r="AK181" i="4" s="1"/>
  <c r="AO168" i="29"/>
  <c r="AF170" i="29"/>
  <c r="AI170" i="29"/>
  <c r="AJ170" i="29"/>
  <c r="AK170" i="29"/>
  <c r="AG170" i="29"/>
  <c r="AH170" i="29"/>
  <c r="AL173" i="4" l="1"/>
  <c r="AO169" i="29"/>
  <c r="AM170" i="29"/>
  <c r="AL170" i="29"/>
  <c r="AN170" i="29"/>
  <c r="AQ170" i="29"/>
  <c r="AR170" i="29"/>
  <c r="AP170" i="29"/>
  <c r="AE171" i="29"/>
  <c r="AS169" i="29"/>
  <c r="AH183" i="4"/>
  <c r="AI182" i="4"/>
  <c r="AJ182" i="4" s="1"/>
  <c r="AK182" i="4" s="1"/>
  <c r="AG171" i="29"/>
  <c r="AK171" i="29"/>
  <c r="AF171" i="29"/>
  <c r="AI171" i="29"/>
  <c r="AH171" i="29"/>
  <c r="AJ171" i="29"/>
  <c r="AL174" i="4" l="1"/>
  <c r="AO170" i="29"/>
  <c r="AM171" i="29"/>
  <c r="AL171" i="29"/>
  <c r="AN171" i="29"/>
  <c r="AQ171" i="29"/>
  <c r="AP171" i="29"/>
  <c r="AR171" i="29"/>
  <c r="AI183" i="4"/>
  <c r="AJ183" i="4" s="1"/>
  <c r="AK183" i="4" s="1"/>
  <c r="AH184" i="4"/>
  <c r="AE172" i="29"/>
  <c r="AS170" i="29"/>
  <c r="AI172" i="29"/>
  <c r="AK172" i="29"/>
  <c r="AG172" i="29"/>
  <c r="AJ172" i="29"/>
  <c r="AF172" i="29"/>
  <c r="AH172" i="29"/>
  <c r="AL175" i="4" l="1"/>
  <c r="AS171" i="29"/>
  <c r="AM172" i="29"/>
  <c r="AL172" i="29"/>
  <c r="AN172" i="29"/>
  <c r="AQ172" i="29"/>
  <c r="AR172" i="29"/>
  <c r="AP172" i="29"/>
  <c r="AE173" i="29"/>
  <c r="AH185" i="4"/>
  <c r="AI184" i="4"/>
  <c r="AJ184" i="4" s="1"/>
  <c r="AK184" i="4" s="1"/>
  <c r="AO171" i="29"/>
  <c r="AK173" i="29"/>
  <c r="AF173" i="29"/>
  <c r="AJ173" i="29"/>
  <c r="AG173" i="29"/>
  <c r="AI173" i="29"/>
  <c r="AH173" i="29"/>
  <c r="AL176" i="4" l="1"/>
  <c r="AM173" i="29"/>
  <c r="AL173" i="29"/>
  <c r="AN173" i="29"/>
  <c r="AQ173" i="29"/>
  <c r="AR173" i="29"/>
  <c r="AP173" i="29"/>
  <c r="AE174" i="29"/>
  <c r="AS172" i="29"/>
  <c r="AH186" i="4"/>
  <c r="AI185" i="4"/>
  <c r="AJ185" i="4" s="1"/>
  <c r="AK185" i="4" s="1"/>
  <c r="AO172" i="29"/>
  <c r="AG174" i="29"/>
  <c r="AI174" i="29"/>
  <c r="AK174" i="29"/>
  <c r="AF174" i="29"/>
  <c r="AJ174" i="29"/>
  <c r="AH174" i="29"/>
  <c r="AL177" i="4" l="1"/>
  <c r="AS173" i="29"/>
  <c r="AM174" i="29"/>
  <c r="AL174" i="29"/>
  <c r="AN174" i="29"/>
  <c r="AQ174" i="29"/>
  <c r="AP174" i="29"/>
  <c r="AR174" i="29"/>
  <c r="AE175" i="29"/>
  <c r="AI186" i="4"/>
  <c r="AJ186" i="4" s="1"/>
  <c r="AK186" i="4" s="1"/>
  <c r="AH187" i="4"/>
  <c r="AO173" i="29"/>
  <c r="AJ175" i="29"/>
  <c r="AK175" i="29"/>
  <c r="AI175" i="29"/>
  <c r="AF175" i="29"/>
  <c r="AG175" i="29"/>
  <c r="AH175" i="29"/>
  <c r="AL178" i="4" l="1"/>
  <c r="AO174" i="29"/>
  <c r="AM175" i="29"/>
  <c r="AL175" i="29"/>
  <c r="AN175" i="29"/>
  <c r="AQ175" i="29"/>
  <c r="AR175" i="29"/>
  <c r="AP175" i="29"/>
  <c r="AE176" i="29"/>
  <c r="AS174" i="29"/>
  <c r="AH188" i="4"/>
  <c r="AI187" i="4"/>
  <c r="AJ187" i="4" s="1"/>
  <c r="AK187" i="4" s="1"/>
  <c r="AI176" i="29"/>
  <c r="AF176" i="29"/>
  <c r="AK176" i="29"/>
  <c r="AH176" i="29"/>
  <c r="AJ176" i="29"/>
  <c r="AG176" i="29"/>
  <c r="AL179" i="4" l="1"/>
  <c r="AO175" i="29"/>
  <c r="AM176" i="29"/>
  <c r="AL176" i="29"/>
  <c r="AN176" i="29"/>
  <c r="AQ176" i="29"/>
  <c r="AR176" i="29"/>
  <c r="AP176" i="29"/>
  <c r="AE177" i="29"/>
  <c r="AS175" i="29"/>
  <c r="AH189" i="4"/>
  <c r="AI188" i="4"/>
  <c r="AJ188" i="4" s="1"/>
  <c r="AK188" i="4" s="1"/>
  <c r="AI177" i="29"/>
  <c r="AJ177" i="29"/>
  <c r="AF177" i="29"/>
  <c r="AH177" i="29"/>
  <c r="AG177" i="29"/>
  <c r="AK177" i="29"/>
  <c r="AL180" i="4" l="1"/>
  <c r="AM177" i="29"/>
  <c r="AL177" i="29"/>
  <c r="AN177" i="29"/>
  <c r="AQ177" i="29"/>
  <c r="AR177" i="29"/>
  <c r="AP177" i="29"/>
  <c r="AS176" i="29"/>
  <c r="AI189" i="4"/>
  <c r="AJ189" i="4" s="1"/>
  <c r="AK189" i="4" s="1"/>
  <c r="AH190" i="4"/>
  <c r="AE178" i="29"/>
  <c r="AO176" i="29"/>
  <c r="AS36" i="4"/>
  <c r="AK178" i="29"/>
  <c r="AI178" i="29"/>
  <c r="AH178" i="29"/>
  <c r="AJ178" i="29"/>
  <c r="AG178" i="29"/>
  <c r="AF178" i="29"/>
  <c r="AL181" i="4" l="1"/>
  <c r="AM178" i="29"/>
  <c r="AL178" i="29"/>
  <c r="AN178" i="29"/>
  <c r="AQ178" i="29"/>
  <c r="AP178" i="29"/>
  <c r="AR178" i="29"/>
  <c r="AO177" i="29"/>
  <c r="AH191" i="4"/>
  <c r="AI190" i="4"/>
  <c r="AJ190" i="4" s="1"/>
  <c r="AK190" i="4" s="1"/>
  <c r="AE179" i="29"/>
  <c r="AS177" i="29"/>
  <c r="AF179" i="29"/>
  <c r="AJ179" i="29"/>
  <c r="AG179" i="29"/>
  <c r="AK179" i="29"/>
  <c r="AI179" i="29"/>
  <c r="AH179" i="29"/>
  <c r="AL182" i="4" l="1"/>
  <c r="AM179" i="29"/>
  <c r="AL179" i="29"/>
  <c r="AN179" i="29"/>
  <c r="AQ179" i="29"/>
  <c r="AP179" i="29"/>
  <c r="AR179" i="29"/>
  <c r="AI191" i="4"/>
  <c r="AJ191" i="4" s="1"/>
  <c r="AK191" i="4" s="1"/>
  <c r="AH192" i="4"/>
  <c r="AO178" i="29"/>
  <c r="AE180" i="29"/>
  <c r="AS178" i="29"/>
  <c r="AH180" i="29"/>
  <c r="AG180" i="29"/>
  <c r="AI180" i="29"/>
  <c r="AF180" i="29"/>
  <c r="AJ180" i="29"/>
  <c r="AK180" i="29"/>
  <c r="AL183" i="4" l="1"/>
  <c r="AM180" i="29"/>
  <c r="AL180" i="29"/>
  <c r="AN180" i="29"/>
  <c r="AQ180" i="29"/>
  <c r="AR180" i="29"/>
  <c r="AP180" i="29"/>
  <c r="AI192" i="4"/>
  <c r="AJ192" i="4" s="1"/>
  <c r="AK192" i="4" s="1"/>
  <c r="AH193" i="4"/>
  <c r="AO179" i="29"/>
  <c r="AE181" i="29"/>
  <c r="AS179" i="29"/>
  <c r="AI181" i="29"/>
  <c r="AK181" i="29"/>
  <c r="AG181" i="29"/>
  <c r="AJ181" i="29"/>
  <c r="AF181" i="29"/>
  <c r="AH181" i="29"/>
  <c r="AL184" i="4" l="1"/>
  <c r="AS180" i="29"/>
  <c r="AM181" i="29"/>
  <c r="AL181" i="29"/>
  <c r="AN181" i="29"/>
  <c r="AQ181" i="29"/>
  <c r="AR181" i="29"/>
  <c r="AP181" i="29"/>
  <c r="AE182" i="29"/>
  <c r="AH194" i="4"/>
  <c r="AI193" i="4"/>
  <c r="AJ193" i="4" s="1"/>
  <c r="AK193" i="4" s="1"/>
  <c r="AO180" i="29"/>
  <c r="AG182" i="29"/>
  <c r="AF182" i="29"/>
  <c r="AH182" i="29"/>
  <c r="AJ182" i="29"/>
  <c r="AK182" i="29"/>
  <c r="AI182" i="29"/>
  <c r="AL185" i="4" l="1"/>
  <c r="AO181" i="29"/>
  <c r="AM182" i="29"/>
  <c r="AL182" i="29"/>
  <c r="AN182" i="29"/>
  <c r="AQ182" i="29"/>
  <c r="AP182" i="29"/>
  <c r="AR182" i="29"/>
  <c r="AE183" i="29"/>
  <c r="AI194" i="4"/>
  <c r="AJ194" i="4" s="1"/>
  <c r="AK194" i="4" s="1"/>
  <c r="AH195" i="4"/>
  <c r="AS181" i="29"/>
  <c r="AG183" i="29"/>
  <c r="AF183" i="29"/>
  <c r="AK183" i="29"/>
  <c r="AH183" i="29"/>
  <c r="AJ183" i="29"/>
  <c r="AI183" i="29"/>
  <c r="AL186" i="4" l="1"/>
  <c r="AO182" i="29"/>
  <c r="AM183" i="29"/>
  <c r="AL183" i="29"/>
  <c r="AN183" i="29"/>
  <c r="AQ183" i="29"/>
  <c r="AR183" i="29"/>
  <c r="AP183" i="29"/>
  <c r="AE184" i="29"/>
  <c r="AS182" i="29"/>
  <c r="AH196" i="4"/>
  <c r="AI195" i="4"/>
  <c r="AJ195" i="4" s="1"/>
  <c r="AK195" i="4" s="1"/>
  <c r="AJ184" i="29"/>
  <c r="AF184" i="29"/>
  <c r="AK184" i="29"/>
  <c r="AI184" i="29"/>
  <c r="AG184" i="29"/>
  <c r="AH184" i="29"/>
  <c r="AL187" i="4" l="1"/>
  <c r="AM184" i="29"/>
  <c r="AL184" i="29"/>
  <c r="AN184" i="29"/>
  <c r="AQ184" i="29"/>
  <c r="AR184" i="29"/>
  <c r="AP184" i="29"/>
  <c r="AS183" i="29"/>
  <c r="AE185" i="29"/>
  <c r="AH197" i="4"/>
  <c r="AI196" i="4"/>
  <c r="AJ196" i="4" s="1"/>
  <c r="AK196" i="4" s="1"/>
  <c r="AO183" i="29"/>
  <c r="AG185" i="29"/>
  <c r="AK185" i="29"/>
  <c r="AF185" i="29"/>
  <c r="AH185" i="29"/>
  <c r="AJ185" i="29"/>
  <c r="AI185" i="29"/>
  <c r="AL188" i="4" l="1"/>
  <c r="AM185" i="29"/>
  <c r="AL185" i="29"/>
  <c r="AN185" i="29"/>
  <c r="AQ185" i="29"/>
  <c r="AP185" i="29"/>
  <c r="AR185" i="29"/>
  <c r="AS184" i="29"/>
  <c r="AI197" i="4"/>
  <c r="AJ197" i="4" s="1"/>
  <c r="AK197" i="4" s="1"/>
  <c r="AH198" i="4"/>
  <c r="AE186" i="29"/>
  <c r="AO184" i="29"/>
  <c r="AK186" i="29"/>
  <c r="AJ186" i="29"/>
  <c r="AH186" i="29"/>
  <c r="AI186" i="29"/>
  <c r="AG186" i="29"/>
  <c r="AF186" i="29"/>
  <c r="AL189" i="4" l="1"/>
  <c r="AM186" i="29"/>
  <c r="AL186" i="29"/>
  <c r="AN186" i="29"/>
  <c r="AQ186" i="29"/>
  <c r="AR186" i="29"/>
  <c r="AP186" i="29"/>
  <c r="AE187" i="29"/>
  <c r="AS185" i="29"/>
  <c r="AH199" i="4"/>
  <c r="AI198" i="4"/>
  <c r="AJ198" i="4" s="1"/>
  <c r="AK198" i="4" s="1"/>
  <c r="AO185" i="29"/>
  <c r="AI187" i="29"/>
  <c r="AJ187" i="29"/>
  <c r="AF187" i="29"/>
  <c r="AH187" i="29"/>
  <c r="AG187" i="29"/>
  <c r="AK187" i="29"/>
  <c r="AL190" i="4" l="1"/>
  <c r="AM187" i="29"/>
  <c r="AL187" i="29"/>
  <c r="AN187" i="29"/>
  <c r="AQ187" i="29"/>
  <c r="AR187" i="29"/>
  <c r="AP187" i="29"/>
  <c r="AI199" i="4"/>
  <c r="AJ199" i="4" s="1"/>
  <c r="AK199" i="4" s="1"/>
  <c r="AH200" i="4"/>
  <c r="AO186" i="29"/>
  <c r="AE188" i="29"/>
  <c r="AS186" i="29"/>
  <c r="AK188" i="29"/>
  <c r="AI188" i="29"/>
  <c r="AH188" i="29"/>
  <c r="AG188" i="29"/>
  <c r="AF188" i="29"/>
  <c r="AJ188" i="29"/>
  <c r="AL191" i="4" l="1"/>
  <c r="AM188" i="29"/>
  <c r="AL188" i="29"/>
  <c r="AN188" i="29"/>
  <c r="AQ188" i="29"/>
  <c r="AR188" i="29"/>
  <c r="AP188" i="29"/>
  <c r="AI200" i="4"/>
  <c r="AJ200" i="4" s="1"/>
  <c r="AK200" i="4" s="1"/>
  <c r="AH201" i="4"/>
  <c r="AO187" i="29"/>
  <c r="AE189" i="29"/>
  <c r="AS187" i="29"/>
  <c r="AF189" i="29"/>
  <c r="AH189" i="29"/>
  <c r="AG189" i="29"/>
  <c r="AJ189" i="29"/>
  <c r="AI189" i="29"/>
  <c r="AK189" i="29"/>
  <c r="AL192" i="4" l="1"/>
  <c r="AM189" i="29"/>
  <c r="AL189" i="29"/>
  <c r="AN189" i="29"/>
  <c r="AQ189" i="29"/>
  <c r="AP189" i="29"/>
  <c r="AR189" i="29"/>
  <c r="AH202" i="4"/>
  <c r="AI201" i="4"/>
  <c r="AJ201" i="4" s="1"/>
  <c r="AK201" i="4" s="1"/>
  <c r="AO188" i="29"/>
  <c r="AE190" i="29"/>
  <c r="AS188" i="29"/>
  <c r="AJ190" i="29"/>
  <c r="AF190" i="29"/>
  <c r="AH190" i="29"/>
  <c r="AG190" i="29"/>
  <c r="AI190" i="29"/>
  <c r="AK190" i="29"/>
  <c r="AL193" i="4" l="1"/>
  <c r="AO189" i="29"/>
  <c r="AM190" i="29"/>
  <c r="AL190" i="29"/>
  <c r="AN190" i="29"/>
  <c r="AQ190" i="29"/>
  <c r="AR190" i="29"/>
  <c r="AP190" i="29"/>
  <c r="AI202" i="4"/>
  <c r="AJ202" i="4" s="1"/>
  <c r="AK202" i="4" s="1"/>
  <c r="AH203" i="4"/>
  <c r="AE191" i="29"/>
  <c r="AS189" i="29"/>
  <c r="AH191" i="29"/>
  <c r="AF191" i="29"/>
  <c r="AK191" i="29"/>
  <c r="AI191" i="29"/>
  <c r="AG191" i="29"/>
  <c r="AJ191" i="29"/>
  <c r="AL194" i="4" l="1"/>
  <c r="AS190" i="29"/>
  <c r="AM191" i="29"/>
  <c r="AL191" i="29"/>
  <c r="AN191" i="29"/>
  <c r="AQ191" i="29"/>
  <c r="AR191" i="29"/>
  <c r="AP191" i="29"/>
  <c r="AE192" i="29"/>
  <c r="AH204" i="4"/>
  <c r="AI203" i="4"/>
  <c r="AJ203" i="4" s="1"/>
  <c r="AK203" i="4" s="1"/>
  <c r="AO190" i="29"/>
  <c r="AH192" i="29"/>
  <c r="AI192" i="29"/>
  <c r="AK192" i="29"/>
  <c r="AJ192" i="29"/>
  <c r="AG192" i="29"/>
  <c r="AF192" i="29"/>
  <c r="AL195" i="4" l="1"/>
  <c r="AS191" i="29"/>
  <c r="AM192" i="29"/>
  <c r="AL192" i="29"/>
  <c r="AN192" i="29"/>
  <c r="AQ192" i="29"/>
  <c r="AR192" i="29"/>
  <c r="AP192" i="29"/>
  <c r="AE193" i="29"/>
  <c r="AH205" i="4"/>
  <c r="AI204" i="4"/>
  <c r="AJ204" i="4" s="1"/>
  <c r="AK204" i="4" s="1"/>
  <c r="AO191" i="29"/>
  <c r="AG193" i="29"/>
  <c r="AF193" i="29"/>
  <c r="AK193" i="29"/>
  <c r="AI193" i="29"/>
  <c r="AJ193" i="29"/>
  <c r="AH193" i="29"/>
  <c r="AL196" i="4" l="1"/>
  <c r="AM193" i="29"/>
  <c r="AL193" i="29"/>
  <c r="AN193" i="29"/>
  <c r="AQ193" i="29"/>
  <c r="AR193" i="29"/>
  <c r="AP193" i="29"/>
  <c r="AS192" i="29"/>
  <c r="AI205" i="4"/>
  <c r="AJ205" i="4" s="1"/>
  <c r="AK205" i="4" s="1"/>
  <c r="AH206" i="4"/>
  <c r="AE194" i="29"/>
  <c r="AO192" i="29"/>
  <c r="AJ194" i="29"/>
  <c r="AG194" i="29"/>
  <c r="AI194" i="29"/>
  <c r="AF194" i="29"/>
  <c r="AK194" i="29"/>
  <c r="AH194" i="29"/>
  <c r="AL197" i="4" l="1"/>
  <c r="AM194" i="29"/>
  <c r="AL194" i="29"/>
  <c r="AN194" i="29"/>
  <c r="AQ194" i="29"/>
  <c r="AR194" i="29"/>
  <c r="AP194" i="29"/>
  <c r="AO193" i="29"/>
  <c r="AH207" i="4"/>
  <c r="AI206" i="4"/>
  <c r="AJ206" i="4" s="1"/>
  <c r="AK206" i="4" s="1"/>
  <c r="AE195" i="29"/>
  <c r="AS193" i="29"/>
  <c r="AI195" i="29"/>
  <c r="AH195" i="29"/>
  <c r="AG195" i="29"/>
  <c r="AK195" i="29"/>
  <c r="AJ195" i="29"/>
  <c r="AF195" i="29"/>
  <c r="AL198" i="4" l="1"/>
  <c r="AS194" i="29"/>
  <c r="AM195" i="29"/>
  <c r="AL195" i="29"/>
  <c r="AN195" i="29"/>
  <c r="AQ195" i="29"/>
  <c r="AR195" i="29"/>
  <c r="AP195" i="29"/>
  <c r="AE196" i="29"/>
  <c r="AI207" i="4"/>
  <c r="AJ207" i="4" s="1"/>
  <c r="AK207" i="4" s="1"/>
  <c r="AH208" i="4"/>
  <c r="AO194" i="29"/>
  <c r="AJ196" i="29"/>
  <c r="AG196" i="29"/>
  <c r="AI196" i="29"/>
  <c r="AF196" i="29"/>
  <c r="AK196" i="29"/>
  <c r="AH196" i="29"/>
  <c r="AL199" i="4" l="1"/>
  <c r="AO195" i="29"/>
  <c r="AM196" i="29"/>
  <c r="AL196" i="29"/>
  <c r="AN196" i="29"/>
  <c r="AQ196" i="29"/>
  <c r="AP196" i="29"/>
  <c r="AR196" i="29"/>
  <c r="AE197" i="29"/>
  <c r="AS195" i="29"/>
  <c r="AI208" i="4"/>
  <c r="AJ208" i="4" s="1"/>
  <c r="AK208" i="4" s="1"/>
  <c r="AH209" i="4"/>
  <c r="AG197" i="29"/>
  <c r="AF197" i="29"/>
  <c r="AJ197" i="29"/>
  <c r="AK197" i="29"/>
  <c r="AH197" i="29"/>
  <c r="AI197" i="29"/>
  <c r="AL200" i="4" l="1"/>
  <c r="AM197" i="29"/>
  <c r="AL197" i="29"/>
  <c r="AN197" i="29"/>
  <c r="AQ197" i="29"/>
  <c r="AR197" i="29"/>
  <c r="AP197" i="29"/>
  <c r="AO196" i="29"/>
  <c r="AE198" i="29"/>
  <c r="AH210" i="4"/>
  <c r="AI209" i="4"/>
  <c r="AJ209" i="4" s="1"/>
  <c r="AK209" i="4" s="1"/>
  <c r="AS196" i="29"/>
  <c r="AH198" i="29"/>
  <c r="AK198" i="29"/>
  <c r="AJ198" i="29"/>
  <c r="AI198" i="29"/>
  <c r="AF198" i="29"/>
  <c r="AG198" i="29"/>
  <c r="AL201" i="4" l="1"/>
  <c r="AM198" i="29"/>
  <c r="AL198" i="29"/>
  <c r="AN198" i="29"/>
  <c r="AQ198" i="29"/>
  <c r="AR198" i="29"/>
  <c r="AP198" i="29"/>
  <c r="AI210" i="4"/>
  <c r="AJ210" i="4" s="1"/>
  <c r="AK210" i="4" s="1"/>
  <c r="AH211" i="4"/>
  <c r="AE199" i="29"/>
  <c r="AO197" i="29"/>
  <c r="AS197" i="29"/>
  <c r="AJ199" i="29"/>
  <c r="AK199" i="29"/>
  <c r="AG199" i="29"/>
  <c r="AF199" i="29"/>
  <c r="AH199" i="29"/>
  <c r="AI199" i="29"/>
  <c r="AL202" i="4" l="1"/>
  <c r="AM199" i="29"/>
  <c r="AL199" i="29"/>
  <c r="AN199" i="29"/>
  <c r="AQ199" i="29"/>
  <c r="AR199" i="29"/>
  <c r="AP199" i="29"/>
  <c r="AS198" i="29"/>
  <c r="AO198" i="29"/>
  <c r="AE200" i="29"/>
  <c r="AH212" i="4"/>
  <c r="AI211" i="4"/>
  <c r="AJ211" i="4" s="1"/>
  <c r="AK211" i="4" s="1"/>
  <c r="AI200" i="29"/>
  <c r="AH200" i="29"/>
  <c r="AJ200" i="29"/>
  <c r="AF200" i="29"/>
  <c r="AK200" i="29"/>
  <c r="AG200" i="29"/>
  <c r="AL203" i="4" l="1"/>
  <c r="AM200" i="29"/>
  <c r="AL200" i="29"/>
  <c r="AN200" i="29"/>
  <c r="AQ200" i="29"/>
  <c r="AR200" i="29"/>
  <c r="AP200" i="29"/>
  <c r="AE201" i="29"/>
  <c r="AO199" i="29"/>
  <c r="AH213" i="4"/>
  <c r="AI212" i="4"/>
  <c r="AJ212" i="4" s="1"/>
  <c r="AK212" i="4" s="1"/>
  <c r="AS199" i="29"/>
  <c r="AJ201" i="29"/>
  <c r="AG201" i="29"/>
  <c r="AI201" i="29"/>
  <c r="AK201" i="29"/>
  <c r="AH201" i="29"/>
  <c r="AF201" i="29"/>
  <c r="AL204" i="4" l="1"/>
  <c r="AM201" i="29"/>
  <c r="AL201" i="29"/>
  <c r="AN201" i="29"/>
  <c r="AQ201" i="29"/>
  <c r="AR201" i="29"/>
  <c r="AP201" i="29"/>
  <c r="AI213" i="4"/>
  <c r="AJ213" i="4" s="1"/>
  <c r="AK213" i="4" s="1"/>
  <c r="AH214" i="4"/>
  <c r="AO200" i="29"/>
  <c r="AE202" i="29"/>
  <c r="AS200" i="29"/>
  <c r="AG202" i="29"/>
  <c r="AJ202" i="29"/>
  <c r="AI202" i="29"/>
  <c r="AK202" i="29"/>
  <c r="AH202" i="29"/>
  <c r="AF202" i="29"/>
  <c r="AL205" i="4" l="1"/>
  <c r="AS201" i="29"/>
  <c r="AM202" i="29"/>
  <c r="AL202" i="29"/>
  <c r="AN202" i="29"/>
  <c r="AQ202" i="29"/>
  <c r="AP202" i="29"/>
  <c r="AR202" i="29"/>
  <c r="AE203" i="29"/>
  <c r="AH215" i="4"/>
  <c r="AI214" i="4"/>
  <c r="AJ214" i="4" s="1"/>
  <c r="AK214" i="4" s="1"/>
  <c r="AO201" i="29"/>
  <c r="AK203" i="29"/>
  <c r="AI203" i="29"/>
  <c r="AJ203" i="29"/>
  <c r="AG203" i="29"/>
  <c r="AH203" i="29"/>
  <c r="AF203" i="29"/>
  <c r="AL206" i="4" l="1"/>
  <c r="AO202" i="29"/>
  <c r="AM203" i="29"/>
  <c r="AL203" i="29"/>
  <c r="AN203" i="29"/>
  <c r="AQ203" i="29"/>
  <c r="AP203" i="29"/>
  <c r="AR203" i="29"/>
  <c r="AE204" i="29"/>
  <c r="AS202" i="29"/>
  <c r="AI215" i="4"/>
  <c r="AJ215" i="4" s="1"/>
  <c r="AK215" i="4" s="1"/>
  <c r="AH216" i="4"/>
  <c r="AI204" i="29"/>
  <c r="AJ204" i="29"/>
  <c r="AG204" i="29"/>
  <c r="AK204" i="29"/>
  <c r="AF204" i="29"/>
  <c r="AH204" i="29"/>
  <c r="AL207" i="4" l="1"/>
  <c r="AM204" i="29"/>
  <c r="AL204" i="29"/>
  <c r="AN204" i="29"/>
  <c r="AQ204" i="29"/>
  <c r="AR204" i="29"/>
  <c r="AP204" i="29"/>
  <c r="AO203" i="29"/>
  <c r="AE205" i="29"/>
  <c r="AI216" i="4"/>
  <c r="AJ216" i="4" s="1"/>
  <c r="AK216" i="4" s="1"/>
  <c r="AH217" i="4"/>
  <c r="AS203" i="29"/>
  <c r="AJ205" i="29"/>
  <c r="AI205" i="29"/>
  <c r="AK205" i="29"/>
  <c r="AG205" i="29"/>
  <c r="AH205" i="29"/>
  <c r="AF205" i="29"/>
  <c r="AL208" i="4" l="1"/>
  <c r="AM205" i="29"/>
  <c r="AL205" i="29"/>
  <c r="AN205" i="29"/>
  <c r="AQ205" i="29"/>
  <c r="AR205" i="29"/>
  <c r="AP205" i="29"/>
  <c r="AE206" i="29"/>
  <c r="AO204" i="29"/>
  <c r="AH218" i="4"/>
  <c r="AI217" i="4"/>
  <c r="AJ217" i="4" s="1"/>
  <c r="AK217" i="4" s="1"/>
  <c r="AS204" i="29"/>
  <c r="AF206" i="29"/>
  <c r="AG206" i="29"/>
  <c r="AK206" i="29"/>
  <c r="AJ206" i="29"/>
  <c r="AI206" i="29"/>
  <c r="AH206" i="29"/>
  <c r="AL209" i="4" l="1"/>
  <c r="AM206" i="29"/>
  <c r="AL206" i="29"/>
  <c r="AN206" i="29"/>
  <c r="AQ206" i="29"/>
  <c r="AR206" i="29"/>
  <c r="AP206" i="29"/>
  <c r="AO205" i="29"/>
  <c r="AE207" i="29"/>
  <c r="AH219" i="4"/>
  <c r="AI218" i="4"/>
  <c r="AJ218" i="4" s="1"/>
  <c r="AK218" i="4" s="1"/>
  <c r="AS205" i="29"/>
  <c r="AI207" i="29"/>
  <c r="AK207" i="29"/>
  <c r="AH207" i="29"/>
  <c r="AJ207" i="29"/>
  <c r="AF207" i="29"/>
  <c r="AG207" i="29"/>
  <c r="AL210" i="4" l="1"/>
  <c r="AS206" i="29"/>
  <c r="AM207" i="29"/>
  <c r="AL207" i="29"/>
  <c r="AN207" i="29"/>
  <c r="AQ207" i="29"/>
  <c r="AP207" i="29"/>
  <c r="AR207" i="29"/>
  <c r="AI219" i="4"/>
  <c r="AJ219" i="4" s="1"/>
  <c r="AK219" i="4" s="1"/>
  <c r="AH220" i="4"/>
  <c r="AE208" i="29"/>
  <c r="AO206" i="29"/>
  <c r="AS37" i="4"/>
  <c r="AF208" i="29"/>
  <c r="AJ208" i="29"/>
  <c r="AK208" i="29"/>
  <c r="AH208" i="29"/>
  <c r="AG208" i="29"/>
  <c r="AI208" i="29"/>
  <c r="AL211" i="4" l="1"/>
  <c r="AS207" i="29"/>
  <c r="AM208" i="29"/>
  <c r="AL208" i="29"/>
  <c r="AN208" i="29"/>
  <c r="AQ208" i="29"/>
  <c r="AP208" i="29"/>
  <c r="AR208" i="29"/>
  <c r="AH221" i="4"/>
  <c r="AI220" i="4"/>
  <c r="AJ220" i="4" s="1"/>
  <c r="AK220" i="4" s="1"/>
  <c r="AE209" i="29"/>
  <c r="AO207" i="29"/>
  <c r="AF209" i="29"/>
  <c r="AJ209" i="29"/>
  <c r="AG209" i="29"/>
  <c r="AI209" i="29"/>
  <c r="AH209" i="29"/>
  <c r="AK209" i="29"/>
  <c r="AL212" i="4" l="1"/>
  <c r="AM209" i="29"/>
  <c r="AL209" i="29"/>
  <c r="AN209" i="29"/>
  <c r="AQ209" i="29"/>
  <c r="AP209" i="29"/>
  <c r="AR209" i="29"/>
  <c r="AI221" i="4"/>
  <c r="AJ221" i="4" s="1"/>
  <c r="AK221" i="4" s="1"/>
  <c r="AH222" i="4"/>
  <c r="AS208" i="29"/>
  <c r="AE210" i="29"/>
  <c r="AO208" i="29"/>
  <c r="AH210" i="29"/>
  <c r="AJ210" i="29"/>
  <c r="AK210" i="29"/>
  <c r="AG210" i="29"/>
  <c r="AI210" i="29"/>
  <c r="AF210" i="29"/>
  <c r="AL213" i="4" l="1"/>
  <c r="AO209" i="29"/>
  <c r="AM210" i="29"/>
  <c r="AL210" i="29"/>
  <c r="AN210" i="29"/>
  <c r="AQ210" i="29"/>
  <c r="AP210" i="29"/>
  <c r="AR210" i="29"/>
  <c r="AI222" i="4"/>
  <c r="AJ222" i="4" s="1"/>
  <c r="AK222" i="4" s="1"/>
  <c r="AH223" i="4"/>
  <c r="AS209" i="29"/>
  <c r="AE211" i="29"/>
  <c r="AG211" i="29"/>
  <c r="AK211" i="29"/>
  <c r="AI211" i="29"/>
  <c r="AJ211" i="29"/>
  <c r="AF211" i="29"/>
  <c r="AH211" i="29"/>
  <c r="AL214" i="4" l="1"/>
  <c r="AM211" i="29"/>
  <c r="AL211" i="29"/>
  <c r="AN211" i="29"/>
  <c r="AQ211" i="29"/>
  <c r="AR211" i="29"/>
  <c r="AP211" i="29"/>
  <c r="AH224" i="4"/>
  <c r="AI223" i="4"/>
  <c r="AJ223" i="4" s="1"/>
  <c r="AK223" i="4" s="1"/>
  <c r="AO210" i="29"/>
  <c r="AE212" i="29"/>
  <c r="AS210" i="29"/>
  <c r="AJ212" i="29"/>
  <c r="AI212" i="29"/>
  <c r="AH212" i="29"/>
  <c r="AF212" i="29"/>
  <c r="AG212" i="29"/>
  <c r="AK212" i="29"/>
  <c r="AL215" i="4" l="1"/>
  <c r="AS211" i="29"/>
  <c r="AM212" i="29"/>
  <c r="AL212" i="29"/>
  <c r="AN212" i="29"/>
  <c r="AQ212" i="29"/>
  <c r="AP212" i="29"/>
  <c r="AR212" i="29"/>
  <c r="AI224" i="4"/>
  <c r="AJ224" i="4" s="1"/>
  <c r="AK224" i="4" s="1"/>
  <c r="AH225" i="4"/>
  <c r="AE213" i="29"/>
  <c r="AO211" i="29"/>
  <c r="AG213" i="29"/>
  <c r="AH213" i="29"/>
  <c r="AF213" i="29"/>
  <c r="AJ213" i="29"/>
  <c r="AK213" i="29"/>
  <c r="AI213" i="29"/>
  <c r="AL216" i="4" l="1"/>
  <c r="AM213" i="29"/>
  <c r="AL213" i="29"/>
  <c r="AN213" i="29"/>
  <c r="AQ213" i="29"/>
  <c r="AP213" i="29"/>
  <c r="AR213" i="29"/>
  <c r="AE214" i="29"/>
  <c r="AS212" i="29"/>
  <c r="AI225" i="4"/>
  <c r="AJ225" i="4" s="1"/>
  <c r="AK225" i="4" s="1"/>
  <c r="AH226" i="4"/>
  <c r="AO212" i="29"/>
  <c r="AG214" i="29"/>
  <c r="AF214" i="29"/>
  <c r="AJ214" i="29"/>
  <c r="AI214" i="29"/>
  <c r="AH214" i="29"/>
  <c r="AK214" i="29"/>
  <c r="AL217" i="4" l="1"/>
  <c r="AM214" i="29"/>
  <c r="AL214" i="29"/>
  <c r="AN214" i="29"/>
  <c r="AQ214" i="29"/>
  <c r="AR214" i="29"/>
  <c r="AP214" i="29"/>
  <c r="AO213" i="29"/>
  <c r="AE215" i="29"/>
  <c r="AH227" i="4"/>
  <c r="AI226" i="4"/>
  <c r="AJ226" i="4" s="1"/>
  <c r="AK226" i="4" s="1"/>
  <c r="AS213" i="29"/>
  <c r="AJ215" i="29"/>
  <c r="AH215" i="29"/>
  <c r="AF215" i="29"/>
  <c r="AG215" i="29"/>
  <c r="AK215" i="29"/>
  <c r="AI215" i="29"/>
  <c r="AL218" i="4" l="1"/>
  <c r="AM215" i="29"/>
  <c r="AL215" i="29"/>
  <c r="AN215" i="29"/>
  <c r="AQ215" i="29"/>
  <c r="AR215" i="29"/>
  <c r="AP215" i="29"/>
  <c r="AI227" i="4"/>
  <c r="AJ227" i="4" s="1"/>
  <c r="AK227" i="4" s="1"/>
  <c r="AH228" i="4"/>
  <c r="AO214" i="29"/>
  <c r="AS214" i="29"/>
  <c r="AE216" i="29"/>
  <c r="AI216" i="29"/>
  <c r="AK216" i="29"/>
  <c r="AH216" i="29"/>
  <c r="AF216" i="29"/>
  <c r="AJ216" i="29"/>
  <c r="AG216" i="29"/>
  <c r="AL219" i="4" l="1"/>
  <c r="AM216" i="29"/>
  <c r="AL216" i="29"/>
  <c r="AN216" i="29"/>
  <c r="AQ216" i="29"/>
  <c r="AP216" i="29"/>
  <c r="AR216" i="29"/>
  <c r="AH229" i="4"/>
  <c r="AI228" i="4"/>
  <c r="AJ228" i="4" s="1"/>
  <c r="AK228" i="4" s="1"/>
  <c r="AO215" i="29"/>
  <c r="AE217" i="29"/>
  <c r="AS215" i="29"/>
  <c r="AH217" i="29"/>
  <c r="AJ217" i="29"/>
  <c r="AG217" i="29"/>
  <c r="AK217" i="29"/>
  <c r="AI217" i="29"/>
  <c r="AF217" i="29"/>
  <c r="AL220" i="4" l="1"/>
  <c r="AM217" i="29"/>
  <c r="AL217" i="29"/>
  <c r="AN217" i="29"/>
  <c r="AQ217" i="29"/>
  <c r="AR217" i="29"/>
  <c r="AP217" i="29"/>
  <c r="AO216" i="29"/>
  <c r="AH230" i="4"/>
  <c r="AI229" i="4"/>
  <c r="AJ229" i="4" s="1"/>
  <c r="AK229" i="4" s="1"/>
  <c r="AE218" i="29"/>
  <c r="AS216" i="29"/>
  <c r="AK218" i="29"/>
  <c r="AI218" i="29"/>
  <c r="AG218" i="29"/>
  <c r="AJ218" i="29"/>
  <c r="AH218" i="29"/>
  <c r="AF218" i="29"/>
  <c r="AL221" i="4" l="1"/>
  <c r="AS217" i="29"/>
  <c r="AM218" i="29"/>
  <c r="AL218" i="29"/>
  <c r="AN218" i="29"/>
  <c r="AQ218" i="29"/>
  <c r="AR218" i="29"/>
  <c r="AP218" i="29"/>
  <c r="AE219" i="29"/>
  <c r="AI230" i="4"/>
  <c r="AJ230" i="4" s="1"/>
  <c r="AK230" i="4" s="1"/>
  <c r="AH231" i="4"/>
  <c r="AO217" i="29"/>
  <c r="AF219" i="29"/>
  <c r="AG219" i="29"/>
  <c r="AK219" i="29"/>
  <c r="AI219" i="29"/>
  <c r="AH219" i="29"/>
  <c r="AJ219" i="29"/>
  <c r="AL222" i="4" l="1"/>
  <c r="AM219" i="29"/>
  <c r="AL219" i="29"/>
  <c r="AN219" i="29"/>
  <c r="AQ219" i="29"/>
  <c r="AP219" i="29"/>
  <c r="AR219" i="29"/>
  <c r="AE220" i="29"/>
  <c r="AS218" i="29"/>
  <c r="AH232" i="4"/>
  <c r="AI231" i="4"/>
  <c r="AJ231" i="4" s="1"/>
  <c r="AK231" i="4" s="1"/>
  <c r="AO218" i="29"/>
  <c r="AJ220" i="29"/>
  <c r="AK220" i="29"/>
  <c r="AI220" i="29"/>
  <c r="AH220" i="29"/>
  <c r="AF220" i="29"/>
  <c r="AG220" i="29"/>
  <c r="AL223" i="4" l="1"/>
  <c r="AM220" i="29"/>
  <c r="AL220" i="29"/>
  <c r="AN220" i="29"/>
  <c r="AQ220" i="29"/>
  <c r="AR220" i="29"/>
  <c r="AP220" i="29"/>
  <c r="AI232" i="4"/>
  <c r="AJ232" i="4" s="1"/>
  <c r="AK232" i="4" s="1"/>
  <c r="AH233" i="4"/>
  <c r="AO219" i="29"/>
  <c r="AE221" i="29"/>
  <c r="AS219" i="29"/>
  <c r="AK221" i="29"/>
  <c r="AG221" i="29"/>
  <c r="AI221" i="29"/>
  <c r="AH221" i="29"/>
  <c r="AF221" i="29"/>
  <c r="AJ221" i="29"/>
  <c r="AL224" i="4" l="1"/>
  <c r="AM221" i="29"/>
  <c r="AL221" i="29"/>
  <c r="AN221" i="29"/>
  <c r="AQ221" i="29"/>
  <c r="AP221" i="29"/>
  <c r="AR221" i="29"/>
  <c r="AI233" i="4"/>
  <c r="AJ233" i="4" s="1"/>
  <c r="AK233" i="4" s="1"/>
  <c r="AH234" i="4"/>
  <c r="AO220" i="29"/>
  <c r="AE222" i="29"/>
  <c r="AS220" i="29"/>
  <c r="AG222" i="29"/>
  <c r="AJ222" i="29"/>
  <c r="AI222" i="29"/>
  <c r="AF222" i="29"/>
  <c r="AH222" i="29"/>
  <c r="AK222" i="29"/>
  <c r="AL225" i="4" l="1"/>
  <c r="AO221" i="29"/>
  <c r="AS221" i="29"/>
  <c r="AM222" i="29"/>
  <c r="AL222" i="29"/>
  <c r="AN222" i="29"/>
  <c r="AQ222" i="29"/>
  <c r="AP222" i="29"/>
  <c r="AR222" i="29"/>
  <c r="AH235" i="4"/>
  <c r="AI234" i="4"/>
  <c r="AJ234" i="4" s="1"/>
  <c r="AK234" i="4" s="1"/>
  <c r="AE223" i="29"/>
  <c r="AH223" i="29"/>
  <c r="AK223" i="29"/>
  <c r="AG223" i="29"/>
  <c r="AJ223" i="29"/>
  <c r="AI223" i="29"/>
  <c r="AF223" i="29"/>
  <c r="AL226" i="4" l="1"/>
  <c r="AM223" i="29"/>
  <c r="AL223" i="29"/>
  <c r="AN223" i="29"/>
  <c r="AQ223" i="29"/>
  <c r="AR223" i="29"/>
  <c r="AP223" i="29"/>
  <c r="AO222" i="29"/>
  <c r="AI235" i="4"/>
  <c r="AJ235" i="4" s="1"/>
  <c r="AK235" i="4" s="1"/>
  <c r="AH236" i="4"/>
  <c r="AE224" i="29"/>
  <c r="AS222" i="29"/>
  <c r="AJ224" i="29"/>
  <c r="AH224" i="29"/>
  <c r="AF224" i="29"/>
  <c r="AI224" i="29"/>
  <c r="AG224" i="29"/>
  <c r="AK224" i="29"/>
  <c r="AL227" i="4" l="1"/>
  <c r="AM224" i="29"/>
  <c r="AL224" i="29"/>
  <c r="AN224" i="29"/>
  <c r="AQ224" i="29"/>
  <c r="AR224" i="29"/>
  <c r="AP224" i="29"/>
  <c r="AO223" i="29"/>
  <c r="AH237" i="4"/>
  <c r="AI236" i="4"/>
  <c r="AJ236" i="4" s="1"/>
  <c r="AK236" i="4" s="1"/>
  <c r="AE225" i="29"/>
  <c r="AS223" i="29"/>
  <c r="AK225" i="29"/>
  <c r="AJ225" i="29"/>
  <c r="AI225" i="29"/>
  <c r="AH225" i="29"/>
  <c r="AF225" i="29"/>
  <c r="AG225" i="29"/>
  <c r="AL228" i="4" l="1"/>
  <c r="AS224" i="29"/>
  <c r="AM225" i="29"/>
  <c r="AL225" i="29"/>
  <c r="AN225" i="29"/>
  <c r="AQ225" i="29"/>
  <c r="AR225" i="29"/>
  <c r="AP225" i="29"/>
  <c r="AE226" i="29"/>
  <c r="AH238" i="4"/>
  <c r="AI237" i="4"/>
  <c r="AJ237" i="4" s="1"/>
  <c r="AK237" i="4" s="1"/>
  <c r="AO224" i="29"/>
  <c r="AH226" i="29"/>
  <c r="AG226" i="29"/>
  <c r="AK226" i="29"/>
  <c r="AI226" i="29"/>
  <c r="AJ226" i="29"/>
  <c r="AF226" i="29"/>
  <c r="AL229" i="4" l="1"/>
  <c r="AS225" i="29"/>
  <c r="AM226" i="29"/>
  <c r="AL226" i="29"/>
  <c r="AN226" i="29"/>
  <c r="AQ226" i="29"/>
  <c r="AR226" i="29"/>
  <c r="AP226" i="29"/>
  <c r="AE227" i="29"/>
  <c r="AI238" i="4"/>
  <c r="AJ238" i="4" s="1"/>
  <c r="AK238" i="4" s="1"/>
  <c r="AH239" i="4"/>
  <c r="AO225" i="29"/>
  <c r="AK227" i="29"/>
  <c r="AG227" i="29"/>
  <c r="AJ227" i="29"/>
  <c r="AF227" i="29"/>
  <c r="AI227" i="29"/>
  <c r="AH227" i="29"/>
  <c r="AL230" i="4" l="1"/>
  <c r="AM227" i="29"/>
  <c r="AL227" i="29"/>
  <c r="AN227" i="29"/>
  <c r="AQ227" i="29"/>
  <c r="AR227" i="29"/>
  <c r="AP227" i="29"/>
  <c r="AO226" i="29"/>
  <c r="AE228" i="29"/>
  <c r="AH240" i="4"/>
  <c r="AI239" i="4"/>
  <c r="AJ239" i="4" s="1"/>
  <c r="AK239" i="4" s="1"/>
  <c r="AS226" i="29"/>
  <c r="AH228" i="29"/>
  <c r="AF228" i="29"/>
  <c r="AJ228" i="29"/>
  <c r="AK228" i="29"/>
  <c r="AI228" i="29"/>
  <c r="AG228" i="29"/>
  <c r="AL231" i="4" l="1"/>
  <c r="AM228" i="29"/>
  <c r="AL228" i="29"/>
  <c r="AN228" i="29"/>
  <c r="AQ228" i="29"/>
  <c r="AR228" i="29"/>
  <c r="AP228" i="29"/>
  <c r="AI240" i="4"/>
  <c r="AJ240" i="4" s="1"/>
  <c r="AK240" i="4" s="1"/>
  <c r="AH241" i="4"/>
  <c r="AE229" i="29"/>
  <c r="AO227" i="29"/>
  <c r="AS227" i="29"/>
  <c r="AH229" i="29"/>
  <c r="AF229" i="29"/>
  <c r="AI229" i="29"/>
  <c r="AK229" i="29"/>
  <c r="AJ229" i="29"/>
  <c r="AG229" i="29"/>
  <c r="AL232" i="4" l="1"/>
  <c r="AS228" i="29"/>
  <c r="AM229" i="29"/>
  <c r="AL229" i="29"/>
  <c r="AN229" i="29"/>
  <c r="AQ229" i="29"/>
  <c r="AR229" i="29"/>
  <c r="AP229" i="29"/>
  <c r="AE230" i="29"/>
  <c r="AI241" i="4"/>
  <c r="AJ241" i="4" s="1"/>
  <c r="AK241" i="4" s="1"/>
  <c r="AH242" i="4"/>
  <c r="AO228" i="29"/>
  <c r="AK230" i="29"/>
  <c r="AG230" i="29"/>
  <c r="AI230" i="29"/>
  <c r="AF230" i="29"/>
  <c r="AJ230" i="29"/>
  <c r="AH230" i="29"/>
  <c r="AL233" i="4" l="1"/>
  <c r="AS229" i="29"/>
  <c r="AM230" i="29"/>
  <c r="AL230" i="29"/>
  <c r="AN230" i="29"/>
  <c r="AQ230" i="29"/>
  <c r="AP230" i="29"/>
  <c r="AR230" i="29"/>
  <c r="AE231" i="29"/>
  <c r="AH243" i="4"/>
  <c r="AI242" i="4"/>
  <c r="AJ242" i="4" s="1"/>
  <c r="AK242" i="4" s="1"/>
  <c r="AO229" i="29"/>
  <c r="AI231" i="29"/>
  <c r="AG231" i="29"/>
  <c r="AH231" i="29"/>
  <c r="AK231" i="29"/>
  <c r="AJ231" i="29"/>
  <c r="AF231" i="29"/>
  <c r="AL234" i="4" l="1"/>
  <c r="AM231" i="29"/>
  <c r="AL231" i="29"/>
  <c r="AN231" i="29"/>
  <c r="AQ231" i="29"/>
  <c r="AR231" i="29"/>
  <c r="AP231" i="29"/>
  <c r="AI243" i="4"/>
  <c r="AJ243" i="4" s="1"/>
  <c r="AK243" i="4" s="1"/>
  <c r="AH244" i="4"/>
  <c r="AO230" i="29"/>
  <c r="AE232" i="29"/>
  <c r="AS230" i="29"/>
  <c r="AH232" i="29"/>
  <c r="AG232" i="29"/>
  <c r="AK232" i="29"/>
  <c r="AI232" i="29"/>
  <c r="AJ232" i="29"/>
  <c r="AF232" i="29"/>
  <c r="AL235" i="4" l="1"/>
  <c r="AM232" i="29"/>
  <c r="AL232" i="29"/>
  <c r="AN232" i="29"/>
  <c r="AQ232" i="29"/>
  <c r="AR232" i="29"/>
  <c r="AP232" i="29"/>
  <c r="AE233" i="29"/>
  <c r="AS231" i="29"/>
  <c r="AI244" i="4"/>
  <c r="AJ244" i="4" s="1"/>
  <c r="AK244" i="4" s="1"/>
  <c r="AH245" i="4"/>
  <c r="AO231" i="29"/>
  <c r="AG233" i="29"/>
  <c r="AH233" i="29"/>
  <c r="AF233" i="29"/>
  <c r="AK233" i="29"/>
  <c r="AI233" i="29"/>
  <c r="AJ233" i="29"/>
  <c r="AL236" i="4" l="1"/>
  <c r="AM233" i="29"/>
  <c r="AL233" i="29"/>
  <c r="AN233" i="29"/>
  <c r="AQ233" i="29"/>
  <c r="AR233" i="29"/>
  <c r="AP233" i="29"/>
  <c r="AO232" i="29"/>
  <c r="AE234" i="29"/>
  <c r="AH246" i="4"/>
  <c r="AI245" i="4"/>
  <c r="AJ245" i="4" s="1"/>
  <c r="AK245" i="4" s="1"/>
  <c r="AS232" i="29"/>
  <c r="AJ234" i="29"/>
  <c r="AI234" i="29"/>
  <c r="AF234" i="29"/>
  <c r="AH234" i="29"/>
  <c r="AK234" i="29"/>
  <c r="AG234" i="29"/>
  <c r="AL237" i="4" l="1"/>
  <c r="AO233" i="29"/>
  <c r="AM234" i="29"/>
  <c r="AL234" i="29"/>
  <c r="AN234" i="29"/>
  <c r="AQ234" i="29"/>
  <c r="AR234" i="29"/>
  <c r="AP234" i="29"/>
  <c r="AE235" i="29"/>
  <c r="AI246" i="4"/>
  <c r="AJ246" i="4" s="1"/>
  <c r="AK246" i="4" s="1"/>
  <c r="AH247" i="4"/>
  <c r="AS233" i="29"/>
  <c r="AH235" i="29"/>
  <c r="AF235" i="29"/>
  <c r="AG235" i="29"/>
  <c r="AI235" i="29"/>
  <c r="AJ235" i="29"/>
  <c r="AK235" i="29"/>
  <c r="AL238" i="4" l="1"/>
  <c r="AO234" i="29"/>
  <c r="AM235" i="29"/>
  <c r="AL235" i="29"/>
  <c r="AN235" i="29"/>
  <c r="AQ235" i="29"/>
  <c r="AR235" i="29"/>
  <c r="AP235" i="29"/>
  <c r="AE236" i="29"/>
  <c r="AS234" i="29"/>
  <c r="AI247" i="4"/>
  <c r="AJ247" i="4" s="1"/>
  <c r="AK247" i="4" s="1"/>
  <c r="AH248" i="4"/>
  <c r="AK236" i="29"/>
  <c r="AI236" i="29"/>
  <c r="AH236" i="29"/>
  <c r="AG236" i="29"/>
  <c r="AF236" i="29"/>
  <c r="AJ236" i="29"/>
  <c r="AL239" i="4" l="1"/>
  <c r="AM236" i="29"/>
  <c r="AL236" i="29"/>
  <c r="AN236" i="29"/>
  <c r="AQ236" i="29"/>
  <c r="AR236" i="29"/>
  <c r="AP236" i="29"/>
  <c r="AS235" i="29"/>
  <c r="AO235" i="29"/>
  <c r="AE237" i="29"/>
  <c r="AH249" i="4"/>
  <c r="AI248" i="4"/>
  <c r="AJ248" i="4" s="1"/>
  <c r="AK248" i="4" s="1"/>
  <c r="AH237" i="29"/>
  <c r="AK237" i="29"/>
  <c r="AF237" i="29"/>
  <c r="AJ237" i="29"/>
  <c r="AG237" i="29"/>
  <c r="AI237" i="29"/>
  <c r="AL240" i="4" l="1"/>
  <c r="AM237" i="29"/>
  <c r="AL237" i="29"/>
  <c r="AN237" i="29"/>
  <c r="AQ237" i="29"/>
  <c r="AR237" i="29"/>
  <c r="AP237" i="29"/>
  <c r="AE238" i="29"/>
  <c r="AO236" i="29"/>
  <c r="AS236" i="29"/>
  <c r="AI249" i="4"/>
  <c r="AJ249" i="4" s="1"/>
  <c r="AK249" i="4" s="1"/>
  <c r="AH250" i="4"/>
  <c r="AJ238" i="29"/>
  <c r="AF238" i="29"/>
  <c r="AI238" i="29"/>
  <c r="AS38" i="4"/>
  <c r="AH238" i="29"/>
  <c r="AK238" i="29"/>
  <c r="AG238" i="29"/>
  <c r="AL241" i="4" l="1"/>
  <c r="AM238" i="29"/>
  <c r="AL238" i="29"/>
  <c r="AN238" i="29"/>
  <c r="AQ238" i="29"/>
  <c r="AR238" i="29"/>
  <c r="AP238" i="29"/>
  <c r="AO237" i="29"/>
  <c r="AE239" i="29"/>
  <c r="AI250" i="4"/>
  <c r="AJ250" i="4" s="1"/>
  <c r="AK250" i="4" s="1"/>
  <c r="AH251" i="4"/>
  <c r="AS237" i="29"/>
  <c r="AF239" i="29"/>
  <c r="AG239" i="29"/>
  <c r="AK239" i="29"/>
  <c r="AH239" i="29"/>
  <c r="AI239" i="29"/>
  <c r="AJ239" i="29"/>
  <c r="AL242" i="4" l="1"/>
  <c r="AM239" i="29"/>
  <c r="AL239" i="29"/>
  <c r="AN239" i="29"/>
  <c r="AQ239" i="29"/>
  <c r="AR239" i="29"/>
  <c r="AP239" i="29"/>
  <c r="AE240" i="29"/>
  <c r="AO238" i="29"/>
  <c r="AH252" i="4"/>
  <c r="AI251" i="4"/>
  <c r="AJ251" i="4" s="1"/>
  <c r="AK251" i="4" s="1"/>
  <c r="AS238" i="29"/>
  <c r="AJ240" i="29"/>
  <c r="AI240" i="29"/>
  <c r="AK240" i="29"/>
  <c r="AG240" i="29"/>
  <c r="AH240" i="29"/>
  <c r="AF240" i="29"/>
  <c r="AL243" i="4" l="1"/>
  <c r="AM240" i="29"/>
  <c r="AL240" i="29"/>
  <c r="AN240" i="29"/>
  <c r="AQ240" i="29"/>
  <c r="AR240" i="29"/>
  <c r="AP240" i="29"/>
  <c r="AE241" i="29"/>
  <c r="AS239" i="29"/>
  <c r="AI252" i="4"/>
  <c r="AJ252" i="4" s="1"/>
  <c r="AK252" i="4" s="1"/>
  <c r="AH253" i="4"/>
  <c r="AO239" i="29"/>
  <c r="AF241" i="29"/>
  <c r="AG241" i="29"/>
  <c r="AK241" i="29"/>
  <c r="AJ241" i="29"/>
  <c r="AI241" i="29"/>
  <c r="AH241" i="29"/>
  <c r="AL244" i="4" l="1"/>
  <c r="AM241" i="29"/>
  <c r="AL241" i="29"/>
  <c r="AN241" i="29"/>
  <c r="AQ241" i="29"/>
  <c r="AR241" i="29"/>
  <c r="AP241" i="29"/>
  <c r="AE242" i="29"/>
  <c r="AH254" i="4"/>
  <c r="AI253" i="4"/>
  <c r="AJ253" i="4" s="1"/>
  <c r="AK253" i="4" s="1"/>
  <c r="AS240" i="29"/>
  <c r="AO240" i="29"/>
  <c r="AG242" i="29"/>
  <c r="AJ242" i="29"/>
  <c r="AH242" i="29"/>
  <c r="AF242" i="29"/>
  <c r="AK242" i="29"/>
  <c r="AI242" i="29"/>
  <c r="AL245" i="4" l="1"/>
  <c r="AS241" i="29"/>
  <c r="AM242" i="29"/>
  <c r="AL242" i="29"/>
  <c r="AN242" i="29"/>
  <c r="AQ242" i="29"/>
  <c r="AR242" i="29"/>
  <c r="AP242" i="29"/>
  <c r="AE243" i="29"/>
  <c r="AH255" i="4"/>
  <c r="AI254" i="4"/>
  <c r="AJ254" i="4" s="1"/>
  <c r="AK254" i="4" s="1"/>
  <c r="AO241" i="29"/>
  <c r="AJ243" i="29"/>
  <c r="AH243" i="29"/>
  <c r="AF243" i="29"/>
  <c r="AG243" i="29"/>
  <c r="AK243" i="29"/>
  <c r="AI243" i="29"/>
  <c r="AL246" i="4" l="1"/>
  <c r="AO242" i="29"/>
  <c r="AM243" i="29"/>
  <c r="AL243" i="29"/>
  <c r="AN243" i="29"/>
  <c r="AQ243" i="29"/>
  <c r="AR243" i="29"/>
  <c r="AP243" i="29"/>
  <c r="AE244" i="29"/>
  <c r="AS242" i="29"/>
  <c r="AI255" i="4"/>
  <c r="AJ255" i="4" s="1"/>
  <c r="AK255" i="4" s="1"/>
  <c r="AH256" i="4"/>
  <c r="AI244" i="29"/>
  <c r="AF244" i="29"/>
  <c r="AK244" i="29"/>
  <c r="AJ244" i="29"/>
  <c r="AH244" i="29"/>
  <c r="AG244" i="29"/>
  <c r="AL247" i="4" l="1"/>
  <c r="AM244" i="29"/>
  <c r="AL244" i="29"/>
  <c r="AN244" i="29"/>
  <c r="AQ244" i="29"/>
  <c r="AR244" i="29"/>
  <c r="AP244" i="29"/>
  <c r="AS243" i="29"/>
  <c r="AO243" i="29"/>
  <c r="AE245" i="29"/>
  <c r="AH257" i="4"/>
  <c r="AI256" i="4"/>
  <c r="AJ256" i="4" s="1"/>
  <c r="AK256" i="4" s="1"/>
  <c r="AI245" i="29"/>
  <c r="AJ245" i="29"/>
  <c r="AH245" i="29"/>
  <c r="AF245" i="29"/>
  <c r="AK245" i="29"/>
  <c r="AG245" i="29"/>
  <c r="AL248" i="4" l="1"/>
  <c r="AS244" i="29"/>
  <c r="AM245" i="29"/>
  <c r="AL245" i="29"/>
  <c r="AN245" i="29"/>
  <c r="AQ245" i="29"/>
  <c r="AP245" i="29"/>
  <c r="AR245" i="29"/>
  <c r="AI257" i="4"/>
  <c r="AJ257" i="4" s="1"/>
  <c r="AK257" i="4" s="1"/>
  <c r="AH258" i="4"/>
  <c r="AE246" i="29"/>
  <c r="AO244" i="29"/>
  <c r="AF246" i="29"/>
  <c r="AK246" i="29"/>
  <c r="AH246" i="29"/>
  <c r="AI246" i="29"/>
  <c r="AJ246" i="29"/>
  <c r="AG246" i="29"/>
  <c r="AL249" i="4" l="1"/>
  <c r="AS245" i="29"/>
  <c r="AM246" i="29"/>
  <c r="AL246" i="29"/>
  <c r="AN246" i="29"/>
  <c r="AQ246" i="29"/>
  <c r="AP246" i="29"/>
  <c r="AR246" i="29"/>
  <c r="AE247" i="29"/>
  <c r="AI258" i="4"/>
  <c r="AJ258" i="4" s="1"/>
  <c r="AK258" i="4" s="1"/>
  <c r="AH259" i="4"/>
  <c r="AO245" i="29"/>
  <c r="AF247" i="29"/>
  <c r="AJ247" i="29"/>
  <c r="AK247" i="29"/>
  <c r="AI247" i="29"/>
  <c r="AH247" i="29"/>
  <c r="AG247" i="29"/>
  <c r="AL250" i="4" l="1"/>
  <c r="AM247" i="29"/>
  <c r="AL247" i="29"/>
  <c r="AN247" i="29"/>
  <c r="AQ247" i="29"/>
  <c r="AP247" i="29"/>
  <c r="AR247" i="29"/>
  <c r="AO246" i="29"/>
  <c r="AE248" i="29"/>
  <c r="AH260" i="4"/>
  <c r="AI259" i="4"/>
  <c r="AJ259" i="4" s="1"/>
  <c r="AK259" i="4" s="1"/>
  <c r="AS246" i="29"/>
  <c r="AH248" i="29"/>
  <c r="AJ248" i="29"/>
  <c r="AI248" i="29"/>
  <c r="AF248" i="29"/>
  <c r="AG248" i="29"/>
  <c r="AK248" i="29"/>
  <c r="AL251" i="4" l="1"/>
  <c r="AM248" i="29"/>
  <c r="AL248" i="29"/>
  <c r="AN248" i="29"/>
  <c r="AQ248" i="29"/>
  <c r="AR248" i="29"/>
  <c r="AP248" i="29"/>
  <c r="AI260" i="4"/>
  <c r="AJ260" i="4" s="1"/>
  <c r="AK260" i="4" s="1"/>
  <c r="AH261" i="4"/>
  <c r="AE249" i="29"/>
  <c r="AO247" i="29"/>
  <c r="AS247" i="29"/>
  <c r="AK249" i="29"/>
  <c r="AG249" i="29"/>
  <c r="AF249" i="29"/>
  <c r="AJ249" i="29"/>
  <c r="AH249" i="29"/>
  <c r="AI249" i="29"/>
  <c r="AL252" i="4" l="1"/>
  <c r="AM249" i="29"/>
  <c r="AL249" i="29"/>
  <c r="AN249" i="29"/>
  <c r="AQ249" i="29"/>
  <c r="AR249" i="29"/>
  <c r="AP249" i="29"/>
  <c r="AS248" i="29"/>
  <c r="AO248" i="29"/>
  <c r="AE250" i="29"/>
  <c r="AH262" i="4"/>
  <c r="AI261" i="4"/>
  <c r="AJ261" i="4" s="1"/>
  <c r="AK261" i="4" s="1"/>
  <c r="AH250" i="29"/>
  <c r="AK250" i="29"/>
  <c r="AG250" i="29"/>
  <c r="AI250" i="29"/>
  <c r="AF250" i="29"/>
  <c r="AJ250" i="29"/>
  <c r="AL253" i="4" l="1"/>
  <c r="AM250" i="29"/>
  <c r="AL250" i="29"/>
  <c r="AN250" i="29"/>
  <c r="AQ250" i="29"/>
  <c r="AR250" i="29"/>
  <c r="AP250" i="29"/>
  <c r="AH263" i="4"/>
  <c r="AI262" i="4"/>
  <c r="AJ262" i="4" s="1"/>
  <c r="AK262" i="4" s="1"/>
  <c r="AE251" i="29"/>
  <c r="AO249" i="29"/>
  <c r="AS249" i="29"/>
  <c r="AH251" i="29"/>
  <c r="AK251" i="29"/>
  <c r="AI251" i="29"/>
  <c r="AF251" i="29"/>
  <c r="AG251" i="29"/>
  <c r="AJ251" i="29"/>
  <c r="AL254" i="4" l="1"/>
  <c r="AM251" i="29"/>
  <c r="AL251" i="29"/>
  <c r="AN251" i="29"/>
  <c r="AQ251" i="29"/>
  <c r="AP251" i="29"/>
  <c r="AR251" i="29"/>
  <c r="AO250" i="29"/>
  <c r="AI263" i="4"/>
  <c r="AJ263" i="4" s="1"/>
  <c r="AK263" i="4" s="1"/>
  <c r="AH264" i="4"/>
  <c r="AE252" i="29"/>
  <c r="AS250" i="29"/>
  <c r="AF252" i="29"/>
  <c r="AG252" i="29"/>
  <c r="AI252" i="29"/>
  <c r="AJ252" i="29"/>
  <c r="AK252" i="29"/>
  <c r="AH252" i="29"/>
  <c r="AL255" i="4" l="1"/>
  <c r="AM252" i="29"/>
  <c r="AL252" i="29"/>
  <c r="AN252" i="29"/>
  <c r="AQ252" i="29"/>
  <c r="AR252" i="29"/>
  <c r="AP252" i="29"/>
  <c r="AE253" i="29"/>
  <c r="AS251" i="29"/>
  <c r="AH265" i="4"/>
  <c r="AI264" i="4"/>
  <c r="AJ264" i="4" s="1"/>
  <c r="AK264" i="4" s="1"/>
  <c r="AO251" i="29"/>
  <c r="AH253" i="29"/>
  <c r="AG253" i="29"/>
  <c r="AJ253" i="29"/>
  <c r="AK253" i="29"/>
  <c r="AF253" i="29"/>
  <c r="AI253" i="29"/>
  <c r="AL256" i="4" l="1"/>
  <c r="AS252" i="29"/>
  <c r="AM253" i="29"/>
  <c r="AL253" i="29"/>
  <c r="AN253" i="29"/>
  <c r="AQ253" i="29"/>
  <c r="AR253" i="29"/>
  <c r="AP253" i="29"/>
  <c r="AE254" i="29"/>
  <c r="AI265" i="4"/>
  <c r="AJ265" i="4" s="1"/>
  <c r="AK265" i="4" s="1"/>
  <c r="AH266" i="4"/>
  <c r="AO252" i="29"/>
  <c r="AJ254" i="29"/>
  <c r="AG254" i="29"/>
  <c r="AH254" i="29"/>
  <c r="AI254" i="29"/>
  <c r="AK254" i="29"/>
  <c r="AF254" i="29"/>
  <c r="AL257" i="4" l="1"/>
  <c r="AS253" i="29"/>
  <c r="AM254" i="29"/>
  <c r="AL254" i="29"/>
  <c r="AN254" i="29"/>
  <c r="AQ254" i="29"/>
  <c r="AR254" i="29"/>
  <c r="AP254" i="29"/>
  <c r="AE255" i="29"/>
  <c r="AI266" i="4"/>
  <c r="AJ266" i="4" s="1"/>
  <c r="AK266" i="4" s="1"/>
  <c r="AH267" i="4"/>
  <c r="AO253" i="29"/>
  <c r="AG255" i="29"/>
  <c r="AH255" i="29"/>
  <c r="AI255" i="29"/>
  <c r="AJ255" i="29"/>
  <c r="AF255" i="29"/>
  <c r="AK255" i="29"/>
  <c r="AL258" i="4" l="1"/>
  <c r="AS254" i="29"/>
  <c r="AM255" i="29"/>
  <c r="AL255" i="29"/>
  <c r="AN255" i="29"/>
  <c r="AQ255" i="29"/>
  <c r="AP255" i="29"/>
  <c r="AR255" i="29"/>
  <c r="AE256" i="29"/>
  <c r="AH268" i="4"/>
  <c r="AI267" i="4"/>
  <c r="AJ267" i="4" s="1"/>
  <c r="AK267" i="4" s="1"/>
  <c r="AO254" i="29"/>
  <c r="AK256" i="29"/>
  <c r="AH256" i="29"/>
  <c r="AG256" i="29"/>
  <c r="AI256" i="29"/>
  <c r="AF256" i="29"/>
  <c r="AJ256" i="29"/>
  <c r="AL259" i="4" l="1"/>
  <c r="AM256" i="29"/>
  <c r="AL256" i="29"/>
  <c r="AN256" i="29"/>
  <c r="AQ256" i="29"/>
  <c r="AR256" i="29"/>
  <c r="AP256" i="29"/>
  <c r="AS255" i="29"/>
  <c r="AE257" i="29"/>
  <c r="AI268" i="4"/>
  <c r="AJ268" i="4" s="1"/>
  <c r="AK268" i="4" s="1"/>
  <c r="AH269" i="4"/>
  <c r="AO255" i="29"/>
  <c r="AG257" i="29"/>
  <c r="AH257" i="29"/>
  <c r="AK257" i="29"/>
  <c r="AI257" i="29"/>
  <c r="AJ257" i="29"/>
  <c r="AF257" i="29"/>
  <c r="AL260" i="4" l="1"/>
  <c r="AM257" i="29"/>
  <c r="AL257" i="29"/>
  <c r="AN257" i="29"/>
  <c r="AQ257" i="29"/>
  <c r="AR257" i="29"/>
  <c r="AP257" i="29"/>
  <c r="AE258" i="29"/>
  <c r="AO256" i="29"/>
  <c r="AH270" i="4"/>
  <c r="AI269" i="4"/>
  <c r="AJ269" i="4" s="1"/>
  <c r="AK269" i="4" s="1"/>
  <c r="AS256" i="29"/>
  <c r="AK258" i="29"/>
  <c r="AJ258" i="29"/>
  <c r="AI258" i="29"/>
  <c r="AG258" i="29"/>
  <c r="AH258" i="29"/>
  <c r="AF258" i="29"/>
  <c r="AL261" i="4" l="1"/>
  <c r="AM258" i="29"/>
  <c r="AL258" i="29"/>
  <c r="AN258" i="29"/>
  <c r="AQ258" i="29"/>
  <c r="AR258" i="29"/>
  <c r="AP258" i="29"/>
  <c r="AH271" i="4"/>
  <c r="AI270" i="4"/>
  <c r="AJ270" i="4" s="1"/>
  <c r="AK270" i="4" s="1"/>
  <c r="AO257" i="29"/>
  <c r="AE259" i="29"/>
  <c r="AS257" i="29"/>
  <c r="AG259" i="29"/>
  <c r="AH259" i="29"/>
  <c r="AF259" i="29"/>
  <c r="AK259" i="29"/>
  <c r="AI259" i="29"/>
  <c r="AJ259" i="29"/>
  <c r="AL262" i="4" l="1"/>
  <c r="AM259" i="29"/>
  <c r="AL259" i="29"/>
  <c r="AN259" i="29"/>
  <c r="AQ259" i="29"/>
  <c r="AR259" i="29"/>
  <c r="AP259" i="29"/>
  <c r="AE260" i="29"/>
  <c r="AS258" i="29"/>
  <c r="AI271" i="4"/>
  <c r="AJ271" i="4" s="1"/>
  <c r="AK271" i="4" s="1"/>
  <c r="AH272" i="4"/>
  <c r="AO258" i="29"/>
  <c r="AI260" i="29"/>
  <c r="AG260" i="29"/>
  <c r="AH260" i="29"/>
  <c r="AK260" i="29"/>
  <c r="AF260" i="29"/>
  <c r="AJ260" i="29"/>
  <c r="AL263" i="4" l="1"/>
  <c r="AM260" i="29"/>
  <c r="AL260" i="29"/>
  <c r="AN260" i="29"/>
  <c r="AQ260" i="29"/>
  <c r="AR260" i="29"/>
  <c r="AP260" i="29"/>
  <c r="AH273" i="4"/>
  <c r="AI272" i="4"/>
  <c r="AJ272" i="4" s="1"/>
  <c r="AK272" i="4" s="1"/>
  <c r="AS259" i="29"/>
  <c r="AE261" i="29"/>
  <c r="AO259" i="29"/>
  <c r="AF261" i="29"/>
  <c r="AI261" i="29"/>
  <c r="AJ261" i="29"/>
  <c r="AK261" i="29"/>
  <c r="AG261" i="29"/>
  <c r="AH261" i="29"/>
  <c r="AL264" i="4" l="1"/>
  <c r="AM261" i="29"/>
  <c r="AL261" i="29"/>
  <c r="AN261" i="29"/>
  <c r="AQ261" i="29"/>
  <c r="AR261" i="29"/>
  <c r="AP261" i="29"/>
  <c r="AI273" i="4"/>
  <c r="AJ273" i="4" s="1"/>
  <c r="AK273" i="4" s="1"/>
  <c r="AH274" i="4"/>
  <c r="AE262" i="29"/>
  <c r="AS260" i="29"/>
  <c r="AO260" i="29"/>
  <c r="AI262" i="29"/>
  <c r="AF262" i="29"/>
  <c r="AG262" i="29"/>
  <c r="AK262" i="29"/>
  <c r="AH262" i="29"/>
  <c r="AJ262" i="29"/>
  <c r="AL265" i="4" l="1"/>
  <c r="AM262" i="29"/>
  <c r="AL262" i="29"/>
  <c r="AN262" i="29"/>
  <c r="AQ262" i="29"/>
  <c r="AR262" i="29"/>
  <c r="AP262" i="29"/>
  <c r="AS261" i="29"/>
  <c r="AE263" i="29"/>
  <c r="AI274" i="4"/>
  <c r="AJ274" i="4" s="1"/>
  <c r="AK274" i="4" s="1"/>
  <c r="AH275" i="4"/>
  <c r="AO261" i="29"/>
  <c r="AH263" i="29"/>
  <c r="AJ263" i="29"/>
  <c r="AG263" i="29"/>
  <c r="AI263" i="29"/>
  <c r="AF263" i="29"/>
  <c r="AK263" i="29"/>
  <c r="AL266" i="4" l="1"/>
  <c r="AO262" i="29"/>
  <c r="AS262" i="29"/>
  <c r="AM263" i="29"/>
  <c r="AL263" i="29"/>
  <c r="AN263" i="29"/>
  <c r="AQ263" i="29"/>
  <c r="AR263" i="29"/>
  <c r="AP263" i="29"/>
  <c r="AH276" i="4"/>
  <c r="AI275" i="4"/>
  <c r="AJ275" i="4" s="1"/>
  <c r="AK275" i="4" s="1"/>
  <c r="AE264" i="29"/>
  <c r="AG264" i="29"/>
  <c r="AI264" i="29"/>
  <c r="AF264" i="29"/>
  <c r="AJ264" i="29"/>
  <c r="AH264" i="29"/>
  <c r="AK264" i="29"/>
  <c r="AL267" i="4" l="1"/>
  <c r="AS263" i="29"/>
  <c r="AM264" i="29"/>
  <c r="AL264" i="29"/>
  <c r="AN264" i="29"/>
  <c r="AQ264" i="29"/>
  <c r="AR264" i="29"/>
  <c r="AP264" i="29"/>
  <c r="AE265" i="29"/>
  <c r="AI276" i="4"/>
  <c r="AJ276" i="4" s="1"/>
  <c r="AK276" i="4" s="1"/>
  <c r="AH277" i="4"/>
  <c r="AO263" i="29"/>
  <c r="AH265" i="29"/>
  <c r="AF265" i="29"/>
  <c r="AG265" i="29"/>
  <c r="AK265" i="29"/>
  <c r="AJ265" i="29"/>
  <c r="AI265" i="29"/>
  <c r="AL268" i="4" l="1"/>
  <c r="AS264" i="29"/>
  <c r="AM265" i="29"/>
  <c r="AL265" i="29"/>
  <c r="AN265" i="29"/>
  <c r="AQ265" i="29"/>
  <c r="AR265" i="29"/>
  <c r="AP265" i="29"/>
  <c r="AE266" i="29"/>
  <c r="AI277" i="4"/>
  <c r="AJ277" i="4" s="1"/>
  <c r="AK277" i="4" s="1"/>
  <c r="AH278" i="4"/>
  <c r="AO264" i="29"/>
  <c r="AH266" i="29"/>
  <c r="AK266" i="29"/>
  <c r="AJ266" i="29"/>
  <c r="AI266" i="29"/>
  <c r="AF266" i="29"/>
  <c r="AG266" i="29"/>
  <c r="AL269" i="4" l="1"/>
  <c r="AM266" i="29"/>
  <c r="AL266" i="29"/>
  <c r="AN266" i="29"/>
  <c r="AQ266" i="29"/>
  <c r="AR266" i="29"/>
  <c r="AP266" i="29"/>
  <c r="AH279" i="4"/>
  <c r="AI278" i="4"/>
  <c r="AJ278" i="4" s="1"/>
  <c r="AK278" i="4" s="1"/>
  <c r="AO265" i="29"/>
  <c r="AE267" i="29"/>
  <c r="AS265" i="29"/>
  <c r="AG267" i="29"/>
  <c r="AH267" i="29"/>
  <c r="AJ267" i="29"/>
  <c r="AK267" i="29"/>
  <c r="AF267" i="29"/>
  <c r="AI267" i="29"/>
  <c r="AL270" i="4" l="1"/>
  <c r="AM267" i="29"/>
  <c r="AL267" i="29"/>
  <c r="AN267" i="29"/>
  <c r="AQ267" i="29"/>
  <c r="AR267" i="29"/>
  <c r="AP267" i="29"/>
  <c r="AO266" i="29"/>
  <c r="AI279" i="4"/>
  <c r="AJ279" i="4" s="1"/>
  <c r="AK279" i="4" s="1"/>
  <c r="AH280" i="4"/>
  <c r="AS266" i="29"/>
  <c r="AS39" i="4"/>
  <c r="AL271" i="4" l="1"/>
  <c r="AS267" i="29"/>
  <c r="AI280" i="4"/>
  <c r="AJ280" i="4" s="1"/>
  <c r="AK280" i="4" s="1"/>
  <c r="AH281" i="4"/>
  <c r="AO267" i="29"/>
  <c r="AL272" i="4" l="1"/>
  <c r="AH282" i="4"/>
  <c r="AI281" i="4"/>
  <c r="AJ281" i="4" s="1"/>
  <c r="AK281" i="4" s="1"/>
  <c r="AL273" i="4" l="1"/>
  <c r="AI282" i="4"/>
  <c r="AJ282" i="4" s="1"/>
  <c r="AK282" i="4" s="1"/>
  <c r="AH283" i="4"/>
  <c r="AL274" i="4" l="1"/>
  <c r="AH284" i="4"/>
  <c r="AI283" i="4"/>
  <c r="AJ283" i="4" s="1"/>
  <c r="AK283" i="4" s="1"/>
  <c r="AL275" i="4" l="1"/>
  <c r="AH285" i="4"/>
  <c r="AI284" i="4"/>
  <c r="AJ284" i="4" s="1"/>
  <c r="AK284" i="4" s="1"/>
  <c r="AL276" i="4" l="1"/>
  <c r="AI285" i="4"/>
  <c r="AJ285" i="4" s="1"/>
  <c r="AK285" i="4" s="1"/>
  <c r="AH286" i="4"/>
  <c r="AL277" i="4" l="1"/>
  <c r="AH287" i="4"/>
  <c r="AI286" i="4"/>
  <c r="AJ286" i="4" s="1"/>
  <c r="AK286" i="4" s="1"/>
  <c r="AL278" i="4" l="1"/>
  <c r="AI287" i="4"/>
  <c r="AJ287" i="4" s="1"/>
  <c r="AK287" i="4" s="1"/>
  <c r="AH288" i="4"/>
  <c r="AL279" i="4" l="1"/>
  <c r="AI288" i="4"/>
  <c r="AJ288" i="4" s="1"/>
  <c r="AK288" i="4" s="1"/>
  <c r="AH289" i="4"/>
  <c r="AL280" i="4" l="1"/>
  <c r="AH290" i="4"/>
  <c r="AI289" i="4"/>
  <c r="AJ289" i="4" s="1"/>
  <c r="AK289" i="4" s="1"/>
  <c r="AL281" i="4" l="1"/>
  <c r="AI290" i="4"/>
  <c r="AJ290" i="4" s="1"/>
  <c r="AK290" i="4" s="1"/>
  <c r="AH291" i="4"/>
  <c r="AL282" i="4" l="1"/>
  <c r="AH292" i="4"/>
  <c r="AI291" i="4"/>
  <c r="AJ291" i="4" s="1"/>
  <c r="AK291" i="4" s="1"/>
  <c r="AL283" i="4" l="1"/>
  <c r="AH293" i="4"/>
  <c r="AI292" i="4"/>
  <c r="AJ292" i="4" s="1"/>
  <c r="AK292" i="4" s="1"/>
  <c r="AL284" i="4" l="1"/>
  <c r="AI293" i="4"/>
  <c r="AJ293" i="4" s="1"/>
  <c r="AK293" i="4" s="1"/>
  <c r="AH294" i="4"/>
  <c r="AL285" i="4" l="1"/>
  <c r="AH295" i="4"/>
  <c r="AI294" i="4"/>
  <c r="AJ294" i="4" s="1"/>
  <c r="AK294" i="4" s="1"/>
  <c r="AL286" i="4" l="1"/>
  <c r="AI295" i="4"/>
  <c r="AJ295" i="4" s="1"/>
  <c r="AK295" i="4" s="1"/>
  <c r="AH296" i="4"/>
  <c r="AL287" i="4" l="1"/>
  <c r="AI296" i="4"/>
  <c r="AJ296" i="4" s="1"/>
  <c r="AK296" i="4" s="1"/>
  <c r="AH297" i="4"/>
  <c r="AL288" i="4" l="1"/>
  <c r="AH298" i="4"/>
  <c r="AI297" i="4"/>
  <c r="AJ297" i="4" s="1"/>
  <c r="AK297" i="4" s="1"/>
  <c r="AL289" i="4" l="1"/>
  <c r="AI298" i="4"/>
  <c r="AJ298" i="4" s="1"/>
  <c r="AK298" i="4" s="1"/>
  <c r="AH299" i="4"/>
  <c r="AL290" i="4" l="1"/>
  <c r="AI299" i="4"/>
  <c r="AJ299" i="4" s="1"/>
  <c r="AK299" i="4" s="1"/>
  <c r="AH300" i="4"/>
  <c r="AL291" i="4" l="1"/>
  <c r="AI300" i="4"/>
  <c r="AJ300" i="4" s="1"/>
  <c r="AK300" i="4" s="1"/>
  <c r="AH301" i="4"/>
  <c r="AL292" i="4" l="1"/>
  <c r="AI301" i="4"/>
  <c r="AJ301" i="4" s="1"/>
  <c r="AK301" i="4" s="1"/>
  <c r="AH302" i="4"/>
  <c r="AL293" i="4" l="1"/>
  <c r="AH303" i="4"/>
  <c r="AI302" i="4"/>
  <c r="AJ302" i="4" s="1"/>
  <c r="AK302" i="4" s="1"/>
  <c r="AL294" i="4" l="1"/>
  <c r="AI303" i="4"/>
  <c r="AJ303" i="4" s="1"/>
  <c r="AK303" i="4" s="1"/>
  <c r="AH304" i="4"/>
  <c r="AL295" i="4" l="1"/>
  <c r="AH305" i="4"/>
  <c r="AI304" i="4"/>
  <c r="AJ304" i="4" s="1"/>
  <c r="AK304" i="4" s="1"/>
  <c r="AL296" i="4" l="1"/>
  <c r="AH306" i="4"/>
  <c r="AI305" i="4"/>
  <c r="AJ305" i="4" s="1"/>
  <c r="AK305" i="4" s="1"/>
  <c r="AL297" i="4" l="1"/>
  <c r="AI306" i="4"/>
  <c r="AJ306" i="4" s="1"/>
  <c r="AK306" i="4" s="1"/>
  <c r="AH307" i="4"/>
  <c r="AL298" i="4" l="1"/>
  <c r="AH308" i="4"/>
  <c r="AI307" i="4"/>
  <c r="AJ307" i="4" s="1"/>
  <c r="AK307" i="4" s="1"/>
  <c r="AL299" i="4" l="1"/>
  <c r="AI308" i="4"/>
  <c r="AJ308" i="4" s="1"/>
  <c r="AK308" i="4" s="1"/>
  <c r="AH309" i="4"/>
  <c r="AL300" i="4" l="1"/>
  <c r="AI309" i="4"/>
  <c r="AJ309" i="4" s="1"/>
  <c r="AK309" i="4" s="1"/>
  <c r="AH310" i="4"/>
  <c r="AS40" i="4"/>
  <c r="AL301" i="4" l="1"/>
  <c r="AH311" i="4"/>
  <c r="AI310" i="4"/>
  <c r="AJ310" i="4" s="1"/>
  <c r="AK310" i="4" s="1"/>
  <c r="AL302" i="4" l="1"/>
  <c r="AI311" i="4"/>
  <c r="AJ311" i="4" s="1"/>
  <c r="AK311" i="4" s="1"/>
  <c r="AH312" i="4"/>
  <c r="AL303" i="4" l="1"/>
  <c r="AH313" i="4"/>
  <c r="AI312" i="4"/>
  <c r="AJ312" i="4" s="1"/>
  <c r="AK312" i="4" s="1"/>
  <c r="AL304" i="4" l="1"/>
  <c r="AH314" i="4"/>
  <c r="AI313" i="4"/>
  <c r="AJ313" i="4" s="1"/>
  <c r="AK313" i="4" s="1"/>
  <c r="AL305" i="4" l="1"/>
  <c r="AI314" i="4"/>
  <c r="AJ314" i="4" s="1"/>
  <c r="AK314" i="4" s="1"/>
  <c r="AH315" i="4"/>
  <c r="AL306" i="4" l="1"/>
  <c r="AH316" i="4"/>
  <c r="AI315" i="4"/>
  <c r="AJ315" i="4" s="1"/>
  <c r="AK315" i="4" s="1"/>
  <c r="AL307" i="4" l="1"/>
  <c r="AI316" i="4"/>
  <c r="AJ316" i="4" s="1"/>
  <c r="AK316" i="4" s="1"/>
  <c r="AH317" i="4"/>
  <c r="AL308" i="4" l="1"/>
  <c r="AI317" i="4"/>
  <c r="AJ317" i="4" s="1"/>
  <c r="AK317" i="4" s="1"/>
  <c r="AH318" i="4"/>
  <c r="AL309" i="4" l="1"/>
  <c r="AH319" i="4"/>
  <c r="AI318" i="4"/>
  <c r="AJ318" i="4" s="1"/>
  <c r="AK318" i="4" s="1"/>
  <c r="AL310" i="4" l="1"/>
  <c r="AI319" i="4"/>
  <c r="AJ319" i="4" s="1"/>
  <c r="AK319" i="4" s="1"/>
  <c r="AH320" i="4"/>
  <c r="AL311" i="4" l="1"/>
  <c r="AH321" i="4"/>
  <c r="AI320" i="4"/>
  <c r="AJ320" i="4" s="1"/>
  <c r="AK320" i="4" s="1"/>
  <c r="AL312" i="4" l="1"/>
  <c r="AH322" i="4"/>
  <c r="AI321" i="4"/>
  <c r="AJ321" i="4" s="1"/>
  <c r="AK321" i="4" s="1"/>
  <c r="AL313" i="4" l="1"/>
  <c r="AI322" i="4"/>
  <c r="AJ322" i="4" s="1"/>
  <c r="AK322" i="4" s="1"/>
  <c r="AH323" i="4"/>
  <c r="AL314" i="4" l="1"/>
  <c r="AH324" i="4"/>
  <c r="AI323" i="4"/>
  <c r="AJ323" i="4" s="1"/>
  <c r="AK323" i="4" s="1"/>
  <c r="AL315" i="4" l="1"/>
  <c r="AI324" i="4"/>
  <c r="AJ324" i="4" s="1"/>
  <c r="AK324" i="4" s="1"/>
  <c r="AH325" i="4"/>
  <c r="AL316" i="4" l="1"/>
  <c r="AI325" i="4"/>
  <c r="AJ325" i="4" s="1"/>
  <c r="AK325" i="4" s="1"/>
  <c r="AH326" i="4"/>
  <c r="AL317" i="4" l="1"/>
  <c r="AH327" i="4"/>
  <c r="AI326" i="4"/>
  <c r="AJ326" i="4" s="1"/>
  <c r="AK326" i="4" s="1"/>
  <c r="AL318" i="4" l="1"/>
  <c r="AI327" i="4"/>
  <c r="AJ327" i="4" s="1"/>
  <c r="AK327" i="4" s="1"/>
  <c r="AH328" i="4"/>
  <c r="AL319" i="4" l="1"/>
  <c r="AH329" i="4"/>
  <c r="AI328" i="4"/>
  <c r="AJ328" i="4" s="1"/>
  <c r="AK328" i="4" s="1"/>
  <c r="AL320" i="4" l="1"/>
  <c r="AH330" i="4"/>
  <c r="AI329" i="4"/>
  <c r="AJ329" i="4" s="1"/>
  <c r="AK329" i="4" s="1"/>
  <c r="AL321" i="4" l="1"/>
  <c r="AI330" i="4"/>
  <c r="AJ330" i="4" s="1"/>
  <c r="AK330" i="4" s="1"/>
  <c r="AH331" i="4"/>
  <c r="AL322" i="4" l="1"/>
  <c r="AH332" i="4"/>
  <c r="AI331" i="4"/>
  <c r="AJ331" i="4" s="1"/>
  <c r="AK331" i="4" s="1"/>
  <c r="AL323" i="4" l="1"/>
  <c r="AI332" i="4"/>
  <c r="AJ332" i="4" s="1"/>
  <c r="AK332" i="4" s="1"/>
  <c r="AH333" i="4"/>
  <c r="AL324" i="4" l="1"/>
  <c r="AI333" i="4"/>
  <c r="AJ333" i="4" s="1"/>
  <c r="AK333" i="4" s="1"/>
  <c r="AH334" i="4"/>
  <c r="AL325" i="4" l="1"/>
  <c r="AH335" i="4"/>
  <c r="AI334" i="4"/>
  <c r="AJ334" i="4" s="1"/>
  <c r="AK334" i="4" s="1"/>
  <c r="AL326" i="4" l="1"/>
  <c r="AI335" i="4"/>
  <c r="AJ335" i="4" s="1"/>
  <c r="AK335" i="4" s="1"/>
  <c r="AH336" i="4"/>
  <c r="AL327" i="4" l="1"/>
  <c r="AH337" i="4"/>
  <c r="AI336" i="4"/>
  <c r="AJ336" i="4" s="1"/>
  <c r="AK336" i="4" s="1"/>
  <c r="AL328" i="4" l="1"/>
  <c r="AH338" i="4"/>
  <c r="AI337" i="4"/>
  <c r="AJ337" i="4" s="1"/>
  <c r="AK337" i="4" s="1"/>
  <c r="AL329" i="4" l="1"/>
  <c r="AI338" i="4"/>
  <c r="AJ338" i="4" s="1"/>
  <c r="AK338" i="4" s="1"/>
  <c r="AH339" i="4"/>
  <c r="AL330" i="4" l="1"/>
  <c r="AI339" i="4"/>
  <c r="AJ339" i="4" s="1"/>
  <c r="AK339" i="4" s="1"/>
  <c r="AH340" i="4"/>
  <c r="AS41" i="4"/>
  <c r="AL331" i="4" l="1"/>
  <c r="AI340" i="4"/>
  <c r="AJ340" i="4" s="1"/>
  <c r="AK340" i="4" s="1"/>
  <c r="AH341" i="4"/>
  <c r="AL332" i="4" l="1"/>
  <c r="AI341" i="4"/>
  <c r="AJ341" i="4" s="1"/>
  <c r="AK341" i="4" s="1"/>
  <c r="AH342" i="4"/>
  <c r="AL333" i="4" l="1"/>
  <c r="AH343" i="4"/>
  <c r="AI342" i="4"/>
  <c r="AJ342" i="4" s="1"/>
  <c r="AK342" i="4" s="1"/>
  <c r="AL334" i="4" l="1"/>
  <c r="AI343" i="4"/>
  <c r="AJ343" i="4" s="1"/>
  <c r="AK343" i="4" s="1"/>
  <c r="AH344" i="4"/>
  <c r="AL335" i="4" l="1"/>
  <c r="AH345" i="4"/>
  <c r="AI344" i="4"/>
  <c r="AJ344" i="4" s="1"/>
  <c r="AK344" i="4" s="1"/>
  <c r="AL336" i="4" l="1"/>
  <c r="AH346" i="4"/>
  <c r="AI345" i="4"/>
  <c r="AJ345" i="4" s="1"/>
  <c r="AK345" i="4" s="1"/>
  <c r="AL337" i="4" l="1"/>
  <c r="AI346" i="4"/>
  <c r="AJ346" i="4" s="1"/>
  <c r="AK346" i="4" s="1"/>
  <c r="AH347" i="4"/>
  <c r="AL338" i="4" l="1"/>
  <c r="AI347" i="4"/>
  <c r="AJ347" i="4" s="1"/>
  <c r="AK347" i="4" s="1"/>
  <c r="AH348" i="4"/>
  <c r="AL339" i="4" l="1"/>
  <c r="AI348" i="4"/>
  <c r="AJ348" i="4" s="1"/>
  <c r="AK348" i="4" s="1"/>
  <c r="AH349" i="4"/>
  <c r="AL340" i="4" l="1"/>
  <c r="AI349" i="4"/>
  <c r="AJ349" i="4" s="1"/>
  <c r="AK349" i="4" s="1"/>
  <c r="AH350" i="4"/>
  <c r="AL341" i="4" l="1"/>
  <c r="AH351" i="4"/>
  <c r="AI350" i="4"/>
  <c r="AJ350" i="4" s="1"/>
  <c r="AK350" i="4" s="1"/>
  <c r="AL342" i="4" l="1"/>
  <c r="AH352" i="4"/>
  <c r="AI351" i="4"/>
  <c r="AJ351" i="4" s="1"/>
  <c r="AK351" i="4" s="1"/>
  <c r="AL343" i="4" l="1"/>
  <c r="AH353" i="4"/>
  <c r="AI352" i="4"/>
  <c r="AJ352" i="4" s="1"/>
  <c r="AK352" i="4" s="1"/>
  <c r="AL344" i="4" l="1"/>
  <c r="AH354" i="4"/>
  <c r="AI353" i="4"/>
  <c r="AJ353" i="4" s="1"/>
  <c r="AK353" i="4" s="1"/>
  <c r="AL345" i="4" l="1"/>
  <c r="AI354" i="4"/>
  <c r="AJ354" i="4" s="1"/>
  <c r="AK354" i="4" s="1"/>
  <c r="AH355" i="4"/>
  <c r="AL346" i="4" l="1"/>
  <c r="AH356" i="4"/>
  <c r="AI355" i="4"/>
  <c r="AJ355" i="4" s="1"/>
  <c r="AK355" i="4" s="1"/>
  <c r="AL347" i="4" l="1"/>
  <c r="AI356" i="4"/>
  <c r="AJ356" i="4" s="1"/>
  <c r="AK356" i="4" s="1"/>
  <c r="AH357" i="4"/>
  <c r="AL348" i="4" l="1"/>
  <c r="AI357" i="4"/>
  <c r="AJ357" i="4" s="1"/>
  <c r="AK357" i="4" s="1"/>
  <c r="AH358" i="4"/>
  <c r="AL349" i="4" l="1"/>
  <c r="AH359" i="4"/>
  <c r="AI358" i="4"/>
  <c r="AJ358" i="4" s="1"/>
  <c r="AK358" i="4" s="1"/>
  <c r="AL350" i="4" l="1"/>
  <c r="AI359" i="4"/>
  <c r="AJ359" i="4" s="1"/>
  <c r="AK359" i="4" s="1"/>
  <c r="AH360" i="4"/>
  <c r="AL351" i="4" l="1"/>
  <c r="AI360" i="4"/>
  <c r="AJ360" i="4" s="1"/>
  <c r="AK360" i="4" s="1"/>
  <c r="AH361" i="4"/>
  <c r="AL352" i="4" l="1"/>
  <c r="AH362" i="4"/>
  <c r="AI361" i="4"/>
  <c r="AJ361" i="4" s="1"/>
  <c r="AK361" i="4" s="1"/>
  <c r="AL353" i="4" l="1"/>
  <c r="AI362" i="4"/>
  <c r="AJ362" i="4" s="1"/>
  <c r="AK362" i="4" s="1"/>
  <c r="AH363" i="4"/>
  <c r="AL354" i="4" l="1"/>
  <c r="AI363" i="4"/>
  <c r="AJ363" i="4" s="1"/>
  <c r="AK363" i="4" s="1"/>
  <c r="AH364" i="4"/>
  <c r="AL355" i="4" l="1"/>
  <c r="AI364" i="4"/>
  <c r="AJ364" i="4" s="1"/>
  <c r="AK364" i="4" s="1"/>
  <c r="AH365" i="4"/>
  <c r="AL356" i="4" l="1"/>
  <c r="AI365" i="4"/>
  <c r="AJ365" i="4" s="1"/>
  <c r="AK365" i="4" s="1"/>
  <c r="AH366" i="4"/>
  <c r="AL357" i="4" l="1"/>
  <c r="AH367" i="4"/>
  <c r="AI366" i="4"/>
  <c r="AJ366" i="4" s="1"/>
  <c r="AK366" i="4" s="1"/>
  <c r="AL358" i="4" l="1"/>
  <c r="AH368" i="4"/>
  <c r="AI367" i="4"/>
  <c r="AJ367" i="4" s="1"/>
  <c r="AK367" i="4" s="1"/>
  <c r="AL359" i="4" l="1"/>
  <c r="AH369" i="4"/>
  <c r="AI368" i="4"/>
  <c r="AJ368" i="4" s="1"/>
  <c r="AK368" i="4" s="1"/>
  <c r="AL360" i="4" l="1"/>
  <c r="AI369" i="4"/>
  <c r="AJ369" i="4" s="1"/>
  <c r="AK369" i="4" s="1"/>
  <c r="AH370" i="4"/>
  <c r="AS42" i="4"/>
  <c r="AL361" i="4" l="1"/>
  <c r="AI370" i="4"/>
  <c r="AJ370" i="4" s="1"/>
  <c r="AK370" i="4" s="1"/>
  <c r="AH371" i="4"/>
  <c r="AL362" i="4" l="1"/>
  <c r="AI371" i="4"/>
  <c r="AJ371" i="4" s="1"/>
  <c r="AK371" i="4" s="1"/>
  <c r="AH372" i="4"/>
  <c r="AL363" i="4" l="1"/>
  <c r="AH373" i="4"/>
  <c r="AI372" i="4"/>
  <c r="AJ372" i="4" s="1"/>
  <c r="AK372" i="4" s="1"/>
  <c r="AL364" i="4" l="1"/>
  <c r="AI373" i="4"/>
  <c r="AJ373" i="4" s="1"/>
  <c r="AK373" i="4" s="1"/>
  <c r="AH374" i="4"/>
  <c r="AL365" i="4" l="1"/>
  <c r="AI374" i="4"/>
  <c r="AJ374" i="4" s="1"/>
  <c r="AK374" i="4" s="1"/>
  <c r="AH375" i="4"/>
  <c r="AL366" i="4" l="1"/>
  <c r="AH376" i="4"/>
  <c r="AI375" i="4"/>
  <c r="AJ375" i="4" s="1"/>
  <c r="AK375" i="4" s="1"/>
  <c r="AL367" i="4" l="1"/>
  <c r="AI376" i="4"/>
  <c r="AJ376" i="4" s="1"/>
  <c r="AK376" i="4" s="1"/>
  <c r="AH377" i="4"/>
  <c r="AL368" i="4" l="1"/>
  <c r="AH378" i="4"/>
  <c r="AI377" i="4"/>
  <c r="AJ377" i="4" s="1"/>
  <c r="AK377" i="4" s="1"/>
  <c r="AL369" i="4" l="1"/>
  <c r="AH379" i="4"/>
  <c r="AI378" i="4"/>
  <c r="AJ378" i="4" s="1"/>
  <c r="AK378" i="4" s="1"/>
  <c r="AL370" i="4" l="1"/>
  <c r="AI379" i="4"/>
  <c r="AJ379" i="4" s="1"/>
  <c r="AK379" i="4" s="1"/>
  <c r="AH380" i="4"/>
  <c r="AL371" i="4" l="1"/>
  <c r="AH381" i="4"/>
  <c r="AI380" i="4"/>
  <c r="AJ380" i="4" s="1"/>
  <c r="AK380" i="4" s="1"/>
  <c r="AL372" i="4" l="1"/>
  <c r="AI381" i="4"/>
  <c r="AJ381" i="4" s="1"/>
  <c r="AK381" i="4" s="1"/>
  <c r="AH382" i="4"/>
  <c r="AL373" i="4" l="1"/>
  <c r="AI382" i="4"/>
  <c r="AJ382" i="4" s="1"/>
  <c r="AK382" i="4" s="1"/>
  <c r="AH383" i="4"/>
  <c r="AL374" i="4" l="1"/>
  <c r="AH384" i="4"/>
  <c r="AI383" i="4"/>
  <c r="AJ383" i="4" s="1"/>
  <c r="AK383" i="4" s="1"/>
  <c r="AL375" i="4" l="1"/>
  <c r="AI384" i="4"/>
  <c r="AJ384" i="4" s="1"/>
  <c r="AK384" i="4" s="1"/>
  <c r="AH385" i="4"/>
  <c r="AL376" i="4" l="1"/>
  <c r="AH386" i="4"/>
  <c r="AI385" i="4"/>
  <c r="AJ385" i="4" s="1"/>
  <c r="AK385" i="4" s="1"/>
  <c r="AL377" i="4" l="1"/>
  <c r="AH387" i="4"/>
  <c r="AI386" i="4"/>
  <c r="AJ386" i="4" s="1"/>
  <c r="AK386" i="4" s="1"/>
  <c r="AL378" i="4" l="1"/>
  <c r="AI387" i="4"/>
  <c r="AJ387" i="4" s="1"/>
  <c r="AK387" i="4" s="1"/>
  <c r="AH388" i="4"/>
  <c r="AL379" i="4" l="1"/>
  <c r="AH389" i="4"/>
  <c r="AI388" i="4"/>
  <c r="AJ388" i="4" s="1"/>
  <c r="AK388" i="4" s="1"/>
  <c r="AL380" i="4" l="1"/>
  <c r="AI389" i="4"/>
  <c r="AJ389" i="4" s="1"/>
  <c r="AK389" i="4" s="1"/>
  <c r="AH390" i="4"/>
  <c r="AL381" i="4" l="1"/>
  <c r="AI390" i="4"/>
  <c r="AJ390" i="4" s="1"/>
  <c r="AK390" i="4" s="1"/>
  <c r="AH391" i="4"/>
  <c r="AL382" i="4" l="1"/>
  <c r="AH392" i="4"/>
  <c r="AI391" i="4"/>
  <c r="AJ391" i="4" s="1"/>
  <c r="AK391" i="4" s="1"/>
  <c r="AL383" i="4" l="1"/>
  <c r="AI392" i="4"/>
  <c r="AJ392" i="4" s="1"/>
  <c r="AK392" i="4" s="1"/>
  <c r="AH393" i="4"/>
  <c r="AL384" i="4" l="1"/>
  <c r="AH394" i="4"/>
  <c r="AI393" i="4"/>
  <c r="AJ393" i="4" s="1"/>
  <c r="AK393" i="4" s="1"/>
  <c r="AL385" i="4" l="1"/>
  <c r="AH395" i="4"/>
  <c r="AI394" i="4"/>
  <c r="AJ394" i="4" s="1"/>
  <c r="AK394" i="4" s="1"/>
  <c r="AJ395" i="4"/>
  <c r="AL386" i="4" l="1"/>
  <c r="AK395" i="4"/>
  <c r="AI395" i="4"/>
  <c r="AH396" i="4"/>
  <c r="AJ396" i="4"/>
  <c r="AL387" i="4" l="1"/>
  <c r="AK396" i="4"/>
  <c r="AI396" i="4"/>
  <c r="AH397" i="4"/>
  <c r="AJ397" i="4"/>
  <c r="AL388" i="4" l="1"/>
  <c r="AK397" i="4"/>
  <c r="AI397" i="4"/>
  <c r="AH398" i="4"/>
  <c r="AJ398" i="4"/>
  <c r="AL389" i="4" l="1"/>
  <c r="AK398" i="4"/>
  <c r="AI398" i="4"/>
  <c r="AH399" i="4"/>
  <c r="AJ399" i="4"/>
  <c r="AL390" i="4" l="1"/>
  <c r="AK399" i="4"/>
  <c r="AI399" i="4"/>
  <c r="AH400" i="4"/>
  <c r="AJ400" i="4"/>
  <c r="AS43" i="4"/>
  <c r="AL391" i="4" l="1"/>
  <c r="AK400" i="4"/>
  <c r="AI400" i="4"/>
  <c r="AH401" i="4"/>
  <c r="AJ401" i="4"/>
  <c r="AL392" i="4" l="1"/>
  <c r="AK401" i="4"/>
  <c r="AI401" i="4"/>
  <c r="AH402" i="4"/>
  <c r="AJ402" i="4"/>
  <c r="AL393" i="4" l="1"/>
  <c r="AK402" i="4"/>
  <c r="AI402" i="4"/>
  <c r="AH403" i="4"/>
  <c r="AJ403" i="4"/>
  <c r="AL394" i="4" l="1"/>
  <c r="AK403" i="4"/>
  <c r="AI403" i="4"/>
  <c r="AH404" i="4"/>
  <c r="AJ404" i="4"/>
  <c r="AL395" i="4" l="1"/>
  <c r="AK404" i="4"/>
  <c r="AI404" i="4"/>
  <c r="AH405" i="4"/>
  <c r="AJ405" i="4"/>
  <c r="AL396" i="4" l="1"/>
  <c r="AK405" i="4"/>
  <c r="AI405" i="4"/>
  <c r="AH406" i="4"/>
  <c r="AJ406" i="4"/>
  <c r="AL397" i="4" l="1"/>
  <c r="AK406" i="4"/>
  <c r="AI406" i="4"/>
  <c r="AH407" i="4"/>
  <c r="AJ407" i="4"/>
  <c r="AL398" i="4" l="1"/>
  <c r="AK407" i="4"/>
  <c r="AI407" i="4"/>
  <c r="AH408" i="4"/>
  <c r="AJ408" i="4"/>
  <c r="AL399" i="4" l="1"/>
  <c r="AK408" i="4"/>
  <c r="AI408" i="4"/>
  <c r="AH409" i="4"/>
  <c r="AJ409" i="4"/>
  <c r="AL400" i="4" l="1"/>
  <c r="AK409" i="4"/>
  <c r="AI409" i="4"/>
  <c r="AH410" i="4"/>
  <c r="AJ410" i="4"/>
  <c r="AL401" i="4" l="1"/>
  <c r="AK410" i="4"/>
  <c r="AI410" i="4"/>
  <c r="AH411" i="4"/>
  <c r="AJ411" i="4"/>
  <c r="AL402" i="4" l="1"/>
  <c r="AK411" i="4"/>
  <c r="AI411" i="4"/>
  <c r="AH412" i="4"/>
  <c r="AJ412" i="4"/>
  <c r="AL403" i="4" l="1"/>
  <c r="AK412" i="4"/>
  <c r="AI412" i="4"/>
  <c r="AH413" i="4"/>
  <c r="AJ413" i="4"/>
  <c r="AL404" i="4" l="1"/>
  <c r="AK413" i="4"/>
  <c r="AI413" i="4"/>
  <c r="AH414" i="4"/>
  <c r="AJ414" i="4"/>
  <c r="AL405" i="4" l="1"/>
  <c r="AK414" i="4"/>
  <c r="AI414" i="4"/>
  <c r="AH415" i="4"/>
  <c r="AJ415" i="4"/>
  <c r="AL406" i="4" l="1"/>
  <c r="AK415" i="4"/>
  <c r="AI415" i="4"/>
  <c r="AH416" i="4"/>
  <c r="AJ416" i="4"/>
  <c r="AL407" i="4" l="1"/>
  <c r="AK416" i="4"/>
  <c r="AI416" i="4"/>
  <c r="AH417" i="4"/>
  <c r="AJ417" i="4"/>
  <c r="AL408" i="4" l="1"/>
  <c r="AK417" i="4"/>
  <c r="AI417" i="4"/>
  <c r="AH418" i="4"/>
  <c r="AJ418" i="4"/>
  <c r="AL409" i="4" l="1"/>
  <c r="AK418" i="4"/>
  <c r="AI418" i="4"/>
  <c r="AH419" i="4"/>
  <c r="AJ419" i="4"/>
  <c r="AL410" i="4" l="1"/>
  <c r="AK419" i="4"/>
  <c r="AI419" i="4"/>
  <c r="AH420" i="4"/>
  <c r="AJ420" i="4"/>
  <c r="AL411" i="4" l="1"/>
  <c r="AK420" i="4"/>
  <c r="AI420" i="4"/>
  <c r="AH421" i="4"/>
  <c r="AJ421" i="4"/>
  <c r="AL412" i="4" l="1"/>
  <c r="AK421" i="4"/>
  <c r="AI421" i="4"/>
  <c r="AH422" i="4"/>
  <c r="AJ422" i="4"/>
  <c r="AL413" i="4" l="1"/>
  <c r="AK422" i="4"/>
  <c r="AI422" i="4"/>
  <c r="AH423" i="4"/>
  <c r="AJ423" i="4"/>
  <c r="AL414" i="4" l="1"/>
  <c r="AK423" i="4"/>
  <c r="AI423" i="4"/>
  <c r="AH424" i="4"/>
  <c r="AJ424" i="4"/>
  <c r="AL415" i="4" l="1"/>
  <c r="AK424" i="4"/>
  <c r="AI424" i="4"/>
  <c r="AH425" i="4"/>
  <c r="AJ425" i="4"/>
  <c r="AL416" i="4" l="1"/>
  <c r="AK425" i="4"/>
  <c r="AI425" i="4"/>
  <c r="AH426" i="4"/>
  <c r="AJ426" i="4"/>
  <c r="AL417" i="4" l="1"/>
  <c r="AK426" i="4"/>
  <c r="AI426" i="4"/>
  <c r="AH427" i="4"/>
  <c r="AJ427" i="4"/>
  <c r="AL418" i="4" l="1"/>
  <c r="AK427" i="4"/>
  <c r="AI427" i="4"/>
  <c r="AH428" i="4"/>
  <c r="AJ428" i="4"/>
  <c r="AL419" i="4" l="1"/>
  <c r="AK428" i="4"/>
  <c r="AI428" i="4"/>
  <c r="AH429" i="4"/>
  <c r="AJ429" i="4"/>
  <c r="AL420" i="4" l="1"/>
  <c r="AK429" i="4"/>
  <c r="AI429" i="4"/>
  <c r="AH430" i="4"/>
  <c r="AS44" i="4"/>
  <c r="AJ430" i="4"/>
  <c r="AL421" i="4" l="1"/>
  <c r="AK430" i="4"/>
  <c r="AI430" i="4"/>
  <c r="AH431" i="4"/>
  <c r="AJ431" i="4"/>
  <c r="AL422" i="4" l="1"/>
  <c r="AK431" i="4"/>
  <c r="AI431" i="4"/>
  <c r="AH432" i="4"/>
  <c r="AJ432" i="4"/>
  <c r="AL423" i="4" l="1"/>
  <c r="AK432" i="4"/>
  <c r="AI432" i="4"/>
  <c r="AH433" i="4"/>
  <c r="AJ433" i="4"/>
  <c r="AL424" i="4" l="1"/>
  <c r="AK433" i="4"/>
  <c r="AI433" i="4"/>
  <c r="AH434" i="4"/>
  <c r="AJ434" i="4"/>
  <c r="AL425" i="4" l="1"/>
  <c r="AK434" i="4"/>
  <c r="AI434" i="4"/>
  <c r="AH435" i="4"/>
  <c r="AJ435" i="4"/>
  <c r="AL426" i="4" l="1"/>
  <c r="AK435" i="4"/>
  <c r="AI435" i="4"/>
  <c r="AH436" i="4"/>
  <c r="AJ436" i="4"/>
  <c r="AL427" i="4" l="1"/>
  <c r="AK436" i="4"/>
  <c r="AI436" i="4"/>
  <c r="AH437" i="4"/>
  <c r="AJ437" i="4"/>
  <c r="AL428" i="4" l="1"/>
  <c r="AK437" i="4"/>
  <c r="AI437" i="4"/>
  <c r="AH438" i="4"/>
  <c r="AJ438" i="4"/>
  <c r="AL429" i="4" l="1"/>
  <c r="AK438" i="4"/>
  <c r="AI438" i="4"/>
  <c r="AH439" i="4"/>
  <c r="AJ439" i="4"/>
  <c r="AL430" i="4" l="1"/>
  <c r="AK439" i="4"/>
  <c r="AI439" i="4"/>
  <c r="AH440" i="4"/>
  <c r="AJ440" i="4"/>
  <c r="AL431" i="4" l="1"/>
  <c r="AK440" i="4"/>
  <c r="AI440" i="4"/>
  <c r="AH441" i="4"/>
  <c r="AJ441" i="4"/>
  <c r="AL432" i="4" l="1"/>
  <c r="AK441" i="4"/>
  <c r="AI441" i="4"/>
  <c r="AH442" i="4"/>
  <c r="AJ442" i="4"/>
  <c r="AL433" i="4" l="1"/>
  <c r="AK442" i="4"/>
  <c r="AI442" i="4"/>
  <c r="AH443" i="4"/>
  <c r="AJ443" i="4"/>
  <c r="AL434" i="4" l="1"/>
  <c r="AK443" i="4"/>
  <c r="AI443" i="4"/>
  <c r="AH444" i="4"/>
  <c r="AJ444" i="4"/>
  <c r="AL435" i="4" l="1"/>
  <c r="AK444" i="4"/>
  <c r="AI444" i="4"/>
  <c r="AH445" i="4"/>
  <c r="AJ445" i="4"/>
  <c r="AL436" i="4" l="1"/>
  <c r="AK445" i="4"/>
  <c r="AI445" i="4"/>
  <c r="AH446" i="4"/>
  <c r="AJ446" i="4"/>
  <c r="AL437" i="4" l="1"/>
  <c r="AK446" i="4"/>
  <c r="AI446" i="4"/>
  <c r="AH447" i="4"/>
  <c r="AJ447" i="4"/>
  <c r="AL438" i="4" l="1"/>
  <c r="AK447" i="4"/>
  <c r="AI447" i="4"/>
  <c r="AH448" i="4"/>
  <c r="AJ448" i="4"/>
  <c r="AL439" i="4" l="1"/>
  <c r="AK448" i="4"/>
  <c r="AI448" i="4"/>
  <c r="AH449" i="4"/>
  <c r="AJ449" i="4"/>
  <c r="AL440" i="4" l="1"/>
  <c r="AK449" i="4"/>
  <c r="AI449" i="4"/>
  <c r="AH450" i="4"/>
  <c r="AJ450" i="4"/>
  <c r="AL441" i="4" l="1"/>
  <c r="AK450" i="4"/>
  <c r="AI450" i="4"/>
  <c r="AH451" i="4"/>
  <c r="AJ451" i="4"/>
  <c r="AL442" i="4" l="1"/>
  <c r="AK451" i="4"/>
  <c r="AI451" i="4"/>
  <c r="AH452" i="4"/>
  <c r="AJ452" i="4"/>
  <c r="AL443" i="4" l="1"/>
  <c r="AK452" i="4"/>
  <c r="AI452" i="4"/>
  <c r="AH453" i="4"/>
  <c r="AJ453" i="4"/>
  <c r="AL444" i="4" l="1"/>
  <c r="AK453" i="4"/>
  <c r="AI453" i="4"/>
  <c r="AH454" i="4"/>
  <c r="AJ454" i="4"/>
  <c r="AL445" i="4" l="1"/>
  <c r="AK454" i="4"/>
  <c r="AI454" i="4"/>
  <c r="AH455" i="4"/>
  <c r="AJ455" i="4"/>
  <c r="AL446" i="4" l="1"/>
  <c r="AK455" i="4"/>
  <c r="AI455" i="4"/>
  <c r="AH456" i="4"/>
  <c r="AJ456" i="4"/>
  <c r="AL447" i="4" l="1"/>
  <c r="AK456" i="4"/>
  <c r="AI456" i="4"/>
  <c r="AH457" i="4"/>
  <c r="AJ457" i="4"/>
  <c r="AL448" i="4" l="1"/>
  <c r="AK457" i="4"/>
  <c r="AI457" i="4"/>
  <c r="AH458" i="4"/>
  <c r="AJ458" i="4"/>
  <c r="AL449" i="4" l="1"/>
  <c r="AK458" i="4"/>
  <c r="AI458" i="4"/>
  <c r="AH459" i="4"/>
  <c r="AJ459" i="4"/>
  <c r="AL450" i="4" l="1"/>
  <c r="AK459" i="4"/>
  <c r="AI459" i="4"/>
  <c r="AH460" i="4"/>
  <c r="AJ460" i="4"/>
  <c r="AS45" i="4"/>
  <c r="AL451" i="4" l="1"/>
  <c r="AK460" i="4"/>
  <c r="AI460" i="4"/>
  <c r="AH461" i="4"/>
  <c r="AJ461" i="4"/>
  <c r="AL452" i="4" l="1"/>
  <c r="AK461" i="4"/>
  <c r="AI461" i="4"/>
  <c r="AH462" i="4"/>
  <c r="AJ462" i="4"/>
  <c r="AL453" i="4" l="1"/>
  <c r="AK462" i="4"/>
  <c r="AI462" i="4"/>
  <c r="AH463" i="4"/>
  <c r="AJ463" i="4"/>
  <c r="AL454" i="4" l="1"/>
  <c r="AK463" i="4"/>
  <c r="AI463" i="4"/>
  <c r="AH464" i="4"/>
  <c r="AJ464" i="4"/>
  <c r="AL455" i="4" l="1"/>
  <c r="AK464" i="4"/>
  <c r="AI464" i="4"/>
  <c r="AH465" i="4"/>
  <c r="AJ465" i="4"/>
  <c r="AL456" i="4" l="1"/>
  <c r="AK465" i="4"/>
  <c r="AI465" i="4"/>
  <c r="AH466" i="4"/>
  <c r="AJ466" i="4"/>
  <c r="AL457" i="4" l="1"/>
  <c r="AK466" i="4"/>
  <c r="AI466" i="4"/>
  <c r="AH467" i="4"/>
  <c r="AJ467" i="4"/>
  <c r="AL458" i="4" l="1"/>
  <c r="AK467" i="4"/>
  <c r="AI467" i="4"/>
  <c r="AH468" i="4"/>
  <c r="AJ468" i="4"/>
  <c r="AL459" i="4" l="1"/>
  <c r="AK468" i="4"/>
  <c r="AI468" i="4"/>
  <c r="AH469" i="4"/>
  <c r="AJ469" i="4"/>
  <c r="AL460" i="4" l="1"/>
  <c r="AK469" i="4"/>
  <c r="AI469" i="4"/>
  <c r="AH470" i="4"/>
  <c r="AJ470" i="4"/>
  <c r="AL461" i="4" l="1"/>
  <c r="AK470" i="4"/>
  <c r="AI470" i="4"/>
  <c r="AH471" i="4"/>
  <c r="AJ471" i="4"/>
  <c r="AL462" i="4" l="1"/>
  <c r="AK471" i="4"/>
  <c r="AI471" i="4"/>
  <c r="AH472" i="4"/>
  <c r="AJ472" i="4"/>
  <c r="AL463" i="4" l="1"/>
  <c r="AK472" i="4"/>
  <c r="AI472" i="4"/>
  <c r="AH473" i="4"/>
  <c r="AJ473" i="4"/>
  <c r="AL464" i="4" l="1"/>
  <c r="AK473" i="4"/>
  <c r="AI473" i="4"/>
  <c r="AH474" i="4"/>
  <c r="AJ474" i="4"/>
  <c r="AL465" i="4" l="1"/>
  <c r="AK474" i="4"/>
  <c r="AI474" i="4"/>
  <c r="AH475" i="4"/>
  <c r="AJ475" i="4"/>
  <c r="AL466" i="4" l="1"/>
  <c r="AK475" i="4"/>
  <c r="AI475" i="4"/>
  <c r="AH476" i="4"/>
  <c r="AJ476" i="4"/>
  <c r="AL467" i="4" l="1"/>
  <c r="AK476" i="4"/>
  <c r="AI476" i="4"/>
  <c r="AH477" i="4"/>
  <c r="AJ477" i="4"/>
  <c r="AL468" i="4" l="1"/>
  <c r="AK477" i="4"/>
  <c r="AI477" i="4"/>
  <c r="AH478" i="4"/>
  <c r="AJ478" i="4"/>
  <c r="AL469" i="4" l="1"/>
  <c r="AK478" i="4"/>
  <c r="AI478" i="4"/>
  <c r="AH479" i="4"/>
  <c r="AJ479" i="4"/>
  <c r="AL470" i="4" l="1"/>
  <c r="AK479" i="4"/>
  <c r="AI479" i="4"/>
  <c r="AH480" i="4"/>
  <c r="AJ480" i="4"/>
  <c r="AL471" i="4" l="1"/>
  <c r="AK480" i="4"/>
  <c r="AI480" i="4"/>
  <c r="AH481" i="4"/>
  <c r="AJ481" i="4"/>
  <c r="AL472" i="4" l="1"/>
  <c r="AK481" i="4"/>
  <c r="AI481" i="4"/>
  <c r="AH482" i="4"/>
  <c r="AJ482" i="4"/>
  <c r="AL473" i="4" l="1"/>
  <c r="AK482" i="4"/>
  <c r="AI482" i="4"/>
  <c r="AH483" i="4"/>
  <c r="AJ483" i="4"/>
  <c r="AL474" i="4" l="1"/>
  <c r="AK483" i="4"/>
  <c r="AI483" i="4"/>
  <c r="AH484" i="4"/>
  <c r="AJ484" i="4"/>
  <c r="AL475" i="4" l="1"/>
  <c r="AK484" i="4"/>
  <c r="AI484" i="4"/>
  <c r="AH485" i="4"/>
  <c r="AJ485" i="4"/>
  <c r="AL476" i="4" l="1"/>
  <c r="AK485" i="4"/>
  <c r="AI485" i="4"/>
  <c r="AH486" i="4"/>
  <c r="AJ486" i="4"/>
  <c r="AL477" i="4" l="1"/>
  <c r="AK486" i="4"/>
  <c r="AI486" i="4"/>
  <c r="AH487" i="4"/>
  <c r="AJ487" i="4"/>
  <c r="AL478" i="4" l="1"/>
  <c r="AK487" i="4"/>
  <c r="AI487" i="4"/>
  <c r="AH488" i="4"/>
  <c r="AJ488" i="4"/>
  <c r="AL479" i="4" l="1"/>
  <c r="AK488" i="4"/>
  <c r="AI488" i="4"/>
  <c r="AH489" i="4"/>
  <c r="AJ489" i="4"/>
  <c r="AL480" i="4" l="1"/>
  <c r="AK489" i="4"/>
  <c r="AI489" i="4"/>
  <c r="AH490" i="4"/>
  <c r="AS46" i="4"/>
  <c r="AJ490" i="4"/>
  <c r="AL481" i="4" l="1"/>
  <c r="AK490" i="4"/>
  <c r="AI490" i="4"/>
  <c r="AH491" i="4"/>
  <c r="AJ491" i="4"/>
  <c r="AL482" i="4" l="1"/>
  <c r="AK491" i="4"/>
  <c r="AI491" i="4"/>
  <c r="AH492" i="4"/>
  <c r="AJ492" i="4"/>
  <c r="AL483" i="4" l="1"/>
  <c r="AK492" i="4"/>
  <c r="AI492" i="4"/>
  <c r="AH493" i="4"/>
  <c r="AJ493" i="4"/>
  <c r="AL484" i="4" l="1"/>
  <c r="AK493" i="4"/>
  <c r="AI493" i="4"/>
  <c r="AH494" i="4"/>
  <c r="AJ494" i="4"/>
  <c r="AL485" i="4" l="1"/>
  <c r="AK494" i="4"/>
  <c r="AI494" i="4"/>
  <c r="AH495" i="4"/>
  <c r="AJ495" i="4"/>
  <c r="AL486" i="4" l="1"/>
  <c r="AK495" i="4"/>
  <c r="AI495" i="4"/>
  <c r="AH496" i="4"/>
  <c r="AJ496" i="4"/>
  <c r="AL487" i="4" l="1"/>
  <c r="AK496" i="4"/>
  <c r="AI496" i="4"/>
  <c r="AH497" i="4"/>
  <c r="AJ497" i="4"/>
  <c r="AL488" i="4" l="1"/>
  <c r="AK497" i="4"/>
  <c r="AI497" i="4"/>
  <c r="AH498" i="4"/>
  <c r="AJ498" i="4"/>
  <c r="AL489" i="4" l="1"/>
  <c r="AK498" i="4"/>
  <c r="AI498" i="4"/>
  <c r="AH499" i="4"/>
  <c r="AJ499" i="4"/>
  <c r="AL490" i="4" l="1"/>
  <c r="AK499" i="4"/>
  <c r="AI499" i="4"/>
  <c r="AH500" i="4"/>
  <c r="AJ500" i="4"/>
  <c r="AL491" i="4" l="1"/>
  <c r="AK500" i="4"/>
  <c r="AI500" i="4"/>
  <c r="AH501" i="4"/>
  <c r="AJ501" i="4"/>
  <c r="AL492" i="4" l="1"/>
  <c r="AK501" i="4"/>
  <c r="AI501" i="4"/>
  <c r="AH502" i="4"/>
  <c r="AJ502" i="4"/>
  <c r="AL493" i="4" l="1"/>
  <c r="AK502" i="4"/>
  <c r="AI502" i="4"/>
  <c r="AH503" i="4"/>
  <c r="AJ503" i="4"/>
  <c r="AL494" i="4" l="1"/>
  <c r="AK503" i="4"/>
  <c r="AI503" i="4"/>
  <c r="AH504" i="4"/>
  <c r="AJ504" i="4"/>
  <c r="AL495" i="4" l="1"/>
  <c r="AK504" i="4"/>
  <c r="AI504" i="4"/>
  <c r="AH505" i="4"/>
  <c r="AJ505" i="4"/>
  <c r="AL496" i="4" l="1"/>
  <c r="AK505" i="4"/>
  <c r="AI505" i="4"/>
  <c r="AH506" i="4"/>
  <c r="AJ506" i="4"/>
  <c r="AL497" i="4" l="1"/>
  <c r="AK506" i="4"/>
  <c r="AI506" i="4"/>
  <c r="AH507" i="4"/>
  <c r="AJ507" i="4"/>
  <c r="AL498" i="4" l="1"/>
  <c r="AK507" i="4"/>
  <c r="AI507" i="4"/>
  <c r="AH508" i="4"/>
  <c r="AJ508" i="4"/>
  <c r="AL499" i="4" l="1"/>
  <c r="AK508" i="4"/>
  <c r="AI508" i="4"/>
  <c r="AH509" i="4"/>
  <c r="AJ509" i="4"/>
  <c r="AL500" i="4" l="1"/>
  <c r="AK509" i="4"/>
  <c r="AI509" i="4"/>
  <c r="AH510" i="4"/>
  <c r="AJ510" i="4"/>
  <c r="AL501" i="4" l="1"/>
  <c r="AK510" i="4"/>
  <c r="AI510" i="4"/>
  <c r="AH511" i="4"/>
  <c r="AJ511" i="4"/>
  <c r="AL502" i="4" l="1"/>
  <c r="AK511" i="4"/>
  <c r="AI511" i="4"/>
  <c r="AH512" i="4"/>
  <c r="AJ512" i="4"/>
  <c r="AL503" i="4" l="1"/>
  <c r="AK512" i="4"/>
  <c r="AI512" i="4"/>
  <c r="AH513" i="4"/>
  <c r="AJ513" i="4"/>
  <c r="AL504" i="4" l="1"/>
  <c r="AK513" i="4"/>
  <c r="AI513" i="4"/>
  <c r="AH514" i="4"/>
  <c r="AJ514" i="4"/>
  <c r="AL505" i="4" l="1"/>
  <c r="AK514" i="4"/>
  <c r="AI514" i="4"/>
  <c r="AH515" i="4"/>
  <c r="AJ515" i="4"/>
  <c r="AL506" i="4" l="1"/>
  <c r="AK515" i="4"/>
  <c r="AI515" i="4"/>
  <c r="AH516" i="4"/>
  <c r="AJ516" i="4"/>
  <c r="AL507" i="4" l="1"/>
  <c r="AK516" i="4"/>
  <c r="AI516" i="4"/>
  <c r="AH517" i="4"/>
  <c r="AJ517" i="4"/>
  <c r="AL508" i="4" l="1"/>
  <c r="AK517" i="4"/>
  <c r="AI517" i="4"/>
  <c r="AH518" i="4"/>
  <c r="AJ518" i="4"/>
  <c r="AL509" i="4" l="1"/>
  <c r="AK518" i="4"/>
  <c r="AI518" i="4"/>
  <c r="AH519" i="4"/>
  <c r="AJ519" i="4"/>
  <c r="AL510" i="4" l="1"/>
  <c r="AK519" i="4"/>
  <c r="AI519" i="4"/>
  <c r="AH520" i="4"/>
  <c r="AS47" i="4"/>
  <c r="AJ520" i="4"/>
  <c r="AL511" i="4" l="1"/>
  <c r="AK520" i="4"/>
  <c r="AI520" i="4"/>
  <c r="AH521" i="4"/>
  <c r="AJ521" i="4"/>
  <c r="AL512" i="4" l="1"/>
  <c r="AK521" i="4"/>
  <c r="AI521" i="4"/>
  <c r="AH522" i="4"/>
  <c r="AJ522" i="4"/>
  <c r="AL513" i="4" l="1"/>
  <c r="AK522" i="4"/>
  <c r="AI522" i="4"/>
  <c r="AH523" i="4"/>
  <c r="AJ523" i="4"/>
  <c r="AL514" i="4" l="1"/>
  <c r="AK523" i="4"/>
  <c r="AI523" i="4"/>
  <c r="AH524" i="4"/>
  <c r="AJ524" i="4"/>
  <c r="AL515" i="4" l="1"/>
  <c r="AK524" i="4"/>
  <c r="AI524" i="4"/>
  <c r="AH525" i="4"/>
  <c r="AJ525" i="4"/>
  <c r="AL516" i="4" l="1"/>
  <c r="AK525" i="4"/>
  <c r="AI525" i="4"/>
  <c r="AH526" i="4"/>
  <c r="AJ526" i="4"/>
  <c r="AL517" i="4" l="1"/>
  <c r="AK526" i="4"/>
  <c r="AI526" i="4"/>
  <c r="AH527" i="4"/>
  <c r="AJ527" i="4"/>
  <c r="AL518" i="4" l="1"/>
  <c r="AK527" i="4"/>
  <c r="AI527" i="4"/>
  <c r="AH528" i="4"/>
  <c r="AJ528" i="4"/>
  <c r="AL519" i="4" l="1"/>
  <c r="AK528" i="4"/>
  <c r="AI528" i="4"/>
  <c r="AH529" i="4"/>
  <c r="AJ529" i="4"/>
  <c r="AL520" i="4" l="1"/>
  <c r="AK529" i="4"/>
  <c r="AI529" i="4"/>
  <c r="AH530" i="4"/>
  <c r="AJ530" i="4"/>
  <c r="AL521" i="4" l="1"/>
  <c r="AK530" i="4"/>
  <c r="AI530" i="4"/>
  <c r="AH531" i="4"/>
  <c r="AJ531" i="4"/>
  <c r="AL522" i="4" l="1"/>
  <c r="AK531" i="4"/>
  <c r="AI531" i="4"/>
  <c r="AH532" i="4"/>
  <c r="AJ532" i="4"/>
  <c r="AL523" i="4" l="1"/>
  <c r="AK532" i="4"/>
  <c r="AI532" i="4"/>
  <c r="AH533" i="4"/>
  <c r="AJ533" i="4"/>
  <c r="AL524" i="4" l="1"/>
  <c r="AK533" i="4"/>
  <c r="AI533" i="4"/>
  <c r="AH534" i="4"/>
  <c r="AJ534" i="4"/>
  <c r="AL525" i="4" l="1"/>
  <c r="AK534" i="4"/>
  <c r="AI534" i="4"/>
  <c r="AH535" i="4"/>
  <c r="AJ535" i="4"/>
  <c r="AL526" i="4" l="1"/>
  <c r="AK535" i="4"/>
  <c r="AI535" i="4"/>
  <c r="AH536" i="4"/>
  <c r="AJ536" i="4"/>
  <c r="AL527" i="4" l="1"/>
  <c r="AK536" i="4"/>
  <c r="AI536" i="4"/>
  <c r="AH537" i="4"/>
  <c r="AJ537" i="4"/>
  <c r="AL528" i="4" l="1"/>
  <c r="AK537" i="4"/>
  <c r="AI537" i="4"/>
  <c r="AH538" i="4"/>
  <c r="AJ538" i="4"/>
  <c r="AL529" i="4" l="1"/>
  <c r="AK538" i="4"/>
  <c r="AI538" i="4"/>
  <c r="AH539" i="4"/>
  <c r="AJ539" i="4"/>
  <c r="AL530" i="4" l="1"/>
  <c r="AK539" i="4"/>
  <c r="AI539" i="4"/>
  <c r="AH540" i="4"/>
  <c r="AJ540" i="4"/>
  <c r="AL531" i="4" l="1"/>
  <c r="AK540" i="4"/>
  <c r="AI540" i="4"/>
  <c r="AH541" i="4"/>
  <c r="AJ541" i="4"/>
  <c r="AL532" i="4" l="1"/>
  <c r="AK541" i="4"/>
  <c r="AI541" i="4"/>
  <c r="AH542" i="4"/>
  <c r="AJ542" i="4"/>
  <c r="AL533" i="4" l="1"/>
  <c r="AK542" i="4"/>
  <c r="AI542" i="4"/>
  <c r="AH543" i="4"/>
  <c r="AJ543" i="4"/>
  <c r="AL534" i="4" l="1"/>
  <c r="AK543" i="4"/>
  <c r="AI543" i="4"/>
  <c r="AH544" i="4"/>
  <c r="AJ544" i="4"/>
  <c r="AL535" i="4" l="1"/>
  <c r="AK544" i="4"/>
  <c r="AI544" i="4"/>
  <c r="AH545" i="4"/>
  <c r="AJ545" i="4"/>
  <c r="AL536" i="4" l="1"/>
  <c r="AK545" i="4"/>
  <c r="AI545" i="4"/>
  <c r="AH546" i="4"/>
  <c r="AJ546" i="4"/>
  <c r="AL537" i="4" l="1"/>
  <c r="AK546" i="4"/>
  <c r="AI546" i="4"/>
  <c r="AH547" i="4"/>
  <c r="AJ547" i="4"/>
  <c r="AL538" i="4" l="1"/>
  <c r="AK547" i="4"/>
  <c r="AI547" i="4"/>
  <c r="AH548" i="4"/>
  <c r="AJ548" i="4"/>
  <c r="AL539" i="4" l="1"/>
  <c r="AK548" i="4"/>
  <c r="AI548" i="4"/>
  <c r="AH549" i="4"/>
  <c r="AJ549" i="4"/>
  <c r="AL540" i="4" l="1"/>
  <c r="AK549" i="4"/>
  <c r="AI549" i="4"/>
  <c r="AH550" i="4"/>
  <c r="AJ550" i="4"/>
  <c r="AS48" i="4"/>
  <c r="AL541" i="4" l="1"/>
  <c r="AK550" i="4"/>
  <c r="AI550" i="4"/>
  <c r="AH551" i="4"/>
  <c r="AJ551" i="4"/>
  <c r="AL542" i="4" l="1"/>
  <c r="AK551" i="4"/>
  <c r="AI551" i="4"/>
  <c r="AH552" i="4"/>
  <c r="AJ552" i="4"/>
  <c r="AL543" i="4" l="1"/>
  <c r="AK552" i="4"/>
  <c r="AI552" i="4"/>
  <c r="AH553" i="4"/>
  <c r="AJ553" i="4"/>
  <c r="AL544" i="4" l="1"/>
  <c r="AK553" i="4"/>
  <c r="AI553" i="4"/>
  <c r="AH554" i="4"/>
  <c r="AJ554" i="4"/>
  <c r="AL545" i="4" l="1"/>
  <c r="AK554" i="4"/>
  <c r="AI554" i="4"/>
  <c r="AH555" i="4"/>
  <c r="AJ555" i="4"/>
  <c r="AL546" i="4" l="1"/>
  <c r="AK555" i="4"/>
  <c r="AI555" i="4"/>
  <c r="AH556" i="4"/>
  <c r="AJ556" i="4"/>
  <c r="AL547" i="4" l="1"/>
  <c r="AK556" i="4"/>
  <c r="AI556" i="4"/>
  <c r="AH557" i="4"/>
  <c r="AJ557" i="4"/>
  <c r="AL548" i="4" l="1"/>
  <c r="AK557" i="4"/>
  <c r="AI557" i="4"/>
  <c r="AH558" i="4"/>
  <c r="AJ558" i="4"/>
  <c r="AL549" i="4" l="1"/>
  <c r="AK558" i="4"/>
  <c r="AI558" i="4"/>
  <c r="AH559" i="4"/>
  <c r="AJ559" i="4"/>
  <c r="AL550" i="4" l="1"/>
  <c r="AK559" i="4"/>
  <c r="AI559" i="4"/>
  <c r="AH560" i="4"/>
  <c r="AJ560" i="4"/>
  <c r="AL551" i="4" l="1"/>
  <c r="AK560" i="4"/>
  <c r="AI560" i="4"/>
  <c r="AH561" i="4"/>
  <c r="AJ561" i="4"/>
  <c r="AL552" i="4" l="1"/>
  <c r="AK561" i="4"/>
  <c r="AI561" i="4"/>
  <c r="AH562" i="4"/>
  <c r="AJ562" i="4"/>
  <c r="AL553" i="4" l="1"/>
  <c r="AK562" i="4"/>
  <c r="AI562" i="4"/>
  <c r="AH563" i="4"/>
  <c r="AJ563" i="4"/>
  <c r="AL554" i="4" l="1"/>
  <c r="AK563" i="4"/>
  <c r="AI563" i="4"/>
  <c r="AH564" i="4"/>
  <c r="AJ564" i="4"/>
  <c r="AL555" i="4" l="1"/>
  <c r="AK564" i="4"/>
  <c r="AI564" i="4"/>
  <c r="AH565" i="4"/>
  <c r="AJ565" i="4"/>
  <c r="AL556" i="4" l="1"/>
  <c r="AK565" i="4"/>
  <c r="AI565" i="4"/>
  <c r="AH566" i="4"/>
  <c r="AJ566" i="4"/>
  <c r="AL557" i="4" l="1"/>
  <c r="AK566" i="4"/>
  <c r="AI566" i="4"/>
  <c r="AH567" i="4"/>
  <c r="AJ567" i="4"/>
  <c r="AL558" i="4" l="1"/>
  <c r="AK567" i="4"/>
  <c r="AI567" i="4"/>
  <c r="AH568" i="4"/>
  <c r="AJ568" i="4"/>
  <c r="AL559" i="4" l="1"/>
  <c r="AK568" i="4"/>
  <c r="AI568" i="4"/>
  <c r="AH569" i="4"/>
  <c r="AJ569" i="4"/>
  <c r="AL560" i="4" l="1"/>
  <c r="AK569" i="4"/>
  <c r="AI569" i="4"/>
  <c r="AH570" i="4"/>
  <c r="AJ570" i="4"/>
  <c r="AL561" i="4" l="1"/>
  <c r="AK570" i="4"/>
  <c r="AI570" i="4"/>
  <c r="AH571" i="4"/>
  <c r="AJ571" i="4"/>
  <c r="AL562" i="4" l="1"/>
  <c r="AK571" i="4"/>
  <c r="AI571" i="4"/>
  <c r="AH572" i="4"/>
  <c r="AJ572" i="4"/>
  <c r="AL563" i="4" l="1"/>
  <c r="AK572" i="4"/>
  <c r="AI572" i="4"/>
  <c r="AH573" i="4"/>
  <c r="AJ573" i="4"/>
  <c r="AL564" i="4" l="1"/>
  <c r="AK573" i="4"/>
  <c r="AI573" i="4"/>
  <c r="AH574" i="4"/>
  <c r="AJ574" i="4"/>
  <c r="AL565" i="4" l="1"/>
  <c r="AK574" i="4"/>
  <c r="AI574" i="4"/>
  <c r="AH575" i="4"/>
  <c r="AJ575" i="4"/>
  <c r="AL566" i="4" l="1"/>
  <c r="AK575" i="4"/>
  <c r="AI575" i="4"/>
  <c r="AH576" i="4"/>
  <c r="AJ576" i="4"/>
  <c r="AL567" i="4" l="1"/>
  <c r="AK576" i="4"/>
  <c r="AI576" i="4"/>
  <c r="AH577" i="4"/>
  <c r="AJ577" i="4"/>
  <c r="AL568" i="4" l="1"/>
  <c r="AK577" i="4"/>
  <c r="AI577" i="4"/>
  <c r="AH578" i="4"/>
  <c r="AJ578" i="4"/>
  <c r="AL569" i="4" l="1"/>
  <c r="AK578" i="4"/>
  <c r="AI578" i="4"/>
  <c r="AH579" i="4"/>
  <c r="AJ579" i="4"/>
  <c r="AL570" i="4" l="1"/>
  <c r="AK579" i="4"/>
  <c r="AI579" i="4"/>
  <c r="AH580" i="4"/>
  <c r="AJ580" i="4"/>
  <c r="AS49" i="4"/>
  <c r="AL571" i="4" l="1"/>
  <c r="AK580" i="4"/>
  <c r="AI580" i="4"/>
  <c r="AH581" i="4"/>
  <c r="AJ581" i="4"/>
  <c r="AL572" i="4" l="1"/>
  <c r="AK581" i="4"/>
  <c r="AI581" i="4"/>
  <c r="AH582" i="4"/>
  <c r="AJ582" i="4"/>
  <c r="AL573" i="4" l="1"/>
  <c r="AK582" i="4"/>
  <c r="AI582" i="4"/>
  <c r="AH583" i="4"/>
  <c r="AJ583" i="4"/>
  <c r="AL574" i="4" l="1"/>
  <c r="AK583" i="4"/>
  <c r="AI583" i="4"/>
  <c r="AH584" i="4"/>
  <c r="AJ584" i="4"/>
  <c r="AL575" i="4" l="1"/>
  <c r="AK584" i="4"/>
  <c r="AI584" i="4"/>
  <c r="AH585" i="4"/>
  <c r="AJ585" i="4"/>
  <c r="AL576" i="4" l="1"/>
  <c r="AK585" i="4"/>
  <c r="AI585" i="4"/>
  <c r="AH586" i="4"/>
  <c r="AJ586" i="4"/>
  <c r="AL577" i="4" l="1"/>
  <c r="AK586" i="4"/>
  <c r="AI586" i="4"/>
  <c r="AH587" i="4"/>
  <c r="AJ587" i="4"/>
  <c r="AL578" i="4" l="1"/>
  <c r="AK587" i="4"/>
  <c r="AI587" i="4"/>
  <c r="AH588" i="4"/>
  <c r="AJ588" i="4"/>
  <c r="AL579" i="4" l="1"/>
  <c r="AK588" i="4"/>
  <c r="AI588" i="4"/>
  <c r="AH589" i="4"/>
  <c r="AJ589" i="4"/>
  <c r="AL580" i="4" l="1"/>
  <c r="AK589" i="4"/>
  <c r="AI589" i="4"/>
  <c r="AH590" i="4"/>
  <c r="AJ590" i="4"/>
  <c r="AL581" i="4" l="1"/>
  <c r="AK590" i="4"/>
  <c r="AI590" i="4"/>
  <c r="AH591" i="4"/>
  <c r="AJ591" i="4"/>
  <c r="AL582" i="4" l="1"/>
  <c r="AK591" i="4"/>
  <c r="AI591" i="4"/>
  <c r="AH592" i="4"/>
  <c r="AJ592" i="4"/>
  <c r="AL583" i="4" l="1"/>
  <c r="AK592" i="4"/>
  <c r="AI592" i="4"/>
  <c r="AH593" i="4"/>
  <c r="AJ593" i="4"/>
  <c r="AL584" i="4" l="1"/>
  <c r="AK593" i="4"/>
  <c r="AI593" i="4"/>
  <c r="AH594" i="4"/>
  <c r="AJ594" i="4"/>
  <c r="AL585" i="4" l="1"/>
  <c r="AK594" i="4"/>
  <c r="AI594" i="4"/>
  <c r="AH595" i="4"/>
  <c r="AJ595" i="4"/>
  <c r="AL586" i="4" l="1"/>
  <c r="AK595" i="4"/>
  <c r="AI595" i="4"/>
  <c r="AH596" i="4"/>
  <c r="AJ596" i="4"/>
  <c r="AL587" i="4" l="1"/>
  <c r="AK596" i="4"/>
  <c r="AI596" i="4"/>
  <c r="AH597" i="4"/>
  <c r="AJ597" i="4"/>
  <c r="AL588" i="4" l="1"/>
  <c r="AK597" i="4"/>
  <c r="AI597" i="4"/>
  <c r="AH598" i="4"/>
  <c r="AJ598" i="4"/>
  <c r="AL589" i="4" l="1"/>
  <c r="AK598" i="4"/>
  <c r="AI598" i="4"/>
  <c r="AH599" i="4"/>
  <c r="AJ599" i="4"/>
  <c r="AL590" i="4" l="1"/>
  <c r="AK599" i="4"/>
  <c r="AI599" i="4"/>
  <c r="AH600" i="4"/>
  <c r="AJ600" i="4"/>
  <c r="AL591" i="4" l="1"/>
  <c r="AK600" i="4"/>
  <c r="AI600" i="4"/>
  <c r="AH601" i="4"/>
  <c r="AJ601" i="4"/>
  <c r="AL592" i="4" l="1"/>
  <c r="AK601" i="4"/>
  <c r="AI601" i="4"/>
  <c r="AH602" i="4"/>
  <c r="AJ602" i="4"/>
  <c r="AL593" i="4" l="1"/>
  <c r="AK602" i="4"/>
  <c r="AI602" i="4"/>
  <c r="AH603" i="4"/>
  <c r="AJ603" i="4"/>
  <c r="AL594" i="4" l="1"/>
  <c r="AK603" i="4"/>
  <c r="AI603" i="4"/>
  <c r="AH604" i="4"/>
  <c r="AJ604" i="4"/>
  <c r="AL595" i="4" l="1"/>
  <c r="AK604" i="4"/>
  <c r="AI604" i="4"/>
  <c r="AH605" i="4"/>
  <c r="AJ605" i="4"/>
  <c r="AL596" i="4" l="1"/>
  <c r="AK605" i="4"/>
  <c r="AI605" i="4"/>
  <c r="AH606" i="4"/>
  <c r="AJ606" i="4"/>
  <c r="AL597" i="4" l="1"/>
  <c r="AK606" i="4"/>
  <c r="AI606" i="4"/>
  <c r="AH607" i="4"/>
  <c r="AJ607" i="4"/>
  <c r="AL598" i="4" l="1"/>
  <c r="AK607" i="4"/>
  <c r="AI607" i="4"/>
  <c r="AH608" i="4"/>
  <c r="AJ608" i="4"/>
  <c r="AL599" i="4" l="1"/>
  <c r="AK608" i="4"/>
  <c r="AI608" i="4"/>
  <c r="AH609" i="4"/>
  <c r="AJ609" i="4"/>
  <c r="AL600" i="4" l="1"/>
  <c r="AK609" i="4"/>
  <c r="AI609" i="4"/>
  <c r="AH610" i="4"/>
  <c r="AJ610" i="4"/>
  <c r="AS50" i="4"/>
  <c r="AL601" i="4" l="1"/>
  <c r="AK610" i="4"/>
  <c r="AI610" i="4"/>
  <c r="AH611" i="4"/>
  <c r="AJ611" i="4"/>
  <c r="AL602" i="4" l="1"/>
  <c r="AK611" i="4"/>
  <c r="AI611" i="4"/>
  <c r="AH612" i="4"/>
  <c r="AJ612" i="4"/>
  <c r="AL603" i="4" l="1"/>
  <c r="AK612" i="4"/>
  <c r="AI612" i="4"/>
  <c r="AH613" i="4"/>
  <c r="AJ613" i="4"/>
  <c r="AL604" i="4" l="1"/>
  <c r="AK613" i="4"/>
  <c r="AI613" i="4"/>
  <c r="AH614" i="4"/>
  <c r="AJ614" i="4"/>
  <c r="AL605" i="4" l="1"/>
  <c r="AK614" i="4"/>
  <c r="AI614" i="4"/>
  <c r="AH615" i="4"/>
  <c r="AJ615" i="4"/>
  <c r="AL606" i="4" l="1"/>
  <c r="AK615" i="4"/>
  <c r="AI615" i="4"/>
  <c r="AH616" i="4"/>
  <c r="AJ616" i="4"/>
  <c r="AL607" i="4" l="1"/>
  <c r="AK616" i="4"/>
  <c r="AI616" i="4"/>
  <c r="AH617" i="4"/>
  <c r="AJ617" i="4"/>
  <c r="AL608" i="4" l="1"/>
  <c r="AK617" i="4"/>
  <c r="AI617" i="4"/>
  <c r="AH618" i="4"/>
  <c r="AJ618" i="4"/>
  <c r="AL609" i="4" l="1"/>
  <c r="AK618" i="4"/>
  <c r="AI618" i="4"/>
  <c r="AH619" i="4"/>
  <c r="AJ619" i="4"/>
  <c r="AL610" i="4" l="1"/>
  <c r="AK619" i="4"/>
  <c r="AI619" i="4"/>
  <c r="AH620" i="4"/>
  <c r="AJ620" i="4"/>
  <c r="AL611" i="4" l="1"/>
  <c r="AK620" i="4"/>
  <c r="AI620" i="4"/>
  <c r="AH621" i="4"/>
  <c r="AJ621" i="4"/>
  <c r="AL612" i="4" l="1"/>
  <c r="AK621" i="4"/>
  <c r="AI621" i="4"/>
  <c r="AH622" i="4"/>
  <c r="AJ622" i="4"/>
  <c r="AL613" i="4" l="1"/>
  <c r="AK622" i="4"/>
  <c r="AI622" i="4"/>
  <c r="AH623" i="4"/>
  <c r="AJ623" i="4"/>
  <c r="AL614" i="4" l="1"/>
  <c r="AK623" i="4"/>
  <c r="AI623" i="4"/>
  <c r="AH624" i="4"/>
  <c r="AJ624" i="4"/>
  <c r="AL615" i="4" l="1"/>
  <c r="AK624" i="4"/>
  <c r="AI624" i="4"/>
  <c r="AH625" i="4"/>
  <c r="AJ625" i="4"/>
  <c r="AL616" i="4" l="1"/>
  <c r="AK625" i="4"/>
  <c r="AI625" i="4"/>
  <c r="AH626" i="4"/>
  <c r="AJ626" i="4"/>
  <c r="AL617" i="4" l="1"/>
  <c r="AK626" i="4"/>
  <c r="AI626" i="4"/>
  <c r="AH627" i="4"/>
  <c r="AJ627" i="4"/>
  <c r="AL618" i="4" l="1"/>
  <c r="AK627" i="4"/>
  <c r="AI627" i="4"/>
  <c r="AH628" i="4"/>
  <c r="AJ628" i="4"/>
  <c r="AL619" i="4" l="1"/>
  <c r="AK628" i="4"/>
  <c r="AI628" i="4"/>
  <c r="AH629" i="4"/>
  <c r="AJ629" i="4"/>
  <c r="AL620" i="4" l="1"/>
  <c r="AK629" i="4"/>
  <c r="AI629" i="4"/>
  <c r="AH630" i="4"/>
  <c r="AJ630" i="4"/>
  <c r="AL621" i="4" l="1"/>
  <c r="AK630" i="4"/>
  <c r="AI630" i="4"/>
  <c r="AH631" i="4"/>
  <c r="AJ631" i="4"/>
  <c r="AL622" i="4" l="1"/>
  <c r="AK631" i="4"/>
  <c r="AI631" i="4"/>
  <c r="AH632" i="4"/>
  <c r="AJ632" i="4"/>
  <c r="AL623" i="4" l="1"/>
  <c r="AK632" i="4"/>
  <c r="AI632" i="4"/>
  <c r="AH633" i="4"/>
  <c r="AJ633" i="4"/>
  <c r="AL624" i="4" l="1"/>
  <c r="AK633" i="4"/>
  <c r="AI633" i="4"/>
  <c r="AH634" i="4"/>
  <c r="AJ634" i="4"/>
  <c r="AL625" i="4" l="1"/>
  <c r="AK634" i="4"/>
  <c r="AI634" i="4"/>
  <c r="AH635" i="4"/>
  <c r="AJ635" i="4"/>
  <c r="AL626" i="4" l="1"/>
  <c r="AK635" i="4"/>
  <c r="AI635" i="4"/>
  <c r="AH636" i="4"/>
  <c r="AJ636" i="4"/>
  <c r="AL627" i="4" l="1"/>
  <c r="AK636" i="4"/>
  <c r="AI636" i="4"/>
  <c r="AH637" i="4"/>
  <c r="AJ637" i="4"/>
  <c r="AL628" i="4" l="1"/>
  <c r="AK637" i="4"/>
  <c r="AI637" i="4"/>
  <c r="AH638" i="4"/>
  <c r="AJ638" i="4"/>
  <c r="AL629" i="4" l="1"/>
  <c r="AK638" i="4"/>
  <c r="AI638" i="4"/>
  <c r="AH639" i="4"/>
  <c r="AJ639" i="4"/>
  <c r="AL630" i="4" l="1"/>
  <c r="AK639" i="4"/>
  <c r="AI639" i="4"/>
  <c r="AH640" i="4"/>
  <c r="AJ640" i="4"/>
  <c r="AS51" i="4"/>
  <c r="AL631" i="4" l="1"/>
  <c r="AK640" i="4"/>
  <c r="AI640" i="4"/>
  <c r="AH641" i="4"/>
  <c r="AJ641" i="4"/>
  <c r="AL632" i="4" l="1"/>
  <c r="AK641" i="4"/>
  <c r="AI641" i="4"/>
  <c r="AH642" i="4"/>
  <c r="AJ642" i="4"/>
  <c r="AL633" i="4" l="1"/>
  <c r="AK642" i="4"/>
  <c r="AI642" i="4"/>
  <c r="AH643" i="4"/>
  <c r="AJ643" i="4"/>
  <c r="AL634" i="4" l="1"/>
  <c r="AK643" i="4"/>
  <c r="AI643" i="4"/>
  <c r="AH644" i="4"/>
  <c r="AJ644" i="4"/>
  <c r="AL635" i="4" l="1"/>
  <c r="AK644" i="4"/>
  <c r="AI644" i="4"/>
  <c r="AH645" i="4"/>
  <c r="AJ645" i="4"/>
  <c r="AL636" i="4" l="1"/>
  <c r="AK645" i="4"/>
  <c r="AI645" i="4"/>
  <c r="AH646" i="4"/>
  <c r="AJ646" i="4"/>
  <c r="AL637" i="4" l="1"/>
  <c r="AK646" i="4"/>
  <c r="AI646" i="4"/>
  <c r="AH647" i="4"/>
  <c r="AJ647" i="4"/>
  <c r="AL638" i="4" l="1"/>
  <c r="AK647" i="4"/>
  <c r="AI647" i="4"/>
  <c r="AH648" i="4"/>
  <c r="AJ648" i="4"/>
  <c r="AL639" i="4" l="1"/>
  <c r="AK648" i="4"/>
  <c r="AI648" i="4"/>
  <c r="AH649" i="4"/>
  <c r="AJ649" i="4"/>
  <c r="AL640" i="4" l="1"/>
  <c r="AK649" i="4"/>
  <c r="AI649" i="4"/>
  <c r="AH650" i="4"/>
  <c r="AJ650" i="4"/>
  <c r="AL641" i="4" l="1"/>
  <c r="AK650" i="4"/>
  <c r="AI650" i="4"/>
  <c r="AH651" i="4"/>
  <c r="AJ651" i="4"/>
  <c r="AL642" i="4" l="1"/>
  <c r="AK651" i="4"/>
  <c r="AI651" i="4"/>
  <c r="AH652" i="4"/>
  <c r="AJ652" i="4"/>
  <c r="AL643" i="4" l="1"/>
  <c r="AK652" i="4"/>
  <c r="AI652" i="4"/>
  <c r="AH653" i="4"/>
  <c r="AJ653" i="4"/>
  <c r="AL644" i="4" l="1"/>
  <c r="AK653" i="4"/>
  <c r="AI653" i="4"/>
  <c r="AH654" i="4"/>
  <c r="AJ654" i="4"/>
  <c r="AL645" i="4" l="1"/>
  <c r="AK654" i="4"/>
  <c r="AI654" i="4"/>
  <c r="AH655" i="4"/>
  <c r="AJ655" i="4"/>
  <c r="AL646" i="4" l="1"/>
  <c r="AK655" i="4"/>
  <c r="AI655" i="4"/>
  <c r="AH656" i="4"/>
  <c r="AJ656" i="4"/>
  <c r="AL647" i="4" l="1"/>
  <c r="AK656" i="4"/>
  <c r="AI656" i="4"/>
  <c r="AH657" i="4"/>
  <c r="AJ657" i="4"/>
  <c r="AL648" i="4" l="1"/>
  <c r="AK657" i="4"/>
  <c r="AI657" i="4"/>
  <c r="AH658" i="4"/>
  <c r="AJ658" i="4"/>
  <c r="AL649" i="4" l="1"/>
  <c r="AK658" i="4"/>
  <c r="AI658" i="4"/>
  <c r="AH659" i="4"/>
  <c r="AJ659" i="4"/>
  <c r="AL650" i="4" l="1"/>
  <c r="AK659" i="4"/>
  <c r="AI659" i="4"/>
  <c r="AH660" i="4"/>
  <c r="AJ660" i="4"/>
  <c r="AL651" i="4" l="1"/>
  <c r="AK660" i="4"/>
  <c r="AI660" i="4"/>
  <c r="AH661" i="4"/>
  <c r="AJ661" i="4"/>
  <c r="AL652" i="4" l="1"/>
  <c r="AK661" i="4"/>
  <c r="AI661" i="4"/>
  <c r="AH662" i="4"/>
  <c r="AJ662" i="4"/>
  <c r="AL653" i="4" l="1"/>
  <c r="AK662" i="4"/>
  <c r="AI662" i="4"/>
  <c r="AH663" i="4"/>
  <c r="AJ663" i="4"/>
  <c r="AL654" i="4" l="1"/>
  <c r="AK663" i="4"/>
  <c r="AI663" i="4"/>
  <c r="AH664" i="4"/>
  <c r="AJ664" i="4"/>
  <c r="AL655" i="4" l="1"/>
  <c r="AK664" i="4"/>
  <c r="AI664" i="4"/>
  <c r="AH665" i="4"/>
  <c r="AJ665" i="4"/>
  <c r="AL656" i="4" l="1"/>
  <c r="AK665" i="4"/>
  <c r="AI665" i="4"/>
  <c r="AH666" i="4"/>
  <c r="AJ666" i="4"/>
  <c r="AL657" i="4" l="1"/>
  <c r="AK666" i="4"/>
  <c r="AI666" i="4"/>
  <c r="AH667" i="4"/>
  <c r="AJ667" i="4"/>
  <c r="AL658" i="4" l="1"/>
  <c r="AK667" i="4"/>
  <c r="AI667" i="4"/>
  <c r="AH668" i="4"/>
  <c r="AJ668" i="4"/>
  <c r="AL659" i="4" l="1"/>
  <c r="AK668" i="4"/>
  <c r="AI668" i="4"/>
  <c r="AH669" i="4"/>
  <c r="AJ669" i="4"/>
  <c r="AL660" i="4" l="1"/>
  <c r="AK669" i="4"/>
  <c r="AI669" i="4"/>
  <c r="AH670" i="4"/>
  <c r="AJ670" i="4"/>
  <c r="AS52" i="4"/>
  <c r="AL661" i="4" l="1"/>
  <c r="AK670" i="4"/>
  <c r="AI670" i="4"/>
  <c r="AH671" i="4"/>
  <c r="AJ671" i="4"/>
  <c r="AL662" i="4" l="1"/>
  <c r="AK671" i="4"/>
  <c r="AI671" i="4"/>
  <c r="AH672" i="4"/>
  <c r="AJ672" i="4"/>
  <c r="AL663" i="4" l="1"/>
  <c r="AK672" i="4"/>
  <c r="AI672" i="4"/>
  <c r="AH673" i="4"/>
  <c r="AJ673" i="4"/>
  <c r="AL664" i="4" l="1"/>
  <c r="AK673" i="4"/>
  <c r="AI673" i="4"/>
  <c r="AH674" i="4"/>
  <c r="AJ674" i="4"/>
  <c r="AL665" i="4" l="1"/>
  <c r="AK674" i="4"/>
  <c r="AI674" i="4"/>
  <c r="AH675" i="4"/>
  <c r="AJ675" i="4"/>
  <c r="AL666" i="4" l="1"/>
  <c r="AK675" i="4"/>
  <c r="AI675" i="4"/>
  <c r="AH676" i="4"/>
  <c r="AJ676" i="4"/>
  <c r="AL667" i="4" l="1"/>
  <c r="AK676" i="4"/>
  <c r="AI676" i="4"/>
  <c r="AH677" i="4"/>
  <c r="AJ677" i="4"/>
  <c r="AL668" i="4" l="1"/>
  <c r="AK677" i="4"/>
  <c r="AI677" i="4"/>
  <c r="AH678" i="4"/>
  <c r="AJ678" i="4"/>
  <c r="AL669" i="4" l="1"/>
  <c r="AK678" i="4"/>
  <c r="AI678" i="4"/>
  <c r="AH679" i="4"/>
  <c r="AJ679" i="4"/>
  <c r="AL670" i="4" l="1"/>
  <c r="AK679" i="4"/>
  <c r="AI679" i="4"/>
  <c r="AH680" i="4"/>
  <c r="AJ680" i="4"/>
  <c r="AL671" i="4" l="1"/>
  <c r="AK680" i="4"/>
  <c r="AI680" i="4"/>
  <c r="AH681" i="4"/>
  <c r="AJ681" i="4"/>
  <c r="AL672" i="4" l="1"/>
  <c r="AK681" i="4"/>
  <c r="AI681" i="4"/>
  <c r="AH682" i="4"/>
  <c r="AJ682" i="4"/>
  <c r="AL673" i="4" l="1"/>
  <c r="AK682" i="4"/>
  <c r="AI682" i="4"/>
  <c r="AH683" i="4"/>
  <c r="AJ683" i="4"/>
  <c r="AL674" i="4" l="1"/>
  <c r="AK683" i="4"/>
  <c r="AI683" i="4"/>
  <c r="AH684" i="4"/>
  <c r="AJ684" i="4"/>
  <c r="AL675" i="4" l="1"/>
  <c r="AK684" i="4"/>
  <c r="AI684" i="4"/>
  <c r="AH685" i="4"/>
  <c r="AJ685" i="4"/>
  <c r="AL676" i="4" l="1"/>
  <c r="AK685" i="4"/>
  <c r="AI685" i="4"/>
  <c r="AH686" i="4"/>
  <c r="AJ686" i="4"/>
  <c r="AL677" i="4" l="1"/>
  <c r="AK686" i="4"/>
  <c r="AI686" i="4"/>
  <c r="AH687" i="4"/>
  <c r="AJ687" i="4"/>
  <c r="AL678" i="4" l="1"/>
  <c r="AK687" i="4"/>
  <c r="AI687" i="4"/>
  <c r="AH688" i="4"/>
  <c r="AJ688" i="4"/>
  <c r="AL679" i="4" l="1"/>
  <c r="AK688" i="4"/>
  <c r="AI688" i="4"/>
  <c r="AH689" i="4"/>
  <c r="AJ689" i="4"/>
  <c r="AL680" i="4" l="1"/>
  <c r="AK689" i="4"/>
  <c r="AI689" i="4"/>
  <c r="AH690" i="4"/>
  <c r="AJ690" i="4"/>
  <c r="AL681" i="4" l="1"/>
  <c r="AK690" i="4"/>
  <c r="AI690" i="4"/>
  <c r="AH691" i="4"/>
  <c r="AJ691" i="4"/>
  <c r="AL682" i="4" l="1"/>
  <c r="AK691" i="4"/>
  <c r="AI691" i="4"/>
  <c r="AH692" i="4"/>
  <c r="AJ692" i="4"/>
  <c r="AL683" i="4" l="1"/>
  <c r="AK692" i="4"/>
  <c r="AI692" i="4"/>
  <c r="AH693" i="4"/>
  <c r="AJ693" i="4"/>
  <c r="AL684" i="4" l="1"/>
  <c r="AK693" i="4"/>
  <c r="AI693" i="4"/>
  <c r="AH694" i="4"/>
  <c r="AJ694" i="4"/>
  <c r="AL685" i="4" l="1"/>
  <c r="AK694" i="4"/>
  <c r="AI694" i="4"/>
  <c r="AH695" i="4"/>
  <c r="AJ695" i="4"/>
  <c r="AL686" i="4" l="1"/>
  <c r="AK695" i="4"/>
  <c r="AI695" i="4"/>
  <c r="AH696" i="4"/>
  <c r="AJ696" i="4"/>
  <c r="AL687" i="4" l="1"/>
  <c r="AK696" i="4"/>
  <c r="AI696" i="4"/>
  <c r="AH697" i="4"/>
  <c r="AJ697" i="4"/>
  <c r="AL688" i="4" l="1"/>
  <c r="AK697" i="4"/>
  <c r="AI697" i="4"/>
  <c r="AH698" i="4"/>
  <c r="AJ698" i="4"/>
  <c r="AL689" i="4" l="1"/>
  <c r="AK698" i="4"/>
  <c r="AI698" i="4"/>
  <c r="AH699" i="4"/>
  <c r="AJ699" i="4"/>
  <c r="AL690" i="4" l="1"/>
  <c r="AK699" i="4"/>
  <c r="AI699" i="4"/>
  <c r="AH700" i="4"/>
  <c r="AS53" i="4"/>
  <c r="AJ700" i="4"/>
  <c r="AL691" i="4" l="1"/>
  <c r="AK700" i="4"/>
  <c r="AI700" i="4"/>
  <c r="AH701" i="4"/>
  <c r="AJ701" i="4"/>
  <c r="AL692" i="4" l="1"/>
  <c r="AK701" i="4"/>
  <c r="AI701" i="4"/>
  <c r="AH702" i="4"/>
  <c r="AJ702" i="4"/>
  <c r="AL693" i="4" l="1"/>
  <c r="AK702" i="4"/>
  <c r="AI702" i="4"/>
  <c r="AH703" i="4"/>
  <c r="AJ703" i="4"/>
  <c r="AL694" i="4" l="1"/>
  <c r="AK703" i="4"/>
  <c r="AI703" i="4"/>
  <c r="AH704" i="4"/>
  <c r="AJ704" i="4"/>
  <c r="AL695" i="4" l="1"/>
  <c r="AK704" i="4"/>
  <c r="AI704" i="4"/>
  <c r="AH705" i="4"/>
  <c r="AJ705" i="4"/>
  <c r="AL696" i="4" l="1"/>
  <c r="AK705" i="4"/>
  <c r="AI705" i="4"/>
  <c r="AH706" i="4"/>
  <c r="AJ706" i="4"/>
  <c r="AL697" i="4" l="1"/>
  <c r="AK706" i="4"/>
  <c r="AI706" i="4"/>
  <c r="AH707" i="4"/>
  <c r="AJ707" i="4"/>
  <c r="AL698" i="4" l="1"/>
  <c r="AK707" i="4"/>
  <c r="AI707" i="4"/>
  <c r="AH708" i="4"/>
  <c r="AJ708" i="4"/>
  <c r="AL699" i="4" l="1"/>
  <c r="AK708" i="4"/>
  <c r="AI708" i="4"/>
  <c r="AH709" i="4"/>
  <c r="AJ709" i="4"/>
  <c r="AL700" i="4" l="1"/>
  <c r="AK709" i="4"/>
  <c r="AI709" i="4"/>
  <c r="AH710" i="4"/>
  <c r="AJ710" i="4"/>
  <c r="AL701" i="4" l="1"/>
  <c r="AK710" i="4"/>
  <c r="AI710" i="4"/>
  <c r="AH711" i="4"/>
  <c r="AJ711" i="4"/>
  <c r="AL702" i="4" l="1"/>
  <c r="AK711" i="4"/>
  <c r="AI711" i="4"/>
  <c r="AH712" i="4"/>
  <c r="AJ712" i="4"/>
  <c r="AL703" i="4" l="1"/>
  <c r="AK712" i="4"/>
  <c r="AI712" i="4"/>
  <c r="AH713" i="4"/>
  <c r="AJ713" i="4"/>
  <c r="AL704" i="4" l="1"/>
  <c r="AK713" i="4"/>
  <c r="AI713" i="4"/>
  <c r="AH714" i="4"/>
  <c r="AJ714" i="4"/>
  <c r="AL705" i="4" l="1"/>
  <c r="AK714" i="4"/>
  <c r="AI714" i="4"/>
  <c r="AH715" i="4"/>
  <c r="AJ715" i="4"/>
  <c r="AL706" i="4" l="1"/>
  <c r="AK715" i="4"/>
  <c r="AI715" i="4"/>
  <c r="AH716" i="4"/>
  <c r="AJ716" i="4"/>
  <c r="AL707" i="4" l="1"/>
  <c r="AK716" i="4"/>
  <c r="AI716" i="4"/>
  <c r="AH717" i="4"/>
  <c r="AJ717" i="4"/>
  <c r="AL708" i="4" l="1"/>
  <c r="AK717" i="4"/>
  <c r="AI717" i="4"/>
  <c r="AH718" i="4"/>
  <c r="AJ718" i="4"/>
  <c r="AL709" i="4" l="1"/>
  <c r="AK718" i="4"/>
  <c r="AI718" i="4"/>
  <c r="AH719" i="4"/>
  <c r="AJ719" i="4"/>
  <c r="AL710" i="4" l="1"/>
  <c r="AK719" i="4"/>
  <c r="AI719" i="4"/>
  <c r="AH720" i="4"/>
  <c r="AJ720" i="4"/>
  <c r="AL711" i="4" l="1"/>
  <c r="AK720" i="4"/>
  <c r="AI720" i="4"/>
  <c r="AH721" i="4"/>
  <c r="AJ721" i="4"/>
  <c r="AL712" i="4" l="1"/>
  <c r="AK721" i="4"/>
  <c r="AI721" i="4"/>
  <c r="AH722" i="4"/>
  <c r="AJ722" i="4"/>
  <c r="AL713" i="4" l="1"/>
  <c r="AK722" i="4"/>
  <c r="AI722" i="4"/>
  <c r="AH723" i="4"/>
  <c r="AJ723" i="4"/>
  <c r="AL714" i="4" l="1"/>
  <c r="AK723" i="4"/>
  <c r="AI723" i="4"/>
  <c r="AH724" i="4"/>
  <c r="AJ724" i="4"/>
  <c r="AL715" i="4" l="1"/>
  <c r="AK724" i="4"/>
  <c r="AI724" i="4"/>
  <c r="AH725" i="4"/>
  <c r="AJ725" i="4"/>
  <c r="AL716" i="4" l="1"/>
  <c r="AK725" i="4"/>
  <c r="AI725" i="4"/>
  <c r="AH726" i="4"/>
  <c r="AJ726" i="4"/>
  <c r="AL717" i="4" l="1"/>
  <c r="AK726" i="4"/>
  <c r="AI726" i="4"/>
  <c r="AH727" i="4"/>
  <c r="AJ727" i="4"/>
  <c r="AL718" i="4" l="1"/>
  <c r="AK727" i="4"/>
  <c r="AI727" i="4"/>
  <c r="AH728" i="4"/>
  <c r="AJ728" i="4"/>
  <c r="AL719" i="4" l="1"/>
  <c r="AK728" i="4"/>
  <c r="AI728" i="4"/>
  <c r="AH729" i="4"/>
  <c r="AJ729" i="4"/>
  <c r="AL720" i="4" l="1"/>
  <c r="AK729" i="4"/>
  <c r="AI729" i="4"/>
  <c r="AH730" i="4"/>
  <c r="AS54" i="4"/>
  <c r="AJ730" i="4"/>
  <c r="AL721" i="4" l="1"/>
  <c r="AK730" i="4"/>
  <c r="AI730" i="4"/>
  <c r="AH731" i="4"/>
  <c r="AJ731" i="4"/>
  <c r="AL722" i="4" l="1"/>
  <c r="AK731" i="4"/>
  <c r="AI731" i="4"/>
  <c r="AH732" i="4"/>
  <c r="AJ732" i="4"/>
  <c r="AL723" i="4" l="1"/>
  <c r="AK732" i="4"/>
  <c r="AI732" i="4"/>
  <c r="AH733" i="4"/>
  <c r="AJ733" i="4"/>
  <c r="AL724" i="4" l="1"/>
  <c r="AK733" i="4"/>
  <c r="AI733" i="4"/>
  <c r="AH734" i="4"/>
  <c r="AJ734" i="4"/>
  <c r="AL725" i="4" l="1"/>
  <c r="AK734" i="4"/>
  <c r="AI734" i="4"/>
  <c r="AH735" i="4"/>
  <c r="AJ735" i="4"/>
  <c r="AL726" i="4" l="1"/>
  <c r="AK735" i="4"/>
  <c r="AI735" i="4"/>
  <c r="AH736" i="4"/>
  <c r="AJ736" i="4"/>
  <c r="AL727" i="4" l="1"/>
  <c r="AK736" i="4"/>
  <c r="AI736" i="4"/>
  <c r="AH737" i="4"/>
  <c r="AJ737" i="4"/>
  <c r="AL728" i="4" l="1"/>
  <c r="AK737" i="4"/>
  <c r="AI737" i="4"/>
  <c r="AH738" i="4"/>
  <c r="AJ738" i="4"/>
  <c r="AL729" i="4" l="1"/>
  <c r="AK738" i="4"/>
  <c r="AI738" i="4"/>
  <c r="AH739" i="4"/>
  <c r="AJ739" i="4"/>
  <c r="AL730" i="4" l="1"/>
  <c r="AK739" i="4"/>
  <c r="AI739" i="4"/>
  <c r="AH740" i="4"/>
  <c r="AJ740" i="4"/>
  <c r="AL731" i="4" l="1"/>
  <c r="AK740" i="4"/>
  <c r="AI740" i="4"/>
  <c r="AH741" i="4"/>
  <c r="AJ741" i="4"/>
  <c r="AL732" i="4" l="1"/>
  <c r="AK741" i="4"/>
  <c r="AI741" i="4"/>
  <c r="AH742" i="4"/>
  <c r="AJ742" i="4"/>
  <c r="AL733" i="4" l="1"/>
  <c r="AK742" i="4"/>
  <c r="AI742" i="4"/>
  <c r="AH743" i="4"/>
  <c r="AJ743" i="4"/>
  <c r="AL734" i="4" l="1"/>
  <c r="AK743" i="4"/>
  <c r="AI743" i="4"/>
  <c r="AH744" i="4"/>
  <c r="AJ744" i="4"/>
  <c r="AL735" i="4" l="1"/>
  <c r="AK744" i="4"/>
  <c r="AI744" i="4"/>
  <c r="AH745" i="4"/>
  <c r="AJ745" i="4"/>
  <c r="AL736" i="4" l="1"/>
  <c r="AK745" i="4"/>
  <c r="AI745" i="4"/>
  <c r="AH746" i="4"/>
  <c r="AJ746" i="4"/>
  <c r="AL737" i="4" l="1"/>
  <c r="AK746" i="4"/>
  <c r="AI746" i="4"/>
  <c r="AH747" i="4"/>
  <c r="AJ747" i="4"/>
  <c r="AL738" i="4" l="1"/>
  <c r="AK747" i="4"/>
  <c r="AI747" i="4"/>
  <c r="AH748" i="4"/>
  <c r="AJ748" i="4"/>
  <c r="AL739" i="4" l="1"/>
  <c r="AK748" i="4"/>
  <c r="AI748" i="4"/>
  <c r="AH749" i="4"/>
  <c r="AJ749" i="4"/>
  <c r="AL740" i="4" l="1"/>
  <c r="AK749" i="4"/>
  <c r="AI749" i="4"/>
  <c r="AH750" i="4"/>
  <c r="AJ750" i="4"/>
  <c r="AL741" i="4" l="1"/>
  <c r="AK750" i="4"/>
  <c r="AI750" i="4"/>
  <c r="AH751" i="4"/>
  <c r="AJ751" i="4"/>
  <c r="AL742" i="4" l="1"/>
  <c r="AK751" i="4"/>
  <c r="AI751" i="4"/>
  <c r="AH752" i="4"/>
  <c r="AJ752" i="4"/>
  <c r="AL743" i="4" l="1"/>
  <c r="AK752" i="4"/>
  <c r="AI752" i="4"/>
  <c r="AH753" i="4"/>
  <c r="AJ753" i="4"/>
  <c r="AL744" i="4" l="1"/>
  <c r="AK753" i="4"/>
  <c r="AI753" i="4"/>
  <c r="AH754" i="4"/>
  <c r="AJ754" i="4"/>
  <c r="AL745" i="4" l="1"/>
  <c r="AK754" i="4"/>
  <c r="AI754" i="4"/>
  <c r="AH755" i="4"/>
  <c r="AJ755" i="4"/>
  <c r="AL746" i="4" l="1"/>
  <c r="AK755" i="4"/>
  <c r="AI755" i="4"/>
  <c r="AH756" i="4"/>
  <c r="AJ756" i="4"/>
  <c r="AL747" i="4" l="1"/>
  <c r="AK756" i="4"/>
  <c r="AI756" i="4"/>
  <c r="AH757" i="4"/>
  <c r="AJ757" i="4"/>
  <c r="AL748" i="4" l="1"/>
  <c r="AK757" i="4"/>
  <c r="AI757" i="4"/>
  <c r="AH758" i="4"/>
  <c r="AJ758" i="4"/>
  <c r="AL749" i="4" l="1"/>
  <c r="AK758" i="4"/>
  <c r="AI758" i="4"/>
  <c r="AH759" i="4"/>
  <c r="AJ759" i="4"/>
  <c r="AL750" i="4" l="1"/>
  <c r="AK759" i="4"/>
  <c r="AI759" i="4"/>
  <c r="AH760" i="4"/>
  <c r="AS55" i="4"/>
  <c r="F8" i="4" s="1"/>
  <c r="F9" i="4"/>
  <c r="AJ760" i="4"/>
  <c r="AL751" i="4" l="1"/>
  <c r="AK760" i="4"/>
  <c r="AI760" i="4"/>
  <c r="AH761" i="4"/>
  <c r="AJ761" i="4"/>
  <c r="AL752" i="4" l="1"/>
  <c r="AK761" i="4"/>
  <c r="AI761" i="4"/>
  <c r="AH762" i="4"/>
  <c r="AJ762" i="4"/>
  <c r="AL753" i="4" l="1"/>
  <c r="AK762" i="4"/>
  <c r="AI762" i="4"/>
  <c r="AH763" i="4"/>
  <c r="AJ763" i="4"/>
  <c r="AL754" i="4" l="1"/>
  <c r="AK763" i="4"/>
  <c r="AI763" i="4"/>
  <c r="AH764" i="4"/>
  <c r="AJ764" i="4"/>
  <c r="AL755" i="4" l="1"/>
  <c r="AK764" i="4"/>
  <c r="AI764" i="4"/>
  <c r="AH765" i="4"/>
  <c r="AJ765" i="4"/>
  <c r="AL756" i="4" l="1"/>
  <c r="AK765" i="4"/>
  <c r="AI765" i="4"/>
  <c r="AH766" i="4"/>
  <c r="AJ766" i="4"/>
  <c r="AL757" i="4" l="1"/>
  <c r="AK766" i="4"/>
  <c r="AI766" i="4"/>
  <c r="AH767" i="4"/>
  <c r="AJ767" i="4"/>
  <c r="AL758" i="4" l="1"/>
  <c r="AK767" i="4"/>
  <c r="AI767" i="4"/>
  <c r="AH768" i="4"/>
  <c r="AJ768" i="4"/>
  <c r="AL759" i="4" l="1"/>
  <c r="AK768" i="4"/>
  <c r="AI768" i="4"/>
  <c r="AH769" i="4"/>
  <c r="AJ769" i="4"/>
  <c r="AL760" i="4" l="1"/>
  <c r="AK769" i="4"/>
  <c r="AI769" i="4"/>
  <c r="AH770" i="4"/>
  <c r="AJ770" i="4"/>
  <c r="AL761" i="4" l="1"/>
  <c r="AK770" i="4"/>
  <c r="AI770" i="4"/>
  <c r="AH771" i="4"/>
  <c r="AJ771" i="4"/>
  <c r="AL762" i="4" l="1"/>
  <c r="AK771" i="4"/>
  <c r="AI771" i="4"/>
  <c r="AH772" i="4"/>
  <c r="AJ772" i="4"/>
  <c r="AL763" i="4" l="1"/>
  <c r="AK772" i="4"/>
  <c r="AI772" i="4"/>
  <c r="AH773" i="4"/>
  <c r="AJ773" i="4"/>
  <c r="AL764" i="4" l="1"/>
  <c r="AK773" i="4"/>
  <c r="AI773" i="4"/>
  <c r="AH774" i="4"/>
  <c r="AJ774" i="4"/>
  <c r="AL765" i="4" l="1"/>
  <c r="AK774" i="4"/>
  <c r="AI774" i="4"/>
  <c r="AH775" i="4"/>
  <c r="AJ775" i="4"/>
  <c r="AL766" i="4" l="1"/>
  <c r="AK775" i="4"/>
  <c r="AI775" i="4"/>
  <c r="AH776" i="4"/>
  <c r="AJ776" i="4"/>
  <c r="AL767" i="4" l="1"/>
  <c r="AK776" i="4"/>
  <c r="AI776" i="4"/>
  <c r="AH777" i="4"/>
  <c r="AJ777" i="4"/>
  <c r="AL768" i="4" l="1"/>
  <c r="AK777" i="4"/>
  <c r="AI777" i="4"/>
  <c r="AH778" i="4"/>
  <c r="AJ778" i="4"/>
  <c r="AL769" i="4" l="1"/>
  <c r="AK778" i="4"/>
  <c r="AI778" i="4"/>
  <c r="AH779" i="4"/>
  <c r="AJ779" i="4"/>
  <c r="AL770" i="4" l="1"/>
  <c r="AK779" i="4"/>
  <c r="AI779" i="4"/>
  <c r="AH780" i="4"/>
  <c r="AJ780" i="4"/>
  <c r="AL771" i="4" l="1"/>
  <c r="AK780" i="4"/>
  <c r="AI780" i="4"/>
  <c r="AH781" i="4"/>
  <c r="AJ781" i="4"/>
  <c r="AL772" i="4" l="1"/>
  <c r="AK781" i="4"/>
  <c r="AI781" i="4"/>
  <c r="AH782" i="4"/>
  <c r="AJ782" i="4"/>
  <c r="AL773" i="4" l="1"/>
  <c r="AK782" i="4"/>
  <c r="AI782" i="4"/>
  <c r="AH783" i="4"/>
  <c r="AJ783" i="4"/>
  <c r="AL774" i="4" l="1"/>
  <c r="AK783" i="4"/>
  <c r="AI783" i="4"/>
  <c r="AH784" i="4"/>
  <c r="AJ784" i="4"/>
  <c r="AL775" i="4" l="1"/>
  <c r="AK784" i="4"/>
  <c r="AI784" i="4"/>
  <c r="AH785" i="4"/>
  <c r="AJ785" i="4"/>
  <c r="AL776" i="4" l="1"/>
  <c r="AK785" i="4"/>
  <c r="AI785" i="4"/>
  <c r="AH786" i="4"/>
  <c r="AJ786" i="4"/>
  <c r="AL777" i="4" l="1"/>
  <c r="AK786" i="4"/>
  <c r="AI786" i="4"/>
  <c r="AH787" i="4"/>
  <c r="AJ787" i="4"/>
  <c r="AL778" i="4" l="1"/>
  <c r="AK787" i="4"/>
  <c r="AI787" i="4"/>
  <c r="AH788" i="4"/>
  <c r="AJ788" i="4"/>
  <c r="AL779" i="4" l="1"/>
  <c r="AK788" i="4"/>
  <c r="AI788" i="4"/>
  <c r="AH789" i="4"/>
  <c r="AJ789" i="4"/>
  <c r="AL780" i="4" l="1"/>
  <c r="AK789" i="4"/>
  <c r="AI789" i="4"/>
  <c r="AH790" i="4"/>
  <c r="AJ790" i="4"/>
  <c r="AS56" i="4"/>
  <c r="AL781" i="4" l="1"/>
  <c r="AK790" i="4"/>
  <c r="AI790" i="4"/>
  <c r="AH791" i="4"/>
  <c r="AJ791" i="4"/>
  <c r="AL782" i="4" l="1"/>
  <c r="AK791" i="4"/>
  <c r="AI791" i="4"/>
  <c r="AH792" i="4"/>
  <c r="AJ792" i="4"/>
  <c r="AL783" i="4" l="1"/>
  <c r="AK792" i="4"/>
  <c r="AI792" i="4"/>
  <c r="AH793" i="4"/>
  <c r="AJ793" i="4"/>
  <c r="AL784" i="4" l="1"/>
  <c r="AK793" i="4"/>
  <c r="AI793" i="4"/>
  <c r="AH794" i="4"/>
  <c r="AJ794" i="4"/>
  <c r="AL785" i="4" l="1"/>
  <c r="AK794" i="4"/>
  <c r="AI794" i="4"/>
  <c r="AH795" i="4"/>
  <c r="AJ795" i="4"/>
  <c r="AL786" i="4" l="1"/>
  <c r="AK795" i="4"/>
  <c r="AI795" i="4"/>
  <c r="AH796" i="4"/>
  <c r="AJ796" i="4"/>
  <c r="AL787" i="4" l="1"/>
  <c r="AK796" i="4"/>
  <c r="AI796" i="4"/>
  <c r="AH797" i="4"/>
  <c r="AJ797" i="4"/>
  <c r="AL788" i="4" l="1"/>
  <c r="AK797" i="4"/>
  <c r="AI797" i="4"/>
  <c r="AH798" i="4"/>
  <c r="AJ798" i="4"/>
  <c r="AL789" i="4" l="1"/>
  <c r="AK798" i="4"/>
  <c r="AI798" i="4"/>
  <c r="AH799" i="4"/>
  <c r="AJ799" i="4"/>
  <c r="AL790" i="4" l="1"/>
  <c r="AK799" i="4"/>
  <c r="AI799" i="4"/>
  <c r="AH800" i="4"/>
  <c r="AJ800" i="4"/>
  <c r="AL791" i="4" l="1"/>
  <c r="AK800" i="4"/>
  <c r="AI800" i="4"/>
  <c r="AH801" i="4"/>
  <c r="AJ801" i="4"/>
  <c r="AL792" i="4" l="1"/>
  <c r="AK801" i="4"/>
  <c r="AI801" i="4"/>
  <c r="AH802" i="4"/>
  <c r="AJ802" i="4"/>
  <c r="AL793" i="4" l="1"/>
  <c r="AK802" i="4"/>
  <c r="AI802" i="4"/>
  <c r="AH803" i="4"/>
  <c r="AJ803" i="4"/>
  <c r="AL794" i="4" l="1"/>
  <c r="AK803" i="4"/>
  <c r="AI803" i="4"/>
  <c r="AH804" i="4"/>
  <c r="AJ804" i="4"/>
  <c r="AL795" i="4" l="1"/>
  <c r="AK804" i="4"/>
  <c r="AI804" i="4"/>
  <c r="AH805" i="4"/>
  <c r="AJ805" i="4"/>
  <c r="AL796" i="4" l="1"/>
  <c r="AK805" i="4"/>
  <c r="AI805" i="4"/>
  <c r="AH806" i="4"/>
  <c r="AJ806" i="4"/>
  <c r="AL797" i="4" l="1"/>
  <c r="AK806" i="4"/>
  <c r="AI806" i="4"/>
  <c r="AH807" i="4"/>
  <c r="AJ807" i="4"/>
  <c r="AL798" i="4" l="1"/>
  <c r="AK807" i="4"/>
  <c r="AI807" i="4"/>
  <c r="AH808" i="4"/>
  <c r="AJ808" i="4"/>
  <c r="AL799" i="4" l="1"/>
  <c r="AK808" i="4"/>
  <c r="AI808" i="4"/>
  <c r="AH809" i="4"/>
  <c r="AJ809" i="4"/>
  <c r="AL800" i="4" l="1"/>
  <c r="AK809" i="4"/>
  <c r="AI809" i="4"/>
  <c r="AH810" i="4"/>
  <c r="AJ810" i="4"/>
  <c r="AL801" i="4" l="1"/>
  <c r="AK810" i="4"/>
  <c r="AI810" i="4"/>
  <c r="AH811" i="4"/>
  <c r="AJ811" i="4"/>
  <c r="AL802" i="4" l="1"/>
  <c r="AK811" i="4"/>
  <c r="AI811" i="4"/>
  <c r="AH812" i="4"/>
  <c r="AJ812" i="4"/>
  <c r="AL803" i="4" l="1"/>
  <c r="AK812" i="4"/>
  <c r="AI812" i="4"/>
  <c r="AH813" i="4"/>
  <c r="AJ813" i="4"/>
  <c r="AL804" i="4" l="1"/>
  <c r="AK813" i="4"/>
  <c r="AI813" i="4"/>
  <c r="AH814" i="4"/>
  <c r="AJ814" i="4"/>
  <c r="AL805" i="4" l="1"/>
  <c r="AK814" i="4"/>
  <c r="AI814" i="4"/>
  <c r="AH815" i="4"/>
  <c r="AJ815" i="4"/>
  <c r="AL806" i="4" l="1"/>
  <c r="AK815" i="4"/>
  <c r="AI815" i="4"/>
  <c r="AH816" i="4"/>
  <c r="AJ816" i="4"/>
  <c r="AL807" i="4" l="1"/>
  <c r="AK816" i="4"/>
  <c r="AI816" i="4"/>
  <c r="AH817" i="4"/>
  <c r="AJ817" i="4"/>
  <c r="AL808" i="4" l="1"/>
  <c r="AK817" i="4"/>
  <c r="AI817" i="4"/>
  <c r="AH818" i="4"/>
  <c r="AJ818" i="4"/>
  <c r="AL809" i="4" l="1"/>
  <c r="AK818" i="4"/>
  <c r="AI818" i="4"/>
  <c r="AH819" i="4"/>
  <c r="AJ819" i="4"/>
  <c r="AL810" i="4" l="1"/>
  <c r="AK819" i="4"/>
  <c r="AI819" i="4"/>
  <c r="AH820" i="4"/>
  <c r="AS57" i="4"/>
  <c r="AJ820" i="4"/>
  <c r="AL811" i="4" l="1"/>
  <c r="AK820" i="4"/>
  <c r="AI820" i="4"/>
  <c r="AH821" i="4"/>
  <c r="AJ821" i="4"/>
  <c r="AL812" i="4" l="1"/>
  <c r="AK821" i="4"/>
  <c r="AI821" i="4"/>
  <c r="AH822" i="4"/>
  <c r="AJ822" i="4"/>
  <c r="AL813" i="4" l="1"/>
  <c r="AK822" i="4"/>
  <c r="AI822" i="4"/>
  <c r="AH823" i="4"/>
  <c r="AJ823" i="4"/>
  <c r="AL814" i="4" l="1"/>
  <c r="AK823" i="4"/>
  <c r="AI823" i="4"/>
  <c r="AH824" i="4"/>
  <c r="AJ824" i="4"/>
  <c r="AL815" i="4" l="1"/>
  <c r="AK824" i="4"/>
  <c r="AI824" i="4"/>
  <c r="AH825" i="4"/>
  <c r="AJ825" i="4"/>
  <c r="AL816" i="4" l="1"/>
  <c r="AK825" i="4"/>
  <c r="AI825" i="4"/>
  <c r="AH826" i="4"/>
  <c r="AJ826" i="4"/>
  <c r="AL817" i="4" l="1"/>
  <c r="AK826" i="4"/>
  <c r="AI826" i="4"/>
  <c r="AH827" i="4"/>
  <c r="AJ827" i="4"/>
  <c r="AL818" i="4" l="1"/>
  <c r="AK827" i="4"/>
  <c r="AI827" i="4"/>
  <c r="AH828" i="4"/>
  <c r="AJ828" i="4"/>
  <c r="AL819" i="4" l="1"/>
  <c r="AK828" i="4"/>
  <c r="AI828" i="4"/>
  <c r="AH829" i="4"/>
  <c r="AJ829" i="4"/>
  <c r="AL820" i="4" l="1"/>
  <c r="AK829" i="4"/>
  <c r="AI829" i="4"/>
  <c r="AH830" i="4"/>
  <c r="AJ830" i="4"/>
  <c r="AL821" i="4" l="1"/>
  <c r="AK830" i="4"/>
  <c r="AI830" i="4"/>
  <c r="AH831" i="4"/>
  <c r="AJ831" i="4"/>
  <c r="AL822" i="4" l="1"/>
  <c r="AK831" i="4"/>
  <c r="AI831" i="4"/>
  <c r="AH832" i="4"/>
  <c r="AJ832" i="4"/>
  <c r="AL823" i="4" l="1"/>
  <c r="AK832" i="4"/>
  <c r="AI832" i="4"/>
  <c r="AH833" i="4"/>
  <c r="AJ833" i="4"/>
  <c r="AL824" i="4" l="1"/>
  <c r="AK833" i="4"/>
  <c r="AI833" i="4"/>
  <c r="AH834" i="4"/>
  <c r="AJ834" i="4"/>
  <c r="AL825" i="4" l="1"/>
  <c r="AK834" i="4"/>
  <c r="AI834" i="4"/>
  <c r="AH835" i="4"/>
  <c r="AJ835" i="4"/>
  <c r="AL826" i="4" l="1"/>
  <c r="AK835" i="4"/>
  <c r="AI835" i="4"/>
  <c r="AH836" i="4"/>
  <c r="AJ836" i="4"/>
  <c r="AL827" i="4" l="1"/>
  <c r="AK836" i="4"/>
  <c r="AI836" i="4"/>
  <c r="AH837" i="4"/>
  <c r="AJ837" i="4"/>
  <c r="AL828" i="4" l="1"/>
  <c r="AK837" i="4"/>
  <c r="AI837" i="4"/>
  <c r="AH838" i="4"/>
  <c r="AJ838" i="4"/>
  <c r="AL829" i="4" l="1"/>
  <c r="AK838" i="4"/>
  <c r="AI838" i="4"/>
  <c r="AH839" i="4"/>
  <c r="AJ839" i="4"/>
  <c r="AL830" i="4" l="1"/>
  <c r="AK839" i="4"/>
  <c r="AI839" i="4"/>
  <c r="AH840" i="4"/>
  <c r="AJ840" i="4"/>
  <c r="AL831" i="4" l="1"/>
  <c r="AK840" i="4"/>
  <c r="AI840" i="4"/>
  <c r="AH841" i="4"/>
  <c r="AJ841" i="4"/>
  <c r="AL832" i="4" l="1"/>
  <c r="AK841" i="4"/>
  <c r="AI841" i="4"/>
  <c r="AH842" i="4"/>
  <c r="AJ842" i="4"/>
  <c r="AL833" i="4" l="1"/>
  <c r="AK842" i="4"/>
  <c r="AI842" i="4"/>
  <c r="AH843" i="4"/>
  <c r="AJ843" i="4"/>
  <c r="AL834" i="4" l="1"/>
  <c r="AK843" i="4"/>
  <c r="AI843" i="4"/>
  <c r="AH844" i="4"/>
  <c r="AJ844" i="4"/>
  <c r="AL835" i="4" l="1"/>
  <c r="AK844" i="4"/>
  <c r="AI844" i="4"/>
  <c r="AH845" i="4"/>
  <c r="AJ845" i="4"/>
  <c r="AL836" i="4" l="1"/>
  <c r="AK845" i="4"/>
  <c r="AI845" i="4"/>
  <c r="AH846" i="4"/>
  <c r="AJ846" i="4"/>
  <c r="AL837" i="4" l="1"/>
  <c r="AK846" i="4"/>
  <c r="AI846" i="4"/>
  <c r="AH847" i="4"/>
  <c r="AJ847" i="4"/>
  <c r="AL838" i="4" l="1"/>
  <c r="AK847" i="4"/>
  <c r="AI847" i="4"/>
  <c r="AH848" i="4"/>
  <c r="AJ848" i="4"/>
  <c r="AL839" i="4" l="1"/>
  <c r="AK848" i="4"/>
  <c r="AI848" i="4"/>
  <c r="AH849" i="4"/>
  <c r="AJ849" i="4"/>
  <c r="AL840" i="4" l="1"/>
  <c r="AK849" i="4"/>
  <c r="AI849" i="4"/>
  <c r="AH850" i="4"/>
  <c r="AS58" i="4"/>
  <c r="AJ850" i="4"/>
  <c r="AL841" i="4" l="1"/>
  <c r="AK850" i="4"/>
  <c r="AI850" i="4"/>
  <c r="AH851" i="4"/>
  <c r="AJ851" i="4"/>
  <c r="AL842" i="4" l="1"/>
  <c r="AK851" i="4"/>
  <c r="AI851" i="4"/>
  <c r="AH852" i="4"/>
  <c r="AJ852" i="4"/>
  <c r="AL843" i="4" l="1"/>
  <c r="AK852" i="4"/>
  <c r="AI852" i="4"/>
  <c r="AH853" i="4"/>
  <c r="AJ853" i="4"/>
  <c r="AL844" i="4" l="1"/>
  <c r="AK853" i="4"/>
  <c r="AI853" i="4"/>
  <c r="AH854" i="4"/>
  <c r="AJ854" i="4"/>
  <c r="AL845" i="4" l="1"/>
  <c r="AK854" i="4"/>
  <c r="AI854" i="4"/>
  <c r="AH855" i="4"/>
  <c r="AJ855" i="4"/>
  <c r="AL846" i="4" l="1"/>
  <c r="AK855" i="4"/>
  <c r="AI855" i="4"/>
  <c r="AH856" i="4"/>
  <c r="AJ856" i="4"/>
  <c r="AL847" i="4" l="1"/>
  <c r="AK856" i="4"/>
  <c r="AI856" i="4"/>
  <c r="AH857" i="4"/>
  <c r="AJ857" i="4"/>
  <c r="AL848" i="4" l="1"/>
  <c r="AK857" i="4"/>
  <c r="AI857" i="4"/>
  <c r="AH858" i="4"/>
  <c r="AJ858" i="4"/>
  <c r="AL849" i="4" l="1"/>
  <c r="AK858" i="4"/>
  <c r="AI858" i="4"/>
  <c r="AH859" i="4"/>
  <c r="AJ859" i="4"/>
  <c r="AL850" i="4" l="1"/>
  <c r="AK859" i="4"/>
  <c r="AI859" i="4"/>
  <c r="AH860" i="4"/>
  <c r="AJ860" i="4"/>
  <c r="AL851" i="4" l="1"/>
  <c r="AK860" i="4"/>
  <c r="AI860" i="4"/>
  <c r="AH861" i="4"/>
  <c r="AJ861" i="4"/>
  <c r="AL852" i="4" l="1"/>
  <c r="AK861" i="4"/>
  <c r="AI861" i="4"/>
  <c r="AH862" i="4"/>
  <c r="AJ862" i="4"/>
  <c r="AL853" i="4" l="1"/>
  <c r="AK862" i="4"/>
  <c r="AI862" i="4"/>
  <c r="AH863" i="4"/>
  <c r="AJ863" i="4"/>
  <c r="AL854" i="4" l="1"/>
  <c r="AK863" i="4"/>
  <c r="AI863" i="4"/>
  <c r="AH864" i="4"/>
  <c r="AJ864" i="4"/>
  <c r="AL855" i="4" l="1"/>
  <c r="AK864" i="4"/>
  <c r="AI864" i="4"/>
  <c r="AH865" i="4"/>
  <c r="AJ865" i="4"/>
  <c r="AL856" i="4" l="1"/>
  <c r="AK865" i="4"/>
  <c r="AI865" i="4"/>
  <c r="AH866" i="4"/>
  <c r="AJ866" i="4"/>
  <c r="AL857" i="4" l="1"/>
  <c r="AK866" i="4"/>
  <c r="AI866" i="4"/>
  <c r="AH867" i="4"/>
  <c r="AJ867" i="4"/>
  <c r="AL858" i="4" l="1"/>
  <c r="AK867" i="4"/>
  <c r="AI867" i="4"/>
  <c r="AH868" i="4"/>
  <c r="AJ868" i="4"/>
  <c r="AL859" i="4" l="1"/>
  <c r="AK868" i="4"/>
  <c r="AI868" i="4"/>
  <c r="AH869" i="4"/>
  <c r="AJ869" i="4"/>
  <c r="AL860" i="4" l="1"/>
  <c r="AK869" i="4"/>
  <c r="AI869" i="4"/>
  <c r="AH870" i="4"/>
  <c r="AJ870" i="4"/>
  <c r="AL861" i="4" l="1"/>
  <c r="AK870" i="4"/>
  <c r="AI870" i="4"/>
  <c r="AH871" i="4"/>
  <c r="AJ871" i="4"/>
  <c r="AL862" i="4" l="1"/>
  <c r="AK871" i="4"/>
  <c r="AI871" i="4"/>
  <c r="AH872" i="4"/>
  <c r="AJ872" i="4"/>
  <c r="AL863" i="4" l="1"/>
  <c r="AK872" i="4"/>
  <c r="AI872" i="4"/>
  <c r="AH873" i="4"/>
  <c r="AJ873" i="4"/>
  <c r="AL864" i="4" l="1"/>
  <c r="AK873" i="4"/>
  <c r="AI873" i="4"/>
  <c r="AH874" i="4"/>
  <c r="AJ874" i="4"/>
  <c r="AL865" i="4" l="1"/>
  <c r="AK874" i="4"/>
  <c r="AI874" i="4"/>
  <c r="AH875" i="4"/>
  <c r="AJ875" i="4"/>
  <c r="AL866" i="4" l="1"/>
  <c r="AK875" i="4"/>
  <c r="AI875" i="4"/>
  <c r="AH876" i="4"/>
  <c r="AJ876" i="4"/>
  <c r="AL867" i="4" l="1"/>
  <c r="AK876" i="4"/>
  <c r="AI876" i="4"/>
  <c r="AH877" i="4"/>
  <c r="AJ877" i="4"/>
  <c r="AL868" i="4" l="1"/>
  <c r="AK877" i="4"/>
  <c r="AI877" i="4"/>
  <c r="AH878" i="4"/>
  <c r="AJ878" i="4"/>
  <c r="AL869" i="4" l="1"/>
  <c r="AK878" i="4"/>
  <c r="AI878" i="4"/>
  <c r="AH879" i="4"/>
  <c r="AJ879" i="4"/>
  <c r="AL870" i="4" l="1"/>
  <c r="AK879" i="4"/>
  <c r="AI879" i="4"/>
  <c r="AH880" i="4"/>
  <c r="AJ880" i="4"/>
  <c r="AS59" i="4"/>
  <c r="AL871" i="4" l="1"/>
  <c r="AK880" i="4"/>
  <c r="AI880" i="4"/>
  <c r="AH881" i="4"/>
  <c r="AJ881" i="4"/>
  <c r="AL872" i="4" l="1"/>
  <c r="AK881" i="4"/>
  <c r="AI881" i="4"/>
  <c r="AH882" i="4"/>
  <c r="AJ882" i="4"/>
  <c r="AL873" i="4" l="1"/>
  <c r="AK882" i="4"/>
  <c r="AI882" i="4"/>
  <c r="AH883" i="4"/>
  <c r="AJ883" i="4"/>
  <c r="AL874" i="4" l="1"/>
  <c r="AK883" i="4"/>
  <c r="AI883" i="4"/>
  <c r="AH884" i="4"/>
  <c r="AJ884" i="4"/>
  <c r="AL875" i="4" l="1"/>
  <c r="AK884" i="4"/>
  <c r="AI884" i="4"/>
  <c r="AH885" i="4"/>
  <c r="AJ885" i="4"/>
  <c r="AL876" i="4" l="1"/>
  <c r="AK885" i="4"/>
  <c r="AI885" i="4"/>
  <c r="AH886" i="4"/>
  <c r="AJ886" i="4"/>
  <c r="AL877" i="4" l="1"/>
  <c r="AK886" i="4"/>
  <c r="AI886" i="4"/>
  <c r="AH887" i="4"/>
  <c r="AJ887" i="4"/>
  <c r="AL878" i="4" l="1"/>
  <c r="AK887" i="4"/>
  <c r="AI887" i="4"/>
  <c r="AH888" i="4"/>
  <c r="AJ888" i="4"/>
  <c r="AL879" i="4" l="1"/>
  <c r="AK888" i="4"/>
  <c r="AI888" i="4"/>
  <c r="AH889" i="4"/>
  <c r="AJ889" i="4"/>
  <c r="AL880" i="4" l="1"/>
  <c r="AK889" i="4"/>
  <c r="AI889" i="4"/>
  <c r="AH890" i="4"/>
  <c r="AJ890" i="4"/>
  <c r="AL881" i="4" l="1"/>
  <c r="AK890" i="4"/>
  <c r="AI890" i="4"/>
  <c r="AH891" i="4"/>
  <c r="AJ891" i="4"/>
  <c r="AL882" i="4" l="1"/>
  <c r="AK891" i="4"/>
  <c r="AI891" i="4"/>
  <c r="AH892" i="4"/>
  <c r="AJ892" i="4"/>
  <c r="AL883" i="4" l="1"/>
  <c r="AK892" i="4"/>
  <c r="AI892" i="4"/>
  <c r="AH893" i="4"/>
  <c r="AJ893" i="4"/>
  <c r="AL884" i="4" l="1"/>
  <c r="AK893" i="4"/>
  <c r="AI893" i="4"/>
  <c r="AH894" i="4"/>
  <c r="AJ894" i="4"/>
  <c r="AL885" i="4" l="1"/>
  <c r="AK894" i="4"/>
  <c r="AI894" i="4"/>
  <c r="AH895" i="4"/>
  <c r="AJ895" i="4"/>
  <c r="AL886" i="4" l="1"/>
  <c r="AK895" i="4"/>
  <c r="AI895" i="4"/>
  <c r="AH896" i="4"/>
  <c r="AJ896" i="4"/>
  <c r="AL887" i="4" l="1"/>
  <c r="AK896" i="4"/>
  <c r="AI896" i="4"/>
  <c r="AH897" i="4"/>
  <c r="AJ897" i="4"/>
  <c r="AL888" i="4" l="1"/>
  <c r="AK897" i="4"/>
  <c r="AI897" i="4"/>
  <c r="AH898" i="4"/>
  <c r="AJ898" i="4"/>
  <c r="AL889" i="4" l="1"/>
  <c r="AK898" i="4"/>
  <c r="AI898" i="4"/>
  <c r="AH899" i="4"/>
  <c r="AJ899" i="4"/>
  <c r="AL890" i="4" l="1"/>
  <c r="AK899" i="4"/>
  <c r="AI899" i="4"/>
  <c r="AH900" i="4"/>
  <c r="AJ900" i="4"/>
  <c r="AL891" i="4" l="1"/>
  <c r="AK900" i="4"/>
  <c r="AI900" i="4"/>
  <c r="AH901" i="4"/>
  <c r="AJ901" i="4"/>
  <c r="AL892" i="4" l="1"/>
  <c r="AK901" i="4"/>
  <c r="AI901" i="4"/>
  <c r="AH902" i="4"/>
  <c r="AJ902" i="4"/>
  <c r="AL893" i="4" l="1"/>
  <c r="AK902" i="4"/>
  <c r="AI902" i="4"/>
  <c r="AH903" i="4"/>
  <c r="AJ903" i="4"/>
  <c r="AL894" i="4" l="1"/>
  <c r="AK903" i="4"/>
  <c r="AI903" i="4"/>
  <c r="AH904" i="4"/>
  <c r="AJ904" i="4"/>
  <c r="AL895" i="4" l="1"/>
  <c r="AK904" i="4"/>
  <c r="AI904" i="4"/>
  <c r="AH905" i="4"/>
  <c r="AJ905" i="4"/>
  <c r="AL896" i="4" l="1"/>
  <c r="AK905" i="4"/>
  <c r="AI905" i="4"/>
  <c r="AH906" i="4"/>
  <c r="AJ906" i="4"/>
  <c r="AL897" i="4" l="1"/>
  <c r="AK906" i="4"/>
  <c r="AI906" i="4"/>
  <c r="AH907" i="4"/>
  <c r="AJ907" i="4"/>
  <c r="AL898" i="4" l="1"/>
  <c r="AK907" i="4"/>
  <c r="AI907" i="4"/>
  <c r="AH908" i="4"/>
  <c r="AJ908" i="4"/>
  <c r="AL899" i="4" l="1"/>
  <c r="AK908" i="4"/>
  <c r="AI908" i="4"/>
  <c r="AH909" i="4"/>
  <c r="AJ909" i="4"/>
  <c r="AL900" i="4" l="1"/>
  <c r="AK909" i="4"/>
  <c r="AI909" i="4"/>
  <c r="AH910" i="4"/>
  <c r="AJ910" i="4"/>
  <c r="AS60" i="4"/>
  <c r="AL901" i="4" l="1"/>
  <c r="AK910" i="4"/>
  <c r="AI910" i="4"/>
  <c r="AH911" i="4"/>
  <c r="AJ911" i="4"/>
  <c r="AL902" i="4" l="1"/>
  <c r="AK911" i="4"/>
  <c r="AI911" i="4"/>
  <c r="AH912" i="4"/>
  <c r="AJ912" i="4"/>
  <c r="AL903" i="4" l="1"/>
  <c r="AK912" i="4"/>
  <c r="AI912" i="4"/>
  <c r="AH913" i="4"/>
  <c r="AJ913" i="4"/>
  <c r="AL904" i="4" l="1"/>
  <c r="AK913" i="4"/>
  <c r="AI913" i="4"/>
  <c r="AH914" i="4"/>
  <c r="AJ914" i="4"/>
  <c r="AL905" i="4" l="1"/>
  <c r="AK914" i="4"/>
  <c r="AI914" i="4"/>
  <c r="AH915" i="4"/>
  <c r="AJ915" i="4"/>
  <c r="AL906" i="4" l="1"/>
  <c r="AK915" i="4"/>
  <c r="AI915" i="4"/>
  <c r="AH916" i="4"/>
  <c r="AJ916" i="4"/>
  <c r="AL907" i="4" l="1"/>
  <c r="AK916" i="4"/>
  <c r="AI916" i="4"/>
  <c r="AH917" i="4"/>
  <c r="AJ917" i="4"/>
  <c r="AL908" i="4" l="1"/>
  <c r="AK917" i="4"/>
  <c r="AI917" i="4"/>
  <c r="AH918" i="4"/>
  <c r="AJ918" i="4"/>
  <c r="AL909" i="4" l="1"/>
  <c r="AK918" i="4"/>
  <c r="AI918" i="4"/>
  <c r="AH919" i="4"/>
  <c r="AJ919" i="4"/>
  <c r="AL910" i="4" l="1"/>
  <c r="AK919" i="4"/>
  <c r="AI919" i="4"/>
  <c r="AH920" i="4"/>
  <c r="AJ920" i="4"/>
  <c r="AL911" i="4" l="1"/>
  <c r="AK920" i="4"/>
  <c r="AI920" i="4"/>
  <c r="AH921" i="4"/>
  <c r="AJ921" i="4"/>
  <c r="AL912" i="4" l="1"/>
  <c r="AK921" i="4"/>
  <c r="AI921" i="4"/>
  <c r="AH922" i="4"/>
  <c r="AJ922" i="4"/>
  <c r="AL913" i="4" l="1"/>
  <c r="AK922" i="4"/>
  <c r="AI922" i="4"/>
  <c r="AH923" i="4"/>
  <c r="AJ923" i="4"/>
  <c r="AL914" i="4" l="1"/>
  <c r="AK923" i="4"/>
  <c r="AI923" i="4"/>
  <c r="AH924" i="4"/>
  <c r="AJ924" i="4"/>
  <c r="AL915" i="4" l="1"/>
  <c r="AK924" i="4"/>
  <c r="AI924" i="4"/>
  <c r="AH925" i="4"/>
  <c r="AJ925" i="4"/>
  <c r="AL916" i="4" l="1"/>
  <c r="AK925" i="4"/>
  <c r="AI925" i="4"/>
  <c r="AH926" i="4"/>
  <c r="AJ926" i="4"/>
  <c r="AL917" i="4" l="1"/>
  <c r="AK926" i="4"/>
  <c r="AI926" i="4"/>
  <c r="AH927" i="4"/>
  <c r="AJ927" i="4"/>
  <c r="AL918" i="4" l="1"/>
  <c r="AK927" i="4"/>
  <c r="AI927" i="4"/>
  <c r="AH928" i="4"/>
  <c r="AJ928" i="4"/>
  <c r="AL919" i="4" l="1"/>
  <c r="AK928" i="4"/>
  <c r="AI928" i="4"/>
  <c r="AH929" i="4"/>
  <c r="AJ929" i="4"/>
  <c r="AL920" i="4" l="1"/>
  <c r="AK929" i="4"/>
  <c r="AI929" i="4"/>
  <c r="AH930" i="4"/>
  <c r="AJ930" i="4"/>
  <c r="AL921" i="4" l="1"/>
  <c r="AK930" i="4"/>
  <c r="AI930" i="4"/>
  <c r="AH931" i="4"/>
  <c r="AJ931" i="4"/>
  <c r="AL922" i="4" l="1"/>
  <c r="AK931" i="4"/>
  <c r="AI931" i="4"/>
  <c r="AH932" i="4"/>
  <c r="AJ932" i="4"/>
  <c r="AL923" i="4" l="1"/>
  <c r="AK932" i="4"/>
  <c r="AI932" i="4"/>
  <c r="AH933" i="4"/>
  <c r="AJ933" i="4"/>
  <c r="AL924" i="4" l="1"/>
  <c r="AK933" i="4"/>
  <c r="AI933" i="4"/>
  <c r="AH934" i="4"/>
  <c r="AJ934" i="4"/>
  <c r="AL925" i="4" l="1"/>
  <c r="AK934" i="4"/>
  <c r="AI934" i="4"/>
  <c r="AH935" i="4"/>
  <c r="AJ935" i="4"/>
  <c r="AL926" i="4" l="1"/>
  <c r="AK935" i="4"/>
  <c r="AI935" i="4"/>
  <c r="AH936" i="4"/>
  <c r="AJ936" i="4"/>
  <c r="AL927" i="4" l="1"/>
  <c r="AK936" i="4"/>
  <c r="AI936" i="4"/>
  <c r="AH937" i="4"/>
  <c r="AJ937" i="4"/>
  <c r="AL928" i="4" l="1"/>
  <c r="AK937" i="4"/>
  <c r="AI937" i="4"/>
  <c r="AH938" i="4"/>
  <c r="AJ938" i="4"/>
  <c r="AL929" i="4" l="1"/>
  <c r="AK938" i="4"/>
  <c r="AI938" i="4"/>
  <c r="AH939" i="4"/>
  <c r="AJ939" i="4"/>
  <c r="AL930" i="4" l="1"/>
  <c r="AK939" i="4"/>
  <c r="AI939" i="4"/>
  <c r="AH940" i="4"/>
  <c r="AJ940" i="4"/>
  <c r="AS61" i="4"/>
  <c r="AL931" i="4" l="1"/>
  <c r="AK940" i="4"/>
  <c r="AI940" i="4"/>
  <c r="AH941" i="4"/>
  <c r="AJ941" i="4"/>
  <c r="AL932" i="4" l="1"/>
  <c r="AK941" i="4"/>
  <c r="AI941" i="4"/>
  <c r="AH942" i="4"/>
  <c r="AJ942" i="4"/>
  <c r="AL933" i="4" l="1"/>
  <c r="AK942" i="4"/>
  <c r="AI942" i="4"/>
  <c r="AH943" i="4"/>
  <c r="AJ943" i="4"/>
  <c r="AL934" i="4" l="1"/>
  <c r="AK943" i="4"/>
  <c r="AI943" i="4"/>
  <c r="AH944" i="4"/>
  <c r="AJ944" i="4"/>
  <c r="AL935" i="4" l="1"/>
  <c r="AK944" i="4"/>
  <c r="AI944" i="4"/>
  <c r="AH945" i="4"/>
  <c r="AJ945" i="4"/>
  <c r="AL936" i="4" l="1"/>
  <c r="AK945" i="4"/>
  <c r="AI945" i="4"/>
  <c r="AH946" i="4"/>
  <c r="AJ946" i="4"/>
  <c r="AL937" i="4" l="1"/>
  <c r="AK946" i="4"/>
  <c r="AI946" i="4"/>
  <c r="AH947" i="4"/>
  <c r="AJ947" i="4"/>
  <c r="AL938" i="4" l="1"/>
  <c r="AK947" i="4"/>
  <c r="AI947" i="4"/>
  <c r="AH948" i="4"/>
  <c r="AJ948" i="4"/>
  <c r="AL939" i="4" l="1"/>
  <c r="AK948" i="4"/>
  <c r="AI948" i="4"/>
  <c r="AH949" i="4"/>
  <c r="AJ949" i="4"/>
  <c r="AL940" i="4" l="1"/>
  <c r="AK949" i="4"/>
  <c r="AI949" i="4"/>
  <c r="AH950" i="4"/>
  <c r="AJ950" i="4"/>
  <c r="AL941" i="4" l="1"/>
  <c r="AK950" i="4"/>
  <c r="AI950" i="4"/>
  <c r="AH951" i="4"/>
  <c r="AJ951" i="4"/>
  <c r="AL942" i="4" l="1"/>
  <c r="AK951" i="4"/>
  <c r="AI951" i="4"/>
  <c r="AH952" i="4"/>
  <c r="AJ952" i="4"/>
  <c r="AL943" i="4" l="1"/>
  <c r="AK952" i="4"/>
  <c r="AI952" i="4"/>
  <c r="AH953" i="4"/>
  <c r="AJ953" i="4"/>
  <c r="AL944" i="4" l="1"/>
  <c r="AK953" i="4"/>
  <c r="AI953" i="4"/>
  <c r="AH954" i="4"/>
  <c r="AJ954" i="4"/>
  <c r="AL945" i="4" l="1"/>
  <c r="AK954" i="4"/>
  <c r="AI954" i="4"/>
  <c r="AH955" i="4"/>
  <c r="AJ955" i="4"/>
  <c r="AL946" i="4" l="1"/>
  <c r="AK955" i="4"/>
  <c r="AI955" i="4"/>
  <c r="AH956" i="4"/>
  <c r="AJ956" i="4"/>
  <c r="AL947" i="4" l="1"/>
  <c r="AK956" i="4"/>
  <c r="AI956" i="4"/>
  <c r="AH957" i="4"/>
  <c r="AJ957" i="4"/>
  <c r="AL948" i="4" l="1"/>
  <c r="AK957" i="4"/>
  <c r="AI957" i="4"/>
  <c r="AH958" i="4"/>
  <c r="AJ958" i="4"/>
  <c r="AL949" i="4" l="1"/>
  <c r="AK958" i="4"/>
  <c r="AI958" i="4"/>
  <c r="AH959" i="4"/>
  <c r="AJ959" i="4"/>
  <c r="AL950" i="4" l="1"/>
  <c r="AK959" i="4"/>
  <c r="AI959" i="4"/>
  <c r="AH960" i="4"/>
  <c r="AJ960" i="4"/>
  <c r="AL951" i="4" l="1"/>
  <c r="AK960" i="4"/>
  <c r="AI960" i="4"/>
  <c r="AH961" i="4"/>
  <c r="AJ961" i="4"/>
  <c r="AL952" i="4" l="1"/>
  <c r="AK961" i="4"/>
  <c r="AI961" i="4"/>
  <c r="AH962" i="4"/>
  <c r="AJ962" i="4"/>
  <c r="AL953" i="4" l="1"/>
  <c r="AK962" i="4"/>
  <c r="AI962" i="4"/>
  <c r="AH963" i="4"/>
  <c r="AJ963" i="4"/>
  <c r="AL954" i="4" l="1"/>
  <c r="AK963" i="4"/>
  <c r="AI963" i="4"/>
  <c r="AH964" i="4"/>
  <c r="AJ964" i="4"/>
  <c r="AL955" i="4" l="1"/>
  <c r="AK964" i="4"/>
  <c r="AI964" i="4"/>
  <c r="AH965" i="4"/>
  <c r="AJ965" i="4"/>
  <c r="AL956" i="4" l="1"/>
  <c r="AK965" i="4"/>
  <c r="AI965" i="4"/>
  <c r="AH966" i="4"/>
  <c r="AJ966" i="4"/>
  <c r="AL957" i="4" l="1"/>
  <c r="AK966" i="4"/>
  <c r="AI966" i="4"/>
  <c r="AH967" i="4"/>
  <c r="AJ967" i="4"/>
  <c r="AL958" i="4" l="1"/>
  <c r="AK967" i="4"/>
  <c r="AI967" i="4"/>
  <c r="AH968" i="4"/>
  <c r="AJ968" i="4"/>
  <c r="AL959" i="4" l="1"/>
  <c r="AK968" i="4"/>
  <c r="AI968" i="4"/>
  <c r="AH969" i="4"/>
  <c r="AJ969" i="4"/>
  <c r="AL960" i="4" l="1"/>
  <c r="AK969" i="4"/>
  <c r="AI969" i="4"/>
  <c r="AH970" i="4"/>
  <c r="AS62" i="4"/>
  <c r="AJ970" i="4"/>
  <c r="AL961" i="4" l="1"/>
  <c r="AK970" i="4"/>
  <c r="AI970" i="4"/>
  <c r="AH971" i="4"/>
  <c r="AJ971" i="4"/>
  <c r="AL962" i="4" l="1"/>
  <c r="AK971" i="4"/>
  <c r="AI971" i="4"/>
  <c r="AH972" i="4"/>
  <c r="AJ972" i="4"/>
  <c r="AL963" i="4" l="1"/>
  <c r="AK972" i="4"/>
  <c r="AI972" i="4"/>
  <c r="AH973" i="4"/>
  <c r="AJ973" i="4"/>
  <c r="AL964" i="4" l="1"/>
  <c r="AK973" i="4"/>
  <c r="AI973" i="4"/>
  <c r="AH974" i="4"/>
  <c r="AJ974" i="4"/>
  <c r="AL965" i="4" l="1"/>
  <c r="AK974" i="4"/>
  <c r="AI974" i="4"/>
  <c r="AH975" i="4"/>
  <c r="AJ975" i="4"/>
  <c r="AL966" i="4" l="1"/>
  <c r="AK975" i="4"/>
  <c r="AI975" i="4"/>
  <c r="AH976" i="4"/>
  <c r="AJ976" i="4"/>
  <c r="AL967" i="4" l="1"/>
  <c r="AK976" i="4"/>
  <c r="AI976" i="4"/>
  <c r="AH977" i="4"/>
  <c r="AJ977" i="4"/>
  <c r="AL968" i="4" l="1"/>
  <c r="AK977" i="4"/>
  <c r="AI977" i="4"/>
  <c r="AH978" i="4"/>
  <c r="AJ978" i="4"/>
  <c r="AL969" i="4" l="1"/>
  <c r="AK978" i="4"/>
  <c r="AI978" i="4"/>
  <c r="AH979" i="4"/>
  <c r="AJ979" i="4"/>
  <c r="AL970" i="4" l="1"/>
  <c r="AK979" i="4"/>
  <c r="AI979" i="4"/>
  <c r="AH980" i="4"/>
  <c r="AJ980" i="4"/>
  <c r="AL971" i="4" l="1"/>
  <c r="AK980" i="4"/>
  <c r="AI980" i="4"/>
  <c r="AH981" i="4"/>
  <c r="AJ981" i="4"/>
  <c r="AL972" i="4" l="1"/>
  <c r="AK981" i="4"/>
  <c r="AI981" i="4"/>
  <c r="AH982" i="4"/>
  <c r="AJ982" i="4"/>
  <c r="AL973" i="4" l="1"/>
  <c r="AK982" i="4"/>
  <c r="AI982" i="4"/>
  <c r="AH983" i="4"/>
  <c r="AJ983" i="4"/>
  <c r="AL974" i="4" l="1"/>
  <c r="AK983" i="4"/>
  <c r="AI983" i="4"/>
  <c r="AH984" i="4"/>
  <c r="AJ984" i="4"/>
  <c r="AL975" i="4" l="1"/>
  <c r="AK984" i="4"/>
  <c r="AI984" i="4"/>
  <c r="AH985" i="4"/>
  <c r="AJ985" i="4"/>
  <c r="AL976" i="4" l="1"/>
  <c r="AK985" i="4"/>
  <c r="AI985" i="4"/>
  <c r="AH986" i="4"/>
  <c r="AJ986" i="4"/>
  <c r="AL977" i="4" l="1"/>
  <c r="AK986" i="4"/>
  <c r="AI986" i="4"/>
  <c r="AH987" i="4"/>
  <c r="AJ987" i="4"/>
  <c r="AL978" i="4" l="1"/>
  <c r="AK987" i="4"/>
  <c r="AI987" i="4"/>
  <c r="AH988" i="4"/>
  <c r="AJ988" i="4"/>
  <c r="AL979" i="4" l="1"/>
  <c r="AK988" i="4"/>
  <c r="AI988" i="4"/>
  <c r="AH989" i="4"/>
  <c r="AJ989" i="4"/>
  <c r="AL980" i="4" l="1"/>
  <c r="AK989" i="4"/>
  <c r="AI989" i="4"/>
  <c r="AH990" i="4"/>
  <c r="AJ990" i="4"/>
  <c r="AL981" i="4" l="1"/>
  <c r="AK990" i="4"/>
  <c r="AI990" i="4"/>
  <c r="AH991" i="4"/>
  <c r="AJ991" i="4"/>
  <c r="AL982" i="4" l="1"/>
  <c r="AK991" i="4"/>
  <c r="AI991" i="4"/>
  <c r="AH992" i="4"/>
  <c r="AJ992" i="4"/>
  <c r="AL983" i="4" l="1"/>
  <c r="AK992" i="4"/>
  <c r="AI992" i="4"/>
  <c r="AH993" i="4"/>
  <c r="AJ993" i="4"/>
  <c r="AL984" i="4" l="1"/>
  <c r="AK993" i="4"/>
  <c r="AI993" i="4"/>
  <c r="AH994" i="4"/>
  <c r="AJ994" i="4"/>
  <c r="AL985" i="4" l="1"/>
  <c r="AK994" i="4"/>
  <c r="AI994" i="4"/>
  <c r="AH995" i="4"/>
  <c r="AJ995" i="4"/>
  <c r="AL986" i="4" l="1"/>
  <c r="AK995" i="4"/>
  <c r="AI995" i="4"/>
  <c r="AH996" i="4"/>
  <c r="AJ996" i="4"/>
  <c r="AL987" i="4" l="1"/>
  <c r="AK996" i="4"/>
  <c r="AI996" i="4"/>
  <c r="AH997" i="4"/>
  <c r="AJ997" i="4"/>
  <c r="AL988" i="4" l="1"/>
  <c r="AK997" i="4"/>
  <c r="AI997" i="4"/>
  <c r="AH998" i="4"/>
  <c r="AJ998" i="4"/>
  <c r="AL989" i="4" l="1"/>
  <c r="AK998" i="4"/>
  <c r="AI998" i="4"/>
  <c r="AH999" i="4"/>
  <c r="AJ999" i="4"/>
  <c r="AL990" i="4" l="1"/>
  <c r="AK999" i="4"/>
  <c r="AI999" i="4"/>
  <c r="AH1000" i="4"/>
  <c r="AS63" i="4"/>
  <c r="AJ1000" i="4"/>
  <c r="AL991" i="4" l="1"/>
  <c r="AK1000" i="4"/>
  <c r="AI1000" i="4"/>
  <c r="AH1001" i="4"/>
  <c r="AJ1001" i="4"/>
  <c r="AL992" i="4" l="1"/>
  <c r="AK1001" i="4"/>
  <c r="AI1001" i="4"/>
  <c r="AH1002" i="4"/>
  <c r="AJ1002" i="4"/>
  <c r="AL993" i="4" l="1"/>
  <c r="AK1002" i="4"/>
  <c r="AI1002" i="4"/>
  <c r="AH1003" i="4"/>
  <c r="AJ1003" i="4"/>
  <c r="AL994" i="4" l="1"/>
  <c r="AK1003" i="4"/>
  <c r="AI1003" i="4"/>
  <c r="AH1004" i="4"/>
  <c r="AJ1004" i="4"/>
  <c r="AL995" i="4" l="1"/>
  <c r="AK1004" i="4"/>
  <c r="AI1004" i="4"/>
  <c r="AH1005" i="4"/>
  <c r="AJ1005" i="4"/>
  <c r="AL996" i="4" l="1"/>
  <c r="AK1005" i="4"/>
  <c r="AI1005" i="4"/>
  <c r="AH1006" i="4"/>
  <c r="AJ1006" i="4"/>
  <c r="AL997" i="4" l="1"/>
  <c r="AK1006" i="4"/>
  <c r="AI1006" i="4"/>
  <c r="AH1007" i="4"/>
  <c r="AJ1007" i="4"/>
  <c r="AL998" i="4" l="1"/>
  <c r="AK1007" i="4"/>
  <c r="AI1007" i="4"/>
  <c r="AH1008" i="4"/>
  <c r="AJ1008" i="4"/>
  <c r="AL999" i="4" l="1"/>
  <c r="AK1008" i="4"/>
  <c r="AI1008" i="4"/>
  <c r="AH1009" i="4"/>
  <c r="AJ1009" i="4"/>
  <c r="AL1000" i="4" l="1"/>
  <c r="AK1009" i="4"/>
  <c r="AI1009" i="4"/>
  <c r="AH1010" i="4"/>
  <c r="AJ1010" i="4"/>
  <c r="AL1001" i="4" l="1"/>
  <c r="AK1010" i="4"/>
  <c r="AI1010" i="4"/>
  <c r="AH1011" i="4"/>
  <c r="AJ1011" i="4"/>
  <c r="AL1002" i="4" l="1"/>
  <c r="AK1011" i="4"/>
  <c r="AI1011" i="4"/>
  <c r="AH1012" i="4"/>
  <c r="AJ1012" i="4"/>
  <c r="AL1003" i="4" l="1"/>
  <c r="AK1012" i="4"/>
  <c r="AI1012" i="4"/>
  <c r="AH1013" i="4"/>
  <c r="AJ1013" i="4"/>
  <c r="AL1004" i="4" l="1"/>
  <c r="AK1013" i="4"/>
  <c r="AI1013" i="4"/>
  <c r="AH1014" i="4"/>
  <c r="AJ1014" i="4"/>
  <c r="AL1005" i="4" l="1"/>
  <c r="AK1014" i="4"/>
  <c r="AI1014" i="4"/>
  <c r="AH1015" i="4"/>
  <c r="AJ1015" i="4"/>
  <c r="AL1006" i="4" l="1"/>
  <c r="AK1015" i="4"/>
  <c r="AI1015" i="4"/>
  <c r="AH1016" i="4"/>
  <c r="AJ1016" i="4"/>
  <c r="AL1007" i="4" l="1"/>
  <c r="AK1016" i="4"/>
  <c r="AI1016" i="4"/>
  <c r="AH1017" i="4"/>
  <c r="AJ1017" i="4"/>
  <c r="AL1008" i="4" l="1"/>
  <c r="AK1017" i="4"/>
  <c r="AI1017" i="4"/>
  <c r="AH1018" i="4"/>
  <c r="AJ1018" i="4"/>
  <c r="AL1009" i="4" l="1"/>
  <c r="AK1018" i="4"/>
  <c r="AI1018" i="4"/>
  <c r="AH1019" i="4"/>
  <c r="AJ1019" i="4"/>
  <c r="AL1010" i="4" l="1"/>
  <c r="AK1019" i="4"/>
  <c r="AI1019" i="4"/>
  <c r="AH1020" i="4"/>
  <c r="AJ1020" i="4"/>
  <c r="AL1011" i="4" l="1"/>
  <c r="AK1020" i="4"/>
  <c r="AI1020" i="4"/>
  <c r="AH1021" i="4"/>
  <c r="AJ1021" i="4"/>
  <c r="AL1012" i="4" l="1"/>
  <c r="AK1021" i="4"/>
  <c r="AI1021" i="4"/>
  <c r="AH1022" i="4"/>
  <c r="AJ1022" i="4"/>
  <c r="AL1013" i="4" l="1"/>
  <c r="AK1022" i="4"/>
  <c r="AI1022" i="4"/>
  <c r="AH1023" i="4"/>
  <c r="AJ1023" i="4"/>
  <c r="AL1014" i="4" l="1"/>
  <c r="AK1023" i="4"/>
  <c r="AI1023" i="4"/>
  <c r="AH1024" i="4"/>
  <c r="AJ1024" i="4"/>
  <c r="AL1015" i="4" l="1"/>
  <c r="AK1024" i="4"/>
  <c r="AI1024" i="4"/>
  <c r="AH1025" i="4"/>
  <c r="AJ1025" i="4"/>
  <c r="AL1016" i="4" l="1"/>
  <c r="AK1025" i="4"/>
  <c r="AI1025" i="4"/>
  <c r="AH1026" i="4"/>
  <c r="AJ1026" i="4"/>
  <c r="AL1017" i="4" l="1"/>
  <c r="AK1026" i="4"/>
  <c r="AI1026" i="4"/>
  <c r="AH1027" i="4"/>
  <c r="AJ1027" i="4"/>
  <c r="AL1018" i="4" l="1"/>
  <c r="AK1027" i="4"/>
  <c r="AI1027" i="4"/>
  <c r="AH1028" i="4"/>
  <c r="AJ1028" i="4"/>
  <c r="AL1019" i="4" l="1"/>
  <c r="AK1028" i="4"/>
  <c r="AI1028" i="4"/>
  <c r="AH1029" i="4"/>
  <c r="AJ1029" i="4"/>
  <c r="AL1020" i="4" l="1"/>
  <c r="AK1029" i="4"/>
  <c r="AI1029" i="4"/>
  <c r="AH1030" i="4"/>
  <c r="AJ1030" i="4"/>
  <c r="AS64" i="4"/>
  <c r="AL1021" i="4" l="1"/>
  <c r="AK1030" i="4"/>
  <c r="AI1030" i="4"/>
  <c r="AH1031" i="4"/>
  <c r="AJ1031" i="4"/>
  <c r="AL1022" i="4" l="1"/>
  <c r="AK1031" i="4"/>
  <c r="AI1031" i="4"/>
  <c r="AH1032" i="4"/>
  <c r="AJ1032" i="4"/>
  <c r="AL1023" i="4" l="1"/>
  <c r="AK1032" i="4"/>
  <c r="AI1032" i="4"/>
  <c r="AH1033" i="4"/>
  <c r="AJ1033" i="4"/>
  <c r="AL1024" i="4" l="1"/>
  <c r="AK1033" i="4"/>
  <c r="AI1033" i="4"/>
  <c r="AH1034" i="4"/>
  <c r="AJ1034" i="4"/>
  <c r="AL1025" i="4" l="1"/>
  <c r="AK1034" i="4"/>
  <c r="AI1034" i="4"/>
  <c r="AH1035" i="4"/>
  <c r="AJ1035" i="4"/>
  <c r="AL1026" i="4" l="1"/>
  <c r="AK1035" i="4"/>
  <c r="AI1035" i="4"/>
  <c r="AH1036" i="4"/>
  <c r="AJ1036" i="4"/>
  <c r="AL1027" i="4" l="1"/>
  <c r="AK1036" i="4"/>
  <c r="AI1036" i="4"/>
  <c r="AH1037" i="4"/>
  <c r="AJ1037" i="4"/>
  <c r="AL1028" i="4" l="1"/>
  <c r="AK1037" i="4"/>
  <c r="AI1037" i="4"/>
  <c r="AH1038" i="4"/>
  <c r="AJ1038" i="4"/>
  <c r="AL1029" i="4" l="1"/>
  <c r="AK1038" i="4"/>
  <c r="AI1038" i="4"/>
  <c r="AH1039" i="4"/>
  <c r="AJ1039" i="4"/>
  <c r="AL1030" i="4" l="1"/>
  <c r="AK1039" i="4"/>
  <c r="AI1039" i="4"/>
  <c r="AH1040" i="4"/>
  <c r="AJ1040" i="4"/>
  <c r="AL1031" i="4" l="1"/>
  <c r="AK1040" i="4"/>
  <c r="AI1040" i="4"/>
  <c r="AH1041" i="4"/>
  <c r="AJ1041" i="4"/>
  <c r="AL1032" i="4" l="1"/>
  <c r="AK1041" i="4"/>
  <c r="AI1041" i="4"/>
  <c r="AH1042" i="4"/>
  <c r="AJ1042" i="4"/>
  <c r="AL1033" i="4" l="1"/>
  <c r="AK1042" i="4"/>
  <c r="AI1042" i="4"/>
  <c r="AH1043" i="4"/>
  <c r="AJ1043" i="4"/>
  <c r="AL1034" i="4" l="1"/>
  <c r="AK1043" i="4"/>
  <c r="AI1043" i="4"/>
  <c r="AH1044" i="4"/>
  <c r="AJ1044" i="4"/>
  <c r="AL1035" i="4" l="1"/>
  <c r="AK1044" i="4"/>
  <c r="AI1044" i="4"/>
  <c r="AH1045" i="4"/>
  <c r="AJ1045" i="4"/>
  <c r="AL1036" i="4" l="1"/>
  <c r="AK1045" i="4"/>
  <c r="AI1045" i="4"/>
  <c r="AH1046" i="4"/>
  <c r="AJ1046" i="4"/>
  <c r="AL1037" i="4" l="1"/>
  <c r="AK1046" i="4"/>
  <c r="AI1046" i="4"/>
  <c r="AH1047" i="4"/>
  <c r="AJ1047" i="4"/>
  <c r="AL1038" i="4" l="1"/>
  <c r="AK1047" i="4"/>
  <c r="AI1047" i="4"/>
  <c r="AH1048" i="4"/>
  <c r="AJ1048" i="4"/>
  <c r="AL1039" i="4" l="1"/>
  <c r="AK1048" i="4"/>
  <c r="AI1048" i="4"/>
  <c r="AH1049" i="4"/>
  <c r="AJ1049" i="4"/>
  <c r="AL1040" i="4" l="1"/>
  <c r="AK1049" i="4"/>
  <c r="AI1049" i="4"/>
  <c r="AH1050" i="4"/>
  <c r="AJ1050" i="4"/>
  <c r="AL1041" i="4" l="1"/>
  <c r="AK1050" i="4"/>
  <c r="AI1050" i="4"/>
  <c r="AH1051" i="4"/>
  <c r="AJ1051" i="4"/>
  <c r="AL1042" i="4" l="1"/>
  <c r="AK1051" i="4"/>
  <c r="AI1051" i="4"/>
  <c r="AH1052" i="4"/>
  <c r="AJ1052" i="4"/>
  <c r="AL1043" i="4" l="1"/>
  <c r="AK1052" i="4"/>
  <c r="AI1052" i="4"/>
  <c r="AH1053" i="4"/>
  <c r="AJ1053" i="4"/>
  <c r="AL1044" i="4" l="1"/>
  <c r="AK1053" i="4"/>
  <c r="AI1053" i="4"/>
  <c r="AH1054" i="4"/>
  <c r="AJ1054" i="4"/>
  <c r="AL1045" i="4" l="1"/>
  <c r="AK1054" i="4"/>
  <c r="AI1054" i="4"/>
  <c r="AH1055" i="4"/>
  <c r="AJ1055" i="4"/>
  <c r="AL1046" i="4" l="1"/>
  <c r="AK1055" i="4"/>
  <c r="AI1055" i="4"/>
  <c r="AH1056" i="4"/>
  <c r="AJ1056" i="4"/>
  <c r="AL1047" i="4" l="1"/>
  <c r="AK1056" i="4"/>
  <c r="AI1056" i="4"/>
  <c r="AH1057" i="4"/>
  <c r="AJ1057" i="4"/>
  <c r="AL1048" i="4" l="1"/>
  <c r="AK1057" i="4"/>
  <c r="AI1057" i="4"/>
  <c r="AH1058" i="4"/>
  <c r="AJ1058" i="4"/>
  <c r="AL1049" i="4" l="1"/>
  <c r="AK1058" i="4"/>
  <c r="AI1058" i="4"/>
  <c r="AH1059" i="4"/>
  <c r="AJ1059" i="4"/>
  <c r="AL1050" i="4" l="1"/>
  <c r="AK1059" i="4"/>
  <c r="AI1059" i="4"/>
  <c r="AH1060" i="4"/>
  <c r="AS65" i="4"/>
  <c r="AJ1060" i="4"/>
  <c r="AL1051" i="4" l="1"/>
  <c r="AK1060" i="4"/>
  <c r="AI1060" i="4"/>
  <c r="AH1061" i="4"/>
  <c r="AJ1061" i="4"/>
  <c r="AL1052" i="4" l="1"/>
  <c r="AK1061" i="4"/>
  <c r="AI1061" i="4"/>
  <c r="AH1062" i="4"/>
  <c r="AJ1062" i="4"/>
  <c r="AL1053" i="4" l="1"/>
  <c r="AK1062" i="4"/>
  <c r="AI1062" i="4"/>
  <c r="AH1063" i="4"/>
  <c r="AJ1063" i="4"/>
  <c r="AL1054" i="4" l="1"/>
  <c r="AK1063" i="4"/>
  <c r="AI1063" i="4"/>
  <c r="AH1064" i="4"/>
  <c r="AJ1064" i="4"/>
  <c r="AL1055" i="4" l="1"/>
  <c r="AK1064" i="4"/>
  <c r="AI1064" i="4"/>
  <c r="AH1065" i="4"/>
  <c r="AJ1065" i="4"/>
  <c r="AL1056" i="4" l="1"/>
  <c r="AK1065" i="4"/>
  <c r="AI1065" i="4"/>
  <c r="AH1066" i="4"/>
  <c r="AJ1066" i="4"/>
  <c r="AL1057" i="4" l="1"/>
  <c r="AK1066" i="4"/>
  <c r="AI1066" i="4"/>
  <c r="AH1067" i="4"/>
  <c r="AJ1067" i="4"/>
  <c r="AL1058" i="4" l="1"/>
  <c r="AK1067" i="4"/>
  <c r="AI1067" i="4"/>
  <c r="AH1068" i="4"/>
  <c r="AJ1068" i="4"/>
  <c r="AL1059" i="4" l="1"/>
  <c r="AK1068" i="4"/>
  <c r="AI1068" i="4"/>
  <c r="AH1069" i="4"/>
  <c r="AJ1069" i="4"/>
  <c r="AL1060" i="4" l="1"/>
  <c r="AK1069" i="4"/>
  <c r="AI1069" i="4"/>
  <c r="AH1070" i="4"/>
  <c r="AJ1070" i="4"/>
  <c r="AL1061" i="4" l="1"/>
  <c r="AK1070" i="4"/>
  <c r="AI1070" i="4"/>
  <c r="AH1071" i="4"/>
  <c r="AJ1071" i="4"/>
  <c r="AL1062" i="4" l="1"/>
  <c r="AK1071" i="4"/>
  <c r="AI1071" i="4"/>
  <c r="AH1072" i="4"/>
  <c r="AJ1072" i="4"/>
  <c r="AL1063" i="4" l="1"/>
  <c r="AK1072" i="4"/>
  <c r="AI1072" i="4"/>
  <c r="AH1073" i="4"/>
  <c r="AJ1073" i="4"/>
  <c r="AL1064" i="4" l="1"/>
  <c r="AK1073" i="4"/>
  <c r="AI1073" i="4"/>
  <c r="AH1074" i="4"/>
  <c r="AJ1074" i="4"/>
  <c r="AL1065" i="4" l="1"/>
  <c r="AK1074" i="4"/>
  <c r="AI1074" i="4"/>
  <c r="AH1075" i="4"/>
  <c r="AJ1075" i="4"/>
  <c r="AL1066" i="4" l="1"/>
  <c r="AK1075" i="4"/>
  <c r="AI1075" i="4"/>
  <c r="AH1076" i="4"/>
  <c r="AJ1076" i="4"/>
  <c r="AL1067" i="4" l="1"/>
  <c r="AK1076" i="4"/>
  <c r="AI1076" i="4"/>
  <c r="AH1077" i="4"/>
  <c r="AJ1077" i="4"/>
  <c r="AL1068" i="4" l="1"/>
  <c r="AK1077" i="4"/>
  <c r="AI1077" i="4"/>
  <c r="AH1078" i="4"/>
  <c r="AJ1078" i="4"/>
  <c r="AL1069" i="4" l="1"/>
  <c r="AK1078" i="4"/>
  <c r="AI1078" i="4"/>
  <c r="AH1079" i="4"/>
  <c r="AJ1079" i="4"/>
  <c r="AL1070" i="4" l="1"/>
  <c r="AK1079" i="4"/>
  <c r="AI1079" i="4"/>
  <c r="AH1080" i="4"/>
  <c r="AJ1080" i="4"/>
  <c r="AL1071" i="4" l="1"/>
  <c r="AK1080" i="4"/>
  <c r="AI1080" i="4"/>
  <c r="AH1081" i="4"/>
  <c r="AJ1081" i="4"/>
  <c r="AL1072" i="4" l="1"/>
  <c r="AK1081" i="4"/>
  <c r="AI1081" i="4"/>
  <c r="AH1082" i="4"/>
  <c r="AJ1082" i="4"/>
  <c r="AL1073" i="4" l="1"/>
  <c r="AK1082" i="4"/>
  <c r="AI1082" i="4"/>
  <c r="AH1083" i="4"/>
  <c r="AJ1083" i="4"/>
  <c r="AL1074" i="4" l="1"/>
  <c r="AK1083" i="4"/>
  <c r="AI1083" i="4"/>
  <c r="AH1084" i="4"/>
  <c r="AJ1084" i="4"/>
  <c r="AL1075" i="4" l="1"/>
  <c r="AK1084" i="4"/>
  <c r="AI1084" i="4"/>
  <c r="AH1085" i="4"/>
  <c r="AJ1085" i="4"/>
  <c r="AL1076" i="4" l="1"/>
  <c r="AK1085" i="4"/>
  <c r="AI1085" i="4"/>
  <c r="AH1086" i="4"/>
  <c r="AJ1086" i="4"/>
  <c r="AL1077" i="4" l="1"/>
  <c r="AK1086" i="4"/>
  <c r="AI1086" i="4"/>
  <c r="AH1087" i="4"/>
  <c r="AJ1087" i="4"/>
  <c r="AL1078" i="4" l="1"/>
  <c r="AK1087" i="4"/>
  <c r="AI1087" i="4"/>
  <c r="AH1088" i="4"/>
  <c r="AJ1088" i="4"/>
  <c r="AL1079" i="4" l="1"/>
  <c r="AK1088" i="4"/>
  <c r="AI1088" i="4"/>
  <c r="AH1089" i="4"/>
  <c r="AJ1089" i="4"/>
  <c r="AL1080" i="4" l="1"/>
  <c r="AK1089" i="4"/>
  <c r="AI1089" i="4"/>
  <c r="AH1090" i="4"/>
  <c r="AS66" i="4"/>
  <c r="AJ1090" i="4"/>
  <c r="AL1081" i="4" l="1"/>
  <c r="AK1090" i="4"/>
  <c r="AI1090" i="4"/>
  <c r="AH1091" i="4"/>
  <c r="AJ1091" i="4"/>
  <c r="AL1082" i="4" l="1"/>
  <c r="AK1091" i="4"/>
  <c r="AI1091" i="4"/>
  <c r="AH1092" i="4"/>
  <c r="AJ1092" i="4"/>
  <c r="AL1083" i="4" l="1"/>
  <c r="AK1092" i="4"/>
  <c r="AI1092" i="4"/>
  <c r="AH1093" i="4"/>
  <c r="AJ1093" i="4"/>
  <c r="AL1084" i="4" l="1"/>
  <c r="AK1093" i="4"/>
  <c r="AI1093" i="4"/>
  <c r="AH1094" i="4"/>
  <c r="AJ1094" i="4"/>
  <c r="AL1085" i="4" l="1"/>
  <c r="AK1094" i="4"/>
  <c r="AI1094" i="4"/>
  <c r="AH1095" i="4"/>
  <c r="AJ1095" i="4"/>
  <c r="AL1086" i="4" l="1"/>
  <c r="AK1095" i="4"/>
  <c r="AI1095" i="4"/>
  <c r="AH1096" i="4"/>
  <c r="AJ1096" i="4"/>
  <c r="AL1087" i="4" l="1"/>
  <c r="AK1096" i="4"/>
  <c r="AI1096" i="4"/>
  <c r="AH1097" i="4"/>
  <c r="AJ1097" i="4"/>
  <c r="AL1088" i="4" l="1"/>
  <c r="AK1097" i="4"/>
  <c r="AI1097" i="4"/>
  <c r="AH1098" i="4"/>
  <c r="AJ1098" i="4"/>
  <c r="AL1089" i="4" l="1"/>
  <c r="AK1098" i="4"/>
  <c r="AI1098" i="4"/>
  <c r="AH1099" i="4"/>
  <c r="AJ1099" i="4"/>
  <c r="AL1090" i="4" l="1"/>
  <c r="AK1099" i="4"/>
  <c r="AI1099" i="4"/>
  <c r="AH1100" i="4"/>
  <c r="AJ1100" i="4"/>
  <c r="AL1091" i="4" l="1"/>
  <c r="AK1100" i="4"/>
  <c r="AI1100" i="4"/>
  <c r="AH1101" i="4"/>
  <c r="AJ1101" i="4"/>
  <c r="AL1092" i="4" l="1"/>
  <c r="AK1101" i="4"/>
  <c r="AI1101" i="4"/>
  <c r="AH1102" i="4"/>
  <c r="AJ1102" i="4"/>
  <c r="AL1093" i="4" l="1"/>
  <c r="AK1102" i="4"/>
  <c r="AI1102" i="4"/>
  <c r="AH1103" i="4"/>
  <c r="AJ1103" i="4"/>
  <c r="AL1094" i="4" l="1"/>
  <c r="AK1103" i="4"/>
  <c r="AI1103" i="4"/>
  <c r="AH1104" i="4"/>
  <c r="AJ1104" i="4"/>
  <c r="AL1095" i="4" l="1"/>
  <c r="AK1104" i="4"/>
  <c r="AI1104" i="4"/>
  <c r="AH1105" i="4"/>
  <c r="AJ1105" i="4"/>
  <c r="AL1096" i="4" l="1"/>
  <c r="AK1105" i="4"/>
  <c r="AI1105" i="4"/>
  <c r="AH1106" i="4"/>
  <c r="AJ1106" i="4"/>
  <c r="AL1097" i="4" l="1"/>
  <c r="AK1106" i="4"/>
  <c r="AI1106" i="4"/>
  <c r="AH1107" i="4"/>
  <c r="AJ1107" i="4"/>
  <c r="AL1098" i="4" l="1"/>
  <c r="AK1107" i="4"/>
  <c r="AI1107" i="4"/>
  <c r="AH1108" i="4"/>
  <c r="AJ1108" i="4"/>
  <c r="AL1099" i="4" l="1"/>
  <c r="AK1108" i="4"/>
  <c r="AI1108" i="4"/>
  <c r="AH1109" i="4"/>
  <c r="AJ1109" i="4"/>
  <c r="AL1100" i="4" l="1"/>
  <c r="AK1109" i="4"/>
  <c r="AI1109" i="4"/>
  <c r="AH1110" i="4"/>
  <c r="AJ1110" i="4"/>
  <c r="AL1101" i="4" l="1"/>
  <c r="AK1110" i="4"/>
  <c r="AI1110" i="4"/>
  <c r="AH1111" i="4"/>
  <c r="AJ1111" i="4"/>
  <c r="AL1102" i="4" l="1"/>
  <c r="AK1111" i="4"/>
  <c r="AI1111" i="4"/>
  <c r="AH1112" i="4"/>
  <c r="AJ1112" i="4"/>
  <c r="AL1103" i="4" l="1"/>
  <c r="AK1112" i="4"/>
  <c r="AI1112" i="4"/>
  <c r="AH1113" i="4"/>
  <c r="AJ1113" i="4"/>
  <c r="AL1104" i="4" l="1"/>
  <c r="AK1113" i="4"/>
  <c r="AI1113" i="4"/>
  <c r="AH1114" i="4"/>
  <c r="AJ1114" i="4"/>
  <c r="AL1105" i="4" l="1"/>
  <c r="AK1114" i="4"/>
  <c r="AI1114" i="4"/>
  <c r="AH1115" i="4"/>
  <c r="AJ1115" i="4"/>
  <c r="AL1106" i="4" l="1"/>
  <c r="AK1115" i="4"/>
  <c r="AI1115" i="4"/>
  <c r="AH1116" i="4"/>
  <c r="AJ1116" i="4"/>
  <c r="AL1107" i="4" l="1"/>
  <c r="AK1116" i="4"/>
  <c r="AI1116" i="4"/>
  <c r="AH1117" i="4"/>
  <c r="AJ1117" i="4"/>
  <c r="AL1108" i="4" l="1"/>
  <c r="AK1117" i="4"/>
  <c r="AI1117" i="4"/>
  <c r="AH1118" i="4"/>
  <c r="AJ1118" i="4"/>
  <c r="AL1109" i="4" l="1"/>
  <c r="AK1118" i="4"/>
  <c r="AI1118" i="4"/>
  <c r="AH1119" i="4"/>
  <c r="AJ1119" i="4"/>
  <c r="AL1110" i="4" l="1"/>
  <c r="AK1119" i="4"/>
  <c r="AI1119" i="4"/>
  <c r="AH1120" i="4"/>
  <c r="AJ1120" i="4"/>
  <c r="AS67" i="4"/>
  <c r="AL1111" i="4" l="1"/>
  <c r="AK1120" i="4"/>
  <c r="AI1120" i="4"/>
  <c r="AH1121" i="4"/>
  <c r="AJ1121" i="4"/>
  <c r="AL1112" i="4" l="1"/>
  <c r="AK1121" i="4"/>
  <c r="AI1121" i="4"/>
  <c r="AH1122" i="4"/>
  <c r="AJ1122" i="4"/>
  <c r="AL1113" i="4" l="1"/>
  <c r="AK1122" i="4"/>
  <c r="AI1122" i="4"/>
  <c r="AH1123" i="4"/>
  <c r="AJ1123" i="4"/>
  <c r="AL1114" i="4" l="1"/>
  <c r="AK1123" i="4"/>
  <c r="AI1123" i="4"/>
  <c r="AH1124" i="4"/>
  <c r="AJ1124" i="4"/>
  <c r="AL1115" i="4" l="1"/>
  <c r="AK1124" i="4"/>
  <c r="AI1124" i="4"/>
  <c r="AH1125" i="4"/>
  <c r="AJ1125" i="4"/>
  <c r="AL1116" i="4" l="1"/>
  <c r="AK1125" i="4"/>
  <c r="AI1125" i="4"/>
  <c r="AH1126" i="4"/>
  <c r="AJ1126" i="4"/>
  <c r="AL1117" i="4" l="1"/>
  <c r="AK1126" i="4"/>
  <c r="AI1126" i="4"/>
  <c r="AH1127" i="4"/>
  <c r="AJ1127" i="4"/>
  <c r="AL1118" i="4" l="1"/>
  <c r="AK1127" i="4"/>
  <c r="AI1127" i="4"/>
  <c r="AH1128" i="4"/>
  <c r="AJ1128" i="4"/>
  <c r="AL1119" i="4" l="1"/>
  <c r="AK1128" i="4"/>
  <c r="AI1128" i="4"/>
  <c r="AH1129" i="4"/>
  <c r="AJ1129" i="4"/>
  <c r="AL1120" i="4" l="1"/>
  <c r="AK1129" i="4"/>
  <c r="AI1129" i="4"/>
  <c r="AH1130" i="4"/>
  <c r="AJ1130" i="4"/>
  <c r="AL1121" i="4" l="1"/>
  <c r="AK1130" i="4"/>
  <c r="AI1130" i="4"/>
  <c r="AH1131" i="4"/>
  <c r="AJ1131" i="4"/>
  <c r="AL1122" i="4" l="1"/>
  <c r="AK1131" i="4"/>
  <c r="AI1131" i="4"/>
  <c r="AH1132" i="4"/>
  <c r="AJ1132" i="4"/>
  <c r="AL1123" i="4" l="1"/>
  <c r="AK1132" i="4"/>
  <c r="AI1132" i="4"/>
  <c r="AH1133" i="4"/>
  <c r="AJ1133" i="4"/>
  <c r="AL1124" i="4" l="1"/>
  <c r="AK1133" i="4"/>
  <c r="AI1133" i="4"/>
  <c r="AH1134" i="4"/>
  <c r="AJ1134" i="4"/>
  <c r="AL1125" i="4" l="1"/>
  <c r="AK1134" i="4"/>
  <c r="AI1134" i="4"/>
  <c r="AH1135" i="4"/>
  <c r="AJ1135" i="4"/>
  <c r="AL1126" i="4" l="1"/>
  <c r="AK1135" i="4"/>
  <c r="AI1135" i="4"/>
  <c r="AH1136" i="4"/>
  <c r="AJ1136" i="4"/>
  <c r="AL1127" i="4" l="1"/>
  <c r="AK1136" i="4"/>
  <c r="AI1136" i="4"/>
  <c r="AH1137" i="4"/>
  <c r="AJ1137" i="4"/>
  <c r="AL1128" i="4" l="1"/>
  <c r="AK1137" i="4"/>
  <c r="AI1137" i="4"/>
  <c r="AH1138" i="4"/>
  <c r="AJ1138" i="4"/>
  <c r="AL1129" i="4" l="1"/>
  <c r="AK1138" i="4"/>
  <c r="AI1138" i="4"/>
  <c r="AH1139" i="4"/>
  <c r="AJ1139" i="4"/>
  <c r="AL1130" i="4" l="1"/>
  <c r="AK1139" i="4"/>
  <c r="AI1139" i="4"/>
  <c r="AH1140" i="4"/>
  <c r="AJ1140" i="4"/>
  <c r="AL1131" i="4" l="1"/>
  <c r="AK1140" i="4"/>
  <c r="AI1140" i="4"/>
  <c r="AH1141" i="4"/>
  <c r="AJ1141" i="4"/>
  <c r="AL1132" i="4" l="1"/>
  <c r="AK1141" i="4"/>
  <c r="AI1141" i="4"/>
  <c r="AH1142" i="4"/>
  <c r="AJ1142" i="4"/>
  <c r="AL1133" i="4" l="1"/>
  <c r="AK1142" i="4"/>
  <c r="AI1142" i="4"/>
  <c r="AH1143" i="4"/>
  <c r="AJ1143" i="4"/>
  <c r="AL1134" i="4" l="1"/>
  <c r="AK1143" i="4"/>
  <c r="AI1143" i="4"/>
  <c r="AH1144" i="4"/>
  <c r="AJ1144" i="4"/>
  <c r="AL1135" i="4" l="1"/>
  <c r="AK1144" i="4"/>
  <c r="AI1144" i="4"/>
  <c r="AH1145" i="4"/>
  <c r="AJ1145" i="4"/>
  <c r="AL1136" i="4" l="1"/>
  <c r="AK1145" i="4"/>
  <c r="AI1145" i="4"/>
  <c r="AH1146" i="4"/>
  <c r="AJ1146" i="4"/>
  <c r="AL1137" i="4" l="1"/>
  <c r="AK1146" i="4"/>
  <c r="AI1146" i="4"/>
  <c r="AH1147" i="4"/>
  <c r="AJ1147" i="4"/>
  <c r="AL1138" i="4" l="1"/>
  <c r="AK1147" i="4"/>
  <c r="AI1147" i="4"/>
  <c r="AH1148" i="4"/>
  <c r="AJ1148" i="4"/>
  <c r="AL1139" i="4" l="1"/>
  <c r="AK1148" i="4"/>
  <c r="AI1148" i="4"/>
  <c r="AH1149" i="4"/>
  <c r="AJ1149" i="4"/>
  <c r="AL1140" i="4" l="1"/>
  <c r="AK1149" i="4"/>
  <c r="AI1149" i="4"/>
  <c r="AH1150" i="4"/>
  <c r="AS68" i="4"/>
  <c r="AJ1150" i="4"/>
  <c r="AL1141" i="4" l="1"/>
  <c r="AK1150" i="4"/>
  <c r="AI1150" i="4"/>
  <c r="AH1151" i="4"/>
  <c r="AJ1151" i="4"/>
  <c r="AL1142" i="4" l="1"/>
  <c r="AK1151" i="4"/>
  <c r="AI1151" i="4"/>
  <c r="AH1152" i="4"/>
  <c r="AJ1152" i="4"/>
  <c r="AL1143" i="4" l="1"/>
  <c r="AK1152" i="4"/>
  <c r="AI1152" i="4"/>
  <c r="AH1153" i="4"/>
  <c r="AJ1153" i="4"/>
  <c r="AL1144" i="4" l="1"/>
  <c r="AK1153" i="4"/>
  <c r="AI1153" i="4"/>
  <c r="AH1154" i="4"/>
  <c r="AJ1154" i="4"/>
  <c r="AL1145" i="4" l="1"/>
  <c r="AK1154" i="4"/>
  <c r="AI1154" i="4"/>
  <c r="AH1155" i="4"/>
  <c r="AJ1155" i="4"/>
  <c r="AL1146" i="4" l="1"/>
  <c r="AK1155" i="4"/>
  <c r="AI1155" i="4"/>
  <c r="AH1156" i="4"/>
  <c r="AJ1156" i="4"/>
  <c r="AL1147" i="4" l="1"/>
  <c r="AK1156" i="4"/>
  <c r="AI1156" i="4"/>
  <c r="AH1157" i="4"/>
  <c r="AJ1157" i="4"/>
  <c r="AL1148" i="4" l="1"/>
  <c r="AK1157" i="4"/>
  <c r="AI1157" i="4"/>
  <c r="AH1158" i="4"/>
  <c r="AJ1158" i="4"/>
  <c r="AL1149" i="4" l="1"/>
  <c r="AK1158" i="4"/>
  <c r="AI1158" i="4"/>
  <c r="AH1159" i="4"/>
  <c r="AJ1159" i="4"/>
  <c r="AL1150" i="4" l="1"/>
  <c r="AK1159" i="4"/>
  <c r="AI1159" i="4"/>
  <c r="AH1160" i="4"/>
  <c r="AJ1160" i="4"/>
  <c r="AL1151" i="4" l="1"/>
  <c r="AK1160" i="4"/>
  <c r="AI1160" i="4"/>
  <c r="AH1161" i="4"/>
  <c r="AJ1161" i="4"/>
  <c r="AL1152" i="4" l="1"/>
  <c r="AK1161" i="4"/>
  <c r="AI1161" i="4"/>
  <c r="AH1162" i="4"/>
  <c r="AJ1162" i="4"/>
  <c r="AL1153" i="4" l="1"/>
  <c r="AK1162" i="4"/>
  <c r="AI1162" i="4"/>
  <c r="AH1163" i="4"/>
  <c r="AJ1163" i="4"/>
  <c r="AL1154" i="4" l="1"/>
  <c r="AK1163" i="4"/>
  <c r="AI1163" i="4"/>
  <c r="AH1164" i="4"/>
  <c r="AJ1164" i="4"/>
  <c r="AL1155" i="4" l="1"/>
  <c r="AK1164" i="4"/>
  <c r="AI1164" i="4"/>
  <c r="AH1165" i="4"/>
  <c r="AJ1165" i="4"/>
  <c r="AL1156" i="4" l="1"/>
  <c r="AK1165" i="4"/>
  <c r="AI1165" i="4"/>
  <c r="AH1166" i="4"/>
  <c r="AJ1166" i="4"/>
  <c r="AL1157" i="4" l="1"/>
  <c r="AK1166" i="4"/>
  <c r="AI1166" i="4"/>
  <c r="AH1167" i="4"/>
  <c r="AJ1167" i="4"/>
  <c r="AL1158" i="4" l="1"/>
  <c r="AK1167" i="4"/>
  <c r="AI1167" i="4"/>
  <c r="AH1168" i="4"/>
  <c r="AJ1168" i="4"/>
  <c r="AL1159" i="4" l="1"/>
  <c r="AK1168" i="4"/>
  <c r="AI1168" i="4"/>
  <c r="AH1169" i="4"/>
  <c r="AJ1169" i="4"/>
  <c r="AL1160" i="4" l="1"/>
  <c r="AK1169" i="4"/>
  <c r="AI1169" i="4"/>
  <c r="AH1170" i="4"/>
  <c r="AJ1170" i="4"/>
  <c r="AL1161" i="4" l="1"/>
  <c r="AK1170" i="4"/>
  <c r="AI1170" i="4"/>
  <c r="AH1171" i="4"/>
  <c r="AJ1171" i="4"/>
  <c r="AL1162" i="4" l="1"/>
  <c r="AK1171" i="4"/>
  <c r="AI1171" i="4"/>
  <c r="AH1172" i="4"/>
  <c r="AJ1172" i="4"/>
  <c r="AL1163" i="4" l="1"/>
  <c r="AK1172" i="4"/>
  <c r="AI1172" i="4"/>
  <c r="AH1173" i="4"/>
  <c r="AJ1173" i="4"/>
  <c r="AL1164" i="4" l="1"/>
  <c r="AK1173" i="4"/>
  <c r="AI1173" i="4"/>
  <c r="AH1174" i="4"/>
  <c r="AJ1174" i="4"/>
  <c r="AL1165" i="4" l="1"/>
  <c r="AK1174" i="4"/>
  <c r="AI1174" i="4"/>
  <c r="AH1175" i="4"/>
  <c r="AJ1175" i="4"/>
  <c r="AL1166" i="4" l="1"/>
  <c r="AK1175" i="4"/>
  <c r="AI1175" i="4"/>
  <c r="AH1176" i="4"/>
  <c r="AJ1176" i="4"/>
  <c r="AL1167" i="4" l="1"/>
  <c r="AK1176" i="4"/>
  <c r="AI1176" i="4"/>
  <c r="AH1177" i="4"/>
  <c r="AJ1177" i="4"/>
  <c r="AL1168" i="4" l="1"/>
  <c r="AK1177" i="4"/>
  <c r="AI1177" i="4"/>
  <c r="AH1178" i="4"/>
  <c r="AJ1178" i="4"/>
  <c r="AL1169" i="4" l="1"/>
  <c r="AK1178" i="4"/>
  <c r="AI1178" i="4"/>
  <c r="AH1179" i="4"/>
  <c r="AJ1179" i="4"/>
  <c r="AL1170" i="4" l="1"/>
  <c r="AK1179" i="4"/>
  <c r="AI1179" i="4"/>
  <c r="AH1180" i="4"/>
  <c r="AS69" i="4"/>
  <c r="AJ1180" i="4"/>
  <c r="AL1171" i="4" l="1"/>
  <c r="AK1180" i="4"/>
  <c r="AI1180" i="4"/>
  <c r="AH1181" i="4"/>
  <c r="AJ1181" i="4"/>
  <c r="AL1172" i="4" l="1"/>
  <c r="AK1181" i="4"/>
  <c r="AI1181" i="4"/>
  <c r="AH1182" i="4"/>
  <c r="AJ1182" i="4"/>
  <c r="AL1173" i="4" l="1"/>
  <c r="AK1182" i="4"/>
  <c r="AI1182" i="4"/>
  <c r="AH1183" i="4"/>
  <c r="AJ1183" i="4"/>
  <c r="AL1174" i="4" l="1"/>
  <c r="AK1183" i="4"/>
  <c r="AI1183" i="4"/>
  <c r="AH1184" i="4"/>
  <c r="AJ1184" i="4"/>
  <c r="AL1175" i="4" l="1"/>
  <c r="AK1184" i="4"/>
  <c r="AI1184" i="4"/>
  <c r="AH1185" i="4"/>
  <c r="AJ1185" i="4"/>
  <c r="AL1176" i="4" l="1"/>
  <c r="AK1185" i="4"/>
  <c r="AI1185" i="4"/>
  <c r="AH1186" i="4"/>
  <c r="AJ1186" i="4"/>
  <c r="AL1177" i="4" l="1"/>
  <c r="AK1186" i="4"/>
  <c r="AI1186" i="4"/>
  <c r="AH1187" i="4"/>
  <c r="AJ1187" i="4"/>
  <c r="AL1178" i="4" l="1"/>
  <c r="AK1187" i="4"/>
  <c r="AI1187" i="4"/>
  <c r="AH1188" i="4"/>
  <c r="AJ1188" i="4"/>
  <c r="AL1179" i="4" l="1"/>
  <c r="AK1188" i="4"/>
  <c r="AI1188" i="4"/>
  <c r="AH1189" i="4"/>
  <c r="AJ1189" i="4"/>
  <c r="AL1180" i="4" l="1"/>
  <c r="AK1189" i="4"/>
  <c r="AI1189" i="4"/>
  <c r="AH1190" i="4"/>
  <c r="AJ1190" i="4"/>
  <c r="AL1181" i="4" l="1"/>
  <c r="AK1190" i="4"/>
  <c r="AI1190" i="4"/>
  <c r="AH1191" i="4"/>
  <c r="AJ1191" i="4"/>
  <c r="AL1182" i="4" l="1"/>
  <c r="AK1191" i="4"/>
  <c r="AI1191" i="4"/>
  <c r="AH1192" i="4"/>
  <c r="AJ1192" i="4"/>
  <c r="AL1183" i="4" l="1"/>
  <c r="AK1192" i="4"/>
  <c r="AI1192" i="4"/>
  <c r="AH1193" i="4"/>
  <c r="AJ1193" i="4"/>
  <c r="AL1184" i="4" l="1"/>
  <c r="AK1193" i="4"/>
  <c r="AI1193" i="4"/>
  <c r="AH1194" i="4"/>
  <c r="AJ1194" i="4"/>
  <c r="AL1185" i="4" l="1"/>
  <c r="AK1194" i="4"/>
  <c r="AI1194" i="4"/>
  <c r="AH1195" i="4"/>
  <c r="AJ1195" i="4"/>
  <c r="AL1186" i="4" l="1"/>
  <c r="AK1195" i="4"/>
  <c r="AI1195" i="4"/>
  <c r="AH1196" i="4"/>
  <c r="AJ1196" i="4"/>
  <c r="AL1187" i="4" l="1"/>
  <c r="AK1196" i="4"/>
  <c r="AI1196" i="4"/>
  <c r="AH1197" i="4"/>
  <c r="AJ1197" i="4"/>
  <c r="AL1188" i="4" l="1"/>
  <c r="AK1197" i="4"/>
  <c r="AI1197" i="4"/>
  <c r="AH1198" i="4"/>
  <c r="AJ1198" i="4"/>
  <c r="AL1189" i="4" l="1"/>
  <c r="AK1198" i="4"/>
  <c r="AI1198" i="4"/>
  <c r="AH1199" i="4"/>
  <c r="AJ1199" i="4"/>
  <c r="AL1190" i="4" l="1"/>
  <c r="AK1199" i="4"/>
  <c r="AI1199" i="4"/>
  <c r="AH1200" i="4"/>
  <c r="AJ1200" i="4"/>
  <c r="AL1191" i="4" l="1"/>
  <c r="AK1200" i="4"/>
  <c r="AI1200" i="4"/>
  <c r="AH1201" i="4"/>
  <c r="AJ1201" i="4"/>
  <c r="AL1192" i="4" l="1"/>
  <c r="AK1201" i="4"/>
  <c r="AI1201" i="4"/>
  <c r="AH1202" i="4"/>
  <c r="AJ1202" i="4"/>
  <c r="AL1193" i="4" l="1"/>
  <c r="AK1202" i="4"/>
  <c r="AI1202" i="4"/>
  <c r="AH1203" i="4"/>
  <c r="AJ1203" i="4"/>
  <c r="AL1194" i="4" l="1"/>
  <c r="AK1203" i="4"/>
  <c r="AI1203" i="4"/>
  <c r="AH1204" i="4"/>
  <c r="AJ1204" i="4"/>
  <c r="AL1195" i="4" l="1"/>
  <c r="AK1204" i="4"/>
  <c r="AI1204" i="4"/>
  <c r="AH1205" i="4"/>
  <c r="AJ1205" i="4"/>
  <c r="AL1196" i="4" l="1"/>
  <c r="AK1205" i="4"/>
  <c r="AI1205" i="4"/>
  <c r="AH1206" i="4"/>
  <c r="AJ1206" i="4"/>
  <c r="AL1197" i="4" l="1"/>
  <c r="AK1206" i="4"/>
  <c r="AI1206" i="4"/>
  <c r="AH1207" i="4"/>
  <c r="AJ1207" i="4"/>
  <c r="AL1198" i="4" l="1"/>
  <c r="AK1207" i="4"/>
  <c r="AI1207" i="4"/>
  <c r="AH1208" i="4"/>
  <c r="AJ1208" i="4"/>
  <c r="AL1199" i="4" l="1"/>
  <c r="AK1208" i="4"/>
  <c r="AI1208" i="4"/>
  <c r="AH1209" i="4"/>
  <c r="AJ1209" i="4"/>
  <c r="AL1200" i="4" l="1"/>
  <c r="AK1209" i="4"/>
  <c r="AI1209" i="4"/>
  <c r="AH1210" i="4"/>
  <c r="AS70" i="4"/>
  <c r="AJ1210" i="4"/>
  <c r="AL1201" i="4" l="1"/>
  <c r="AK1210" i="4"/>
  <c r="AI1210" i="4"/>
  <c r="AH1211" i="4"/>
  <c r="AJ1211" i="4"/>
  <c r="AL1202" i="4" l="1"/>
  <c r="AK1211" i="4"/>
  <c r="AI1211" i="4"/>
  <c r="AH1212" i="4"/>
  <c r="AJ1212" i="4"/>
  <c r="AL1203" i="4" l="1"/>
  <c r="AK1212" i="4"/>
  <c r="AI1212" i="4"/>
  <c r="AH1213" i="4"/>
  <c r="AJ1213" i="4"/>
  <c r="AL1204" i="4" l="1"/>
  <c r="AK1213" i="4"/>
  <c r="AI1213" i="4"/>
  <c r="AH1214" i="4"/>
  <c r="AJ1214" i="4"/>
  <c r="AL1205" i="4" l="1"/>
  <c r="AK1214" i="4"/>
  <c r="AI1214" i="4"/>
  <c r="AH1215" i="4"/>
  <c r="AJ1215" i="4"/>
  <c r="AL1206" i="4" l="1"/>
  <c r="AK1215" i="4"/>
  <c r="AI1215" i="4"/>
  <c r="AH1216" i="4"/>
  <c r="AJ1216" i="4"/>
  <c r="AL1207" i="4" l="1"/>
  <c r="AK1216" i="4"/>
  <c r="AI1216" i="4"/>
  <c r="AH1217" i="4"/>
  <c r="AJ1217" i="4"/>
  <c r="AL1208" i="4" l="1"/>
  <c r="AK1217" i="4"/>
  <c r="AI1217" i="4"/>
  <c r="AH1218" i="4"/>
  <c r="AJ1218" i="4"/>
  <c r="AL1209" i="4" l="1"/>
  <c r="AK1218" i="4"/>
  <c r="AI1218" i="4"/>
  <c r="AH1219" i="4"/>
  <c r="AJ1219" i="4"/>
  <c r="AL1210" i="4" l="1"/>
  <c r="AK1219" i="4"/>
  <c r="AI1219" i="4"/>
  <c r="AH1220" i="4"/>
  <c r="AJ1220" i="4"/>
  <c r="AL1211" i="4" l="1"/>
  <c r="AK1220" i="4"/>
  <c r="AI1220" i="4"/>
  <c r="AH1221" i="4"/>
  <c r="AJ1221" i="4"/>
  <c r="AL1212" i="4" l="1"/>
  <c r="AK1221" i="4"/>
  <c r="AI1221" i="4"/>
  <c r="AH1222" i="4"/>
  <c r="AJ1222" i="4"/>
  <c r="AL1213" i="4" l="1"/>
  <c r="AK1222" i="4"/>
  <c r="AI1222" i="4"/>
  <c r="AH1223" i="4"/>
  <c r="AJ1223" i="4"/>
  <c r="AL1214" i="4" l="1"/>
  <c r="AK1223" i="4"/>
  <c r="AI1223" i="4"/>
  <c r="AH1224" i="4"/>
  <c r="AJ1224" i="4"/>
  <c r="AL1215" i="4" l="1"/>
  <c r="AK1224" i="4"/>
  <c r="AI1224" i="4"/>
  <c r="AH1225" i="4"/>
  <c r="AJ1225" i="4"/>
  <c r="AL1216" i="4" l="1"/>
  <c r="AK1225" i="4"/>
  <c r="AI1225" i="4"/>
  <c r="AH1226" i="4"/>
  <c r="AJ1226" i="4"/>
  <c r="AL1217" i="4" l="1"/>
  <c r="AK1226" i="4"/>
  <c r="AI1226" i="4"/>
  <c r="AH1227" i="4"/>
  <c r="AJ1227" i="4"/>
  <c r="AL1218" i="4" l="1"/>
  <c r="AK1227" i="4"/>
  <c r="AI1227" i="4"/>
  <c r="AH1228" i="4"/>
  <c r="AJ1228" i="4"/>
  <c r="AL1219" i="4" l="1"/>
  <c r="AK1228" i="4"/>
  <c r="AI1228" i="4"/>
  <c r="AH1229" i="4"/>
  <c r="AJ1229" i="4"/>
  <c r="AL1220" i="4" l="1"/>
  <c r="AK1229" i="4"/>
  <c r="AI1229" i="4"/>
  <c r="AH1230" i="4"/>
  <c r="AJ1230" i="4"/>
  <c r="AL1221" i="4" l="1"/>
  <c r="AK1230" i="4"/>
  <c r="AI1230" i="4"/>
  <c r="AH1231" i="4"/>
  <c r="AJ1231" i="4"/>
  <c r="AL1222" i="4" l="1"/>
  <c r="AK1231" i="4"/>
  <c r="AI1231" i="4"/>
  <c r="AH1232" i="4"/>
  <c r="AJ1232" i="4"/>
  <c r="AL1223" i="4" l="1"/>
  <c r="AK1232" i="4"/>
  <c r="AI1232" i="4"/>
  <c r="AH1233" i="4"/>
  <c r="AJ1233" i="4"/>
  <c r="AL1224" i="4" l="1"/>
  <c r="AK1233" i="4"/>
  <c r="AI1233" i="4"/>
  <c r="AH1234" i="4"/>
  <c r="AJ1234" i="4"/>
  <c r="AL1225" i="4" l="1"/>
  <c r="AK1234" i="4"/>
  <c r="AI1234" i="4"/>
  <c r="AH1235" i="4"/>
  <c r="AJ1235" i="4"/>
  <c r="AL1226" i="4" l="1"/>
  <c r="AK1235" i="4"/>
  <c r="AI1235" i="4"/>
  <c r="AH1236" i="4"/>
  <c r="AJ1236" i="4"/>
  <c r="AL1227" i="4" l="1"/>
  <c r="AK1236" i="4"/>
  <c r="AI1236" i="4"/>
  <c r="AH1237" i="4"/>
  <c r="AJ1237" i="4"/>
  <c r="AL1228" i="4" l="1"/>
  <c r="AK1237" i="4"/>
  <c r="AI1237" i="4"/>
  <c r="AH1238" i="4"/>
  <c r="AJ1238" i="4"/>
  <c r="AL1229" i="4" l="1"/>
  <c r="AK1238" i="4"/>
  <c r="AI1238" i="4"/>
  <c r="AH1239" i="4"/>
  <c r="AJ1239" i="4"/>
  <c r="AL1230" i="4" l="1"/>
  <c r="AK1239" i="4"/>
  <c r="AI1239" i="4"/>
  <c r="AH1240" i="4"/>
  <c r="AS71" i="4"/>
  <c r="AJ1240" i="4"/>
  <c r="AL1231" i="4" l="1"/>
  <c r="AK1240" i="4"/>
  <c r="AI1240" i="4"/>
  <c r="AH1241" i="4"/>
  <c r="AJ1241" i="4"/>
  <c r="AL1232" i="4" l="1"/>
  <c r="AK1241" i="4"/>
  <c r="AI1241" i="4"/>
  <c r="AH1242" i="4"/>
  <c r="AJ1242" i="4"/>
  <c r="AL1233" i="4" l="1"/>
  <c r="AK1242" i="4"/>
  <c r="AI1242" i="4"/>
  <c r="AH1243" i="4"/>
  <c r="AJ1243" i="4"/>
  <c r="AL1234" i="4" l="1"/>
  <c r="AK1243" i="4"/>
  <c r="AI1243" i="4"/>
  <c r="AH1244" i="4"/>
  <c r="AJ1244" i="4"/>
  <c r="AL1235" i="4" l="1"/>
  <c r="AK1244" i="4"/>
  <c r="AI1244" i="4"/>
  <c r="AH1245" i="4"/>
  <c r="AJ1245" i="4"/>
  <c r="AL1236" i="4" l="1"/>
  <c r="AK1245" i="4"/>
  <c r="AI1245" i="4"/>
  <c r="AH1246" i="4"/>
  <c r="AJ1246" i="4"/>
  <c r="AL1237" i="4" l="1"/>
  <c r="AK1246" i="4"/>
  <c r="AI1246" i="4"/>
  <c r="AH1247" i="4"/>
  <c r="AJ1247" i="4"/>
  <c r="AL1238" i="4" l="1"/>
  <c r="AK1247" i="4"/>
  <c r="AI1247" i="4"/>
  <c r="AH1248" i="4"/>
  <c r="AJ1248" i="4"/>
  <c r="AL1239" i="4" l="1"/>
  <c r="AK1248" i="4"/>
  <c r="AI1248" i="4"/>
  <c r="AH1249" i="4"/>
  <c r="AJ1249" i="4"/>
  <c r="AL1240" i="4" l="1"/>
  <c r="AK1249" i="4"/>
  <c r="AI1249" i="4"/>
  <c r="AH1250" i="4"/>
  <c r="AJ1250" i="4"/>
  <c r="AL1241" i="4" l="1"/>
  <c r="AK1250" i="4"/>
  <c r="AI1250" i="4"/>
  <c r="AH1251" i="4"/>
  <c r="AJ1251" i="4"/>
  <c r="AL1242" i="4" l="1"/>
  <c r="AK1251" i="4"/>
  <c r="AI1251" i="4"/>
  <c r="AH1252" i="4"/>
  <c r="AJ1252" i="4"/>
  <c r="AL1243" i="4" l="1"/>
  <c r="AK1252" i="4"/>
  <c r="AI1252" i="4"/>
  <c r="AH1253" i="4"/>
  <c r="AJ1253" i="4"/>
  <c r="AL1244" i="4" l="1"/>
  <c r="AK1253" i="4"/>
  <c r="AI1253" i="4"/>
  <c r="AH1254" i="4"/>
  <c r="AJ1254" i="4"/>
  <c r="AL1245" i="4" l="1"/>
  <c r="AK1254" i="4"/>
  <c r="AI1254" i="4"/>
  <c r="AH1255" i="4"/>
  <c r="AJ1255" i="4"/>
  <c r="AL1246" i="4" l="1"/>
  <c r="AK1255" i="4"/>
  <c r="AI1255" i="4"/>
  <c r="AH1256" i="4"/>
  <c r="AJ1256" i="4"/>
  <c r="AL1247" i="4" l="1"/>
  <c r="AK1256" i="4"/>
  <c r="AI1256" i="4"/>
  <c r="AH1257" i="4"/>
  <c r="AJ1257" i="4"/>
  <c r="AL1248" i="4" l="1"/>
  <c r="AK1257" i="4"/>
  <c r="AI1257" i="4"/>
  <c r="AH1258" i="4"/>
  <c r="AJ1258" i="4"/>
  <c r="AL1249" i="4" l="1"/>
  <c r="AK1258" i="4"/>
  <c r="AI1258" i="4"/>
  <c r="AH1259" i="4"/>
  <c r="AJ1259" i="4"/>
  <c r="AL1250" i="4" l="1"/>
  <c r="AK1259" i="4"/>
  <c r="AI1259" i="4"/>
  <c r="AH1260" i="4"/>
  <c r="AJ1260" i="4"/>
  <c r="AL1251" i="4" l="1"/>
  <c r="AK1260" i="4"/>
  <c r="AI1260" i="4"/>
  <c r="AH1261" i="4"/>
  <c r="AJ1261" i="4"/>
  <c r="AL1252" i="4" l="1"/>
  <c r="AK1261" i="4"/>
  <c r="AI1261" i="4"/>
  <c r="AH1262" i="4"/>
  <c r="AJ1262" i="4"/>
  <c r="AL1253" i="4" l="1"/>
  <c r="AK1262" i="4"/>
  <c r="AI1262" i="4"/>
  <c r="AH1263" i="4"/>
  <c r="AJ1263" i="4"/>
  <c r="AL1254" i="4" l="1"/>
  <c r="AK1263" i="4"/>
  <c r="AI1263" i="4"/>
  <c r="AH1264" i="4"/>
  <c r="AJ1264" i="4"/>
  <c r="AL1255" i="4" l="1"/>
  <c r="AK1264" i="4"/>
  <c r="AI1264" i="4"/>
  <c r="AH1265" i="4"/>
  <c r="AJ1265" i="4"/>
  <c r="AL1256" i="4" l="1"/>
  <c r="AK1265" i="4"/>
  <c r="AI1265" i="4"/>
  <c r="AH1266" i="4"/>
  <c r="AJ1266" i="4"/>
  <c r="AL1257" i="4" l="1"/>
  <c r="AK1266" i="4"/>
  <c r="AI1266" i="4"/>
  <c r="AH1267" i="4"/>
  <c r="AJ1267" i="4"/>
  <c r="AL1258" i="4" l="1"/>
  <c r="AK1267" i="4"/>
  <c r="AI1267" i="4"/>
  <c r="AH1268" i="4"/>
  <c r="AJ1268" i="4"/>
  <c r="AL1259" i="4" l="1"/>
  <c r="AK1268" i="4"/>
  <c r="AI1268" i="4"/>
  <c r="AH1269" i="4"/>
  <c r="AJ1269" i="4"/>
  <c r="AL1260" i="4" l="1"/>
  <c r="AK1269" i="4"/>
  <c r="AI1269" i="4"/>
  <c r="AH1270" i="4"/>
  <c r="AS72" i="4"/>
  <c r="AJ1270" i="4"/>
  <c r="AL1261" i="4" l="1"/>
  <c r="AK1270" i="4"/>
  <c r="AI1270" i="4"/>
  <c r="AH1271" i="4"/>
  <c r="AJ1271" i="4"/>
  <c r="AL1262" i="4" l="1"/>
  <c r="AK1271" i="4"/>
  <c r="AI1271" i="4"/>
  <c r="AH1272" i="4"/>
  <c r="AJ1272" i="4"/>
  <c r="AL1263" i="4" l="1"/>
  <c r="AK1272" i="4"/>
  <c r="AI1272" i="4"/>
  <c r="AH1273" i="4"/>
  <c r="AJ1273" i="4"/>
  <c r="AL1264" i="4" l="1"/>
  <c r="AK1273" i="4"/>
  <c r="AI1273" i="4"/>
  <c r="AH1274" i="4"/>
  <c r="AJ1274" i="4"/>
  <c r="AL1265" i="4" l="1"/>
  <c r="AK1274" i="4"/>
  <c r="AI1274" i="4"/>
  <c r="AH1275" i="4"/>
  <c r="AJ1275" i="4"/>
  <c r="AL1266" i="4" l="1"/>
  <c r="AK1275" i="4"/>
  <c r="AI1275" i="4"/>
  <c r="AH1276" i="4"/>
  <c r="AJ1276" i="4"/>
  <c r="AL1267" i="4" l="1"/>
  <c r="AK1276" i="4"/>
  <c r="AI1276" i="4"/>
  <c r="AH1277" i="4"/>
  <c r="AJ1277" i="4"/>
  <c r="AL1268" i="4" l="1"/>
  <c r="AK1277" i="4"/>
  <c r="AI1277" i="4"/>
  <c r="AH1278" i="4"/>
  <c r="AJ1278" i="4"/>
  <c r="AL1269" i="4" l="1"/>
  <c r="AK1278" i="4"/>
  <c r="AI1278" i="4"/>
  <c r="AH1279" i="4"/>
  <c r="AJ1279" i="4"/>
  <c r="AL1270" i="4" l="1"/>
  <c r="AK1279" i="4"/>
  <c r="AI1279" i="4"/>
  <c r="AH1280" i="4"/>
  <c r="AJ1280" i="4"/>
  <c r="AL1271" i="4" l="1"/>
  <c r="AK1280" i="4"/>
  <c r="AI1280" i="4"/>
  <c r="AH1281" i="4"/>
  <c r="AJ1281" i="4"/>
  <c r="AL1272" i="4" l="1"/>
  <c r="AK1281" i="4"/>
  <c r="AI1281" i="4"/>
  <c r="AH1282" i="4"/>
  <c r="AJ1282" i="4"/>
  <c r="AL1273" i="4" l="1"/>
  <c r="AK1282" i="4"/>
  <c r="AI1282" i="4"/>
  <c r="AH1283" i="4"/>
  <c r="AJ1283" i="4"/>
  <c r="AL1274" i="4" l="1"/>
  <c r="AK1283" i="4"/>
  <c r="AI1283" i="4"/>
  <c r="AH1284" i="4"/>
  <c r="AJ1284" i="4"/>
  <c r="AL1275" i="4" l="1"/>
  <c r="AK1284" i="4"/>
  <c r="AI1284" i="4"/>
  <c r="AH1285" i="4"/>
  <c r="AJ1285" i="4"/>
  <c r="AL1276" i="4" l="1"/>
  <c r="AK1285" i="4"/>
  <c r="AI1285" i="4"/>
  <c r="AH1286" i="4"/>
  <c r="AJ1286" i="4"/>
  <c r="AL1277" i="4" l="1"/>
  <c r="AK1286" i="4"/>
  <c r="AI1286" i="4"/>
  <c r="AH1287" i="4"/>
  <c r="AJ1287" i="4"/>
  <c r="AL1278" i="4" l="1"/>
  <c r="AK1287" i="4"/>
  <c r="AI1287" i="4"/>
  <c r="AH1288" i="4"/>
  <c r="AJ1288" i="4"/>
  <c r="AL1279" i="4" l="1"/>
  <c r="AK1288" i="4"/>
  <c r="AI1288" i="4"/>
  <c r="AH1289" i="4"/>
  <c r="AJ1289" i="4"/>
  <c r="AL1280" i="4" l="1"/>
  <c r="AK1289" i="4"/>
  <c r="AI1289" i="4"/>
  <c r="AH1290" i="4"/>
  <c r="AJ1290" i="4"/>
  <c r="AL1281" i="4" l="1"/>
  <c r="AK1290" i="4"/>
  <c r="AI1290" i="4"/>
  <c r="AH1291" i="4"/>
  <c r="AJ1291" i="4"/>
  <c r="AL1282" i="4" l="1"/>
  <c r="AK1291" i="4"/>
  <c r="AI1291" i="4"/>
  <c r="AH1292" i="4"/>
  <c r="AJ1292" i="4"/>
  <c r="AL1283" i="4" l="1"/>
  <c r="AK1292" i="4"/>
  <c r="AI1292" i="4"/>
  <c r="AH1293" i="4"/>
  <c r="AJ1293" i="4"/>
  <c r="AL1284" i="4" l="1"/>
  <c r="AK1293" i="4"/>
  <c r="AI1293" i="4"/>
  <c r="AH1294" i="4"/>
  <c r="AJ1294" i="4"/>
  <c r="AL1285" i="4" l="1"/>
  <c r="AK1294" i="4"/>
  <c r="AI1294" i="4"/>
  <c r="AH1295" i="4"/>
  <c r="AJ1295" i="4"/>
  <c r="AL1286" i="4" l="1"/>
  <c r="AK1295" i="4"/>
  <c r="AI1295" i="4"/>
  <c r="AH1296" i="4"/>
  <c r="AJ1296" i="4"/>
  <c r="AL1287" i="4" l="1"/>
  <c r="AK1296" i="4"/>
  <c r="AI1296" i="4"/>
  <c r="AH1297" i="4"/>
  <c r="AJ1297" i="4"/>
  <c r="AL1288" i="4" l="1"/>
  <c r="AK1297" i="4"/>
  <c r="AI1297" i="4"/>
  <c r="AH1298" i="4"/>
  <c r="AJ1298" i="4"/>
  <c r="AL1289" i="4" l="1"/>
  <c r="AK1298" i="4"/>
  <c r="AI1298" i="4"/>
  <c r="AH1299" i="4"/>
  <c r="AJ1299" i="4"/>
  <c r="AL1290" i="4" l="1"/>
  <c r="AK1299" i="4"/>
  <c r="AI1299" i="4"/>
  <c r="AH1300" i="4"/>
  <c r="AJ1300" i="4"/>
  <c r="AS73" i="4"/>
  <c r="AL1291" i="4" l="1"/>
  <c r="AK1300" i="4"/>
  <c r="AI1300" i="4"/>
  <c r="AH1301" i="4"/>
  <c r="AJ1301" i="4"/>
  <c r="AL1292" i="4" l="1"/>
  <c r="AK1301" i="4"/>
  <c r="AI1301" i="4"/>
  <c r="AH1302" i="4"/>
  <c r="AJ1302" i="4"/>
  <c r="AL1293" i="4" l="1"/>
  <c r="AK1302" i="4"/>
  <c r="AI1302" i="4"/>
  <c r="AH1303" i="4"/>
  <c r="AJ1303" i="4"/>
  <c r="AL1294" i="4" l="1"/>
  <c r="AK1303" i="4"/>
  <c r="AI1303" i="4"/>
  <c r="AH1304" i="4"/>
  <c r="AJ1304" i="4"/>
  <c r="AL1295" i="4" l="1"/>
  <c r="AK1304" i="4"/>
  <c r="AI1304" i="4"/>
  <c r="AH1305" i="4"/>
  <c r="AJ1305" i="4"/>
  <c r="AL1296" i="4" l="1"/>
  <c r="AK1305" i="4"/>
  <c r="AI1305" i="4"/>
  <c r="AH1306" i="4"/>
  <c r="AJ1306" i="4"/>
  <c r="AL1297" i="4" l="1"/>
  <c r="AK1306" i="4"/>
  <c r="AI1306" i="4"/>
  <c r="AH1307" i="4"/>
  <c r="AJ1307" i="4"/>
  <c r="AL1298" i="4" l="1"/>
  <c r="AK1307" i="4"/>
  <c r="AI1307" i="4"/>
  <c r="AH1308" i="4"/>
  <c r="AJ1308" i="4"/>
  <c r="AL1299" i="4" l="1"/>
  <c r="AK1308" i="4"/>
  <c r="AI1308" i="4"/>
  <c r="AH1309" i="4"/>
  <c r="AJ1309" i="4"/>
  <c r="AL1300" i="4" l="1"/>
  <c r="AK1309" i="4"/>
  <c r="AI1309" i="4"/>
  <c r="AH1310" i="4"/>
  <c r="AJ1310" i="4"/>
  <c r="AL1301" i="4" l="1"/>
  <c r="AK1310" i="4"/>
  <c r="AI1310" i="4"/>
  <c r="AH1311" i="4"/>
  <c r="AJ1311" i="4"/>
  <c r="AL1302" i="4" l="1"/>
  <c r="AK1311" i="4"/>
  <c r="AI1311" i="4"/>
  <c r="AH1312" i="4"/>
  <c r="AJ1312" i="4"/>
  <c r="AL1303" i="4" l="1"/>
  <c r="AK1312" i="4"/>
  <c r="AI1312" i="4"/>
  <c r="AH1313" i="4"/>
  <c r="AJ1313" i="4"/>
  <c r="AL1304" i="4" l="1"/>
  <c r="AK1313" i="4"/>
  <c r="AI1313" i="4"/>
  <c r="AH1314" i="4"/>
  <c r="AJ1314" i="4"/>
  <c r="AL1305" i="4" l="1"/>
  <c r="AK1314" i="4"/>
  <c r="AI1314" i="4"/>
  <c r="AH1315" i="4"/>
  <c r="AJ1315" i="4"/>
  <c r="AL1306" i="4" l="1"/>
  <c r="AK1315" i="4"/>
  <c r="AI1315" i="4"/>
  <c r="AH1316" i="4"/>
  <c r="AJ1316" i="4"/>
  <c r="AL1307" i="4" l="1"/>
  <c r="AK1316" i="4"/>
  <c r="AI1316" i="4"/>
  <c r="AH1317" i="4"/>
  <c r="AJ1317" i="4"/>
  <c r="AL1308" i="4" l="1"/>
  <c r="AK1317" i="4"/>
  <c r="AI1317" i="4"/>
  <c r="AH1318" i="4"/>
  <c r="AJ1318" i="4"/>
  <c r="AL1309" i="4" l="1"/>
  <c r="AK1318" i="4"/>
  <c r="AI1318" i="4"/>
  <c r="AH1319" i="4"/>
  <c r="AJ1319" i="4"/>
  <c r="AL1310" i="4" l="1"/>
  <c r="AK1319" i="4"/>
  <c r="AI1319" i="4"/>
  <c r="AH1320" i="4"/>
  <c r="AJ1320" i="4"/>
  <c r="AL1311" i="4" l="1"/>
  <c r="AK1320" i="4"/>
  <c r="AI1320" i="4"/>
  <c r="AH1321" i="4"/>
  <c r="AJ1321" i="4"/>
  <c r="AL1312" i="4" l="1"/>
  <c r="AK1321" i="4"/>
  <c r="AI1321" i="4"/>
  <c r="AH1322" i="4"/>
  <c r="AJ1322" i="4"/>
  <c r="AL1313" i="4" l="1"/>
  <c r="AK1322" i="4"/>
  <c r="AI1322" i="4"/>
  <c r="AH1323" i="4"/>
  <c r="AJ1323" i="4"/>
  <c r="AL1314" i="4" l="1"/>
  <c r="AK1323" i="4"/>
  <c r="AI1323" i="4"/>
  <c r="AH1324" i="4"/>
  <c r="AJ1324" i="4"/>
  <c r="AL1315" i="4" l="1"/>
  <c r="AK1324" i="4"/>
  <c r="AI1324" i="4"/>
  <c r="AH1325" i="4"/>
  <c r="AJ1325" i="4"/>
  <c r="AL1316" i="4" l="1"/>
  <c r="AK1325" i="4"/>
  <c r="AI1325" i="4"/>
  <c r="AH1326" i="4"/>
  <c r="AJ1326" i="4"/>
  <c r="AL1317" i="4" l="1"/>
  <c r="AK1326" i="4"/>
  <c r="AI1326" i="4"/>
  <c r="AH1327" i="4"/>
  <c r="AJ1327" i="4"/>
  <c r="AL1318" i="4" l="1"/>
  <c r="AK1327" i="4"/>
  <c r="AI1327" i="4"/>
  <c r="AH1328" i="4"/>
  <c r="AJ1328" i="4"/>
  <c r="AL1319" i="4" l="1"/>
  <c r="AK1328" i="4"/>
  <c r="AI1328" i="4"/>
  <c r="AH1329" i="4"/>
  <c r="AJ1329" i="4"/>
  <c r="AL1320" i="4" l="1"/>
  <c r="AK1329" i="4"/>
  <c r="AI1329" i="4"/>
  <c r="AH1330" i="4"/>
  <c r="AJ1330" i="4"/>
  <c r="AS74" i="4"/>
  <c r="AL1321" i="4" l="1"/>
  <c r="AK1330" i="4"/>
  <c r="AI1330" i="4"/>
  <c r="AH1331" i="4"/>
  <c r="AJ1331" i="4"/>
  <c r="AL1322" i="4" l="1"/>
  <c r="AK1331" i="4"/>
  <c r="AI1331" i="4"/>
  <c r="AH1332" i="4"/>
  <c r="AJ1332" i="4"/>
  <c r="AL1323" i="4" l="1"/>
  <c r="AK1332" i="4"/>
  <c r="AI1332" i="4"/>
  <c r="AH1333" i="4"/>
  <c r="AJ1333" i="4"/>
  <c r="AL1324" i="4" l="1"/>
  <c r="AK1333" i="4"/>
  <c r="AI1333" i="4"/>
  <c r="AH1334" i="4"/>
  <c r="AJ1334" i="4"/>
  <c r="AL1325" i="4" l="1"/>
  <c r="AK1334" i="4"/>
  <c r="AI1334" i="4"/>
  <c r="AH1335" i="4"/>
  <c r="AJ1335" i="4"/>
  <c r="AL1326" i="4" l="1"/>
  <c r="AK1335" i="4"/>
  <c r="AI1335" i="4"/>
  <c r="AH1336" i="4"/>
  <c r="AJ1336" i="4"/>
  <c r="AL1327" i="4" l="1"/>
  <c r="AK1336" i="4"/>
  <c r="AI1336" i="4"/>
  <c r="AH1337" i="4"/>
  <c r="AJ1337" i="4"/>
  <c r="AL1328" i="4" l="1"/>
  <c r="AK1337" i="4"/>
  <c r="AI1337" i="4"/>
  <c r="AH1338" i="4"/>
  <c r="AJ1338" i="4"/>
  <c r="AL1329" i="4" l="1"/>
  <c r="AK1338" i="4"/>
  <c r="AI1338" i="4"/>
  <c r="AH1339" i="4"/>
  <c r="AJ1339" i="4"/>
  <c r="AL1330" i="4" l="1"/>
  <c r="AK1339" i="4"/>
  <c r="AI1339" i="4"/>
  <c r="AH1340" i="4"/>
  <c r="AJ1340" i="4"/>
  <c r="AL1331" i="4" l="1"/>
  <c r="AK1340" i="4"/>
  <c r="AI1340" i="4"/>
  <c r="AH1341" i="4"/>
  <c r="AJ1341" i="4"/>
  <c r="AL1332" i="4" l="1"/>
  <c r="AK1341" i="4"/>
  <c r="AI1341" i="4"/>
  <c r="AH1342" i="4"/>
  <c r="AJ1342" i="4"/>
  <c r="AL1333" i="4" l="1"/>
  <c r="AK1342" i="4"/>
  <c r="AI1342" i="4"/>
  <c r="AH1343" i="4"/>
  <c r="AJ1343" i="4"/>
  <c r="AL1334" i="4" l="1"/>
  <c r="AK1343" i="4"/>
  <c r="AI1343" i="4"/>
  <c r="AH1344" i="4"/>
  <c r="AJ1344" i="4"/>
  <c r="AL1335" i="4" l="1"/>
  <c r="AK1344" i="4"/>
  <c r="AI1344" i="4"/>
  <c r="AH1345" i="4"/>
  <c r="AJ1345" i="4"/>
  <c r="AL1336" i="4" l="1"/>
  <c r="AK1345" i="4"/>
  <c r="AI1345" i="4"/>
  <c r="AH1346" i="4"/>
  <c r="AJ1346" i="4"/>
  <c r="AL1337" i="4" l="1"/>
  <c r="AK1346" i="4"/>
  <c r="AI1346" i="4"/>
  <c r="AH1347" i="4"/>
  <c r="AJ1347" i="4"/>
  <c r="AL1338" i="4" l="1"/>
  <c r="AK1347" i="4"/>
  <c r="AI1347" i="4"/>
  <c r="AH1348" i="4"/>
  <c r="AJ1348" i="4"/>
  <c r="AL1339" i="4" l="1"/>
  <c r="AK1348" i="4"/>
  <c r="AI1348" i="4"/>
  <c r="AH1349" i="4"/>
  <c r="AJ1349" i="4"/>
  <c r="AL1340" i="4" l="1"/>
  <c r="AK1349" i="4"/>
  <c r="AI1349" i="4"/>
  <c r="AH1350" i="4"/>
  <c r="AJ1350" i="4"/>
  <c r="AL1341" i="4" l="1"/>
  <c r="AK1350" i="4"/>
  <c r="AI1350" i="4"/>
  <c r="AH1351" i="4"/>
  <c r="AJ1351" i="4"/>
  <c r="AL1342" i="4" l="1"/>
  <c r="AK1351" i="4"/>
  <c r="AI1351" i="4"/>
  <c r="AH1352" i="4"/>
  <c r="AJ1352" i="4"/>
  <c r="AL1343" i="4" l="1"/>
  <c r="AK1352" i="4"/>
  <c r="AI1352" i="4"/>
  <c r="AH1353" i="4"/>
  <c r="AJ1353" i="4"/>
  <c r="AL1344" i="4" l="1"/>
  <c r="AK1353" i="4"/>
  <c r="AI1353" i="4"/>
  <c r="AH1354" i="4"/>
  <c r="AJ1354" i="4"/>
  <c r="AL1345" i="4" l="1"/>
  <c r="AK1354" i="4"/>
  <c r="AI1354" i="4"/>
  <c r="AH1355" i="4"/>
  <c r="AJ1355" i="4"/>
  <c r="AL1346" i="4" l="1"/>
  <c r="AK1355" i="4"/>
  <c r="AI1355" i="4"/>
  <c r="AH1356" i="4"/>
  <c r="AJ1356" i="4"/>
  <c r="AL1347" i="4" l="1"/>
  <c r="AK1356" i="4"/>
  <c r="AI1356" i="4"/>
  <c r="AH1357" i="4"/>
  <c r="AJ1357" i="4"/>
  <c r="AL1348" i="4" l="1"/>
  <c r="AK1357" i="4"/>
  <c r="AI1357" i="4"/>
  <c r="AH1358" i="4"/>
  <c r="AJ1358" i="4"/>
  <c r="AL1349" i="4" l="1"/>
  <c r="AK1358" i="4"/>
  <c r="AI1358" i="4"/>
  <c r="AH1359" i="4"/>
  <c r="AJ1359" i="4"/>
  <c r="AL1350" i="4" l="1"/>
  <c r="AK1359" i="4"/>
  <c r="AI1359" i="4"/>
  <c r="AH1360" i="4"/>
  <c r="AS75" i="4"/>
  <c r="AJ1360" i="4"/>
  <c r="AL1351" i="4" l="1"/>
  <c r="AK1360" i="4"/>
  <c r="AI1360" i="4"/>
  <c r="AH1361" i="4"/>
  <c r="AJ1361" i="4"/>
  <c r="AL1352" i="4" l="1"/>
  <c r="AK1361" i="4"/>
  <c r="AI1361" i="4"/>
  <c r="AH1362" i="4"/>
  <c r="AJ1362" i="4"/>
  <c r="AL1353" i="4" l="1"/>
  <c r="AK1362" i="4"/>
  <c r="AI1362" i="4"/>
  <c r="AH1363" i="4"/>
  <c r="AJ1363" i="4"/>
  <c r="AL1354" i="4" l="1"/>
  <c r="AK1363" i="4"/>
  <c r="AI1363" i="4"/>
  <c r="AH1364" i="4"/>
  <c r="AJ1364" i="4"/>
  <c r="AL1355" i="4" l="1"/>
  <c r="AK1364" i="4"/>
  <c r="AI1364" i="4"/>
  <c r="AH1365" i="4"/>
  <c r="AJ1365" i="4"/>
  <c r="AL1356" i="4" l="1"/>
  <c r="AK1365" i="4"/>
  <c r="AI1365" i="4"/>
  <c r="AH1366" i="4"/>
  <c r="AJ1366" i="4"/>
  <c r="AL1357" i="4" l="1"/>
  <c r="AK1366" i="4"/>
  <c r="AI1366" i="4"/>
  <c r="AH1367" i="4"/>
  <c r="AJ1367" i="4"/>
  <c r="AL1358" i="4" l="1"/>
  <c r="AK1367" i="4"/>
  <c r="AI1367" i="4"/>
  <c r="AH1368" i="4"/>
  <c r="AJ1368" i="4"/>
  <c r="AL1359" i="4" l="1"/>
  <c r="AK1368" i="4"/>
  <c r="AI1368" i="4"/>
  <c r="AH1369" i="4"/>
  <c r="AJ1369" i="4"/>
  <c r="AL1360" i="4" l="1"/>
  <c r="AK1369" i="4"/>
  <c r="AI1369" i="4"/>
  <c r="AH1370" i="4"/>
  <c r="AJ1370" i="4"/>
  <c r="AL1361" i="4" l="1"/>
  <c r="AK1370" i="4"/>
  <c r="AI1370" i="4"/>
  <c r="AH1371" i="4"/>
  <c r="AJ1371" i="4"/>
  <c r="AL1362" i="4" l="1"/>
  <c r="AK1371" i="4"/>
  <c r="AI1371" i="4"/>
  <c r="AH1372" i="4"/>
  <c r="AJ1372" i="4"/>
  <c r="AL1363" i="4" l="1"/>
  <c r="AK1372" i="4"/>
  <c r="AI1372" i="4"/>
  <c r="AH1373" i="4"/>
  <c r="AJ1373" i="4"/>
  <c r="AL1364" i="4" l="1"/>
  <c r="AK1373" i="4"/>
  <c r="AI1373" i="4"/>
  <c r="AH1374" i="4"/>
  <c r="AJ1374" i="4"/>
  <c r="AL1365" i="4" l="1"/>
  <c r="AK1374" i="4"/>
  <c r="AI1374" i="4"/>
  <c r="AH1375" i="4"/>
  <c r="AJ1375" i="4"/>
  <c r="AL1366" i="4" l="1"/>
  <c r="AK1375" i="4"/>
  <c r="AI1375" i="4"/>
  <c r="AH1376" i="4"/>
  <c r="AJ1376" i="4"/>
  <c r="AL1367" i="4" l="1"/>
  <c r="AK1376" i="4"/>
  <c r="AI1376" i="4"/>
  <c r="AH1377" i="4"/>
  <c r="AJ1377" i="4"/>
  <c r="AL1368" i="4" l="1"/>
  <c r="AK1377" i="4"/>
  <c r="AI1377" i="4"/>
  <c r="AH1378" i="4"/>
  <c r="AJ1378" i="4"/>
  <c r="AL1369" i="4" l="1"/>
  <c r="AK1378" i="4"/>
  <c r="AI1378" i="4"/>
  <c r="AH1379" i="4"/>
  <c r="AJ1379" i="4"/>
  <c r="AL1370" i="4" l="1"/>
  <c r="AK1379" i="4"/>
  <c r="AI1379" i="4"/>
  <c r="AH1380" i="4"/>
  <c r="AJ1380" i="4"/>
  <c r="AL1371" i="4" l="1"/>
  <c r="AK1380" i="4"/>
  <c r="AI1380" i="4"/>
  <c r="AH1381" i="4"/>
  <c r="AJ1381" i="4"/>
  <c r="AL1372" i="4" l="1"/>
  <c r="AK1381" i="4"/>
  <c r="AI1381" i="4"/>
  <c r="AH1382" i="4"/>
  <c r="AJ1382" i="4"/>
  <c r="AL1373" i="4" l="1"/>
  <c r="AK1382" i="4"/>
  <c r="AI1382" i="4"/>
  <c r="AH1383" i="4"/>
  <c r="AJ1383" i="4"/>
  <c r="AL1374" i="4" l="1"/>
  <c r="AK1383" i="4"/>
  <c r="AI1383" i="4"/>
  <c r="AH1384" i="4"/>
  <c r="AJ1384" i="4"/>
  <c r="AL1375" i="4" l="1"/>
  <c r="AK1384" i="4"/>
  <c r="AI1384" i="4"/>
  <c r="AH1385" i="4"/>
  <c r="AJ1385" i="4"/>
  <c r="AL1376" i="4" l="1"/>
  <c r="AK1385" i="4"/>
  <c r="AI1385" i="4"/>
  <c r="AH1386" i="4"/>
  <c r="AJ1386" i="4"/>
  <c r="AL1377" i="4" l="1"/>
  <c r="AK1386" i="4"/>
  <c r="AI1386" i="4"/>
  <c r="AH1387" i="4"/>
  <c r="AJ1387" i="4"/>
  <c r="AL1378" i="4" l="1"/>
  <c r="AK1387" i="4"/>
  <c r="AI1387" i="4"/>
  <c r="AH1388" i="4"/>
  <c r="AJ1388" i="4"/>
  <c r="AL1379" i="4" l="1"/>
  <c r="AK1388" i="4"/>
  <c r="AI1388" i="4"/>
  <c r="AH1389" i="4"/>
  <c r="AJ1389" i="4"/>
  <c r="AL1380" i="4" l="1"/>
  <c r="AK1389" i="4"/>
  <c r="AI1389" i="4"/>
  <c r="AH1390" i="4"/>
  <c r="AS76" i="4"/>
  <c r="AJ1390" i="4"/>
  <c r="AL1381" i="4" l="1"/>
  <c r="AK1390" i="4"/>
  <c r="AI1390" i="4"/>
  <c r="AH1391" i="4"/>
  <c r="AJ1391" i="4"/>
  <c r="AL1382" i="4" l="1"/>
  <c r="AK1391" i="4"/>
  <c r="AI1391" i="4"/>
  <c r="AH1392" i="4"/>
  <c r="AJ1392" i="4"/>
  <c r="AL1383" i="4" l="1"/>
  <c r="AK1392" i="4"/>
  <c r="AI1392" i="4"/>
  <c r="AH1393" i="4"/>
  <c r="AJ1393" i="4"/>
  <c r="AL1384" i="4" l="1"/>
  <c r="AK1393" i="4"/>
  <c r="AI1393" i="4"/>
  <c r="AH1394" i="4"/>
  <c r="AJ1394" i="4"/>
  <c r="AL1385" i="4" l="1"/>
  <c r="AK1394" i="4"/>
  <c r="AI1394" i="4"/>
  <c r="AH1395" i="4"/>
  <c r="AJ1395" i="4"/>
  <c r="AL1386" i="4" l="1"/>
  <c r="AK1395" i="4"/>
  <c r="AI1395" i="4"/>
  <c r="AH1396" i="4"/>
  <c r="AJ1396" i="4"/>
  <c r="AL1387" i="4" l="1"/>
  <c r="AK1396" i="4"/>
  <c r="AI1396" i="4"/>
  <c r="AH1397" i="4"/>
  <c r="AJ1397" i="4"/>
  <c r="AL1388" i="4" l="1"/>
  <c r="AK1397" i="4"/>
  <c r="AI1397" i="4"/>
  <c r="AH1398" i="4"/>
  <c r="AJ1398" i="4"/>
  <c r="AL1389" i="4" l="1"/>
  <c r="AK1398" i="4"/>
  <c r="AI1398" i="4"/>
  <c r="AH1399" i="4"/>
  <c r="AJ1399" i="4"/>
  <c r="AL1390" i="4" l="1"/>
  <c r="AK1399" i="4"/>
  <c r="AI1399" i="4"/>
  <c r="AH1400" i="4"/>
  <c r="AJ1400" i="4"/>
  <c r="AL1391" i="4" l="1"/>
  <c r="AK1400" i="4"/>
  <c r="AI1400" i="4"/>
  <c r="AH1401" i="4"/>
  <c r="AJ1401" i="4"/>
  <c r="AL1392" i="4" l="1"/>
  <c r="AK1401" i="4"/>
  <c r="AI1401" i="4"/>
  <c r="AH1402" i="4"/>
  <c r="AJ1402" i="4"/>
  <c r="AL1393" i="4" l="1"/>
  <c r="AK1402" i="4"/>
  <c r="AI1402" i="4"/>
  <c r="AH1403" i="4"/>
  <c r="AJ1403" i="4"/>
  <c r="AL1394" i="4" l="1"/>
  <c r="AK1403" i="4"/>
  <c r="AI1403" i="4"/>
  <c r="AH1404" i="4"/>
  <c r="AJ1404" i="4"/>
  <c r="AL1395" i="4" l="1"/>
  <c r="AK1404" i="4"/>
  <c r="AI1404" i="4"/>
  <c r="AH1405" i="4"/>
  <c r="AJ1405" i="4"/>
  <c r="AL1396" i="4" l="1"/>
  <c r="AK1405" i="4"/>
  <c r="AI1405" i="4"/>
  <c r="AH1406" i="4"/>
  <c r="AJ1406" i="4"/>
  <c r="AL1397" i="4" l="1"/>
  <c r="AK1406" i="4"/>
  <c r="AI1406" i="4"/>
  <c r="AH1407" i="4"/>
  <c r="AJ1407" i="4"/>
  <c r="AL1398" i="4" l="1"/>
  <c r="AK1407" i="4"/>
  <c r="AI1407" i="4"/>
  <c r="AH1408" i="4"/>
  <c r="AJ1408" i="4"/>
  <c r="AL1399" i="4" l="1"/>
  <c r="AK1408" i="4"/>
  <c r="AI1408" i="4"/>
  <c r="AH1409" i="4"/>
  <c r="AJ1409" i="4"/>
  <c r="AL1400" i="4" l="1"/>
  <c r="AK1409" i="4"/>
  <c r="AI1409" i="4"/>
  <c r="AH1410" i="4"/>
  <c r="AJ1410" i="4"/>
  <c r="AL1401" i="4" l="1"/>
  <c r="AK1410" i="4"/>
  <c r="AI1410" i="4"/>
  <c r="AH1411" i="4"/>
  <c r="AJ1411" i="4"/>
  <c r="AL1402" i="4" l="1"/>
  <c r="AK1411" i="4"/>
  <c r="AI1411" i="4"/>
  <c r="AH1412" i="4"/>
  <c r="AJ1412" i="4"/>
  <c r="AL1403" i="4" l="1"/>
  <c r="AK1412" i="4"/>
  <c r="AI1412" i="4"/>
  <c r="AH1413" i="4"/>
  <c r="AJ1413" i="4"/>
  <c r="AL1404" i="4" l="1"/>
  <c r="AK1413" i="4"/>
  <c r="AI1413" i="4"/>
  <c r="AH1414" i="4"/>
  <c r="AJ1414" i="4"/>
  <c r="AL1405" i="4" l="1"/>
  <c r="AK1414" i="4"/>
  <c r="AI1414" i="4"/>
  <c r="AH1415" i="4"/>
  <c r="AJ1415" i="4"/>
  <c r="AL1406" i="4" l="1"/>
  <c r="AK1415" i="4"/>
  <c r="AI1415" i="4"/>
  <c r="AH1416" i="4"/>
  <c r="AJ1416" i="4"/>
  <c r="AL1407" i="4" l="1"/>
  <c r="AK1416" i="4"/>
  <c r="AI1416" i="4"/>
  <c r="AH1417" i="4"/>
  <c r="AJ1417" i="4"/>
  <c r="AL1408" i="4" l="1"/>
  <c r="AK1417" i="4"/>
  <c r="AI1417" i="4"/>
  <c r="AH1418" i="4"/>
  <c r="AJ1418" i="4"/>
  <c r="AL1409" i="4" l="1"/>
  <c r="AK1418" i="4"/>
  <c r="AI1418" i="4"/>
  <c r="AH1419" i="4"/>
  <c r="AJ1419" i="4"/>
  <c r="AL1410" i="4" l="1"/>
  <c r="AK1419" i="4"/>
  <c r="AI1419" i="4"/>
  <c r="AH1420" i="4"/>
  <c r="AS77" i="4"/>
  <c r="AJ1420" i="4"/>
  <c r="AL1411" i="4" l="1"/>
  <c r="AK1420" i="4"/>
  <c r="AI1420" i="4"/>
  <c r="AH1421" i="4"/>
  <c r="AJ1421" i="4"/>
  <c r="AL1412" i="4" l="1"/>
  <c r="AK1421" i="4"/>
  <c r="AI1421" i="4"/>
  <c r="AH1422" i="4"/>
  <c r="AJ1422" i="4"/>
  <c r="AL1413" i="4" l="1"/>
  <c r="AK1422" i="4"/>
  <c r="AI1422" i="4"/>
  <c r="AH1423" i="4"/>
  <c r="AJ1423" i="4"/>
  <c r="AL1414" i="4" l="1"/>
  <c r="AK1423" i="4"/>
  <c r="AI1423" i="4"/>
  <c r="AH1424" i="4"/>
  <c r="AJ1424" i="4"/>
  <c r="AL1415" i="4" l="1"/>
  <c r="AK1424" i="4"/>
  <c r="AI1424" i="4"/>
  <c r="AH1425" i="4"/>
  <c r="AJ1425" i="4"/>
  <c r="AL1416" i="4" l="1"/>
  <c r="AK1425" i="4"/>
  <c r="AI1425" i="4"/>
  <c r="AH1426" i="4"/>
  <c r="AJ1426" i="4"/>
  <c r="AL1417" i="4" l="1"/>
  <c r="AK1426" i="4"/>
  <c r="AI1426" i="4"/>
  <c r="AH1427" i="4"/>
  <c r="AJ1427" i="4"/>
  <c r="AL1418" i="4" l="1"/>
  <c r="AK1427" i="4"/>
  <c r="AI1427" i="4"/>
  <c r="AH1428" i="4"/>
  <c r="AJ1428" i="4"/>
  <c r="AL1419" i="4" l="1"/>
  <c r="AK1428" i="4"/>
  <c r="AI1428" i="4"/>
  <c r="AH1429" i="4"/>
  <c r="AJ1429" i="4"/>
  <c r="AL1420" i="4" l="1"/>
  <c r="AK1429" i="4"/>
  <c r="AI1429" i="4"/>
  <c r="AH1430" i="4"/>
  <c r="AJ1430" i="4"/>
  <c r="AL1421" i="4" l="1"/>
  <c r="AK1430" i="4"/>
  <c r="AI1430" i="4"/>
  <c r="AH1431" i="4"/>
  <c r="AJ1431" i="4"/>
  <c r="AL1422" i="4" l="1"/>
  <c r="AK1431" i="4"/>
  <c r="AI1431" i="4"/>
  <c r="AH1432" i="4"/>
  <c r="AJ1432" i="4"/>
  <c r="AL1423" i="4" l="1"/>
  <c r="AK1432" i="4"/>
  <c r="AI1432" i="4"/>
  <c r="AH1433" i="4"/>
  <c r="AJ1433" i="4"/>
  <c r="AL1424" i="4" l="1"/>
  <c r="AK1433" i="4"/>
  <c r="AI1433" i="4"/>
  <c r="AH1434" i="4"/>
  <c r="AJ1434" i="4"/>
  <c r="AL1425" i="4" l="1"/>
  <c r="AK1434" i="4"/>
  <c r="AI1434" i="4"/>
  <c r="AH1435" i="4"/>
  <c r="AJ1435" i="4"/>
  <c r="AL1426" i="4" l="1"/>
  <c r="AK1435" i="4"/>
  <c r="AI1435" i="4"/>
  <c r="AH1436" i="4"/>
  <c r="AJ1436" i="4"/>
  <c r="AL1427" i="4" l="1"/>
  <c r="AK1436" i="4"/>
  <c r="AI1436" i="4"/>
  <c r="AH1437" i="4"/>
  <c r="AJ1437" i="4"/>
  <c r="AL1428" i="4" l="1"/>
  <c r="AK1437" i="4"/>
  <c r="AI1437" i="4"/>
  <c r="AH1438" i="4"/>
  <c r="AJ1438" i="4"/>
  <c r="AL1429" i="4" l="1"/>
  <c r="AK1438" i="4"/>
  <c r="AI1438" i="4"/>
  <c r="AH1439" i="4"/>
  <c r="AJ1439" i="4"/>
  <c r="AL1430" i="4" l="1"/>
  <c r="AK1439" i="4"/>
  <c r="AI1439" i="4"/>
  <c r="AH1440" i="4"/>
  <c r="AJ1440" i="4"/>
  <c r="AL1431" i="4" l="1"/>
  <c r="AK1440" i="4"/>
  <c r="AI1440" i="4"/>
  <c r="AH1441" i="4"/>
  <c r="AJ1441" i="4"/>
  <c r="AL1432" i="4" l="1"/>
  <c r="AK1441" i="4"/>
  <c r="AI1441" i="4"/>
  <c r="AH1442" i="4"/>
  <c r="AJ1442" i="4"/>
  <c r="AL1433" i="4" l="1"/>
  <c r="AK1442" i="4"/>
  <c r="AI1442" i="4"/>
  <c r="AH1443" i="4"/>
  <c r="AJ1443" i="4"/>
  <c r="AL1434" i="4" l="1"/>
  <c r="AK1443" i="4"/>
  <c r="AI1443" i="4"/>
  <c r="AH1444" i="4"/>
  <c r="AJ1444" i="4"/>
  <c r="AL1435" i="4" l="1"/>
  <c r="AK1444" i="4"/>
  <c r="AI1444" i="4"/>
  <c r="AH1445" i="4"/>
  <c r="AJ1445" i="4"/>
  <c r="AL1436" i="4" l="1"/>
  <c r="AK1445" i="4"/>
  <c r="AI1445" i="4"/>
  <c r="AH1446" i="4"/>
  <c r="AJ1446" i="4"/>
  <c r="AL1437" i="4" l="1"/>
  <c r="AK1446" i="4"/>
  <c r="AI1446" i="4"/>
  <c r="AH1447" i="4"/>
  <c r="AJ1447" i="4"/>
  <c r="AL1438" i="4" l="1"/>
  <c r="AK1447" i="4"/>
  <c r="AI1447" i="4"/>
  <c r="AH1448" i="4"/>
  <c r="AJ1448" i="4"/>
  <c r="AL1439" i="4" l="1"/>
  <c r="AK1448" i="4"/>
  <c r="AI1448" i="4"/>
  <c r="AH1449" i="4"/>
  <c r="AJ1449" i="4"/>
  <c r="AL1440" i="4" l="1"/>
  <c r="AK1449" i="4"/>
  <c r="AI1449" i="4"/>
  <c r="AH1450" i="4"/>
  <c r="AS78" i="4"/>
  <c r="AJ1450" i="4"/>
  <c r="AL1441" i="4" l="1"/>
  <c r="AK1450" i="4"/>
  <c r="AI1450" i="4"/>
  <c r="AH1451" i="4"/>
  <c r="AJ1451" i="4"/>
  <c r="AL1442" i="4" l="1"/>
  <c r="AK1451" i="4"/>
  <c r="AI1451" i="4"/>
  <c r="AH1452" i="4"/>
  <c r="AJ1452" i="4"/>
  <c r="AL1443" i="4" l="1"/>
  <c r="AK1452" i="4"/>
  <c r="AI1452" i="4"/>
  <c r="AH1453" i="4"/>
  <c r="AJ1453" i="4"/>
  <c r="AL1444" i="4" l="1"/>
  <c r="AK1453" i="4"/>
  <c r="AI1453" i="4"/>
  <c r="AH1454" i="4"/>
  <c r="AJ1454" i="4"/>
  <c r="AL1445" i="4" l="1"/>
  <c r="AK1454" i="4"/>
  <c r="AI1454" i="4"/>
  <c r="AH1455" i="4"/>
  <c r="AJ1455" i="4"/>
  <c r="AL1446" i="4" l="1"/>
  <c r="AK1455" i="4"/>
  <c r="AI1455" i="4"/>
  <c r="AH1456" i="4"/>
  <c r="AJ1456" i="4"/>
  <c r="AL1447" i="4" l="1"/>
  <c r="AK1456" i="4"/>
  <c r="AI1456" i="4"/>
  <c r="AH1457" i="4"/>
  <c r="AJ1457" i="4"/>
  <c r="AL1448" i="4" l="1"/>
  <c r="AK1457" i="4"/>
  <c r="AI1457" i="4"/>
  <c r="AH1458" i="4"/>
  <c r="AJ1458" i="4"/>
  <c r="AL1449" i="4" l="1"/>
  <c r="AK1458" i="4"/>
  <c r="AI1458" i="4"/>
  <c r="AH1459" i="4"/>
  <c r="AJ1459" i="4"/>
  <c r="AL1450" i="4" l="1"/>
  <c r="AK1459" i="4"/>
  <c r="AI1459" i="4"/>
  <c r="AH1460" i="4"/>
  <c r="AJ1460" i="4"/>
  <c r="AL1451" i="4" l="1"/>
  <c r="AK1460" i="4"/>
  <c r="AI1460" i="4"/>
  <c r="AH1461" i="4"/>
  <c r="AJ1461" i="4"/>
  <c r="AL1452" i="4" l="1"/>
  <c r="AK1461" i="4"/>
  <c r="AI1461" i="4"/>
  <c r="AH1462" i="4"/>
  <c r="AJ1462" i="4"/>
  <c r="AL1453" i="4" l="1"/>
  <c r="AK1462" i="4"/>
  <c r="AI1462" i="4"/>
  <c r="AH1463" i="4"/>
  <c r="AJ1463" i="4"/>
  <c r="AL1454" i="4" l="1"/>
  <c r="AK1463" i="4"/>
  <c r="AI1463" i="4"/>
  <c r="AH1464" i="4"/>
  <c r="AJ1464" i="4"/>
  <c r="AL1455" i="4" l="1"/>
  <c r="AK1464" i="4"/>
  <c r="AI1464" i="4"/>
  <c r="AH1465" i="4"/>
  <c r="AJ1465" i="4"/>
  <c r="AL1456" i="4" l="1"/>
  <c r="AK1465" i="4"/>
  <c r="AI1465" i="4"/>
  <c r="AH1466" i="4"/>
  <c r="AJ1466" i="4"/>
  <c r="AL1457" i="4" l="1"/>
  <c r="AK1466" i="4"/>
  <c r="AI1466" i="4"/>
  <c r="AH1467" i="4"/>
  <c r="AJ1467" i="4"/>
  <c r="AL1458" i="4" l="1"/>
  <c r="AK1467" i="4"/>
  <c r="AI1467" i="4"/>
  <c r="AH1468" i="4"/>
  <c r="AJ1468" i="4"/>
  <c r="AL1459" i="4" l="1"/>
  <c r="AK1468" i="4"/>
  <c r="AI1468" i="4"/>
  <c r="AH1469" i="4"/>
  <c r="AJ1469" i="4"/>
  <c r="AL1460" i="4" l="1"/>
  <c r="AK1469" i="4"/>
  <c r="AI1469" i="4"/>
  <c r="AH1470" i="4"/>
  <c r="AJ1470" i="4"/>
  <c r="AL1461" i="4" l="1"/>
  <c r="AK1470" i="4"/>
  <c r="AI1470" i="4"/>
  <c r="AH1471" i="4"/>
  <c r="AJ1471" i="4"/>
  <c r="AL1462" i="4" l="1"/>
  <c r="AK1471" i="4"/>
  <c r="AI1471" i="4"/>
  <c r="AH1472" i="4"/>
  <c r="AJ1472" i="4"/>
  <c r="AL1463" i="4" l="1"/>
  <c r="AK1472" i="4"/>
  <c r="AI1472" i="4"/>
  <c r="AH1473" i="4"/>
  <c r="AJ1473" i="4"/>
  <c r="AL1464" i="4" l="1"/>
  <c r="AK1473" i="4"/>
  <c r="AI1473" i="4"/>
  <c r="AH1474" i="4"/>
  <c r="AJ1474" i="4"/>
  <c r="AL1465" i="4" l="1"/>
  <c r="AK1474" i="4"/>
  <c r="AI1474" i="4"/>
  <c r="AH1475" i="4"/>
  <c r="AJ1475" i="4"/>
  <c r="AL1466" i="4" l="1"/>
  <c r="AK1475" i="4"/>
  <c r="AI1475" i="4"/>
  <c r="AH1476" i="4"/>
  <c r="AJ1476" i="4"/>
  <c r="AL1467" i="4" l="1"/>
  <c r="AK1476" i="4"/>
  <c r="AI1476" i="4"/>
  <c r="AH1477" i="4"/>
  <c r="AJ1477" i="4"/>
  <c r="AL1468" i="4" l="1"/>
  <c r="AK1477" i="4"/>
  <c r="AI1477" i="4"/>
  <c r="AH1478" i="4"/>
  <c r="AJ1478" i="4"/>
  <c r="AL1469" i="4" l="1"/>
  <c r="AK1478" i="4"/>
  <c r="AI1478" i="4"/>
  <c r="AH1479" i="4"/>
  <c r="AJ1479" i="4"/>
  <c r="AL1470" i="4" l="1"/>
  <c r="AK1479" i="4"/>
  <c r="AI1479" i="4"/>
  <c r="AH1480" i="4"/>
  <c r="AJ1480" i="4"/>
  <c r="AS79" i="4"/>
  <c r="AL1471" i="4" l="1"/>
  <c r="AK1480" i="4"/>
  <c r="AI1480" i="4"/>
  <c r="AH1481" i="4"/>
  <c r="AJ1481" i="4"/>
  <c r="AL1472" i="4" l="1"/>
  <c r="AK1481" i="4"/>
  <c r="AI1481" i="4"/>
  <c r="AH1482" i="4"/>
  <c r="AJ1482" i="4"/>
  <c r="AL1473" i="4" l="1"/>
  <c r="AK1482" i="4"/>
  <c r="AI1482" i="4"/>
  <c r="AH1483" i="4"/>
  <c r="AJ1483" i="4"/>
  <c r="AL1474" i="4" l="1"/>
  <c r="AK1483" i="4"/>
  <c r="AI1483" i="4"/>
  <c r="AH1484" i="4"/>
  <c r="AJ1484" i="4"/>
  <c r="AL1475" i="4" l="1"/>
  <c r="AK1484" i="4"/>
  <c r="AI1484" i="4"/>
  <c r="AH1485" i="4"/>
  <c r="AJ1485" i="4"/>
  <c r="AL1476" i="4" l="1"/>
  <c r="AK1485" i="4"/>
  <c r="AI1485" i="4"/>
  <c r="AH1486" i="4"/>
  <c r="AJ1486" i="4"/>
  <c r="AL1477" i="4" l="1"/>
  <c r="AK1486" i="4"/>
  <c r="AI1486" i="4"/>
  <c r="AH1487" i="4"/>
  <c r="AJ1487" i="4"/>
  <c r="AL1478" i="4" l="1"/>
  <c r="AK1487" i="4"/>
  <c r="AI1487" i="4"/>
  <c r="AH1488" i="4"/>
  <c r="AJ1488" i="4"/>
  <c r="AL1479" i="4" l="1"/>
  <c r="AK1488" i="4"/>
  <c r="AI1488" i="4"/>
  <c r="AH1489" i="4"/>
  <c r="AJ1489" i="4"/>
  <c r="AL1480" i="4" l="1"/>
  <c r="AK1489" i="4"/>
  <c r="AI1489" i="4"/>
  <c r="AH1490" i="4"/>
  <c r="AJ1490" i="4"/>
  <c r="AL1481" i="4" l="1"/>
  <c r="AK1490" i="4"/>
  <c r="AI1490" i="4"/>
  <c r="AH1491" i="4"/>
  <c r="AJ1491" i="4"/>
  <c r="AL1482" i="4" l="1"/>
  <c r="AK1491" i="4"/>
  <c r="AI1491" i="4"/>
  <c r="AH1492" i="4"/>
  <c r="AJ1492" i="4"/>
  <c r="AL1483" i="4" l="1"/>
  <c r="AK1492" i="4"/>
  <c r="AI1492" i="4"/>
  <c r="AH1493" i="4"/>
  <c r="AJ1493" i="4"/>
  <c r="AL1484" i="4" l="1"/>
  <c r="AK1493" i="4"/>
  <c r="AI1493" i="4"/>
  <c r="AH1494" i="4"/>
  <c r="AJ1494" i="4"/>
  <c r="AL1485" i="4" l="1"/>
  <c r="AK1494" i="4"/>
  <c r="AI1494" i="4"/>
  <c r="AH1495" i="4"/>
  <c r="AJ1495" i="4"/>
  <c r="AL1486" i="4" l="1"/>
  <c r="AK1495" i="4"/>
  <c r="AI1495" i="4"/>
  <c r="AH1496" i="4"/>
  <c r="AJ1496" i="4"/>
  <c r="AL1487" i="4" l="1"/>
  <c r="AK1496" i="4"/>
  <c r="AI1496" i="4"/>
  <c r="AH1497" i="4"/>
  <c r="AJ1497" i="4"/>
  <c r="AL1488" i="4" l="1"/>
  <c r="AK1497" i="4"/>
  <c r="AI1497" i="4"/>
  <c r="AH1498" i="4"/>
  <c r="AJ1498" i="4"/>
  <c r="AL1489" i="4" l="1"/>
  <c r="AK1498" i="4"/>
  <c r="AI1498" i="4"/>
  <c r="AH1499" i="4"/>
  <c r="AJ1499" i="4"/>
  <c r="AL1490" i="4" l="1"/>
  <c r="AK1499" i="4"/>
  <c r="AI1499" i="4"/>
  <c r="AH1500" i="4"/>
  <c r="AJ1500" i="4"/>
  <c r="AL1491" i="4" l="1"/>
  <c r="AK1500" i="4"/>
  <c r="AI1500" i="4"/>
  <c r="AH1501" i="4"/>
  <c r="AJ1501" i="4"/>
  <c r="AL1492" i="4" l="1"/>
  <c r="AK1501" i="4"/>
  <c r="AI1501" i="4"/>
  <c r="AH1502" i="4"/>
  <c r="AJ1502" i="4"/>
  <c r="AL1493" i="4" l="1"/>
  <c r="AK1502" i="4"/>
  <c r="AI1502" i="4"/>
  <c r="AH1503" i="4"/>
  <c r="AJ1503" i="4"/>
  <c r="AL1494" i="4" l="1"/>
  <c r="AK1503" i="4"/>
  <c r="AI1503" i="4"/>
  <c r="AH1504" i="4"/>
  <c r="AJ1504" i="4"/>
  <c r="AL1495" i="4" l="1"/>
  <c r="AK1504" i="4"/>
  <c r="AI1504" i="4"/>
  <c r="AH1505" i="4"/>
  <c r="AJ1505" i="4"/>
  <c r="AL1496" i="4" l="1"/>
  <c r="AK1505" i="4"/>
  <c r="AI1505" i="4"/>
  <c r="AH1506" i="4"/>
  <c r="AJ1506" i="4"/>
  <c r="AL1497" i="4" l="1"/>
  <c r="AK1506" i="4"/>
  <c r="AI1506" i="4"/>
  <c r="AH1507" i="4"/>
  <c r="AJ1507" i="4"/>
  <c r="AL1498" i="4" l="1"/>
  <c r="AK1507" i="4"/>
  <c r="AI1507" i="4"/>
  <c r="AH1508" i="4"/>
  <c r="AJ1508" i="4"/>
  <c r="AL1499" i="4" l="1"/>
  <c r="AK1508" i="4"/>
  <c r="AI1508" i="4"/>
  <c r="AH1509" i="4"/>
  <c r="AJ1509" i="4"/>
  <c r="AL1500" i="4" l="1"/>
  <c r="AK1509" i="4"/>
  <c r="AI1509" i="4"/>
  <c r="AH1510" i="4"/>
  <c r="AJ1510" i="4"/>
  <c r="AS80" i="4"/>
  <c r="AL1501" i="4" l="1"/>
  <c r="AK1510" i="4"/>
  <c r="AI1510" i="4"/>
  <c r="AH1511" i="4"/>
  <c r="AJ1511" i="4"/>
  <c r="AL1502" i="4" l="1"/>
  <c r="AK1511" i="4"/>
  <c r="AI1511" i="4"/>
  <c r="AH1512" i="4"/>
  <c r="AJ1512" i="4"/>
  <c r="AL1503" i="4" l="1"/>
  <c r="AK1512" i="4"/>
  <c r="AI1512" i="4"/>
  <c r="AH1513" i="4"/>
  <c r="AJ1513" i="4"/>
  <c r="AL1504" i="4" l="1"/>
  <c r="AK1513" i="4"/>
  <c r="AI1513" i="4"/>
  <c r="AH1514" i="4"/>
  <c r="AJ1514" i="4"/>
  <c r="AL1505" i="4" l="1"/>
  <c r="AK1514" i="4"/>
  <c r="AI1514" i="4"/>
  <c r="AH1515" i="4"/>
  <c r="AJ1515" i="4"/>
  <c r="AL1506" i="4" l="1"/>
  <c r="AK1515" i="4"/>
  <c r="AI1515" i="4"/>
  <c r="AH1516" i="4"/>
  <c r="AJ1516" i="4"/>
  <c r="AL1507" i="4" l="1"/>
  <c r="AK1516" i="4"/>
  <c r="AI1516" i="4"/>
  <c r="AH1517" i="4"/>
  <c r="AJ1517" i="4"/>
  <c r="AL1508" i="4" l="1"/>
  <c r="AK1517" i="4"/>
  <c r="AI1517" i="4"/>
  <c r="AH1518" i="4"/>
  <c r="AJ1518" i="4"/>
  <c r="AL1509" i="4" l="1"/>
  <c r="AK1518" i="4"/>
  <c r="AI1518" i="4"/>
  <c r="AH1519" i="4"/>
  <c r="AJ1519" i="4"/>
  <c r="AL1510" i="4" l="1"/>
  <c r="AK1519" i="4"/>
  <c r="AI1519" i="4"/>
  <c r="AH1520" i="4"/>
  <c r="AJ1520" i="4"/>
  <c r="AL1511" i="4" l="1"/>
  <c r="AK1520" i="4"/>
  <c r="AI1520" i="4"/>
  <c r="AH1521" i="4"/>
  <c r="AJ1521" i="4"/>
  <c r="AL1512" i="4" l="1"/>
  <c r="AK1521" i="4"/>
  <c r="AI1521" i="4"/>
  <c r="AH1522" i="4"/>
  <c r="AJ1522" i="4"/>
  <c r="AL1513" i="4" l="1"/>
  <c r="AK1522" i="4"/>
  <c r="AI1522" i="4"/>
  <c r="AH1523" i="4"/>
  <c r="AJ1523" i="4"/>
  <c r="AL1514" i="4" l="1"/>
  <c r="AK1523" i="4"/>
  <c r="AI1523" i="4"/>
  <c r="AH1524" i="4"/>
  <c r="AJ1524" i="4"/>
  <c r="AL1515" i="4" l="1"/>
  <c r="AK1524" i="4"/>
  <c r="AI1524" i="4"/>
  <c r="AH1525" i="4"/>
  <c r="AJ1525" i="4"/>
  <c r="AL1516" i="4" l="1"/>
  <c r="AK1525" i="4"/>
  <c r="AI1525" i="4"/>
  <c r="AH1526" i="4"/>
  <c r="AJ1526" i="4"/>
  <c r="AL1517" i="4" l="1"/>
  <c r="AK1526" i="4"/>
  <c r="AI1526" i="4"/>
  <c r="AH1527" i="4"/>
  <c r="AJ1527" i="4"/>
  <c r="AL1518" i="4" l="1"/>
  <c r="AK1527" i="4"/>
  <c r="AI1527" i="4"/>
  <c r="AH1528" i="4"/>
  <c r="AJ1528" i="4"/>
  <c r="AL1519" i="4" l="1"/>
  <c r="AK1528" i="4"/>
  <c r="AI1528" i="4"/>
  <c r="AH1529" i="4"/>
  <c r="AJ1529" i="4"/>
  <c r="AL1520" i="4" l="1"/>
  <c r="AK1529" i="4"/>
  <c r="AI1529" i="4"/>
  <c r="AH1530" i="4"/>
  <c r="AJ1530" i="4"/>
  <c r="AL1521" i="4" l="1"/>
  <c r="AK1530" i="4"/>
  <c r="AI1530" i="4"/>
  <c r="AH1531" i="4"/>
  <c r="AJ1531" i="4"/>
  <c r="AL1522" i="4" l="1"/>
  <c r="AK1531" i="4"/>
  <c r="AI1531" i="4"/>
  <c r="AH1532" i="4"/>
  <c r="AJ1532" i="4"/>
  <c r="AL1523" i="4" l="1"/>
  <c r="AK1532" i="4"/>
  <c r="AI1532" i="4"/>
  <c r="AH1533" i="4"/>
  <c r="AJ1533" i="4"/>
  <c r="AL1524" i="4" l="1"/>
  <c r="AK1533" i="4"/>
  <c r="AI1533" i="4"/>
  <c r="AH1534" i="4"/>
  <c r="AJ1534" i="4"/>
  <c r="AL1525" i="4" l="1"/>
  <c r="AK1534" i="4"/>
  <c r="AI1534" i="4"/>
  <c r="AH1535" i="4"/>
  <c r="AJ1535" i="4"/>
  <c r="AL1526" i="4" l="1"/>
  <c r="AK1535" i="4"/>
  <c r="AI1535" i="4"/>
  <c r="AH1536" i="4"/>
  <c r="AJ1536" i="4"/>
  <c r="AL1527" i="4" l="1"/>
  <c r="AK1536" i="4"/>
  <c r="AI1536" i="4"/>
  <c r="AH1537" i="4"/>
  <c r="AJ1537" i="4"/>
  <c r="AL1528" i="4" l="1"/>
  <c r="AK1537" i="4"/>
  <c r="AI1537" i="4"/>
  <c r="AH1538" i="4"/>
  <c r="AJ1538" i="4"/>
  <c r="AL1529" i="4" l="1"/>
  <c r="AK1538" i="4"/>
  <c r="AI1538" i="4"/>
  <c r="AH1539" i="4"/>
  <c r="AJ1539" i="4"/>
  <c r="AL1530" i="4" l="1"/>
  <c r="AK1539" i="4"/>
  <c r="AI1539" i="4"/>
  <c r="AH1540" i="4"/>
  <c r="AJ1540" i="4"/>
  <c r="AS81" i="4"/>
  <c r="AL1531" i="4" l="1"/>
  <c r="AK1540" i="4"/>
  <c r="AI1540" i="4"/>
  <c r="AH1541" i="4"/>
  <c r="AJ1541" i="4"/>
  <c r="AL1532" i="4" l="1"/>
  <c r="AK1541" i="4"/>
  <c r="AI1541" i="4"/>
  <c r="AH1542" i="4"/>
  <c r="AJ1542" i="4"/>
  <c r="AL1533" i="4" l="1"/>
  <c r="AK1542" i="4"/>
  <c r="AI1542" i="4"/>
  <c r="AH1543" i="4"/>
  <c r="AJ1543" i="4"/>
  <c r="AL1534" i="4" l="1"/>
  <c r="AK1543" i="4"/>
  <c r="AI1543" i="4"/>
  <c r="AH1544" i="4"/>
  <c r="AJ1544" i="4"/>
  <c r="AL1535" i="4" l="1"/>
  <c r="AK1544" i="4"/>
  <c r="AI1544" i="4"/>
  <c r="AH1545" i="4"/>
  <c r="AJ1545" i="4"/>
  <c r="AL1536" i="4" l="1"/>
  <c r="AK1545" i="4"/>
  <c r="AI1545" i="4"/>
  <c r="AH1546" i="4"/>
  <c r="AJ1546" i="4"/>
  <c r="AL1537" i="4" l="1"/>
  <c r="AK1546" i="4"/>
  <c r="AI1546" i="4"/>
  <c r="AH1547" i="4"/>
  <c r="AJ1547" i="4"/>
  <c r="AL1538" i="4" l="1"/>
  <c r="AK1547" i="4"/>
  <c r="AI1547" i="4"/>
  <c r="AH1548" i="4"/>
  <c r="AJ1548" i="4"/>
  <c r="AL1539" i="4" l="1"/>
  <c r="AK1548" i="4"/>
  <c r="AI1548" i="4"/>
  <c r="AH1549" i="4"/>
  <c r="AJ1549" i="4"/>
  <c r="AL1540" i="4" l="1"/>
  <c r="AK1549" i="4"/>
  <c r="AI1549" i="4"/>
  <c r="AH1550" i="4"/>
  <c r="AJ1550" i="4"/>
  <c r="AL1541" i="4" l="1"/>
  <c r="AK1550" i="4"/>
  <c r="AI1550" i="4"/>
  <c r="AH1551" i="4"/>
  <c r="AJ1551" i="4"/>
  <c r="AL1542" i="4" l="1"/>
  <c r="AK1551" i="4"/>
  <c r="AI1551" i="4"/>
  <c r="AH1552" i="4"/>
  <c r="AJ1552" i="4"/>
  <c r="AL1543" i="4" l="1"/>
  <c r="AK1552" i="4"/>
  <c r="AI1552" i="4"/>
  <c r="AH1553" i="4"/>
  <c r="AJ1553" i="4"/>
  <c r="AL1544" i="4" l="1"/>
  <c r="AK1553" i="4"/>
  <c r="AI1553" i="4"/>
  <c r="AH1554" i="4"/>
  <c r="AJ1554" i="4"/>
  <c r="AL1545" i="4" l="1"/>
  <c r="AK1554" i="4"/>
  <c r="AI1554" i="4"/>
  <c r="AH1555" i="4"/>
  <c r="AJ1555" i="4"/>
  <c r="AL1546" i="4" l="1"/>
  <c r="AK1555" i="4"/>
  <c r="AI1555" i="4"/>
  <c r="AH1556" i="4"/>
  <c r="AJ1556" i="4"/>
  <c r="AL1547" i="4" l="1"/>
  <c r="AK1556" i="4"/>
  <c r="AI1556" i="4"/>
  <c r="AH1557" i="4"/>
  <c r="AJ1557" i="4"/>
  <c r="AL1548" i="4" l="1"/>
  <c r="AK1557" i="4"/>
  <c r="AI1557" i="4"/>
  <c r="AH1558" i="4"/>
  <c r="AJ1558" i="4"/>
  <c r="AL1549" i="4" l="1"/>
  <c r="AK1558" i="4"/>
  <c r="AI1558" i="4"/>
  <c r="AH1559" i="4"/>
  <c r="AJ1559" i="4"/>
  <c r="AL1550" i="4" l="1"/>
  <c r="AK1559" i="4"/>
  <c r="AI1559" i="4"/>
  <c r="AH1560" i="4"/>
  <c r="AJ1560" i="4"/>
  <c r="AL1551" i="4" l="1"/>
  <c r="AK1560" i="4"/>
  <c r="AI1560" i="4"/>
  <c r="AH1561" i="4"/>
  <c r="AJ1561" i="4"/>
  <c r="AL1552" i="4" l="1"/>
  <c r="AK1561" i="4"/>
  <c r="AI1561" i="4"/>
  <c r="AH1562" i="4"/>
  <c r="AJ1562" i="4"/>
  <c r="AL1553" i="4" l="1"/>
  <c r="AK1562" i="4"/>
  <c r="AI1562" i="4"/>
  <c r="AH1563" i="4"/>
  <c r="AJ1563" i="4"/>
  <c r="AL1554" i="4" l="1"/>
  <c r="AK1563" i="4"/>
  <c r="AI1563" i="4"/>
  <c r="AH1564" i="4"/>
  <c r="AJ1564" i="4"/>
  <c r="AL1555" i="4" l="1"/>
  <c r="AK1564" i="4"/>
  <c r="AI1564" i="4"/>
  <c r="AH1565" i="4"/>
  <c r="AJ1565" i="4"/>
  <c r="AL1556" i="4" l="1"/>
  <c r="AK1565" i="4"/>
  <c r="AI1565" i="4"/>
  <c r="AH1566" i="4"/>
  <c r="AJ1566" i="4"/>
  <c r="AL1557" i="4" l="1"/>
  <c r="AK1566" i="4"/>
  <c r="AI1566" i="4"/>
  <c r="AH1567" i="4"/>
  <c r="AJ1567" i="4"/>
  <c r="AL1558" i="4" l="1"/>
  <c r="AK1567" i="4"/>
  <c r="AI1567" i="4"/>
  <c r="AH1568" i="4"/>
  <c r="AJ1568" i="4"/>
  <c r="AL1559" i="4" l="1"/>
  <c r="AK1568" i="4"/>
  <c r="AI1568" i="4"/>
  <c r="AH1569" i="4"/>
  <c r="AJ1569" i="4"/>
  <c r="AL1560" i="4" l="1"/>
  <c r="AK1569" i="4"/>
  <c r="AI1569" i="4"/>
  <c r="AH1570" i="4"/>
  <c r="AS82" i="4"/>
  <c r="AJ1570" i="4"/>
  <c r="AL1561" i="4" l="1"/>
  <c r="AK1570" i="4"/>
  <c r="AI1570" i="4"/>
  <c r="AH1571" i="4"/>
  <c r="AJ1571" i="4"/>
  <c r="AL1562" i="4" l="1"/>
  <c r="AK1571" i="4"/>
  <c r="AI1571" i="4"/>
  <c r="AH1572" i="4"/>
  <c r="AJ1572" i="4"/>
  <c r="AL1563" i="4" l="1"/>
  <c r="AK1572" i="4"/>
  <c r="AI1572" i="4"/>
  <c r="AH1573" i="4"/>
  <c r="AJ1573" i="4"/>
  <c r="AL1564" i="4" l="1"/>
  <c r="AK1573" i="4"/>
  <c r="AI1573" i="4"/>
  <c r="AH1574" i="4"/>
  <c r="AJ1574" i="4"/>
  <c r="AL1565" i="4" l="1"/>
  <c r="AK1574" i="4"/>
  <c r="AI1574" i="4"/>
  <c r="AH1575" i="4"/>
  <c r="AJ1575" i="4"/>
  <c r="AL1566" i="4" l="1"/>
  <c r="AK1575" i="4"/>
  <c r="AI1575" i="4"/>
  <c r="AH1576" i="4"/>
  <c r="AJ1576" i="4"/>
  <c r="AL1567" i="4" l="1"/>
  <c r="AK1576" i="4"/>
  <c r="AI1576" i="4"/>
  <c r="AH1577" i="4"/>
  <c r="AJ1577" i="4"/>
  <c r="AL1568" i="4" l="1"/>
  <c r="AK1577" i="4"/>
  <c r="AI1577" i="4"/>
  <c r="AH1578" i="4"/>
  <c r="AJ1578" i="4"/>
  <c r="AL1569" i="4" l="1"/>
  <c r="AK1578" i="4"/>
  <c r="AI1578" i="4"/>
  <c r="AH1579" i="4"/>
  <c r="AJ1579" i="4"/>
  <c r="AL1570" i="4" l="1"/>
  <c r="AK1579" i="4"/>
  <c r="AI1579" i="4"/>
  <c r="AH1580" i="4"/>
  <c r="AJ1580" i="4"/>
  <c r="AL1571" i="4" l="1"/>
  <c r="AK1580" i="4"/>
  <c r="AI1580" i="4"/>
  <c r="AH1581" i="4"/>
  <c r="AJ1581" i="4"/>
  <c r="AL1572" i="4" l="1"/>
  <c r="AK1581" i="4"/>
  <c r="AI1581" i="4"/>
  <c r="AH1582" i="4"/>
  <c r="AJ1582" i="4"/>
  <c r="AL1573" i="4" l="1"/>
  <c r="AK1582" i="4"/>
  <c r="AI1582" i="4"/>
  <c r="AH1583" i="4"/>
  <c r="AJ1583" i="4"/>
  <c r="AL1574" i="4" l="1"/>
  <c r="AK1583" i="4"/>
  <c r="AI1583" i="4"/>
  <c r="AH1584" i="4"/>
  <c r="AJ1584" i="4"/>
  <c r="AL1575" i="4" l="1"/>
  <c r="AK1584" i="4"/>
  <c r="AI1584" i="4"/>
  <c r="AH1585" i="4"/>
  <c r="AJ1585" i="4"/>
  <c r="AL1576" i="4" l="1"/>
  <c r="AK1585" i="4"/>
  <c r="AI1585" i="4"/>
  <c r="AH1586" i="4"/>
  <c r="AJ1586" i="4"/>
  <c r="AL1577" i="4" l="1"/>
  <c r="AK1586" i="4"/>
  <c r="AI1586" i="4"/>
  <c r="AH1587" i="4"/>
  <c r="AJ1587" i="4"/>
  <c r="AL1578" i="4" l="1"/>
  <c r="AK1587" i="4"/>
  <c r="AI1587" i="4"/>
  <c r="AH1588" i="4"/>
  <c r="AJ1588" i="4"/>
  <c r="AL1579" i="4" l="1"/>
  <c r="AK1588" i="4"/>
  <c r="AI1588" i="4"/>
  <c r="AH1589" i="4"/>
  <c r="AJ1589" i="4"/>
  <c r="AL1580" i="4" l="1"/>
  <c r="AK1589" i="4"/>
  <c r="AI1589" i="4"/>
  <c r="AH1590" i="4"/>
  <c r="AJ1590" i="4"/>
  <c r="AL1581" i="4" l="1"/>
  <c r="AK1590" i="4"/>
  <c r="AI1590" i="4"/>
  <c r="AH1591" i="4"/>
  <c r="AJ1591" i="4"/>
  <c r="AL1582" i="4" l="1"/>
  <c r="AK1591" i="4"/>
  <c r="AI1591" i="4"/>
  <c r="AH1592" i="4"/>
  <c r="AJ1592" i="4"/>
  <c r="AL1583" i="4" l="1"/>
  <c r="AK1592" i="4"/>
  <c r="AI1592" i="4"/>
  <c r="AH1593" i="4"/>
  <c r="AJ1593" i="4"/>
  <c r="AL1584" i="4" l="1"/>
  <c r="AK1593" i="4"/>
  <c r="AI1593" i="4"/>
  <c r="AH1594" i="4"/>
  <c r="AJ1594" i="4"/>
  <c r="AL1585" i="4" l="1"/>
  <c r="AK1594" i="4"/>
  <c r="AI1594" i="4"/>
  <c r="AH1595" i="4"/>
  <c r="AJ1595" i="4"/>
  <c r="AL1586" i="4" l="1"/>
  <c r="AK1595" i="4"/>
  <c r="AI1595" i="4"/>
  <c r="AH1596" i="4"/>
  <c r="AJ1596" i="4"/>
  <c r="AL1587" i="4" l="1"/>
  <c r="AK1596" i="4"/>
  <c r="AI1596" i="4"/>
  <c r="AH1597" i="4"/>
  <c r="AJ1597" i="4"/>
  <c r="AL1588" i="4" l="1"/>
  <c r="AK1597" i="4"/>
  <c r="AI1597" i="4"/>
  <c r="AH1598" i="4"/>
  <c r="AJ1598" i="4"/>
  <c r="AL1589" i="4" l="1"/>
  <c r="AK1598" i="4"/>
  <c r="AI1598" i="4"/>
  <c r="AH1599" i="4"/>
  <c r="AJ1599" i="4"/>
  <c r="AL1590" i="4" l="1"/>
  <c r="AK1599" i="4"/>
  <c r="AI1599" i="4"/>
  <c r="AH1600" i="4"/>
  <c r="AS83" i="4"/>
  <c r="AJ1600" i="4"/>
  <c r="AL1591" i="4" l="1"/>
  <c r="AK1600" i="4"/>
  <c r="AI1600" i="4"/>
  <c r="AH1601" i="4"/>
  <c r="AJ1601" i="4"/>
  <c r="AL1592" i="4" l="1"/>
  <c r="AK1601" i="4"/>
  <c r="AI1601" i="4"/>
  <c r="AH1602" i="4"/>
  <c r="AJ1602" i="4"/>
  <c r="AL1593" i="4" l="1"/>
  <c r="AK1602" i="4"/>
  <c r="AI1602" i="4"/>
  <c r="AH1603" i="4"/>
  <c r="AJ1603" i="4"/>
  <c r="AL1594" i="4" l="1"/>
  <c r="AK1603" i="4"/>
  <c r="AI1603" i="4"/>
  <c r="AH1604" i="4"/>
  <c r="AJ1604" i="4"/>
  <c r="AL1595" i="4" l="1"/>
  <c r="AK1604" i="4"/>
  <c r="AI1604" i="4"/>
  <c r="AH1605" i="4"/>
  <c r="AJ1605" i="4"/>
  <c r="AL1596" i="4" l="1"/>
  <c r="AK1605" i="4"/>
  <c r="AI1605" i="4"/>
  <c r="AH1606" i="4"/>
  <c r="AJ1606" i="4"/>
  <c r="AL1597" i="4" l="1"/>
  <c r="AK1606" i="4"/>
  <c r="AI1606" i="4"/>
  <c r="AH1607" i="4"/>
  <c r="AJ1607" i="4"/>
  <c r="AL1598" i="4" l="1"/>
  <c r="AK1607" i="4"/>
  <c r="AI1607" i="4"/>
  <c r="AH1608" i="4"/>
  <c r="AJ1608" i="4"/>
  <c r="AL1599" i="4" l="1"/>
  <c r="AK1608" i="4"/>
  <c r="AI1608" i="4"/>
  <c r="AH1609" i="4"/>
  <c r="AJ1609" i="4"/>
  <c r="AL1600" i="4" l="1"/>
  <c r="AK1609" i="4"/>
  <c r="AI1609" i="4"/>
  <c r="AH1610" i="4"/>
  <c r="AJ1610" i="4"/>
  <c r="AL1601" i="4" l="1"/>
  <c r="AK1610" i="4"/>
  <c r="AI1610" i="4"/>
  <c r="AH1611" i="4"/>
  <c r="AJ1611" i="4"/>
  <c r="AL1602" i="4" l="1"/>
  <c r="AK1611" i="4"/>
  <c r="AI1611" i="4"/>
  <c r="AH1612" i="4"/>
  <c r="AJ1612" i="4"/>
  <c r="AL1603" i="4" l="1"/>
  <c r="AK1612" i="4"/>
  <c r="AI1612" i="4"/>
  <c r="AH1613" i="4"/>
  <c r="AJ1613" i="4"/>
  <c r="AL1604" i="4" l="1"/>
  <c r="AK1613" i="4"/>
  <c r="AI1613" i="4"/>
  <c r="AH1614" i="4"/>
  <c r="AJ1614" i="4"/>
  <c r="AL1605" i="4" l="1"/>
  <c r="AK1614" i="4"/>
  <c r="AI1614" i="4"/>
  <c r="AH1615" i="4"/>
  <c r="AJ1615" i="4"/>
  <c r="AL1606" i="4" l="1"/>
  <c r="AK1615" i="4"/>
  <c r="AI1615" i="4"/>
  <c r="AH1616" i="4"/>
  <c r="AJ1616" i="4"/>
  <c r="AL1607" i="4" l="1"/>
  <c r="AK1616" i="4"/>
  <c r="AI1616" i="4"/>
  <c r="AH1617" i="4"/>
  <c r="AJ1617" i="4"/>
  <c r="AL1608" i="4" l="1"/>
  <c r="AK1617" i="4"/>
  <c r="AI1617" i="4"/>
  <c r="AH1618" i="4"/>
  <c r="AJ1618" i="4"/>
  <c r="AL1609" i="4" l="1"/>
  <c r="AK1618" i="4"/>
  <c r="AI1618" i="4"/>
  <c r="AH1619" i="4"/>
  <c r="AJ1619" i="4"/>
  <c r="AL1610" i="4" l="1"/>
  <c r="AK1619" i="4"/>
  <c r="AI1619" i="4"/>
  <c r="AH1620" i="4"/>
  <c r="AJ1620" i="4"/>
  <c r="AL1611" i="4" l="1"/>
  <c r="AK1620" i="4"/>
  <c r="AI1620" i="4"/>
  <c r="AH1621" i="4"/>
  <c r="AJ1621" i="4"/>
  <c r="AL1612" i="4" l="1"/>
  <c r="AK1621" i="4"/>
  <c r="AI1621" i="4"/>
  <c r="AH1622" i="4"/>
  <c r="AJ1622" i="4"/>
  <c r="AL1613" i="4" l="1"/>
  <c r="AK1622" i="4"/>
  <c r="AI1622" i="4"/>
  <c r="AH1623" i="4"/>
  <c r="AJ1623" i="4"/>
  <c r="AL1614" i="4" l="1"/>
  <c r="AK1623" i="4"/>
  <c r="AI1623" i="4"/>
  <c r="AH1624" i="4"/>
  <c r="AJ1624" i="4"/>
  <c r="AL1615" i="4" l="1"/>
  <c r="AK1624" i="4"/>
  <c r="AI1624" i="4"/>
  <c r="AH1625" i="4"/>
  <c r="AJ1625" i="4"/>
  <c r="AL1616" i="4" l="1"/>
  <c r="AK1625" i="4"/>
  <c r="AI1625" i="4"/>
  <c r="AH1626" i="4"/>
  <c r="AJ1626" i="4"/>
  <c r="AL1617" i="4" l="1"/>
  <c r="AK1626" i="4"/>
  <c r="AI1626" i="4"/>
  <c r="AH1627" i="4"/>
  <c r="AJ1627" i="4"/>
  <c r="AL1618" i="4" l="1"/>
  <c r="AK1627" i="4"/>
  <c r="AI1627" i="4"/>
  <c r="AH1628" i="4"/>
  <c r="AJ1628" i="4"/>
  <c r="AL1619" i="4" l="1"/>
  <c r="AK1628" i="4"/>
  <c r="AI1628" i="4"/>
  <c r="AH1629" i="4"/>
  <c r="AJ1629" i="4"/>
  <c r="AL1620" i="4" l="1"/>
  <c r="AK1629" i="4"/>
  <c r="AI1629" i="4"/>
  <c r="AH1630" i="4"/>
  <c r="AJ1630" i="4"/>
  <c r="AS84" i="4"/>
  <c r="AL1621" i="4" l="1"/>
  <c r="AK1630" i="4"/>
  <c r="AI1630" i="4"/>
  <c r="AH1631" i="4"/>
  <c r="AJ1631" i="4"/>
  <c r="AL1622" i="4" l="1"/>
  <c r="AK1631" i="4"/>
  <c r="AI1631" i="4"/>
  <c r="AH1632" i="4"/>
  <c r="AJ1632" i="4"/>
  <c r="AL1623" i="4" l="1"/>
  <c r="AK1632" i="4"/>
  <c r="AI1632" i="4"/>
  <c r="AH1633" i="4"/>
  <c r="AJ1633" i="4"/>
  <c r="AL1624" i="4" l="1"/>
  <c r="AK1633" i="4"/>
  <c r="AI1633" i="4"/>
  <c r="AH1634" i="4"/>
  <c r="AJ1634" i="4"/>
  <c r="AL1625" i="4" l="1"/>
  <c r="AK1634" i="4"/>
  <c r="AI1634" i="4"/>
  <c r="AH1635" i="4"/>
  <c r="AJ1635" i="4"/>
  <c r="AL1626" i="4" l="1"/>
  <c r="AK1635" i="4"/>
  <c r="AI1635" i="4"/>
  <c r="AH1636" i="4"/>
  <c r="AJ1636" i="4"/>
  <c r="AL1627" i="4" l="1"/>
  <c r="AK1636" i="4"/>
  <c r="AI1636" i="4"/>
  <c r="AH1637" i="4"/>
  <c r="AJ1637" i="4"/>
  <c r="AL1628" i="4" l="1"/>
  <c r="AK1637" i="4"/>
  <c r="AI1637" i="4"/>
  <c r="AH1638" i="4"/>
  <c r="AJ1638" i="4"/>
  <c r="AL1629" i="4" l="1"/>
  <c r="AK1638" i="4"/>
  <c r="AI1638" i="4"/>
  <c r="AH1639" i="4"/>
  <c r="AJ1639" i="4"/>
  <c r="AL1630" i="4" l="1"/>
  <c r="AK1639" i="4"/>
  <c r="AI1639" i="4"/>
  <c r="AH1640" i="4"/>
  <c r="AJ1640" i="4"/>
  <c r="AL1631" i="4" l="1"/>
  <c r="AK1640" i="4"/>
  <c r="AI1640" i="4"/>
  <c r="AH1641" i="4"/>
  <c r="AJ1641" i="4"/>
  <c r="AL1632" i="4" l="1"/>
  <c r="AK1641" i="4"/>
  <c r="AI1641" i="4"/>
  <c r="AH1642" i="4"/>
  <c r="AJ1642" i="4"/>
  <c r="AL1633" i="4" l="1"/>
  <c r="AK1642" i="4"/>
  <c r="AI1642" i="4"/>
  <c r="AH1643" i="4"/>
  <c r="AJ1643" i="4"/>
  <c r="AL1634" i="4" l="1"/>
  <c r="AK1643" i="4"/>
  <c r="AI1643" i="4"/>
  <c r="AH1644" i="4"/>
  <c r="AJ1644" i="4"/>
  <c r="AL1635" i="4" l="1"/>
  <c r="AK1644" i="4"/>
  <c r="AI1644" i="4"/>
  <c r="AH1645" i="4"/>
  <c r="AJ1645" i="4"/>
  <c r="AL1636" i="4" l="1"/>
  <c r="AK1645" i="4"/>
  <c r="AI1645" i="4"/>
  <c r="AH1646" i="4"/>
  <c r="AJ1646" i="4"/>
  <c r="AL1637" i="4" l="1"/>
  <c r="AK1646" i="4"/>
  <c r="AI1646" i="4"/>
  <c r="AH1647" i="4"/>
  <c r="AJ1647" i="4"/>
  <c r="AL1638" i="4" l="1"/>
  <c r="AK1647" i="4"/>
  <c r="AI1647" i="4"/>
  <c r="AH1648" i="4"/>
  <c r="AJ1648" i="4"/>
  <c r="AL1639" i="4" l="1"/>
  <c r="AK1648" i="4"/>
  <c r="AI1648" i="4"/>
  <c r="AH1649" i="4"/>
  <c r="AJ1649" i="4"/>
  <c r="AL1640" i="4" l="1"/>
  <c r="AK1649" i="4"/>
  <c r="AI1649" i="4"/>
  <c r="AH1650" i="4"/>
  <c r="AJ1650" i="4"/>
  <c r="AL1641" i="4" l="1"/>
  <c r="AK1650" i="4"/>
  <c r="AI1650" i="4"/>
  <c r="AH1651" i="4"/>
  <c r="AJ1651" i="4"/>
  <c r="AL1642" i="4" l="1"/>
  <c r="AK1651" i="4"/>
  <c r="AI1651" i="4"/>
  <c r="AH1652" i="4"/>
  <c r="AJ1652" i="4"/>
  <c r="AL1643" i="4" l="1"/>
  <c r="AK1652" i="4"/>
  <c r="AI1652" i="4"/>
  <c r="AH1653" i="4"/>
  <c r="AJ1653" i="4"/>
  <c r="AL1644" i="4" l="1"/>
  <c r="AK1653" i="4"/>
  <c r="AI1653" i="4"/>
  <c r="AH1654" i="4"/>
  <c r="AJ1654" i="4"/>
  <c r="AL1645" i="4" l="1"/>
  <c r="AK1654" i="4"/>
  <c r="AI1654" i="4"/>
  <c r="AH1655" i="4"/>
  <c r="AJ1655" i="4"/>
  <c r="AL1646" i="4" l="1"/>
  <c r="AK1655" i="4"/>
  <c r="AI1655" i="4"/>
  <c r="AH1656" i="4"/>
  <c r="AJ1656" i="4"/>
  <c r="AL1647" i="4" l="1"/>
  <c r="AK1656" i="4"/>
  <c r="AI1656" i="4"/>
  <c r="AH1657" i="4"/>
  <c r="AJ1657" i="4"/>
  <c r="AL1648" i="4" l="1"/>
  <c r="AK1657" i="4"/>
  <c r="AI1657" i="4"/>
  <c r="AH1658" i="4"/>
  <c r="AJ1658" i="4"/>
  <c r="AL1649" i="4" l="1"/>
  <c r="AK1658" i="4"/>
  <c r="AI1658" i="4"/>
  <c r="AH1659" i="4"/>
  <c r="AJ1659" i="4"/>
  <c r="AL1650" i="4" l="1"/>
  <c r="AK1659" i="4"/>
  <c r="AI1659" i="4"/>
  <c r="AH1660" i="4"/>
  <c r="AJ1660" i="4"/>
  <c r="AS85" i="4"/>
  <c r="AL1651" i="4" l="1"/>
  <c r="AK1660" i="4"/>
  <c r="AI1660" i="4"/>
  <c r="AH1661" i="4"/>
  <c r="AJ1661" i="4"/>
  <c r="AL1652" i="4" l="1"/>
  <c r="AK1661" i="4"/>
  <c r="AI1661" i="4"/>
  <c r="AH1662" i="4"/>
  <c r="AJ1662" i="4"/>
  <c r="AL1653" i="4" l="1"/>
  <c r="AK1662" i="4"/>
  <c r="AI1662" i="4"/>
  <c r="AH1663" i="4"/>
  <c r="AJ1663" i="4"/>
  <c r="AL1654" i="4" l="1"/>
  <c r="AK1663" i="4"/>
  <c r="AI1663" i="4"/>
  <c r="AH1664" i="4"/>
  <c r="AJ1664" i="4"/>
  <c r="AL1655" i="4" l="1"/>
  <c r="AK1664" i="4"/>
  <c r="AI1664" i="4"/>
  <c r="AH1665" i="4"/>
  <c r="AJ1665" i="4"/>
  <c r="AL1656" i="4" l="1"/>
  <c r="AK1665" i="4"/>
  <c r="AI1665" i="4"/>
  <c r="AH1666" i="4"/>
  <c r="AJ1666" i="4"/>
  <c r="AL1657" i="4" l="1"/>
  <c r="AK1666" i="4"/>
  <c r="AI1666" i="4"/>
  <c r="AH1667" i="4"/>
  <c r="AJ1667" i="4"/>
  <c r="AL1658" i="4" l="1"/>
  <c r="AK1667" i="4"/>
  <c r="AI1667" i="4"/>
  <c r="AH1668" i="4"/>
  <c r="AJ1668" i="4"/>
  <c r="AL1659" i="4" l="1"/>
  <c r="AK1668" i="4"/>
  <c r="AI1668" i="4"/>
  <c r="AH1669" i="4"/>
  <c r="AJ1669" i="4"/>
  <c r="AL1660" i="4" l="1"/>
  <c r="AK1669" i="4"/>
  <c r="AI1669" i="4"/>
  <c r="AH1670" i="4"/>
  <c r="AJ1670" i="4"/>
  <c r="AL1661" i="4" l="1"/>
  <c r="AK1670" i="4"/>
  <c r="AI1670" i="4"/>
  <c r="AH1671" i="4"/>
  <c r="AJ1671" i="4"/>
  <c r="AL1662" i="4" l="1"/>
  <c r="AK1671" i="4"/>
  <c r="AI1671" i="4"/>
  <c r="AH1672" i="4"/>
  <c r="AJ1672" i="4"/>
  <c r="AL1663" i="4" l="1"/>
  <c r="AK1672" i="4"/>
  <c r="AI1672" i="4"/>
  <c r="AH1673" i="4"/>
  <c r="AJ1673" i="4"/>
  <c r="AL1664" i="4" l="1"/>
  <c r="AK1673" i="4"/>
  <c r="AI1673" i="4"/>
  <c r="AH1674" i="4"/>
  <c r="AJ1674" i="4"/>
  <c r="AL1665" i="4" l="1"/>
  <c r="AK1674" i="4"/>
  <c r="AI1674" i="4"/>
  <c r="AH1675" i="4"/>
  <c r="AJ1675" i="4"/>
  <c r="AL1666" i="4" l="1"/>
  <c r="AK1675" i="4"/>
  <c r="AI1675" i="4"/>
  <c r="AH1676" i="4"/>
  <c r="AJ1676" i="4"/>
  <c r="AL1667" i="4" l="1"/>
  <c r="AK1676" i="4"/>
  <c r="AI1676" i="4"/>
  <c r="AH1677" i="4"/>
  <c r="AJ1677" i="4"/>
  <c r="AL1668" i="4" l="1"/>
  <c r="AK1677" i="4"/>
  <c r="AI1677" i="4"/>
  <c r="AH1678" i="4"/>
  <c r="AJ1678" i="4"/>
  <c r="AL1669" i="4" l="1"/>
  <c r="AK1678" i="4"/>
  <c r="AI1678" i="4"/>
  <c r="AH1679" i="4"/>
  <c r="AJ1679" i="4"/>
  <c r="AL1670" i="4" l="1"/>
  <c r="AK1679" i="4"/>
  <c r="AI1679" i="4"/>
  <c r="AH1680" i="4"/>
  <c r="AJ1680" i="4"/>
  <c r="AL1671" i="4" l="1"/>
  <c r="AK1680" i="4"/>
  <c r="AI1680" i="4"/>
  <c r="AH1681" i="4"/>
  <c r="AJ1681" i="4"/>
  <c r="AL1672" i="4" l="1"/>
  <c r="AK1681" i="4"/>
  <c r="AI1681" i="4"/>
  <c r="AH1682" i="4"/>
  <c r="AJ1682" i="4"/>
  <c r="AL1673" i="4" l="1"/>
  <c r="AK1682" i="4"/>
  <c r="AI1682" i="4"/>
  <c r="AH1683" i="4"/>
  <c r="AJ1683" i="4"/>
  <c r="AL1674" i="4" l="1"/>
  <c r="AK1683" i="4"/>
  <c r="AI1683" i="4"/>
  <c r="AH1684" i="4"/>
  <c r="AJ1684" i="4"/>
  <c r="AL1675" i="4" l="1"/>
  <c r="AK1684" i="4"/>
  <c r="AI1684" i="4"/>
  <c r="AH1685" i="4"/>
  <c r="AJ1685" i="4"/>
  <c r="AL1676" i="4" l="1"/>
  <c r="AK1685" i="4"/>
  <c r="AI1685" i="4"/>
  <c r="AH1686" i="4"/>
  <c r="AJ1686" i="4"/>
  <c r="AL1677" i="4" l="1"/>
  <c r="AK1686" i="4"/>
  <c r="AI1686" i="4"/>
  <c r="AH1687" i="4"/>
  <c r="AJ1687" i="4"/>
  <c r="AL1678" i="4" l="1"/>
  <c r="AK1687" i="4"/>
  <c r="AI1687" i="4"/>
  <c r="AH1688" i="4"/>
  <c r="AJ1688" i="4"/>
  <c r="AL1679" i="4" l="1"/>
  <c r="AK1688" i="4"/>
  <c r="AI1688" i="4"/>
  <c r="AH1689" i="4"/>
  <c r="AJ1689" i="4"/>
  <c r="AL1680" i="4" l="1"/>
  <c r="AK1689" i="4"/>
  <c r="AI1689" i="4"/>
  <c r="AH1690" i="4"/>
  <c r="AS86" i="4"/>
  <c r="AJ1690" i="4"/>
  <c r="AL1681" i="4" l="1"/>
  <c r="AK1690" i="4"/>
  <c r="AI1690" i="4"/>
  <c r="AH1691" i="4"/>
  <c r="AJ1691" i="4"/>
  <c r="AL1682" i="4" l="1"/>
  <c r="AK1691" i="4"/>
  <c r="AI1691" i="4"/>
  <c r="AH1692" i="4"/>
  <c r="AJ1692" i="4"/>
  <c r="AL1683" i="4" l="1"/>
  <c r="AK1692" i="4"/>
  <c r="AI1692" i="4"/>
  <c r="AH1693" i="4"/>
  <c r="AJ1693" i="4"/>
  <c r="AL1684" i="4" l="1"/>
  <c r="AK1693" i="4"/>
  <c r="AI1693" i="4"/>
  <c r="AH1694" i="4"/>
  <c r="AJ1694" i="4"/>
  <c r="AL1685" i="4" l="1"/>
  <c r="AK1694" i="4"/>
  <c r="AI1694" i="4"/>
  <c r="AH1695" i="4"/>
  <c r="AJ1695" i="4"/>
  <c r="AL1686" i="4" l="1"/>
  <c r="AK1695" i="4"/>
  <c r="AI1695" i="4"/>
  <c r="AH1696" i="4"/>
  <c r="AJ1696" i="4"/>
  <c r="AL1687" i="4" l="1"/>
  <c r="AK1696" i="4"/>
  <c r="AI1696" i="4"/>
  <c r="AH1697" i="4"/>
  <c r="AJ1697" i="4"/>
  <c r="AL1688" i="4" l="1"/>
  <c r="AK1697" i="4"/>
  <c r="AI1697" i="4"/>
  <c r="AH1698" i="4"/>
  <c r="AJ1698" i="4"/>
  <c r="AL1689" i="4" l="1"/>
  <c r="AK1698" i="4"/>
  <c r="AI1698" i="4"/>
  <c r="AH1699" i="4"/>
  <c r="AJ1699" i="4"/>
  <c r="AL1690" i="4" l="1"/>
  <c r="AK1699" i="4"/>
  <c r="AI1699" i="4"/>
  <c r="AH1700" i="4"/>
  <c r="AJ1700" i="4"/>
  <c r="AL1691" i="4" l="1"/>
  <c r="AK1700" i="4"/>
  <c r="AI1700" i="4"/>
  <c r="AH1701" i="4"/>
  <c r="AJ1701" i="4"/>
  <c r="AL1692" i="4" l="1"/>
  <c r="AK1701" i="4"/>
  <c r="AI1701" i="4"/>
  <c r="AH1702" i="4"/>
  <c r="AJ1702" i="4"/>
  <c r="AL1693" i="4" l="1"/>
  <c r="AK1702" i="4"/>
  <c r="AI1702" i="4"/>
  <c r="AH1703" i="4"/>
  <c r="AJ1703" i="4"/>
  <c r="AL1694" i="4" l="1"/>
  <c r="AK1703" i="4"/>
  <c r="AI1703" i="4"/>
  <c r="AH1704" i="4"/>
  <c r="AJ1704" i="4"/>
  <c r="AL1695" i="4" l="1"/>
  <c r="AK1704" i="4"/>
  <c r="AI1704" i="4"/>
  <c r="AH1705" i="4"/>
  <c r="AJ1705" i="4"/>
  <c r="AL1696" i="4" l="1"/>
  <c r="AK1705" i="4"/>
  <c r="AI1705" i="4"/>
  <c r="AH1706" i="4"/>
  <c r="AJ1706" i="4"/>
  <c r="AL1697" i="4" l="1"/>
  <c r="AK1706" i="4"/>
  <c r="AI1706" i="4"/>
  <c r="AH1707" i="4"/>
  <c r="AJ1707" i="4"/>
  <c r="AL1698" i="4" l="1"/>
  <c r="AK1707" i="4"/>
  <c r="AI1707" i="4"/>
  <c r="AH1708" i="4"/>
  <c r="AJ1708" i="4"/>
  <c r="AL1699" i="4" l="1"/>
  <c r="AK1708" i="4"/>
  <c r="AI1708" i="4"/>
  <c r="AH1709" i="4"/>
  <c r="AJ1709" i="4"/>
  <c r="AL1700" i="4" l="1"/>
  <c r="AK1709" i="4"/>
  <c r="AI1709" i="4"/>
  <c r="AH1710" i="4"/>
  <c r="AJ1710" i="4"/>
  <c r="AL1701" i="4" l="1"/>
  <c r="AK1710" i="4"/>
  <c r="AI1710" i="4"/>
  <c r="AH1711" i="4"/>
  <c r="AJ1711" i="4"/>
  <c r="AL1702" i="4" l="1"/>
  <c r="AK1711" i="4"/>
  <c r="AI1711" i="4"/>
  <c r="AH1712" i="4"/>
  <c r="AJ1712" i="4"/>
  <c r="AL1703" i="4" l="1"/>
  <c r="AK1712" i="4"/>
  <c r="AI1712" i="4"/>
  <c r="AH1713" i="4"/>
  <c r="AJ1713" i="4"/>
  <c r="AL1704" i="4" l="1"/>
  <c r="AK1713" i="4"/>
  <c r="AI1713" i="4"/>
  <c r="AH1714" i="4"/>
  <c r="AJ1714" i="4"/>
  <c r="AL1705" i="4" l="1"/>
  <c r="AK1714" i="4"/>
  <c r="AI1714" i="4"/>
  <c r="AH1715" i="4"/>
  <c r="AJ1715" i="4"/>
  <c r="AL1706" i="4" l="1"/>
  <c r="AK1715" i="4"/>
  <c r="AI1715" i="4"/>
  <c r="AH1716" i="4"/>
  <c r="AJ1716" i="4"/>
  <c r="AL1707" i="4" l="1"/>
  <c r="AK1716" i="4"/>
  <c r="AI1716" i="4"/>
  <c r="AH1717" i="4"/>
  <c r="AJ1717" i="4"/>
  <c r="AL1708" i="4" l="1"/>
  <c r="AK1717" i="4"/>
  <c r="AI1717" i="4"/>
  <c r="AH1718" i="4"/>
  <c r="AJ1718" i="4"/>
  <c r="AL1709" i="4" l="1"/>
  <c r="AK1718" i="4"/>
  <c r="AI1718" i="4"/>
  <c r="AH1719" i="4"/>
  <c r="AJ1719" i="4"/>
  <c r="AL1710" i="4" l="1"/>
  <c r="AK1719" i="4"/>
  <c r="AI1719" i="4"/>
  <c r="AH1720" i="4"/>
  <c r="AJ1720" i="4"/>
  <c r="AS87" i="4"/>
  <c r="AL1711" i="4" l="1"/>
  <c r="AK1720" i="4"/>
  <c r="AI1720" i="4"/>
  <c r="AH1721" i="4"/>
  <c r="AJ1721" i="4"/>
  <c r="AL1712" i="4" l="1"/>
  <c r="AK1721" i="4"/>
  <c r="AI1721" i="4"/>
  <c r="AH1722" i="4"/>
  <c r="AJ1722" i="4"/>
  <c r="AL1713" i="4" l="1"/>
  <c r="AK1722" i="4"/>
  <c r="AI1722" i="4"/>
  <c r="AH1723" i="4"/>
  <c r="AJ1723" i="4"/>
  <c r="AL1714" i="4" l="1"/>
  <c r="AK1723" i="4"/>
  <c r="AI1723" i="4"/>
  <c r="AH1724" i="4"/>
  <c r="AJ1724" i="4"/>
  <c r="AL1715" i="4" l="1"/>
  <c r="AK1724" i="4"/>
  <c r="AI1724" i="4"/>
  <c r="AH1725" i="4"/>
  <c r="AJ1725" i="4"/>
  <c r="AL1716" i="4" l="1"/>
  <c r="AK1725" i="4"/>
  <c r="AI1725" i="4"/>
  <c r="AH1726" i="4"/>
  <c r="AJ1726" i="4"/>
  <c r="AL1717" i="4" l="1"/>
  <c r="AK1726" i="4"/>
  <c r="AI1726" i="4"/>
  <c r="AH1727" i="4"/>
  <c r="AJ1727" i="4"/>
  <c r="AL1718" i="4" l="1"/>
  <c r="AK1727" i="4"/>
  <c r="AI1727" i="4"/>
  <c r="AH1728" i="4"/>
  <c r="AJ1728" i="4"/>
  <c r="AL1719" i="4" l="1"/>
  <c r="AK1728" i="4"/>
  <c r="AI1728" i="4"/>
  <c r="AH1729" i="4"/>
  <c r="AJ1729" i="4"/>
  <c r="AL1720" i="4" l="1"/>
  <c r="AK1729" i="4"/>
  <c r="AI1729" i="4"/>
  <c r="AH1730" i="4"/>
  <c r="AJ1730" i="4"/>
  <c r="AL1721" i="4" l="1"/>
  <c r="AK1730" i="4"/>
  <c r="AI1730" i="4"/>
  <c r="AH1731" i="4"/>
  <c r="AJ1731" i="4"/>
  <c r="AL1722" i="4" l="1"/>
  <c r="AK1731" i="4"/>
  <c r="AI1731" i="4"/>
  <c r="AH1732" i="4"/>
  <c r="AJ1732" i="4"/>
  <c r="AL1723" i="4" l="1"/>
  <c r="AK1732" i="4"/>
  <c r="AI1732" i="4"/>
  <c r="AH1733" i="4"/>
  <c r="AJ1733" i="4"/>
  <c r="AL1724" i="4" l="1"/>
  <c r="AK1733" i="4"/>
  <c r="AI1733" i="4"/>
  <c r="AH1734" i="4"/>
  <c r="AJ1734" i="4"/>
  <c r="AL1725" i="4" l="1"/>
  <c r="AK1734" i="4"/>
  <c r="AI1734" i="4"/>
  <c r="AH1735" i="4"/>
  <c r="AJ1735" i="4"/>
  <c r="AL1726" i="4" l="1"/>
  <c r="AK1735" i="4"/>
  <c r="AI1735" i="4"/>
  <c r="AH1736" i="4"/>
  <c r="AJ1736" i="4"/>
  <c r="AL1727" i="4" l="1"/>
  <c r="AK1736" i="4"/>
  <c r="AI1736" i="4"/>
  <c r="AH1737" i="4"/>
  <c r="AJ1737" i="4"/>
  <c r="AL1728" i="4" l="1"/>
  <c r="AK1737" i="4"/>
  <c r="AI1737" i="4"/>
  <c r="AH1738" i="4"/>
  <c r="AJ1738" i="4"/>
  <c r="AL1729" i="4" l="1"/>
  <c r="AK1738" i="4"/>
  <c r="AI1738" i="4"/>
  <c r="AH1739" i="4"/>
  <c r="AJ1739" i="4"/>
  <c r="AL1730" i="4" l="1"/>
  <c r="AK1739" i="4"/>
  <c r="AI1739" i="4"/>
  <c r="AH1740" i="4"/>
  <c r="AJ1740" i="4"/>
  <c r="AL1731" i="4" l="1"/>
  <c r="AK1740" i="4"/>
  <c r="AI1740" i="4"/>
  <c r="AH1741" i="4"/>
  <c r="AJ1741" i="4"/>
  <c r="AL1732" i="4" l="1"/>
  <c r="AK1741" i="4"/>
  <c r="AI1741" i="4"/>
  <c r="AH1742" i="4"/>
  <c r="AJ1742" i="4"/>
  <c r="AL1733" i="4" l="1"/>
  <c r="AK1742" i="4"/>
  <c r="AI1742" i="4"/>
  <c r="AH1743" i="4"/>
  <c r="AJ1743" i="4"/>
  <c r="AL1734" i="4" l="1"/>
  <c r="AK1743" i="4"/>
  <c r="AI1743" i="4"/>
  <c r="AH1744" i="4"/>
  <c r="AJ1744" i="4"/>
  <c r="AL1735" i="4" l="1"/>
  <c r="AK1744" i="4"/>
  <c r="AI1744" i="4"/>
  <c r="AH1745" i="4"/>
  <c r="AJ1745" i="4"/>
  <c r="AL1736" i="4" l="1"/>
  <c r="AK1745" i="4"/>
  <c r="AI1745" i="4"/>
  <c r="AH1746" i="4"/>
  <c r="AJ1746" i="4"/>
  <c r="AL1737" i="4" l="1"/>
  <c r="AK1746" i="4"/>
  <c r="AI1746" i="4"/>
  <c r="AH1747" i="4"/>
  <c r="AJ1747" i="4"/>
  <c r="AL1738" i="4" l="1"/>
  <c r="AK1747" i="4"/>
  <c r="AI1747" i="4"/>
  <c r="AH1748" i="4"/>
  <c r="AJ1748" i="4"/>
  <c r="AL1739" i="4" l="1"/>
  <c r="AK1748" i="4"/>
  <c r="AI1748" i="4"/>
  <c r="AH1749" i="4"/>
  <c r="AJ1749" i="4"/>
  <c r="AL1740" i="4" l="1"/>
  <c r="AK1749" i="4"/>
  <c r="AI1749" i="4"/>
  <c r="AH1750" i="4"/>
  <c r="AS88" i="4"/>
  <c r="AJ1750" i="4"/>
  <c r="AL1741" i="4" l="1"/>
  <c r="AK1750" i="4"/>
  <c r="AI1750" i="4"/>
  <c r="AH1751" i="4"/>
  <c r="AJ1751" i="4"/>
  <c r="AL1742" i="4" l="1"/>
  <c r="AK1751" i="4"/>
  <c r="AI1751" i="4"/>
  <c r="AH1752" i="4"/>
  <c r="AJ1752" i="4"/>
  <c r="AL1743" i="4" l="1"/>
  <c r="AK1752" i="4"/>
  <c r="AI1752" i="4"/>
  <c r="AH1753" i="4"/>
  <c r="AJ1753" i="4"/>
  <c r="AL1744" i="4" l="1"/>
  <c r="AK1753" i="4"/>
  <c r="AI1753" i="4"/>
  <c r="AH1754" i="4"/>
  <c r="AJ1754" i="4"/>
  <c r="AL1745" i="4" l="1"/>
  <c r="AK1754" i="4"/>
  <c r="AI1754" i="4"/>
  <c r="AH1755" i="4"/>
  <c r="AJ1755" i="4"/>
  <c r="AL1746" i="4" l="1"/>
  <c r="AK1755" i="4"/>
  <c r="AI1755" i="4"/>
  <c r="AH1756" i="4"/>
  <c r="AJ1756" i="4"/>
  <c r="AL1747" i="4" l="1"/>
  <c r="AK1756" i="4"/>
  <c r="AI1756" i="4"/>
  <c r="AH1757" i="4"/>
  <c r="AJ1757" i="4"/>
  <c r="AL1748" i="4" l="1"/>
  <c r="AK1757" i="4"/>
  <c r="AI1757" i="4"/>
  <c r="AH1758" i="4"/>
  <c r="AJ1758" i="4"/>
  <c r="AL1749" i="4" l="1"/>
  <c r="AK1758" i="4"/>
  <c r="AI1758" i="4"/>
  <c r="AH1759" i="4"/>
  <c r="AJ1759" i="4"/>
  <c r="AL1750" i="4" l="1"/>
  <c r="AK1759" i="4"/>
  <c r="AI1759" i="4"/>
  <c r="AH1760" i="4"/>
  <c r="AJ1760" i="4"/>
  <c r="AL1751" i="4" l="1"/>
  <c r="AK1760" i="4"/>
  <c r="AI1760" i="4"/>
  <c r="AH1761" i="4"/>
  <c r="AJ1761" i="4"/>
  <c r="AL1752" i="4" l="1"/>
  <c r="AK1761" i="4"/>
  <c r="AI1761" i="4"/>
  <c r="AH1762" i="4"/>
  <c r="AJ1762" i="4"/>
  <c r="AL1753" i="4" l="1"/>
  <c r="AK1762" i="4"/>
  <c r="AI1762" i="4"/>
  <c r="AH1763" i="4"/>
  <c r="AJ1763" i="4"/>
  <c r="AL1754" i="4" l="1"/>
  <c r="AK1763" i="4"/>
  <c r="AI1763" i="4"/>
  <c r="AH1764" i="4"/>
  <c r="AJ1764" i="4"/>
  <c r="AL1755" i="4" l="1"/>
  <c r="AK1764" i="4"/>
  <c r="AI1764" i="4"/>
  <c r="AH1765" i="4"/>
  <c r="AJ1765" i="4"/>
  <c r="AL1756" i="4" l="1"/>
  <c r="AK1765" i="4"/>
  <c r="AI1765" i="4"/>
  <c r="AH1766" i="4"/>
  <c r="AJ1766" i="4"/>
  <c r="AL1757" i="4" l="1"/>
  <c r="AK1766" i="4"/>
  <c r="AI1766" i="4"/>
  <c r="AH1767" i="4"/>
  <c r="AJ1767" i="4"/>
  <c r="AL1758" i="4" l="1"/>
  <c r="AK1767" i="4"/>
  <c r="AI1767" i="4"/>
  <c r="AH1768" i="4"/>
  <c r="AJ1768" i="4"/>
  <c r="AL1759" i="4" l="1"/>
  <c r="AK1768" i="4"/>
  <c r="AI1768" i="4"/>
  <c r="AH1769" i="4"/>
  <c r="AJ1769" i="4"/>
  <c r="AL1760" i="4" l="1"/>
  <c r="AK1769" i="4"/>
  <c r="AI1769" i="4"/>
  <c r="AH1770" i="4"/>
  <c r="AJ1770" i="4"/>
  <c r="AL1761" i="4" l="1"/>
  <c r="AK1770" i="4"/>
  <c r="AI1770" i="4"/>
  <c r="AH1771" i="4"/>
  <c r="AJ1771" i="4"/>
  <c r="AL1762" i="4" l="1"/>
  <c r="AK1771" i="4"/>
  <c r="AI1771" i="4"/>
  <c r="AH1772" i="4"/>
  <c r="AJ1772" i="4"/>
  <c r="AL1763" i="4" l="1"/>
  <c r="AK1772" i="4"/>
  <c r="AI1772" i="4"/>
  <c r="AH1773" i="4"/>
  <c r="AJ1773" i="4"/>
  <c r="AL1764" i="4" l="1"/>
  <c r="AK1773" i="4"/>
  <c r="AI1773" i="4"/>
  <c r="AH1774" i="4"/>
  <c r="AJ1774" i="4"/>
  <c r="AL1765" i="4" l="1"/>
  <c r="AK1774" i="4"/>
  <c r="AI1774" i="4"/>
  <c r="AH1775" i="4"/>
  <c r="AJ1775" i="4"/>
  <c r="AL1766" i="4" l="1"/>
  <c r="AK1775" i="4"/>
  <c r="AI1775" i="4"/>
  <c r="AH1776" i="4"/>
  <c r="AJ1776" i="4"/>
  <c r="AL1767" i="4" l="1"/>
  <c r="AK1776" i="4"/>
  <c r="AI1776" i="4"/>
  <c r="AH1777" i="4"/>
  <c r="AJ1777" i="4"/>
  <c r="AL1768" i="4" l="1"/>
  <c r="AK1777" i="4"/>
  <c r="AI1777" i="4"/>
  <c r="AH1778" i="4"/>
  <c r="AJ1778" i="4"/>
  <c r="AL1769" i="4" l="1"/>
  <c r="AK1778" i="4"/>
  <c r="AI1778" i="4"/>
  <c r="AH1779" i="4"/>
  <c r="AJ1779" i="4"/>
  <c r="AL1770" i="4" l="1"/>
  <c r="AK1779" i="4"/>
  <c r="AI1779" i="4"/>
  <c r="AH1780" i="4"/>
  <c r="AS89" i="4"/>
  <c r="AJ1780" i="4"/>
  <c r="AL1771" i="4" l="1"/>
  <c r="AK1780" i="4"/>
  <c r="AI1780" i="4"/>
  <c r="AH1781" i="4"/>
  <c r="AJ1781" i="4"/>
  <c r="AL1772" i="4" l="1"/>
  <c r="AK1781" i="4"/>
  <c r="AI1781" i="4"/>
  <c r="AH1782" i="4"/>
  <c r="AJ1782" i="4"/>
  <c r="AL1773" i="4" l="1"/>
  <c r="AK1782" i="4"/>
  <c r="AI1782" i="4"/>
  <c r="AH1783" i="4"/>
  <c r="AJ1783" i="4"/>
  <c r="AL1774" i="4" l="1"/>
  <c r="AK1783" i="4"/>
  <c r="AI1783" i="4"/>
  <c r="AH1784" i="4"/>
  <c r="AJ1784" i="4"/>
  <c r="AL1775" i="4" l="1"/>
  <c r="AK1784" i="4"/>
  <c r="AI1784" i="4"/>
  <c r="AH1785" i="4"/>
  <c r="AJ1785" i="4"/>
  <c r="AL1776" i="4" l="1"/>
  <c r="AK1785" i="4"/>
  <c r="AI1785" i="4"/>
  <c r="AH1786" i="4"/>
  <c r="AJ1786" i="4"/>
  <c r="AL1777" i="4" l="1"/>
  <c r="AK1786" i="4"/>
  <c r="AI1786" i="4"/>
  <c r="AH1787" i="4"/>
  <c r="AJ1787" i="4"/>
  <c r="AL1778" i="4" l="1"/>
  <c r="AK1787" i="4"/>
  <c r="AI1787" i="4"/>
  <c r="AH1788" i="4"/>
  <c r="AJ1788" i="4"/>
  <c r="AL1779" i="4" l="1"/>
  <c r="AK1788" i="4"/>
  <c r="AI1788" i="4"/>
  <c r="AH1789" i="4"/>
  <c r="AJ1789" i="4"/>
  <c r="AL1780" i="4" l="1"/>
  <c r="AK1789" i="4"/>
  <c r="AI1789" i="4"/>
  <c r="AH1790" i="4"/>
  <c r="AJ1790" i="4"/>
  <c r="AL1781" i="4" l="1"/>
  <c r="AK1790" i="4"/>
  <c r="AI1790" i="4"/>
  <c r="AH1791" i="4"/>
  <c r="AJ1791" i="4"/>
  <c r="AL1782" i="4" l="1"/>
  <c r="AK1791" i="4"/>
  <c r="AI1791" i="4"/>
  <c r="AH1792" i="4"/>
  <c r="AJ1792" i="4"/>
  <c r="AL1783" i="4" l="1"/>
  <c r="AK1792" i="4"/>
  <c r="AI1792" i="4"/>
  <c r="AH1793" i="4"/>
  <c r="AJ1793" i="4"/>
  <c r="AL1784" i="4" l="1"/>
  <c r="AK1793" i="4"/>
  <c r="AI1793" i="4"/>
  <c r="AH1794" i="4"/>
  <c r="AJ1794" i="4"/>
  <c r="AL1785" i="4" l="1"/>
  <c r="AK1794" i="4"/>
  <c r="AI1794" i="4"/>
  <c r="AH1795" i="4"/>
  <c r="AJ1795" i="4"/>
  <c r="AL1786" i="4" l="1"/>
  <c r="AK1795" i="4"/>
  <c r="AI1795" i="4"/>
  <c r="AH1796" i="4"/>
  <c r="AJ1796" i="4"/>
  <c r="AL1787" i="4" l="1"/>
  <c r="AK1796" i="4"/>
  <c r="AI1796" i="4"/>
  <c r="AH1797" i="4"/>
  <c r="AJ1797" i="4"/>
  <c r="AL1788" i="4" l="1"/>
  <c r="AK1797" i="4"/>
  <c r="AI1797" i="4"/>
  <c r="AH1798" i="4"/>
  <c r="AJ1798" i="4"/>
  <c r="AL1789" i="4" l="1"/>
  <c r="AK1798" i="4"/>
  <c r="AI1798" i="4"/>
  <c r="AH1799" i="4"/>
  <c r="AJ1799" i="4"/>
  <c r="AL1790" i="4" l="1"/>
  <c r="AK1799" i="4"/>
  <c r="AI1799" i="4"/>
  <c r="AH1800" i="4"/>
  <c r="AJ1800" i="4"/>
  <c r="AL1791" i="4" l="1"/>
  <c r="AK1800" i="4"/>
  <c r="AI1800" i="4"/>
  <c r="AH1801" i="4"/>
  <c r="AJ1801" i="4"/>
  <c r="AL1792" i="4" l="1"/>
  <c r="AK1801" i="4"/>
  <c r="AI1801" i="4"/>
  <c r="AH1802" i="4"/>
  <c r="AJ1802" i="4"/>
  <c r="AL1793" i="4" l="1"/>
  <c r="AK1802" i="4"/>
  <c r="AI1802" i="4"/>
  <c r="AH1803" i="4"/>
  <c r="AJ1803" i="4"/>
  <c r="AL1794" i="4" l="1"/>
  <c r="AK1803" i="4"/>
  <c r="AI1803" i="4"/>
  <c r="AH1804" i="4"/>
  <c r="AJ1804" i="4"/>
  <c r="AL1795" i="4" l="1"/>
  <c r="AK1804" i="4"/>
  <c r="AI1804" i="4"/>
  <c r="AH1805" i="4"/>
  <c r="AJ1805" i="4"/>
  <c r="AL1796" i="4" l="1"/>
  <c r="AK1805" i="4"/>
  <c r="AI1805" i="4"/>
  <c r="AH1806" i="4"/>
  <c r="AJ1806" i="4"/>
  <c r="AL1797" i="4" l="1"/>
  <c r="AK1806" i="4"/>
  <c r="AI1806" i="4"/>
  <c r="AH1807" i="4"/>
  <c r="AJ1807" i="4"/>
  <c r="AL1798" i="4" l="1"/>
  <c r="AK1807" i="4"/>
  <c r="AI1807" i="4"/>
  <c r="AH1808" i="4"/>
  <c r="AJ1808" i="4"/>
  <c r="AL1799" i="4" l="1"/>
  <c r="AK1808" i="4"/>
  <c r="AI1808" i="4"/>
  <c r="AH1809" i="4"/>
  <c r="AJ1809" i="4"/>
  <c r="AL1800" i="4" l="1"/>
  <c r="AK1809" i="4"/>
  <c r="AI1809" i="4"/>
  <c r="AH1810" i="4"/>
  <c r="AJ1810" i="4"/>
  <c r="AS90" i="4"/>
  <c r="AL1801" i="4" l="1"/>
  <c r="AK1810" i="4"/>
  <c r="AI1810" i="4"/>
  <c r="AH1811" i="4"/>
  <c r="AJ1811" i="4"/>
  <c r="AL1802" i="4" l="1"/>
  <c r="AK1811" i="4"/>
  <c r="AI1811" i="4"/>
  <c r="AH1812" i="4"/>
  <c r="AJ1812" i="4"/>
  <c r="AL1803" i="4" l="1"/>
  <c r="AK1812" i="4"/>
  <c r="AI1812" i="4"/>
  <c r="AH1813" i="4"/>
  <c r="AJ1813" i="4"/>
  <c r="AL1804" i="4" l="1"/>
  <c r="AK1813" i="4"/>
  <c r="AI1813" i="4"/>
  <c r="AH1814" i="4"/>
  <c r="AJ1814" i="4"/>
  <c r="AL1805" i="4" l="1"/>
  <c r="AK1814" i="4"/>
  <c r="AI1814" i="4"/>
  <c r="AH1815" i="4"/>
  <c r="AJ1815" i="4"/>
  <c r="AL1806" i="4" l="1"/>
  <c r="AK1815" i="4"/>
  <c r="AI1815" i="4"/>
  <c r="AH1816" i="4"/>
  <c r="AJ1816" i="4"/>
  <c r="AL1807" i="4" l="1"/>
  <c r="AK1816" i="4"/>
  <c r="AI1816" i="4"/>
  <c r="AH1817" i="4"/>
  <c r="AJ1817" i="4"/>
  <c r="AL1808" i="4" l="1"/>
  <c r="AK1817" i="4"/>
  <c r="AI1817" i="4"/>
  <c r="AH1818" i="4"/>
  <c r="AJ1818" i="4"/>
  <c r="AL1809" i="4" l="1"/>
  <c r="AK1818" i="4"/>
  <c r="AI1818" i="4"/>
  <c r="AH1819" i="4"/>
  <c r="AJ1819" i="4"/>
  <c r="AL1810" i="4" l="1"/>
  <c r="AK1819" i="4"/>
  <c r="AI1819" i="4"/>
  <c r="AH1820" i="4"/>
  <c r="AJ1820" i="4"/>
  <c r="AL1811" i="4" l="1"/>
  <c r="AK1820" i="4"/>
  <c r="AI1820" i="4"/>
  <c r="AH1821" i="4"/>
  <c r="AJ1821" i="4"/>
  <c r="AL1812" i="4" l="1"/>
  <c r="AK1821" i="4"/>
  <c r="AI1821" i="4"/>
  <c r="AH1822" i="4"/>
  <c r="AJ1822" i="4"/>
  <c r="AL1813" i="4" l="1"/>
  <c r="AK1822" i="4"/>
  <c r="AI1822" i="4"/>
  <c r="AH1823" i="4"/>
  <c r="AJ1823" i="4"/>
  <c r="AL1814" i="4" l="1"/>
  <c r="AK1823" i="4"/>
  <c r="AI1823" i="4"/>
  <c r="AH1824" i="4"/>
  <c r="AJ1824" i="4"/>
  <c r="AL1815" i="4" l="1"/>
  <c r="AK1824" i="4"/>
  <c r="AI1824" i="4"/>
  <c r="AH1825" i="4"/>
  <c r="AJ1825" i="4"/>
  <c r="AL1816" i="4" l="1"/>
  <c r="AK1825" i="4"/>
  <c r="AI1825" i="4"/>
  <c r="AH1826" i="4"/>
  <c r="AJ1826" i="4"/>
  <c r="AL1817" i="4" l="1"/>
  <c r="AK1826" i="4"/>
  <c r="AI1826" i="4"/>
  <c r="AH1827" i="4"/>
  <c r="AJ1827" i="4"/>
  <c r="AL1818" i="4" l="1"/>
  <c r="AK1827" i="4"/>
  <c r="AI1827" i="4"/>
  <c r="AH1828" i="4"/>
  <c r="AJ1828" i="4"/>
  <c r="AL1819" i="4" l="1"/>
  <c r="AK1828" i="4"/>
  <c r="AI1828" i="4"/>
  <c r="AH1829" i="4"/>
  <c r="AJ1829" i="4"/>
  <c r="AL1820" i="4" l="1"/>
  <c r="AK1829" i="4"/>
  <c r="AI1829" i="4"/>
  <c r="AH1830" i="4"/>
  <c r="AJ1830" i="4"/>
  <c r="AL1821" i="4" l="1"/>
  <c r="AK1830" i="4"/>
  <c r="AI1830" i="4"/>
  <c r="AH1831" i="4"/>
  <c r="AJ1831" i="4"/>
  <c r="AL1822" i="4" l="1"/>
  <c r="AK1831" i="4"/>
  <c r="AI1831" i="4"/>
  <c r="AH1832" i="4"/>
  <c r="AJ1832" i="4"/>
  <c r="AL1823" i="4" l="1"/>
  <c r="AK1832" i="4"/>
  <c r="AI1832" i="4"/>
  <c r="AH1833" i="4"/>
  <c r="AJ1833" i="4"/>
  <c r="AL1824" i="4" l="1"/>
  <c r="AK1833" i="4"/>
  <c r="AI1833" i="4"/>
  <c r="AH1834" i="4"/>
  <c r="AJ1834" i="4"/>
  <c r="AL1825" i="4" l="1"/>
  <c r="AK1834" i="4"/>
  <c r="AI1834" i="4"/>
  <c r="AH1835" i="4"/>
  <c r="AJ1835" i="4"/>
  <c r="AL1826" i="4" l="1"/>
  <c r="AK1835" i="4"/>
  <c r="AI1835" i="4"/>
  <c r="AH1836" i="4"/>
  <c r="AJ1836" i="4"/>
  <c r="AL1827" i="4" l="1"/>
  <c r="AK1836" i="4"/>
  <c r="AI1836" i="4"/>
  <c r="AH1837" i="4"/>
  <c r="AJ1837" i="4"/>
  <c r="AL1828" i="4" l="1"/>
  <c r="AK1837" i="4"/>
  <c r="AI1837" i="4"/>
  <c r="AH1838" i="4"/>
  <c r="AJ1838" i="4"/>
  <c r="AL1829" i="4" l="1"/>
  <c r="AK1838" i="4"/>
  <c r="AI1838" i="4"/>
  <c r="AH1839" i="4"/>
  <c r="AJ1839" i="4"/>
  <c r="AL1830" i="4" l="1"/>
  <c r="AK1839" i="4"/>
  <c r="AI1839" i="4"/>
  <c r="AH1840" i="4"/>
  <c r="AJ1840" i="4"/>
  <c r="AS91" i="4"/>
  <c r="AL1831" i="4" l="1"/>
  <c r="AK1840" i="4"/>
  <c r="AI1840" i="4"/>
  <c r="AH1841" i="4"/>
  <c r="AJ1841" i="4"/>
  <c r="AL1832" i="4" l="1"/>
  <c r="AK1841" i="4"/>
  <c r="AI1841" i="4"/>
  <c r="AH1842" i="4"/>
  <c r="AJ1842" i="4"/>
  <c r="AL1833" i="4" l="1"/>
  <c r="AK1842" i="4"/>
  <c r="AI1842" i="4"/>
  <c r="AH1843" i="4"/>
  <c r="AJ1843" i="4"/>
  <c r="AL1834" i="4" l="1"/>
  <c r="AK1843" i="4"/>
  <c r="AI1843" i="4"/>
  <c r="AH1844" i="4"/>
  <c r="AJ1844" i="4"/>
  <c r="AL1835" i="4" l="1"/>
  <c r="AK1844" i="4"/>
  <c r="AI1844" i="4"/>
  <c r="AH1845" i="4"/>
  <c r="AJ1845" i="4"/>
  <c r="AL1836" i="4" l="1"/>
  <c r="AK1845" i="4"/>
  <c r="AI1845" i="4"/>
  <c r="AH1846" i="4"/>
  <c r="AJ1846" i="4"/>
  <c r="AL1837" i="4" l="1"/>
  <c r="AK1846" i="4"/>
  <c r="AI1846" i="4"/>
  <c r="AH1847" i="4"/>
  <c r="AJ1847" i="4"/>
  <c r="AL1838" i="4" l="1"/>
  <c r="AK1847" i="4"/>
  <c r="AI1847" i="4"/>
  <c r="AH1848" i="4"/>
  <c r="AJ1848" i="4"/>
  <c r="AL1839" i="4" l="1"/>
  <c r="AK1848" i="4"/>
  <c r="AI1848" i="4"/>
  <c r="AH1849" i="4"/>
  <c r="AJ1849" i="4"/>
  <c r="AL1840" i="4" l="1"/>
  <c r="AK1849" i="4"/>
  <c r="AI1849" i="4"/>
  <c r="AH1850" i="4"/>
  <c r="AJ1850" i="4"/>
  <c r="AL1841" i="4" l="1"/>
  <c r="AK1850" i="4"/>
  <c r="AI1850" i="4"/>
  <c r="AH1851" i="4"/>
  <c r="AJ1851" i="4"/>
  <c r="AL1842" i="4" l="1"/>
  <c r="AK1851" i="4"/>
  <c r="AI1851" i="4"/>
  <c r="AH1852" i="4"/>
  <c r="AJ1852" i="4"/>
  <c r="AL1843" i="4" l="1"/>
  <c r="AK1852" i="4"/>
  <c r="AI1852" i="4"/>
  <c r="AH1853" i="4"/>
  <c r="AJ1853" i="4"/>
  <c r="AL1844" i="4" l="1"/>
  <c r="AK1853" i="4"/>
  <c r="AI1853" i="4"/>
  <c r="AH1854" i="4"/>
  <c r="AJ1854" i="4"/>
  <c r="AL1845" i="4" l="1"/>
  <c r="AK1854" i="4"/>
  <c r="AI1854" i="4"/>
  <c r="AH1855" i="4"/>
  <c r="AJ1855" i="4"/>
  <c r="AL1846" i="4" l="1"/>
  <c r="AK1855" i="4"/>
  <c r="AI1855" i="4"/>
  <c r="AH1856" i="4"/>
  <c r="AJ1856" i="4"/>
  <c r="AL1847" i="4" l="1"/>
  <c r="AK1856" i="4"/>
  <c r="AI1856" i="4"/>
  <c r="AH1857" i="4"/>
  <c r="AJ1857" i="4"/>
  <c r="AL1848" i="4" l="1"/>
  <c r="AK1857" i="4"/>
  <c r="AI1857" i="4"/>
  <c r="AH1858" i="4"/>
  <c r="AJ1858" i="4"/>
  <c r="AL1849" i="4" l="1"/>
  <c r="AK1858" i="4"/>
  <c r="AI1858" i="4"/>
  <c r="AH1859" i="4"/>
  <c r="AJ1859" i="4"/>
  <c r="AL1850" i="4" l="1"/>
  <c r="AK1859" i="4"/>
  <c r="AI1859" i="4"/>
  <c r="AH1860" i="4"/>
  <c r="AJ1860" i="4"/>
  <c r="AL1851" i="4" l="1"/>
  <c r="AK1860" i="4"/>
  <c r="AI1860" i="4"/>
  <c r="AH1861" i="4"/>
  <c r="AJ1861" i="4"/>
  <c r="AL1852" i="4" l="1"/>
  <c r="AK1861" i="4"/>
  <c r="AI1861" i="4"/>
  <c r="AH1862" i="4"/>
  <c r="AJ1862" i="4"/>
  <c r="AL1853" i="4" l="1"/>
  <c r="AK1862" i="4"/>
  <c r="AI1862" i="4"/>
  <c r="AH1863" i="4"/>
  <c r="AJ1863" i="4"/>
  <c r="AL1854" i="4" l="1"/>
  <c r="AK1863" i="4"/>
  <c r="AI1863" i="4"/>
  <c r="AH1864" i="4"/>
  <c r="AJ1864" i="4"/>
  <c r="AL1855" i="4" l="1"/>
  <c r="AK1864" i="4"/>
  <c r="AI1864" i="4"/>
  <c r="AH1865" i="4"/>
  <c r="AJ1865" i="4"/>
  <c r="AL1856" i="4" l="1"/>
  <c r="D31" i="29"/>
  <c r="E31" i="29" s="1"/>
  <c r="AK1865" i="4"/>
  <c r="AI1865" i="4"/>
  <c r="AH1866" i="4"/>
  <c r="AJ1866" i="4"/>
  <c r="AL1857" i="4" l="1"/>
  <c r="AK1866" i="4"/>
  <c r="AI1866" i="4"/>
  <c r="AH1867" i="4"/>
  <c r="AJ1867" i="4"/>
  <c r="AL1858" i="4" l="1"/>
  <c r="AK1867" i="4"/>
  <c r="AI1867" i="4"/>
  <c r="AH1868" i="4"/>
  <c r="AJ1868" i="4"/>
  <c r="AL1859" i="4" l="1"/>
  <c r="AK1868" i="4"/>
  <c r="AI1868" i="4"/>
  <c r="AH1869" i="4"/>
  <c r="AJ1869" i="4"/>
  <c r="AL1860" i="4" l="1"/>
  <c r="AK1869" i="4"/>
  <c r="AI1869" i="4"/>
  <c r="AH1870" i="4"/>
  <c r="AJ1870" i="4"/>
  <c r="AS92" i="4"/>
  <c r="AL1861" i="4" l="1"/>
  <c r="AK1870" i="4"/>
  <c r="AI1870" i="4"/>
  <c r="AH1871" i="4"/>
  <c r="AJ1871" i="4"/>
  <c r="AL1862" i="4" l="1"/>
  <c r="AK1871" i="4"/>
  <c r="AI1871" i="4"/>
  <c r="AH1872" i="4"/>
  <c r="AJ1872" i="4"/>
  <c r="AL1863" i="4" l="1"/>
  <c r="AK1872" i="4"/>
  <c r="AI1872" i="4"/>
  <c r="AH1873" i="4"/>
  <c r="AJ1873" i="4"/>
  <c r="AL1864" i="4" l="1"/>
  <c r="AK1873" i="4"/>
  <c r="AI1873" i="4"/>
  <c r="AH1874" i="4"/>
  <c r="AJ1874" i="4"/>
  <c r="AL1865" i="4" l="1"/>
  <c r="AK1874" i="4"/>
  <c r="AI1874" i="4"/>
  <c r="AH1875" i="4"/>
  <c r="AJ1875" i="4"/>
  <c r="AL1866" i="4" l="1"/>
  <c r="AK1875" i="4"/>
  <c r="AI1875" i="4"/>
  <c r="AH1876" i="4"/>
  <c r="AJ1876" i="4"/>
  <c r="AL1867" i="4" l="1"/>
  <c r="AK1876" i="4"/>
  <c r="AI1876" i="4"/>
  <c r="AH1877" i="4"/>
  <c r="AJ1877" i="4"/>
  <c r="AL1868" i="4" l="1"/>
  <c r="AK1877" i="4"/>
  <c r="AI1877" i="4"/>
  <c r="AH1878" i="4"/>
  <c r="AJ1878" i="4"/>
  <c r="AL1869" i="4" l="1"/>
  <c r="AK1878" i="4"/>
  <c r="AI1878" i="4"/>
  <c r="AH1879" i="4"/>
  <c r="AJ1879" i="4"/>
  <c r="AL1870" i="4" l="1"/>
  <c r="AK1879" i="4"/>
  <c r="AI1879" i="4"/>
  <c r="AH1880" i="4"/>
  <c r="AJ1880" i="4"/>
  <c r="AL1871" i="4" l="1"/>
  <c r="AK1880" i="4"/>
  <c r="AI1880" i="4"/>
  <c r="AH1881" i="4"/>
  <c r="AJ1881" i="4"/>
  <c r="AL1872" i="4" l="1"/>
  <c r="AK1881" i="4"/>
  <c r="AI1881" i="4"/>
  <c r="AH1882" i="4"/>
  <c r="AJ1882" i="4"/>
  <c r="AL1873" i="4" l="1"/>
  <c r="AK1882" i="4"/>
  <c r="AI1882" i="4"/>
  <c r="AH1883" i="4"/>
  <c r="AJ1883" i="4"/>
  <c r="AL1874" i="4" l="1"/>
  <c r="AK1883" i="4"/>
  <c r="AI1883" i="4"/>
  <c r="AH1884" i="4"/>
  <c r="AJ1884" i="4"/>
  <c r="AL1875" i="4" l="1"/>
  <c r="AK1884" i="4"/>
  <c r="AI1884" i="4"/>
  <c r="AH1885" i="4"/>
  <c r="AJ1885" i="4"/>
  <c r="AL1876" i="4" l="1"/>
  <c r="AK1885" i="4"/>
  <c r="AI1885" i="4"/>
  <c r="AH1886" i="4"/>
  <c r="AJ1886" i="4"/>
  <c r="AL1877" i="4" l="1"/>
  <c r="AK1886" i="4"/>
  <c r="AI1886" i="4"/>
  <c r="AH1887" i="4"/>
  <c r="AJ1887" i="4"/>
  <c r="AL1878" i="4" l="1"/>
  <c r="AK1887" i="4"/>
  <c r="AI1887" i="4"/>
  <c r="AH1888" i="4"/>
  <c r="AJ1888" i="4"/>
  <c r="AL1879" i="4" l="1"/>
  <c r="AK1888" i="4"/>
  <c r="AI1888" i="4"/>
  <c r="AH1889" i="4"/>
  <c r="AJ1889" i="4"/>
  <c r="AL1880" i="4" l="1"/>
  <c r="AK1889" i="4"/>
  <c r="AI1889" i="4"/>
  <c r="AH1890" i="4"/>
  <c r="AJ1890" i="4"/>
  <c r="AL1881" i="4" l="1"/>
  <c r="AK1890" i="4"/>
  <c r="AI1890" i="4"/>
  <c r="AH1891" i="4"/>
  <c r="AJ1891" i="4"/>
  <c r="AL1882" i="4" l="1"/>
  <c r="AK1891" i="4"/>
  <c r="AI1891" i="4"/>
  <c r="AH1892" i="4"/>
  <c r="AJ1892" i="4"/>
  <c r="AL1883" i="4" l="1"/>
  <c r="AK1892" i="4"/>
  <c r="AI1892" i="4"/>
  <c r="AH1893" i="4"/>
  <c r="AJ1893" i="4"/>
  <c r="AL1884" i="4" l="1"/>
  <c r="AK1893" i="4"/>
  <c r="AI1893" i="4"/>
  <c r="AH1894" i="4"/>
  <c r="AJ1894" i="4"/>
  <c r="AL1885" i="4" l="1"/>
  <c r="AK1894" i="4"/>
  <c r="AI1894" i="4"/>
  <c r="AH1895" i="4"/>
  <c r="AJ1895" i="4"/>
  <c r="AL1886" i="4" l="1"/>
  <c r="AK1895" i="4"/>
  <c r="AI1895" i="4"/>
  <c r="AH1896" i="4"/>
  <c r="AJ1896" i="4"/>
  <c r="AL1887" i="4" l="1"/>
  <c r="AK1896" i="4"/>
  <c r="AI1896" i="4"/>
  <c r="AH1897" i="4"/>
  <c r="AJ1897" i="4"/>
  <c r="AL1888" i="4" l="1"/>
  <c r="AK1897" i="4"/>
  <c r="AI1897" i="4"/>
  <c r="AH1898" i="4"/>
  <c r="AJ1898" i="4"/>
  <c r="AL1889" i="4" l="1"/>
  <c r="AK1898" i="4"/>
  <c r="AI1898" i="4"/>
  <c r="AH1899" i="4"/>
  <c r="AJ1899" i="4"/>
  <c r="AL1890" i="4" l="1"/>
  <c r="AK1899" i="4"/>
  <c r="AI1899" i="4"/>
  <c r="AH1900" i="4"/>
  <c r="AS93" i="4"/>
  <c r="AJ1900" i="4"/>
  <c r="AL1891" i="4" l="1"/>
  <c r="AK1900" i="4"/>
  <c r="AI1900" i="4"/>
  <c r="AH1901" i="4"/>
  <c r="AJ1901" i="4"/>
  <c r="AL1892" i="4" l="1"/>
  <c r="AK1901" i="4"/>
  <c r="AI1901" i="4"/>
  <c r="AH1902" i="4"/>
  <c r="AJ1902" i="4"/>
  <c r="AL1893" i="4" l="1"/>
  <c r="AK1902" i="4"/>
  <c r="AI1902" i="4"/>
  <c r="AH1903" i="4"/>
  <c r="AJ1903" i="4"/>
  <c r="AL1894" i="4" l="1"/>
  <c r="AK1903" i="4"/>
  <c r="AI1903" i="4"/>
  <c r="AH1904" i="4"/>
  <c r="AJ1904" i="4"/>
  <c r="AL1895" i="4" l="1"/>
  <c r="AK1904" i="4"/>
  <c r="AI1904" i="4"/>
  <c r="AH1905" i="4"/>
  <c r="AJ1905" i="4"/>
  <c r="AL1896" i="4" l="1"/>
  <c r="AK1905" i="4"/>
  <c r="AI1905" i="4"/>
  <c r="AH1906" i="4"/>
  <c r="AJ1906" i="4"/>
  <c r="AL1897" i="4" l="1"/>
  <c r="AK1906" i="4"/>
  <c r="AI1906" i="4"/>
  <c r="AH1907" i="4"/>
  <c r="AJ1907" i="4"/>
  <c r="AL1898" i="4" l="1"/>
  <c r="AK1907" i="4"/>
  <c r="AI1907" i="4"/>
  <c r="AH1908" i="4"/>
  <c r="AJ1908" i="4"/>
  <c r="AL1899" i="4" l="1"/>
  <c r="AK1908" i="4"/>
  <c r="AI1908" i="4"/>
  <c r="AH1909" i="4"/>
  <c r="AJ1909" i="4"/>
  <c r="AL1900" i="4" l="1"/>
  <c r="AK1909" i="4"/>
  <c r="AI1909" i="4"/>
  <c r="AH1910" i="4"/>
  <c r="AJ1910" i="4"/>
  <c r="AL1901" i="4" l="1"/>
  <c r="AK1910" i="4"/>
  <c r="AI1910" i="4"/>
  <c r="AH1911" i="4"/>
  <c r="AJ1911" i="4"/>
  <c r="AL1902" i="4" l="1"/>
  <c r="AK1911" i="4"/>
  <c r="AI1911" i="4"/>
  <c r="AH1912" i="4"/>
  <c r="AJ1912" i="4"/>
  <c r="AL1903" i="4" l="1"/>
  <c r="AK1912" i="4"/>
  <c r="AI1912" i="4"/>
  <c r="AH1913" i="4"/>
  <c r="AJ1913" i="4"/>
  <c r="AL1904" i="4" l="1"/>
  <c r="AK1913" i="4"/>
  <c r="AI1913" i="4"/>
  <c r="AH1914" i="4"/>
  <c r="AJ1914" i="4"/>
  <c r="AL1905" i="4" l="1"/>
  <c r="AK1914" i="4"/>
  <c r="AI1914" i="4"/>
  <c r="AH1915" i="4"/>
  <c r="AJ1915" i="4"/>
  <c r="AL1906" i="4" l="1"/>
  <c r="AK1915" i="4"/>
  <c r="AI1915" i="4"/>
  <c r="AH1916" i="4"/>
  <c r="AJ1916" i="4"/>
  <c r="AL1907" i="4" l="1"/>
  <c r="AK1916" i="4"/>
  <c r="AI1916" i="4"/>
  <c r="AH1917" i="4"/>
  <c r="AJ1917" i="4"/>
  <c r="AL1908" i="4" l="1"/>
  <c r="AK1917" i="4"/>
  <c r="AI1917" i="4"/>
  <c r="AH1918" i="4"/>
  <c r="AJ1918" i="4"/>
  <c r="AL1909" i="4" l="1"/>
  <c r="AK1918" i="4"/>
  <c r="AI1918" i="4"/>
  <c r="AH1919" i="4"/>
  <c r="AJ1919" i="4"/>
  <c r="AL1910" i="4" l="1"/>
  <c r="AK1919" i="4"/>
  <c r="AI1919" i="4"/>
  <c r="AH1920" i="4"/>
  <c r="AJ1920" i="4"/>
  <c r="AL1911" i="4" l="1"/>
  <c r="AK1920" i="4"/>
  <c r="AI1920" i="4"/>
  <c r="AH1921" i="4"/>
  <c r="AJ1921" i="4"/>
  <c r="AL1912" i="4" l="1"/>
  <c r="AK1921" i="4"/>
  <c r="AI1921" i="4"/>
  <c r="AH1922" i="4"/>
  <c r="AJ1922" i="4"/>
  <c r="AL1913" i="4" l="1"/>
  <c r="AK1922" i="4"/>
  <c r="AI1922" i="4"/>
  <c r="AH1923" i="4"/>
  <c r="AJ1923" i="4"/>
  <c r="AL1914" i="4" l="1"/>
  <c r="AK1923" i="4"/>
  <c r="AI1923" i="4"/>
  <c r="AH1924" i="4"/>
  <c r="AJ1924" i="4"/>
  <c r="AL1915" i="4" l="1"/>
  <c r="AK1924" i="4"/>
  <c r="AI1924" i="4"/>
  <c r="AH1925" i="4"/>
  <c r="AJ1925" i="4"/>
  <c r="AL1916" i="4" l="1"/>
  <c r="AK1925" i="4"/>
  <c r="AI1925" i="4"/>
  <c r="AH1926" i="4"/>
  <c r="AJ1926" i="4"/>
  <c r="AL1917" i="4" l="1"/>
  <c r="AK1926" i="4"/>
  <c r="AI1926" i="4"/>
  <c r="AH1927" i="4"/>
  <c r="AJ1927" i="4"/>
  <c r="AL1918" i="4" l="1"/>
  <c r="AK1927" i="4"/>
  <c r="AI1927" i="4"/>
  <c r="AH1928" i="4"/>
  <c r="AJ1928" i="4"/>
  <c r="AL1919" i="4" l="1"/>
  <c r="AK1928" i="4"/>
  <c r="AI1928" i="4"/>
  <c r="AH1929" i="4"/>
  <c r="AJ1929" i="4"/>
  <c r="AL1920" i="4" l="1"/>
  <c r="AK1929" i="4"/>
  <c r="AI1929" i="4"/>
  <c r="AH1930" i="4"/>
  <c r="AJ1930" i="4"/>
  <c r="AS94" i="4"/>
  <c r="AL1921" i="4" l="1"/>
  <c r="AK1930" i="4"/>
  <c r="AI1930" i="4"/>
  <c r="AH1931" i="4"/>
  <c r="AJ1931" i="4"/>
  <c r="AL1922" i="4" l="1"/>
  <c r="AK1931" i="4"/>
  <c r="AI1931" i="4"/>
  <c r="AH1932" i="4"/>
  <c r="AJ1932" i="4"/>
  <c r="AL1923" i="4" l="1"/>
  <c r="AK1932" i="4"/>
  <c r="AI1932" i="4"/>
  <c r="AH1933" i="4"/>
  <c r="AJ1933" i="4"/>
  <c r="AL1924" i="4" l="1"/>
  <c r="AK1933" i="4"/>
  <c r="AI1933" i="4"/>
  <c r="AH1934" i="4"/>
  <c r="AJ1934" i="4"/>
  <c r="AL1925" i="4" l="1"/>
  <c r="AK1934" i="4"/>
  <c r="AI1934" i="4"/>
  <c r="AH1935" i="4"/>
  <c r="AJ1935" i="4"/>
  <c r="AL1926" i="4" l="1"/>
  <c r="AK1935" i="4"/>
  <c r="AI1935" i="4"/>
  <c r="AH1936" i="4"/>
  <c r="AJ1936" i="4"/>
  <c r="AL1927" i="4" l="1"/>
  <c r="AK1936" i="4"/>
  <c r="AI1936" i="4"/>
  <c r="AH1937" i="4"/>
  <c r="AJ1937" i="4"/>
  <c r="AL1928" i="4" l="1"/>
  <c r="AK1937" i="4"/>
  <c r="AI1937" i="4"/>
  <c r="AH1938" i="4"/>
  <c r="AJ1938" i="4"/>
  <c r="AL1929" i="4" l="1"/>
  <c r="AK1938" i="4"/>
  <c r="AI1938" i="4"/>
  <c r="AH1939" i="4"/>
  <c r="AJ1939" i="4"/>
  <c r="AL1930" i="4" l="1"/>
  <c r="AK1939" i="4"/>
  <c r="AI1939" i="4"/>
  <c r="AH1940" i="4"/>
  <c r="AJ1940" i="4"/>
  <c r="AL1931" i="4" l="1"/>
  <c r="AK1940" i="4"/>
  <c r="AI1940" i="4"/>
  <c r="AH1941" i="4"/>
  <c r="AJ1941" i="4"/>
  <c r="AL1932" i="4" l="1"/>
  <c r="AK1941" i="4"/>
  <c r="AI1941" i="4"/>
  <c r="AH1942" i="4"/>
  <c r="AJ1942" i="4"/>
  <c r="AL1933" i="4" l="1"/>
  <c r="AK1942" i="4"/>
  <c r="AI1942" i="4"/>
  <c r="AH1943" i="4"/>
  <c r="AJ1943" i="4"/>
  <c r="AL1934" i="4" l="1"/>
  <c r="AK1943" i="4"/>
  <c r="AI1943" i="4"/>
  <c r="AH1944" i="4"/>
  <c r="AJ1944" i="4"/>
  <c r="AL1935" i="4" l="1"/>
  <c r="AK1944" i="4"/>
  <c r="AI1944" i="4"/>
  <c r="AH1945" i="4"/>
  <c r="AJ1945" i="4"/>
  <c r="AL1936" i="4" l="1"/>
  <c r="AK1945" i="4"/>
  <c r="AI1945" i="4"/>
  <c r="AH1946" i="4"/>
  <c r="AJ1946" i="4"/>
  <c r="AL1937" i="4" l="1"/>
  <c r="AK1946" i="4"/>
  <c r="AI1946" i="4"/>
  <c r="AH1947" i="4"/>
  <c r="AJ1947" i="4"/>
  <c r="AL1938" i="4" l="1"/>
  <c r="AK1947" i="4"/>
  <c r="AI1947" i="4"/>
  <c r="AH1948" i="4"/>
  <c r="AJ1948" i="4"/>
  <c r="AL1939" i="4" l="1"/>
  <c r="AK1948" i="4"/>
  <c r="AI1948" i="4"/>
  <c r="AH1949" i="4"/>
  <c r="AJ1949" i="4"/>
  <c r="AL1940" i="4" l="1"/>
  <c r="AK1949" i="4"/>
  <c r="AI1949" i="4"/>
  <c r="AH1950" i="4"/>
  <c r="AJ1950" i="4"/>
  <c r="AL1941" i="4" l="1"/>
  <c r="AK1950" i="4"/>
  <c r="AI1950" i="4"/>
  <c r="AH1951" i="4"/>
  <c r="AJ1951" i="4"/>
  <c r="AL1942" i="4" l="1"/>
  <c r="AK1951" i="4"/>
  <c r="AI1951" i="4"/>
  <c r="AH1952" i="4"/>
  <c r="AJ1952" i="4"/>
  <c r="AL1943" i="4" l="1"/>
  <c r="AK1952" i="4"/>
  <c r="AI1952" i="4"/>
  <c r="AH1953" i="4"/>
  <c r="AJ1953" i="4"/>
  <c r="AL1944" i="4" l="1"/>
  <c r="AK1953" i="4"/>
  <c r="AI1953" i="4"/>
  <c r="AH1954" i="4"/>
  <c r="AJ1954" i="4"/>
  <c r="AL1945" i="4" l="1"/>
  <c r="AK1954" i="4"/>
  <c r="AI1954" i="4"/>
  <c r="AH1955" i="4"/>
  <c r="AJ1955" i="4"/>
  <c r="AL1946" i="4" l="1"/>
  <c r="AK1955" i="4"/>
  <c r="AI1955" i="4"/>
  <c r="AH1956" i="4"/>
  <c r="AJ1956" i="4"/>
  <c r="AL1947" i="4" l="1"/>
  <c r="AK1956" i="4"/>
  <c r="AI1956" i="4"/>
  <c r="AH1957" i="4"/>
  <c r="AJ1957" i="4"/>
  <c r="AL1948" i="4" l="1"/>
  <c r="AK1957" i="4"/>
  <c r="AI1957" i="4"/>
  <c r="AH1958" i="4"/>
  <c r="AJ1958" i="4"/>
  <c r="AL1949" i="4" l="1"/>
  <c r="AK1958" i="4"/>
  <c r="AI1958" i="4"/>
  <c r="AH1959" i="4"/>
  <c r="AJ1959" i="4"/>
  <c r="AL1950" i="4" l="1"/>
  <c r="AK1959" i="4"/>
  <c r="AI1959" i="4"/>
  <c r="AH1960" i="4"/>
  <c r="AJ1960" i="4"/>
  <c r="AS95" i="4"/>
  <c r="AL1951" i="4" l="1"/>
  <c r="AK1960" i="4"/>
  <c r="AI1960" i="4"/>
  <c r="AH1961" i="4"/>
  <c r="AJ1961" i="4"/>
  <c r="AL1952" i="4" l="1"/>
  <c r="AK1961" i="4"/>
  <c r="AI1961" i="4"/>
  <c r="AH1962" i="4"/>
  <c r="AJ1962" i="4"/>
  <c r="AL1953" i="4" l="1"/>
  <c r="AK1962" i="4"/>
  <c r="AI1962" i="4"/>
  <c r="AH1963" i="4"/>
  <c r="AJ1963" i="4"/>
  <c r="AL1954" i="4" l="1"/>
  <c r="AK1963" i="4"/>
  <c r="AI1963" i="4"/>
  <c r="AH1964" i="4"/>
  <c r="AJ1964" i="4"/>
  <c r="AL1955" i="4" l="1"/>
  <c r="AK1964" i="4"/>
  <c r="AI1964" i="4"/>
  <c r="AH1965" i="4"/>
  <c r="AJ1965" i="4"/>
  <c r="AL1956" i="4" l="1"/>
  <c r="AK1965" i="4"/>
  <c r="AI1965" i="4"/>
  <c r="AH1966" i="4"/>
  <c r="AJ1966" i="4"/>
  <c r="AL1957" i="4" l="1"/>
  <c r="AK1966" i="4"/>
  <c r="AI1966" i="4"/>
  <c r="AH1967" i="4"/>
  <c r="AJ1967" i="4"/>
  <c r="AL1958" i="4" l="1"/>
  <c r="AK1967" i="4"/>
  <c r="AI1967" i="4"/>
  <c r="AH1968" i="4"/>
  <c r="AJ1968" i="4"/>
  <c r="AL1959" i="4" l="1"/>
  <c r="AK1968" i="4"/>
  <c r="AI1968" i="4"/>
  <c r="AH1969" i="4"/>
  <c r="AJ1969" i="4"/>
  <c r="AL1960" i="4" l="1"/>
  <c r="AK1969" i="4"/>
  <c r="AI1969" i="4"/>
  <c r="AH1970" i="4"/>
  <c r="AJ1970" i="4"/>
  <c r="AL1961" i="4" l="1"/>
  <c r="AK1970" i="4"/>
  <c r="AI1970" i="4"/>
  <c r="AH1971" i="4"/>
  <c r="AJ1971" i="4"/>
  <c r="AL1962" i="4" l="1"/>
  <c r="AK1971" i="4"/>
  <c r="AI1971" i="4"/>
  <c r="AH1972" i="4"/>
  <c r="AJ1972" i="4"/>
  <c r="AL1963" i="4" l="1"/>
  <c r="AK1972" i="4"/>
  <c r="AI1972" i="4"/>
  <c r="AH1973" i="4"/>
  <c r="AJ1973" i="4"/>
  <c r="AL1964" i="4" l="1"/>
  <c r="AK1973" i="4"/>
  <c r="AI1973" i="4"/>
  <c r="AH1974" i="4"/>
  <c r="AJ1974" i="4"/>
  <c r="AL1965" i="4" l="1"/>
  <c r="AK1974" i="4"/>
  <c r="AI1974" i="4"/>
  <c r="AH1975" i="4"/>
  <c r="AJ1975" i="4"/>
  <c r="AL1966" i="4" l="1"/>
  <c r="AK1975" i="4"/>
  <c r="AI1975" i="4"/>
  <c r="AH1976" i="4"/>
  <c r="AJ1976" i="4"/>
  <c r="AL1967" i="4" l="1"/>
  <c r="AK1976" i="4"/>
  <c r="AI1976" i="4"/>
  <c r="AH1977" i="4"/>
  <c r="AJ1977" i="4"/>
  <c r="AL1968" i="4" l="1"/>
  <c r="AK1977" i="4"/>
  <c r="AI1977" i="4"/>
  <c r="AH1978" i="4"/>
  <c r="AJ1978" i="4"/>
  <c r="AL1969" i="4" l="1"/>
  <c r="AK1978" i="4"/>
  <c r="AI1978" i="4"/>
  <c r="AH1979" i="4"/>
  <c r="AJ1979" i="4"/>
  <c r="AL1970" i="4" l="1"/>
  <c r="AK1979" i="4"/>
  <c r="AI1979" i="4"/>
  <c r="AH1980" i="4"/>
  <c r="AJ1980" i="4"/>
  <c r="AL1971" i="4" l="1"/>
  <c r="AK1980" i="4"/>
  <c r="AI1980" i="4"/>
  <c r="AH1981" i="4"/>
  <c r="AJ1981" i="4"/>
  <c r="AL1972" i="4" l="1"/>
  <c r="AK1981" i="4"/>
  <c r="AI1981" i="4"/>
  <c r="AH1982" i="4"/>
  <c r="AJ1982" i="4"/>
  <c r="AL1973" i="4" l="1"/>
  <c r="AK1982" i="4"/>
  <c r="AI1982" i="4"/>
  <c r="AH1983" i="4"/>
  <c r="AJ1983" i="4"/>
  <c r="AL1974" i="4" l="1"/>
  <c r="AK1983" i="4"/>
  <c r="AI1983" i="4"/>
  <c r="AH1984" i="4"/>
  <c r="AJ1984" i="4"/>
  <c r="AL1975" i="4" l="1"/>
  <c r="AK1984" i="4"/>
  <c r="AI1984" i="4"/>
  <c r="AH1985" i="4"/>
  <c r="AJ1985" i="4"/>
  <c r="AL1976" i="4" l="1"/>
  <c r="AK1985" i="4"/>
  <c r="AI1985" i="4"/>
  <c r="AH1986" i="4"/>
  <c r="AJ1986" i="4"/>
  <c r="AL1977" i="4" l="1"/>
  <c r="AK1986" i="4"/>
  <c r="AI1986" i="4"/>
  <c r="AH1987" i="4"/>
  <c r="AJ1987" i="4"/>
  <c r="AL1978" i="4" l="1"/>
  <c r="AK1987" i="4"/>
  <c r="AI1987" i="4"/>
  <c r="AH1988" i="4"/>
  <c r="AJ1988" i="4"/>
  <c r="AL1979" i="4" l="1"/>
  <c r="AK1988" i="4"/>
  <c r="AI1988" i="4"/>
  <c r="AH1989" i="4"/>
  <c r="AJ1989" i="4"/>
  <c r="AL1980" i="4" l="1"/>
  <c r="AK1989" i="4"/>
  <c r="AI1989" i="4"/>
  <c r="AH1990" i="4"/>
  <c r="AS96" i="4"/>
  <c r="AJ1990" i="4"/>
  <c r="AL1981" i="4" l="1"/>
  <c r="AK1990" i="4"/>
  <c r="AI1990" i="4"/>
  <c r="AH1991" i="4"/>
  <c r="AJ1991" i="4"/>
  <c r="AL1982" i="4" l="1"/>
  <c r="AK1991" i="4"/>
  <c r="AI1991" i="4"/>
  <c r="AH1992" i="4"/>
  <c r="AJ1992" i="4"/>
  <c r="AL1983" i="4" l="1"/>
  <c r="AK1992" i="4"/>
  <c r="AI1992" i="4"/>
  <c r="AH1993" i="4"/>
  <c r="AJ1993" i="4"/>
  <c r="AL1984" i="4" l="1"/>
  <c r="AK1993" i="4"/>
  <c r="AI1993" i="4"/>
  <c r="AH1994" i="4"/>
  <c r="AJ1994" i="4"/>
  <c r="AL1985" i="4" l="1"/>
  <c r="AK1994" i="4"/>
  <c r="AI1994" i="4"/>
  <c r="AH1995" i="4"/>
  <c r="AJ1995" i="4"/>
  <c r="AL1986" i="4" l="1"/>
  <c r="AK1995" i="4"/>
  <c r="AI1995" i="4"/>
  <c r="AH1996" i="4"/>
  <c r="AJ1996" i="4"/>
  <c r="AL1987" i="4" l="1"/>
  <c r="AK1996" i="4"/>
  <c r="AI1996" i="4"/>
  <c r="AH1997" i="4"/>
  <c r="AJ1997" i="4"/>
  <c r="AL1988" i="4" l="1"/>
  <c r="AK1997" i="4"/>
  <c r="AI1997" i="4"/>
  <c r="AH1998" i="4"/>
  <c r="AJ1998" i="4"/>
  <c r="AL1989" i="4" l="1"/>
  <c r="AK1998" i="4"/>
  <c r="AI1998" i="4"/>
  <c r="AH1999" i="4"/>
  <c r="AJ1999" i="4"/>
  <c r="AL1990" i="4" l="1"/>
  <c r="AK1999" i="4"/>
  <c r="AI1999" i="4"/>
  <c r="AH2000" i="4"/>
  <c r="AJ2000" i="4"/>
  <c r="AL1991" i="4" l="1"/>
  <c r="AK2000" i="4"/>
  <c r="AI2000" i="4"/>
  <c r="AH2001" i="4"/>
  <c r="AJ2001" i="4"/>
  <c r="AL1992" i="4" l="1"/>
  <c r="AK2001" i="4"/>
  <c r="AI2001" i="4"/>
  <c r="AH2002" i="4"/>
  <c r="AJ2002" i="4"/>
  <c r="AL1993" i="4" l="1"/>
  <c r="AK2002" i="4"/>
  <c r="AI2002" i="4"/>
  <c r="AH2003" i="4"/>
  <c r="AJ2003" i="4"/>
  <c r="AL1994" i="4" l="1"/>
  <c r="AK2003" i="4"/>
  <c r="AI2003" i="4"/>
  <c r="AH2004" i="4"/>
  <c r="AJ2004" i="4"/>
  <c r="AL1995" i="4" l="1"/>
  <c r="AK2004" i="4"/>
  <c r="AI2004" i="4"/>
  <c r="AH2005" i="4"/>
  <c r="AJ2005" i="4"/>
  <c r="AL1996" i="4" l="1"/>
  <c r="AK2005" i="4"/>
  <c r="AI2005" i="4"/>
  <c r="AH2006" i="4"/>
  <c r="AJ2006" i="4"/>
  <c r="AL1997" i="4" l="1"/>
  <c r="AK2006" i="4"/>
  <c r="AI2006" i="4"/>
  <c r="AH2007" i="4"/>
  <c r="AJ2007" i="4"/>
  <c r="AL1998" i="4" l="1"/>
  <c r="AK2007" i="4"/>
  <c r="AI2007" i="4"/>
  <c r="AH2008" i="4"/>
  <c r="AJ2008" i="4"/>
  <c r="AL1999" i="4" l="1"/>
  <c r="AK2008" i="4"/>
  <c r="AI2008" i="4"/>
  <c r="AH2009" i="4"/>
  <c r="AJ2009" i="4"/>
  <c r="AL2000" i="4" l="1"/>
  <c r="AK2009" i="4"/>
  <c r="AI2009" i="4"/>
  <c r="AH2010" i="4"/>
  <c r="AJ2010" i="4"/>
  <c r="AL2001" i="4" l="1"/>
  <c r="AK2010" i="4"/>
  <c r="AI2010" i="4"/>
  <c r="AH2011" i="4"/>
  <c r="AJ2011" i="4"/>
  <c r="AL2002" i="4" l="1"/>
  <c r="AK2011" i="4"/>
  <c r="AI2011" i="4"/>
  <c r="AH2012" i="4"/>
  <c r="AJ2012" i="4"/>
  <c r="AL2003" i="4" l="1"/>
  <c r="AK2012" i="4"/>
  <c r="AI2012" i="4"/>
  <c r="AH2013" i="4"/>
  <c r="AJ2013" i="4"/>
  <c r="AL2004" i="4" l="1"/>
  <c r="AK2013" i="4"/>
  <c r="AI2013" i="4"/>
  <c r="AH2014" i="4"/>
  <c r="AJ2014" i="4"/>
  <c r="AL2005" i="4" l="1"/>
  <c r="AK2014" i="4"/>
  <c r="AI2014" i="4"/>
  <c r="AH2015" i="4"/>
  <c r="AJ2015" i="4"/>
  <c r="AL2006" i="4" l="1"/>
  <c r="AK2015" i="4"/>
  <c r="AI2015" i="4"/>
  <c r="AH2016" i="4"/>
  <c r="AJ2016" i="4"/>
  <c r="AL2007" i="4" l="1"/>
  <c r="AK2016" i="4"/>
  <c r="AI2016" i="4"/>
  <c r="AH2017" i="4"/>
  <c r="AJ2017" i="4"/>
  <c r="AL2008" i="4" l="1"/>
  <c r="AK2017" i="4"/>
  <c r="AI2017" i="4"/>
  <c r="AH2018" i="4"/>
  <c r="AJ2018" i="4"/>
  <c r="AL2009" i="4" l="1"/>
  <c r="AK2018" i="4"/>
  <c r="AI2018" i="4"/>
  <c r="AH2019" i="4"/>
  <c r="AJ2019" i="4"/>
  <c r="AL2010" i="4" l="1"/>
  <c r="AK2019" i="4"/>
  <c r="AI2019" i="4"/>
  <c r="AH2020" i="4"/>
  <c r="AS97" i="4"/>
  <c r="AJ2020" i="4"/>
  <c r="AL2011" i="4" l="1"/>
  <c r="AK2020" i="4"/>
  <c r="AI2020" i="4"/>
  <c r="AH2021" i="4"/>
  <c r="AJ2021" i="4"/>
  <c r="AL2012" i="4" l="1"/>
  <c r="AK2021" i="4"/>
  <c r="AI2021" i="4"/>
  <c r="AH2022" i="4"/>
  <c r="AJ2022" i="4"/>
  <c r="AL2013" i="4" l="1"/>
  <c r="AK2022" i="4"/>
  <c r="AI2022" i="4"/>
  <c r="AH2023" i="4"/>
  <c r="AJ2023" i="4"/>
  <c r="AL2014" i="4" l="1"/>
  <c r="AK2023" i="4"/>
  <c r="AI2023" i="4"/>
  <c r="AH2024" i="4"/>
  <c r="AJ2024" i="4"/>
  <c r="AL2015" i="4" l="1"/>
  <c r="AK2024" i="4"/>
  <c r="AI2024" i="4"/>
  <c r="AH2025" i="4"/>
  <c r="AJ2025" i="4"/>
  <c r="AL2016" i="4" l="1"/>
  <c r="AK2025" i="4"/>
  <c r="AI2025" i="4"/>
  <c r="AH2026" i="4"/>
  <c r="AJ2026" i="4"/>
  <c r="AL2017" i="4" l="1"/>
  <c r="AK2026" i="4"/>
  <c r="AI2026" i="4"/>
  <c r="AH2027" i="4"/>
  <c r="AJ2027" i="4"/>
  <c r="AL2018" i="4" l="1"/>
  <c r="AK2027" i="4"/>
  <c r="AI2027" i="4"/>
  <c r="AH2028" i="4"/>
  <c r="AJ2028" i="4"/>
  <c r="AL2019" i="4" l="1"/>
  <c r="AK2028" i="4"/>
  <c r="AI2028" i="4"/>
  <c r="AH2029" i="4"/>
  <c r="AJ2029" i="4"/>
  <c r="AL2020" i="4" l="1"/>
  <c r="AK2029" i="4"/>
  <c r="AI2029" i="4"/>
  <c r="AH2030" i="4"/>
  <c r="AJ2030" i="4"/>
  <c r="AL2021" i="4" l="1"/>
  <c r="AK2030" i="4"/>
  <c r="AI2030" i="4"/>
  <c r="AH2031" i="4"/>
  <c r="AJ2031" i="4"/>
  <c r="AL2022" i="4" l="1"/>
  <c r="AK2031" i="4"/>
  <c r="AI2031" i="4"/>
  <c r="AH2032" i="4"/>
  <c r="AJ2032" i="4"/>
  <c r="AL2023" i="4" l="1"/>
  <c r="AK2032" i="4"/>
  <c r="AI2032" i="4"/>
  <c r="AH2033" i="4"/>
  <c r="AJ2033" i="4"/>
  <c r="AL2024" i="4" l="1"/>
  <c r="AK2033" i="4"/>
  <c r="AI2033" i="4"/>
  <c r="AH2034" i="4"/>
  <c r="AJ2034" i="4"/>
  <c r="AL2025" i="4" l="1"/>
  <c r="AK2034" i="4"/>
  <c r="AI2034" i="4"/>
  <c r="AH2035" i="4"/>
  <c r="AJ2035" i="4"/>
  <c r="AL2026" i="4" l="1"/>
  <c r="AK2035" i="4"/>
  <c r="AI2035" i="4"/>
  <c r="AH2036" i="4"/>
  <c r="AJ2036" i="4"/>
  <c r="AL2027" i="4" l="1"/>
  <c r="AK2036" i="4"/>
  <c r="AI2036" i="4"/>
  <c r="AH2037" i="4"/>
  <c r="AJ2037" i="4"/>
  <c r="AL2028" i="4" l="1"/>
  <c r="AK2037" i="4"/>
  <c r="AI2037" i="4"/>
  <c r="AH2038" i="4"/>
  <c r="AJ2038" i="4"/>
  <c r="AL2029" i="4" l="1"/>
  <c r="AK2038" i="4"/>
  <c r="AI2038" i="4"/>
  <c r="AH2039" i="4"/>
  <c r="AJ2039" i="4"/>
  <c r="AL2030" i="4" l="1"/>
  <c r="AK2039" i="4"/>
  <c r="AI2039" i="4"/>
  <c r="AH2040" i="4"/>
  <c r="AJ2040" i="4"/>
  <c r="AL2031" i="4" l="1"/>
  <c r="AK2040" i="4"/>
  <c r="AI2040" i="4"/>
  <c r="AH2041" i="4"/>
  <c r="AJ2041" i="4"/>
  <c r="AL2032" i="4" l="1"/>
  <c r="AK2041" i="4"/>
  <c r="AI2041" i="4"/>
  <c r="AH2042" i="4"/>
  <c r="AJ2042" i="4"/>
  <c r="AL2033" i="4" l="1"/>
  <c r="AK2042" i="4"/>
  <c r="AI2042" i="4"/>
  <c r="AH2043" i="4"/>
  <c r="AJ2043" i="4"/>
  <c r="AL2034" i="4" l="1"/>
  <c r="AK2043" i="4"/>
  <c r="AI2043" i="4"/>
  <c r="AH2044" i="4"/>
  <c r="AJ2044" i="4"/>
  <c r="AL2035" i="4" l="1"/>
  <c r="AK2044" i="4"/>
  <c r="AI2044" i="4"/>
  <c r="AH2045" i="4"/>
  <c r="AJ2045" i="4"/>
  <c r="AL2036" i="4" l="1"/>
  <c r="AK2045" i="4"/>
  <c r="AI2045" i="4"/>
  <c r="AH2046" i="4"/>
  <c r="AJ2046" i="4"/>
  <c r="AL2037" i="4" l="1"/>
  <c r="AK2046" i="4"/>
  <c r="AI2046" i="4"/>
  <c r="AH2047" i="4"/>
  <c r="AJ2047" i="4"/>
  <c r="AL2038" i="4" l="1"/>
  <c r="AK2047" i="4"/>
  <c r="AI2047" i="4"/>
  <c r="AH2048" i="4"/>
  <c r="AJ2048" i="4"/>
  <c r="AL2039" i="4" l="1"/>
  <c r="AK2048" i="4"/>
  <c r="AI2048" i="4"/>
  <c r="AH2049" i="4"/>
  <c r="AJ2049" i="4"/>
  <c r="AL2040" i="4" l="1"/>
  <c r="AK2049" i="4"/>
  <c r="AI2049" i="4"/>
  <c r="AH2050" i="4"/>
  <c r="AJ2050" i="4"/>
  <c r="AS98" i="4"/>
  <c r="AL2041" i="4" l="1"/>
  <c r="AK2050" i="4"/>
  <c r="AI2050" i="4"/>
  <c r="AH2051" i="4"/>
  <c r="AJ2051" i="4"/>
  <c r="AL2042" i="4" l="1"/>
  <c r="AK2051" i="4"/>
  <c r="AI2051" i="4"/>
  <c r="AH2052" i="4"/>
  <c r="AJ2052" i="4"/>
  <c r="AL2043" i="4" l="1"/>
  <c r="AK2052" i="4"/>
  <c r="AI2052" i="4"/>
  <c r="AH2053" i="4"/>
  <c r="AJ2053" i="4"/>
  <c r="AL2044" i="4" l="1"/>
  <c r="AK2053" i="4"/>
  <c r="AI2053" i="4"/>
  <c r="AH2054" i="4"/>
  <c r="AJ2054" i="4"/>
  <c r="AL2045" i="4" l="1"/>
  <c r="AK2054" i="4"/>
  <c r="AI2054" i="4"/>
  <c r="AH2055" i="4"/>
  <c r="AJ2055" i="4"/>
  <c r="AL2046" i="4" l="1"/>
  <c r="AK2055" i="4"/>
  <c r="AI2055" i="4"/>
  <c r="AH2056" i="4"/>
  <c r="AJ2056" i="4"/>
  <c r="AL2047" i="4" l="1"/>
  <c r="AK2056" i="4"/>
  <c r="AI2056" i="4"/>
  <c r="AH2057" i="4"/>
  <c r="AJ2057" i="4"/>
  <c r="AL2048" i="4" l="1"/>
  <c r="AK2057" i="4"/>
  <c r="AI2057" i="4"/>
  <c r="AH2058" i="4"/>
  <c r="AJ2058" i="4"/>
  <c r="AL2049" i="4" l="1"/>
  <c r="AK2058" i="4"/>
  <c r="AI2058" i="4"/>
  <c r="AH2059" i="4"/>
  <c r="AJ2059" i="4"/>
  <c r="AL2050" i="4" l="1"/>
  <c r="AK2059" i="4"/>
  <c r="AI2059" i="4"/>
  <c r="AH2060" i="4"/>
  <c r="AJ2060" i="4"/>
  <c r="AL2051" i="4" l="1"/>
  <c r="AK2060" i="4"/>
  <c r="AI2060" i="4"/>
  <c r="AH2061" i="4"/>
  <c r="AJ2061" i="4"/>
  <c r="AL2052" i="4" l="1"/>
  <c r="AK2061" i="4"/>
  <c r="AI2061" i="4"/>
  <c r="AH2062" i="4"/>
  <c r="AJ2062" i="4"/>
  <c r="AL2053" i="4" l="1"/>
  <c r="AK2062" i="4"/>
  <c r="AI2062" i="4"/>
  <c r="AH2063" i="4"/>
  <c r="AJ2063" i="4"/>
  <c r="AL2054" i="4" l="1"/>
  <c r="AK2063" i="4"/>
  <c r="AI2063" i="4"/>
  <c r="AH2064" i="4"/>
  <c r="AJ2064" i="4"/>
  <c r="AL2055" i="4" l="1"/>
  <c r="AK2064" i="4"/>
  <c r="AI2064" i="4"/>
  <c r="AH2065" i="4"/>
  <c r="AJ2065" i="4"/>
  <c r="AL2056" i="4" l="1"/>
  <c r="AK2065" i="4"/>
  <c r="AI2065" i="4"/>
  <c r="AH2066" i="4"/>
  <c r="AJ2066" i="4"/>
  <c r="AL2057" i="4" l="1"/>
  <c r="AK2066" i="4"/>
  <c r="AI2066" i="4"/>
  <c r="AH2067" i="4"/>
  <c r="AJ2067" i="4"/>
  <c r="AL2058" i="4" l="1"/>
  <c r="AK2067" i="4"/>
  <c r="AI2067" i="4"/>
  <c r="AH2068" i="4"/>
  <c r="AJ2068" i="4"/>
  <c r="AL2059" i="4" l="1"/>
  <c r="AK2068" i="4"/>
  <c r="AI2068" i="4"/>
  <c r="AH2069" i="4"/>
  <c r="AJ2069" i="4"/>
  <c r="AL2060" i="4" l="1"/>
  <c r="AK2069" i="4"/>
  <c r="AI2069" i="4"/>
  <c r="AH2070" i="4"/>
  <c r="AJ2070" i="4"/>
  <c r="AL2061" i="4" l="1"/>
  <c r="AK2070" i="4"/>
  <c r="AI2070" i="4"/>
  <c r="AH2071" i="4"/>
  <c r="AJ2071" i="4"/>
  <c r="AL2062" i="4" l="1"/>
  <c r="AK2071" i="4"/>
  <c r="AI2071" i="4"/>
  <c r="AH2072" i="4"/>
  <c r="AJ2072" i="4"/>
  <c r="AL2063" i="4" l="1"/>
  <c r="AK2072" i="4"/>
  <c r="AI2072" i="4"/>
  <c r="AH2073" i="4"/>
  <c r="AJ2073" i="4"/>
  <c r="AL2064" i="4" l="1"/>
  <c r="AK2073" i="4"/>
  <c r="AI2073" i="4"/>
  <c r="AH2074" i="4"/>
  <c r="AJ2074" i="4"/>
  <c r="AL2065" i="4" l="1"/>
  <c r="AK2074" i="4"/>
  <c r="AI2074" i="4"/>
  <c r="AH2075" i="4"/>
  <c r="AJ2075" i="4"/>
  <c r="AL2066" i="4" l="1"/>
  <c r="AK2075" i="4"/>
  <c r="AI2075" i="4"/>
  <c r="AH2076" i="4"/>
  <c r="AJ2076" i="4"/>
  <c r="AL2067" i="4" l="1"/>
  <c r="AK2076" i="4"/>
  <c r="AI2076" i="4"/>
  <c r="AH2077" i="4"/>
  <c r="AJ2077" i="4"/>
  <c r="AL2068" i="4" l="1"/>
  <c r="AK2077" i="4"/>
  <c r="AI2077" i="4"/>
  <c r="AH2078" i="4"/>
  <c r="AJ2078" i="4"/>
  <c r="AL2069" i="4" l="1"/>
  <c r="AK2078" i="4"/>
  <c r="AI2078" i="4"/>
  <c r="AH2079" i="4"/>
  <c r="AJ2079" i="4"/>
  <c r="AL2070" i="4" l="1"/>
  <c r="AK2079" i="4"/>
  <c r="AI2079" i="4"/>
  <c r="AH2080" i="4"/>
  <c r="AJ2080" i="4"/>
  <c r="AS99" i="4"/>
  <c r="AL2071" i="4" l="1"/>
  <c r="AK2080" i="4"/>
  <c r="AI2080" i="4"/>
  <c r="AH2081" i="4"/>
  <c r="AJ2081" i="4"/>
  <c r="AL2072" i="4" l="1"/>
  <c r="AK2081" i="4"/>
  <c r="AI2081" i="4"/>
  <c r="AH2082" i="4"/>
  <c r="AJ2082" i="4"/>
  <c r="AL2073" i="4" l="1"/>
  <c r="AK2082" i="4"/>
  <c r="AI2082" i="4"/>
  <c r="AH2083" i="4"/>
  <c r="AJ2083" i="4"/>
  <c r="AL2074" i="4" l="1"/>
  <c r="AK2083" i="4"/>
  <c r="AI2083" i="4"/>
  <c r="AH2084" i="4"/>
  <c r="AJ2084" i="4"/>
  <c r="AL2075" i="4" l="1"/>
  <c r="AK2084" i="4"/>
  <c r="AI2084" i="4"/>
  <c r="AH2085" i="4"/>
  <c r="AJ2085" i="4"/>
  <c r="AL2076" i="4" l="1"/>
  <c r="AK2085" i="4"/>
  <c r="AI2085" i="4"/>
  <c r="AH2086" i="4"/>
  <c r="AJ2086" i="4"/>
  <c r="AL2077" i="4" l="1"/>
  <c r="AK2086" i="4"/>
  <c r="AI2086" i="4"/>
  <c r="AH2087" i="4"/>
  <c r="AJ2087" i="4"/>
  <c r="AL2078" i="4" l="1"/>
  <c r="AK2087" i="4"/>
  <c r="AI2087" i="4"/>
  <c r="AH2088" i="4"/>
  <c r="AJ2088" i="4"/>
  <c r="AL2079" i="4" l="1"/>
  <c r="AK2088" i="4"/>
  <c r="AI2088" i="4"/>
  <c r="AH2089" i="4"/>
  <c r="AJ2089" i="4"/>
  <c r="AL2080" i="4" l="1"/>
  <c r="AK2089" i="4"/>
  <c r="AI2089" i="4"/>
  <c r="AH2090" i="4"/>
  <c r="AJ2090" i="4"/>
  <c r="AL2081" i="4" l="1"/>
  <c r="AK2090" i="4"/>
  <c r="AI2090" i="4"/>
  <c r="AH2091" i="4"/>
  <c r="AJ2091" i="4"/>
  <c r="AL2082" i="4" l="1"/>
  <c r="AK2091" i="4"/>
  <c r="AI2091" i="4"/>
  <c r="AH2092" i="4"/>
  <c r="AJ2092" i="4"/>
  <c r="AL2083" i="4" l="1"/>
  <c r="AK2092" i="4"/>
  <c r="AI2092" i="4"/>
  <c r="AH2093" i="4"/>
  <c r="AJ2093" i="4"/>
  <c r="AL2084" i="4" l="1"/>
  <c r="AK2093" i="4"/>
  <c r="AI2093" i="4"/>
  <c r="AH2094" i="4"/>
  <c r="AJ2094" i="4"/>
  <c r="AL2085" i="4" l="1"/>
  <c r="AK2094" i="4"/>
  <c r="AI2094" i="4"/>
  <c r="AH2095" i="4"/>
  <c r="AJ2095" i="4"/>
  <c r="AL2086" i="4" l="1"/>
  <c r="AK2095" i="4"/>
  <c r="AI2095" i="4"/>
  <c r="AH2096" i="4"/>
  <c r="AJ2096" i="4"/>
  <c r="AL2087" i="4" l="1"/>
  <c r="AK2096" i="4"/>
  <c r="AI2096" i="4"/>
  <c r="AH2097" i="4"/>
  <c r="AJ2097" i="4"/>
  <c r="AL2088" i="4" l="1"/>
  <c r="AK2097" i="4"/>
  <c r="AI2097" i="4"/>
  <c r="AH2098" i="4"/>
  <c r="AJ2098" i="4"/>
  <c r="AL2089" i="4" l="1"/>
  <c r="AK2098" i="4"/>
  <c r="AI2098" i="4"/>
  <c r="AH2099" i="4"/>
  <c r="AJ2099" i="4"/>
  <c r="AL2090" i="4" l="1"/>
  <c r="AK2099" i="4"/>
  <c r="AI2099" i="4"/>
  <c r="AH2100" i="4"/>
  <c r="AJ2100" i="4"/>
  <c r="AL2091" i="4" l="1"/>
  <c r="AK2100" i="4"/>
  <c r="AI2100" i="4"/>
  <c r="AH2101" i="4"/>
  <c r="AJ2101" i="4"/>
  <c r="AL2092" i="4" l="1"/>
  <c r="AK2101" i="4"/>
  <c r="AI2101" i="4"/>
  <c r="AH2102" i="4"/>
  <c r="AJ2102" i="4"/>
  <c r="AL2093" i="4" l="1"/>
  <c r="AK2102" i="4"/>
  <c r="AI2102" i="4"/>
  <c r="AH2103" i="4"/>
  <c r="AJ2103" i="4"/>
  <c r="AL2094" i="4" l="1"/>
  <c r="AK2103" i="4"/>
  <c r="AI2103" i="4"/>
  <c r="AH2104" i="4"/>
  <c r="AJ2104" i="4"/>
  <c r="AL2095" i="4" l="1"/>
  <c r="AK2104" i="4"/>
  <c r="AI2104" i="4"/>
  <c r="AH2105" i="4"/>
  <c r="AJ2105" i="4"/>
  <c r="AL2096" i="4" l="1"/>
  <c r="AK2105" i="4"/>
  <c r="AI2105" i="4"/>
  <c r="AH2106" i="4"/>
  <c r="AJ2106" i="4"/>
  <c r="AL2097" i="4" l="1"/>
  <c r="AK2106" i="4"/>
  <c r="AI2106" i="4"/>
  <c r="AH2107" i="4"/>
  <c r="AJ2107" i="4"/>
  <c r="AL2098" i="4" l="1"/>
  <c r="AK2107" i="4"/>
  <c r="AI2107" i="4"/>
  <c r="AH2108" i="4"/>
  <c r="AJ2108" i="4"/>
  <c r="AL2099" i="4" l="1"/>
  <c r="AK2108" i="4"/>
  <c r="AI2108" i="4"/>
  <c r="AH2109" i="4"/>
  <c r="AJ2109" i="4"/>
  <c r="AL2100" i="4" l="1"/>
  <c r="AK2109" i="4"/>
  <c r="AI2109" i="4"/>
  <c r="AH2110" i="4"/>
  <c r="AS100" i="4"/>
  <c r="AJ2110" i="4"/>
  <c r="AL2101" i="4" l="1"/>
  <c r="AK2110" i="4"/>
  <c r="AI2110" i="4"/>
  <c r="AH2111" i="4"/>
  <c r="AJ2111" i="4"/>
  <c r="AL2102" i="4" l="1"/>
  <c r="AK2111" i="4"/>
  <c r="AI2111" i="4"/>
  <c r="AH2112" i="4"/>
  <c r="AJ2112" i="4"/>
  <c r="AL2103" i="4" l="1"/>
  <c r="AK2112" i="4"/>
  <c r="AI2112" i="4"/>
  <c r="AH2113" i="4"/>
  <c r="AJ2113" i="4"/>
  <c r="AL2104" i="4" l="1"/>
  <c r="AK2113" i="4"/>
  <c r="AI2113" i="4"/>
  <c r="AH2114" i="4"/>
  <c r="AJ2114" i="4"/>
  <c r="AL2105" i="4" l="1"/>
  <c r="AK2114" i="4"/>
  <c r="AI2114" i="4"/>
  <c r="AH2115" i="4"/>
  <c r="AJ2115" i="4"/>
  <c r="AL2106" i="4" l="1"/>
  <c r="AK2115" i="4"/>
  <c r="AI2115" i="4"/>
  <c r="AH2116" i="4"/>
  <c r="AJ2116" i="4"/>
  <c r="AL2107" i="4" l="1"/>
  <c r="AK2116" i="4"/>
  <c r="AI2116" i="4"/>
  <c r="AH2117" i="4"/>
  <c r="AJ2117" i="4"/>
  <c r="AL2108" i="4" l="1"/>
  <c r="AK2117" i="4"/>
  <c r="AI2117" i="4"/>
  <c r="AH2118" i="4"/>
  <c r="AJ2118" i="4"/>
  <c r="AL2109" i="4" l="1"/>
  <c r="AK2118" i="4"/>
  <c r="AI2118" i="4"/>
  <c r="AH2119" i="4"/>
  <c r="AJ2119" i="4"/>
  <c r="AL2110" i="4" l="1"/>
  <c r="AK2119" i="4"/>
  <c r="AI2119" i="4"/>
  <c r="AH2120" i="4"/>
  <c r="AJ2120" i="4"/>
  <c r="AL2111" i="4" l="1"/>
  <c r="AK2120" i="4"/>
  <c r="AI2120" i="4"/>
  <c r="AH2121" i="4"/>
  <c r="AJ2121" i="4"/>
  <c r="AL2112" i="4" l="1"/>
  <c r="AK2121" i="4"/>
  <c r="AI2121" i="4"/>
  <c r="AH2122" i="4"/>
  <c r="AJ2122" i="4"/>
  <c r="AL2113" i="4" l="1"/>
  <c r="AK2122" i="4"/>
  <c r="AI2122" i="4"/>
  <c r="AH2123" i="4"/>
  <c r="AJ2123" i="4"/>
  <c r="AL2114" i="4" l="1"/>
  <c r="AK2123" i="4"/>
  <c r="AI2123" i="4"/>
  <c r="AH2124" i="4"/>
  <c r="AJ2124" i="4"/>
  <c r="AL2115" i="4" l="1"/>
  <c r="AK2124" i="4"/>
  <c r="AI2124" i="4"/>
  <c r="AH2125" i="4"/>
  <c r="AJ2125" i="4"/>
  <c r="AL2116" i="4" l="1"/>
  <c r="AK2125" i="4"/>
  <c r="AI2125" i="4"/>
  <c r="AH2126" i="4"/>
  <c r="AJ2126" i="4"/>
  <c r="AL2117" i="4" l="1"/>
  <c r="AK2126" i="4"/>
  <c r="AI2126" i="4"/>
  <c r="AH2127" i="4"/>
  <c r="AJ2127" i="4"/>
  <c r="AL2118" i="4" l="1"/>
  <c r="AK2127" i="4"/>
  <c r="AI2127" i="4"/>
  <c r="AH2128" i="4"/>
  <c r="AJ2128" i="4"/>
  <c r="AL2119" i="4" l="1"/>
  <c r="AK2128" i="4"/>
  <c r="AI2128" i="4"/>
  <c r="AH2129" i="4"/>
  <c r="AJ2129" i="4"/>
  <c r="AL2120" i="4" l="1"/>
  <c r="AK2129" i="4"/>
  <c r="AI2129" i="4"/>
  <c r="AH2130" i="4"/>
  <c r="AJ2130" i="4"/>
  <c r="AL2121" i="4" l="1"/>
  <c r="AK2130" i="4"/>
  <c r="AI2130" i="4"/>
  <c r="AH2131" i="4"/>
  <c r="AJ2131" i="4"/>
  <c r="AL2122" i="4" l="1"/>
  <c r="AK2131" i="4"/>
  <c r="AI2131" i="4"/>
  <c r="AH2132" i="4"/>
  <c r="AJ2132" i="4"/>
  <c r="AL2123" i="4" l="1"/>
  <c r="AK2132" i="4"/>
  <c r="AI2132" i="4"/>
  <c r="AH2133" i="4"/>
  <c r="AJ2133" i="4"/>
  <c r="AL2124" i="4" l="1"/>
  <c r="AK2133" i="4"/>
  <c r="AI2133" i="4"/>
  <c r="AH2134" i="4"/>
  <c r="AJ2134" i="4"/>
  <c r="AL2125" i="4" l="1"/>
  <c r="AK2134" i="4"/>
  <c r="AI2134" i="4"/>
  <c r="AH2135" i="4"/>
  <c r="AJ2135" i="4"/>
  <c r="AL2126" i="4" l="1"/>
  <c r="AK2135" i="4"/>
  <c r="AI2135" i="4"/>
  <c r="AH2136" i="4"/>
  <c r="AJ2136" i="4"/>
  <c r="AL2127" i="4" l="1"/>
  <c r="AK2136" i="4"/>
  <c r="AI2136" i="4"/>
  <c r="AH2137" i="4"/>
  <c r="AJ2137" i="4"/>
  <c r="AL2128" i="4" l="1"/>
  <c r="AK2137" i="4"/>
  <c r="AI2137" i="4"/>
  <c r="AH2138" i="4"/>
  <c r="AJ2138" i="4"/>
  <c r="AL2129" i="4" l="1"/>
  <c r="AK2138" i="4"/>
  <c r="AI2138" i="4"/>
  <c r="AH2139" i="4"/>
  <c r="AJ2139" i="4"/>
  <c r="AL2130" i="4" l="1"/>
  <c r="AK2139" i="4"/>
  <c r="AI2139" i="4"/>
  <c r="AH2140" i="4"/>
  <c r="AS101" i="4"/>
  <c r="AJ2140" i="4"/>
  <c r="AL2131" i="4" l="1"/>
  <c r="AK2140" i="4"/>
  <c r="AI2140" i="4"/>
  <c r="AH2141" i="4"/>
  <c r="AJ2141" i="4"/>
  <c r="AL2132" i="4" l="1"/>
  <c r="AK2141" i="4"/>
  <c r="AI2141" i="4"/>
  <c r="AH2142" i="4"/>
  <c r="AJ2142" i="4"/>
  <c r="AL2133" i="4" l="1"/>
  <c r="AK2142" i="4"/>
  <c r="AI2142" i="4"/>
  <c r="AH2143" i="4"/>
  <c r="AJ2143" i="4"/>
  <c r="AL2134" i="4" l="1"/>
  <c r="AK2143" i="4"/>
  <c r="AI2143" i="4"/>
  <c r="AH2144" i="4"/>
  <c r="AJ2144" i="4"/>
  <c r="AL2135" i="4" l="1"/>
  <c r="AK2144" i="4"/>
  <c r="AI2144" i="4"/>
  <c r="AH2145" i="4"/>
  <c r="AJ2145" i="4"/>
  <c r="AL2136" i="4" l="1"/>
  <c r="AK2145" i="4"/>
  <c r="AI2145" i="4"/>
  <c r="AH2146" i="4"/>
  <c r="AJ2146" i="4"/>
  <c r="AL2137" i="4" l="1"/>
  <c r="AK2146" i="4"/>
  <c r="AI2146" i="4"/>
  <c r="AH2147" i="4"/>
  <c r="AJ2147" i="4"/>
  <c r="AL2138" i="4" l="1"/>
  <c r="AK2147" i="4"/>
  <c r="AI2147" i="4"/>
  <c r="AH2148" i="4"/>
  <c r="AJ2148" i="4"/>
  <c r="AL2139" i="4" l="1"/>
  <c r="AK2148" i="4"/>
  <c r="AI2148" i="4"/>
  <c r="AH2149" i="4"/>
  <c r="AJ2149" i="4"/>
  <c r="AL2140" i="4" l="1"/>
  <c r="AK2149" i="4"/>
  <c r="AI2149" i="4"/>
  <c r="AH2150" i="4"/>
  <c r="AJ2150" i="4"/>
  <c r="AL2141" i="4" l="1"/>
  <c r="AK2150" i="4"/>
  <c r="AI2150" i="4"/>
  <c r="AH2151" i="4"/>
  <c r="AJ2151" i="4"/>
  <c r="AL2142" i="4" l="1"/>
  <c r="AK2151" i="4"/>
  <c r="AI2151" i="4"/>
  <c r="AH2152" i="4"/>
  <c r="AJ2152" i="4"/>
  <c r="AL2143" i="4" l="1"/>
  <c r="AK2152" i="4"/>
  <c r="AI2152" i="4"/>
  <c r="AH2153" i="4"/>
  <c r="AJ2153" i="4"/>
  <c r="AL2144" i="4" l="1"/>
  <c r="AK2153" i="4"/>
  <c r="AI2153" i="4"/>
  <c r="AH2154" i="4"/>
  <c r="AJ2154" i="4"/>
  <c r="AL2145" i="4" l="1"/>
  <c r="AK2154" i="4"/>
  <c r="AI2154" i="4"/>
  <c r="AH2155" i="4"/>
  <c r="AJ2155" i="4"/>
  <c r="AL2146" i="4" l="1"/>
  <c r="AK2155" i="4"/>
  <c r="AI2155" i="4"/>
  <c r="AH2156" i="4"/>
  <c r="AJ2156" i="4"/>
  <c r="AL2147" i="4" l="1"/>
  <c r="AK2156" i="4"/>
  <c r="AI2156" i="4"/>
  <c r="AH2157" i="4"/>
  <c r="AJ2157" i="4"/>
  <c r="AL2148" i="4" l="1"/>
  <c r="AK2157" i="4"/>
  <c r="AI2157" i="4"/>
  <c r="AH2158" i="4"/>
  <c r="AJ2158" i="4"/>
  <c r="AL2149" i="4" l="1"/>
  <c r="AK2158" i="4"/>
  <c r="AI2158" i="4"/>
  <c r="AH2159" i="4"/>
  <c r="AJ2159" i="4"/>
  <c r="AL2150" i="4" l="1"/>
  <c r="AK2159" i="4"/>
  <c r="AI2159" i="4"/>
  <c r="AH2160" i="4"/>
  <c r="AJ2160" i="4"/>
  <c r="AL2151" i="4" l="1"/>
  <c r="AK2160" i="4"/>
  <c r="AI2160" i="4"/>
  <c r="AH2161" i="4"/>
  <c r="AJ2161" i="4"/>
  <c r="AL2152" i="4" l="1"/>
  <c r="AK2161" i="4"/>
  <c r="AI2161" i="4"/>
  <c r="AH2162" i="4"/>
  <c r="AJ2162" i="4"/>
  <c r="AL2153" i="4" l="1"/>
  <c r="AK2162" i="4"/>
  <c r="AI2162" i="4"/>
  <c r="AH2163" i="4"/>
  <c r="AJ2163" i="4"/>
  <c r="AL2154" i="4" l="1"/>
  <c r="AK2163" i="4"/>
  <c r="AI2163" i="4"/>
  <c r="AH2164" i="4"/>
  <c r="AJ2164" i="4"/>
  <c r="AL2155" i="4" l="1"/>
  <c r="AK2164" i="4"/>
  <c r="AI2164" i="4"/>
  <c r="AH2165" i="4"/>
  <c r="AJ2165" i="4"/>
  <c r="AL2156" i="4" l="1"/>
  <c r="AK2165" i="4"/>
  <c r="AI2165" i="4"/>
  <c r="AH2166" i="4"/>
  <c r="AJ2166" i="4"/>
  <c r="AL2157" i="4" l="1"/>
  <c r="AK2166" i="4"/>
  <c r="AI2166" i="4"/>
  <c r="AH2167" i="4"/>
  <c r="AJ2167" i="4"/>
  <c r="AL2158" i="4" l="1"/>
  <c r="AK2167" i="4"/>
  <c r="AI2167" i="4"/>
  <c r="AH2168" i="4"/>
  <c r="AJ2168" i="4"/>
  <c r="AL2159" i="4" l="1"/>
  <c r="AK2168" i="4"/>
  <c r="AI2168" i="4"/>
  <c r="AH2169" i="4"/>
  <c r="AJ2169" i="4"/>
  <c r="AL2160" i="4" l="1"/>
  <c r="AK2169" i="4"/>
  <c r="AI2169" i="4"/>
  <c r="AH2170" i="4"/>
  <c r="AS102" i="4"/>
  <c r="AJ2170" i="4"/>
  <c r="AL2161" i="4" l="1"/>
  <c r="AK2170" i="4"/>
  <c r="AI2170" i="4"/>
  <c r="AH2171" i="4"/>
  <c r="AJ2171" i="4"/>
  <c r="AL2162" i="4" l="1"/>
  <c r="AK2171" i="4"/>
  <c r="AI2171" i="4"/>
  <c r="AH2172" i="4"/>
  <c r="AJ2172" i="4"/>
  <c r="AL2163" i="4" l="1"/>
  <c r="AK2172" i="4"/>
  <c r="AI2172" i="4"/>
  <c r="AH2173" i="4"/>
  <c r="AJ2173" i="4"/>
  <c r="AL2164" i="4" l="1"/>
  <c r="AK2173" i="4"/>
  <c r="AI2173" i="4"/>
  <c r="AH2174" i="4"/>
  <c r="AJ2174" i="4"/>
  <c r="AL2165" i="4" l="1"/>
  <c r="AK2174" i="4"/>
  <c r="AI2174" i="4"/>
  <c r="AH2175" i="4"/>
  <c r="AJ2175" i="4"/>
  <c r="AL2166" i="4" l="1"/>
  <c r="AK2175" i="4"/>
  <c r="AI2175" i="4"/>
  <c r="AH2176" i="4"/>
  <c r="AJ2176" i="4"/>
  <c r="AL2167" i="4" l="1"/>
  <c r="AK2176" i="4"/>
  <c r="AI2176" i="4"/>
  <c r="AH2177" i="4"/>
  <c r="AJ2177" i="4"/>
  <c r="AL2168" i="4" l="1"/>
  <c r="AK2177" i="4"/>
  <c r="AI2177" i="4"/>
  <c r="AH2178" i="4"/>
  <c r="AJ2178" i="4"/>
  <c r="AL2169" i="4" l="1"/>
  <c r="AK2178" i="4"/>
  <c r="AI2178" i="4"/>
  <c r="AH2179" i="4"/>
  <c r="AJ2179" i="4"/>
  <c r="AL2170" i="4" l="1"/>
  <c r="AK2179" i="4"/>
  <c r="AI2179" i="4"/>
  <c r="AH2180" i="4"/>
  <c r="AJ2180" i="4"/>
  <c r="AL2171" i="4" l="1"/>
  <c r="AK2180" i="4"/>
  <c r="AI2180" i="4"/>
  <c r="AH2181" i="4"/>
  <c r="AJ2181" i="4"/>
  <c r="AL2172" i="4" l="1"/>
  <c r="AK2181" i="4"/>
  <c r="AI2181" i="4"/>
  <c r="AH2182" i="4"/>
  <c r="AJ2182" i="4"/>
  <c r="AL2173" i="4" l="1"/>
  <c r="AK2182" i="4"/>
  <c r="AI2182" i="4"/>
  <c r="AH2183" i="4"/>
  <c r="AJ2183" i="4"/>
  <c r="AL2174" i="4" l="1"/>
  <c r="AK2183" i="4"/>
  <c r="AI2183" i="4"/>
  <c r="AH2184" i="4"/>
  <c r="AJ2184" i="4"/>
  <c r="AL2175" i="4" l="1"/>
  <c r="AK2184" i="4"/>
  <c r="AI2184" i="4"/>
  <c r="AH2185" i="4"/>
  <c r="AJ2185" i="4"/>
  <c r="AL2176" i="4" l="1"/>
  <c r="AK2185" i="4"/>
  <c r="AI2185" i="4"/>
  <c r="AH2186" i="4"/>
  <c r="AJ2186" i="4"/>
  <c r="AL2177" i="4" l="1"/>
  <c r="AK2186" i="4"/>
  <c r="AI2186" i="4"/>
  <c r="AH2187" i="4"/>
  <c r="AJ2187" i="4"/>
  <c r="AL2178" i="4" l="1"/>
  <c r="AK2187" i="4"/>
  <c r="AI2187" i="4"/>
  <c r="AH2188" i="4"/>
  <c r="AJ2188" i="4"/>
  <c r="AL2179" i="4" l="1"/>
  <c r="AK2188" i="4"/>
  <c r="AI2188" i="4"/>
  <c r="AH2189" i="4"/>
  <c r="AJ2189" i="4"/>
  <c r="AL2180" i="4" l="1"/>
  <c r="AK2189" i="4"/>
  <c r="AI2189" i="4"/>
  <c r="AH2190" i="4"/>
  <c r="AJ2190" i="4"/>
  <c r="AL2181" i="4" l="1"/>
  <c r="AK2190" i="4"/>
  <c r="AI2190" i="4"/>
  <c r="AH2191" i="4"/>
  <c r="AJ2191" i="4"/>
  <c r="AL2182" i="4" l="1"/>
  <c r="AK2191" i="4"/>
  <c r="AI2191" i="4"/>
  <c r="AH2192" i="4"/>
  <c r="AJ2192" i="4"/>
  <c r="AL2183" i="4" l="1"/>
  <c r="AK2192" i="4"/>
  <c r="AI2192" i="4"/>
  <c r="AH2193" i="4"/>
  <c r="AJ2193" i="4"/>
  <c r="AL2184" i="4" l="1"/>
  <c r="AK2193" i="4"/>
  <c r="AI2193" i="4"/>
  <c r="AH2194" i="4"/>
  <c r="AJ2194" i="4"/>
  <c r="AL2185" i="4" l="1"/>
  <c r="AK2194" i="4"/>
  <c r="AI2194" i="4"/>
  <c r="AH2195" i="4"/>
  <c r="AJ2195" i="4"/>
  <c r="AL2186" i="4" l="1"/>
  <c r="AK2195" i="4"/>
  <c r="AI2195" i="4"/>
  <c r="AH2196" i="4"/>
  <c r="AJ2196" i="4"/>
  <c r="AL2187" i="4" l="1"/>
  <c r="AK2196" i="4"/>
  <c r="AI2196" i="4"/>
  <c r="AH2197" i="4"/>
  <c r="AJ2197" i="4"/>
  <c r="AL2188" i="4" l="1"/>
  <c r="AK2197" i="4"/>
  <c r="AI2197" i="4"/>
  <c r="AH2198" i="4"/>
  <c r="AJ2198" i="4"/>
  <c r="AL2189" i="4" l="1"/>
  <c r="AK2198" i="4"/>
  <c r="AI2198" i="4"/>
  <c r="AH2199" i="4"/>
  <c r="AJ2199" i="4"/>
  <c r="AL2190" i="4" l="1"/>
  <c r="AK2199" i="4"/>
  <c r="AI2199" i="4"/>
  <c r="AH2200" i="4"/>
  <c r="AS103" i="4"/>
  <c r="AJ2200" i="4"/>
  <c r="AL2191" i="4" l="1"/>
  <c r="AK2200" i="4"/>
  <c r="AI2200" i="4"/>
  <c r="AH2201" i="4"/>
  <c r="AJ2201" i="4"/>
  <c r="AL2192" i="4" l="1"/>
  <c r="AK2201" i="4"/>
  <c r="AI2201" i="4"/>
  <c r="AH2202" i="4"/>
  <c r="AJ2202" i="4"/>
  <c r="AL2193" i="4" l="1"/>
  <c r="AK2202" i="4"/>
  <c r="AI2202" i="4"/>
  <c r="AH2203" i="4"/>
  <c r="AJ2203" i="4"/>
  <c r="AL2194" i="4" l="1"/>
  <c r="AK2203" i="4"/>
  <c r="AI2203" i="4"/>
  <c r="AH2204" i="4"/>
  <c r="AJ2204" i="4"/>
  <c r="AL2195" i="4" l="1"/>
  <c r="AK2204" i="4"/>
  <c r="AI2204" i="4"/>
  <c r="AH2205" i="4"/>
  <c r="AJ2205" i="4"/>
  <c r="AL2196" i="4" l="1"/>
  <c r="AK2205" i="4"/>
  <c r="AI2205" i="4"/>
  <c r="AH2206" i="4"/>
  <c r="AJ2206" i="4"/>
  <c r="AL2197" i="4" l="1"/>
  <c r="AK2206" i="4"/>
  <c r="AI2206" i="4"/>
  <c r="AH2207" i="4"/>
  <c r="AJ2207" i="4"/>
  <c r="AL2198" i="4" l="1"/>
  <c r="AK2207" i="4"/>
  <c r="AI2207" i="4"/>
  <c r="AH2208" i="4"/>
  <c r="AJ2208" i="4"/>
  <c r="AL2199" i="4" l="1"/>
  <c r="AK2208" i="4"/>
  <c r="AI2208" i="4"/>
  <c r="AH2209" i="4"/>
  <c r="AJ2209" i="4"/>
  <c r="AL2200" i="4" l="1"/>
  <c r="AK2209" i="4"/>
  <c r="AI2209" i="4"/>
  <c r="AH2210" i="4"/>
  <c r="AJ2210" i="4"/>
  <c r="AL2201" i="4" l="1"/>
  <c r="AK2210" i="4"/>
  <c r="AI2210" i="4"/>
  <c r="AH2211" i="4"/>
  <c r="AJ2211" i="4"/>
  <c r="AL2202" i="4" l="1"/>
  <c r="AK2211" i="4"/>
  <c r="AI2211" i="4"/>
  <c r="AH2212" i="4"/>
  <c r="AJ2212" i="4"/>
  <c r="AL2203" i="4" l="1"/>
  <c r="AK2212" i="4"/>
  <c r="AI2212" i="4"/>
  <c r="AH2213" i="4"/>
  <c r="AJ2213" i="4"/>
  <c r="AL2204" i="4" l="1"/>
  <c r="AK2213" i="4"/>
  <c r="AI2213" i="4"/>
  <c r="AH2214" i="4"/>
  <c r="AJ2214" i="4"/>
  <c r="AL2205" i="4" l="1"/>
  <c r="AK2214" i="4"/>
  <c r="AI2214" i="4"/>
  <c r="AH2215" i="4"/>
  <c r="AJ2215" i="4"/>
  <c r="AL2206" i="4" l="1"/>
  <c r="AK2215" i="4"/>
  <c r="AI2215" i="4"/>
  <c r="AH2216" i="4"/>
  <c r="AJ2216" i="4"/>
  <c r="AL2207" i="4" l="1"/>
  <c r="AK2216" i="4"/>
  <c r="AI2216" i="4"/>
  <c r="AH2217" i="4"/>
  <c r="AJ2217" i="4"/>
  <c r="AL2208" i="4" l="1"/>
  <c r="AK2217" i="4"/>
  <c r="AI2217" i="4"/>
  <c r="AH2218" i="4"/>
  <c r="AJ2218" i="4"/>
  <c r="AL2209" i="4" l="1"/>
  <c r="AK2218" i="4"/>
  <c r="AI2218" i="4"/>
  <c r="AH2219" i="4"/>
  <c r="AJ2219" i="4"/>
  <c r="AL2210" i="4" l="1"/>
  <c r="AK2219" i="4"/>
  <c r="AI2219" i="4"/>
  <c r="AH2220" i="4"/>
  <c r="AJ2220" i="4"/>
  <c r="AL2211" i="4" l="1"/>
  <c r="AK2220" i="4"/>
  <c r="AI2220" i="4"/>
  <c r="AH2221" i="4"/>
  <c r="AJ2221" i="4"/>
  <c r="AL2212" i="4" l="1"/>
  <c r="AK2221" i="4"/>
  <c r="AI2221" i="4"/>
  <c r="AH2222" i="4"/>
  <c r="AJ2222" i="4"/>
  <c r="AL2213" i="4" l="1"/>
  <c r="AK2222" i="4"/>
  <c r="AI2222" i="4"/>
  <c r="AH2223" i="4"/>
  <c r="AJ2223" i="4"/>
  <c r="AL2214" i="4" l="1"/>
  <c r="AK2223" i="4"/>
  <c r="AI2223" i="4"/>
  <c r="AH2224" i="4"/>
  <c r="AJ2224" i="4"/>
  <c r="AL2215" i="4" l="1"/>
  <c r="AK2224" i="4"/>
  <c r="AI2224" i="4"/>
  <c r="AH2225" i="4"/>
  <c r="AJ2225" i="4"/>
  <c r="AL2216" i="4" l="1"/>
  <c r="AK2225" i="4"/>
  <c r="AI2225" i="4"/>
  <c r="AH2226" i="4"/>
  <c r="AJ2226" i="4"/>
  <c r="AL2217" i="4" l="1"/>
  <c r="AK2226" i="4"/>
  <c r="AI2226" i="4"/>
  <c r="AH2227" i="4"/>
  <c r="AJ2227" i="4"/>
  <c r="AL2218" i="4" l="1"/>
  <c r="AK2227" i="4"/>
  <c r="AI2227" i="4"/>
  <c r="AH2228" i="4"/>
  <c r="AJ2228" i="4"/>
  <c r="AL2219" i="4" l="1"/>
  <c r="AK2228" i="4"/>
  <c r="AI2228" i="4"/>
  <c r="AH2229" i="4"/>
  <c r="AJ2229" i="4"/>
  <c r="AL2220" i="4" l="1"/>
  <c r="AK2229" i="4"/>
  <c r="AI2229" i="4"/>
  <c r="AH2230" i="4"/>
  <c r="AS104" i="4"/>
  <c r="AJ2230" i="4"/>
  <c r="AL2221" i="4" l="1"/>
  <c r="AK2230" i="4"/>
  <c r="AI2230" i="4"/>
  <c r="AH2231" i="4"/>
  <c r="AJ2231" i="4"/>
  <c r="AL2222" i="4" l="1"/>
  <c r="AK2231" i="4"/>
  <c r="AI2231" i="4"/>
  <c r="AH2232" i="4"/>
  <c r="AJ2232" i="4"/>
  <c r="AL2223" i="4" l="1"/>
  <c r="AK2232" i="4"/>
  <c r="AI2232" i="4"/>
  <c r="AH2233" i="4"/>
  <c r="AJ2233" i="4"/>
  <c r="AL2224" i="4" l="1"/>
  <c r="AK2233" i="4"/>
  <c r="AI2233" i="4"/>
  <c r="AH2234" i="4"/>
  <c r="AJ2234" i="4"/>
  <c r="AL2225" i="4" l="1"/>
  <c r="AK2234" i="4"/>
  <c r="AI2234" i="4"/>
  <c r="AH2235" i="4"/>
  <c r="AJ2235" i="4"/>
  <c r="AL2226" i="4" l="1"/>
  <c r="AK2235" i="4"/>
  <c r="AI2235" i="4"/>
  <c r="AH2236" i="4"/>
  <c r="AJ2236" i="4"/>
  <c r="AL2227" i="4" l="1"/>
  <c r="AK2236" i="4"/>
  <c r="AI2236" i="4"/>
  <c r="AH2237" i="4"/>
  <c r="AJ2237" i="4"/>
  <c r="AL2228" i="4" l="1"/>
  <c r="AK2237" i="4"/>
  <c r="AI2237" i="4"/>
  <c r="AH2238" i="4"/>
  <c r="AJ2238" i="4"/>
  <c r="AL2229" i="4" l="1"/>
  <c r="AK2238" i="4"/>
  <c r="AI2238" i="4"/>
  <c r="AH2239" i="4"/>
  <c r="AJ2239" i="4"/>
  <c r="AL2230" i="4" l="1"/>
  <c r="AK2239" i="4"/>
  <c r="AI2239" i="4"/>
  <c r="AH2240" i="4"/>
  <c r="AJ2240" i="4"/>
  <c r="AL2231" i="4" l="1"/>
  <c r="AK2240" i="4"/>
  <c r="AI2240" i="4"/>
  <c r="AH2241" i="4"/>
  <c r="AJ2241" i="4"/>
  <c r="AL2232" i="4" l="1"/>
  <c r="AK2241" i="4"/>
  <c r="AI2241" i="4"/>
  <c r="AH2242" i="4"/>
  <c r="AJ2242" i="4"/>
  <c r="AL2233" i="4" l="1"/>
  <c r="AK2242" i="4"/>
  <c r="AI2242" i="4"/>
  <c r="AH2243" i="4"/>
  <c r="AJ2243" i="4"/>
  <c r="AL2234" i="4" l="1"/>
  <c r="AK2243" i="4"/>
  <c r="AI2243" i="4"/>
  <c r="AH2244" i="4"/>
  <c r="AJ2244" i="4"/>
  <c r="AL2235" i="4" l="1"/>
  <c r="AK2244" i="4"/>
  <c r="AI2244" i="4"/>
  <c r="AH2245" i="4"/>
  <c r="AJ2245" i="4"/>
  <c r="AL2236" i="4" l="1"/>
  <c r="AK2245" i="4"/>
  <c r="AI2245" i="4"/>
  <c r="AH2246" i="4"/>
  <c r="AJ2246" i="4"/>
  <c r="AL2237" i="4" l="1"/>
  <c r="AK2246" i="4"/>
  <c r="AI2246" i="4"/>
  <c r="AH2247" i="4"/>
  <c r="AJ2247" i="4"/>
  <c r="AL2238" i="4" l="1"/>
  <c r="AK2247" i="4"/>
  <c r="AI2247" i="4"/>
  <c r="AH2248" i="4"/>
  <c r="AJ2248" i="4"/>
  <c r="AL2239" i="4" l="1"/>
  <c r="AK2248" i="4"/>
  <c r="AI2248" i="4"/>
  <c r="AH2249" i="4"/>
  <c r="AJ2249" i="4"/>
  <c r="AL2240" i="4" l="1"/>
  <c r="AK2249" i="4"/>
  <c r="AI2249" i="4"/>
  <c r="AH2250" i="4"/>
  <c r="AJ2250" i="4"/>
  <c r="AL2241" i="4" l="1"/>
  <c r="AK2250" i="4"/>
  <c r="AI2250" i="4"/>
  <c r="AH2251" i="4"/>
  <c r="AJ2251" i="4"/>
  <c r="AL2242" i="4" l="1"/>
  <c r="AK2251" i="4"/>
  <c r="AI2251" i="4"/>
  <c r="AH2252" i="4"/>
  <c r="AJ2252" i="4"/>
  <c r="AL2243" i="4" l="1"/>
  <c r="AK2252" i="4"/>
  <c r="AI2252" i="4"/>
  <c r="AH2253" i="4"/>
  <c r="AJ2253" i="4"/>
  <c r="AL2244" i="4" l="1"/>
  <c r="AK2253" i="4"/>
  <c r="AI2253" i="4"/>
  <c r="AH2254" i="4"/>
  <c r="AJ2254" i="4"/>
  <c r="AL2245" i="4" l="1"/>
  <c r="AK2254" i="4"/>
  <c r="AI2254" i="4"/>
  <c r="AH2255" i="4"/>
  <c r="AJ2255" i="4"/>
  <c r="AL2246" i="4" l="1"/>
  <c r="AK2255" i="4"/>
  <c r="AI2255" i="4"/>
  <c r="AH2256" i="4"/>
  <c r="AJ2256" i="4"/>
  <c r="AL2247" i="4" l="1"/>
  <c r="AK2256" i="4"/>
  <c r="AI2256" i="4"/>
  <c r="AH2257" i="4"/>
  <c r="AJ2257" i="4"/>
  <c r="AL2248" i="4" l="1"/>
  <c r="AK2257" i="4"/>
  <c r="AI2257" i="4"/>
  <c r="AH2258" i="4"/>
  <c r="AJ2258" i="4"/>
  <c r="AL2249" i="4" l="1"/>
  <c r="AK2258" i="4"/>
  <c r="AI2258" i="4"/>
  <c r="AH2259" i="4"/>
  <c r="AJ2259" i="4"/>
  <c r="AL2250" i="4" l="1"/>
  <c r="AK2259" i="4"/>
  <c r="AI2259" i="4"/>
  <c r="AH2260" i="4"/>
  <c r="AS105" i="4"/>
  <c r="AJ2260" i="4"/>
  <c r="AL2251" i="4" l="1"/>
  <c r="AK2260" i="4"/>
  <c r="AI2260" i="4"/>
  <c r="AH2261" i="4"/>
  <c r="AJ2261" i="4"/>
  <c r="AL2252" i="4" l="1"/>
  <c r="AK2261" i="4"/>
  <c r="AI2261" i="4"/>
  <c r="AH2262" i="4"/>
  <c r="AJ2262" i="4"/>
  <c r="AL2253" i="4" l="1"/>
  <c r="AK2262" i="4"/>
  <c r="AI2262" i="4"/>
  <c r="AH2263" i="4"/>
  <c r="AJ2263" i="4"/>
  <c r="AL2254" i="4" l="1"/>
  <c r="AK2263" i="4"/>
  <c r="AI2263" i="4"/>
  <c r="AH2264" i="4"/>
  <c r="AJ2264" i="4"/>
  <c r="AL2255" i="4" l="1"/>
  <c r="AK2264" i="4"/>
  <c r="AI2264" i="4"/>
  <c r="AH2265" i="4"/>
  <c r="AJ2265" i="4"/>
  <c r="AL2256" i="4" l="1"/>
  <c r="AK2265" i="4"/>
  <c r="AI2265" i="4"/>
  <c r="AH2266" i="4"/>
  <c r="AJ2266" i="4"/>
  <c r="AL2257" i="4" l="1"/>
  <c r="AK2266" i="4"/>
  <c r="AI2266" i="4"/>
  <c r="AH2267" i="4"/>
  <c r="AJ2267" i="4"/>
  <c r="AL2258" i="4" l="1"/>
  <c r="AK2267" i="4"/>
  <c r="AI2267" i="4"/>
  <c r="AH2268" i="4"/>
  <c r="AJ2268" i="4"/>
  <c r="AL2259" i="4" l="1"/>
  <c r="AK2268" i="4"/>
  <c r="AI2268" i="4"/>
  <c r="AH2269" i="4"/>
  <c r="AJ2269" i="4"/>
  <c r="AL2260" i="4" l="1"/>
  <c r="AK2269" i="4"/>
  <c r="AI2269" i="4"/>
  <c r="AH2270" i="4"/>
  <c r="AJ2270" i="4"/>
  <c r="AL2261" i="4" l="1"/>
  <c r="AK2270" i="4"/>
  <c r="AI2270" i="4"/>
  <c r="AH2271" i="4"/>
  <c r="AJ2271" i="4"/>
  <c r="AL2262" i="4" l="1"/>
  <c r="AK2271" i="4"/>
  <c r="AI2271" i="4"/>
  <c r="AH2272" i="4"/>
  <c r="AJ2272" i="4"/>
  <c r="AL2263" i="4" l="1"/>
  <c r="AK2272" i="4"/>
  <c r="AI2272" i="4"/>
  <c r="AH2273" i="4"/>
  <c r="AJ2273" i="4"/>
  <c r="AL2264" i="4" l="1"/>
  <c r="AK2273" i="4"/>
  <c r="AI2273" i="4"/>
  <c r="AH2274" i="4"/>
  <c r="AJ2274" i="4"/>
  <c r="AL2265" i="4" l="1"/>
  <c r="AK2274" i="4"/>
  <c r="AI2274" i="4"/>
  <c r="AH2275" i="4"/>
  <c r="AJ2275" i="4"/>
  <c r="AL2266" i="4" l="1"/>
  <c r="AK2275" i="4"/>
  <c r="AI2275" i="4"/>
  <c r="AH2276" i="4"/>
  <c r="AJ2276" i="4"/>
  <c r="AL2267" i="4" l="1"/>
  <c r="AK2276" i="4"/>
  <c r="AI2276" i="4"/>
  <c r="AH2277" i="4"/>
  <c r="AJ2277" i="4"/>
  <c r="AL2268" i="4" l="1"/>
  <c r="AK2277" i="4"/>
  <c r="AI2277" i="4"/>
  <c r="AH2278" i="4"/>
  <c r="AJ2278" i="4"/>
  <c r="AL2269" i="4" l="1"/>
  <c r="AK2278" i="4"/>
  <c r="AI2278" i="4"/>
  <c r="AH2279" i="4"/>
  <c r="AJ2279" i="4"/>
  <c r="AL2270" i="4" l="1"/>
  <c r="AK2279" i="4"/>
  <c r="AI2279" i="4"/>
  <c r="AH2280" i="4"/>
  <c r="AJ2280" i="4"/>
  <c r="AL2271" i="4" l="1"/>
  <c r="AK2280" i="4"/>
  <c r="AI2280" i="4"/>
  <c r="AH2281" i="4"/>
  <c r="AJ2281" i="4"/>
  <c r="AL2272" i="4" l="1"/>
  <c r="AK2281" i="4"/>
  <c r="AI2281" i="4"/>
  <c r="AH2282" i="4"/>
  <c r="AJ2282" i="4"/>
  <c r="AL2273" i="4" l="1"/>
  <c r="AK2282" i="4"/>
  <c r="AI2282" i="4"/>
  <c r="AH2283" i="4"/>
  <c r="AJ2283" i="4"/>
  <c r="AL2274" i="4" l="1"/>
  <c r="AK2283" i="4"/>
  <c r="AI2283" i="4"/>
  <c r="AH2284" i="4"/>
  <c r="AJ2284" i="4"/>
  <c r="AL2275" i="4" l="1"/>
  <c r="AK2284" i="4"/>
  <c r="AI2284" i="4"/>
  <c r="AH2285" i="4"/>
  <c r="AJ2285" i="4"/>
  <c r="AL2276" i="4" l="1"/>
  <c r="AK2285" i="4"/>
  <c r="AI2285" i="4"/>
  <c r="AH2286" i="4"/>
  <c r="AJ2286" i="4"/>
  <c r="AL2277" i="4" l="1"/>
  <c r="AK2286" i="4"/>
  <c r="AI2286" i="4"/>
  <c r="AH2287" i="4"/>
  <c r="AJ2287" i="4"/>
  <c r="AL2278" i="4" l="1"/>
  <c r="AK2287" i="4"/>
  <c r="AI2287" i="4"/>
  <c r="AH2288" i="4"/>
  <c r="AJ2288" i="4"/>
  <c r="AL2279" i="4" l="1"/>
  <c r="AK2288" i="4"/>
  <c r="AI2288" i="4"/>
  <c r="AH2289" i="4"/>
  <c r="AJ2289" i="4"/>
  <c r="AL2280" i="4" l="1"/>
  <c r="AK2289" i="4"/>
  <c r="AI2289" i="4"/>
  <c r="AH2290" i="4"/>
  <c r="AS106" i="4"/>
  <c r="AJ2290" i="4"/>
  <c r="AL2281" i="4" l="1"/>
  <c r="AK2290" i="4"/>
  <c r="AI2290" i="4"/>
  <c r="AH2291" i="4"/>
  <c r="AJ2291" i="4"/>
  <c r="AL2282" i="4" l="1"/>
  <c r="AK2291" i="4"/>
  <c r="AI2291" i="4"/>
  <c r="AH2292" i="4"/>
  <c r="AJ2292" i="4"/>
  <c r="AL2283" i="4" l="1"/>
  <c r="AK2292" i="4"/>
  <c r="AI2292" i="4"/>
  <c r="AH2293" i="4"/>
  <c r="AJ2293" i="4"/>
  <c r="AL2284" i="4" l="1"/>
  <c r="AK2293" i="4"/>
  <c r="AI2293" i="4"/>
  <c r="AH2294" i="4"/>
  <c r="AJ2294" i="4"/>
  <c r="AL2285" i="4" l="1"/>
  <c r="AK2294" i="4"/>
  <c r="AI2294" i="4"/>
  <c r="AH2295" i="4"/>
  <c r="AJ2295" i="4"/>
  <c r="AL2286" i="4" l="1"/>
  <c r="AK2295" i="4"/>
  <c r="AI2295" i="4"/>
  <c r="AH2296" i="4"/>
  <c r="AJ2296" i="4"/>
  <c r="AL2287" i="4" l="1"/>
  <c r="AK2296" i="4"/>
  <c r="AI2296" i="4"/>
  <c r="AH2297" i="4"/>
  <c r="AJ2297" i="4"/>
  <c r="AL2288" i="4" l="1"/>
  <c r="AK2297" i="4"/>
  <c r="AI2297" i="4"/>
  <c r="AH2298" i="4"/>
  <c r="AJ2298" i="4"/>
  <c r="AL2289" i="4" l="1"/>
  <c r="AK2298" i="4"/>
  <c r="AI2298" i="4"/>
  <c r="AH2299" i="4"/>
  <c r="AJ2299" i="4"/>
  <c r="AL2290" i="4" l="1"/>
  <c r="AK2299" i="4"/>
  <c r="AI2299" i="4"/>
  <c r="AH2300" i="4"/>
  <c r="AJ2300" i="4"/>
  <c r="AL2291" i="4" l="1"/>
  <c r="AK2300" i="4"/>
  <c r="AI2300" i="4"/>
  <c r="AH2301" i="4"/>
  <c r="AJ2301" i="4"/>
  <c r="AL2292" i="4" l="1"/>
  <c r="AK2301" i="4"/>
  <c r="AI2301" i="4"/>
  <c r="AH2302" i="4"/>
  <c r="AJ2302" i="4"/>
  <c r="AL2293" i="4" l="1"/>
  <c r="AK2302" i="4"/>
  <c r="AI2302" i="4"/>
  <c r="AH2303" i="4"/>
  <c r="AJ2303" i="4"/>
  <c r="AL2294" i="4" l="1"/>
  <c r="AK2303" i="4"/>
  <c r="AI2303" i="4"/>
  <c r="AH2304" i="4"/>
  <c r="AJ2304" i="4"/>
  <c r="AL2295" i="4" l="1"/>
  <c r="AK2304" i="4"/>
  <c r="AI2304" i="4"/>
  <c r="AH2305" i="4"/>
  <c r="AJ2305" i="4"/>
  <c r="AL2296" i="4" l="1"/>
  <c r="AK2305" i="4"/>
  <c r="AI2305" i="4"/>
  <c r="AH2306" i="4"/>
  <c r="AJ2306" i="4"/>
  <c r="AL2297" i="4" l="1"/>
  <c r="AK2306" i="4"/>
  <c r="AI2306" i="4"/>
  <c r="AH2307" i="4"/>
  <c r="AJ2307" i="4"/>
  <c r="AL2298" i="4" l="1"/>
  <c r="AK2307" i="4"/>
  <c r="AI2307" i="4"/>
  <c r="AH2308" i="4"/>
  <c r="AJ2308" i="4"/>
  <c r="AL2299" i="4" l="1"/>
  <c r="AK2308" i="4"/>
  <c r="AI2308" i="4"/>
  <c r="AH2309" i="4"/>
  <c r="AJ2309" i="4"/>
  <c r="AL2300" i="4" l="1"/>
  <c r="AK2309" i="4"/>
  <c r="AI2309" i="4"/>
  <c r="AH2310" i="4"/>
  <c r="AJ2310" i="4"/>
  <c r="AL2301" i="4" l="1"/>
  <c r="AK2310" i="4"/>
  <c r="AI2310" i="4"/>
  <c r="AH2311" i="4"/>
  <c r="AJ2311" i="4"/>
  <c r="AL2302" i="4" l="1"/>
  <c r="AK2311" i="4"/>
  <c r="AI2311" i="4"/>
  <c r="AH2312" i="4"/>
  <c r="AJ2312" i="4"/>
  <c r="AL2303" i="4" l="1"/>
  <c r="AK2312" i="4"/>
  <c r="AI2312" i="4"/>
  <c r="AH2313" i="4"/>
  <c r="AJ2313" i="4"/>
  <c r="AL2304" i="4" l="1"/>
  <c r="AK2313" i="4"/>
  <c r="AI2313" i="4"/>
  <c r="AH2314" i="4"/>
  <c r="AJ2314" i="4"/>
  <c r="AL2305" i="4" l="1"/>
  <c r="AK2314" i="4"/>
  <c r="AI2314" i="4"/>
  <c r="AH2315" i="4"/>
  <c r="AJ2315" i="4"/>
  <c r="AL2306" i="4" l="1"/>
  <c r="AK2315" i="4"/>
  <c r="AI2315" i="4"/>
  <c r="AH2316" i="4"/>
  <c r="AJ2316" i="4"/>
  <c r="AL2307" i="4" l="1"/>
  <c r="AK2316" i="4"/>
  <c r="AI2316" i="4"/>
  <c r="AH2317" i="4"/>
  <c r="AJ2317" i="4"/>
  <c r="AL2308" i="4" l="1"/>
  <c r="AK2317" i="4"/>
  <c r="AI2317" i="4"/>
  <c r="AH2318" i="4"/>
  <c r="AJ2318" i="4"/>
  <c r="AL2309" i="4" l="1"/>
  <c r="AK2318" i="4"/>
  <c r="AI2318" i="4"/>
  <c r="AH2319" i="4"/>
  <c r="AJ2319" i="4"/>
  <c r="AL2310" i="4" l="1"/>
  <c r="AK2319" i="4"/>
  <c r="AI2319" i="4"/>
  <c r="AH2320" i="4"/>
  <c r="AS107" i="4"/>
  <c r="AJ2320" i="4"/>
  <c r="AL2311" i="4" l="1"/>
  <c r="AK2320" i="4"/>
  <c r="AI2320" i="4"/>
  <c r="AH2321" i="4"/>
  <c r="AJ2321" i="4"/>
  <c r="AL2312" i="4" l="1"/>
  <c r="AK2321" i="4"/>
  <c r="AI2321" i="4"/>
  <c r="AH2322" i="4"/>
  <c r="AJ2322" i="4"/>
  <c r="AL2313" i="4" l="1"/>
  <c r="AK2322" i="4"/>
  <c r="AI2322" i="4"/>
  <c r="AH2323" i="4"/>
  <c r="AJ2323" i="4"/>
  <c r="AL2314" i="4" l="1"/>
  <c r="AK2323" i="4"/>
  <c r="AI2323" i="4"/>
  <c r="AH2324" i="4"/>
  <c r="AJ2324" i="4"/>
  <c r="AL2315" i="4" l="1"/>
  <c r="AK2324" i="4"/>
  <c r="AI2324" i="4"/>
  <c r="AH2325" i="4"/>
  <c r="AJ2325" i="4"/>
  <c r="AL2316" i="4" l="1"/>
  <c r="AK2325" i="4"/>
  <c r="AI2325" i="4"/>
  <c r="AH2326" i="4"/>
  <c r="AJ2326" i="4"/>
  <c r="AL2317" i="4" l="1"/>
  <c r="AK2326" i="4"/>
  <c r="AI2326" i="4"/>
  <c r="AH2327" i="4"/>
  <c r="AJ2327" i="4"/>
  <c r="AL2318" i="4" l="1"/>
  <c r="AK2327" i="4"/>
  <c r="AI2327" i="4"/>
  <c r="AH2328" i="4"/>
  <c r="AJ2328" i="4"/>
  <c r="AL2319" i="4" l="1"/>
  <c r="AK2328" i="4"/>
  <c r="AI2328" i="4"/>
  <c r="AH2329" i="4"/>
  <c r="AJ2329" i="4"/>
  <c r="AL2320" i="4" l="1"/>
  <c r="AK2329" i="4"/>
  <c r="AI2329" i="4"/>
  <c r="AH2330" i="4"/>
  <c r="AJ2330" i="4"/>
  <c r="AL2321" i="4" l="1"/>
  <c r="AK2330" i="4"/>
  <c r="AI2330" i="4"/>
  <c r="AH2331" i="4"/>
  <c r="AJ2331" i="4"/>
  <c r="AL2322" i="4" l="1"/>
  <c r="AK2331" i="4"/>
  <c r="AI2331" i="4"/>
  <c r="AH2332" i="4"/>
  <c r="AJ2332" i="4"/>
  <c r="AL2323" i="4" l="1"/>
  <c r="AK2332" i="4"/>
  <c r="AI2332" i="4"/>
  <c r="AH2333" i="4"/>
  <c r="AJ2333" i="4"/>
  <c r="AL2324" i="4" l="1"/>
  <c r="AK2333" i="4"/>
  <c r="AI2333" i="4"/>
  <c r="AH2334" i="4"/>
  <c r="AJ2334" i="4"/>
  <c r="AL2325" i="4" l="1"/>
  <c r="AK2334" i="4"/>
  <c r="AI2334" i="4"/>
  <c r="AH2335" i="4"/>
  <c r="AJ2335" i="4"/>
  <c r="AL2326" i="4" l="1"/>
  <c r="AK2335" i="4"/>
  <c r="AI2335" i="4"/>
  <c r="AH2336" i="4"/>
  <c r="AJ2336" i="4"/>
  <c r="AL2327" i="4" l="1"/>
  <c r="AK2336" i="4"/>
  <c r="AI2336" i="4"/>
  <c r="AH2337" i="4"/>
  <c r="AJ2337" i="4"/>
  <c r="AL2328" i="4" l="1"/>
  <c r="AK2337" i="4"/>
  <c r="AI2337" i="4"/>
  <c r="AH2338" i="4"/>
  <c r="AJ2338" i="4"/>
  <c r="AL2329" i="4" l="1"/>
  <c r="AK2338" i="4"/>
  <c r="AI2338" i="4"/>
  <c r="AH2339" i="4"/>
  <c r="AJ2339" i="4"/>
  <c r="AL2330" i="4" l="1"/>
  <c r="AK2339" i="4"/>
  <c r="AI2339" i="4"/>
  <c r="AH2340" i="4"/>
  <c r="AJ2340" i="4"/>
  <c r="AL2331" i="4" l="1"/>
  <c r="AK2340" i="4"/>
  <c r="AI2340" i="4"/>
  <c r="AH2341" i="4"/>
  <c r="AJ2341" i="4"/>
  <c r="AL2332" i="4" l="1"/>
  <c r="AK2341" i="4"/>
  <c r="AI2341" i="4"/>
  <c r="AH2342" i="4"/>
  <c r="AJ2342" i="4"/>
  <c r="AL2333" i="4" l="1"/>
  <c r="AK2342" i="4"/>
  <c r="AI2342" i="4"/>
  <c r="AH2343" i="4"/>
  <c r="AJ2343" i="4"/>
  <c r="AL2334" i="4" l="1"/>
  <c r="AK2343" i="4"/>
  <c r="AI2343" i="4"/>
  <c r="AH2344" i="4"/>
  <c r="AJ2344" i="4"/>
  <c r="AL2335" i="4" l="1"/>
  <c r="AK2344" i="4"/>
  <c r="AI2344" i="4"/>
  <c r="AH2345" i="4"/>
  <c r="AJ2345" i="4"/>
  <c r="AL2336" i="4" l="1"/>
  <c r="AK2345" i="4"/>
  <c r="AI2345" i="4"/>
  <c r="AH2346" i="4"/>
  <c r="AJ2346" i="4"/>
  <c r="AL2337" i="4" l="1"/>
  <c r="AK2346" i="4"/>
  <c r="AI2346" i="4"/>
  <c r="AH2347" i="4"/>
  <c r="AJ2347" i="4"/>
  <c r="AL2338" i="4" l="1"/>
  <c r="AK2347" i="4"/>
  <c r="AI2347" i="4"/>
  <c r="AH2348" i="4"/>
  <c r="AJ2348" i="4"/>
  <c r="AL2339" i="4" l="1"/>
  <c r="AK2348" i="4"/>
  <c r="AI2348" i="4"/>
  <c r="AH2349" i="4"/>
  <c r="AJ2349" i="4"/>
  <c r="AL2340" i="4" l="1"/>
  <c r="AK2349" i="4"/>
  <c r="AI2349" i="4"/>
  <c r="AH2350" i="4"/>
  <c r="AS108" i="4"/>
  <c r="AJ2350" i="4"/>
  <c r="AL2341" i="4" l="1"/>
  <c r="AK2350" i="4"/>
  <c r="AI2350" i="4"/>
  <c r="AH2351" i="4"/>
  <c r="AJ2351" i="4"/>
  <c r="AL2342" i="4" l="1"/>
  <c r="AK2351" i="4"/>
  <c r="AI2351" i="4"/>
  <c r="AH2352" i="4"/>
  <c r="AJ2352" i="4"/>
  <c r="AL2343" i="4" l="1"/>
  <c r="AK2352" i="4"/>
  <c r="AI2352" i="4"/>
  <c r="AH2353" i="4"/>
  <c r="AJ2353" i="4"/>
  <c r="AL2344" i="4" l="1"/>
  <c r="AK2353" i="4"/>
  <c r="AI2353" i="4"/>
  <c r="AH2354" i="4"/>
  <c r="AJ2354" i="4"/>
  <c r="AL2345" i="4" l="1"/>
  <c r="AK2354" i="4"/>
  <c r="AI2354" i="4"/>
  <c r="AH2355" i="4"/>
  <c r="AJ2355" i="4"/>
  <c r="AL2346" i="4" l="1"/>
  <c r="AK2355" i="4"/>
  <c r="AI2355" i="4"/>
  <c r="AH2356" i="4"/>
  <c r="AJ2356" i="4"/>
  <c r="AL2347" i="4" l="1"/>
  <c r="AK2356" i="4"/>
  <c r="AI2356" i="4"/>
  <c r="AH2357" i="4"/>
  <c r="AJ2357" i="4"/>
  <c r="AL2348" i="4" l="1"/>
  <c r="AK2357" i="4"/>
  <c r="AI2357" i="4"/>
  <c r="AH2358" i="4"/>
  <c r="AJ2358" i="4"/>
  <c r="AL2349" i="4" l="1"/>
  <c r="AK2358" i="4"/>
  <c r="AI2358" i="4"/>
  <c r="AH2359" i="4"/>
  <c r="AJ2359" i="4"/>
  <c r="AL2350" i="4" l="1"/>
  <c r="AK2359" i="4"/>
  <c r="AI2359" i="4"/>
  <c r="AH2360" i="4"/>
  <c r="AJ2360" i="4"/>
  <c r="AL2351" i="4" l="1"/>
  <c r="AK2360" i="4"/>
  <c r="AI2360" i="4"/>
  <c r="AH2361" i="4"/>
  <c r="AJ2361" i="4"/>
  <c r="AL2352" i="4" l="1"/>
  <c r="AK2361" i="4"/>
  <c r="AI2361" i="4"/>
  <c r="AH2362" i="4"/>
  <c r="AJ2362" i="4"/>
  <c r="AL2353" i="4" l="1"/>
  <c r="AK2362" i="4"/>
  <c r="AI2362" i="4"/>
  <c r="AH2363" i="4"/>
  <c r="AJ2363" i="4"/>
  <c r="AL2354" i="4" l="1"/>
  <c r="AK2363" i="4"/>
  <c r="AI2363" i="4"/>
  <c r="AH2364" i="4"/>
  <c r="AJ2364" i="4"/>
  <c r="AL2355" i="4" l="1"/>
  <c r="AK2364" i="4"/>
  <c r="AI2364" i="4"/>
  <c r="AH2365" i="4"/>
  <c r="AJ2365" i="4"/>
  <c r="AL2356" i="4" l="1"/>
  <c r="AK2365" i="4"/>
  <c r="AI2365" i="4"/>
  <c r="AH2366" i="4"/>
  <c r="AJ2366" i="4"/>
  <c r="AL2357" i="4" l="1"/>
  <c r="AK2366" i="4"/>
  <c r="AI2366" i="4"/>
  <c r="AH2367" i="4"/>
  <c r="AJ2367" i="4"/>
  <c r="AL2358" i="4" l="1"/>
  <c r="AK2367" i="4"/>
  <c r="AI2367" i="4"/>
  <c r="AH2368" i="4"/>
  <c r="AJ2368" i="4"/>
  <c r="AL2359" i="4" l="1"/>
  <c r="AK2368" i="4"/>
  <c r="AI2368" i="4"/>
  <c r="AH2369" i="4"/>
  <c r="AJ2369" i="4"/>
  <c r="AL2360" i="4" l="1"/>
  <c r="AK2369" i="4"/>
  <c r="AI2369" i="4"/>
  <c r="AH2370" i="4"/>
  <c r="AJ2370" i="4"/>
  <c r="AL2361" i="4" l="1"/>
  <c r="AK2370" i="4"/>
  <c r="AI2370" i="4"/>
  <c r="AH2371" i="4"/>
  <c r="AJ2371" i="4"/>
  <c r="AL2362" i="4" l="1"/>
  <c r="AK2371" i="4"/>
  <c r="AI2371" i="4"/>
  <c r="AH2372" i="4"/>
  <c r="AJ2372" i="4"/>
  <c r="AL2363" i="4" l="1"/>
  <c r="AK2372" i="4"/>
  <c r="AI2372" i="4"/>
  <c r="AH2373" i="4"/>
  <c r="AJ2373" i="4"/>
  <c r="AL2364" i="4" l="1"/>
  <c r="AK2373" i="4"/>
  <c r="AI2373" i="4"/>
  <c r="AH2374" i="4"/>
  <c r="AJ2374" i="4"/>
  <c r="AL2365" i="4" l="1"/>
  <c r="AK2374" i="4"/>
  <c r="AI2374" i="4"/>
  <c r="AH2375" i="4"/>
  <c r="AJ2375" i="4"/>
  <c r="AL2366" i="4" l="1"/>
  <c r="AK2375" i="4"/>
  <c r="AI2375" i="4"/>
  <c r="AH2376" i="4"/>
  <c r="AJ2376" i="4"/>
  <c r="AL2367" i="4" l="1"/>
  <c r="AK2376" i="4"/>
  <c r="AI2376" i="4"/>
  <c r="AH2377" i="4"/>
  <c r="AJ2377" i="4"/>
  <c r="AL2368" i="4" l="1"/>
  <c r="AK2377" i="4"/>
  <c r="AI2377" i="4"/>
  <c r="AH2378" i="4"/>
  <c r="AJ2378" i="4"/>
  <c r="AL2369" i="4" l="1"/>
  <c r="AK2378" i="4"/>
  <c r="AI2378" i="4"/>
  <c r="AH2379" i="4"/>
  <c r="AJ2379" i="4"/>
  <c r="AL2370" i="4" l="1"/>
  <c r="AK2379" i="4"/>
  <c r="AI2379" i="4"/>
  <c r="AH2380" i="4"/>
  <c r="AJ2380" i="4"/>
  <c r="AS109" i="4"/>
  <c r="AL2371" i="4" l="1"/>
  <c r="AK2380" i="4"/>
  <c r="AI2380" i="4"/>
  <c r="AH2381" i="4"/>
  <c r="AJ2381" i="4"/>
  <c r="AL2372" i="4" l="1"/>
  <c r="AK2381" i="4"/>
  <c r="AI2381" i="4"/>
  <c r="AH2382" i="4"/>
  <c r="AJ2382" i="4"/>
  <c r="AL2373" i="4" l="1"/>
  <c r="AK2382" i="4"/>
  <c r="AI2382" i="4"/>
  <c r="AH2383" i="4"/>
  <c r="AJ2383" i="4"/>
  <c r="AL2374" i="4" l="1"/>
  <c r="AK2383" i="4"/>
  <c r="AI2383" i="4"/>
  <c r="AH2384" i="4"/>
  <c r="AJ2384" i="4"/>
  <c r="AL2375" i="4" l="1"/>
  <c r="AK2384" i="4"/>
  <c r="AI2384" i="4"/>
  <c r="AH2385" i="4"/>
  <c r="AJ2385" i="4"/>
  <c r="AL2376" i="4" l="1"/>
  <c r="AK2385" i="4"/>
  <c r="AI2385" i="4"/>
  <c r="AH2386" i="4"/>
  <c r="AJ2386" i="4"/>
  <c r="AL2377" i="4" l="1"/>
  <c r="AK2386" i="4"/>
  <c r="AI2386" i="4"/>
  <c r="AH2387" i="4"/>
  <c r="AJ2387" i="4"/>
  <c r="AL2378" i="4" l="1"/>
  <c r="AK2387" i="4"/>
  <c r="AI2387" i="4"/>
  <c r="AH2388" i="4"/>
  <c r="AJ2388" i="4"/>
  <c r="AL2379" i="4" l="1"/>
  <c r="AK2388" i="4"/>
  <c r="AI2388" i="4"/>
  <c r="AH2389" i="4"/>
  <c r="AJ2389" i="4"/>
  <c r="AL2380" i="4" l="1"/>
  <c r="AK2389" i="4"/>
  <c r="AI2389" i="4"/>
  <c r="AH2390" i="4"/>
  <c r="AJ2390" i="4"/>
  <c r="AL2381" i="4" l="1"/>
  <c r="AK2390" i="4"/>
  <c r="AI2390" i="4"/>
  <c r="AH2391" i="4"/>
  <c r="AJ2391" i="4"/>
  <c r="AL2382" i="4" l="1"/>
  <c r="AK2391" i="4"/>
  <c r="AI2391" i="4"/>
  <c r="AH2392" i="4"/>
  <c r="AJ2392" i="4"/>
  <c r="AL2383" i="4" l="1"/>
  <c r="AK2392" i="4"/>
  <c r="AI2392" i="4"/>
  <c r="AH2393" i="4"/>
  <c r="AJ2393" i="4"/>
  <c r="AL2384" i="4" l="1"/>
  <c r="AK2393" i="4"/>
  <c r="AI2393" i="4"/>
  <c r="AH2394" i="4"/>
  <c r="AJ2394" i="4"/>
  <c r="AL2385" i="4" l="1"/>
  <c r="AK2394" i="4"/>
  <c r="AI2394" i="4"/>
  <c r="AH2395" i="4"/>
  <c r="AJ2395" i="4"/>
  <c r="AL2386" i="4" l="1"/>
  <c r="AK2395" i="4"/>
  <c r="AI2395" i="4"/>
  <c r="AH2396" i="4"/>
  <c r="AJ2396" i="4"/>
  <c r="AL2387" i="4" l="1"/>
  <c r="AK2396" i="4"/>
  <c r="AI2396" i="4"/>
  <c r="AH2397" i="4"/>
  <c r="AJ2397" i="4"/>
  <c r="AL2388" i="4" l="1"/>
  <c r="AK2397" i="4"/>
  <c r="AI2397" i="4"/>
  <c r="AH2398" i="4"/>
  <c r="AJ2398" i="4"/>
  <c r="AL2389" i="4" l="1"/>
  <c r="AK2398" i="4"/>
  <c r="AI2398" i="4"/>
  <c r="AH2399" i="4"/>
  <c r="AJ2399" i="4"/>
  <c r="AL2390" i="4" l="1"/>
  <c r="AK2399" i="4"/>
  <c r="AI2399" i="4"/>
  <c r="AH2400" i="4"/>
  <c r="AJ2400" i="4"/>
  <c r="AL2391" i="4" l="1"/>
  <c r="AK2400" i="4"/>
  <c r="AI2400" i="4"/>
  <c r="AH2401" i="4"/>
  <c r="AJ2401" i="4"/>
  <c r="AL2392" i="4" l="1"/>
  <c r="AK2401" i="4"/>
  <c r="AI2401" i="4"/>
  <c r="AH2402" i="4"/>
  <c r="AJ2402" i="4"/>
  <c r="AL2393" i="4" l="1"/>
  <c r="AK2402" i="4"/>
  <c r="AI2402" i="4"/>
  <c r="AH2403" i="4"/>
  <c r="AJ2403" i="4"/>
  <c r="AL2394" i="4" l="1"/>
  <c r="AK2403" i="4"/>
  <c r="AI2403" i="4"/>
  <c r="AH2404" i="4"/>
  <c r="AJ2404" i="4"/>
  <c r="AL2395" i="4" l="1"/>
  <c r="AK2404" i="4"/>
  <c r="AI2404" i="4"/>
  <c r="AH2405" i="4"/>
  <c r="AJ2405" i="4"/>
  <c r="AL2396" i="4" l="1"/>
  <c r="AK2405" i="4"/>
  <c r="AI2405" i="4"/>
  <c r="AH2406" i="4"/>
  <c r="AJ2406" i="4"/>
  <c r="AL2397" i="4" l="1"/>
  <c r="AK2406" i="4"/>
  <c r="AI2406" i="4"/>
  <c r="AH2407" i="4"/>
  <c r="AJ2407" i="4"/>
  <c r="AL2398" i="4" l="1"/>
  <c r="AK2407" i="4"/>
  <c r="AI2407" i="4"/>
  <c r="AH2408" i="4"/>
  <c r="AJ2408" i="4"/>
  <c r="AL2399" i="4" l="1"/>
  <c r="AK2408" i="4"/>
  <c r="AI2408" i="4"/>
  <c r="AH2409" i="4"/>
  <c r="AJ2409" i="4"/>
  <c r="AL2400" i="4" l="1"/>
  <c r="AK2409" i="4"/>
  <c r="AI2409" i="4"/>
  <c r="AH2410" i="4"/>
  <c r="AJ2410" i="4"/>
  <c r="AS110" i="4"/>
  <c r="AL2401" i="4" l="1"/>
  <c r="AK2410" i="4"/>
  <c r="AI2410" i="4"/>
  <c r="AH2411" i="4"/>
  <c r="AJ2411" i="4"/>
  <c r="AL2402" i="4" l="1"/>
  <c r="AK2411" i="4"/>
  <c r="AI2411" i="4"/>
  <c r="AH2412" i="4"/>
  <c r="AJ2412" i="4"/>
  <c r="AL2403" i="4" l="1"/>
  <c r="AK2412" i="4"/>
  <c r="AI2412" i="4"/>
  <c r="AH2413" i="4"/>
  <c r="AJ2413" i="4"/>
  <c r="AL2404" i="4" l="1"/>
  <c r="AK2413" i="4"/>
  <c r="AI2413" i="4"/>
  <c r="AH2414" i="4"/>
  <c r="AJ2414" i="4"/>
  <c r="AL2405" i="4" l="1"/>
  <c r="AK2414" i="4"/>
  <c r="AI2414" i="4"/>
  <c r="AH2415" i="4"/>
  <c r="AJ2415" i="4"/>
  <c r="AL2406" i="4" l="1"/>
  <c r="AK2415" i="4"/>
  <c r="AI2415" i="4"/>
  <c r="AH2416" i="4"/>
  <c r="AJ2416" i="4"/>
  <c r="AL2407" i="4" l="1"/>
  <c r="AK2416" i="4"/>
  <c r="AI2416" i="4"/>
  <c r="AH2417" i="4"/>
  <c r="AJ2417" i="4"/>
  <c r="AL2408" i="4" l="1"/>
  <c r="AK2417" i="4"/>
  <c r="AI2417" i="4"/>
  <c r="AH2418" i="4"/>
  <c r="AJ2418" i="4"/>
  <c r="AL2409" i="4" l="1"/>
  <c r="AK2418" i="4"/>
  <c r="AI2418" i="4"/>
  <c r="AH2419" i="4"/>
  <c r="AJ2419" i="4"/>
  <c r="AL2410" i="4" l="1"/>
  <c r="AK2419" i="4"/>
  <c r="AI2419" i="4"/>
  <c r="AH2420" i="4"/>
  <c r="AJ2420" i="4"/>
  <c r="AL2411" i="4" l="1"/>
  <c r="AK2420" i="4"/>
  <c r="AI2420" i="4"/>
  <c r="AH2421" i="4"/>
  <c r="AJ2421" i="4"/>
  <c r="AL2412" i="4" l="1"/>
  <c r="AK2421" i="4"/>
  <c r="AI2421" i="4"/>
  <c r="AH2422" i="4"/>
  <c r="AJ2422" i="4"/>
  <c r="AL2413" i="4" l="1"/>
  <c r="AK2422" i="4"/>
  <c r="AI2422" i="4"/>
  <c r="AH2423" i="4"/>
  <c r="AJ2423" i="4"/>
  <c r="AL2414" i="4" l="1"/>
  <c r="AK2423" i="4"/>
  <c r="AI2423" i="4"/>
  <c r="AH2424" i="4"/>
  <c r="AJ2424" i="4"/>
  <c r="AL2415" i="4" l="1"/>
  <c r="AK2424" i="4"/>
  <c r="AI2424" i="4"/>
  <c r="AH2425" i="4"/>
  <c r="AJ2425" i="4"/>
  <c r="AL2416" i="4" l="1"/>
  <c r="AK2425" i="4"/>
  <c r="AI2425" i="4"/>
  <c r="AH2426" i="4"/>
  <c r="AJ2426" i="4"/>
  <c r="AL2417" i="4" l="1"/>
  <c r="AK2426" i="4"/>
  <c r="AI2426" i="4"/>
  <c r="AH2427" i="4"/>
  <c r="AJ2427" i="4"/>
  <c r="AL2418" i="4" l="1"/>
  <c r="AK2427" i="4"/>
  <c r="AI2427" i="4"/>
  <c r="AH2428" i="4"/>
  <c r="AJ2428" i="4"/>
  <c r="AL2419" i="4" l="1"/>
  <c r="AK2428" i="4"/>
  <c r="AI2428" i="4"/>
  <c r="AH2429" i="4"/>
  <c r="AJ2429" i="4"/>
  <c r="AL2420" i="4" l="1"/>
  <c r="AK2429" i="4"/>
  <c r="AI2429" i="4"/>
  <c r="AH2430" i="4"/>
  <c r="AJ2430" i="4"/>
  <c r="AL2421" i="4" l="1"/>
  <c r="AK2430" i="4"/>
  <c r="AI2430" i="4"/>
  <c r="AH2431" i="4"/>
  <c r="AJ2431" i="4"/>
  <c r="AL2422" i="4" l="1"/>
  <c r="AK2431" i="4"/>
  <c r="AI2431" i="4"/>
  <c r="AH2432" i="4"/>
  <c r="AJ2432" i="4"/>
  <c r="AL2423" i="4" l="1"/>
  <c r="AK2432" i="4"/>
  <c r="AI2432" i="4"/>
  <c r="AH2433" i="4"/>
  <c r="AJ2433" i="4"/>
  <c r="AL2424" i="4" l="1"/>
  <c r="AK2433" i="4"/>
  <c r="AI2433" i="4"/>
  <c r="AH2434" i="4"/>
  <c r="AJ2434" i="4"/>
  <c r="AL2425" i="4" l="1"/>
  <c r="AK2434" i="4"/>
  <c r="AI2434" i="4"/>
  <c r="AH2435" i="4"/>
  <c r="AJ2435" i="4"/>
  <c r="AL2426" i="4" l="1"/>
  <c r="AK2435" i="4"/>
  <c r="AI2435" i="4"/>
  <c r="AH2436" i="4"/>
  <c r="AJ2436" i="4"/>
  <c r="AL2427" i="4" l="1"/>
  <c r="AK2436" i="4"/>
  <c r="AI2436" i="4"/>
  <c r="AH2437" i="4"/>
  <c r="AJ2437" i="4"/>
  <c r="AL2428" i="4" l="1"/>
  <c r="AK2437" i="4"/>
  <c r="AI2437" i="4"/>
  <c r="AH2438" i="4"/>
  <c r="AJ2438" i="4"/>
  <c r="AL2429" i="4" l="1"/>
  <c r="AK2438" i="4"/>
  <c r="AI2438" i="4"/>
  <c r="AH2439" i="4"/>
  <c r="AJ2439" i="4"/>
  <c r="AL2430" i="4" l="1"/>
  <c r="AK2439" i="4"/>
  <c r="AI2439" i="4"/>
  <c r="AH2440" i="4"/>
  <c r="AS111" i="4"/>
  <c r="AJ2440" i="4"/>
  <c r="AL2431" i="4" l="1"/>
  <c r="AK2440" i="4"/>
  <c r="AI2440" i="4"/>
  <c r="AH2441" i="4"/>
  <c r="AJ2441" i="4"/>
  <c r="AL2432" i="4" l="1"/>
  <c r="AK2441" i="4"/>
  <c r="AI2441" i="4"/>
  <c r="AH2442" i="4"/>
  <c r="AJ2442" i="4"/>
  <c r="AL2433" i="4" l="1"/>
  <c r="AK2442" i="4"/>
  <c r="AI2442" i="4"/>
  <c r="AH2443" i="4"/>
  <c r="AJ2443" i="4"/>
  <c r="AL2434" i="4" l="1"/>
  <c r="AK2443" i="4"/>
  <c r="AI2443" i="4"/>
  <c r="AH2444" i="4"/>
  <c r="AJ2444" i="4"/>
  <c r="AL2435" i="4" l="1"/>
  <c r="AK2444" i="4"/>
  <c r="AI2444" i="4"/>
  <c r="AH2445" i="4"/>
  <c r="AJ2445" i="4"/>
  <c r="AL2436" i="4" l="1"/>
  <c r="AK2445" i="4"/>
  <c r="AI2445" i="4"/>
  <c r="AH2446" i="4"/>
  <c r="AJ2446" i="4"/>
  <c r="AL2437" i="4" l="1"/>
  <c r="AK2446" i="4"/>
  <c r="AI2446" i="4"/>
  <c r="AH2447" i="4"/>
  <c r="AJ2447" i="4"/>
  <c r="AL2438" i="4" l="1"/>
  <c r="AK2447" i="4"/>
  <c r="AI2447" i="4"/>
  <c r="AH2448" i="4"/>
  <c r="AJ2448" i="4"/>
  <c r="AL2439" i="4" l="1"/>
  <c r="AK2448" i="4"/>
  <c r="AI2448" i="4"/>
  <c r="AH2449" i="4"/>
  <c r="AJ2449" i="4"/>
  <c r="AL2440" i="4" l="1"/>
  <c r="AK2449" i="4"/>
  <c r="AI2449" i="4"/>
  <c r="AH2450" i="4"/>
  <c r="AJ2450" i="4"/>
  <c r="AL2441" i="4" l="1"/>
  <c r="AK2450" i="4"/>
  <c r="AI2450" i="4"/>
  <c r="AH2451" i="4"/>
  <c r="AJ2451" i="4"/>
  <c r="AL2442" i="4" l="1"/>
  <c r="AK2451" i="4"/>
  <c r="AI2451" i="4"/>
  <c r="AH2452" i="4"/>
  <c r="AJ2452" i="4"/>
  <c r="AL2443" i="4" l="1"/>
  <c r="AK2452" i="4"/>
  <c r="AI2452" i="4"/>
  <c r="AH2453" i="4"/>
  <c r="AJ2453" i="4"/>
  <c r="AL2444" i="4" l="1"/>
  <c r="AK2453" i="4"/>
  <c r="AI2453" i="4"/>
  <c r="AH2454" i="4"/>
  <c r="AJ2454" i="4"/>
  <c r="AL2445" i="4" l="1"/>
  <c r="AK2454" i="4"/>
  <c r="AI2454" i="4"/>
  <c r="AH2455" i="4"/>
  <c r="AJ2455" i="4"/>
  <c r="AL2446" i="4" l="1"/>
  <c r="AK2455" i="4"/>
  <c r="AI2455" i="4"/>
  <c r="AH2456" i="4"/>
  <c r="AJ2456" i="4"/>
  <c r="AL2447" i="4" l="1"/>
  <c r="AK2456" i="4"/>
  <c r="AI2456" i="4"/>
  <c r="AH2457" i="4"/>
  <c r="AJ2457" i="4"/>
  <c r="AL2448" i="4" l="1"/>
  <c r="AK2457" i="4"/>
  <c r="AI2457" i="4"/>
  <c r="AH2458" i="4"/>
  <c r="AJ2458" i="4"/>
  <c r="AL2449" i="4" l="1"/>
  <c r="AK2458" i="4"/>
  <c r="AI2458" i="4"/>
  <c r="AH2459" i="4"/>
  <c r="AJ2459" i="4"/>
  <c r="AL2450" i="4" l="1"/>
  <c r="AK2459" i="4"/>
  <c r="AI2459" i="4"/>
  <c r="AH2460" i="4"/>
  <c r="AJ2460" i="4"/>
  <c r="AL2451" i="4" l="1"/>
  <c r="AK2460" i="4"/>
  <c r="AI2460" i="4"/>
  <c r="AH2461" i="4"/>
  <c r="AJ2461" i="4"/>
  <c r="AL2452" i="4" l="1"/>
  <c r="AK2461" i="4"/>
  <c r="AI2461" i="4"/>
  <c r="AH2462" i="4"/>
  <c r="AJ2462" i="4"/>
  <c r="AL2453" i="4" l="1"/>
  <c r="AK2462" i="4"/>
  <c r="AI2462" i="4"/>
  <c r="AH2463" i="4"/>
  <c r="AJ2463" i="4"/>
  <c r="AL2454" i="4" l="1"/>
  <c r="AK2463" i="4"/>
  <c r="AI2463" i="4"/>
  <c r="AH2464" i="4"/>
  <c r="AJ2464" i="4"/>
  <c r="AL2455" i="4" l="1"/>
  <c r="AK2464" i="4"/>
  <c r="AI2464" i="4"/>
  <c r="AH2465" i="4"/>
  <c r="AJ2465" i="4"/>
  <c r="AL2456" i="4" l="1"/>
  <c r="AK2465" i="4"/>
  <c r="AI2465" i="4"/>
  <c r="AH2466" i="4"/>
  <c r="AJ2466" i="4"/>
  <c r="AL2457" i="4" l="1"/>
  <c r="AK2466" i="4"/>
  <c r="AI2466" i="4"/>
  <c r="AH2467" i="4"/>
  <c r="AJ2467" i="4"/>
  <c r="AL2458" i="4" l="1"/>
  <c r="AK2467" i="4"/>
  <c r="AI2467" i="4"/>
  <c r="AH2468" i="4"/>
  <c r="AJ2468" i="4"/>
  <c r="AL2459" i="4" l="1"/>
  <c r="AK2468" i="4"/>
  <c r="AI2468" i="4"/>
  <c r="AH2469" i="4"/>
  <c r="AJ2469" i="4"/>
  <c r="AL2460" i="4" l="1"/>
  <c r="AK2469" i="4"/>
  <c r="AI2469" i="4"/>
  <c r="AH2470" i="4"/>
  <c r="AS112" i="4"/>
  <c r="AJ2470" i="4"/>
  <c r="AL2461" i="4" l="1"/>
  <c r="AK2470" i="4"/>
  <c r="AI2470" i="4"/>
  <c r="AH2471" i="4"/>
  <c r="AJ2471" i="4"/>
  <c r="AL2462" i="4" l="1"/>
  <c r="AK2471" i="4"/>
  <c r="AI2471" i="4"/>
  <c r="AH2472" i="4"/>
  <c r="AJ2472" i="4"/>
  <c r="AL2463" i="4" l="1"/>
  <c r="AK2472" i="4"/>
  <c r="AI2472" i="4"/>
  <c r="AH2473" i="4"/>
  <c r="AJ2473" i="4"/>
  <c r="AL2464" i="4" l="1"/>
  <c r="AK2473" i="4"/>
  <c r="AI2473" i="4"/>
  <c r="AH2474" i="4"/>
  <c r="AJ2474" i="4"/>
  <c r="AL2465" i="4" l="1"/>
  <c r="AK2474" i="4"/>
  <c r="AI2474" i="4"/>
  <c r="AH2475" i="4"/>
  <c r="AJ2475" i="4"/>
  <c r="AL2466" i="4" l="1"/>
  <c r="AK2475" i="4"/>
  <c r="AI2475" i="4"/>
  <c r="AH2476" i="4"/>
  <c r="AJ2476" i="4"/>
  <c r="AL2467" i="4" l="1"/>
  <c r="AK2476" i="4"/>
  <c r="AI2476" i="4"/>
  <c r="AH2477" i="4"/>
  <c r="AJ2477" i="4"/>
  <c r="AL2468" i="4" l="1"/>
  <c r="AK2477" i="4"/>
  <c r="AI2477" i="4"/>
  <c r="AH2478" i="4"/>
  <c r="AJ2478" i="4"/>
  <c r="AL2469" i="4" l="1"/>
  <c r="AK2478" i="4"/>
  <c r="AI2478" i="4"/>
  <c r="AH2479" i="4"/>
  <c r="AJ2479" i="4"/>
  <c r="AL2470" i="4" l="1"/>
  <c r="AK2479" i="4"/>
  <c r="AI2479" i="4"/>
  <c r="AH2480" i="4"/>
  <c r="AJ2480" i="4"/>
  <c r="AL2471" i="4" l="1"/>
  <c r="AK2480" i="4"/>
  <c r="AI2480" i="4"/>
  <c r="AH2481" i="4"/>
  <c r="AJ2481" i="4"/>
  <c r="AL2472" i="4" l="1"/>
  <c r="AK2481" i="4"/>
  <c r="AI2481" i="4"/>
  <c r="AH2482" i="4"/>
  <c r="AJ2482" i="4"/>
  <c r="AL2473" i="4" l="1"/>
  <c r="AK2482" i="4"/>
  <c r="AI2482" i="4"/>
  <c r="AH2483" i="4"/>
  <c r="AJ2483" i="4"/>
  <c r="AL2474" i="4" l="1"/>
  <c r="AK2483" i="4"/>
  <c r="AI2483" i="4"/>
  <c r="AH2484" i="4"/>
  <c r="AJ2484" i="4"/>
  <c r="AL2475" i="4" l="1"/>
  <c r="AK2484" i="4"/>
  <c r="AI2484" i="4"/>
  <c r="AH2485" i="4"/>
  <c r="AJ2485" i="4"/>
  <c r="AL2476" i="4" l="1"/>
  <c r="AK2485" i="4"/>
  <c r="AI2485" i="4"/>
  <c r="AH2486" i="4"/>
  <c r="AJ2486" i="4"/>
  <c r="AL2477" i="4" l="1"/>
  <c r="AK2486" i="4"/>
  <c r="AI2486" i="4"/>
  <c r="AH2487" i="4"/>
  <c r="AJ2487" i="4"/>
  <c r="AL2478" i="4" l="1"/>
  <c r="AK2487" i="4"/>
  <c r="AI2487" i="4"/>
  <c r="AH2488" i="4"/>
  <c r="AJ2488" i="4"/>
  <c r="AL2479" i="4" l="1"/>
  <c r="AK2488" i="4"/>
  <c r="AI2488" i="4"/>
  <c r="AH2489" i="4"/>
  <c r="AJ2489" i="4"/>
  <c r="AL2480" i="4" l="1"/>
  <c r="AK2489" i="4"/>
  <c r="AI2489" i="4"/>
  <c r="AH2490" i="4"/>
  <c r="AJ2490" i="4"/>
  <c r="AL2481" i="4" l="1"/>
  <c r="AK2490" i="4"/>
  <c r="AI2490" i="4"/>
  <c r="AH2491" i="4"/>
  <c r="AJ2491" i="4"/>
  <c r="AL2482" i="4" l="1"/>
  <c r="AK2491" i="4"/>
  <c r="AI2491" i="4"/>
  <c r="AH2492" i="4"/>
  <c r="AJ2492" i="4"/>
  <c r="AL2483" i="4" l="1"/>
  <c r="AK2492" i="4"/>
  <c r="AI2492" i="4"/>
  <c r="AH2493" i="4"/>
  <c r="AJ2493" i="4"/>
  <c r="AL2484" i="4" l="1"/>
  <c r="AK2493" i="4"/>
  <c r="AI2493" i="4"/>
  <c r="AH2494" i="4"/>
  <c r="AJ2494" i="4"/>
  <c r="AL2485" i="4" l="1"/>
  <c r="AK2494" i="4"/>
  <c r="AI2494" i="4"/>
  <c r="AH2495" i="4"/>
  <c r="AJ2495" i="4"/>
  <c r="AL2486" i="4" l="1"/>
  <c r="AK2495" i="4"/>
  <c r="AI2495" i="4"/>
  <c r="AH2496" i="4"/>
  <c r="AJ2496" i="4"/>
  <c r="AL2487" i="4" l="1"/>
  <c r="AK2496" i="4"/>
  <c r="AI2496" i="4"/>
  <c r="AH2497" i="4"/>
  <c r="AJ2497" i="4"/>
  <c r="AL2488" i="4" l="1"/>
  <c r="AK2497" i="4"/>
  <c r="AI2497" i="4"/>
  <c r="AH2498" i="4"/>
  <c r="AJ2498" i="4"/>
  <c r="AL2489" i="4" l="1"/>
  <c r="AK2498" i="4"/>
  <c r="AI2498" i="4"/>
  <c r="AH2499" i="4"/>
  <c r="AJ2499" i="4"/>
  <c r="AL2490" i="4" l="1"/>
  <c r="AK2499" i="4"/>
  <c r="AI2499" i="4"/>
  <c r="AH2500" i="4"/>
  <c r="AS113" i="4"/>
  <c r="AJ2500" i="4"/>
  <c r="AL2491" i="4" l="1"/>
  <c r="AK2500" i="4"/>
  <c r="AI2500" i="4"/>
  <c r="AH2501" i="4"/>
  <c r="AJ2501" i="4"/>
  <c r="AL2492" i="4" l="1"/>
  <c r="AK2501" i="4"/>
  <c r="AI2501" i="4"/>
  <c r="AH2502" i="4"/>
  <c r="AJ2502" i="4"/>
  <c r="AL2493" i="4" l="1"/>
  <c r="AK2502" i="4"/>
  <c r="AI2502" i="4"/>
  <c r="AH2503" i="4"/>
  <c r="AJ2503" i="4"/>
  <c r="AL2494" i="4" l="1"/>
  <c r="AK2503" i="4"/>
  <c r="AI2503" i="4"/>
  <c r="AH2504" i="4"/>
  <c r="AJ2504" i="4"/>
  <c r="AL2495" i="4" l="1"/>
  <c r="AK2504" i="4"/>
  <c r="AI2504" i="4"/>
  <c r="AH2505" i="4"/>
  <c r="AJ2505" i="4"/>
  <c r="AL2496" i="4" l="1"/>
  <c r="AK2505" i="4"/>
  <c r="AI2505" i="4"/>
  <c r="AH2506" i="4"/>
  <c r="AJ2506" i="4"/>
  <c r="AL2497" i="4" l="1"/>
  <c r="AK2506" i="4"/>
  <c r="AI2506" i="4"/>
  <c r="AH2507" i="4"/>
  <c r="AJ2507" i="4"/>
  <c r="AL2498" i="4" l="1"/>
  <c r="AK2507" i="4"/>
  <c r="AI2507" i="4"/>
  <c r="AH2508" i="4"/>
  <c r="AJ2508" i="4"/>
  <c r="AL2499" i="4" l="1"/>
  <c r="AK2508" i="4"/>
  <c r="AI2508" i="4"/>
  <c r="AH2509" i="4"/>
  <c r="AJ2509" i="4"/>
  <c r="AL2500" i="4" l="1"/>
  <c r="AK2509" i="4"/>
  <c r="AI2509" i="4"/>
  <c r="AH2510" i="4"/>
  <c r="AJ2510" i="4"/>
  <c r="AL2501" i="4" l="1"/>
  <c r="AK2510" i="4"/>
  <c r="AI2510" i="4"/>
  <c r="AH2511" i="4"/>
  <c r="AJ2511" i="4"/>
  <c r="AL2502" i="4" l="1"/>
  <c r="AK2511" i="4"/>
  <c r="AI2511" i="4"/>
  <c r="AH2512" i="4"/>
  <c r="AJ2512" i="4"/>
  <c r="AL2503" i="4" l="1"/>
  <c r="AK2512" i="4"/>
  <c r="AI2512" i="4"/>
  <c r="AH2513" i="4"/>
  <c r="AJ2513" i="4"/>
  <c r="AL2504" i="4" l="1"/>
  <c r="AK2513" i="4"/>
  <c r="AI2513" i="4"/>
  <c r="AH2514" i="4"/>
  <c r="AJ2514" i="4"/>
  <c r="AL2505" i="4" l="1"/>
  <c r="AK2514" i="4"/>
  <c r="AI2514" i="4"/>
  <c r="AH2515" i="4"/>
  <c r="AJ2515" i="4"/>
  <c r="AL2506" i="4" l="1"/>
  <c r="AK2515" i="4"/>
  <c r="AI2515" i="4"/>
  <c r="AH2516" i="4"/>
  <c r="AJ2516" i="4"/>
  <c r="AL2507" i="4" l="1"/>
  <c r="AK2516" i="4"/>
  <c r="AI2516" i="4"/>
  <c r="AH2517" i="4"/>
  <c r="AJ2517" i="4"/>
  <c r="AL2508" i="4" l="1"/>
  <c r="AK2517" i="4"/>
  <c r="AI2517" i="4"/>
  <c r="AH2518" i="4"/>
  <c r="AJ2518" i="4"/>
  <c r="AL2509" i="4" l="1"/>
  <c r="AK2518" i="4"/>
  <c r="AI2518" i="4"/>
  <c r="AH2519" i="4"/>
  <c r="AJ2519" i="4"/>
  <c r="AL2510" i="4" l="1"/>
  <c r="AK2519" i="4"/>
  <c r="AI2519" i="4"/>
  <c r="AH2520" i="4"/>
  <c r="AJ2520" i="4"/>
  <c r="AL2511" i="4" l="1"/>
  <c r="AK2520" i="4"/>
  <c r="AI2520" i="4"/>
  <c r="AH2521" i="4"/>
  <c r="AJ2521" i="4"/>
  <c r="AL2512" i="4" l="1"/>
  <c r="AK2521" i="4"/>
  <c r="AI2521" i="4"/>
  <c r="AH2522" i="4"/>
  <c r="AJ2522" i="4"/>
  <c r="AL2513" i="4" l="1"/>
  <c r="AK2522" i="4"/>
  <c r="AI2522" i="4"/>
  <c r="AH2523" i="4"/>
  <c r="AJ2523" i="4"/>
  <c r="AL2514" i="4" l="1"/>
  <c r="AK2523" i="4"/>
  <c r="AI2523" i="4"/>
  <c r="AH2524" i="4"/>
  <c r="AJ2524" i="4"/>
  <c r="AL2515" i="4" l="1"/>
  <c r="AK2524" i="4"/>
  <c r="AI2524" i="4"/>
  <c r="AH2525" i="4"/>
  <c r="AJ2525" i="4"/>
  <c r="AL2516" i="4" l="1"/>
  <c r="AK2525" i="4"/>
  <c r="AI2525" i="4"/>
  <c r="AH2526" i="4"/>
  <c r="AJ2526" i="4"/>
  <c r="AL2517" i="4" l="1"/>
  <c r="AK2526" i="4"/>
  <c r="AI2526" i="4"/>
  <c r="AH2527" i="4"/>
  <c r="AJ2527" i="4"/>
  <c r="AL2518" i="4" l="1"/>
  <c r="AK2527" i="4"/>
  <c r="AI2527" i="4"/>
  <c r="AH2528" i="4"/>
  <c r="AJ2528" i="4"/>
  <c r="AL2519" i="4" l="1"/>
  <c r="AK2528" i="4"/>
  <c r="AI2528" i="4"/>
  <c r="AH2529" i="4"/>
  <c r="AJ2529" i="4"/>
  <c r="AL2520" i="4" l="1"/>
  <c r="AK2529" i="4"/>
  <c r="AI2529" i="4"/>
  <c r="AH2530" i="4"/>
  <c r="AS114" i="4"/>
  <c r="AJ2530" i="4"/>
  <c r="AL2521" i="4" l="1"/>
  <c r="AK2530" i="4"/>
  <c r="AI2530" i="4"/>
  <c r="AH2531" i="4"/>
  <c r="AJ2531" i="4"/>
  <c r="AL2522" i="4" l="1"/>
  <c r="AK2531" i="4"/>
  <c r="AI2531" i="4"/>
  <c r="AH2532" i="4"/>
  <c r="AJ2532" i="4"/>
  <c r="AL2523" i="4" l="1"/>
  <c r="AK2532" i="4"/>
  <c r="AI2532" i="4"/>
  <c r="AH2533" i="4"/>
  <c r="AJ2533" i="4"/>
  <c r="AL2524" i="4" l="1"/>
  <c r="AK2533" i="4"/>
  <c r="AI2533" i="4"/>
  <c r="AH2534" i="4"/>
  <c r="AJ2534" i="4"/>
  <c r="AL2525" i="4" l="1"/>
  <c r="AK2534" i="4"/>
  <c r="AI2534" i="4"/>
  <c r="AH2535" i="4"/>
  <c r="AJ2535" i="4"/>
  <c r="AL2526" i="4" l="1"/>
  <c r="AK2535" i="4"/>
  <c r="AI2535" i="4"/>
  <c r="AH2536" i="4"/>
  <c r="AJ2536" i="4"/>
  <c r="AL2527" i="4" l="1"/>
  <c r="AK2536" i="4"/>
  <c r="AI2536" i="4"/>
  <c r="AH2537" i="4"/>
  <c r="AJ2537" i="4"/>
  <c r="AL2528" i="4" l="1"/>
  <c r="AK2537" i="4"/>
  <c r="AI2537" i="4"/>
  <c r="AH2538" i="4"/>
  <c r="AJ2538" i="4"/>
  <c r="AL2529" i="4" l="1"/>
  <c r="AK2538" i="4"/>
  <c r="AI2538" i="4"/>
  <c r="AH2539" i="4"/>
  <c r="AJ2539" i="4"/>
  <c r="AL2530" i="4" l="1"/>
  <c r="AK2539" i="4"/>
  <c r="AI2539" i="4"/>
  <c r="AH2540" i="4"/>
  <c r="AJ2540" i="4"/>
  <c r="AL2531" i="4" l="1"/>
  <c r="AK2540" i="4"/>
  <c r="AI2540" i="4"/>
  <c r="AH2541" i="4"/>
  <c r="AJ2541" i="4"/>
  <c r="AL2532" i="4" l="1"/>
  <c r="AK2541" i="4"/>
  <c r="AI2541" i="4"/>
  <c r="AH2542" i="4"/>
  <c r="AJ2542" i="4"/>
  <c r="AL2533" i="4" l="1"/>
  <c r="AK2542" i="4"/>
  <c r="AI2542" i="4"/>
  <c r="AH2543" i="4"/>
  <c r="AJ2543" i="4"/>
  <c r="AL2534" i="4" l="1"/>
  <c r="AK2543" i="4"/>
  <c r="AI2543" i="4"/>
  <c r="AH2544" i="4"/>
  <c r="AJ2544" i="4"/>
  <c r="AL2535" i="4" l="1"/>
  <c r="AK2544" i="4"/>
  <c r="AI2544" i="4"/>
  <c r="AH2545" i="4"/>
  <c r="AJ2545" i="4"/>
  <c r="AL2536" i="4" l="1"/>
  <c r="AK2545" i="4"/>
  <c r="AI2545" i="4"/>
  <c r="AH2546" i="4"/>
  <c r="AJ2546" i="4"/>
  <c r="AL2537" i="4" l="1"/>
  <c r="AK2546" i="4"/>
  <c r="AI2546" i="4"/>
  <c r="AH2547" i="4"/>
  <c r="AJ2547" i="4"/>
  <c r="AL2538" i="4" l="1"/>
  <c r="AK2547" i="4"/>
  <c r="AI2547" i="4"/>
  <c r="AH2548" i="4"/>
  <c r="AJ2548" i="4"/>
  <c r="AL2539" i="4" l="1"/>
  <c r="AK2548" i="4"/>
  <c r="AI2548" i="4"/>
  <c r="AH2549" i="4"/>
  <c r="AJ2549" i="4"/>
  <c r="AL2540" i="4" l="1"/>
  <c r="AK2549" i="4"/>
  <c r="AI2549" i="4"/>
  <c r="AH2550" i="4"/>
  <c r="AJ2550" i="4"/>
  <c r="AL2541" i="4" l="1"/>
  <c r="AK2550" i="4"/>
  <c r="AI2550" i="4"/>
  <c r="AH2551" i="4"/>
  <c r="AJ2551" i="4"/>
  <c r="AL2542" i="4" l="1"/>
  <c r="AK2551" i="4"/>
  <c r="AI2551" i="4"/>
  <c r="AH2552" i="4"/>
  <c r="AJ2552" i="4"/>
  <c r="AL2543" i="4" l="1"/>
  <c r="AK2552" i="4"/>
  <c r="AI2552" i="4"/>
  <c r="AH2553" i="4"/>
  <c r="AJ2553" i="4"/>
  <c r="AL2544" i="4" l="1"/>
  <c r="AK2553" i="4"/>
  <c r="AI2553" i="4"/>
  <c r="AH2554" i="4"/>
  <c r="AJ2554" i="4"/>
  <c r="AL2545" i="4" l="1"/>
  <c r="AK2554" i="4"/>
  <c r="AI2554" i="4"/>
  <c r="AH2555" i="4"/>
  <c r="AJ2555" i="4"/>
  <c r="AL2546" i="4" l="1"/>
  <c r="AK2555" i="4"/>
  <c r="AI2555" i="4"/>
  <c r="AH2556" i="4"/>
  <c r="AJ2556" i="4"/>
  <c r="AL2547" i="4" l="1"/>
  <c r="AK2556" i="4"/>
  <c r="AI2556" i="4"/>
  <c r="AH2557" i="4"/>
  <c r="AJ2557" i="4"/>
  <c r="AL2548" i="4" l="1"/>
  <c r="AK2557" i="4"/>
  <c r="AI2557" i="4"/>
  <c r="AH2558" i="4"/>
  <c r="AJ2558" i="4"/>
  <c r="AL2549" i="4" l="1"/>
  <c r="AK2558" i="4"/>
  <c r="AI2558" i="4"/>
  <c r="AH2559" i="4"/>
  <c r="AJ2559" i="4"/>
  <c r="AL2550" i="4" l="1"/>
  <c r="AK2559" i="4"/>
  <c r="AI2559" i="4"/>
  <c r="AH2560" i="4"/>
  <c r="AS115" i="4"/>
  <c r="AJ2560" i="4"/>
  <c r="AL2551" i="4" l="1"/>
  <c r="AK2560" i="4"/>
  <c r="AI2560" i="4"/>
  <c r="AH2561" i="4"/>
  <c r="AJ2561" i="4"/>
  <c r="AL2552" i="4" l="1"/>
  <c r="AK2561" i="4"/>
  <c r="AI2561" i="4"/>
  <c r="AH2562" i="4"/>
  <c r="AJ2562" i="4"/>
  <c r="AL2553" i="4" l="1"/>
  <c r="AK2562" i="4"/>
  <c r="AI2562" i="4"/>
  <c r="AH2563" i="4"/>
  <c r="AJ2563" i="4"/>
  <c r="AL2554" i="4" l="1"/>
  <c r="AK2563" i="4"/>
  <c r="AI2563" i="4"/>
  <c r="AH2564" i="4"/>
  <c r="AJ2564" i="4"/>
  <c r="AL2555" i="4" l="1"/>
  <c r="AK2564" i="4"/>
  <c r="AI2564" i="4"/>
  <c r="AH2565" i="4"/>
  <c r="AJ2565" i="4"/>
  <c r="AL2556" i="4" l="1"/>
  <c r="AK2565" i="4"/>
  <c r="AI2565" i="4"/>
  <c r="AH2566" i="4"/>
  <c r="AJ2566" i="4"/>
  <c r="AL2557" i="4" l="1"/>
  <c r="AK2566" i="4"/>
  <c r="AI2566" i="4"/>
  <c r="AH2567" i="4"/>
  <c r="AJ2567" i="4"/>
  <c r="AL2558" i="4" l="1"/>
  <c r="AK2567" i="4"/>
  <c r="AI2567" i="4"/>
  <c r="AH2568" i="4"/>
  <c r="AJ2568" i="4"/>
  <c r="AL2559" i="4" l="1"/>
  <c r="AK2568" i="4"/>
  <c r="AI2568" i="4"/>
  <c r="AH2569" i="4"/>
  <c r="AJ2569" i="4"/>
  <c r="AL2560" i="4" l="1"/>
  <c r="AK2569" i="4"/>
  <c r="AI2569" i="4"/>
  <c r="AH2570" i="4"/>
  <c r="AJ2570" i="4"/>
  <c r="AL2561" i="4" l="1"/>
  <c r="AK2570" i="4"/>
  <c r="AI2570" i="4"/>
  <c r="AH2571" i="4"/>
  <c r="AJ2571" i="4"/>
  <c r="AL2562" i="4" l="1"/>
  <c r="AK2571" i="4"/>
  <c r="AI2571" i="4"/>
  <c r="AH2572" i="4"/>
  <c r="AJ2572" i="4"/>
  <c r="AL2563" i="4" l="1"/>
  <c r="AK2572" i="4"/>
  <c r="AI2572" i="4"/>
  <c r="AH2573" i="4"/>
  <c r="AJ2573" i="4"/>
  <c r="AL2564" i="4" l="1"/>
  <c r="AK2573" i="4"/>
  <c r="AI2573" i="4"/>
  <c r="AH2574" i="4"/>
  <c r="AJ2574" i="4"/>
  <c r="AL2565" i="4" l="1"/>
  <c r="AK2574" i="4"/>
  <c r="AI2574" i="4"/>
  <c r="AH2575" i="4"/>
  <c r="AJ2575" i="4"/>
  <c r="AL2566" i="4" l="1"/>
  <c r="AK2575" i="4"/>
  <c r="AI2575" i="4"/>
  <c r="AH2576" i="4"/>
  <c r="AJ2576" i="4"/>
  <c r="AL2567" i="4" l="1"/>
  <c r="AK2576" i="4"/>
  <c r="AI2576" i="4"/>
  <c r="AH2577" i="4"/>
  <c r="AJ2577" i="4"/>
  <c r="AL2568" i="4" l="1"/>
  <c r="AK2577" i="4"/>
  <c r="AI2577" i="4"/>
  <c r="AH2578" i="4"/>
  <c r="AJ2578" i="4"/>
  <c r="AL2569" i="4" l="1"/>
  <c r="AK2578" i="4"/>
  <c r="AI2578" i="4"/>
  <c r="AH2579" i="4"/>
  <c r="AJ2579" i="4"/>
  <c r="AL2570" i="4" l="1"/>
  <c r="AK2579" i="4"/>
  <c r="AI2579" i="4"/>
  <c r="AH2580" i="4"/>
  <c r="AJ2580" i="4"/>
  <c r="AL2571" i="4" l="1"/>
  <c r="AK2580" i="4"/>
  <c r="AI2580" i="4"/>
  <c r="AH2581" i="4"/>
  <c r="AJ2581" i="4"/>
  <c r="AL2572" i="4" l="1"/>
  <c r="AK2581" i="4"/>
  <c r="AI2581" i="4"/>
  <c r="AH2582" i="4"/>
  <c r="AJ2582" i="4"/>
  <c r="AL2573" i="4" l="1"/>
  <c r="AK2582" i="4"/>
  <c r="AI2582" i="4"/>
  <c r="AH2583" i="4"/>
  <c r="AJ2583" i="4"/>
  <c r="AL2574" i="4" l="1"/>
  <c r="AK2583" i="4"/>
  <c r="AI2583" i="4"/>
  <c r="AH2584" i="4"/>
  <c r="AJ2584" i="4"/>
  <c r="AL2575" i="4" l="1"/>
  <c r="AK2584" i="4"/>
  <c r="AI2584" i="4"/>
  <c r="AH2585" i="4"/>
  <c r="AJ2585" i="4"/>
  <c r="AL2576" i="4" l="1"/>
  <c r="AK2585" i="4"/>
  <c r="AI2585" i="4"/>
  <c r="AH2586" i="4"/>
  <c r="AJ2586" i="4"/>
  <c r="AL2577" i="4" l="1"/>
  <c r="AK2586" i="4"/>
  <c r="AI2586" i="4"/>
  <c r="AH2587" i="4"/>
  <c r="AJ2587" i="4"/>
  <c r="AL2578" i="4" l="1"/>
  <c r="AK2587" i="4"/>
  <c r="AI2587" i="4"/>
  <c r="AH2588" i="4"/>
  <c r="AJ2588" i="4"/>
  <c r="AL2579" i="4" l="1"/>
  <c r="AK2588" i="4"/>
  <c r="AI2588" i="4"/>
  <c r="AH2589" i="4"/>
  <c r="AJ2589" i="4"/>
  <c r="AL2580" i="4" l="1"/>
  <c r="AK2589" i="4"/>
  <c r="AI2589" i="4"/>
  <c r="AH2590" i="4"/>
  <c r="AJ2590" i="4"/>
  <c r="AS116" i="4"/>
  <c r="AL2581" i="4" l="1"/>
  <c r="AK2590" i="4"/>
  <c r="AI2590" i="4"/>
  <c r="AH2591" i="4"/>
  <c r="AJ2591" i="4"/>
  <c r="AL2582" i="4" l="1"/>
  <c r="AK2591" i="4"/>
  <c r="AI2591" i="4"/>
  <c r="AH2592" i="4"/>
  <c r="AJ2592" i="4"/>
  <c r="AL2583" i="4" l="1"/>
  <c r="AK2592" i="4"/>
  <c r="AI2592" i="4"/>
  <c r="AH2593" i="4"/>
  <c r="AJ2593" i="4"/>
  <c r="AL2584" i="4" l="1"/>
  <c r="AK2593" i="4"/>
  <c r="AI2593" i="4"/>
  <c r="AH2594" i="4"/>
  <c r="AJ2594" i="4"/>
  <c r="AL2585" i="4" l="1"/>
  <c r="AK2594" i="4"/>
  <c r="AI2594" i="4"/>
  <c r="AH2595" i="4"/>
  <c r="AJ2595" i="4"/>
  <c r="AL2586" i="4" l="1"/>
  <c r="AK2595" i="4"/>
  <c r="AI2595" i="4"/>
  <c r="AH2596" i="4"/>
  <c r="AJ2596" i="4"/>
  <c r="AL2587" i="4" l="1"/>
  <c r="AK2596" i="4"/>
  <c r="AI2596" i="4"/>
  <c r="AH2597" i="4"/>
  <c r="AJ2597" i="4"/>
  <c r="AL2588" i="4" l="1"/>
  <c r="AK2597" i="4"/>
  <c r="AI2597" i="4"/>
  <c r="AH2598" i="4"/>
  <c r="AJ2598" i="4"/>
  <c r="AL2589" i="4" l="1"/>
  <c r="AK2598" i="4"/>
  <c r="AI2598" i="4"/>
  <c r="AH2599" i="4"/>
  <c r="AJ2599" i="4"/>
  <c r="AL2590" i="4" l="1"/>
  <c r="AK2599" i="4"/>
  <c r="AI2599" i="4"/>
  <c r="AH2600" i="4"/>
  <c r="AJ2600" i="4"/>
  <c r="AL2591" i="4" l="1"/>
  <c r="AK2600" i="4"/>
  <c r="AI2600" i="4"/>
  <c r="AH2601" i="4"/>
  <c r="AJ2601" i="4"/>
  <c r="AL2592" i="4" l="1"/>
  <c r="AK2601" i="4"/>
  <c r="AI2601" i="4"/>
  <c r="AH2602" i="4"/>
  <c r="AJ2602" i="4"/>
  <c r="AL2593" i="4" l="1"/>
  <c r="AK2602" i="4"/>
  <c r="AI2602" i="4"/>
  <c r="AH2603" i="4"/>
  <c r="AJ2603" i="4"/>
  <c r="AL2594" i="4" l="1"/>
  <c r="AK2603" i="4"/>
  <c r="AI2603" i="4"/>
  <c r="AH2604" i="4"/>
  <c r="AJ2604" i="4"/>
  <c r="AL2595" i="4" l="1"/>
  <c r="AK2604" i="4"/>
  <c r="AI2604" i="4"/>
  <c r="AH2605" i="4"/>
  <c r="AJ2605" i="4"/>
  <c r="AL2596" i="4" l="1"/>
  <c r="AK2605" i="4"/>
  <c r="AI2605" i="4"/>
  <c r="AH2606" i="4"/>
  <c r="AJ2606" i="4"/>
  <c r="AL2597" i="4" l="1"/>
  <c r="AK2606" i="4"/>
  <c r="AI2606" i="4"/>
  <c r="AH2607" i="4"/>
  <c r="AJ2607" i="4"/>
  <c r="AL2598" i="4" l="1"/>
  <c r="AK2607" i="4"/>
  <c r="AI2607" i="4"/>
  <c r="AH2608" i="4"/>
  <c r="AJ2608" i="4"/>
  <c r="AL2599" i="4" l="1"/>
  <c r="AK2608" i="4"/>
  <c r="AI2608" i="4"/>
  <c r="AH2609" i="4"/>
  <c r="AJ2609" i="4"/>
  <c r="AL2600" i="4" l="1"/>
  <c r="AK2609" i="4"/>
  <c r="AI2609" i="4"/>
  <c r="AH2610" i="4"/>
  <c r="AJ2610" i="4"/>
  <c r="AL2601" i="4" l="1"/>
  <c r="AK2610" i="4"/>
  <c r="AI2610" i="4"/>
  <c r="AH2611" i="4"/>
  <c r="AJ2611" i="4"/>
  <c r="AL2602" i="4" l="1"/>
  <c r="AK2611" i="4"/>
  <c r="AI2611" i="4"/>
  <c r="AH2612" i="4"/>
  <c r="AJ2612" i="4"/>
  <c r="AL2603" i="4" l="1"/>
  <c r="AK2612" i="4"/>
  <c r="AI2612" i="4"/>
  <c r="AH2613" i="4"/>
  <c r="AJ2613" i="4"/>
  <c r="AL2604" i="4" l="1"/>
  <c r="AK2613" i="4"/>
  <c r="AI2613" i="4"/>
  <c r="AH2614" i="4"/>
  <c r="AJ2614" i="4"/>
  <c r="AL2605" i="4" l="1"/>
  <c r="AK2614" i="4"/>
  <c r="AI2614" i="4"/>
  <c r="AH2615" i="4"/>
  <c r="AJ2615" i="4"/>
  <c r="AL2606" i="4" l="1"/>
  <c r="AK2615" i="4"/>
  <c r="AI2615" i="4"/>
  <c r="AH2616" i="4"/>
  <c r="AJ2616" i="4"/>
  <c r="AL2607" i="4" l="1"/>
  <c r="AK2616" i="4"/>
  <c r="AI2616" i="4"/>
  <c r="AH2617" i="4"/>
  <c r="AJ2617" i="4"/>
  <c r="AL2608" i="4" l="1"/>
  <c r="AK2617" i="4"/>
  <c r="AI2617" i="4"/>
  <c r="AH2618" i="4"/>
  <c r="AJ2618" i="4"/>
  <c r="AL2609" i="4" l="1"/>
  <c r="AK2618" i="4"/>
  <c r="AI2618" i="4"/>
  <c r="AH2619" i="4"/>
  <c r="AJ2619" i="4"/>
  <c r="AL2610" i="4" l="1"/>
  <c r="AK2619" i="4"/>
  <c r="AI2619" i="4"/>
  <c r="AH2620" i="4"/>
  <c r="AS117" i="4"/>
  <c r="AJ2620" i="4"/>
  <c r="AL2611" i="4" l="1"/>
  <c r="AK2620" i="4"/>
  <c r="AI2620" i="4"/>
  <c r="AH2621" i="4"/>
  <c r="AJ2621" i="4"/>
  <c r="AL2612" i="4" l="1"/>
  <c r="AK2621" i="4"/>
  <c r="AI2621" i="4"/>
  <c r="AH2622" i="4"/>
  <c r="AJ2622" i="4"/>
  <c r="AL2613" i="4" l="1"/>
  <c r="AK2622" i="4"/>
  <c r="AI2622" i="4"/>
  <c r="AH2623" i="4"/>
  <c r="AJ2623" i="4"/>
  <c r="AL2614" i="4" l="1"/>
  <c r="AK2623" i="4"/>
  <c r="AI2623" i="4"/>
  <c r="AH2624" i="4"/>
  <c r="AJ2624" i="4"/>
  <c r="AL2615" i="4" l="1"/>
  <c r="AK2624" i="4"/>
  <c r="AI2624" i="4"/>
  <c r="AH2625" i="4"/>
  <c r="AJ2625" i="4"/>
  <c r="AL2616" i="4" l="1"/>
  <c r="AK2625" i="4"/>
  <c r="AI2625" i="4"/>
  <c r="AH2626" i="4"/>
  <c r="AJ2626" i="4"/>
  <c r="AL2617" i="4" l="1"/>
  <c r="AK2626" i="4"/>
  <c r="AI2626" i="4"/>
  <c r="AH2627" i="4"/>
  <c r="AJ2627" i="4"/>
  <c r="AL2618" i="4" l="1"/>
  <c r="AK2627" i="4"/>
  <c r="AI2627" i="4"/>
  <c r="AH2628" i="4"/>
  <c r="AJ2628" i="4"/>
  <c r="AL2619" i="4" l="1"/>
  <c r="AK2628" i="4"/>
  <c r="AI2628" i="4"/>
  <c r="AH2629" i="4"/>
  <c r="AJ2629" i="4"/>
  <c r="AL2620" i="4" l="1"/>
  <c r="AK2629" i="4"/>
  <c r="AI2629" i="4"/>
  <c r="AH2630" i="4"/>
  <c r="AJ2630" i="4"/>
  <c r="AL2621" i="4" l="1"/>
  <c r="AK2630" i="4"/>
  <c r="AI2630" i="4"/>
  <c r="AH2631" i="4"/>
  <c r="AJ2631" i="4"/>
  <c r="AL2622" i="4" l="1"/>
  <c r="AK2631" i="4"/>
  <c r="AI2631" i="4"/>
  <c r="AH2632" i="4"/>
  <c r="AJ2632" i="4"/>
  <c r="AL2623" i="4" l="1"/>
  <c r="AK2632" i="4"/>
  <c r="AI2632" i="4"/>
  <c r="AH2633" i="4"/>
  <c r="AJ2633" i="4"/>
  <c r="AL2624" i="4" l="1"/>
  <c r="AK2633" i="4"/>
  <c r="AI2633" i="4"/>
  <c r="AH2634" i="4"/>
  <c r="AJ2634" i="4"/>
  <c r="AL2625" i="4" l="1"/>
  <c r="AK2634" i="4"/>
  <c r="AI2634" i="4"/>
  <c r="AH2635" i="4"/>
  <c r="AJ2635" i="4"/>
  <c r="AL2626" i="4" l="1"/>
  <c r="AK2635" i="4"/>
  <c r="AI2635" i="4"/>
  <c r="AH2636" i="4"/>
  <c r="AJ2636" i="4"/>
  <c r="AL2627" i="4" l="1"/>
  <c r="AK2636" i="4"/>
  <c r="AI2636" i="4"/>
  <c r="AH2637" i="4"/>
  <c r="AJ2637" i="4"/>
  <c r="AL2628" i="4" l="1"/>
  <c r="AK2637" i="4"/>
  <c r="AI2637" i="4"/>
  <c r="AH2638" i="4"/>
  <c r="AJ2638" i="4"/>
  <c r="AL2629" i="4" l="1"/>
  <c r="AK2638" i="4"/>
  <c r="AI2638" i="4"/>
  <c r="AH2639" i="4"/>
  <c r="AJ2639" i="4"/>
  <c r="AL2630" i="4" l="1"/>
  <c r="AK2639" i="4"/>
  <c r="AI2639" i="4"/>
  <c r="AH2640" i="4"/>
  <c r="AJ2640" i="4"/>
  <c r="AL2631" i="4" l="1"/>
  <c r="AK2640" i="4"/>
  <c r="AI2640" i="4"/>
  <c r="AH2641" i="4"/>
  <c r="AJ2641" i="4"/>
  <c r="AL2632" i="4" l="1"/>
  <c r="AK2641" i="4"/>
  <c r="AI2641" i="4"/>
  <c r="AH2642" i="4"/>
  <c r="AJ2642" i="4"/>
  <c r="AL2633" i="4" l="1"/>
  <c r="AK2642" i="4"/>
  <c r="AI2642" i="4"/>
  <c r="AH2643" i="4"/>
  <c r="AJ2643" i="4"/>
  <c r="AL2634" i="4" l="1"/>
  <c r="AK2643" i="4"/>
  <c r="AI2643" i="4"/>
  <c r="AH2644" i="4"/>
  <c r="AJ2644" i="4"/>
  <c r="AL2635" i="4" l="1"/>
  <c r="AK2644" i="4"/>
  <c r="AI2644" i="4"/>
  <c r="AH2645" i="4"/>
  <c r="AJ2645" i="4"/>
  <c r="AL2636" i="4" l="1"/>
  <c r="AK2645" i="4"/>
  <c r="AI2645" i="4"/>
  <c r="AH2646" i="4"/>
  <c r="AJ2646" i="4"/>
  <c r="AL2637" i="4" l="1"/>
  <c r="AK2646" i="4"/>
  <c r="AI2646" i="4"/>
  <c r="AH2647" i="4"/>
  <c r="AJ2647" i="4"/>
  <c r="AL2638" i="4" l="1"/>
  <c r="AK2647" i="4"/>
  <c r="AI2647" i="4"/>
  <c r="AH2648" i="4"/>
  <c r="AJ2648" i="4"/>
  <c r="AL2639" i="4" l="1"/>
  <c r="AK2648" i="4"/>
  <c r="AI2648" i="4"/>
  <c r="AH2649" i="4"/>
  <c r="AJ2649" i="4"/>
  <c r="AL2640" i="4" l="1"/>
  <c r="AK2649" i="4"/>
  <c r="AI2649" i="4"/>
  <c r="AH2650" i="4"/>
  <c r="AS118" i="4"/>
  <c r="AJ2650" i="4"/>
  <c r="AL2641" i="4" l="1"/>
  <c r="AK2650" i="4"/>
  <c r="AI2650" i="4"/>
  <c r="AH2651" i="4"/>
  <c r="AJ2651" i="4"/>
  <c r="AL2642" i="4" l="1"/>
  <c r="AK2651" i="4"/>
  <c r="AI2651" i="4"/>
  <c r="AH2652" i="4"/>
  <c r="AJ2652" i="4"/>
  <c r="AL2643" i="4" l="1"/>
  <c r="AK2652" i="4"/>
  <c r="AI2652" i="4"/>
  <c r="AH2653" i="4"/>
  <c r="AJ2653" i="4"/>
  <c r="AL2644" i="4" l="1"/>
  <c r="AK2653" i="4"/>
  <c r="AI2653" i="4"/>
  <c r="AH2654" i="4"/>
  <c r="AJ2654" i="4"/>
  <c r="AL2645" i="4" l="1"/>
  <c r="AK2654" i="4"/>
  <c r="AI2654" i="4"/>
  <c r="AH2655" i="4"/>
  <c r="AJ2655" i="4"/>
  <c r="AL2646" i="4" l="1"/>
  <c r="AK2655" i="4"/>
  <c r="AI2655" i="4"/>
  <c r="AH2656" i="4"/>
  <c r="AJ2656" i="4"/>
  <c r="AL2647" i="4" l="1"/>
  <c r="AK2656" i="4"/>
  <c r="AI2656" i="4"/>
  <c r="AH2657" i="4"/>
  <c r="AJ2657" i="4"/>
  <c r="AL2648" i="4" l="1"/>
  <c r="AK2657" i="4"/>
  <c r="AI2657" i="4"/>
  <c r="AH2658" i="4"/>
  <c r="AJ2658" i="4"/>
  <c r="AL2649" i="4" l="1"/>
  <c r="AK2658" i="4"/>
  <c r="AI2658" i="4"/>
  <c r="AH2659" i="4"/>
  <c r="AJ2659" i="4"/>
  <c r="AL2650" i="4" l="1"/>
  <c r="AK2659" i="4"/>
  <c r="AI2659" i="4"/>
  <c r="AH2660" i="4"/>
  <c r="AJ2660" i="4"/>
  <c r="AL2651" i="4" l="1"/>
  <c r="AK2660" i="4"/>
  <c r="AI2660" i="4"/>
  <c r="AH2661" i="4"/>
  <c r="AJ2661" i="4"/>
  <c r="AL2652" i="4" l="1"/>
  <c r="AK2661" i="4"/>
  <c r="AI2661" i="4"/>
  <c r="AH2662" i="4"/>
  <c r="AJ2662" i="4"/>
  <c r="AL2653" i="4" l="1"/>
  <c r="AK2662" i="4"/>
  <c r="AI2662" i="4"/>
  <c r="AH2663" i="4"/>
  <c r="AJ2663" i="4"/>
  <c r="AL2654" i="4" l="1"/>
  <c r="AK2663" i="4"/>
  <c r="AI2663" i="4"/>
  <c r="AH2664" i="4"/>
  <c r="AJ2664" i="4"/>
  <c r="AL2655" i="4" l="1"/>
  <c r="AK2664" i="4"/>
  <c r="AI2664" i="4"/>
  <c r="AH2665" i="4"/>
  <c r="AJ2665" i="4"/>
  <c r="AL2656" i="4" l="1"/>
  <c r="AK2665" i="4"/>
  <c r="AI2665" i="4"/>
  <c r="AH2666" i="4"/>
  <c r="AJ2666" i="4"/>
  <c r="AL2657" i="4" l="1"/>
  <c r="AK2666" i="4"/>
  <c r="AI2666" i="4"/>
  <c r="AH2667" i="4"/>
  <c r="AJ2667" i="4"/>
  <c r="AL2658" i="4" l="1"/>
  <c r="AK2667" i="4"/>
  <c r="AI2667" i="4"/>
  <c r="AH2668" i="4"/>
  <c r="AJ2668" i="4"/>
  <c r="AL2659" i="4" l="1"/>
  <c r="AK2668" i="4"/>
  <c r="AI2668" i="4"/>
  <c r="AH2669" i="4"/>
  <c r="AJ2669" i="4"/>
  <c r="AL2660" i="4" l="1"/>
  <c r="AK2669" i="4"/>
  <c r="AI2669" i="4"/>
  <c r="AH2670" i="4"/>
  <c r="AJ2670" i="4"/>
  <c r="AL2661" i="4" l="1"/>
  <c r="AK2670" i="4"/>
  <c r="AI2670" i="4"/>
  <c r="AH2671" i="4"/>
  <c r="AJ2671" i="4"/>
  <c r="AL2662" i="4" l="1"/>
  <c r="AK2671" i="4"/>
  <c r="AI2671" i="4"/>
  <c r="AH2672" i="4"/>
  <c r="AJ2672" i="4"/>
  <c r="AL2663" i="4" l="1"/>
  <c r="AK2672" i="4"/>
  <c r="AI2672" i="4"/>
  <c r="AH2673" i="4"/>
  <c r="AJ2673" i="4"/>
  <c r="AL2664" i="4" l="1"/>
  <c r="AK2673" i="4"/>
  <c r="AI2673" i="4"/>
  <c r="AH2674" i="4"/>
  <c r="AJ2674" i="4"/>
  <c r="AL2665" i="4" l="1"/>
  <c r="AK2674" i="4"/>
  <c r="AI2674" i="4"/>
  <c r="AH2675" i="4"/>
  <c r="AJ2675" i="4"/>
  <c r="AL2666" i="4" l="1"/>
  <c r="AK2675" i="4"/>
  <c r="AI2675" i="4"/>
  <c r="AH2676" i="4"/>
  <c r="AJ2676" i="4"/>
  <c r="AL2667" i="4" l="1"/>
  <c r="AK2676" i="4"/>
  <c r="AI2676" i="4"/>
  <c r="AH2677" i="4"/>
  <c r="AJ2677" i="4"/>
  <c r="AL2668" i="4" l="1"/>
  <c r="AK2677" i="4"/>
  <c r="AI2677" i="4"/>
  <c r="AH2678" i="4"/>
  <c r="AJ2678" i="4"/>
  <c r="AL2669" i="4" l="1"/>
  <c r="AK2678" i="4"/>
  <c r="AI2678" i="4"/>
  <c r="AH2679" i="4"/>
  <c r="AJ2679" i="4"/>
  <c r="AL2670" i="4" l="1"/>
  <c r="AK2679" i="4"/>
  <c r="AI2679" i="4"/>
  <c r="AH2680" i="4"/>
  <c r="AS119" i="4"/>
  <c r="AJ2680" i="4"/>
  <c r="AL2671" i="4" l="1"/>
  <c r="AK2680" i="4"/>
  <c r="AI2680" i="4"/>
  <c r="AH2681" i="4"/>
  <c r="AJ2681" i="4"/>
  <c r="AL2672" i="4" l="1"/>
  <c r="AK2681" i="4"/>
  <c r="AI2681" i="4"/>
  <c r="AH2682" i="4"/>
  <c r="AJ2682" i="4"/>
  <c r="AL2673" i="4" l="1"/>
  <c r="AK2682" i="4"/>
  <c r="AI2682" i="4"/>
  <c r="AH2683" i="4"/>
  <c r="AJ2683" i="4"/>
  <c r="AL2674" i="4" l="1"/>
  <c r="AK2683" i="4"/>
  <c r="AI2683" i="4"/>
  <c r="AH2684" i="4"/>
  <c r="AJ2684" i="4"/>
  <c r="AL2675" i="4" l="1"/>
  <c r="AK2684" i="4"/>
  <c r="AI2684" i="4"/>
  <c r="AH2685" i="4"/>
  <c r="AJ2685" i="4"/>
  <c r="AL2676" i="4" l="1"/>
  <c r="AK2685" i="4"/>
  <c r="AI2685" i="4"/>
  <c r="AH2686" i="4"/>
  <c r="AJ2686" i="4"/>
  <c r="AL2677" i="4" l="1"/>
  <c r="AK2686" i="4"/>
  <c r="AI2686" i="4"/>
  <c r="AH2687" i="4"/>
  <c r="AJ2687" i="4"/>
  <c r="AL2678" i="4" l="1"/>
  <c r="AK2687" i="4"/>
  <c r="AI2687" i="4"/>
  <c r="AH2688" i="4"/>
  <c r="AJ2688" i="4"/>
  <c r="AL2679" i="4" l="1"/>
  <c r="AK2688" i="4"/>
  <c r="AI2688" i="4"/>
  <c r="AH2689" i="4"/>
  <c r="AJ2689" i="4"/>
  <c r="AL2680" i="4" l="1"/>
  <c r="AK2689" i="4"/>
  <c r="AI2689" i="4"/>
  <c r="AH2690" i="4"/>
  <c r="AJ2690" i="4"/>
  <c r="AL2681" i="4" l="1"/>
  <c r="AK2690" i="4"/>
  <c r="AI2690" i="4"/>
  <c r="AH2691" i="4"/>
  <c r="AJ2691" i="4"/>
  <c r="AL2682" i="4" l="1"/>
  <c r="AK2691" i="4"/>
  <c r="AI2691" i="4"/>
  <c r="AH2692" i="4"/>
  <c r="AJ2692" i="4"/>
  <c r="AL2683" i="4" l="1"/>
  <c r="AK2692" i="4"/>
  <c r="AI2692" i="4"/>
  <c r="AH2693" i="4"/>
  <c r="AJ2693" i="4"/>
  <c r="AL2684" i="4" l="1"/>
  <c r="AK2693" i="4"/>
  <c r="AI2693" i="4"/>
  <c r="AH2694" i="4"/>
  <c r="AJ2694" i="4"/>
  <c r="AL2685" i="4" l="1"/>
  <c r="AK2694" i="4"/>
  <c r="AI2694" i="4"/>
  <c r="AH2695" i="4"/>
  <c r="AJ2695" i="4"/>
  <c r="AL2686" i="4" l="1"/>
  <c r="AK2695" i="4"/>
  <c r="AI2695" i="4"/>
  <c r="AH2696" i="4"/>
  <c r="AJ2696" i="4"/>
  <c r="AL2687" i="4" l="1"/>
  <c r="AK2696" i="4"/>
  <c r="AI2696" i="4"/>
  <c r="AH2697" i="4"/>
  <c r="AJ2697" i="4"/>
  <c r="AL2688" i="4" l="1"/>
  <c r="AK2697" i="4"/>
  <c r="AI2697" i="4"/>
  <c r="AH2698" i="4"/>
  <c r="AJ2698" i="4"/>
  <c r="AL2689" i="4" l="1"/>
  <c r="AK2698" i="4"/>
  <c r="AI2698" i="4"/>
  <c r="AH2699" i="4"/>
  <c r="AJ2699" i="4"/>
  <c r="AL2690" i="4" l="1"/>
  <c r="AK2699" i="4"/>
  <c r="AI2699" i="4"/>
  <c r="AH2700" i="4"/>
  <c r="AJ2700" i="4"/>
  <c r="AL2691" i="4" l="1"/>
  <c r="AK2700" i="4"/>
  <c r="AI2700" i="4"/>
  <c r="AH2701" i="4"/>
  <c r="AJ2701" i="4"/>
  <c r="AL2692" i="4" l="1"/>
  <c r="AK2701" i="4"/>
  <c r="AI2701" i="4"/>
  <c r="AH2702" i="4"/>
  <c r="AJ2702" i="4"/>
  <c r="AL2693" i="4" l="1"/>
  <c r="AK2702" i="4"/>
  <c r="AI2702" i="4"/>
  <c r="AH2703" i="4"/>
  <c r="AJ2703" i="4"/>
  <c r="AL2694" i="4" l="1"/>
  <c r="AK2703" i="4"/>
  <c r="AI2703" i="4"/>
  <c r="AH2704" i="4"/>
  <c r="AJ2704" i="4"/>
  <c r="AL2695" i="4" l="1"/>
  <c r="AK2704" i="4"/>
  <c r="AI2704" i="4"/>
  <c r="AH2705" i="4"/>
  <c r="AJ2705" i="4"/>
  <c r="AL2696" i="4" l="1"/>
  <c r="AK2705" i="4"/>
  <c r="AI2705" i="4"/>
  <c r="AH2706" i="4"/>
  <c r="AJ2706" i="4"/>
  <c r="AL2697" i="4" l="1"/>
  <c r="AK2706" i="4"/>
  <c r="AI2706" i="4"/>
  <c r="AH2707" i="4"/>
  <c r="AJ2707" i="4"/>
  <c r="AL2698" i="4" l="1"/>
  <c r="AK2707" i="4"/>
  <c r="AI2707" i="4"/>
  <c r="AH2708" i="4"/>
  <c r="AJ2708" i="4"/>
  <c r="AL2699" i="4" l="1"/>
  <c r="AK2708" i="4"/>
  <c r="AI2708" i="4"/>
  <c r="AH2709" i="4"/>
  <c r="AJ2709" i="4"/>
  <c r="AL2700" i="4" l="1"/>
  <c r="AK2709" i="4"/>
  <c r="AI2709" i="4"/>
  <c r="AH2710" i="4"/>
  <c r="AS120" i="4"/>
  <c r="AJ2710" i="4"/>
  <c r="AL2701" i="4" l="1"/>
  <c r="AK2710" i="4"/>
  <c r="AI2710" i="4"/>
  <c r="AH2711" i="4"/>
  <c r="AJ2711" i="4"/>
  <c r="AL2702" i="4" l="1"/>
  <c r="AK2711" i="4"/>
  <c r="AI2711" i="4"/>
  <c r="AH2712" i="4"/>
  <c r="AJ2712" i="4"/>
  <c r="AL2703" i="4" l="1"/>
  <c r="AK2712" i="4"/>
  <c r="AI2712" i="4"/>
  <c r="AH2713" i="4"/>
  <c r="AJ2713" i="4"/>
  <c r="AL2704" i="4" l="1"/>
  <c r="AK2713" i="4"/>
  <c r="AI2713" i="4"/>
  <c r="AH2714" i="4"/>
  <c r="AJ2714" i="4"/>
  <c r="AL2705" i="4" l="1"/>
  <c r="AK2714" i="4"/>
  <c r="AI2714" i="4"/>
  <c r="AH2715" i="4"/>
  <c r="AJ2715" i="4"/>
  <c r="AL2706" i="4" l="1"/>
  <c r="AK2715" i="4"/>
  <c r="AI2715" i="4"/>
  <c r="AH2716" i="4"/>
  <c r="AJ2716" i="4"/>
  <c r="AL2707" i="4" l="1"/>
  <c r="AK2716" i="4"/>
  <c r="AI2716" i="4"/>
  <c r="AH2717" i="4"/>
  <c r="AJ2717" i="4"/>
  <c r="AL2708" i="4" l="1"/>
  <c r="AK2717" i="4"/>
  <c r="AI2717" i="4"/>
  <c r="AH2718" i="4"/>
  <c r="AJ2718" i="4"/>
  <c r="AL2709" i="4" l="1"/>
  <c r="AK2718" i="4"/>
  <c r="AI2718" i="4"/>
  <c r="AH2719" i="4"/>
  <c r="AJ2719" i="4"/>
  <c r="AL2710" i="4" l="1"/>
  <c r="AK2719" i="4"/>
  <c r="AI2719" i="4"/>
  <c r="AH2720" i="4"/>
  <c r="AJ2720" i="4"/>
  <c r="AL2711" i="4" l="1"/>
  <c r="AK2720" i="4"/>
  <c r="AI2720" i="4"/>
  <c r="AH2721" i="4"/>
  <c r="AJ2721" i="4"/>
  <c r="AL2712" i="4" l="1"/>
  <c r="AK2721" i="4"/>
  <c r="AI2721" i="4"/>
  <c r="AH2722" i="4"/>
  <c r="AJ2722" i="4"/>
  <c r="AL2713" i="4" l="1"/>
  <c r="AK2722" i="4"/>
  <c r="AI2722" i="4"/>
  <c r="AH2723" i="4"/>
  <c r="AJ2723" i="4"/>
  <c r="AL2714" i="4" l="1"/>
  <c r="AK2723" i="4"/>
  <c r="AI2723" i="4"/>
  <c r="AH2724" i="4"/>
  <c r="AJ2724" i="4"/>
  <c r="AL2715" i="4" l="1"/>
  <c r="AK2724" i="4"/>
  <c r="AI2724" i="4"/>
  <c r="AH2725" i="4"/>
  <c r="AJ2725" i="4"/>
  <c r="AL2716" i="4" l="1"/>
  <c r="AK2725" i="4"/>
  <c r="AI2725" i="4"/>
  <c r="AH2726" i="4"/>
  <c r="AJ2726" i="4"/>
  <c r="AL2717" i="4" l="1"/>
  <c r="AK2726" i="4"/>
  <c r="AI2726" i="4"/>
  <c r="AH2727" i="4"/>
  <c r="AJ2727" i="4"/>
  <c r="AL2718" i="4" l="1"/>
  <c r="AK2727" i="4"/>
  <c r="AI2727" i="4"/>
  <c r="AH2728" i="4"/>
  <c r="AJ2728" i="4"/>
  <c r="AL2719" i="4" l="1"/>
  <c r="AK2728" i="4"/>
  <c r="AI2728" i="4"/>
  <c r="AH2729" i="4"/>
  <c r="AJ2729" i="4"/>
  <c r="AL2720" i="4" l="1"/>
  <c r="AK2729" i="4"/>
  <c r="AI2729" i="4"/>
  <c r="AH2730" i="4"/>
  <c r="AJ2730" i="4"/>
  <c r="AL2721" i="4" l="1"/>
  <c r="AK2730" i="4"/>
  <c r="AI2730" i="4"/>
  <c r="AH2731" i="4"/>
  <c r="AJ2731" i="4"/>
  <c r="AL2722" i="4" l="1"/>
  <c r="AK2731" i="4"/>
  <c r="AI2731" i="4"/>
  <c r="AH2732" i="4"/>
  <c r="AJ2732" i="4"/>
  <c r="AL2723" i="4" l="1"/>
  <c r="AK2732" i="4"/>
  <c r="AI2732" i="4"/>
  <c r="AH2733" i="4"/>
  <c r="AJ2733" i="4"/>
  <c r="AL2724" i="4" l="1"/>
  <c r="AK2733" i="4"/>
  <c r="AI2733" i="4"/>
  <c r="AH2734" i="4"/>
  <c r="AJ2734" i="4"/>
  <c r="AL2725" i="4" l="1"/>
  <c r="AK2734" i="4"/>
  <c r="AI2734" i="4"/>
  <c r="AH2735" i="4"/>
  <c r="AJ2735" i="4"/>
  <c r="AL2726" i="4" l="1"/>
  <c r="AK2735" i="4"/>
  <c r="AI2735" i="4"/>
  <c r="AH2736" i="4"/>
  <c r="AJ2736" i="4"/>
  <c r="AL2727" i="4" l="1"/>
  <c r="AK2736" i="4"/>
  <c r="AI2736" i="4"/>
  <c r="AH2737" i="4"/>
  <c r="AJ2737" i="4"/>
  <c r="AL2728" i="4" l="1"/>
  <c r="AK2737" i="4"/>
  <c r="AI2737" i="4"/>
  <c r="AH2738" i="4"/>
  <c r="AJ2738" i="4"/>
  <c r="AL2729" i="4" l="1"/>
  <c r="AK2738" i="4"/>
  <c r="AI2738" i="4"/>
  <c r="AH2739" i="4"/>
  <c r="AJ2739" i="4"/>
  <c r="AL2730" i="4" l="1"/>
  <c r="AK2739" i="4"/>
  <c r="AI2739" i="4"/>
  <c r="AH2740" i="4"/>
  <c r="AJ2740" i="4"/>
  <c r="AS121" i="4"/>
  <c r="AL2731" i="4" l="1"/>
  <c r="AK2740" i="4"/>
  <c r="AI2740" i="4"/>
  <c r="AH2741" i="4"/>
  <c r="AJ2741" i="4"/>
  <c r="AL2732" i="4" l="1"/>
  <c r="AK2741" i="4"/>
  <c r="AI2741" i="4"/>
  <c r="AH2742" i="4"/>
  <c r="AJ2742" i="4"/>
  <c r="AL2733" i="4" l="1"/>
  <c r="AK2742" i="4"/>
  <c r="AI2742" i="4"/>
  <c r="AH2743" i="4"/>
  <c r="AJ2743" i="4"/>
  <c r="AL2734" i="4" l="1"/>
  <c r="AK2743" i="4"/>
  <c r="AI2743" i="4"/>
  <c r="AH2744" i="4"/>
  <c r="AJ2744" i="4"/>
  <c r="AL2735" i="4" l="1"/>
  <c r="AK2744" i="4"/>
  <c r="AI2744" i="4"/>
  <c r="AH2745" i="4"/>
  <c r="AJ2745" i="4"/>
  <c r="AL2736" i="4" l="1"/>
  <c r="AK2745" i="4"/>
  <c r="AI2745" i="4"/>
  <c r="AH2746" i="4"/>
  <c r="AJ2746" i="4"/>
  <c r="AL2737" i="4" l="1"/>
  <c r="AK2746" i="4"/>
  <c r="AI2746" i="4"/>
  <c r="AH2747" i="4"/>
  <c r="AJ2747" i="4"/>
  <c r="AL2738" i="4" l="1"/>
  <c r="AK2747" i="4"/>
  <c r="AI2747" i="4"/>
  <c r="AH2748" i="4"/>
  <c r="AJ2748" i="4"/>
  <c r="AL2739" i="4" l="1"/>
  <c r="AK2748" i="4"/>
  <c r="AI2748" i="4"/>
  <c r="AH2749" i="4"/>
  <c r="AJ2749" i="4"/>
  <c r="AL2740" i="4" l="1"/>
  <c r="AK2749" i="4"/>
  <c r="AI2749" i="4"/>
  <c r="AH2750" i="4"/>
  <c r="AJ2750" i="4"/>
  <c r="AL2741" i="4" l="1"/>
  <c r="AK2750" i="4"/>
  <c r="AI2750" i="4"/>
  <c r="AH2751" i="4"/>
  <c r="AJ2751" i="4"/>
  <c r="AL2742" i="4" l="1"/>
  <c r="AK2751" i="4"/>
  <c r="AI2751" i="4"/>
  <c r="AH2752" i="4"/>
  <c r="AJ2752" i="4"/>
  <c r="AL2743" i="4" l="1"/>
  <c r="AK2752" i="4"/>
  <c r="AI2752" i="4"/>
  <c r="AH2753" i="4"/>
  <c r="AJ2753" i="4"/>
  <c r="AL2744" i="4" l="1"/>
  <c r="AK2753" i="4"/>
  <c r="AI2753" i="4"/>
  <c r="AH2754" i="4"/>
  <c r="AJ2754" i="4"/>
  <c r="AL2745" i="4" l="1"/>
  <c r="AK2754" i="4"/>
  <c r="AI2754" i="4"/>
  <c r="AH2755" i="4"/>
  <c r="AJ2755" i="4"/>
  <c r="AL2746" i="4" l="1"/>
  <c r="AK2755" i="4"/>
  <c r="AI2755" i="4"/>
  <c r="AH2756" i="4"/>
  <c r="AJ2756" i="4"/>
  <c r="AL2747" i="4" l="1"/>
  <c r="AK2756" i="4"/>
  <c r="AI2756" i="4"/>
  <c r="AH2757" i="4"/>
  <c r="AJ2757" i="4"/>
  <c r="AL2748" i="4" l="1"/>
  <c r="AK2757" i="4"/>
  <c r="AI2757" i="4"/>
  <c r="AH2758" i="4"/>
  <c r="AJ2758" i="4"/>
  <c r="AL2749" i="4" l="1"/>
  <c r="AK2758" i="4"/>
  <c r="AI2758" i="4"/>
  <c r="AH2759" i="4"/>
  <c r="AJ2759" i="4"/>
  <c r="AL2750" i="4" l="1"/>
  <c r="AK2759" i="4"/>
  <c r="AI2759" i="4"/>
  <c r="AH2760" i="4"/>
  <c r="AJ2760" i="4"/>
  <c r="AL2751" i="4" l="1"/>
  <c r="AK2760" i="4"/>
  <c r="AI2760" i="4"/>
  <c r="AH2761" i="4"/>
  <c r="AJ2761" i="4"/>
  <c r="AL2752" i="4" l="1"/>
  <c r="AK2761" i="4"/>
  <c r="AI2761" i="4"/>
  <c r="AH2762" i="4"/>
  <c r="AJ2762" i="4"/>
  <c r="AL2753" i="4" l="1"/>
  <c r="AK2762" i="4"/>
  <c r="AI2762" i="4"/>
  <c r="AH2763" i="4"/>
  <c r="AJ2763" i="4"/>
  <c r="AL2754" i="4" l="1"/>
  <c r="AK2763" i="4"/>
  <c r="AI2763" i="4"/>
  <c r="AH2764" i="4"/>
  <c r="AJ2764" i="4"/>
  <c r="AL2755" i="4" l="1"/>
  <c r="AK2764" i="4"/>
  <c r="AI2764" i="4"/>
  <c r="AH2765" i="4"/>
  <c r="AJ2765" i="4"/>
  <c r="AL2756" i="4" l="1"/>
  <c r="AK2765" i="4"/>
  <c r="AI2765" i="4"/>
  <c r="AH2766" i="4"/>
  <c r="AJ2766" i="4"/>
  <c r="AL2757" i="4" l="1"/>
  <c r="AK2766" i="4"/>
  <c r="AI2766" i="4"/>
  <c r="AH2767" i="4"/>
  <c r="AJ2767" i="4"/>
  <c r="AL2758" i="4" l="1"/>
  <c r="AK2767" i="4"/>
  <c r="AI2767" i="4"/>
  <c r="AH2768" i="4"/>
  <c r="AJ2768" i="4"/>
  <c r="AL2759" i="4" l="1"/>
  <c r="AK2768" i="4"/>
  <c r="AI2768" i="4"/>
  <c r="AH2769" i="4"/>
  <c r="AJ2769" i="4"/>
  <c r="AL2760" i="4" l="1"/>
  <c r="AK2769" i="4"/>
  <c r="AI2769" i="4"/>
  <c r="AH2770" i="4"/>
  <c r="AS122" i="4"/>
  <c r="AJ2770" i="4"/>
  <c r="AL2761" i="4" l="1"/>
  <c r="AK2770" i="4"/>
  <c r="AI2770" i="4"/>
  <c r="AH2771" i="4"/>
  <c r="AJ2771" i="4"/>
  <c r="AL2762" i="4" l="1"/>
  <c r="AK2771" i="4"/>
  <c r="AI2771" i="4"/>
  <c r="AH2772" i="4"/>
  <c r="AJ2772" i="4"/>
  <c r="AL2763" i="4" l="1"/>
  <c r="AK2772" i="4"/>
  <c r="AI2772" i="4"/>
  <c r="AH2773" i="4"/>
  <c r="AJ2773" i="4"/>
  <c r="AL2764" i="4" l="1"/>
  <c r="AK2773" i="4"/>
  <c r="AI2773" i="4"/>
  <c r="AH2774" i="4"/>
  <c r="AJ2774" i="4"/>
  <c r="AL2765" i="4" l="1"/>
  <c r="AK2774" i="4"/>
  <c r="AI2774" i="4"/>
  <c r="AH2775" i="4"/>
  <c r="AJ2775" i="4"/>
  <c r="AL2766" i="4" l="1"/>
  <c r="AK2775" i="4"/>
  <c r="AI2775" i="4"/>
  <c r="AH2776" i="4"/>
  <c r="AJ2776" i="4"/>
  <c r="AL2767" i="4" l="1"/>
  <c r="AK2776" i="4"/>
  <c r="AI2776" i="4"/>
  <c r="AH2777" i="4"/>
  <c r="AJ2777" i="4"/>
  <c r="AL2768" i="4" l="1"/>
  <c r="AK2777" i="4"/>
  <c r="AI2777" i="4"/>
  <c r="AH2778" i="4"/>
  <c r="AJ2778" i="4"/>
  <c r="AL2769" i="4" l="1"/>
  <c r="AK2778" i="4"/>
  <c r="AI2778" i="4"/>
  <c r="AH2779" i="4"/>
  <c r="AJ2779" i="4"/>
  <c r="AL2770" i="4" l="1"/>
  <c r="AK2779" i="4"/>
  <c r="AI2779" i="4"/>
  <c r="AH2780" i="4"/>
  <c r="AJ2780" i="4"/>
  <c r="AL2771" i="4" l="1"/>
  <c r="AK2780" i="4"/>
  <c r="AI2780" i="4"/>
  <c r="AH2781" i="4"/>
  <c r="AJ2781" i="4"/>
  <c r="AL2772" i="4" l="1"/>
  <c r="AK2781" i="4"/>
  <c r="AI2781" i="4"/>
  <c r="AH2782" i="4"/>
  <c r="AJ2782" i="4"/>
  <c r="AL2773" i="4" l="1"/>
  <c r="AK2782" i="4"/>
  <c r="AI2782" i="4"/>
  <c r="AH2783" i="4"/>
  <c r="AJ2783" i="4"/>
  <c r="AL2774" i="4" l="1"/>
  <c r="AK2783" i="4"/>
  <c r="AI2783" i="4"/>
  <c r="AH2784" i="4"/>
  <c r="AJ2784" i="4"/>
  <c r="AL2775" i="4" l="1"/>
  <c r="AK2784" i="4"/>
  <c r="AI2784" i="4"/>
  <c r="AH2785" i="4"/>
  <c r="AJ2785" i="4"/>
  <c r="AL2776" i="4" l="1"/>
  <c r="AK2785" i="4"/>
  <c r="AI2785" i="4"/>
  <c r="AH2786" i="4"/>
  <c r="AJ2786" i="4"/>
  <c r="AL2777" i="4" l="1"/>
  <c r="AK2786" i="4"/>
  <c r="AI2786" i="4"/>
  <c r="AH2787" i="4"/>
  <c r="AJ2787" i="4"/>
  <c r="AL2778" i="4" l="1"/>
  <c r="AK2787" i="4"/>
  <c r="AI2787" i="4"/>
  <c r="AH2788" i="4"/>
  <c r="AJ2788" i="4"/>
  <c r="AL2779" i="4" l="1"/>
  <c r="AK2788" i="4"/>
  <c r="AI2788" i="4"/>
  <c r="AH2789" i="4"/>
  <c r="AJ2789" i="4"/>
  <c r="AL2780" i="4" l="1"/>
  <c r="AK2789" i="4"/>
  <c r="AI2789" i="4"/>
  <c r="AH2790" i="4"/>
  <c r="AJ2790" i="4"/>
  <c r="AL2781" i="4" l="1"/>
  <c r="AK2790" i="4"/>
  <c r="AI2790" i="4"/>
  <c r="AH2791" i="4"/>
  <c r="AJ2791" i="4"/>
  <c r="AL2782" i="4" l="1"/>
  <c r="AK2791" i="4"/>
  <c r="AI2791" i="4"/>
  <c r="AH2792" i="4"/>
  <c r="AJ2792" i="4"/>
  <c r="AL2783" i="4" l="1"/>
  <c r="AK2792" i="4"/>
  <c r="AI2792" i="4"/>
  <c r="AH2793" i="4"/>
  <c r="AJ2793" i="4"/>
  <c r="AL2784" i="4" l="1"/>
  <c r="AK2793" i="4"/>
  <c r="AI2793" i="4"/>
  <c r="AH2794" i="4"/>
  <c r="AJ2794" i="4"/>
  <c r="AL2785" i="4" l="1"/>
  <c r="AK2794" i="4"/>
  <c r="AI2794" i="4"/>
  <c r="AH2795" i="4"/>
  <c r="AJ2795" i="4"/>
  <c r="AL2786" i="4" l="1"/>
  <c r="AK2795" i="4"/>
  <c r="AI2795" i="4"/>
  <c r="AH2796" i="4"/>
  <c r="AJ2796" i="4"/>
  <c r="AL2787" i="4" l="1"/>
  <c r="AK2796" i="4"/>
  <c r="AI2796" i="4"/>
  <c r="AH2797" i="4"/>
  <c r="AJ2797" i="4"/>
  <c r="AL2788" i="4" l="1"/>
  <c r="AK2797" i="4"/>
  <c r="AI2797" i="4"/>
  <c r="AH2798" i="4"/>
  <c r="AJ2798" i="4"/>
  <c r="AL2789" i="4" l="1"/>
  <c r="AK2798" i="4"/>
  <c r="AI2798" i="4"/>
  <c r="AH2799" i="4"/>
  <c r="AJ2799" i="4"/>
  <c r="AL2790" i="4" l="1"/>
  <c r="AK2799" i="4"/>
  <c r="AI2799" i="4"/>
  <c r="AH2800" i="4"/>
  <c r="AJ2800" i="4"/>
  <c r="AS123" i="4"/>
  <c r="AL2791" i="4" l="1"/>
  <c r="AK2800" i="4"/>
  <c r="AI2800" i="4"/>
  <c r="AH2801" i="4"/>
  <c r="AJ2801" i="4"/>
  <c r="AL2792" i="4" l="1"/>
  <c r="AK2801" i="4"/>
  <c r="AI2801" i="4"/>
  <c r="AH2802" i="4"/>
  <c r="AJ2802" i="4"/>
  <c r="AL2793" i="4" l="1"/>
  <c r="AK2802" i="4"/>
  <c r="AI2802" i="4"/>
  <c r="AH2803" i="4"/>
  <c r="AJ2803" i="4"/>
  <c r="AL2794" i="4" l="1"/>
  <c r="AK2803" i="4"/>
  <c r="AI2803" i="4"/>
  <c r="AH2804" i="4"/>
  <c r="AJ2804" i="4"/>
  <c r="AL2795" i="4" l="1"/>
  <c r="AK2804" i="4"/>
  <c r="AI2804" i="4"/>
  <c r="AH2805" i="4"/>
  <c r="AJ2805" i="4"/>
  <c r="AL2796" i="4" l="1"/>
  <c r="AK2805" i="4"/>
  <c r="AI2805" i="4"/>
  <c r="AH2806" i="4"/>
  <c r="AJ2806" i="4"/>
  <c r="AL2797" i="4" l="1"/>
  <c r="AK2806" i="4"/>
  <c r="AI2806" i="4"/>
  <c r="AH2807" i="4"/>
  <c r="AJ2807" i="4"/>
  <c r="AL2798" i="4" l="1"/>
  <c r="AK2807" i="4"/>
  <c r="AI2807" i="4"/>
  <c r="AH2808" i="4"/>
  <c r="AJ2808" i="4"/>
  <c r="AL2799" i="4" l="1"/>
  <c r="AK2808" i="4"/>
  <c r="AI2808" i="4"/>
  <c r="AH2809" i="4"/>
  <c r="AJ2809" i="4"/>
  <c r="AL2800" i="4" l="1"/>
  <c r="AK2809" i="4"/>
  <c r="AI2809" i="4"/>
  <c r="AH2810" i="4"/>
  <c r="AJ2810" i="4"/>
  <c r="AL2801" i="4" l="1"/>
  <c r="AK2810" i="4"/>
  <c r="AI2810" i="4"/>
  <c r="AH2811" i="4"/>
  <c r="AJ2811" i="4"/>
  <c r="AL2802" i="4" l="1"/>
  <c r="AK2811" i="4"/>
  <c r="AI2811" i="4"/>
  <c r="AH2812" i="4"/>
  <c r="AJ2812" i="4"/>
  <c r="AL2803" i="4" l="1"/>
  <c r="AK2812" i="4"/>
  <c r="AI2812" i="4"/>
  <c r="AH2813" i="4"/>
  <c r="AJ2813" i="4"/>
  <c r="AL2804" i="4" l="1"/>
  <c r="AK2813" i="4"/>
  <c r="AI2813" i="4"/>
  <c r="AH2814" i="4"/>
  <c r="AJ2814" i="4"/>
  <c r="AL2805" i="4" l="1"/>
  <c r="AK2814" i="4"/>
  <c r="AI2814" i="4"/>
  <c r="AH2815" i="4"/>
  <c r="AJ2815" i="4"/>
  <c r="AL2806" i="4" l="1"/>
  <c r="AK2815" i="4"/>
  <c r="AI2815" i="4"/>
  <c r="AH2816" i="4"/>
  <c r="AJ2816" i="4"/>
  <c r="AL2807" i="4" l="1"/>
  <c r="AK2816" i="4"/>
  <c r="AI2816" i="4"/>
  <c r="AH2817" i="4"/>
  <c r="AJ2817" i="4"/>
  <c r="AL2808" i="4" l="1"/>
  <c r="AK2817" i="4"/>
  <c r="AI2817" i="4"/>
  <c r="AH2818" i="4"/>
  <c r="AJ2818" i="4"/>
  <c r="AL2809" i="4" l="1"/>
  <c r="AK2818" i="4"/>
  <c r="AI2818" i="4"/>
  <c r="AH2819" i="4"/>
  <c r="AJ2819" i="4"/>
  <c r="AL2810" i="4" l="1"/>
  <c r="AK2819" i="4"/>
  <c r="AI2819" i="4"/>
  <c r="AH2820" i="4"/>
  <c r="AJ2820" i="4"/>
  <c r="AL2811" i="4" l="1"/>
  <c r="AK2820" i="4"/>
  <c r="AI2820" i="4"/>
  <c r="AH2821" i="4"/>
  <c r="AJ2821" i="4"/>
  <c r="AL2812" i="4" l="1"/>
  <c r="AK2821" i="4"/>
  <c r="AI2821" i="4"/>
  <c r="AH2822" i="4"/>
  <c r="AJ2822" i="4"/>
  <c r="AL2813" i="4" l="1"/>
  <c r="AK2822" i="4"/>
  <c r="AI2822" i="4"/>
  <c r="AH2823" i="4"/>
  <c r="AJ2823" i="4"/>
  <c r="AL2814" i="4" l="1"/>
  <c r="AK2823" i="4"/>
  <c r="AI2823" i="4"/>
  <c r="AH2824" i="4"/>
  <c r="AJ2824" i="4"/>
  <c r="AL2815" i="4" l="1"/>
  <c r="AK2824" i="4"/>
  <c r="AI2824" i="4"/>
  <c r="AH2825" i="4"/>
  <c r="AJ2825" i="4"/>
  <c r="AL2816" i="4" l="1"/>
  <c r="AK2825" i="4"/>
  <c r="AI2825" i="4"/>
  <c r="AH2826" i="4"/>
  <c r="AJ2826" i="4"/>
  <c r="AL2817" i="4" l="1"/>
  <c r="AK2826" i="4"/>
  <c r="AI2826" i="4"/>
  <c r="AH2827" i="4"/>
  <c r="AJ2827" i="4"/>
  <c r="AL2818" i="4" l="1"/>
  <c r="AK2827" i="4"/>
  <c r="AI2827" i="4"/>
  <c r="AH2828" i="4"/>
  <c r="AJ2828" i="4"/>
  <c r="AL2819" i="4" l="1"/>
  <c r="AK2828" i="4"/>
  <c r="AI2828" i="4"/>
  <c r="AH2829" i="4"/>
  <c r="AJ2829" i="4"/>
  <c r="AL2820" i="4" l="1"/>
  <c r="AK2829" i="4"/>
  <c r="AI2829" i="4"/>
  <c r="AH2830" i="4"/>
  <c r="AJ2830" i="4"/>
  <c r="AS124" i="4"/>
  <c r="AL2821" i="4" l="1"/>
  <c r="AK2830" i="4"/>
  <c r="AI2830" i="4"/>
  <c r="AH2831" i="4"/>
  <c r="AJ2831" i="4"/>
  <c r="AL2822" i="4" l="1"/>
  <c r="AK2831" i="4"/>
  <c r="AI2831" i="4"/>
  <c r="AH2832" i="4"/>
  <c r="AJ2832" i="4"/>
  <c r="AL2823" i="4" l="1"/>
  <c r="AK2832" i="4"/>
  <c r="AI2832" i="4"/>
  <c r="AH2833" i="4"/>
  <c r="AJ2833" i="4"/>
  <c r="AL2824" i="4" l="1"/>
  <c r="AK2833" i="4"/>
  <c r="AI2833" i="4"/>
  <c r="AH2834" i="4"/>
  <c r="AJ2834" i="4"/>
  <c r="AL2825" i="4" l="1"/>
  <c r="AK2834" i="4"/>
  <c r="AI2834" i="4"/>
  <c r="AH2835" i="4"/>
  <c r="AJ2835" i="4"/>
  <c r="AL2826" i="4" l="1"/>
  <c r="AK2835" i="4"/>
  <c r="AI2835" i="4"/>
  <c r="AH2836" i="4"/>
  <c r="AJ2836" i="4"/>
  <c r="AL2827" i="4" l="1"/>
  <c r="AK2836" i="4"/>
  <c r="AI2836" i="4"/>
  <c r="AH2837" i="4"/>
  <c r="AJ2837" i="4"/>
  <c r="AL2828" i="4" l="1"/>
  <c r="AK2837" i="4"/>
  <c r="AI2837" i="4"/>
  <c r="AH2838" i="4"/>
  <c r="AJ2838" i="4"/>
  <c r="AL2829" i="4" l="1"/>
  <c r="AK2838" i="4"/>
  <c r="AI2838" i="4"/>
  <c r="AH2839" i="4"/>
  <c r="AJ2839" i="4"/>
  <c r="AL2830" i="4" l="1"/>
  <c r="AK2839" i="4"/>
  <c r="AI2839" i="4"/>
  <c r="AH2840" i="4"/>
  <c r="AJ2840" i="4"/>
  <c r="AL2831" i="4" l="1"/>
  <c r="AK2840" i="4"/>
  <c r="AI2840" i="4"/>
  <c r="AH2841" i="4"/>
  <c r="AJ2841" i="4"/>
  <c r="AL2832" i="4" l="1"/>
  <c r="AK2841" i="4"/>
  <c r="AI2841" i="4"/>
  <c r="AH2842" i="4"/>
  <c r="AJ2842" i="4"/>
  <c r="AL2833" i="4" l="1"/>
  <c r="AK2842" i="4"/>
  <c r="AI2842" i="4"/>
  <c r="AH2843" i="4"/>
  <c r="AJ2843" i="4"/>
  <c r="AL2834" i="4" l="1"/>
  <c r="AK2843" i="4"/>
  <c r="AI2843" i="4"/>
  <c r="AH2844" i="4"/>
  <c r="AJ2844" i="4"/>
  <c r="AL2835" i="4" l="1"/>
  <c r="AK2844" i="4"/>
  <c r="AI2844" i="4"/>
  <c r="AH2845" i="4"/>
  <c r="AJ2845" i="4"/>
  <c r="AL2836" i="4" l="1"/>
  <c r="AK2845" i="4"/>
  <c r="AI2845" i="4"/>
  <c r="AH2846" i="4"/>
  <c r="AJ2846" i="4"/>
  <c r="AL2837" i="4" l="1"/>
  <c r="AK2846" i="4"/>
  <c r="AI2846" i="4"/>
  <c r="AH2847" i="4"/>
  <c r="AJ2847" i="4"/>
  <c r="AL2838" i="4" l="1"/>
  <c r="AK2847" i="4"/>
  <c r="AI2847" i="4"/>
  <c r="AH2848" i="4"/>
  <c r="AJ2848" i="4"/>
  <c r="AL2839" i="4" l="1"/>
  <c r="AK2848" i="4"/>
  <c r="AI2848" i="4"/>
  <c r="AH2849" i="4"/>
  <c r="AJ2849" i="4"/>
  <c r="AL2840" i="4" l="1"/>
  <c r="AK2849" i="4"/>
  <c r="AI2849" i="4"/>
  <c r="AH2850" i="4"/>
  <c r="AJ2850" i="4"/>
  <c r="AL2841" i="4" l="1"/>
  <c r="AK2850" i="4"/>
  <c r="AI2850" i="4"/>
  <c r="AH2851" i="4"/>
  <c r="AJ2851" i="4"/>
  <c r="AL2842" i="4" l="1"/>
  <c r="AK2851" i="4"/>
  <c r="AI2851" i="4"/>
  <c r="AH2852" i="4"/>
  <c r="AJ2852" i="4"/>
  <c r="AL2843" i="4" l="1"/>
  <c r="AK2852" i="4"/>
  <c r="AI2852" i="4"/>
  <c r="AH2853" i="4"/>
  <c r="AJ2853" i="4"/>
  <c r="AL2844" i="4" l="1"/>
  <c r="AK2853" i="4"/>
  <c r="AI2853" i="4"/>
  <c r="AH2854" i="4"/>
  <c r="AJ2854" i="4"/>
  <c r="AL2845" i="4" l="1"/>
  <c r="AK2854" i="4"/>
  <c r="AI2854" i="4"/>
  <c r="AH2855" i="4"/>
  <c r="AJ2855" i="4"/>
  <c r="AL2846" i="4" l="1"/>
  <c r="AK2855" i="4"/>
  <c r="AI2855" i="4"/>
  <c r="AH2856" i="4"/>
  <c r="AJ2856" i="4"/>
  <c r="AL2847" i="4" l="1"/>
  <c r="AK2856" i="4"/>
  <c r="AI2856" i="4"/>
  <c r="AH2857" i="4"/>
  <c r="AJ2857" i="4"/>
  <c r="AL2848" i="4" l="1"/>
  <c r="AK2857" i="4"/>
  <c r="AI2857" i="4"/>
  <c r="AH2858" i="4"/>
  <c r="AJ2858" i="4"/>
  <c r="AL2849" i="4" l="1"/>
  <c r="AK2858" i="4"/>
  <c r="AI2858" i="4"/>
  <c r="AH2859" i="4"/>
  <c r="AJ2859" i="4"/>
  <c r="AL2850" i="4" l="1"/>
  <c r="AK2859" i="4"/>
  <c r="AI2859" i="4"/>
  <c r="AH2860" i="4"/>
  <c r="AJ2860" i="4"/>
  <c r="AS125" i="4"/>
  <c r="AL2851" i="4" l="1"/>
  <c r="AK2860" i="4"/>
  <c r="AI2860" i="4"/>
  <c r="AH2861" i="4"/>
  <c r="AJ2861" i="4"/>
  <c r="AL2852" i="4" l="1"/>
  <c r="AK2861" i="4"/>
  <c r="AI2861" i="4"/>
  <c r="AH2862" i="4"/>
  <c r="AJ2862" i="4"/>
  <c r="AL2853" i="4" l="1"/>
  <c r="AK2862" i="4"/>
  <c r="AI2862" i="4"/>
  <c r="AH2863" i="4"/>
  <c r="AJ2863" i="4"/>
  <c r="AL2854" i="4" l="1"/>
  <c r="AK2863" i="4"/>
  <c r="AI2863" i="4"/>
  <c r="AH2864" i="4"/>
  <c r="AJ2864" i="4"/>
  <c r="AL2855" i="4" l="1"/>
  <c r="AK2864" i="4"/>
  <c r="AI2864" i="4"/>
  <c r="AH2865" i="4"/>
  <c r="AJ2865" i="4"/>
  <c r="AL2856" i="4" l="1"/>
  <c r="AK2865" i="4"/>
  <c r="AI2865" i="4"/>
  <c r="AH2866" i="4"/>
  <c r="AJ2866" i="4"/>
  <c r="AL2857" i="4" l="1"/>
  <c r="AK2866" i="4"/>
  <c r="AI2866" i="4"/>
  <c r="AH2867" i="4"/>
  <c r="AJ2867" i="4"/>
  <c r="AL2858" i="4" l="1"/>
  <c r="AK2867" i="4"/>
  <c r="AI2867" i="4"/>
  <c r="AH2868" i="4"/>
  <c r="AJ2868" i="4"/>
  <c r="AL2859" i="4" l="1"/>
  <c r="AK2868" i="4"/>
  <c r="AI2868" i="4"/>
  <c r="AH2869" i="4"/>
  <c r="AJ2869" i="4"/>
  <c r="AL2860" i="4" l="1"/>
  <c r="AK2869" i="4"/>
  <c r="AI2869" i="4"/>
  <c r="AH2870" i="4"/>
  <c r="AJ2870" i="4"/>
  <c r="AL2861" i="4" l="1"/>
  <c r="AK2870" i="4"/>
  <c r="AI2870" i="4"/>
  <c r="AH2871" i="4"/>
  <c r="AJ2871" i="4"/>
  <c r="AL2862" i="4" l="1"/>
  <c r="AK2871" i="4"/>
  <c r="AI2871" i="4"/>
  <c r="AH2872" i="4"/>
  <c r="AJ2872" i="4"/>
  <c r="AL2863" i="4" l="1"/>
  <c r="AK2872" i="4"/>
  <c r="AI2872" i="4"/>
  <c r="AH2873" i="4"/>
  <c r="AJ2873" i="4"/>
  <c r="AL2864" i="4" l="1"/>
  <c r="AK2873" i="4"/>
  <c r="AI2873" i="4"/>
  <c r="AH2874" i="4"/>
  <c r="AJ2874" i="4"/>
  <c r="AL2865" i="4" l="1"/>
  <c r="AK2874" i="4"/>
  <c r="AI2874" i="4"/>
  <c r="AH2875" i="4"/>
  <c r="AJ2875" i="4"/>
  <c r="AL2866" i="4" l="1"/>
  <c r="AK2875" i="4"/>
  <c r="AI2875" i="4"/>
  <c r="AH2876" i="4"/>
  <c r="AJ2876" i="4"/>
  <c r="AL2867" i="4" l="1"/>
  <c r="AK2876" i="4"/>
  <c r="AI2876" i="4"/>
  <c r="AH2877" i="4"/>
  <c r="AJ2877" i="4"/>
  <c r="AL2868" i="4" l="1"/>
  <c r="AK2877" i="4"/>
  <c r="AI2877" i="4"/>
  <c r="AH2878" i="4"/>
  <c r="AJ2878" i="4"/>
  <c r="AL2869" i="4" l="1"/>
  <c r="AK2878" i="4"/>
  <c r="AI2878" i="4"/>
  <c r="AH2879" i="4"/>
  <c r="AJ2879" i="4"/>
  <c r="AL2870" i="4" l="1"/>
  <c r="AK2879" i="4"/>
  <c r="AI2879" i="4"/>
  <c r="AH2880" i="4"/>
  <c r="AJ2880" i="4"/>
  <c r="AL2871" i="4" l="1"/>
  <c r="AK2880" i="4"/>
  <c r="AI2880" i="4"/>
  <c r="AH2881" i="4"/>
  <c r="AJ2881" i="4"/>
  <c r="AL2872" i="4" l="1"/>
  <c r="AK2881" i="4"/>
  <c r="AI2881" i="4"/>
  <c r="AH2882" i="4"/>
  <c r="AJ2882" i="4"/>
  <c r="AL2873" i="4" l="1"/>
  <c r="AK2882" i="4"/>
  <c r="AI2882" i="4"/>
  <c r="AH2883" i="4"/>
  <c r="AJ2883" i="4"/>
  <c r="AL2874" i="4" l="1"/>
  <c r="AK2883" i="4"/>
  <c r="AI2883" i="4"/>
  <c r="AH2884" i="4"/>
  <c r="AJ2884" i="4"/>
  <c r="AL2875" i="4" l="1"/>
  <c r="AK2884" i="4"/>
  <c r="AI2884" i="4"/>
  <c r="AH2885" i="4"/>
  <c r="AJ2885" i="4"/>
  <c r="AL2876" i="4" l="1"/>
  <c r="AK2885" i="4"/>
  <c r="AI2885" i="4"/>
  <c r="AH2886" i="4"/>
  <c r="AJ2886" i="4"/>
  <c r="AL2877" i="4" l="1"/>
  <c r="AK2886" i="4"/>
  <c r="AI2886" i="4"/>
  <c r="AH2887" i="4"/>
  <c r="AJ2887" i="4"/>
  <c r="AL2878" i="4" l="1"/>
  <c r="AK2887" i="4"/>
  <c r="AI2887" i="4"/>
  <c r="AH2888" i="4"/>
  <c r="AJ2888" i="4"/>
  <c r="AL2879" i="4" l="1"/>
  <c r="AK2888" i="4"/>
  <c r="AI2888" i="4"/>
  <c r="AH2889" i="4"/>
  <c r="AJ2889" i="4"/>
  <c r="AL2880" i="4" l="1"/>
  <c r="AK2889" i="4"/>
  <c r="AI2889" i="4"/>
  <c r="AH2890" i="4"/>
  <c r="AJ2890" i="4"/>
  <c r="AS126" i="4"/>
  <c r="AL2881" i="4" l="1"/>
  <c r="AK2890" i="4"/>
  <c r="AI2890" i="4"/>
  <c r="AH2891" i="4"/>
  <c r="AJ2891" i="4"/>
  <c r="AL2882" i="4" l="1"/>
  <c r="AK2891" i="4"/>
  <c r="AI2891" i="4"/>
  <c r="AH2892" i="4"/>
  <c r="AJ2892" i="4"/>
  <c r="AL2883" i="4" l="1"/>
  <c r="AK2892" i="4"/>
  <c r="AI2892" i="4"/>
  <c r="AH2893" i="4"/>
  <c r="AJ2893" i="4"/>
  <c r="AL2884" i="4" l="1"/>
  <c r="AK2893" i="4"/>
  <c r="AI2893" i="4"/>
  <c r="AH2894" i="4"/>
  <c r="AJ2894" i="4"/>
  <c r="AL2885" i="4" l="1"/>
  <c r="AK2894" i="4"/>
  <c r="AI2894" i="4"/>
  <c r="AH2895" i="4"/>
  <c r="AJ2895" i="4"/>
  <c r="AL2886" i="4" l="1"/>
  <c r="AK2895" i="4"/>
  <c r="AI2895" i="4"/>
  <c r="AH2896" i="4"/>
  <c r="AJ2896" i="4"/>
  <c r="AL2887" i="4" l="1"/>
  <c r="AK2896" i="4"/>
  <c r="AI2896" i="4"/>
  <c r="AH2897" i="4"/>
  <c r="AJ2897" i="4"/>
  <c r="AL2888" i="4" l="1"/>
  <c r="AK2897" i="4"/>
  <c r="AI2897" i="4"/>
  <c r="AH2898" i="4"/>
  <c r="AJ2898" i="4"/>
  <c r="AL2889" i="4" l="1"/>
  <c r="AK2898" i="4"/>
  <c r="AI2898" i="4"/>
  <c r="AH2899" i="4"/>
  <c r="AJ2899" i="4"/>
  <c r="AL2890" i="4" l="1"/>
  <c r="AK2899" i="4"/>
  <c r="AI2899" i="4"/>
  <c r="AH2900" i="4"/>
  <c r="AJ2900" i="4"/>
  <c r="AL2891" i="4" l="1"/>
  <c r="AK2900" i="4"/>
  <c r="AI2900" i="4"/>
  <c r="AH2901" i="4"/>
  <c r="AJ2901" i="4"/>
  <c r="AL2892" i="4" l="1"/>
  <c r="AK2901" i="4"/>
  <c r="AI2901" i="4"/>
  <c r="AH2902" i="4"/>
  <c r="AJ2902" i="4"/>
  <c r="AL2893" i="4" l="1"/>
  <c r="AK2902" i="4"/>
  <c r="AI2902" i="4"/>
  <c r="AH2903" i="4"/>
  <c r="AJ2903" i="4"/>
  <c r="AL2894" i="4" l="1"/>
  <c r="AK2903" i="4"/>
  <c r="AI2903" i="4"/>
  <c r="AH2904" i="4"/>
  <c r="AJ2904" i="4"/>
  <c r="AL2895" i="4" l="1"/>
  <c r="AK2904" i="4"/>
  <c r="AI2904" i="4"/>
  <c r="AH2905" i="4"/>
  <c r="AJ2905" i="4"/>
  <c r="AL2896" i="4" l="1"/>
  <c r="AK2905" i="4"/>
  <c r="AI2905" i="4"/>
  <c r="AH2906" i="4"/>
  <c r="AJ2906" i="4"/>
  <c r="AL2897" i="4" l="1"/>
  <c r="AK2906" i="4"/>
  <c r="AI2906" i="4"/>
  <c r="AH2907" i="4"/>
  <c r="AJ2907" i="4"/>
  <c r="AL2898" i="4" l="1"/>
  <c r="AK2907" i="4"/>
  <c r="AI2907" i="4"/>
  <c r="AH2908" i="4"/>
  <c r="AJ2908" i="4"/>
  <c r="AL2899" i="4" l="1"/>
  <c r="AK2908" i="4"/>
  <c r="AI2908" i="4"/>
  <c r="AH2909" i="4"/>
  <c r="AJ2909" i="4"/>
  <c r="AL2900" i="4" l="1"/>
  <c r="AK2909" i="4"/>
  <c r="AI2909" i="4"/>
  <c r="AH2910" i="4"/>
  <c r="AJ2910" i="4"/>
  <c r="AL2901" i="4" l="1"/>
  <c r="AK2910" i="4"/>
  <c r="AI2910" i="4"/>
  <c r="AH2911" i="4"/>
  <c r="AJ2911" i="4"/>
  <c r="AL2902" i="4" l="1"/>
  <c r="AK2911" i="4"/>
  <c r="AI2911" i="4"/>
  <c r="AH2912" i="4"/>
  <c r="AJ2912" i="4"/>
  <c r="AL2903" i="4" l="1"/>
  <c r="AK2912" i="4"/>
  <c r="AI2912" i="4"/>
  <c r="AH2913" i="4"/>
  <c r="AJ2913" i="4"/>
  <c r="AL2904" i="4" l="1"/>
  <c r="AK2913" i="4"/>
  <c r="AI2913" i="4"/>
  <c r="AH2914" i="4"/>
  <c r="AJ2914" i="4"/>
  <c r="AL2905" i="4" l="1"/>
  <c r="AK2914" i="4"/>
  <c r="AI2914" i="4"/>
  <c r="AH2915" i="4"/>
  <c r="AJ2915" i="4"/>
  <c r="AL2906" i="4" l="1"/>
  <c r="AK2915" i="4"/>
  <c r="AI2915" i="4"/>
  <c r="AH2916" i="4"/>
  <c r="AJ2916" i="4"/>
  <c r="AL2907" i="4" l="1"/>
  <c r="AK2916" i="4"/>
  <c r="AI2916" i="4"/>
  <c r="AH2917" i="4"/>
  <c r="AJ2917" i="4"/>
  <c r="AL2908" i="4" l="1"/>
  <c r="AK2917" i="4"/>
  <c r="AI2917" i="4"/>
  <c r="AH2918" i="4"/>
  <c r="AJ2918" i="4"/>
  <c r="AL2909" i="4" l="1"/>
  <c r="AK2918" i="4"/>
  <c r="AI2918" i="4"/>
  <c r="AH2919" i="4"/>
  <c r="AJ2919" i="4"/>
  <c r="AL2910" i="4" l="1"/>
  <c r="AK2919" i="4"/>
  <c r="AI2919" i="4"/>
  <c r="AH2920" i="4"/>
  <c r="AS127" i="4"/>
  <c r="AJ2920" i="4"/>
  <c r="AL2911" i="4" l="1"/>
  <c r="AK2920" i="4"/>
  <c r="AI2920" i="4"/>
  <c r="AH2921" i="4"/>
  <c r="AJ2921" i="4"/>
  <c r="AL2912" i="4" l="1"/>
  <c r="AK2921" i="4"/>
  <c r="AI2921" i="4"/>
  <c r="AH2922" i="4"/>
  <c r="AJ2922" i="4"/>
  <c r="AL2913" i="4" l="1"/>
  <c r="AK2922" i="4"/>
  <c r="AI2922" i="4"/>
  <c r="AH2923" i="4"/>
  <c r="AJ2923" i="4"/>
  <c r="AL2914" i="4" l="1"/>
  <c r="AK2923" i="4"/>
  <c r="AI2923" i="4"/>
  <c r="AH2924" i="4"/>
  <c r="AJ2924" i="4"/>
  <c r="AL2915" i="4" l="1"/>
  <c r="AK2924" i="4"/>
  <c r="AI2924" i="4"/>
  <c r="AH2925" i="4"/>
  <c r="AJ2925" i="4"/>
  <c r="AL2916" i="4" l="1"/>
  <c r="AK2925" i="4"/>
  <c r="AI2925" i="4"/>
  <c r="AH2926" i="4"/>
  <c r="AJ2926" i="4"/>
  <c r="AL2917" i="4" l="1"/>
  <c r="AK2926" i="4"/>
  <c r="AI2926" i="4"/>
  <c r="AH2927" i="4"/>
  <c r="AJ2927" i="4"/>
  <c r="AL2918" i="4" l="1"/>
  <c r="AK2927" i="4"/>
  <c r="AI2927" i="4"/>
  <c r="AH2928" i="4"/>
  <c r="AJ2928" i="4"/>
  <c r="AL2919" i="4" l="1"/>
  <c r="AK2928" i="4"/>
  <c r="AI2928" i="4"/>
  <c r="AH2929" i="4"/>
  <c r="AJ2929" i="4"/>
  <c r="AL2920" i="4" l="1"/>
  <c r="AK2929" i="4"/>
  <c r="AI2929" i="4"/>
  <c r="AH2930" i="4"/>
  <c r="AJ2930" i="4"/>
  <c r="AL2921" i="4" l="1"/>
  <c r="AK2930" i="4"/>
  <c r="AI2930" i="4"/>
  <c r="AH2931" i="4"/>
  <c r="AJ2931" i="4"/>
  <c r="AL2922" i="4" l="1"/>
  <c r="AK2931" i="4"/>
  <c r="AI2931" i="4"/>
  <c r="AH2932" i="4"/>
  <c r="AJ2932" i="4"/>
  <c r="AL2923" i="4" l="1"/>
  <c r="AK2932" i="4"/>
  <c r="AI2932" i="4"/>
  <c r="AH2933" i="4"/>
  <c r="AJ2933" i="4"/>
  <c r="AL2924" i="4" l="1"/>
  <c r="AK2933" i="4"/>
  <c r="AI2933" i="4"/>
  <c r="AH2934" i="4"/>
  <c r="AJ2934" i="4"/>
  <c r="AL2925" i="4" l="1"/>
  <c r="AK2934" i="4"/>
  <c r="AI2934" i="4"/>
  <c r="AH2935" i="4"/>
  <c r="AJ2935" i="4"/>
  <c r="AL2926" i="4" l="1"/>
  <c r="AK2935" i="4"/>
  <c r="AI2935" i="4"/>
  <c r="AH2936" i="4"/>
  <c r="AJ2936" i="4"/>
  <c r="AL2927" i="4" l="1"/>
  <c r="AK2936" i="4"/>
  <c r="AI2936" i="4"/>
  <c r="AH2937" i="4"/>
  <c r="AJ2937" i="4"/>
  <c r="AL2928" i="4" l="1"/>
  <c r="AK2937" i="4"/>
  <c r="AI2937" i="4"/>
  <c r="AH2938" i="4"/>
  <c r="AJ2938" i="4"/>
  <c r="AL2929" i="4" l="1"/>
  <c r="AK2938" i="4"/>
  <c r="AI2938" i="4"/>
  <c r="AH2939" i="4"/>
  <c r="AJ2939" i="4"/>
  <c r="AL2930" i="4" l="1"/>
  <c r="AK2939" i="4"/>
  <c r="AI2939" i="4"/>
  <c r="AH2940" i="4"/>
  <c r="AJ2940" i="4"/>
  <c r="AL2931" i="4" l="1"/>
  <c r="AK2940" i="4"/>
  <c r="AI2940" i="4"/>
  <c r="AH2941" i="4"/>
  <c r="AJ2941" i="4"/>
  <c r="AL2932" i="4" l="1"/>
  <c r="AK2941" i="4"/>
  <c r="AI2941" i="4"/>
  <c r="AH2942" i="4"/>
  <c r="AJ2942" i="4"/>
  <c r="AL2933" i="4" l="1"/>
  <c r="AK2942" i="4"/>
  <c r="AI2942" i="4"/>
  <c r="AH2943" i="4"/>
  <c r="AJ2943" i="4"/>
  <c r="AL2934" i="4" l="1"/>
  <c r="AK2943" i="4"/>
  <c r="AI2943" i="4"/>
  <c r="AH2944" i="4"/>
  <c r="AJ2944" i="4"/>
  <c r="AL2935" i="4" l="1"/>
  <c r="AK2944" i="4"/>
  <c r="AI2944" i="4"/>
  <c r="AH2945" i="4"/>
  <c r="AJ2945" i="4"/>
  <c r="AL2936" i="4" l="1"/>
  <c r="AK2945" i="4"/>
  <c r="AI2945" i="4"/>
  <c r="AH2946" i="4"/>
  <c r="AJ2946" i="4"/>
  <c r="AL2937" i="4" l="1"/>
  <c r="AK2946" i="4"/>
  <c r="AI2946" i="4"/>
  <c r="AH2947" i="4"/>
  <c r="AJ2947" i="4"/>
  <c r="AL2938" i="4" l="1"/>
  <c r="AK2947" i="4"/>
  <c r="AI2947" i="4"/>
  <c r="AH2948" i="4"/>
  <c r="AJ2948" i="4"/>
  <c r="AL2939" i="4" l="1"/>
  <c r="AK2948" i="4"/>
  <c r="AI2948" i="4"/>
  <c r="AH2949" i="4"/>
  <c r="AJ2949" i="4"/>
  <c r="AL2940" i="4" l="1"/>
  <c r="AK2949" i="4"/>
  <c r="AI2949" i="4"/>
  <c r="AH2950" i="4"/>
  <c r="AJ2950" i="4"/>
  <c r="AS128" i="4"/>
  <c r="AL2941" i="4" l="1"/>
  <c r="AK2950" i="4"/>
  <c r="AI2950" i="4"/>
  <c r="AH2951" i="4"/>
  <c r="AJ2951" i="4"/>
  <c r="AL2942" i="4" l="1"/>
  <c r="AK2951" i="4"/>
  <c r="AI2951" i="4"/>
  <c r="AH2952" i="4"/>
  <c r="AJ2952" i="4"/>
  <c r="AL2943" i="4" l="1"/>
  <c r="AK2952" i="4"/>
  <c r="AI2952" i="4"/>
  <c r="AH2953" i="4"/>
  <c r="AJ2953" i="4"/>
  <c r="AL2944" i="4" l="1"/>
  <c r="AK2953" i="4"/>
  <c r="AI2953" i="4"/>
  <c r="AH2954" i="4"/>
  <c r="AJ2954" i="4"/>
  <c r="AL2945" i="4" l="1"/>
  <c r="AK2954" i="4"/>
  <c r="AI2954" i="4"/>
  <c r="AH2955" i="4"/>
  <c r="AJ2955" i="4"/>
  <c r="AL2946" i="4" l="1"/>
  <c r="AK2955" i="4"/>
  <c r="AI2955" i="4"/>
  <c r="AH2956" i="4"/>
  <c r="AJ2956" i="4"/>
  <c r="AL2947" i="4" l="1"/>
  <c r="AK2956" i="4"/>
  <c r="AI2956" i="4"/>
  <c r="AH2957" i="4"/>
  <c r="AJ2957" i="4"/>
  <c r="AL2948" i="4" l="1"/>
  <c r="AK2957" i="4"/>
  <c r="AI2957" i="4"/>
  <c r="AH2958" i="4"/>
  <c r="AJ2958" i="4"/>
  <c r="AL2949" i="4" l="1"/>
  <c r="AK2958" i="4"/>
  <c r="AI2958" i="4"/>
  <c r="AH2959" i="4"/>
  <c r="AJ2959" i="4"/>
  <c r="AL2950" i="4" l="1"/>
  <c r="AK2959" i="4"/>
  <c r="AI2959" i="4"/>
  <c r="AH2960" i="4"/>
  <c r="AJ2960" i="4"/>
  <c r="AL2951" i="4" l="1"/>
  <c r="AK2960" i="4"/>
  <c r="AI2960" i="4"/>
  <c r="AH2961" i="4"/>
  <c r="AJ2961" i="4"/>
  <c r="AL2952" i="4" l="1"/>
  <c r="AK2961" i="4"/>
  <c r="AI2961" i="4"/>
  <c r="AH2962" i="4"/>
  <c r="AJ2962" i="4"/>
  <c r="AL2953" i="4" l="1"/>
  <c r="AK2962" i="4"/>
  <c r="AI2962" i="4"/>
  <c r="AH2963" i="4"/>
  <c r="AJ2963" i="4"/>
  <c r="AL2954" i="4" l="1"/>
  <c r="AK2963" i="4"/>
  <c r="AI2963" i="4"/>
  <c r="AH2964" i="4"/>
  <c r="AJ2964" i="4"/>
  <c r="AL2955" i="4" l="1"/>
  <c r="AK2964" i="4"/>
  <c r="AI2964" i="4"/>
  <c r="AH2965" i="4"/>
  <c r="AJ2965" i="4"/>
  <c r="AL2956" i="4" l="1"/>
  <c r="AK2965" i="4"/>
  <c r="AI2965" i="4"/>
  <c r="AH2966" i="4"/>
  <c r="AJ2966" i="4"/>
  <c r="AL2957" i="4" l="1"/>
  <c r="AK2966" i="4"/>
  <c r="AI2966" i="4"/>
  <c r="AH2967" i="4"/>
  <c r="AJ2967" i="4"/>
  <c r="AL2958" i="4" l="1"/>
  <c r="AK2967" i="4"/>
  <c r="AI2967" i="4"/>
  <c r="AH2968" i="4"/>
  <c r="AJ2968" i="4"/>
  <c r="AL2959" i="4" l="1"/>
  <c r="AK2968" i="4"/>
  <c r="AI2968" i="4"/>
  <c r="AH2969" i="4"/>
  <c r="AJ2969" i="4"/>
  <c r="AL2960" i="4" l="1"/>
  <c r="AK2969" i="4"/>
  <c r="AI2969" i="4"/>
  <c r="AH2970" i="4"/>
  <c r="AJ2970" i="4"/>
  <c r="AL2961" i="4" l="1"/>
  <c r="AK2970" i="4"/>
  <c r="AI2970" i="4"/>
  <c r="AH2971" i="4"/>
  <c r="AJ2971" i="4"/>
  <c r="AL2962" i="4" l="1"/>
  <c r="AK2971" i="4"/>
  <c r="AI2971" i="4"/>
  <c r="AH2972" i="4"/>
  <c r="AJ2972" i="4"/>
  <c r="AL2963" i="4" l="1"/>
  <c r="AK2972" i="4"/>
  <c r="AI2972" i="4"/>
  <c r="AH2973" i="4"/>
  <c r="AJ2973" i="4"/>
  <c r="AL2964" i="4" l="1"/>
  <c r="AK2973" i="4"/>
  <c r="AI2973" i="4"/>
  <c r="AH2974" i="4"/>
  <c r="AJ2974" i="4"/>
  <c r="AL2965" i="4" l="1"/>
  <c r="AK2974" i="4"/>
  <c r="AI2974" i="4"/>
  <c r="AH2975" i="4"/>
  <c r="AJ2975" i="4"/>
  <c r="AL2966" i="4" l="1"/>
  <c r="AK2975" i="4"/>
  <c r="AI2975" i="4"/>
  <c r="AH2976" i="4"/>
  <c r="AJ2976" i="4"/>
  <c r="AL2967" i="4" l="1"/>
  <c r="AK2976" i="4"/>
  <c r="AI2976" i="4"/>
  <c r="AH2977" i="4"/>
  <c r="AJ2977" i="4"/>
  <c r="AL2968" i="4" l="1"/>
  <c r="AK2977" i="4"/>
  <c r="AI2977" i="4"/>
  <c r="AH2978" i="4"/>
  <c r="AJ2978" i="4"/>
  <c r="AL2969" i="4" l="1"/>
  <c r="AK2978" i="4"/>
  <c r="AI2978" i="4"/>
  <c r="AH2979" i="4"/>
  <c r="AJ2979" i="4"/>
  <c r="AL2970" i="4" l="1"/>
  <c r="AK2979" i="4"/>
  <c r="AI2979" i="4"/>
  <c r="AH2980" i="4"/>
  <c r="AJ2980" i="4"/>
  <c r="AS129" i="4"/>
  <c r="AL2971" i="4" l="1"/>
  <c r="AK2980" i="4"/>
  <c r="AI2980" i="4"/>
  <c r="AH2981" i="4"/>
  <c r="AJ2981" i="4"/>
  <c r="AL2972" i="4" l="1"/>
  <c r="AK2981" i="4"/>
  <c r="AI2981" i="4"/>
  <c r="AH2982" i="4"/>
  <c r="AJ2982" i="4"/>
  <c r="AL2973" i="4" l="1"/>
  <c r="AK2982" i="4"/>
  <c r="AI2982" i="4"/>
  <c r="AH2983" i="4"/>
  <c r="AJ2983" i="4"/>
  <c r="AL2974" i="4" l="1"/>
  <c r="AK2983" i="4"/>
  <c r="AI2983" i="4"/>
  <c r="AH2984" i="4"/>
  <c r="AJ2984" i="4"/>
  <c r="AL2975" i="4" l="1"/>
  <c r="AK2984" i="4"/>
  <c r="AI2984" i="4"/>
  <c r="AH2985" i="4"/>
  <c r="AJ2985" i="4"/>
  <c r="AL2976" i="4" l="1"/>
  <c r="AK2985" i="4"/>
  <c r="AI2985" i="4"/>
  <c r="AH2986" i="4"/>
  <c r="AJ2986" i="4"/>
  <c r="AL2977" i="4" l="1"/>
  <c r="AK2986" i="4"/>
  <c r="AI2986" i="4"/>
  <c r="AH2987" i="4"/>
  <c r="AJ2987" i="4"/>
  <c r="AL2978" i="4" l="1"/>
  <c r="AK2987" i="4"/>
  <c r="AI2987" i="4"/>
  <c r="AH2988" i="4"/>
  <c r="AJ2988" i="4"/>
  <c r="AL2979" i="4" l="1"/>
  <c r="AK2988" i="4"/>
  <c r="AI2988" i="4"/>
  <c r="AH2989" i="4"/>
  <c r="AJ2989" i="4"/>
  <c r="AL2980" i="4" l="1"/>
  <c r="AK2989" i="4"/>
  <c r="AI2989" i="4"/>
  <c r="AH2990" i="4"/>
  <c r="AJ2990" i="4"/>
  <c r="AL2981" i="4" l="1"/>
  <c r="AK2990" i="4"/>
  <c r="AI2990" i="4"/>
  <c r="AH2991" i="4"/>
  <c r="AJ2991" i="4"/>
  <c r="AL2982" i="4" l="1"/>
  <c r="AK2991" i="4"/>
  <c r="AI2991" i="4"/>
  <c r="AH2992" i="4"/>
  <c r="AJ2992" i="4"/>
  <c r="AL2983" i="4" l="1"/>
  <c r="AK2992" i="4"/>
  <c r="AI2992" i="4"/>
  <c r="AH2993" i="4"/>
  <c r="AJ2993" i="4"/>
  <c r="AL2984" i="4" l="1"/>
  <c r="AK2993" i="4"/>
  <c r="AI2993" i="4"/>
  <c r="AH2994" i="4"/>
  <c r="AJ2994" i="4"/>
  <c r="AL2985" i="4" l="1"/>
  <c r="AK2994" i="4"/>
  <c r="AI2994" i="4"/>
  <c r="AH2995" i="4"/>
  <c r="AJ2995" i="4"/>
  <c r="AL2986" i="4" l="1"/>
  <c r="AK2995" i="4"/>
  <c r="AI2995" i="4"/>
  <c r="AH2996" i="4"/>
  <c r="AJ2996" i="4"/>
  <c r="AL2987" i="4" l="1"/>
  <c r="AK2996" i="4"/>
  <c r="AI2996" i="4"/>
  <c r="AH2997" i="4"/>
  <c r="AJ2997" i="4"/>
  <c r="AL2988" i="4" l="1"/>
  <c r="AK2997" i="4"/>
  <c r="AI2997" i="4"/>
  <c r="AH2998" i="4"/>
  <c r="AJ2998" i="4"/>
  <c r="AL2989" i="4" l="1"/>
  <c r="AK2998" i="4"/>
  <c r="AI2998" i="4"/>
  <c r="AH2999" i="4"/>
  <c r="AJ2999" i="4"/>
  <c r="AL2990" i="4" l="1"/>
  <c r="AK2999" i="4"/>
  <c r="AI2999" i="4"/>
  <c r="AH3000" i="4"/>
  <c r="AJ3000" i="4"/>
  <c r="AL2991" i="4" l="1"/>
  <c r="AK3000" i="4"/>
  <c r="AI3000" i="4"/>
  <c r="AH3001" i="4"/>
  <c r="AJ3001" i="4"/>
  <c r="AL2992" i="4" l="1"/>
  <c r="AK3001" i="4"/>
  <c r="AI3001" i="4"/>
  <c r="AH3002" i="4"/>
  <c r="AJ3002" i="4"/>
  <c r="AL2993" i="4" l="1"/>
  <c r="AK3002" i="4"/>
  <c r="AI3002" i="4"/>
  <c r="AH3003" i="4"/>
  <c r="AJ3003" i="4"/>
  <c r="AL2994" i="4" l="1"/>
  <c r="AK3003" i="4"/>
  <c r="AI3003" i="4"/>
  <c r="AH3004" i="4"/>
  <c r="AJ3004" i="4"/>
  <c r="AL2995" i="4" l="1"/>
  <c r="AK3004" i="4"/>
  <c r="AI3004" i="4"/>
  <c r="AH3005" i="4"/>
  <c r="AJ3005" i="4"/>
  <c r="AL2996" i="4" l="1"/>
  <c r="AK3005" i="4"/>
  <c r="AI3005" i="4"/>
  <c r="AH3006" i="4"/>
  <c r="AJ3006" i="4"/>
  <c r="AL2997" i="4" l="1"/>
  <c r="AK3006" i="4"/>
  <c r="AI3006" i="4"/>
  <c r="AH3007" i="4"/>
  <c r="AJ3007" i="4"/>
  <c r="AL2998" i="4" l="1"/>
  <c r="AK3007" i="4"/>
  <c r="AI3007" i="4"/>
  <c r="AH3008" i="4"/>
  <c r="AJ3008" i="4"/>
  <c r="AL2999" i="4" l="1"/>
  <c r="AK3008" i="4"/>
  <c r="AI3008" i="4"/>
  <c r="AH3009" i="4"/>
  <c r="AJ3009" i="4"/>
  <c r="AL3000" i="4" l="1"/>
  <c r="AK3009" i="4"/>
  <c r="AI3009" i="4"/>
  <c r="AH3010" i="4"/>
  <c r="AJ3010" i="4"/>
  <c r="AS130" i="4"/>
  <c r="AL3001" i="4" l="1"/>
  <c r="AK3010" i="4"/>
  <c r="AI3010" i="4"/>
  <c r="AH3011" i="4"/>
  <c r="AJ3011" i="4"/>
  <c r="AL3002" i="4" l="1"/>
  <c r="AK3011" i="4"/>
  <c r="AI3011" i="4"/>
  <c r="AH3012" i="4"/>
  <c r="AJ3012" i="4"/>
  <c r="AL3003" i="4" l="1"/>
  <c r="AK3012" i="4"/>
  <c r="AI3012" i="4"/>
  <c r="AH3013" i="4"/>
  <c r="AJ3013" i="4"/>
  <c r="AL3004" i="4" l="1"/>
  <c r="AK3013" i="4"/>
  <c r="AI3013" i="4"/>
  <c r="AH3014" i="4"/>
  <c r="AJ3014" i="4"/>
  <c r="AL3005" i="4" l="1"/>
  <c r="AK3014" i="4"/>
  <c r="AI3014" i="4"/>
  <c r="AH3015" i="4"/>
  <c r="AJ3015" i="4"/>
  <c r="AL3006" i="4" l="1"/>
  <c r="AK3015" i="4"/>
  <c r="AI3015" i="4"/>
  <c r="AH3016" i="4"/>
  <c r="AJ3016" i="4"/>
  <c r="AL3007" i="4" l="1"/>
  <c r="AK3016" i="4"/>
  <c r="AI3016" i="4"/>
  <c r="AH3017" i="4"/>
  <c r="AJ3017" i="4"/>
  <c r="AL3008" i="4" l="1"/>
  <c r="AK3017" i="4"/>
  <c r="AI3017" i="4"/>
  <c r="AH3018" i="4"/>
  <c r="AJ3018" i="4"/>
  <c r="AL3009" i="4" l="1"/>
  <c r="AK3018" i="4"/>
  <c r="AI3018" i="4"/>
  <c r="AH3019" i="4"/>
  <c r="AJ3019" i="4"/>
  <c r="AL3010" i="4" l="1"/>
  <c r="AK3019" i="4"/>
  <c r="AI3019" i="4"/>
  <c r="AH3020" i="4"/>
  <c r="AJ3020" i="4"/>
  <c r="AL3011" i="4" l="1"/>
  <c r="AK3020" i="4"/>
  <c r="AI3020" i="4"/>
  <c r="AH3021" i="4"/>
  <c r="AJ3021" i="4"/>
  <c r="AL3012" i="4" l="1"/>
  <c r="AK3021" i="4"/>
  <c r="AI3021" i="4"/>
  <c r="AH3022" i="4"/>
  <c r="AJ3022" i="4"/>
  <c r="AL3013" i="4" l="1"/>
  <c r="AK3022" i="4"/>
  <c r="AI3022" i="4"/>
  <c r="AH3023" i="4"/>
  <c r="AJ3023" i="4"/>
  <c r="AL3014" i="4" l="1"/>
  <c r="AK3023" i="4"/>
  <c r="AI3023" i="4"/>
  <c r="AH3024" i="4"/>
  <c r="AJ3024" i="4"/>
  <c r="AL3015" i="4" l="1"/>
  <c r="AK3024" i="4"/>
  <c r="AI3024" i="4"/>
  <c r="AH3025" i="4"/>
  <c r="AJ3025" i="4"/>
  <c r="AL3016" i="4" l="1"/>
  <c r="AK3025" i="4"/>
  <c r="AI3025" i="4"/>
  <c r="AH3026" i="4"/>
  <c r="AJ3026" i="4"/>
  <c r="AL3017" i="4" l="1"/>
  <c r="AK3026" i="4"/>
  <c r="AI3026" i="4"/>
  <c r="AH3027" i="4"/>
  <c r="AJ3027" i="4"/>
  <c r="AL3018" i="4" l="1"/>
  <c r="AK3027" i="4"/>
  <c r="AI3027" i="4"/>
  <c r="AH3028" i="4"/>
  <c r="AJ3028" i="4"/>
  <c r="AL3019" i="4" l="1"/>
  <c r="AK3028" i="4"/>
  <c r="AI3028" i="4"/>
  <c r="AH3029" i="4"/>
  <c r="AJ3029" i="4"/>
  <c r="AL3020" i="4" l="1"/>
  <c r="AK3029" i="4"/>
  <c r="AI3029" i="4"/>
  <c r="AH3030" i="4"/>
  <c r="AJ3030" i="4"/>
  <c r="AL3021" i="4" l="1"/>
  <c r="AK3030" i="4"/>
  <c r="AI3030" i="4"/>
  <c r="AH3031" i="4"/>
  <c r="AJ3031" i="4"/>
  <c r="AL3022" i="4" l="1"/>
  <c r="AK3031" i="4"/>
  <c r="AI3031" i="4"/>
  <c r="AH3032" i="4"/>
  <c r="AJ3032" i="4"/>
  <c r="AL3023" i="4" l="1"/>
  <c r="AK3032" i="4"/>
  <c r="AI3032" i="4"/>
  <c r="AH3033" i="4"/>
  <c r="AJ3033" i="4"/>
  <c r="AL3024" i="4" l="1"/>
  <c r="AK3033" i="4"/>
  <c r="AI3033" i="4"/>
  <c r="AH3034" i="4"/>
  <c r="AJ3034" i="4"/>
  <c r="AL3025" i="4" l="1"/>
  <c r="AK3034" i="4"/>
  <c r="AI3034" i="4"/>
  <c r="AH3035" i="4"/>
  <c r="AJ3035" i="4"/>
  <c r="AL3026" i="4" l="1"/>
  <c r="AK3035" i="4"/>
  <c r="AI3035" i="4"/>
  <c r="AH3036" i="4"/>
  <c r="AJ3036" i="4"/>
  <c r="AL3027" i="4" l="1"/>
  <c r="AK3036" i="4"/>
  <c r="AI3036" i="4"/>
  <c r="AH3037" i="4"/>
  <c r="AJ3037" i="4"/>
  <c r="AL3028" i="4" l="1"/>
  <c r="AK3037" i="4"/>
  <c r="AI3037" i="4"/>
  <c r="AH3038" i="4"/>
  <c r="AJ3038" i="4"/>
  <c r="AL3029" i="4" l="1"/>
  <c r="AK3038" i="4"/>
  <c r="AI3038" i="4"/>
  <c r="AH3039" i="4"/>
  <c r="AJ3039" i="4"/>
  <c r="AL3030" i="4" l="1"/>
  <c r="AK3039" i="4"/>
  <c r="AI3039" i="4"/>
  <c r="AH3040" i="4"/>
  <c r="AS131" i="4"/>
  <c r="AJ3040" i="4"/>
  <c r="AL3031" i="4" l="1"/>
  <c r="AK3040" i="4"/>
  <c r="AI3040" i="4"/>
  <c r="AH3041" i="4"/>
  <c r="AJ3041" i="4"/>
  <c r="AL3032" i="4" l="1"/>
  <c r="AK3041" i="4"/>
  <c r="AI3041" i="4"/>
  <c r="AH3042" i="4"/>
  <c r="AJ3042" i="4"/>
  <c r="AL3033" i="4" l="1"/>
  <c r="AK3042" i="4"/>
  <c r="AI3042" i="4"/>
  <c r="AH3043" i="4"/>
  <c r="AJ3043" i="4"/>
  <c r="AL3034" i="4" l="1"/>
  <c r="AK3043" i="4"/>
  <c r="AI3043" i="4"/>
  <c r="AH3044" i="4"/>
  <c r="AJ3044" i="4"/>
  <c r="AL3035" i="4" l="1"/>
  <c r="AK3044" i="4"/>
  <c r="AI3044" i="4"/>
  <c r="AH3045" i="4"/>
  <c r="AJ3045" i="4"/>
  <c r="AL3036" i="4" l="1"/>
  <c r="AK3045" i="4"/>
  <c r="AI3045" i="4"/>
  <c r="AH3046" i="4"/>
  <c r="AJ3046" i="4"/>
  <c r="AL3037" i="4" l="1"/>
  <c r="AK3046" i="4"/>
  <c r="AI3046" i="4"/>
  <c r="AH3047" i="4"/>
  <c r="AJ3047" i="4"/>
  <c r="AL3038" i="4" l="1"/>
  <c r="AK3047" i="4"/>
  <c r="AI3047" i="4"/>
  <c r="AH3048" i="4"/>
  <c r="AJ3048" i="4"/>
  <c r="AL3039" i="4" l="1"/>
  <c r="AK3048" i="4"/>
  <c r="AI3048" i="4"/>
  <c r="AH3049" i="4"/>
  <c r="AJ3049" i="4"/>
  <c r="AL3040" i="4" l="1"/>
  <c r="AK3049" i="4"/>
  <c r="AI3049" i="4"/>
  <c r="AH3050" i="4"/>
  <c r="AJ3050" i="4"/>
  <c r="AL3041" i="4" l="1"/>
  <c r="AK3050" i="4"/>
  <c r="AI3050" i="4"/>
  <c r="AH3051" i="4"/>
  <c r="AJ3051" i="4"/>
  <c r="AL3042" i="4" l="1"/>
  <c r="AK3051" i="4"/>
  <c r="AI3051" i="4"/>
  <c r="AH3052" i="4"/>
  <c r="AJ3052" i="4"/>
  <c r="AL3043" i="4" l="1"/>
  <c r="AK3052" i="4"/>
  <c r="AI3052" i="4"/>
  <c r="AH3053" i="4"/>
  <c r="AJ3053" i="4"/>
  <c r="AL3044" i="4" l="1"/>
  <c r="AK3053" i="4"/>
  <c r="AI3053" i="4"/>
  <c r="AH3054" i="4"/>
  <c r="AJ3054" i="4"/>
  <c r="AL3045" i="4" l="1"/>
  <c r="AK3054" i="4"/>
  <c r="AI3054" i="4"/>
  <c r="AH3055" i="4"/>
  <c r="AJ3055" i="4"/>
  <c r="AL3046" i="4" l="1"/>
  <c r="AK3055" i="4"/>
  <c r="AI3055" i="4"/>
  <c r="AH3056" i="4"/>
  <c r="AJ3056" i="4"/>
  <c r="AL3047" i="4" l="1"/>
  <c r="AK3056" i="4"/>
  <c r="AI3056" i="4"/>
  <c r="AH3057" i="4"/>
  <c r="AJ3057" i="4"/>
  <c r="AL3048" i="4" l="1"/>
  <c r="AK3057" i="4"/>
  <c r="AI3057" i="4"/>
  <c r="AH3058" i="4"/>
  <c r="AJ3058" i="4"/>
  <c r="AL3049" i="4" l="1"/>
  <c r="AK3058" i="4"/>
  <c r="AI3058" i="4"/>
  <c r="AH3059" i="4"/>
  <c r="AJ3059" i="4"/>
  <c r="AL3050" i="4" l="1"/>
  <c r="AK3059" i="4"/>
  <c r="AI3059" i="4"/>
  <c r="AH3060" i="4"/>
  <c r="AJ3060" i="4"/>
  <c r="AL3051" i="4" l="1"/>
  <c r="AK3060" i="4"/>
  <c r="AI3060" i="4"/>
  <c r="AH3061" i="4"/>
  <c r="AJ3061" i="4"/>
  <c r="AL3052" i="4" l="1"/>
  <c r="AK3061" i="4"/>
  <c r="AI3061" i="4"/>
  <c r="AH3062" i="4"/>
  <c r="AJ3062" i="4"/>
  <c r="AL3053" i="4" l="1"/>
  <c r="AK3062" i="4"/>
  <c r="AI3062" i="4"/>
  <c r="AH3063" i="4"/>
  <c r="AJ3063" i="4"/>
  <c r="AL3054" i="4" l="1"/>
  <c r="AK3063" i="4"/>
  <c r="AI3063" i="4"/>
  <c r="AH3064" i="4"/>
  <c r="AJ3064" i="4"/>
  <c r="AL3055" i="4" l="1"/>
  <c r="AK3064" i="4"/>
  <c r="AI3064" i="4"/>
  <c r="AH3065" i="4"/>
  <c r="AJ3065" i="4"/>
  <c r="AL3056" i="4" l="1"/>
  <c r="AK3065" i="4"/>
  <c r="AI3065" i="4"/>
  <c r="AH3066" i="4"/>
  <c r="AJ3066" i="4"/>
  <c r="AL3057" i="4" l="1"/>
  <c r="AK3066" i="4"/>
  <c r="AI3066" i="4"/>
  <c r="AH3067" i="4"/>
  <c r="AJ3067" i="4"/>
  <c r="AL3058" i="4" l="1"/>
  <c r="AK3067" i="4"/>
  <c r="AI3067" i="4"/>
  <c r="AH3068" i="4"/>
  <c r="AJ3068" i="4"/>
  <c r="AL3059" i="4" l="1"/>
  <c r="AK3068" i="4"/>
  <c r="AI3068" i="4"/>
  <c r="AH3069" i="4"/>
  <c r="AJ3069" i="4"/>
  <c r="AL3060" i="4" l="1"/>
  <c r="AK3069" i="4"/>
  <c r="AI3069" i="4"/>
  <c r="AH3070" i="4"/>
  <c r="AJ3070" i="4"/>
  <c r="AS132" i="4"/>
  <c r="AL3061" i="4" l="1"/>
  <c r="AK3070" i="4"/>
  <c r="AI3070" i="4"/>
  <c r="AH3071" i="4"/>
  <c r="AJ3071" i="4"/>
  <c r="AL3062" i="4" l="1"/>
  <c r="AK3071" i="4"/>
  <c r="AI3071" i="4"/>
  <c r="AH3072" i="4"/>
  <c r="AJ3072" i="4"/>
  <c r="AL3063" i="4" l="1"/>
  <c r="AK3072" i="4"/>
  <c r="AI3072" i="4"/>
  <c r="AH3073" i="4"/>
  <c r="AJ3073" i="4"/>
  <c r="AL3064" i="4" l="1"/>
  <c r="AK3073" i="4"/>
  <c r="AI3073" i="4"/>
  <c r="AH3074" i="4"/>
  <c r="AJ3074" i="4"/>
  <c r="AL3065" i="4" l="1"/>
  <c r="AK3074" i="4"/>
  <c r="AI3074" i="4"/>
  <c r="AH3075" i="4"/>
  <c r="AJ3075" i="4"/>
  <c r="AL3066" i="4" l="1"/>
  <c r="AK3075" i="4"/>
  <c r="AI3075" i="4"/>
  <c r="AH3076" i="4"/>
  <c r="AJ3076" i="4"/>
  <c r="AL3067" i="4" l="1"/>
  <c r="AK3076" i="4"/>
  <c r="AI3076" i="4"/>
  <c r="AH3077" i="4"/>
  <c r="AJ3077" i="4"/>
  <c r="AL3068" i="4" l="1"/>
  <c r="AK3077" i="4"/>
  <c r="AI3077" i="4"/>
  <c r="AH3078" i="4"/>
  <c r="AJ3078" i="4"/>
  <c r="AL3069" i="4" l="1"/>
  <c r="AK3078" i="4"/>
  <c r="AI3078" i="4"/>
  <c r="AH3079" i="4"/>
  <c r="AJ3079" i="4"/>
  <c r="AL3070" i="4" l="1"/>
  <c r="AK3079" i="4"/>
  <c r="AI3079" i="4"/>
  <c r="AH3080" i="4"/>
  <c r="AJ3080" i="4"/>
  <c r="AL3071" i="4" l="1"/>
  <c r="AK3080" i="4"/>
  <c r="AI3080" i="4"/>
  <c r="AH3081" i="4"/>
  <c r="AJ3081" i="4"/>
  <c r="AL3072" i="4" l="1"/>
  <c r="AK3081" i="4"/>
  <c r="AI3081" i="4"/>
  <c r="AH3082" i="4"/>
  <c r="AJ3082" i="4"/>
  <c r="AL3073" i="4" l="1"/>
  <c r="AK3082" i="4"/>
  <c r="AI3082" i="4"/>
  <c r="AH3083" i="4"/>
  <c r="AJ3083" i="4"/>
  <c r="AL3074" i="4" l="1"/>
  <c r="AK3083" i="4"/>
  <c r="AI3083" i="4"/>
  <c r="AH3084" i="4"/>
  <c r="AJ3084" i="4"/>
  <c r="AL3075" i="4" l="1"/>
  <c r="AK3084" i="4"/>
  <c r="AI3084" i="4"/>
  <c r="AH3085" i="4"/>
  <c r="AJ3085" i="4"/>
  <c r="AL3076" i="4" l="1"/>
  <c r="AK3085" i="4"/>
  <c r="AI3085" i="4"/>
  <c r="AH3086" i="4"/>
  <c r="AJ3086" i="4"/>
  <c r="AL3077" i="4" l="1"/>
  <c r="AK3086" i="4"/>
  <c r="AI3086" i="4"/>
  <c r="AH3087" i="4"/>
  <c r="AJ3087" i="4"/>
  <c r="AL3078" i="4" l="1"/>
  <c r="AK3087" i="4"/>
  <c r="AI3087" i="4"/>
  <c r="AH3088" i="4"/>
  <c r="AJ3088" i="4"/>
  <c r="AL3079" i="4" l="1"/>
  <c r="AK3088" i="4"/>
  <c r="AI3088" i="4"/>
  <c r="AH3089" i="4"/>
  <c r="AJ3089" i="4"/>
  <c r="AL3080" i="4" l="1"/>
  <c r="AK3089" i="4"/>
  <c r="AI3089" i="4"/>
  <c r="AH3090" i="4"/>
  <c r="AJ3090" i="4"/>
  <c r="AL3081" i="4" l="1"/>
  <c r="AK3090" i="4"/>
  <c r="AI3090" i="4"/>
  <c r="AH3091" i="4"/>
  <c r="AJ3091" i="4"/>
  <c r="AL3082" i="4" l="1"/>
  <c r="AK3091" i="4"/>
  <c r="AI3091" i="4"/>
  <c r="AH3092" i="4"/>
  <c r="AJ3092" i="4"/>
  <c r="AL3083" i="4" l="1"/>
  <c r="AK3092" i="4"/>
  <c r="AI3092" i="4"/>
  <c r="AH3093" i="4"/>
  <c r="AJ3093" i="4"/>
  <c r="AL3084" i="4" l="1"/>
  <c r="AK3093" i="4"/>
  <c r="AI3093" i="4"/>
  <c r="AH3094" i="4"/>
  <c r="AJ3094" i="4"/>
  <c r="AL3085" i="4" l="1"/>
  <c r="AK3094" i="4"/>
  <c r="AI3094" i="4"/>
  <c r="AH3095" i="4"/>
  <c r="AJ3095" i="4"/>
  <c r="AL3086" i="4" l="1"/>
  <c r="AK3095" i="4"/>
  <c r="AI3095" i="4"/>
  <c r="AH3096" i="4"/>
  <c r="AJ3096" i="4"/>
  <c r="AL3087" i="4" l="1"/>
  <c r="AK3096" i="4"/>
  <c r="AI3096" i="4"/>
  <c r="AH3097" i="4"/>
  <c r="AJ3097" i="4"/>
  <c r="AL3088" i="4" l="1"/>
  <c r="AK3097" i="4"/>
  <c r="AI3097" i="4"/>
  <c r="AH3098" i="4"/>
  <c r="AJ3098" i="4"/>
  <c r="AL3089" i="4" l="1"/>
  <c r="AK3098" i="4"/>
  <c r="AI3098" i="4"/>
  <c r="AH3099" i="4"/>
  <c r="AJ3099" i="4"/>
  <c r="AL3090" i="4" l="1"/>
  <c r="AK3099" i="4"/>
  <c r="AI3099" i="4"/>
  <c r="AH3100" i="4"/>
  <c r="AJ3100" i="4"/>
  <c r="AS133" i="4"/>
  <c r="AL3091" i="4" l="1"/>
  <c r="AK3100" i="4"/>
  <c r="AI3100" i="4"/>
  <c r="AH3101" i="4"/>
  <c r="AJ3101" i="4"/>
  <c r="AL3092" i="4" l="1"/>
  <c r="AK3101" i="4"/>
  <c r="AI3101" i="4"/>
  <c r="AH3102" i="4"/>
  <c r="AJ3102" i="4"/>
  <c r="AL3093" i="4" l="1"/>
  <c r="AK3102" i="4"/>
  <c r="AI3102" i="4"/>
  <c r="AH3103" i="4"/>
  <c r="AJ3103" i="4"/>
  <c r="AL3094" i="4" l="1"/>
  <c r="AK3103" i="4"/>
  <c r="AI3103" i="4"/>
  <c r="AH3104" i="4"/>
  <c r="AJ3104" i="4"/>
  <c r="AL3095" i="4" l="1"/>
  <c r="AK3104" i="4"/>
  <c r="AI3104" i="4"/>
  <c r="AH3105" i="4"/>
  <c r="AJ3105" i="4"/>
  <c r="AL3096" i="4" l="1"/>
  <c r="AK3105" i="4"/>
  <c r="AI3105" i="4"/>
  <c r="AH3106" i="4"/>
  <c r="AJ3106" i="4"/>
  <c r="AL3097" i="4" l="1"/>
  <c r="AK3106" i="4"/>
  <c r="AI3106" i="4"/>
  <c r="AH3107" i="4"/>
  <c r="AJ3107" i="4"/>
  <c r="AL3098" i="4" l="1"/>
  <c r="AK3107" i="4"/>
  <c r="AI3107" i="4"/>
  <c r="AH3108" i="4"/>
  <c r="AJ3108" i="4"/>
  <c r="AL3099" i="4" l="1"/>
  <c r="AK3108" i="4"/>
  <c r="AI3108" i="4"/>
  <c r="AH3109" i="4"/>
  <c r="AJ3109" i="4"/>
  <c r="AL3100" i="4" l="1"/>
  <c r="AK3109" i="4"/>
  <c r="AI3109" i="4"/>
  <c r="AH3110" i="4"/>
  <c r="AJ3110" i="4"/>
  <c r="AL3101" i="4" l="1"/>
  <c r="AK3110" i="4"/>
  <c r="AI3110" i="4"/>
  <c r="AH3111" i="4"/>
  <c r="AJ3111" i="4"/>
  <c r="AL3102" i="4" l="1"/>
  <c r="AK3111" i="4"/>
  <c r="AI3111" i="4"/>
  <c r="AH3112" i="4"/>
  <c r="AJ3112" i="4"/>
  <c r="AL3103" i="4" l="1"/>
  <c r="AK3112" i="4"/>
  <c r="AI3112" i="4"/>
  <c r="AH3113" i="4"/>
  <c r="AJ3113" i="4"/>
  <c r="AL3104" i="4" l="1"/>
  <c r="AK3113" i="4"/>
  <c r="AI3113" i="4"/>
  <c r="AH3114" i="4"/>
  <c r="AJ3114" i="4"/>
  <c r="AL3105" i="4" l="1"/>
  <c r="AK3114" i="4"/>
  <c r="AI3114" i="4"/>
  <c r="AH3115" i="4"/>
  <c r="AJ3115" i="4"/>
  <c r="AL3106" i="4" l="1"/>
  <c r="AK3115" i="4"/>
  <c r="AI3115" i="4"/>
  <c r="AH3116" i="4"/>
  <c r="AJ3116" i="4"/>
  <c r="AL3107" i="4" l="1"/>
  <c r="AK3116" i="4"/>
  <c r="AI3116" i="4"/>
  <c r="AH3117" i="4"/>
  <c r="AJ3117" i="4"/>
  <c r="AL3108" i="4" l="1"/>
  <c r="AK3117" i="4"/>
  <c r="AI3117" i="4"/>
  <c r="AH3118" i="4"/>
  <c r="AJ3118" i="4"/>
  <c r="AL3109" i="4" l="1"/>
  <c r="AK3118" i="4"/>
  <c r="AI3118" i="4"/>
  <c r="AH3119" i="4"/>
  <c r="AJ3119" i="4"/>
  <c r="AL3110" i="4" l="1"/>
  <c r="AK3119" i="4"/>
  <c r="AI3119" i="4"/>
  <c r="AH3120" i="4"/>
  <c r="AJ3120" i="4"/>
  <c r="AL3111" i="4" l="1"/>
  <c r="AK3120" i="4"/>
  <c r="AI3120" i="4"/>
  <c r="AH3121" i="4"/>
  <c r="AJ3121" i="4"/>
  <c r="AL3112" i="4" l="1"/>
  <c r="AK3121" i="4"/>
  <c r="AI3121" i="4"/>
  <c r="AH3122" i="4"/>
  <c r="AJ3122" i="4"/>
  <c r="AL3113" i="4" l="1"/>
  <c r="AK3122" i="4"/>
  <c r="AI3122" i="4"/>
  <c r="AH3123" i="4"/>
  <c r="AJ3123" i="4"/>
  <c r="AL3114" i="4" l="1"/>
  <c r="AK3123" i="4"/>
  <c r="AI3123" i="4"/>
  <c r="AH3124" i="4"/>
  <c r="AJ3124" i="4"/>
  <c r="AL3115" i="4" l="1"/>
  <c r="AK3124" i="4"/>
  <c r="AI3124" i="4"/>
  <c r="AH3125" i="4"/>
  <c r="AJ3125" i="4"/>
  <c r="AL3116" i="4" l="1"/>
  <c r="AK3125" i="4"/>
  <c r="AI3125" i="4"/>
  <c r="AH3126" i="4"/>
  <c r="AJ3126" i="4"/>
  <c r="AL3117" i="4" l="1"/>
  <c r="AK3126" i="4"/>
  <c r="AI3126" i="4"/>
  <c r="AH3127" i="4"/>
  <c r="AJ3127" i="4"/>
  <c r="AL3118" i="4" l="1"/>
  <c r="AK3127" i="4"/>
  <c r="AI3127" i="4"/>
  <c r="AH3128" i="4"/>
  <c r="AJ3128" i="4"/>
  <c r="AL3119" i="4" l="1"/>
  <c r="AK3128" i="4"/>
  <c r="AI3128" i="4"/>
  <c r="AH3129" i="4"/>
  <c r="AJ3129" i="4"/>
  <c r="AL3120" i="4" l="1"/>
  <c r="AK3129" i="4"/>
  <c r="AI3129" i="4"/>
  <c r="AH3130" i="4"/>
  <c r="AS134" i="4"/>
  <c r="AJ3130" i="4"/>
  <c r="AL3121" i="4" l="1"/>
  <c r="AK3130" i="4"/>
  <c r="AI3130" i="4"/>
  <c r="AH3131" i="4"/>
  <c r="AJ3131" i="4"/>
  <c r="AL3122" i="4" l="1"/>
  <c r="AK3131" i="4"/>
  <c r="AI3131" i="4"/>
  <c r="AH3132" i="4"/>
  <c r="AJ3132" i="4"/>
  <c r="AL3123" i="4" l="1"/>
  <c r="AK3132" i="4"/>
  <c r="AI3132" i="4"/>
  <c r="AH3133" i="4"/>
  <c r="AJ3133" i="4"/>
  <c r="AL3124" i="4" l="1"/>
  <c r="AK3133" i="4"/>
  <c r="AI3133" i="4"/>
  <c r="AH3134" i="4"/>
  <c r="AJ3134" i="4"/>
  <c r="AL3125" i="4" l="1"/>
  <c r="AK3134" i="4"/>
  <c r="AI3134" i="4"/>
  <c r="AH3135" i="4"/>
  <c r="AJ3135" i="4"/>
  <c r="AL3126" i="4" l="1"/>
  <c r="AK3135" i="4"/>
  <c r="AI3135" i="4"/>
  <c r="AH3136" i="4"/>
  <c r="AJ3136" i="4"/>
  <c r="AL3127" i="4" l="1"/>
  <c r="AK3136" i="4"/>
  <c r="AI3136" i="4"/>
  <c r="AH3137" i="4"/>
  <c r="AJ3137" i="4"/>
  <c r="AL3128" i="4" l="1"/>
  <c r="AK3137" i="4"/>
  <c r="AI3137" i="4"/>
  <c r="AH3138" i="4"/>
  <c r="AJ3138" i="4"/>
  <c r="AL3129" i="4" l="1"/>
  <c r="AK3138" i="4"/>
  <c r="AI3138" i="4"/>
  <c r="AH3139" i="4"/>
  <c r="AJ3139" i="4"/>
  <c r="AL3130" i="4" l="1"/>
  <c r="AK3139" i="4"/>
  <c r="AI3139" i="4"/>
  <c r="AH3140" i="4"/>
  <c r="AJ3140" i="4"/>
  <c r="AL3131" i="4" l="1"/>
  <c r="AK3140" i="4"/>
  <c r="AI3140" i="4"/>
  <c r="AH3141" i="4"/>
  <c r="AJ3141" i="4"/>
  <c r="AL3132" i="4" l="1"/>
  <c r="AK3141" i="4"/>
  <c r="AI3141" i="4"/>
  <c r="AH3142" i="4"/>
  <c r="AJ3142" i="4"/>
  <c r="AL3133" i="4" l="1"/>
  <c r="AK3142" i="4"/>
  <c r="AI3142" i="4"/>
  <c r="AH3143" i="4"/>
  <c r="AJ3143" i="4"/>
  <c r="AL3134" i="4" l="1"/>
  <c r="AK3143" i="4"/>
  <c r="AI3143" i="4"/>
  <c r="AH3144" i="4"/>
  <c r="AJ3144" i="4"/>
  <c r="AL3135" i="4" l="1"/>
  <c r="AK3144" i="4"/>
  <c r="AI3144" i="4"/>
  <c r="AH3145" i="4"/>
  <c r="AJ3145" i="4"/>
  <c r="AL3136" i="4" l="1"/>
  <c r="AK3145" i="4"/>
  <c r="AI3145" i="4"/>
  <c r="AH3146" i="4"/>
  <c r="AJ3146" i="4"/>
  <c r="AL3137" i="4" l="1"/>
  <c r="AK3146" i="4"/>
  <c r="AI3146" i="4"/>
  <c r="AH3147" i="4"/>
  <c r="AJ3147" i="4"/>
  <c r="AL3138" i="4" l="1"/>
  <c r="AK3147" i="4"/>
  <c r="AI3147" i="4"/>
  <c r="AH3148" i="4"/>
  <c r="AJ3148" i="4"/>
  <c r="AL3139" i="4" l="1"/>
  <c r="AK3148" i="4"/>
  <c r="AI3148" i="4"/>
  <c r="AH3149" i="4"/>
  <c r="AJ3149" i="4"/>
  <c r="AL3140" i="4" l="1"/>
  <c r="AK3149" i="4"/>
  <c r="AI3149" i="4"/>
  <c r="AH3150" i="4"/>
  <c r="AJ3150" i="4"/>
  <c r="AL3141" i="4" l="1"/>
  <c r="AK3150" i="4"/>
  <c r="AI3150" i="4"/>
  <c r="AH3151" i="4"/>
  <c r="AJ3151" i="4"/>
  <c r="AL3142" i="4" l="1"/>
  <c r="AK3151" i="4"/>
  <c r="AI3151" i="4"/>
  <c r="AH3152" i="4"/>
  <c r="AJ3152" i="4"/>
  <c r="AL3143" i="4" l="1"/>
  <c r="AK3152" i="4"/>
  <c r="AI3152" i="4"/>
  <c r="AH3153" i="4"/>
  <c r="AJ3153" i="4"/>
  <c r="AL3144" i="4" l="1"/>
  <c r="AK3153" i="4"/>
  <c r="AI3153" i="4"/>
  <c r="AH3154" i="4"/>
  <c r="AJ3154" i="4"/>
  <c r="AL3145" i="4" l="1"/>
  <c r="AK3154" i="4"/>
  <c r="AI3154" i="4"/>
  <c r="AH3155" i="4"/>
  <c r="AJ3155" i="4"/>
  <c r="AL3146" i="4" l="1"/>
  <c r="AK3155" i="4"/>
  <c r="AI3155" i="4"/>
  <c r="AH3156" i="4"/>
  <c r="AJ3156" i="4"/>
  <c r="AL3147" i="4" l="1"/>
  <c r="AK3156" i="4"/>
  <c r="AI3156" i="4"/>
  <c r="AH3157" i="4"/>
  <c r="AJ3157" i="4"/>
  <c r="AL3148" i="4" l="1"/>
  <c r="AK3157" i="4"/>
  <c r="AI3157" i="4"/>
  <c r="AH3158" i="4"/>
  <c r="AJ3158" i="4"/>
  <c r="AL3149" i="4" l="1"/>
  <c r="AK3158" i="4"/>
  <c r="AI3158" i="4"/>
  <c r="AH3159" i="4"/>
  <c r="AJ3159" i="4"/>
  <c r="AL3150" i="4" l="1"/>
  <c r="AK3159" i="4"/>
  <c r="AI3159" i="4"/>
  <c r="AH3160" i="4"/>
  <c r="AS135" i="4"/>
  <c r="AJ3160" i="4"/>
  <c r="AL3151" i="4" l="1"/>
  <c r="AK3160" i="4"/>
  <c r="AI3160" i="4"/>
  <c r="AH3161" i="4"/>
  <c r="AJ3161" i="4"/>
  <c r="AL3152" i="4" l="1"/>
  <c r="AK3161" i="4"/>
  <c r="AI3161" i="4"/>
  <c r="AH3162" i="4"/>
  <c r="AJ3162" i="4"/>
  <c r="AL3153" i="4" l="1"/>
  <c r="AK3162" i="4"/>
  <c r="AI3162" i="4"/>
  <c r="AH3163" i="4"/>
  <c r="AJ3163" i="4"/>
  <c r="AL3154" i="4" l="1"/>
  <c r="AK3163" i="4"/>
  <c r="AI3163" i="4"/>
  <c r="AH3164" i="4"/>
  <c r="AJ3164" i="4"/>
  <c r="AL3155" i="4" l="1"/>
  <c r="AK3164" i="4"/>
  <c r="AI3164" i="4"/>
  <c r="AH3165" i="4"/>
  <c r="AJ3165" i="4"/>
  <c r="AL3156" i="4" l="1"/>
  <c r="AK3165" i="4"/>
  <c r="AI3165" i="4"/>
  <c r="AH3166" i="4"/>
  <c r="AJ3166" i="4"/>
  <c r="AL3157" i="4" l="1"/>
  <c r="AK3166" i="4"/>
  <c r="AI3166" i="4"/>
  <c r="AH3167" i="4"/>
  <c r="AJ3167" i="4"/>
  <c r="AL3158" i="4" l="1"/>
  <c r="AK3167" i="4"/>
  <c r="AI3167" i="4"/>
  <c r="AH3168" i="4"/>
  <c r="AJ3168" i="4"/>
  <c r="AL3159" i="4" l="1"/>
  <c r="AK3168" i="4"/>
  <c r="AI3168" i="4"/>
  <c r="AH3169" i="4"/>
  <c r="AJ3169" i="4"/>
  <c r="AL3160" i="4" l="1"/>
  <c r="AK3169" i="4"/>
  <c r="AI3169" i="4"/>
  <c r="AH3170" i="4"/>
  <c r="AJ3170" i="4"/>
  <c r="AL3161" i="4" l="1"/>
  <c r="AK3170" i="4"/>
  <c r="AI3170" i="4"/>
  <c r="AH3171" i="4"/>
  <c r="AJ3171" i="4"/>
  <c r="AL3162" i="4" l="1"/>
  <c r="AK3171" i="4"/>
  <c r="AI3171" i="4"/>
  <c r="AH3172" i="4"/>
  <c r="AJ3172" i="4"/>
  <c r="AL3163" i="4" l="1"/>
  <c r="AK3172" i="4"/>
  <c r="AI3172" i="4"/>
  <c r="AH3173" i="4"/>
  <c r="AJ3173" i="4"/>
  <c r="AL3164" i="4" l="1"/>
  <c r="AK3173" i="4"/>
  <c r="AI3173" i="4"/>
  <c r="AH3174" i="4"/>
  <c r="AJ3174" i="4"/>
  <c r="AL3165" i="4" l="1"/>
  <c r="AK3174" i="4"/>
  <c r="AI3174" i="4"/>
  <c r="AH3175" i="4"/>
  <c r="AJ3175" i="4"/>
  <c r="AL3166" i="4" l="1"/>
  <c r="AK3175" i="4"/>
  <c r="AI3175" i="4"/>
  <c r="AH3176" i="4"/>
  <c r="AJ3176" i="4"/>
  <c r="AL3167" i="4" l="1"/>
  <c r="AK3176" i="4"/>
  <c r="AI3176" i="4"/>
  <c r="AH3177" i="4"/>
  <c r="AJ3177" i="4"/>
  <c r="AL3168" i="4" l="1"/>
  <c r="AK3177" i="4"/>
  <c r="AI3177" i="4"/>
  <c r="AH3178" i="4"/>
  <c r="AJ3178" i="4"/>
  <c r="AL3169" i="4" l="1"/>
  <c r="AK3178" i="4"/>
  <c r="AI3178" i="4"/>
  <c r="AH3179" i="4"/>
  <c r="AJ3179" i="4"/>
  <c r="AL3170" i="4" l="1"/>
  <c r="AK3179" i="4"/>
  <c r="AI3179" i="4"/>
  <c r="AH3180" i="4"/>
  <c r="AJ3180" i="4"/>
  <c r="AL3171" i="4" l="1"/>
  <c r="AK3180" i="4"/>
  <c r="AI3180" i="4"/>
  <c r="AH3181" i="4"/>
  <c r="AJ3181" i="4"/>
  <c r="AL3172" i="4" l="1"/>
  <c r="AK3181" i="4"/>
  <c r="AI3181" i="4"/>
  <c r="AH3182" i="4"/>
  <c r="AJ3182" i="4"/>
  <c r="AL3173" i="4" l="1"/>
  <c r="AK3182" i="4"/>
  <c r="AI3182" i="4"/>
  <c r="AH3183" i="4"/>
  <c r="AJ3183" i="4"/>
  <c r="AL3174" i="4" l="1"/>
  <c r="AK3183" i="4"/>
  <c r="AI3183" i="4"/>
  <c r="AH3184" i="4"/>
  <c r="AJ3184" i="4"/>
  <c r="AL3175" i="4" l="1"/>
  <c r="AK3184" i="4"/>
  <c r="AI3184" i="4"/>
  <c r="AH3185" i="4"/>
  <c r="AJ3185" i="4"/>
  <c r="AL3176" i="4" l="1"/>
  <c r="AK3185" i="4"/>
  <c r="AI3185" i="4"/>
  <c r="AH3186" i="4"/>
  <c r="AJ3186" i="4"/>
  <c r="AL3177" i="4" l="1"/>
  <c r="AK3186" i="4"/>
  <c r="AI3186" i="4"/>
  <c r="AH3187" i="4"/>
  <c r="AJ3187" i="4"/>
  <c r="AL3178" i="4" l="1"/>
  <c r="AK3187" i="4"/>
  <c r="AI3187" i="4"/>
  <c r="AH3188" i="4"/>
  <c r="AJ3188" i="4"/>
  <c r="AL3179" i="4" l="1"/>
  <c r="AK3188" i="4"/>
  <c r="AI3188" i="4"/>
  <c r="AH3189" i="4"/>
  <c r="AJ3189" i="4"/>
  <c r="AL3180" i="4" l="1"/>
  <c r="AK3189" i="4"/>
  <c r="AI3189" i="4"/>
  <c r="AH3190" i="4"/>
  <c r="AS136" i="4"/>
  <c r="AJ3190" i="4"/>
  <c r="AL3181" i="4" l="1"/>
  <c r="AK3190" i="4"/>
  <c r="AI3190" i="4"/>
  <c r="AH3191" i="4"/>
  <c r="AJ3191" i="4"/>
  <c r="AL3182" i="4" l="1"/>
  <c r="AK3191" i="4"/>
  <c r="AI3191" i="4"/>
  <c r="AH3192" i="4"/>
  <c r="AJ3192" i="4"/>
  <c r="AL3183" i="4" l="1"/>
  <c r="AK3192" i="4"/>
  <c r="AI3192" i="4"/>
  <c r="AH3193" i="4"/>
  <c r="AJ3193" i="4"/>
  <c r="AL3184" i="4" l="1"/>
  <c r="AK3193" i="4"/>
  <c r="AI3193" i="4"/>
  <c r="AH3194" i="4"/>
  <c r="AJ3194" i="4"/>
  <c r="AL3185" i="4" l="1"/>
  <c r="AK3194" i="4"/>
  <c r="AI3194" i="4"/>
  <c r="AH3195" i="4"/>
  <c r="AJ3195" i="4"/>
  <c r="AL3186" i="4" l="1"/>
  <c r="AK3195" i="4"/>
  <c r="AI3195" i="4"/>
  <c r="AH3196" i="4"/>
  <c r="AJ3196" i="4"/>
  <c r="AL3187" i="4" l="1"/>
  <c r="AK3196" i="4"/>
  <c r="AI3196" i="4"/>
  <c r="AH3197" i="4"/>
  <c r="AJ3197" i="4"/>
  <c r="AL3188" i="4" l="1"/>
  <c r="AK3197" i="4"/>
  <c r="AI3197" i="4"/>
  <c r="AH3198" i="4"/>
  <c r="AJ3198" i="4"/>
  <c r="AL3189" i="4" l="1"/>
  <c r="AK3198" i="4"/>
  <c r="AI3198" i="4"/>
  <c r="AH3199" i="4"/>
  <c r="AJ3199" i="4"/>
  <c r="AL3190" i="4" l="1"/>
  <c r="AK3199" i="4"/>
  <c r="AI3199" i="4"/>
  <c r="AH3200" i="4"/>
  <c r="AJ3200" i="4"/>
  <c r="AL3191" i="4" l="1"/>
  <c r="AK3200" i="4"/>
  <c r="AI3200" i="4"/>
  <c r="AH3201" i="4"/>
  <c r="AJ3201" i="4"/>
  <c r="AL3192" i="4" l="1"/>
  <c r="AK3201" i="4"/>
  <c r="AI3201" i="4"/>
  <c r="AH3202" i="4"/>
  <c r="AJ3202" i="4"/>
  <c r="AL3193" i="4" l="1"/>
  <c r="AK3202" i="4"/>
  <c r="AI3202" i="4"/>
  <c r="AH3203" i="4"/>
  <c r="AJ3203" i="4"/>
  <c r="AL3194" i="4" l="1"/>
  <c r="AK3203" i="4"/>
  <c r="AI3203" i="4"/>
  <c r="AH3204" i="4"/>
  <c r="AJ3204" i="4"/>
  <c r="AL3195" i="4" l="1"/>
  <c r="AK3204" i="4"/>
  <c r="AI3204" i="4"/>
  <c r="AH3205" i="4"/>
  <c r="AJ3205" i="4"/>
  <c r="AL3196" i="4" l="1"/>
  <c r="AK3205" i="4"/>
  <c r="AI3205" i="4"/>
  <c r="AH3206" i="4"/>
  <c r="AJ3206" i="4"/>
  <c r="AL3197" i="4" l="1"/>
  <c r="AK3206" i="4"/>
  <c r="AI3206" i="4"/>
  <c r="AH3207" i="4"/>
  <c r="AJ3207" i="4"/>
  <c r="AL3198" i="4" l="1"/>
  <c r="AK3207" i="4"/>
  <c r="AI3207" i="4"/>
  <c r="AH3208" i="4"/>
  <c r="AJ3208" i="4"/>
  <c r="AL3199" i="4" l="1"/>
  <c r="AK3208" i="4"/>
  <c r="AI3208" i="4"/>
  <c r="AH3209" i="4"/>
  <c r="AJ3209" i="4"/>
  <c r="AL3200" i="4" l="1"/>
  <c r="AK3209" i="4"/>
  <c r="AI3209" i="4"/>
  <c r="AH3210" i="4"/>
  <c r="AJ3210" i="4"/>
  <c r="AL3201" i="4" l="1"/>
  <c r="AK3210" i="4"/>
  <c r="AI3210" i="4"/>
  <c r="AH3211" i="4"/>
  <c r="AJ3211" i="4"/>
  <c r="AL3202" i="4" l="1"/>
  <c r="AK3211" i="4"/>
  <c r="AI3211" i="4"/>
  <c r="AH3212" i="4"/>
  <c r="AJ3212" i="4"/>
  <c r="AL3203" i="4" l="1"/>
  <c r="AK3212" i="4"/>
  <c r="AI3212" i="4"/>
  <c r="AH3213" i="4"/>
  <c r="AJ3213" i="4"/>
  <c r="AL3204" i="4" l="1"/>
  <c r="AK3213" i="4"/>
  <c r="AI3213" i="4"/>
  <c r="AH3214" i="4"/>
  <c r="AJ3214" i="4"/>
  <c r="AL3205" i="4" l="1"/>
  <c r="AK3214" i="4"/>
  <c r="AI3214" i="4"/>
  <c r="AH3215" i="4"/>
  <c r="AJ3215" i="4"/>
  <c r="AL3206" i="4" l="1"/>
  <c r="AK3215" i="4"/>
  <c r="AI3215" i="4"/>
  <c r="AH3216" i="4"/>
  <c r="AJ3216" i="4"/>
  <c r="AL3207" i="4" l="1"/>
  <c r="AK3216" i="4"/>
  <c r="AI3216" i="4"/>
  <c r="AH3217" i="4"/>
  <c r="AJ3217" i="4"/>
  <c r="AL3208" i="4" l="1"/>
  <c r="AK3217" i="4"/>
  <c r="AI3217" i="4"/>
  <c r="AH3218" i="4"/>
  <c r="AJ3218" i="4"/>
  <c r="AL3209" i="4" l="1"/>
  <c r="AK3218" i="4"/>
  <c r="AI3218" i="4"/>
  <c r="AH3219" i="4"/>
  <c r="AJ3219" i="4"/>
  <c r="AL3210" i="4" l="1"/>
  <c r="AK3219" i="4"/>
  <c r="AI3219" i="4"/>
  <c r="AH3220" i="4"/>
  <c r="AS137" i="4"/>
  <c r="AJ3220" i="4"/>
  <c r="AL3211" i="4" l="1"/>
  <c r="AK3220" i="4"/>
  <c r="AI3220" i="4"/>
  <c r="AH3221" i="4"/>
  <c r="AJ3221" i="4"/>
  <c r="AL3212" i="4" l="1"/>
  <c r="AK3221" i="4"/>
  <c r="AI3221" i="4"/>
  <c r="AH3222" i="4"/>
  <c r="AJ3222" i="4"/>
  <c r="AL3213" i="4" l="1"/>
  <c r="AK3222" i="4"/>
  <c r="AI3222" i="4"/>
  <c r="AH3223" i="4"/>
  <c r="AJ3223" i="4"/>
  <c r="AL3214" i="4" l="1"/>
  <c r="AK3223" i="4"/>
  <c r="AI3223" i="4"/>
  <c r="AH3224" i="4"/>
  <c r="AJ3224" i="4"/>
  <c r="AL3215" i="4" l="1"/>
  <c r="AK3224" i="4"/>
  <c r="AI3224" i="4"/>
  <c r="AH3225" i="4"/>
  <c r="AJ3225" i="4"/>
  <c r="AL3216" i="4" l="1"/>
  <c r="AK3225" i="4"/>
  <c r="AI3225" i="4"/>
  <c r="AH3226" i="4"/>
  <c r="AJ3226" i="4"/>
  <c r="AL3217" i="4" l="1"/>
  <c r="AK3226" i="4"/>
  <c r="AI3226" i="4"/>
  <c r="AH3227" i="4"/>
  <c r="AJ3227" i="4"/>
  <c r="AL3218" i="4" l="1"/>
  <c r="AK3227" i="4"/>
  <c r="AI3227" i="4"/>
  <c r="AH3228" i="4"/>
  <c r="AJ3228" i="4"/>
  <c r="AL3219" i="4" l="1"/>
  <c r="AK3228" i="4"/>
  <c r="AI3228" i="4"/>
  <c r="AH3229" i="4"/>
  <c r="AJ3229" i="4"/>
  <c r="AL3220" i="4" l="1"/>
  <c r="AK3229" i="4"/>
  <c r="AI3229" i="4"/>
  <c r="AH3230" i="4"/>
  <c r="AJ3230" i="4"/>
  <c r="AL3221" i="4" l="1"/>
  <c r="AK3230" i="4"/>
  <c r="AI3230" i="4"/>
  <c r="AH3231" i="4"/>
  <c r="AJ3231" i="4"/>
  <c r="AL3222" i="4" l="1"/>
  <c r="AK3231" i="4"/>
  <c r="AI3231" i="4"/>
  <c r="AH3232" i="4"/>
  <c r="AJ3232" i="4"/>
  <c r="AL3223" i="4" l="1"/>
  <c r="AK3232" i="4"/>
  <c r="AI3232" i="4"/>
  <c r="AH3233" i="4"/>
  <c r="AJ3233" i="4"/>
  <c r="AL3224" i="4" l="1"/>
  <c r="AK3233" i="4"/>
  <c r="AI3233" i="4"/>
  <c r="AH3234" i="4"/>
  <c r="AJ3234" i="4"/>
  <c r="AL3225" i="4" l="1"/>
  <c r="AK3234" i="4"/>
  <c r="AI3234" i="4"/>
  <c r="AH3235" i="4"/>
  <c r="AJ3235" i="4"/>
  <c r="AL3226" i="4" l="1"/>
  <c r="AK3235" i="4"/>
  <c r="AI3235" i="4"/>
  <c r="AH3236" i="4"/>
  <c r="AJ3236" i="4"/>
  <c r="AL3227" i="4" l="1"/>
  <c r="AK3236" i="4"/>
  <c r="AI3236" i="4"/>
  <c r="AH3237" i="4"/>
  <c r="AJ3237" i="4"/>
  <c r="AL3228" i="4" l="1"/>
  <c r="AK3237" i="4"/>
  <c r="AI3237" i="4"/>
  <c r="AH3238" i="4"/>
  <c r="AJ3238" i="4"/>
  <c r="AL3229" i="4" l="1"/>
  <c r="AK3238" i="4"/>
  <c r="AI3238" i="4"/>
  <c r="AH3239" i="4"/>
  <c r="AJ3239" i="4"/>
  <c r="AL3230" i="4" l="1"/>
  <c r="AK3239" i="4"/>
  <c r="AI3239" i="4"/>
  <c r="AH3240" i="4"/>
  <c r="AJ3240" i="4"/>
  <c r="AL3231" i="4" l="1"/>
  <c r="AK3240" i="4"/>
  <c r="AI3240" i="4"/>
  <c r="AH3241" i="4"/>
  <c r="AJ3241" i="4"/>
  <c r="AL3232" i="4" l="1"/>
  <c r="AK3241" i="4"/>
  <c r="AI3241" i="4"/>
  <c r="AH3242" i="4"/>
  <c r="AJ3242" i="4"/>
  <c r="AL3233" i="4" l="1"/>
  <c r="AK3242" i="4"/>
  <c r="AI3242" i="4"/>
  <c r="AH3243" i="4"/>
  <c r="AJ3243" i="4"/>
  <c r="AL3234" i="4" l="1"/>
  <c r="AK3243" i="4"/>
  <c r="AI3243" i="4"/>
  <c r="AH3244" i="4"/>
  <c r="AJ3244" i="4"/>
  <c r="AL3235" i="4" l="1"/>
  <c r="AK3244" i="4"/>
  <c r="AI3244" i="4"/>
  <c r="AH3245" i="4"/>
  <c r="AJ3245" i="4"/>
  <c r="AL3236" i="4" l="1"/>
  <c r="AK3245" i="4"/>
  <c r="AI3245" i="4"/>
  <c r="AH3246" i="4"/>
  <c r="AJ3246" i="4"/>
  <c r="AL3237" i="4" l="1"/>
  <c r="AK3246" i="4"/>
  <c r="AI3246" i="4"/>
  <c r="AH3247" i="4"/>
  <c r="AJ3247" i="4"/>
  <c r="AL3238" i="4" l="1"/>
  <c r="AK3247" i="4"/>
  <c r="AI3247" i="4"/>
  <c r="AH3248" i="4"/>
  <c r="AJ3248" i="4"/>
  <c r="AL3239" i="4" l="1"/>
  <c r="AK3248" i="4"/>
  <c r="AI3248" i="4"/>
  <c r="AH3249" i="4"/>
  <c r="AJ3249" i="4"/>
  <c r="AL3240" i="4" l="1"/>
  <c r="AK3249" i="4"/>
  <c r="AI3249" i="4"/>
  <c r="AH3250" i="4"/>
  <c r="AJ3250" i="4"/>
  <c r="AS138" i="4"/>
  <c r="AL3241" i="4" l="1"/>
  <c r="AK3250" i="4"/>
  <c r="AI3250" i="4"/>
  <c r="AH3251" i="4"/>
  <c r="AJ3251" i="4"/>
  <c r="AL3242" i="4" l="1"/>
  <c r="AK3251" i="4"/>
  <c r="AI3251" i="4"/>
  <c r="AH3252" i="4"/>
  <c r="AJ3252" i="4"/>
  <c r="AL3243" i="4" l="1"/>
  <c r="AK3252" i="4"/>
  <c r="AI3252" i="4"/>
  <c r="AH3253" i="4"/>
  <c r="AJ3253" i="4"/>
  <c r="AL3244" i="4" l="1"/>
  <c r="AK3253" i="4"/>
  <c r="AI3253" i="4"/>
  <c r="AH3254" i="4"/>
  <c r="AJ3254" i="4"/>
  <c r="AL3245" i="4" l="1"/>
  <c r="AK3254" i="4"/>
  <c r="AI3254" i="4"/>
  <c r="AH3255" i="4"/>
  <c r="AJ3255" i="4"/>
  <c r="AL3246" i="4" l="1"/>
  <c r="AK3255" i="4"/>
  <c r="AI3255" i="4"/>
  <c r="AH3256" i="4"/>
  <c r="AJ3256" i="4"/>
  <c r="AL3247" i="4" l="1"/>
  <c r="AK3256" i="4"/>
  <c r="AI3256" i="4"/>
  <c r="AH3257" i="4"/>
  <c r="AJ3257" i="4"/>
  <c r="AL3248" i="4" l="1"/>
  <c r="AK3257" i="4"/>
  <c r="AI3257" i="4"/>
  <c r="AH3258" i="4"/>
  <c r="AJ3258" i="4"/>
  <c r="AL3249" i="4" l="1"/>
  <c r="AK3258" i="4"/>
  <c r="AI3258" i="4"/>
  <c r="AH3259" i="4"/>
  <c r="AJ3259" i="4"/>
  <c r="AL3250" i="4" l="1"/>
  <c r="AK3259" i="4"/>
  <c r="AI3259" i="4"/>
  <c r="AH3260" i="4"/>
  <c r="AJ3260" i="4"/>
  <c r="AL3251" i="4" l="1"/>
  <c r="AK3260" i="4"/>
  <c r="AI3260" i="4"/>
  <c r="AH3261" i="4"/>
  <c r="AJ3261" i="4"/>
  <c r="AL3252" i="4" l="1"/>
  <c r="AK3261" i="4"/>
  <c r="AI3261" i="4"/>
  <c r="AH3262" i="4"/>
  <c r="AJ3262" i="4"/>
  <c r="AL3253" i="4" l="1"/>
  <c r="AK3262" i="4"/>
  <c r="AI3262" i="4"/>
  <c r="AH3263" i="4"/>
  <c r="AJ3263" i="4"/>
  <c r="AL3254" i="4" l="1"/>
  <c r="AK3263" i="4"/>
  <c r="AI3263" i="4"/>
  <c r="AH3264" i="4"/>
  <c r="AJ3264" i="4"/>
  <c r="AL3255" i="4" l="1"/>
  <c r="AK3264" i="4"/>
  <c r="AI3264" i="4"/>
  <c r="AH3265" i="4"/>
  <c r="AJ3265" i="4"/>
  <c r="AL3256" i="4" l="1"/>
  <c r="AK3265" i="4"/>
  <c r="AI3265" i="4"/>
  <c r="AH3266" i="4"/>
  <c r="AJ3266" i="4"/>
  <c r="AL3257" i="4" l="1"/>
  <c r="AK3266" i="4"/>
  <c r="AI3266" i="4"/>
  <c r="AH3267" i="4"/>
  <c r="AJ3267" i="4"/>
  <c r="AL3258" i="4" l="1"/>
  <c r="AK3267" i="4"/>
  <c r="AI3267" i="4"/>
  <c r="AH3268" i="4"/>
  <c r="AJ3268" i="4"/>
  <c r="AL3259" i="4" l="1"/>
  <c r="AK3268" i="4"/>
  <c r="AI3268" i="4"/>
  <c r="AH3269" i="4"/>
  <c r="AJ3269" i="4"/>
  <c r="AL3260" i="4" l="1"/>
  <c r="AK3269" i="4"/>
  <c r="AI3269" i="4"/>
  <c r="AH3270" i="4"/>
  <c r="AJ3270" i="4"/>
  <c r="AL3261" i="4" l="1"/>
  <c r="AK3270" i="4"/>
  <c r="AI3270" i="4"/>
  <c r="AH3271" i="4"/>
  <c r="AJ3271" i="4"/>
  <c r="AL3262" i="4" l="1"/>
  <c r="AK3271" i="4"/>
  <c r="AI3271" i="4"/>
  <c r="AH3272" i="4"/>
  <c r="AJ3272" i="4"/>
  <c r="AL3263" i="4" l="1"/>
  <c r="AK3272" i="4"/>
  <c r="AI3272" i="4"/>
  <c r="AH3273" i="4"/>
  <c r="AJ3273" i="4"/>
  <c r="AL3264" i="4" l="1"/>
  <c r="AK3273" i="4"/>
  <c r="AI3273" i="4"/>
  <c r="AH3274" i="4"/>
  <c r="AJ3274" i="4"/>
  <c r="AL3265" i="4" l="1"/>
  <c r="AK3274" i="4"/>
  <c r="AI3274" i="4"/>
  <c r="AH3275" i="4"/>
  <c r="AJ3275" i="4"/>
  <c r="AL3266" i="4" l="1"/>
  <c r="AK3275" i="4"/>
  <c r="AI3275" i="4"/>
  <c r="AH3276" i="4"/>
  <c r="AJ3276" i="4"/>
  <c r="AL3267" i="4" l="1"/>
  <c r="AK3276" i="4"/>
  <c r="AI3276" i="4"/>
  <c r="AH3277" i="4"/>
  <c r="AJ3277" i="4"/>
  <c r="AL3268" i="4" l="1"/>
  <c r="AK3277" i="4"/>
  <c r="AI3277" i="4"/>
  <c r="AH3278" i="4"/>
  <c r="AJ3278" i="4"/>
  <c r="AL3269" i="4" l="1"/>
  <c r="AK3278" i="4"/>
  <c r="AI3278" i="4"/>
  <c r="AH3279" i="4"/>
  <c r="AJ3279" i="4"/>
  <c r="AL3270" i="4" l="1"/>
  <c r="AK3279" i="4"/>
  <c r="AI3279" i="4"/>
  <c r="AH3280" i="4"/>
  <c r="AS139" i="4"/>
  <c r="AJ3280" i="4"/>
  <c r="AL3271" i="4" l="1"/>
  <c r="AK3280" i="4"/>
  <c r="AI3280" i="4"/>
  <c r="AH3281" i="4"/>
  <c r="AJ3281" i="4"/>
  <c r="AL3272" i="4" l="1"/>
  <c r="AK3281" i="4"/>
  <c r="AI3281" i="4"/>
  <c r="AH3282" i="4"/>
  <c r="AJ3282" i="4"/>
  <c r="AL3273" i="4" l="1"/>
  <c r="AK3282" i="4"/>
  <c r="AI3282" i="4"/>
  <c r="AH3283" i="4"/>
  <c r="AJ3283" i="4"/>
  <c r="AL3274" i="4" l="1"/>
  <c r="AK3283" i="4"/>
  <c r="AI3283" i="4"/>
  <c r="AH3284" i="4"/>
  <c r="AJ3284" i="4"/>
  <c r="AL3275" i="4" l="1"/>
  <c r="AK3284" i="4"/>
  <c r="AI3284" i="4"/>
  <c r="AH3285" i="4"/>
  <c r="AJ3285" i="4"/>
  <c r="AL3276" i="4" l="1"/>
  <c r="AK3285" i="4"/>
  <c r="AI3285" i="4"/>
  <c r="AH3286" i="4"/>
  <c r="AJ3286" i="4"/>
  <c r="AL3277" i="4" l="1"/>
  <c r="AK3286" i="4"/>
  <c r="AI3286" i="4"/>
  <c r="AH3287" i="4"/>
  <c r="AJ3287" i="4"/>
  <c r="AL3278" i="4" l="1"/>
  <c r="AK3287" i="4"/>
  <c r="AI3287" i="4"/>
  <c r="AH3288" i="4"/>
  <c r="AJ3288" i="4"/>
  <c r="AL3279" i="4" l="1"/>
  <c r="AK3288" i="4"/>
  <c r="AI3288" i="4"/>
  <c r="AH3289" i="4"/>
  <c r="AJ3289" i="4"/>
  <c r="AL3280" i="4" l="1"/>
  <c r="AK3289" i="4"/>
  <c r="AI3289" i="4"/>
  <c r="AH3290" i="4"/>
  <c r="AJ3290" i="4"/>
  <c r="AL3281" i="4" l="1"/>
  <c r="AK3290" i="4"/>
  <c r="AI3290" i="4"/>
  <c r="AH3291" i="4"/>
  <c r="AJ3291" i="4"/>
  <c r="AL3282" i="4" l="1"/>
  <c r="AK3291" i="4"/>
  <c r="AI3291" i="4"/>
  <c r="AH3292" i="4"/>
  <c r="AJ3292" i="4"/>
  <c r="AL3283" i="4" l="1"/>
  <c r="AK3292" i="4"/>
  <c r="AI3292" i="4"/>
  <c r="AH3293" i="4"/>
  <c r="AJ3293" i="4"/>
  <c r="AL3284" i="4" l="1"/>
  <c r="AK3293" i="4"/>
  <c r="AI3293" i="4"/>
  <c r="AH3294" i="4"/>
  <c r="AJ3294" i="4"/>
  <c r="AL3285" i="4" l="1"/>
  <c r="AK3294" i="4"/>
  <c r="AI3294" i="4"/>
  <c r="AH3295" i="4"/>
  <c r="AJ3295" i="4"/>
  <c r="AL3286" i="4" l="1"/>
  <c r="AK3295" i="4"/>
  <c r="AI3295" i="4"/>
  <c r="AH3296" i="4"/>
  <c r="AJ3296" i="4"/>
  <c r="AL3287" i="4" l="1"/>
  <c r="AK3296" i="4"/>
  <c r="AI3296" i="4"/>
  <c r="AH3297" i="4"/>
  <c r="AJ3297" i="4"/>
  <c r="AL3288" i="4" l="1"/>
  <c r="AK3297" i="4"/>
  <c r="AI3297" i="4"/>
  <c r="AH3298" i="4"/>
  <c r="AJ3298" i="4"/>
  <c r="AL3289" i="4" l="1"/>
  <c r="AK3298" i="4"/>
  <c r="AI3298" i="4"/>
  <c r="AH3299" i="4"/>
  <c r="AJ3299" i="4"/>
  <c r="AL3290" i="4" l="1"/>
  <c r="AK3299" i="4"/>
  <c r="AI3299" i="4"/>
  <c r="AH3300" i="4"/>
  <c r="AJ3300" i="4"/>
  <c r="AL3291" i="4" l="1"/>
  <c r="AK3300" i="4"/>
  <c r="AI3300" i="4"/>
  <c r="AH3301" i="4"/>
  <c r="AJ3301" i="4"/>
  <c r="AL3292" i="4" l="1"/>
  <c r="AK3301" i="4"/>
  <c r="AI3301" i="4"/>
  <c r="AH3302" i="4"/>
  <c r="AJ3302" i="4"/>
  <c r="AL3293" i="4" l="1"/>
  <c r="AK3302" i="4"/>
  <c r="AI3302" i="4"/>
  <c r="AH3303" i="4"/>
  <c r="AJ3303" i="4"/>
  <c r="AL3294" i="4" l="1"/>
  <c r="AK3303" i="4"/>
  <c r="AI3303" i="4"/>
  <c r="AH3304" i="4"/>
  <c r="AJ3304" i="4"/>
  <c r="AL3295" i="4" l="1"/>
  <c r="AK3304" i="4"/>
  <c r="AI3304" i="4"/>
  <c r="AH3305" i="4"/>
  <c r="AJ3305" i="4"/>
  <c r="AL3296" i="4" l="1"/>
  <c r="AK3305" i="4"/>
  <c r="AI3305" i="4"/>
  <c r="AH3306" i="4"/>
  <c r="AJ3306" i="4"/>
  <c r="AL3297" i="4" l="1"/>
  <c r="AK3306" i="4"/>
  <c r="AI3306" i="4"/>
  <c r="AH3307" i="4"/>
  <c r="AJ3307" i="4"/>
  <c r="AL3298" i="4" l="1"/>
  <c r="AK3307" i="4"/>
  <c r="AI3307" i="4"/>
  <c r="AH3308" i="4"/>
  <c r="AJ3308" i="4"/>
  <c r="AL3299" i="4" l="1"/>
  <c r="AK3308" i="4"/>
  <c r="AI3308" i="4"/>
  <c r="AH3309" i="4"/>
  <c r="AJ3309" i="4"/>
  <c r="AL3300" i="4" l="1"/>
  <c r="AK3309" i="4"/>
  <c r="AI3309" i="4"/>
  <c r="AH3310" i="4"/>
  <c r="AJ3310" i="4"/>
  <c r="AS140" i="4"/>
  <c r="AL3301" i="4" l="1"/>
  <c r="AK3310" i="4"/>
  <c r="AI3310" i="4"/>
  <c r="AH3311" i="4"/>
  <c r="AJ3311" i="4"/>
  <c r="AL3302" i="4" l="1"/>
  <c r="AK3311" i="4"/>
  <c r="AI3311" i="4"/>
  <c r="AH3312" i="4"/>
  <c r="AJ3312" i="4"/>
  <c r="AL3303" i="4" l="1"/>
  <c r="AK3312" i="4"/>
  <c r="AI3312" i="4"/>
  <c r="AH3313" i="4"/>
  <c r="AJ3313" i="4"/>
  <c r="AL3304" i="4" l="1"/>
  <c r="AK3313" i="4"/>
  <c r="AI3313" i="4"/>
  <c r="AH3314" i="4"/>
  <c r="AJ3314" i="4"/>
  <c r="AL3305" i="4" l="1"/>
  <c r="AK3314" i="4"/>
  <c r="AI3314" i="4"/>
  <c r="AH3315" i="4"/>
  <c r="AJ3315" i="4"/>
  <c r="AL3306" i="4" l="1"/>
  <c r="AK3315" i="4"/>
  <c r="AI3315" i="4"/>
  <c r="AH3316" i="4"/>
  <c r="AJ3316" i="4"/>
  <c r="AL3307" i="4" l="1"/>
  <c r="AK3316" i="4"/>
  <c r="AI3316" i="4"/>
  <c r="AH3317" i="4"/>
  <c r="AJ3317" i="4"/>
  <c r="AL3308" i="4" l="1"/>
  <c r="AK3317" i="4"/>
  <c r="AI3317" i="4"/>
  <c r="AH3318" i="4"/>
  <c r="AJ3318" i="4"/>
  <c r="AL3309" i="4" l="1"/>
  <c r="AK3318" i="4"/>
  <c r="AI3318" i="4"/>
  <c r="AH3319" i="4"/>
  <c r="AJ3319" i="4"/>
  <c r="AL3310" i="4" l="1"/>
  <c r="AK3319" i="4"/>
  <c r="AI3319" i="4"/>
  <c r="AH3320" i="4"/>
  <c r="AJ3320" i="4"/>
  <c r="AL3311" i="4" l="1"/>
  <c r="AK3320" i="4"/>
  <c r="AI3320" i="4"/>
  <c r="AH3321" i="4"/>
  <c r="AJ3321" i="4"/>
  <c r="AL3312" i="4" l="1"/>
  <c r="AK3321" i="4"/>
  <c r="AI3321" i="4"/>
  <c r="AH3322" i="4"/>
  <c r="AJ3322" i="4"/>
  <c r="AL3313" i="4" l="1"/>
  <c r="AK3322" i="4"/>
  <c r="AI3322" i="4"/>
  <c r="AH3323" i="4"/>
  <c r="AJ3323" i="4"/>
  <c r="AL3314" i="4" l="1"/>
  <c r="AK3323" i="4"/>
  <c r="AI3323" i="4"/>
  <c r="AH3324" i="4"/>
  <c r="AJ3324" i="4"/>
  <c r="AL3315" i="4" l="1"/>
  <c r="AK3324" i="4"/>
  <c r="AI3324" i="4"/>
  <c r="AH3325" i="4"/>
  <c r="AJ3325" i="4"/>
  <c r="AL3316" i="4" l="1"/>
  <c r="AK3325" i="4"/>
  <c r="AI3325" i="4"/>
  <c r="AH3326" i="4"/>
  <c r="AJ3326" i="4"/>
  <c r="AL3317" i="4" l="1"/>
  <c r="AK3326" i="4"/>
  <c r="AI3326" i="4"/>
  <c r="AH3327" i="4"/>
  <c r="AJ3327" i="4"/>
  <c r="AL3318" i="4" l="1"/>
  <c r="AK3327" i="4"/>
  <c r="AI3327" i="4"/>
  <c r="AH3328" i="4"/>
  <c r="AJ3328" i="4"/>
  <c r="AL3319" i="4" l="1"/>
  <c r="AK3328" i="4"/>
  <c r="AI3328" i="4"/>
  <c r="AH3329" i="4"/>
  <c r="AJ3329" i="4"/>
  <c r="AL3320" i="4" l="1"/>
  <c r="AK3329" i="4"/>
  <c r="AI3329" i="4"/>
  <c r="AH3330" i="4"/>
  <c r="AJ3330" i="4"/>
  <c r="AL3321" i="4" l="1"/>
  <c r="AK3330" i="4"/>
  <c r="AI3330" i="4"/>
  <c r="AH3331" i="4"/>
  <c r="AJ3331" i="4"/>
  <c r="AL3322" i="4" l="1"/>
  <c r="AK3331" i="4"/>
  <c r="AI3331" i="4"/>
  <c r="AH3332" i="4"/>
  <c r="AJ3332" i="4"/>
  <c r="AL3323" i="4" l="1"/>
  <c r="AK3332" i="4"/>
  <c r="AI3332" i="4"/>
  <c r="AH3333" i="4"/>
  <c r="AJ3333" i="4"/>
  <c r="AL3324" i="4" l="1"/>
  <c r="AK3333" i="4"/>
  <c r="AI3333" i="4"/>
  <c r="AH3334" i="4"/>
  <c r="AJ3334" i="4"/>
  <c r="AL3325" i="4" l="1"/>
  <c r="AK3334" i="4"/>
  <c r="AI3334" i="4"/>
  <c r="AH3335" i="4"/>
  <c r="AJ3335" i="4"/>
  <c r="AL3326" i="4" l="1"/>
  <c r="AK3335" i="4"/>
  <c r="AI3335" i="4"/>
  <c r="AH3336" i="4"/>
  <c r="AJ3336" i="4"/>
  <c r="AL3327" i="4" l="1"/>
  <c r="AK3336" i="4"/>
  <c r="AI3336" i="4"/>
  <c r="AH3337" i="4"/>
  <c r="AJ3337" i="4"/>
  <c r="AL3328" i="4" l="1"/>
  <c r="AK3337" i="4"/>
  <c r="AI3337" i="4"/>
  <c r="AH3338" i="4"/>
  <c r="AJ3338" i="4"/>
  <c r="AL3329" i="4" l="1"/>
  <c r="AK3338" i="4"/>
  <c r="AI3338" i="4"/>
  <c r="AH3339" i="4"/>
  <c r="AJ3339" i="4"/>
  <c r="AL3330" i="4" l="1"/>
  <c r="AK3339" i="4"/>
  <c r="AI3339" i="4"/>
  <c r="AH3340" i="4"/>
  <c r="AS141" i="4"/>
  <c r="AJ3340" i="4"/>
  <c r="AL3331" i="4" l="1"/>
  <c r="AK3340" i="4"/>
  <c r="AI3340" i="4"/>
  <c r="AH3341" i="4"/>
  <c r="AJ3341" i="4"/>
  <c r="AL3332" i="4" l="1"/>
  <c r="AK3341" i="4"/>
  <c r="AI3341" i="4"/>
  <c r="AH3342" i="4"/>
  <c r="AJ3342" i="4"/>
  <c r="AL3333" i="4" l="1"/>
  <c r="AK3342" i="4"/>
  <c r="AI3342" i="4"/>
  <c r="AH3343" i="4"/>
  <c r="AJ3343" i="4"/>
  <c r="AL3334" i="4" l="1"/>
  <c r="AK3343" i="4"/>
  <c r="AI3343" i="4"/>
  <c r="AH3344" i="4"/>
  <c r="AJ3344" i="4"/>
  <c r="AL3335" i="4" l="1"/>
  <c r="AK3344" i="4"/>
  <c r="AI3344" i="4"/>
  <c r="AH3345" i="4"/>
  <c r="AJ3345" i="4"/>
  <c r="AL3336" i="4" l="1"/>
  <c r="AK3345" i="4"/>
  <c r="AI3345" i="4"/>
  <c r="AH3346" i="4"/>
  <c r="AJ3346" i="4"/>
  <c r="AL3337" i="4" l="1"/>
  <c r="AK3346" i="4"/>
  <c r="AI3346" i="4"/>
  <c r="AH3347" i="4"/>
  <c r="AJ3347" i="4"/>
  <c r="AL3338" i="4" l="1"/>
  <c r="AK3347" i="4"/>
  <c r="AI3347" i="4"/>
  <c r="AH3348" i="4"/>
  <c r="AJ3348" i="4"/>
  <c r="AL3339" i="4" l="1"/>
  <c r="AK3348" i="4"/>
  <c r="AI3348" i="4"/>
  <c r="AH3349" i="4"/>
  <c r="AJ3349" i="4"/>
  <c r="AL3340" i="4" l="1"/>
  <c r="AK3349" i="4"/>
  <c r="AI3349" i="4"/>
  <c r="AH3350" i="4"/>
  <c r="AJ3350" i="4"/>
  <c r="AL3341" i="4" l="1"/>
  <c r="AK3350" i="4"/>
  <c r="AI3350" i="4"/>
  <c r="AH3351" i="4"/>
  <c r="AJ3351" i="4"/>
  <c r="AL3342" i="4" l="1"/>
  <c r="AK3351" i="4"/>
  <c r="AI3351" i="4"/>
  <c r="AH3352" i="4"/>
  <c r="AJ3352" i="4"/>
  <c r="AL3343" i="4" l="1"/>
  <c r="AK3352" i="4"/>
  <c r="AI3352" i="4"/>
  <c r="AH3353" i="4"/>
  <c r="AJ3353" i="4"/>
  <c r="AL3344" i="4" l="1"/>
  <c r="AK3353" i="4"/>
  <c r="AI3353" i="4"/>
  <c r="AH3354" i="4"/>
  <c r="AJ3354" i="4"/>
  <c r="AL3345" i="4" l="1"/>
  <c r="AK3354" i="4"/>
  <c r="AI3354" i="4"/>
  <c r="AH3355" i="4"/>
  <c r="AJ3355" i="4"/>
  <c r="AL3346" i="4" l="1"/>
  <c r="AK3355" i="4"/>
  <c r="AI3355" i="4"/>
  <c r="AH3356" i="4"/>
  <c r="AJ3356" i="4"/>
  <c r="AL3347" i="4" l="1"/>
  <c r="AK3356" i="4"/>
  <c r="AI3356" i="4"/>
  <c r="AH3357" i="4"/>
  <c r="AJ3357" i="4"/>
  <c r="AL3348" i="4" l="1"/>
  <c r="AK3357" i="4"/>
  <c r="AI3357" i="4"/>
  <c r="AH3358" i="4"/>
  <c r="AJ3358" i="4"/>
  <c r="AL3349" i="4" l="1"/>
  <c r="AK3358" i="4"/>
  <c r="AI3358" i="4"/>
  <c r="AH3359" i="4"/>
  <c r="AJ3359" i="4"/>
  <c r="AL3350" i="4" l="1"/>
  <c r="AK3359" i="4"/>
  <c r="AI3359" i="4"/>
  <c r="AH3360" i="4"/>
  <c r="AJ3360" i="4"/>
  <c r="AL3351" i="4" l="1"/>
  <c r="AK3360" i="4"/>
  <c r="AI3360" i="4"/>
  <c r="AH3361" i="4"/>
  <c r="AJ3361" i="4"/>
  <c r="AL3352" i="4" l="1"/>
  <c r="AK3361" i="4"/>
  <c r="AI3361" i="4"/>
  <c r="AH3362" i="4"/>
  <c r="AJ3362" i="4"/>
  <c r="AL3353" i="4" l="1"/>
  <c r="AK3362" i="4"/>
  <c r="AI3362" i="4"/>
  <c r="AH3363" i="4"/>
  <c r="AJ3363" i="4"/>
  <c r="AL3354" i="4" l="1"/>
  <c r="AK3363" i="4"/>
  <c r="AI3363" i="4"/>
  <c r="AH3364" i="4"/>
  <c r="AJ3364" i="4"/>
  <c r="AL3355" i="4" l="1"/>
  <c r="AK3364" i="4"/>
  <c r="AI3364" i="4"/>
  <c r="AH3365" i="4"/>
  <c r="AJ3365" i="4"/>
  <c r="AL3356" i="4" l="1"/>
  <c r="AK3365" i="4"/>
  <c r="AI3365" i="4"/>
  <c r="AH3366" i="4"/>
  <c r="AJ3366" i="4"/>
  <c r="AL3357" i="4" l="1"/>
  <c r="AK3366" i="4"/>
  <c r="AI3366" i="4"/>
  <c r="AH3367" i="4"/>
  <c r="AJ3367" i="4"/>
  <c r="AL3358" i="4" l="1"/>
  <c r="AK3367" i="4"/>
  <c r="AI3367" i="4"/>
  <c r="AH3368" i="4"/>
  <c r="AJ3368" i="4"/>
  <c r="AL3359" i="4" l="1"/>
  <c r="AK3368" i="4"/>
  <c r="AI3368" i="4"/>
  <c r="AH3369" i="4"/>
  <c r="AJ3369" i="4"/>
  <c r="AL3360" i="4" l="1"/>
  <c r="AK3369" i="4"/>
  <c r="AI3369" i="4"/>
  <c r="AH3370" i="4"/>
  <c r="AJ3370" i="4"/>
  <c r="AS142" i="4"/>
  <c r="AL3361" i="4" l="1"/>
  <c r="AK3370" i="4"/>
  <c r="AI3370" i="4"/>
  <c r="AH3371" i="4"/>
  <c r="AJ3371" i="4"/>
  <c r="AL3362" i="4" l="1"/>
  <c r="AK3371" i="4"/>
  <c r="AI3371" i="4"/>
  <c r="AH3372" i="4"/>
  <c r="AJ3372" i="4"/>
  <c r="AL3363" i="4" l="1"/>
  <c r="AK3372" i="4"/>
  <c r="AI3372" i="4"/>
  <c r="AH3373" i="4"/>
  <c r="AJ3373" i="4"/>
  <c r="AL3364" i="4" l="1"/>
  <c r="AK3373" i="4"/>
  <c r="AI3373" i="4"/>
  <c r="AH3374" i="4"/>
  <c r="AJ3374" i="4"/>
  <c r="AL3365" i="4" l="1"/>
  <c r="AK3374" i="4"/>
  <c r="AI3374" i="4"/>
  <c r="AH3375" i="4"/>
  <c r="AJ3375" i="4"/>
  <c r="AL3366" i="4" l="1"/>
  <c r="AK3375" i="4"/>
  <c r="AI3375" i="4"/>
  <c r="AH3376" i="4"/>
  <c r="AJ3376" i="4"/>
  <c r="AL3367" i="4" l="1"/>
  <c r="AK3376" i="4"/>
  <c r="AI3376" i="4"/>
  <c r="AH3377" i="4"/>
  <c r="AJ3377" i="4"/>
  <c r="AL3368" i="4" l="1"/>
  <c r="AK3377" i="4"/>
  <c r="AI3377" i="4"/>
  <c r="AH3378" i="4"/>
  <c r="AJ3378" i="4"/>
  <c r="AL3369" i="4" l="1"/>
  <c r="AK3378" i="4"/>
  <c r="AI3378" i="4"/>
  <c r="AH3379" i="4"/>
  <c r="AJ3379" i="4"/>
  <c r="AL3370" i="4" l="1"/>
  <c r="AK3379" i="4"/>
  <c r="AI3379" i="4"/>
  <c r="AH3380" i="4"/>
  <c r="AJ3380" i="4"/>
  <c r="AL3371" i="4" l="1"/>
  <c r="AK3380" i="4"/>
  <c r="AI3380" i="4"/>
  <c r="AH3381" i="4"/>
  <c r="AJ3381" i="4"/>
  <c r="AL3372" i="4" l="1"/>
  <c r="AK3381" i="4"/>
  <c r="AI3381" i="4"/>
  <c r="AH3382" i="4"/>
  <c r="AJ3382" i="4"/>
  <c r="AL3373" i="4" l="1"/>
  <c r="AK3382" i="4"/>
  <c r="AI3382" i="4"/>
  <c r="AH3383" i="4"/>
  <c r="AJ3383" i="4"/>
  <c r="AL3374" i="4" l="1"/>
  <c r="AK3383" i="4"/>
  <c r="AI3383" i="4"/>
  <c r="AH3384" i="4"/>
  <c r="AJ3384" i="4"/>
  <c r="AL3375" i="4" l="1"/>
  <c r="AK3384" i="4"/>
  <c r="AI3384" i="4"/>
  <c r="AH3385" i="4"/>
  <c r="AJ3385" i="4"/>
  <c r="AL3376" i="4" l="1"/>
  <c r="AK3385" i="4"/>
  <c r="AI3385" i="4"/>
  <c r="AH3386" i="4"/>
  <c r="AJ3386" i="4"/>
  <c r="AL3377" i="4" l="1"/>
  <c r="AK3386" i="4"/>
  <c r="AI3386" i="4"/>
  <c r="AH3387" i="4"/>
  <c r="AJ3387" i="4"/>
  <c r="AL3378" i="4" l="1"/>
  <c r="AK3387" i="4"/>
  <c r="AI3387" i="4"/>
  <c r="AH3388" i="4"/>
  <c r="AJ3388" i="4"/>
  <c r="AL3379" i="4" l="1"/>
  <c r="AK3388" i="4"/>
  <c r="AI3388" i="4"/>
  <c r="AH3389" i="4"/>
  <c r="AJ3389" i="4"/>
  <c r="AL3380" i="4" l="1"/>
  <c r="AK3389" i="4"/>
  <c r="AI3389" i="4"/>
  <c r="AH3390" i="4"/>
  <c r="AJ3390" i="4"/>
  <c r="AL3381" i="4" l="1"/>
  <c r="AK3390" i="4"/>
  <c r="AI3390" i="4"/>
  <c r="AH3391" i="4"/>
  <c r="AJ3391" i="4"/>
  <c r="AL3382" i="4" l="1"/>
  <c r="AK3391" i="4"/>
  <c r="AI3391" i="4"/>
  <c r="AH3392" i="4"/>
  <c r="AJ3392" i="4"/>
  <c r="AL3383" i="4" l="1"/>
  <c r="AK3392" i="4"/>
  <c r="AI3392" i="4"/>
  <c r="AH3393" i="4"/>
  <c r="AJ3393" i="4"/>
  <c r="AL3384" i="4" l="1"/>
  <c r="AK3393" i="4"/>
  <c r="AI3393" i="4"/>
  <c r="AH3394" i="4"/>
  <c r="AJ3394" i="4"/>
  <c r="AL3385" i="4" l="1"/>
  <c r="AK3394" i="4"/>
  <c r="AI3394" i="4"/>
  <c r="AH3395" i="4"/>
  <c r="AJ3395" i="4"/>
  <c r="AL3386" i="4" l="1"/>
  <c r="AK3395" i="4"/>
  <c r="AI3395" i="4"/>
  <c r="AH3396" i="4"/>
  <c r="AJ3396" i="4"/>
  <c r="AL3387" i="4" l="1"/>
  <c r="AK3396" i="4"/>
  <c r="AI3396" i="4"/>
  <c r="AH3397" i="4"/>
  <c r="AJ3397" i="4"/>
  <c r="AL3388" i="4" l="1"/>
  <c r="AK3397" i="4"/>
  <c r="AI3397" i="4"/>
  <c r="AH3398" i="4"/>
  <c r="AJ3398" i="4"/>
  <c r="AL3389" i="4" l="1"/>
  <c r="AK3398" i="4"/>
  <c r="AI3398" i="4"/>
  <c r="AH3399" i="4"/>
  <c r="AJ3399" i="4"/>
  <c r="AL3390" i="4" l="1"/>
  <c r="AK3399" i="4"/>
  <c r="AI3399" i="4"/>
  <c r="AH3400" i="4"/>
  <c r="AS143" i="4"/>
  <c r="AJ3400" i="4"/>
  <c r="AL3391" i="4" l="1"/>
  <c r="AK3400" i="4"/>
  <c r="AI3400" i="4"/>
  <c r="AH3401" i="4"/>
  <c r="AJ3401" i="4"/>
  <c r="AL3392" i="4" l="1"/>
  <c r="AK3401" i="4"/>
  <c r="AI3401" i="4"/>
  <c r="AH3402" i="4"/>
  <c r="AJ3402" i="4"/>
  <c r="AL3393" i="4" l="1"/>
  <c r="AK3402" i="4"/>
  <c r="AI3402" i="4"/>
  <c r="AH3403" i="4"/>
  <c r="AJ3403" i="4"/>
  <c r="AL3394" i="4" l="1"/>
  <c r="AK3403" i="4"/>
  <c r="AI3403" i="4"/>
  <c r="AH3404" i="4"/>
  <c r="AJ3404" i="4"/>
  <c r="AL3395" i="4" l="1"/>
  <c r="AK3404" i="4"/>
  <c r="AI3404" i="4"/>
  <c r="AH3405" i="4"/>
  <c r="AJ3405" i="4"/>
  <c r="AL3396" i="4" l="1"/>
  <c r="AK3405" i="4"/>
  <c r="AI3405" i="4"/>
  <c r="AH3406" i="4"/>
  <c r="AJ3406" i="4"/>
  <c r="AL3397" i="4" l="1"/>
  <c r="AK3406" i="4"/>
  <c r="AI3406" i="4"/>
  <c r="AH3407" i="4"/>
  <c r="AJ3407" i="4"/>
  <c r="AL3398" i="4" l="1"/>
  <c r="AK3407" i="4"/>
  <c r="AI3407" i="4"/>
  <c r="AH3408" i="4"/>
  <c r="AJ3408" i="4"/>
  <c r="AL3399" i="4" l="1"/>
  <c r="AK3408" i="4"/>
  <c r="AI3408" i="4"/>
  <c r="AH3409" i="4"/>
  <c r="AJ3409" i="4"/>
  <c r="AL3400" i="4" l="1"/>
  <c r="AK3409" i="4"/>
  <c r="AI3409" i="4"/>
  <c r="AH3410" i="4"/>
  <c r="AJ3410" i="4"/>
  <c r="AL3401" i="4" l="1"/>
  <c r="AK3410" i="4"/>
  <c r="AI3410" i="4"/>
  <c r="AH3411" i="4"/>
  <c r="AJ3411" i="4"/>
  <c r="AL3402" i="4" l="1"/>
  <c r="AK3411" i="4"/>
  <c r="AI3411" i="4"/>
  <c r="AH3412" i="4"/>
  <c r="AJ3412" i="4"/>
  <c r="AL3403" i="4" l="1"/>
  <c r="AK3412" i="4"/>
  <c r="AI3412" i="4"/>
  <c r="AH3413" i="4"/>
  <c r="AJ3413" i="4"/>
  <c r="AL3404" i="4" l="1"/>
  <c r="AK3413" i="4"/>
  <c r="AI3413" i="4"/>
  <c r="AH3414" i="4"/>
  <c r="AJ3414" i="4"/>
  <c r="AL3405" i="4" l="1"/>
  <c r="AK3414" i="4"/>
  <c r="AI3414" i="4"/>
  <c r="AH3415" i="4"/>
  <c r="AJ3415" i="4"/>
  <c r="AL3406" i="4" l="1"/>
  <c r="AK3415" i="4"/>
  <c r="AI3415" i="4"/>
  <c r="AH3416" i="4"/>
  <c r="AJ3416" i="4"/>
  <c r="AL3407" i="4" l="1"/>
  <c r="AK3416" i="4"/>
  <c r="AI3416" i="4"/>
  <c r="AH3417" i="4"/>
  <c r="AJ3417" i="4"/>
  <c r="AL3408" i="4" l="1"/>
  <c r="AK3417" i="4"/>
  <c r="AI3417" i="4"/>
  <c r="AH3418" i="4"/>
  <c r="AJ3418" i="4"/>
  <c r="AL3409" i="4" l="1"/>
  <c r="AK3418" i="4"/>
  <c r="AI3418" i="4"/>
  <c r="AH3419" i="4"/>
  <c r="AJ3419" i="4"/>
  <c r="AL3410" i="4" l="1"/>
  <c r="AK3419" i="4"/>
  <c r="AI3419" i="4"/>
  <c r="AH3420" i="4"/>
  <c r="AJ3420" i="4"/>
  <c r="AL3411" i="4" l="1"/>
  <c r="AK3420" i="4"/>
  <c r="AI3420" i="4"/>
  <c r="AH3421" i="4"/>
  <c r="AJ3421" i="4"/>
  <c r="AL3412" i="4" l="1"/>
  <c r="AK3421" i="4"/>
  <c r="AI3421" i="4"/>
  <c r="AH3422" i="4"/>
  <c r="AJ3422" i="4"/>
  <c r="AL3413" i="4" l="1"/>
  <c r="AK3422" i="4"/>
  <c r="AI3422" i="4"/>
  <c r="AH3423" i="4"/>
  <c r="AJ3423" i="4"/>
  <c r="AL3414" i="4" l="1"/>
  <c r="AK3423" i="4"/>
  <c r="AI3423" i="4"/>
  <c r="AH3424" i="4"/>
  <c r="AJ3424" i="4"/>
  <c r="AL3415" i="4" l="1"/>
  <c r="AK3424" i="4"/>
  <c r="AI3424" i="4"/>
  <c r="AH3425" i="4"/>
  <c r="AJ3425" i="4"/>
  <c r="AL3416" i="4" l="1"/>
  <c r="AK3425" i="4"/>
  <c r="AI3425" i="4"/>
  <c r="AH3426" i="4"/>
  <c r="AJ3426" i="4"/>
  <c r="AL3417" i="4" l="1"/>
  <c r="AK3426" i="4"/>
  <c r="AI3426" i="4"/>
  <c r="AH3427" i="4"/>
  <c r="AJ3427" i="4"/>
  <c r="AL3418" i="4" l="1"/>
  <c r="AK3427" i="4"/>
  <c r="AI3427" i="4"/>
  <c r="AH3428" i="4"/>
  <c r="AJ3428" i="4"/>
  <c r="AL3419" i="4" l="1"/>
  <c r="AK3428" i="4"/>
  <c r="AI3428" i="4"/>
  <c r="AH3429" i="4"/>
  <c r="AJ3429" i="4"/>
  <c r="AL3420" i="4" l="1"/>
  <c r="AK3429" i="4"/>
  <c r="AI3429" i="4"/>
  <c r="AH3430" i="4"/>
  <c r="AJ3430" i="4"/>
  <c r="AS144" i="4"/>
  <c r="AL3421" i="4" l="1"/>
  <c r="AK3430" i="4"/>
  <c r="AI3430" i="4"/>
  <c r="AH3431" i="4"/>
  <c r="AJ3431" i="4"/>
  <c r="AL3422" i="4" l="1"/>
  <c r="AK3431" i="4"/>
  <c r="AI3431" i="4"/>
  <c r="AH3432" i="4"/>
  <c r="AJ3432" i="4"/>
  <c r="AL3423" i="4" l="1"/>
  <c r="AK3432" i="4"/>
  <c r="AI3432" i="4"/>
  <c r="AH3433" i="4"/>
  <c r="AJ3433" i="4"/>
  <c r="AL3424" i="4" l="1"/>
  <c r="AK3433" i="4"/>
  <c r="AI3433" i="4"/>
  <c r="AH3434" i="4"/>
  <c r="AJ3434" i="4"/>
  <c r="AL3425" i="4" l="1"/>
  <c r="AK3434" i="4"/>
  <c r="AI3434" i="4"/>
  <c r="AH3435" i="4"/>
  <c r="AJ3435" i="4"/>
  <c r="AL3426" i="4" l="1"/>
  <c r="AK3435" i="4"/>
  <c r="AI3435" i="4"/>
  <c r="AH3436" i="4"/>
  <c r="AJ3436" i="4"/>
  <c r="AL3427" i="4" l="1"/>
  <c r="AK3436" i="4"/>
  <c r="AI3436" i="4"/>
  <c r="AH3437" i="4"/>
  <c r="AJ3437" i="4"/>
  <c r="AL3428" i="4" l="1"/>
  <c r="AK3437" i="4"/>
  <c r="AI3437" i="4"/>
  <c r="AH3438" i="4"/>
  <c r="AJ3438" i="4"/>
  <c r="AL3429" i="4" l="1"/>
  <c r="AK3438" i="4"/>
  <c r="AI3438" i="4"/>
  <c r="AH3439" i="4"/>
  <c r="AJ3439" i="4"/>
  <c r="AL3430" i="4" l="1"/>
  <c r="AK3439" i="4"/>
  <c r="AI3439" i="4"/>
  <c r="AH3440" i="4"/>
  <c r="AJ3440" i="4"/>
  <c r="AL3431" i="4" l="1"/>
  <c r="AK3440" i="4"/>
  <c r="AI3440" i="4"/>
  <c r="AH3441" i="4"/>
  <c r="AJ3441" i="4"/>
  <c r="AL3432" i="4" l="1"/>
  <c r="AK3441" i="4"/>
  <c r="AI3441" i="4"/>
  <c r="AH3442" i="4"/>
  <c r="AJ3442" i="4"/>
  <c r="AL3433" i="4" l="1"/>
  <c r="AK3442" i="4"/>
  <c r="AI3442" i="4"/>
  <c r="AH3443" i="4"/>
  <c r="AJ3443" i="4"/>
  <c r="AL3434" i="4" l="1"/>
  <c r="AK3443" i="4"/>
  <c r="AI3443" i="4"/>
  <c r="AH3444" i="4"/>
  <c r="AJ3444" i="4"/>
  <c r="AL3435" i="4" l="1"/>
  <c r="AK3444" i="4"/>
  <c r="AI3444" i="4"/>
  <c r="AH3445" i="4"/>
  <c r="AJ3445" i="4"/>
  <c r="AL3436" i="4" l="1"/>
  <c r="AK3445" i="4"/>
  <c r="AI3445" i="4"/>
  <c r="AH3446" i="4"/>
  <c r="AJ3446" i="4"/>
  <c r="AL3437" i="4" l="1"/>
  <c r="AK3446" i="4"/>
  <c r="AI3446" i="4"/>
  <c r="AH3447" i="4"/>
  <c r="AJ3447" i="4"/>
  <c r="AL3438" i="4" l="1"/>
  <c r="AK3447" i="4"/>
  <c r="AI3447" i="4"/>
  <c r="AH3448" i="4"/>
  <c r="AJ3448" i="4"/>
  <c r="AL3439" i="4" l="1"/>
  <c r="AK3448" i="4"/>
  <c r="AI3448" i="4"/>
  <c r="AH3449" i="4"/>
  <c r="AJ3449" i="4"/>
  <c r="AL3440" i="4" l="1"/>
  <c r="AK3449" i="4"/>
  <c r="AI3449" i="4"/>
  <c r="AH3450" i="4"/>
  <c r="AJ3450" i="4"/>
  <c r="AL3441" i="4" l="1"/>
  <c r="AK3450" i="4"/>
  <c r="AI3450" i="4"/>
  <c r="AH3451" i="4"/>
  <c r="AJ3451" i="4"/>
  <c r="AL3442" i="4" l="1"/>
  <c r="AK3451" i="4"/>
  <c r="AI3451" i="4"/>
  <c r="AH3452" i="4"/>
  <c r="AJ3452" i="4"/>
  <c r="AL3443" i="4" l="1"/>
  <c r="AK3452" i="4"/>
  <c r="AI3452" i="4"/>
  <c r="AH3453" i="4"/>
  <c r="AJ3453" i="4"/>
  <c r="AL3444" i="4" l="1"/>
  <c r="AK3453" i="4"/>
  <c r="AI3453" i="4"/>
  <c r="AH3454" i="4"/>
  <c r="AJ3454" i="4"/>
  <c r="AL3445" i="4" l="1"/>
  <c r="AK3454" i="4"/>
  <c r="AI3454" i="4"/>
  <c r="AH3455" i="4"/>
  <c r="AJ3455" i="4"/>
  <c r="AL3446" i="4" l="1"/>
  <c r="AK3455" i="4"/>
  <c r="AI3455" i="4"/>
  <c r="AH3456" i="4"/>
  <c r="AJ3456" i="4"/>
  <c r="AL3447" i="4" l="1"/>
  <c r="AK3456" i="4"/>
  <c r="AI3456" i="4"/>
  <c r="AH3457" i="4"/>
  <c r="AJ3457" i="4"/>
  <c r="AL3448" i="4" l="1"/>
  <c r="AK3457" i="4"/>
  <c r="AI3457" i="4"/>
  <c r="AH3458" i="4"/>
  <c r="AJ3458" i="4"/>
  <c r="AL3449" i="4" l="1"/>
  <c r="AK3458" i="4"/>
  <c r="AI3458" i="4"/>
  <c r="AH3459" i="4"/>
  <c r="AJ3459" i="4"/>
  <c r="AL3450" i="4" l="1"/>
  <c r="AK3459" i="4"/>
  <c r="AI3459" i="4"/>
  <c r="AH3460" i="4"/>
  <c r="AJ3460" i="4"/>
  <c r="AS145" i="4"/>
  <c r="AL3451" i="4" l="1"/>
  <c r="AK3460" i="4"/>
  <c r="AI3460" i="4"/>
  <c r="AH3461" i="4"/>
  <c r="AJ3461" i="4"/>
  <c r="AL3452" i="4" l="1"/>
  <c r="AK3461" i="4"/>
  <c r="AI3461" i="4"/>
  <c r="AH3462" i="4"/>
  <c r="AJ3462" i="4"/>
  <c r="AL3453" i="4" l="1"/>
  <c r="AK3462" i="4"/>
  <c r="AI3462" i="4"/>
  <c r="AH3463" i="4"/>
  <c r="AJ3463" i="4"/>
  <c r="AL3454" i="4" l="1"/>
  <c r="AK3463" i="4"/>
  <c r="AI3463" i="4"/>
  <c r="AH3464" i="4"/>
  <c r="AJ3464" i="4"/>
  <c r="AL3455" i="4" l="1"/>
  <c r="AK3464" i="4"/>
  <c r="AI3464" i="4"/>
  <c r="AH3465" i="4"/>
  <c r="AJ3465" i="4"/>
  <c r="AL3456" i="4" l="1"/>
  <c r="AK3465" i="4"/>
  <c r="AI3465" i="4"/>
  <c r="AH3466" i="4"/>
  <c r="AJ3466" i="4"/>
  <c r="AL3457" i="4" l="1"/>
  <c r="AK3466" i="4"/>
  <c r="AI3466" i="4"/>
  <c r="AH3467" i="4"/>
  <c r="AJ3467" i="4"/>
  <c r="AL3458" i="4" l="1"/>
  <c r="AK3467" i="4"/>
  <c r="AI3467" i="4"/>
  <c r="AH3468" i="4"/>
  <c r="AJ3468" i="4"/>
  <c r="AL3459" i="4" l="1"/>
  <c r="AK3468" i="4"/>
  <c r="AI3468" i="4"/>
  <c r="AH3469" i="4"/>
  <c r="AJ3469" i="4"/>
  <c r="AL3460" i="4" l="1"/>
  <c r="AK3469" i="4"/>
  <c r="AI3469" i="4"/>
  <c r="AH3470" i="4"/>
  <c r="AJ3470" i="4"/>
  <c r="AL3461" i="4" l="1"/>
  <c r="AK3470" i="4"/>
  <c r="AI3470" i="4"/>
  <c r="AH3471" i="4"/>
  <c r="AJ3471" i="4"/>
  <c r="AL3462" i="4" l="1"/>
  <c r="AK3471" i="4"/>
  <c r="AI3471" i="4"/>
  <c r="AH3472" i="4"/>
  <c r="AJ3472" i="4"/>
  <c r="AL3463" i="4" l="1"/>
  <c r="AK3472" i="4"/>
  <c r="AI3472" i="4"/>
  <c r="AH3473" i="4"/>
  <c r="AJ3473" i="4"/>
  <c r="AL3464" i="4" l="1"/>
  <c r="AK3473" i="4"/>
  <c r="AI3473" i="4"/>
  <c r="AH3474" i="4"/>
  <c r="AJ3474" i="4"/>
  <c r="AL3465" i="4" l="1"/>
  <c r="AK3474" i="4"/>
  <c r="AI3474" i="4"/>
  <c r="AH3475" i="4"/>
  <c r="AJ3475" i="4"/>
  <c r="AL3466" i="4" l="1"/>
  <c r="AK3475" i="4"/>
  <c r="AI3475" i="4"/>
  <c r="AH3476" i="4"/>
  <c r="AJ3476" i="4"/>
  <c r="AL3467" i="4" l="1"/>
  <c r="AK3476" i="4"/>
  <c r="AI3476" i="4"/>
  <c r="AH3477" i="4"/>
  <c r="AJ3477" i="4"/>
  <c r="AL3468" i="4" l="1"/>
  <c r="AK3477" i="4"/>
  <c r="AI3477" i="4"/>
  <c r="AH3478" i="4"/>
  <c r="AJ3478" i="4"/>
  <c r="AL3469" i="4" l="1"/>
  <c r="AK3478" i="4"/>
  <c r="AI3478" i="4"/>
  <c r="AH3479" i="4"/>
  <c r="AJ3479" i="4"/>
  <c r="AL3470" i="4" l="1"/>
  <c r="AK3479" i="4"/>
  <c r="AI3479" i="4"/>
  <c r="AH3480" i="4"/>
  <c r="AJ3480" i="4"/>
  <c r="AL3471" i="4" l="1"/>
  <c r="AK3480" i="4"/>
  <c r="AI3480" i="4"/>
  <c r="AH3481" i="4"/>
  <c r="AJ3481" i="4"/>
  <c r="AL3472" i="4" l="1"/>
  <c r="AK3481" i="4"/>
  <c r="AI3481" i="4"/>
  <c r="AH3482" i="4"/>
  <c r="AJ3482" i="4"/>
  <c r="AL3473" i="4" l="1"/>
  <c r="AK3482" i="4"/>
  <c r="AI3482" i="4"/>
  <c r="AH3483" i="4"/>
  <c r="AJ3483" i="4"/>
  <c r="AL3474" i="4" l="1"/>
  <c r="AK3483" i="4"/>
  <c r="AI3483" i="4"/>
  <c r="AH3484" i="4"/>
  <c r="AJ3484" i="4"/>
  <c r="AL3475" i="4" l="1"/>
  <c r="AK3484" i="4"/>
  <c r="AI3484" i="4"/>
  <c r="AH3485" i="4"/>
  <c r="AJ3485" i="4"/>
  <c r="AL3476" i="4" l="1"/>
  <c r="AK3485" i="4"/>
  <c r="AI3485" i="4"/>
  <c r="AH3486" i="4"/>
  <c r="AJ3486" i="4"/>
  <c r="AL3477" i="4" l="1"/>
  <c r="AK3486" i="4"/>
  <c r="AI3486" i="4"/>
  <c r="AH3487" i="4"/>
  <c r="AJ3487" i="4"/>
  <c r="AL3478" i="4" l="1"/>
  <c r="AK3487" i="4"/>
  <c r="AI3487" i="4"/>
  <c r="AH3488" i="4"/>
  <c r="AJ3488" i="4"/>
  <c r="AL3479" i="4" l="1"/>
  <c r="AK3488" i="4"/>
  <c r="AI3488" i="4"/>
  <c r="AH3489" i="4"/>
  <c r="AJ3489" i="4"/>
  <c r="AL3480" i="4" l="1"/>
  <c r="AK3489" i="4"/>
  <c r="AI3489" i="4"/>
  <c r="AH3490" i="4"/>
  <c r="AS146" i="4"/>
  <c r="AJ3490" i="4"/>
  <c r="AL3481" i="4" l="1"/>
  <c r="AK3490" i="4"/>
  <c r="AI3490" i="4"/>
  <c r="AH3491" i="4"/>
  <c r="AJ3491" i="4"/>
  <c r="AL3482" i="4" l="1"/>
  <c r="AK3491" i="4"/>
  <c r="AI3491" i="4"/>
  <c r="AH3492" i="4"/>
  <c r="AJ3492" i="4"/>
  <c r="AL3483" i="4" l="1"/>
  <c r="AK3492" i="4"/>
  <c r="AI3492" i="4"/>
  <c r="AH3493" i="4"/>
  <c r="AJ3493" i="4"/>
  <c r="AL3484" i="4" l="1"/>
  <c r="AK3493" i="4"/>
  <c r="AI3493" i="4"/>
  <c r="AH3494" i="4"/>
  <c r="AJ3494" i="4"/>
  <c r="AL3485" i="4" l="1"/>
  <c r="AK3494" i="4"/>
  <c r="AI3494" i="4"/>
  <c r="AH3495" i="4"/>
  <c r="AJ3495" i="4"/>
  <c r="AL3486" i="4" l="1"/>
  <c r="AK3495" i="4"/>
  <c r="AI3495" i="4"/>
  <c r="AH3496" i="4"/>
  <c r="AJ3496" i="4"/>
  <c r="AL3487" i="4" l="1"/>
  <c r="AK3496" i="4"/>
  <c r="AI3496" i="4"/>
  <c r="AH3497" i="4"/>
  <c r="AJ3497" i="4"/>
  <c r="AL3488" i="4" l="1"/>
  <c r="AK3497" i="4"/>
  <c r="AI3497" i="4"/>
  <c r="AH3498" i="4"/>
  <c r="AJ3498" i="4"/>
  <c r="AL3489" i="4" l="1"/>
  <c r="AK3498" i="4"/>
  <c r="AI3498" i="4"/>
  <c r="AH3499" i="4"/>
  <c r="AJ3499" i="4"/>
  <c r="AL3490" i="4" l="1"/>
  <c r="AK3499" i="4"/>
  <c r="AI3499" i="4"/>
  <c r="AH3500" i="4"/>
  <c r="AJ3500" i="4"/>
  <c r="AL3491" i="4" l="1"/>
  <c r="AK3500" i="4"/>
  <c r="AI3500" i="4"/>
  <c r="AH3501" i="4"/>
  <c r="AJ3501" i="4"/>
  <c r="AL3492" i="4" l="1"/>
  <c r="AK3501" i="4"/>
  <c r="AI3501" i="4"/>
  <c r="AH3502" i="4"/>
  <c r="AJ3502" i="4"/>
  <c r="AL3493" i="4" l="1"/>
  <c r="AK3502" i="4"/>
  <c r="AI3502" i="4"/>
  <c r="AH3503" i="4"/>
  <c r="AJ3503" i="4"/>
  <c r="AL3494" i="4" l="1"/>
  <c r="AK3503" i="4"/>
  <c r="AI3503" i="4"/>
  <c r="AH3504" i="4"/>
  <c r="AJ3504" i="4"/>
  <c r="AL3495" i="4" l="1"/>
  <c r="AK3504" i="4"/>
  <c r="AI3504" i="4"/>
  <c r="AH3505" i="4"/>
  <c r="AJ3505" i="4"/>
  <c r="AL3496" i="4" l="1"/>
  <c r="AK3505" i="4"/>
  <c r="AI3505" i="4"/>
  <c r="AH3506" i="4"/>
  <c r="AJ3506" i="4"/>
  <c r="AL3497" i="4" l="1"/>
  <c r="AK3506" i="4"/>
  <c r="AI3506" i="4"/>
  <c r="AH3507" i="4"/>
  <c r="AJ3507" i="4"/>
  <c r="AL3498" i="4" l="1"/>
  <c r="AK3507" i="4"/>
  <c r="AI3507" i="4"/>
  <c r="AH3508" i="4"/>
  <c r="AJ3508" i="4"/>
  <c r="AL3499" i="4" l="1"/>
  <c r="AK3508" i="4"/>
  <c r="AI3508" i="4"/>
  <c r="AH3509" i="4"/>
  <c r="AJ3509" i="4"/>
  <c r="AL3500" i="4" l="1"/>
  <c r="AK3509" i="4"/>
  <c r="AI3509" i="4"/>
  <c r="AH3510" i="4"/>
  <c r="AJ3510" i="4"/>
  <c r="AL3501" i="4" l="1"/>
  <c r="AK3510" i="4"/>
  <c r="AI3510" i="4"/>
  <c r="AH3511" i="4"/>
  <c r="AJ3511" i="4"/>
  <c r="AL3502" i="4" l="1"/>
  <c r="AK3511" i="4"/>
  <c r="AI3511" i="4"/>
  <c r="AH3512" i="4"/>
  <c r="AJ3512" i="4"/>
  <c r="AL3503" i="4" l="1"/>
  <c r="AK3512" i="4"/>
  <c r="AI3512" i="4"/>
  <c r="AH3513" i="4"/>
  <c r="AJ3513" i="4"/>
  <c r="AL3504" i="4" l="1"/>
  <c r="AK3513" i="4"/>
  <c r="AI3513" i="4"/>
  <c r="AH3514" i="4"/>
  <c r="AJ3514" i="4"/>
  <c r="AL3505" i="4" l="1"/>
  <c r="AK3514" i="4"/>
  <c r="AI3514" i="4"/>
  <c r="AH3515" i="4"/>
  <c r="AJ3515" i="4"/>
  <c r="AL3506" i="4" l="1"/>
  <c r="AK3515" i="4"/>
  <c r="AI3515" i="4"/>
  <c r="AH3516" i="4"/>
  <c r="AJ3516" i="4"/>
  <c r="AL3507" i="4" l="1"/>
  <c r="AK3516" i="4"/>
  <c r="AI3516" i="4"/>
  <c r="AH3517" i="4"/>
  <c r="AJ3517" i="4"/>
  <c r="AL3508" i="4" l="1"/>
  <c r="AK3517" i="4"/>
  <c r="AI3517" i="4"/>
  <c r="AH3518" i="4"/>
  <c r="AJ3518" i="4"/>
  <c r="AL3509" i="4" l="1"/>
  <c r="AK3518" i="4"/>
  <c r="AI3518" i="4"/>
  <c r="AH3519" i="4"/>
  <c r="AJ3519" i="4"/>
  <c r="AL3510" i="4" l="1"/>
  <c r="AK3519" i="4"/>
  <c r="AI3519" i="4"/>
  <c r="AH3520" i="4"/>
  <c r="AJ3520" i="4"/>
  <c r="AS147" i="4"/>
  <c r="AL3511" i="4" l="1"/>
  <c r="AK3520" i="4"/>
  <c r="AI3520" i="4"/>
  <c r="AH3521" i="4"/>
  <c r="AJ3521" i="4"/>
  <c r="AL3512" i="4" l="1"/>
  <c r="AK3521" i="4"/>
  <c r="AI3521" i="4"/>
  <c r="AH3522" i="4"/>
  <c r="AJ3522" i="4"/>
  <c r="AL3513" i="4" l="1"/>
  <c r="AK3522" i="4"/>
  <c r="AI3522" i="4"/>
  <c r="AH3523" i="4"/>
  <c r="AJ3523" i="4"/>
  <c r="AL3514" i="4" l="1"/>
  <c r="AK3523" i="4"/>
  <c r="AI3523" i="4"/>
  <c r="AH3524" i="4"/>
  <c r="AJ3524" i="4"/>
  <c r="AL3515" i="4" l="1"/>
  <c r="AK3524" i="4"/>
  <c r="AI3524" i="4"/>
  <c r="AH3525" i="4"/>
  <c r="AJ3525" i="4"/>
  <c r="AL3516" i="4" l="1"/>
  <c r="AK3525" i="4"/>
  <c r="AI3525" i="4"/>
  <c r="AH3526" i="4"/>
  <c r="AJ3526" i="4"/>
  <c r="AL3517" i="4" l="1"/>
  <c r="AK3526" i="4"/>
  <c r="AI3526" i="4"/>
  <c r="AH3527" i="4"/>
  <c r="AJ3527" i="4"/>
  <c r="AL3518" i="4" l="1"/>
  <c r="AK3527" i="4"/>
  <c r="AI3527" i="4"/>
  <c r="AH3528" i="4"/>
  <c r="AJ3528" i="4"/>
  <c r="AL3519" i="4" l="1"/>
  <c r="AK3528" i="4"/>
  <c r="AI3528" i="4"/>
  <c r="AH3529" i="4"/>
  <c r="AJ3529" i="4"/>
  <c r="AL3520" i="4" l="1"/>
  <c r="AK3529" i="4"/>
  <c r="AI3529" i="4"/>
  <c r="AH3530" i="4"/>
  <c r="AJ3530" i="4"/>
  <c r="AL3521" i="4" l="1"/>
  <c r="AK3530" i="4"/>
  <c r="AI3530" i="4"/>
  <c r="AH3531" i="4"/>
  <c r="AJ3531" i="4"/>
  <c r="AL3522" i="4" l="1"/>
  <c r="AK3531" i="4"/>
  <c r="AI3531" i="4"/>
  <c r="AH3532" i="4"/>
  <c r="AJ3532" i="4"/>
  <c r="AL3523" i="4" l="1"/>
  <c r="AK3532" i="4"/>
  <c r="AI3532" i="4"/>
  <c r="AH3533" i="4"/>
  <c r="AJ3533" i="4"/>
  <c r="AL3524" i="4" l="1"/>
  <c r="AK3533" i="4"/>
  <c r="AI3533" i="4"/>
  <c r="AH3534" i="4"/>
  <c r="AJ3534" i="4"/>
  <c r="AL3525" i="4" l="1"/>
  <c r="AK3534" i="4"/>
  <c r="AI3534" i="4"/>
  <c r="AH3535" i="4"/>
  <c r="AJ3535" i="4"/>
  <c r="AL3526" i="4" l="1"/>
  <c r="AK3535" i="4"/>
  <c r="AI3535" i="4"/>
  <c r="AH3536" i="4"/>
  <c r="AJ3536" i="4"/>
  <c r="AL3527" i="4" l="1"/>
  <c r="AK3536" i="4"/>
  <c r="AI3536" i="4"/>
  <c r="AH3537" i="4"/>
  <c r="AJ3537" i="4"/>
  <c r="AL3528" i="4" l="1"/>
  <c r="AK3537" i="4"/>
  <c r="AI3537" i="4"/>
  <c r="AH3538" i="4"/>
  <c r="AJ3538" i="4"/>
  <c r="AL3529" i="4" l="1"/>
  <c r="AK3538" i="4"/>
  <c r="AI3538" i="4"/>
  <c r="AH3539" i="4"/>
  <c r="AJ3539" i="4"/>
  <c r="AL3530" i="4" l="1"/>
  <c r="AK3539" i="4"/>
  <c r="AI3539" i="4"/>
  <c r="AH3540" i="4"/>
  <c r="AJ3540" i="4"/>
  <c r="AL3531" i="4" l="1"/>
  <c r="AK3540" i="4"/>
  <c r="AI3540" i="4"/>
  <c r="AH3541" i="4"/>
  <c r="AJ3541" i="4"/>
  <c r="AL3532" i="4" l="1"/>
  <c r="AK3541" i="4"/>
  <c r="AI3541" i="4"/>
  <c r="AH3542" i="4"/>
  <c r="AJ3542" i="4"/>
  <c r="AL3533" i="4" l="1"/>
  <c r="AK3542" i="4"/>
  <c r="AI3542" i="4"/>
  <c r="AH3543" i="4"/>
  <c r="AJ3543" i="4"/>
  <c r="AL3534" i="4" l="1"/>
  <c r="AK3543" i="4"/>
  <c r="AI3543" i="4"/>
  <c r="AH3544" i="4"/>
  <c r="AJ3544" i="4"/>
  <c r="AL3535" i="4" l="1"/>
  <c r="AK3544" i="4"/>
  <c r="AI3544" i="4"/>
  <c r="AH3545" i="4"/>
  <c r="AJ3545" i="4"/>
  <c r="AL3536" i="4" l="1"/>
  <c r="AK3545" i="4"/>
  <c r="AI3545" i="4"/>
  <c r="AH3546" i="4"/>
  <c r="AJ3546" i="4"/>
  <c r="AL3537" i="4" l="1"/>
  <c r="AK3546" i="4"/>
  <c r="AI3546" i="4"/>
  <c r="AH3547" i="4"/>
  <c r="AJ3547" i="4"/>
  <c r="AL3538" i="4" l="1"/>
  <c r="AK3547" i="4"/>
  <c r="AI3547" i="4"/>
  <c r="AH3548" i="4"/>
  <c r="AJ3548" i="4"/>
  <c r="AL3539" i="4" l="1"/>
  <c r="AK3548" i="4"/>
  <c r="AI3548" i="4"/>
  <c r="AH3549" i="4"/>
  <c r="AJ3549" i="4"/>
  <c r="AL3540" i="4" l="1"/>
  <c r="AK3549" i="4"/>
  <c r="AI3549" i="4"/>
  <c r="AH3550" i="4"/>
  <c r="AS148" i="4"/>
  <c r="AJ3550" i="4"/>
  <c r="AL3541" i="4" l="1"/>
  <c r="AK3550" i="4"/>
  <c r="AI3550" i="4"/>
  <c r="AH3551" i="4"/>
  <c r="AJ3551" i="4"/>
  <c r="AL3542" i="4" l="1"/>
  <c r="AK3551" i="4"/>
  <c r="AI3551" i="4"/>
  <c r="AH3552" i="4"/>
  <c r="AJ3552" i="4"/>
  <c r="AL3543" i="4" l="1"/>
  <c r="AK3552" i="4"/>
  <c r="AI3552" i="4"/>
  <c r="AH3553" i="4"/>
  <c r="AJ3553" i="4"/>
  <c r="AL3544" i="4" l="1"/>
  <c r="AK3553" i="4"/>
  <c r="AI3553" i="4"/>
  <c r="AH3554" i="4"/>
  <c r="AJ3554" i="4"/>
  <c r="AL3545" i="4" l="1"/>
  <c r="AK3554" i="4"/>
  <c r="AI3554" i="4"/>
  <c r="AH3555" i="4"/>
  <c r="AJ3555" i="4"/>
  <c r="AL3546" i="4" l="1"/>
  <c r="AK3555" i="4"/>
  <c r="AI3555" i="4"/>
  <c r="AH3556" i="4"/>
  <c r="AJ3556" i="4"/>
  <c r="AL3547" i="4" l="1"/>
  <c r="AK3556" i="4"/>
  <c r="AI3556" i="4"/>
  <c r="AH3557" i="4"/>
  <c r="AJ3557" i="4"/>
  <c r="AL3548" i="4" l="1"/>
  <c r="AK3557" i="4"/>
  <c r="AI3557" i="4"/>
  <c r="AH3558" i="4"/>
  <c r="AJ3558" i="4"/>
  <c r="AL3549" i="4" l="1"/>
  <c r="AK3558" i="4"/>
  <c r="AI3558" i="4"/>
  <c r="AH3559" i="4"/>
  <c r="AJ3559" i="4"/>
  <c r="AL3550" i="4" l="1"/>
  <c r="AK3559" i="4"/>
  <c r="AI3559" i="4"/>
  <c r="AH3560" i="4"/>
  <c r="AJ3560" i="4"/>
  <c r="AL3551" i="4" l="1"/>
  <c r="AK3560" i="4"/>
  <c r="AI3560" i="4"/>
  <c r="AH3561" i="4"/>
  <c r="AJ3561" i="4"/>
  <c r="AL3552" i="4" l="1"/>
  <c r="AK3561" i="4"/>
  <c r="AI3561" i="4"/>
  <c r="AH3562" i="4"/>
  <c r="AJ3562" i="4"/>
  <c r="AL3553" i="4" l="1"/>
  <c r="AK3562" i="4"/>
  <c r="AI3562" i="4"/>
  <c r="AH3563" i="4"/>
  <c r="AJ3563" i="4"/>
  <c r="AL3554" i="4" l="1"/>
  <c r="AK3563" i="4"/>
  <c r="AI3563" i="4"/>
  <c r="AH3564" i="4"/>
  <c r="AJ3564" i="4"/>
  <c r="AL3555" i="4" l="1"/>
  <c r="AK3564" i="4"/>
  <c r="AI3564" i="4"/>
  <c r="AH3565" i="4"/>
  <c r="AJ3565" i="4"/>
  <c r="AL3556" i="4" l="1"/>
  <c r="AK3565" i="4"/>
  <c r="AI3565" i="4"/>
  <c r="AH3566" i="4"/>
  <c r="AJ3566" i="4"/>
  <c r="AL3557" i="4" l="1"/>
  <c r="AK3566" i="4"/>
  <c r="AI3566" i="4"/>
  <c r="AH3567" i="4"/>
  <c r="AJ3567" i="4"/>
  <c r="AL3558" i="4" l="1"/>
  <c r="AK3567" i="4"/>
  <c r="AI3567" i="4"/>
  <c r="AH3568" i="4"/>
  <c r="AJ3568" i="4"/>
  <c r="AL3559" i="4" l="1"/>
  <c r="AK3568" i="4"/>
  <c r="AI3568" i="4"/>
  <c r="AH3569" i="4"/>
  <c r="AJ3569" i="4"/>
  <c r="AL3560" i="4" l="1"/>
  <c r="AK3569" i="4"/>
  <c r="AI3569" i="4"/>
  <c r="AH3570" i="4"/>
  <c r="AJ3570" i="4"/>
  <c r="AL3561" i="4" l="1"/>
  <c r="AK3570" i="4"/>
  <c r="AI3570" i="4"/>
  <c r="AH3571" i="4"/>
  <c r="AJ3571" i="4"/>
  <c r="AL3562" i="4" l="1"/>
  <c r="AK3571" i="4"/>
  <c r="AI3571" i="4"/>
  <c r="AH3572" i="4"/>
  <c r="AJ3572" i="4"/>
  <c r="AL3563" i="4" l="1"/>
  <c r="AK3572" i="4"/>
  <c r="AI3572" i="4"/>
  <c r="AH3573" i="4"/>
  <c r="AJ3573" i="4"/>
  <c r="AL3564" i="4" l="1"/>
  <c r="AK3573" i="4"/>
  <c r="AI3573" i="4"/>
  <c r="AH3574" i="4"/>
  <c r="AJ3574" i="4"/>
  <c r="AL3565" i="4" l="1"/>
  <c r="AK3574" i="4"/>
  <c r="AI3574" i="4"/>
  <c r="AH3575" i="4"/>
  <c r="AJ3575" i="4"/>
  <c r="AL3566" i="4" l="1"/>
  <c r="AK3575" i="4"/>
  <c r="AI3575" i="4"/>
  <c r="AH3576" i="4"/>
  <c r="AJ3576" i="4"/>
  <c r="AL3567" i="4" l="1"/>
  <c r="AK3576" i="4"/>
  <c r="AI3576" i="4"/>
  <c r="AH3577" i="4"/>
  <c r="AJ3577" i="4"/>
  <c r="AL3568" i="4" l="1"/>
  <c r="AK3577" i="4"/>
  <c r="AI3577" i="4"/>
  <c r="AH3578" i="4"/>
  <c r="AJ3578" i="4"/>
  <c r="AL3569" i="4" l="1"/>
  <c r="AK3578" i="4"/>
  <c r="AI3578" i="4"/>
  <c r="AH3579" i="4"/>
  <c r="AJ3579" i="4"/>
  <c r="AL3570" i="4" l="1"/>
  <c r="AK3579" i="4"/>
  <c r="AI3579" i="4"/>
  <c r="AH3580" i="4"/>
  <c r="AS149" i="4"/>
  <c r="AJ3580" i="4"/>
  <c r="AL3571" i="4" l="1"/>
  <c r="AK3580" i="4"/>
  <c r="AI3580" i="4"/>
  <c r="AH3581" i="4"/>
  <c r="AJ3581" i="4"/>
  <c r="AL3572" i="4" l="1"/>
  <c r="AK3581" i="4"/>
  <c r="AI3581" i="4"/>
  <c r="AH3582" i="4"/>
  <c r="AJ3582" i="4"/>
  <c r="AL3573" i="4" l="1"/>
  <c r="AK3582" i="4"/>
  <c r="AI3582" i="4"/>
  <c r="AH3583" i="4"/>
  <c r="AJ3583" i="4"/>
  <c r="AL3574" i="4" l="1"/>
  <c r="AK3583" i="4"/>
  <c r="AI3583" i="4"/>
  <c r="AH3584" i="4"/>
  <c r="AJ3584" i="4"/>
  <c r="AL3575" i="4" l="1"/>
  <c r="AK3584" i="4"/>
  <c r="AI3584" i="4"/>
  <c r="AH3585" i="4"/>
  <c r="AJ3585" i="4"/>
  <c r="AL3576" i="4" l="1"/>
  <c r="AK3585" i="4"/>
  <c r="AI3585" i="4"/>
  <c r="AH3586" i="4"/>
  <c r="AJ3586" i="4"/>
  <c r="AL3577" i="4" l="1"/>
  <c r="AK3586" i="4"/>
  <c r="AI3586" i="4"/>
  <c r="AH3587" i="4"/>
  <c r="AJ3587" i="4"/>
  <c r="AL3578" i="4" l="1"/>
  <c r="AK3587" i="4"/>
  <c r="AI3587" i="4"/>
  <c r="AH3588" i="4"/>
  <c r="AJ3588" i="4"/>
  <c r="AL3579" i="4" l="1"/>
  <c r="AK3588" i="4"/>
  <c r="AI3588" i="4"/>
  <c r="AH3589" i="4"/>
  <c r="AJ3589" i="4"/>
  <c r="AL3580" i="4" l="1"/>
  <c r="AK3589" i="4"/>
  <c r="AI3589" i="4"/>
  <c r="AH3590" i="4"/>
  <c r="AJ3590" i="4"/>
  <c r="AL3581" i="4" l="1"/>
  <c r="AK3590" i="4"/>
  <c r="AI3590" i="4"/>
  <c r="AH3591" i="4"/>
  <c r="AJ3591" i="4"/>
  <c r="AL3582" i="4" l="1"/>
  <c r="AK3591" i="4"/>
  <c r="AI3591" i="4"/>
  <c r="AH3592" i="4"/>
  <c r="AJ3592" i="4"/>
  <c r="AL3583" i="4" l="1"/>
  <c r="AK3592" i="4"/>
  <c r="AI3592" i="4"/>
  <c r="AH3593" i="4"/>
  <c r="AJ3593" i="4"/>
  <c r="AL3584" i="4" l="1"/>
  <c r="AK3593" i="4"/>
  <c r="AI3593" i="4"/>
  <c r="AH3594" i="4"/>
  <c r="AJ3594" i="4"/>
  <c r="AL3585" i="4" l="1"/>
  <c r="AK3594" i="4"/>
  <c r="AI3594" i="4"/>
  <c r="AH3595" i="4"/>
  <c r="AJ3595" i="4"/>
  <c r="AL3586" i="4" l="1"/>
  <c r="AK3595" i="4"/>
  <c r="AI3595" i="4"/>
  <c r="AH3596" i="4"/>
  <c r="AJ3596" i="4"/>
  <c r="AL3587" i="4" l="1"/>
  <c r="AK3596" i="4"/>
  <c r="AI3596" i="4"/>
  <c r="AH3597" i="4"/>
  <c r="AJ3597" i="4"/>
  <c r="AL3588" i="4" l="1"/>
  <c r="AK3597" i="4"/>
  <c r="AI3597" i="4"/>
  <c r="AH3598" i="4"/>
  <c r="AJ3598" i="4"/>
  <c r="AL3589" i="4" l="1"/>
  <c r="AK3598" i="4"/>
  <c r="AI3598" i="4"/>
  <c r="AH3599" i="4"/>
  <c r="AJ3599" i="4"/>
  <c r="AL3590" i="4" l="1"/>
  <c r="AK3599" i="4"/>
  <c r="AI3599" i="4"/>
  <c r="AH3600" i="4"/>
  <c r="AJ3600" i="4"/>
  <c r="AL3591" i="4" l="1"/>
  <c r="AK3600" i="4"/>
  <c r="AI3600" i="4"/>
  <c r="AH3601" i="4"/>
  <c r="AJ3601" i="4"/>
  <c r="AL3592" i="4" l="1"/>
  <c r="AK3601" i="4"/>
  <c r="AI3601" i="4"/>
  <c r="AH3602" i="4"/>
  <c r="AJ3602" i="4"/>
  <c r="AL3593" i="4" l="1"/>
  <c r="AK3602" i="4"/>
  <c r="AI3602" i="4"/>
  <c r="AH3603" i="4"/>
  <c r="AJ3603" i="4"/>
  <c r="AL3594" i="4" l="1"/>
  <c r="AK3603" i="4"/>
  <c r="AI3603" i="4"/>
  <c r="AH3604" i="4"/>
  <c r="AJ3604" i="4"/>
  <c r="AL3595" i="4" l="1"/>
  <c r="AK3604" i="4"/>
  <c r="AI3604" i="4"/>
  <c r="AH3605" i="4"/>
  <c r="AJ3605" i="4"/>
  <c r="AL3596" i="4" l="1"/>
  <c r="AK3605" i="4"/>
  <c r="AI3605" i="4"/>
  <c r="AH3606" i="4"/>
  <c r="AJ3606" i="4"/>
  <c r="AL3597" i="4" l="1"/>
  <c r="AK3606" i="4"/>
  <c r="AI3606" i="4"/>
  <c r="AH3607" i="4"/>
  <c r="AJ3607" i="4"/>
  <c r="AL3598" i="4" l="1"/>
  <c r="AK3607" i="4"/>
  <c r="AI3607" i="4"/>
  <c r="AH3608" i="4"/>
  <c r="AJ3608" i="4"/>
  <c r="AL3599" i="4" l="1"/>
  <c r="AK3608" i="4"/>
  <c r="AI3608" i="4"/>
  <c r="AH3609" i="4"/>
  <c r="AJ3609" i="4"/>
  <c r="AL3600" i="4" l="1"/>
  <c r="AK3609" i="4"/>
  <c r="AI3609" i="4"/>
  <c r="AH3610" i="4"/>
  <c r="AS150" i="4"/>
  <c r="AJ3610" i="4"/>
  <c r="AL3601" i="4" l="1"/>
  <c r="AK3610" i="4"/>
  <c r="AI3610" i="4"/>
  <c r="AH3611" i="4"/>
  <c r="AJ3611" i="4"/>
  <c r="AL3602" i="4" l="1"/>
  <c r="AK3611" i="4"/>
  <c r="AI3611" i="4"/>
  <c r="AH3612" i="4"/>
  <c r="AJ3612" i="4"/>
  <c r="AL3603" i="4" l="1"/>
  <c r="AK3612" i="4"/>
  <c r="AI3612" i="4"/>
  <c r="AH3613" i="4"/>
  <c r="AJ3613" i="4"/>
  <c r="AL3604" i="4" l="1"/>
  <c r="AK3613" i="4"/>
  <c r="AI3613" i="4"/>
  <c r="AH3614" i="4"/>
  <c r="AJ3614" i="4"/>
  <c r="AL3605" i="4" l="1"/>
  <c r="AK3614" i="4"/>
  <c r="AI3614" i="4"/>
  <c r="AH3615" i="4"/>
  <c r="AJ3615" i="4"/>
  <c r="AL3606" i="4" l="1"/>
  <c r="AK3615" i="4"/>
  <c r="AI3615" i="4"/>
  <c r="AH3616" i="4"/>
  <c r="AJ3616" i="4"/>
  <c r="AL3607" i="4" l="1"/>
  <c r="AK3616" i="4"/>
  <c r="AI3616" i="4"/>
  <c r="AH3617" i="4"/>
  <c r="AJ3617" i="4"/>
  <c r="AL3608" i="4" l="1"/>
  <c r="AK3617" i="4"/>
  <c r="AI3617" i="4"/>
  <c r="AH3618" i="4"/>
  <c r="AJ3618" i="4"/>
  <c r="AL3609" i="4" l="1"/>
  <c r="AK3618" i="4"/>
  <c r="AI3618" i="4"/>
  <c r="AH3619" i="4"/>
  <c r="AJ3619" i="4"/>
  <c r="AL3610" i="4" l="1"/>
  <c r="AK3619" i="4"/>
  <c r="AI3619" i="4"/>
  <c r="AH3620" i="4"/>
  <c r="AJ3620" i="4"/>
  <c r="AL3611" i="4" l="1"/>
  <c r="AK3620" i="4"/>
  <c r="AI3620" i="4"/>
  <c r="AH3621" i="4"/>
  <c r="AJ3621" i="4"/>
  <c r="AL3612" i="4" l="1"/>
  <c r="AK3621" i="4"/>
  <c r="AI3621" i="4"/>
  <c r="AH3622" i="4"/>
  <c r="AJ3622" i="4"/>
  <c r="AL3613" i="4" l="1"/>
  <c r="AK3622" i="4"/>
  <c r="AI3622" i="4"/>
  <c r="AH3623" i="4"/>
  <c r="AJ3623" i="4"/>
  <c r="AL3614" i="4" l="1"/>
  <c r="AK3623" i="4"/>
  <c r="AI3623" i="4"/>
  <c r="AH3624" i="4"/>
  <c r="AJ3624" i="4"/>
  <c r="AL3615" i="4" l="1"/>
  <c r="AK3624" i="4"/>
  <c r="AI3624" i="4"/>
  <c r="AH3625" i="4"/>
  <c r="AJ3625" i="4"/>
  <c r="AL3616" i="4" l="1"/>
  <c r="AK3625" i="4"/>
  <c r="AI3625" i="4"/>
  <c r="AH3626" i="4"/>
  <c r="AJ3626" i="4"/>
  <c r="AL3617" i="4" l="1"/>
  <c r="AK3626" i="4"/>
  <c r="AI3626" i="4"/>
  <c r="AH3627" i="4"/>
  <c r="AJ3627" i="4"/>
  <c r="AL3618" i="4" l="1"/>
  <c r="AK3627" i="4"/>
  <c r="AI3627" i="4"/>
  <c r="AH3628" i="4"/>
  <c r="AJ3628" i="4"/>
  <c r="AL3619" i="4" l="1"/>
  <c r="AK3628" i="4"/>
  <c r="AI3628" i="4"/>
  <c r="AH3629" i="4"/>
  <c r="AJ3629" i="4"/>
  <c r="AL3620" i="4" l="1"/>
  <c r="AK3629" i="4"/>
  <c r="AI3629" i="4"/>
  <c r="AH3630" i="4"/>
  <c r="AJ3630" i="4"/>
  <c r="AL3621" i="4" l="1"/>
  <c r="AK3630" i="4"/>
  <c r="AI3630" i="4"/>
  <c r="AH3631" i="4"/>
  <c r="AJ3631" i="4"/>
  <c r="AL3622" i="4" l="1"/>
  <c r="AK3631" i="4"/>
  <c r="AI3631" i="4"/>
  <c r="AH3632" i="4"/>
  <c r="AJ3632" i="4"/>
  <c r="AL3623" i="4" l="1"/>
  <c r="AK3632" i="4"/>
  <c r="AI3632" i="4"/>
  <c r="AH3633" i="4"/>
  <c r="AJ3633" i="4"/>
  <c r="AL3624" i="4" l="1"/>
  <c r="AK3633" i="4"/>
  <c r="AI3633" i="4"/>
  <c r="AH3634" i="4"/>
  <c r="AJ3634" i="4"/>
  <c r="AL3625" i="4" l="1"/>
  <c r="AK3634" i="4"/>
  <c r="AI3634" i="4"/>
  <c r="AH3635" i="4"/>
  <c r="AJ3635" i="4"/>
  <c r="AL3626" i="4" l="1"/>
  <c r="AK3635" i="4"/>
  <c r="AI3635" i="4"/>
  <c r="AH3636" i="4"/>
  <c r="AJ3636" i="4"/>
  <c r="AL3627" i="4" l="1"/>
  <c r="AK3636" i="4"/>
  <c r="AI3636" i="4"/>
  <c r="AH3637" i="4"/>
  <c r="AJ3637" i="4"/>
  <c r="AL3628" i="4" l="1"/>
  <c r="AK3637" i="4"/>
  <c r="AI3637" i="4"/>
  <c r="AH3638" i="4"/>
  <c r="AJ3638" i="4"/>
  <c r="AL3629" i="4" l="1"/>
  <c r="AK3638" i="4"/>
  <c r="AI3638" i="4"/>
  <c r="AH3639" i="4"/>
  <c r="AJ3639" i="4"/>
  <c r="AL3630" i="4" l="1"/>
  <c r="AK3639" i="4"/>
  <c r="AI3639" i="4"/>
  <c r="AH3640" i="4"/>
  <c r="AS151" i="4"/>
  <c r="AJ3640" i="4"/>
  <c r="AL3631" i="4" l="1"/>
  <c r="AK3640" i="4"/>
  <c r="AI3640" i="4"/>
  <c r="AH3641" i="4"/>
  <c r="AJ3641" i="4"/>
  <c r="AL3632" i="4" l="1"/>
  <c r="AK3641" i="4"/>
  <c r="AI3641" i="4"/>
  <c r="AH3642" i="4"/>
  <c r="AJ3642" i="4"/>
  <c r="AL3633" i="4" l="1"/>
  <c r="AK3642" i="4"/>
  <c r="AI3642" i="4"/>
  <c r="AH3643" i="4"/>
  <c r="AJ3643" i="4"/>
  <c r="AL3634" i="4" l="1"/>
  <c r="AK3643" i="4"/>
  <c r="AI3643" i="4"/>
  <c r="AH3644" i="4"/>
  <c r="AJ3644" i="4"/>
  <c r="AL3635" i="4" l="1"/>
  <c r="AK3644" i="4"/>
  <c r="AI3644" i="4"/>
  <c r="AH3645" i="4"/>
  <c r="AJ3645" i="4"/>
  <c r="AL3636" i="4" l="1"/>
  <c r="AK3645" i="4"/>
  <c r="AI3645" i="4"/>
  <c r="AH3646" i="4"/>
  <c r="AJ3646" i="4"/>
  <c r="AL3637" i="4" l="1"/>
  <c r="AK3646" i="4"/>
  <c r="AI3646" i="4"/>
  <c r="AH3647" i="4"/>
  <c r="AJ3647" i="4"/>
  <c r="AL3638" i="4" l="1"/>
  <c r="AK3647" i="4"/>
  <c r="AI3647" i="4"/>
  <c r="AH3648" i="4"/>
  <c r="AJ3648" i="4"/>
  <c r="AL3639" i="4" l="1"/>
  <c r="AK3648" i="4"/>
  <c r="AI3648" i="4"/>
  <c r="AH3649" i="4"/>
  <c r="AJ3649" i="4"/>
  <c r="AL3640" i="4" l="1"/>
  <c r="AK3649" i="4"/>
  <c r="AI3649" i="4"/>
  <c r="AH3650" i="4"/>
  <c r="AJ3650" i="4"/>
  <c r="AL3641" i="4" l="1"/>
  <c r="AK3650" i="4"/>
  <c r="AI3650" i="4"/>
  <c r="AH3651" i="4"/>
  <c r="AJ3651" i="4"/>
  <c r="AL3642" i="4" l="1"/>
  <c r="AK3651" i="4"/>
  <c r="AI3651" i="4"/>
  <c r="AH3652" i="4"/>
  <c r="AJ3652" i="4"/>
  <c r="AL3643" i="4" l="1"/>
  <c r="AK3652" i="4"/>
  <c r="AI3652" i="4"/>
  <c r="AH3653" i="4"/>
  <c r="AJ3653" i="4"/>
  <c r="AL3644" i="4" l="1"/>
  <c r="AK3653" i="4"/>
  <c r="AI3653" i="4"/>
  <c r="AH3654" i="4"/>
  <c r="AJ3654" i="4"/>
  <c r="AL3645" i="4" l="1"/>
  <c r="AK3654" i="4"/>
  <c r="AI3654" i="4"/>
  <c r="AH3655" i="4"/>
  <c r="AJ3655" i="4"/>
  <c r="AL3646" i="4" l="1"/>
  <c r="AK3655" i="4"/>
  <c r="AI3655" i="4"/>
  <c r="AH3656" i="4"/>
  <c r="AJ3656" i="4"/>
  <c r="AL3647" i="4" l="1"/>
  <c r="AK3656" i="4"/>
  <c r="AI3656" i="4"/>
  <c r="AH3657" i="4"/>
  <c r="AJ3657" i="4"/>
  <c r="AL3648" i="4" l="1"/>
  <c r="AK3657" i="4"/>
  <c r="AI3657" i="4"/>
  <c r="AH3658" i="4"/>
  <c r="AJ3658" i="4"/>
  <c r="AL3649" i="4" l="1"/>
  <c r="AK3658" i="4"/>
  <c r="AI3658" i="4"/>
  <c r="AH3659" i="4"/>
  <c r="AJ3659" i="4"/>
  <c r="AL3650" i="4" l="1"/>
  <c r="AK3659" i="4"/>
  <c r="AI3659" i="4"/>
  <c r="AH3660" i="4"/>
  <c r="AJ3660" i="4"/>
  <c r="AL3651" i="4" l="1"/>
  <c r="AK3660" i="4"/>
  <c r="AI3660" i="4"/>
  <c r="AH3661" i="4"/>
  <c r="AJ3661" i="4"/>
  <c r="AL3652" i="4" l="1"/>
  <c r="AK3661" i="4"/>
  <c r="AI3661" i="4"/>
  <c r="AH3662" i="4"/>
  <c r="AJ3662" i="4"/>
  <c r="AL3653" i="4" l="1"/>
  <c r="AK3662" i="4"/>
  <c r="AI3662" i="4"/>
  <c r="AH3663" i="4"/>
  <c r="AJ3663" i="4"/>
  <c r="AL3654" i="4" l="1"/>
  <c r="AK3663" i="4"/>
  <c r="AI3663" i="4"/>
  <c r="AH3664" i="4"/>
  <c r="AJ3664" i="4"/>
  <c r="AL3655" i="4" l="1"/>
  <c r="AK3664" i="4"/>
  <c r="AI3664" i="4"/>
  <c r="AH3665" i="4"/>
  <c r="AJ3665" i="4"/>
  <c r="AL3656" i="4" l="1"/>
  <c r="AK3665" i="4"/>
  <c r="AI3665" i="4"/>
  <c r="AH3666" i="4"/>
  <c r="AJ3666" i="4"/>
  <c r="AL3657" i="4" l="1"/>
  <c r="AK3666" i="4"/>
  <c r="AI3666" i="4"/>
  <c r="AH3667" i="4"/>
  <c r="AJ3667" i="4"/>
  <c r="AL3658" i="4" l="1"/>
  <c r="AK3667" i="4"/>
  <c r="AI3667" i="4"/>
  <c r="AH3668" i="4"/>
  <c r="AJ3668" i="4"/>
  <c r="AL3659" i="4" l="1"/>
  <c r="AK3668" i="4"/>
  <c r="AI3668" i="4"/>
  <c r="AH3669" i="4"/>
  <c r="AJ3669" i="4"/>
  <c r="AL3660" i="4" l="1"/>
  <c r="AK3669" i="4"/>
  <c r="AI3669" i="4"/>
  <c r="AH3670" i="4"/>
  <c r="AJ3670" i="4"/>
  <c r="AL3661" i="4" l="1"/>
  <c r="AK3670" i="4"/>
  <c r="AI3670" i="4"/>
  <c r="AH3671" i="4"/>
  <c r="AJ3671" i="4"/>
  <c r="AL3662" i="4" l="1"/>
  <c r="AK3671" i="4"/>
  <c r="AI3671" i="4"/>
  <c r="AH3672" i="4"/>
  <c r="AJ3672" i="4"/>
  <c r="AL3663" i="4" l="1"/>
  <c r="AK3672" i="4"/>
  <c r="AI3672" i="4"/>
  <c r="AH3673" i="4"/>
  <c r="AJ3673" i="4"/>
  <c r="AL3664" i="4" l="1"/>
  <c r="AK3673" i="4"/>
  <c r="AI3673" i="4"/>
  <c r="AH3674" i="4"/>
  <c r="AJ3674" i="4"/>
  <c r="AL3665" i="4" l="1"/>
  <c r="AK3674" i="4"/>
  <c r="AI3674" i="4"/>
  <c r="AH3675" i="4"/>
  <c r="AJ3675" i="4"/>
  <c r="AL3666" i="4" l="1"/>
  <c r="AK3675" i="4"/>
  <c r="AI3675" i="4"/>
  <c r="AH3676" i="4"/>
  <c r="AJ3676" i="4"/>
  <c r="AL3667" i="4" l="1"/>
  <c r="AK3676" i="4"/>
  <c r="AI3676" i="4"/>
  <c r="AH3677" i="4"/>
  <c r="AJ3677" i="4"/>
  <c r="AL3668" i="4" l="1"/>
  <c r="AK3677" i="4"/>
  <c r="AI3677" i="4"/>
  <c r="AH3678" i="4"/>
  <c r="AJ3678" i="4"/>
  <c r="AL3669" i="4" l="1"/>
  <c r="AK3678" i="4"/>
  <c r="AI3678" i="4"/>
  <c r="AH3679" i="4"/>
  <c r="AJ3679" i="4"/>
  <c r="AL3670" i="4" l="1"/>
  <c r="AK3679" i="4"/>
  <c r="AI3679" i="4"/>
  <c r="AH3680" i="4"/>
  <c r="AJ3680" i="4"/>
  <c r="AL3671" i="4" l="1"/>
  <c r="AK3680" i="4"/>
  <c r="AI3680" i="4"/>
  <c r="AH3681" i="4"/>
  <c r="AJ3681" i="4"/>
  <c r="AL3672" i="4" l="1"/>
  <c r="AK3681" i="4"/>
  <c r="AI3681" i="4"/>
  <c r="AH3682" i="4"/>
  <c r="AJ3682" i="4"/>
  <c r="AL3673" i="4" l="1"/>
  <c r="AK3682" i="4"/>
  <c r="AI3682" i="4"/>
  <c r="AH3683" i="4"/>
  <c r="AJ3683" i="4"/>
  <c r="AL3674" i="4" l="1"/>
  <c r="AK3683" i="4"/>
  <c r="AI3683" i="4"/>
  <c r="AH3684" i="4"/>
  <c r="AJ3684" i="4"/>
  <c r="AL3675" i="4" l="1"/>
  <c r="AK3684" i="4"/>
  <c r="AI3684" i="4"/>
  <c r="AH3685" i="4"/>
  <c r="AJ3685" i="4"/>
  <c r="AL3676" i="4" l="1"/>
  <c r="AK3685" i="4"/>
  <c r="AI3685" i="4"/>
  <c r="AH3686" i="4"/>
  <c r="AJ3686" i="4"/>
  <c r="AL3677" i="4" l="1"/>
  <c r="AK3686" i="4"/>
  <c r="AI3686" i="4"/>
  <c r="AH3687" i="4"/>
  <c r="AJ3687" i="4"/>
  <c r="AL3678" i="4" l="1"/>
  <c r="AK3687" i="4"/>
  <c r="AI3687" i="4"/>
  <c r="AH3688" i="4"/>
  <c r="AJ3688" i="4"/>
  <c r="AL3679" i="4" l="1"/>
  <c r="AK3688" i="4"/>
  <c r="AI3688" i="4"/>
  <c r="AH3689" i="4"/>
  <c r="AJ3689" i="4"/>
  <c r="AL3680" i="4" l="1"/>
  <c r="AK3689" i="4"/>
  <c r="AI3689" i="4"/>
  <c r="AH3690" i="4"/>
  <c r="AJ3690" i="4"/>
  <c r="AL3681" i="4" l="1"/>
  <c r="AK3690" i="4"/>
  <c r="AI3690" i="4"/>
  <c r="AH3691" i="4"/>
  <c r="AJ3691" i="4"/>
  <c r="AL3682" i="4" l="1"/>
  <c r="AK3691" i="4"/>
  <c r="D32" i="29"/>
  <c r="D30" i="29"/>
  <c r="E30" i="29" s="1"/>
  <c r="AI3691" i="4"/>
  <c r="AH3692" i="4"/>
  <c r="AJ3692" i="4"/>
  <c r="AL3683" i="4" l="1"/>
  <c r="AK3692" i="4"/>
  <c r="E32" i="29"/>
  <c r="E37" i="29" s="1"/>
  <c r="D37" i="29"/>
  <c r="AI3692" i="4"/>
  <c r="AH3693" i="4"/>
  <c r="AJ3693" i="4"/>
  <c r="AL3684" i="4" l="1"/>
  <c r="AK3693" i="4"/>
  <c r="AI3693" i="4"/>
  <c r="AH3694" i="4"/>
  <c r="AJ3694" i="4"/>
  <c r="AL3685" i="4" l="1"/>
  <c r="AK3694" i="4"/>
  <c r="AI3694" i="4"/>
  <c r="AH3695" i="4"/>
  <c r="AJ3695" i="4"/>
  <c r="AL3686" i="4" l="1"/>
  <c r="AK3695" i="4"/>
  <c r="AI3695" i="4"/>
  <c r="AH3696" i="4"/>
  <c r="AJ3696" i="4"/>
  <c r="AL3687" i="4" l="1"/>
  <c r="AK3696" i="4"/>
  <c r="AI3696" i="4"/>
  <c r="AH3697" i="4"/>
  <c r="AJ3697" i="4"/>
  <c r="AL3688" i="4" l="1"/>
  <c r="AK3697" i="4"/>
  <c r="AI3697" i="4"/>
  <c r="AH3698" i="4"/>
  <c r="AJ3698" i="4"/>
  <c r="AL3689" i="4" l="1"/>
  <c r="AK3698" i="4"/>
  <c r="AI3698" i="4"/>
  <c r="AH3699" i="4"/>
  <c r="AJ3699" i="4"/>
  <c r="AL3690" i="4" l="1"/>
  <c r="AK3699" i="4"/>
  <c r="AI3699" i="4"/>
  <c r="AH3700" i="4"/>
  <c r="AJ3700" i="4"/>
  <c r="AL3691" i="4" l="1"/>
  <c r="AK3700" i="4"/>
  <c r="AI3700" i="4"/>
  <c r="AH3701" i="4"/>
  <c r="AJ3701" i="4"/>
  <c r="AL3692" i="4" l="1"/>
  <c r="AK3701" i="4"/>
  <c r="AI3701" i="4"/>
  <c r="AH3702" i="4"/>
  <c r="AJ3702" i="4"/>
  <c r="AL3693" i="4" l="1"/>
  <c r="AK3702" i="4"/>
  <c r="AI3702" i="4"/>
  <c r="AH3703" i="4"/>
  <c r="AJ3703" i="4"/>
  <c r="AL3694" i="4" l="1"/>
  <c r="AK3703" i="4"/>
  <c r="AI3703" i="4"/>
  <c r="AH3704" i="4"/>
  <c r="AJ3704" i="4"/>
  <c r="AL3695" i="4" l="1"/>
  <c r="AK3704" i="4"/>
  <c r="AI3704" i="4"/>
  <c r="AH3705" i="4"/>
  <c r="AJ3705" i="4"/>
  <c r="AL3696" i="4" l="1"/>
  <c r="AK3705" i="4"/>
  <c r="AI3705" i="4"/>
  <c r="AH3706" i="4"/>
  <c r="AJ3706" i="4"/>
  <c r="AL3697" i="4" l="1"/>
  <c r="AK3706" i="4"/>
  <c r="AI3706" i="4"/>
  <c r="AH3707" i="4"/>
  <c r="AJ3707" i="4"/>
  <c r="AL3698" i="4" l="1"/>
  <c r="AK3707" i="4"/>
  <c r="AI3707" i="4"/>
  <c r="AH3708" i="4"/>
  <c r="AJ3708" i="4"/>
  <c r="AL3699" i="4" l="1"/>
  <c r="AK3708" i="4"/>
  <c r="AI3708" i="4"/>
  <c r="AH3709" i="4"/>
  <c r="AJ3709" i="4"/>
  <c r="AL3700" i="4" l="1"/>
  <c r="AK3709" i="4"/>
  <c r="AI3709" i="4"/>
  <c r="AH3710" i="4"/>
  <c r="AJ3710" i="4"/>
  <c r="AL3701" i="4" l="1"/>
  <c r="AK3710" i="4"/>
  <c r="AI3710" i="4"/>
  <c r="AH3711" i="4"/>
  <c r="AJ3711" i="4"/>
  <c r="AL3702" i="4" l="1"/>
  <c r="AK3711" i="4"/>
  <c r="AI3711" i="4"/>
  <c r="AH3712" i="4"/>
  <c r="AJ3712" i="4"/>
  <c r="AL3703" i="4" l="1"/>
  <c r="AK3712" i="4"/>
  <c r="AI3712" i="4"/>
  <c r="AH3713" i="4"/>
  <c r="AJ3713" i="4"/>
  <c r="AL3704" i="4" l="1"/>
  <c r="AK3713" i="4"/>
  <c r="AI3713" i="4"/>
  <c r="AH3714" i="4"/>
  <c r="AJ3714" i="4"/>
  <c r="AL3705" i="4" l="1"/>
  <c r="AK3714" i="4"/>
  <c r="AI3714" i="4"/>
  <c r="AH3715" i="4"/>
  <c r="AJ3715" i="4"/>
  <c r="AL3706" i="4" l="1"/>
  <c r="AK3715" i="4"/>
  <c r="AI3715" i="4"/>
  <c r="AH3716" i="4"/>
  <c r="AJ3716" i="4"/>
  <c r="AL3707" i="4" l="1"/>
  <c r="AK3716" i="4"/>
  <c r="AI3716" i="4"/>
  <c r="AH3717" i="4"/>
  <c r="AJ3717" i="4"/>
  <c r="AL3708" i="4" l="1"/>
  <c r="AK3717" i="4"/>
  <c r="AI3717" i="4"/>
  <c r="AH3718" i="4"/>
  <c r="AJ3718" i="4"/>
  <c r="AL3709" i="4" l="1"/>
  <c r="AK3718" i="4"/>
  <c r="AI3718" i="4"/>
  <c r="AH3719" i="4"/>
  <c r="AJ3719" i="4"/>
  <c r="AL3710" i="4" l="1"/>
  <c r="AK3719" i="4"/>
  <c r="AI3719" i="4"/>
  <c r="AH3720" i="4"/>
  <c r="AJ3720" i="4"/>
  <c r="AL3711" i="4" l="1"/>
  <c r="AK3720" i="4"/>
  <c r="AI3720" i="4"/>
  <c r="AH3721" i="4"/>
  <c r="AJ3721" i="4"/>
  <c r="AL3712" i="4" l="1"/>
  <c r="AK3721" i="4"/>
  <c r="AI3721" i="4"/>
  <c r="AH3722" i="4"/>
  <c r="AJ3722" i="4"/>
  <c r="AL3713" i="4" l="1"/>
  <c r="AK3722" i="4"/>
  <c r="AI3722" i="4"/>
  <c r="AH3723" i="4"/>
  <c r="AJ3723" i="4"/>
  <c r="AL3714" i="4" l="1"/>
  <c r="AK3723" i="4"/>
  <c r="AI3723" i="4"/>
  <c r="AH3724" i="4"/>
  <c r="AJ3724" i="4"/>
  <c r="AL3715" i="4" l="1"/>
  <c r="AK3724" i="4"/>
  <c r="AI3724" i="4"/>
  <c r="AH3725" i="4"/>
  <c r="AJ3725" i="4"/>
  <c r="AL3716" i="4" l="1"/>
  <c r="AK3725" i="4"/>
  <c r="AI3725" i="4"/>
  <c r="AH3726" i="4"/>
  <c r="AJ3726" i="4"/>
  <c r="AL3717" i="4" l="1"/>
  <c r="AK3726" i="4"/>
  <c r="AI3726" i="4"/>
  <c r="AH3727" i="4"/>
  <c r="AJ3727" i="4"/>
  <c r="AL3718" i="4" l="1"/>
  <c r="AK3727" i="4"/>
  <c r="AI3727" i="4"/>
  <c r="AH3728" i="4"/>
  <c r="AJ3728" i="4"/>
  <c r="AL3719" i="4" l="1"/>
  <c r="AK3728" i="4"/>
  <c r="AI3728" i="4"/>
  <c r="AH3729" i="4"/>
  <c r="AJ3729" i="4"/>
  <c r="AL3720" i="4" l="1"/>
  <c r="AK3729" i="4"/>
  <c r="AI3729" i="4"/>
  <c r="AH3730" i="4"/>
  <c r="AJ3730" i="4"/>
  <c r="AL3721" i="4" l="1"/>
  <c r="AK3730" i="4"/>
  <c r="AI3730" i="4"/>
  <c r="AH3731" i="4"/>
  <c r="AJ3731" i="4"/>
  <c r="AL3722" i="4" l="1"/>
  <c r="AK3731" i="4"/>
  <c r="AI3731" i="4"/>
  <c r="AH3732" i="4"/>
  <c r="AJ3732" i="4"/>
  <c r="AL3723" i="4" l="1"/>
  <c r="AK3732" i="4"/>
  <c r="AI3732" i="4"/>
  <c r="AH3733" i="4"/>
  <c r="AJ3733" i="4"/>
  <c r="AL3724" i="4" l="1"/>
  <c r="AK3733" i="4"/>
  <c r="AI3733" i="4"/>
  <c r="AH3734" i="4"/>
  <c r="AJ3734" i="4"/>
  <c r="AL3725" i="4" l="1"/>
  <c r="AK3734" i="4"/>
  <c r="AI3734" i="4"/>
  <c r="AH3735" i="4"/>
  <c r="AJ3735" i="4"/>
  <c r="AL3726" i="4" l="1"/>
  <c r="AK3735" i="4"/>
  <c r="AI3735" i="4"/>
  <c r="AH3736" i="4"/>
  <c r="AJ3736" i="4"/>
  <c r="AL3727" i="4" l="1"/>
  <c r="AK3736" i="4"/>
  <c r="AI3736" i="4"/>
  <c r="AH3737" i="4"/>
  <c r="AJ3737" i="4"/>
  <c r="AL3728" i="4" l="1"/>
  <c r="AK3737" i="4"/>
  <c r="AI3737" i="4"/>
  <c r="AH3738" i="4"/>
  <c r="AJ3738" i="4"/>
  <c r="AL3729" i="4" l="1"/>
  <c r="AK3738" i="4"/>
  <c r="AI3738" i="4"/>
  <c r="AH3739" i="4"/>
  <c r="AJ3739" i="4"/>
  <c r="AL3730" i="4" l="1"/>
  <c r="AK3739" i="4"/>
  <c r="AI3739" i="4"/>
  <c r="AH3740" i="4"/>
  <c r="AJ3740" i="4"/>
  <c r="AL3731" i="4" l="1"/>
  <c r="AK3740" i="4"/>
  <c r="AI3740" i="4"/>
  <c r="AH3741" i="4"/>
  <c r="AJ3741" i="4"/>
  <c r="AL3732" i="4" l="1"/>
  <c r="AK3741" i="4"/>
  <c r="AI3741" i="4"/>
  <c r="AH3742" i="4"/>
  <c r="AJ3742" i="4"/>
  <c r="AL3733" i="4" l="1"/>
  <c r="AK3742" i="4"/>
  <c r="AI3742" i="4"/>
  <c r="AH3743" i="4"/>
  <c r="AJ3743" i="4"/>
  <c r="AL3734" i="4" l="1"/>
  <c r="AK3743" i="4"/>
  <c r="AI3743" i="4"/>
  <c r="AH3744" i="4"/>
  <c r="AJ3744" i="4"/>
  <c r="AL3735" i="4" l="1"/>
  <c r="AK3744" i="4"/>
  <c r="AI3744" i="4"/>
  <c r="AH3745" i="4"/>
  <c r="AJ3745" i="4"/>
  <c r="AL3736" i="4" l="1"/>
  <c r="AK3745" i="4"/>
  <c r="AI3745" i="4"/>
  <c r="AH3746" i="4"/>
  <c r="AJ3746" i="4"/>
  <c r="AL3737" i="4" l="1"/>
  <c r="AK3746" i="4"/>
  <c r="AI3746" i="4"/>
  <c r="AH3747" i="4"/>
  <c r="AJ3747" i="4"/>
  <c r="AL3738" i="4" l="1"/>
  <c r="AK3747" i="4"/>
  <c r="AI3747" i="4"/>
  <c r="AH3748" i="4"/>
  <c r="AJ3748" i="4"/>
  <c r="AL3739" i="4" l="1"/>
  <c r="AK3748" i="4"/>
  <c r="AI3748" i="4"/>
  <c r="AH3749" i="4"/>
  <c r="AJ3749" i="4"/>
  <c r="AL3740" i="4" l="1"/>
  <c r="AK3749" i="4"/>
  <c r="AI3749" i="4"/>
  <c r="AH3750" i="4"/>
  <c r="AJ3750" i="4"/>
  <c r="AL3741" i="4" l="1"/>
  <c r="AK3750" i="4"/>
  <c r="AI3750" i="4"/>
  <c r="AH3751" i="4"/>
  <c r="AJ3751" i="4"/>
  <c r="AL3742" i="4" l="1"/>
  <c r="AK3751" i="4"/>
  <c r="AI3751" i="4"/>
  <c r="AH3752" i="4"/>
  <c r="AJ3752" i="4"/>
  <c r="AL3743" i="4" l="1"/>
  <c r="AK3752" i="4"/>
  <c r="AI3752" i="4"/>
  <c r="AH3753" i="4"/>
  <c r="AJ3753" i="4"/>
  <c r="AL3744" i="4" l="1"/>
  <c r="AK3753" i="4"/>
  <c r="AI3753" i="4"/>
  <c r="AH3754" i="4"/>
  <c r="AJ3754" i="4"/>
  <c r="AL3745" i="4" l="1"/>
  <c r="AK3754" i="4"/>
  <c r="AI3754" i="4"/>
  <c r="AH3755" i="4"/>
  <c r="AJ3755" i="4"/>
  <c r="AL3746" i="4" l="1"/>
  <c r="AK3755" i="4"/>
  <c r="AI3755" i="4"/>
  <c r="AH3756" i="4"/>
  <c r="AJ3756" i="4"/>
  <c r="AL3747" i="4" l="1"/>
  <c r="AK3756" i="4"/>
  <c r="AI3756" i="4"/>
  <c r="AH3757" i="4"/>
  <c r="AJ3757" i="4"/>
  <c r="AL3748" i="4" l="1"/>
  <c r="AK3757" i="4"/>
  <c r="AI3757" i="4"/>
  <c r="AH3758" i="4"/>
  <c r="AJ3758" i="4"/>
  <c r="AL3749" i="4" l="1"/>
  <c r="AK3758" i="4"/>
  <c r="AI3758" i="4"/>
  <c r="AH3759" i="4"/>
  <c r="AJ3759" i="4"/>
  <c r="AL3750" i="4" l="1"/>
  <c r="AK3759" i="4"/>
  <c r="AI3759" i="4"/>
  <c r="AH3760" i="4"/>
  <c r="AJ3760" i="4"/>
  <c r="AL3751" i="4" l="1"/>
  <c r="AK3760" i="4"/>
  <c r="AI3760" i="4"/>
  <c r="AH3761" i="4"/>
  <c r="AJ3761" i="4"/>
  <c r="AL3752" i="4" l="1"/>
  <c r="AK3761" i="4"/>
  <c r="AI3761" i="4"/>
  <c r="AH3762" i="4"/>
  <c r="AJ3762" i="4"/>
  <c r="AL3753" i="4" l="1"/>
  <c r="AK3762" i="4"/>
  <c r="AI3762" i="4"/>
  <c r="AH3763" i="4"/>
  <c r="AJ3763" i="4"/>
  <c r="AL3754" i="4" l="1"/>
  <c r="AK3763" i="4"/>
  <c r="AI3763" i="4"/>
  <c r="AH3764" i="4"/>
  <c r="AJ3764" i="4"/>
  <c r="AL3755" i="4" l="1"/>
  <c r="AK3764" i="4"/>
  <c r="AI3764" i="4"/>
  <c r="AH3765" i="4"/>
  <c r="AJ3765" i="4"/>
  <c r="AL3756" i="4" l="1"/>
  <c r="AK3765" i="4"/>
  <c r="AI3765" i="4"/>
  <c r="AH3766" i="4"/>
  <c r="AJ3766" i="4"/>
  <c r="AL3757" i="4" l="1"/>
  <c r="AK3766" i="4"/>
  <c r="AI3766" i="4"/>
  <c r="AH3767" i="4"/>
  <c r="AJ3767" i="4"/>
  <c r="AL3758" i="4" l="1"/>
  <c r="AK3767" i="4"/>
  <c r="AI3767" i="4"/>
  <c r="AH3768" i="4"/>
  <c r="AJ3768" i="4"/>
  <c r="AL3759" i="4" l="1"/>
  <c r="AK3768" i="4"/>
  <c r="AI3768" i="4"/>
  <c r="AH3769" i="4"/>
  <c r="AJ3769" i="4"/>
  <c r="AL3760" i="4" l="1"/>
  <c r="AK3769" i="4"/>
  <c r="AI3769" i="4"/>
  <c r="AH3770" i="4"/>
  <c r="AJ3770" i="4"/>
  <c r="AL3761" i="4" l="1"/>
  <c r="AK3770" i="4"/>
  <c r="AI3770" i="4"/>
  <c r="AH3771" i="4"/>
  <c r="AJ3771" i="4"/>
  <c r="AL3762" i="4" l="1"/>
  <c r="AK3771" i="4"/>
  <c r="AI3771" i="4"/>
  <c r="AH3772" i="4"/>
  <c r="AJ3772" i="4"/>
  <c r="AL3763" i="4" l="1"/>
  <c r="AK3772" i="4"/>
  <c r="AI3772" i="4"/>
  <c r="AH3773" i="4"/>
  <c r="AJ3773" i="4"/>
  <c r="AL3764" i="4" l="1"/>
  <c r="AK3773" i="4"/>
  <c r="AI3773" i="4"/>
  <c r="AH3774" i="4"/>
  <c r="AJ3774" i="4"/>
  <c r="AL3765" i="4" l="1"/>
  <c r="AK3774" i="4"/>
  <c r="AI3774" i="4"/>
  <c r="AH3775" i="4"/>
  <c r="AJ3775" i="4"/>
  <c r="AL3766" i="4" l="1"/>
  <c r="AK3775" i="4"/>
  <c r="AI3775" i="4"/>
  <c r="AH3776" i="4"/>
  <c r="AJ3776" i="4"/>
  <c r="AL3767" i="4" l="1"/>
  <c r="AK3776" i="4"/>
  <c r="AI3776" i="4"/>
  <c r="AH3777" i="4"/>
  <c r="AJ3777" i="4"/>
  <c r="AL3768" i="4" l="1"/>
  <c r="AK3777" i="4"/>
  <c r="AI3777" i="4"/>
  <c r="AH3778" i="4"/>
  <c r="AJ3778" i="4"/>
  <c r="AL3769" i="4" l="1"/>
  <c r="AK3778" i="4"/>
  <c r="AI3778" i="4"/>
  <c r="AH3779" i="4"/>
  <c r="AJ3779" i="4"/>
  <c r="AL3770" i="4" l="1"/>
  <c r="AK3779" i="4"/>
  <c r="AI3779" i="4"/>
  <c r="AH3780" i="4"/>
  <c r="AJ3780" i="4"/>
  <c r="AL3771" i="4" l="1"/>
  <c r="AK3780" i="4"/>
  <c r="AI3780" i="4"/>
  <c r="AH3781" i="4"/>
  <c r="AJ3781" i="4"/>
  <c r="AL3772" i="4" l="1"/>
  <c r="AK3781" i="4"/>
  <c r="AI3781" i="4"/>
  <c r="AH3782" i="4"/>
  <c r="AJ3782" i="4"/>
  <c r="AL3773" i="4" l="1"/>
  <c r="AK3782" i="4"/>
  <c r="AI3782" i="4"/>
  <c r="AH3783" i="4"/>
  <c r="AJ3783" i="4"/>
  <c r="AL3774" i="4" l="1"/>
  <c r="AK3783" i="4"/>
  <c r="AI3783" i="4"/>
  <c r="AH3784" i="4"/>
  <c r="AJ3784" i="4"/>
  <c r="AL3775" i="4" l="1"/>
  <c r="AK3784" i="4"/>
  <c r="AI3784" i="4"/>
  <c r="AH3785" i="4"/>
  <c r="AJ3785" i="4"/>
  <c r="AL3776" i="4" l="1"/>
  <c r="AK3785" i="4"/>
  <c r="AI3785" i="4"/>
  <c r="AH3786" i="4"/>
  <c r="AJ3786" i="4"/>
  <c r="AL3777" i="4" l="1"/>
  <c r="AK3786" i="4"/>
  <c r="AI3786" i="4"/>
  <c r="AH3787" i="4"/>
  <c r="AJ3787" i="4"/>
  <c r="AL3778" i="4" l="1"/>
  <c r="AK3787" i="4"/>
  <c r="AI3787" i="4"/>
  <c r="AH3788" i="4"/>
  <c r="AJ3788" i="4"/>
  <c r="AL3779" i="4" l="1"/>
  <c r="AK3788" i="4"/>
  <c r="AI3788" i="4"/>
  <c r="AH3789" i="4"/>
  <c r="AJ3789" i="4"/>
  <c r="AL3780" i="4" l="1"/>
  <c r="AK3789" i="4"/>
  <c r="AI3789" i="4"/>
  <c r="AH3790" i="4"/>
  <c r="AJ3790" i="4"/>
  <c r="AL3781" i="4" l="1"/>
  <c r="AK3790" i="4"/>
  <c r="AI3790" i="4"/>
  <c r="AH3791" i="4"/>
  <c r="AJ3791" i="4"/>
  <c r="AL3782" i="4" l="1"/>
  <c r="AK3791" i="4"/>
  <c r="AI3791" i="4"/>
  <c r="AH3792" i="4"/>
  <c r="AJ3792" i="4"/>
  <c r="AL3783" i="4" l="1"/>
  <c r="AK3792" i="4"/>
  <c r="AI3792" i="4"/>
  <c r="AH3793" i="4"/>
  <c r="AJ3793" i="4"/>
  <c r="AL3784" i="4" l="1"/>
  <c r="AK3793" i="4"/>
  <c r="AI3793" i="4"/>
  <c r="AH3794" i="4"/>
  <c r="AJ3794" i="4"/>
  <c r="AL3785" i="4" l="1"/>
  <c r="AK3794" i="4"/>
  <c r="AI3794" i="4"/>
  <c r="AH3795" i="4"/>
  <c r="AJ3795" i="4"/>
  <c r="AL3786" i="4" l="1"/>
  <c r="AK3795" i="4"/>
  <c r="AI3795" i="4"/>
  <c r="AH3796" i="4"/>
  <c r="AJ3796" i="4"/>
  <c r="AL3787" i="4" l="1"/>
  <c r="AK3796" i="4"/>
  <c r="AI3796" i="4"/>
  <c r="AH3797" i="4"/>
  <c r="AJ3797" i="4"/>
  <c r="AL3788" i="4" l="1"/>
  <c r="AK3797" i="4"/>
  <c r="AI3797" i="4"/>
  <c r="AH3798" i="4"/>
  <c r="AJ3798" i="4"/>
  <c r="AL3789" i="4" l="1"/>
  <c r="AK3798" i="4"/>
  <c r="AI3798" i="4"/>
  <c r="AH3799" i="4"/>
  <c r="AJ3799" i="4"/>
  <c r="AL3790" i="4" l="1"/>
  <c r="AK3799" i="4"/>
  <c r="AI3799" i="4"/>
  <c r="AH3800" i="4"/>
  <c r="AJ3800" i="4"/>
  <c r="AL3791" i="4" l="1"/>
  <c r="AK3800" i="4"/>
  <c r="AI3800" i="4"/>
  <c r="AH3801" i="4"/>
  <c r="AJ3801" i="4"/>
  <c r="AL3792" i="4" l="1"/>
  <c r="AK3801" i="4"/>
  <c r="AI3801" i="4"/>
  <c r="AH3802" i="4"/>
  <c r="AJ3802" i="4"/>
  <c r="AL3793" i="4" l="1"/>
  <c r="AK3802" i="4"/>
  <c r="AI3802" i="4"/>
  <c r="AH3803" i="4"/>
  <c r="AJ3803" i="4"/>
  <c r="AL3794" i="4" l="1"/>
  <c r="AK3803" i="4"/>
  <c r="AI3803" i="4"/>
  <c r="AH3804" i="4"/>
  <c r="AJ3804" i="4"/>
  <c r="AL3795" i="4" l="1"/>
  <c r="AK3804" i="4"/>
  <c r="AI3804" i="4"/>
  <c r="AH3805" i="4"/>
  <c r="AJ3805" i="4"/>
  <c r="AL3796" i="4" l="1"/>
  <c r="AK3805" i="4"/>
  <c r="AI3805" i="4"/>
  <c r="AH3806" i="4"/>
  <c r="AJ3806" i="4"/>
  <c r="AL3797" i="4" l="1"/>
  <c r="AK3806" i="4"/>
  <c r="AI3806" i="4"/>
  <c r="AH3807" i="4"/>
  <c r="AJ3807" i="4"/>
  <c r="AL3798" i="4" l="1"/>
  <c r="AK3807" i="4"/>
  <c r="AI3807" i="4"/>
  <c r="AH3808" i="4"/>
  <c r="AJ3808" i="4"/>
  <c r="AL3799" i="4" l="1"/>
  <c r="AK3808" i="4"/>
  <c r="AI3808" i="4"/>
  <c r="AH3809" i="4"/>
  <c r="AJ3809" i="4"/>
  <c r="AL3800" i="4" l="1"/>
  <c r="AK3809" i="4"/>
  <c r="AI3809" i="4"/>
  <c r="AH3810" i="4"/>
  <c r="AJ3810" i="4"/>
  <c r="AL3801" i="4" l="1"/>
  <c r="AK3810" i="4"/>
  <c r="AI3810" i="4"/>
  <c r="AH3811" i="4"/>
  <c r="AJ3811" i="4"/>
  <c r="AL3802" i="4" l="1"/>
  <c r="AK3811" i="4"/>
  <c r="AI3811" i="4"/>
  <c r="AH3812" i="4"/>
  <c r="AJ3812" i="4"/>
  <c r="AL3803" i="4" l="1"/>
  <c r="AK3812" i="4"/>
  <c r="AI3812" i="4"/>
  <c r="AH3813" i="4"/>
  <c r="AJ3813" i="4"/>
  <c r="AL3804" i="4" l="1"/>
  <c r="AK3813" i="4"/>
  <c r="AI3813" i="4"/>
  <c r="AH3814" i="4"/>
  <c r="AJ3814" i="4"/>
  <c r="AL3805" i="4" l="1"/>
  <c r="AK3814" i="4"/>
  <c r="AI3814" i="4"/>
  <c r="AH3815" i="4"/>
  <c r="AJ3815" i="4"/>
  <c r="AL3806" i="4" l="1"/>
  <c r="AK3815" i="4"/>
  <c r="AI3815" i="4"/>
  <c r="AH3816" i="4"/>
  <c r="AJ3816" i="4"/>
  <c r="AL3807" i="4" l="1"/>
  <c r="AK3816" i="4"/>
  <c r="AI3816" i="4"/>
  <c r="AH3817" i="4"/>
  <c r="AJ3817" i="4"/>
  <c r="AL3808" i="4" l="1"/>
  <c r="AK3817" i="4"/>
  <c r="AI3817" i="4"/>
  <c r="AH3818" i="4"/>
  <c r="AJ3818" i="4"/>
  <c r="AL3809" i="4" l="1"/>
  <c r="AK3818" i="4"/>
  <c r="AI3818" i="4"/>
  <c r="AH3819" i="4"/>
  <c r="AJ3819" i="4"/>
  <c r="AL3810" i="4" l="1"/>
  <c r="AK3819" i="4"/>
  <c r="AI3819" i="4"/>
  <c r="AH3820" i="4"/>
  <c r="AJ3820" i="4"/>
  <c r="AL3811" i="4" l="1"/>
  <c r="AK3820" i="4"/>
  <c r="AI3820" i="4"/>
  <c r="AH3821" i="4"/>
  <c r="AJ3821" i="4"/>
  <c r="AL3812" i="4" l="1"/>
  <c r="AK3821" i="4"/>
  <c r="AI3821" i="4"/>
  <c r="AH3822" i="4"/>
  <c r="AJ3822" i="4"/>
  <c r="AL3813" i="4" l="1"/>
  <c r="AK3822" i="4"/>
  <c r="AI3822" i="4"/>
  <c r="AH3823" i="4"/>
  <c r="AJ3823" i="4"/>
  <c r="AL3814" i="4" l="1"/>
  <c r="AK3823" i="4"/>
  <c r="AI3823" i="4"/>
  <c r="AH3824" i="4"/>
  <c r="AJ3824" i="4"/>
  <c r="AL3815" i="4" l="1"/>
  <c r="AK3824" i="4"/>
  <c r="AI3824" i="4"/>
  <c r="AH3825" i="4"/>
  <c r="AJ3825" i="4"/>
  <c r="AL3816" i="4" l="1"/>
  <c r="AK3825" i="4"/>
  <c r="AI3825" i="4"/>
  <c r="AH3826" i="4"/>
  <c r="AJ3826" i="4"/>
  <c r="AL3817" i="4" l="1"/>
  <c r="AK3826" i="4"/>
  <c r="AI3826" i="4"/>
  <c r="AH3827" i="4"/>
  <c r="AJ3827" i="4"/>
  <c r="AL3818" i="4" l="1"/>
  <c r="AK3827" i="4"/>
  <c r="AI3827" i="4"/>
  <c r="AH3828" i="4"/>
  <c r="AJ3828" i="4"/>
  <c r="AL3819" i="4" l="1"/>
  <c r="AK3828" i="4"/>
  <c r="AI3828" i="4"/>
  <c r="AH3829" i="4"/>
  <c r="AJ3829" i="4"/>
  <c r="AL3820" i="4" l="1"/>
  <c r="AK3829" i="4"/>
  <c r="AI3829" i="4"/>
  <c r="AH3830" i="4"/>
  <c r="AJ3830" i="4"/>
  <c r="AL3821" i="4" l="1"/>
  <c r="AK3830" i="4"/>
  <c r="AI3830" i="4"/>
  <c r="AH3831" i="4"/>
  <c r="AJ3831" i="4"/>
  <c r="AL3822" i="4" l="1"/>
  <c r="AK3831" i="4"/>
  <c r="AI3831" i="4"/>
  <c r="AH3832" i="4"/>
  <c r="AJ3832" i="4"/>
  <c r="AL3823" i="4" l="1"/>
  <c r="AK3832" i="4"/>
  <c r="AI3832" i="4"/>
  <c r="AH3833" i="4"/>
  <c r="AJ3833" i="4"/>
  <c r="AL3824" i="4" l="1"/>
  <c r="AK3833" i="4"/>
  <c r="AI3833" i="4"/>
  <c r="AH3834" i="4"/>
  <c r="AJ3834" i="4"/>
  <c r="AL3825" i="4" l="1"/>
  <c r="AK3834" i="4"/>
  <c r="AI3834" i="4"/>
  <c r="AH3835" i="4"/>
  <c r="AJ3835" i="4"/>
  <c r="AL3826" i="4" l="1"/>
  <c r="AK3835" i="4"/>
  <c r="AI3835" i="4"/>
  <c r="AH3836" i="4"/>
  <c r="AJ3836" i="4"/>
  <c r="AL3827" i="4" l="1"/>
  <c r="AK3836" i="4"/>
  <c r="AI3836" i="4"/>
  <c r="AH3837" i="4"/>
  <c r="AJ3837" i="4"/>
  <c r="AL3828" i="4" l="1"/>
  <c r="AK3837" i="4"/>
  <c r="AI3837" i="4"/>
  <c r="AH3838" i="4"/>
  <c r="AJ3838" i="4"/>
  <c r="AL3829" i="4" l="1"/>
  <c r="AK3838" i="4"/>
  <c r="AI3838" i="4"/>
  <c r="AH3839" i="4"/>
  <c r="AJ3839" i="4"/>
  <c r="AL3830" i="4" l="1"/>
  <c r="AK3839" i="4"/>
  <c r="AI3839" i="4"/>
  <c r="AH3840" i="4"/>
  <c r="AJ3840" i="4"/>
  <c r="AL3831" i="4" l="1"/>
  <c r="AK3840" i="4"/>
  <c r="AI3840" i="4"/>
  <c r="AH3841" i="4"/>
  <c r="AJ3841" i="4"/>
  <c r="AL3832" i="4" l="1"/>
  <c r="AK3841" i="4"/>
  <c r="AI3841" i="4"/>
  <c r="AH3842" i="4"/>
  <c r="AJ3842" i="4"/>
  <c r="AL3833" i="4" l="1"/>
  <c r="AK3842" i="4"/>
  <c r="AI3842" i="4"/>
  <c r="AH3843" i="4"/>
  <c r="AJ3843" i="4"/>
  <c r="AL3834" i="4" l="1"/>
  <c r="AK3843" i="4"/>
  <c r="AI3843" i="4"/>
  <c r="AH3844" i="4"/>
  <c r="AJ3844" i="4"/>
  <c r="AL3835" i="4" l="1"/>
  <c r="AK3844" i="4"/>
  <c r="AI3844" i="4"/>
  <c r="AH3845" i="4"/>
  <c r="AJ3845" i="4"/>
  <c r="AL3836" i="4" l="1"/>
  <c r="AK3845" i="4"/>
  <c r="AI3845" i="4"/>
  <c r="AH3846" i="4"/>
  <c r="AJ3846" i="4"/>
  <c r="AL3837" i="4" l="1"/>
  <c r="AK3846" i="4"/>
  <c r="AI3846" i="4"/>
  <c r="AH3847" i="4"/>
  <c r="AJ3847" i="4"/>
  <c r="AL3838" i="4" l="1"/>
  <c r="AK3847" i="4"/>
  <c r="AI3847" i="4"/>
  <c r="AH3848" i="4"/>
  <c r="AJ3848" i="4"/>
  <c r="AL3839" i="4" l="1"/>
  <c r="AK3848" i="4"/>
  <c r="AI3848" i="4"/>
  <c r="AH3849" i="4"/>
  <c r="AJ3849" i="4"/>
  <c r="AL3840" i="4" l="1"/>
  <c r="AK3849" i="4"/>
  <c r="AI3849" i="4"/>
  <c r="AH3850" i="4"/>
  <c r="AJ3850" i="4"/>
  <c r="AL3841" i="4" l="1"/>
  <c r="AK3850" i="4"/>
  <c r="AI3850" i="4"/>
  <c r="AH3851" i="4"/>
  <c r="AJ3851" i="4"/>
  <c r="AL3842" i="4" l="1"/>
  <c r="AK3851" i="4"/>
  <c r="AI3851" i="4"/>
  <c r="AH3852" i="4"/>
  <c r="AJ3852" i="4"/>
  <c r="AL3843" i="4" l="1"/>
  <c r="AK3852" i="4"/>
  <c r="AI3852" i="4"/>
  <c r="AH3853" i="4"/>
  <c r="AJ3853" i="4"/>
  <c r="AL3844" i="4" l="1"/>
  <c r="AK3853" i="4"/>
  <c r="AI3853" i="4"/>
  <c r="AH3854" i="4"/>
  <c r="AJ3854" i="4"/>
  <c r="AL3845" i="4" l="1"/>
  <c r="AK3854" i="4"/>
  <c r="AI3854" i="4"/>
  <c r="AH3855" i="4"/>
  <c r="AJ3855" i="4"/>
  <c r="AL3846" i="4" l="1"/>
  <c r="AK3855" i="4"/>
  <c r="AI3855" i="4"/>
  <c r="AH3856" i="4"/>
  <c r="AJ3856" i="4"/>
  <c r="AL3847" i="4" l="1"/>
  <c r="AK3856" i="4"/>
  <c r="AI3856" i="4"/>
  <c r="AH3857" i="4"/>
  <c r="AJ3857" i="4"/>
  <c r="AL3848" i="4" l="1"/>
  <c r="AK3857" i="4"/>
  <c r="AI3857" i="4"/>
  <c r="AH3858" i="4"/>
  <c r="AJ3858" i="4"/>
  <c r="AL3849" i="4" l="1"/>
  <c r="AK3858" i="4"/>
  <c r="AI3858" i="4"/>
  <c r="AH3859" i="4"/>
  <c r="AJ3859" i="4"/>
  <c r="AL3850" i="4" l="1"/>
  <c r="AK3859" i="4"/>
  <c r="AI3859" i="4"/>
  <c r="AH3860" i="4"/>
  <c r="AJ3860" i="4"/>
  <c r="AL3851" i="4" l="1"/>
  <c r="AK3860" i="4"/>
  <c r="AI3860" i="4"/>
  <c r="AH3861" i="4"/>
  <c r="AJ3861" i="4"/>
  <c r="AL3852" i="4" l="1"/>
  <c r="AK3861" i="4"/>
  <c r="AI3861" i="4"/>
  <c r="AH3862" i="4"/>
  <c r="AJ3862" i="4"/>
  <c r="AL3853" i="4" l="1"/>
  <c r="AK3862" i="4"/>
  <c r="AI3862" i="4"/>
  <c r="AH3863" i="4"/>
  <c r="AJ3863" i="4"/>
  <c r="AL3854" i="4" l="1"/>
  <c r="AK3863" i="4"/>
  <c r="AI3863" i="4"/>
  <c r="AH3864" i="4"/>
  <c r="AJ3864" i="4"/>
  <c r="AL3855" i="4" l="1"/>
  <c r="AK3864" i="4"/>
  <c r="AI3864" i="4"/>
  <c r="AH3865" i="4"/>
  <c r="AJ3865" i="4"/>
  <c r="AL3856" i="4" l="1"/>
  <c r="AK3865" i="4"/>
  <c r="AI3865" i="4"/>
  <c r="AH3866" i="4"/>
  <c r="AJ3866" i="4"/>
  <c r="AL3857" i="4" l="1"/>
  <c r="AK3866" i="4"/>
  <c r="AI3866" i="4"/>
  <c r="AH3867" i="4"/>
  <c r="AJ3867" i="4"/>
  <c r="AL3858" i="4" l="1"/>
  <c r="AK3867" i="4"/>
  <c r="AI3867" i="4"/>
  <c r="AH3868" i="4"/>
  <c r="AJ3868" i="4"/>
  <c r="AL3859" i="4" l="1"/>
  <c r="AK3868" i="4"/>
  <c r="AI3868" i="4"/>
  <c r="AH3869" i="4"/>
  <c r="AJ3869" i="4"/>
  <c r="AL3860" i="4" l="1"/>
  <c r="AK3869" i="4"/>
  <c r="AI3869" i="4"/>
  <c r="AH3870" i="4"/>
  <c r="AJ3870" i="4"/>
  <c r="AL3861" i="4" l="1"/>
  <c r="AK3870" i="4"/>
  <c r="AI3870" i="4"/>
  <c r="AH3871" i="4"/>
  <c r="AJ3871" i="4"/>
  <c r="AL3862" i="4" l="1"/>
  <c r="AK3871" i="4"/>
  <c r="AI3871" i="4"/>
  <c r="AH3872" i="4"/>
  <c r="AJ3872" i="4"/>
  <c r="AL3863" i="4" l="1"/>
  <c r="AK3872" i="4"/>
  <c r="AI3872" i="4"/>
  <c r="AH3873" i="4"/>
  <c r="AJ3873" i="4"/>
  <c r="AL3864" i="4" l="1"/>
  <c r="AK3873" i="4"/>
  <c r="AI3873" i="4"/>
  <c r="AH3874" i="4"/>
  <c r="AJ3874" i="4"/>
  <c r="AL3865" i="4" l="1"/>
  <c r="AK3874" i="4"/>
  <c r="AI3874" i="4"/>
  <c r="AH3875" i="4"/>
  <c r="AJ3875" i="4"/>
  <c r="AL3866" i="4" l="1"/>
  <c r="AK3875" i="4"/>
  <c r="AI3875" i="4"/>
  <c r="AH3876" i="4"/>
  <c r="AJ3876" i="4"/>
  <c r="AL3867" i="4" l="1"/>
  <c r="AK3876" i="4"/>
  <c r="AI3876" i="4"/>
  <c r="AH3877" i="4"/>
  <c r="AJ3877" i="4"/>
  <c r="AL3868" i="4" l="1"/>
  <c r="AK3877" i="4"/>
  <c r="AI3877" i="4"/>
  <c r="AH3878" i="4"/>
  <c r="AJ3878" i="4"/>
  <c r="AL3869" i="4" l="1"/>
  <c r="AK3878" i="4"/>
  <c r="AI3878" i="4"/>
  <c r="AH3879" i="4"/>
  <c r="AJ3879" i="4"/>
  <c r="AL3870" i="4" l="1"/>
  <c r="AK3879" i="4"/>
  <c r="AI3879" i="4"/>
  <c r="AH3880" i="4"/>
  <c r="AJ3880" i="4"/>
  <c r="AL3871" i="4" l="1"/>
  <c r="AK3880" i="4"/>
  <c r="AI3880" i="4"/>
  <c r="AH3881" i="4"/>
  <c r="AJ3881" i="4"/>
  <c r="AL3872" i="4" l="1"/>
  <c r="AK3881" i="4"/>
  <c r="AI3881" i="4"/>
  <c r="AH3882" i="4"/>
  <c r="AJ3882" i="4"/>
  <c r="AL3873" i="4" l="1"/>
  <c r="AK3882" i="4"/>
  <c r="AI3882" i="4"/>
  <c r="AH3883" i="4"/>
  <c r="AJ3883" i="4"/>
  <c r="AL3874" i="4" l="1"/>
  <c r="AK3883" i="4"/>
  <c r="AI3883" i="4"/>
  <c r="AH3884" i="4"/>
  <c r="AJ3884" i="4"/>
  <c r="AL3875" i="4" l="1"/>
  <c r="AK3884" i="4"/>
  <c r="AI3884" i="4"/>
  <c r="AH3885" i="4"/>
  <c r="AJ3885" i="4"/>
  <c r="AL3876" i="4" l="1"/>
  <c r="AK3885" i="4"/>
  <c r="AI3885" i="4"/>
  <c r="AH3886" i="4"/>
  <c r="AJ3886" i="4"/>
  <c r="AL3877" i="4" l="1"/>
  <c r="AK3886" i="4"/>
  <c r="AI3886" i="4"/>
  <c r="AH3887" i="4"/>
  <c r="AJ3887" i="4"/>
  <c r="AL3878" i="4" l="1"/>
  <c r="AK3887" i="4"/>
  <c r="AI3887" i="4"/>
  <c r="AH3888" i="4"/>
  <c r="AJ3888" i="4"/>
  <c r="AL3879" i="4" l="1"/>
  <c r="AK3888" i="4"/>
  <c r="AI3888" i="4"/>
  <c r="AH3889" i="4"/>
  <c r="AJ3889" i="4"/>
  <c r="AL3880" i="4" l="1"/>
  <c r="AK3889" i="4"/>
  <c r="AI3889" i="4"/>
  <c r="AH3890" i="4"/>
  <c r="AJ3890" i="4"/>
  <c r="AL3881" i="4" l="1"/>
  <c r="AK3890" i="4"/>
  <c r="AI3890" i="4"/>
  <c r="AH3891" i="4"/>
  <c r="AJ3891" i="4"/>
  <c r="AL3882" i="4" l="1"/>
  <c r="AK3891" i="4"/>
  <c r="AI3891" i="4"/>
  <c r="AH3892" i="4"/>
  <c r="AJ3892" i="4"/>
  <c r="AL3883" i="4" l="1"/>
  <c r="AK3892" i="4"/>
  <c r="AI3892" i="4"/>
  <c r="AH3893" i="4"/>
  <c r="AJ3893" i="4"/>
  <c r="AL3884" i="4" l="1"/>
  <c r="AK3893" i="4"/>
  <c r="AI3893" i="4"/>
  <c r="AH3894" i="4"/>
  <c r="AJ3894" i="4"/>
  <c r="AL3885" i="4" l="1"/>
  <c r="AK3894" i="4"/>
  <c r="AI3894" i="4"/>
  <c r="AH3895" i="4"/>
  <c r="AJ3895" i="4"/>
  <c r="AL3886" i="4" l="1"/>
  <c r="AK3895" i="4"/>
  <c r="AI3895" i="4"/>
  <c r="AH3896" i="4"/>
  <c r="AJ3896" i="4"/>
  <c r="AL3887" i="4" l="1"/>
  <c r="AK3896" i="4"/>
  <c r="AI3896" i="4"/>
  <c r="AH3897" i="4"/>
  <c r="AJ3897" i="4"/>
  <c r="AL3888" i="4" l="1"/>
  <c r="AK3897" i="4"/>
  <c r="AI3897" i="4"/>
  <c r="AH3898" i="4"/>
  <c r="AJ3898" i="4"/>
  <c r="AL3889" i="4" l="1"/>
  <c r="AK3898" i="4"/>
  <c r="AI3898" i="4"/>
  <c r="AH3899" i="4"/>
  <c r="AJ3899" i="4"/>
  <c r="AL3890" i="4" l="1"/>
  <c r="AK3899" i="4"/>
  <c r="AI3899" i="4"/>
  <c r="AH3900" i="4"/>
  <c r="AJ3900" i="4"/>
  <c r="AL3891" i="4" l="1"/>
  <c r="AK3900" i="4"/>
  <c r="AI3900" i="4"/>
  <c r="AH3901" i="4"/>
  <c r="AJ3901" i="4"/>
  <c r="AL3892" i="4" l="1"/>
  <c r="AK3901" i="4"/>
  <c r="AI3901" i="4"/>
  <c r="AH3902" i="4"/>
  <c r="AJ3902" i="4"/>
  <c r="AL3893" i="4" l="1"/>
  <c r="AK3902" i="4"/>
  <c r="AI3902" i="4"/>
  <c r="AH3903" i="4"/>
  <c r="AJ3903" i="4"/>
  <c r="AL3894" i="4" l="1"/>
  <c r="AK3903" i="4"/>
  <c r="AI3903" i="4"/>
  <c r="AH3904" i="4"/>
  <c r="AJ3904" i="4"/>
  <c r="AL3895" i="4" l="1"/>
  <c r="AK3904" i="4"/>
  <c r="AI3904" i="4"/>
  <c r="AH3905" i="4"/>
  <c r="AJ3905" i="4"/>
  <c r="AL3896" i="4" l="1"/>
  <c r="AK3905" i="4"/>
  <c r="AI3905" i="4"/>
  <c r="AH3906" i="4"/>
  <c r="AJ3906" i="4"/>
  <c r="AL3897" i="4" l="1"/>
  <c r="AK3906" i="4"/>
  <c r="AI3906" i="4"/>
  <c r="AH3907" i="4"/>
  <c r="AJ3907" i="4"/>
  <c r="AL3898" i="4" l="1"/>
  <c r="AK3907" i="4"/>
  <c r="AI3907" i="4"/>
  <c r="AH3908" i="4"/>
  <c r="AJ3908" i="4"/>
  <c r="AL3899" i="4" l="1"/>
  <c r="AK3908" i="4"/>
  <c r="AI3908" i="4"/>
  <c r="AH3909" i="4"/>
  <c r="AJ3909" i="4"/>
  <c r="AL3900" i="4" l="1"/>
  <c r="AK3909" i="4"/>
  <c r="AI3909" i="4"/>
  <c r="AH3910" i="4"/>
  <c r="AJ3910" i="4"/>
  <c r="AL3901" i="4" l="1"/>
  <c r="AK3910" i="4"/>
  <c r="AI3910" i="4"/>
  <c r="AH3911" i="4"/>
  <c r="AJ3911" i="4"/>
  <c r="AL3902" i="4" l="1"/>
  <c r="AK3911" i="4"/>
  <c r="AI3911" i="4"/>
  <c r="AH3912" i="4"/>
  <c r="AJ3912" i="4"/>
  <c r="AL3903" i="4" l="1"/>
  <c r="AK3912" i="4"/>
  <c r="AI3912" i="4"/>
  <c r="AH3913" i="4"/>
  <c r="AJ3913" i="4"/>
  <c r="AL3904" i="4" l="1"/>
  <c r="AK3913" i="4"/>
  <c r="AI3913" i="4"/>
  <c r="AH3914" i="4"/>
  <c r="AJ3914" i="4"/>
  <c r="AL3905" i="4" l="1"/>
  <c r="AK3914" i="4"/>
  <c r="AI3914" i="4"/>
  <c r="AH3915" i="4"/>
  <c r="AJ3915" i="4"/>
  <c r="AL3906" i="4" l="1"/>
  <c r="AK3915" i="4"/>
  <c r="AI3915" i="4"/>
  <c r="AH3916" i="4"/>
  <c r="AJ3916" i="4"/>
  <c r="AL3907" i="4" l="1"/>
  <c r="AK3916" i="4"/>
  <c r="AI3916" i="4"/>
  <c r="AH3917" i="4"/>
  <c r="AJ3917" i="4"/>
  <c r="AL3908" i="4" l="1"/>
  <c r="AK3917" i="4"/>
  <c r="AI3917" i="4"/>
  <c r="AH3918" i="4"/>
  <c r="AJ3918" i="4"/>
  <c r="AL3909" i="4" l="1"/>
  <c r="AK3918" i="4"/>
  <c r="AI3918" i="4"/>
  <c r="AH3919" i="4"/>
  <c r="AJ3919" i="4"/>
  <c r="AL3910" i="4" l="1"/>
  <c r="AK3919" i="4"/>
  <c r="AI3919" i="4"/>
  <c r="AH3920" i="4"/>
  <c r="AJ3920" i="4"/>
  <c r="AL3911" i="4" l="1"/>
  <c r="AK3920" i="4"/>
  <c r="AI3920" i="4"/>
  <c r="AH3921" i="4"/>
  <c r="AJ3921" i="4"/>
  <c r="AL3912" i="4" l="1"/>
  <c r="AK3921" i="4"/>
  <c r="AI3921" i="4"/>
  <c r="AH3922" i="4"/>
  <c r="AJ3922" i="4"/>
  <c r="AL3913" i="4" l="1"/>
  <c r="AK3922" i="4"/>
  <c r="AI3922" i="4"/>
  <c r="AH3923" i="4"/>
  <c r="AJ3923" i="4"/>
  <c r="AL3914" i="4" l="1"/>
  <c r="AK3923" i="4"/>
  <c r="AI3923" i="4"/>
  <c r="AH3924" i="4"/>
  <c r="AJ3924" i="4"/>
  <c r="AL3915" i="4" l="1"/>
  <c r="AK3924" i="4"/>
  <c r="AI3924" i="4"/>
  <c r="AH3925" i="4"/>
  <c r="AJ3925" i="4"/>
  <c r="AL3916" i="4" l="1"/>
  <c r="AK3925" i="4"/>
  <c r="AI3925" i="4"/>
  <c r="AH3926" i="4"/>
  <c r="AJ3926" i="4"/>
  <c r="AL3917" i="4" l="1"/>
  <c r="AK3926" i="4"/>
  <c r="AI3926" i="4"/>
  <c r="AH3927" i="4"/>
  <c r="AJ3927" i="4"/>
  <c r="AL3918" i="4" l="1"/>
  <c r="AK3927" i="4"/>
  <c r="AI3927" i="4"/>
  <c r="AH3928" i="4"/>
  <c r="AJ3928" i="4"/>
  <c r="AL3919" i="4" l="1"/>
  <c r="AK3928" i="4"/>
  <c r="AI3928" i="4"/>
  <c r="AH3929" i="4"/>
  <c r="AJ3929" i="4"/>
  <c r="AL3920" i="4" l="1"/>
  <c r="AK3929" i="4"/>
  <c r="AI3929" i="4"/>
  <c r="AH3930" i="4"/>
  <c r="AJ3930" i="4"/>
  <c r="AL3921" i="4" l="1"/>
  <c r="AK3930" i="4"/>
  <c r="AI3930" i="4"/>
  <c r="AH3931" i="4"/>
  <c r="AJ3931" i="4"/>
  <c r="AL3922" i="4" l="1"/>
  <c r="AK3931" i="4"/>
  <c r="AI3931" i="4"/>
  <c r="AH3932" i="4"/>
  <c r="AJ3932" i="4"/>
  <c r="AL3923" i="4" l="1"/>
  <c r="AK3932" i="4"/>
  <c r="AI3932" i="4"/>
  <c r="AH3933" i="4"/>
  <c r="AJ3933" i="4"/>
  <c r="AL3924" i="4" l="1"/>
  <c r="AK3933" i="4"/>
  <c r="AI3933" i="4"/>
  <c r="AH3934" i="4"/>
  <c r="AJ3934" i="4"/>
  <c r="AL3925" i="4" l="1"/>
  <c r="AK3934" i="4"/>
  <c r="AI3934" i="4"/>
  <c r="AH3935" i="4"/>
  <c r="AJ3935" i="4"/>
  <c r="AL3926" i="4" l="1"/>
  <c r="AK3935" i="4"/>
  <c r="AI3935" i="4"/>
  <c r="AH3936" i="4"/>
  <c r="AJ3936" i="4"/>
  <c r="AL3927" i="4" l="1"/>
  <c r="AK3936" i="4"/>
  <c r="AI3936" i="4"/>
  <c r="AH3937" i="4"/>
  <c r="AJ3937" i="4"/>
  <c r="AL3928" i="4" l="1"/>
  <c r="AK3937" i="4"/>
  <c r="AI3937" i="4"/>
  <c r="AH3938" i="4"/>
  <c r="AJ3938" i="4"/>
  <c r="AL3929" i="4" l="1"/>
  <c r="AK3938" i="4"/>
  <c r="AI3938" i="4"/>
  <c r="AH3939" i="4"/>
  <c r="AJ3939" i="4"/>
  <c r="AL3930" i="4" l="1"/>
  <c r="AK3939" i="4"/>
  <c r="AI3939" i="4"/>
  <c r="AH3940" i="4"/>
  <c r="AJ3940" i="4"/>
  <c r="AL3931" i="4" l="1"/>
  <c r="AK3940" i="4"/>
  <c r="AI3940" i="4"/>
  <c r="AH3941" i="4"/>
  <c r="AJ3941" i="4"/>
  <c r="AL3932" i="4" l="1"/>
  <c r="AK3941" i="4"/>
  <c r="AI3941" i="4"/>
  <c r="AH3942" i="4"/>
  <c r="AJ3942" i="4"/>
  <c r="AL3933" i="4" l="1"/>
  <c r="AK3942" i="4"/>
  <c r="AI3942" i="4"/>
  <c r="AH3943" i="4"/>
  <c r="AJ3943" i="4"/>
  <c r="AL3934" i="4" l="1"/>
  <c r="AK3943" i="4"/>
  <c r="AI3943" i="4"/>
  <c r="AH3944" i="4"/>
  <c r="AJ3944" i="4"/>
  <c r="AL3935" i="4" l="1"/>
  <c r="AK3944" i="4"/>
  <c r="AI3944" i="4"/>
  <c r="AH3945" i="4"/>
  <c r="AJ3945" i="4"/>
  <c r="AL3936" i="4" l="1"/>
  <c r="AK3945" i="4"/>
  <c r="AI3945" i="4"/>
  <c r="AH3946" i="4"/>
  <c r="AJ3946" i="4"/>
  <c r="AL3937" i="4" l="1"/>
  <c r="AK3946" i="4"/>
  <c r="AI3946" i="4"/>
  <c r="AH3947" i="4"/>
  <c r="AJ3947" i="4"/>
  <c r="AL3938" i="4" l="1"/>
  <c r="AK3947" i="4"/>
  <c r="AI3947" i="4"/>
  <c r="AH3948" i="4"/>
  <c r="AJ3948" i="4"/>
  <c r="AL3939" i="4" l="1"/>
  <c r="AK3948" i="4"/>
  <c r="AI3948" i="4"/>
  <c r="AH3949" i="4"/>
  <c r="AJ3949" i="4"/>
  <c r="AL3940" i="4" l="1"/>
  <c r="AK3949" i="4"/>
  <c r="AI3949" i="4"/>
  <c r="AH3950" i="4"/>
  <c r="AJ3950" i="4"/>
  <c r="AL3941" i="4" l="1"/>
  <c r="AK3950" i="4"/>
  <c r="AI3950" i="4"/>
  <c r="AH3951" i="4"/>
  <c r="AJ3951" i="4"/>
  <c r="AL3942" i="4" l="1"/>
  <c r="AK3951" i="4"/>
  <c r="AI3951" i="4"/>
  <c r="AH3952" i="4"/>
  <c r="AJ3952" i="4"/>
  <c r="AL3943" i="4" l="1"/>
  <c r="AK3952" i="4"/>
  <c r="AI3952" i="4"/>
  <c r="AH3953" i="4"/>
  <c r="AJ3953" i="4"/>
  <c r="AL3944" i="4" l="1"/>
  <c r="AK3953" i="4"/>
  <c r="AI3953" i="4"/>
  <c r="AH3954" i="4"/>
  <c r="AJ3954" i="4"/>
  <c r="AL3945" i="4" l="1"/>
  <c r="AK3954" i="4"/>
  <c r="AI3954" i="4"/>
  <c r="AH3955" i="4"/>
  <c r="AJ3955" i="4"/>
  <c r="AL3946" i="4" l="1"/>
  <c r="AK3955" i="4"/>
  <c r="AI3955" i="4"/>
  <c r="AH3956" i="4"/>
  <c r="AJ3956" i="4"/>
  <c r="AL3947" i="4" l="1"/>
  <c r="AK3956" i="4"/>
  <c r="AI3956" i="4"/>
  <c r="AH3957" i="4"/>
  <c r="AJ3957" i="4"/>
  <c r="AL3948" i="4" l="1"/>
  <c r="AK3957" i="4"/>
  <c r="AI3957" i="4"/>
  <c r="AH3958" i="4"/>
  <c r="AJ3958" i="4"/>
  <c r="AL3949" i="4" l="1"/>
  <c r="AK3958" i="4"/>
  <c r="AI3958" i="4"/>
  <c r="AH3959" i="4"/>
  <c r="AJ3959" i="4"/>
  <c r="AL3950" i="4" l="1"/>
  <c r="AK3959" i="4"/>
  <c r="AI3959" i="4"/>
  <c r="AH3960" i="4"/>
  <c r="AJ3960" i="4"/>
  <c r="AL3951" i="4" l="1"/>
  <c r="AK3960" i="4"/>
  <c r="AI3960" i="4"/>
  <c r="AH3961" i="4"/>
  <c r="AJ3961" i="4"/>
  <c r="AL3952" i="4" l="1"/>
  <c r="AK3961" i="4"/>
  <c r="AI3961" i="4"/>
  <c r="AH3962" i="4"/>
  <c r="AJ3962" i="4"/>
  <c r="AL3953" i="4" l="1"/>
  <c r="AK3962" i="4"/>
  <c r="AI3962" i="4"/>
  <c r="AH3963" i="4"/>
  <c r="AJ3963" i="4"/>
  <c r="AL3954" i="4" l="1"/>
  <c r="AK3963" i="4"/>
  <c r="AI3963" i="4"/>
  <c r="AH3964" i="4"/>
  <c r="AJ3964" i="4"/>
  <c r="AL3955" i="4" l="1"/>
  <c r="AK3964" i="4"/>
  <c r="AI3964" i="4"/>
  <c r="AH3965" i="4"/>
  <c r="AJ3965" i="4"/>
  <c r="AL3956" i="4" l="1"/>
  <c r="AK3965" i="4"/>
  <c r="AI3965" i="4"/>
  <c r="AH3966" i="4"/>
  <c r="AJ3966" i="4"/>
  <c r="AL3957" i="4" l="1"/>
  <c r="AK3966" i="4"/>
  <c r="AI3966" i="4"/>
  <c r="AH3967" i="4"/>
  <c r="AJ3967" i="4"/>
  <c r="AL3958" i="4" l="1"/>
  <c r="AK3967" i="4"/>
  <c r="AI3967" i="4"/>
  <c r="AH3968" i="4"/>
  <c r="AJ3968" i="4"/>
  <c r="AL3959" i="4" l="1"/>
  <c r="AK3968" i="4"/>
  <c r="AI3968" i="4"/>
  <c r="AH3969" i="4"/>
  <c r="AJ3969" i="4"/>
  <c r="AL3960" i="4" l="1"/>
  <c r="AK3969" i="4"/>
  <c r="AI3969" i="4"/>
  <c r="AH3970" i="4"/>
  <c r="AJ3970" i="4"/>
  <c r="AL3961" i="4" l="1"/>
  <c r="AK3970" i="4"/>
  <c r="AI3970" i="4"/>
  <c r="AH3971" i="4"/>
  <c r="AJ3971" i="4"/>
  <c r="AL3962" i="4" l="1"/>
  <c r="AK3971" i="4"/>
  <c r="AI3971" i="4"/>
  <c r="AH3972" i="4"/>
  <c r="AJ3972" i="4"/>
  <c r="AL3963" i="4" l="1"/>
  <c r="AK3972" i="4"/>
  <c r="AI3972" i="4"/>
  <c r="AH3973" i="4"/>
  <c r="AJ3973" i="4"/>
  <c r="AL3964" i="4" l="1"/>
  <c r="AK3973" i="4"/>
  <c r="AI3973" i="4"/>
  <c r="AH3974" i="4"/>
  <c r="AJ3974" i="4"/>
  <c r="AL3965" i="4" l="1"/>
  <c r="AK3974" i="4"/>
  <c r="AI3974" i="4"/>
  <c r="AH3975" i="4"/>
  <c r="AJ3975" i="4"/>
  <c r="AL3966" i="4" l="1"/>
  <c r="AK3975" i="4"/>
  <c r="AI3975" i="4"/>
  <c r="AH3976" i="4"/>
  <c r="AJ3976" i="4"/>
  <c r="AL3967" i="4" l="1"/>
  <c r="AK3976" i="4"/>
  <c r="AI3976" i="4"/>
  <c r="AH3977" i="4"/>
  <c r="AJ3977" i="4"/>
  <c r="AL3968" i="4" l="1"/>
  <c r="AK3977" i="4"/>
  <c r="AI3977" i="4"/>
  <c r="AH3978" i="4"/>
  <c r="AJ3978" i="4"/>
  <c r="AL3969" i="4" l="1"/>
  <c r="AK3978" i="4"/>
  <c r="AI3978" i="4"/>
  <c r="AH3979" i="4"/>
  <c r="AJ3979" i="4"/>
  <c r="AL3970" i="4" l="1"/>
  <c r="AK3979" i="4"/>
  <c r="AI3979" i="4"/>
  <c r="AH3980" i="4"/>
  <c r="AJ3980" i="4"/>
  <c r="AL3971" i="4" l="1"/>
  <c r="AK3980" i="4"/>
  <c r="AI3980" i="4"/>
  <c r="AH3981" i="4"/>
  <c r="AJ3981" i="4"/>
  <c r="AL3972" i="4" l="1"/>
  <c r="AK3981" i="4"/>
  <c r="AI3981" i="4"/>
  <c r="AH3982" i="4"/>
  <c r="AJ3982" i="4"/>
  <c r="AL3973" i="4" l="1"/>
  <c r="AK3982" i="4"/>
  <c r="AI3982" i="4"/>
  <c r="AH3983" i="4"/>
  <c r="AJ3983" i="4"/>
  <c r="AL3974" i="4" l="1"/>
  <c r="AK3983" i="4"/>
  <c r="AI3983" i="4"/>
  <c r="AH3984" i="4"/>
  <c r="AJ3984" i="4"/>
  <c r="AL3975" i="4" l="1"/>
  <c r="AK3984" i="4"/>
  <c r="AI3984" i="4"/>
  <c r="AH3985" i="4"/>
  <c r="AJ3985" i="4"/>
  <c r="AL3976" i="4" l="1"/>
  <c r="AK3985" i="4"/>
  <c r="AI3985" i="4"/>
  <c r="AH3986" i="4"/>
  <c r="AJ3986" i="4"/>
  <c r="AL3977" i="4" l="1"/>
  <c r="AK3986" i="4"/>
  <c r="AI3986" i="4"/>
  <c r="AH3987" i="4"/>
  <c r="AJ3987" i="4"/>
  <c r="AL3978" i="4" l="1"/>
  <c r="AK3987" i="4"/>
  <c r="AI3987" i="4"/>
  <c r="AH3988" i="4"/>
  <c r="AJ3988" i="4"/>
  <c r="AL3979" i="4" l="1"/>
  <c r="AK3988" i="4"/>
  <c r="AI3988" i="4"/>
  <c r="AH3989" i="4"/>
  <c r="AJ3989" i="4"/>
  <c r="AL3980" i="4" l="1"/>
  <c r="AK3989" i="4"/>
  <c r="AI3989" i="4"/>
  <c r="AH3990" i="4"/>
  <c r="AJ3990" i="4"/>
  <c r="AL3981" i="4" l="1"/>
  <c r="AK3990" i="4"/>
  <c r="AI3990" i="4"/>
  <c r="AH3991" i="4"/>
  <c r="AJ3991" i="4"/>
  <c r="AL3982" i="4" l="1"/>
  <c r="AK3991" i="4"/>
  <c r="AI3991" i="4"/>
  <c r="AH3992" i="4"/>
  <c r="AJ3992" i="4"/>
  <c r="AL3983" i="4" l="1"/>
  <c r="AK3992" i="4"/>
  <c r="AI3992" i="4"/>
  <c r="AH3993" i="4"/>
  <c r="AJ3993" i="4"/>
  <c r="AL3984" i="4" l="1"/>
  <c r="AK3993" i="4"/>
  <c r="AI3993" i="4"/>
  <c r="AH3994" i="4"/>
  <c r="AJ3994" i="4"/>
  <c r="AL3985" i="4" l="1"/>
  <c r="AK3994" i="4"/>
  <c r="AI3994" i="4"/>
  <c r="AH3995" i="4"/>
  <c r="AJ3995" i="4"/>
  <c r="AL3986" i="4" l="1"/>
  <c r="AK3995" i="4"/>
  <c r="AI3995" i="4"/>
  <c r="AH3996" i="4"/>
  <c r="AJ3996" i="4"/>
  <c r="AL3987" i="4" l="1"/>
  <c r="AK3996" i="4"/>
  <c r="AI3996" i="4"/>
  <c r="AH3997" i="4"/>
  <c r="AJ3997" i="4"/>
  <c r="AL3988" i="4" l="1"/>
  <c r="AK3997" i="4"/>
  <c r="AI3997" i="4"/>
  <c r="AH3998" i="4"/>
  <c r="AJ3998" i="4"/>
  <c r="AL3989" i="4" l="1"/>
  <c r="AK3998" i="4"/>
  <c r="AI3998" i="4"/>
  <c r="AH3999" i="4"/>
  <c r="AJ3999" i="4"/>
  <c r="AL3990" i="4" l="1"/>
  <c r="AK3999" i="4"/>
  <c r="AI3999" i="4"/>
  <c r="AH4000" i="4"/>
  <c r="AJ4000" i="4"/>
  <c r="AS152" i="4"/>
  <c r="AL3991" i="4" l="1"/>
  <c r="AK4000" i="4"/>
  <c r="AI4000" i="4"/>
  <c r="AH4001" i="4"/>
  <c r="AJ4001" i="4"/>
  <c r="AL3992" i="4" l="1"/>
  <c r="AK4001" i="4"/>
  <c r="AI4001" i="4"/>
  <c r="AH4002" i="4"/>
  <c r="AJ4002" i="4"/>
  <c r="AL3993" i="4" l="1"/>
  <c r="AK4002" i="4"/>
  <c r="AI4002" i="4"/>
  <c r="AH4003" i="4"/>
  <c r="AJ4003" i="4"/>
  <c r="AL3994" i="4" l="1"/>
  <c r="AK4003" i="4"/>
  <c r="AI4003" i="4"/>
  <c r="AH4004" i="4"/>
  <c r="AJ4004" i="4"/>
  <c r="AL3995" i="4" l="1"/>
  <c r="AK4004" i="4"/>
  <c r="AI4004" i="4"/>
  <c r="AH4005" i="4"/>
  <c r="AJ4005" i="4"/>
  <c r="AL3996" i="4" l="1"/>
  <c r="AK4005" i="4"/>
  <c r="AI4005" i="4"/>
  <c r="AH4006" i="4"/>
  <c r="AJ4006" i="4"/>
  <c r="AL3997" i="4" l="1"/>
  <c r="AK4006" i="4"/>
  <c r="AI4006" i="4"/>
  <c r="AH4007" i="4"/>
  <c r="AJ4007" i="4"/>
  <c r="AL3998" i="4" l="1"/>
  <c r="AK4007" i="4"/>
  <c r="AI4007" i="4"/>
  <c r="AH4008" i="4"/>
  <c r="AJ4008" i="4"/>
  <c r="AL3999" i="4" l="1"/>
  <c r="AK4008" i="4"/>
  <c r="AI4008" i="4"/>
  <c r="AH4009" i="4"/>
  <c r="AJ4009" i="4"/>
  <c r="AL4000" i="4" l="1"/>
  <c r="AK4009" i="4"/>
  <c r="AI4009" i="4"/>
  <c r="AH4010" i="4"/>
  <c r="AJ4010" i="4"/>
  <c r="AL4001" i="4" l="1"/>
  <c r="AK4010" i="4"/>
  <c r="AI4010" i="4"/>
  <c r="AH4011" i="4"/>
  <c r="AJ4011" i="4"/>
  <c r="AL4002" i="4" l="1"/>
  <c r="AK4011" i="4"/>
  <c r="AI4011" i="4"/>
  <c r="AH4012" i="4"/>
  <c r="AJ4012" i="4"/>
  <c r="AL4003" i="4" l="1"/>
  <c r="AK4012" i="4"/>
  <c r="AI4012" i="4"/>
  <c r="AH4013" i="4"/>
  <c r="AJ4013" i="4"/>
  <c r="AL4004" i="4" l="1"/>
  <c r="AK4013" i="4"/>
  <c r="AI4013" i="4"/>
  <c r="AH4014" i="4"/>
  <c r="AJ4014" i="4"/>
  <c r="AL4005" i="4" l="1"/>
  <c r="AK4014" i="4"/>
  <c r="AI4014" i="4"/>
  <c r="AH4015" i="4"/>
  <c r="AJ4015" i="4"/>
  <c r="AL4006" i="4" l="1"/>
  <c r="AK4015" i="4"/>
  <c r="AI4015" i="4"/>
  <c r="AH4016" i="4"/>
  <c r="AJ4016" i="4"/>
  <c r="AL4007" i="4" l="1"/>
  <c r="AK4016" i="4"/>
  <c r="AI4016" i="4"/>
  <c r="AH4017" i="4"/>
  <c r="AJ4017" i="4"/>
  <c r="AL4008" i="4" l="1"/>
  <c r="AK4017" i="4"/>
  <c r="AI4017" i="4"/>
  <c r="AH4018" i="4"/>
  <c r="AJ4018" i="4"/>
  <c r="AL4009" i="4" l="1"/>
  <c r="AK4018" i="4"/>
  <c r="AI4018" i="4"/>
  <c r="AH4019" i="4"/>
  <c r="AJ4019" i="4"/>
  <c r="AL4010" i="4" l="1"/>
  <c r="AK4019" i="4"/>
  <c r="AI4019" i="4"/>
  <c r="AH4020" i="4"/>
  <c r="AJ4020" i="4"/>
  <c r="AL4011" i="4" l="1"/>
  <c r="AK4020" i="4"/>
  <c r="AI4020" i="4"/>
  <c r="AH4021" i="4"/>
  <c r="AJ4021" i="4"/>
  <c r="AL4012" i="4" l="1"/>
  <c r="AK4021" i="4"/>
  <c r="AI4021" i="4"/>
  <c r="AH4022" i="4"/>
  <c r="AJ4022" i="4"/>
  <c r="AL4013" i="4" l="1"/>
  <c r="AK4022" i="4"/>
  <c r="AI4022" i="4"/>
  <c r="AH4023" i="4"/>
  <c r="AJ4023" i="4"/>
  <c r="AL4014" i="4" l="1"/>
  <c r="AK4023" i="4"/>
  <c r="AI4023" i="4"/>
  <c r="AH4024" i="4"/>
  <c r="AJ4024" i="4"/>
  <c r="AL4015" i="4" l="1"/>
  <c r="AK4024" i="4"/>
  <c r="AI4024" i="4"/>
  <c r="AH4025" i="4"/>
  <c r="AJ4025" i="4"/>
  <c r="AL4016" i="4" l="1"/>
  <c r="AK4025" i="4"/>
  <c r="AI4025" i="4"/>
  <c r="AH4026" i="4"/>
  <c r="AJ4026" i="4"/>
  <c r="AL4017" i="4" l="1"/>
  <c r="AK4026" i="4"/>
  <c r="AI4026" i="4"/>
  <c r="AH4027" i="4"/>
  <c r="AJ4027" i="4"/>
  <c r="AL4018" i="4" l="1"/>
  <c r="AK4027" i="4"/>
  <c r="AI4027" i="4"/>
  <c r="AH4028" i="4"/>
  <c r="AJ4028" i="4"/>
  <c r="AL4019" i="4" l="1"/>
  <c r="AK4028" i="4"/>
  <c r="AI4028" i="4"/>
  <c r="AH4029" i="4"/>
  <c r="AJ4029" i="4"/>
  <c r="AL4020" i="4" l="1"/>
  <c r="AK4029" i="4"/>
  <c r="AI4029" i="4"/>
  <c r="AH4030" i="4"/>
  <c r="AJ4030" i="4"/>
  <c r="AL4021" i="4" l="1"/>
  <c r="AK4030" i="4"/>
  <c r="AI4030" i="4"/>
  <c r="AH4031" i="4"/>
  <c r="AJ4031" i="4"/>
  <c r="AL4022" i="4" l="1"/>
  <c r="AK4031" i="4"/>
  <c r="AI4031" i="4"/>
  <c r="AH4032" i="4"/>
  <c r="AJ4032" i="4"/>
  <c r="AL4023" i="4" l="1"/>
  <c r="AK4032" i="4"/>
  <c r="AI4032" i="4"/>
  <c r="AH4033" i="4"/>
  <c r="AJ4033" i="4"/>
  <c r="AL4024" i="4" l="1"/>
  <c r="AK4033" i="4"/>
  <c r="AI4033" i="4"/>
  <c r="AH4034" i="4"/>
  <c r="AJ4034" i="4"/>
  <c r="AL4025" i="4" l="1"/>
  <c r="AK4034" i="4"/>
  <c r="AI4034" i="4"/>
  <c r="AH4035" i="4"/>
  <c r="AJ4035" i="4"/>
  <c r="AL4026" i="4" l="1"/>
  <c r="AK4035" i="4"/>
  <c r="AI4035" i="4"/>
  <c r="AH4036" i="4"/>
  <c r="AJ4036" i="4"/>
  <c r="AL4027" i="4" l="1"/>
  <c r="AK4036" i="4"/>
  <c r="AI4036" i="4"/>
  <c r="AH4037" i="4"/>
  <c r="AJ4037" i="4"/>
  <c r="AL4028" i="4" l="1"/>
  <c r="AK4037" i="4"/>
  <c r="AI4037" i="4"/>
  <c r="AH4038" i="4"/>
  <c r="AJ4038" i="4"/>
  <c r="AL4029" i="4" l="1"/>
  <c r="AK4038" i="4"/>
  <c r="AI4038" i="4"/>
  <c r="AH4039" i="4"/>
  <c r="AJ4039" i="4"/>
  <c r="AL4030" i="4" l="1"/>
  <c r="AK4039" i="4"/>
  <c r="AI4039" i="4"/>
  <c r="AH4040" i="4"/>
  <c r="AJ4040" i="4"/>
  <c r="AL4031" i="4" l="1"/>
  <c r="AK4040" i="4"/>
  <c r="AI4040" i="4"/>
  <c r="AH4041" i="4"/>
  <c r="AJ4041" i="4"/>
  <c r="AL4032" i="4" l="1"/>
  <c r="AK4041" i="4"/>
  <c r="AI4041" i="4"/>
  <c r="AH4042" i="4"/>
  <c r="AJ4042" i="4"/>
  <c r="AL4033" i="4" l="1"/>
  <c r="AK4042" i="4"/>
  <c r="AI4042" i="4"/>
  <c r="AH4043" i="4"/>
  <c r="AJ4043" i="4"/>
  <c r="AL4034" i="4" l="1"/>
  <c r="AK4043" i="4"/>
  <c r="AI4043" i="4"/>
  <c r="AH4044" i="4"/>
  <c r="AJ4044" i="4"/>
  <c r="AL4035" i="4" l="1"/>
  <c r="AK4044" i="4"/>
  <c r="AI4044" i="4"/>
  <c r="AH4045" i="4"/>
  <c r="AJ4045" i="4"/>
  <c r="AL4036" i="4" l="1"/>
  <c r="AK4045" i="4"/>
  <c r="AI4045" i="4"/>
  <c r="AH4046" i="4"/>
  <c r="AJ4046" i="4"/>
  <c r="AL4037" i="4" l="1"/>
  <c r="AK4046" i="4"/>
  <c r="AI4046" i="4"/>
  <c r="AH4047" i="4"/>
  <c r="AJ4047" i="4"/>
  <c r="AL4038" i="4" l="1"/>
  <c r="AK4047" i="4"/>
  <c r="AI4047" i="4"/>
  <c r="AH4048" i="4"/>
  <c r="AJ4048" i="4"/>
  <c r="AL4039" i="4" l="1"/>
  <c r="AK4048" i="4"/>
  <c r="AI4048" i="4"/>
  <c r="AH4049" i="4"/>
  <c r="AJ4049" i="4"/>
  <c r="AL4040" i="4" l="1"/>
  <c r="AK4049" i="4"/>
  <c r="AI4049" i="4"/>
  <c r="AH4050" i="4"/>
  <c r="AJ4050" i="4"/>
  <c r="AL4041" i="4" l="1"/>
  <c r="AK4050" i="4"/>
  <c r="AI4050" i="4"/>
  <c r="AH4051" i="4"/>
  <c r="AJ4051" i="4"/>
  <c r="AL4042" i="4" l="1"/>
  <c r="AK4051" i="4"/>
  <c r="AI4051" i="4"/>
  <c r="AH4052" i="4"/>
  <c r="AJ4052" i="4"/>
  <c r="AL4043" i="4" l="1"/>
  <c r="AK4052" i="4"/>
  <c r="AI4052" i="4"/>
  <c r="AH4053" i="4"/>
  <c r="AJ4053" i="4"/>
  <c r="AL4044" i="4" l="1"/>
  <c r="AK4053" i="4"/>
  <c r="AI4053" i="4"/>
  <c r="AH4054" i="4"/>
  <c r="AJ4054" i="4"/>
  <c r="AL4045" i="4" l="1"/>
  <c r="AK4054" i="4"/>
  <c r="AI4054" i="4"/>
  <c r="AH4055" i="4"/>
  <c r="AJ4055" i="4"/>
  <c r="AL4046" i="4" l="1"/>
  <c r="AK4055" i="4"/>
  <c r="AI4055" i="4"/>
  <c r="AH4056" i="4"/>
  <c r="AJ4056" i="4"/>
  <c r="AL4047" i="4" l="1"/>
  <c r="AK4056" i="4"/>
  <c r="AI4056" i="4"/>
  <c r="AH4057" i="4"/>
  <c r="AJ4057" i="4"/>
  <c r="AL4048" i="4" l="1"/>
  <c r="AK4057" i="4"/>
  <c r="AI4057" i="4"/>
  <c r="AH4058" i="4"/>
  <c r="AJ4058" i="4"/>
  <c r="AL4049" i="4" l="1"/>
  <c r="AK4058" i="4"/>
  <c r="AI4058" i="4"/>
  <c r="AH4059" i="4"/>
  <c r="AJ4059" i="4"/>
  <c r="AL4050" i="4" l="1"/>
  <c r="AK4059" i="4"/>
  <c r="AI4059" i="4"/>
  <c r="AH4060" i="4"/>
  <c r="AJ4060" i="4"/>
  <c r="AL4051" i="4" l="1"/>
  <c r="AK4060" i="4"/>
  <c r="AI4060" i="4"/>
  <c r="AH4061" i="4"/>
  <c r="AJ4061" i="4"/>
  <c r="AL4052" i="4" l="1"/>
  <c r="AK4061" i="4"/>
  <c r="AI4061" i="4"/>
  <c r="AH4062" i="4"/>
  <c r="AJ4062" i="4"/>
  <c r="AL4053" i="4" l="1"/>
  <c r="AK4062" i="4"/>
  <c r="AI4062" i="4"/>
  <c r="AH4063" i="4"/>
  <c r="AJ4063" i="4"/>
  <c r="AL4054" i="4" l="1"/>
  <c r="AK4063" i="4"/>
  <c r="AI4063" i="4"/>
  <c r="AH4064" i="4"/>
  <c r="AJ4064" i="4"/>
  <c r="AL4055" i="4" l="1"/>
  <c r="AK4064" i="4"/>
  <c r="AI4064" i="4"/>
  <c r="AH4065" i="4"/>
  <c r="AJ4065" i="4"/>
  <c r="AL4056" i="4" l="1"/>
  <c r="AK4065" i="4"/>
  <c r="AI4065" i="4"/>
  <c r="AH4066" i="4"/>
  <c r="AJ4066" i="4"/>
  <c r="AL4057" i="4" l="1"/>
  <c r="AK4066" i="4"/>
  <c r="AI4066" i="4"/>
  <c r="AH4067" i="4"/>
  <c r="AJ4067" i="4"/>
  <c r="AL4058" i="4" l="1"/>
  <c r="AK4067" i="4"/>
  <c r="AI4067" i="4"/>
  <c r="AH4068" i="4"/>
  <c r="AJ4068" i="4"/>
  <c r="AL4059" i="4" l="1"/>
  <c r="AK4068" i="4"/>
  <c r="AI4068" i="4"/>
  <c r="AH4069" i="4"/>
  <c r="AJ4069" i="4"/>
  <c r="AL4060" i="4" l="1"/>
  <c r="AK4069" i="4"/>
  <c r="AI4069" i="4"/>
  <c r="AH4070" i="4"/>
  <c r="AJ4070" i="4"/>
  <c r="AL4061" i="4" l="1"/>
  <c r="AK4070" i="4"/>
  <c r="AI4070" i="4"/>
  <c r="AH4071" i="4"/>
  <c r="AJ4071" i="4"/>
  <c r="AL4062" i="4" l="1"/>
  <c r="AK4071" i="4"/>
  <c r="AI4071" i="4"/>
  <c r="AH4072" i="4"/>
  <c r="AJ4072" i="4"/>
  <c r="AL4063" i="4" l="1"/>
  <c r="AK4072" i="4"/>
  <c r="AI4072" i="4"/>
  <c r="AH4073" i="4"/>
  <c r="AJ4073" i="4"/>
  <c r="AL4064" i="4" l="1"/>
  <c r="AK4073" i="4"/>
  <c r="AI4073" i="4"/>
  <c r="AH4074" i="4"/>
  <c r="AJ4074" i="4"/>
  <c r="AL4065" i="4" l="1"/>
  <c r="AK4074" i="4"/>
  <c r="AI4074" i="4"/>
  <c r="AH4075" i="4"/>
  <c r="AJ4075" i="4"/>
  <c r="AL4066" i="4" l="1"/>
  <c r="AK4075" i="4"/>
  <c r="AI4075" i="4"/>
  <c r="AH4076" i="4"/>
  <c r="AJ4076" i="4"/>
  <c r="AL4067" i="4" l="1"/>
  <c r="AK4076" i="4"/>
  <c r="AI4076" i="4"/>
  <c r="AH4077" i="4"/>
  <c r="AJ4077" i="4"/>
  <c r="AL4068" i="4" l="1"/>
  <c r="AK4077" i="4"/>
  <c r="AI4077" i="4"/>
  <c r="AH4078" i="4"/>
  <c r="AJ4078" i="4"/>
  <c r="AL4069" i="4" l="1"/>
  <c r="AK4078" i="4"/>
  <c r="AI4078" i="4"/>
  <c r="AH4079" i="4"/>
  <c r="AJ4079" i="4"/>
  <c r="AL4070" i="4" l="1"/>
  <c r="AK4079" i="4"/>
  <c r="AI4079" i="4"/>
  <c r="AH4080" i="4"/>
  <c r="AJ4080" i="4"/>
  <c r="AL4071" i="4" l="1"/>
  <c r="AK4080" i="4"/>
  <c r="AI4080" i="4"/>
  <c r="AH4081" i="4"/>
  <c r="AJ4081" i="4"/>
  <c r="AL4072" i="4" l="1"/>
  <c r="AK4081" i="4"/>
  <c r="AI4081" i="4"/>
  <c r="AH4082" i="4"/>
  <c r="AJ4082" i="4"/>
  <c r="AL4073" i="4" l="1"/>
  <c r="AK4082" i="4"/>
  <c r="AI4082" i="4"/>
  <c r="AH4083" i="4"/>
  <c r="AJ4083" i="4"/>
  <c r="AL4074" i="4" l="1"/>
  <c r="AK4083" i="4"/>
  <c r="AI4083" i="4"/>
  <c r="AH4084" i="4"/>
  <c r="AJ4084" i="4"/>
  <c r="AL4075" i="4" l="1"/>
  <c r="AK4084" i="4"/>
  <c r="AI4084" i="4"/>
  <c r="AH4085" i="4"/>
  <c r="AJ4085" i="4"/>
  <c r="AL4076" i="4" l="1"/>
  <c r="AK4085" i="4"/>
  <c r="AI4085" i="4"/>
  <c r="AH4086" i="4"/>
  <c r="AJ4086" i="4"/>
  <c r="AL4077" i="4" l="1"/>
  <c r="AK4086" i="4"/>
  <c r="AI4086" i="4"/>
  <c r="AH4087" i="4"/>
  <c r="AJ4087" i="4"/>
  <c r="AL4078" i="4" l="1"/>
  <c r="AK4087" i="4"/>
  <c r="AI4087" i="4"/>
  <c r="AH4088" i="4"/>
  <c r="AJ4088" i="4"/>
  <c r="AL4079" i="4" l="1"/>
  <c r="AK4088" i="4"/>
  <c r="AI4088" i="4"/>
  <c r="AH4089" i="4"/>
  <c r="AJ4089" i="4"/>
  <c r="AL4080" i="4" l="1"/>
  <c r="AK4089" i="4"/>
  <c r="AI4089" i="4"/>
  <c r="AH4090" i="4"/>
  <c r="AJ4090" i="4"/>
  <c r="AL4081" i="4" l="1"/>
  <c r="AK4090" i="4"/>
  <c r="AI4090" i="4"/>
  <c r="AH4091" i="4"/>
  <c r="AJ4091" i="4"/>
  <c r="AL4082" i="4" l="1"/>
  <c r="AK4091" i="4"/>
  <c r="AI4091" i="4"/>
  <c r="AH4092" i="4"/>
  <c r="AJ4092" i="4"/>
  <c r="AL4083" i="4" l="1"/>
  <c r="AK4092" i="4"/>
  <c r="AI4092" i="4"/>
  <c r="AH4093" i="4"/>
  <c r="AJ4093" i="4"/>
  <c r="AL4084" i="4" l="1"/>
  <c r="AK4093" i="4"/>
  <c r="AI4093" i="4"/>
  <c r="AH4094" i="4"/>
  <c r="AJ4094" i="4"/>
  <c r="AL4085" i="4" l="1"/>
  <c r="AK4094" i="4"/>
  <c r="AI4094" i="4"/>
  <c r="AH4095" i="4"/>
  <c r="AJ4095" i="4"/>
  <c r="AL4086" i="4" l="1"/>
  <c r="AK4095" i="4"/>
  <c r="AI4095" i="4"/>
  <c r="AH4096" i="4"/>
  <c r="AJ4096" i="4"/>
  <c r="AL4087" i="4" l="1"/>
  <c r="AK4096" i="4"/>
  <c r="AI4096" i="4"/>
  <c r="AH4097" i="4"/>
  <c r="AJ4097" i="4"/>
  <c r="AL4088" i="4" l="1"/>
  <c r="AK4097" i="4"/>
  <c r="AI4097" i="4"/>
  <c r="AH4098" i="4"/>
  <c r="AJ4098" i="4"/>
  <c r="AL4089" i="4" l="1"/>
  <c r="AK4098" i="4"/>
  <c r="AI4098" i="4"/>
  <c r="AH4099" i="4"/>
  <c r="AJ4099" i="4"/>
  <c r="AL4090" i="4" l="1"/>
  <c r="AK4099" i="4"/>
  <c r="AI4099" i="4"/>
  <c r="AH4100" i="4"/>
  <c r="AJ4100" i="4"/>
  <c r="AL4091" i="4" l="1"/>
  <c r="AK4100" i="4"/>
  <c r="AI4100" i="4"/>
  <c r="AH4101" i="4"/>
  <c r="AJ4101" i="4"/>
  <c r="AL4092" i="4" l="1"/>
  <c r="AK4101" i="4"/>
  <c r="AI4101" i="4"/>
  <c r="AH4102" i="4"/>
  <c r="AJ4102" i="4"/>
  <c r="AL4093" i="4" l="1"/>
  <c r="AK4102" i="4"/>
  <c r="AI4102" i="4"/>
  <c r="AH4103" i="4"/>
  <c r="AJ4103" i="4"/>
  <c r="AL4094" i="4" l="1"/>
  <c r="AK4103" i="4"/>
  <c r="AI4103" i="4"/>
  <c r="AH4104" i="4"/>
  <c r="AJ4104" i="4"/>
  <c r="AL4095" i="4" l="1"/>
  <c r="AK4104" i="4"/>
  <c r="AI4104" i="4"/>
  <c r="AH4105" i="4"/>
  <c r="AJ4105" i="4"/>
  <c r="AL4096" i="4" l="1"/>
  <c r="AK4105" i="4"/>
  <c r="AI4105" i="4"/>
  <c r="AH4106" i="4"/>
  <c r="AJ4106" i="4"/>
  <c r="AL4097" i="4" l="1"/>
  <c r="AK4106" i="4"/>
  <c r="AI4106" i="4"/>
  <c r="AH4107" i="4"/>
  <c r="AJ4107" i="4"/>
  <c r="AL4098" i="4" l="1"/>
  <c r="AK4107" i="4"/>
  <c r="AI4107" i="4"/>
  <c r="AH4108" i="4"/>
  <c r="AJ4108" i="4"/>
  <c r="AL4099" i="4" l="1"/>
  <c r="AK4108" i="4"/>
  <c r="AI4108" i="4"/>
  <c r="AH4109" i="4"/>
  <c r="AJ4109" i="4"/>
  <c r="AL4100" i="4" l="1"/>
  <c r="AK4109" i="4"/>
  <c r="AI4109" i="4"/>
  <c r="AH4110" i="4"/>
  <c r="AJ4110" i="4"/>
  <c r="AL4101" i="4" l="1"/>
  <c r="AK4110" i="4"/>
  <c r="AI4110" i="4"/>
  <c r="AH4111" i="4"/>
  <c r="AJ4111" i="4"/>
  <c r="AL4102" i="4" l="1"/>
  <c r="AK4111" i="4"/>
  <c r="AI4111" i="4"/>
  <c r="AH4112" i="4"/>
  <c r="AJ4112" i="4"/>
  <c r="AL4103" i="4" l="1"/>
  <c r="AK4112" i="4"/>
  <c r="AI4112" i="4"/>
  <c r="AH4113" i="4"/>
  <c r="AJ4113" i="4"/>
  <c r="AL4104" i="4" l="1"/>
  <c r="AK4113" i="4"/>
  <c r="AI4113" i="4"/>
  <c r="AH4114" i="4"/>
  <c r="AJ4114" i="4"/>
  <c r="AL4105" i="4" l="1"/>
  <c r="AK4114" i="4"/>
  <c r="AI4114" i="4"/>
  <c r="AH4115" i="4"/>
  <c r="AJ4115" i="4"/>
  <c r="AL4106" i="4" l="1"/>
  <c r="AK4115" i="4"/>
  <c r="AI4115" i="4"/>
  <c r="AH4116" i="4"/>
  <c r="AJ4116" i="4"/>
  <c r="AL4107" i="4" l="1"/>
  <c r="AK4116" i="4"/>
  <c r="AI4116" i="4"/>
  <c r="AH4117" i="4"/>
  <c r="AJ4117" i="4"/>
  <c r="AL4108" i="4" l="1"/>
  <c r="AK4117" i="4"/>
  <c r="AI4117" i="4"/>
  <c r="AH4118" i="4"/>
  <c r="AJ4118" i="4"/>
  <c r="AL4109" i="4" l="1"/>
  <c r="AK4118" i="4"/>
  <c r="AI4118" i="4"/>
  <c r="AH4119" i="4"/>
  <c r="AJ4119" i="4"/>
  <c r="AL4110" i="4" l="1"/>
  <c r="AK4119" i="4"/>
  <c r="AI4119" i="4"/>
  <c r="AH4120" i="4"/>
  <c r="AJ4120" i="4"/>
  <c r="AL4111" i="4" l="1"/>
  <c r="AK4120" i="4"/>
  <c r="AI4120" i="4"/>
  <c r="AH4121" i="4"/>
  <c r="AJ4121" i="4"/>
  <c r="AL4112" i="4" l="1"/>
  <c r="AK4121" i="4"/>
  <c r="AI4121" i="4"/>
  <c r="AH4122" i="4"/>
  <c r="AJ4122" i="4"/>
  <c r="AL4113" i="4" l="1"/>
  <c r="AK4122" i="4"/>
  <c r="AI4122" i="4"/>
  <c r="AH4123" i="4"/>
  <c r="AJ4123" i="4"/>
  <c r="AL4114" i="4" l="1"/>
  <c r="AK4123" i="4"/>
  <c r="AI4123" i="4"/>
  <c r="AH4124" i="4"/>
  <c r="AJ4124" i="4"/>
  <c r="AL4115" i="4" l="1"/>
  <c r="AK4124" i="4"/>
  <c r="AI4124" i="4"/>
  <c r="AH4125" i="4"/>
  <c r="AJ4125" i="4"/>
  <c r="AL4116" i="4" l="1"/>
  <c r="AK4125" i="4"/>
  <c r="AI4125" i="4"/>
  <c r="AH4126" i="4"/>
  <c r="AJ4126" i="4"/>
  <c r="AL4117" i="4" l="1"/>
  <c r="AK4126" i="4"/>
  <c r="AI4126" i="4"/>
  <c r="AH4127" i="4"/>
  <c r="AJ4127" i="4"/>
  <c r="AL4118" i="4" l="1"/>
  <c r="AK4127" i="4"/>
  <c r="AI4127" i="4"/>
  <c r="AH4128" i="4"/>
  <c r="AJ4128" i="4"/>
  <c r="AL4119" i="4" l="1"/>
  <c r="AK4128" i="4"/>
  <c r="AI4128" i="4"/>
  <c r="AH4129" i="4"/>
  <c r="AJ4129" i="4"/>
  <c r="AL4120" i="4" l="1"/>
  <c r="AK4129" i="4"/>
  <c r="AI4129" i="4"/>
  <c r="AH4130" i="4"/>
  <c r="AJ4130" i="4"/>
  <c r="AL4121" i="4" l="1"/>
  <c r="AK4130" i="4"/>
  <c r="AI4130" i="4"/>
  <c r="AH4131" i="4"/>
  <c r="AJ4131" i="4"/>
  <c r="AL4122" i="4" l="1"/>
  <c r="AK4131" i="4"/>
  <c r="AI4131" i="4"/>
  <c r="AH4132" i="4"/>
  <c r="AJ4132" i="4"/>
  <c r="AL4123" i="4" l="1"/>
  <c r="AK4132" i="4"/>
  <c r="AI4132" i="4"/>
  <c r="AH4133" i="4"/>
  <c r="AJ4133" i="4"/>
  <c r="AL4124" i="4" l="1"/>
  <c r="AK4133" i="4"/>
  <c r="AI4133" i="4"/>
  <c r="AH4134" i="4"/>
  <c r="AJ4134" i="4"/>
  <c r="AL4125" i="4" l="1"/>
  <c r="AK4134" i="4"/>
  <c r="AI4134" i="4"/>
  <c r="AH4135" i="4"/>
  <c r="AJ4135" i="4"/>
  <c r="AL4126" i="4" l="1"/>
  <c r="AK4135" i="4"/>
  <c r="AI4135" i="4"/>
  <c r="AH4136" i="4"/>
  <c r="AJ4136" i="4"/>
  <c r="AL4127" i="4" l="1"/>
  <c r="AK4136" i="4"/>
  <c r="AI4136" i="4"/>
  <c r="AH4137" i="4"/>
  <c r="AJ4137" i="4"/>
  <c r="AL4128" i="4" l="1"/>
  <c r="AK4137" i="4"/>
  <c r="AI4137" i="4"/>
  <c r="AH4138" i="4"/>
  <c r="AJ4138" i="4"/>
  <c r="AL4129" i="4" l="1"/>
  <c r="AK4138" i="4"/>
  <c r="AI4138" i="4"/>
  <c r="AH4139" i="4"/>
  <c r="AJ4139" i="4"/>
  <c r="AL4130" i="4" l="1"/>
  <c r="AK4139" i="4"/>
  <c r="AI4139" i="4"/>
  <c r="AH4140" i="4"/>
  <c r="AJ4140" i="4"/>
  <c r="AL4131" i="4" l="1"/>
  <c r="AK4140" i="4"/>
  <c r="AI4140" i="4"/>
  <c r="AH4141" i="4"/>
  <c r="AJ4141" i="4"/>
  <c r="AL4132" i="4" l="1"/>
  <c r="AK4141" i="4"/>
  <c r="AI4141" i="4"/>
  <c r="AH4142" i="4"/>
  <c r="AJ4142" i="4"/>
  <c r="AL4133" i="4" l="1"/>
  <c r="AK4142" i="4"/>
  <c r="AI4142" i="4"/>
  <c r="AH4143" i="4"/>
  <c r="AJ4143" i="4"/>
  <c r="AL4134" i="4" l="1"/>
  <c r="AK4143" i="4"/>
  <c r="AI4143" i="4"/>
  <c r="AH4144" i="4"/>
  <c r="AJ4144" i="4"/>
  <c r="AL4135" i="4" l="1"/>
  <c r="AK4144" i="4"/>
  <c r="AI4144" i="4"/>
  <c r="AH4145" i="4"/>
  <c r="AJ4145" i="4"/>
  <c r="AL4136" i="4" l="1"/>
  <c r="AK4145" i="4"/>
  <c r="AI4145" i="4"/>
  <c r="AH4146" i="4"/>
  <c r="AJ4146" i="4"/>
  <c r="AL4137" i="4" l="1"/>
  <c r="AK4146" i="4"/>
  <c r="AI4146" i="4"/>
  <c r="AH4147" i="4"/>
  <c r="AJ4147" i="4"/>
  <c r="AL4138" i="4" l="1"/>
  <c r="AK4147" i="4"/>
  <c r="AI4147" i="4"/>
  <c r="AH4148" i="4"/>
  <c r="AJ4148" i="4"/>
  <c r="AL4139" i="4" l="1"/>
  <c r="AK4148" i="4"/>
  <c r="AI4148" i="4"/>
  <c r="AH4149" i="4"/>
  <c r="AJ4149" i="4"/>
  <c r="AL4140" i="4" l="1"/>
  <c r="AK4149" i="4"/>
  <c r="AI4149" i="4"/>
  <c r="AH4150" i="4"/>
  <c r="AJ4150" i="4"/>
  <c r="AL4141" i="4" l="1"/>
  <c r="AK4150" i="4"/>
  <c r="AI4150" i="4"/>
  <c r="AH4151" i="4"/>
  <c r="AJ4151" i="4"/>
  <c r="AL4142" i="4" l="1"/>
  <c r="AK4151" i="4"/>
  <c r="AI4151" i="4"/>
  <c r="AH4152" i="4"/>
  <c r="AJ4152" i="4"/>
  <c r="AL4143" i="4" l="1"/>
  <c r="AK4152" i="4"/>
  <c r="AI4152" i="4"/>
  <c r="AH4153" i="4"/>
  <c r="AJ4153" i="4"/>
  <c r="AL4144" i="4" l="1"/>
  <c r="AK4153" i="4"/>
  <c r="AI4153" i="4"/>
  <c r="AH4154" i="4"/>
  <c r="AJ4154" i="4"/>
  <c r="AL4145" i="4" l="1"/>
  <c r="AK4154" i="4"/>
  <c r="AI4154" i="4"/>
  <c r="AH4155" i="4"/>
  <c r="AJ4155" i="4"/>
  <c r="AL4146" i="4" l="1"/>
  <c r="AK4155" i="4"/>
  <c r="AI4155" i="4"/>
  <c r="AH4156" i="4"/>
  <c r="AJ4156" i="4"/>
  <c r="AL4147" i="4" l="1"/>
  <c r="AK4156" i="4"/>
  <c r="AI4156" i="4"/>
  <c r="AH4157" i="4"/>
  <c r="AJ4157" i="4"/>
  <c r="AL4148" i="4" l="1"/>
  <c r="AK4157" i="4"/>
  <c r="AI4157" i="4"/>
  <c r="AH4158" i="4"/>
  <c r="AJ4158" i="4"/>
  <c r="AL4149" i="4" l="1"/>
  <c r="AK4158" i="4"/>
  <c r="AI4158" i="4"/>
  <c r="AH4159" i="4"/>
  <c r="AJ4159" i="4"/>
  <c r="AL4150" i="4" l="1"/>
  <c r="AK4159" i="4"/>
  <c r="AI4159" i="4"/>
  <c r="AH4160" i="4"/>
  <c r="AJ4160" i="4"/>
  <c r="AL4151" i="4" l="1"/>
  <c r="AK4160" i="4"/>
  <c r="AI4160" i="4"/>
  <c r="AH4161" i="4"/>
  <c r="AJ4161" i="4"/>
  <c r="AL4152" i="4" l="1"/>
  <c r="AK4161" i="4"/>
  <c r="AI4161" i="4"/>
  <c r="AH4162" i="4"/>
  <c r="AJ4162" i="4"/>
  <c r="AL4153" i="4" l="1"/>
  <c r="AK4162" i="4"/>
  <c r="AI4162" i="4"/>
  <c r="AH4163" i="4"/>
  <c r="AJ4163" i="4"/>
  <c r="AL4154" i="4" l="1"/>
  <c r="AK4163" i="4"/>
  <c r="AI4163" i="4"/>
  <c r="AH4164" i="4"/>
  <c r="AJ4164" i="4"/>
  <c r="AL4155" i="4" l="1"/>
  <c r="AK4164" i="4"/>
  <c r="AI4164" i="4"/>
  <c r="AH4165" i="4"/>
  <c r="AJ4165" i="4"/>
  <c r="AL4156" i="4" l="1"/>
  <c r="AK4165" i="4"/>
  <c r="AI4165" i="4"/>
  <c r="AH4166" i="4"/>
  <c r="AJ4166" i="4"/>
  <c r="AL4157" i="4" l="1"/>
  <c r="AK4166" i="4"/>
  <c r="AI4166" i="4"/>
  <c r="AH4167" i="4"/>
  <c r="AJ4167" i="4"/>
  <c r="AL4158" i="4" l="1"/>
  <c r="AK4167" i="4"/>
  <c r="AI4167" i="4"/>
  <c r="AH4168" i="4"/>
  <c r="AJ4168" i="4"/>
  <c r="AL4159" i="4" l="1"/>
  <c r="AK4168" i="4"/>
  <c r="AI4168" i="4"/>
  <c r="AH4169" i="4"/>
  <c r="AJ4169" i="4"/>
  <c r="AL4160" i="4" l="1"/>
  <c r="AK4169" i="4"/>
  <c r="AI4169" i="4"/>
  <c r="AH4170" i="4"/>
  <c r="AJ4170" i="4"/>
  <c r="AL4161" i="4" l="1"/>
  <c r="AK4170" i="4"/>
  <c r="AI4170" i="4"/>
  <c r="AH4171" i="4"/>
  <c r="AJ4171" i="4"/>
  <c r="AL4162" i="4" l="1"/>
  <c r="AK4171" i="4"/>
  <c r="AI4171" i="4"/>
  <c r="AH4172" i="4"/>
  <c r="AJ4172" i="4"/>
  <c r="AL4163" i="4" l="1"/>
  <c r="AK4172" i="4"/>
  <c r="AI4172" i="4"/>
  <c r="AH4173" i="4"/>
  <c r="AJ4173" i="4"/>
  <c r="AL4164" i="4" l="1"/>
  <c r="AK4173" i="4"/>
  <c r="AI4173" i="4"/>
  <c r="AH4174" i="4"/>
  <c r="AJ4174" i="4"/>
  <c r="AL4165" i="4" l="1"/>
  <c r="AK4174" i="4"/>
  <c r="AI4174" i="4"/>
  <c r="AH4175" i="4"/>
  <c r="AJ4175" i="4"/>
  <c r="AL4166" i="4" l="1"/>
  <c r="AK4175" i="4"/>
  <c r="AI4175" i="4"/>
  <c r="AH4176" i="4"/>
  <c r="AJ4176" i="4"/>
  <c r="AL4167" i="4" l="1"/>
  <c r="AK4176" i="4"/>
  <c r="AI4176" i="4"/>
  <c r="AH4177" i="4"/>
  <c r="AJ4177" i="4"/>
  <c r="AL4168" i="4" l="1"/>
  <c r="AK4177" i="4"/>
  <c r="AI4177" i="4"/>
  <c r="AH4178" i="4"/>
  <c r="AJ4178" i="4"/>
  <c r="AL4169" i="4" l="1"/>
  <c r="AK4178" i="4"/>
  <c r="AI4178" i="4"/>
  <c r="AH4179" i="4"/>
  <c r="AJ4179" i="4"/>
  <c r="AL4170" i="4" l="1"/>
  <c r="AK4179" i="4"/>
  <c r="AI4179" i="4"/>
  <c r="AH4180" i="4"/>
  <c r="AJ4180" i="4"/>
  <c r="AL4171" i="4" l="1"/>
  <c r="AK4180" i="4"/>
  <c r="AI4180" i="4"/>
  <c r="AH4181" i="4"/>
  <c r="AJ4181" i="4"/>
  <c r="AL4172" i="4" l="1"/>
  <c r="AK4181" i="4"/>
  <c r="AI4181" i="4"/>
  <c r="AH4182" i="4"/>
  <c r="AJ4182" i="4"/>
  <c r="AL4173" i="4" l="1"/>
  <c r="AK4182" i="4"/>
  <c r="AI4182" i="4"/>
  <c r="AH4183" i="4"/>
  <c r="AJ4183" i="4"/>
  <c r="AL4174" i="4" l="1"/>
  <c r="AK4183" i="4"/>
  <c r="AI4183" i="4"/>
  <c r="AH4184" i="4"/>
  <c r="AJ4184" i="4"/>
  <c r="AL4175" i="4" l="1"/>
  <c r="AK4184" i="4"/>
  <c r="AI4184" i="4"/>
  <c r="AH4185" i="4"/>
  <c r="AJ4185" i="4"/>
  <c r="AL4176" i="4" l="1"/>
  <c r="AK4185" i="4"/>
  <c r="AI4185" i="4"/>
  <c r="AH4186" i="4"/>
  <c r="AJ4186" i="4"/>
  <c r="AL4177" i="4" l="1"/>
  <c r="AK4186" i="4"/>
  <c r="AI4186" i="4"/>
  <c r="AH4187" i="4"/>
  <c r="AJ4187" i="4"/>
  <c r="AL4178" i="4" l="1"/>
  <c r="AK4187" i="4"/>
  <c r="AI4187" i="4"/>
  <c r="AH4188" i="4"/>
  <c r="AJ4188" i="4"/>
  <c r="AL4179" i="4" l="1"/>
  <c r="AK4188" i="4"/>
  <c r="AI4188" i="4"/>
  <c r="AH4189" i="4"/>
  <c r="AJ4189" i="4"/>
  <c r="AL4180" i="4" l="1"/>
  <c r="AK4189" i="4"/>
  <c r="AI4189" i="4"/>
  <c r="AH4190" i="4"/>
  <c r="AJ4190" i="4"/>
  <c r="AL4181" i="4" l="1"/>
  <c r="AK4190" i="4"/>
  <c r="AI4190" i="4"/>
  <c r="AH4191" i="4"/>
  <c r="AJ4191" i="4"/>
  <c r="AL4182" i="4" l="1"/>
  <c r="AK4191" i="4"/>
  <c r="AI4191" i="4"/>
  <c r="AH4192" i="4"/>
  <c r="AJ4192" i="4"/>
  <c r="AL4183" i="4" l="1"/>
  <c r="AK4192" i="4"/>
  <c r="AI4192" i="4"/>
  <c r="AH4193" i="4"/>
  <c r="AJ4193" i="4"/>
  <c r="AL4184" i="4" l="1"/>
  <c r="AK4193" i="4"/>
  <c r="AI4193" i="4"/>
  <c r="AH4194" i="4"/>
  <c r="AJ4194" i="4"/>
  <c r="AL4185" i="4" l="1"/>
  <c r="AK4194" i="4"/>
  <c r="AI4194" i="4"/>
  <c r="AH4195" i="4"/>
  <c r="AJ4195" i="4"/>
  <c r="AL4186" i="4" l="1"/>
  <c r="AK4195" i="4"/>
  <c r="AI4195" i="4"/>
  <c r="AH4196" i="4"/>
  <c r="AJ4196" i="4"/>
  <c r="AL4187" i="4" l="1"/>
  <c r="AK4196" i="4"/>
  <c r="AI4196" i="4"/>
  <c r="AH4197" i="4"/>
  <c r="AJ4197" i="4"/>
  <c r="AL4188" i="4" l="1"/>
  <c r="AK4197" i="4"/>
  <c r="AI4197" i="4"/>
  <c r="AH4198" i="4"/>
  <c r="AJ4198" i="4"/>
  <c r="AL4189" i="4" l="1"/>
  <c r="AK4198" i="4"/>
  <c r="AI4198" i="4"/>
  <c r="AH4199" i="4"/>
  <c r="AJ4199" i="4"/>
  <c r="AL4190" i="4" l="1"/>
  <c r="AK4199" i="4"/>
  <c r="AI4199" i="4"/>
  <c r="AH4200" i="4"/>
  <c r="AJ4200" i="4"/>
  <c r="AL4191" i="4" l="1"/>
  <c r="AK4200" i="4"/>
  <c r="AI4200" i="4"/>
  <c r="AH4201" i="4"/>
  <c r="AJ4201" i="4"/>
  <c r="AL4192" i="4" l="1"/>
  <c r="AK4201" i="4"/>
  <c r="AI4201" i="4"/>
  <c r="AH4202" i="4"/>
  <c r="AJ4202" i="4"/>
  <c r="AL4193" i="4" l="1"/>
  <c r="AK4202" i="4"/>
  <c r="AI4202" i="4"/>
  <c r="AH4203" i="4"/>
  <c r="AJ4203" i="4"/>
  <c r="AL4194" i="4" l="1"/>
  <c r="AK4203" i="4"/>
  <c r="AI4203" i="4"/>
  <c r="AH4204" i="4"/>
  <c r="AJ4204" i="4"/>
  <c r="AL4195" i="4" l="1"/>
  <c r="AK4204" i="4"/>
  <c r="AI4204" i="4"/>
  <c r="AH4205" i="4"/>
  <c r="AJ4205" i="4"/>
  <c r="AL4196" i="4" l="1"/>
  <c r="AK4205" i="4"/>
  <c r="AI4205" i="4"/>
  <c r="AH4206" i="4"/>
  <c r="AJ4206" i="4"/>
  <c r="AL4197" i="4" l="1"/>
  <c r="AK4206" i="4"/>
  <c r="AI4206" i="4"/>
  <c r="AH4207" i="4"/>
  <c r="AJ4207" i="4"/>
  <c r="AL4198" i="4" l="1"/>
  <c r="AK4207" i="4"/>
  <c r="AI4207" i="4"/>
  <c r="AH4208" i="4"/>
  <c r="AJ4208" i="4"/>
  <c r="AL4199" i="4" l="1"/>
  <c r="AK4208" i="4"/>
  <c r="AI4208" i="4"/>
  <c r="AH4209" i="4"/>
  <c r="AJ4209" i="4"/>
  <c r="AL4200" i="4" l="1"/>
  <c r="AK4209" i="4"/>
  <c r="AI4209" i="4"/>
  <c r="AH4210" i="4"/>
  <c r="AJ4210" i="4"/>
  <c r="AL4201" i="4" l="1"/>
  <c r="AK4210" i="4"/>
  <c r="AI4210" i="4"/>
  <c r="AH4211" i="4"/>
  <c r="AJ4211" i="4"/>
  <c r="AL4202" i="4" l="1"/>
  <c r="AK4211" i="4"/>
  <c r="AI4211" i="4"/>
  <c r="AH4212" i="4"/>
  <c r="AJ4212" i="4"/>
  <c r="AL4203" i="4" l="1"/>
  <c r="AK4212" i="4"/>
  <c r="AI4212" i="4"/>
  <c r="AH4213" i="4"/>
  <c r="AJ4213" i="4"/>
  <c r="AL4204" i="4" l="1"/>
  <c r="AK4213" i="4"/>
  <c r="AI4213" i="4"/>
  <c r="AH4214" i="4"/>
  <c r="AJ4214" i="4"/>
  <c r="AL4205" i="4" l="1"/>
  <c r="AK4214" i="4"/>
  <c r="AI4214" i="4"/>
  <c r="AH4215" i="4"/>
  <c r="AJ4215" i="4"/>
  <c r="AL4206" i="4" l="1"/>
  <c r="AK4215" i="4"/>
  <c r="AI4215" i="4"/>
  <c r="AH4216" i="4"/>
  <c r="AJ4216" i="4"/>
  <c r="AL4207" i="4" l="1"/>
  <c r="AK4216" i="4"/>
  <c r="AI4216" i="4"/>
  <c r="AH4217" i="4"/>
  <c r="AJ4217" i="4"/>
  <c r="AL4208" i="4" l="1"/>
  <c r="AK4217" i="4"/>
  <c r="AI4217" i="4"/>
  <c r="AH4218" i="4"/>
  <c r="AJ4218" i="4"/>
  <c r="AL4209" i="4" l="1"/>
  <c r="AK4218" i="4"/>
  <c r="AI4218" i="4"/>
  <c r="AH4219" i="4"/>
  <c r="AJ4219" i="4"/>
  <c r="AL4210" i="4" l="1"/>
  <c r="AK4219" i="4"/>
  <c r="AI4219" i="4"/>
  <c r="AH4220" i="4"/>
  <c r="AJ4220" i="4"/>
  <c r="AL4211" i="4" l="1"/>
  <c r="AK4220" i="4"/>
  <c r="AI4220" i="4"/>
  <c r="AH4221" i="4"/>
  <c r="AJ4221" i="4"/>
  <c r="AL4212" i="4" l="1"/>
  <c r="AK4221" i="4"/>
  <c r="AI4221" i="4"/>
  <c r="AH4222" i="4"/>
  <c r="AJ4222" i="4"/>
  <c r="AL4213" i="4" l="1"/>
  <c r="AK4222" i="4"/>
  <c r="AI4222" i="4"/>
  <c r="AH4223" i="4"/>
  <c r="AJ4223" i="4"/>
  <c r="AL4214" i="4" l="1"/>
  <c r="AK4223" i="4"/>
  <c r="AI4223" i="4"/>
  <c r="AH4224" i="4"/>
  <c r="AJ4224" i="4"/>
  <c r="AL4215" i="4" l="1"/>
  <c r="AK4224" i="4"/>
  <c r="AI4224" i="4"/>
  <c r="AH4225" i="4"/>
  <c r="AJ4225" i="4"/>
  <c r="AL4216" i="4" l="1"/>
  <c r="AK4225" i="4"/>
  <c r="AI4225" i="4"/>
  <c r="AH4226" i="4"/>
  <c r="AJ4226" i="4"/>
  <c r="AL4217" i="4" l="1"/>
  <c r="AK4226" i="4"/>
  <c r="AI4226" i="4"/>
  <c r="AH4227" i="4"/>
  <c r="AJ4227" i="4"/>
  <c r="AL4218" i="4" l="1"/>
  <c r="AK4227" i="4"/>
  <c r="AI4227" i="4"/>
  <c r="AH4228" i="4"/>
  <c r="AJ4228" i="4"/>
  <c r="AL4219" i="4" l="1"/>
  <c r="AK4228" i="4"/>
  <c r="AI4228" i="4"/>
  <c r="AH4229" i="4"/>
  <c r="AJ4229" i="4"/>
  <c r="AL4220" i="4" l="1"/>
  <c r="AK4229" i="4"/>
  <c r="AI4229" i="4"/>
  <c r="AH4230" i="4"/>
  <c r="AJ4230" i="4"/>
  <c r="AL4221" i="4" l="1"/>
  <c r="AK4230" i="4"/>
  <c r="AI4230" i="4"/>
  <c r="AH4231" i="4"/>
  <c r="AJ4231" i="4"/>
  <c r="AL4222" i="4" l="1"/>
  <c r="AK4231" i="4"/>
  <c r="AI4231" i="4"/>
  <c r="AH4232" i="4"/>
  <c r="AJ4232" i="4"/>
  <c r="AL4223" i="4" l="1"/>
  <c r="AK4232" i="4"/>
  <c r="AI4232" i="4"/>
  <c r="AH4233" i="4"/>
  <c r="AJ4233" i="4"/>
  <c r="AL4224" i="4" l="1"/>
  <c r="AK4233" i="4"/>
  <c r="AI4233" i="4"/>
  <c r="AH4234" i="4"/>
  <c r="AJ4234" i="4"/>
  <c r="AL4225" i="4" l="1"/>
  <c r="AK4234" i="4"/>
  <c r="AI4234" i="4"/>
  <c r="AH4235" i="4"/>
  <c r="AJ4235" i="4"/>
  <c r="AL4226" i="4" l="1"/>
  <c r="AK4235" i="4"/>
  <c r="AI4235" i="4"/>
  <c r="AH4236" i="4"/>
  <c r="AJ4236" i="4"/>
  <c r="AL4227" i="4" l="1"/>
  <c r="AK4236" i="4"/>
  <c r="AI4236" i="4"/>
  <c r="AH4237" i="4"/>
  <c r="AJ4237" i="4"/>
  <c r="AL4228" i="4" l="1"/>
  <c r="AK4237" i="4"/>
  <c r="AI4237" i="4"/>
  <c r="AH4238" i="4"/>
  <c r="AJ4238" i="4"/>
  <c r="AL4229" i="4" l="1"/>
  <c r="AK4238" i="4"/>
  <c r="AI4238" i="4"/>
  <c r="AH4239" i="4"/>
  <c r="AJ4239" i="4"/>
  <c r="AL4230" i="4" l="1"/>
  <c r="AK4239" i="4"/>
  <c r="AI4239" i="4"/>
  <c r="AH4240" i="4"/>
  <c r="AJ4240" i="4"/>
  <c r="AL4231" i="4" l="1"/>
  <c r="AK4240" i="4"/>
  <c r="AI4240" i="4"/>
  <c r="AH4241" i="4"/>
  <c r="AJ4241" i="4"/>
  <c r="AL4232" i="4" l="1"/>
  <c r="AK4241" i="4"/>
  <c r="AI4241" i="4"/>
  <c r="AH4242" i="4"/>
  <c r="AJ4242" i="4"/>
  <c r="AL4233" i="4" l="1"/>
  <c r="AK4242" i="4"/>
  <c r="AI4242" i="4"/>
  <c r="AH4243" i="4"/>
  <c r="AJ4243" i="4"/>
  <c r="AL4234" i="4" l="1"/>
  <c r="AK4243" i="4"/>
  <c r="AI4243" i="4"/>
  <c r="AH4244" i="4"/>
  <c r="AJ4244" i="4"/>
  <c r="AL4235" i="4" l="1"/>
  <c r="AK4244" i="4"/>
  <c r="AI4244" i="4"/>
  <c r="AH4245" i="4"/>
  <c r="AJ4245" i="4"/>
  <c r="AL4236" i="4" l="1"/>
  <c r="AK4245" i="4"/>
  <c r="AI4245" i="4"/>
  <c r="AH4246" i="4"/>
  <c r="AJ4246" i="4"/>
  <c r="AL4237" i="4" l="1"/>
  <c r="AK4246" i="4"/>
  <c r="AI4246" i="4"/>
  <c r="AH4247" i="4"/>
  <c r="AJ4247" i="4"/>
  <c r="AL4238" i="4" l="1"/>
  <c r="AK4247" i="4"/>
  <c r="AI4247" i="4"/>
  <c r="AH4248" i="4"/>
  <c r="AJ4248" i="4"/>
  <c r="AL4239" i="4" l="1"/>
  <c r="AK4248" i="4"/>
  <c r="AI4248" i="4"/>
  <c r="AH4249" i="4"/>
  <c r="AJ4249" i="4"/>
  <c r="AL4240" i="4" l="1"/>
  <c r="AK4249" i="4"/>
  <c r="AI4249" i="4"/>
  <c r="AH4250" i="4"/>
  <c r="AJ4250" i="4"/>
  <c r="AL4241" i="4" l="1"/>
  <c r="AK4250" i="4"/>
  <c r="AI4250" i="4"/>
  <c r="AH4251" i="4"/>
  <c r="AJ4251" i="4"/>
  <c r="AL4242" i="4" l="1"/>
  <c r="AK4251" i="4"/>
  <c r="AI4251" i="4"/>
  <c r="AH4252" i="4"/>
  <c r="AJ4252" i="4"/>
  <c r="AL4243" i="4" l="1"/>
  <c r="AK4252" i="4"/>
  <c r="AI4252" i="4"/>
  <c r="AH4253" i="4"/>
  <c r="AJ4253" i="4"/>
  <c r="AL4244" i="4" l="1"/>
  <c r="AK4253" i="4"/>
  <c r="AI4253" i="4"/>
  <c r="AH4254" i="4"/>
  <c r="AJ4254" i="4"/>
  <c r="AL4245" i="4" l="1"/>
  <c r="AK4254" i="4"/>
  <c r="AI4254" i="4"/>
  <c r="AH4255" i="4"/>
  <c r="AJ4255" i="4"/>
  <c r="AL4246" i="4" l="1"/>
  <c r="AK4255" i="4"/>
  <c r="AI4255" i="4"/>
  <c r="AH4256" i="4"/>
  <c r="AJ4256" i="4"/>
  <c r="AL4247" i="4" l="1"/>
  <c r="AK4256" i="4"/>
  <c r="AI4256" i="4"/>
  <c r="AH4257" i="4"/>
  <c r="AJ4257" i="4"/>
  <c r="AL4248" i="4" l="1"/>
  <c r="AK4257" i="4"/>
  <c r="AI4257" i="4"/>
  <c r="AH4258" i="4"/>
  <c r="AJ4258" i="4"/>
  <c r="AL4249" i="4" l="1"/>
  <c r="AK4258" i="4"/>
  <c r="AI4258" i="4"/>
  <c r="AH4259" i="4"/>
  <c r="AJ4259" i="4"/>
  <c r="AL4250" i="4" l="1"/>
  <c r="AK4259" i="4"/>
  <c r="AI4259" i="4"/>
  <c r="AH4260" i="4"/>
  <c r="AJ4260" i="4"/>
  <c r="AL4251" i="4" l="1"/>
  <c r="AK4260" i="4"/>
  <c r="AI4260" i="4"/>
  <c r="AH4261" i="4"/>
  <c r="AJ4261" i="4"/>
  <c r="AL4252" i="4" l="1"/>
  <c r="AK4261" i="4"/>
  <c r="AI4261" i="4"/>
  <c r="AH4262" i="4"/>
  <c r="AJ4262" i="4"/>
  <c r="AL4253" i="4" l="1"/>
  <c r="AK4262" i="4"/>
  <c r="AI4262" i="4"/>
  <c r="AH4263" i="4"/>
  <c r="AJ4263" i="4"/>
  <c r="AL4254" i="4" l="1"/>
  <c r="AK4263" i="4"/>
  <c r="AI4263" i="4"/>
  <c r="AH4264" i="4"/>
  <c r="AJ4264" i="4"/>
  <c r="AL4255" i="4" l="1"/>
  <c r="AK4264" i="4"/>
  <c r="AI4264" i="4"/>
  <c r="AH4265" i="4"/>
  <c r="AJ4265" i="4"/>
  <c r="AL4256" i="4" l="1"/>
  <c r="AK4265" i="4"/>
  <c r="AI4265" i="4"/>
  <c r="AH4266" i="4"/>
  <c r="AJ4266" i="4"/>
  <c r="AL4257" i="4" l="1"/>
  <c r="AK4266" i="4"/>
  <c r="AI4266" i="4"/>
  <c r="AH4267" i="4"/>
  <c r="AJ4267" i="4"/>
  <c r="AL4258" i="4" l="1"/>
  <c r="AK4267" i="4"/>
  <c r="AI4267" i="4"/>
  <c r="AH4268" i="4"/>
  <c r="AJ4268" i="4"/>
  <c r="AL4259" i="4" l="1"/>
  <c r="AK4268" i="4"/>
  <c r="AI4268" i="4"/>
  <c r="AH4269" i="4"/>
  <c r="AJ4269" i="4"/>
  <c r="AL4260" i="4" l="1"/>
  <c r="AK4269" i="4"/>
  <c r="AI4269" i="4"/>
  <c r="AH4270" i="4"/>
  <c r="AJ4270" i="4"/>
  <c r="AL4261" i="4" l="1"/>
  <c r="AK4270" i="4"/>
  <c r="AI4270" i="4"/>
  <c r="AH4271" i="4"/>
  <c r="AJ4271" i="4"/>
  <c r="AL4262" i="4" l="1"/>
  <c r="AK4271" i="4"/>
  <c r="AI4271" i="4"/>
  <c r="AH4272" i="4"/>
  <c r="AJ4272" i="4"/>
  <c r="AL4263" i="4" l="1"/>
  <c r="AK4272" i="4"/>
  <c r="AI4272" i="4"/>
  <c r="AH4273" i="4"/>
  <c r="AJ4273" i="4"/>
  <c r="AL4264" i="4" l="1"/>
  <c r="AK4273" i="4"/>
  <c r="AI4273" i="4"/>
  <c r="AH4274" i="4"/>
  <c r="AJ4274" i="4"/>
  <c r="AL4265" i="4" l="1"/>
  <c r="AK4274" i="4"/>
  <c r="AI4274" i="4"/>
  <c r="AH4275" i="4"/>
  <c r="AJ4275" i="4"/>
  <c r="AL4266" i="4" l="1"/>
  <c r="AK4275" i="4"/>
  <c r="AI4275" i="4"/>
  <c r="AH4276" i="4"/>
  <c r="AJ4276" i="4"/>
  <c r="AL4267" i="4" l="1"/>
  <c r="AK4276" i="4"/>
  <c r="AI4276" i="4"/>
  <c r="AH4277" i="4"/>
  <c r="AJ4277" i="4"/>
  <c r="AL4268" i="4" l="1"/>
  <c r="AK4277" i="4"/>
  <c r="AI4277" i="4"/>
  <c r="AH4278" i="4"/>
  <c r="AJ4278" i="4"/>
  <c r="AL4269" i="4" l="1"/>
  <c r="AK4278" i="4"/>
  <c r="AI4278" i="4"/>
  <c r="AH4279" i="4"/>
  <c r="AJ4279" i="4"/>
  <c r="AL4270" i="4" l="1"/>
  <c r="AK4279" i="4"/>
  <c r="AI4279" i="4"/>
  <c r="AH4280" i="4"/>
  <c r="AJ4280" i="4"/>
  <c r="AL4271" i="4" l="1"/>
  <c r="AK4280" i="4"/>
  <c r="AI4280" i="4"/>
  <c r="AH4281" i="4"/>
  <c r="AJ4281" i="4"/>
  <c r="AL4272" i="4" l="1"/>
  <c r="AK4281" i="4"/>
  <c r="AI4281" i="4"/>
  <c r="AH4282" i="4"/>
  <c r="AJ4282" i="4"/>
  <c r="AL4273" i="4" l="1"/>
  <c r="AK4282" i="4"/>
  <c r="AI4282" i="4"/>
  <c r="AH4283" i="4"/>
  <c r="AJ4283" i="4"/>
  <c r="AL4274" i="4" l="1"/>
  <c r="AK4283" i="4"/>
  <c r="AI4283" i="4"/>
  <c r="AH4284" i="4"/>
  <c r="AJ4284" i="4"/>
  <c r="AL4275" i="4" l="1"/>
  <c r="AK4284" i="4"/>
  <c r="AI4284" i="4"/>
  <c r="AH4285" i="4"/>
  <c r="AJ4285" i="4"/>
  <c r="AL4276" i="4" l="1"/>
  <c r="AK4285" i="4"/>
  <c r="AI4285" i="4"/>
  <c r="AH4286" i="4"/>
  <c r="AJ4286" i="4"/>
  <c r="AL4277" i="4" l="1"/>
  <c r="AK4286" i="4"/>
  <c r="AI4286" i="4"/>
  <c r="AH4287" i="4"/>
  <c r="AJ4287" i="4"/>
  <c r="AL4278" i="4" l="1"/>
  <c r="AK4287" i="4"/>
  <c r="AI4287" i="4"/>
  <c r="AH4288" i="4"/>
  <c r="AJ4288" i="4"/>
  <c r="AL4279" i="4" l="1"/>
  <c r="AK4288" i="4"/>
  <c r="AI4288" i="4"/>
  <c r="AH4289" i="4"/>
  <c r="AJ4289" i="4"/>
  <c r="AL4280" i="4" l="1"/>
  <c r="AK4289" i="4"/>
  <c r="AI4289" i="4"/>
  <c r="AH4290" i="4"/>
  <c r="AJ4290" i="4"/>
  <c r="AL4281" i="4" l="1"/>
  <c r="AK4290" i="4"/>
  <c r="AI4290" i="4"/>
  <c r="AH4291" i="4"/>
  <c r="AJ4291" i="4"/>
  <c r="AL4282" i="4" l="1"/>
  <c r="AK4291" i="4"/>
  <c r="AI4291" i="4"/>
  <c r="AH4292" i="4"/>
  <c r="AJ4292" i="4"/>
  <c r="AL4283" i="4" l="1"/>
  <c r="AK4292" i="4"/>
  <c r="AI4292" i="4"/>
  <c r="AH4293" i="4"/>
  <c r="AJ4293" i="4"/>
  <c r="AL4284" i="4" l="1"/>
  <c r="AK4293" i="4"/>
  <c r="AI4293" i="4"/>
  <c r="AH4294" i="4"/>
  <c r="AJ4294" i="4"/>
  <c r="AL4285" i="4" l="1"/>
  <c r="AK4294" i="4"/>
  <c r="AI4294" i="4"/>
  <c r="AH4295" i="4"/>
  <c r="AJ4295" i="4"/>
  <c r="AL4286" i="4" l="1"/>
  <c r="AK4295" i="4"/>
  <c r="AI4295" i="4"/>
  <c r="AH4296" i="4"/>
  <c r="AJ4296" i="4"/>
  <c r="AL4287" i="4" l="1"/>
  <c r="AK4296" i="4"/>
  <c r="AI4296" i="4"/>
  <c r="AH4297" i="4"/>
  <c r="AJ4297" i="4"/>
  <c r="AL4288" i="4" l="1"/>
  <c r="AK4297" i="4"/>
  <c r="AI4297" i="4"/>
  <c r="AH4298" i="4"/>
  <c r="AJ4298" i="4"/>
  <c r="AL4289" i="4" l="1"/>
  <c r="AK4298" i="4"/>
  <c r="AI4298" i="4"/>
  <c r="AH4299" i="4"/>
  <c r="AJ4299" i="4"/>
  <c r="AL4290" i="4" l="1"/>
  <c r="AK4299" i="4"/>
  <c r="AI4299" i="4"/>
  <c r="AH4300" i="4"/>
  <c r="AJ4300" i="4"/>
  <c r="AL4291" i="4" l="1"/>
  <c r="AK4300" i="4"/>
  <c r="AI4300" i="4"/>
  <c r="AH4301" i="4"/>
  <c r="AJ4301" i="4"/>
  <c r="AL4292" i="4" l="1"/>
  <c r="AK4301" i="4"/>
  <c r="AI4301" i="4"/>
  <c r="AH4302" i="4"/>
  <c r="AJ4302" i="4"/>
  <c r="AL4293" i="4" l="1"/>
  <c r="AK4302" i="4"/>
  <c r="AI4302" i="4"/>
  <c r="AH4303" i="4"/>
  <c r="AJ4303" i="4"/>
  <c r="AL4294" i="4" l="1"/>
  <c r="AK4303" i="4"/>
  <c r="AI4303" i="4"/>
  <c r="AH4304" i="4"/>
  <c r="AJ4304" i="4"/>
  <c r="AL4295" i="4" l="1"/>
  <c r="AK4304" i="4"/>
  <c r="AI4304" i="4"/>
  <c r="AH4305" i="4"/>
  <c r="AJ4305" i="4"/>
  <c r="AL4296" i="4" l="1"/>
  <c r="AK4305" i="4"/>
  <c r="AI4305" i="4"/>
  <c r="AH4306" i="4"/>
  <c r="AJ4306" i="4"/>
  <c r="AL4297" i="4" l="1"/>
  <c r="AK4306" i="4"/>
  <c r="AI4306" i="4"/>
  <c r="AH4307" i="4"/>
  <c r="AJ4307" i="4"/>
  <c r="AL4298" i="4" l="1"/>
  <c r="AK4307" i="4"/>
  <c r="AI4307" i="4"/>
  <c r="AH4308" i="4"/>
  <c r="AJ4308" i="4"/>
  <c r="AL4299" i="4" l="1"/>
  <c r="AK4308" i="4"/>
  <c r="AI4308" i="4"/>
  <c r="AH4309" i="4"/>
  <c r="AJ4309" i="4"/>
  <c r="AL4300" i="4" l="1"/>
  <c r="AK4309" i="4"/>
  <c r="AI4309" i="4"/>
  <c r="AH4310" i="4"/>
  <c r="AJ4310" i="4"/>
  <c r="AL4301" i="4" l="1"/>
  <c r="AK4310" i="4"/>
  <c r="AI4310" i="4"/>
  <c r="AH4311" i="4"/>
  <c r="AJ4311" i="4"/>
  <c r="AL4302" i="4" l="1"/>
  <c r="AK4311" i="4"/>
  <c r="AI4311" i="4"/>
  <c r="AH4312" i="4"/>
  <c r="AJ4312" i="4"/>
  <c r="AL4303" i="4" l="1"/>
  <c r="AK4312" i="4"/>
  <c r="AI4312" i="4"/>
  <c r="AH4313" i="4"/>
  <c r="AJ4313" i="4"/>
  <c r="AL4304" i="4" l="1"/>
  <c r="AK4313" i="4"/>
  <c r="AI4313" i="4"/>
  <c r="AH4314" i="4"/>
  <c r="AJ4314" i="4"/>
  <c r="AL4305" i="4" l="1"/>
  <c r="AK4314" i="4"/>
  <c r="AI4314" i="4"/>
  <c r="AH4315" i="4"/>
  <c r="AJ4315" i="4"/>
  <c r="AL4306" i="4" l="1"/>
  <c r="AK4315" i="4"/>
  <c r="AI4315" i="4"/>
  <c r="AH4316" i="4"/>
  <c r="AJ4316" i="4"/>
  <c r="AL4307" i="4" l="1"/>
  <c r="AK4316" i="4"/>
  <c r="AI4316" i="4"/>
  <c r="AH4317" i="4"/>
  <c r="AJ4317" i="4"/>
  <c r="AL4308" i="4" l="1"/>
  <c r="AK4317" i="4"/>
  <c r="AI4317" i="4"/>
  <c r="AH4318" i="4"/>
  <c r="AJ4318" i="4"/>
  <c r="AL4309" i="4" l="1"/>
  <c r="AK4318" i="4"/>
  <c r="AI4318" i="4"/>
  <c r="AH4319" i="4"/>
  <c r="AJ4319" i="4"/>
  <c r="AL4310" i="4" l="1"/>
  <c r="AK4319" i="4"/>
  <c r="AI4319" i="4"/>
  <c r="AH4320" i="4"/>
  <c r="AJ4320" i="4"/>
  <c r="AL4311" i="4" l="1"/>
  <c r="AK4320" i="4"/>
  <c r="AI4320" i="4"/>
  <c r="AH4321" i="4"/>
  <c r="AJ4321" i="4"/>
  <c r="AL4312" i="4" l="1"/>
  <c r="AK4321" i="4"/>
  <c r="AI4321" i="4"/>
  <c r="AH4322" i="4"/>
  <c r="AJ4322" i="4"/>
  <c r="AL4313" i="4" l="1"/>
  <c r="AK4322" i="4"/>
  <c r="AI4322" i="4"/>
  <c r="AH4323" i="4"/>
  <c r="AJ4323" i="4"/>
  <c r="AL4314" i="4" l="1"/>
  <c r="AK4323" i="4"/>
  <c r="AI4323" i="4"/>
  <c r="AH4324" i="4"/>
  <c r="AJ4324" i="4"/>
  <c r="AL4315" i="4" l="1"/>
  <c r="AK4324" i="4"/>
  <c r="AI4324" i="4"/>
  <c r="AH4325" i="4"/>
  <c r="AJ4325" i="4"/>
  <c r="AL4316" i="4" l="1"/>
  <c r="AK4325" i="4"/>
  <c r="AI4325" i="4"/>
  <c r="AH4326" i="4"/>
  <c r="AJ4326" i="4"/>
  <c r="AL4317" i="4" l="1"/>
  <c r="AK4326" i="4"/>
  <c r="AI4326" i="4"/>
  <c r="AH4327" i="4"/>
  <c r="AJ4327" i="4"/>
  <c r="AL4318" i="4" l="1"/>
  <c r="AK4327" i="4"/>
  <c r="AI4327" i="4"/>
  <c r="AH4328" i="4"/>
  <c r="AJ4328" i="4"/>
  <c r="AL4319" i="4" l="1"/>
  <c r="AK4328" i="4"/>
  <c r="AI4328" i="4"/>
  <c r="AH4329" i="4"/>
  <c r="AJ4329" i="4"/>
  <c r="AL4320" i="4" l="1"/>
  <c r="AK4329" i="4"/>
  <c r="AI4329" i="4"/>
  <c r="AH4330" i="4"/>
  <c r="AJ4330" i="4"/>
  <c r="AL4321" i="4" l="1"/>
  <c r="AK4330" i="4"/>
  <c r="AI4330" i="4"/>
  <c r="AH4331" i="4"/>
  <c r="AJ4331" i="4"/>
  <c r="AL4322" i="4" l="1"/>
  <c r="AK4331" i="4"/>
  <c r="AI4331" i="4"/>
  <c r="AH4332" i="4"/>
  <c r="AJ4332" i="4"/>
  <c r="AL4323" i="4" l="1"/>
  <c r="AK4332" i="4"/>
  <c r="AI4332" i="4"/>
  <c r="AH4333" i="4"/>
  <c r="AJ4333" i="4"/>
  <c r="AL4324" i="4" l="1"/>
  <c r="AK4333" i="4"/>
  <c r="AI4333" i="4"/>
  <c r="AH4334" i="4"/>
  <c r="AJ4334" i="4"/>
  <c r="AL4325" i="4" l="1"/>
  <c r="AK4334" i="4"/>
  <c r="AI4334" i="4"/>
  <c r="AH4335" i="4"/>
  <c r="AJ4335" i="4"/>
  <c r="AL4326" i="4" l="1"/>
  <c r="AK4335" i="4"/>
  <c r="AI4335" i="4"/>
  <c r="AH4336" i="4"/>
  <c r="AJ4336" i="4"/>
  <c r="AL4327" i="4" l="1"/>
  <c r="AK4336" i="4"/>
  <c r="AI4336" i="4"/>
  <c r="AH4337" i="4"/>
  <c r="AJ4337" i="4"/>
  <c r="AL4328" i="4" l="1"/>
  <c r="AK4337" i="4"/>
  <c r="AI4337" i="4"/>
  <c r="AH4338" i="4"/>
  <c r="AJ4338" i="4"/>
  <c r="AL4329" i="4" l="1"/>
  <c r="AK4338" i="4"/>
  <c r="AI4338" i="4"/>
  <c r="AH4339" i="4"/>
  <c r="AJ4339" i="4"/>
  <c r="AL4330" i="4" l="1"/>
  <c r="AK4339" i="4"/>
  <c r="AI4339" i="4"/>
  <c r="AH4340" i="4"/>
  <c r="AJ4340" i="4"/>
  <c r="AL4331" i="4" l="1"/>
  <c r="AK4340" i="4"/>
  <c r="AI4340" i="4"/>
  <c r="AH4341" i="4"/>
  <c r="AJ4341" i="4"/>
  <c r="AL4332" i="4" l="1"/>
  <c r="AK4341" i="4"/>
  <c r="AI4341" i="4"/>
  <c r="AH4342" i="4"/>
  <c r="AJ4342" i="4"/>
  <c r="AL4333" i="4" l="1"/>
  <c r="AK4342" i="4"/>
  <c r="AI4342" i="4"/>
  <c r="AH4343" i="4"/>
  <c r="AJ4343" i="4"/>
  <c r="AL4334" i="4" l="1"/>
  <c r="AK4343" i="4"/>
  <c r="AI4343" i="4"/>
  <c r="AH4344" i="4"/>
  <c r="AJ4344" i="4"/>
  <c r="AL4335" i="4" l="1"/>
  <c r="AK4344" i="4"/>
  <c r="AI4344" i="4"/>
  <c r="AH4345" i="4"/>
  <c r="AJ4345" i="4"/>
  <c r="AL4336" i="4" l="1"/>
  <c r="AK4345" i="4"/>
  <c r="AI4345" i="4"/>
  <c r="AH4346" i="4"/>
  <c r="AJ4346" i="4"/>
  <c r="AL4337" i="4" l="1"/>
  <c r="AK4346" i="4"/>
  <c r="AI4346" i="4"/>
  <c r="AH4347" i="4"/>
  <c r="AJ4347" i="4"/>
  <c r="AL4338" i="4" l="1"/>
  <c r="AK4347" i="4"/>
  <c r="AI4347" i="4"/>
  <c r="AH4348" i="4"/>
  <c r="AJ4348" i="4"/>
  <c r="AL4339" i="4" l="1"/>
  <c r="AK4348" i="4"/>
  <c r="AI4348" i="4"/>
  <c r="AH4349" i="4"/>
  <c r="AJ4349" i="4"/>
  <c r="AL4340" i="4" l="1"/>
  <c r="AK4349" i="4"/>
  <c r="AI4349" i="4"/>
  <c r="AH4350" i="4"/>
  <c r="AJ4350" i="4"/>
  <c r="AL4341" i="4" l="1"/>
  <c r="AK4350" i="4"/>
  <c r="AI4350" i="4"/>
  <c r="AH4351" i="4"/>
  <c r="AJ4351" i="4"/>
  <c r="AL4342" i="4" l="1"/>
  <c r="AK4351" i="4"/>
  <c r="AI4351" i="4"/>
  <c r="AH4352" i="4"/>
  <c r="AJ4352" i="4"/>
  <c r="AL4343" i="4" l="1"/>
  <c r="AK4352" i="4"/>
  <c r="AI4352" i="4"/>
  <c r="AH4353" i="4"/>
  <c r="AJ4353" i="4"/>
  <c r="AL4344" i="4" l="1"/>
  <c r="AK4353" i="4"/>
  <c r="AI4353" i="4"/>
  <c r="AH4354" i="4"/>
  <c r="AJ4354" i="4"/>
  <c r="AL4345" i="4" l="1"/>
  <c r="AK4354" i="4"/>
  <c r="AI4354" i="4"/>
  <c r="AH4355" i="4"/>
  <c r="AJ4355" i="4"/>
  <c r="AL4346" i="4" l="1"/>
  <c r="AK4355" i="4"/>
  <c r="AI4355" i="4"/>
  <c r="AH4356" i="4"/>
  <c r="AJ4356" i="4"/>
  <c r="AL4347" i="4" l="1"/>
  <c r="AK4356" i="4"/>
  <c r="AI4356" i="4"/>
  <c r="AH4357" i="4"/>
  <c r="AJ4357" i="4"/>
  <c r="AL4348" i="4" l="1"/>
  <c r="AK4357" i="4"/>
  <c r="AI4357" i="4"/>
  <c r="AH4358" i="4"/>
  <c r="AJ4358" i="4"/>
  <c r="AL4349" i="4" l="1"/>
  <c r="AK4358" i="4"/>
  <c r="AI4358" i="4"/>
  <c r="AH4359" i="4"/>
  <c r="AJ4359" i="4"/>
  <c r="AL4350" i="4" l="1"/>
  <c r="AK4359" i="4"/>
  <c r="AI4359" i="4"/>
  <c r="AH4360" i="4"/>
  <c r="AS153" i="4"/>
  <c r="AJ4360" i="4"/>
  <c r="AL4351" i="4" l="1"/>
  <c r="AK4360" i="4"/>
  <c r="AI4360" i="4"/>
  <c r="AH4361" i="4"/>
  <c r="AJ4361" i="4"/>
  <c r="AL4352" i="4" l="1"/>
  <c r="AK4361" i="4"/>
  <c r="AI4361" i="4"/>
  <c r="AH4362" i="4"/>
  <c r="AJ4362" i="4"/>
  <c r="AL4353" i="4" l="1"/>
  <c r="AK4362" i="4"/>
  <c r="AI4362" i="4"/>
  <c r="AH4363" i="4"/>
  <c r="AJ4363" i="4"/>
  <c r="AL4354" i="4" l="1"/>
  <c r="AK4363" i="4"/>
  <c r="AI4363" i="4"/>
  <c r="AH4364" i="4"/>
  <c r="AJ4364" i="4"/>
  <c r="AL4355" i="4" l="1"/>
  <c r="AK4364" i="4"/>
  <c r="AI4364" i="4"/>
  <c r="AH4365" i="4"/>
  <c r="AJ4365" i="4"/>
  <c r="AL4356" i="4" l="1"/>
  <c r="AK4365" i="4"/>
  <c r="AI4365" i="4"/>
  <c r="AH4366" i="4"/>
  <c r="AJ4366" i="4"/>
  <c r="AL4357" i="4" l="1"/>
  <c r="AK4366" i="4"/>
  <c r="AI4366" i="4"/>
  <c r="AH4367" i="4"/>
  <c r="AJ4367" i="4"/>
  <c r="AL4358" i="4" l="1"/>
  <c r="AK4367" i="4"/>
  <c r="AI4367" i="4"/>
  <c r="AH4368" i="4"/>
  <c r="AJ4368" i="4"/>
  <c r="AL4359" i="4" l="1"/>
  <c r="AK4368" i="4"/>
  <c r="AI4368" i="4"/>
  <c r="AH4369" i="4"/>
  <c r="AJ4369" i="4"/>
  <c r="AL4360" i="4" l="1"/>
  <c r="AK4369" i="4"/>
  <c r="AI4369" i="4"/>
  <c r="AH4370" i="4"/>
  <c r="AJ4370" i="4"/>
  <c r="AL4361" i="4" l="1"/>
  <c r="AK4370" i="4"/>
  <c r="AI4370" i="4"/>
  <c r="AH4371" i="4"/>
  <c r="AJ4371" i="4"/>
  <c r="AL4362" i="4" l="1"/>
  <c r="AK4371" i="4"/>
  <c r="AI4371" i="4"/>
  <c r="AH4372" i="4"/>
  <c r="AJ4372" i="4"/>
  <c r="AL4363" i="4" l="1"/>
  <c r="AK4372" i="4"/>
  <c r="AI4372" i="4"/>
  <c r="AH4373" i="4"/>
  <c r="AJ4373" i="4"/>
  <c r="AL4364" i="4" l="1"/>
  <c r="AK4373" i="4"/>
  <c r="AI4373" i="4"/>
  <c r="AH4374" i="4"/>
  <c r="AJ4374" i="4"/>
  <c r="AL4365" i="4" l="1"/>
  <c r="AK4374" i="4"/>
  <c r="AI4374" i="4"/>
  <c r="AH4375" i="4"/>
  <c r="AJ4375" i="4"/>
  <c r="AL4366" i="4" l="1"/>
  <c r="AK4375" i="4"/>
  <c r="AI4375" i="4"/>
  <c r="AH4376" i="4"/>
  <c r="AJ4376" i="4"/>
  <c r="AL4367" i="4" l="1"/>
  <c r="AK4376" i="4"/>
  <c r="AI4376" i="4"/>
  <c r="AH4377" i="4"/>
  <c r="AJ4377" i="4"/>
  <c r="AL4368" i="4" l="1"/>
  <c r="AK4377" i="4"/>
  <c r="AI4377" i="4"/>
  <c r="AH4378" i="4"/>
  <c r="AJ4378" i="4"/>
  <c r="AL4369" i="4" l="1"/>
  <c r="AK4378" i="4"/>
  <c r="AI4378" i="4"/>
  <c r="AH4379" i="4"/>
  <c r="AJ4379" i="4"/>
  <c r="AL4370" i="4" l="1"/>
  <c r="AK4379" i="4"/>
  <c r="AI4379" i="4"/>
  <c r="AH4380" i="4"/>
  <c r="AJ4380" i="4"/>
  <c r="AL4371" i="4" l="1"/>
  <c r="AK4380" i="4"/>
  <c r="AI4380" i="4"/>
  <c r="AH4381" i="4"/>
  <c r="AJ4381" i="4"/>
  <c r="AL4372" i="4" l="1"/>
  <c r="AK4381" i="4"/>
  <c r="AI4381" i="4"/>
  <c r="AH4382" i="4"/>
  <c r="AJ4382" i="4"/>
  <c r="AL4373" i="4" l="1"/>
  <c r="AK4382" i="4"/>
  <c r="AI4382" i="4"/>
  <c r="AH4383" i="4"/>
  <c r="AJ4383" i="4"/>
  <c r="AL4374" i="4" l="1"/>
  <c r="AK4383" i="4"/>
  <c r="AI4383" i="4"/>
  <c r="AH4384" i="4"/>
  <c r="AJ4384" i="4"/>
  <c r="AL4375" i="4" l="1"/>
  <c r="AK4384" i="4"/>
  <c r="AI4384" i="4"/>
  <c r="AH4385" i="4"/>
  <c r="AJ4385" i="4"/>
  <c r="AL4376" i="4" l="1"/>
  <c r="AK4385" i="4"/>
  <c r="AI4385" i="4"/>
  <c r="AH4386" i="4"/>
  <c r="AJ4386" i="4"/>
  <c r="AL4377" i="4" l="1"/>
  <c r="AK4386" i="4"/>
  <c r="AI4386" i="4"/>
  <c r="AH4387" i="4"/>
  <c r="AJ4387" i="4"/>
  <c r="AL4378" i="4" l="1"/>
  <c r="AK4387" i="4"/>
  <c r="AI4387" i="4"/>
  <c r="AH4388" i="4"/>
  <c r="AJ4388" i="4"/>
  <c r="AL4379" i="4" l="1"/>
  <c r="AK4388" i="4"/>
  <c r="AI4388" i="4"/>
  <c r="AH4389" i="4"/>
  <c r="AJ4389" i="4"/>
  <c r="AL4380" i="4" l="1"/>
  <c r="AK4389" i="4"/>
  <c r="AI4389" i="4"/>
  <c r="AH4390" i="4"/>
  <c r="AJ4390" i="4"/>
  <c r="AL4381" i="4" l="1"/>
  <c r="AK4390" i="4"/>
  <c r="AI4390" i="4"/>
  <c r="AH4391" i="4"/>
  <c r="AJ4391" i="4"/>
  <c r="AL4382" i="4" l="1"/>
  <c r="AK4391" i="4"/>
  <c r="AI4391" i="4"/>
  <c r="AH4392" i="4"/>
  <c r="AJ4392" i="4"/>
  <c r="AL4383" i="4" l="1"/>
  <c r="AK4392" i="4"/>
  <c r="AI4392" i="4"/>
  <c r="AH4393" i="4"/>
  <c r="AJ4393" i="4"/>
  <c r="AL4384" i="4" l="1"/>
  <c r="AK4393" i="4"/>
  <c r="AI4393" i="4"/>
  <c r="AH4394" i="4"/>
  <c r="AJ4394" i="4"/>
  <c r="AL4385" i="4" l="1"/>
  <c r="AK4394" i="4"/>
  <c r="AI4394" i="4"/>
  <c r="AH4395" i="4"/>
  <c r="AJ4395" i="4"/>
  <c r="AL4386" i="4" l="1"/>
  <c r="AK4395" i="4"/>
  <c r="AI4395" i="4"/>
  <c r="AH4396" i="4"/>
  <c r="AJ4396" i="4"/>
  <c r="AL4387" i="4" l="1"/>
  <c r="AK4396" i="4"/>
  <c r="AI4396" i="4"/>
  <c r="AH4397" i="4"/>
  <c r="AJ4397" i="4"/>
  <c r="AL4388" i="4" l="1"/>
  <c r="AK4397" i="4"/>
  <c r="AI4397" i="4"/>
  <c r="AH4398" i="4"/>
  <c r="AJ4398" i="4"/>
  <c r="AL4389" i="4" l="1"/>
  <c r="AK4398" i="4"/>
  <c r="AI4398" i="4"/>
  <c r="AH4399" i="4"/>
  <c r="AJ4399" i="4"/>
  <c r="AL4390" i="4" l="1"/>
  <c r="AK4399" i="4"/>
  <c r="AI4399" i="4"/>
  <c r="AH4400" i="4"/>
  <c r="AJ4400" i="4"/>
  <c r="AL4391" i="4" l="1"/>
  <c r="AK4400" i="4"/>
  <c r="AI4400" i="4"/>
  <c r="AH4401" i="4"/>
  <c r="AJ4401" i="4"/>
  <c r="AL4392" i="4" l="1"/>
  <c r="AK4401" i="4"/>
  <c r="AI4401" i="4"/>
  <c r="AH4402" i="4"/>
  <c r="AJ4402" i="4"/>
  <c r="AL4393" i="4" l="1"/>
  <c r="AK4402" i="4"/>
  <c r="AI4402" i="4"/>
  <c r="AH4403" i="4"/>
  <c r="AJ4403" i="4"/>
  <c r="AL4394" i="4" l="1"/>
  <c r="AK4403" i="4"/>
  <c r="AI4403" i="4"/>
  <c r="AH4404" i="4"/>
  <c r="AJ4404" i="4"/>
  <c r="AL4395" i="4" l="1"/>
  <c r="AK4404" i="4"/>
  <c r="AI4404" i="4"/>
  <c r="AH4405" i="4"/>
  <c r="AJ4405" i="4"/>
  <c r="AL4396" i="4" l="1"/>
  <c r="AK4405" i="4"/>
  <c r="AI4405" i="4"/>
  <c r="AH4406" i="4"/>
  <c r="AJ4406" i="4"/>
  <c r="AL4397" i="4" l="1"/>
  <c r="AK4406" i="4"/>
  <c r="AI4406" i="4"/>
  <c r="AH4407" i="4"/>
  <c r="AJ4407" i="4"/>
  <c r="AL4398" i="4" l="1"/>
  <c r="AK4407" i="4"/>
  <c r="AI4407" i="4"/>
  <c r="AH4408" i="4"/>
  <c r="AJ4408" i="4"/>
  <c r="AL4399" i="4" l="1"/>
  <c r="AK4408" i="4"/>
  <c r="AI4408" i="4"/>
  <c r="AH4409" i="4"/>
  <c r="AJ4409" i="4"/>
  <c r="AL4400" i="4" l="1"/>
  <c r="AK4409" i="4"/>
  <c r="AI4409" i="4"/>
  <c r="AH4410" i="4"/>
  <c r="AJ4410" i="4"/>
  <c r="AL4401" i="4" l="1"/>
  <c r="AK4410" i="4"/>
  <c r="AI4410" i="4"/>
  <c r="AH4411" i="4"/>
  <c r="AJ4411" i="4"/>
  <c r="AL4402" i="4" l="1"/>
  <c r="AK4411" i="4"/>
  <c r="AI4411" i="4"/>
  <c r="AH4412" i="4"/>
  <c r="AJ4412" i="4"/>
  <c r="AL4403" i="4" l="1"/>
  <c r="AK4412" i="4"/>
  <c r="AI4412" i="4"/>
  <c r="AH4413" i="4"/>
  <c r="AJ4413" i="4"/>
  <c r="AL4404" i="4" l="1"/>
  <c r="AK4413" i="4"/>
  <c r="AI4413" i="4"/>
  <c r="AH4414" i="4"/>
  <c r="AJ4414" i="4"/>
  <c r="AL4405" i="4" l="1"/>
  <c r="AK4414" i="4"/>
  <c r="AI4414" i="4"/>
  <c r="AH4415" i="4"/>
  <c r="AJ4415" i="4"/>
  <c r="AL4406" i="4" l="1"/>
  <c r="AK4415" i="4"/>
  <c r="AI4415" i="4"/>
  <c r="AH4416" i="4"/>
  <c r="AJ4416" i="4"/>
  <c r="AL4407" i="4" l="1"/>
  <c r="AK4416" i="4"/>
  <c r="AI4416" i="4"/>
  <c r="AH4417" i="4"/>
  <c r="AJ4417" i="4"/>
  <c r="AL4408" i="4" l="1"/>
  <c r="AK4417" i="4"/>
  <c r="AI4417" i="4"/>
  <c r="AH4418" i="4"/>
  <c r="AJ4418" i="4"/>
  <c r="AL4409" i="4" l="1"/>
  <c r="AK4418" i="4"/>
  <c r="AI4418" i="4"/>
  <c r="AH4419" i="4"/>
  <c r="AJ4419" i="4"/>
  <c r="AL4410" i="4" l="1"/>
  <c r="AK4419" i="4"/>
  <c r="AI4419" i="4"/>
  <c r="AH4420" i="4"/>
  <c r="AJ4420" i="4"/>
  <c r="AL4411" i="4" l="1"/>
  <c r="AK4420" i="4"/>
  <c r="AI4420" i="4"/>
  <c r="AH4421" i="4"/>
  <c r="AJ4421" i="4"/>
  <c r="AL4412" i="4" l="1"/>
  <c r="AK4421" i="4"/>
  <c r="AI4421" i="4"/>
  <c r="AH4422" i="4"/>
  <c r="AJ4422" i="4"/>
  <c r="AL4413" i="4" l="1"/>
  <c r="AK4422" i="4"/>
  <c r="AI4422" i="4"/>
  <c r="AH4423" i="4"/>
  <c r="AJ4423" i="4"/>
  <c r="AL4414" i="4" l="1"/>
  <c r="AK4423" i="4"/>
  <c r="AI4423" i="4"/>
  <c r="AH4424" i="4"/>
  <c r="AJ4424" i="4"/>
  <c r="AL4415" i="4" l="1"/>
  <c r="AK4424" i="4"/>
  <c r="AI4424" i="4"/>
  <c r="AH4425" i="4"/>
  <c r="AJ4425" i="4"/>
  <c r="AL4416" i="4" l="1"/>
  <c r="AK4425" i="4"/>
  <c r="AI4425" i="4"/>
  <c r="AH4426" i="4"/>
  <c r="AJ4426" i="4"/>
  <c r="AL4417" i="4" l="1"/>
  <c r="AK4426" i="4"/>
  <c r="AI4426" i="4"/>
  <c r="AH4427" i="4"/>
  <c r="AJ4427" i="4"/>
  <c r="AL4418" i="4" l="1"/>
  <c r="AK4427" i="4"/>
  <c r="AI4427" i="4"/>
  <c r="AH4428" i="4"/>
  <c r="AJ4428" i="4"/>
  <c r="AL4419" i="4" l="1"/>
  <c r="AK4428" i="4"/>
  <c r="AI4428" i="4"/>
  <c r="AH4429" i="4"/>
  <c r="AJ4429" i="4"/>
  <c r="AL4420" i="4" l="1"/>
  <c r="AK4429" i="4"/>
  <c r="AI4429" i="4"/>
  <c r="AH4430" i="4"/>
  <c r="AJ4430" i="4"/>
  <c r="AL4421" i="4" l="1"/>
  <c r="AK4430" i="4"/>
  <c r="AI4430" i="4"/>
  <c r="AH4431" i="4"/>
  <c r="AJ4431" i="4"/>
  <c r="AL4422" i="4" l="1"/>
  <c r="AK4431" i="4"/>
  <c r="AI4431" i="4"/>
  <c r="AH4432" i="4"/>
  <c r="AJ4432" i="4"/>
  <c r="AL4423" i="4" l="1"/>
  <c r="AK4432" i="4"/>
  <c r="AI4432" i="4"/>
  <c r="AH4433" i="4"/>
  <c r="AJ4433" i="4"/>
  <c r="AL4424" i="4" l="1"/>
  <c r="AK4433" i="4"/>
  <c r="AI4433" i="4"/>
  <c r="AH4434" i="4"/>
  <c r="AJ4434" i="4"/>
  <c r="AL4425" i="4" l="1"/>
  <c r="AK4434" i="4"/>
  <c r="AI4434" i="4"/>
  <c r="AH4435" i="4"/>
  <c r="AJ4435" i="4"/>
  <c r="AL4426" i="4" l="1"/>
  <c r="AK4435" i="4"/>
  <c r="AI4435" i="4"/>
  <c r="AH4436" i="4"/>
  <c r="AJ4436" i="4"/>
  <c r="AL4427" i="4" l="1"/>
  <c r="AK4436" i="4"/>
  <c r="AI4436" i="4"/>
  <c r="AH4437" i="4"/>
  <c r="AJ4437" i="4"/>
  <c r="AL4428" i="4" l="1"/>
  <c r="AK4437" i="4"/>
  <c r="AI4437" i="4"/>
  <c r="AH4438" i="4"/>
  <c r="AJ4438" i="4"/>
  <c r="AL4429" i="4" l="1"/>
  <c r="AK4438" i="4"/>
  <c r="AI4438" i="4"/>
  <c r="AH4439" i="4"/>
  <c r="AJ4439" i="4"/>
  <c r="AL4430" i="4" l="1"/>
  <c r="AK4439" i="4"/>
  <c r="AI4439" i="4"/>
  <c r="AH4440" i="4"/>
  <c r="AJ4440" i="4"/>
  <c r="AL4431" i="4" l="1"/>
  <c r="AK4440" i="4"/>
  <c r="AI4440" i="4"/>
  <c r="AH4441" i="4"/>
  <c r="AJ4441" i="4"/>
  <c r="AL4432" i="4" l="1"/>
  <c r="AK4441" i="4"/>
  <c r="AI4441" i="4"/>
  <c r="AH4442" i="4"/>
  <c r="AJ4442" i="4"/>
  <c r="AL4433" i="4" l="1"/>
  <c r="AK4442" i="4"/>
  <c r="AI4442" i="4"/>
  <c r="AH4443" i="4"/>
  <c r="AJ4443" i="4"/>
  <c r="AL4434" i="4" l="1"/>
  <c r="AK4443" i="4"/>
  <c r="AI4443" i="4"/>
  <c r="AH4444" i="4"/>
  <c r="AJ4444" i="4"/>
  <c r="AL4435" i="4" l="1"/>
  <c r="AK4444" i="4"/>
  <c r="AI4444" i="4"/>
  <c r="AH4445" i="4"/>
  <c r="AJ4445" i="4"/>
  <c r="AL4436" i="4" l="1"/>
  <c r="AK4445" i="4"/>
  <c r="AI4445" i="4"/>
  <c r="AH4446" i="4"/>
  <c r="AJ4446" i="4"/>
  <c r="AL4437" i="4" l="1"/>
  <c r="AK4446" i="4"/>
  <c r="AI4446" i="4"/>
  <c r="AH4447" i="4"/>
  <c r="AJ4447" i="4"/>
  <c r="AL4438" i="4" l="1"/>
  <c r="AK4447" i="4"/>
  <c r="AI4447" i="4"/>
  <c r="AH4448" i="4"/>
  <c r="AJ4448" i="4"/>
  <c r="AL4439" i="4" l="1"/>
  <c r="AK4448" i="4"/>
  <c r="AI4448" i="4"/>
  <c r="AH4449" i="4"/>
  <c r="AJ4449" i="4"/>
  <c r="AL4440" i="4" l="1"/>
  <c r="AK4449" i="4"/>
  <c r="AI4449" i="4"/>
  <c r="AH4450" i="4"/>
  <c r="AJ4450" i="4"/>
  <c r="AL4441" i="4" l="1"/>
  <c r="AK4450" i="4"/>
  <c r="AI4450" i="4"/>
  <c r="AH4451" i="4"/>
  <c r="AJ4451" i="4"/>
  <c r="AL4442" i="4" l="1"/>
  <c r="AK4451" i="4"/>
  <c r="AI4451" i="4"/>
  <c r="AH4452" i="4"/>
  <c r="AJ4452" i="4"/>
  <c r="AL4443" i="4" l="1"/>
  <c r="AK4452" i="4"/>
  <c r="AI4452" i="4"/>
  <c r="AH4453" i="4"/>
  <c r="AJ4453" i="4"/>
  <c r="AL4444" i="4" l="1"/>
  <c r="AK4453" i="4"/>
  <c r="AI4453" i="4"/>
  <c r="AH4454" i="4"/>
  <c r="AJ4454" i="4"/>
  <c r="AL4445" i="4" l="1"/>
  <c r="AK4454" i="4"/>
  <c r="AI4454" i="4"/>
  <c r="AH4455" i="4"/>
  <c r="AJ4455" i="4"/>
  <c r="AL4446" i="4" l="1"/>
  <c r="AK4455" i="4"/>
  <c r="AI4455" i="4"/>
  <c r="AH4456" i="4"/>
  <c r="AJ4456" i="4"/>
  <c r="AL4447" i="4" l="1"/>
  <c r="AK4456" i="4"/>
  <c r="AI4456" i="4"/>
  <c r="AH4457" i="4"/>
  <c r="AJ4457" i="4"/>
  <c r="AL4448" i="4" l="1"/>
  <c r="AK4457" i="4"/>
  <c r="AI4457" i="4"/>
  <c r="AH4458" i="4"/>
  <c r="AJ4458" i="4"/>
  <c r="AL4449" i="4" l="1"/>
  <c r="AK4458" i="4"/>
  <c r="AI4458" i="4"/>
  <c r="AH4459" i="4"/>
  <c r="AJ4459" i="4"/>
  <c r="AL4450" i="4" l="1"/>
  <c r="AK4459" i="4"/>
  <c r="AI4459" i="4"/>
  <c r="AH4460" i="4"/>
  <c r="AJ4460" i="4"/>
  <c r="AL4451" i="4" l="1"/>
  <c r="AK4460" i="4"/>
  <c r="AI4460" i="4"/>
  <c r="AH4461" i="4"/>
  <c r="AJ4461" i="4"/>
  <c r="AL4452" i="4" l="1"/>
  <c r="AK4461" i="4"/>
  <c r="AI4461" i="4"/>
  <c r="AH4462" i="4"/>
  <c r="AJ4462" i="4"/>
  <c r="AL4453" i="4" l="1"/>
  <c r="AK4462" i="4"/>
  <c r="AI4462" i="4"/>
  <c r="AH4463" i="4"/>
  <c r="AJ4463" i="4"/>
  <c r="AL4454" i="4" l="1"/>
  <c r="AK4463" i="4"/>
  <c r="AI4463" i="4"/>
  <c r="AH4464" i="4"/>
  <c r="AJ4464" i="4"/>
  <c r="AL4455" i="4" l="1"/>
  <c r="AK4464" i="4"/>
  <c r="AI4464" i="4"/>
  <c r="AH4465" i="4"/>
  <c r="AJ4465" i="4"/>
  <c r="AL4456" i="4" l="1"/>
  <c r="AK4465" i="4"/>
  <c r="AI4465" i="4"/>
  <c r="AH4466" i="4"/>
  <c r="AJ4466" i="4"/>
  <c r="AL4457" i="4" l="1"/>
  <c r="AK4466" i="4"/>
  <c r="AI4466" i="4"/>
  <c r="AH4467" i="4"/>
  <c r="AJ4467" i="4"/>
  <c r="AL4458" i="4" l="1"/>
  <c r="AK4467" i="4"/>
  <c r="AI4467" i="4"/>
  <c r="AH4468" i="4"/>
  <c r="AJ4468" i="4"/>
  <c r="AL4459" i="4" l="1"/>
  <c r="AK4468" i="4"/>
  <c r="AI4468" i="4"/>
  <c r="AH4469" i="4"/>
  <c r="AJ4469" i="4"/>
  <c r="AL4460" i="4" l="1"/>
  <c r="AK4469" i="4"/>
  <c r="AI4469" i="4"/>
  <c r="AH4470" i="4"/>
  <c r="AJ4470" i="4"/>
  <c r="AL4461" i="4" l="1"/>
  <c r="AK4470" i="4"/>
  <c r="AI4470" i="4"/>
  <c r="AH4471" i="4"/>
  <c r="AJ4471" i="4"/>
  <c r="AL4462" i="4" l="1"/>
  <c r="AK4471" i="4"/>
  <c r="AI4471" i="4"/>
  <c r="AH4472" i="4"/>
  <c r="AJ4472" i="4"/>
  <c r="AL4463" i="4" l="1"/>
  <c r="AK4472" i="4"/>
  <c r="AI4472" i="4"/>
  <c r="AH4473" i="4"/>
  <c r="AJ4473" i="4"/>
  <c r="AL4464" i="4" l="1"/>
  <c r="AK4473" i="4"/>
  <c r="AI4473" i="4"/>
  <c r="AH4474" i="4"/>
  <c r="AJ4474" i="4"/>
  <c r="AL4465" i="4" l="1"/>
  <c r="AK4474" i="4"/>
  <c r="AI4474" i="4"/>
  <c r="AH4475" i="4"/>
  <c r="AJ4475" i="4"/>
  <c r="AL4466" i="4" l="1"/>
  <c r="AK4475" i="4"/>
  <c r="AI4475" i="4"/>
  <c r="AH4476" i="4"/>
  <c r="AJ4476" i="4"/>
  <c r="AL4467" i="4" l="1"/>
  <c r="AK4476" i="4"/>
  <c r="AI4476" i="4"/>
  <c r="AH4477" i="4"/>
  <c r="AJ4477" i="4"/>
  <c r="AL4468" i="4" l="1"/>
  <c r="AK4477" i="4"/>
  <c r="AI4477" i="4"/>
  <c r="AH4478" i="4"/>
  <c r="AJ4478" i="4"/>
  <c r="AL4469" i="4" l="1"/>
  <c r="AK4478" i="4"/>
  <c r="AI4478" i="4"/>
  <c r="AH4479" i="4"/>
  <c r="AJ4479" i="4"/>
  <c r="AL4470" i="4" l="1"/>
  <c r="AK4479" i="4"/>
  <c r="AI4479" i="4"/>
  <c r="AH4480" i="4"/>
  <c r="AJ4480" i="4"/>
  <c r="AL4471" i="4" l="1"/>
  <c r="AK4480" i="4"/>
  <c r="AI4480" i="4"/>
  <c r="AH4481" i="4"/>
  <c r="AJ4481" i="4"/>
  <c r="AL4472" i="4" l="1"/>
  <c r="AK4481" i="4"/>
  <c r="AI4481" i="4"/>
  <c r="AH4482" i="4"/>
  <c r="AJ4482" i="4"/>
  <c r="AL4473" i="4" l="1"/>
  <c r="AK4482" i="4"/>
  <c r="AI4482" i="4"/>
  <c r="AH4483" i="4"/>
  <c r="AJ4483" i="4"/>
  <c r="AL4474" i="4" l="1"/>
  <c r="AK4483" i="4"/>
  <c r="AI4483" i="4"/>
  <c r="AH4484" i="4"/>
  <c r="AJ4484" i="4"/>
  <c r="AL4475" i="4" l="1"/>
  <c r="AK4484" i="4"/>
  <c r="AI4484" i="4"/>
  <c r="AH4485" i="4"/>
  <c r="AJ4485" i="4"/>
  <c r="AL4476" i="4" l="1"/>
  <c r="AK4485" i="4"/>
  <c r="AI4485" i="4"/>
  <c r="AH4486" i="4"/>
  <c r="AJ4486" i="4"/>
  <c r="AL4477" i="4" l="1"/>
  <c r="AK4486" i="4"/>
  <c r="AI4486" i="4"/>
  <c r="AH4487" i="4"/>
  <c r="AJ4487" i="4"/>
  <c r="AL4478" i="4" l="1"/>
  <c r="AK4487" i="4"/>
  <c r="AI4487" i="4"/>
  <c r="AH4488" i="4"/>
  <c r="AJ4488" i="4"/>
  <c r="AL4479" i="4" l="1"/>
  <c r="AK4488" i="4"/>
  <c r="AI4488" i="4"/>
  <c r="AH4489" i="4"/>
  <c r="AJ4489" i="4"/>
  <c r="AL4480" i="4" l="1"/>
  <c r="AK4489" i="4"/>
  <c r="AI4489" i="4"/>
  <c r="AH4490" i="4"/>
  <c r="AJ4490" i="4"/>
  <c r="AL4481" i="4" l="1"/>
  <c r="AK4490" i="4"/>
  <c r="AI4490" i="4"/>
  <c r="AH4491" i="4"/>
  <c r="AJ4491" i="4"/>
  <c r="AL4482" i="4" l="1"/>
  <c r="AK4491" i="4"/>
  <c r="AI4491" i="4"/>
  <c r="AH4492" i="4"/>
  <c r="AJ4492" i="4"/>
  <c r="AL4483" i="4" l="1"/>
  <c r="AK4492" i="4"/>
  <c r="AI4492" i="4"/>
  <c r="AH4493" i="4"/>
  <c r="AJ4493" i="4"/>
  <c r="AL4484" i="4" l="1"/>
  <c r="AK4493" i="4"/>
  <c r="AI4493" i="4"/>
  <c r="AH4494" i="4"/>
  <c r="AJ4494" i="4"/>
  <c r="AL4485" i="4" l="1"/>
  <c r="AK4494" i="4"/>
  <c r="AI4494" i="4"/>
  <c r="AH4495" i="4"/>
  <c r="AJ4495" i="4"/>
  <c r="AL4486" i="4" l="1"/>
  <c r="AK4495" i="4"/>
  <c r="AI4495" i="4"/>
  <c r="AH4496" i="4"/>
  <c r="AJ4496" i="4"/>
  <c r="AL4487" i="4" l="1"/>
  <c r="AK4496" i="4"/>
  <c r="AI4496" i="4"/>
  <c r="AH4497" i="4"/>
  <c r="AJ4497" i="4"/>
  <c r="AL4488" i="4" l="1"/>
  <c r="AK4497" i="4"/>
  <c r="AI4497" i="4"/>
  <c r="AH4498" i="4"/>
  <c r="AJ4498" i="4"/>
  <c r="AL4489" i="4" l="1"/>
  <c r="AK4498" i="4"/>
  <c r="AI4498" i="4"/>
  <c r="AH4499" i="4"/>
  <c r="AJ4499" i="4"/>
  <c r="AL4490" i="4" l="1"/>
  <c r="AK4499" i="4"/>
  <c r="AI4499" i="4"/>
  <c r="AH4500" i="4"/>
  <c r="AJ4500" i="4"/>
  <c r="AL4491" i="4" l="1"/>
  <c r="AK4500" i="4"/>
  <c r="AI4500" i="4"/>
  <c r="AH4501" i="4"/>
  <c r="AJ4501" i="4"/>
  <c r="AL4492" i="4" l="1"/>
  <c r="AK4501" i="4"/>
  <c r="AI4501" i="4"/>
  <c r="AH4502" i="4"/>
  <c r="AJ4502" i="4"/>
  <c r="AL4493" i="4" l="1"/>
  <c r="AK4502" i="4"/>
  <c r="AI4502" i="4"/>
  <c r="AH4503" i="4"/>
  <c r="AJ4503" i="4"/>
  <c r="AL4494" i="4" l="1"/>
  <c r="AK4503" i="4"/>
  <c r="AI4503" i="4"/>
  <c r="AH4504" i="4"/>
  <c r="AJ4504" i="4"/>
  <c r="AL4495" i="4" l="1"/>
  <c r="AK4504" i="4"/>
  <c r="AI4504" i="4"/>
  <c r="AH4505" i="4"/>
  <c r="AJ4505" i="4"/>
  <c r="AL4496" i="4" l="1"/>
  <c r="AK4505" i="4"/>
  <c r="AI4505" i="4"/>
  <c r="AH4506" i="4"/>
  <c r="AJ4506" i="4"/>
  <c r="AL4497" i="4" l="1"/>
  <c r="AK4506" i="4"/>
  <c r="AI4506" i="4"/>
  <c r="AH4507" i="4"/>
  <c r="AJ4507" i="4"/>
  <c r="AL4498" i="4" l="1"/>
  <c r="AK4507" i="4"/>
  <c r="AI4507" i="4"/>
  <c r="AH4508" i="4"/>
  <c r="AJ4508" i="4"/>
  <c r="AL4499" i="4" l="1"/>
  <c r="AK4508" i="4"/>
  <c r="AI4508" i="4"/>
  <c r="AH4509" i="4"/>
  <c r="AJ4509" i="4"/>
  <c r="AL4500" i="4" l="1"/>
  <c r="AK4509" i="4"/>
  <c r="AI4509" i="4"/>
  <c r="AH4510" i="4"/>
  <c r="AJ4510" i="4"/>
  <c r="AL4501" i="4" l="1"/>
  <c r="AK4510" i="4"/>
  <c r="AI4510" i="4"/>
  <c r="AH4511" i="4"/>
  <c r="AJ4511" i="4"/>
  <c r="AL4502" i="4" l="1"/>
  <c r="AK4511" i="4"/>
  <c r="AI4511" i="4"/>
  <c r="AH4512" i="4"/>
  <c r="AJ4512" i="4"/>
  <c r="AL4503" i="4" l="1"/>
  <c r="AK4512" i="4"/>
  <c r="AI4512" i="4"/>
  <c r="AH4513" i="4"/>
  <c r="AJ4513" i="4"/>
  <c r="AL4504" i="4" l="1"/>
  <c r="AK4513" i="4"/>
  <c r="AI4513" i="4"/>
  <c r="AH4514" i="4"/>
  <c r="AJ4514" i="4"/>
  <c r="AL4505" i="4" l="1"/>
  <c r="AK4514" i="4"/>
  <c r="AI4514" i="4"/>
  <c r="AH4515" i="4"/>
  <c r="AJ4515" i="4"/>
  <c r="AL4506" i="4" l="1"/>
  <c r="AK4515" i="4"/>
  <c r="AI4515" i="4"/>
  <c r="AH4516" i="4"/>
  <c r="AJ4516" i="4"/>
  <c r="AL4507" i="4" l="1"/>
  <c r="AK4516" i="4"/>
  <c r="AI4516" i="4"/>
  <c r="AH4517" i="4"/>
  <c r="AJ4517" i="4"/>
  <c r="AL4508" i="4" l="1"/>
  <c r="AK4517" i="4"/>
  <c r="AI4517" i="4"/>
  <c r="AH4518" i="4"/>
  <c r="AJ4518" i="4"/>
  <c r="AL4509" i="4" l="1"/>
  <c r="AK4518" i="4"/>
  <c r="AI4518" i="4"/>
  <c r="AH4519" i="4"/>
  <c r="AJ4519" i="4"/>
  <c r="AL4510" i="4" l="1"/>
  <c r="AK4519" i="4"/>
  <c r="AI4519" i="4"/>
  <c r="AH4520" i="4"/>
  <c r="AJ4520" i="4"/>
  <c r="AL4511" i="4" l="1"/>
  <c r="AK4520" i="4"/>
  <c r="AI4520" i="4"/>
  <c r="AH4521" i="4"/>
  <c r="AJ4521" i="4"/>
  <c r="AL4512" i="4" l="1"/>
  <c r="AK4521" i="4"/>
  <c r="AI4521" i="4"/>
  <c r="AH4522" i="4"/>
  <c r="AJ4522" i="4"/>
  <c r="AL4513" i="4" l="1"/>
  <c r="AK4522" i="4"/>
  <c r="AI4522" i="4"/>
  <c r="AH4523" i="4"/>
  <c r="AJ4523" i="4"/>
  <c r="AL4514" i="4" l="1"/>
  <c r="AK4523" i="4"/>
  <c r="AI4523" i="4"/>
  <c r="AH4524" i="4"/>
  <c r="AJ4524" i="4"/>
  <c r="AL4515" i="4" l="1"/>
  <c r="AK4524" i="4"/>
  <c r="AI4524" i="4"/>
  <c r="AH4525" i="4"/>
  <c r="AJ4525" i="4"/>
  <c r="AL4516" i="4" l="1"/>
  <c r="AK4525" i="4"/>
  <c r="AI4525" i="4"/>
  <c r="AH4526" i="4"/>
  <c r="AJ4526" i="4"/>
  <c r="AL4517" i="4" l="1"/>
  <c r="AK4526" i="4"/>
  <c r="AI4526" i="4"/>
  <c r="AH4527" i="4"/>
  <c r="AJ4527" i="4"/>
  <c r="AL4518" i="4" l="1"/>
  <c r="AK4527" i="4"/>
  <c r="AI4527" i="4"/>
  <c r="AH4528" i="4"/>
  <c r="AJ4528" i="4"/>
  <c r="AL4519" i="4" l="1"/>
  <c r="AK4528" i="4"/>
  <c r="AI4528" i="4"/>
  <c r="AH4529" i="4"/>
  <c r="AJ4529" i="4"/>
  <c r="AL4520" i="4" l="1"/>
  <c r="AK4529" i="4"/>
  <c r="AI4529" i="4"/>
  <c r="AH4530" i="4"/>
  <c r="AJ4530" i="4"/>
  <c r="AL4521" i="4" l="1"/>
  <c r="AK4530" i="4"/>
  <c r="AI4530" i="4"/>
  <c r="AH4531" i="4"/>
  <c r="AJ4531" i="4"/>
  <c r="AL4522" i="4" l="1"/>
  <c r="AK4531" i="4"/>
  <c r="AI4531" i="4"/>
  <c r="AH4532" i="4"/>
  <c r="AJ4532" i="4"/>
  <c r="AL4523" i="4" l="1"/>
  <c r="AK4532" i="4"/>
  <c r="AI4532" i="4"/>
  <c r="AH4533" i="4"/>
  <c r="AJ4533" i="4"/>
  <c r="AL4524" i="4" l="1"/>
  <c r="AK4533" i="4"/>
  <c r="AI4533" i="4"/>
  <c r="AH4534" i="4"/>
  <c r="AJ4534" i="4"/>
  <c r="AL4525" i="4" l="1"/>
  <c r="AK4534" i="4"/>
  <c r="AI4534" i="4"/>
  <c r="AH4535" i="4"/>
  <c r="AJ4535" i="4"/>
  <c r="AL4526" i="4" l="1"/>
  <c r="AK4535" i="4"/>
  <c r="AI4535" i="4"/>
  <c r="AH4536" i="4"/>
  <c r="AJ4536" i="4"/>
  <c r="AL4527" i="4" l="1"/>
  <c r="AK4536" i="4"/>
  <c r="AI4536" i="4"/>
  <c r="AH4537" i="4"/>
  <c r="AJ4537" i="4"/>
  <c r="AL4528" i="4" l="1"/>
  <c r="AK4537" i="4"/>
  <c r="AI4537" i="4"/>
  <c r="AH4538" i="4"/>
  <c r="AJ4538" i="4"/>
  <c r="AL4529" i="4" l="1"/>
  <c r="AK4538" i="4"/>
  <c r="AI4538" i="4"/>
  <c r="AH4539" i="4"/>
  <c r="AJ4539" i="4"/>
  <c r="AL4530" i="4" l="1"/>
  <c r="AK4539" i="4"/>
  <c r="AI4539" i="4"/>
  <c r="AH4540" i="4"/>
  <c r="AJ4540" i="4"/>
  <c r="AL4531" i="4" l="1"/>
  <c r="AK4540" i="4"/>
  <c r="AI4540" i="4"/>
  <c r="AH4541" i="4"/>
  <c r="AJ4541" i="4"/>
  <c r="AL4532" i="4" l="1"/>
  <c r="AK4541" i="4"/>
  <c r="AI4541" i="4"/>
  <c r="AH4542" i="4"/>
  <c r="AJ4542" i="4"/>
  <c r="AL4533" i="4" l="1"/>
  <c r="AK4542" i="4"/>
  <c r="AI4542" i="4"/>
  <c r="AH4543" i="4"/>
  <c r="AJ4543" i="4"/>
  <c r="AL4534" i="4" l="1"/>
  <c r="AK4543" i="4"/>
  <c r="AI4543" i="4"/>
  <c r="AH4544" i="4"/>
  <c r="AJ4544" i="4"/>
  <c r="AL4535" i="4" l="1"/>
  <c r="AK4544" i="4"/>
  <c r="AI4544" i="4"/>
  <c r="AH4545" i="4"/>
  <c r="AJ4545" i="4"/>
  <c r="AL4536" i="4" l="1"/>
  <c r="AK4545" i="4"/>
  <c r="AI4545" i="4"/>
  <c r="AH4546" i="4"/>
  <c r="AJ4546" i="4"/>
  <c r="AL4537" i="4" l="1"/>
  <c r="AK4546" i="4"/>
  <c r="AI4546" i="4"/>
  <c r="AH4547" i="4"/>
  <c r="AJ4547" i="4"/>
  <c r="AL4538" i="4" l="1"/>
  <c r="AK4547" i="4"/>
  <c r="AI4547" i="4"/>
  <c r="AH4548" i="4"/>
  <c r="AJ4548" i="4"/>
  <c r="AL4539" i="4" l="1"/>
  <c r="AK4548" i="4"/>
  <c r="AI4548" i="4"/>
  <c r="AH4549" i="4"/>
  <c r="AJ4549" i="4"/>
  <c r="AL4540" i="4" l="1"/>
  <c r="AK4549" i="4"/>
  <c r="AI4549" i="4"/>
  <c r="AH4550" i="4"/>
  <c r="AJ4550" i="4"/>
  <c r="AL4541" i="4" l="1"/>
  <c r="AK4550" i="4"/>
  <c r="AI4550" i="4"/>
  <c r="AH4551" i="4"/>
  <c r="AJ4551" i="4"/>
  <c r="AL4542" i="4" l="1"/>
  <c r="AK4551" i="4"/>
  <c r="AI4551" i="4"/>
  <c r="AH4552" i="4"/>
  <c r="AJ4552" i="4"/>
  <c r="AL4543" i="4" l="1"/>
  <c r="AK4552" i="4"/>
  <c r="AI4552" i="4"/>
  <c r="AH4553" i="4"/>
  <c r="AJ4553" i="4"/>
  <c r="AL4544" i="4" l="1"/>
  <c r="AK4553" i="4"/>
  <c r="AI4553" i="4"/>
  <c r="AH4554" i="4"/>
  <c r="AJ4554" i="4"/>
  <c r="AL4545" i="4" l="1"/>
  <c r="AK4554" i="4"/>
  <c r="AI4554" i="4"/>
  <c r="AH4555" i="4"/>
  <c r="AJ4555" i="4"/>
  <c r="AL4546" i="4" l="1"/>
  <c r="AK4555" i="4"/>
  <c r="AI4555" i="4"/>
  <c r="AH4556" i="4"/>
  <c r="AJ4556" i="4"/>
  <c r="AL4547" i="4" l="1"/>
  <c r="AK4556" i="4"/>
  <c r="AI4556" i="4"/>
  <c r="AH4557" i="4"/>
  <c r="AJ4557" i="4"/>
  <c r="AL4548" i="4" l="1"/>
  <c r="AK4557" i="4"/>
  <c r="AI4557" i="4"/>
  <c r="AH4558" i="4"/>
  <c r="AJ4558" i="4"/>
  <c r="AL4549" i="4" l="1"/>
  <c r="AK4558" i="4"/>
  <c r="AI4558" i="4"/>
  <c r="AH4559" i="4"/>
  <c r="AJ4559" i="4"/>
  <c r="AL4550" i="4" l="1"/>
  <c r="AK4559" i="4"/>
  <c r="AI4559" i="4"/>
  <c r="AH4560" i="4"/>
  <c r="AJ4560" i="4"/>
  <c r="AL4551" i="4" l="1"/>
  <c r="AK4560" i="4"/>
  <c r="AI4560" i="4"/>
  <c r="AH4561" i="4"/>
  <c r="AJ4561" i="4"/>
  <c r="AL4552" i="4" l="1"/>
  <c r="AK4561" i="4"/>
  <c r="AI4561" i="4"/>
  <c r="AH4562" i="4"/>
  <c r="AJ4562" i="4"/>
  <c r="AL4553" i="4" l="1"/>
  <c r="AK4562" i="4"/>
  <c r="AI4562" i="4"/>
  <c r="AH4563" i="4"/>
  <c r="AJ4563" i="4"/>
  <c r="AL4554" i="4" l="1"/>
  <c r="AK4563" i="4"/>
  <c r="AI4563" i="4"/>
  <c r="AH4564" i="4"/>
  <c r="AJ4564" i="4"/>
  <c r="AL4555" i="4" l="1"/>
  <c r="AK4564" i="4"/>
  <c r="AI4564" i="4"/>
  <c r="AH4565" i="4"/>
  <c r="AJ4565" i="4"/>
  <c r="AL4556" i="4" l="1"/>
  <c r="AK4565" i="4"/>
  <c r="AI4565" i="4"/>
  <c r="AH4566" i="4"/>
  <c r="AJ4566" i="4"/>
  <c r="AL4557" i="4" l="1"/>
  <c r="AK4566" i="4"/>
  <c r="AI4566" i="4"/>
  <c r="AH4567" i="4"/>
  <c r="AJ4567" i="4"/>
  <c r="AL4558" i="4" l="1"/>
  <c r="AK4567" i="4"/>
  <c r="AI4567" i="4"/>
  <c r="AH4568" i="4"/>
  <c r="AJ4568" i="4"/>
  <c r="AL4559" i="4" l="1"/>
  <c r="AK4568" i="4"/>
  <c r="AI4568" i="4"/>
  <c r="AH4569" i="4"/>
  <c r="AJ4569" i="4"/>
  <c r="AL4560" i="4" l="1"/>
  <c r="AK4569" i="4"/>
  <c r="AI4569" i="4"/>
  <c r="AH4570" i="4"/>
  <c r="AJ4570" i="4"/>
  <c r="AL4561" i="4" l="1"/>
  <c r="AK4570" i="4"/>
  <c r="AI4570" i="4"/>
  <c r="AH4571" i="4"/>
  <c r="AJ4571" i="4"/>
  <c r="AL4562" i="4" l="1"/>
  <c r="AK4571" i="4"/>
  <c r="AI4571" i="4"/>
  <c r="AH4572" i="4"/>
  <c r="AJ4572" i="4"/>
  <c r="AL4563" i="4" l="1"/>
  <c r="AK4572" i="4"/>
  <c r="AI4572" i="4"/>
  <c r="AH4573" i="4"/>
  <c r="AJ4573" i="4"/>
  <c r="AL4564" i="4" l="1"/>
  <c r="AK4573" i="4"/>
  <c r="AI4573" i="4"/>
  <c r="AH4574" i="4"/>
  <c r="AJ4574" i="4"/>
  <c r="AL4565" i="4" l="1"/>
  <c r="AK4574" i="4"/>
  <c r="AI4574" i="4"/>
  <c r="AH4575" i="4"/>
  <c r="AJ4575" i="4"/>
  <c r="AL4566" i="4" l="1"/>
  <c r="AK4575" i="4"/>
  <c r="AI4575" i="4"/>
  <c r="AH4576" i="4"/>
  <c r="AJ4576" i="4"/>
  <c r="AL4567" i="4" l="1"/>
  <c r="AK4576" i="4"/>
  <c r="AI4576" i="4"/>
  <c r="AH4577" i="4"/>
  <c r="AJ4577" i="4"/>
  <c r="AL4568" i="4" l="1"/>
  <c r="AK4577" i="4"/>
  <c r="AI4577" i="4"/>
  <c r="AH4578" i="4"/>
  <c r="AJ4578" i="4"/>
  <c r="AL4569" i="4" l="1"/>
  <c r="AK4578" i="4"/>
  <c r="AI4578" i="4"/>
  <c r="AH4579" i="4"/>
  <c r="AJ4579" i="4"/>
  <c r="AL4570" i="4" l="1"/>
  <c r="AK4579" i="4"/>
  <c r="AI4579" i="4"/>
  <c r="AH4580" i="4"/>
  <c r="AJ4580" i="4"/>
  <c r="AL4571" i="4" l="1"/>
  <c r="AK4580" i="4"/>
  <c r="AI4580" i="4"/>
  <c r="AH4581" i="4"/>
  <c r="AJ4581" i="4"/>
  <c r="AL4572" i="4" l="1"/>
  <c r="AK4581" i="4"/>
  <c r="AI4581" i="4"/>
  <c r="AH4582" i="4"/>
  <c r="AJ4582" i="4"/>
  <c r="AL4573" i="4" l="1"/>
  <c r="AK4582" i="4"/>
  <c r="AI4582" i="4"/>
  <c r="AH4583" i="4"/>
  <c r="AJ4583" i="4"/>
  <c r="AL4574" i="4" l="1"/>
  <c r="AK4583" i="4"/>
  <c r="AI4583" i="4"/>
  <c r="AH4584" i="4"/>
  <c r="AJ4584" i="4"/>
  <c r="AL4575" i="4" l="1"/>
  <c r="AK4584" i="4"/>
  <c r="AI4584" i="4"/>
  <c r="AH4585" i="4"/>
  <c r="AJ4585" i="4"/>
  <c r="AL4576" i="4" l="1"/>
  <c r="AK4585" i="4"/>
  <c r="AI4585" i="4"/>
  <c r="AH4586" i="4"/>
  <c r="AJ4586" i="4"/>
  <c r="AL4577" i="4" l="1"/>
  <c r="AK4586" i="4"/>
  <c r="AI4586" i="4"/>
  <c r="AH4587" i="4"/>
  <c r="AJ4587" i="4"/>
  <c r="AL4578" i="4" l="1"/>
  <c r="AK4587" i="4"/>
  <c r="AI4587" i="4"/>
  <c r="AH4588" i="4"/>
  <c r="AJ4588" i="4"/>
  <c r="AL4579" i="4" l="1"/>
  <c r="AK4588" i="4"/>
  <c r="AI4588" i="4"/>
  <c r="AH4589" i="4"/>
  <c r="AJ4589" i="4"/>
  <c r="AL4580" i="4" l="1"/>
  <c r="AK4589" i="4"/>
  <c r="AI4589" i="4"/>
  <c r="AH4590" i="4"/>
  <c r="AJ4590" i="4"/>
  <c r="AL4581" i="4" l="1"/>
  <c r="AK4590" i="4"/>
  <c r="AI4590" i="4"/>
  <c r="AH4591" i="4"/>
  <c r="AJ4591" i="4"/>
  <c r="AL4582" i="4" l="1"/>
  <c r="AK4591" i="4"/>
  <c r="AI4591" i="4"/>
  <c r="AH4592" i="4"/>
  <c r="AJ4592" i="4"/>
  <c r="AL4583" i="4" l="1"/>
  <c r="AK4592" i="4"/>
  <c r="AI4592" i="4"/>
  <c r="AH4593" i="4"/>
  <c r="AJ4593" i="4"/>
  <c r="AL4584" i="4" l="1"/>
  <c r="AK4593" i="4"/>
  <c r="AI4593" i="4"/>
  <c r="AH4594" i="4"/>
  <c r="AJ4594" i="4"/>
  <c r="AL4585" i="4" l="1"/>
  <c r="AK4594" i="4"/>
  <c r="AI4594" i="4"/>
  <c r="AH4595" i="4"/>
  <c r="AJ4595" i="4"/>
  <c r="AL4586" i="4" l="1"/>
  <c r="AK4595" i="4"/>
  <c r="AI4595" i="4"/>
  <c r="AH4596" i="4"/>
  <c r="AJ4596" i="4"/>
  <c r="AL4587" i="4" l="1"/>
  <c r="AK4596" i="4"/>
  <c r="AI4596" i="4"/>
  <c r="AH4597" i="4"/>
  <c r="AJ4597" i="4"/>
  <c r="AL4588" i="4" l="1"/>
  <c r="AK4597" i="4"/>
  <c r="AI4597" i="4"/>
  <c r="AH4598" i="4"/>
  <c r="AJ4598" i="4"/>
  <c r="AL4589" i="4" l="1"/>
  <c r="AK4598" i="4"/>
  <c r="AI4598" i="4"/>
  <c r="AH4599" i="4"/>
  <c r="AJ4599" i="4"/>
  <c r="AL4590" i="4" l="1"/>
  <c r="AK4599" i="4"/>
  <c r="AI4599" i="4"/>
  <c r="AH4600" i="4"/>
  <c r="AJ4600" i="4"/>
  <c r="AL4591" i="4" l="1"/>
  <c r="AK4600" i="4"/>
  <c r="AI4600" i="4"/>
  <c r="AH4601" i="4"/>
  <c r="AJ4601" i="4"/>
  <c r="AL4592" i="4" l="1"/>
  <c r="AK4601" i="4"/>
  <c r="AI4601" i="4"/>
  <c r="AH4602" i="4"/>
  <c r="AJ4602" i="4"/>
  <c r="AL4593" i="4" l="1"/>
  <c r="AK4602" i="4"/>
  <c r="AI4602" i="4"/>
  <c r="AH4603" i="4"/>
  <c r="AJ4603" i="4"/>
  <c r="AL4594" i="4" l="1"/>
  <c r="AK4603" i="4"/>
  <c r="AI4603" i="4"/>
  <c r="AH4604" i="4"/>
  <c r="AJ4604" i="4"/>
  <c r="AL4595" i="4" l="1"/>
  <c r="AK4604" i="4"/>
  <c r="AI4604" i="4"/>
  <c r="AH4605" i="4"/>
  <c r="AJ4605" i="4"/>
  <c r="AL4596" i="4" l="1"/>
  <c r="AK4605" i="4"/>
  <c r="AI4605" i="4"/>
  <c r="AH4606" i="4"/>
  <c r="AJ4606" i="4"/>
  <c r="AL4597" i="4" l="1"/>
  <c r="AK4606" i="4"/>
  <c r="AI4606" i="4"/>
  <c r="AH4607" i="4"/>
  <c r="AJ4607" i="4"/>
  <c r="AL4598" i="4" l="1"/>
  <c r="AK4607" i="4"/>
  <c r="AI4607" i="4"/>
  <c r="AH4608" i="4"/>
  <c r="AJ4608" i="4"/>
  <c r="AL4599" i="4" l="1"/>
  <c r="AK4608" i="4"/>
  <c r="AI4608" i="4"/>
  <c r="AH4609" i="4"/>
  <c r="AJ4609" i="4"/>
  <c r="AL4600" i="4" l="1"/>
  <c r="AK4609" i="4"/>
  <c r="AI4609" i="4"/>
  <c r="AH4610" i="4"/>
  <c r="AJ4610" i="4"/>
  <c r="AL4601" i="4" l="1"/>
  <c r="AK4610" i="4"/>
  <c r="AI4610" i="4"/>
  <c r="AH4611" i="4"/>
  <c r="AJ4611" i="4"/>
  <c r="AL4602" i="4" l="1"/>
  <c r="AK4611" i="4"/>
  <c r="AI4611" i="4"/>
  <c r="AH4612" i="4"/>
  <c r="AJ4612" i="4"/>
  <c r="AL4603" i="4" l="1"/>
  <c r="AK4612" i="4"/>
  <c r="AI4612" i="4"/>
  <c r="AH4613" i="4"/>
  <c r="AJ4613" i="4"/>
  <c r="AL4604" i="4" l="1"/>
  <c r="AK4613" i="4"/>
  <c r="AI4613" i="4"/>
  <c r="AH4614" i="4"/>
  <c r="AJ4614" i="4"/>
  <c r="AL4605" i="4" l="1"/>
  <c r="AK4614" i="4"/>
  <c r="AI4614" i="4"/>
  <c r="AH4615" i="4"/>
  <c r="AJ4615" i="4"/>
  <c r="AL4606" i="4" l="1"/>
  <c r="AK4615" i="4"/>
  <c r="AI4615" i="4"/>
  <c r="AH4616" i="4"/>
  <c r="AJ4616" i="4"/>
  <c r="AL4607" i="4" l="1"/>
  <c r="AK4616" i="4"/>
  <c r="AI4616" i="4"/>
  <c r="AH4617" i="4"/>
  <c r="AJ4617" i="4"/>
  <c r="AL4608" i="4" l="1"/>
  <c r="AK4617" i="4"/>
  <c r="AI4617" i="4"/>
  <c r="AH4618" i="4"/>
  <c r="AJ4618" i="4"/>
  <c r="AL4609" i="4" l="1"/>
  <c r="AK4618" i="4"/>
  <c r="AI4618" i="4"/>
  <c r="AH4619" i="4"/>
  <c r="AJ4619" i="4"/>
  <c r="AL4610" i="4" l="1"/>
  <c r="AK4619" i="4"/>
  <c r="AI4619" i="4"/>
  <c r="AH4620" i="4"/>
  <c r="AJ4620" i="4"/>
  <c r="AL4611" i="4" l="1"/>
  <c r="AK4620" i="4"/>
  <c r="AI4620" i="4"/>
  <c r="AH4621" i="4"/>
  <c r="AJ4621" i="4"/>
  <c r="AL4612" i="4" l="1"/>
  <c r="AK4621" i="4"/>
  <c r="AI4621" i="4"/>
  <c r="AH4622" i="4"/>
  <c r="AJ4622" i="4"/>
  <c r="AL4613" i="4" l="1"/>
  <c r="AK4622" i="4"/>
  <c r="AI4622" i="4"/>
  <c r="AH4623" i="4"/>
  <c r="AJ4623" i="4"/>
  <c r="AL4614" i="4" l="1"/>
  <c r="AK4623" i="4"/>
  <c r="AI4623" i="4"/>
  <c r="AH4624" i="4"/>
  <c r="AJ4624" i="4"/>
  <c r="AL4615" i="4" l="1"/>
  <c r="AK4624" i="4"/>
  <c r="AI4624" i="4"/>
  <c r="AH4625" i="4"/>
  <c r="AJ4625" i="4"/>
  <c r="AL4616" i="4" l="1"/>
  <c r="AK4625" i="4"/>
  <c r="AI4625" i="4"/>
  <c r="AH4626" i="4"/>
  <c r="AJ4626" i="4"/>
  <c r="AL4617" i="4" l="1"/>
  <c r="AK4626" i="4"/>
  <c r="AI4626" i="4"/>
  <c r="AH4627" i="4"/>
  <c r="AJ4627" i="4"/>
  <c r="AL4618" i="4" l="1"/>
  <c r="AK4627" i="4"/>
  <c r="AI4627" i="4"/>
  <c r="AH4628" i="4"/>
  <c r="AJ4628" i="4"/>
  <c r="AL4619" i="4" l="1"/>
  <c r="AK4628" i="4"/>
  <c r="AI4628" i="4"/>
  <c r="AH4629" i="4"/>
  <c r="AJ4629" i="4"/>
  <c r="AL4620" i="4" l="1"/>
  <c r="AK4629" i="4"/>
  <c r="AI4629" i="4"/>
  <c r="AH4630" i="4"/>
  <c r="AJ4630" i="4"/>
  <c r="AL4621" i="4" l="1"/>
  <c r="AK4630" i="4"/>
  <c r="AI4630" i="4"/>
  <c r="AH4631" i="4"/>
  <c r="AJ4631" i="4"/>
  <c r="AL4622" i="4" l="1"/>
  <c r="AK4631" i="4"/>
  <c r="AI4631" i="4"/>
  <c r="AH4632" i="4"/>
  <c r="AJ4632" i="4"/>
  <c r="AL4623" i="4" l="1"/>
  <c r="AK4632" i="4"/>
  <c r="AI4632" i="4"/>
  <c r="AH4633" i="4"/>
  <c r="AJ4633" i="4"/>
  <c r="AL4624" i="4" l="1"/>
  <c r="AK4633" i="4"/>
  <c r="AI4633" i="4"/>
  <c r="AH4634" i="4"/>
  <c r="AJ4634" i="4"/>
  <c r="AL4625" i="4" l="1"/>
  <c r="AK4634" i="4"/>
  <c r="AI4634" i="4"/>
  <c r="AH4635" i="4"/>
  <c r="AJ4635" i="4"/>
  <c r="AL4626" i="4" l="1"/>
  <c r="AK4635" i="4"/>
  <c r="AI4635" i="4"/>
  <c r="AH4636" i="4"/>
  <c r="AJ4636" i="4"/>
  <c r="AL4627" i="4" l="1"/>
  <c r="AK4636" i="4"/>
  <c r="AI4636" i="4"/>
  <c r="AH4637" i="4"/>
  <c r="AJ4637" i="4"/>
  <c r="AL4628" i="4" l="1"/>
  <c r="AK4637" i="4"/>
  <c r="AI4637" i="4"/>
  <c r="AH4638" i="4"/>
  <c r="AJ4638" i="4"/>
  <c r="AL4629" i="4" l="1"/>
  <c r="AK4638" i="4"/>
  <c r="AI4638" i="4"/>
  <c r="AH4639" i="4"/>
  <c r="AJ4639" i="4"/>
  <c r="AL4630" i="4" l="1"/>
  <c r="AK4639" i="4"/>
  <c r="AI4639" i="4"/>
  <c r="AH4640" i="4"/>
  <c r="AJ4640" i="4"/>
  <c r="AL4631" i="4" l="1"/>
  <c r="AK4640" i="4"/>
  <c r="AI4640" i="4"/>
  <c r="AH4641" i="4"/>
  <c r="AJ4641" i="4"/>
  <c r="AL4632" i="4" l="1"/>
  <c r="AK4641" i="4"/>
  <c r="AI4641" i="4"/>
  <c r="AH4642" i="4"/>
  <c r="AJ4642" i="4"/>
  <c r="AL4633" i="4" l="1"/>
  <c r="AK4642" i="4"/>
  <c r="AI4642" i="4"/>
  <c r="AH4643" i="4"/>
  <c r="AJ4643" i="4"/>
  <c r="AL4634" i="4" l="1"/>
  <c r="AK4643" i="4"/>
  <c r="AI4643" i="4"/>
  <c r="AH4644" i="4"/>
  <c r="AJ4644" i="4"/>
  <c r="AL4635" i="4" l="1"/>
  <c r="AK4644" i="4"/>
  <c r="AI4644" i="4"/>
  <c r="AH4645" i="4"/>
  <c r="AJ4645" i="4"/>
  <c r="AL4636" i="4" l="1"/>
  <c r="AK4645" i="4"/>
  <c r="AI4645" i="4"/>
  <c r="AH4646" i="4"/>
  <c r="AJ4646" i="4"/>
  <c r="AL4637" i="4" l="1"/>
  <c r="AK4646" i="4"/>
  <c r="AI4646" i="4"/>
  <c r="AH4647" i="4"/>
  <c r="AJ4647" i="4"/>
  <c r="AL4638" i="4" l="1"/>
  <c r="AK4647" i="4"/>
  <c r="AI4647" i="4"/>
  <c r="AH4648" i="4"/>
  <c r="AJ4648" i="4"/>
  <c r="AL4639" i="4" l="1"/>
  <c r="AK4648" i="4"/>
  <c r="AI4648" i="4"/>
  <c r="AH4649" i="4"/>
  <c r="AJ4649" i="4"/>
  <c r="AL4640" i="4" l="1"/>
  <c r="AK4649" i="4"/>
  <c r="AI4649" i="4"/>
  <c r="AH4650" i="4"/>
  <c r="AJ4650" i="4"/>
  <c r="AL4641" i="4" l="1"/>
  <c r="AK4650" i="4"/>
  <c r="AI4650" i="4"/>
  <c r="AH4651" i="4"/>
  <c r="AJ4651" i="4"/>
  <c r="AL4642" i="4" l="1"/>
  <c r="AK4651" i="4"/>
  <c r="AI4651" i="4"/>
  <c r="AH4652" i="4"/>
  <c r="AJ4652" i="4"/>
  <c r="AL4643" i="4" l="1"/>
  <c r="AK4652" i="4"/>
  <c r="AI4652" i="4"/>
  <c r="AH4653" i="4"/>
  <c r="AJ4653" i="4"/>
  <c r="AL4644" i="4" l="1"/>
  <c r="AK4653" i="4"/>
  <c r="AI4653" i="4"/>
  <c r="AH4654" i="4"/>
  <c r="AJ4654" i="4"/>
  <c r="AL4645" i="4" l="1"/>
  <c r="AK4654" i="4"/>
  <c r="AI4654" i="4"/>
  <c r="AH4655" i="4"/>
  <c r="AJ4655" i="4"/>
  <c r="AL4646" i="4" l="1"/>
  <c r="AK4655" i="4"/>
  <c r="AI4655" i="4"/>
  <c r="AH4656" i="4"/>
  <c r="AJ4656" i="4"/>
  <c r="AL4647" i="4" l="1"/>
  <c r="AK4656" i="4"/>
  <c r="AI4656" i="4"/>
  <c r="AH4657" i="4"/>
  <c r="AJ4657" i="4"/>
  <c r="AL4648" i="4" l="1"/>
  <c r="AK4657" i="4"/>
  <c r="AI4657" i="4"/>
  <c r="AH4658" i="4"/>
  <c r="AJ4658" i="4"/>
  <c r="AL4649" i="4" l="1"/>
  <c r="AK4658" i="4"/>
  <c r="AI4658" i="4"/>
  <c r="AH4659" i="4"/>
  <c r="AJ4659" i="4"/>
  <c r="AL4650" i="4" l="1"/>
  <c r="AK4659" i="4"/>
  <c r="AI4659" i="4"/>
  <c r="AH4660" i="4"/>
  <c r="AJ4660" i="4"/>
  <c r="AL4651" i="4" l="1"/>
  <c r="AK4660" i="4"/>
  <c r="AI4660" i="4"/>
  <c r="AH4661" i="4"/>
  <c r="AJ4661" i="4"/>
  <c r="AL4652" i="4" l="1"/>
  <c r="AK4661" i="4"/>
  <c r="AI4661" i="4"/>
  <c r="AH4662" i="4"/>
  <c r="AJ4662" i="4"/>
  <c r="AL4653" i="4" l="1"/>
  <c r="AK4662" i="4"/>
  <c r="AI4662" i="4"/>
  <c r="AH4663" i="4"/>
  <c r="AJ4663" i="4"/>
  <c r="AL4654" i="4" l="1"/>
  <c r="AK4663" i="4"/>
  <c r="AI4663" i="4"/>
  <c r="AH4664" i="4"/>
  <c r="AJ4664" i="4"/>
  <c r="AL4655" i="4" l="1"/>
  <c r="AK4664" i="4"/>
  <c r="AI4664" i="4"/>
  <c r="AH4665" i="4"/>
  <c r="AJ4665" i="4"/>
  <c r="AL4656" i="4" l="1"/>
  <c r="AK4665" i="4"/>
  <c r="AI4665" i="4"/>
  <c r="AH4666" i="4"/>
  <c r="AJ4666" i="4"/>
  <c r="AL4657" i="4" l="1"/>
  <c r="AK4666" i="4"/>
  <c r="AI4666" i="4"/>
  <c r="AH4667" i="4"/>
  <c r="AJ4667" i="4"/>
  <c r="AL4658" i="4" l="1"/>
  <c r="AK4667" i="4"/>
  <c r="AI4667" i="4"/>
  <c r="AH4668" i="4"/>
  <c r="AJ4668" i="4"/>
  <c r="AL4659" i="4" l="1"/>
  <c r="AK4668" i="4"/>
  <c r="AI4668" i="4"/>
  <c r="AH4669" i="4"/>
  <c r="AJ4669" i="4"/>
  <c r="AL4660" i="4" l="1"/>
  <c r="AK4669" i="4"/>
  <c r="AI4669" i="4"/>
  <c r="AH4670" i="4"/>
  <c r="AJ4670" i="4"/>
  <c r="AL4661" i="4" l="1"/>
  <c r="AK4670" i="4"/>
  <c r="AI4670" i="4"/>
  <c r="AH4671" i="4"/>
  <c r="AJ4671" i="4"/>
  <c r="AL4662" i="4" l="1"/>
  <c r="AK4671" i="4"/>
  <c r="AI4671" i="4"/>
  <c r="AH4672" i="4"/>
  <c r="AJ4672" i="4"/>
  <c r="AL4663" i="4" l="1"/>
  <c r="AK4672" i="4"/>
  <c r="AI4672" i="4"/>
  <c r="AH4673" i="4"/>
  <c r="AJ4673" i="4"/>
  <c r="AL4664" i="4" l="1"/>
  <c r="AK4673" i="4"/>
  <c r="AI4673" i="4"/>
  <c r="AH4674" i="4"/>
  <c r="AJ4674" i="4"/>
  <c r="AL4665" i="4" l="1"/>
  <c r="AK4674" i="4"/>
  <c r="AI4674" i="4"/>
  <c r="AH4675" i="4"/>
  <c r="AJ4675" i="4"/>
  <c r="AL4666" i="4" l="1"/>
  <c r="AK4675" i="4"/>
  <c r="AI4675" i="4"/>
  <c r="AH4676" i="4"/>
  <c r="AJ4676" i="4"/>
  <c r="AL4667" i="4" l="1"/>
  <c r="AK4676" i="4"/>
  <c r="AI4676" i="4"/>
  <c r="AH4677" i="4"/>
  <c r="AJ4677" i="4"/>
  <c r="AL4668" i="4" l="1"/>
  <c r="AK4677" i="4"/>
  <c r="AI4677" i="4"/>
  <c r="AH4678" i="4"/>
  <c r="AJ4678" i="4"/>
  <c r="AL4669" i="4" l="1"/>
  <c r="AK4678" i="4"/>
  <c r="AI4678" i="4"/>
  <c r="AH4679" i="4"/>
  <c r="AJ4679" i="4"/>
  <c r="AL4670" i="4" l="1"/>
  <c r="AK4679" i="4"/>
  <c r="AI4679" i="4"/>
  <c r="AH4680" i="4"/>
  <c r="AJ4680" i="4"/>
  <c r="AL4671" i="4" l="1"/>
  <c r="AK4680" i="4"/>
  <c r="AI4680" i="4"/>
  <c r="AH4681" i="4"/>
  <c r="AJ4681" i="4"/>
  <c r="AL4672" i="4" l="1"/>
  <c r="AK4681" i="4"/>
  <c r="AI4681" i="4"/>
  <c r="AH4682" i="4"/>
  <c r="AJ4682" i="4"/>
  <c r="AL4673" i="4" l="1"/>
  <c r="AK4682" i="4"/>
  <c r="AI4682" i="4"/>
  <c r="AH4683" i="4"/>
  <c r="AJ4683" i="4"/>
  <c r="AL4674" i="4" l="1"/>
  <c r="AK4683" i="4"/>
  <c r="AI4683" i="4"/>
  <c r="AH4684" i="4"/>
  <c r="AJ4684" i="4"/>
  <c r="AL4675" i="4" l="1"/>
  <c r="AK4684" i="4"/>
  <c r="AI4684" i="4"/>
  <c r="AH4685" i="4"/>
  <c r="AJ4685" i="4"/>
  <c r="AL4676" i="4" l="1"/>
  <c r="AK4685" i="4"/>
  <c r="AI4685" i="4"/>
  <c r="AH4686" i="4"/>
  <c r="AJ4686" i="4"/>
  <c r="AL4677" i="4" l="1"/>
  <c r="AK4686" i="4"/>
  <c r="AI4686" i="4"/>
  <c r="AH4687" i="4"/>
  <c r="AJ4687" i="4"/>
  <c r="AL4678" i="4" l="1"/>
  <c r="AK4687" i="4"/>
  <c r="AI4687" i="4"/>
  <c r="AH4688" i="4"/>
  <c r="AJ4688" i="4"/>
  <c r="AL4679" i="4" l="1"/>
  <c r="AK4688" i="4"/>
  <c r="AI4688" i="4"/>
  <c r="AH4689" i="4"/>
  <c r="AJ4689" i="4"/>
  <c r="AL4680" i="4" l="1"/>
  <c r="AK4689" i="4"/>
  <c r="AI4689" i="4"/>
  <c r="AH4690" i="4"/>
  <c r="AJ4690" i="4"/>
  <c r="AL4681" i="4" l="1"/>
  <c r="AK4690" i="4"/>
  <c r="AI4690" i="4"/>
  <c r="AH4691" i="4"/>
  <c r="AJ4691" i="4"/>
  <c r="AL4682" i="4" l="1"/>
  <c r="AK4691" i="4"/>
  <c r="AI4691" i="4"/>
  <c r="AH4692" i="4"/>
  <c r="AJ4692" i="4"/>
  <c r="AL4683" i="4" l="1"/>
  <c r="AK4692" i="4"/>
  <c r="AI4692" i="4"/>
  <c r="AH4693" i="4"/>
  <c r="AJ4693" i="4"/>
  <c r="AL4684" i="4" l="1"/>
  <c r="AK4693" i="4"/>
  <c r="AI4693" i="4"/>
  <c r="AH4694" i="4"/>
  <c r="AJ4694" i="4"/>
  <c r="AL4685" i="4" l="1"/>
  <c r="AK4694" i="4"/>
  <c r="AI4694" i="4"/>
  <c r="AH4695" i="4"/>
  <c r="AJ4695" i="4"/>
  <c r="AL4686" i="4" l="1"/>
  <c r="AK4695" i="4"/>
  <c r="AI4695" i="4"/>
  <c r="AH4696" i="4"/>
  <c r="AJ4696" i="4"/>
  <c r="AL4687" i="4" l="1"/>
  <c r="AK4696" i="4"/>
  <c r="AI4696" i="4"/>
  <c r="AH4697" i="4"/>
  <c r="AJ4697" i="4"/>
  <c r="AL4688" i="4" l="1"/>
  <c r="AK4697" i="4"/>
  <c r="AI4697" i="4"/>
  <c r="AH4698" i="4"/>
  <c r="AJ4698" i="4"/>
  <c r="AL4689" i="4" l="1"/>
  <c r="AK4698" i="4"/>
  <c r="AI4698" i="4"/>
  <c r="AH4699" i="4"/>
  <c r="AJ4699" i="4"/>
  <c r="AL4690" i="4" l="1"/>
  <c r="AK4699" i="4"/>
  <c r="AI4699" i="4"/>
  <c r="AH4700" i="4"/>
  <c r="AJ4700" i="4"/>
  <c r="AL4691" i="4" l="1"/>
  <c r="AK4700" i="4"/>
  <c r="AI4700" i="4"/>
  <c r="AH4701" i="4"/>
  <c r="AJ4701" i="4"/>
  <c r="AL4692" i="4" l="1"/>
  <c r="AK4701" i="4"/>
  <c r="AI4701" i="4"/>
  <c r="AH4702" i="4"/>
  <c r="AJ4702" i="4"/>
  <c r="AL4693" i="4" l="1"/>
  <c r="AK4702" i="4"/>
  <c r="AI4702" i="4"/>
  <c r="AH4703" i="4"/>
  <c r="AJ4703" i="4"/>
  <c r="AL4694" i="4" l="1"/>
  <c r="AK4703" i="4"/>
  <c r="AI4703" i="4"/>
  <c r="AH4704" i="4"/>
  <c r="AJ4704" i="4"/>
  <c r="AL4695" i="4" l="1"/>
  <c r="AK4704" i="4"/>
  <c r="AI4704" i="4"/>
  <c r="AH4705" i="4"/>
  <c r="AJ4705" i="4"/>
  <c r="AL4696" i="4" l="1"/>
  <c r="AK4705" i="4"/>
  <c r="AI4705" i="4"/>
  <c r="AH4706" i="4"/>
  <c r="AJ4706" i="4"/>
  <c r="AL4697" i="4" l="1"/>
  <c r="AK4706" i="4"/>
  <c r="AI4706" i="4"/>
  <c r="AH4707" i="4"/>
  <c r="AJ4707" i="4"/>
  <c r="AL4698" i="4" l="1"/>
  <c r="AK4707" i="4"/>
  <c r="AI4707" i="4"/>
  <c r="AH4708" i="4"/>
  <c r="AJ4708" i="4"/>
  <c r="AL4699" i="4" l="1"/>
  <c r="AK4708" i="4"/>
  <c r="AI4708" i="4"/>
  <c r="AH4709" i="4"/>
  <c r="AJ4709" i="4"/>
  <c r="AL4700" i="4" l="1"/>
  <c r="AK4709" i="4"/>
  <c r="AI4709" i="4"/>
  <c r="AH4710" i="4"/>
  <c r="AJ4710" i="4"/>
  <c r="AL4701" i="4" l="1"/>
  <c r="AK4710" i="4"/>
  <c r="AI4710" i="4"/>
  <c r="AH4711" i="4"/>
  <c r="AJ4711" i="4"/>
  <c r="AL4702" i="4" l="1"/>
  <c r="AK4711" i="4"/>
  <c r="AI4711" i="4"/>
  <c r="AH4712" i="4"/>
  <c r="AJ4712" i="4"/>
  <c r="AL4703" i="4" l="1"/>
  <c r="AK4712" i="4"/>
  <c r="AI4712" i="4"/>
  <c r="AH4713" i="4"/>
  <c r="AJ4713" i="4"/>
  <c r="AL4704" i="4" l="1"/>
  <c r="AK4713" i="4"/>
  <c r="AI4713" i="4"/>
  <c r="AH4714" i="4"/>
  <c r="AJ4714" i="4"/>
  <c r="AL4705" i="4" l="1"/>
  <c r="AK4714" i="4"/>
  <c r="AI4714" i="4"/>
  <c r="AH4715" i="4"/>
  <c r="AJ4715" i="4"/>
  <c r="AL4706" i="4" l="1"/>
  <c r="AK4715" i="4"/>
  <c r="AI4715" i="4"/>
  <c r="AH4716" i="4"/>
  <c r="AJ4716" i="4"/>
  <c r="AL4707" i="4" l="1"/>
  <c r="AK4716" i="4"/>
  <c r="AI4716" i="4"/>
  <c r="AH4717" i="4"/>
  <c r="AJ4717" i="4"/>
  <c r="AL4708" i="4" l="1"/>
  <c r="AK4717" i="4"/>
  <c r="AI4717" i="4"/>
  <c r="AH4718" i="4"/>
  <c r="AJ4718" i="4"/>
  <c r="AL4709" i="4" l="1"/>
  <c r="AK4718" i="4"/>
  <c r="AI4718" i="4"/>
  <c r="AH4719" i="4"/>
  <c r="AJ4719" i="4"/>
  <c r="AL4710" i="4" l="1"/>
  <c r="AK4719" i="4"/>
  <c r="AI4719" i="4"/>
  <c r="AH4720" i="4"/>
  <c r="AS154" i="4"/>
  <c r="AJ4720" i="4"/>
  <c r="AL4711" i="4" l="1"/>
  <c r="AK4720" i="4"/>
  <c r="AI4720" i="4"/>
  <c r="AH4721" i="4"/>
  <c r="AJ4721" i="4"/>
  <c r="AL4712" i="4" l="1"/>
  <c r="AK4721" i="4"/>
  <c r="AI4721" i="4"/>
  <c r="AH4722" i="4"/>
  <c r="AJ4722" i="4"/>
  <c r="AL4713" i="4" l="1"/>
  <c r="AK4722" i="4"/>
  <c r="AI4722" i="4"/>
  <c r="AH4723" i="4"/>
  <c r="AJ4723" i="4"/>
  <c r="AL4714" i="4" l="1"/>
  <c r="AK4723" i="4"/>
  <c r="AI4723" i="4"/>
  <c r="AH4724" i="4"/>
  <c r="AJ4724" i="4"/>
  <c r="AL4715" i="4" l="1"/>
  <c r="AK4724" i="4"/>
  <c r="AI4724" i="4"/>
  <c r="AH4725" i="4"/>
  <c r="AJ4725" i="4"/>
  <c r="AL4716" i="4" l="1"/>
  <c r="AK4725" i="4"/>
  <c r="AI4725" i="4"/>
  <c r="AH4726" i="4"/>
  <c r="AJ4726" i="4"/>
  <c r="AL4717" i="4" l="1"/>
  <c r="AK4726" i="4"/>
  <c r="AI4726" i="4"/>
  <c r="AH4727" i="4"/>
  <c r="AJ4727" i="4"/>
  <c r="AL4718" i="4" l="1"/>
  <c r="AK4727" i="4"/>
  <c r="AI4727" i="4"/>
  <c r="AH4728" i="4"/>
  <c r="AJ4728" i="4"/>
  <c r="AL4719" i="4" l="1"/>
  <c r="AK4728" i="4"/>
  <c r="AI4728" i="4"/>
  <c r="AH4729" i="4"/>
  <c r="AJ4729" i="4"/>
  <c r="AL4720" i="4" l="1"/>
  <c r="AK4729" i="4"/>
  <c r="AI4729" i="4"/>
  <c r="AH4730" i="4"/>
  <c r="AJ4730" i="4"/>
  <c r="AL4721" i="4" l="1"/>
  <c r="AK4730" i="4"/>
  <c r="AI4730" i="4"/>
  <c r="AH4731" i="4"/>
  <c r="AJ4731" i="4"/>
  <c r="AL4722" i="4" l="1"/>
  <c r="AK4731" i="4"/>
  <c r="AI4731" i="4"/>
  <c r="AH4732" i="4"/>
  <c r="AJ4732" i="4"/>
  <c r="AL4723" i="4" l="1"/>
  <c r="AK4732" i="4"/>
  <c r="AI4732" i="4"/>
  <c r="AH4733" i="4"/>
  <c r="AJ4733" i="4"/>
  <c r="AL4724" i="4" l="1"/>
  <c r="AK4733" i="4"/>
  <c r="AI4733" i="4"/>
  <c r="AH4734" i="4"/>
  <c r="AJ4734" i="4"/>
  <c r="AL4725" i="4" l="1"/>
  <c r="AK4734" i="4"/>
  <c r="AI4734" i="4"/>
  <c r="AH4735" i="4"/>
  <c r="AJ4735" i="4"/>
  <c r="AL4726" i="4" l="1"/>
  <c r="AK4735" i="4"/>
  <c r="AI4735" i="4"/>
  <c r="AH4736" i="4"/>
  <c r="AJ4736" i="4"/>
  <c r="AL4727" i="4" l="1"/>
  <c r="AK4736" i="4"/>
  <c r="AI4736" i="4"/>
  <c r="AH4737" i="4"/>
  <c r="AJ4737" i="4"/>
  <c r="AL4728" i="4" l="1"/>
  <c r="AK4737" i="4"/>
  <c r="AI4737" i="4"/>
  <c r="AH4738" i="4"/>
  <c r="AJ4738" i="4"/>
  <c r="AL4729" i="4" l="1"/>
  <c r="AK4738" i="4"/>
  <c r="AI4738" i="4"/>
  <c r="AH4739" i="4"/>
  <c r="AJ4739" i="4"/>
  <c r="AL4730" i="4" l="1"/>
  <c r="AK4739" i="4"/>
  <c r="AI4739" i="4"/>
  <c r="AH4740" i="4"/>
  <c r="AJ4740" i="4"/>
  <c r="AL4731" i="4" l="1"/>
  <c r="AK4740" i="4"/>
  <c r="AI4740" i="4"/>
  <c r="AH4741" i="4"/>
  <c r="AJ4741" i="4"/>
  <c r="AL4732" i="4" l="1"/>
  <c r="AK4741" i="4"/>
  <c r="AI4741" i="4"/>
  <c r="AH4742" i="4"/>
  <c r="AJ4742" i="4"/>
  <c r="AL4733" i="4" l="1"/>
  <c r="AK4742" i="4"/>
  <c r="AI4742" i="4"/>
  <c r="AH4743" i="4"/>
  <c r="AJ4743" i="4"/>
  <c r="AL4734" i="4" l="1"/>
  <c r="AK4743" i="4"/>
  <c r="AI4743" i="4"/>
  <c r="AH4744" i="4"/>
  <c r="AJ4744" i="4"/>
  <c r="AL4735" i="4" l="1"/>
  <c r="AK4744" i="4"/>
  <c r="AI4744" i="4"/>
  <c r="AH4745" i="4"/>
  <c r="AJ4745" i="4"/>
  <c r="AL4736" i="4" l="1"/>
  <c r="AK4745" i="4"/>
  <c r="AI4745" i="4"/>
  <c r="AH4746" i="4"/>
  <c r="AJ4746" i="4"/>
  <c r="AL4737" i="4" l="1"/>
  <c r="AK4746" i="4"/>
  <c r="AI4746" i="4"/>
  <c r="AH4747" i="4"/>
  <c r="AJ4747" i="4"/>
  <c r="AL4738" i="4" l="1"/>
  <c r="AK4747" i="4"/>
  <c r="AI4747" i="4"/>
  <c r="AH4748" i="4"/>
  <c r="AJ4748" i="4"/>
  <c r="AL4739" i="4" l="1"/>
  <c r="AK4748" i="4"/>
  <c r="AI4748" i="4"/>
  <c r="AH4749" i="4"/>
  <c r="AJ4749" i="4"/>
  <c r="AL4740" i="4" l="1"/>
  <c r="AK4749" i="4"/>
  <c r="AI4749" i="4"/>
  <c r="AH4750" i="4"/>
  <c r="AJ4750" i="4"/>
  <c r="AL4741" i="4" l="1"/>
  <c r="AK4750" i="4"/>
  <c r="AI4750" i="4"/>
  <c r="AH4751" i="4"/>
  <c r="AJ4751" i="4"/>
  <c r="AL4742" i="4" l="1"/>
  <c r="AK4751" i="4"/>
  <c r="AI4751" i="4"/>
  <c r="AH4752" i="4"/>
  <c r="AJ4752" i="4"/>
  <c r="AL4743" i="4" l="1"/>
  <c r="AK4752" i="4"/>
  <c r="AI4752" i="4"/>
  <c r="AH4753" i="4"/>
  <c r="AJ4753" i="4"/>
  <c r="AL4744" i="4" l="1"/>
  <c r="AK4753" i="4"/>
  <c r="AI4753" i="4"/>
  <c r="AH4754" i="4"/>
  <c r="AJ4754" i="4"/>
  <c r="AL4745" i="4" l="1"/>
  <c r="AK4754" i="4"/>
  <c r="AI4754" i="4"/>
  <c r="AH4755" i="4"/>
  <c r="AJ4755" i="4"/>
  <c r="AL4746" i="4" l="1"/>
  <c r="AK4755" i="4"/>
  <c r="AI4755" i="4"/>
  <c r="AH4756" i="4"/>
  <c r="AJ4756" i="4"/>
  <c r="AL4747" i="4" l="1"/>
  <c r="AK4756" i="4"/>
  <c r="AI4756" i="4"/>
  <c r="AH4757" i="4"/>
  <c r="AJ4757" i="4"/>
  <c r="AL4748" i="4" l="1"/>
  <c r="AK4757" i="4"/>
  <c r="AI4757" i="4"/>
  <c r="AH4758" i="4"/>
  <c r="AJ4758" i="4"/>
  <c r="AL4749" i="4" l="1"/>
  <c r="AK4758" i="4"/>
  <c r="AI4758" i="4"/>
  <c r="AH4759" i="4"/>
  <c r="AJ4759" i="4"/>
  <c r="AL4750" i="4" l="1"/>
  <c r="AK4759" i="4"/>
  <c r="AI4759" i="4"/>
  <c r="AH4760" i="4"/>
  <c r="AJ4760" i="4"/>
  <c r="AL4751" i="4" l="1"/>
  <c r="AK4760" i="4"/>
  <c r="AI4760" i="4"/>
  <c r="AH4761" i="4"/>
  <c r="AJ4761" i="4"/>
  <c r="AL4752" i="4" l="1"/>
  <c r="AK4761" i="4"/>
  <c r="AI4761" i="4"/>
  <c r="AH4762" i="4"/>
  <c r="AJ4762" i="4"/>
  <c r="AL4753" i="4" l="1"/>
  <c r="AK4762" i="4"/>
  <c r="AI4762" i="4"/>
  <c r="AH4763" i="4"/>
  <c r="AJ4763" i="4"/>
  <c r="AL4754" i="4" l="1"/>
  <c r="AK4763" i="4"/>
  <c r="AI4763" i="4"/>
  <c r="AH4764" i="4"/>
  <c r="AJ4764" i="4"/>
  <c r="AL4755" i="4" l="1"/>
  <c r="AK4764" i="4"/>
  <c r="AI4764" i="4"/>
  <c r="AH4765" i="4"/>
  <c r="AJ4765" i="4"/>
  <c r="AL4756" i="4" l="1"/>
  <c r="AK4765" i="4"/>
  <c r="AI4765" i="4"/>
  <c r="AH4766" i="4"/>
  <c r="AJ4766" i="4"/>
  <c r="AL4757" i="4" l="1"/>
  <c r="AK4766" i="4"/>
  <c r="AI4766" i="4"/>
  <c r="AH4767" i="4"/>
  <c r="AJ4767" i="4"/>
  <c r="AL4758" i="4" l="1"/>
  <c r="AK4767" i="4"/>
  <c r="AI4767" i="4"/>
  <c r="AH4768" i="4"/>
  <c r="AJ4768" i="4"/>
  <c r="AL4759" i="4" l="1"/>
  <c r="AK4768" i="4"/>
  <c r="AI4768" i="4"/>
  <c r="AH4769" i="4"/>
  <c r="AJ4769" i="4"/>
  <c r="AL4760" i="4" l="1"/>
  <c r="AK4769" i="4"/>
  <c r="AI4769" i="4"/>
  <c r="AH4770" i="4"/>
  <c r="AJ4770" i="4"/>
  <c r="AL4761" i="4" l="1"/>
  <c r="AK4770" i="4"/>
  <c r="AI4770" i="4"/>
  <c r="AH4771" i="4"/>
  <c r="AJ4771" i="4"/>
  <c r="AL4762" i="4" l="1"/>
  <c r="AK4771" i="4"/>
  <c r="AI4771" i="4"/>
  <c r="AH4772" i="4"/>
  <c r="AJ4772" i="4"/>
  <c r="AL4763" i="4" l="1"/>
  <c r="AK4772" i="4"/>
  <c r="AI4772" i="4"/>
  <c r="AH4773" i="4"/>
  <c r="AJ4773" i="4"/>
  <c r="AL4764" i="4" l="1"/>
  <c r="AK4773" i="4"/>
  <c r="AI4773" i="4"/>
  <c r="AH4774" i="4"/>
  <c r="AJ4774" i="4"/>
  <c r="AL4765" i="4" l="1"/>
  <c r="AK4774" i="4"/>
  <c r="AI4774" i="4"/>
  <c r="AH4775" i="4"/>
  <c r="AJ4775" i="4"/>
  <c r="AL4766" i="4" l="1"/>
  <c r="AK4775" i="4"/>
  <c r="AI4775" i="4"/>
  <c r="AH4776" i="4"/>
  <c r="AJ4776" i="4"/>
  <c r="AL4767" i="4" l="1"/>
  <c r="AK4776" i="4"/>
  <c r="AI4776" i="4"/>
  <c r="AH4777" i="4"/>
  <c r="AJ4777" i="4"/>
  <c r="AL4768" i="4" l="1"/>
  <c r="AK4777" i="4"/>
  <c r="AI4777" i="4"/>
  <c r="AH4778" i="4"/>
  <c r="AJ4778" i="4"/>
  <c r="AL4769" i="4" l="1"/>
  <c r="AK4778" i="4"/>
  <c r="AI4778" i="4"/>
  <c r="AH4779" i="4"/>
  <c r="AJ4779" i="4"/>
  <c r="AL4770" i="4" l="1"/>
  <c r="AK4779" i="4"/>
  <c r="AI4779" i="4"/>
  <c r="AH4780" i="4"/>
  <c r="AJ4780" i="4"/>
  <c r="AL4771" i="4" l="1"/>
  <c r="AK4780" i="4"/>
  <c r="AI4780" i="4"/>
  <c r="AH4781" i="4"/>
  <c r="AJ4781" i="4"/>
  <c r="AL4772" i="4" l="1"/>
  <c r="AK4781" i="4"/>
  <c r="AI4781" i="4"/>
  <c r="AH4782" i="4"/>
  <c r="AJ4782" i="4"/>
  <c r="AL4773" i="4" l="1"/>
  <c r="AK4782" i="4"/>
  <c r="AI4782" i="4"/>
  <c r="AH4783" i="4"/>
  <c r="AJ4783" i="4"/>
  <c r="AL4774" i="4" l="1"/>
  <c r="AK4783" i="4"/>
  <c r="AI4783" i="4"/>
  <c r="AH4784" i="4"/>
  <c r="AJ4784" i="4"/>
  <c r="AL4775" i="4" l="1"/>
  <c r="AK4784" i="4"/>
  <c r="AI4784" i="4"/>
  <c r="AH4785" i="4"/>
  <c r="AJ4785" i="4"/>
  <c r="AL4776" i="4" l="1"/>
  <c r="AK4785" i="4"/>
  <c r="AI4785" i="4"/>
  <c r="AH4786" i="4"/>
  <c r="AJ4786" i="4"/>
  <c r="AL4777" i="4" l="1"/>
  <c r="AK4786" i="4"/>
  <c r="AI4786" i="4"/>
  <c r="AH4787" i="4"/>
  <c r="AJ4787" i="4"/>
  <c r="AL4778" i="4" l="1"/>
  <c r="AK4787" i="4"/>
  <c r="AI4787" i="4"/>
  <c r="AH4788" i="4"/>
  <c r="AJ4788" i="4"/>
  <c r="AL4779" i="4" l="1"/>
  <c r="AK4788" i="4"/>
  <c r="AI4788" i="4"/>
  <c r="AH4789" i="4"/>
  <c r="AJ4789" i="4"/>
  <c r="AL4780" i="4" l="1"/>
  <c r="AK4789" i="4"/>
  <c r="AI4789" i="4"/>
  <c r="AH4790" i="4"/>
  <c r="AJ4790" i="4"/>
  <c r="AL4781" i="4" l="1"/>
  <c r="AK4790" i="4"/>
  <c r="AI4790" i="4"/>
  <c r="AH4791" i="4"/>
  <c r="AJ4791" i="4"/>
  <c r="AL4782" i="4" l="1"/>
  <c r="AK4791" i="4"/>
  <c r="AI4791" i="4"/>
  <c r="AH4792" i="4"/>
  <c r="AJ4792" i="4"/>
  <c r="AL4783" i="4" l="1"/>
  <c r="AK4792" i="4"/>
  <c r="AI4792" i="4"/>
  <c r="AH4793" i="4"/>
  <c r="AJ4793" i="4"/>
  <c r="AL4784" i="4" l="1"/>
  <c r="AK4793" i="4"/>
  <c r="AI4793" i="4"/>
  <c r="AH4794" i="4"/>
  <c r="AJ4794" i="4"/>
  <c r="AL4785" i="4" l="1"/>
  <c r="AK4794" i="4"/>
  <c r="AI4794" i="4"/>
  <c r="AH4795" i="4"/>
  <c r="AJ4795" i="4"/>
  <c r="AL4786" i="4" l="1"/>
  <c r="AK4795" i="4"/>
  <c r="AI4795" i="4"/>
  <c r="AH4796" i="4"/>
  <c r="AJ4796" i="4"/>
  <c r="AL4787" i="4" l="1"/>
  <c r="AK4796" i="4"/>
  <c r="AI4796" i="4"/>
  <c r="AH4797" i="4"/>
  <c r="AJ4797" i="4"/>
  <c r="AL4788" i="4" l="1"/>
  <c r="AK4797" i="4"/>
  <c r="AI4797" i="4"/>
  <c r="AH4798" i="4"/>
  <c r="AJ4798" i="4"/>
  <c r="AL4789" i="4" l="1"/>
  <c r="AK4798" i="4"/>
  <c r="AI4798" i="4"/>
  <c r="AH4799" i="4"/>
  <c r="AJ4799" i="4"/>
  <c r="AL4790" i="4" l="1"/>
  <c r="AK4799" i="4"/>
  <c r="AI4799" i="4"/>
  <c r="AH4800" i="4"/>
  <c r="AJ4800" i="4"/>
  <c r="AL4791" i="4" l="1"/>
  <c r="AK4800" i="4"/>
  <c r="AI4800" i="4"/>
  <c r="AH4801" i="4"/>
  <c r="AJ4801" i="4"/>
  <c r="AL4792" i="4" l="1"/>
  <c r="AK4801" i="4"/>
  <c r="AI4801" i="4"/>
  <c r="AH4802" i="4"/>
  <c r="AJ4802" i="4"/>
  <c r="AL4793" i="4" l="1"/>
  <c r="AK4802" i="4"/>
  <c r="AI4802" i="4"/>
  <c r="AH4803" i="4"/>
  <c r="AJ4803" i="4"/>
  <c r="AL4794" i="4" l="1"/>
  <c r="AK4803" i="4"/>
  <c r="AI4803" i="4"/>
  <c r="AH4804" i="4"/>
  <c r="AJ4804" i="4"/>
  <c r="AL4795" i="4" l="1"/>
  <c r="AK4804" i="4"/>
  <c r="AI4804" i="4"/>
  <c r="AH4805" i="4"/>
  <c r="AJ4805" i="4"/>
  <c r="AL4796" i="4" l="1"/>
  <c r="AK4805" i="4"/>
  <c r="AI4805" i="4"/>
  <c r="AH4806" i="4"/>
  <c r="AJ4806" i="4"/>
  <c r="AL4797" i="4" l="1"/>
  <c r="AK4806" i="4"/>
  <c r="AI4806" i="4"/>
  <c r="AH4807" i="4"/>
  <c r="AJ4807" i="4"/>
  <c r="AL4798" i="4" l="1"/>
  <c r="AK4807" i="4"/>
  <c r="AI4807" i="4"/>
  <c r="AH4808" i="4"/>
  <c r="AJ4808" i="4"/>
  <c r="AL4799" i="4" l="1"/>
  <c r="AK4808" i="4"/>
  <c r="AI4808" i="4"/>
  <c r="AH4809" i="4"/>
  <c r="AJ4809" i="4"/>
  <c r="AL4800" i="4" l="1"/>
  <c r="AK4809" i="4"/>
  <c r="AI4809" i="4"/>
  <c r="AH4810" i="4"/>
  <c r="AJ4810" i="4"/>
  <c r="AL4801" i="4" l="1"/>
  <c r="AK4810" i="4"/>
  <c r="AI4810" i="4"/>
  <c r="AH4811" i="4"/>
  <c r="AJ4811" i="4"/>
  <c r="AL4802" i="4" l="1"/>
  <c r="AK4811" i="4"/>
  <c r="AI4811" i="4"/>
  <c r="AH4812" i="4"/>
  <c r="AJ4812" i="4"/>
  <c r="AL4803" i="4" l="1"/>
  <c r="AK4812" i="4"/>
  <c r="AI4812" i="4"/>
  <c r="AH4813" i="4"/>
  <c r="AJ4813" i="4"/>
  <c r="AL4804" i="4" l="1"/>
  <c r="AK4813" i="4"/>
  <c r="AI4813" i="4"/>
  <c r="AH4814" i="4"/>
  <c r="AJ4814" i="4"/>
  <c r="AL4805" i="4" l="1"/>
  <c r="AK4814" i="4"/>
  <c r="AI4814" i="4"/>
  <c r="AH4815" i="4"/>
  <c r="AJ4815" i="4"/>
  <c r="AL4806" i="4" l="1"/>
  <c r="AK4815" i="4"/>
  <c r="AI4815" i="4"/>
  <c r="AH4816" i="4"/>
  <c r="AJ4816" i="4"/>
  <c r="AL4807" i="4" l="1"/>
  <c r="AK4816" i="4"/>
  <c r="AI4816" i="4"/>
  <c r="AH4817" i="4"/>
  <c r="AJ4817" i="4"/>
  <c r="AL4808" i="4" l="1"/>
  <c r="AK4817" i="4"/>
  <c r="AI4817" i="4"/>
  <c r="AH4818" i="4"/>
  <c r="AJ4818" i="4"/>
  <c r="AL4809" i="4" l="1"/>
  <c r="AK4818" i="4"/>
  <c r="AI4818" i="4"/>
  <c r="AH4819" i="4"/>
  <c r="AJ4819" i="4"/>
  <c r="AL4810" i="4" l="1"/>
  <c r="AK4819" i="4"/>
  <c r="AI4819" i="4"/>
  <c r="AH4820" i="4"/>
  <c r="AJ4820" i="4"/>
  <c r="AL4811" i="4" l="1"/>
  <c r="AK4820" i="4"/>
  <c r="AI4820" i="4"/>
  <c r="AH4821" i="4"/>
  <c r="AJ4821" i="4"/>
  <c r="AL4812" i="4" l="1"/>
  <c r="AK4821" i="4"/>
  <c r="AI4821" i="4"/>
  <c r="AH4822" i="4"/>
  <c r="AJ4822" i="4"/>
  <c r="AL4813" i="4" l="1"/>
  <c r="AK4822" i="4"/>
  <c r="AI4822" i="4"/>
  <c r="AH4823" i="4"/>
  <c r="AJ4823" i="4"/>
  <c r="AL4814" i="4" l="1"/>
  <c r="AK4823" i="4"/>
  <c r="AI4823" i="4"/>
  <c r="AH4824" i="4"/>
  <c r="AJ4824" i="4"/>
  <c r="AL4815" i="4" l="1"/>
  <c r="AK4824" i="4"/>
  <c r="AI4824" i="4"/>
  <c r="AH4825" i="4"/>
  <c r="AJ4825" i="4"/>
  <c r="AL4816" i="4" l="1"/>
  <c r="AK4825" i="4"/>
  <c r="AI4825" i="4"/>
  <c r="AH4826" i="4"/>
  <c r="AJ4826" i="4"/>
  <c r="AL4817" i="4" l="1"/>
  <c r="AK4826" i="4"/>
  <c r="AI4826" i="4"/>
  <c r="AH4827" i="4"/>
  <c r="AJ4827" i="4"/>
  <c r="AL4818" i="4" l="1"/>
  <c r="AK4827" i="4"/>
  <c r="AI4827" i="4"/>
  <c r="AH4828" i="4"/>
  <c r="AJ4828" i="4"/>
  <c r="AL4819" i="4" l="1"/>
  <c r="AK4828" i="4"/>
  <c r="AI4828" i="4"/>
  <c r="AH4829" i="4"/>
  <c r="AJ4829" i="4"/>
  <c r="AL4820" i="4" l="1"/>
  <c r="AK4829" i="4"/>
  <c r="AI4829" i="4"/>
  <c r="AH4830" i="4"/>
  <c r="AJ4830" i="4"/>
  <c r="AL4821" i="4" l="1"/>
  <c r="AK4830" i="4"/>
  <c r="AI4830" i="4"/>
  <c r="AH4831" i="4"/>
  <c r="AJ4831" i="4"/>
  <c r="AL4822" i="4" l="1"/>
  <c r="AK4831" i="4"/>
  <c r="AI4831" i="4"/>
  <c r="AH4832" i="4"/>
  <c r="AJ4832" i="4"/>
  <c r="AL4823" i="4" l="1"/>
  <c r="AK4832" i="4"/>
  <c r="AI4832" i="4"/>
  <c r="AH4833" i="4"/>
  <c r="AJ4833" i="4"/>
  <c r="AL4824" i="4" l="1"/>
  <c r="AK4833" i="4"/>
  <c r="AI4833" i="4"/>
  <c r="AH4834" i="4"/>
  <c r="AJ4834" i="4"/>
  <c r="AL4825" i="4" l="1"/>
  <c r="AK4834" i="4"/>
  <c r="AI4834" i="4"/>
  <c r="AH4835" i="4"/>
  <c r="AJ4835" i="4"/>
  <c r="AL4826" i="4" l="1"/>
  <c r="AK4835" i="4"/>
  <c r="AI4835" i="4"/>
  <c r="AH4836" i="4"/>
  <c r="AJ4836" i="4"/>
  <c r="AL4827" i="4" l="1"/>
  <c r="AK4836" i="4"/>
  <c r="AI4836" i="4"/>
  <c r="AH4837" i="4"/>
  <c r="AJ4837" i="4"/>
  <c r="AL4828" i="4" l="1"/>
  <c r="AK4837" i="4"/>
  <c r="AI4837" i="4"/>
  <c r="AH4838" i="4"/>
  <c r="AJ4838" i="4"/>
  <c r="AL4829" i="4" l="1"/>
  <c r="AK4838" i="4"/>
  <c r="AI4838" i="4"/>
  <c r="AH4839" i="4"/>
  <c r="AJ4839" i="4"/>
  <c r="AL4830" i="4" l="1"/>
  <c r="AK4839" i="4"/>
  <c r="AI4839" i="4"/>
  <c r="AH4840" i="4"/>
  <c r="AJ4840" i="4"/>
  <c r="AL4831" i="4" l="1"/>
  <c r="AK4840" i="4"/>
  <c r="AI4840" i="4"/>
  <c r="AH4841" i="4"/>
  <c r="AJ4841" i="4"/>
  <c r="AL4832" i="4" l="1"/>
  <c r="AK4841" i="4"/>
  <c r="AI4841" i="4"/>
  <c r="AH4842" i="4"/>
  <c r="AJ4842" i="4"/>
  <c r="AL4833" i="4" l="1"/>
  <c r="AK4842" i="4"/>
  <c r="AI4842" i="4"/>
  <c r="AH4843" i="4"/>
  <c r="AJ4843" i="4"/>
  <c r="AL4834" i="4" l="1"/>
  <c r="AK4843" i="4"/>
  <c r="AI4843" i="4"/>
  <c r="AH4844" i="4"/>
  <c r="AJ4844" i="4"/>
  <c r="AL4835" i="4" l="1"/>
  <c r="AK4844" i="4"/>
  <c r="AI4844" i="4"/>
  <c r="AH4845" i="4"/>
  <c r="AJ4845" i="4"/>
  <c r="AL4836" i="4" l="1"/>
  <c r="AK4845" i="4"/>
  <c r="AI4845" i="4"/>
  <c r="AH4846" i="4"/>
  <c r="AJ4846" i="4"/>
  <c r="AL4837" i="4" l="1"/>
  <c r="AK4846" i="4"/>
  <c r="AI4846" i="4"/>
  <c r="AH4847" i="4"/>
  <c r="AJ4847" i="4"/>
  <c r="AL4838" i="4" l="1"/>
  <c r="AK4847" i="4"/>
  <c r="AI4847" i="4"/>
  <c r="AH4848" i="4"/>
  <c r="AJ4848" i="4"/>
  <c r="AL4839" i="4" l="1"/>
  <c r="AK4848" i="4"/>
  <c r="AI4848" i="4"/>
  <c r="AH4849" i="4"/>
  <c r="AJ4849" i="4"/>
  <c r="AL4840" i="4" l="1"/>
  <c r="AK4849" i="4"/>
  <c r="AI4849" i="4"/>
  <c r="AH4850" i="4"/>
  <c r="AJ4850" i="4"/>
  <c r="AL4841" i="4" l="1"/>
  <c r="AK4850" i="4"/>
  <c r="AI4850" i="4"/>
  <c r="AH4851" i="4"/>
  <c r="AJ4851" i="4"/>
  <c r="AL4842" i="4" l="1"/>
  <c r="AK4851" i="4"/>
  <c r="AI4851" i="4"/>
  <c r="AH4852" i="4"/>
  <c r="AJ4852" i="4"/>
  <c r="AL4843" i="4" l="1"/>
  <c r="AK4852" i="4"/>
  <c r="AI4852" i="4"/>
  <c r="AH4853" i="4"/>
  <c r="AJ4853" i="4"/>
  <c r="AL4844" i="4" l="1"/>
  <c r="AK4853" i="4"/>
  <c r="AI4853" i="4"/>
  <c r="AH4854" i="4"/>
  <c r="AJ4854" i="4"/>
  <c r="AL4845" i="4" l="1"/>
  <c r="AK4854" i="4"/>
  <c r="AI4854" i="4"/>
  <c r="AH4855" i="4"/>
  <c r="AJ4855" i="4"/>
  <c r="AL4846" i="4" l="1"/>
  <c r="AK4855" i="4"/>
  <c r="AI4855" i="4"/>
  <c r="AH4856" i="4"/>
  <c r="AJ4856" i="4"/>
  <c r="AL4847" i="4" l="1"/>
  <c r="AK4856" i="4"/>
  <c r="AI4856" i="4"/>
  <c r="AH4857" i="4"/>
  <c r="AJ4857" i="4"/>
  <c r="AL4848" i="4" l="1"/>
  <c r="AK4857" i="4"/>
  <c r="AI4857" i="4"/>
  <c r="AH4858" i="4"/>
  <c r="AJ4858" i="4"/>
  <c r="AL4849" i="4" l="1"/>
  <c r="AK4858" i="4"/>
  <c r="AI4858" i="4"/>
  <c r="AH4859" i="4"/>
  <c r="AJ4859" i="4"/>
  <c r="AL4850" i="4" l="1"/>
  <c r="AK4859" i="4"/>
  <c r="AI4859" i="4"/>
  <c r="AH4860" i="4"/>
  <c r="AJ4860" i="4"/>
  <c r="AL4851" i="4" l="1"/>
  <c r="AK4860" i="4"/>
  <c r="AI4860" i="4"/>
  <c r="AH4861" i="4"/>
  <c r="AJ4861" i="4"/>
  <c r="AL4852" i="4" l="1"/>
  <c r="AK4861" i="4"/>
  <c r="AI4861" i="4"/>
  <c r="AH4862" i="4"/>
  <c r="AJ4862" i="4"/>
  <c r="AL4853" i="4" l="1"/>
  <c r="AK4862" i="4"/>
  <c r="AI4862" i="4"/>
  <c r="AH4863" i="4"/>
  <c r="AJ4863" i="4"/>
  <c r="AL4854" i="4" l="1"/>
  <c r="AK4863" i="4"/>
  <c r="AI4863" i="4"/>
  <c r="AH4864" i="4"/>
  <c r="AJ4864" i="4"/>
  <c r="AL4855" i="4" l="1"/>
  <c r="AK4864" i="4"/>
  <c r="AI4864" i="4"/>
  <c r="AH4865" i="4"/>
  <c r="AJ4865" i="4"/>
  <c r="AL4856" i="4" l="1"/>
  <c r="AK4865" i="4"/>
  <c r="AI4865" i="4"/>
  <c r="AH4866" i="4"/>
  <c r="AJ4866" i="4"/>
  <c r="AL4857" i="4" l="1"/>
  <c r="AK4866" i="4"/>
  <c r="AI4866" i="4"/>
  <c r="AH4867" i="4"/>
  <c r="AJ4867" i="4"/>
  <c r="AL4858" i="4" l="1"/>
  <c r="AK4867" i="4"/>
  <c r="AI4867" i="4"/>
  <c r="AH4868" i="4"/>
  <c r="AJ4868" i="4"/>
  <c r="AL4859" i="4" l="1"/>
  <c r="AK4868" i="4"/>
  <c r="AI4868" i="4"/>
  <c r="AH4869" i="4"/>
  <c r="AJ4869" i="4"/>
  <c r="AL4860" i="4" l="1"/>
  <c r="AK4869" i="4"/>
  <c r="AI4869" i="4"/>
  <c r="AH4870" i="4"/>
  <c r="AJ4870" i="4"/>
  <c r="AL4861" i="4" l="1"/>
  <c r="AK4870" i="4"/>
  <c r="AI4870" i="4"/>
  <c r="AH4871" i="4"/>
  <c r="AJ4871" i="4"/>
  <c r="AL4862" i="4" l="1"/>
  <c r="AK4871" i="4"/>
  <c r="AI4871" i="4"/>
  <c r="AH4872" i="4"/>
  <c r="AJ4872" i="4"/>
  <c r="AL4863" i="4" l="1"/>
  <c r="AK4872" i="4"/>
  <c r="AI4872" i="4"/>
  <c r="AH4873" i="4"/>
  <c r="AJ4873" i="4"/>
  <c r="AL4864" i="4" l="1"/>
  <c r="AK4873" i="4"/>
  <c r="AI4873" i="4"/>
  <c r="AH4874" i="4"/>
  <c r="AJ4874" i="4"/>
  <c r="AL4865" i="4" l="1"/>
  <c r="AK4874" i="4"/>
  <c r="AI4874" i="4"/>
  <c r="AH4875" i="4"/>
  <c r="AJ4875" i="4"/>
  <c r="AL4866" i="4" l="1"/>
  <c r="AK4875" i="4"/>
  <c r="AI4875" i="4"/>
  <c r="AH4876" i="4"/>
  <c r="AJ4876" i="4"/>
  <c r="AL4867" i="4" l="1"/>
  <c r="AK4876" i="4"/>
  <c r="AI4876" i="4"/>
  <c r="AH4877" i="4"/>
  <c r="AJ4877" i="4"/>
  <c r="AL4868" i="4" l="1"/>
  <c r="AK4877" i="4"/>
  <c r="AI4877" i="4"/>
  <c r="AH4878" i="4"/>
  <c r="AJ4878" i="4"/>
  <c r="AL4869" i="4" l="1"/>
  <c r="AK4878" i="4"/>
  <c r="AI4878" i="4"/>
  <c r="AH4879" i="4"/>
  <c r="AJ4879" i="4"/>
  <c r="AL4870" i="4" l="1"/>
  <c r="AK4879" i="4"/>
  <c r="AI4879" i="4"/>
  <c r="AH4880" i="4"/>
  <c r="AJ4880" i="4"/>
  <c r="AL4871" i="4" l="1"/>
  <c r="AK4880" i="4"/>
  <c r="AI4880" i="4"/>
  <c r="AH4881" i="4"/>
  <c r="AJ4881" i="4"/>
  <c r="AL4872" i="4" l="1"/>
  <c r="AK4881" i="4"/>
  <c r="AI4881" i="4"/>
  <c r="AH4882" i="4"/>
  <c r="AJ4882" i="4"/>
  <c r="AL4873" i="4" l="1"/>
  <c r="AK4882" i="4"/>
  <c r="AI4882" i="4"/>
  <c r="AH4883" i="4"/>
  <c r="AJ4883" i="4"/>
  <c r="AL4874" i="4" l="1"/>
  <c r="AK4883" i="4"/>
  <c r="AI4883" i="4"/>
  <c r="AH4884" i="4"/>
  <c r="AJ4884" i="4"/>
  <c r="AL4875" i="4" l="1"/>
  <c r="AK4884" i="4"/>
  <c r="AI4884" i="4"/>
  <c r="AH4885" i="4"/>
  <c r="AJ4885" i="4"/>
  <c r="AL4876" i="4" l="1"/>
  <c r="AK4885" i="4"/>
  <c r="AI4885" i="4"/>
  <c r="AH4886" i="4"/>
  <c r="AJ4886" i="4"/>
  <c r="AL4877" i="4" l="1"/>
  <c r="AK4886" i="4"/>
  <c r="AI4886" i="4"/>
  <c r="AH4887" i="4"/>
  <c r="AJ4887" i="4"/>
  <c r="AL4878" i="4" l="1"/>
  <c r="AK4887" i="4"/>
  <c r="AI4887" i="4"/>
  <c r="AH4888" i="4"/>
  <c r="AJ4888" i="4"/>
  <c r="AL4879" i="4" l="1"/>
  <c r="AK4888" i="4"/>
  <c r="AI4888" i="4"/>
  <c r="AH4889" i="4"/>
  <c r="AJ4889" i="4"/>
  <c r="AL4880" i="4" l="1"/>
  <c r="AK4889" i="4"/>
  <c r="AI4889" i="4"/>
  <c r="AH4890" i="4"/>
  <c r="AJ4890" i="4"/>
  <c r="AL4881" i="4" l="1"/>
  <c r="AK4890" i="4"/>
  <c r="AI4890" i="4"/>
  <c r="AH4891" i="4"/>
  <c r="AJ4891" i="4"/>
  <c r="AL4882" i="4" l="1"/>
  <c r="AK4891" i="4"/>
  <c r="AI4891" i="4"/>
  <c r="AH4892" i="4"/>
  <c r="AJ4892" i="4"/>
  <c r="AL4883" i="4" l="1"/>
  <c r="AK4892" i="4"/>
  <c r="AI4892" i="4"/>
  <c r="AH4893" i="4"/>
  <c r="AJ4893" i="4"/>
  <c r="AL4884" i="4" l="1"/>
  <c r="AK4893" i="4"/>
  <c r="AI4893" i="4"/>
  <c r="AH4894" i="4"/>
  <c r="AJ4894" i="4"/>
  <c r="AL4885" i="4" l="1"/>
  <c r="AK4894" i="4"/>
  <c r="AI4894" i="4"/>
  <c r="AH4895" i="4"/>
  <c r="AJ4895" i="4"/>
  <c r="AL4886" i="4" l="1"/>
  <c r="AK4895" i="4"/>
  <c r="AI4895" i="4"/>
  <c r="AH4896" i="4"/>
  <c r="AJ4896" i="4"/>
  <c r="AL4887" i="4" l="1"/>
  <c r="AK4896" i="4"/>
  <c r="AI4896" i="4"/>
  <c r="AH4897" i="4"/>
  <c r="AJ4897" i="4"/>
  <c r="AL4888" i="4" l="1"/>
  <c r="AK4897" i="4"/>
  <c r="AI4897" i="4"/>
  <c r="AH4898" i="4"/>
  <c r="AJ4898" i="4"/>
  <c r="AL4889" i="4" l="1"/>
  <c r="AK4898" i="4"/>
  <c r="AI4898" i="4"/>
  <c r="AH4899" i="4"/>
  <c r="AJ4899" i="4"/>
  <c r="AL4890" i="4" l="1"/>
  <c r="AK4899" i="4"/>
  <c r="AI4899" i="4"/>
  <c r="AH4900" i="4"/>
  <c r="AJ4900" i="4"/>
  <c r="AL4891" i="4" l="1"/>
  <c r="AK4900" i="4"/>
  <c r="AI4900" i="4"/>
  <c r="AH4901" i="4"/>
  <c r="AJ4901" i="4"/>
  <c r="AL4892" i="4" l="1"/>
  <c r="AK4901" i="4"/>
  <c r="AI4901" i="4"/>
  <c r="AH4902" i="4"/>
  <c r="AJ4902" i="4"/>
  <c r="AL4893" i="4" l="1"/>
  <c r="AK4902" i="4"/>
  <c r="AI4902" i="4"/>
  <c r="AH4903" i="4"/>
  <c r="AJ4903" i="4"/>
  <c r="AL4894" i="4" l="1"/>
  <c r="AK4903" i="4"/>
  <c r="AI4903" i="4"/>
  <c r="AH4904" i="4"/>
  <c r="AJ4904" i="4"/>
  <c r="AL4895" i="4" l="1"/>
  <c r="AK4904" i="4"/>
  <c r="AI4904" i="4"/>
  <c r="AH4905" i="4"/>
  <c r="AJ4905" i="4"/>
  <c r="AL4896" i="4" l="1"/>
  <c r="AK4905" i="4"/>
  <c r="AI4905" i="4"/>
  <c r="AH4906" i="4"/>
  <c r="AJ4906" i="4"/>
  <c r="AL4897" i="4" l="1"/>
  <c r="AK4906" i="4"/>
  <c r="AI4906" i="4"/>
  <c r="AH4907" i="4"/>
  <c r="AJ4907" i="4"/>
  <c r="AL4898" i="4" l="1"/>
  <c r="AK4907" i="4"/>
  <c r="AI4907" i="4"/>
  <c r="AH4908" i="4"/>
  <c r="AJ4908" i="4"/>
  <c r="AL4899" i="4" l="1"/>
  <c r="AK4908" i="4"/>
  <c r="AI4908" i="4"/>
  <c r="AH4909" i="4"/>
  <c r="AJ4909" i="4"/>
  <c r="AL4900" i="4" l="1"/>
  <c r="AK4909" i="4"/>
  <c r="AI4909" i="4"/>
  <c r="AH4910" i="4"/>
  <c r="AJ4910" i="4"/>
  <c r="AL4901" i="4" l="1"/>
  <c r="AK4910" i="4"/>
  <c r="AI4910" i="4"/>
  <c r="AH4911" i="4"/>
  <c r="AJ4911" i="4"/>
  <c r="AL4902" i="4" l="1"/>
  <c r="AK4911" i="4"/>
  <c r="AI4911" i="4"/>
  <c r="AH4912" i="4"/>
  <c r="AJ4912" i="4"/>
  <c r="AL4903" i="4" l="1"/>
  <c r="AK4912" i="4"/>
  <c r="AI4912" i="4"/>
  <c r="AH4913" i="4"/>
  <c r="AJ4913" i="4"/>
  <c r="AL4904" i="4" l="1"/>
  <c r="AK4913" i="4"/>
  <c r="AI4913" i="4"/>
  <c r="AH4914" i="4"/>
  <c r="AJ4914" i="4"/>
  <c r="AL4905" i="4" l="1"/>
  <c r="AK4914" i="4"/>
  <c r="AI4914" i="4"/>
  <c r="AH4915" i="4"/>
  <c r="AJ4915" i="4"/>
  <c r="AL4906" i="4" l="1"/>
  <c r="AK4915" i="4"/>
  <c r="AI4915" i="4"/>
  <c r="AH4916" i="4"/>
  <c r="AJ4916" i="4"/>
  <c r="AL4907" i="4" l="1"/>
  <c r="AK4916" i="4"/>
  <c r="AI4916" i="4"/>
  <c r="AH4917" i="4"/>
  <c r="AJ4917" i="4"/>
  <c r="AL4908" i="4" l="1"/>
  <c r="AK4917" i="4"/>
  <c r="AI4917" i="4"/>
  <c r="AH4918" i="4"/>
  <c r="AJ4918" i="4"/>
  <c r="AL4909" i="4" l="1"/>
  <c r="AK4918" i="4"/>
  <c r="AI4918" i="4"/>
  <c r="AH4919" i="4"/>
  <c r="AJ4919" i="4"/>
  <c r="AL4910" i="4" l="1"/>
  <c r="AK4919" i="4"/>
  <c r="AI4919" i="4"/>
  <c r="AH4920" i="4"/>
  <c r="AJ4920" i="4"/>
  <c r="AL4911" i="4" l="1"/>
  <c r="AK4920" i="4"/>
  <c r="AI4920" i="4"/>
  <c r="AH4921" i="4"/>
  <c r="AJ4921" i="4"/>
  <c r="AL4912" i="4" l="1"/>
  <c r="AK4921" i="4"/>
  <c r="AI4921" i="4"/>
  <c r="AH4922" i="4"/>
  <c r="AJ4922" i="4"/>
  <c r="AL4913" i="4" l="1"/>
  <c r="AK4922" i="4"/>
  <c r="AI4922" i="4"/>
  <c r="AH4923" i="4"/>
  <c r="AJ4923" i="4"/>
  <c r="AL4914" i="4" l="1"/>
  <c r="AK4923" i="4"/>
  <c r="AI4923" i="4"/>
  <c r="AH4924" i="4"/>
  <c r="AJ4924" i="4"/>
  <c r="AL4915" i="4" l="1"/>
  <c r="AK4924" i="4"/>
  <c r="AI4924" i="4"/>
  <c r="AH4925" i="4"/>
  <c r="AJ4925" i="4"/>
  <c r="AL4916" i="4" l="1"/>
  <c r="AK4925" i="4"/>
  <c r="AI4925" i="4"/>
  <c r="AH4926" i="4"/>
  <c r="AJ4926" i="4"/>
  <c r="AL4917" i="4" l="1"/>
  <c r="AK4926" i="4"/>
  <c r="AI4926" i="4"/>
  <c r="AH4927" i="4"/>
  <c r="AJ4927" i="4"/>
  <c r="AL4918" i="4" l="1"/>
  <c r="AK4927" i="4"/>
  <c r="AI4927" i="4"/>
  <c r="AH4928" i="4"/>
  <c r="AJ4928" i="4"/>
  <c r="AL4919" i="4" l="1"/>
  <c r="AK4928" i="4"/>
  <c r="AI4928" i="4"/>
  <c r="AH4929" i="4"/>
  <c r="AJ4929" i="4"/>
  <c r="AL4920" i="4" l="1"/>
  <c r="AK4929" i="4"/>
  <c r="AI4929" i="4"/>
  <c r="AH4930" i="4"/>
  <c r="AJ4930" i="4"/>
  <c r="AL4921" i="4" l="1"/>
  <c r="AK4930" i="4"/>
  <c r="AI4930" i="4"/>
  <c r="AH4931" i="4"/>
  <c r="AJ4931" i="4"/>
  <c r="AL4922" i="4" l="1"/>
  <c r="AK4931" i="4"/>
  <c r="AI4931" i="4"/>
  <c r="AH4932" i="4"/>
  <c r="AJ4932" i="4"/>
  <c r="AL4923" i="4" l="1"/>
  <c r="AK4932" i="4"/>
  <c r="AI4932" i="4"/>
  <c r="AH4933" i="4"/>
  <c r="AJ4933" i="4"/>
  <c r="AL4924" i="4" l="1"/>
  <c r="AK4933" i="4"/>
  <c r="AI4933" i="4"/>
  <c r="AH4934" i="4"/>
  <c r="AJ4934" i="4"/>
  <c r="AL4925" i="4" l="1"/>
  <c r="AK4934" i="4"/>
  <c r="AI4934" i="4"/>
  <c r="AH4935" i="4"/>
  <c r="AJ4935" i="4"/>
  <c r="AL4926" i="4" l="1"/>
  <c r="AK4935" i="4"/>
  <c r="AI4935" i="4"/>
  <c r="AH4936" i="4"/>
  <c r="AJ4936" i="4"/>
  <c r="AL4927" i="4" l="1"/>
  <c r="AK4936" i="4"/>
  <c r="AI4936" i="4"/>
  <c r="AH4937" i="4"/>
  <c r="AJ4937" i="4"/>
  <c r="AL4928" i="4" l="1"/>
  <c r="AK4937" i="4"/>
  <c r="AI4937" i="4"/>
  <c r="AH4938" i="4"/>
  <c r="AJ4938" i="4"/>
  <c r="AL4929" i="4" l="1"/>
  <c r="AK4938" i="4"/>
  <c r="AI4938" i="4"/>
  <c r="AH4939" i="4"/>
  <c r="AJ4939" i="4"/>
  <c r="AL4930" i="4" l="1"/>
  <c r="AK4939" i="4"/>
  <c r="AI4939" i="4"/>
  <c r="AH4940" i="4"/>
  <c r="AJ4940" i="4"/>
  <c r="AL4931" i="4" l="1"/>
  <c r="AK4940" i="4"/>
  <c r="AI4940" i="4"/>
  <c r="AH4941" i="4"/>
  <c r="AJ4941" i="4"/>
  <c r="AL4932" i="4" l="1"/>
  <c r="AK4941" i="4"/>
  <c r="AI4941" i="4"/>
  <c r="AH4942" i="4"/>
  <c r="AJ4942" i="4"/>
  <c r="AL4933" i="4" l="1"/>
  <c r="AK4942" i="4"/>
  <c r="AI4942" i="4"/>
  <c r="AH4943" i="4"/>
  <c r="AJ4943" i="4"/>
  <c r="AL4934" i="4" l="1"/>
  <c r="AK4943" i="4"/>
  <c r="AI4943" i="4"/>
  <c r="AH4944" i="4"/>
  <c r="AJ4944" i="4"/>
  <c r="AL4935" i="4" l="1"/>
  <c r="AK4944" i="4"/>
  <c r="AI4944" i="4"/>
  <c r="AH4945" i="4"/>
  <c r="AJ4945" i="4"/>
  <c r="AL4936" i="4" l="1"/>
  <c r="AK4945" i="4"/>
  <c r="AI4945" i="4"/>
  <c r="AH4946" i="4"/>
  <c r="AJ4946" i="4"/>
  <c r="AL4937" i="4" l="1"/>
  <c r="AK4946" i="4"/>
  <c r="AI4946" i="4"/>
  <c r="AH4947" i="4"/>
  <c r="AJ4947" i="4"/>
  <c r="AL4938" i="4" l="1"/>
  <c r="AK4947" i="4"/>
  <c r="AI4947" i="4"/>
  <c r="AH4948" i="4"/>
  <c r="AJ4948" i="4"/>
  <c r="AL4939" i="4" l="1"/>
  <c r="AK4948" i="4"/>
  <c r="AI4948" i="4"/>
  <c r="AH4949" i="4"/>
  <c r="AJ4949" i="4"/>
  <c r="AL4940" i="4" l="1"/>
  <c r="AK4949" i="4"/>
  <c r="AI4949" i="4"/>
  <c r="AH4950" i="4"/>
  <c r="AJ4950" i="4"/>
  <c r="AL4941" i="4" l="1"/>
  <c r="AK4950" i="4"/>
  <c r="AI4950" i="4"/>
  <c r="AH4951" i="4"/>
  <c r="AJ4951" i="4"/>
  <c r="AL4942" i="4" l="1"/>
  <c r="AK4951" i="4"/>
  <c r="AI4951" i="4"/>
  <c r="AH4952" i="4"/>
  <c r="AJ4952" i="4"/>
  <c r="AL4943" i="4" l="1"/>
  <c r="AK4952" i="4"/>
  <c r="AI4952" i="4"/>
  <c r="AH4953" i="4"/>
  <c r="AJ4953" i="4"/>
  <c r="AL4944" i="4" l="1"/>
  <c r="AK4953" i="4"/>
  <c r="AI4953" i="4"/>
  <c r="AH4954" i="4"/>
  <c r="AJ4954" i="4"/>
  <c r="AL4945" i="4" l="1"/>
  <c r="AK4954" i="4"/>
  <c r="AI4954" i="4"/>
  <c r="AH4955" i="4"/>
  <c r="AJ4955" i="4"/>
  <c r="AL4946" i="4" l="1"/>
  <c r="AK4955" i="4"/>
  <c r="AI4955" i="4"/>
  <c r="AH4956" i="4"/>
  <c r="AJ4956" i="4"/>
  <c r="AL4947" i="4" l="1"/>
  <c r="AK4956" i="4"/>
  <c r="AI4956" i="4"/>
  <c r="AH4957" i="4"/>
  <c r="AJ4957" i="4"/>
  <c r="AL4948" i="4" l="1"/>
  <c r="AK4957" i="4"/>
  <c r="AI4957" i="4"/>
  <c r="AH4958" i="4"/>
  <c r="AJ4958" i="4"/>
  <c r="AL4949" i="4" l="1"/>
  <c r="AK4958" i="4"/>
  <c r="AI4958" i="4"/>
  <c r="AH4959" i="4"/>
  <c r="AJ4959" i="4"/>
  <c r="AL4950" i="4" l="1"/>
  <c r="AK4959" i="4"/>
  <c r="AI4959" i="4"/>
  <c r="AH4960" i="4"/>
  <c r="AJ4960" i="4"/>
  <c r="AL4951" i="4" l="1"/>
  <c r="AK4960" i="4"/>
  <c r="AI4960" i="4"/>
  <c r="AH4961" i="4"/>
  <c r="AJ4961" i="4"/>
  <c r="AL4952" i="4" l="1"/>
  <c r="AK4961" i="4"/>
  <c r="AI4961" i="4"/>
  <c r="AH4962" i="4"/>
  <c r="AJ4962" i="4"/>
  <c r="AL4953" i="4" l="1"/>
  <c r="AK4962" i="4"/>
  <c r="AI4962" i="4"/>
  <c r="AH4963" i="4"/>
  <c r="AJ4963" i="4"/>
  <c r="AL4954" i="4" l="1"/>
  <c r="AK4963" i="4"/>
  <c r="AI4963" i="4"/>
  <c r="AH4964" i="4"/>
  <c r="AJ4964" i="4"/>
  <c r="AL4955" i="4" l="1"/>
  <c r="AK4964" i="4"/>
  <c r="AI4964" i="4"/>
  <c r="AH4965" i="4"/>
  <c r="AJ4965" i="4"/>
  <c r="AL4956" i="4" l="1"/>
  <c r="AK4965" i="4"/>
  <c r="AI4965" i="4"/>
  <c r="AH4966" i="4"/>
  <c r="AJ4966" i="4"/>
  <c r="AL4957" i="4" l="1"/>
  <c r="AK4966" i="4"/>
  <c r="AI4966" i="4"/>
  <c r="AH4967" i="4"/>
  <c r="AJ4967" i="4"/>
  <c r="AL4958" i="4" l="1"/>
  <c r="AK4967" i="4"/>
  <c r="AI4967" i="4"/>
  <c r="AH4968" i="4"/>
  <c r="AJ4968" i="4"/>
  <c r="AL4959" i="4" l="1"/>
  <c r="AK4968" i="4"/>
  <c r="AI4968" i="4"/>
  <c r="AH4969" i="4"/>
  <c r="AJ4969" i="4"/>
  <c r="AL4960" i="4" l="1"/>
  <c r="AK4969" i="4"/>
  <c r="AI4969" i="4"/>
  <c r="AH4970" i="4"/>
  <c r="AJ4970" i="4"/>
  <c r="AL4961" i="4" l="1"/>
  <c r="AK4970" i="4"/>
  <c r="AI4970" i="4"/>
  <c r="AH4971" i="4"/>
  <c r="AJ4971" i="4"/>
  <c r="AL4962" i="4" l="1"/>
  <c r="AK4971" i="4"/>
  <c r="AI4971" i="4"/>
  <c r="AH4972" i="4"/>
  <c r="AJ4972" i="4"/>
  <c r="AL4963" i="4" l="1"/>
  <c r="AK4972" i="4"/>
  <c r="AI4972" i="4"/>
  <c r="AH4973" i="4"/>
  <c r="AJ4973" i="4"/>
  <c r="AL4964" i="4" l="1"/>
  <c r="AK4973" i="4"/>
  <c r="AI4973" i="4"/>
  <c r="AH4974" i="4"/>
  <c r="AJ4974" i="4"/>
  <c r="AL4965" i="4" l="1"/>
  <c r="AK4974" i="4"/>
  <c r="AI4974" i="4"/>
  <c r="AH4975" i="4"/>
  <c r="AJ4975" i="4"/>
  <c r="AL4966" i="4" l="1"/>
  <c r="AK4975" i="4"/>
  <c r="AI4975" i="4"/>
  <c r="AH4976" i="4"/>
  <c r="AJ4976" i="4"/>
  <c r="AL4967" i="4" l="1"/>
  <c r="AK4976" i="4"/>
  <c r="AI4976" i="4"/>
  <c r="AH4977" i="4"/>
  <c r="AJ4977" i="4"/>
  <c r="AL4968" i="4" l="1"/>
  <c r="AK4977" i="4"/>
  <c r="AI4977" i="4"/>
  <c r="AH4978" i="4"/>
  <c r="AJ4978" i="4"/>
  <c r="AL4969" i="4" l="1"/>
  <c r="AK4978" i="4"/>
  <c r="AI4978" i="4"/>
  <c r="AH4979" i="4"/>
  <c r="AJ4979" i="4"/>
  <c r="AL4970" i="4" l="1"/>
  <c r="AK4979" i="4"/>
  <c r="AI4979" i="4"/>
  <c r="AH4980" i="4"/>
  <c r="AJ4980" i="4"/>
  <c r="AL4971" i="4" l="1"/>
  <c r="AK4980" i="4"/>
  <c r="AI4980" i="4"/>
  <c r="AH4981" i="4"/>
  <c r="AJ4981" i="4"/>
  <c r="AL4972" i="4" l="1"/>
  <c r="AK4981" i="4"/>
  <c r="AI4981" i="4"/>
  <c r="AH4982" i="4"/>
  <c r="AJ4982" i="4"/>
  <c r="AL4973" i="4" l="1"/>
  <c r="AK4982" i="4"/>
  <c r="AI4982" i="4"/>
  <c r="AH4983" i="4"/>
  <c r="AJ4983" i="4"/>
  <c r="AL4974" i="4" l="1"/>
  <c r="AK4983" i="4"/>
  <c r="AI4983" i="4"/>
  <c r="AH4984" i="4"/>
  <c r="AJ4984" i="4"/>
  <c r="AL4975" i="4" l="1"/>
  <c r="AK4984" i="4"/>
  <c r="AI4984" i="4"/>
  <c r="AH4985" i="4"/>
  <c r="AJ4985" i="4"/>
  <c r="AL4976" i="4" l="1"/>
  <c r="AK4985" i="4"/>
  <c r="AI4985" i="4"/>
  <c r="AH4986" i="4"/>
  <c r="AJ4986" i="4"/>
  <c r="AL4977" i="4" l="1"/>
  <c r="AK4986" i="4"/>
  <c r="AI4986" i="4"/>
  <c r="AH4987" i="4"/>
  <c r="AJ4987" i="4"/>
  <c r="AL4978" i="4" l="1"/>
  <c r="AK4987" i="4"/>
  <c r="AI4987" i="4"/>
  <c r="AH4988" i="4"/>
  <c r="AJ4988" i="4"/>
  <c r="AL4979" i="4" l="1"/>
  <c r="AK4988" i="4"/>
  <c r="AI4988" i="4"/>
  <c r="AH4989" i="4"/>
  <c r="AJ4989" i="4"/>
  <c r="AL4980" i="4" l="1"/>
  <c r="AK4989" i="4"/>
  <c r="AI4989" i="4"/>
  <c r="AH4990" i="4"/>
  <c r="AJ4990" i="4"/>
  <c r="AL4981" i="4" l="1"/>
  <c r="AK4990" i="4"/>
  <c r="AI4990" i="4"/>
  <c r="AH4991" i="4"/>
  <c r="AJ4991" i="4"/>
  <c r="AL4982" i="4" l="1"/>
  <c r="AK4991" i="4"/>
  <c r="AI4991" i="4"/>
  <c r="AH4992" i="4"/>
  <c r="AJ4992" i="4"/>
  <c r="AL4983" i="4" l="1"/>
  <c r="AK4992" i="4"/>
  <c r="AI4992" i="4"/>
  <c r="AH4993" i="4"/>
  <c r="AJ4993" i="4"/>
  <c r="AL4984" i="4" l="1"/>
  <c r="AK4993" i="4"/>
  <c r="AI4993" i="4"/>
  <c r="AH4994" i="4"/>
  <c r="AJ4994" i="4"/>
  <c r="AL4985" i="4" l="1"/>
  <c r="AK4994" i="4"/>
  <c r="AI4994" i="4"/>
  <c r="AH4995" i="4"/>
  <c r="AJ4995" i="4"/>
  <c r="AL4986" i="4" l="1"/>
  <c r="AK4995" i="4"/>
  <c r="AI4995" i="4"/>
  <c r="AH4996" i="4"/>
  <c r="AJ4996" i="4"/>
  <c r="AL4987" i="4" l="1"/>
  <c r="AK4996" i="4"/>
  <c r="AI4996" i="4"/>
  <c r="AH4997" i="4"/>
  <c r="AJ4997" i="4"/>
  <c r="AL4988" i="4" l="1"/>
  <c r="AK4997" i="4"/>
  <c r="AI4997" i="4"/>
  <c r="AH4998" i="4"/>
  <c r="AJ4998" i="4"/>
  <c r="AL4989" i="4" l="1"/>
  <c r="AK4998" i="4"/>
  <c r="AI4998" i="4"/>
  <c r="AH4999" i="4"/>
  <c r="AJ4999" i="4"/>
  <c r="AL4990" i="4" l="1"/>
  <c r="AK4999" i="4"/>
  <c r="AI4999" i="4"/>
  <c r="AH5000" i="4"/>
  <c r="AJ5000" i="4"/>
  <c r="AL4991" i="4" l="1"/>
  <c r="AK5000" i="4"/>
  <c r="AI5000" i="4"/>
  <c r="AH5001" i="4"/>
  <c r="AJ5001" i="4"/>
  <c r="AL4992" i="4" l="1"/>
  <c r="AK5001" i="4"/>
  <c r="AI5001" i="4"/>
  <c r="AH5002" i="4"/>
  <c r="AJ5002" i="4"/>
  <c r="AL4993" i="4" l="1"/>
  <c r="AK5002" i="4"/>
  <c r="AI5002" i="4"/>
  <c r="AH5003" i="4"/>
  <c r="AJ5003" i="4"/>
  <c r="AL4994" i="4" l="1"/>
  <c r="AK5003" i="4"/>
  <c r="AI5003" i="4"/>
  <c r="AH5004" i="4"/>
  <c r="AJ5004" i="4"/>
  <c r="AL4995" i="4" l="1"/>
  <c r="AK5004" i="4"/>
  <c r="AI5004" i="4"/>
  <c r="AH5005" i="4"/>
  <c r="AJ5005" i="4"/>
  <c r="AL4996" i="4" l="1"/>
  <c r="AK5005" i="4"/>
  <c r="AI5005" i="4"/>
  <c r="AH5006" i="4"/>
  <c r="AJ5006" i="4"/>
  <c r="AL4997" i="4" l="1"/>
  <c r="AK5006" i="4"/>
  <c r="AI5006" i="4"/>
  <c r="AH5007" i="4"/>
  <c r="AJ5007" i="4"/>
  <c r="AL4998" i="4" l="1"/>
  <c r="AK5007" i="4"/>
  <c r="AI5007" i="4"/>
  <c r="AH5008" i="4"/>
  <c r="AJ5008" i="4"/>
  <c r="AL4999" i="4" l="1"/>
  <c r="AK5008" i="4"/>
  <c r="AI5008" i="4"/>
  <c r="AH5009" i="4"/>
  <c r="AJ5009" i="4"/>
  <c r="AL5000" i="4" l="1"/>
  <c r="AK5009" i="4"/>
  <c r="AI5009" i="4"/>
  <c r="AH5010" i="4"/>
  <c r="AJ5010" i="4"/>
  <c r="AL5001" i="4" l="1"/>
  <c r="AK5010" i="4"/>
  <c r="AI5010" i="4"/>
  <c r="AH5011" i="4"/>
  <c r="AJ5011" i="4"/>
  <c r="AL5002" i="4" l="1"/>
  <c r="AK5011" i="4"/>
  <c r="AI5011" i="4"/>
  <c r="AH5012" i="4"/>
  <c r="AJ5012" i="4"/>
  <c r="AL5003" i="4" l="1"/>
  <c r="AK5012" i="4"/>
  <c r="AI5012" i="4"/>
  <c r="AH5013" i="4"/>
  <c r="AJ5013" i="4"/>
  <c r="AL5004" i="4" l="1"/>
  <c r="AK5013" i="4"/>
  <c r="AI5013" i="4"/>
  <c r="AH5014" i="4"/>
  <c r="AJ5014" i="4"/>
  <c r="AL5005" i="4" l="1"/>
  <c r="AK5014" i="4"/>
  <c r="AI5014" i="4"/>
  <c r="AH5015" i="4"/>
  <c r="AJ5015" i="4"/>
  <c r="AL5006" i="4" l="1"/>
  <c r="AK5015" i="4"/>
  <c r="AI5015" i="4"/>
  <c r="AH5016" i="4"/>
  <c r="AJ5016" i="4"/>
  <c r="AL5007" i="4" l="1"/>
  <c r="AK5016" i="4"/>
  <c r="AI5016" i="4"/>
  <c r="AH5017" i="4"/>
  <c r="AJ5017" i="4"/>
  <c r="AL5008" i="4" l="1"/>
  <c r="AK5017" i="4"/>
  <c r="AI5017" i="4"/>
  <c r="AH5018" i="4"/>
  <c r="AJ5018" i="4"/>
  <c r="AL5009" i="4" l="1"/>
  <c r="AK5018" i="4"/>
  <c r="AI5018" i="4"/>
  <c r="AH5019" i="4"/>
  <c r="AJ5019" i="4"/>
  <c r="AL5010" i="4" l="1"/>
  <c r="AK5019" i="4"/>
  <c r="AI5019" i="4"/>
  <c r="AH5020" i="4"/>
  <c r="AJ5020" i="4"/>
  <c r="AL5011" i="4" l="1"/>
  <c r="AK5020" i="4"/>
  <c r="AI5020" i="4"/>
  <c r="AH5021" i="4"/>
  <c r="AJ5021" i="4"/>
  <c r="AL5012" i="4" l="1"/>
  <c r="AK5021" i="4"/>
  <c r="AI5021" i="4"/>
  <c r="AH5022" i="4"/>
  <c r="AJ5022" i="4"/>
  <c r="AL5013" i="4" l="1"/>
  <c r="AK5022" i="4"/>
  <c r="AI5022" i="4"/>
  <c r="AH5023" i="4"/>
  <c r="AJ5023" i="4"/>
  <c r="AL5014" i="4" l="1"/>
  <c r="AK5023" i="4"/>
  <c r="AI5023" i="4"/>
  <c r="AH5024" i="4"/>
  <c r="AJ5024" i="4"/>
  <c r="AL5015" i="4" l="1"/>
  <c r="AK5024" i="4"/>
  <c r="AI5024" i="4"/>
  <c r="AH5025" i="4"/>
  <c r="AJ5025" i="4"/>
  <c r="AL5016" i="4" l="1"/>
  <c r="AK5025" i="4"/>
  <c r="AI5025" i="4"/>
  <c r="AH5026" i="4"/>
  <c r="AJ5026" i="4"/>
  <c r="AL5017" i="4" l="1"/>
  <c r="AK5026" i="4"/>
  <c r="AI5026" i="4"/>
  <c r="AH5027" i="4"/>
  <c r="AJ5027" i="4"/>
  <c r="AL5018" i="4" l="1"/>
  <c r="AK5027" i="4"/>
  <c r="AI5027" i="4"/>
  <c r="AH5028" i="4"/>
  <c r="AJ5028" i="4"/>
  <c r="AL5019" i="4" l="1"/>
  <c r="AK5028" i="4"/>
  <c r="AI5028" i="4"/>
  <c r="AH5029" i="4"/>
  <c r="AJ5029" i="4"/>
  <c r="AL5020" i="4" l="1"/>
  <c r="AK5029" i="4"/>
  <c r="AI5029" i="4"/>
  <c r="AH5030" i="4"/>
  <c r="AJ5030" i="4"/>
  <c r="AL5021" i="4" l="1"/>
  <c r="AK5030" i="4"/>
  <c r="AI5030" i="4"/>
  <c r="AH5031" i="4"/>
  <c r="AJ5031" i="4"/>
  <c r="AL5022" i="4" l="1"/>
  <c r="AK5031" i="4"/>
  <c r="AI5031" i="4"/>
  <c r="AH5032" i="4"/>
  <c r="AJ5032" i="4"/>
  <c r="AL5023" i="4" l="1"/>
  <c r="AK5032" i="4"/>
  <c r="AI5032" i="4"/>
  <c r="AH5033" i="4"/>
  <c r="AJ5033" i="4"/>
  <c r="AL5024" i="4" l="1"/>
  <c r="AK5033" i="4"/>
  <c r="AI5033" i="4"/>
  <c r="AH5034" i="4"/>
  <c r="AJ5034" i="4"/>
  <c r="AL5025" i="4" l="1"/>
  <c r="AK5034" i="4"/>
  <c r="AI5034" i="4"/>
  <c r="AH5035" i="4"/>
  <c r="AJ5035" i="4"/>
  <c r="AL5026" i="4" l="1"/>
  <c r="AK5035" i="4"/>
  <c r="AI5035" i="4"/>
  <c r="AH5036" i="4"/>
  <c r="AJ5036" i="4"/>
  <c r="AL5027" i="4" l="1"/>
  <c r="AK5036" i="4"/>
  <c r="AI5036" i="4"/>
  <c r="AH5037" i="4"/>
  <c r="AJ5037" i="4"/>
  <c r="AL5028" i="4" l="1"/>
  <c r="AK5037" i="4"/>
  <c r="AI5037" i="4"/>
  <c r="AH5038" i="4"/>
  <c r="AJ5038" i="4"/>
  <c r="AL5029" i="4" l="1"/>
  <c r="AK5038" i="4"/>
  <c r="AI5038" i="4"/>
  <c r="AH5039" i="4"/>
  <c r="AJ5039" i="4"/>
  <c r="AL5030" i="4" l="1"/>
  <c r="AK5039" i="4"/>
  <c r="AI5039" i="4"/>
  <c r="AH5040" i="4"/>
  <c r="AJ5040" i="4"/>
  <c r="AL5031" i="4" l="1"/>
  <c r="AK5040" i="4"/>
  <c r="AI5040" i="4"/>
  <c r="AH5041" i="4"/>
  <c r="AJ5041" i="4"/>
  <c r="AL5032" i="4" l="1"/>
  <c r="AK5041" i="4"/>
  <c r="AI5041" i="4"/>
  <c r="AH5042" i="4"/>
  <c r="AJ5042" i="4"/>
  <c r="AL5033" i="4" l="1"/>
  <c r="AK5042" i="4"/>
  <c r="AI5042" i="4"/>
  <c r="AH5043" i="4"/>
  <c r="AJ5043" i="4"/>
  <c r="AL5034" i="4" l="1"/>
  <c r="AK5043" i="4"/>
  <c r="AI5043" i="4"/>
  <c r="AH5044" i="4"/>
  <c r="AJ5044" i="4"/>
  <c r="AL5035" i="4" l="1"/>
  <c r="AK5044" i="4"/>
  <c r="AI5044" i="4"/>
  <c r="AH5045" i="4"/>
  <c r="AJ5045" i="4"/>
  <c r="AL5036" i="4" l="1"/>
  <c r="AK5045" i="4"/>
  <c r="AI5045" i="4"/>
  <c r="AH5046" i="4"/>
  <c r="AJ5046" i="4"/>
  <c r="AL5037" i="4" l="1"/>
  <c r="AK5046" i="4"/>
  <c r="AI5046" i="4"/>
  <c r="AH5047" i="4"/>
  <c r="AJ5047" i="4"/>
  <c r="AL5038" i="4" l="1"/>
  <c r="AK5047" i="4"/>
  <c r="AI5047" i="4"/>
  <c r="AH5048" i="4"/>
  <c r="AJ5048" i="4"/>
  <c r="AL5039" i="4" l="1"/>
  <c r="AK5048" i="4"/>
  <c r="AI5048" i="4"/>
  <c r="AH5049" i="4"/>
  <c r="AJ5049" i="4"/>
  <c r="AL5040" i="4" l="1"/>
  <c r="AK5049" i="4"/>
  <c r="AI5049" i="4"/>
  <c r="AH5050" i="4"/>
  <c r="AJ5050" i="4"/>
  <c r="AL5041" i="4" l="1"/>
  <c r="AK5050" i="4"/>
  <c r="AI5050" i="4"/>
  <c r="AH5051" i="4"/>
  <c r="AJ5051" i="4"/>
  <c r="AL5042" i="4" l="1"/>
  <c r="AK5051" i="4"/>
  <c r="AI5051" i="4"/>
  <c r="AH5052" i="4"/>
  <c r="AJ5052" i="4"/>
  <c r="AL5043" i="4" l="1"/>
  <c r="AK5052" i="4"/>
  <c r="AI5052" i="4"/>
  <c r="AH5053" i="4"/>
  <c r="AJ5053" i="4"/>
  <c r="AL5044" i="4" l="1"/>
  <c r="AK5053" i="4"/>
  <c r="AI5053" i="4"/>
  <c r="AH5054" i="4"/>
  <c r="AJ5054" i="4"/>
  <c r="AL5045" i="4" l="1"/>
  <c r="AK5054" i="4"/>
  <c r="AI5054" i="4"/>
  <c r="AH5055" i="4"/>
  <c r="AJ5055" i="4"/>
  <c r="AL5046" i="4" l="1"/>
  <c r="AK5055" i="4"/>
  <c r="AI5055" i="4"/>
  <c r="AH5056" i="4"/>
  <c r="AJ5056" i="4"/>
  <c r="AL5047" i="4" l="1"/>
  <c r="AK5056" i="4"/>
  <c r="AI5056" i="4"/>
  <c r="AH5057" i="4"/>
  <c r="AJ5057" i="4"/>
  <c r="AL5048" i="4" l="1"/>
  <c r="AK5057" i="4"/>
  <c r="AI5057" i="4"/>
  <c r="AH5058" i="4"/>
  <c r="AJ5058" i="4"/>
  <c r="AL5049" i="4" l="1"/>
  <c r="AK5058" i="4"/>
  <c r="AI5058" i="4"/>
  <c r="AH5059" i="4"/>
  <c r="AJ5059" i="4"/>
  <c r="AL5050" i="4" l="1"/>
  <c r="AK5059" i="4"/>
  <c r="AI5059" i="4"/>
  <c r="AH5060" i="4"/>
  <c r="AJ5060" i="4"/>
  <c r="AL5051" i="4" l="1"/>
  <c r="AK5060" i="4"/>
  <c r="AI5060" i="4"/>
  <c r="AH5061" i="4"/>
  <c r="AJ5061" i="4"/>
  <c r="AL5052" i="4" l="1"/>
  <c r="AK5061" i="4"/>
  <c r="AI5061" i="4"/>
  <c r="AH5062" i="4"/>
  <c r="AJ5062" i="4"/>
  <c r="AL5053" i="4" l="1"/>
  <c r="AK5062" i="4"/>
  <c r="AI5062" i="4"/>
  <c r="AH5063" i="4"/>
  <c r="AJ5063" i="4"/>
  <c r="AL5054" i="4" l="1"/>
  <c r="AK5063" i="4"/>
  <c r="AI5063" i="4"/>
  <c r="AH5064" i="4"/>
  <c r="AJ5064" i="4"/>
  <c r="AL5055" i="4" l="1"/>
  <c r="AK5064" i="4"/>
  <c r="AI5064" i="4"/>
  <c r="AH5065" i="4"/>
  <c r="AJ5065" i="4"/>
  <c r="AL5056" i="4" l="1"/>
  <c r="AK5065" i="4"/>
  <c r="AI5065" i="4"/>
  <c r="AH5066" i="4"/>
  <c r="AJ5066" i="4"/>
  <c r="AL5057" i="4" l="1"/>
  <c r="AK5066" i="4"/>
  <c r="AI5066" i="4"/>
  <c r="AH5067" i="4"/>
  <c r="AJ5067" i="4"/>
  <c r="AL5058" i="4" l="1"/>
  <c r="AK5067" i="4"/>
  <c r="AI5067" i="4"/>
  <c r="AH5068" i="4"/>
  <c r="AJ5068" i="4"/>
  <c r="AL5059" i="4" l="1"/>
  <c r="AK5068" i="4"/>
  <c r="AI5068" i="4"/>
  <c r="AH5069" i="4"/>
  <c r="AJ5069" i="4"/>
  <c r="AL5060" i="4" l="1"/>
  <c r="AK5069" i="4"/>
  <c r="AI5069" i="4"/>
  <c r="AH5070" i="4"/>
  <c r="AJ5070" i="4"/>
  <c r="AL5061" i="4" l="1"/>
  <c r="AK5070" i="4"/>
  <c r="AI5070" i="4"/>
  <c r="AH5071" i="4"/>
  <c r="AJ5071" i="4"/>
  <c r="AL5062" i="4" l="1"/>
  <c r="AK5071" i="4"/>
  <c r="AI5071" i="4"/>
  <c r="AH5072" i="4"/>
  <c r="AR35" i="4"/>
  <c r="AJ5072" i="4"/>
  <c r="AL5063" i="4" l="1"/>
  <c r="AK5072" i="4"/>
  <c r="AI5072" i="4"/>
  <c r="AH5073" i="4"/>
  <c r="AR36" i="4"/>
  <c r="AJ5073" i="4"/>
  <c r="AL5064" i="4" l="1"/>
  <c r="AK5073" i="4"/>
  <c r="AI5073" i="4"/>
  <c r="AH5074" i="4"/>
  <c r="AR37" i="4"/>
  <c r="AJ5074" i="4"/>
  <c r="AL5065" i="4" l="1"/>
  <c r="AK5074" i="4"/>
  <c r="AI5074" i="4"/>
  <c r="AH5075" i="4"/>
  <c r="AR38" i="4"/>
  <c r="AJ5075" i="4"/>
  <c r="AL5066" i="4" l="1"/>
  <c r="AK5075" i="4"/>
  <c r="AI5075" i="4"/>
  <c r="AH5076" i="4"/>
  <c r="AR39" i="4"/>
  <c r="AJ5076" i="4"/>
  <c r="AL5067" i="4" l="1"/>
  <c r="AK5076" i="4"/>
  <c r="AI5076" i="4"/>
  <c r="AH5077" i="4"/>
  <c r="AR40" i="4"/>
  <c r="AJ5077" i="4"/>
  <c r="AL5068" i="4" l="1"/>
  <c r="AK5077" i="4"/>
  <c r="AI5077" i="4"/>
  <c r="AH5078" i="4"/>
  <c r="AR41" i="4"/>
  <c r="AJ5078" i="4"/>
  <c r="AL5069" i="4" l="1"/>
  <c r="AK5078" i="4"/>
  <c r="AI5078" i="4"/>
  <c r="AH5079" i="4"/>
  <c r="AR42" i="4"/>
  <c r="AJ5079" i="4"/>
  <c r="AL5070" i="4" l="1"/>
  <c r="AK5079" i="4"/>
  <c r="AI5079" i="4"/>
  <c r="AH5080" i="4"/>
  <c r="AR43" i="4"/>
  <c r="AJ5080" i="4"/>
  <c r="AS155" i="4"/>
  <c r="AL5071" i="4" l="1"/>
  <c r="AK5080" i="4"/>
  <c r="AI5080" i="4"/>
  <c r="AH5081" i="4"/>
  <c r="AR44" i="4"/>
  <c r="AJ5081" i="4"/>
  <c r="AL5072" i="4" l="1"/>
  <c r="AK5081" i="4"/>
  <c r="AI5081" i="4"/>
  <c r="AH5082" i="4"/>
  <c r="AR45" i="4"/>
  <c r="AJ5082" i="4"/>
  <c r="AL5073" i="4" l="1"/>
  <c r="AK5082" i="4"/>
  <c r="AI5082" i="4"/>
  <c r="AH5083" i="4"/>
  <c r="AR46" i="4"/>
  <c r="AJ5083" i="4"/>
  <c r="AL5074" i="4" l="1"/>
  <c r="AK5083" i="4"/>
  <c r="AI5083" i="4"/>
  <c r="AH5084" i="4"/>
  <c r="AR47" i="4"/>
  <c r="AJ5084" i="4"/>
  <c r="AL5075" i="4" l="1"/>
  <c r="AK5084" i="4"/>
  <c r="AI5084" i="4"/>
  <c r="AH5085" i="4"/>
  <c r="AR48" i="4"/>
  <c r="AJ5085" i="4"/>
  <c r="AL5076" i="4" l="1"/>
  <c r="AK5085" i="4"/>
  <c r="AI5085" i="4"/>
  <c r="AH5086" i="4"/>
  <c r="AR49" i="4"/>
  <c r="AJ5086" i="4"/>
  <c r="AL5077" i="4" l="1"/>
  <c r="AK5086" i="4"/>
  <c r="AI5086" i="4"/>
  <c r="AH5087" i="4"/>
  <c r="AR50" i="4"/>
  <c r="AJ5087" i="4"/>
  <c r="AL5078" i="4" l="1"/>
  <c r="AK5087" i="4"/>
  <c r="AI5087" i="4"/>
  <c r="AH5088" i="4"/>
  <c r="AR51" i="4"/>
  <c r="AJ5088" i="4"/>
  <c r="AL5079" i="4" l="1"/>
  <c r="AK5088" i="4"/>
  <c r="AI5088" i="4"/>
  <c r="AH5089" i="4"/>
  <c r="AR52" i="4"/>
  <c r="AJ5089" i="4"/>
  <c r="AL5080" i="4" l="1"/>
  <c r="AK5089" i="4"/>
  <c r="AI5089" i="4"/>
  <c r="AH5090" i="4"/>
  <c r="AR53" i="4"/>
  <c r="AJ5090" i="4"/>
  <c r="AL5081" i="4" l="1"/>
  <c r="AK5090" i="4"/>
  <c r="AI5090" i="4"/>
  <c r="AH5091" i="4"/>
  <c r="AR54" i="4"/>
  <c r="AJ5091" i="4"/>
  <c r="AL5082" i="4" l="1"/>
  <c r="AK5091" i="4"/>
  <c r="AI5091" i="4"/>
  <c r="AH5092" i="4"/>
  <c r="AR55" i="4"/>
  <c r="AJ5092" i="4"/>
  <c r="H8" i="4" l="1"/>
  <c r="AL5083" i="4"/>
  <c r="AK5092" i="4"/>
  <c r="AI5092" i="4"/>
  <c r="AH5093" i="4"/>
  <c r="AR56" i="4"/>
  <c r="AJ5093" i="4"/>
  <c r="AL5084" i="4" l="1"/>
  <c r="AK5093" i="4"/>
  <c r="AI5093" i="4"/>
  <c r="AH5094" i="4"/>
  <c r="AR57" i="4"/>
  <c r="AJ5094" i="4"/>
  <c r="AL5085" i="4" l="1"/>
  <c r="AK5094" i="4"/>
  <c r="AI5094" i="4"/>
  <c r="AH5095" i="4"/>
  <c r="AR58" i="4"/>
  <c r="AJ5095" i="4"/>
  <c r="AL5086" i="4" l="1"/>
  <c r="AK5095" i="4"/>
  <c r="AI5095" i="4"/>
  <c r="AH5096" i="4"/>
  <c r="AR59" i="4"/>
  <c r="AJ5096" i="4"/>
  <c r="AL5087" i="4" l="1"/>
  <c r="AK5096" i="4"/>
  <c r="AI5096" i="4"/>
  <c r="AH5097" i="4"/>
  <c r="AR60" i="4"/>
  <c r="AJ5097" i="4"/>
  <c r="AL5088" i="4" l="1"/>
  <c r="AK5097" i="4"/>
  <c r="AI5097" i="4"/>
  <c r="AH5098" i="4"/>
  <c r="AR61" i="4"/>
  <c r="AJ5098" i="4"/>
  <c r="AL5089" i="4" l="1"/>
  <c r="AK5098" i="4"/>
  <c r="AI5098" i="4"/>
  <c r="AH5099" i="4"/>
  <c r="AR62" i="4"/>
  <c r="AJ5099" i="4"/>
  <c r="AL5090" i="4" l="1"/>
  <c r="AK5099" i="4"/>
  <c r="AI5099" i="4"/>
  <c r="AH5100" i="4"/>
  <c r="AR63" i="4"/>
  <c r="AJ5100" i="4"/>
  <c r="AL5091" i="4" l="1"/>
  <c r="AK5100" i="4"/>
  <c r="AI5100" i="4"/>
  <c r="AH5101" i="4"/>
  <c r="AR64" i="4"/>
  <c r="AJ5101" i="4"/>
  <c r="AL5092" i="4" l="1"/>
  <c r="AK5101" i="4"/>
  <c r="AI5101" i="4"/>
  <c r="AH5102" i="4"/>
  <c r="AR65" i="4"/>
  <c r="AJ5102" i="4"/>
  <c r="AL5093" i="4" l="1"/>
  <c r="AK5102" i="4"/>
  <c r="AI5102" i="4"/>
  <c r="AH5103" i="4"/>
  <c r="AR66" i="4"/>
  <c r="AJ5103" i="4"/>
  <c r="AL5094" i="4" l="1"/>
  <c r="AK5103" i="4"/>
  <c r="AI5103" i="4"/>
  <c r="AH5104" i="4"/>
  <c r="AR67" i="4"/>
  <c r="AJ5104" i="4"/>
  <c r="AL5095" i="4" l="1"/>
  <c r="AK5104" i="4"/>
  <c r="AI5104" i="4"/>
  <c r="AH5105" i="4"/>
  <c r="AR68" i="4"/>
  <c r="AJ5105" i="4"/>
  <c r="AL5096" i="4" l="1"/>
  <c r="AK5105" i="4"/>
  <c r="AI5105" i="4"/>
  <c r="AH5106" i="4"/>
  <c r="AR69" i="4"/>
  <c r="AJ5106" i="4"/>
  <c r="AL5097" i="4" l="1"/>
  <c r="AK5106" i="4"/>
  <c r="AI5106" i="4"/>
  <c r="AH5107" i="4"/>
  <c r="AR70" i="4"/>
  <c r="AJ5107" i="4"/>
  <c r="AL5098" i="4" l="1"/>
  <c r="AK5107" i="4"/>
  <c r="AI5107" i="4"/>
  <c r="AH5108" i="4"/>
  <c r="AR71" i="4"/>
  <c r="AJ5108" i="4"/>
  <c r="AL5099" i="4" l="1"/>
  <c r="AK5108" i="4"/>
  <c r="AI5108" i="4"/>
  <c r="AH5109" i="4"/>
  <c r="AR72" i="4"/>
  <c r="AJ5109" i="4"/>
  <c r="AL5100" i="4" l="1"/>
  <c r="AK5109" i="4"/>
  <c r="AI5109" i="4"/>
  <c r="AH5110" i="4"/>
  <c r="AR73" i="4"/>
  <c r="AJ5110" i="4"/>
  <c r="AL5101" i="4" l="1"/>
  <c r="AK5110" i="4"/>
  <c r="AI5110" i="4"/>
  <c r="AH5111" i="4"/>
  <c r="AR74" i="4"/>
  <c r="AJ5111" i="4"/>
  <c r="AL5102" i="4" l="1"/>
  <c r="AK5111" i="4"/>
  <c r="AI5111" i="4"/>
  <c r="AH5112" i="4"/>
  <c r="AR75" i="4"/>
  <c r="AJ5112" i="4"/>
  <c r="AL5103" i="4" l="1"/>
  <c r="AK5112" i="4"/>
  <c r="AI5112" i="4"/>
  <c r="AH5113" i="4"/>
  <c r="AR76" i="4"/>
  <c r="AJ5113" i="4"/>
  <c r="AL5104" i="4" l="1"/>
  <c r="AK5113" i="4"/>
  <c r="AI5113" i="4"/>
  <c r="AH5114" i="4"/>
  <c r="AR77" i="4"/>
  <c r="AJ5114" i="4"/>
  <c r="AL5105" i="4" l="1"/>
  <c r="AK5114" i="4"/>
  <c r="AI5114" i="4"/>
  <c r="AH5115" i="4"/>
  <c r="AR78" i="4"/>
  <c r="AJ5115" i="4"/>
  <c r="AL5106" i="4" l="1"/>
  <c r="AK5115" i="4"/>
  <c r="AI5115" i="4"/>
  <c r="AH5116" i="4"/>
  <c r="AR79" i="4"/>
  <c r="AJ5116" i="4"/>
  <c r="AL5107" i="4" l="1"/>
  <c r="AK5116" i="4"/>
  <c r="AI5116" i="4"/>
  <c r="AH5117" i="4"/>
  <c r="AR80" i="4"/>
  <c r="AJ5117" i="4"/>
  <c r="AL5108" i="4" l="1"/>
  <c r="AK5117" i="4"/>
  <c r="AI5117" i="4"/>
  <c r="AH5118" i="4"/>
  <c r="AR81" i="4"/>
  <c r="AJ5118" i="4"/>
  <c r="AL5109" i="4" l="1"/>
  <c r="AK5118" i="4"/>
  <c r="AI5118" i="4"/>
  <c r="AH5119" i="4"/>
  <c r="AR82" i="4"/>
  <c r="AJ5119" i="4"/>
  <c r="AL5110" i="4" l="1"/>
  <c r="AK5119" i="4"/>
  <c r="AI5119" i="4"/>
  <c r="AH5120" i="4"/>
  <c r="AR83" i="4"/>
  <c r="AJ5120" i="4"/>
  <c r="AL5111" i="4" l="1"/>
  <c r="AK5120" i="4"/>
  <c r="AI5120" i="4"/>
  <c r="AH5121" i="4"/>
  <c r="AR84" i="4"/>
  <c r="AJ5121" i="4"/>
  <c r="AL5112" i="4" l="1"/>
  <c r="AK5121" i="4"/>
  <c r="AI5121" i="4"/>
  <c r="AH5122" i="4"/>
  <c r="AR85" i="4"/>
  <c r="AJ5122" i="4"/>
  <c r="AL5113" i="4" l="1"/>
  <c r="AK5122" i="4"/>
  <c r="AI5122" i="4"/>
  <c r="AH5123" i="4"/>
  <c r="AR86" i="4"/>
  <c r="AJ5123" i="4"/>
  <c r="AL5114" i="4" l="1"/>
  <c r="AK5123" i="4"/>
  <c r="AI5123" i="4"/>
  <c r="AH5124" i="4"/>
  <c r="AR87" i="4"/>
  <c r="AJ5124" i="4"/>
  <c r="AL5115" i="4" l="1"/>
  <c r="AK5124" i="4"/>
  <c r="AI5124" i="4"/>
  <c r="AH5125" i="4"/>
  <c r="AR88" i="4"/>
  <c r="AJ5125" i="4"/>
  <c r="AL5116" i="4" l="1"/>
  <c r="AK5125" i="4"/>
  <c r="AI5125" i="4"/>
  <c r="AH5126" i="4"/>
  <c r="AR89" i="4"/>
  <c r="AJ5126" i="4"/>
  <c r="AL5117" i="4" l="1"/>
  <c r="AK5126" i="4"/>
  <c r="AI5126" i="4"/>
  <c r="AH5127" i="4"/>
  <c r="AR90" i="4"/>
  <c r="AJ5127" i="4"/>
  <c r="AL5118" i="4" l="1"/>
  <c r="AK5127" i="4"/>
  <c r="AI5127" i="4"/>
  <c r="AH5128" i="4"/>
  <c r="AR91" i="4"/>
  <c r="AJ5128" i="4"/>
  <c r="AL5119" i="4" l="1"/>
  <c r="AK5128" i="4"/>
  <c r="AI5128" i="4"/>
  <c r="AH5129" i="4"/>
  <c r="AR92" i="4"/>
  <c r="AJ5129" i="4"/>
  <c r="AL5120" i="4" l="1"/>
  <c r="AK5129" i="4"/>
  <c r="AI5129" i="4"/>
  <c r="AH5130" i="4"/>
  <c r="AR93" i="4"/>
  <c r="AJ5130" i="4"/>
  <c r="AL5121" i="4" l="1"/>
  <c r="AK5130" i="4"/>
  <c r="AI5130" i="4"/>
  <c r="AH5131" i="4"/>
  <c r="AR94" i="4"/>
  <c r="AJ5131" i="4"/>
  <c r="AL5122" i="4" l="1"/>
  <c r="AK5131" i="4"/>
  <c r="AI5131" i="4"/>
  <c r="AH5132" i="4"/>
  <c r="AR95" i="4"/>
  <c r="AJ5132" i="4"/>
  <c r="AL5123" i="4" l="1"/>
  <c r="AK5132" i="4"/>
  <c r="AI5132" i="4"/>
  <c r="AH5133" i="4"/>
  <c r="AR96" i="4"/>
  <c r="AJ5133" i="4"/>
  <c r="AL5124" i="4" l="1"/>
  <c r="AK5133" i="4"/>
  <c r="AI5133" i="4"/>
  <c r="AH5134" i="4"/>
  <c r="AR97" i="4"/>
  <c r="AJ5134" i="4"/>
  <c r="AL5125" i="4" l="1"/>
  <c r="AK5134" i="4"/>
  <c r="AI5134" i="4"/>
  <c r="AH5135" i="4"/>
  <c r="AR98" i="4"/>
  <c r="AJ5135" i="4"/>
  <c r="AL5126" i="4" l="1"/>
  <c r="AK5135" i="4"/>
  <c r="AI5135" i="4"/>
  <c r="AH5136" i="4"/>
  <c r="AR99" i="4"/>
  <c r="AJ5136" i="4"/>
  <c r="AL5127" i="4" l="1"/>
  <c r="AK5136" i="4"/>
  <c r="AI5136" i="4"/>
  <c r="AH5137" i="4"/>
  <c r="AR100" i="4"/>
  <c r="AJ5137" i="4"/>
  <c r="AL5128" i="4" l="1"/>
  <c r="AK5137" i="4"/>
  <c r="AI5137" i="4"/>
  <c r="AH5138" i="4"/>
  <c r="AR101" i="4"/>
  <c r="AJ5138" i="4"/>
  <c r="AL5129" i="4" l="1"/>
  <c r="AK5138" i="4"/>
  <c r="AI5138" i="4"/>
  <c r="AH5139" i="4"/>
  <c r="AR102" i="4"/>
  <c r="AJ5139" i="4"/>
  <c r="AL5130" i="4" l="1"/>
  <c r="AK5139" i="4"/>
  <c r="AI5139" i="4"/>
  <c r="AH5140" i="4"/>
  <c r="AR103" i="4"/>
  <c r="AJ5140" i="4"/>
  <c r="AL5131" i="4" l="1"/>
  <c r="AK5140" i="4"/>
  <c r="AI5140" i="4"/>
  <c r="AH5141" i="4"/>
  <c r="AR104" i="4"/>
  <c r="AJ5141" i="4"/>
  <c r="AL5132" i="4" l="1"/>
  <c r="AK5141" i="4"/>
  <c r="AI5141" i="4"/>
  <c r="AH5142" i="4"/>
  <c r="AR105" i="4"/>
  <c r="AJ5142" i="4"/>
  <c r="AL5133" i="4" l="1"/>
  <c r="AK5142" i="4"/>
  <c r="AI5142" i="4"/>
  <c r="AH5143" i="4"/>
  <c r="AR106" i="4"/>
  <c r="AJ5143" i="4"/>
  <c r="AL5134" i="4" l="1"/>
  <c r="AK5143" i="4"/>
  <c r="AI5143" i="4"/>
  <c r="AH5144" i="4"/>
  <c r="AR107" i="4"/>
  <c r="AJ5144" i="4"/>
  <c r="AL5135" i="4" l="1"/>
  <c r="AK5144" i="4"/>
  <c r="AI5144" i="4"/>
  <c r="AH5145" i="4"/>
  <c r="AR108" i="4"/>
  <c r="AJ5145" i="4"/>
  <c r="AL5136" i="4" l="1"/>
  <c r="AK5145" i="4"/>
  <c r="AI5145" i="4"/>
  <c r="AH5146" i="4"/>
  <c r="AR109" i="4"/>
  <c r="AJ5146" i="4"/>
  <c r="AL5137" i="4" l="1"/>
  <c r="AK5146" i="4"/>
  <c r="AI5146" i="4"/>
  <c r="AH5147" i="4"/>
  <c r="AR110" i="4"/>
  <c r="AJ5147" i="4"/>
  <c r="AL5138" i="4" l="1"/>
  <c r="AK5147" i="4"/>
  <c r="AI5147" i="4"/>
  <c r="AH5148" i="4"/>
  <c r="AR111" i="4"/>
  <c r="AJ5148" i="4"/>
  <c r="AL5139" i="4" l="1"/>
  <c r="AK5148" i="4"/>
  <c r="AI5148" i="4"/>
  <c r="AH5149" i="4"/>
  <c r="AR112" i="4"/>
  <c r="AJ5149" i="4"/>
  <c r="AL5140" i="4" l="1"/>
  <c r="AK5149" i="4"/>
  <c r="AI5149" i="4"/>
  <c r="AH5150" i="4"/>
  <c r="AR113" i="4"/>
  <c r="AJ5150" i="4"/>
  <c r="AL5141" i="4" l="1"/>
  <c r="AK5150" i="4"/>
  <c r="AI5150" i="4"/>
  <c r="AH5151" i="4"/>
  <c r="AR114" i="4"/>
  <c r="AJ5151" i="4"/>
  <c r="AL5142" i="4" l="1"/>
  <c r="AK5151" i="4"/>
  <c r="AI5151" i="4"/>
  <c r="AH5152" i="4"/>
  <c r="AR115" i="4"/>
  <c r="AJ5152" i="4"/>
  <c r="AL5143" i="4" l="1"/>
  <c r="AK5152" i="4"/>
  <c r="AI5152" i="4"/>
  <c r="AH5153" i="4"/>
  <c r="AR116" i="4"/>
  <c r="AJ5153" i="4"/>
  <c r="AL5144" i="4" l="1"/>
  <c r="AK5153" i="4"/>
  <c r="AI5153" i="4"/>
  <c r="AH5154" i="4"/>
  <c r="AR117" i="4"/>
  <c r="AJ5154" i="4"/>
  <c r="AL5145" i="4" l="1"/>
  <c r="AK5154" i="4"/>
  <c r="AI5154" i="4"/>
  <c r="AH5155" i="4"/>
  <c r="AR118" i="4"/>
  <c r="AJ5155" i="4"/>
  <c r="AL5146" i="4" l="1"/>
  <c r="AK5155" i="4"/>
  <c r="AI5155" i="4"/>
  <c r="AH5156" i="4"/>
  <c r="AR119" i="4"/>
  <c r="AJ5156" i="4"/>
  <c r="AL5147" i="4" l="1"/>
  <c r="AK5156" i="4"/>
  <c r="AI5156" i="4"/>
  <c r="AH5157" i="4"/>
  <c r="AR120" i="4"/>
  <c r="AJ5157" i="4"/>
  <c r="AL5148" i="4" l="1"/>
  <c r="AK5157" i="4"/>
  <c r="AI5157" i="4"/>
  <c r="AH5158" i="4"/>
  <c r="AR121" i="4"/>
  <c r="AJ5158" i="4"/>
  <c r="AL5149" i="4" l="1"/>
  <c r="AK5158" i="4"/>
  <c r="AI5158" i="4"/>
  <c r="AH5159" i="4"/>
  <c r="AR122" i="4"/>
  <c r="AJ5159" i="4"/>
  <c r="AL5150" i="4" l="1"/>
  <c r="AK5159" i="4"/>
  <c r="AI5159" i="4"/>
  <c r="AH5160" i="4"/>
  <c r="AR123" i="4"/>
  <c r="AJ5160" i="4"/>
  <c r="AL5151" i="4" l="1"/>
  <c r="AK5160" i="4"/>
  <c r="AI5160" i="4"/>
  <c r="AH5161" i="4"/>
  <c r="AR124" i="4"/>
  <c r="AJ5161" i="4"/>
  <c r="AL5152" i="4" l="1"/>
  <c r="AK5161" i="4"/>
  <c r="AI5161" i="4"/>
  <c r="AH5162" i="4"/>
  <c r="AR125" i="4"/>
  <c r="AJ5162" i="4"/>
  <c r="AL5153" i="4" l="1"/>
  <c r="AK5162" i="4"/>
  <c r="AI5162" i="4"/>
  <c r="AH5163" i="4"/>
  <c r="AR126" i="4"/>
  <c r="AJ5163" i="4"/>
  <c r="AL5154" i="4" l="1"/>
  <c r="AK5163" i="4"/>
  <c r="AI5163" i="4"/>
  <c r="AH5164" i="4"/>
  <c r="AR127" i="4"/>
  <c r="AJ5164" i="4"/>
  <c r="AL5155" i="4" l="1"/>
  <c r="AK5164" i="4"/>
  <c r="AI5164" i="4"/>
  <c r="AH5165" i="4"/>
  <c r="AR128" i="4"/>
  <c r="AJ5165" i="4"/>
  <c r="AL5156" i="4" l="1"/>
  <c r="AK5165" i="4"/>
  <c r="AI5165" i="4"/>
  <c r="AH5166" i="4"/>
  <c r="AR129" i="4"/>
  <c r="AJ5166" i="4"/>
  <c r="AL5157" i="4" l="1"/>
  <c r="AK5166" i="4"/>
  <c r="AI5166" i="4"/>
  <c r="AH5167" i="4"/>
  <c r="AR130" i="4"/>
  <c r="AJ5167" i="4"/>
  <c r="AL5158" i="4" l="1"/>
  <c r="AK5167" i="4"/>
  <c r="AI5167" i="4"/>
  <c r="AH5168" i="4"/>
  <c r="AR131" i="4"/>
  <c r="AJ5168" i="4"/>
  <c r="AL5159" i="4" l="1"/>
  <c r="AK5168" i="4"/>
  <c r="AI5168" i="4"/>
  <c r="AH5169" i="4"/>
  <c r="AR132" i="4"/>
  <c r="AJ5169" i="4"/>
  <c r="AL5160" i="4" l="1"/>
  <c r="AK5169" i="4"/>
  <c r="AI5169" i="4"/>
  <c r="AH5170" i="4"/>
  <c r="AR133" i="4"/>
  <c r="AJ5170" i="4"/>
  <c r="AL5161" i="4" l="1"/>
  <c r="AK5170" i="4"/>
  <c r="AI5170" i="4"/>
  <c r="AH5171" i="4"/>
  <c r="AR134" i="4"/>
  <c r="AJ5171" i="4"/>
  <c r="AL5162" i="4" l="1"/>
  <c r="AK5171" i="4"/>
  <c r="AI5171" i="4"/>
  <c r="AH5172" i="4"/>
  <c r="AR135" i="4"/>
  <c r="AJ5172" i="4"/>
  <c r="AL5163" i="4" l="1"/>
  <c r="AK5172" i="4"/>
  <c r="AI5172" i="4"/>
  <c r="AH5173" i="4"/>
  <c r="AR136" i="4"/>
  <c r="AJ5173" i="4"/>
  <c r="AL5164" i="4" l="1"/>
  <c r="AK5173" i="4"/>
  <c r="AI5173" i="4"/>
  <c r="AH5174" i="4"/>
  <c r="AR137" i="4"/>
  <c r="AJ5174" i="4"/>
  <c r="AL5165" i="4" l="1"/>
  <c r="AK5174" i="4"/>
  <c r="AI5174" i="4"/>
  <c r="AH5175" i="4"/>
  <c r="AR138" i="4"/>
  <c r="AJ5175" i="4"/>
  <c r="AL5166" i="4" l="1"/>
  <c r="AK5175" i="4"/>
  <c r="AI5175" i="4"/>
  <c r="AH5176" i="4"/>
  <c r="AR139" i="4"/>
  <c r="AJ5176" i="4"/>
  <c r="AL5167" i="4" l="1"/>
  <c r="AK5176" i="4"/>
  <c r="AI5176" i="4"/>
  <c r="AH5177" i="4"/>
  <c r="AR140" i="4"/>
  <c r="AJ5177" i="4"/>
  <c r="AL5168" i="4" l="1"/>
  <c r="AK5177" i="4"/>
  <c r="AI5177" i="4"/>
  <c r="AH5178" i="4"/>
  <c r="AR141" i="4"/>
  <c r="AJ5178" i="4"/>
  <c r="AL5169" i="4" l="1"/>
  <c r="AK5178" i="4"/>
  <c r="AI5178" i="4"/>
  <c r="AH5179" i="4"/>
  <c r="AR142" i="4"/>
  <c r="AJ5179" i="4"/>
  <c r="AL5170" i="4" l="1"/>
  <c r="AK5179" i="4"/>
  <c r="AI5179" i="4"/>
  <c r="AH5180" i="4"/>
  <c r="AR143" i="4"/>
  <c r="AJ5180" i="4"/>
  <c r="AL5171" i="4" l="1"/>
  <c r="AK5180" i="4"/>
  <c r="AI5180" i="4"/>
  <c r="AH5181" i="4"/>
  <c r="AR144" i="4"/>
  <c r="AJ5181" i="4"/>
  <c r="AL5172" i="4" l="1"/>
  <c r="AK5181" i="4"/>
  <c r="AI5181" i="4"/>
  <c r="AH5182" i="4"/>
  <c r="AR145" i="4"/>
  <c r="AJ5182" i="4"/>
  <c r="AL5173" i="4" l="1"/>
  <c r="AK5182" i="4"/>
  <c r="AI5182" i="4"/>
  <c r="AH5183" i="4"/>
  <c r="AR146" i="4"/>
  <c r="AJ5183" i="4"/>
  <c r="AL5174" i="4" l="1"/>
  <c r="AK5183" i="4"/>
  <c r="AI5183" i="4"/>
  <c r="AH5184" i="4"/>
  <c r="AR147" i="4"/>
  <c r="AJ5184" i="4"/>
  <c r="AL5175" i="4" l="1"/>
  <c r="AK5184" i="4"/>
  <c r="AI5184" i="4"/>
  <c r="AH5185" i="4"/>
  <c r="AR148" i="4"/>
  <c r="AJ5185" i="4"/>
  <c r="AL5176" i="4" l="1"/>
  <c r="AK5185" i="4"/>
  <c r="AI5185" i="4"/>
  <c r="AH5186" i="4"/>
  <c r="AR149" i="4"/>
  <c r="AJ5186" i="4"/>
  <c r="AL5177" i="4" l="1"/>
  <c r="AK5186" i="4"/>
  <c r="AI5186" i="4"/>
  <c r="AH5187" i="4"/>
  <c r="AR150" i="4"/>
  <c r="AJ5187" i="4"/>
  <c r="AL5178" i="4" l="1"/>
  <c r="AK5187" i="4"/>
  <c r="AI5187" i="4"/>
  <c r="AH5188" i="4"/>
  <c r="AR151" i="4"/>
  <c r="AJ5188" i="4"/>
  <c r="AL5179" i="4" l="1"/>
  <c r="AK5188" i="4"/>
  <c r="AI5188" i="4"/>
  <c r="AH5189" i="4"/>
  <c r="AR152" i="4"/>
  <c r="AJ5189" i="4"/>
  <c r="AL5180" i="4" l="1"/>
  <c r="AK5189" i="4"/>
  <c r="AI5189" i="4"/>
  <c r="AH5190" i="4"/>
  <c r="AR153" i="4"/>
  <c r="AJ5190" i="4"/>
  <c r="AL5181" i="4" l="1"/>
  <c r="AK5190" i="4"/>
  <c r="AI5190" i="4"/>
  <c r="AH5191" i="4"/>
  <c r="AR154" i="4"/>
  <c r="AJ5191" i="4"/>
  <c r="AL5182" i="4" l="1"/>
  <c r="AK5191" i="4"/>
  <c r="AI5191" i="4"/>
  <c r="AH5192" i="4"/>
  <c r="AR155" i="4"/>
  <c r="AJ5192" i="4"/>
  <c r="AL5183" i="4" l="1"/>
  <c r="AK5192" i="4"/>
  <c r="AI5192" i="4"/>
  <c r="AH5193" i="4"/>
  <c r="AR156" i="4"/>
  <c r="AJ5193" i="4"/>
  <c r="AL5184" i="4" l="1"/>
  <c r="AK5193" i="4"/>
  <c r="AI5193" i="4"/>
  <c r="AH5194" i="4"/>
  <c r="BK3" i="4"/>
  <c r="BL3" i="4"/>
  <c r="BN3" i="4"/>
  <c r="AJ5194" i="4"/>
  <c r="BM3" i="4" l="1"/>
  <c r="AL5185" i="4"/>
  <c r="J36" i="12"/>
  <c r="AK5194" i="4"/>
  <c r="AI5194" i="4"/>
  <c r="AH5195" i="4"/>
  <c r="AT31" i="4"/>
  <c r="AT32" i="4"/>
  <c r="AT33" i="4"/>
  <c r="AT34" i="4"/>
  <c r="AZ55" i="4"/>
  <c r="AZ28" i="4"/>
  <c r="AZ41" i="4"/>
  <c r="AZ34" i="4"/>
  <c r="AZ4" i="4"/>
  <c r="AZ5" i="4"/>
  <c r="AZ6" i="4"/>
  <c r="AZ7" i="4"/>
  <c r="AZ8" i="4"/>
  <c r="AZ9" i="4"/>
  <c r="AZ10" i="4"/>
  <c r="AZ11" i="4"/>
  <c r="AZ12" i="4"/>
  <c r="AZ13" i="4"/>
  <c r="AZ14" i="4"/>
  <c r="AZ15" i="4"/>
  <c r="AZ16" i="4"/>
  <c r="AZ17" i="4"/>
  <c r="AZ18" i="4"/>
  <c r="AZ19" i="4"/>
  <c r="AZ20" i="4"/>
  <c r="AZ21" i="4"/>
  <c r="AZ22" i="4"/>
  <c r="AZ23" i="4"/>
  <c r="AZ24" i="4"/>
  <c r="AZ25" i="4"/>
  <c r="AZ26" i="4"/>
  <c r="AZ27" i="4"/>
  <c r="AZ29" i="4"/>
  <c r="AZ30" i="4"/>
  <c r="AZ31" i="4"/>
  <c r="AZ32" i="4"/>
  <c r="AZ33" i="4"/>
  <c r="AZ35" i="4"/>
  <c r="AZ36" i="4"/>
  <c r="AZ37" i="4"/>
  <c r="AZ38" i="4"/>
  <c r="AZ39" i="4"/>
  <c r="AZ40" i="4"/>
  <c r="AZ42" i="4"/>
  <c r="AZ43" i="4"/>
  <c r="AZ44" i="4"/>
  <c r="AZ45" i="4"/>
  <c r="AZ46" i="4"/>
  <c r="AZ47" i="4"/>
  <c r="AZ48" i="4"/>
  <c r="AZ49" i="4"/>
  <c r="AZ50" i="4"/>
  <c r="AZ51" i="4"/>
  <c r="AZ52" i="4"/>
  <c r="AZ53" i="4"/>
  <c r="AZ54" i="4"/>
  <c r="AZ56" i="4"/>
  <c r="AZ57" i="4"/>
  <c r="AZ58" i="4"/>
  <c r="AZ59" i="4"/>
  <c r="AZ60" i="4"/>
  <c r="AZ61" i="4"/>
  <c r="AZ62" i="4"/>
  <c r="AZ63" i="4"/>
  <c r="AZ64" i="4"/>
  <c r="AZ65" i="4"/>
  <c r="AZ66" i="4"/>
  <c r="AZ67" i="4"/>
  <c r="AZ68" i="4"/>
  <c r="AZ69" i="4"/>
  <c r="AZ70" i="4"/>
  <c r="AZ71" i="4"/>
  <c r="AZ72" i="4"/>
  <c r="AZ73" i="4"/>
  <c r="AZ74" i="4"/>
  <c r="AZ75" i="4"/>
  <c r="AZ76" i="4"/>
  <c r="AZ77" i="4"/>
  <c r="AZ78" i="4"/>
  <c r="AZ79" i="4"/>
  <c r="AZ80" i="4"/>
  <c r="AZ81" i="4"/>
  <c r="AZ82" i="4"/>
  <c r="AZ83" i="4"/>
  <c r="AZ84" i="4"/>
  <c r="AZ85" i="4"/>
  <c r="AZ86" i="4"/>
  <c r="AZ87" i="4"/>
  <c r="AZ88" i="4"/>
  <c r="AZ89" i="4"/>
  <c r="AZ90" i="4"/>
  <c r="AZ91" i="4"/>
  <c r="AZ92" i="4"/>
  <c r="AZ93" i="4"/>
  <c r="AZ94" i="4"/>
  <c r="AZ95" i="4"/>
  <c r="AZ96" i="4"/>
  <c r="AZ97" i="4"/>
  <c r="AZ98" i="4"/>
  <c r="AZ99" i="4"/>
  <c r="AZ100" i="4"/>
  <c r="AZ101" i="4"/>
  <c r="AZ102" i="4"/>
  <c r="AZ103" i="4"/>
  <c r="AZ104" i="4"/>
  <c r="AZ105" i="4"/>
  <c r="AZ106" i="4"/>
  <c r="AZ107" i="4"/>
  <c r="AZ108" i="4"/>
  <c r="AZ109" i="4"/>
  <c r="BA4" i="4"/>
  <c r="BA5" i="4" s="1"/>
  <c r="BA6" i="4" s="1"/>
  <c r="BA7" i="4" s="1"/>
  <c r="BA8" i="4" s="1"/>
  <c r="BA9" i="4" s="1"/>
  <c r="BA10" i="4" s="1"/>
  <c r="BA11" i="4" s="1"/>
  <c r="BA12" i="4" s="1"/>
  <c r="BA13" i="4" s="1"/>
  <c r="AX12" i="4"/>
  <c r="AJ5195" i="4"/>
  <c r="AL5186" i="4" l="1"/>
  <c r="AK5195" i="4"/>
  <c r="AI5195" i="4"/>
  <c r="AH5196" i="4"/>
  <c r="K36" i="12"/>
  <c r="AD36" i="12"/>
  <c r="AY12" i="4"/>
  <c r="BA14" i="4" s="1"/>
  <c r="AX13" i="4"/>
  <c r="AJ5196" i="4"/>
  <c r="AL5187" i="4" l="1"/>
  <c r="AK5196" i="4"/>
  <c r="AI5196" i="4"/>
  <c r="AH5197" i="4"/>
  <c r="AY13" i="4"/>
  <c r="BA15" i="4" s="1"/>
  <c r="AJ5197" i="4"/>
  <c r="AX14" i="4"/>
  <c r="AL5188" i="4" l="1"/>
  <c r="AK5197" i="4"/>
  <c r="AI5197" i="4"/>
  <c r="AH5198" i="4"/>
  <c r="AY14" i="4"/>
  <c r="BA16" i="4" s="1"/>
  <c r="AX15" i="4"/>
  <c r="AJ5198" i="4"/>
  <c r="AL5189" i="4" l="1"/>
  <c r="AK5198" i="4"/>
  <c r="AI5198" i="4"/>
  <c r="AH5199" i="4"/>
  <c r="AY15" i="4"/>
  <c r="BA17" i="4" s="1"/>
  <c r="AX16" i="4"/>
  <c r="AJ5199" i="4"/>
  <c r="AL5190" i="4" l="1"/>
  <c r="AK5199" i="4"/>
  <c r="AI5199" i="4"/>
  <c r="AH5200" i="4"/>
  <c r="AY16" i="4"/>
  <c r="BA18" i="4" s="1"/>
  <c r="AX17" i="4"/>
  <c r="AJ5200" i="4"/>
  <c r="AL5191" i="4" l="1"/>
  <c r="AK5200" i="4"/>
  <c r="AI5200" i="4"/>
  <c r="AH5201" i="4"/>
  <c r="AY17" i="4"/>
  <c r="BA19" i="4" s="1"/>
  <c r="AX18" i="4"/>
  <c r="AJ5201" i="4"/>
  <c r="AL5192" i="4" l="1"/>
  <c r="AK5201" i="4"/>
  <c r="AI5201" i="4"/>
  <c r="AH5202" i="4"/>
  <c r="AY18" i="4"/>
  <c r="BA20" i="4" s="1"/>
  <c r="AJ5202" i="4"/>
  <c r="AX19" i="4"/>
  <c r="AL5193" i="4" l="1"/>
  <c r="AK5202" i="4"/>
  <c r="AI5202" i="4"/>
  <c r="AH5203" i="4"/>
  <c r="AY19" i="4"/>
  <c r="BA21" i="4" s="1"/>
  <c r="AJ5203" i="4"/>
  <c r="AX20" i="4"/>
  <c r="AL5194" i="4" l="1"/>
  <c r="AK5203" i="4"/>
  <c r="AI5203" i="4"/>
  <c r="AH5204" i="4"/>
  <c r="AY20" i="4"/>
  <c r="BA22" i="4" s="1"/>
  <c r="AJ5204" i="4"/>
  <c r="AX21" i="4"/>
  <c r="AL5195" i="4" l="1"/>
  <c r="AK5204" i="4"/>
  <c r="AI5204" i="4"/>
  <c r="AH5205" i="4"/>
  <c r="AY21" i="4"/>
  <c r="BA23" i="4" s="1"/>
  <c r="AX22" i="4"/>
  <c r="AJ5205" i="4"/>
  <c r="AL5196" i="4" l="1"/>
  <c r="AK5205" i="4"/>
  <c r="AI5205" i="4"/>
  <c r="AH5206" i="4"/>
  <c r="AY22" i="4"/>
  <c r="BA24" i="4" s="1"/>
  <c r="AX23" i="4"/>
  <c r="AJ5206" i="4"/>
  <c r="AL5197" i="4" l="1"/>
  <c r="AK5206" i="4"/>
  <c r="AI5206" i="4"/>
  <c r="AH5207" i="4"/>
  <c r="AY23" i="4"/>
  <c r="BA25" i="4" s="1"/>
  <c r="AX24" i="4"/>
  <c r="AJ5207" i="4"/>
  <c r="AL5198" i="4" l="1"/>
  <c r="AK5207" i="4"/>
  <c r="AI5207" i="4"/>
  <c r="AH5208" i="4"/>
  <c r="AY24" i="4"/>
  <c r="BA26" i="4" s="1"/>
  <c r="AX25" i="4"/>
  <c r="AJ5208" i="4"/>
  <c r="AL5199" i="4" l="1"/>
  <c r="AK5208" i="4"/>
  <c r="AI5208" i="4"/>
  <c r="AH5209" i="4"/>
  <c r="AY25" i="4"/>
  <c r="BA27" i="4" s="1"/>
  <c r="AJ5209" i="4"/>
  <c r="AY26" i="4"/>
  <c r="AL5200" i="4" l="1"/>
  <c r="AK5209" i="4"/>
  <c r="AI5209" i="4"/>
  <c r="AH5210" i="4"/>
  <c r="BA28" i="4"/>
  <c r="AY27" i="4"/>
  <c r="AJ5210" i="4"/>
  <c r="AL5201" i="4" l="1"/>
  <c r="AK5210" i="4"/>
  <c r="AI5210" i="4"/>
  <c r="AH5211" i="4"/>
  <c r="BA29" i="4"/>
  <c r="AJ5211" i="4"/>
  <c r="AY28" i="4"/>
  <c r="AL5202" i="4" l="1"/>
  <c r="AK5211" i="4"/>
  <c r="AI5211" i="4"/>
  <c r="AH5212" i="4"/>
  <c r="BA30" i="4"/>
  <c r="AJ5212" i="4"/>
  <c r="AY29" i="4"/>
  <c r="AL5203" i="4" l="1"/>
  <c r="AK5212" i="4"/>
  <c r="AI5212" i="4"/>
  <c r="AH5213" i="4"/>
  <c r="BA31" i="4"/>
  <c r="AY30" i="4"/>
  <c r="AJ5213" i="4"/>
  <c r="AL5204" i="4" l="1"/>
  <c r="AK5213" i="4"/>
  <c r="AI5213" i="4"/>
  <c r="AH5214" i="4"/>
  <c r="BA32" i="4"/>
  <c r="AY31" i="4"/>
  <c r="AJ5214" i="4"/>
  <c r="AL5205" i="4" l="1"/>
  <c r="AK5214" i="4"/>
  <c r="AI5214" i="4"/>
  <c r="AH5215" i="4"/>
  <c r="BA33" i="4"/>
  <c r="AY32" i="4"/>
  <c r="AJ5215" i="4"/>
  <c r="AL5206" i="4" l="1"/>
  <c r="AK5215" i="4"/>
  <c r="AI5215" i="4"/>
  <c r="AH5216" i="4"/>
  <c r="BA34" i="4"/>
  <c r="AJ5216" i="4"/>
  <c r="AY33" i="4"/>
  <c r="AL5207" i="4" l="1"/>
  <c r="AK5216" i="4"/>
  <c r="AI5216" i="4"/>
  <c r="AH5217" i="4"/>
  <c r="BA35" i="4"/>
  <c r="AY34" i="4"/>
  <c r="AJ5217" i="4"/>
  <c r="AL5208" i="4" l="1"/>
  <c r="AK5217" i="4"/>
  <c r="AI5217" i="4"/>
  <c r="AH5218" i="4"/>
  <c r="BA36" i="4"/>
  <c r="AY35" i="4"/>
  <c r="AJ5218" i="4"/>
  <c r="AL5209" i="4" l="1"/>
  <c r="AK5218" i="4"/>
  <c r="AI5218" i="4"/>
  <c r="AH5219" i="4"/>
  <c r="BA37" i="4"/>
  <c r="AY36" i="4"/>
  <c r="AJ5219" i="4"/>
  <c r="AL5210" i="4" l="1"/>
  <c r="AK5219" i="4"/>
  <c r="AI5219" i="4"/>
  <c r="AH5220" i="4"/>
  <c r="BA38" i="4"/>
  <c r="AJ5220" i="4"/>
  <c r="AY37" i="4"/>
  <c r="AL5211" i="4" l="1"/>
  <c r="AK5220" i="4"/>
  <c r="AI5220" i="4"/>
  <c r="AH5221" i="4"/>
  <c r="BA39" i="4"/>
  <c r="AY38" i="4"/>
  <c r="AY39" i="4"/>
  <c r="AY40" i="4"/>
  <c r="AY41" i="4"/>
  <c r="AY42" i="4"/>
  <c r="AY43" i="4"/>
  <c r="AY44" i="4"/>
  <c r="AY45" i="4"/>
  <c r="AY46" i="4"/>
  <c r="AY47" i="4"/>
  <c r="AY48" i="4"/>
  <c r="AY49" i="4"/>
  <c r="S5" i="4"/>
  <c r="I10" i="12" s="1"/>
  <c r="AJ5221" i="4"/>
  <c r="AM31" i="4"/>
  <c r="AY106" i="4" l="1"/>
  <c r="AY107" i="4"/>
  <c r="AY105" i="4"/>
  <c r="AY102" i="4"/>
  <c r="AY101" i="4"/>
  <c r="AY100" i="4"/>
  <c r="AY98" i="4"/>
  <c r="AY96" i="4"/>
  <c r="AY94" i="4"/>
  <c r="AY104" i="4"/>
  <c r="AY93" i="4"/>
  <c r="AY92" i="4"/>
  <c r="AY88" i="4"/>
  <c r="AY85" i="4"/>
  <c r="AY86" i="4"/>
  <c r="AY84" i="4"/>
  <c r="AY99" i="4"/>
  <c r="AY91" i="4"/>
  <c r="AY82" i="4"/>
  <c r="AY90" i="4"/>
  <c r="AY81" i="4"/>
  <c r="AY97" i="4"/>
  <c r="AY89" i="4"/>
  <c r="AY77" i="4"/>
  <c r="AY103" i="4"/>
  <c r="AY95" i="4"/>
  <c r="AY87" i="4"/>
  <c r="AY79" i="4"/>
  <c r="AY78" i="4"/>
  <c r="AY75" i="4"/>
  <c r="AY83" i="4"/>
  <c r="AY76" i="4"/>
  <c r="AY74" i="4"/>
  <c r="AY80" i="4"/>
  <c r="AN31" i="4"/>
  <c r="AL5212" i="4"/>
  <c r="AY72" i="4"/>
  <c r="AY71" i="4"/>
  <c r="AY66" i="4"/>
  <c r="AY62" i="4"/>
  <c r="AY70" i="4"/>
  <c r="AY58" i="4"/>
  <c r="AY73" i="4"/>
  <c r="AY54" i="4"/>
  <c r="AY50" i="4"/>
  <c r="BA40" i="4"/>
  <c r="BA41" i="4" s="1"/>
  <c r="BA42" i="4" s="1"/>
  <c r="BA43" i="4" s="1"/>
  <c r="BA44" i="4" s="1"/>
  <c r="BA45" i="4" s="1"/>
  <c r="BA46" i="4" s="1"/>
  <c r="BA47" i="4" s="1"/>
  <c r="BA48" i="4" s="1"/>
  <c r="BA49" i="4" s="1"/>
  <c r="BA50" i="4" s="1"/>
  <c r="BA51" i="4" s="1"/>
  <c r="AK5221" i="4"/>
  <c r="AY69" i="4"/>
  <c r="AY65" i="4"/>
  <c r="AY61" i="4"/>
  <c r="AY57" i="4"/>
  <c r="AY53" i="4"/>
  <c r="AY68" i="4"/>
  <c r="AY64" i="4"/>
  <c r="AY60" i="4"/>
  <c r="AY56" i="4"/>
  <c r="AY52" i="4"/>
  <c r="AI5221" i="4"/>
  <c r="AH5222" i="4"/>
  <c r="AY67" i="4"/>
  <c r="AY63" i="4"/>
  <c r="AY59" i="4"/>
  <c r="AY55" i="4"/>
  <c r="AY51" i="4"/>
  <c r="AM60" i="4"/>
  <c r="AJ5222" i="4"/>
  <c r="AO31" i="4" l="1"/>
  <c r="AN60" i="4"/>
  <c r="AL5213" i="4"/>
  <c r="AD10" i="23"/>
  <c r="AF10" i="23" s="1"/>
  <c r="BA52" i="4"/>
  <c r="BA53" i="4" s="1"/>
  <c r="BA54" i="4" s="1"/>
  <c r="BA55" i="4" s="1"/>
  <c r="BA56" i="4" s="1"/>
  <c r="BA57" i="4" s="1"/>
  <c r="BA58" i="4" s="1"/>
  <c r="BA59" i="4" s="1"/>
  <c r="BA60" i="4" s="1"/>
  <c r="BA61" i="4" s="1"/>
  <c r="BA62" i="4" s="1"/>
  <c r="BA63" i="4" s="1"/>
  <c r="BA64" i="4" s="1"/>
  <c r="BA65" i="4" s="1"/>
  <c r="BA66" i="4" s="1"/>
  <c r="BA67" i="4" s="1"/>
  <c r="BA68" i="4" s="1"/>
  <c r="BA69" i="4" s="1"/>
  <c r="BA70" i="4" s="1"/>
  <c r="BA71" i="4" s="1"/>
  <c r="BA72" i="4" s="1"/>
  <c r="BA73" i="4" s="1"/>
  <c r="BA74" i="4" s="1"/>
  <c r="BA75" i="4" s="1"/>
  <c r="BA76" i="4" s="1"/>
  <c r="BA77" i="4" s="1"/>
  <c r="BA78" i="4" s="1"/>
  <c r="BA79" i="4" s="1"/>
  <c r="BA80" i="4" s="1"/>
  <c r="BA81" i="4" s="1"/>
  <c r="BA82" i="4" s="1"/>
  <c r="BA83" i="4" s="1"/>
  <c r="BA84" i="4" s="1"/>
  <c r="BA85" i="4" s="1"/>
  <c r="BA86" i="4" s="1"/>
  <c r="BA87" i="4" s="1"/>
  <c r="BA88" i="4" s="1"/>
  <c r="BA89" i="4" s="1"/>
  <c r="BA90" i="4" s="1"/>
  <c r="BA91" i="4" s="1"/>
  <c r="BA92" i="4" s="1"/>
  <c r="BA93" i="4" s="1"/>
  <c r="BA94" i="4" s="1"/>
  <c r="BA95" i="4" s="1"/>
  <c r="BA96" i="4" s="1"/>
  <c r="BA97" i="4" s="1"/>
  <c r="BA98" i="4" s="1"/>
  <c r="BA99" i="4" s="1"/>
  <c r="BA100" i="4" s="1"/>
  <c r="BA101" i="4" s="1"/>
  <c r="BA102" i="4" s="1"/>
  <c r="BA103" i="4" s="1"/>
  <c r="BA104" i="4" s="1"/>
  <c r="BA105" i="4" s="1"/>
  <c r="BA106" i="4" s="1"/>
  <c r="BA107" i="4" s="1"/>
  <c r="BA108" i="4" s="1"/>
  <c r="BA109" i="4" s="1"/>
  <c r="AK5222" i="4"/>
  <c r="AI5222" i="4"/>
  <c r="AH5223" i="4"/>
  <c r="AU31" i="4"/>
  <c r="AM90" i="4"/>
  <c r="AJ5223" i="4"/>
  <c r="AO60" i="4" l="1"/>
  <c r="AN90" i="4"/>
  <c r="AL5214" i="4"/>
  <c r="AK5223" i="4"/>
  <c r="AI5223" i="4"/>
  <c r="AH5224" i="4"/>
  <c r="AU32" i="4"/>
  <c r="AM120" i="4"/>
  <c r="AJ5224" i="4"/>
  <c r="AO90" i="4" l="1"/>
  <c r="AN120" i="4"/>
  <c r="AL5215" i="4"/>
  <c r="AK5224" i="4"/>
  <c r="AI5224" i="4"/>
  <c r="AH5225" i="4"/>
  <c r="AU33" i="4"/>
  <c r="AJ5225" i="4"/>
  <c r="AO120" i="4" l="1"/>
  <c r="AL5216" i="4"/>
  <c r="AK5225" i="4"/>
  <c r="AI5225" i="4"/>
  <c r="AH5226" i="4"/>
  <c r="AT35" i="4"/>
  <c r="AU34" i="4"/>
  <c r="AM150" i="4"/>
  <c r="AJ5226" i="4"/>
  <c r="AN150" i="4" l="1"/>
  <c r="AL5217" i="4"/>
  <c r="AK5226" i="4"/>
  <c r="AI5226" i="4"/>
  <c r="AH5227" i="4"/>
  <c r="AJ5227" i="4"/>
  <c r="AO150" i="4" l="1"/>
  <c r="AL5218" i="4"/>
  <c r="AK5227" i="4"/>
  <c r="AI5227" i="4"/>
  <c r="AH5228" i="4"/>
  <c r="AT36" i="4"/>
  <c r="AU35" i="4"/>
  <c r="AM180" i="4"/>
  <c r="AJ5228" i="4"/>
  <c r="AN180" i="4" l="1"/>
  <c r="AL5219" i="4"/>
  <c r="AK5228" i="4"/>
  <c r="AI5228" i="4"/>
  <c r="AH5229" i="4"/>
  <c r="AJ5229" i="4"/>
  <c r="AO180" i="4" l="1"/>
  <c r="AL5220" i="4"/>
  <c r="AK5229" i="4"/>
  <c r="AI5229" i="4"/>
  <c r="AH5230" i="4"/>
  <c r="AT37" i="4"/>
  <c r="AM210" i="4"/>
  <c r="AU36" i="4"/>
  <c r="AJ5230" i="4"/>
  <c r="AN210" i="4" l="1"/>
  <c r="AL5221" i="4"/>
  <c r="AK5230" i="4"/>
  <c r="AI5230" i="4"/>
  <c r="AH5231" i="4"/>
  <c r="AJ5231" i="4"/>
  <c r="AO210" i="4" l="1"/>
  <c r="AL5222" i="4"/>
  <c r="AK5231" i="4"/>
  <c r="AI5231" i="4"/>
  <c r="AH5232" i="4"/>
  <c r="AT38" i="4"/>
  <c r="AM240" i="4"/>
  <c r="AU37" i="4"/>
  <c r="AJ5232" i="4"/>
  <c r="AN240" i="4" l="1"/>
  <c r="AL5223" i="4"/>
  <c r="AK5232" i="4"/>
  <c r="AI5232" i="4"/>
  <c r="AH5233" i="4"/>
  <c r="AJ5233" i="4"/>
  <c r="AO240" i="4" l="1"/>
  <c r="AL5224" i="4"/>
  <c r="AK5233" i="4"/>
  <c r="AI5233" i="4"/>
  <c r="AH5234" i="4"/>
  <c r="AT39" i="4"/>
  <c r="AM270" i="4"/>
  <c r="AU38" i="4"/>
  <c r="AJ5234" i="4"/>
  <c r="AN270" i="4" l="1"/>
  <c r="AL5225" i="4"/>
  <c r="AK5234" i="4"/>
  <c r="AI5234" i="4"/>
  <c r="AH5235" i="4"/>
  <c r="AJ5235" i="4"/>
  <c r="AO270" i="4" l="1"/>
  <c r="AL5226" i="4"/>
  <c r="AK5235" i="4"/>
  <c r="AI5235" i="4"/>
  <c r="AH5236" i="4"/>
  <c r="AT40" i="4"/>
  <c r="AU39" i="4"/>
  <c r="AJ5236" i="4"/>
  <c r="AM300" i="4"/>
  <c r="AN300" i="4" l="1"/>
  <c r="AL5227" i="4"/>
  <c r="AK5236" i="4"/>
  <c r="AI5236" i="4"/>
  <c r="AH5237" i="4"/>
  <c r="AJ5237" i="4"/>
  <c r="AO300" i="4" l="1"/>
  <c r="AL5228" i="4"/>
  <c r="AK5237" i="4"/>
  <c r="AI5237" i="4"/>
  <c r="AH5238" i="4"/>
  <c r="AT41" i="4"/>
  <c r="AU40" i="4"/>
  <c r="AJ5238" i="4"/>
  <c r="AM330" i="4"/>
  <c r="AN330" i="4" l="1"/>
  <c r="AL5229" i="4"/>
  <c r="AK5238" i="4"/>
  <c r="AI5238" i="4"/>
  <c r="AH5239" i="4"/>
  <c r="AJ5239" i="4"/>
  <c r="AO330" i="4" l="1"/>
  <c r="AL5230" i="4"/>
  <c r="AK5239" i="4"/>
  <c r="AI5239" i="4"/>
  <c r="AH5240" i="4"/>
  <c r="AT42" i="4"/>
  <c r="AU41" i="4"/>
  <c r="AM360" i="4"/>
  <c r="AJ5240" i="4"/>
  <c r="AN360" i="4" l="1"/>
  <c r="AL5231" i="4"/>
  <c r="AK5240" i="4"/>
  <c r="AI5240" i="4"/>
  <c r="AH5241" i="4"/>
  <c r="AJ5241" i="4"/>
  <c r="AO360" i="4" l="1"/>
  <c r="AL5232" i="4"/>
  <c r="AK5241" i="4"/>
  <c r="AI5241" i="4"/>
  <c r="AH5242" i="4"/>
  <c r="AT43" i="4"/>
  <c r="AU42" i="4"/>
  <c r="AM390" i="4"/>
  <c r="AJ5242" i="4"/>
  <c r="AN390" i="4" l="1"/>
  <c r="AL5233" i="4"/>
  <c r="AK5242" i="4"/>
  <c r="AI5242" i="4"/>
  <c r="AH5243" i="4"/>
  <c r="AJ5243" i="4"/>
  <c r="AO390" i="4" l="1"/>
  <c r="AL5234" i="4"/>
  <c r="AK5243" i="4"/>
  <c r="AI5243" i="4"/>
  <c r="AH5244" i="4"/>
  <c r="AT44" i="4"/>
  <c r="AU43" i="4"/>
  <c r="AM420" i="4"/>
  <c r="AJ5244" i="4"/>
  <c r="AN420" i="4" l="1"/>
  <c r="AL5235" i="4"/>
  <c r="AK5244" i="4"/>
  <c r="AI5244" i="4"/>
  <c r="AH5245" i="4"/>
  <c r="AJ5245" i="4"/>
  <c r="AO420" i="4" l="1"/>
  <c r="AL5236" i="4"/>
  <c r="AK5245" i="4"/>
  <c r="AI5245" i="4"/>
  <c r="AH5246" i="4"/>
  <c r="AT45" i="4"/>
  <c r="AU44" i="4"/>
  <c r="AM450" i="4"/>
  <c r="AJ5246" i="4"/>
  <c r="AN450" i="4" l="1"/>
  <c r="AL5237" i="4"/>
  <c r="AK5246" i="4"/>
  <c r="AI5246" i="4"/>
  <c r="AH5247" i="4"/>
  <c r="AJ5247" i="4"/>
  <c r="AO450" i="4" l="1"/>
  <c r="AL5238" i="4"/>
  <c r="AK5247" i="4"/>
  <c r="AI5247" i="4"/>
  <c r="AH5248" i="4"/>
  <c r="AT46" i="4"/>
  <c r="AM480" i="4"/>
  <c r="AU45" i="4"/>
  <c r="AJ5248" i="4"/>
  <c r="AN480" i="4" l="1"/>
  <c r="AL5239" i="4"/>
  <c r="AK5248" i="4"/>
  <c r="AI5248" i="4"/>
  <c r="AH5249" i="4"/>
  <c r="AJ5249" i="4"/>
  <c r="AO480" i="4" l="1"/>
  <c r="AL5240" i="4"/>
  <c r="AK5249" i="4"/>
  <c r="AI5249" i="4"/>
  <c r="AH5250" i="4"/>
  <c r="AT47" i="4"/>
  <c r="AU46" i="4"/>
  <c r="AJ5250" i="4"/>
  <c r="AM510" i="4"/>
  <c r="AN510" i="4" l="1"/>
  <c r="AL5241" i="4"/>
  <c r="AK5250" i="4"/>
  <c r="AI5250" i="4"/>
  <c r="AH5251" i="4"/>
  <c r="AJ5251" i="4"/>
  <c r="AO510" i="4" l="1"/>
  <c r="AL5242" i="4"/>
  <c r="AK5251" i="4"/>
  <c r="AI5251" i="4"/>
  <c r="AH5252" i="4"/>
  <c r="AT48" i="4"/>
  <c r="AM540" i="4"/>
  <c r="AU47" i="4"/>
  <c r="AJ5252" i="4"/>
  <c r="AN540" i="4" l="1"/>
  <c r="AL5243" i="4"/>
  <c r="AK5252" i="4"/>
  <c r="AI5252" i="4"/>
  <c r="AH5253" i="4"/>
  <c r="AJ5253" i="4"/>
  <c r="AO540" i="4" l="1"/>
  <c r="AL5244" i="4"/>
  <c r="AK5253" i="4"/>
  <c r="AI5253" i="4"/>
  <c r="AH5254" i="4"/>
  <c r="AT49" i="4"/>
  <c r="AU48" i="4"/>
  <c r="AM570" i="4"/>
  <c r="AJ5254" i="4"/>
  <c r="AN570" i="4" l="1"/>
  <c r="AL5245" i="4"/>
  <c r="AK5254" i="4"/>
  <c r="AI5254" i="4"/>
  <c r="AH5255" i="4"/>
  <c r="AJ5255" i="4"/>
  <c r="AO570" i="4" l="1"/>
  <c r="AL5246" i="4"/>
  <c r="AK5255" i="4"/>
  <c r="AI5255" i="4"/>
  <c r="AH5256" i="4"/>
  <c r="AT50" i="4"/>
  <c r="AU49" i="4"/>
  <c r="AJ5256" i="4"/>
  <c r="AM600" i="4"/>
  <c r="AN600" i="4" l="1"/>
  <c r="AL5247" i="4"/>
  <c r="AK5256" i="4"/>
  <c r="AI5256" i="4"/>
  <c r="AH5257" i="4"/>
  <c r="AJ5257" i="4"/>
  <c r="AO600" i="4" l="1"/>
  <c r="AL5248" i="4"/>
  <c r="AK5257" i="4"/>
  <c r="AI5257" i="4"/>
  <c r="AH5258" i="4"/>
  <c r="AT51" i="4"/>
  <c r="AU50" i="4"/>
  <c r="AM630" i="4"/>
  <c r="AJ5258" i="4"/>
  <c r="AN630" i="4" l="1"/>
  <c r="AL5249" i="4"/>
  <c r="AK5258" i="4"/>
  <c r="AI5258" i="4"/>
  <c r="AH5259" i="4"/>
  <c r="AJ5259" i="4"/>
  <c r="AO630" i="4" l="1"/>
  <c r="AL5250" i="4"/>
  <c r="AK5259" i="4"/>
  <c r="AI5259" i="4"/>
  <c r="AH5260" i="4"/>
  <c r="AT52" i="4"/>
  <c r="AU51" i="4"/>
  <c r="AM660" i="4"/>
  <c r="AJ5260" i="4"/>
  <c r="AN660" i="4" l="1"/>
  <c r="AL5251" i="4"/>
  <c r="AK5260" i="4"/>
  <c r="AI5260" i="4"/>
  <c r="AH5261" i="4"/>
  <c r="AJ5261" i="4"/>
  <c r="AO660" i="4" l="1"/>
  <c r="AL5252" i="4"/>
  <c r="AK5261" i="4"/>
  <c r="AI5261" i="4"/>
  <c r="AH5262" i="4"/>
  <c r="AT53" i="4"/>
  <c r="AU52" i="4"/>
  <c r="AM690" i="4"/>
  <c r="AJ5262" i="4"/>
  <c r="AN690" i="4" l="1"/>
  <c r="AL5253" i="4"/>
  <c r="AK5262" i="4"/>
  <c r="AI5262" i="4"/>
  <c r="AH5263" i="4"/>
  <c r="AJ5263" i="4"/>
  <c r="AO690" i="4" l="1"/>
  <c r="AL5254" i="4"/>
  <c r="AK5263" i="4"/>
  <c r="AI5263" i="4"/>
  <c r="AH5264" i="4"/>
  <c r="AT54" i="4"/>
  <c r="AM720" i="4"/>
  <c r="AU53" i="4"/>
  <c r="AJ5264" i="4"/>
  <c r="AN720" i="4" l="1"/>
  <c r="AL5255" i="4"/>
  <c r="AK5264" i="4"/>
  <c r="AI5264" i="4"/>
  <c r="AH5265" i="4"/>
  <c r="AJ5265" i="4"/>
  <c r="AO720" i="4" l="1"/>
  <c r="AL5256" i="4"/>
  <c r="AK5265" i="4"/>
  <c r="AI5265" i="4"/>
  <c r="AH5266" i="4"/>
  <c r="AT55" i="4"/>
  <c r="AM750" i="4"/>
  <c r="AJ5266" i="4"/>
  <c r="AU54" i="4"/>
  <c r="AN750" i="4" l="1"/>
  <c r="AL5257" i="4"/>
  <c r="AK5266" i="4"/>
  <c r="AI5266" i="4"/>
  <c r="AH5267" i="4"/>
  <c r="AJ5267" i="4"/>
  <c r="AO750" i="4" l="1"/>
  <c r="AL5258" i="4"/>
  <c r="AK5267" i="4"/>
  <c r="AI5267" i="4"/>
  <c r="AH5268" i="4"/>
  <c r="AT56" i="4"/>
  <c r="AM780" i="4"/>
  <c r="AU55" i="4"/>
  <c r="AJ5268" i="4"/>
  <c r="F11" i="4"/>
  <c r="F10" i="4"/>
  <c r="AN780" i="4" l="1"/>
  <c r="AL5259" i="4"/>
  <c r="AK5268" i="4"/>
  <c r="AI5268" i="4"/>
  <c r="AH5269" i="4"/>
  <c r="AU56" i="4"/>
  <c r="AJ5269" i="4"/>
  <c r="AL5260" i="4" l="1"/>
  <c r="AK5269" i="4"/>
  <c r="AI5269" i="4"/>
  <c r="AH5270" i="4"/>
  <c r="AT57" i="4"/>
  <c r="AM810" i="4"/>
  <c r="AJ5270" i="4"/>
  <c r="AN810" i="4" l="1"/>
  <c r="AL5261" i="4"/>
  <c r="AK5270" i="4"/>
  <c r="AI5270" i="4"/>
  <c r="AH5271" i="4"/>
  <c r="AJ5271" i="4"/>
  <c r="AU57" i="4"/>
  <c r="AL5262" i="4" l="1"/>
  <c r="AK5271" i="4"/>
  <c r="AI5271" i="4"/>
  <c r="AH5272" i="4"/>
  <c r="AT58" i="4"/>
  <c r="AJ5272" i="4"/>
  <c r="AM840" i="4"/>
  <c r="AN840" i="4" l="1"/>
  <c r="AL5263" i="4"/>
  <c r="AK5272" i="4"/>
  <c r="AI5272" i="4"/>
  <c r="AH5273" i="4"/>
  <c r="AU58" i="4"/>
  <c r="AJ5273" i="4"/>
  <c r="AL5264" i="4" l="1"/>
  <c r="AK5273" i="4"/>
  <c r="AI5273" i="4"/>
  <c r="AH5274" i="4"/>
  <c r="AT59" i="4"/>
  <c r="AJ5274" i="4"/>
  <c r="AM870" i="4"/>
  <c r="AN870" i="4" l="1"/>
  <c r="AL5265" i="4"/>
  <c r="AK5274" i="4"/>
  <c r="AI5274" i="4"/>
  <c r="AH5275" i="4"/>
  <c r="AJ5275" i="4"/>
  <c r="AU59" i="4"/>
  <c r="AL5266" i="4" l="1"/>
  <c r="AK5275" i="4"/>
  <c r="AI5275" i="4"/>
  <c r="AH5276" i="4"/>
  <c r="AT60" i="4"/>
  <c r="AM900" i="4"/>
  <c r="AJ5276" i="4"/>
  <c r="AN900" i="4" l="1"/>
  <c r="AL5267" i="4"/>
  <c r="AK5276" i="4"/>
  <c r="AI5276" i="4"/>
  <c r="AH5277" i="4"/>
  <c r="AU60" i="4"/>
  <c r="AJ5277" i="4"/>
  <c r="AL5268" i="4" l="1"/>
  <c r="AK5277" i="4"/>
  <c r="AI5277" i="4"/>
  <c r="AH5278" i="4"/>
  <c r="AT61" i="4"/>
  <c r="AJ5278" i="4"/>
  <c r="AM930" i="4"/>
  <c r="AN930" i="4" l="1"/>
  <c r="AL5269" i="4"/>
  <c r="AK5278" i="4"/>
  <c r="AI5278" i="4"/>
  <c r="AH5279" i="4"/>
  <c r="AJ5279" i="4"/>
  <c r="AU61" i="4"/>
  <c r="AL5270" i="4" l="1"/>
  <c r="AK5279" i="4"/>
  <c r="AI5279" i="4"/>
  <c r="AH5280" i="4"/>
  <c r="AT62" i="4"/>
  <c r="AM960" i="4"/>
  <c r="AJ5280" i="4"/>
  <c r="AN960" i="4" l="1"/>
  <c r="AL5271" i="4"/>
  <c r="AK5280" i="4"/>
  <c r="AI5280" i="4"/>
  <c r="AH5281" i="4"/>
  <c r="AU62" i="4"/>
  <c r="AJ5281" i="4"/>
  <c r="AL5272" i="4" l="1"/>
  <c r="AK5281" i="4"/>
  <c r="AI5281" i="4"/>
  <c r="AH5282" i="4"/>
  <c r="AT63" i="4"/>
  <c r="AM990" i="4"/>
  <c r="AJ5282" i="4"/>
  <c r="AN990" i="4" l="1"/>
  <c r="AL5273" i="4"/>
  <c r="AK5282" i="4"/>
  <c r="AI5282" i="4"/>
  <c r="AH5283" i="4"/>
  <c r="AJ5283" i="4"/>
  <c r="AU63" i="4"/>
  <c r="AL5274" i="4" l="1"/>
  <c r="AK5283" i="4"/>
  <c r="AI5283" i="4"/>
  <c r="AH5284" i="4"/>
  <c r="AT64" i="4"/>
  <c r="AM1020" i="4"/>
  <c r="AJ5284" i="4"/>
  <c r="AN1020" i="4" l="1"/>
  <c r="AL5275" i="4"/>
  <c r="AK5284" i="4"/>
  <c r="AI5284" i="4"/>
  <c r="AH5285" i="4"/>
  <c r="AU64" i="4"/>
  <c r="AJ5285" i="4"/>
  <c r="AL5276" i="4" l="1"/>
  <c r="AK5285" i="4"/>
  <c r="AI5285" i="4"/>
  <c r="AH5286" i="4"/>
  <c r="AT65" i="4"/>
  <c r="AM1050" i="4"/>
  <c r="AJ5286" i="4"/>
  <c r="AN1050" i="4" l="1"/>
  <c r="AL5277" i="4"/>
  <c r="AK5286" i="4"/>
  <c r="AI5286" i="4"/>
  <c r="AH5287" i="4"/>
  <c r="AU65" i="4"/>
  <c r="AJ5287" i="4"/>
  <c r="AL5278" i="4" l="1"/>
  <c r="AK5287" i="4"/>
  <c r="AI5287" i="4"/>
  <c r="AH5288" i="4"/>
  <c r="AT66" i="4"/>
  <c r="AJ5288" i="4"/>
  <c r="AM1080" i="4"/>
  <c r="AN1080" i="4" l="1"/>
  <c r="AL5279" i="4"/>
  <c r="AK5288" i="4"/>
  <c r="AI5288" i="4"/>
  <c r="AH5289" i="4"/>
  <c r="AU66" i="4"/>
  <c r="AJ5289" i="4"/>
  <c r="AL5280" i="4" l="1"/>
  <c r="AK5289" i="4"/>
  <c r="AI5289" i="4"/>
  <c r="AH5290" i="4"/>
  <c r="AT67" i="4"/>
  <c r="AM1110" i="4"/>
  <c r="AJ5290" i="4"/>
  <c r="AN1110" i="4" l="1"/>
  <c r="AL5281" i="4"/>
  <c r="AK5290" i="4"/>
  <c r="AI5290" i="4"/>
  <c r="AH5291" i="4"/>
  <c r="AJ5291" i="4"/>
  <c r="AU67" i="4"/>
  <c r="AL5282" i="4" l="1"/>
  <c r="AK5291" i="4"/>
  <c r="AI5291" i="4"/>
  <c r="AH5292" i="4"/>
  <c r="AT68" i="4"/>
  <c r="AM1140" i="4"/>
  <c r="AJ5292" i="4"/>
  <c r="AN1140" i="4" l="1"/>
  <c r="AL5283" i="4"/>
  <c r="AK5292" i="4"/>
  <c r="AI5292" i="4"/>
  <c r="AH5293" i="4"/>
  <c r="AJ5293" i="4"/>
  <c r="AU68" i="4"/>
  <c r="AL5284" i="4" l="1"/>
  <c r="AK5293" i="4"/>
  <c r="AI5293" i="4"/>
  <c r="AH5294" i="4"/>
  <c r="AT69" i="4"/>
  <c r="AM1170" i="4"/>
  <c r="AJ5294" i="4"/>
  <c r="AN1170" i="4" l="1"/>
  <c r="AL5285" i="4"/>
  <c r="AK5294" i="4"/>
  <c r="AI5294" i="4"/>
  <c r="AH5295" i="4"/>
  <c r="AU69" i="4"/>
  <c r="AJ5295" i="4"/>
  <c r="AL5286" i="4" l="1"/>
  <c r="AK5295" i="4"/>
  <c r="AI5295" i="4"/>
  <c r="AH5296" i="4"/>
  <c r="AT70" i="4"/>
  <c r="AM1200" i="4"/>
  <c r="AJ5296" i="4"/>
  <c r="AN1200" i="4" l="1"/>
  <c r="AL5287" i="4"/>
  <c r="AK5296" i="4"/>
  <c r="AI5296" i="4"/>
  <c r="AH5297" i="4"/>
  <c r="AU70" i="4"/>
  <c r="AJ5297" i="4"/>
  <c r="AL5288" i="4" l="1"/>
  <c r="AK5297" i="4"/>
  <c r="AI5297" i="4"/>
  <c r="AH5298" i="4"/>
  <c r="AT71" i="4"/>
  <c r="AM1230" i="4"/>
  <c r="AJ5298" i="4"/>
  <c r="AN1230" i="4" l="1"/>
  <c r="AL5289" i="4"/>
  <c r="AK5298" i="4"/>
  <c r="AI5298" i="4"/>
  <c r="AH5299" i="4"/>
  <c r="AU71" i="4"/>
  <c r="AJ5299" i="4"/>
  <c r="AL5290" i="4" l="1"/>
  <c r="AK5299" i="4"/>
  <c r="AI5299" i="4"/>
  <c r="AH5300" i="4"/>
  <c r="AT72" i="4"/>
  <c r="AM1260" i="4"/>
  <c r="AJ5300" i="4"/>
  <c r="AN1260" i="4" l="1"/>
  <c r="AL5291" i="4"/>
  <c r="AK5300" i="4"/>
  <c r="AI5300" i="4"/>
  <c r="AH5301" i="4"/>
  <c r="AU72" i="4"/>
  <c r="AJ5301" i="4"/>
  <c r="AL5292" i="4" l="1"/>
  <c r="AK5301" i="4"/>
  <c r="AI5301" i="4"/>
  <c r="AH5302" i="4"/>
  <c r="AT73" i="4"/>
  <c r="AM1290" i="4"/>
  <c r="AJ5302" i="4"/>
  <c r="AN1290" i="4" l="1"/>
  <c r="AL5293" i="4"/>
  <c r="AK5302" i="4"/>
  <c r="AI5302" i="4"/>
  <c r="AH5303" i="4"/>
  <c r="AU73" i="4"/>
  <c r="AJ5303" i="4"/>
  <c r="AL5294" i="4" l="1"/>
  <c r="AK5303" i="4"/>
  <c r="AI5303" i="4"/>
  <c r="AH5304" i="4"/>
  <c r="AT74" i="4"/>
  <c r="AJ5304" i="4"/>
  <c r="AM1320" i="4"/>
  <c r="AN1320" i="4" l="1"/>
  <c r="AL5295" i="4"/>
  <c r="AK5304" i="4"/>
  <c r="AI5304" i="4"/>
  <c r="AH5305" i="4"/>
  <c r="AU74" i="4"/>
  <c r="AJ5305" i="4"/>
  <c r="AL5296" i="4" l="1"/>
  <c r="AK5305" i="4"/>
  <c r="AI5305" i="4"/>
  <c r="AH5306" i="4"/>
  <c r="AT75" i="4"/>
  <c r="AM1350" i="4"/>
  <c r="AJ5306" i="4"/>
  <c r="AN1350" i="4" l="1"/>
  <c r="AL5297" i="4"/>
  <c r="AK5306" i="4"/>
  <c r="AI5306" i="4"/>
  <c r="AH5307" i="4"/>
  <c r="AJ5307" i="4"/>
  <c r="AU75" i="4"/>
  <c r="AL5298" i="4" l="1"/>
  <c r="AK5307" i="4"/>
  <c r="AI5307" i="4"/>
  <c r="AH5308" i="4"/>
  <c r="AT76" i="4"/>
  <c r="AM1380" i="4"/>
  <c r="AJ5308" i="4"/>
  <c r="AN1380" i="4" l="1"/>
  <c r="AL5299" i="4"/>
  <c r="AK5308" i="4"/>
  <c r="AI5308" i="4"/>
  <c r="AH5309" i="4"/>
  <c r="AU76" i="4"/>
  <c r="AJ5309" i="4"/>
  <c r="AL5300" i="4" l="1"/>
  <c r="AK5309" i="4"/>
  <c r="AI5309" i="4"/>
  <c r="AH5310" i="4"/>
  <c r="AT77" i="4"/>
  <c r="AM1410" i="4"/>
  <c r="AJ5310" i="4"/>
  <c r="AN1410" i="4" l="1"/>
  <c r="AL5301" i="4"/>
  <c r="AK5310" i="4"/>
  <c r="AI5310" i="4"/>
  <c r="AH5311" i="4"/>
  <c r="AU77" i="4"/>
  <c r="AJ5311" i="4"/>
  <c r="AL5302" i="4" l="1"/>
  <c r="AK5311" i="4"/>
  <c r="AI5311" i="4"/>
  <c r="AH5312" i="4"/>
  <c r="AT78" i="4"/>
  <c r="AJ5312" i="4"/>
  <c r="AM1440" i="4"/>
  <c r="AN1440" i="4" l="1"/>
  <c r="AL5303" i="4"/>
  <c r="AK5312" i="4"/>
  <c r="AI5312" i="4"/>
  <c r="AH5313" i="4"/>
  <c r="AU78" i="4"/>
  <c r="AJ5313" i="4"/>
  <c r="AL5304" i="4" l="1"/>
  <c r="AK5313" i="4"/>
  <c r="AI5313" i="4"/>
  <c r="AH5314" i="4"/>
  <c r="AT79" i="4"/>
  <c r="AM1470" i="4"/>
  <c r="AJ5314" i="4"/>
  <c r="AN1470" i="4" l="1"/>
  <c r="AL5305" i="4"/>
  <c r="AK5314" i="4"/>
  <c r="AI5314" i="4"/>
  <c r="AH5315" i="4"/>
  <c r="AJ5315" i="4"/>
  <c r="AU79" i="4"/>
  <c r="AL5306" i="4" l="1"/>
  <c r="AK5315" i="4"/>
  <c r="AI5315" i="4"/>
  <c r="AH5316" i="4"/>
  <c r="AT80" i="4"/>
  <c r="AM1500" i="4"/>
  <c r="AJ5316" i="4"/>
  <c r="AN1500" i="4" l="1"/>
  <c r="AL5307" i="4"/>
  <c r="AK5316" i="4"/>
  <c r="AI5316" i="4"/>
  <c r="AH5317" i="4"/>
  <c r="AU80" i="4"/>
  <c r="AJ5317" i="4"/>
  <c r="AL5308" i="4" l="1"/>
  <c r="AK5317" i="4"/>
  <c r="AI5317" i="4"/>
  <c r="AH5318" i="4"/>
  <c r="AT81" i="4"/>
  <c r="AJ5318" i="4"/>
  <c r="AM1530" i="4"/>
  <c r="AN1530" i="4" l="1"/>
  <c r="AL5309" i="4"/>
  <c r="AK5318" i="4"/>
  <c r="AI5318" i="4"/>
  <c r="AH5319" i="4"/>
  <c r="AU81" i="4"/>
  <c r="AJ5319" i="4"/>
  <c r="AL5310" i="4" l="1"/>
  <c r="AK5319" i="4"/>
  <c r="AI5319" i="4"/>
  <c r="AH5320" i="4"/>
  <c r="AT82" i="4"/>
  <c r="AM1560" i="4"/>
  <c r="AJ5320" i="4"/>
  <c r="AN1560" i="4" l="1"/>
  <c r="AL5311" i="4"/>
  <c r="AK5320" i="4"/>
  <c r="AI5320" i="4"/>
  <c r="AH5321" i="4"/>
  <c r="AJ5321" i="4"/>
  <c r="AU82" i="4"/>
  <c r="AL5312" i="4" l="1"/>
  <c r="AK5321" i="4"/>
  <c r="AI5321" i="4"/>
  <c r="AH5322" i="4"/>
  <c r="AT83" i="4"/>
  <c r="AM1590" i="4"/>
  <c r="AJ5322" i="4"/>
  <c r="AN1590" i="4" l="1"/>
  <c r="AL5313" i="4"/>
  <c r="AK5322" i="4"/>
  <c r="AI5322" i="4"/>
  <c r="AH5323" i="4"/>
  <c r="AU83" i="4"/>
  <c r="AJ5323" i="4"/>
  <c r="AL5314" i="4" l="1"/>
  <c r="AK5323" i="4"/>
  <c r="AI5323" i="4"/>
  <c r="AH5324" i="4"/>
  <c r="AT84" i="4"/>
  <c r="AM1620" i="4"/>
  <c r="AJ5324" i="4"/>
  <c r="AN1620" i="4" l="1"/>
  <c r="AL5315" i="4"/>
  <c r="AK5324" i="4"/>
  <c r="AI5324" i="4"/>
  <c r="AH5325" i="4"/>
  <c r="AJ5325" i="4"/>
  <c r="AU84" i="4"/>
  <c r="AL5316" i="4" l="1"/>
  <c r="AK5325" i="4"/>
  <c r="AI5325" i="4"/>
  <c r="AH5326" i="4"/>
  <c r="AT85" i="4"/>
  <c r="AM1650" i="4"/>
  <c r="AJ5326" i="4"/>
  <c r="AN1650" i="4" l="1"/>
  <c r="AL5317" i="4"/>
  <c r="AK5326" i="4"/>
  <c r="AI5326" i="4"/>
  <c r="AH5327" i="4"/>
  <c r="AU85" i="4"/>
  <c r="AJ5327" i="4"/>
  <c r="AL5318" i="4" l="1"/>
  <c r="AK5327" i="4"/>
  <c r="AI5327" i="4"/>
  <c r="AH5328" i="4"/>
  <c r="AT86" i="4"/>
  <c r="AM1680" i="4"/>
  <c r="AJ5328" i="4"/>
  <c r="AN1680" i="4" l="1"/>
  <c r="AL5319" i="4"/>
  <c r="AK5328" i="4"/>
  <c r="AI5328" i="4"/>
  <c r="AH5329" i="4"/>
  <c r="AU86" i="4"/>
  <c r="AJ5329" i="4"/>
  <c r="AL5320" i="4" l="1"/>
  <c r="AK5329" i="4"/>
  <c r="AI5329" i="4"/>
  <c r="AH5330" i="4"/>
  <c r="AT87" i="4"/>
  <c r="AM1710" i="4"/>
  <c r="AJ5330" i="4"/>
  <c r="AN1710" i="4" l="1"/>
  <c r="AL5321" i="4"/>
  <c r="AK5330" i="4"/>
  <c r="AI5330" i="4"/>
  <c r="AH5331" i="4"/>
  <c r="AU87" i="4"/>
  <c r="AJ5331" i="4"/>
  <c r="AL5322" i="4" l="1"/>
  <c r="AK5331" i="4"/>
  <c r="AI5331" i="4"/>
  <c r="AH5332" i="4"/>
  <c r="AT88" i="4"/>
  <c r="AM1740" i="4"/>
  <c r="AJ5332" i="4"/>
  <c r="AN1740" i="4" l="1"/>
  <c r="AL5323" i="4"/>
  <c r="AK5332" i="4"/>
  <c r="AI5332" i="4"/>
  <c r="AH5333" i="4"/>
  <c r="AU88" i="4"/>
  <c r="AJ5333" i="4"/>
  <c r="AL5324" i="4" l="1"/>
  <c r="AK5333" i="4"/>
  <c r="AI5333" i="4"/>
  <c r="AH5334" i="4"/>
  <c r="AT89" i="4"/>
  <c r="AM1770" i="4"/>
  <c r="AJ5334" i="4"/>
  <c r="AN1770" i="4" l="1"/>
  <c r="AL5325" i="4"/>
  <c r="AK5334" i="4"/>
  <c r="AI5334" i="4"/>
  <c r="AH5335" i="4"/>
  <c r="AU89" i="4"/>
  <c r="AJ5335" i="4"/>
  <c r="AL5326" i="4" l="1"/>
  <c r="AK5335" i="4"/>
  <c r="AI5335" i="4"/>
  <c r="AH5336" i="4"/>
  <c r="AT90" i="4"/>
  <c r="AJ5336" i="4"/>
  <c r="AM1800" i="4"/>
  <c r="AN1800" i="4" l="1"/>
  <c r="AL5327" i="4"/>
  <c r="AK5336" i="4"/>
  <c r="AI5336" i="4"/>
  <c r="AH5337" i="4"/>
  <c r="AU90" i="4"/>
  <c r="AJ5337" i="4"/>
  <c r="AL5328" i="4" l="1"/>
  <c r="AK5337" i="4"/>
  <c r="AI5337" i="4"/>
  <c r="AH5338" i="4"/>
  <c r="AT91" i="4"/>
  <c r="AM1830" i="4"/>
  <c r="AJ5338" i="4"/>
  <c r="AN1830" i="4" l="1"/>
  <c r="AL5329" i="4"/>
  <c r="AK5338" i="4"/>
  <c r="AI5338" i="4"/>
  <c r="AH5339" i="4"/>
  <c r="AU91" i="4"/>
  <c r="AJ5339" i="4"/>
  <c r="AL5330" i="4" l="1"/>
  <c r="AK5339" i="4"/>
  <c r="AI5339" i="4"/>
  <c r="AH5340" i="4"/>
  <c r="AT92" i="4"/>
  <c r="AM1860" i="4"/>
  <c r="AJ5340" i="4"/>
  <c r="AN1860" i="4" l="1"/>
  <c r="AL5331" i="4"/>
  <c r="AK5340" i="4"/>
  <c r="AI5340" i="4"/>
  <c r="AH5341" i="4"/>
  <c r="AU92" i="4"/>
  <c r="AJ5341" i="4"/>
  <c r="AL5332" i="4" l="1"/>
  <c r="AK5341" i="4"/>
  <c r="AI5341" i="4"/>
  <c r="AH5342" i="4"/>
  <c r="AT93" i="4"/>
  <c r="AM1890" i="4"/>
  <c r="AJ5342" i="4"/>
  <c r="AN1890" i="4" l="1"/>
  <c r="AL5333" i="4"/>
  <c r="AK5342" i="4"/>
  <c r="AI5342" i="4"/>
  <c r="AH5343" i="4"/>
  <c r="AU93" i="4"/>
  <c r="AJ5343" i="4"/>
  <c r="AL5334" i="4" l="1"/>
  <c r="AK5343" i="4"/>
  <c r="AI5343" i="4"/>
  <c r="AH5344" i="4"/>
  <c r="AT94" i="4"/>
  <c r="AM1920" i="4"/>
  <c r="AJ5344" i="4"/>
  <c r="AN1920" i="4" l="1"/>
  <c r="AL5335" i="4"/>
  <c r="AK5344" i="4"/>
  <c r="AI5344" i="4"/>
  <c r="AH5345" i="4"/>
  <c r="AU94" i="4"/>
  <c r="AJ5345" i="4"/>
  <c r="AL5336" i="4" l="1"/>
  <c r="AK5345" i="4"/>
  <c r="AI5345" i="4"/>
  <c r="AH5346" i="4"/>
  <c r="AT95" i="4"/>
  <c r="AM1950" i="4"/>
  <c r="AJ5346" i="4"/>
  <c r="AN1950" i="4" l="1"/>
  <c r="AL5337" i="4"/>
  <c r="AK5346" i="4"/>
  <c r="AI5346" i="4"/>
  <c r="AH5347" i="4"/>
  <c r="AJ5347" i="4"/>
  <c r="AU95" i="4"/>
  <c r="AL5338" i="4" l="1"/>
  <c r="AK5347" i="4"/>
  <c r="AI5347" i="4"/>
  <c r="AH5348" i="4"/>
  <c r="AT96" i="4"/>
  <c r="AM1980" i="4"/>
  <c r="AJ5348" i="4"/>
  <c r="AN1980" i="4" l="1"/>
  <c r="AL5339" i="4"/>
  <c r="AK5348" i="4"/>
  <c r="AI5348" i="4"/>
  <c r="AH5349" i="4"/>
  <c r="AU96" i="4"/>
  <c r="AJ5349" i="4"/>
  <c r="AL5340" i="4" l="1"/>
  <c r="AK5349" i="4"/>
  <c r="AI5349" i="4"/>
  <c r="AH5350" i="4"/>
  <c r="AT97" i="4"/>
  <c r="AM2010" i="4"/>
  <c r="AJ5350" i="4"/>
  <c r="AN2010" i="4" l="1"/>
  <c r="AL5341" i="4"/>
  <c r="AK5350" i="4"/>
  <c r="AI5350" i="4"/>
  <c r="AH5351" i="4"/>
  <c r="AU97" i="4"/>
  <c r="AJ5351" i="4"/>
  <c r="AL5342" i="4" l="1"/>
  <c r="AK5351" i="4"/>
  <c r="AI5351" i="4"/>
  <c r="AH5352" i="4"/>
  <c r="AT98" i="4"/>
  <c r="AJ5352" i="4"/>
  <c r="AM2040" i="4"/>
  <c r="AN2040" i="4" l="1"/>
  <c r="AL5343" i="4"/>
  <c r="AK5352" i="4"/>
  <c r="AI5352" i="4"/>
  <c r="AH5353" i="4"/>
  <c r="AU98" i="4"/>
  <c r="AJ5353" i="4"/>
  <c r="AL5344" i="4" l="1"/>
  <c r="AK5353" i="4"/>
  <c r="AI5353" i="4"/>
  <c r="AH5354" i="4"/>
  <c r="AT99" i="4"/>
  <c r="AJ5354" i="4"/>
  <c r="AM2070" i="4"/>
  <c r="AN2070" i="4" l="1"/>
  <c r="AL5345" i="4"/>
  <c r="AK5354" i="4"/>
  <c r="AI5354" i="4"/>
  <c r="AH5355" i="4"/>
  <c r="AJ5355" i="4"/>
  <c r="AU99" i="4"/>
  <c r="AL5346" i="4" l="1"/>
  <c r="AK5355" i="4"/>
  <c r="AI5355" i="4"/>
  <c r="AH5356" i="4"/>
  <c r="AT100" i="4"/>
  <c r="AM2100" i="4"/>
  <c r="AJ5356" i="4"/>
  <c r="AN2100" i="4" l="1"/>
  <c r="AL5347" i="4"/>
  <c r="AK5356" i="4"/>
  <c r="AI5356" i="4"/>
  <c r="AH5357" i="4"/>
  <c r="AU100" i="4"/>
  <c r="AJ5357" i="4"/>
  <c r="AL5348" i="4" l="1"/>
  <c r="AK5357" i="4"/>
  <c r="AI5357" i="4"/>
  <c r="AH5358" i="4"/>
  <c r="AT101" i="4"/>
  <c r="AM2130" i="4"/>
  <c r="AJ5358" i="4"/>
  <c r="AN2130" i="4" l="1"/>
  <c r="AL5349" i="4"/>
  <c r="AK5358" i="4"/>
  <c r="AI5358" i="4"/>
  <c r="AH5359" i="4"/>
  <c r="AU101" i="4"/>
  <c r="AJ5359" i="4"/>
  <c r="AL5350" i="4" l="1"/>
  <c r="AK5359" i="4"/>
  <c r="AI5359" i="4"/>
  <c r="AH5360" i="4"/>
  <c r="AT102" i="4"/>
  <c r="AM2160" i="4"/>
  <c r="AJ5360" i="4"/>
  <c r="AN2160" i="4" l="1"/>
  <c r="AL5351" i="4"/>
  <c r="AK5360" i="4"/>
  <c r="AI5360" i="4"/>
  <c r="AH5361" i="4"/>
  <c r="AJ5361" i="4"/>
  <c r="AU102" i="4"/>
  <c r="AL5352" i="4" l="1"/>
  <c r="AK5361" i="4"/>
  <c r="AI5361" i="4"/>
  <c r="AH5362" i="4"/>
  <c r="AT103" i="4"/>
  <c r="AJ5362" i="4"/>
  <c r="AM2190" i="4"/>
  <c r="AN2190" i="4" l="1"/>
  <c r="AL5353" i="4"/>
  <c r="AK5362" i="4"/>
  <c r="AI5362" i="4"/>
  <c r="AH5363" i="4"/>
  <c r="AU103" i="4"/>
  <c r="AJ5363" i="4"/>
  <c r="AL5354" i="4" l="1"/>
  <c r="AK5363" i="4"/>
  <c r="AI5363" i="4"/>
  <c r="AH5364" i="4"/>
  <c r="AT104" i="4"/>
  <c r="AM2220" i="4"/>
  <c r="AJ5364" i="4"/>
  <c r="AN2220" i="4" l="1"/>
  <c r="AL5355" i="4"/>
  <c r="AK5364" i="4"/>
  <c r="AI5364" i="4"/>
  <c r="AH5365" i="4"/>
  <c r="AU104" i="4"/>
  <c r="AJ5365" i="4"/>
  <c r="AL5356" i="4" l="1"/>
  <c r="AK5365" i="4"/>
  <c r="AI5365" i="4"/>
  <c r="AH5366" i="4"/>
  <c r="AT105" i="4"/>
  <c r="AM2250" i="4"/>
  <c r="AJ5366" i="4"/>
  <c r="AN2250" i="4" l="1"/>
  <c r="AL5357" i="4"/>
  <c r="AK5366" i="4"/>
  <c r="AI5366" i="4"/>
  <c r="AH5367" i="4"/>
  <c r="AU105" i="4"/>
  <c r="AJ5367" i="4"/>
  <c r="AL5358" i="4" l="1"/>
  <c r="AK5367" i="4"/>
  <c r="AI5367" i="4"/>
  <c r="AH5368" i="4"/>
  <c r="AT106" i="4"/>
  <c r="AJ5368" i="4"/>
  <c r="AM2280" i="4"/>
  <c r="AN2280" i="4" l="1"/>
  <c r="AL5359" i="4"/>
  <c r="AK5368" i="4"/>
  <c r="AI5368" i="4"/>
  <c r="AH5369" i="4"/>
  <c r="AJ5369" i="4"/>
  <c r="AU106" i="4"/>
  <c r="AL5360" i="4" l="1"/>
  <c r="AK5369" i="4"/>
  <c r="AI5369" i="4"/>
  <c r="AH5370" i="4"/>
  <c r="AT107" i="4"/>
  <c r="AJ5370" i="4"/>
  <c r="AM2310" i="4"/>
  <c r="AN2310" i="4" l="1"/>
  <c r="AL5361" i="4"/>
  <c r="AK5370" i="4"/>
  <c r="AI5370" i="4"/>
  <c r="AH5371" i="4"/>
  <c r="AU107" i="4"/>
  <c r="AJ5371" i="4"/>
  <c r="AL5362" i="4" l="1"/>
  <c r="AK5371" i="4"/>
  <c r="AI5371" i="4"/>
  <c r="AH5372" i="4"/>
  <c r="AT108" i="4"/>
  <c r="AM2340" i="4"/>
  <c r="AJ5372" i="4"/>
  <c r="AN2340" i="4" l="1"/>
  <c r="AL5363" i="4"/>
  <c r="AK5372" i="4"/>
  <c r="AI5372" i="4"/>
  <c r="AH5373" i="4"/>
  <c r="AU108" i="4"/>
  <c r="AJ5373" i="4"/>
  <c r="AL5364" i="4" l="1"/>
  <c r="AK5373" i="4"/>
  <c r="AI5373" i="4"/>
  <c r="AH5374" i="4"/>
  <c r="AT109" i="4"/>
  <c r="AM2370" i="4"/>
  <c r="AJ5374" i="4"/>
  <c r="AN2370" i="4" l="1"/>
  <c r="AL5365" i="4"/>
  <c r="AK5374" i="4"/>
  <c r="AI5374" i="4"/>
  <c r="AH5375" i="4"/>
  <c r="AU109" i="4"/>
  <c r="AJ5375" i="4"/>
  <c r="AL5366" i="4" l="1"/>
  <c r="AK5375" i="4"/>
  <c r="AI5375" i="4"/>
  <c r="AH5376" i="4"/>
  <c r="AT110" i="4"/>
  <c r="AM2400" i="4"/>
  <c r="AJ5376" i="4"/>
  <c r="AN2400" i="4" l="1"/>
  <c r="AL5367" i="4"/>
  <c r="AK5376" i="4"/>
  <c r="AI5376" i="4"/>
  <c r="AH5377" i="4"/>
  <c r="AJ5377" i="4"/>
  <c r="AU110" i="4"/>
  <c r="AL5368" i="4" l="1"/>
  <c r="AK5377" i="4"/>
  <c r="AI5377" i="4"/>
  <c r="AH5378" i="4"/>
  <c r="AT111" i="4"/>
  <c r="AJ5378" i="4"/>
  <c r="AM2430" i="4"/>
  <c r="AN2430" i="4" l="1"/>
  <c r="AL5369" i="4"/>
  <c r="AK5378" i="4"/>
  <c r="AI5378" i="4"/>
  <c r="AH5379" i="4"/>
  <c r="AU111" i="4"/>
  <c r="AJ5379" i="4"/>
  <c r="AL5370" i="4" l="1"/>
  <c r="AK5379" i="4"/>
  <c r="AI5379" i="4"/>
  <c r="AH5380" i="4"/>
  <c r="AT112" i="4"/>
  <c r="AM2460" i="4"/>
  <c r="AJ5380" i="4"/>
  <c r="AN2460" i="4" l="1"/>
  <c r="AL5371" i="4"/>
  <c r="AK5380" i="4"/>
  <c r="AI5380" i="4"/>
  <c r="AH5381" i="4"/>
  <c r="AU112" i="4"/>
  <c r="AJ5381" i="4"/>
  <c r="AL5372" i="4" l="1"/>
  <c r="AK5381" i="4"/>
  <c r="AI5381" i="4"/>
  <c r="AH5382" i="4"/>
  <c r="AT113" i="4"/>
  <c r="AM2490" i="4"/>
  <c r="AJ5382" i="4"/>
  <c r="AN2490" i="4" l="1"/>
  <c r="AL5373" i="4"/>
  <c r="AK5382" i="4"/>
  <c r="AI5382" i="4"/>
  <c r="AH5383" i="4"/>
  <c r="AU113" i="4"/>
  <c r="AJ5383" i="4"/>
  <c r="AL5374" i="4" l="1"/>
  <c r="AK5383" i="4"/>
  <c r="AI5383" i="4"/>
  <c r="AH5384" i="4"/>
  <c r="AT114" i="4"/>
  <c r="AM2520" i="4"/>
  <c r="AJ5384" i="4"/>
  <c r="AN2520" i="4" l="1"/>
  <c r="AL5375" i="4"/>
  <c r="AK5384" i="4"/>
  <c r="AI5384" i="4"/>
  <c r="AH5385" i="4"/>
  <c r="AU114" i="4"/>
  <c r="AJ5385" i="4"/>
  <c r="AL5376" i="4" l="1"/>
  <c r="AK5385" i="4"/>
  <c r="AI5385" i="4"/>
  <c r="AH5386" i="4"/>
  <c r="AT115" i="4"/>
  <c r="AJ5386" i="4"/>
  <c r="AM2550" i="4"/>
  <c r="AN2550" i="4" l="1"/>
  <c r="AL5377" i="4"/>
  <c r="AK5386" i="4"/>
  <c r="AI5386" i="4"/>
  <c r="AH5387" i="4"/>
  <c r="AJ5387" i="4"/>
  <c r="AU115" i="4"/>
  <c r="AL5378" i="4" l="1"/>
  <c r="AK5387" i="4"/>
  <c r="AI5387" i="4"/>
  <c r="AH5388" i="4"/>
  <c r="AT116" i="4"/>
  <c r="AM2580" i="4"/>
  <c r="AJ5388" i="4"/>
  <c r="AN2580" i="4" l="1"/>
  <c r="AL5379" i="4"/>
  <c r="AK5388" i="4"/>
  <c r="AI5388" i="4"/>
  <c r="AH5389" i="4"/>
  <c r="AU116" i="4"/>
  <c r="AJ5389" i="4"/>
  <c r="AL5380" i="4" l="1"/>
  <c r="AK5389" i="4"/>
  <c r="AI5389" i="4"/>
  <c r="AH5390" i="4"/>
  <c r="AT117" i="4"/>
  <c r="AJ5390" i="4"/>
  <c r="AM2610" i="4"/>
  <c r="AN2610" i="4" l="1"/>
  <c r="AL5381" i="4"/>
  <c r="AK5390" i="4"/>
  <c r="AI5390" i="4"/>
  <c r="AH5391" i="4"/>
  <c r="AJ5391" i="4"/>
  <c r="AU117" i="4"/>
  <c r="AL5382" i="4" l="1"/>
  <c r="AK5391" i="4"/>
  <c r="AI5391" i="4"/>
  <c r="AH5392" i="4"/>
  <c r="AT118" i="4"/>
  <c r="AJ5392" i="4"/>
  <c r="AM2640" i="4"/>
  <c r="AN2640" i="4" l="1"/>
  <c r="AL5383" i="4"/>
  <c r="AK5392" i="4"/>
  <c r="AI5392" i="4"/>
  <c r="AH5393" i="4"/>
  <c r="AU118" i="4"/>
  <c r="AJ5393" i="4"/>
  <c r="AL5384" i="4" l="1"/>
  <c r="AK5393" i="4"/>
  <c r="AI5393" i="4"/>
  <c r="AH5394" i="4"/>
  <c r="AT119" i="4"/>
  <c r="AM2670" i="4"/>
  <c r="AJ5394" i="4"/>
  <c r="AN2670" i="4" l="1"/>
  <c r="AL5385" i="4"/>
  <c r="AK5394" i="4"/>
  <c r="AI5394" i="4"/>
  <c r="AH5395" i="4"/>
  <c r="AJ5395" i="4"/>
  <c r="AU119" i="4"/>
  <c r="AL5386" i="4" l="1"/>
  <c r="AK5395" i="4"/>
  <c r="AI5395" i="4"/>
  <c r="AH5396" i="4"/>
  <c r="AT120" i="4"/>
  <c r="AJ5396" i="4"/>
  <c r="AM2700" i="4"/>
  <c r="AN2700" i="4" l="1"/>
  <c r="AL5387" i="4"/>
  <c r="AK5396" i="4"/>
  <c r="AI5396" i="4"/>
  <c r="AH5397" i="4"/>
  <c r="AU120" i="4"/>
  <c r="AJ5397" i="4"/>
  <c r="AL5388" i="4" l="1"/>
  <c r="AK5397" i="4"/>
  <c r="AI5397" i="4"/>
  <c r="AH5398" i="4"/>
  <c r="AT121" i="4"/>
  <c r="AM2730" i="4"/>
  <c r="AJ5398" i="4"/>
  <c r="AN2730" i="4" l="1"/>
  <c r="AL5389" i="4"/>
  <c r="AK5398" i="4"/>
  <c r="AI5398" i="4"/>
  <c r="AH5399" i="4"/>
  <c r="AU121" i="4"/>
  <c r="AJ5399" i="4"/>
  <c r="AL5390" i="4" l="1"/>
  <c r="AK5399" i="4"/>
  <c r="AI5399" i="4"/>
  <c r="AH5400" i="4"/>
  <c r="AT122" i="4"/>
  <c r="AM2760" i="4"/>
  <c r="AJ5400" i="4"/>
  <c r="AN2760" i="4" l="1"/>
  <c r="AL5391" i="4"/>
  <c r="AK5400" i="4"/>
  <c r="AI5400" i="4"/>
  <c r="AH5401" i="4"/>
  <c r="AU122" i="4"/>
  <c r="AJ5401" i="4"/>
  <c r="AL5392" i="4" l="1"/>
  <c r="AK5401" i="4"/>
  <c r="AI5401" i="4"/>
  <c r="AH5402" i="4"/>
  <c r="AT123" i="4"/>
  <c r="AJ5402" i="4"/>
  <c r="AM2790" i="4"/>
  <c r="AN2790" i="4" l="1"/>
  <c r="AL5393" i="4"/>
  <c r="AK5402" i="4"/>
  <c r="AI5402" i="4"/>
  <c r="AH5403" i="4"/>
  <c r="AU123" i="4"/>
  <c r="AJ5403" i="4"/>
  <c r="AL5394" i="4" l="1"/>
  <c r="AK5403" i="4"/>
  <c r="AI5403" i="4"/>
  <c r="AH5404" i="4"/>
  <c r="AT124" i="4"/>
  <c r="AM2820" i="4"/>
  <c r="AJ5404" i="4"/>
  <c r="AN2820" i="4" l="1"/>
  <c r="AL5395" i="4"/>
  <c r="AK5404" i="4"/>
  <c r="AI5404" i="4"/>
  <c r="AH5405" i="4"/>
  <c r="AU124" i="4"/>
  <c r="AJ5405" i="4"/>
  <c r="AL5396" i="4" l="1"/>
  <c r="AK5405" i="4"/>
  <c r="AI5405" i="4"/>
  <c r="AH5406" i="4"/>
  <c r="AT125" i="4"/>
  <c r="AM2850" i="4"/>
  <c r="AJ5406" i="4"/>
  <c r="AN2850" i="4" l="1"/>
  <c r="AL5397" i="4"/>
  <c r="AK5406" i="4"/>
  <c r="AI5406" i="4"/>
  <c r="AH5407" i="4"/>
  <c r="AU125" i="4"/>
  <c r="AJ5407" i="4"/>
  <c r="AL5398" i="4" l="1"/>
  <c r="AK5407" i="4"/>
  <c r="AI5407" i="4"/>
  <c r="AH5408" i="4"/>
  <c r="AT126" i="4"/>
  <c r="AJ5408" i="4"/>
  <c r="AM2880" i="4"/>
  <c r="AN2880" i="4" l="1"/>
  <c r="AL5399" i="4"/>
  <c r="AK5408" i="4"/>
  <c r="AI5408" i="4"/>
  <c r="AH5409" i="4"/>
  <c r="AU126" i="4"/>
  <c r="AJ5409" i="4"/>
  <c r="AL5400" i="4" l="1"/>
  <c r="AK5409" i="4"/>
  <c r="AI5409" i="4"/>
  <c r="AH5410" i="4"/>
  <c r="AT127" i="4"/>
  <c r="AM2910" i="4"/>
  <c r="AJ5410" i="4"/>
  <c r="AN2910" i="4" l="1"/>
  <c r="AL5401" i="4"/>
  <c r="AK5410" i="4"/>
  <c r="AI5410" i="4"/>
  <c r="AH5411" i="4"/>
  <c r="AU127" i="4"/>
  <c r="AJ5411" i="4"/>
  <c r="AL5402" i="4" l="1"/>
  <c r="AK5411" i="4"/>
  <c r="AI5411" i="4"/>
  <c r="AH5412" i="4"/>
  <c r="AT128" i="4"/>
  <c r="AJ5412" i="4"/>
  <c r="AM2940" i="4"/>
  <c r="AN2940" i="4" l="1"/>
  <c r="AL5403" i="4"/>
  <c r="AK5412" i="4"/>
  <c r="AI5412" i="4"/>
  <c r="AH5413" i="4"/>
  <c r="AU128" i="4"/>
  <c r="AJ5413" i="4"/>
  <c r="AL5404" i="4" l="1"/>
  <c r="AK5413" i="4"/>
  <c r="AI5413" i="4"/>
  <c r="AH5414" i="4"/>
  <c r="AT129" i="4"/>
  <c r="AM2970" i="4"/>
  <c r="AJ5414" i="4"/>
  <c r="AN2970" i="4" l="1"/>
  <c r="AL5405" i="4"/>
  <c r="AK5414" i="4"/>
  <c r="AI5414" i="4"/>
  <c r="AH5415" i="4"/>
  <c r="AU129" i="4"/>
  <c r="AJ5415" i="4"/>
  <c r="AL5406" i="4" l="1"/>
  <c r="AK5415" i="4"/>
  <c r="AI5415" i="4"/>
  <c r="AH5416" i="4"/>
  <c r="AT130" i="4"/>
  <c r="AJ5416" i="4"/>
  <c r="AM3000" i="4"/>
  <c r="AN3000" i="4" l="1"/>
  <c r="AL5407" i="4"/>
  <c r="AK5416" i="4"/>
  <c r="AI5416" i="4"/>
  <c r="AH5417" i="4"/>
  <c r="AJ5417" i="4"/>
  <c r="AU130" i="4"/>
  <c r="AL5408" i="4" l="1"/>
  <c r="AK5417" i="4"/>
  <c r="AI5417" i="4"/>
  <c r="AH5418" i="4"/>
  <c r="AT131" i="4"/>
  <c r="AJ5418" i="4"/>
  <c r="AM3030" i="4"/>
  <c r="AN3030" i="4" l="1"/>
  <c r="AL5409" i="4"/>
  <c r="AK5418" i="4"/>
  <c r="AI5418" i="4"/>
  <c r="AH5419" i="4"/>
  <c r="AU131" i="4"/>
  <c r="AJ5419" i="4"/>
  <c r="AL5410" i="4" l="1"/>
  <c r="AK5419" i="4"/>
  <c r="AI5419" i="4"/>
  <c r="AH5420" i="4"/>
  <c r="AT132" i="4"/>
  <c r="AJ5420" i="4"/>
  <c r="AM3060" i="4"/>
  <c r="AN3060" i="4" l="1"/>
  <c r="AL5411" i="4"/>
  <c r="AK5420" i="4"/>
  <c r="AI5420" i="4"/>
  <c r="AH5421" i="4"/>
  <c r="AU132" i="4"/>
  <c r="AJ5421" i="4"/>
  <c r="AL5412" i="4" l="1"/>
  <c r="AK5421" i="4"/>
  <c r="AI5421" i="4"/>
  <c r="AH5422" i="4"/>
  <c r="AT133" i="4"/>
  <c r="AM3090" i="4"/>
  <c r="AJ5422" i="4"/>
  <c r="AN3090" i="4" l="1"/>
  <c r="AL5413" i="4"/>
  <c r="AK5422" i="4"/>
  <c r="AI5422" i="4"/>
  <c r="AH5423" i="4"/>
  <c r="AU133" i="4"/>
  <c r="AJ5423" i="4"/>
  <c r="AL5414" i="4" l="1"/>
  <c r="AK5423" i="4"/>
  <c r="AI5423" i="4"/>
  <c r="AH5424" i="4"/>
  <c r="AT134" i="4"/>
  <c r="AM3120" i="4"/>
  <c r="AJ5424" i="4"/>
  <c r="AN3120" i="4" l="1"/>
  <c r="AL5415" i="4"/>
  <c r="AK5424" i="4"/>
  <c r="AI5424" i="4"/>
  <c r="AH5425" i="4"/>
  <c r="AJ5425" i="4"/>
  <c r="AU134" i="4"/>
  <c r="AL5416" i="4" l="1"/>
  <c r="AK5425" i="4"/>
  <c r="AI5425" i="4"/>
  <c r="AH5426" i="4"/>
  <c r="AT135" i="4"/>
  <c r="AM3150" i="4"/>
  <c r="AJ5426" i="4"/>
  <c r="AN3150" i="4" l="1"/>
  <c r="AL5417" i="4"/>
  <c r="AK5426" i="4"/>
  <c r="AI5426" i="4"/>
  <c r="AH5427" i="4"/>
  <c r="AU135" i="4"/>
  <c r="AJ5427" i="4"/>
  <c r="AL5418" i="4" l="1"/>
  <c r="AK5427" i="4"/>
  <c r="AI5427" i="4"/>
  <c r="AH5428" i="4"/>
  <c r="AT136" i="4"/>
  <c r="AJ5428" i="4"/>
  <c r="AM3180" i="4"/>
  <c r="AN3180" i="4" l="1"/>
  <c r="AL5419" i="4"/>
  <c r="AK5428" i="4"/>
  <c r="AI5428" i="4"/>
  <c r="AH5429" i="4"/>
  <c r="AJ5429" i="4"/>
  <c r="AU136" i="4"/>
  <c r="AL5420" i="4" l="1"/>
  <c r="AK5429" i="4"/>
  <c r="AI5429" i="4"/>
  <c r="AH5430" i="4"/>
  <c r="AT137" i="4"/>
  <c r="AM3210" i="4"/>
  <c r="AJ5430" i="4"/>
  <c r="AN3210" i="4" l="1"/>
  <c r="AL5421" i="4"/>
  <c r="AK5430" i="4"/>
  <c r="AI5430" i="4"/>
  <c r="AU137" i="4"/>
  <c r="AL5422" i="4" l="1"/>
  <c r="AC36" i="23"/>
  <c r="AE36" i="23" s="1"/>
  <c r="AC39" i="23"/>
  <c r="AE39" i="23" s="1"/>
  <c r="AC55" i="23"/>
  <c r="AE55" i="23" s="1"/>
  <c r="AC22" i="23"/>
  <c r="AE22" i="23" s="1"/>
  <c r="AC31" i="23"/>
  <c r="AE31" i="23" s="1"/>
  <c r="AC78" i="23"/>
  <c r="AE78" i="23" s="1"/>
  <c r="AC66" i="23"/>
  <c r="AE66" i="23" s="1"/>
  <c r="AC25" i="23"/>
  <c r="AE25" i="23" s="1"/>
  <c r="AC76" i="23"/>
  <c r="AE76" i="23" s="1"/>
  <c r="AC67" i="23"/>
  <c r="AE67" i="23" s="1"/>
  <c r="AC68" i="23"/>
  <c r="AE68" i="23" s="1"/>
  <c r="AC30" i="23"/>
  <c r="AE30" i="23" s="1"/>
  <c r="AC70" i="23"/>
  <c r="AE70" i="23" s="1"/>
  <c r="AC50" i="23"/>
  <c r="AE50" i="23" s="1"/>
  <c r="AC14" i="23"/>
  <c r="AE14" i="23" s="1"/>
  <c r="AC65" i="23"/>
  <c r="AE65" i="23" s="1"/>
  <c r="AC77" i="23"/>
  <c r="AE77" i="23" s="1"/>
  <c r="AC74" i="23"/>
  <c r="AE74" i="23" s="1"/>
  <c r="AC45" i="23"/>
  <c r="AE45" i="23" s="1"/>
  <c r="AC73" i="23"/>
  <c r="AE73" i="23" s="1"/>
  <c r="AC13" i="23"/>
  <c r="AE13" i="23" s="1"/>
  <c r="AC49" i="23"/>
  <c r="AE49" i="23" s="1"/>
  <c r="AC63" i="23"/>
  <c r="AE63" i="23" s="1"/>
  <c r="AC12" i="23"/>
  <c r="AE12" i="23" s="1"/>
  <c r="AC57" i="23"/>
  <c r="AE57" i="23" s="1"/>
  <c r="AC16" i="23"/>
  <c r="AE16" i="23" s="1"/>
  <c r="AC20" i="23"/>
  <c r="AE20" i="23" s="1"/>
  <c r="AC29" i="23"/>
  <c r="AE29" i="23" s="1"/>
  <c r="AC56" i="23"/>
  <c r="AE56" i="23" s="1"/>
  <c r="AC54" i="23"/>
  <c r="AE54" i="23" s="1"/>
  <c r="AC21" i="23"/>
  <c r="AE21" i="23" s="1"/>
  <c r="AC38" i="23"/>
  <c r="AE38" i="23" s="1"/>
  <c r="AC24" i="23"/>
  <c r="AE24" i="23" s="1"/>
  <c r="AC33" i="23"/>
  <c r="AE33" i="23" s="1"/>
  <c r="AC23" i="23"/>
  <c r="AE23" i="23" s="1"/>
  <c r="AC18" i="23"/>
  <c r="AE18" i="23" s="1"/>
  <c r="AC64" i="23"/>
  <c r="AE64" i="23" s="1"/>
  <c r="AC60" i="23"/>
  <c r="AE60" i="23" s="1"/>
  <c r="AC47" i="23"/>
  <c r="AE47" i="23" s="1"/>
  <c r="AC72" i="23"/>
  <c r="AE72" i="23" s="1"/>
  <c r="AC19" i="23"/>
  <c r="AE19" i="23" s="1"/>
  <c r="AC53" i="23"/>
  <c r="AE53" i="23" s="1"/>
  <c r="AC42" i="23"/>
  <c r="AE42" i="23" s="1"/>
  <c r="AC46" i="23"/>
  <c r="AE46" i="23" s="1"/>
  <c r="AC48" i="23"/>
  <c r="AE48" i="23" s="1"/>
  <c r="AC32" i="23"/>
  <c r="AE32" i="23" s="1"/>
  <c r="AC41" i="23"/>
  <c r="AE41" i="23" s="1"/>
  <c r="AC69" i="23"/>
  <c r="AE69" i="23" s="1"/>
  <c r="AC43" i="23"/>
  <c r="AE43" i="23" s="1"/>
  <c r="AC28" i="23"/>
  <c r="AE28" i="23" s="1"/>
  <c r="AC34" i="23"/>
  <c r="AE34" i="23" s="1"/>
  <c r="AC44" i="23"/>
  <c r="AE44" i="23" s="1"/>
  <c r="AC27" i="23"/>
  <c r="AE27" i="23" s="1"/>
  <c r="AC40" i="23"/>
  <c r="AE40" i="23" s="1"/>
  <c r="AC35" i="23"/>
  <c r="AE35" i="23" s="1"/>
  <c r="AC58" i="23"/>
  <c r="AE58" i="23" s="1"/>
  <c r="AC51" i="23"/>
  <c r="AE51" i="23" s="1"/>
  <c r="AC75" i="23"/>
  <c r="AE75" i="23" s="1"/>
  <c r="AC59" i="23"/>
  <c r="AE59" i="23" s="1"/>
  <c r="AC52" i="23"/>
  <c r="AE52" i="23" s="1"/>
  <c r="AC37" i="23"/>
  <c r="AE37" i="23" s="1"/>
  <c r="AC26" i="23"/>
  <c r="AE26" i="23" s="1"/>
  <c r="AC17" i="23"/>
  <c r="AE17" i="23" s="1"/>
  <c r="AC62" i="23"/>
  <c r="AE62" i="23" s="1"/>
  <c r="AC79" i="23"/>
  <c r="AE79" i="23" s="1"/>
  <c r="AC15" i="23"/>
  <c r="AE15" i="23" s="1"/>
  <c r="AC71" i="23"/>
  <c r="AE71" i="23" s="1"/>
  <c r="AC61" i="23"/>
  <c r="AE61" i="23" s="1"/>
  <c r="AT138" i="4"/>
  <c r="AK94" i="23"/>
  <c r="AJ100" i="23"/>
  <c r="AK93" i="23"/>
  <c r="AG91" i="23"/>
  <c r="AH90" i="23"/>
  <c r="AE100" i="23"/>
  <c r="AL102" i="23"/>
  <c r="AD98" i="23"/>
  <c r="AK91" i="23"/>
  <c r="AJ101" i="23"/>
  <c r="AI97" i="23"/>
  <c r="AK102" i="23"/>
  <c r="AC91" i="23"/>
  <c r="AI101" i="23"/>
  <c r="AG90" i="23"/>
  <c r="AG101" i="23"/>
  <c r="AG98" i="23"/>
  <c r="AF96" i="23"/>
  <c r="AH98" i="23"/>
  <c r="AJ103" i="23"/>
  <c r="AK92" i="23"/>
  <c r="AJ90" i="23"/>
  <c r="AK100" i="23"/>
  <c r="AH101" i="23"/>
  <c r="AH102" i="23"/>
  <c r="AG95" i="23"/>
  <c r="AD100" i="23"/>
  <c r="AD102" i="23"/>
  <c r="AJ92" i="23"/>
  <c r="AF93" i="23"/>
  <c r="AI103" i="23"/>
  <c r="AM3240" i="4"/>
  <c r="AC93" i="23"/>
  <c r="AF90" i="23"/>
  <c r="AI93" i="23"/>
  <c r="AI94" i="23"/>
  <c r="AC103" i="23"/>
  <c r="AC100" i="23"/>
  <c r="AJ98" i="23"/>
  <c r="AD95" i="23"/>
  <c r="AL97" i="23"/>
  <c r="AF91" i="23"/>
  <c r="AL92" i="23"/>
  <c r="AJ102" i="23"/>
  <c r="AJ94" i="23"/>
  <c r="AJ95" i="23"/>
  <c r="AG94" i="23"/>
  <c r="AK97" i="23"/>
  <c r="AI95" i="23"/>
  <c r="AL91" i="23"/>
  <c r="AI90" i="23"/>
  <c r="AC102" i="23"/>
  <c r="AF103" i="23"/>
  <c r="AH94" i="23"/>
  <c r="AH97" i="23"/>
  <c r="AC99" i="23"/>
  <c r="AI102" i="23"/>
  <c r="AL99" i="23"/>
  <c r="AF97" i="23"/>
  <c r="AC101" i="23"/>
  <c r="AK99" i="23"/>
  <c r="AK90" i="23"/>
  <c r="AH95" i="23"/>
  <c r="AI91" i="23"/>
  <c r="AH103" i="23"/>
  <c r="AF94" i="23"/>
  <c r="AG102" i="23"/>
  <c r="AD97" i="23"/>
  <c r="AL90" i="23"/>
  <c r="AI96" i="23"/>
  <c r="AE102" i="23"/>
  <c r="AJ97" i="23"/>
  <c r="AH96" i="23"/>
  <c r="AD96" i="23"/>
  <c r="AI99" i="23"/>
  <c r="AC97" i="23"/>
  <c r="AE97" i="23"/>
  <c r="AH100" i="23"/>
  <c r="AE96" i="23"/>
  <c r="AJ93" i="23"/>
  <c r="AH99" i="23"/>
  <c r="AC95" i="23"/>
  <c r="AF98" i="23"/>
  <c r="AE103" i="23"/>
  <c r="AE94" i="23"/>
  <c r="AL103" i="23"/>
  <c r="AJ99" i="23"/>
  <c r="AL101" i="23"/>
  <c r="AE99" i="23"/>
  <c r="AE95" i="23"/>
  <c r="AH93" i="23"/>
  <c r="AG99" i="23"/>
  <c r="AD103" i="23"/>
  <c r="AE91" i="23"/>
  <c r="AI98" i="23"/>
  <c r="AC98" i="23"/>
  <c r="AI100" i="23"/>
  <c r="AF102" i="23"/>
  <c r="AD99" i="23"/>
  <c r="AK95" i="23"/>
  <c r="AE101" i="23"/>
  <c r="AJ91" i="23"/>
  <c r="AH92" i="23"/>
  <c r="AD91" i="23"/>
  <c r="AK103" i="23"/>
  <c r="AD90" i="23"/>
  <c r="AC90" i="23"/>
  <c r="AH91" i="23"/>
  <c r="AF100" i="23"/>
  <c r="AL95" i="23"/>
  <c r="AK98" i="23"/>
  <c r="AL98" i="23"/>
  <c r="AG100" i="23"/>
  <c r="AL94" i="23"/>
  <c r="AE93" i="23"/>
  <c r="AL96" i="23"/>
  <c r="AF92" i="23"/>
  <c r="AD92" i="23"/>
  <c r="AC94" i="23"/>
  <c r="AE98" i="23"/>
  <c r="AK101" i="23"/>
  <c r="AJ96" i="23"/>
  <c r="AC96" i="23"/>
  <c r="AF99" i="23"/>
  <c r="AG97" i="23"/>
  <c r="AF101" i="23"/>
  <c r="AK96" i="23"/>
  <c r="AE90" i="23"/>
  <c r="AL100" i="23"/>
  <c r="AC92" i="23"/>
  <c r="AL93" i="23"/>
  <c r="AF95" i="23"/>
  <c r="AD94" i="23"/>
  <c r="AG92" i="23"/>
  <c r="AG103" i="23"/>
  <c r="AG93" i="23"/>
  <c r="AE92" i="23"/>
  <c r="AG96" i="23"/>
  <c r="AD93" i="23"/>
  <c r="AD101" i="23"/>
  <c r="AI92" i="23"/>
  <c r="AN3240" i="4" l="1"/>
  <c r="AL5423" i="4"/>
  <c r="O43" i="23"/>
  <c r="T31" i="23"/>
  <c r="T32" i="23"/>
  <c r="T33" i="23"/>
  <c r="T34" i="23"/>
  <c r="O35" i="23"/>
  <c r="T35" i="23"/>
  <c r="T36" i="23"/>
  <c r="T37" i="23"/>
  <c r="T38" i="23"/>
  <c r="T39" i="23"/>
  <c r="T40" i="23"/>
  <c r="T41" i="23"/>
  <c r="T42" i="23"/>
  <c r="T43" i="23"/>
  <c r="T44" i="23"/>
  <c r="O44" i="23"/>
  <c r="Q31" i="23"/>
  <c r="O32" i="23"/>
  <c r="Q32" i="23"/>
  <c r="Q33" i="23"/>
  <c r="Q34" i="23"/>
  <c r="Q35" i="23"/>
  <c r="Q36" i="23"/>
  <c r="Q37" i="23"/>
  <c r="Q38" i="23"/>
  <c r="Q39" i="23"/>
  <c r="Q40" i="23"/>
  <c r="Q41" i="23"/>
  <c r="Q42" i="23"/>
  <c r="Q43" i="23"/>
  <c r="Q44" i="23"/>
  <c r="W31" i="23"/>
  <c r="W32" i="23"/>
  <c r="W33" i="23"/>
  <c r="W34" i="23"/>
  <c r="W35" i="23"/>
  <c r="W36" i="23"/>
  <c r="W37" i="23"/>
  <c r="O38" i="23"/>
  <c r="W38" i="23"/>
  <c r="W39" i="23"/>
  <c r="W40" i="23"/>
  <c r="W41" i="23"/>
  <c r="W42" i="23"/>
  <c r="W43" i="23"/>
  <c r="W44" i="23"/>
  <c r="U31" i="23"/>
  <c r="U32" i="23"/>
  <c r="U33" i="23"/>
  <c r="U34" i="23"/>
  <c r="U35" i="23"/>
  <c r="O36" i="23"/>
  <c r="U36" i="23"/>
  <c r="U37" i="23"/>
  <c r="U38" i="23"/>
  <c r="U39" i="23"/>
  <c r="U40" i="23"/>
  <c r="U41" i="23"/>
  <c r="U42" i="23"/>
  <c r="U43" i="23"/>
  <c r="U44" i="23"/>
  <c r="O40" i="23"/>
  <c r="X31" i="23"/>
  <c r="X32" i="23"/>
  <c r="X33" i="23"/>
  <c r="X34" i="23"/>
  <c r="X35" i="23"/>
  <c r="X36" i="23"/>
  <c r="X37" i="23"/>
  <c r="X38" i="23"/>
  <c r="O39" i="23"/>
  <c r="X39" i="23"/>
  <c r="X40" i="23"/>
  <c r="X41" i="23"/>
  <c r="X42" i="23"/>
  <c r="X43" i="23"/>
  <c r="X44" i="23"/>
  <c r="O41" i="23"/>
  <c r="O42" i="23"/>
  <c r="V31" i="23"/>
  <c r="V32" i="23"/>
  <c r="V33" i="23"/>
  <c r="V34" i="23"/>
  <c r="V35" i="23"/>
  <c r="V36" i="23"/>
  <c r="O37" i="23"/>
  <c r="V37" i="23"/>
  <c r="V38" i="23"/>
  <c r="V39" i="23"/>
  <c r="V40" i="23"/>
  <c r="V41" i="23"/>
  <c r="V42" i="23"/>
  <c r="V43" i="23"/>
  <c r="V44" i="23"/>
  <c r="R31" i="23"/>
  <c r="R32" i="23"/>
  <c r="O33" i="23"/>
  <c r="R33" i="23"/>
  <c r="R34" i="23"/>
  <c r="R35" i="23"/>
  <c r="R36" i="23"/>
  <c r="R37" i="23"/>
  <c r="R38" i="23"/>
  <c r="R39" i="23"/>
  <c r="R40" i="23"/>
  <c r="R41" i="23"/>
  <c r="R42" i="23"/>
  <c r="R43" i="23"/>
  <c r="R44" i="23"/>
  <c r="O31" i="23"/>
  <c r="P31" i="23"/>
  <c r="P32" i="23"/>
  <c r="P33" i="23"/>
  <c r="P34" i="23"/>
  <c r="P35" i="23"/>
  <c r="P36" i="23"/>
  <c r="P37" i="23"/>
  <c r="P38" i="23"/>
  <c r="P39" i="23"/>
  <c r="P40" i="23"/>
  <c r="P41" i="23"/>
  <c r="P42" i="23"/>
  <c r="P43" i="23"/>
  <c r="P44" i="23"/>
  <c r="S31" i="23"/>
  <c r="S32" i="23"/>
  <c r="S33" i="23"/>
  <c r="O34" i="23"/>
  <c r="S34" i="23"/>
  <c r="S35" i="23"/>
  <c r="S36" i="23"/>
  <c r="S37" i="23"/>
  <c r="S38" i="23"/>
  <c r="S39" i="23"/>
  <c r="S40" i="23"/>
  <c r="S41" i="23"/>
  <c r="S42" i="23"/>
  <c r="S43" i="23"/>
  <c r="S44" i="23"/>
  <c r="AT139" i="4"/>
  <c r="AT140" i="4"/>
  <c r="AT141" i="4"/>
  <c r="AT142" i="4"/>
  <c r="AT143" i="4"/>
  <c r="AT144" i="4"/>
  <c r="AT145" i="4"/>
  <c r="AT146" i="4"/>
  <c r="AT147" i="4"/>
  <c r="AT148" i="4"/>
  <c r="AT149" i="4"/>
  <c r="AT150" i="4"/>
  <c r="AT151" i="4"/>
  <c r="AT152" i="4"/>
  <c r="AT153" i="4"/>
  <c r="AT154" i="4"/>
  <c r="AT155" i="4"/>
  <c r="AT156" i="4"/>
  <c r="AU138" i="4"/>
  <c r="AM3330" i="4"/>
  <c r="AM3570" i="4"/>
  <c r="AM3300" i="4"/>
  <c r="AM5070" i="4"/>
  <c r="AM3420" i="4"/>
  <c r="AM4710" i="4"/>
  <c r="AM3540" i="4"/>
  <c r="AM3600" i="4"/>
  <c r="AM3480" i="4"/>
  <c r="AM3270" i="4"/>
  <c r="AM5430" i="4"/>
  <c r="AM3450" i="4"/>
  <c r="AM3390" i="4"/>
  <c r="AM3630" i="4"/>
  <c r="AM3510" i="4"/>
  <c r="AM3360" i="4"/>
  <c r="AM3990" i="4"/>
  <c r="AM4350" i="4"/>
  <c r="AN4710" i="4" l="1"/>
  <c r="AN3990" i="4"/>
  <c r="AN3600" i="4"/>
  <c r="AN3540" i="4"/>
  <c r="AN3480" i="4"/>
  <c r="AN3420" i="4"/>
  <c r="AN3360" i="4"/>
  <c r="AN3300" i="4"/>
  <c r="AN5070" i="4"/>
  <c r="AN3630" i="4"/>
  <c r="AN3510" i="4"/>
  <c r="AN3390" i="4"/>
  <c r="AN3270" i="4"/>
  <c r="AN4350" i="4"/>
  <c r="AN3570" i="4"/>
  <c r="AN3450" i="4"/>
  <c r="AN3330" i="4"/>
  <c r="AL5424" i="4"/>
  <c r="AD40" i="23"/>
  <c r="AF40" i="23" s="1"/>
  <c r="AD46" i="23"/>
  <c r="AF46" i="23" s="1"/>
  <c r="AD31" i="23"/>
  <c r="AF31" i="23" s="1"/>
  <c r="AD16" i="23"/>
  <c r="AF16" i="23" s="1"/>
  <c r="AD28" i="23"/>
  <c r="AF28" i="23" s="1"/>
  <c r="AD34" i="23"/>
  <c r="AF34" i="23" s="1"/>
  <c r="AD55" i="23"/>
  <c r="AF55" i="23" s="1"/>
  <c r="AD64" i="23"/>
  <c r="AF64" i="23" s="1"/>
  <c r="AD49" i="23"/>
  <c r="AF49" i="23" s="1"/>
  <c r="AD43" i="23"/>
  <c r="AF43" i="23" s="1"/>
  <c r="AD22" i="23"/>
  <c r="AF22" i="23" s="1"/>
  <c r="AD52" i="23"/>
  <c r="AF52" i="23" s="1"/>
  <c r="AD37" i="23"/>
  <c r="AF37" i="23" s="1"/>
  <c r="AD67" i="23"/>
  <c r="AF67" i="23" s="1"/>
  <c r="AD58" i="23"/>
  <c r="AF58" i="23" s="1"/>
  <c r="AD61" i="23"/>
  <c r="AF61" i="23" s="1"/>
  <c r="BI4" i="4"/>
  <c r="E37" i="12" s="1"/>
  <c r="Y37" i="12" s="1"/>
  <c r="BI5" i="4"/>
  <c r="E38" i="12" s="1"/>
  <c r="Y38" i="12" s="1"/>
  <c r="BI6" i="4"/>
  <c r="E39" i="12" s="1"/>
  <c r="Y39" i="12" s="1"/>
  <c r="BI7" i="4"/>
  <c r="E40" i="12" s="1"/>
  <c r="Y40" i="12" s="1"/>
  <c r="AU151" i="4"/>
  <c r="AU141" i="4"/>
  <c r="AU153" i="4"/>
  <c r="AU143" i="4"/>
  <c r="AU150" i="4"/>
  <c r="AU145" i="4"/>
  <c r="AU142" i="4"/>
  <c r="AU154" i="4"/>
  <c r="AU147" i="4"/>
  <c r="AU146" i="4"/>
  <c r="AU139" i="4"/>
  <c r="AU149" i="4"/>
  <c r="AU155" i="4"/>
  <c r="AU152" i="4"/>
  <c r="AU148" i="4"/>
  <c r="AU144" i="4"/>
  <c r="AU140" i="4"/>
  <c r="BE7" i="4" l="1"/>
  <c r="AL5425" i="4"/>
  <c r="BE5" i="4"/>
  <c r="BE4" i="4"/>
  <c r="BF4" i="4"/>
  <c r="BE6" i="4"/>
  <c r="BF5" i="4"/>
  <c r="AL5426" i="4" l="1"/>
  <c r="BF6" i="4"/>
  <c r="AL5427" i="4" l="1"/>
  <c r="BF7" i="4"/>
  <c r="AL5428" i="4" l="1"/>
  <c r="BI8" i="4"/>
  <c r="E41" i="12" s="1"/>
  <c r="Y41" i="12" s="1"/>
  <c r="AL5429" i="4" l="1"/>
  <c r="BF8" i="4"/>
  <c r="BE8" i="4"/>
  <c r="BI9" i="4"/>
  <c r="E42" i="12" s="1"/>
  <c r="Y42" i="12" s="1"/>
  <c r="AL5430" i="4" l="1"/>
  <c r="BE9" i="4"/>
  <c r="BF9" i="4"/>
  <c r="BI10" i="4"/>
  <c r="E43" i="12" s="1"/>
  <c r="Y43" i="12" s="1"/>
  <c r="AS156" i="4"/>
  <c r="BG7" i="4"/>
  <c r="BG5" i="4"/>
  <c r="BG9" i="4"/>
  <c r="BG10" i="4"/>
  <c r="BG6" i="4"/>
  <c r="BG4" i="4"/>
  <c r="BG3" i="4"/>
  <c r="BT3" i="4"/>
  <c r="BG8" i="4"/>
  <c r="D36" i="12" l="1"/>
  <c r="X36" i="12" s="1"/>
  <c r="BJ3" i="4"/>
  <c r="F36" i="12" s="1"/>
  <c r="Z36" i="12" s="1"/>
  <c r="AD62" i="12"/>
  <c r="D37" i="12"/>
  <c r="X37" i="12" s="1"/>
  <c r="D38" i="12"/>
  <c r="X38" i="12" s="1"/>
  <c r="D39" i="12"/>
  <c r="X39" i="12" s="1"/>
  <c r="D40" i="12"/>
  <c r="X40" i="12" s="1"/>
  <c r="D41" i="12"/>
  <c r="X41" i="12" s="1"/>
  <c r="D42" i="12"/>
  <c r="X42" i="12" s="1"/>
  <c r="AN5430" i="4"/>
  <c r="D43" i="12"/>
  <c r="X43" i="12" s="1"/>
  <c r="BF10" i="4"/>
  <c r="BE10" i="4"/>
  <c r="BI11" i="4"/>
  <c r="E44" i="12" s="1"/>
  <c r="Y44" i="12" s="1"/>
  <c r="BG11" i="4"/>
  <c r="BH9" i="4"/>
  <c r="BH11" i="4"/>
  <c r="BH5" i="4"/>
  <c r="BH3" i="4"/>
  <c r="BH6" i="4"/>
  <c r="BH4" i="4"/>
  <c r="BH10" i="4"/>
  <c r="BH7" i="4"/>
  <c r="BH8" i="4"/>
  <c r="AU156" i="4"/>
  <c r="F12" i="4" l="1"/>
  <c r="D44" i="12"/>
  <c r="X44" i="12" s="1"/>
  <c r="BF11" i="4"/>
  <c r="BE11" i="4"/>
  <c r="BI12" i="4"/>
  <c r="E45" i="12" s="1"/>
  <c r="Y45" i="12" s="1"/>
  <c r="BR3" i="4"/>
  <c r="BG12" i="4"/>
  <c r="D62" i="12" l="1"/>
  <c r="X62" i="12" s="1"/>
  <c r="AH62" i="12" s="1"/>
  <c r="D45" i="12"/>
  <c r="X45" i="12" s="1"/>
  <c r="BE12" i="4"/>
  <c r="BF12" i="4"/>
  <c r="BI13" i="4"/>
  <c r="E46" i="12" s="1"/>
  <c r="Y46" i="12" s="1"/>
  <c r="BG13" i="4"/>
  <c r="BH12" i="4"/>
  <c r="BS3" i="4"/>
  <c r="D46" i="12" l="1"/>
  <c r="X46" i="12" s="1"/>
  <c r="BE13" i="4"/>
  <c r="BF13" i="4"/>
  <c r="BI14" i="4"/>
  <c r="E47" i="12" s="1"/>
  <c r="Y47" i="12" s="1"/>
  <c r="BG14" i="4"/>
  <c r="BH13" i="4"/>
  <c r="D47" i="12" l="1"/>
  <c r="X47" i="12" s="1"/>
  <c r="BF14" i="4"/>
  <c r="BE14" i="4"/>
  <c r="BI15" i="4"/>
  <c r="E48" i="12" s="1"/>
  <c r="Y48" i="12" s="1"/>
  <c r="BH14" i="4"/>
  <c r="BG15" i="4"/>
  <c r="D48" i="12" l="1"/>
  <c r="X48" i="12" s="1"/>
  <c r="BF15" i="4"/>
  <c r="BE15" i="4"/>
  <c r="BI16" i="4"/>
  <c r="E49" i="12" s="1"/>
  <c r="Y49" i="12" s="1"/>
  <c r="BH15" i="4"/>
  <c r="BG16" i="4"/>
  <c r="D49" i="12" l="1"/>
  <c r="X49" i="12" s="1"/>
  <c r="BF16" i="4"/>
  <c r="BE16" i="4"/>
  <c r="BI17" i="4"/>
  <c r="E50" i="12" s="1"/>
  <c r="Y50" i="12" s="1"/>
  <c r="BG17" i="4"/>
  <c r="BH16" i="4"/>
  <c r="D50" i="12" l="1"/>
  <c r="X50" i="12" s="1"/>
  <c r="BE17" i="4"/>
  <c r="BF17" i="4"/>
  <c r="BI18" i="4"/>
  <c r="E51" i="12" s="1"/>
  <c r="Y51" i="12" s="1"/>
  <c r="BG18" i="4"/>
  <c r="BH17" i="4"/>
  <c r="D51" i="12" l="1"/>
  <c r="X51" i="12" s="1"/>
  <c r="BF18" i="4"/>
  <c r="BE18" i="4"/>
  <c r="BI19" i="4"/>
  <c r="E52" i="12" s="1"/>
  <c r="Y52" i="12" s="1"/>
  <c r="BG19" i="4"/>
  <c r="BH18" i="4"/>
  <c r="D52" i="12" l="1"/>
  <c r="X52" i="12" s="1"/>
  <c r="BF19" i="4"/>
  <c r="BE19" i="4"/>
  <c r="BI20" i="4"/>
  <c r="E53" i="12" s="1"/>
  <c r="Y53" i="12" s="1"/>
  <c r="BG20" i="4"/>
  <c r="BH19" i="4"/>
  <c r="D53" i="12" l="1"/>
  <c r="X53" i="12" s="1"/>
  <c r="BF20" i="4"/>
  <c r="BE20" i="4"/>
  <c r="BI21" i="4"/>
  <c r="E54" i="12" s="1"/>
  <c r="Y54" i="12" s="1"/>
  <c r="BH20" i="4"/>
  <c r="BG21" i="4"/>
  <c r="D54" i="12" l="1"/>
  <c r="X54" i="12" s="1"/>
  <c r="BF21" i="4"/>
  <c r="BE21" i="4"/>
  <c r="BI22" i="4"/>
  <c r="E55" i="12" s="1"/>
  <c r="Y55" i="12" s="1"/>
  <c r="BG22" i="4"/>
  <c r="BH21" i="4"/>
  <c r="D55" i="12" l="1"/>
  <c r="X55" i="12" s="1"/>
  <c r="BF22" i="4"/>
  <c r="BE22" i="4"/>
  <c r="BI23" i="4"/>
  <c r="E56" i="12" s="1"/>
  <c r="Y56" i="12" s="1"/>
  <c r="BH22" i="4"/>
  <c r="BG24" i="4"/>
  <c r="BG23" i="4"/>
  <c r="D57" i="12" l="1"/>
  <c r="X57" i="12" s="1"/>
  <c r="D56" i="12"/>
  <c r="X56" i="12" s="1"/>
  <c r="BF23" i="4"/>
  <c r="BE23" i="4"/>
  <c r="BI24" i="4"/>
  <c r="E57" i="12" s="1"/>
  <c r="Y57" i="12" s="1"/>
  <c r="BG25" i="4"/>
  <c r="BH24" i="4"/>
  <c r="BH23" i="4"/>
  <c r="D58" i="12" l="1"/>
  <c r="X58" i="12" s="1"/>
  <c r="BI25" i="4"/>
  <c r="E58" i="12" s="1"/>
  <c r="Y58" i="12" s="1"/>
  <c r="BI29" i="4"/>
  <c r="BU3" i="4"/>
  <c r="AE62" i="12" s="1"/>
  <c r="BV3" i="4"/>
  <c r="E62" i="12" s="1"/>
  <c r="Y62" i="12" s="1"/>
  <c r="BX3" i="4"/>
  <c r="BY3" i="4"/>
  <c r="CB3" i="4"/>
  <c r="BH25" i="4"/>
  <c r="CC3" i="4"/>
  <c r="BZ3" i="4" l="1"/>
  <c r="K62" i="12"/>
  <c r="BW3" i="4"/>
  <c r="F62" i="12" s="1"/>
  <c r="Z62" i="12" s="1"/>
  <c r="AI62" i="12"/>
  <c r="J62" i="12" s="1"/>
  <c r="CA3" i="4"/>
  <c r="AM62" i="4"/>
  <c r="AN62" i="4" l="1"/>
  <c r="AO62" i="4" s="1"/>
  <c r="CD3" i="4"/>
  <c r="AL62" i="12"/>
  <c r="L62" i="12"/>
  <c r="CF3" i="4"/>
  <c r="CG3" i="4" s="1"/>
  <c r="CH3" i="4" s="1"/>
  <c r="CN3" i="4"/>
  <c r="CO3" i="4"/>
  <c r="CQ3" i="4"/>
  <c r="CR3" i="4"/>
  <c r="AM61" i="4"/>
  <c r="AM152" i="4"/>
  <c r="AN152" i="4" l="1"/>
  <c r="AO152" i="4" s="1"/>
  <c r="AN61" i="4"/>
  <c r="AO61" i="4" s="1"/>
  <c r="CI3" i="4"/>
  <c r="CJ3" i="4" s="1"/>
  <c r="CK3" i="4" s="1"/>
  <c r="C4" i="4"/>
  <c r="M9" i="12" s="1"/>
  <c r="AT4" i="4"/>
  <c r="AU4" i="4"/>
  <c r="BJ4" i="4"/>
  <c r="F37" i="12" s="1"/>
  <c r="Z37" i="12" s="1"/>
  <c r="BK4" i="4"/>
  <c r="BL4" i="4"/>
  <c r="BR4" i="4"/>
  <c r="BT4" i="4"/>
  <c r="BS4" i="4"/>
  <c r="AX4" i="4"/>
  <c r="BN4" i="4"/>
  <c r="BM4" i="4" l="1"/>
  <c r="CL3" i="4"/>
  <c r="AD63" i="12"/>
  <c r="D63" i="12"/>
  <c r="X63" i="12" s="1"/>
  <c r="J37" i="12"/>
  <c r="BU4" i="4"/>
  <c r="AE63" i="12" s="1"/>
  <c r="BV4" i="4"/>
  <c r="E63" i="12" s="1"/>
  <c r="Y63" i="12" s="1"/>
  <c r="BX4" i="4"/>
  <c r="BY4" i="4"/>
  <c r="CB4" i="4"/>
  <c r="CC4" i="4"/>
  <c r="BZ4" i="4" l="1"/>
  <c r="K63" i="12"/>
  <c r="BW4" i="4"/>
  <c r="F63" i="12" s="1"/>
  <c r="Z63" i="12" s="1"/>
  <c r="AI63" i="12"/>
  <c r="J63" i="12" s="1"/>
  <c r="K37" i="12"/>
  <c r="AD37" i="12"/>
  <c r="CA4" i="4"/>
  <c r="AH63" i="12"/>
  <c r="CF4" i="4"/>
  <c r="CG4" i="4" s="1"/>
  <c r="CH4" i="4" s="1"/>
  <c r="CI4" i="4"/>
  <c r="CJ4" i="4" s="1"/>
  <c r="CK4" i="4" s="1"/>
  <c r="CN4" i="4"/>
  <c r="CO4" i="4"/>
  <c r="CQ4" i="4"/>
  <c r="CR4" i="4"/>
  <c r="AT5" i="4"/>
  <c r="AU5" i="4"/>
  <c r="AX5" i="4"/>
  <c r="AL63" i="12" l="1"/>
  <c r="L63" i="12"/>
  <c r="CD4" i="4"/>
  <c r="CL4" i="4" s="1"/>
  <c r="BJ5" i="4"/>
  <c r="F38" i="12" s="1"/>
  <c r="Z38" i="12" s="1"/>
  <c r="BK5" i="4"/>
  <c r="BL5" i="4"/>
  <c r="BT5" i="4"/>
  <c r="BR5" i="4"/>
  <c r="BN5" i="4"/>
  <c r="BM5" i="4" l="1"/>
  <c r="AD64" i="12"/>
  <c r="AH64" i="12" s="1"/>
  <c r="D64" i="12"/>
  <c r="X64" i="12" s="1"/>
  <c r="J38" i="12"/>
  <c r="BU5" i="4"/>
  <c r="AE64" i="12" s="1"/>
  <c r="BV5" i="4"/>
  <c r="E64" i="12" s="1"/>
  <c r="Y64" i="12" s="1"/>
  <c r="BX5" i="4"/>
  <c r="BY5" i="4"/>
  <c r="CB5" i="4"/>
  <c r="CC5" i="4"/>
  <c r="BS5" i="4"/>
  <c r="BZ5" i="4" l="1"/>
  <c r="K64" i="12"/>
  <c r="AI64" i="12"/>
  <c r="J64" i="12" s="1"/>
  <c r="AD38" i="12"/>
  <c r="K38" i="12"/>
  <c r="CA5" i="4"/>
  <c r="BW5" i="4"/>
  <c r="F64" i="12" s="1"/>
  <c r="Z64" i="12" s="1"/>
  <c r="CF5" i="4"/>
  <c r="CG5" i="4" s="1"/>
  <c r="CH5" i="4" s="1"/>
  <c r="CI5" i="4"/>
  <c r="CJ5" i="4" s="1"/>
  <c r="CK5" i="4" s="1"/>
  <c r="CN5" i="4"/>
  <c r="CO5" i="4"/>
  <c r="CQ5" i="4"/>
  <c r="CR5" i="4"/>
  <c r="AX6" i="4"/>
  <c r="AL64" i="12" l="1"/>
  <c r="L64" i="12"/>
  <c r="CD5" i="4"/>
  <c r="CL5" i="4" s="1"/>
  <c r="BJ6" i="4"/>
  <c r="F39" i="12" s="1"/>
  <c r="Z39" i="12" s="1"/>
  <c r="BK6" i="4"/>
  <c r="BL6" i="4"/>
  <c r="BT6" i="4"/>
  <c r="BR6" i="4"/>
  <c r="BN6" i="4"/>
  <c r="BM6" i="4" l="1"/>
  <c r="AD65" i="12"/>
  <c r="D65" i="12"/>
  <c r="X65" i="12" s="1"/>
  <c r="J39" i="12"/>
  <c r="BU6" i="4"/>
  <c r="AE65" i="12" s="1"/>
  <c r="BV6" i="4"/>
  <c r="E65" i="12" s="1"/>
  <c r="Y65" i="12" s="1"/>
  <c r="BX6" i="4"/>
  <c r="BY6" i="4"/>
  <c r="CB6" i="4"/>
  <c r="CC6" i="4"/>
  <c r="BS6" i="4"/>
  <c r="BZ6" i="4" l="1"/>
  <c r="K65" i="12"/>
  <c r="BW6" i="4"/>
  <c r="F65" i="12" s="1"/>
  <c r="Z65" i="12" s="1"/>
  <c r="AI65" i="12"/>
  <c r="J65" i="12" s="1"/>
  <c r="K39" i="12"/>
  <c r="AD39" i="12"/>
  <c r="CA6" i="4"/>
  <c r="AH65" i="12"/>
  <c r="CF6" i="4"/>
  <c r="CG6" i="4" s="1"/>
  <c r="CH6" i="4" s="1"/>
  <c r="CI6" i="4"/>
  <c r="CJ6" i="4" s="1"/>
  <c r="CK6" i="4" s="1"/>
  <c r="CN6" i="4"/>
  <c r="CO6" i="4"/>
  <c r="CQ6" i="4"/>
  <c r="CR6" i="4"/>
  <c r="AX7" i="4"/>
  <c r="AL65" i="12" l="1"/>
  <c r="L65" i="12"/>
  <c r="CD6" i="4"/>
  <c r="CL6" i="4" s="1"/>
  <c r="BJ7" i="4"/>
  <c r="F40" i="12" s="1"/>
  <c r="Z40" i="12" s="1"/>
  <c r="BK7" i="4"/>
  <c r="BL7" i="4"/>
  <c r="BN7" i="4"/>
  <c r="BR7" i="4"/>
  <c r="BT7" i="4"/>
  <c r="BM7" i="4" l="1"/>
  <c r="AD66" i="12"/>
  <c r="AH66" i="12" s="1"/>
  <c r="D66" i="12"/>
  <c r="X66" i="12" s="1"/>
  <c r="J40" i="12"/>
  <c r="BU7" i="4"/>
  <c r="AE66" i="12" s="1"/>
  <c r="BV7" i="4"/>
  <c r="E66" i="12" s="1"/>
  <c r="Y66" i="12" s="1"/>
  <c r="BX7" i="4"/>
  <c r="BY7" i="4"/>
  <c r="CB7" i="4"/>
  <c r="CC7" i="4"/>
  <c r="BS7" i="4"/>
  <c r="BZ7" i="4" l="1"/>
  <c r="K66" i="12"/>
  <c r="CA7" i="4"/>
  <c r="BW7" i="4"/>
  <c r="F66" i="12" s="1"/>
  <c r="Z66" i="12" s="1"/>
  <c r="AI66" i="12"/>
  <c r="J66" i="12" s="1"/>
  <c r="K40" i="12"/>
  <c r="AD40" i="12"/>
  <c r="BV20" i="4"/>
  <c r="E79" i="12" s="1"/>
  <c r="Y79" i="12" s="1"/>
  <c r="CF7" i="4"/>
  <c r="CG7" i="4" s="1"/>
  <c r="CH7" i="4" s="1"/>
  <c r="CI7" i="4"/>
  <c r="CJ7" i="4" s="1"/>
  <c r="CN7" i="4"/>
  <c r="CO7" i="4"/>
  <c r="CQ7" i="4"/>
  <c r="CR7" i="4"/>
  <c r="B8" i="4"/>
  <c r="K15" i="12" s="1"/>
  <c r="R15" i="12" s="1"/>
  <c r="D8" i="4"/>
  <c r="CD7" i="4" l="1"/>
  <c r="CL7" i="4" s="1"/>
  <c r="M15" i="12"/>
  <c r="CK7" i="4"/>
  <c r="CE7" i="4"/>
  <c r="AL66" i="12"/>
  <c r="L66" i="12"/>
  <c r="G8" i="4"/>
  <c r="N15" i="12" s="1"/>
  <c r="O15" i="12"/>
  <c r="R8" i="4"/>
  <c r="V25" i="4"/>
  <c r="C12" i="12" s="1"/>
  <c r="Y25" i="4"/>
  <c r="E12" i="12" s="1"/>
  <c r="AB25" i="4"/>
  <c r="G12" i="12" s="1"/>
  <c r="AX8" i="4"/>
  <c r="B3" i="32" l="1"/>
  <c r="H12" i="12"/>
  <c r="I8" i="4"/>
  <c r="P15" i="12" s="1"/>
  <c r="S8" i="4"/>
  <c r="I12" i="12" s="1"/>
  <c r="BJ8" i="4"/>
  <c r="F41" i="12" s="1"/>
  <c r="Z41" i="12" s="1"/>
  <c r="BK8" i="4"/>
  <c r="BL8" i="4"/>
  <c r="BN8" i="4"/>
  <c r="BT8" i="4"/>
  <c r="BR8" i="4"/>
  <c r="BM8" i="4" l="1"/>
  <c r="AD67" i="12"/>
  <c r="AH67" i="12" s="1"/>
  <c r="D67" i="12"/>
  <c r="X67" i="12" s="1"/>
  <c r="J41" i="12"/>
  <c r="S15" i="12"/>
  <c r="Q15" i="12"/>
  <c r="BU8" i="4"/>
  <c r="AE67" i="12" s="1"/>
  <c r="BV8" i="4"/>
  <c r="E67" i="12" s="1"/>
  <c r="Y67" i="12" s="1"/>
  <c r="BX8" i="4"/>
  <c r="BY8" i="4"/>
  <c r="CB8" i="4"/>
  <c r="CC8" i="4"/>
  <c r="BS8" i="4"/>
  <c r="AI67" i="12" l="1"/>
  <c r="J67" i="12" s="1"/>
  <c r="BZ8" i="4"/>
  <c r="K67" i="12"/>
  <c r="BW8" i="4"/>
  <c r="F67" i="12" s="1"/>
  <c r="Z67" i="12" s="1"/>
  <c r="CA8" i="4"/>
  <c r="K41" i="12"/>
  <c r="AD41" i="12"/>
  <c r="CE8" i="4"/>
  <c r="CF8" i="4"/>
  <c r="CG8" i="4" s="1"/>
  <c r="CH8" i="4" s="1"/>
  <c r="CI8" i="4"/>
  <c r="CJ8" i="4" s="1"/>
  <c r="CK8" i="4" s="1"/>
  <c r="CN8" i="4"/>
  <c r="CO8" i="4"/>
  <c r="CQ8" i="4"/>
  <c r="CR8" i="4"/>
  <c r="B9" i="4"/>
  <c r="K16" i="12" s="1"/>
  <c r="R16" i="12" s="1"/>
  <c r="D9" i="4"/>
  <c r="M16" i="12" l="1"/>
  <c r="CD8" i="4"/>
  <c r="CL8" i="4" s="1"/>
  <c r="AL67" i="12"/>
  <c r="L67" i="12"/>
  <c r="G9" i="4"/>
  <c r="N16" i="12" s="1"/>
  <c r="H9" i="4"/>
  <c r="O16" i="12" s="1"/>
  <c r="R9" i="4"/>
  <c r="AX9" i="4"/>
  <c r="B4" i="32" l="1"/>
  <c r="W4" i="32" s="1"/>
  <c r="H13" i="12"/>
  <c r="I9" i="4"/>
  <c r="P16" i="12" s="1"/>
  <c r="BJ9" i="4"/>
  <c r="F42" i="12" s="1"/>
  <c r="Z42" i="12" s="1"/>
  <c r="BK9" i="4"/>
  <c r="BL9" i="4"/>
  <c r="BR9" i="4"/>
  <c r="BN9" i="4"/>
  <c r="BT9" i="4"/>
  <c r="BM9" i="4" l="1"/>
  <c r="AD68" i="12"/>
  <c r="D68" i="12"/>
  <c r="X68" i="12" s="1"/>
  <c r="J42" i="12"/>
  <c r="X4" i="32"/>
  <c r="AC4" i="32"/>
  <c r="AG4" i="32"/>
  <c r="AE4" i="32"/>
  <c r="AB4" i="32"/>
  <c r="AH4" i="32"/>
  <c r="AD4" i="32"/>
  <c r="Z4" i="32"/>
  <c r="Y4" i="32"/>
  <c r="AA4" i="32"/>
  <c r="AF4" i="32"/>
  <c r="Q16" i="12"/>
  <c r="S16" i="12"/>
  <c r="BU9" i="4"/>
  <c r="AE68" i="12" s="1"/>
  <c r="BV9" i="4"/>
  <c r="E68" i="12" s="1"/>
  <c r="Y68" i="12" s="1"/>
  <c r="BX9" i="4"/>
  <c r="BY9" i="4"/>
  <c r="CB9" i="4"/>
  <c r="BS9" i="4"/>
  <c r="CC9" i="4"/>
  <c r="BZ9" i="4" l="1"/>
  <c r="AI68" i="12"/>
  <c r="J68" i="12" s="1"/>
  <c r="K68" i="12"/>
  <c r="AN4" i="32"/>
  <c r="AX4" i="32" s="1"/>
  <c r="AH68" i="12"/>
  <c r="AL4" i="32"/>
  <c r="AV4" i="32" s="1"/>
  <c r="AO4" i="32"/>
  <c r="AY4" i="32" s="1"/>
  <c r="AQ4" i="32"/>
  <c r="BA4" i="32" s="1"/>
  <c r="AK4" i="32"/>
  <c r="AU4" i="32" s="1"/>
  <c r="AM4" i="32"/>
  <c r="AW4" i="32" s="1"/>
  <c r="CA9" i="4"/>
  <c r="AP4" i="32"/>
  <c r="AZ4" i="32" s="1"/>
  <c r="AI4" i="32"/>
  <c r="AS4" i="32" s="1"/>
  <c r="BW9" i="4"/>
  <c r="F68" i="12" s="1"/>
  <c r="Z68" i="12" s="1"/>
  <c r="K42" i="12"/>
  <c r="AD42" i="12"/>
  <c r="AJ4" i="32"/>
  <c r="AT4" i="32" s="1"/>
  <c r="AR4" i="32"/>
  <c r="BB4" i="32" s="1"/>
  <c r="CE9" i="4"/>
  <c r="CF9" i="4"/>
  <c r="CG9" i="4" s="1"/>
  <c r="CH9" i="4" s="1"/>
  <c r="CI9" i="4"/>
  <c r="CJ9" i="4" s="1"/>
  <c r="CK9" i="4" s="1"/>
  <c r="CN9" i="4"/>
  <c r="CO9" i="4"/>
  <c r="CQ9" i="4"/>
  <c r="CR9" i="4"/>
  <c r="B10" i="4"/>
  <c r="K17" i="12" s="1"/>
  <c r="R17" i="12" s="1"/>
  <c r="D10" i="4"/>
  <c r="M17" i="12" l="1"/>
  <c r="CD9" i="4"/>
  <c r="CL9" i="4" s="1"/>
  <c r="AL68" i="12"/>
  <c r="L68" i="12"/>
  <c r="G10" i="4"/>
  <c r="N17" i="12" s="1"/>
  <c r="H10" i="4"/>
  <c r="O17" i="12" s="1"/>
  <c r="L10" i="4"/>
  <c r="M10" i="4"/>
  <c r="N10" i="4"/>
  <c r="O10" i="4"/>
  <c r="R10" i="4"/>
  <c r="AX10" i="4"/>
  <c r="I10" i="4" l="1"/>
  <c r="P17" i="12" s="1"/>
  <c r="Q17" i="12" s="1"/>
  <c r="B5" i="32"/>
  <c r="W5" i="32" s="1"/>
  <c r="H14" i="12"/>
  <c r="BJ10" i="4"/>
  <c r="F43" i="12" s="1"/>
  <c r="Z43" i="12" s="1"/>
  <c r="BK10" i="4"/>
  <c r="BL10" i="4"/>
  <c r="BN10" i="4"/>
  <c r="BR10" i="4"/>
  <c r="BT10" i="4"/>
  <c r="BM10" i="4" l="1"/>
  <c r="S17" i="12"/>
  <c r="AD69" i="12"/>
  <c r="AH69" i="12" s="1"/>
  <c r="D69" i="12"/>
  <c r="X69" i="12" s="1"/>
  <c r="J43" i="12"/>
  <c r="AG5" i="32"/>
  <c r="Y5" i="32"/>
  <c r="AC5" i="32"/>
  <c r="AA5" i="32"/>
  <c r="AE5" i="32"/>
  <c r="AB5" i="32"/>
  <c r="AD5" i="32"/>
  <c r="AH5" i="32"/>
  <c r="Z5" i="32"/>
  <c r="AF5" i="32"/>
  <c r="X5" i="32"/>
  <c r="BU10" i="4"/>
  <c r="AE69" i="12" s="1"/>
  <c r="BV10" i="4"/>
  <c r="E69" i="12" s="1"/>
  <c r="Y69" i="12" s="1"/>
  <c r="BX10" i="4"/>
  <c r="BY10" i="4"/>
  <c r="CB10" i="4"/>
  <c r="CC10" i="4"/>
  <c r="BS10" i="4"/>
  <c r="BZ10" i="4" l="1"/>
  <c r="K69" i="12"/>
  <c r="AL5" i="32"/>
  <c r="AV5" i="32" s="1"/>
  <c r="BW10" i="4"/>
  <c r="F69" i="12" s="1"/>
  <c r="Z69" i="12" s="1"/>
  <c r="AO5" i="32"/>
  <c r="AY5" i="32" s="1"/>
  <c r="AN5" i="32"/>
  <c r="AX5" i="32" s="1"/>
  <c r="AM5" i="32"/>
  <c r="AW5" i="32" s="1"/>
  <c r="AP5" i="32"/>
  <c r="AZ5" i="32" s="1"/>
  <c r="AI5" i="32"/>
  <c r="AS5" i="32" s="1"/>
  <c r="AI69" i="12"/>
  <c r="J69" i="12" s="1"/>
  <c r="AK5" i="32"/>
  <c r="AU5" i="32" s="1"/>
  <c r="CA10" i="4"/>
  <c r="AJ5" i="32"/>
  <c r="AT5" i="32" s="1"/>
  <c r="AQ5" i="32"/>
  <c r="BA5" i="32" s="1"/>
  <c r="AR5" i="32"/>
  <c r="BB5" i="32" s="1"/>
  <c r="K43" i="12"/>
  <c r="AD43" i="12"/>
  <c r="CE10" i="4"/>
  <c r="CF10" i="4"/>
  <c r="CG10" i="4" s="1"/>
  <c r="CH10" i="4" s="1"/>
  <c r="CI10" i="4"/>
  <c r="CJ10" i="4" s="1"/>
  <c r="CK10" i="4" s="1"/>
  <c r="CN10" i="4"/>
  <c r="CO10" i="4"/>
  <c r="CQ10" i="4"/>
  <c r="CR10" i="4"/>
  <c r="B11" i="4"/>
  <c r="K18" i="12" s="1"/>
  <c r="R18" i="12" s="1"/>
  <c r="D11" i="4"/>
  <c r="M18" i="12" l="1"/>
  <c r="CD10" i="4"/>
  <c r="CL10" i="4" s="1"/>
  <c r="AL69" i="12"/>
  <c r="L69" i="12"/>
  <c r="G11" i="4"/>
  <c r="N18" i="12" s="1"/>
  <c r="H11" i="4"/>
  <c r="O18" i="12" s="1"/>
  <c r="L11" i="4"/>
  <c r="M11" i="4"/>
  <c r="N11" i="4"/>
  <c r="O11" i="4"/>
  <c r="R11" i="4"/>
  <c r="AX11" i="4"/>
  <c r="I11" i="4" l="1"/>
  <c r="P18" i="12" s="1"/>
  <c r="B6" i="32"/>
  <c r="W6" i="32" s="1"/>
  <c r="H15" i="12"/>
  <c r="BJ11" i="4"/>
  <c r="F44" i="12" s="1"/>
  <c r="Z44" i="12" s="1"/>
  <c r="BK11" i="4"/>
  <c r="BL11" i="4"/>
  <c r="BT11" i="4"/>
  <c r="BN11" i="4"/>
  <c r="BR11" i="4"/>
  <c r="BM11" i="4" l="1"/>
  <c r="AD70" i="12"/>
  <c r="AH70" i="12" s="1"/>
  <c r="D70" i="12"/>
  <c r="X70" i="12" s="1"/>
  <c r="J44" i="12"/>
  <c r="AB6" i="32"/>
  <c r="Y6" i="32"/>
  <c r="AD6" i="32"/>
  <c r="AH6" i="32"/>
  <c r="AE6" i="32"/>
  <c r="AA6" i="32"/>
  <c r="AF6" i="32"/>
  <c r="AG6" i="32"/>
  <c r="Z6" i="32"/>
  <c r="AC6" i="32"/>
  <c r="X6" i="32"/>
  <c r="Q18" i="12"/>
  <c r="S18" i="12"/>
  <c r="BU11" i="4"/>
  <c r="AE70" i="12" s="1"/>
  <c r="BV11" i="4"/>
  <c r="E70" i="12" s="1"/>
  <c r="Y70" i="12" s="1"/>
  <c r="BX11" i="4"/>
  <c r="BY11" i="4"/>
  <c r="CB11" i="4"/>
  <c r="CC11" i="4"/>
  <c r="BS11" i="4"/>
  <c r="BZ11" i="4" l="1"/>
  <c r="AI70" i="12"/>
  <c r="J70" i="12" s="1"/>
  <c r="K70" i="12"/>
  <c r="AO6" i="32"/>
  <c r="AY6" i="32" s="1"/>
  <c r="AR6" i="32"/>
  <c r="BB6" i="32" s="1"/>
  <c r="AP6" i="32"/>
  <c r="AZ6" i="32" s="1"/>
  <c r="BW11" i="4"/>
  <c r="F70" i="12" s="1"/>
  <c r="Z70" i="12" s="1"/>
  <c r="AM6" i="32"/>
  <c r="AW6" i="32" s="1"/>
  <c r="AK6" i="32"/>
  <c r="AU6" i="32" s="1"/>
  <c r="AN6" i="32"/>
  <c r="AX6" i="32" s="1"/>
  <c r="CA11" i="4"/>
  <c r="AI6" i="32"/>
  <c r="AS6" i="32" s="1"/>
  <c r="AJ6" i="32"/>
  <c r="AT6" i="32" s="1"/>
  <c r="AL6" i="32"/>
  <c r="AV6" i="32" s="1"/>
  <c r="AQ6" i="32"/>
  <c r="BA6" i="32" s="1"/>
  <c r="AD44" i="12"/>
  <c r="K44" i="12"/>
  <c r="CE11" i="4"/>
  <c r="CF11" i="4"/>
  <c r="CG11" i="4" s="1"/>
  <c r="CH11" i="4" s="1"/>
  <c r="CI11" i="4"/>
  <c r="CJ11" i="4" s="1"/>
  <c r="CK11" i="4" s="1"/>
  <c r="CN11" i="4"/>
  <c r="CO11" i="4"/>
  <c r="CQ11" i="4"/>
  <c r="CR11" i="4"/>
  <c r="C12" i="4"/>
  <c r="CD11" i="4" l="1"/>
  <c r="CL11" i="4" s="1"/>
  <c r="L19" i="12"/>
  <c r="AL70" i="12"/>
  <c r="L70" i="12"/>
  <c r="M19" i="12"/>
  <c r="G12" i="4"/>
  <c r="N19" i="12" s="1"/>
  <c r="L12" i="4"/>
  <c r="M12" i="4"/>
  <c r="N12" i="4"/>
  <c r="O12" i="4"/>
  <c r="R12" i="4"/>
  <c r="BJ12" i="4"/>
  <c r="F45" i="12" s="1"/>
  <c r="Z45" i="12" s="1"/>
  <c r="BK12" i="4"/>
  <c r="BL12" i="4"/>
  <c r="BN12" i="4"/>
  <c r="BR12" i="4"/>
  <c r="BT12" i="4"/>
  <c r="BM12" i="4" l="1"/>
  <c r="AD71" i="12"/>
  <c r="D71" i="12"/>
  <c r="X71" i="12" s="1"/>
  <c r="J45" i="12"/>
  <c r="H12" i="4"/>
  <c r="B7" i="32"/>
  <c r="W7" i="32" s="1"/>
  <c r="H16" i="12"/>
  <c r="BU12" i="4"/>
  <c r="AE71" i="12" s="1"/>
  <c r="BV12" i="4"/>
  <c r="E71" i="12" s="1"/>
  <c r="Y71" i="12" s="1"/>
  <c r="BX12" i="4"/>
  <c r="BY12" i="4"/>
  <c r="CB12" i="4"/>
  <c r="BS12" i="4"/>
  <c r="CC12" i="4"/>
  <c r="BZ12" i="4" l="1"/>
  <c r="AI71" i="12"/>
  <c r="J71" i="12" s="1"/>
  <c r="AH71" i="12"/>
  <c r="K71" i="12"/>
  <c r="BW12" i="4"/>
  <c r="F71" i="12" s="1"/>
  <c r="Z71" i="12" s="1"/>
  <c r="CA12" i="4"/>
  <c r="AA7" i="32"/>
  <c r="AG7" i="32"/>
  <c r="AC7" i="32"/>
  <c r="AH7" i="32"/>
  <c r="Z7" i="32"/>
  <c r="AF7" i="32"/>
  <c r="Y7" i="32"/>
  <c r="AE7" i="32"/>
  <c r="AB7" i="32"/>
  <c r="AD7" i="32"/>
  <c r="X7" i="32"/>
  <c r="O19" i="12"/>
  <c r="I12" i="4"/>
  <c r="P19" i="12" s="1"/>
  <c r="K45" i="12"/>
  <c r="AD45" i="12"/>
  <c r="CE12" i="4"/>
  <c r="CF12" i="4"/>
  <c r="CG12" i="4" s="1"/>
  <c r="CH12" i="4" s="1"/>
  <c r="CI12" i="4"/>
  <c r="CJ12" i="4" s="1"/>
  <c r="CK12" i="4" s="1"/>
  <c r="CN12" i="4"/>
  <c r="CO12" i="4"/>
  <c r="CQ12" i="4"/>
  <c r="CR12" i="4"/>
  <c r="C13" i="4"/>
  <c r="I85" i="27" l="1"/>
  <c r="L20" i="12"/>
  <c r="AP7" i="32"/>
  <c r="AZ7" i="32" s="1"/>
  <c r="AL71" i="12"/>
  <c r="L71" i="12"/>
  <c r="CD12" i="4"/>
  <c r="CL12" i="4" s="1"/>
  <c r="AJ7" i="32"/>
  <c r="AT7" i="32" s="1"/>
  <c r="AN7" i="32"/>
  <c r="AX7" i="32" s="1"/>
  <c r="AO7" i="32"/>
  <c r="AY7" i="32" s="1"/>
  <c r="AR7" i="32"/>
  <c r="BB7" i="32" s="1"/>
  <c r="AM7" i="32"/>
  <c r="AW7" i="32" s="1"/>
  <c r="Q19" i="12"/>
  <c r="S19" i="12"/>
  <c r="AQ7" i="32"/>
  <c r="BA7" i="32" s="1"/>
  <c r="AL7" i="32"/>
  <c r="AV7" i="32" s="1"/>
  <c r="AK7" i="32"/>
  <c r="AU7" i="32" s="1"/>
  <c r="AI7" i="32"/>
  <c r="AS7" i="32" s="1"/>
  <c r="F13" i="4"/>
  <c r="M20" i="12" s="1"/>
  <c r="G13" i="4"/>
  <c r="N20" i="12" s="1"/>
  <c r="L13" i="4"/>
  <c r="M13" i="4"/>
  <c r="N13" i="4"/>
  <c r="O13" i="4"/>
  <c r="R13" i="4"/>
  <c r="BJ13" i="4"/>
  <c r="F46" i="12" s="1"/>
  <c r="Z46" i="12" s="1"/>
  <c r="BK13" i="4"/>
  <c r="BL13" i="4"/>
  <c r="BR13" i="4"/>
  <c r="BN13" i="4"/>
  <c r="BT13" i="4"/>
  <c r="BM13" i="4" l="1"/>
  <c r="AD72" i="12"/>
  <c r="AH72" i="12" s="1"/>
  <c r="D72" i="12"/>
  <c r="X72" i="12" s="1"/>
  <c r="J46" i="12"/>
  <c r="H13" i="4"/>
  <c r="B8" i="32"/>
  <c r="W8" i="32" s="1"/>
  <c r="H17" i="12"/>
  <c r="BU13" i="4"/>
  <c r="AE72" i="12" s="1"/>
  <c r="BV13" i="4"/>
  <c r="E72" i="12" s="1"/>
  <c r="Y72" i="12" s="1"/>
  <c r="BX13" i="4"/>
  <c r="BY13" i="4"/>
  <c r="CB13" i="4"/>
  <c r="CC13" i="4"/>
  <c r="BS13" i="4"/>
  <c r="BZ13" i="4" l="1"/>
  <c r="AI72" i="12"/>
  <c r="J72" i="12" s="1"/>
  <c r="K72" i="12"/>
  <c r="BW13" i="4"/>
  <c r="F72" i="12" s="1"/>
  <c r="Z72" i="12" s="1"/>
  <c r="O20" i="12"/>
  <c r="I13" i="4"/>
  <c r="P20" i="12" s="1"/>
  <c r="AB8" i="32"/>
  <c r="AC8" i="32"/>
  <c r="AF8" i="32"/>
  <c r="AG8" i="32"/>
  <c r="AD8" i="32"/>
  <c r="Z8" i="32"/>
  <c r="Y8" i="32"/>
  <c r="AA8" i="32"/>
  <c r="AE8" i="32"/>
  <c r="AH8" i="32"/>
  <c r="X8" i="32"/>
  <c r="AD46" i="12"/>
  <c r="K46" i="12"/>
  <c r="CA13" i="4"/>
  <c r="CE13" i="4"/>
  <c r="CF13" i="4"/>
  <c r="CG13" i="4" s="1"/>
  <c r="CH13" i="4" s="1"/>
  <c r="CI13" i="4"/>
  <c r="CJ13" i="4" s="1"/>
  <c r="CN13" i="4"/>
  <c r="CO13" i="4"/>
  <c r="CQ13" i="4"/>
  <c r="CR13" i="4"/>
  <c r="C14" i="4"/>
  <c r="CD13" i="4" l="1"/>
  <c r="CL13" i="4" s="1"/>
  <c r="L21" i="12"/>
  <c r="CK13" i="4"/>
  <c r="AQ8" i="32"/>
  <c r="BA8" i="32" s="1"/>
  <c r="AR8" i="32"/>
  <c r="BB8" i="32" s="1"/>
  <c r="AM8" i="32"/>
  <c r="AW8" i="32" s="1"/>
  <c r="AO8" i="32"/>
  <c r="AY8" i="32" s="1"/>
  <c r="AL8" i="32"/>
  <c r="AV8" i="32" s="1"/>
  <c r="AP8" i="32"/>
  <c r="AZ8" i="32" s="1"/>
  <c r="AK8" i="32"/>
  <c r="AU8" i="32" s="1"/>
  <c r="Q20" i="12"/>
  <c r="S20" i="12"/>
  <c r="AI8" i="32"/>
  <c r="AS8" i="32" s="1"/>
  <c r="AJ8" i="32"/>
  <c r="AT8" i="32" s="1"/>
  <c r="AN8" i="32"/>
  <c r="AX8" i="32" s="1"/>
  <c r="AL72" i="12"/>
  <c r="L72" i="12"/>
  <c r="F14" i="4"/>
  <c r="M21" i="12" s="1"/>
  <c r="G14" i="4"/>
  <c r="N21" i="12" s="1"/>
  <c r="L14" i="4"/>
  <c r="M14" i="4"/>
  <c r="N14" i="4"/>
  <c r="O14" i="4"/>
  <c r="R14" i="4"/>
  <c r="BJ14" i="4"/>
  <c r="F47" i="12" s="1"/>
  <c r="Z47" i="12" s="1"/>
  <c r="BK14" i="4"/>
  <c r="BL14" i="4"/>
  <c r="BR14" i="4"/>
  <c r="BT14" i="4"/>
  <c r="BN14" i="4"/>
  <c r="BM14" i="4" l="1"/>
  <c r="AD73" i="12"/>
  <c r="AH73" i="12" s="1"/>
  <c r="D73" i="12"/>
  <c r="X73" i="12" s="1"/>
  <c r="J47" i="12"/>
  <c r="H14" i="4"/>
  <c r="B9" i="32"/>
  <c r="H18" i="12"/>
  <c r="BU14" i="4"/>
  <c r="AE73" i="12" s="1"/>
  <c r="BV14" i="4"/>
  <c r="E73" i="12" s="1"/>
  <c r="Y73" i="12" s="1"/>
  <c r="AI73" i="12" s="1"/>
  <c r="J73" i="12" s="1"/>
  <c r="BX14" i="4"/>
  <c r="BY14" i="4"/>
  <c r="CB14" i="4"/>
  <c r="BS14" i="4"/>
  <c r="CC14" i="4"/>
  <c r="BZ14" i="4" l="1"/>
  <c r="K73" i="12"/>
  <c r="BW14" i="4"/>
  <c r="F73" i="12" s="1"/>
  <c r="Z73" i="12" s="1"/>
  <c r="CA14" i="4"/>
  <c r="W9" i="32"/>
  <c r="B10" i="32"/>
  <c r="O21" i="12"/>
  <c r="I14" i="4"/>
  <c r="P21" i="12" s="1"/>
  <c r="K47" i="12"/>
  <c r="AD47" i="12"/>
  <c r="CE14" i="4"/>
  <c r="CF14" i="4"/>
  <c r="CG14" i="4" s="1"/>
  <c r="CH14" i="4" s="1"/>
  <c r="CI14" i="4"/>
  <c r="CJ14" i="4" s="1"/>
  <c r="CK14" i="4" s="1"/>
  <c r="CN14" i="4"/>
  <c r="CO14" i="4"/>
  <c r="CQ14" i="4"/>
  <c r="CR14" i="4"/>
  <c r="C15" i="4"/>
  <c r="I91" i="27" l="1"/>
  <c r="L22" i="12"/>
  <c r="CD14" i="4"/>
  <c r="CL14" i="4" s="1"/>
  <c r="AL73" i="12"/>
  <c r="L73" i="12"/>
  <c r="Q21" i="12"/>
  <c r="S21" i="12"/>
  <c r="W10" i="32"/>
  <c r="B11" i="32"/>
  <c r="Z9" i="32"/>
  <c r="AJ9" i="32" s="1"/>
  <c r="AD9" i="32"/>
  <c r="AN9" i="32" s="1"/>
  <c r="AB9" i="32"/>
  <c r="AL9" i="32" s="1"/>
  <c r="AH9" i="32"/>
  <c r="AR9" i="32" s="1"/>
  <c r="AG9" i="32"/>
  <c r="AQ9" i="32" s="1"/>
  <c r="AF9" i="32"/>
  <c r="AP9" i="32" s="1"/>
  <c r="AE9" i="32"/>
  <c r="AO9" i="32" s="1"/>
  <c r="Y9" i="32"/>
  <c r="AI9" i="32" s="1"/>
  <c r="AA9" i="32"/>
  <c r="AK9" i="32" s="1"/>
  <c r="AC9" i="32"/>
  <c r="AM9" i="32" s="1"/>
  <c r="X9" i="32"/>
  <c r="F15" i="4"/>
  <c r="M22" i="12" s="1"/>
  <c r="G15" i="4"/>
  <c r="N22" i="12" s="1"/>
  <c r="L15" i="4"/>
  <c r="M15" i="4"/>
  <c r="N15" i="4"/>
  <c r="R15" i="4"/>
  <c r="H19" i="12" s="1"/>
  <c r="AH15" i="4"/>
  <c r="BJ15" i="4"/>
  <c r="F48" i="12" s="1"/>
  <c r="Z48" i="12" s="1"/>
  <c r="BK15" i="4"/>
  <c r="BL15" i="4"/>
  <c r="BT15" i="4"/>
  <c r="BN15" i="4"/>
  <c r="BR15" i="4"/>
  <c r="BM15" i="4" l="1"/>
  <c r="AD74" i="12"/>
  <c r="D74" i="12"/>
  <c r="X74" i="12" s="1"/>
  <c r="J48" i="12"/>
  <c r="O15" i="4"/>
  <c r="AY9" i="32"/>
  <c r="AC10" i="32"/>
  <c r="AM10" i="32" s="1"/>
  <c r="AH10" i="32"/>
  <c r="AR10" i="32" s="1"/>
  <c r="Z10" i="32"/>
  <c r="AJ10" i="32" s="1"/>
  <c r="AB10" i="32"/>
  <c r="AL10" i="32" s="1"/>
  <c r="AE10" i="32"/>
  <c r="AO10" i="32" s="1"/>
  <c r="AA10" i="32"/>
  <c r="AK10" i="32" s="1"/>
  <c r="AD10" i="32"/>
  <c r="AN10" i="32" s="1"/>
  <c r="AF10" i="32"/>
  <c r="AP10" i="32" s="1"/>
  <c r="Y10" i="32"/>
  <c r="AI10" i="32" s="1"/>
  <c r="AG10" i="32"/>
  <c r="AQ10" i="32" s="1"/>
  <c r="X10" i="32"/>
  <c r="AU9" i="32"/>
  <c r="AT9" i="32"/>
  <c r="W11" i="32"/>
  <c r="B12" i="32"/>
  <c r="H15" i="4"/>
  <c r="AZ9" i="32"/>
  <c r="BA9" i="32"/>
  <c r="BB9" i="32"/>
  <c r="AV9" i="32"/>
  <c r="AX9" i="32"/>
  <c r="AW9" i="32"/>
  <c r="AS9" i="32"/>
  <c r="BU15" i="4"/>
  <c r="AE74" i="12" s="1"/>
  <c r="BV15" i="4"/>
  <c r="E74" i="12" s="1"/>
  <c r="Y74" i="12" s="1"/>
  <c r="BX15" i="4"/>
  <c r="BY15" i="4"/>
  <c r="CB15" i="4"/>
  <c r="BS15" i="4"/>
  <c r="CC15" i="4"/>
  <c r="AH74" i="12" l="1"/>
  <c r="BZ15" i="4"/>
  <c r="AV10" i="32"/>
  <c r="AX10" i="32"/>
  <c r="BA10" i="32"/>
  <c r="AU10" i="32"/>
  <c r="BB10" i="32"/>
  <c r="AZ10" i="32"/>
  <c r="K74" i="12"/>
  <c r="AT10" i="32"/>
  <c r="AH11" i="32"/>
  <c r="AR11" i="32" s="1"/>
  <c r="AF11" i="32"/>
  <c r="AP11" i="32" s="1"/>
  <c r="AD11" i="32"/>
  <c r="AN11" i="32" s="1"/>
  <c r="Y11" i="32"/>
  <c r="AI11" i="32" s="1"/>
  <c r="AB11" i="32"/>
  <c r="AL11" i="32" s="1"/>
  <c r="AC11" i="32"/>
  <c r="AM11" i="32" s="1"/>
  <c r="AG11" i="32"/>
  <c r="AQ11" i="32" s="1"/>
  <c r="Z11" i="32"/>
  <c r="AJ11" i="32" s="1"/>
  <c r="AA11" i="32"/>
  <c r="AK11" i="32" s="1"/>
  <c r="AE11" i="32"/>
  <c r="AO11" i="32" s="1"/>
  <c r="X11" i="32"/>
  <c r="K48" i="12"/>
  <c r="AD48" i="12"/>
  <c r="CA15" i="4"/>
  <c r="AS10" i="32"/>
  <c r="AW10" i="32"/>
  <c r="W12" i="32"/>
  <c r="B13" i="32"/>
  <c r="BW15" i="4"/>
  <c r="F74" i="12" s="1"/>
  <c r="Z74" i="12" s="1"/>
  <c r="AI74" i="12"/>
  <c r="J74" i="12" s="1"/>
  <c r="AY10" i="32"/>
  <c r="O22" i="12"/>
  <c r="I15" i="4"/>
  <c r="P22" i="12" s="1"/>
  <c r="CE15" i="4"/>
  <c r="CF15" i="4"/>
  <c r="CG15" i="4" s="1"/>
  <c r="CH15" i="4" s="1"/>
  <c r="CI15" i="4"/>
  <c r="CJ15" i="4" s="1"/>
  <c r="CK15" i="4" s="1"/>
  <c r="CN15" i="4"/>
  <c r="CO15" i="4"/>
  <c r="CQ15" i="4"/>
  <c r="CR15" i="4"/>
  <c r="C16" i="4"/>
  <c r="AS11" i="32" l="1"/>
  <c r="L23" i="12"/>
  <c r="AY11" i="32"/>
  <c r="AF12" i="32"/>
  <c r="AP12" i="32" s="1"/>
  <c r="AG12" i="32"/>
  <c r="AQ12" i="32" s="1"/>
  <c r="AH12" i="32"/>
  <c r="AR12" i="32" s="1"/>
  <c r="Z12" i="32"/>
  <c r="AJ12" i="32" s="1"/>
  <c r="AC12" i="32"/>
  <c r="AM12" i="32" s="1"/>
  <c r="AB12" i="32"/>
  <c r="AL12" i="32" s="1"/>
  <c r="AE12" i="32"/>
  <c r="AO12" i="32" s="1"/>
  <c r="AD12" i="32"/>
  <c r="AN12" i="32" s="1"/>
  <c r="Y12" i="32"/>
  <c r="AI12" i="32" s="1"/>
  <c r="AA12" i="32"/>
  <c r="AK12" i="32" s="1"/>
  <c r="X12" i="32"/>
  <c r="BB11" i="32"/>
  <c r="CD15" i="4"/>
  <c r="CL15" i="4" s="1"/>
  <c r="BA11" i="32"/>
  <c r="L74" i="12"/>
  <c r="AL74" i="12"/>
  <c r="AW11" i="32"/>
  <c r="AZ11" i="32"/>
  <c r="AU11" i="32"/>
  <c r="AT11" i="32"/>
  <c r="S22" i="12"/>
  <c r="Q22" i="12"/>
  <c r="AV11" i="32"/>
  <c r="AX11" i="32"/>
  <c r="W13" i="32"/>
  <c r="B14" i="32"/>
  <c r="F16" i="4"/>
  <c r="M23" i="12" s="1"/>
  <c r="G16" i="4"/>
  <c r="N23" i="12" s="1"/>
  <c r="L16" i="4"/>
  <c r="M16" i="4"/>
  <c r="N16" i="4"/>
  <c r="R16" i="4"/>
  <c r="H20" i="12" s="1"/>
  <c r="AH16" i="4"/>
  <c r="BJ16" i="4"/>
  <c r="F49" i="12" s="1"/>
  <c r="Z49" i="12" s="1"/>
  <c r="BK16" i="4"/>
  <c r="BL16" i="4"/>
  <c r="BN16" i="4"/>
  <c r="BR16" i="4"/>
  <c r="BT16" i="4"/>
  <c r="BM16" i="4" l="1"/>
  <c r="AU12" i="32"/>
  <c r="AT12" i="32"/>
  <c r="AX12" i="32"/>
  <c r="AY12" i="32"/>
  <c r="AD75" i="12"/>
  <c r="AH75" i="12" s="1"/>
  <c r="D75" i="12"/>
  <c r="X75" i="12" s="1"/>
  <c r="J49" i="12"/>
  <c r="AV12" i="32"/>
  <c r="H16" i="4"/>
  <c r="AW12" i="32"/>
  <c r="BB12" i="32"/>
  <c r="O16" i="4"/>
  <c r="W14" i="32"/>
  <c r="B15" i="32"/>
  <c r="BA12" i="32"/>
  <c r="AC13" i="32"/>
  <c r="AM13" i="32" s="1"/>
  <c r="Y13" i="32"/>
  <c r="AI13" i="32" s="1"/>
  <c r="AG13" i="32"/>
  <c r="AQ13" i="32" s="1"/>
  <c r="AD13" i="32"/>
  <c r="AN13" i="32" s="1"/>
  <c r="AF13" i="32"/>
  <c r="AP13" i="32" s="1"/>
  <c r="AB13" i="32"/>
  <c r="AL13" i="32" s="1"/>
  <c r="AE13" i="32"/>
  <c r="AO13" i="32" s="1"/>
  <c r="Z13" i="32"/>
  <c r="AJ13" i="32" s="1"/>
  <c r="AA13" i="32"/>
  <c r="AK13" i="32" s="1"/>
  <c r="AH13" i="32"/>
  <c r="AR13" i="32" s="1"/>
  <c r="X13" i="32"/>
  <c r="AS12" i="32"/>
  <c r="AZ12" i="32"/>
  <c r="BU16" i="4"/>
  <c r="AE75" i="12" s="1"/>
  <c r="BV16" i="4"/>
  <c r="E75" i="12" s="1"/>
  <c r="Y75" i="12" s="1"/>
  <c r="BX16" i="4"/>
  <c r="BY16" i="4"/>
  <c r="CB16" i="4"/>
  <c r="CC16" i="4"/>
  <c r="BS16" i="4"/>
  <c r="BZ16" i="4" l="1"/>
  <c r="AI75" i="12"/>
  <c r="J75" i="12" s="1"/>
  <c r="AX13" i="32"/>
  <c r="K75" i="12"/>
  <c r="AV13" i="32"/>
  <c r="AG14" i="32"/>
  <c r="AQ14" i="32" s="1"/>
  <c r="AB14" i="32"/>
  <c r="AL14" i="32" s="1"/>
  <c r="AH14" i="32"/>
  <c r="AR14" i="32" s="1"/>
  <c r="Y14" i="32"/>
  <c r="AI14" i="32" s="1"/>
  <c r="AD14" i="32"/>
  <c r="AN14" i="32" s="1"/>
  <c r="Z14" i="32"/>
  <c r="AJ14" i="32" s="1"/>
  <c r="AF14" i="32"/>
  <c r="AP14" i="32" s="1"/>
  <c r="AC14" i="32"/>
  <c r="AM14" i="32" s="1"/>
  <c r="AA14" i="32"/>
  <c r="AK14" i="32" s="1"/>
  <c r="AE14" i="32"/>
  <c r="AO14" i="32" s="1"/>
  <c r="X14" i="32"/>
  <c r="AZ13" i="32"/>
  <c r="CA16" i="4"/>
  <c r="BA13" i="32"/>
  <c r="BB13" i="32"/>
  <c r="AS13" i="32"/>
  <c r="O23" i="12"/>
  <c r="I16" i="4"/>
  <c r="P23" i="12" s="1"/>
  <c r="AU13" i="32"/>
  <c r="AW13" i="32"/>
  <c r="BW16" i="4"/>
  <c r="F75" i="12" s="1"/>
  <c r="Z75" i="12" s="1"/>
  <c r="AT13" i="32"/>
  <c r="AD49" i="12"/>
  <c r="K49" i="12"/>
  <c r="AY13" i="32"/>
  <c r="W15" i="32"/>
  <c r="B16" i="32"/>
  <c r="CE16" i="4"/>
  <c r="CF16" i="4"/>
  <c r="CG16" i="4" s="1"/>
  <c r="CH16" i="4" s="1"/>
  <c r="CI16" i="4"/>
  <c r="CJ16" i="4" s="1"/>
  <c r="CN16" i="4"/>
  <c r="CO16" i="4"/>
  <c r="CQ16" i="4"/>
  <c r="CR16" i="4"/>
  <c r="BR19" i="4"/>
  <c r="C17" i="4"/>
  <c r="CD16" i="4" l="1"/>
  <c r="CL16" i="4" s="1"/>
  <c r="AY14" i="32"/>
  <c r="AV14" i="32"/>
  <c r="AU14" i="32"/>
  <c r="BA14" i="32"/>
  <c r="D78" i="12"/>
  <c r="X78" i="12" s="1"/>
  <c r="I86" i="27"/>
  <c r="L24" i="12"/>
  <c r="CK16" i="4"/>
  <c r="AC15" i="32"/>
  <c r="AM15" i="32" s="1"/>
  <c r="AH15" i="32"/>
  <c r="AR15" i="32" s="1"/>
  <c r="AE15" i="32"/>
  <c r="AO15" i="32" s="1"/>
  <c r="AD15" i="32"/>
  <c r="AN15" i="32" s="1"/>
  <c r="AB15" i="32"/>
  <c r="AL15" i="32" s="1"/>
  <c r="AF15" i="32"/>
  <c r="AP15" i="32" s="1"/>
  <c r="Y15" i="32"/>
  <c r="AI15" i="32" s="1"/>
  <c r="AA15" i="32"/>
  <c r="AK15" i="32" s="1"/>
  <c r="Z15" i="32"/>
  <c r="AJ15" i="32" s="1"/>
  <c r="AG15" i="32"/>
  <c r="AQ15" i="32" s="1"/>
  <c r="X15" i="32"/>
  <c r="AT14" i="32"/>
  <c r="S23" i="12"/>
  <c r="Q23" i="12"/>
  <c r="AX14" i="32"/>
  <c r="AS14" i="32"/>
  <c r="W16" i="32"/>
  <c r="B17" i="32"/>
  <c r="BB14" i="32"/>
  <c r="AW14" i="32"/>
  <c r="AZ14" i="32"/>
  <c r="AL75" i="12"/>
  <c r="L75" i="12"/>
  <c r="F17" i="4"/>
  <c r="M24" i="12" s="1"/>
  <c r="G17" i="4"/>
  <c r="N24" i="12" s="1"/>
  <c r="L17" i="4"/>
  <c r="M17" i="4"/>
  <c r="N17" i="4"/>
  <c r="R17" i="4"/>
  <c r="H21" i="12" s="1"/>
  <c r="AH17" i="4"/>
  <c r="BJ17" i="4"/>
  <c r="F50" i="12" s="1"/>
  <c r="Z50" i="12" s="1"/>
  <c r="BK17" i="4"/>
  <c r="BL17" i="4"/>
  <c r="BT17" i="4"/>
  <c r="BN17" i="4"/>
  <c r="BR17" i="4"/>
  <c r="BM17" i="4" l="1"/>
  <c r="AD76" i="12"/>
  <c r="D76" i="12"/>
  <c r="X76" i="12" s="1"/>
  <c r="J50" i="12"/>
  <c r="AY15" i="32"/>
  <c r="W17" i="32"/>
  <c r="B18" i="32"/>
  <c r="BA15" i="32"/>
  <c r="BB15" i="32"/>
  <c r="H17" i="4"/>
  <c r="Z16" i="32"/>
  <c r="AJ16" i="32" s="1"/>
  <c r="AH16" i="32"/>
  <c r="AR16" i="32" s="1"/>
  <c r="AA16" i="32"/>
  <c r="AK16" i="32" s="1"/>
  <c r="AC16" i="32"/>
  <c r="AM16" i="32" s="1"/>
  <c r="AE16" i="32"/>
  <c r="AO16" i="32" s="1"/>
  <c r="AF16" i="32"/>
  <c r="AP16" i="32" s="1"/>
  <c r="AB16" i="32"/>
  <c r="AL16" i="32" s="1"/>
  <c r="AG16" i="32"/>
  <c r="AQ16" i="32" s="1"/>
  <c r="Y16" i="32"/>
  <c r="AI16" i="32" s="1"/>
  <c r="AD16" i="32"/>
  <c r="AN16" i="32" s="1"/>
  <c r="X16" i="32"/>
  <c r="AT15" i="32"/>
  <c r="AW15" i="32"/>
  <c r="AU15" i="32"/>
  <c r="O17" i="4"/>
  <c r="AS15" i="32"/>
  <c r="AZ15" i="32"/>
  <c r="AV15" i="32"/>
  <c r="Z93" i="27"/>
  <c r="I87" i="27"/>
  <c r="X93" i="27" s="1"/>
  <c r="AX15" i="32"/>
  <c r="BU17" i="4"/>
  <c r="AE76" i="12" s="1"/>
  <c r="BV17" i="4"/>
  <c r="E76" i="12" s="1"/>
  <c r="Y76" i="12" s="1"/>
  <c r="BX17" i="4"/>
  <c r="BY17" i="4"/>
  <c r="CB17" i="4"/>
  <c r="J32" i="32"/>
  <c r="L33" i="32"/>
  <c r="H32" i="32"/>
  <c r="K33" i="32"/>
  <c r="K32" i="32"/>
  <c r="L32" i="32"/>
  <c r="C32" i="32"/>
  <c r="H34" i="32"/>
  <c r="CC17" i="4"/>
  <c r="L34" i="32"/>
  <c r="J33" i="32"/>
  <c r="G34" i="32"/>
  <c r="J34" i="32"/>
  <c r="G33" i="32"/>
  <c r="BS17" i="4"/>
  <c r="C33" i="32"/>
  <c r="G32" i="32"/>
  <c r="I33" i="32"/>
  <c r="D34" i="32"/>
  <c r="C34" i="32"/>
  <c r="F33" i="32"/>
  <c r="E33" i="32"/>
  <c r="H33" i="32"/>
  <c r="F32" i="32"/>
  <c r="E32" i="32"/>
  <c r="I34" i="32"/>
  <c r="D33" i="32"/>
  <c r="I32" i="32"/>
  <c r="D32" i="32"/>
  <c r="E34" i="32"/>
  <c r="F34" i="32"/>
  <c r="K34" i="32"/>
  <c r="BZ17" i="4" l="1"/>
  <c r="AH76" i="12"/>
  <c r="BA16" i="32"/>
  <c r="AY16" i="32"/>
  <c r="AX16" i="32"/>
  <c r="AS16" i="32"/>
  <c r="AT16" i="32"/>
  <c r="K76" i="12"/>
  <c r="T38" i="32"/>
  <c r="J42" i="32"/>
  <c r="S38" i="32"/>
  <c r="J41" i="32"/>
  <c r="R38" i="32"/>
  <c r="J40" i="32"/>
  <c r="T35" i="32"/>
  <c r="G42" i="32"/>
  <c r="S35" i="32"/>
  <c r="G41" i="32"/>
  <c r="R35" i="32"/>
  <c r="G40" i="32"/>
  <c r="T40" i="32"/>
  <c r="L42" i="32"/>
  <c r="S40" i="32"/>
  <c r="L41" i="32"/>
  <c r="R40" i="32"/>
  <c r="L40" i="32"/>
  <c r="T37" i="32"/>
  <c r="I42" i="32"/>
  <c r="S37" i="32"/>
  <c r="I41" i="32"/>
  <c r="R37" i="32"/>
  <c r="I40" i="32"/>
  <c r="T34" i="32"/>
  <c r="F42" i="32"/>
  <c r="S34" i="32"/>
  <c r="F41" i="32"/>
  <c r="R34" i="32"/>
  <c r="F40" i="32"/>
  <c r="T33" i="32"/>
  <c r="E42" i="32"/>
  <c r="S33" i="32"/>
  <c r="E41" i="32"/>
  <c r="R33" i="32"/>
  <c r="E40" i="32"/>
  <c r="T31" i="32"/>
  <c r="C42" i="32"/>
  <c r="S31" i="32"/>
  <c r="C41" i="32"/>
  <c r="R31" i="32"/>
  <c r="C40" i="32"/>
  <c r="T36" i="32"/>
  <c r="H42" i="32"/>
  <c r="S36" i="32"/>
  <c r="H41" i="32"/>
  <c r="R36" i="32"/>
  <c r="H40" i="32"/>
  <c r="T39" i="32"/>
  <c r="K42" i="32"/>
  <c r="S39" i="32"/>
  <c r="K41" i="32"/>
  <c r="R39" i="32"/>
  <c r="K40" i="32"/>
  <c r="T32" i="32"/>
  <c r="D42" i="32"/>
  <c r="S32" i="32"/>
  <c r="D41" i="32"/>
  <c r="R32" i="32"/>
  <c r="D40" i="32"/>
  <c r="CA17" i="4"/>
  <c r="O24" i="12"/>
  <c r="I17" i="4"/>
  <c r="P24" i="12" s="1"/>
  <c r="AV16" i="32"/>
  <c r="AZ16" i="32"/>
  <c r="W18" i="32"/>
  <c r="B19" i="32"/>
  <c r="BW17" i="4"/>
  <c r="F76" i="12" s="1"/>
  <c r="Z76" i="12" s="1"/>
  <c r="AW16" i="32"/>
  <c r="AC17" i="32"/>
  <c r="AM17" i="32" s="1"/>
  <c r="AB17" i="32"/>
  <c r="AL17" i="32" s="1"/>
  <c r="AF17" i="32"/>
  <c r="AP17" i="32" s="1"/>
  <c r="AD17" i="32"/>
  <c r="AN17" i="32" s="1"/>
  <c r="AA17" i="32"/>
  <c r="AK17" i="32" s="1"/>
  <c r="Y17" i="32"/>
  <c r="AI17" i="32" s="1"/>
  <c r="AH17" i="32"/>
  <c r="AR17" i="32" s="1"/>
  <c r="AE17" i="32"/>
  <c r="AO17" i="32" s="1"/>
  <c r="AG17" i="32"/>
  <c r="AQ17" i="32" s="1"/>
  <c r="Z17" i="32"/>
  <c r="AJ17" i="32" s="1"/>
  <c r="X17" i="32"/>
  <c r="AI76" i="12"/>
  <c r="J76" i="12" s="1"/>
  <c r="AU16" i="32"/>
  <c r="BB16" i="32"/>
  <c r="AD50" i="12"/>
  <c r="K50" i="12"/>
  <c r="CE17" i="4"/>
  <c r="CF17" i="4"/>
  <c r="CG17" i="4" s="1"/>
  <c r="CH17" i="4" s="1"/>
  <c r="CI17" i="4"/>
  <c r="CJ17" i="4" s="1"/>
  <c r="CN17" i="4"/>
  <c r="CO17" i="4"/>
  <c r="CQ17" i="4"/>
  <c r="CR17" i="4"/>
  <c r="C18" i="4"/>
  <c r="BR24" i="4"/>
  <c r="AX17" i="32" l="1"/>
  <c r="AT17" i="32"/>
  <c r="AS17" i="32"/>
  <c r="AU17" i="32"/>
  <c r="AV17" i="32"/>
  <c r="CD17" i="4"/>
  <c r="CL17" i="4" s="1"/>
  <c r="AY17" i="32"/>
  <c r="D83" i="12"/>
  <c r="X83" i="12" s="1"/>
  <c r="L25" i="12"/>
  <c r="CK17" i="4"/>
  <c r="Q24" i="12"/>
  <c r="S24" i="12"/>
  <c r="BA17" i="32"/>
  <c r="AW17" i="32"/>
  <c r="BB17" i="32"/>
  <c r="W19" i="32"/>
  <c r="B20" i="32"/>
  <c r="Z18" i="32"/>
  <c r="AJ18" i="32" s="1"/>
  <c r="AF18" i="32"/>
  <c r="AP18" i="32" s="1"/>
  <c r="AB18" i="32"/>
  <c r="AL18" i="32" s="1"/>
  <c r="AH18" i="32"/>
  <c r="AR18" i="32" s="1"/>
  <c r="AG18" i="32"/>
  <c r="AQ18" i="32" s="1"/>
  <c r="AA18" i="32"/>
  <c r="AK18" i="32" s="1"/>
  <c r="AC18" i="32"/>
  <c r="AM18" i="32" s="1"/>
  <c r="AE18" i="32"/>
  <c r="AO18" i="32" s="1"/>
  <c r="Y18" i="32"/>
  <c r="AI18" i="32" s="1"/>
  <c r="AD18" i="32"/>
  <c r="AN18" i="32" s="1"/>
  <c r="X18" i="32"/>
  <c r="AZ17" i="32"/>
  <c r="L76" i="12"/>
  <c r="AL76" i="12"/>
  <c r="F18" i="4"/>
  <c r="M25" i="12" s="1"/>
  <c r="G18" i="4"/>
  <c r="N25" i="12" s="1"/>
  <c r="L18" i="4"/>
  <c r="M18" i="4"/>
  <c r="N18" i="4"/>
  <c r="R18" i="4"/>
  <c r="H22" i="12" s="1"/>
  <c r="AH18" i="4"/>
  <c r="BJ18" i="4"/>
  <c r="F51" i="12" s="1"/>
  <c r="Z51" i="12" s="1"/>
  <c r="BK18" i="4"/>
  <c r="BL18" i="4"/>
  <c r="BT18" i="4"/>
  <c r="BR18" i="4"/>
  <c r="BN18" i="4"/>
  <c r="BM18" i="4" l="1"/>
  <c r="BB18" i="32"/>
  <c r="AX18" i="32"/>
  <c r="AS18" i="32"/>
  <c r="AY18" i="32"/>
  <c r="AU18" i="32"/>
  <c r="AZ18" i="32"/>
  <c r="AD77" i="12"/>
  <c r="D77" i="12"/>
  <c r="X77" i="12" s="1"/>
  <c r="J51" i="12"/>
  <c r="H18" i="4"/>
  <c r="AT18" i="32"/>
  <c r="W20" i="32"/>
  <c r="B21" i="32"/>
  <c r="AW18" i="32"/>
  <c r="AA19" i="32"/>
  <c r="AK19" i="32" s="1"/>
  <c r="Z19" i="32"/>
  <c r="AJ19" i="32" s="1"/>
  <c r="AD19" i="32"/>
  <c r="AN19" i="32" s="1"/>
  <c r="AG19" i="32"/>
  <c r="AQ19" i="32" s="1"/>
  <c r="AE19" i="32"/>
  <c r="AO19" i="32" s="1"/>
  <c r="Y19" i="32"/>
  <c r="AI19" i="32" s="1"/>
  <c r="AC19" i="32"/>
  <c r="AM19" i="32" s="1"/>
  <c r="AB19" i="32"/>
  <c r="AL19" i="32" s="1"/>
  <c r="AF19" i="32"/>
  <c r="AP19" i="32" s="1"/>
  <c r="AH19" i="32"/>
  <c r="AR19" i="32" s="1"/>
  <c r="X19" i="32"/>
  <c r="O18" i="4"/>
  <c r="BA18" i="32"/>
  <c r="AV18" i="32"/>
  <c r="BU18" i="4"/>
  <c r="AE77" i="12" s="1"/>
  <c r="BV18" i="4"/>
  <c r="E77" i="12" s="1"/>
  <c r="Y77" i="12" s="1"/>
  <c r="BX18" i="4"/>
  <c r="BY18" i="4"/>
  <c r="CB18" i="4"/>
  <c r="BS18" i="4"/>
  <c r="CC18" i="4"/>
  <c r="BZ18" i="4" l="1"/>
  <c r="AH77" i="12"/>
  <c r="BB19" i="32"/>
  <c r="AT19" i="32"/>
  <c r="K77" i="12"/>
  <c r="AI77" i="12"/>
  <c r="J77" i="12" s="1"/>
  <c r="AV19" i="32"/>
  <c r="W21" i="32"/>
  <c r="B22" i="32"/>
  <c r="AS19" i="32"/>
  <c r="AF20" i="32"/>
  <c r="AP20" i="32" s="1"/>
  <c r="Z20" i="32"/>
  <c r="AJ20" i="32" s="1"/>
  <c r="AB20" i="32"/>
  <c r="AL20" i="32" s="1"/>
  <c r="AE20" i="32"/>
  <c r="AO20" i="32" s="1"/>
  <c r="AA20" i="32"/>
  <c r="AK20" i="32" s="1"/>
  <c r="AC20" i="32"/>
  <c r="AM20" i="32" s="1"/>
  <c r="AG20" i="32"/>
  <c r="AQ20" i="32" s="1"/>
  <c r="Y20" i="32"/>
  <c r="AI20" i="32" s="1"/>
  <c r="AH20" i="32"/>
  <c r="AR20" i="32" s="1"/>
  <c r="AD20" i="32"/>
  <c r="AN20" i="32" s="1"/>
  <c r="X20" i="32"/>
  <c r="BW18" i="4"/>
  <c r="F77" i="12" s="1"/>
  <c r="Z77" i="12" s="1"/>
  <c r="AW19" i="32"/>
  <c r="CA18" i="4"/>
  <c r="AY19" i="32"/>
  <c r="BA19" i="32"/>
  <c r="O25" i="12"/>
  <c r="I18" i="4"/>
  <c r="P25" i="12" s="1"/>
  <c r="AX19" i="32"/>
  <c r="AD51" i="12"/>
  <c r="K51" i="12"/>
  <c r="AZ19" i="32"/>
  <c r="AU19" i="32"/>
  <c r="CE18" i="4"/>
  <c r="CF18" i="4"/>
  <c r="CG18" i="4" s="1"/>
  <c r="CH18" i="4" s="1"/>
  <c r="CI18" i="4"/>
  <c r="CJ18" i="4" s="1"/>
  <c r="CK18" i="4" s="1"/>
  <c r="CN18" i="4"/>
  <c r="CO18" i="4"/>
  <c r="CQ18" i="4"/>
  <c r="CR18" i="4"/>
  <c r="C19" i="4"/>
  <c r="BR28" i="4"/>
  <c r="AY20" i="32" l="1"/>
  <c r="D87" i="12"/>
  <c r="X87" i="12" s="1"/>
  <c r="I92" i="27"/>
  <c r="L26" i="12"/>
  <c r="AT20" i="32"/>
  <c r="BB20" i="32"/>
  <c r="AZ20" i="32"/>
  <c r="W22" i="32"/>
  <c r="B23" i="32"/>
  <c r="AX20" i="32"/>
  <c r="CD18" i="4"/>
  <c r="CL18" i="4" s="1"/>
  <c r="BA20" i="32"/>
  <c r="AW20" i="32"/>
  <c r="AH21" i="32"/>
  <c r="AR21" i="32" s="1"/>
  <c r="AA21" i="32"/>
  <c r="AK21" i="32" s="1"/>
  <c r="Z21" i="32"/>
  <c r="AJ21" i="32" s="1"/>
  <c r="AF21" i="32"/>
  <c r="AP21" i="32" s="1"/>
  <c r="AB21" i="32"/>
  <c r="AL21" i="32" s="1"/>
  <c r="AE21" i="32"/>
  <c r="AO21" i="32" s="1"/>
  <c r="Y21" i="32"/>
  <c r="AI21" i="32" s="1"/>
  <c r="AG21" i="32"/>
  <c r="AQ21" i="32" s="1"/>
  <c r="AC21" i="32"/>
  <c r="AM21" i="32" s="1"/>
  <c r="AD21" i="32"/>
  <c r="AN21" i="32" s="1"/>
  <c r="X21" i="32"/>
  <c r="Q25" i="12"/>
  <c r="S25" i="12"/>
  <c r="AS20" i="32"/>
  <c r="AU20" i="32"/>
  <c r="AV20" i="32"/>
  <c r="AL77" i="12"/>
  <c r="L77" i="12"/>
  <c r="F19" i="4"/>
  <c r="M26" i="12" s="1"/>
  <c r="G19" i="4"/>
  <c r="N26" i="12" s="1"/>
  <c r="L19" i="4"/>
  <c r="M19" i="4"/>
  <c r="N19" i="4"/>
  <c r="R19" i="4"/>
  <c r="H23" i="12" s="1"/>
  <c r="AH19" i="4"/>
  <c r="BJ19" i="4"/>
  <c r="F52" i="12" s="1"/>
  <c r="Z52" i="12" s="1"/>
  <c r="BK19" i="4"/>
  <c r="BL19" i="4"/>
  <c r="BT19" i="4"/>
  <c r="BS19" i="4"/>
  <c r="BN19" i="4"/>
  <c r="BM19" i="4" l="1"/>
  <c r="AZ21" i="32"/>
  <c r="AX21" i="32"/>
  <c r="AU21" i="32"/>
  <c r="AW21" i="32"/>
  <c r="AY21" i="32"/>
  <c r="AV21" i="32"/>
  <c r="AD78" i="12"/>
  <c r="AH78" i="12" s="1"/>
  <c r="J52" i="12"/>
  <c r="AT21" i="32"/>
  <c r="AA22" i="32"/>
  <c r="AK22" i="32" s="1"/>
  <c r="AC22" i="32"/>
  <c r="AM22" i="32" s="1"/>
  <c r="AH22" i="32"/>
  <c r="AR22" i="32" s="1"/>
  <c r="AB22" i="32"/>
  <c r="AL22" i="32" s="1"/>
  <c r="AE22" i="32"/>
  <c r="AO22" i="32" s="1"/>
  <c r="AF22" i="32"/>
  <c r="AP22" i="32" s="1"/>
  <c r="AD22" i="32"/>
  <c r="AN22" i="32" s="1"/>
  <c r="AG22" i="32"/>
  <c r="AQ22" i="32" s="1"/>
  <c r="Y22" i="32"/>
  <c r="AI22" i="32" s="1"/>
  <c r="Z22" i="32"/>
  <c r="AJ22" i="32" s="1"/>
  <c r="X22" i="32"/>
  <c r="O19" i="4"/>
  <c r="BB21" i="32"/>
  <c r="BA21" i="32"/>
  <c r="W23" i="32"/>
  <c r="B24" i="32"/>
  <c r="AS21" i="32"/>
  <c r="H19" i="4"/>
  <c r="BU19" i="4"/>
  <c r="AE78" i="12" s="1"/>
  <c r="BV19" i="4"/>
  <c r="E78" i="12" s="1"/>
  <c r="Y78" i="12" s="1"/>
  <c r="BX19" i="4"/>
  <c r="BY19" i="4"/>
  <c r="CB19" i="4"/>
  <c r="J35" i="32"/>
  <c r="F35" i="32"/>
  <c r="K35" i="32"/>
  <c r="G35" i="32"/>
  <c r="H35" i="32"/>
  <c r="I35" i="32"/>
  <c r="D35" i="32"/>
  <c r="CC19" i="4"/>
  <c r="E35" i="32"/>
  <c r="L35" i="32"/>
  <c r="C35" i="32"/>
  <c r="BZ19" i="4" l="1"/>
  <c r="U31" i="32"/>
  <c r="C43" i="32"/>
  <c r="U38" i="32"/>
  <c r="J43" i="32"/>
  <c r="U36" i="32"/>
  <c r="H43" i="32"/>
  <c r="F43" i="32"/>
  <c r="U34" i="32"/>
  <c r="G43" i="32"/>
  <c r="U35" i="32"/>
  <c r="U32" i="32"/>
  <c r="D43" i="32"/>
  <c r="U37" i="32"/>
  <c r="I43" i="32"/>
  <c r="U40" i="32"/>
  <c r="L43" i="32"/>
  <c r="E43" i="32"/>
  <c r="U33" i="32"/>
  <c r="U39" i="32"/>
  <c r="K43" i="32"/>
  <c r="K78" i="12"/>
  <c r="AF23" i="32"/>
  <c r="AP23" i="32" s="1"/>
  <c r="AC23" i="32"/>
  <c r="AM23" i="32" s="1"/>
  <c r="Y23" i="32"/>
  <c r="AI23" i="32" s="1"/>
  <c r="AH23" i="32"/>
  <c r="AR23" i="32" s="1"/>
  <c r="AB23" i="32"/>
  <c r="AL23" i="32" s="1"/>
  <c r="Z23" i="32"/>
  <c r="AJ23" i="32" s="1"/>
  <c r="AG23" i="32"/>
  <c r="AQ23" i="32" s="1"/>
  <c r="AA23" i="32"/>
  <c r="AK23" i="32" s="1"/>
  <c r="AD23" i="32"/>
  <c r="AN23" i="32" s="1"/>
  <c r="AE23" i="32"/>
  <c r="AO23" i="32" s="1"/>
  <c r="X23" i="32"/>
  <c r="O26" i="12"/>
  <c r="I19" i="4"/>
  <c r="P26" i="12" s="1"/>
  <c r="AZ22" i="32"/>
  <c r="CA19" i="4"/>
  <c r="AY22" i="32"/>
  <c r="AV22" i="32"/>
  <c r="BB22" i="32"/>
  <c r="AW22" i="32"/>
  <c r="AT22" i="32"/>
  <c r="BW19" i="4"/>
  <c r="F78" i="12" s="1"/>
  <c r="Z78" i="12" s="1"/>
  <c r="AS22" i="32"/>
  <c r="AU22" i="32"/>
  <c r="W24" i="32"/>
  <c r="B25" i="32"/>
  <c r="BA22" i="32"/>
  <c r="AI78" i="12"/>
  <c r="J78" i="12" s="1"/>
  <c r="AX22" i="32"/>
  <c r="K52" i="12"/>
  <c r="AD52" i="12"/>
  <c r="CE19" i="4"/>
  <c r="CF19" i="4"/>
  <c r="CG19" i="4" s="1"/>
  <c r="CH19" i="4" s="1"/>
  <c r="CI19" i="4"/>
  <c r="CJ19" i="4" s="1"/>
  <c r="CK19" i="4" s="1"/>
  <c r="CN19" i="4"/>
  <c r="CO19" i="4"/>
  <c r="CQ19" i="4"/>
  <c r="CR19" i="4"/>
  <c r="C20" i="4"/>
  <c r="L27" i="12" s="1"/>
  <c r="D20" i="4"/>
  <c r="S32" i="4"/>
  <c r="F27" i="4" s="1"/>
  <c r="F20" i="4" s="1"/>
  <c r="M27" i="12" s="1"/>
  <c r="L20" i="4"/>
  <c r="M20" i="4"/>
  <c r="N20" i="4"/>
  <c r="O20" i="4"/>
  <c r="R20" i="4"/>
  <c r="H24" i="12" s="1"/>
  <c r="U20" i="4"/>
  <c r="B8" i="12" s="1"/>
  <c r="X20" i="4"/>
  <c r="D8" i="12" s="1"/>
  <c r="AA20" i="4"/>
  <c r="F8" i="12" s="1"/>
  <c r="AD20" i="4"/>
  <c r="AH20" i="4"/>
  <c r="BJ20" i="4"/>
  <c r="F53" i="12" s="1"/>
  <c r="Z53" i="12" s="1"/>
  <c r="BK20" i="4"/>
  <c r="BL20" i="4"/>
  <c r="BT20" i="4"/>
  <c r="BR20" i="4"/>
  <c r="BN20" i="4"/>
  <c r="BM20" i="4" l="1"/>
  <c r="G20" i="4"/>
  <c r="N27" i="12" s="1"/>
  <c r="AD79" i="12"/>
  <c r="D79" i="12"/>
  <c r="X79" i="12" s="1"/>
  <c r="J53" i="12"/>
  <c r="H20" i="4"/>
  <c r="CD19" i="4"/>
  <c r="CL19" i="4" s="1"/>
  <c r="BA23" i="32"/>
  <c r="AT23" i="32"/>
  <c r="Q26" i="12"/>
  <c r="S26" i="12"/>
  <c r="AV23" i="32"/>
  <c r="BB23" i="32"/>
  <c r="AS23" i="32"/>
  <c r="AY23" i="32"/>
  <c r="AW23" i="32"/>
  <c r="AZ23" i="32"/>
  <c r="W25" i="32"/>
  <c r="B26" i="32"/>
  <c r="AX23" i="32"/>
  <c r="AB24" i="32"/>
  <c r="AL24" i="32" s="1"/>
  <c r="AE24" i="32"/>
  <c r="AO24" i="32" s="1"/>
  <c r="AC24" i="32"/>
  <c r="AM24" i="32" s="1"/>
  <c r="AF24" i="32"/>
  <c r="AP24" i="32" s="1"/>
  <c r="AD24" i="32"/>
  <c r="AN24" i="32" s="1"/>
  <c r="AH24" i="32"/>
  <c r="AR24" i="32" s="1"/>
  <c r="Y24" i="32"/>
  <c r="AI24" i="32" s="1"/>
  <c r="AG24" i="32"/>
  <c r="AQ24" i="32" s="1"/>
  <c r="AA24" i="32"/>
  <c r="AK24" i="32" s="1"/>
  <c r="Z24" i="32"/>
  <c r="AJ24" i="32" s="1"/>
  <c r="X24" i="32"/>
  <c r="AU23" i="32"/>
  <c r="L78" i="12"/>
  <c r="AL78" i="12"/>
  <c r="BU20" i="4"/>
  <c r="AE79" i="12" s="1"/>
  <c r="AI79" i="12" s="1"/>
  <c r="J79" i="12" s="1"/>
  <c r="BW20" i="4"/>
  <c r="F79" i="12" s="1"/>
  <c r="Z79" i="12" s="1"/>
  <c r="BX20" i="4"/>
  <c r="BY20" i="4"/>
  <c r="CB20" i="4"/>
  <c r="CC20" i="4"/>
  <c r="BS20" i="4"/>
  <c r="BZ20" i="4" l="1"/>
  <c r="AH79" i="12"/>
  <c r="AS24" i="32"/>
  <c r="AX24" i="32"/>
  <c r="AU24" i="32"/>
  <c r="AV24" i="32"/>
  <c r="AZ24" i="32"/>
  <c r="BA24" i="32"/>
  <c r="K79" i="12"/>
  <c r="W26" i="32"/>
  <c r="B27" i="32"/>
  <c r="BB24" i="32"/>
  <c r="AH25" i="32"/>
  <c r="AR25" i="32" s="1"/>
  <c r="AD25" i="32"/>
  <c r="AN25" i="32" s="1"/>
  <c r="AA25" i="32"/>
  <c r="AK25" i="32" s="1"/>
  <c r="Y25" i="32"/>
  <c r="AI25" i="32" s="1"/>
  <c r="AG25" i="32"/>
  <c r="AQ25" i="32" s="1"/>
  <c r="AB25" i="32"/>
  <c r="AL25" i="32" s="1"/>
  <c r="Z25" i="32"/>
  <c r="AJ25" i="32" s="1"/>
  <c r="AC25" i="32"/>
  <c r="AM25" i="32" s="1"/>
  <c r="AF25" i="32"/>
  <c r="AP25" i="32" s="1"/>
  <c r="AE25" i="32"/>
  <c r="AO25" i="32" s="1"/>
  <c r="X25" i="32"/>
  <c r="CA20" i="4"/>
  <c r="AW24" i="32"/>
  <c r="AT24" i="32"/>
  <c r="AY24" i="32"/>
  <c r="O27" i="12"/>
  <c r="I20" i="4"/>
  <c r="P27" i="12" s="1"/>
  <c r="K53" i="12"/>
  <c r="AD53" i="12"/>
  <c r="CD20" i="4"/>
  <c r="CE20" i="4"/>
  <c r="CF20" i="4"/>
  <c r="CG20" i="4" s="1"/>
  <c r="CH20" i="4" s="1"/>
  <c r="CI20" i="4"/>
  <c r="CJ20" i="4" s="1"/>
  <c r="CN20" i="4"/>
  <c r="CO20" i="4"/>
  <c r="CQ20" i="4"/>
  <c r="CR20" i="4"/>
  <c r="C21" i="4"/>
  <c r="L28" i="12" s="1"/>
  <c r="D21" i="4"/>
  <c r="F21" i="4"/>
  <c r="M28" i="12" s="1"/>
  <c r="L21" i="4"/>
  <c r="M21" i="4"/>
  <c r="N21" i="4"/>
  <c r="O21" i="4"/>
  <c r="R21" i="4"/>
  <c r="H25" i="12" s="1"/>
  <c r="U21" i="4"/>
  <c r="B9" i="12" s="1"/>
  <c r="X21" i="4"/>
  <c r="D9" i="12" s="1"/>
  <c r="AA21" i="4"/>
  <c r="F9" i="12" s="1"/>
  <c r="AD21" i="4"/>
  <c r="AH21" i="4"/>
  <c r="BJ21" i="4"/>
  <c r="F54" i="12" s="1"/>
  <c r="Z54" i="12" s="1"/>
  <c r="BK21" i="4"/>
  <c r="BL21" i="4"/>
  <c r="BR21" i="4"/>
  <c r="K36" i="32"/>
  <c r="J36" i="32"/>
  <c r="C36" i="32"/>
  <c r="G36" i="32"/>
  <c r="L36" i="32"/>
  <c r="BN21" i="4"/>
  <c r="D36" i="32"/>
  <c r="BT21" i="4"/>
  <c r="E36" i="32"/>
  <c r="H36" i="32"/>
  <c r="F36" i="32"/>
  <c r="I36" i="32"/>
  <c r="BM21" i="4" l="1"/>
  <c r="V37" i="32"/>
  <c r="I44" i="32"/>
  <c r="V32" i="32"/>
  <c r="D44" i="32"/>
  <c r="V35" i="32"/>
  <c r="G44" i="32"/>
  <c r="V33" i="32"/>
  <c r="E44" i="32"/>
  <c r="V40" i="32"/>
  <c r="L44" i="32"/>
  <c r="V36" i="32"/>
  <c r="H44" i="32"/>
  <c r="V34" i="32"/>
  <c r="F44" i="32"/>
  <c r="V38" i="32"/>
  <c r="J44" i="32"/>
  <c r="V39" i="32"/>
  <c r="K44" i="32"/>
  <c r="V31" i="32"/>
  <c r="C44" i="32"/>
  <c r="AT25" i="32"/>
  <c r="BA25" i="32"/>
  <c r="CK20" i="4"/>
  <c r="CL20" i="4"/>
  <c r="AV25" i="32"/>
  <c r="AS25" i="32"/>
  <c r="H21" i="4"/>
  <c r="O28" i="12" s="1"/>
  <c r="AY25" i="32"/>
  <c r="AX25" i="32"/>
  <c r="G21" i="4"/>
  <c r="N28" i="12" s="1"/>
  <c r="AZ25" i="32"/>
  <c r="AW25" i="32"/>
  <c r="AD80" i="12"/>
  <c r="D80" i="12"/>
  <c r="X80" i="12" s="1"/>
  <c r="J54" i="12"/>
  <c r="W27" i="32"/>
  <c r="B28" i="32"/>
  <c r="W28" i="32" s="1"/>
  <c r="Z26" i="32"/>
  <c r="AJ26" i="32" s="1"/>
  <c r="AH26" i="32"/>
  <c r="AR26" i="32" s="1"/>
  <c r="AF26" i="32"/>
  <c r="AP26" i="32" s="1"/>
  <c r="AB26" i="32"/>
  <c r="AL26" i="32" s="1"/>
  <c r="AA26" i="32"/>
  <c r="AK26" i="32" s="1"/>
  <c r="Y26" i="32"/>
  <c r="AI26" i="32" s="1"/>
  <c r="AD26" i="32"/>
  <c r="AN26" i="32" s="1"/>
  <c r="AC26" i="32"/>
  <c r="AM26" i="32" s="1"/>
  <c r="AG26" i="32"/>
  <c r="AQ26" i="32" s="1"/>
  <c r="AE26" i="32"/>
  <c r="AO26" i="32" s="1"/>
  <c r="X26" i="32"/>
  <c r="AU25" i="32"/>
  <c r="Q27" i="12"/>
  <c r="S27" i="12"/>
  <c r="BB25" i="32"/>
  <c r="AL79" i="12"/>
  <c r="L79" i="12"/>
  <c r="BU21" i="4"/>
  <c r="AE80" i="12" s="1"/>
  <c r="BV21" i="4"/>
  <c r="E80" i="12" s="1"/>
  <c r="Y80" i="12" s="1"/>
  <c r="BX21" i="4"/>
  <c r="BY21" i="4"/>
  <c r="CB21" i="4"/>
  <c r="BS21" i="4"/>
  <c r="CC21" i="4"/>
  <c r="AH80" i="12" l="1"/>
  <c r="BZ21" i="4"/>
  <c r="I21" i="4"/>
  <c r="P28" i="12" s="1"/>
  <c r="Q28" i="12" s="1"/>
  <c r="K80" i="12"/>
  <c r="AY26" i="32"/>
  <c r="BB26" i="32"/>
  <c r="BA26" i="32"/>
  <c r="AT26" i="32"/>
  <c r="AZ26" i="32"/>
  <c r="CA21" i="4"/>
  <c r="AW26" i="32"/>
  <c r="AI80" i="12"/>
  <c r="J80" i="12" s="1"/>
  <c r="AX26" i="32"/>
  <c r="Z28" i="32"/>
  <c r="AA28" i="32"/>
  <c r="AH28" i="32"/>
  <c r="Y28" i="32"/>
  <c r="AD28" i="32"/>
  <c r="AG28" i="32"/>
  <c r="AF28" i="32"/>
  <c r="AE28" i="32"/>
  <c r="AC28" i="32"/>
  <c r="AB28" i="32"/>
  <c r="X28" i="32"/>
  <c r="AS26" i="32"/>
  <c r="Z27" i="32"/>
  <c r="AJ27" i="32" s="1"/>
  <c r="AF27" i="32"/>
  <c r="AP27" i="32" s="1"/>
  <c r="AH27" i="32"/>
  <c r="AR27" i="32" s="1"/>
  <c r="Y27" i="32"/>
  <c r="AI27" i="32" s="1"/>
  <c r="AA27" i="32"/>
  <c r="AK27" i="32" s="1"/>
  <c r="AC27" i="32"/>
  <c r="AM27" i="32" s="1"/>
  <c r="AG27" i="32"/>
  <c r="AQ27" i="32" s="1"/>
  <c r="AB27" i="32"/>
  <c r="AL27" i="32" s="1"/>
  <c r="AD27" i="32"/>
  <c r="AN27" i="32" s="1"/>
  <c r="AE27" i="32"/>
  <c r="AO27" i="32" s="1"/>
  <c r="X27" i="32"/>
  <c r="AU26" i="32"/>
  <c r="AD54" i="12"/>
  <c r="K54" i="12"/>
  <c r="BW21" i="4"/>
  <c r="F80" i="12" s="1"/>
  <c r="Z80" i="12" s="1"/>
  <c r="AV26" i="32"/>
  <c r="CF21" i="4"/>
  <c r="CG21" i="4" s="1"/>
  <c r="CH21" i="4" s="1"/>
  <c r="CI21" i="4"/>
  <c r="CJ21" i="4" s="1"/>
  <c r="CK21" i="4" s="1"/>
  <c r="CN21" i="4"/>
  <c r="CO21" i="4"/>
  <c r="CQ21" i="4"/>
  <c r="CR21" i="4"/>
  <c r="C22" i="4"/>
  <c r="L29" i="12" s="1"/>
  <c r="D22" i="4"/>
  <c r="F22" i="4"/>
  <c r="M29" i="12" s="1"/>
  <c r="L22" i="4"/>
  <c r="M22" i="4"/>
  <c r="N22" i="4"/>
  <c r="O22" i="4"/>
  <c r="R22" i="4"/>
  <c r="H26" i="12" s="1"/>
  <c r="U22" i="4"/>
  <c r="B10" i="12" s="1"/>
  <c r="X22" i="4"/>
  <c r="D10" i="12" s="1"/>
  <c r="AA22" i="4"/>
  <c r="F10" i="12" s="1"/>
  <c r="AD22" i="4"/>
  <c r="AH22" i="4"/>
  <c r="BJ22" i="4"/>
  <c r="F55" i="12" s="1"/>
  <c r="Z55" i="12" s="1"/>
  <c r="BK22" i="4"/>
  <c r="BL22" i="4"/>
  <c r="BR22" i="4"/>
  <c r="BN22" i="4"/>
  <c r="BT22" i="4"/>
  <c r="BM22" i="4" l="1"/>
  <c r="G22" i="4"/>
  <c r="N29" i="12" s="1"/>
  <c r="AR28" i="32"/>
  <c r="BB28" i="32" s="1"/>
  <c r="AK28" i="32"/>
  <c r="AU28" i="32" s="1"/>
  <c r="S28" i="12"/>
  <c r="AW27" i="32"/>
  <c r="BA27" i="32"/>
  <c r="H22" i="4"/>
  <c r="O29" i="12" s="1"/>
  <c r="AS27" i="32"/>
  <c r="AX27" i="32"/>
  <c r="AV27" i="32"/>
  <c r="AI28" i="32"/>
  <c r="AS28" i="32" s="1"/>
  <c r="AO28" i="32"/>
  <c r="AY28" i="32" s="1"/>
  <c r="AD81" i="12"/>
  <c r="AH81" i="12" s="1"/>
  <c r="D81" i="12"/>
  <c r="X81" i="12" s="1"/>
  <c r="J55" i="12"/>
  <c r="AL28" i="32"/>
  <c r="AV28" i="32" s="1"/>
  <c r="AU27" i="32"/>
  <c r="AM28" i="32"/>
  <c r="AW28" i="32" s="1"/>
  <c r="AJ28" i="32"/>
  <c r="AT28" i="32" s="1"/>
  <c r="BB27" i="32"/>
  <c r="AP28" i="32"/>
  <c r="AZ28" i="32" s="1"/>
  <c r="AY27" i="32"/>
  <c r="AZ27" i="32"/>
  <c r="AQ28" i="32"/>
  <c r="BA28" i="32" s="1"/>
  <c r="CD21" i="4"/>
  <c r="CL21" i="4" s="1"/>
  <c r="AT27" i="32"/>
  <c r="AN28" i="32"/>
  <c r="AX28" i="32" s="1"/>
  <c r="AL80" i="12"/>
  <c r="L80" i="12"/>
  <c r="BU22" i="4"/>
  <c r="AE81" i="12" s="1"/>
  <c r="BV22" i="4"/>
  <c r="E81" i="12" s="1"/>
  <c r="Y81" i="12" s="1"/>
  <c r="BX22" i="4"/>
  <c r="BY22" i="4"/>
  <c r="CB22" i="4"/>
  <c r="F37" i="32"/>
  <c r="L37" i="32"/>
  <c r="C37" i="32"/>
  <c r="G37" i="32"/>
  <c r="D37" i="32"/>
  <c r="BS22" i="4"/>
  <c r="I37" i="32"/>
  <c r="J37" i="32"/>
  <c r="E37" i="32"/>
  <c r="CC22" i="4"/>
  <c r="K37" i="32"/>
  <c r="H37" i="32"/>
  <c r="BZ22" i="4" l="1"/>
  <c r="AI81" i="12"/>
  <c r="J81" i="12" s="1"/>
  <c r="I22" i="4"/>
  <c r="P29" i="12" s="1"/>
  <c r="S29" i="12" s="1"/>
  <c r="W31" i="32"/>
  <c r="C45" i="32"/>
  <c r="K81" i="12"/>
  <c r="W35" i="32"/>
  <c r="G45" i="32"/>
  <c r="W33" i="32"/>
  <c r="E45" i="32"/>
  <c r="W39" i="32"/>
  <c r="K45" i="32"/>
  <c r="W34" i="32"/>
  <c r="F45" i="32"/>
  <c r="W32" i="32"/>
  <c r="D45" i="32"/>
  <c r="W38" i="32"/>
  <c r="J45" i="32"/>
  <c r="W36" i="32"/>
  <c r="H45" i="32"/>
  <c r="W40" i="32"/>
  <c r="L45" i="32"/>
  <c r="W37" i="32"/>
  <c r="I45" i="32"/>
  <c r="CA22" i="4"/>
  <c r="BW22" i="4"/>
  <c r="F81" i="12" s="1"/>
  <c r="Z81" i="12" s="1"/>
  <c r="AD55" i="12"/>
  <c r="K55" i="12"/>
  <c r="CF22" i="4"/>
  <c r="CG22" i="4" s="1"/>
  <c r="CH22" i="4" s="1"/>
  <c r="CI22" i="4"/>
  <c r="CJ22" i="4" s="1"/>
  <c r="CK22" i="4" s="1"/>
  <c r="CN22" i="4"/>
  <c r="CO22" i="4"/>
  <c r="CQ22" i="4"/>
  <c r="CR22" i="4"/>
  <c r="C23" i="4"/>
  <c r="L30" i="12" s="1"/>
  <c r="D23" i="4"/>
  <c r="F23" i="4"/>
  <c r="M30" i="12" s="1"/>
  <c r="L23" i="4"/>
  <c r="M23" i="4"/>
  <c r="N23" i="4"/>
  <c r="O23" i="4"/>
  <c r="R23" i="4"/>
  <c r="H27" i="12" s="1"/>
  <c r="AH23" i="4"/>
  <c r="BJ23" i="4"/>
  <c r="F56" i="12" s="1"/>
  <c r="Z56" i="12" s="1"/>
  <c r="BK23" i="4"/>
  <c r="BL23" i="4"/>
  <c r="BR23" i="4"/>
  <c r="BT23" i="4"/>
  <c r="BN23" i="4"/>
  <c r="BM23" i="4" l="1"/>
  <c r="Q29" i="12"/>
  <c r="CD22" i="4"/>
  <c r="CL22" i="4" s="1"/>
  <c r="AD82" i="12"/>
  <c r="AH82" i="12" s="1"/>
  <c r="D82" i="12"/>
  <c r="X82" i="12" s="1"/>
  <c r="J56" i="12"/>
  <c r="H23" i="4"/>
  <c r="G23" i="4"/>
  <c r="N30" i="12" s="1"/>
  <c r="L81" i="12"/>
  <c r="AL81" i="12"/>
  <c r="BU23" i="4"/>
  <c r="AE82" i="12" s="1"/>
  <c r="BV23" i="4"/>
  <c r="E82" i="12" s="1"/>
  <c r="Y82" i="12" s="1"/>
  <c r="AI82" i="12" s="1"/>
  <c r="J82" i="12" s="1"/>
  <c r="BX23" i="4"/>
  <c r="BY23" i="4"/>
  <c r="CB23" i="4"/>
  <c r="CC23" i="4"/>
  <c r="BS23" i="4"/>
  <c r="BZ23" i="4" l="1"/>
  <c r="K82" i="12"/>
  <c r="CA23" i="4"/>
  <c r="O30" i="12"/>
  <c r="I23" i="4"/>
  <c r="P30" i="12" s="1"/>
  <c r="BW23" i="4"/>
  <c r="F82" i="12" s="1"/>
  <c r="Z82" i="12" s="1"/>
  <c r="K56" i="12"/>
  <c r="AD56" i="12"/>
  <c r="CF23" i="4"/>
  <c r="CG23" i="4" s="1"/>
  <c r="CH23" i="4" s="1"/>
  <c r="CI23" i="4"/>
  <c r="CJ23" i="4" s="1"/>
  <c r="CK23" i="4" s="1"/>
  <c r="CN23" i="4"/>
  <c r="CO23" i="4"/>
  <c r="CQ23" i="4"/>
  <c r="CR23" i="4"/>
  <c r="C24" i="4"/>
  <c r="L31" i="12" s="1"/>
  <c r="D24" i="4"/>
  <c r="S33" i="4"/>
  <c r="F28" i="4" s="1"/>
  <c r="F24" i="4" s="1"/>
  <c r="R24" i="4"/>
  <c r="H28" i="12" s="1"/>
  <c r="BJ24" i="4"/>
  <c r="F57" i="12" s="1"/>
  <c r="Z57" i="12" s="1"/>
  <c r="BK24" i="4"/>
  <c r="BL24" i="4"/>
  <c r="BS24" i="4"/>
  <c r="BT24" i="4"/>
  <c r="BN24" i="4"/>
  <c r="BM24" i="4" l="1"/>
  <c r="G24" i="4"/>
  <c r="N31" i="12" s="1"/>
  <c r="AD83" i="12"/>
  <c r="AH83" i="12" s="1"/>
  <c r="J57" i="12"/>
  <c r="M31" i="12"/>
  <c r="H24" i="4"/>
  <c r="CD23" i="4"/>
  <c r="CL23" i="4" s="1"/>
  <c r="S30" i="12"/>
  <c r="Q30" i="12"/>
  <c r="AL82" i="12"/>
  <c r="L82" i="12"/>
  <c r="BU24" i="4"/>
  <c r="AE83" i="12" s="1"/>
  <c r="BV24" i="4"/>
  <c r="E83" i="12" s="1"/>
  <c r="Y83" i="12" s="1"/>
  <c r="BX24" i="4"/>
  <c r="BY24" i="4"/>
  <c r="CB24" i="4"/>
  <c r="CC24" i="4"/>
  <c r="BZ24" i="4" l="1"/>
  <c r="K83" i="12"/>
  <c r="CA24" i="4"/>
  <c r="BW24" i="4"/>
  <c r="F83" i="12" s="1"/>
  <c r="Z83" i="12" s="1"/>
  <c r="O31" i="12"/>
  <c r="I24" i="4"/>
  <c r="P31" i="12" s="1"/>
  <c r="AI83" i="12"/>
  <c r="J83" i="12" s="1"/>
  <c r="K57" i="12"/>
  <c r="AD57" i="12"/>
  <c r="CF24" i="4"/>
  <c r="CG24" i="4" s="1"/>
  <c r="CH24" i="4" s="1"/>
  <c r="CI24" i="4"/>
  <c r="CJ24" i="4" s="1"/>
  <c r="CK24" i="4" s="1"/>
  <c r="CN24" i="4"/>
  <c r="CO24" i="4"/>
  <c r="CQ24" i="4"/>
  <c r="CR24" i="4"/>
  <c r="C25" i="4"/>
  <c r="L32" i="12" s="1"/>
  <c r="D25" i="4"/>
  <c r="F25" i="4"/>
  <c r="M32" i="12" s="1"/>
  <c r="R25" i="4"/>
  <c r="H29" i="12" s="1"/>
  <c r="U25" i="4"/>
  <c r="B12" i="12" s="1"/>
  <c r="X25" i="4"/>
  <c r="D12" i="12" s="1"/>
  <c r="AA25" i="4"/>
  <c r="F12" i="12" s="1"/>
  <c r="AD25" i="4"/>
  <c r="BJ25" i="4"/>
  <c r="F58" i="12" s="1"/>
  <c r="Z58" i="12" s="1"/>
  <c r="BK25" i="4"/>
  <c r="BL25" i="4"/>
  <c r="BN25" i="4"/>
  <c r="BR25" i="4"/>
  <c r="BS25" i="4" s="1"/>
  <c r="BT25" i="4"/>
  <c r="BM25" i="4" l="1"/>
  <c r="G25" i="4"/>
  <c r="N32" i="12" s="1"/>
  <c r="H25" i="4"/>
  <c r="O32" i="12" s="1"/>
  <c r="CD24" i="4"/>
  <c r="CL24" i="4" s="1"/>
  <c r="AD84" i="12"/>
  <c r="AH84" i="12" s="1"/>
  <c r="D84" i="12"/>
  <c r="X84" i="12" s="1"/>
  <c r="J58" i="12"/>
  <c r="S31" i="12"/>
  <c r="Q31" i="12"/>
  <c r="L83" i="12"/>
  <c r="AL83" i="12"/>
  <c r="BU25" i="4"/>
  <c r="AE84" i="12" s="1"/>
  <c r="BV25" i="4"/>
  <c r="E84" i="12" s="1"/>
  <c r="Y84" i="12" s="1"/>
  <c r="BX25" i="4"/>
  <c r="BY25" i="4"/>
  <c r="CB25" i="4"/>
  <c r="CC25" i="4"/>
  <c r="BZ25" i="4" l="1"/>
  <c r="I25" i="4"/>
  <c r="P32" i="12" s="1"/>
  <c r="Q32" i="12" s="1"/>
  <c r="K84" i="12"/>
  <c r="BW25" i="4"/>
  <c r="F84" i="12" s="1"/>
  <c r="Z84" i="12" s="1"/>
  <c r="AI84" i="12"/>
  <c r="J84" i="12" s="1"/>
  <c r="AD58" i="12"/>
  <c r="K58" i="12"/>
  <c r="CA25" i="4"/>
  <c r="CF25" i="4"/>
  <c r="CG25" i="4" s="1"/>
  <c r="CH25" i="4" s="1"/>
  <c r="CI25" i="4"/>
  <c r="CJ25" i="4" s="1"/>
  <c r="CK25" i="4" s="1"/>
  <c r="CN25" i="4"/>
  <c r="CO25" i="4"/>
  <c r="CQ25" i="4"/>
  <c r="CR25" i="4"/>
  <c r="C26" i="4"/>
  <c r="L33" i="12" s="1"/>
  <c r="D26" i="4"/>
  <c r="F26" i="4"/>
  <c r="M33" i="12" s="1"/>
  <c r="R26" i="4"/>
  <c r="H30" i="12" s="1"/>
  <c r="U26" i="4"/>
  <c r="B13" i="12" s="1"/>
  <c r="X26" i="4"/>
  <c r="D13" i="12" s="1"/>
  <c r="AA26" i="4"/>
  <c r="F13" i="12" s="1"/>
  <c r="AD26" i="4"/>
  <c r="BR26" i="4"/>
  <c r="BT26" i="4"/>
  <c r="S32" i="12" l="1"/>
  <c r="H26" i="4"/>
  <c r="O33" i="12" s="1"/>
  <c r="AD85" i="12"/>
  <c r="AH85" i="12" s="1"/>
  <c r="D85" i="12"/>
  <c r="X85" i="12" s="1"/>
  <c r="CD25" i="4"/>
  <c r="CL25" i="4" s="1"/>
  <c r="AL84" i="12"/>
  <c r="L84" i="12"/>
  <c r="G26" i="4"/>
  <c r="N33" i="12" s="1"/>
  <c r="BU26" i="4"/>
  <c r="AE85" i="12" s="1"/>
  <c r="BV26" i="4"/>
  <c r="E85" i="12" s="1"/>
  <c r="Y85" i="12" s="1"/>
  <c r="AI85" i="12" s="1"/>
  <c r="J85" i="12" s="1"/>
  <c r="BX26" i="4"/>
  <c r="BY26" i="4"/>
  <c r="CB26" i="4"/>
  <c r="BS26" i="4"/>
  <c r="CC26" i="4"/>
  <c r="BZ26" i="4" l="1"/>
  <c r="K85" i="12"/>
  <c r="CA26" i="4"/>
  <c r="I26" i="4"/>
  <c r="P33" i="12" s="1"/>
  <c r="BW26" i="4"/>
  <c r="F85" i="12" s="1"/>
  <c r="Z85" i="12" s="1"/>
  <c r="CF26" i="4"/>
  <c r="CG26" i="4" s="1"/>
  <c r="CH26" i="4" s="1"/>
  <c r="CI26" i="4"/>
  <c r="CJ26" i="4" s="1"/>
  <c r="CK26" i="4" s="1"/>
  <c r="CN26" i="4"/>
  <c r="CO26" i="4"/>
  <c r="CQ26" i="4"/>
  <c r="CR26" i="4"/>
  <c r="R27" i="4"/>
  <c r="H31" i="12" s="1"/>
  <c r="U27" i="4"/>
  <c r="B14" i="12" s="1"/>
  <c r="X27" i="4"/>
  <c r="D14" i="12" s="1"/>
  <c r="AA27" i="4"/>
  <c r="F14" i="12" s="1"/>
  <c r="AD27" i="4"/>
  <c r="BT27" i="4"/>
  <c r="BR27" i="4"/>
  <c r="AD86" i="12" l="1"/>
  <c r="AH86" i="12" s="1"/>
  <c r="D86" i="12"/>
  <c r="X86" i="12" s="1"/>
  <c r="L85" i="12"/>
  <c r="AL85" i="12"/>
  <c r="Q33" i="12"/>
  <c r="S33" i="12"/>
  <c r="G85" i="27"/>
  <c r="G91" i="27"/>
  <c r="W87" i="27" s="1"/>
  <c r="X87" i="27" s="1"/>
  <c r="CD26" i="4"/>
  <c r="CL26" i="4" s="1"/>
  <c r="BU27" i="4"/>
  <c r="AE86" i="12" s="1"/>
  <c r="BV27" i="4"/>
  <c r="E86" i="12" s="1"/>
  <c r="Y86" i="12" s="1"/>
  <c r="BX27" i="4"/>
  <c r="BY27" i="4"/>
  <c r="CB27" i="4"/>
  <c r="CC27" i="4"/>
  <c r="BS27" i="4"/>
  <c r="BZ27" i="4" l="1"/>
  <c r="AA87" i="27"/>
  <c r="N91" i="27" s="1"/>
  <c r="O91" i="27" s="1"/>
  <c r="AB87" i="27"/>
  <c r="P91" i="27" s="1"/>
  <c r="Q91" i="27" s="1"/>
  <c r="AI86" i="12"/>
  <c r="J86" i="12" s="1"/>
  <c r="K86" i="12"/>
  <c r="CA27" i="4"/>
  <c r="X85" i="27"/>
  <c r="W85" i="27"/>
  <c r="BW27" i="4"/>
  <c r="F86" i="12" s="1"/>
  <c r="Z86" i="12" s="1"/>
  <c r="CF27" i="4"/>
  <c r="CG27" i="4" s="1"/>
  <c r="CH27" i="4" s="1"/>
  <c r="CI27" i="4"/>
  <c r="CJ27" i="4" s="1"/>
  <c r="CK27" i="4" s="1"/>
  <c r="CQ27" i="4"/>
  <c r="CR27" i="4"/>
  <c r="R28" i="4"/>
  <c r="H32" i="12" s="1"/>
  <c r="U28" i="4"/>
  <c r="B15" i="12" s="1"/>
  <c r="X28" i="4"/>
  <c r="D15" i="12" s="1"/>
  <c r="AA28" i="4"/>
  <c r="F15" i="12" s="1"/>
  <c r="AD28" i="4"/>
  <c r="BJ29" i="4"/>
  <c r="BJ28" i="4"/>
  <c r="BT28" i="4"/>
  <c r="BS28" i="4"/>
  <c r="AA85" i="27" l="1"/>
  <c r="N85" i="27" s="1"/>
  <c r="AB85" i="27"/>
  <c r="P85" i="27" s="1"/>
  <c r="AD87" i="12"/>
  <c r="AH87" i="12" s="1"/>
  <c r="CD27" i="4"/>
  <c r="CL27" i="4" s="1"/>
  <c r="AL86" i="12"/>
  <c r="L86" i="12"/>
  <c r="BU28" i="4"/>
  <c r="AE87" i="12" s="1"/>
  <c r="BV28" i="4"/>
  <c r="E87" i="12" s="1"/>
  <c r="Y87" i="12" s="1"/>
  <c r="BX28" i="4"/>
  <c r="BY28" i="4"/>
  <c r="CB28" i="4"/>
  <c r="CC28" i="4"/>
  <c r="BZ28" i="4" l="1"/>
  <c r="Q85" i="27"/>
  <c r="O85" i="27"/>
  <c r="K87" i="12"/>
  <c r="AI87" i="12"/>
  <c r="J87" i="12" s="1"/>
  <c r="BW28" i="4"/>
  <c r="F87" i="12" s="1"/>
  <c r="Z87" i="12" s="1"/>
  <c r="CA28" i="4"/>
  <c r="CF28" i="4"/>
  <c r="CG28" i="4" s="1"/>
  <c r="CH28" i="4" s="1"/>
  <c r="CI28" i="4"/>
  <c r="CJ28" i="4" s="1"/>
  <c r="CK28" i="4" s="1"/>
  <c r="CQ28" i="4"/>
  <c r="CR28" i="4"/>
  <c r="R29" i="4"/>
  <c r="H33" i="12" s="1"/>
  <c r="U29" i="4"/>
  <c r="B16" i="12" s="1"/>
  <c r="X29" i="4"/>
  <c r="D16" i="12" s="1"/>
  <c r="AA29" i="4"/>
  <c r="F16" i="12" s="1"/>
  <c r="AD29" i="4"/>
  <c r="BT29" i="4"/>
  <c r="BR29" i="4"/>
  <c r="AD88" i="12" l="1"/>
  <c r="AH88" i="12" s="1"/>
  <c r="D88" i="12"/>
  <c r="X88" i="12" s="1"/>
  <c r="CD28" i="4"/>
  <c r="CL28" i="4" s="1"/>
  <c r="L87" i="12"/>
  <c r="AL87" i="12"/>
  <c r="BU29" i="4"/>
  <c r="AE88" i="12" s="1"/>
  <c r="BV29" i="4"/>
  <c r="E88" i="12" s="1"/>
  <c r="Y88" i="12" s="1"/>
  <c r="AI88" i="12" s="1"/>
  <c r="J88" i="12" s="1"/>
  <c r="BX29" i="4"/>
  <c r="BY29" i="4"/>
  <c r="CB29" i="4"/>
  <c r="BS29" i="4"/>
  <c r="CC29" i="4"/>
  <c r="BZ29" i="4" l="1"/>
  <c r="K88" i="12"/>
  <c r="BW29" i="4"/>
  <c r="F88" i="12" s="1"/>
  <c r="Z88" i="12" s="1"/>
  <c r="CA29" i="4"/>
  <c r="CF29" i="4"/>
  <c r="CG29" i="4" s="1"/>
  <c r="CH29" i="4" s="1"/>
  <c r="CI29" i="4"/>
  <c r="CJ29" i="4" s="1"/>
  <c r="CK29" i="4" s="1"/>
  <c r="CQ29" i="4"/>
  <c r="CR29" i="4"/>
  <c r="U30" i="4"/>
  <c r="B17" i="12" s="1"/>
  <c r="X30" i="4"/>
  <c r="D17" i="12" s="1"/>
  <c r="AA30" i="4"/>
  <c r="F17" i="12" s="1"/>
  <c r="AD30" i="4"/>
  <c r="BR30" i="4"/>
  <c r="BS30" i="4"/>
  <c r="BT30" i="4"/>
  <c r="AD89" i="12" l="1"/>
  <c r="AH89" i="12" s="1"/>
  <c r="D89" i="12"/>
  <c r="X89" i="12" s="1"/>
  <c r="CD29" i="4"/>
  <c r="CL29" i="4" s="1"/>
  <c r="AL88" i="12"/>
  <c r="L88" i="12"/>
  <c r="BU30" i="4"/>
  <c r="AE89" i="12" s="1"/>
  <c r="BV30" i="4"/>
  <c r="E89" i="12" s="1"/>
  <c r="Y89" i="12" s="1"/>
  <c r="BX30" i="4"/>
  <c r="BY30" i="4"/>
  <c r="CB30" i="4"/>
  <c r="CC30" i="4"/>
  <c r="BZ30" i="4" l="1"/>
  <c r="K89" i="12"/>
  <c r="BW30" i="4"/>
  <c r="F89" i="12" s="1"/>
  <c r="Z89" i="12" s="1"/>
  <c r="AI89" i="12"/>
  <c r="J89" i="12" s="1"/>
  <c r="CA30" i="4"/>
  <c r="CF30" i="4"/>
  <c r="CG30" i="4" s="1"/>
  <c r="CH30" i="4" s="1"/>
  <c r="CI30" i="4"/>
  <c r="CJ30" i="4" s="1"/>
  <c r="CQ30" i="4"/>
  <c r="CR30" i="4"/>
  <c r="U31" i="4"/>
  <c r="B18" i="12" s="1"/>
  <c r="X31" i="4"/>
  <c r="D18" i="12" s="1"/>
  <c r="AA31" i="4"/>
  <c r="F18" i="12" s="1"/>
  <c r="AD31" i="4"/>
  <c r="AP31" i="4"/>
  <c r="BT31" i="4"/>
  <c r="BR31" i="4"/>
  <c r="CD30" i="4" l="1"/>
  <c r="CL30" i="4" s="1"/>
  <c r="AD90" i="12"/>
  <c r="AH90" i="12" s="1"/>
  <c r="D90" i="12"/>
  <c r="X90" i="12" s="1"/>
  <c r="CK30" i="4"/>
  <c r="L89" i="12"/>
  <c r="AL89" i="12"/>
  <c r="BU31" i="4"/>
  <c r="AE90" i="12" s="1"/>
  <c r="BV31" i="4"/>
  <c r="E90" i="12" s="1"/>
  <c r="Y90" i="12" s="1"/>
  <c r="AI90" i="12" s="1"/>
  <c r="J90" i="12" s="1"/>
  <c r="BX31" i="4"/>
  <c r="BY31" i="4"/>
  <c r="CB31" i="4"/>
  <c r="CC31" i="4"/>
  <c r="BS31" i="4"/>
  <c r="BZ31" i="4" l="1"/>
  <c r="K90" i="12"/>
  <c r="BW31" i="4"/>
  <c r="F90" i="12" s="1"/>
  <c r="Z90" i="12" s="1"/>
  <c r="CA31" i="4"/>
  <c r="CF31" i="4"/>
  <c r="CG31" i="4" s="1"/>
  <c r="CH31" i="4" s="1"/>
  <c r="CI31" i="4"/>
  <c r="CJ31" i="4" s="1"/>
  <c r="CK31" i="4" s="1"/>
  <c r="CQ31" i="4"/>
  <c r="CR31" i="4"/>
  <c r="C32" i="4"/>
  <c r="D32" i="4"/>
  <c r="F32" i="4"/>
  <c r="U32" i="4"/>
  <c r="B19" i="12" s="1"/>
  <c r="X32" i="4"/>
  <c r="D19" i="12" s="1"/>
  <c r="AA32" i="4"/>
  <c r="F19" i="12" s="1"/>
  <c r="AD32" i="4"/>
  <c r="AM32" i="4"/>
  <c r="AN32" i="4" l="1"/>
  <c r="AO32" i="4" s="1"/>
  <c r="CD31" i="4"/>
  <c r="CL31" i="4" s="1"/>
  <c r="AL90" i="12"/>
  <c r="L90" i="12"/>
  <c r="AP32" i="4"/>
  <c r="BT32" i="4"/>
  <c r="BR32" i="4"/>
  <c r="BS32" i="4"/>
  <c r="AD91" i="12" l="1"/>
  <c r="AH91" i="12" s="1"/>
  <c r="D91" i="12"/>
  <c r="X91" i="12" s="1"/>
  <c r="BU32" i="4"/>
  <c r="AE91" i="12" s="1"/>
  <c r="BV32" i="4"/>
  <c r="E91" i="12" s="1"/>
  <c r="Y91" i="12" s="1"/>
  <c r="AI91" i="12" s="1"/>
  <c r="J91" i="12" s="1"/>
  <c r="BX32" i="4"/>
  <c r="BY32" i="4"/>
  <c r="CB32" i="4"/>
  <c r="CC32" i="4"/>
  <c r="BZ32" i="4" l="1"/>
  <c r="K91" i="12"/>
  <c r="CA32" i="4"/>
  <c r="BW32" i="4"/>
  <c r="F91" i="12" s="1"/>
  <c r="Z91" i="12" s="1"/>
  <c r="CF32" i="4"/>
  <c r="CG32" i="4" s="1"/>
  <c r="CH32" i="4" s="1"/>
  <c r="CI32" i="4"/>
  <c r="CJ32" i="4" s="1"/>
  <c r="CK32" i="4" s="1"/>
  <c r="CQ32" i="4"/>
  <c r="CR32" i="4"/>
  <c r="C33" i="4"/>
  <c r="D33" i="4"/>
  <c r="F33" i="4"/>
  <c r="U33" i="4"/>
  <c r="B20" i="12" s="1"/>
  <c r="X33" i="4"/>
  <c r="D20" i="12" s="1"/>
  <c r="AA33" i="4"/>
  <c r="F20" i="12" s="1"/>
  <c r="AD33" i="4"/>
  <c r="AM33" i="4"/>
  <c r="AN33" i="4" l="1"/>
  <c r="AO33" i="4" s="1"/>
  <c r="CD32" i="4"/>
  <c r="CL32" i="4" s="1"/>
  <c r="L91" i="12"/>
  <c r="AL91" i="12"/>
  <c r="AP33" i="4"/>
  <c r="BR33" i="4"/>
  <c r="BT33" i="4"/>
  <c r="AD92" i="12" l="1"/>
  <c r="AH92" i="12" s="1"/>
  <c r="D92" i="12"/>
  <c r="X92" i="12" s="1"/>
  <c r="BU33" i="4"/>
  <c r="AE92" i="12" s="1"/>
  <c r="BV33" i="4"/>
  <c r="E92" i="12" s="1"/>
  <c r="Y92" i="12" s="1"/>
  <c r="AI92" i="12" s="1"/>
  <c r="J92" i="12" s="1"/>
  <c r="BX33" i="4"/>
  <c r="BY33" i="4"/>
  <c r="CB33" i="4"/>
  <c r="BS33" i="4"/>
  <c r="CC33" i="4"/>
  <c r="BZ33" i="4" l="1"/>
  <c r="K92" i="12"/>
  <c r="CA33" i="4"/>
  <c r="BW33" i="4"/>
  <c r="F92" i="12" s="1"/>
  <c r="Z92" i="12" s="1"/>
  <c r="CF33" i="4"/>
  <c r="CG33" i="4" s="1"/>
  <c r="CH33" i="4" s="1"/>
  <c r="CI33" i="4"/>
  <c r="CJ33" i="4" s="1"/>
  <c r="CK33" i="4" s="1"/>
  <c r="CQ33" i="4"/>
  <c r="CR33" i="4"/>
  <c r="C34" i="4"/>
  <c r="D34" i="4"/>
  <c r="F34" i="4"/>
  <c r="U34" i="4"/>
  <c r="B21" i="12" s="1"/>
  <c r="X34" i="4"/>
  <c r="D21" i="12" s="1"/>
  <c r="AA34" i="4"/>
  <c r="F21" i="12" s="1"/>
  <c r="AD34" i="4"/>
  <c r="AM34" i="4"/>
  <c r="AN34" i="4" l="1"/>
  <c r="AO34" i="4" s="1"/>
  <c r="CD33" i="4"/>
  <c r="CL33" i="4" s="1"/>
  <c r="L92" i="12"/>
  <c r="AL92" i="12"/>
  <c r="AP34" i="4"/>
  <c r="BT34" i="4"/>
  <c r="BR34" i="4"/>
  <c r="BS34" i="4" s="1"/>
  <c r="AD93" i="12" l="1"/>
  <c r="AH93" i="12" s="1"/>
  <c r="D93" i="12"/>
  <c r="X93" i="12" s="1"/>
  <c r="BU34" i="4"/>
  <c r="AE93" i="12" s="1"/>
  <c r="BV34" i="4"/>
  <c r="E93" i="12" s="1"/>
  <c r="Y93" i="12" s="1"/>
  <c r="AI93" i="12" s="1"/>
  <c r="J93" i="12" s="1"/>
  <c r="BX34" i="4"/>
  <c r="BY34" i="4"/>
  <c r="CB34" i="4"/>
  <c r="CC34" i="4"/>
  <c r="BZ34" i="4" l="1"/>
  <c r="K93" i="12"/>
  <c r="BW34" i="4"/>
  <c r="F93" i="12" s="1"/>
  <c r="Z93" i="12" s="1"/>
  <c r="CA34" i="4"/>
  <c r="CF34" i="4"/>
  <c r="CG34" i="4" s="1"/>
  <c r="CH34" i="4" s="1"/>
  <c r="CI34" i="4"/>
  <c r="CJ34" i="4" s="1"/>
  <c r="CK34" i="4" s="1"/>
  <c r="CQ34" i="4"/>
  <c r="CR34" i="4"/>
  <c r="U35" i="4"/>
  <c r="B22" i="12" s="1"/>
  <c r="X35" i="4"/>
  <c r="D22" i="12" s="1"/>
  <c r="AA35" i="4"/>
  <c r="F22" i="12" s="1"/>
  <c r="AD35" i="4"/>
  <c r="AM35" i="4"/>
  <c r="AN35" i="4" l="1"/>
  <c r="AO35" i="4" s="1"/>
  <c r="CD34" i="4"/>
  <c r="CL34" i="4" s="1"/>
  <c r="AL93" i="12"/>
  <c r="L93" i="12"/>
  <c r="AP35" i="4"/>
  <c r="BT35" i="4"/>
  <c r="BR35" i="4"/>
  <c r="AD11" i="23" l="1"/>
  <c r="AF11" i="23" s="1"/>
  <c r="AD94" i="12"/>
  <c r="AH94" i="12" s="1"/>
  <c r="D94" i="12"/>
  <c r="X94" i="12" s="1"/>
  <c r="BU35" i="4"/>
  <c r="AE94" i="12" s="1"/>
  <c r="BV35" i="4"/>
  <c r="E94" i="12" s="1"/>
  <c r="Y94" i="12" s="1"/>
  <c r="AI94" i="12" s="1"/>
  <c r="J94" i="12" s="1"/>
  <c r="BX35" i="4"/>
  <c r="BY35" i="4"/>
  <c r="CB35" i="4"/>
  <c r="BS35" i="4"/>
  <c r="CC35" i="4"/>
  <c r="BZ35" i="4" l="1"/>
  <c r="K94" i="12"/>
  <c r="CA35" i="4"/>
  <c r="BW35" i="4"/>
  <c r="F94" i="12" s="1"/>
  <c r="Z94" i="12" s="1"/>
  <c r="CF35" i="4"/>
  <c r="CG35" i="4" s="1"/>
  <c r="CH35" i="4" s="1"/>
  <c r="CI35" i="4"/>
  <c r="CJ35" i="4" s="1"/>
  <c r="CK35" i="4" s="1"/>
  <c r="CQ35" i="4"/>
  <c r="CR35" i="4"/>
  <c r="U36" i="4"/>
  <c r="B23" i="12" s="1"/>
  <c r="X36" i="4"/>
  <c r="D23" i="12" s="1"/>
  <c r="AA36" i="4"/>
  <c r="F23" i="12" s="1"/>
  <c r="AD36" i="4"/>
  <c r="AM36" i="4"/>
  <c r="AN36" i="4" l="1"/>
  <c r="AO36" i="4" s="1"/>
  <c r="CD35" i="4"/>
  <c r="CL35" i="4" s="1"/>
  <c r="L94" i="12"/>
  <c r="AL94" i="12"/>
  <c r="AP36" i="4"/>
  <c r="BR36" i="4"/>
  <c r="BT36" i="4"/>
  <c r="AD95" i="12" l="1"/>
  <c r="AH95" i="12" s="1"/>
  <c r="D95" i="12"/>
  <c r="X95" i="12" s="1"/>
  <c r="BU36" i="4"/>
  <c r="AE95" i="12" s="1"/>
  <c r="BV36" i="4"/>
  <c r="E95" i="12" s="1"/>
  <c r="Y95" i="12" s="1"/>
  <c r="BX36" i="4"/>
  <c r="BY36" i="4"/>
  <c r="CB36" i="4"/>
  <c r="CC36" i="4"/>
  <c r="BS36" i="4"/>
  <c r="BZ36" i="4" l="1"/>
  <c r="K95" i="12"/>
  <c r="BW36" i="4"/>
  <c r="F95" i="12" s="1"/>
  <c r="Z95" i="12" s="1"/>
  <c r="AI95" i="12"/>
  <c r="J95" i="12" s="1"/>
  <c r="CA36" i="4"/>
  <c r="CF36" i="4"/>
  <c r="CG36" i="4" s="1"/>
  <c r="CH36" i="4" s="1"/>
  <c r="CI36" i="4"/>
  <c r="CJ36" i="4" s="1"/>
  <c r="CK36" i="4" s="1"/>
  <c r="CQ36" i="4"/>
  <c r="CR36" i="4"/>
  <c r="F37" i="4"/>
  <c r="U37" i="4"/>
  <c r="B24" i="12" s="1"/>
  <c r="X37" i="4"/>
  <c r="D24" i="12" s="1"/>
  <c r="AA37" i="4"/>
  <c r="F24" i="12" s="1"/>
  <c r="AD37" i="4"/>
  <c r="AM37" i="4"/>
  <c r="AN37" i="4" l="1"/>
  <c r="AO37" i="4" s="1"/>
  <c r="L95" i="12"/>
  <c r="AL95" i="12"/>
  <c r="CD36" i="4"/>
  <c r="CL36" i="4" s="1"/>
  <c r="AP37" i="4"/>
  <c r="BT37" i="4"/>
  <c r="BR37" i="4"/>
  <c r="AD96" i="12" l="1"/>
  <c r="AH96" i="12" s="1"/>
  <c r="D96" i="12"/>
  <c r="X96" i="12" s="1"/>
  <c r="BU37" i="4"/>
  <c r="AE96" i="12" s="1"/>
  <c r="BV37" i="4"/>
  <c r="E96" i="12" s="1"/>
  <c r="Y96" i="12" s="1"/>
  <c r="AI96" i="12" s="1"/>
  <c r="J96" i="12" s="1"/>
  <c r="BX37" i="4"/>
  <c r="BY37" i="4"/>
  <c r="CB37" i="4"/>
  <c r="CC37" i="4"/>
  <c r="BS37" i="4"/>
  <c r="BZ37" i="4" l="1"/>
  <c r="K96" i="12"/>
  <c r="CA37" i="4"/>
  <c r="BW37" i="4"/>
  <c r="F96" i="12" s="1"/>
  <c r="Z96" i="12" s="1"/>
  <c r="CF37" i="4"/>
  <c r="CG37" i="4" s="1"/>
  <c r="CH37" i="4" s="1"/>
  <c r="CI37" i="4"/>
  <c r="CJ37" i="4" s="1"/>
  <c r="CK37" i="4" s="1"/>
  <c r="CQ37" i="4"/>
  <c r="CR37" i="4"/>
  <c r="C38" i="4"/>
  <c r="D38" i="4"/>
  <c r="E38" i="4"/>
  <c r="F38" i="4"/>
  <c r="H38" i="4" s="1"/>
  <c r="U38" i="4"/>
  <c r="B25" i="12" s="1"/>
  <c r="X38" i="4"/>
  <c r="D25" i="12" s="1"/>
  <c r="AA38" i="4"/>
  <c r="F25" i="12" s="1"/>
  <c r="AD38" i="4"/>
  <c r="AM38" i="4"/>
  <c r="AN38" i="4" l="1"/>
  <c r="AO38" i="4" s="1"/>
  <c r="G38" i="4"/>
  <c r="I38" i="4" s="1"/>
  <c r="CD37" i="4"/>
  <c r="CL37" i="4" s="1"/>
  <c r="L96" i="12"/>
  <c r="AL96" i="12"/>
  <c r="AP38" i="4"/>
  <c r="BT38" i="4"/>
  <c r="BR38" i="4"/>
  <c r="AD97" i="12" l="1"/>
  <c r="AH97" i="12" s="1"/>
  <c r="D97" i="12"/>
  <c r="X97" i="12" s="1"/>
  <c r="BU38" i="4"/>
  <c r="AE97" i="12" s="1"/>
  <c r="BV38" i="4"/>
  <c r="E97" i="12" s="1"/>
  <c r="Y97" i="12" s="1"/>
  <c r="AI97" i="12" s="1"/>
  <c r="J97" i="12" s="1"/>
  <c r="BX38" i="4"/>
  <c r="BY38" i="4"/>
  <c r="CB38" i="4"/>
  <c r="CC38" i="4"/>
  <c r="BS38" i="4"/>
  <c r="BZ38" i="4" l="1"/>
  <c r="K97" i="12"/>
  <c r="CA38" i="4"/>
  <c r="BW38" i="4"/>
  <c r="F97" i="12" s="1"/>
  <c r="Z97" i="12" s="1"/>
  <c r="CF38" i="4"/>
  <c r="CG38" i="4" s="1"/>
  <c r="CH38" i="4" s="1"/>
  <c r="CI38" i="4"/>
  <c r="CJ38" i="4" s="1"/>
  <c r="CK38" i="4" s="1"/>
  <c r="CQ38" i="4"/>
  <c r="CR38" i="4"/>
  <c r="C39" i="4"/>
  <c r="D39" i="4"/>
  <c r="E39" i="4"/>
  <c r="F39" i="4"/>
  <c r="H39" i="4" s="1"/>
  <c r="U39" i="4"/>
  <c r="B26" i="12" s="1"/>
  <c r="X39" i="4"/>
  <c r="D26" i="12" s="1"/>
  <c r="AA39" i="4"/>
  <c r="F26" i="12" s="1"/>
  <c r="AD39" i="4"/>
  <c r="AM39" i="4"/>
  <c r="AN39" i="4" l="1"/>
  <c r="AO39" i="4" s="1"/>
  <c r="CD38" i="4"/>
  <c r="CL38" i="4" s="1"/>
  <c r="G39" i="4"/>
  <c r="I39" i="4" s="1"/>
  <c r="AL97" i="12"/>
  <c r="L97" i="12"/>
  <c r="AP39" i="4"/>
  <c r="BR39" i="4"/>
  <c r="BT39" i="4"/>
  <c r="AD98" i="12" l="1"/>
  <c r="AH98" i="12" s="1"/>
  <c r="D98" i="12"/>
  <c r="X98" i="12" s="1"/>
  <c r="BU39" i="4"/>
  <c r="AE98" i="12" s="1"/>
  <c r="BV39" i="4"/>
  <c r="E98" i="12" s="1"/>
  <c r="Y98" i="12" s="1"/>
  <c r="AI98" i="12" s="1"/>
  <c r="J98" i="12" s="1"/>
  <c r="BX39" i="4"/>
  <c r="BY39" i="4"/>
  <c r="CB39" i="4"/>
  <c r="CC39" i="4"/>
  <c r="BS39" i="4"/>
  <c r="BZ39" i="4" l="1"/>
  <c r="K98" i="12"/>
  <c r="BW39" i="4"/>
  <c r="F98" i="12" s="1"/>
  <c r="Z98" i="12" s="1"/>
  <c r="CA39" i="4"/>
  <c r="CF39" i="4"/>
  <c r="CG39" i="4" s="1"/>
  <c r="CH39" i="4" s="1"/>
  <c r="CI39" i="4"/>
  <c r="CJ39" i="4" s="1"/>
  <c r="CK39" i="4" s="1"/>
  <c r="CQ39" i="4"/>
  <c r="CR39" i="4"/>
  <c r="C40" i="4"/>
  <c r="D40" i="4"/>
  <c r="E40" i="4"/>
  <c r="F40" i="4"/>
  <c r="H40" i="4" s="1"/>
  <c r="U40" i="4"/>
  <c r="B27" i="12" s="1"/>
  <c r="X40" i="4"/>
  <c r="D27" i="12" s="1"/>
  <c r="AA40" i="4"/>
  <c r="F27" i="12" s="1"/>
  <c r="AD40" i="4"/>
  <c r="AM40" i="4"/>
  <c r="AN40" i="4" l="1"/>
  <c r="AO40" i="4" s="1"/>
  <c r="G40" i="4"/>
  <c r="I40" i="4" s="1"/>
  <c r="CD39" i="4"/>
  <c r="CL39" i="4" s="1"/>
  <c r="AL98" i="12"/>
  <c r="L98" i="12"/>
  <c r="AP40" i="4"/>
  <c r="BR40" i="4"/>
  <c r="BT40" i="4"/>
  <c r="AD12" i="23" l="1"/>
  <c r="AF12" i="23" s="1"/>
  <c r="AD99" i="12"/>
  <c r="AH99" i="12" s="1"/>
  <c r="D99" i="12"/>
  <c r="X99" i="12" s="1"/>
  <c r="BU40" i="4"/>
  <c r="AE99" i="12" s="1"/>
  <c r="BV40" i="4"/>
  <c r="E99" i="12" s="1"/>
  <c r="Y99" i="12" s="1"/>
  <c r="AI99" i="12" s="1"/>
  <c r="J99" i="12" s="1"/>
  <c r="BX40" i="4"/>
  <c r="BY40" i="4"/>
  <c r="CB40" i="4"/>
  <c r="BS40" i="4"/>
  <c r="CC40" i="4"/>
  <c r="BZ40" i="4" l="1"/>
  <c r="K99" i="12"/>
  <c r="BW40" i="4"/>
  <c r="F99" i="12" s="1"/>
  <c r="Z99" i="12" s="1"/>
  <c r="CA40" i="4"/>
  <c r="CF40" i="4"/>
  <c r="CG40" i="4" s="1"/>
  <c r="CH40" i="4" s="1"/>
  <c r="CI40" i="4"/>
  <c r="CJ40" i="4" s="1"/>
  <c r="CK40" i="4" s="1"/>
  <c r="CQ40" i="4"/>
  <c r="CR40" i="4"/>
  <c r="C41" i="4"/>
  <c r="D41" i="4"/>
  <c r="E41" i="4"/>
  <c r="F41" i="4"/>
  <c r="H41" i="4" s="1"/>
  <c r="U41" i="4"/>
  <c r="B28" i="12" s="1"/>
  <c r="X41" i="4"/>
  <c r="D28" i="12" s="1"/>
  <c r="AA41" i="4"/>
  <c r="F28" i="12" s="1"/>
  <c r="AD41" i="4"/>
  <c r="AM41" i="4"/>
  <c r="AN41" i="4" l="1"/>
  <c r="AO41" i="4" s="1"/>
  <c r="G41" i="4"/>
  <c r="I41" i="4" s="1"/>
  <c r="CD40" i="4"/>
  <c r="CL40" i="4" s="1"/>
  <c r="L99" i="12"/>
  <c r="AL99" i="12"/>
  <c r="AP41" i="4"/>
  <c r="BR41" i="4"/>
  <c r="BT41" i="4"/>
  <c r="AD100" i="12" l="1"/>
  <c r="AH100" i="12" s="1"/>
  <c r="D100" i="12"/>
  <c r="X100" i="12" s="1"/>
  <c r="BU41" i="4"/>
  <c r="AE100" i="12" s="1"/>
  <c r="BV41" i="4"/>
  <c r="E100" i="12" s="1"/>
  <c r="Y100" i="12" s="1"/>
  <c r="AI100" i="12" s="1"/>
  <c r="J100" i="12" s="1"/>
  <c r="BX41" i="4"/>
  <c r="BY41" i="4"/>
  <c r="CB41" i="4"/>
  <c r="BS41" i="4"/>
  <c r="CC41" i="4"/>
  <c r="BZ41" i="4" l="1"/>
  <c r="K100" i="12"/>
  <c r="BW41" i="4"/>
  <c r="F100" i="12" s="1"/>
  <c r="Z100" i="12" s="1"/>
  <c r="CA41" i="4"/>
  <c r="CF41" i="4"/>
  <c r="CG41" i="4" s="1"/>
  <c r="CH41" i="4" s="1"/>
  <c r="CI41" i="4"/>
  <c r="CJ41" i="4" s="1"/>
  <c r="CK41" i="4" s="1"/>
  <c r="CQ41" i="4"/>
  <c r="CR41" i="4"/>
  <c r="U42" i="4"/>
  <c r="B29" i="12" s="1"/>
  <c r="X42" i="4"/>
  <c r="D29" i="12" s="1"/>
  <c r="AA42" i="4"/>
  <c r="F29" i="12" s="1"/>
  <c r="AD42" i="4"/>
  <c r="AM42" i="4"/>
  <c r="AN42" i="4" l="1"/>
  <c r="AO42" i="4" s="1"/>
  <c r="CD41" i="4"/>
  <c r="CL41" i="4" s="1"/>
  <c r="L100" i="12"/>
  <c r="AL100" i="12"/>
  <c r="AP42" i="4"/>
  <c r="BR42" i="4"/>
  <c r="BT42" i="4"/>
  <c r="AD101" i="12" l="1"/>
  <c r="AH101" i="12" s="1"/>
  <c r="D101" i="12"/>
  <c r="X101" i="12" s="1"/>
  <c r="BU42" i="4"/>
  <c r="AE101" i="12" s="1"/>
  <c r="BV42" i="4"/>
  <c r="E101" i="12" s="1"/>
  <c r="Y101" i="12" s="1"/>
  <c r="BX42" i="4"/>
  <c r="BY42" i="4"/>
  <c r="CB42" i="4"/>
  <c r="CC42" i="4"/>
  <c r="BS42" i="4"/>
  <c r="BZ42" i="4" l="1"/>
  <c r="K101" i="12"/>
  <c r="BW42" i="4"/>
  <c r="F101" i="12" s="1"/>
  <c r="Z101" i="12" s="1"/>
  <c r="AI101" i="12"/>
  <c r="J101" i="12" s="1"/>
  <c r="CA42" i="4"/>
  <c r="CF42" i="4"/>
  <c r="CG42" i="4" s="1"/>
  <c r="CH42" i="4" s="1"/>
  <c r="CI42" i="4"/>
  <c r="CJ42" i="4" s="1"/>
  <c r="CK42" i="4" s="1"/>
  <c r="CQ42" i="4"/>
  <c r="CR42" i="4"/>
  <c r="U43" i="4"/>
  <c r="B30" i="12" s="1"/>
  <c r="X43" i="4"/>
  <c r="D30" i="12" s="1"/>
  <c r="AA43" i="4"/>
  <c r="F30" i="12" s="1"/>
  <c r="AD43" i="4"/>
  <c r="AM43" i="4"/>
  <c r="AN43" i="4" l="1"/>
  <c r="AO43" i="4" s="1"/>
  <c r="CD42" i="4"/>
  <c r="CL42" i="4" s="1"/>
  <c r="L101" i="12"/>
  <c r="AL101" i="12"/>
  <c r="AP43" i="4"/>
  <c r="CQ43" i="4"/>
  <c r="CR43" i="4"/>
  <c r="U44" i="4"/>
  <c r="B31" i="12" s="1"/>
  <c r="X44" i="4"/>
  <c r="D31" i="12" s="1"/>
  <c r="AA44" i="4"/>
  <c r="F31" i="12" s="1"/>
  <c r="AD44" i="4"/>
  <c r="AP44" i="4"/>
  <c r="CQ44" i="4"/>
  <c r="CR44" i="4"/>
  <c r="U45" i="4"/>
  <c r="B32" i="12" s="1"/>
  <c r="X45" i="4"/>
  <c r="D32" i="12" s="1"/>
  <c r="AA45" i="4"/>
  <c r="F32" i="12" s="1"/>
  <c r="AD45" i="4"/>
  <c r="AM45" i="4"/>
  <c r="AM44" i="4"/>
  <c r="AN45" i="4" l="1"/>
  <c r="AO45" i="4" s="1"/>
  <c r="AN44" i="4"/>
  <c r="AO44" i="4" s="1"/>
  <c r="G86" i="27"/>
  <c r="G92" i="27"/>
  <c r="W88" i="27" s="1"/>
  <c r="X88" i="27" s="1"/>
  <c r="AP45" i="4"/>
  <c r="U46" i="4"/>
  <c r="B33" i="12" s="1"/>
  <c r="X46" i="4"/>
  <c r="D33" i="12" s="1"/>
  <c r="AA46" i="4"/>
  <c r="F33" i="12" s="1"/>
  <c r="AD46" i="4"/>
  <c r="AM46" i="4"/>
  <c r="AD13" i="23" l="1"/>
  <c r="AF13" i="23" s="1"/>
  <c r="AA88" i="27"/>
  <c r="N92" i="27" s="1"/>
  <c r="O92" i="27" s="1"/>
  <c r="AB88" i="27"/>
  <c r="P92" i="27" s="1"/>
  <c r="Q92" i="27" s="1"/>
  <c r="AN46" i="4"/>
  <c r="AO46" i="4" s="1"/>
  <c r="X86" i="27"/>
  <c r="W86" i="27"/>
  <c r="AP46" i="4"/>
  <c r="AM47" i="4"/>
  <c r="AA86" i="27" l="1"/>
  <c r="N86" i="27" s="1"/>
  <c r="AB86" i="27"/>
  <c r="P86" i="27" s="1"/>
  <c r="AN47" i="4"/>
  <c r="AO47" i="4" s="1"/>
  <c r="AP47" i="4"/>
  <c r="AM48" i="4"/>
  <c r="Q86" i="27" l="1"/>
  <c r="P87" i="27"/>
  <c r="X95" i="27" s="1"/>
  <c r="O86" i="27"/>
  <c r="N87" i="27"/>
  <c r="X94" i="27" s="1"/>
  <c r="AN48" i="4"/>
  <c r="AO48" i="4" s="1"/>
  <c r="Z94" i="27"/>
  <c r="Z95" i="27"/>
  <c r="AP48" i="4"/>
  <c r="AP49" i="4"/>
  <c r="AP50" i="4"/>
  <c r="AM49" i="4"/>
  <c r="AX50" i="4"/>
  <c r="AM51" i="4"/>
  <c r="AM50" i="4"/>
  <c r="AN51" i="4" l="1"/>
  <c r="AO51" i="4" s="1"/>
  <c r="AN50" i="4"/>
  <c r="AO50" i="4" s="1"/>
  <c r="AN49" i="4"/>
  <c r="AO49" i="4" s="1"/>
  <c r="AP51" i="4"/>
  <c r="AP52" i="4"/>
  <c r="AP53" i="4"/>
  <c r="AP54" i="4"/>
  <c r="AP55" i="4"/>
  <c r="AX52" i="4"/>
  <c r="AM53" i="4"/>
  <c r="AM54" i="4"/>
  <c r="AX51" i="4"/>
  <c r="AX55" i="4"/>
  <c r="AM56" i="4"/>
  <c r="AX53" i="4"/>
  <c r="AX54" i="4"/>
  <c r="AM55" i="4"/>
  <c r="AM52" i="4"/>
  <c r="AD14" i="23" l="1"/>
  <c r="AF14" i="23" s="1"/>
  <c r="AN56" i="4"/>
  <c r="AO56" i="4" s="1"/>
  <c r="AN54" i="4"/>
  <c r="AO54" i="4" s="1"/>
  <c r="AN52" i="4"/>
  <c r="AO52" i="4" s="1"/>
  <c r="AN55" i="4"/>
  <c r="AO55" i="4" s="1"/>
  <c r="AN53" i="4"/>
  <c r="AO53" i="4" s="1"/>
  <c r="AP56" i="4"/>
  <c r="AP57" i="4"/>
  <c r="AP58" i="4"/>
  <c r="AP59" i="4"/>
  <c r="AP60" i="4"/>
  <c r="AP61" i="4"/>
  <c r="AP62" i="4"/>
  <c r="AP63" i="4"/>
  <c r="AP64" i="4"/>
  <c r="AP65" i="4"/>
  <c r="AX56" i="4"/>
  <c r="AM64" i="4"/>
  <c r="AX61" i="4"/>
  <c r="AX58" i="4"/>
  <c r="AX62" i="4"/>
  <c r="AM57" i="4"/>
  <c r="AX57" i="4"/>
  <c r="AM63" i="4"/>
  <c r="AM65" i="4"/>
  <c r="AX63" i="4"/>
  <c r="AM58" i="4"/>
  <c r="AX60" i="4"/>
  <c r="AX64" i="4"/>
  <c r="AM66" i="4"/>
  <c r="AM59" i="4"/>
  <c r="AX65" i="4"/>
  <c r="AX59" i="4"/>
  <c r="AD15" i="23" l="1"/>
  <c r="AF15" i="23" s="1"/>
  <c r="AN65" i="4"/>
  <c r="AO65" i="4" s="1"/>
  <c r="AN63" i="4"/>
  <c r="AO63" i="4" s="1"/>
  <c r="AN58" i="4"/>
  <c r="AO58" i="4" s="1"/>
  <c r="AN66" i="4"/>
  <c r="AO66" i="4" s="1"/>
  <c r="AN64" i="4"/>
  <c r="AO64" i="4" s="1"/>
  <c r="AN59" i="4"/>
  <c r="AO59" i="4" s="1"/>
  <c r="AN57" i="4"/>
  <c r="AO57" i="4" s="1"/>
  <c r="AP66" i="4"/>
  <c r="AP67" i="4"/>
  <c r="AP68" i="4"/>
  <c r="AP69" i="4"/>
  <c r="AP70" i="4"/>
  <c r="AX69" i="4"/>
  <c r="AX70" i="4"/>
  <c r="AX68" i="4"/>
  <c r="AM67" i="4"/>
  <c r="AM69" i="4"/>
  <c r="AM68" i="4"/>
  <c r="AX66" i="4"/>
  <c r="AM70" i="4"/>
  <c r="AX67" i="4"/>
  <c r="AM71" i="4"/>
  <c r="AD17" i="23" l="1"/>
  <c r="AF17" i="23" s="1"/>
  <c r="AN71" i="4"/>
  <c r="AO71" i="4" s="1"/>
  <c r="AN69" i="4"/>
  <c r="AO69" i="4" s="1"/>
  <c r="AN67" i="4"/>
  <c r="AO67" i="4" s="1"/>
  <c r="AN70" i="4"/>
  <c r="AO70" i="4" s="1"/>
  <c r="AN68" i="4"/>
  <c r="AO68" i="4" s="1"/>
  <c r="AP71" i="4"/>
  <c r="AP72" i="4"/>
  <c r="AP73" i="4"/>
  <c r="AP74" i="4"/>
  <c r="AP75" i="4"/>
  <c r="AX75" i="4"/>
  <c r="AX72" i="4"/>
  <c r="AC107" i="23"/>
  <c r="AM75" i="4"/>
  <c r="AM76" i="4"/>
  <c r="AM72" i="4"/>
  <c r="AM73" i="4"/>
  <c r="AM74" i="4"/>
  <c r="AX71" i="4"/>
  <c r="AX73" i="4"/>
  <c r="AX74" i="4"/>
  <c r="AD18" i="23" l="1"/>
  <c r="AF18" i="23" s="1"/>
  <c r="O48" i="23"/>
  <c r="AC124" i="23"/>
  <c r="O65" i="23" s="1"/>
  <c r="AN75" i="4"/>
  <c r="AO75" i="4" s="1"/>
  <c r="AN73" i="4"/>
  <c r="AO73" i="4" s="1"/>
  <c r="AN76" i="4"/>
  <c r="AO76" i="4" s="1"/>
  <c r="AN74" i="4"/>
  <c r="AO74" i="4" s="1"/>
  <c r="AN72" i="4"/>
  <c r="AO72" i="4" s="1"/>
  <c r="AP76" i="4"/>
  <c r="AP77" i="4"/>
  <c r="AP78" i="4"/>
  <c r="AP79" i="4"/>
  <c r="AP80" i="4"/>
  <c r="AM80" i="4"/>
  <c r="AM78" i="4"/>
  <c r="AM81" i="4"/>
  <c r="AX78" i="4"/>
  <c r="AX79" i="4"/>
  <c r="AM77" i="4"/>
  <c r="AM79" i="4"/>
  <c r="AX77" i="4"/>
  <c r="AX76" i="4"/>
  <c r="AX80" i="4"/>
  <c r="AD19" i="23" l="1"/>
  <c r="AF19" i="23" s="1"/>
  <c r="AN80" i="4"/>
  <c r="AO80" i="4" s="1"/>
  <c r="AN78" i="4"/>
  <c r="AO78" i="4" s="1"/>
  <c r="AN81" i="4"/>
  <c r="AO81" i="4" s="1"/>
  <c r="AN79" i="4"/>
  <c r="AO79" i="4" s="1"/>
  <c r="AN77" i="4"/>
  <c r="AO77" i="4" s="1"/>
  <c r="AP81" i="4"/>
  <c r="AP82" i="4"/>
  <c r="AP83" i="4"/>
  <c r="AP84" i="4"/>
  <c r="AP85" i="4"/>
  <c r="AX85" i="4"/>
  <c r="AX84" i="4"/>
  <c r="AM85" i="4"/>
  <c r="AX83" i="4"/>
  <c r="AM86" i="4"/>
  <c r="AM82" i="4"/>
  <c r="AM84" i="4"/>
  <c r="AX82" i="4"/>
  <c r="AM83" i="4"/>
  <c r="AX81" i="4"/>
  <c r="AD20" i="23" l="1"/>
  <c r="AF20" i="23" s="1"/>
  <c r="AN85" i="4"/>
  <c r="AO85" i="4" s="1"/>
  <c r="AN83" i="4"/>
  <c r="AO83" i="4" s="1"/>
  <c r="AN86" i="4"/>
  <c r="AO86" i="4" s="1"/>
  <c r="AN84" i="4"/>
  <c r="AO84" i="4" s="1"/>
  <c r="AN82" i="4"/>
  <c r="AO82" i="4" s="1"/>
  <c r="AP86" i="4"/>
  <c r="AP87" i="4"/>
  <c r="AP88" i="4"/>
  <c r="AP89" i="4"/>
  <c r="AP90" i="4"/>
  <c r="AP91" i="4"/>
  <c r="AP92" i="4"/>
  <c r="AP93" i="4"/>
  <c r="AP94" i="4"/>
  <c r="AP95" i="4"/>
  <c r="AM91" i="4"/>
  <c r="AX92" i="4"/>
  <c r="AM92" i="4"/>
  <c r="AM96" i="4"/>
  <c r="AX93" i="4"/>
  <c r="AM89" i="4"/>
  <c r="AM94" i="4"/>
  <c r="AX88" i="4"/>
  <c r="AM93" i="4"/>
  <c r="AX94" i="4"/>
  <c r="AM88" i="4"/>
  <c r="AM95" i="4"/>
  <c r="AX87" i="4"/>
  <c r="AX86" i="4"/>
  <c r="AX91" i="4"/>
  <c r="AX89" i="4"/>
  <c r="AX90" i="4"/>
  <c r="AX95" i="4"/>
  <c r="AM87" i="4"/>
  <c r="AD21" i="23" l="1"/>
  <c r="AF21" i="23" s="1"/>
  <c r="AN94" i="4"/>
  <c r="AO94" i="4" s="1"/>
  <c r="AN95" i="4"/>
  <c r="AO95" i="4" s="1"/>
  <c r="AN93" i="4"/>
  <c r="AO93" i="4" s="1"/>
  <c r="AN91" i="4"/>
  <c r="AO91" i="4" s="1"/>
  <c r="AN96" i="4"/>
  <c r="AO96" i="4" s="1"/>
  <c r="AN88" i="4"/>
  <c r="AO88" i="4" s="1"/>
  <c r="AN92" i="4"/>
  <c r="AO92" i="4" s="1"/>
  <c r="AN89" i="4"/>
  <c r="AO89" i="4" s="1"/>
  <c r="AN87" i="4"/>
  <c r="AO87" i="4" s="1"/>
  <c r="AP96" i="4"/>
  <c r="AP97" i="4"/>
  <c r="AP98" i="4"/>
  <c r="AP99" i="4"/>
  <c r="AP100" i="4"/>
  <c r="AX96" i="4"/>
  <c r="AX100" i="4"/>
  <c r="AM99" i="4"/>
  <c r="AX97" i="4"/>
  <c r="AM98" i="4"/>
  <c r="AX98" i="4"/>
  <c r="AM101" i="4"/>
  <c r="AM100" i="4"/>
  <c r="AM97" i="4"/>
  <c r="AX99" i="4"/>
  <c r="AD23" i="23" l="1"/>
  <c r="AF23" i="23" s="1"/>
  <c r="AN101" i="4"/>
  <c r="AO101" i="4" s="1"/>
  <c r="AN99" i="4"/>
  <c r="AO99" i="4" s="1"/>
  <c r="AN97" i="4"/>
  <c r="AO97" i="4" s="1"/>
  <c r="AN100" i="4"/>
  <c r="AO100" i="4" s="1"/>
  <c r="AN98" i="4"/>
  <c r="AO98" i="4" s="1"/>
  <c r="AP101" i="4"/>
  <c r="AP102" i="4"/>
  <c r="AP103" i="4"/>
  <c r="AP104" i="4"/>
  <c r="AP105" i="4"/>
  <c r="AM102" i="4"/>
  <c r="AX102" i="4"/>
  <c r="AM104" i="4"/>
  <c r="AM103" i="4"/>
  <c r="AX105" i="4"/>
  <c r="AM105" i="4"/>
  <c r="AD107" i="23"/>
  <c r="AX103" i="4"/>
  <c r="AX101" i="4"/>
  <c r="AM106" i="4"/>
  <c r="AX104" i="4"/>
  <c r="AD124" i="23" l="1"/>
  <c r="P65" i="23" s="1"/>
  <c r="P48" i="23"/>
  <c r="AD24" i="23"/>
  <c r="AF24" i="23" s="1"/>
  <c r="AN105" i="4"/>
  <c r="AO105" i="4" s="1"/>
  <c r="AN103" i="4"/>
  <c r="AO103" i="4" s="1"/>
  <c r="AN106" i="4"/>
  <c r="AO106" i="4" s="1"/>
  <c r="AN104" i="4"/>
  <c r="AO104" i="4" s="1"/>
  <c r="AN102" i="4"/>
  <c r="AO102" i="4" s="1"/>
  <c r="AP106" i="4"/>
  <c r="AP107" i="4"/>
  <c r="AP108" i="4"/>
  <c r="AY108" i="4"/>
  <c r="AP109" i="4"/>
  <c r="AY109" i="4"/>
  <c r="AP110" i="4"/>
  <c r="AM108" i="4"/>
  <c r="AX110" i="4"/>
  <c r="AX109" i="4"/>
  <c r="AM109" i="4"/>
  <c r="AM110" i="4"/>
  <c r="AM107" i="4"/>
  <c r="AX108" i="4"/>
  <c r="AX106" i="4"/>
  <c r="AX107" i="4"/>
  <c r="AD25" i="23" l="1"/>
  <c r="AF25" i="23" s="1"/>
  <c r="AN110" i="4"/>
  <c r="AO110" i="4" s="1"/>
  <c r="AN108" i="4"/>
  <c r="AO108" i="4" s="1"/>
  <c r="AN109" i="4"/>
  <c r="AO109" i="4" s="1"/>
  <c r="AN107" i="4"/>
  <c r="AO107" i="4" s="1"/>
  <c r="AY110" i="4"/>
  <c r="AZ110" i="4"/>
  <c r="BA110" i="4"/>
  <c r="BA111" i="4" s="1"/>
  <c r="AP111" i="4"/>
  <c r="AY111" i="4"/>
  <c r="AZ111" i="4"/>
  <c r="AP112" i="4"/>
  <c r="AY112" i="4"/>
  <c r="AZ112" i="4"/>
  <c r="AP113" i="4"/>
  <c r="AY113" i="4"/>
  <c r="AZ113" i="4"/>
  <c r="AP114" i="4"/>
  <c r="AY114" i="4"/>
  <c r="AZ114" i="4"/>
  <c r="AP115" i="4"/>
  <c r="AM112" i="4"/>
  <c r="AX113" i="4"/>
  <c r="AM114" i="4"/>
  <c r="AX111" i="4"/>
  <c r="AX114" i="4"/>
  <c r="AM113" i="4"/>
  <c r="AM115" i="4"/>
  <c r="AX112" i="4"/>
  <c r="AX115" i="4"/>
  <c r="AM111" i="4"/>
  <c r="AD26" i="23" l="1"/>
  <c r="AF26" i="23" s="1"/>
  <c r="BA112" i="4"/>
  <c r="BA113" i="4" s="1"/>
  <c r="BA114" i="4" s="1"/>
  <c r="BA115" i="4" s="1"/>
  <c r="BA116" i="4" s="1"/>
  <c r="AN112" i="4"/>
  <c r="AO112" i="4" s="1"/>
  <c r="AN113" i="4"/>
  <c r="AO113" i="4" s="1"/>
  <c r="AN114" i="4"/>
  <c r="AO114" i="4" s="1"/>
  <c r="AN115" i="4"/>
  <c r="AO115" i="4" s="1"/>
  <c r="AN111" i="4"/>
  <c r="AO111" i="4" s="1"/>
  <c r="AY115" i="4"/>
  <c r="AZ115" i="4"/>
  <c r="AP116" i="4"/>
  <c r="AY116" i="4"/>
  <c r="AZ116" i="4"/>
  <c r="AP117" i="4"/>
  <c r="AY117" i="4"/>
  <c r="AZ117" i="4"/>
  <c r="AP118" i="4"/>
  <c r="AY118" i="4"/>
  <c r="AZ118" i="4"/>
  <c r="AP119" i="4"/>
  <c r="AY119" i="4"/>
  <c r="AZ119" i="4"/>
  <c r="AP120" i="4"/>
  <c r="AY120" i="4"/>
  <c r="AZ120" i="4"/>
  <c r="AP121" i="4"/>
  <c r="AY121" i="4"/>
  <c r="AZ121" i="4"/>
  <c r="AP122" i="4"/>
  <c r="AY122" i="4"/>
  <c r="AZ122" i="4"/>
  <c r="AP123" i="4"/>
  <c r="AY123" i="4"/>
  <c r="AZ123" i="4"/>
  <c r="AP124" i="4"/>
  <c r="AY124" i="4"/>
  <c r="AZ124" i="4"/>
  <c r="AP125" i="4"/>
  <c r="AY125" i="4"/>
  <c r="AZ125" i="4"/>
  <c r="AP126" i="4"/>
  <c r="AY126" i="4"/>
  <c r="AZ126" i="4"/>
  <c r="AP127" i="4"/>
  <c r="AY127" i="4"/>
  <c r="AZ127" i="4"/>
  <c r="AP128" i="4"/>
  <c r="AY128" i="4"/>
  <c r="AZ128" i="4"/>
  <c r="AP129" i="4"/>
  <c r="AY129" i="4"/>
  <c r="AZ129" i="4"/>
  <c r="AP130" i="4"/>
  <c r="AX129" i="4"/>
  <c r="AX128" i="4"/>
  <c r="AM129" i="4"/>
  <c r="AX130" i="4"/>
  <c r="AM118" i="4"/>
  <c r="AX116" i="4"/>
  <c r="AX121" i="4"/>
  <c r="AM121" i="4"/>
  <c r="AM127" i="4"/>
  <c r="AM117" i="4"/>
  <c r="AX124" i="4"/>
  <c r="AM119" i="4"/>
  <c r="AM124" i="4"/>
  <c r="AM125" i="4"/>
  <c r="AM123" i="4"/>
  <c r="AX122" i="4"/>
  <c r="AX120" i="4"/>
  <c r="AX119" i="4"/>
  <c r="AM116" i="4"/>
  <c r="AX117" i="4"/>
  <c r="AX118" i="4"/>
  <c r="AM126" i="4"/>
  <c r="AM128" i="4"/>
  <c r="AX123" i="4"/>
  <c r="AX127" i="4"/>
  <c r="AX125" i="4"/>
  <c r="AM130" i="4"/>
  <c r="AM122" i="4"/>
  <c r="AX126" i="4"/>
  <c r="BA117" i="4" l="1"/>
  <c r="BA118" i="4" s="1"/>
  <c r="BA119" i="4" s="1"/>
  <c r="BA120" i="4" s="1"/>
  <c r="BA121" i="4" s="1"/>
  <c r="BA122" i="4" s="1"/>
  <c r="BA123" i="4" s="1"/>
  <c r="BA124" i="4" s="1"/>
  <c r="BA125" i="4" s="1"/>
  <c r="BA126" i="4" s="1"/>
  <c r="BA127" i="4" s="1"/>
  <c r="BA128" i="4" s="1"/>
  <c r="BA129" i="4" s="1"/>
  <c r="BA130" i="4" s="1"/>
  <c r="BA131" i="4" s="1"/>
  <c r="AD27" i="23"/>
  <c r="AF27" i="23" s="1"/>
  <c r="AN125" i="4"/>
  <c r="AO125" i="4" s="1"/>
  <c r="AN118" i="4"/>
  <c r="AO118" i="4" s="1"/>
  <c r="AN126" i="4"/>
  <c r="AO126" i="4" s="1"/>
  <c r="AN119" i="4"/>
  <c r="AO119" i="4" s="1"/>
  <c r="AN127" i="4"/>
  <c r="AO127" i="4" s="1"/>
  <c r="AN129" i="4"/>
  <c r="AO129" i="4" s="1"/>
  <c r="AN128" i="4"/>
  <c r="AO128" i="4" s="1"/>
  <c r="AN121" i="4"/>
  <c r="AO121" i="4" s="1"/>
  <c r="AN130" i="4"/>
  <c r="AO130" i="4" s="1"/>
  <c r="AN122" i="4"/>
  <c r="AO122" i="4" s="1"/>
  <c r="AN123" i="4"/>
  <c r="AO123" i="4" s="1"/>
  <c r="AN116" i="4"/>
  <c r="AO116" i="4" s="1"/>
  <c r="AN124" i="4"/>
  <c r="AO124" i="4" s="1"/>
  <c r="AN117" i="4"/>
  <c r="AO117" i="4" s="1"/>
  <c r="AY130" i="4"/>
  <c r="AZ130" i="4"/>
  <c r="AP131" i="4"/>
  <c r="AY131" i="4"/>
  <c r="AZ131" i="4"/>
  <c r="AP132" i="4"/>
  <c r="AY132" i="4"/>
  <c r="AZ132" i="4"/>
  <c r="AP133" i="4"/>
  <c r="AY133" i="4"/>
  <c r="AZ133" i="4"/>
  <c r="AP134" i="4"/>
  <c r="AY134" i="4"/>
  <c r="AZ134" i="4"/>
  <c r="AP135" i="4"/>
  <c r="AY135" i="4"/>
  <c r="AZ135" i="4"/>
  <c r="AP136" i="4"/>
  <c r="AY136" i="4"/>
  <c r="AZ136" i="4"/>
  <c r="AP137" i="4"/>
  <c r="AY137" i="4"/>
  <c r="AZ137" i="4"/>
  <c r="AP138" i="4"/>
  <c r="AY138" i="4"/>
  <c r="AZ138" i="4"/>
  <c r="AP139" i="4"/>
  <c r="AY139" i="4"/>
  <c r="AZ139" i="4"/>
  <c r="AP140" i="4"/>
  <c r="AM131" i="4"/>
  <c r="AX140" i="4"/>
  <c r="AX132" i="4"/>
  <c r="AX135" i="4"/>
  <c r="AM133" i="4"/>
  <c r="AM134" i="4"/>
  <c r="AX138" i="4"/>
  <c r="AM136" i="4"/>
  <c r="AM137" i="4"/>
  <c r="AX137" i="4"/>
  <c r="AM132" i="4"/>
  <c r="AM139" i="4"/>
  <c r="AM138" i="4"/>
  <c r="AX131" i="4"/>
  <c r="AM135" i="4"/>
  <c r="AM140" i="4"/>
  <c r="AX133" i="4"/>
  <c r="AX136" i="4"/>
  <c r="AX139" i="4"/>
  <c r="AX134" i="4"/>
  <c r="AD29" i="23" l="1"/>
  <c r="AF29" i="23" s="1"/>
  <c r="BA132" i="4"/>
  <c r="BA133" i="4" s="1"/>
  <c r="BA134" i="4" s="1"/>
  <c r="BA135" i="4" s="1"/>
  <c r="BA136" i="4" s="1"/>
  <c r="BA137" i="4" s="1"/>
  <c r="BA138" i="4" s="1"/>
  <c r="BA139" i="4" s="1"/>
  <c r="BA140" i="4" s="1"/>
  <c r="BA141" i="4" s="1"/>
  <c r="AN137" i="4"/>
  <c r="AO137" i="4" s="1"/>
  <c r="AN138" i="4"/>
  <c r="AO138" i="4" s="1"/>
  <c r="AN131" i="4"/>
  <c r="AO131" i="4" s="1"/>
  <c r="AN132" i="4"/>
  <c r="AO132" i="4" s="1"/>
  <c r="AN139" i="4"/>
  <c r="AO139" i="4" s="1"/>
  <c r="AN133" i="4"/>
  <c r="AO133" i="4" s="1"/>
  <c r="AN140" i="4"/>
  <c r="AO140" i="4" s="1"/>
  <c r="AN134" i="4"/>
  <c r="AO134" i="4" s="1"/>
  <c r="AN135" i="4"/>
  <c r="AO135" i="4" s="1"/>
  <c r="AN136" i="4"/>
  <c r="AO136" i="4" s="1"/>
  <c r="AY140" i="4"/>
  <c r="AZ140" i="4"/>
  <c r="AP141" i="4"/>
  <c r="AY141" i="4"/>
  <c r="AZ141" i="4"/>
  <c r="AP142" i="4"/>
  <c r="AY142" i="4"/>
  <c r="AZ142" i="4"/>
  <c r="AP143" i="4"/>
  <c r="AY143" i="4"/>
  <c r="AZ143" i="4"/>
  <c r="AP144" i="4"/>
  <c r="AY144" i="4"/>
  <c r="AZ144" i="4"/>
  <c r="AP145" i="4"/>
  <c r="AY145" i="4"/>
  <c r="AZ145" i="4"/>
  <c r="AP146" i="4"/>
  <c r="AY146" i="4"/>
  <c r="AZ146" i="4"/>
  <c r="AP147" i="4"/>
  <c r="AY147" i="4"/>
  <c r="AZ147" i="4"/>
  <c r="AP148" i="4"/>
  <c r="AY148" i="4"/>
  <c r="AZ148" i="4"/>
  <c r="AP149" i="4"/>
  <c r="AY149" i="4"/>
  <c r="AZ149" i="4"/>
  <c r="AP150" i="4"/>
  <c r="AY150" i="4"/>
  <c r="AZ150" i="4"/>
  <c r="AP151" i="4"/>
  <c r="AY151" i="4"/>
  <c r="AZ151" i="4"/>
  <c r="AP152" i="4"/>
  <c r="AY152" i="4"/>
  <c r="AZ152" i="4"/>
  <c r="AP153" i="4"/>
  <c r="AY153" i="4"/>
  <c r="AZ153" i="4"/>
  <c r="AP154" i="4"/>
  <c r="AY154" i="4"/>
  <c r="AZ154" i="4"/>
  <c r="AP155" i="4"/>
  <c r="AY155" i="4"/>
  <c r="AZ155" i="4"/>
  <c r="AP156" i="4"/>
  <c r="AY156" i="4"/>
  <c r="AZ156" i="4"/>
  <c r="AP157" i="4"/>
  <c r="AY157" i="4"/>
  <c r="AZ157" i="4"/>
  <c r="AP158" i="4"/>
  <c r="AY158" i="4"/>
  <c r="AZ158" i="4"/>
  <c r="AP159" i="4"/>
  <c r="AY159" i="4"/>
  <c r="AZ159" i="4"/>
  <c r="AP160" i="4"/>
  <c r="AC108" i="23"/>
  <c r="AX158" i="4"/>
  <c r="AX144" i="4"/>
  <c r="AM153" i="4"/>
  <c r="AX156" i="4"/>
  <c r="AX150" i="4"/>
  <c r="AM142" i="4"/>
  <c r="AM146" i="4"/>
  <c r="AM145" i="4"/>
  <c r="AX154" i="4"/>
  <c r="AM151" i="4"/>
  <c r="AX142" i="4"/>
  <c r="AX157" i="4"/>
  <c r="AX152" i="4"/>
  <c r="AM156" i="4"/>
  <c r="AM160" i="4"/>
  <c r="AM159" i="4"/>
  <c r="AX147" i="4"/>
  <c r="AM155" i="4"/>
  <c r="AX153" i="4"/>
  <c r="AX145" i="4"/>
  <c r="AM147" i="4"/>
  <c r="AX141" i="4"/>
  <c r="AM143" i="4"/>
  <c r="AX143" i="4"/>
  <c r="AM158" i="4"/>
  <c r="AX148" i="4"/>
  <c r="AX149" i="4"/>
  <c r="AM149" i="4"/>
  <c r="AM144" i="4"/>
  <c r="AX151" i="4"/>
  <c r="AM148" i="4"/>
  <c r="AM141" i="4"/>
  <c r="AX155" i="4"/>
  <c r="AX146" i="4"/>
  <c r="AM157" i="4"/>
  <c r="AX160" i="4"/>
  <c r="AM154" i="4"/>
  <c r="AX159" i="4"/>
  <c r="O49" i="23" l="1"/>
  <c r="AC125" i="23"/>
  <c r="O66" i="23" s="1"/>
  <c r="BA142" i="4"/>
  <c r="BA143" i="4" s="1"/>
  <c r="BA144" i="4" s="1"/>
  <c r="BA145" i="4" s="1"/>
  <c r="BA146" i="4" s="1"/>
  <c r="BA147" i="4" s="1"/>
  <c r="BA148" i="4" s="1"/>
  <c r="BA149" i="4" s="1"/>
  <c r="BA150" i="4" s="1"/>
  <c r="BA151" i="4" s="1"/>
  <c r="BA152" i="4" s="1"/>
  <c r="BA153" i="4" s="1"/>
  <c r="BA154" i="4" s="1"/>
  <c r="BA155" i="4" s="1"/>
  <c r="BA156" i="4" s="1"/>
  <c r="BA157" i="4" s="1"/>
  <c r="BA158" i="4" s="1"/>
  <c r="BA159" i="4" s="1"/>
  <c r="BA160" i="4" s="1"/>
  <c r="BA161" i="4" s="1"/>
  <c r="AD30" i="23"/>
  <c r="AF30" i="23" s="1"/>
  <c r="AN155" i="4"/>
  <c r="AO155" i="4" s="1"/>
  <c r="AN149" i="4"/>
  <c r="AO149" i="4" s="1"/>
  <c r="AN141" i="4"/>
  <c r="AO141" i="4" s="1"/>
  <c r="AN156" i="4"/>
  <c r="AO156" i="4" s="1"/>
  <c r="AN142" i="4"/>
  <c r="AO142" i="4" s="1"/>
  <c r="AN154" i="4"/>
  <c r="AO154" i="4" s="1"/>
  <c r="AN157" i="4"/>
  <c r="AO157" i="4" s="1"/>
  <c r="AN143" i="4"/>
  <c r="AO143" i="4" s="1"/>
  <c r="AN144" i="4"/>
  <c r="AO144" i="4" s="1"/>
  <c r="AN158" i="4"/>
  <c r="AO158" i="4" s="1"/>
  <c r="AN159" i="4"/>
  <c r="AO159" i="4" s="1"/>
  <c r="AN145" i="4"/>
  <c r="AO145" i="4" s="1"/>
  <c r="AN146" i="4"/>
  <c r="AO146" i="4" s="1"/>
  <c r="AN148" i="4"/>
  <c r="AO148" i="4" s="1"/>
  <c r="AN151" i="4"/>
  <c r="AO151" i="4" s="1"/>
  <c r="AN160" i="4"/>
  <c r="AO160" i="4" s="1"/>
  <c r="AN153" i="4"/>
  <c r="AO153" i="4" s="1"/>
  <c r="AN147" i="4"/>
  <c r="AO147" i="4" s="1"/>
  <c r="AY160" i="4"/>
  <c r="AZ160" i="4"/>
  <c r="AP161" i="4"/>
  <c r="AY161" i="4"/>
  <c r="AZ161" i="4"/>
  <c r="AP162" i="4"/>
  <c r="AY162" i="4"/>
  <c r="AZ162" i="4"/>
  <c r="AP163" i="4"/>
  <c r="AY163" i="4"/>
  <c r="AZ163" i="4"/>
  <c r="AP164" i="4"/>
  <c r="AY164" i="4"/>
  <c r="AZ164" i="4"/>
  <c r="AP165" i="4"/>
  <c r="AY165" i="4"/>
  <c r="AZ165" i="4"/>
  <c r="AP166" i="4"/>
  <c r="AY166" i="4"/>
  <c r="AZ166" i="4"/>
  <c r="AP167" i="4"/>
  <c r="AY167" i="4"/>
  <c r="AZ167" i="4"/>
  <c r="AP168" i="4"/>
  <c r="AY168" i="4"/>
  <c r="AZ168" i="4"/>
  <c r="AP169" i="4"/>
  <c r="AY169" i="4"/>
  <c r="AZ169" i="4"/>
  <c r="AP170" i="4"/>
  <c r="AX165" i="4"/>
  <c r="AM167" i="4"/>
  <c r="AM161" i="4"/>
  <c r="AM165" i="4"/>
  <c r="AM164" i="4"/>
  <c r="AM170" i="4"/>
  <c r="AX170" i="4"/>
  <c r="AM163" i="4"/>
  <c r="AM166" i="4"/>
  <c r="AX166" i="4"/>
  <c r="AX167" i="4"/>
  <c r="AX168" i="4"/>
  <c r="AM169" i="4"/>
  <c r="AX169" i="4"/>
  <c r="AM168" i="4"/>
  <c r="AX163" i="4"/>
  <c r="AX162" i="4"/>
  <c r="AM162" i="4"/>
  <c r="AX161" i="4"/>
  <c r="AX164" i="4"/>
  <c r="AD32" i="23" l="1"/>
  <c r="AF32" i="23" s="1"/>
  <c r="BA162" i="4"/>
  <c r="BA163" i="4" s="1"/>
  <c r="BA164" i="4" s="1"/>
  <c r="BA165" i="4" s="1"/>
  <c r="BA166" i="4" s="1"/>
  <c r="BA167" i="4" s="1"/>
  <c r="BA168" i="4" s="1"/>
  <c r="BA169" i="4" s="1"/>
  <c r="BA170" i="4" s="1"/>
  <c r="BA171" i="4" s="1"/>
  <c r="AN166" i="4"/>
  <c r="AO166" i="4" s="1"/>
  <c r="AN167" i="4"/>
  <c r="AO167" i="4" s="1"/>
  <c r="AN165" i="4"/>
  <c r="AO165" i="4" s="1"/>
  <c r="AN168" i="4"/>
  <c r="AO168" i="4" s="1"/>
  <c r="AN169" i="4"/>
  <c r="AO169" i="4" s="1"/>
  <c r="AN161" i="4"/>
  <c r="AO161" i="4" s="1"/>
  <c r="AN170" i="4"/>
  <c r="AO170" i="4" s="1"/>
  <c r="AN162" i="4"/>
  <c r="AO162" i="4" s="1"/>
  <c r="AN163" i="4"/>
  <c r="AO163" i="4" s="1"/>
  <c r="AN164" i="4"/>
  <c r="AO164" i="4" s="1"/>
  <c r="AY170" i="4"/>
  <c r="AZ170" i="4"/>
  <c r="AP171" i="4"/>
  <c r="AY171" i="4"/>
  <c r="AZ171" i="4"/>
  <c r="AP172" i="4"/>
  <c r="AY172" i="4"/>
  <c r="AZ172" i="4"/>
  <c r="AP173" i="4"/>
  <c r="AY173" i="4"/>
  <c r="AZ173" i="4"/>
  <c r="AP174" i="4"/>
  <c r="AY174" i="4"/>
  <c r="AZ174" i="4"/>
  <c r="AP175" i="4"/>
  <c r="AY175" i="4"/>
  <c r="AZ175" i="4"/>
  <c r="AP176" i="4"/>
  <c r="AY176" i="4"/>
  <c r="AZ176" i="4"/>
  <c r="AP177" i="4"/>
  <c r="AY177" i="4"/>
  <c r="AZ177" i="4"/>
  <c r="AP178" i="4"/>
  <c r="AY178" i="4"/>
  <c r="AZ178" i="4"/>
  <c r="AP179" i="4"/>
  <c r="AY179" i="4"/>
  <c r="AZ179" i="4"/>
  <c r="AP180" i="4"/>
  <c r="AY180" i="4"/>
  <c r="AZ180" i="4"/>
  <c r="AP181" i="4"/>
  <c r="AY181" i="4"/>
  <c r="AZ181" i="4"/>
  <c r="AP182" i="4"/>
  <c r="AY182" i="4"/>
  <c r="AZ182" i="4"/>
  <c r="AP183" i="4"/>
  <c r="AY183" i="4"/>
  <c r="AZ183" i="4"/>
  <c r="AP184" i="4"/>
  <c r="AY184" i="4"/>
  <c r="AZ184" i="4"/>
  <c r="AP185" i="4"/>
  <c r="AY185" i="4"/>
  <c r="AZ185" i="4"/>
  <c r="AP186" i="4"/>
  <c r="AY186" i="4"/>
  <c r="AZ186" i="4"/>
  <c r="AP187" i="4"/>
  <c r="AY187" i="4"/>
  <c r="AZ187" i="4"/>
  <c r="AP188" i="4"/>
  <c r="AY188" i="4"/>
  <c r="AZ188" i="4"/>
  <c r="AP189" i="4"/>
  <c r="AY189" i="4"/>
  <c r="AZ189" i="4"/>
  <c r="AP190" i="4"/>
  <c r="AE107" i="23"/>
  <c r="AM189" i="4"/>
  <c r="AX190" i="4"/>
  <c r="AM177" i="4"/>
  <c r="AX177" i="4"/>
  <c r="AM175" i="4"/>
  <c r="AX189" i="4"/>
  <c r="AM171" i="4"/>
  <c r="AD108" i="23"/>
  <c r="AX188" i="4"/>
  <c r="AM187" i="4"/>
  <c r="AM181" i="4"/>
  <c r="AX178" i="4"/>
  <c r="AX186" i="4"/>
  <c r="AX172" i="4"/>
  <c r="AM172" i="4"/>
  <c r="AM182" i="4"/>
  <c r="AX171" i="4"/>
  <c r="AM179" i="4"/>
  <c r="AX183" i="4"/>
  <c r="AM188" i="4"/>
  <c r="AM176" i="4"/>
  <c r="AM173" i="4"/>
  <c r="AX179" i="4"/>
  <c r="AM190" i="4"/>
  <c r="AM174" i="4"/>
  <c r="AX185" i="4"/>
  <c r="AX174" i="4"/>
  <c r="AM186" i="4"/>
  <c r="AX175" i="4"/>
  <c r="AX176" i="4"/>
  <c r="AM185" i="4"/>
  <c r="AM178" i="4"/>
  <c r="AX180" i="4"/>
  <c r="AX187" i="4"/>
  <c r="AX173" i="4"/>
  <c r="AM183" i="4"/>
  <c r="AX182" i="4"/>
  <c r="AM184" i="4"/>
  <c r="AX181" i="4"/>
  <c r="AX184" i="4"/>
  <c r="AD33" i="23" l="1"/>
  <c r="AF33" i="23" s="1"/>
  <c r="P49" i="23"/>
  <c r="AD125" i="23"/>
  <c r="P66" i="23" s="1"/>
  <c r="Q48" i="23"/>
  <c r="AE124" i="23"/>
  <c r="Q65" i="23" s="1"/>
  <c r="BA172" i="4"/>
  <c r="BA173" i="4" s="1"/>
  <c r="BA174" i="4" s="1"/>
  <c r="BA175" i="4" s="1"/>
  <c r="BA176" i="4" s="1"/>
  <c r="BA177" i="4" s="1"/>
  <c r="BA178" i="4" s="1"/>
  <c r="BA179" i="4" s="1"/>
  <c r="BA180" i="4" s="1"/>
  <c r="BA181" i="4" s="1"/>
  <c r="BA182" i="4" s="1"/>
  <c r="BA183" i="4" s="1"/>
  <c r="BA184" i="4" s="1"/>
  <c r="BA185" i="4" s="1"/>
  <c r="BA186" i="4" s="1"/>
  <c r="BA187" i="4" s="1"/>
  <c r="BA188" i="4" s="1"/>
  <c r="BA189" i="4" s="1"/>
  <c r="BA190" i="4" s="1"/>
  <c r="BA191" i="4" s="1"/>
  <c r="AN186" i="4"/>
  <c r="AO186" i="4" s="1"/>
  <c r="AN185" i="4"/>
  <c r="AO185" i="4" s="1"/>
  <c r="AN178" i="4"/>
  <c r="AO178" i="4" s="1"/>
  <c r="AN179" i="4"/>
  <c r="AO179" i="4" s="1"/>
  <c r="AN171" i="4"/>
  <c r="AO171" i="4" s="1"/>
  <c r="AN187" i="4"/>
  <c r="AO187" i="4" s="1"/>
  <c r="AN172" i="4"/>
  <c r="AO172" i="4" s="1"/>
  <c r="AN188" i="4"/>
  <c r="AO188" i="4" s="1"/>
  <c r="AN173" i="4"/>
  <c r="AO173" i="4" s="1"/>
  <c r="AN189" i="4"/>
  <c r="AO189" i="4" s="1"/>
  <c r="AN181" i="4"/>
  <c r="AO181" i="4" s="1"/>
  <c r="AN174" i="4"/>
  <c r="AO174" i="4" s="1"/>
  <c r="AN190" i="4"/>
  <c r="AO190" i="4" s="1"/>
  <c r="AN182" i="4"/>
  <c r="AO182" i="4" s="1"/>
  <c r="AN175" i="4"/>
  <c r="AO175" i="4" s="1"/>
  <c r="AN183" i="4"/>
  <c r="AO183" i="4" s="1"/>
  <c r="AN176" i="4"/>
  <c r="AO176" i="4" s="1"/>
  <c r="AN184" i="4"/>
  <c r="AO184" i="4" s="1"/>
  <c r="AN177" i="4"/>
  <c r="AO177" i="4" s="1"/>
  <c r="AY190" i="4"/>
  <c r="AZ190" i="4"/>
  <c r="AP191" i="4"/>
  <c r="AY191" i="4"/>
  <c r="AZ191" i="4"/>
  <c r="AP192" i="4"/>
  <c r="AY192" i="4"/>
  <c r="AZ192" i="4"/>
  <c r="AP193" i="4"/>
  <c r="AY193" i="4"/>
  <c r="AZ193" i="4"/>
  <c r="AP194" i="4"/>
  <c r="AY194" i="4"/>
  <c r="AZ194" i="4"/>
  <c r="AP195" i="4"/>
  <c r="AY195" i="4"/>
  <c r="AZ195" i="4"/>
  <c r="AP196" i="4"/>
  <c r="AY196" i="4"/>
  <c r="AZ196" i="4"/>
  <c r="AP197" i="4"/>
  <c r="AY197" i="4"/>
  <c r="AZ197" i="4"/>
  <c r="AP198" i="4"/>
  <c r="AY198" i="4"/>
  <c r="AZ198" i="4"/>
  <c r="AP199" i="4"/>
  <c r="AY199" i="4"/>
  <c r="AZ199" i="4"/>
  <c r="AP200" i="4"/>
  <c r="AM197" i="4"/>
  <c r="AM192" i="4"/>
  <c r="AX193" i="4"/>
  <c r="AX199" i="4"/>
  <c r="AM194" i="4"/>
  <c r="AX191" i="4"/>
  <c r="AM191" i="4"/>
  <c r="AX194" i="4"/>
  <c r="AM200" i="4"/>
  <c r="AM196" i="4"/>
  <c r="AM195" i="4"/>
  <c r="AM193" i="4"/>
  <c r="AX192" i="4"/>
  <c r="AM198" i="4"/>
  <c r="AM199" i="4"/>
  <c r="AX198" i="4"/>
  <c r="AX200" i="4"/>
  <c r="AX195" i="4"/>
  <c r="AX197" i="4"/>
  <c r="AX196" i="4"/>
  <c r="BA192" i="4" l="1"/>
  <c r="BA193" i="4" s="1"/>
  <c r="BA194" i="4" s="1"/>
  <c r="BA195" i="4" s="1"/>
  <c r="BA196" i="4" s="1"/>
  <c r="BA197" i="4" s="1"/>
  <c r="BA198" i="4" s="1"/>
  <c r="BA199" i="4" s="1"/>
  <c r="BA200" i="4" s="1"/>
  <c r="BA201" i="4" s="1"/>
  <c r="AD35" i="23"/>
  <c r="AF35" i="23" s="1"/>
  <c r="AN200" i="4"/>
  <c r="AO200" i="4" s="1"/>
  <c r="AN192" i="4"/>
  <c r="AO192" i="4" s="1"/>
  <c r="AN193" i="4"/>
  <c r="AO193" i="4" s="1"/>
  <c r="AN194" i="4"/>
  <c r="AO194" i="4" s="1"/>
  <c r="AN196" i="4"/>
  <c r="AO196" i="4" s="1"/>
  <c r="AN195" i="4"/>
  <c r="AO195" i="4" s="1"/>
  <c r="AN197" i="4"/>
  <c r="AO197" i="4" s="1"/>
  <c r="AN198" i="4"/>
  <c r="AO198" i="4" s="1"/>
  <c r="AN199" i="4"/>
  <c r="AO199" i="4" s="1"/>
  <c r="AN191" i="4"/>
  <c r="AO191" i="4" s="1"/>
  <c r="AY200" i="4"/>
  <c r="AZ200" i="4"/>
  <c r="AP201" i="4"/>
  <c r="AY201" i="4"/>
  <c r="AZ201" i="4"/>
  <c r="AP202" i="4"/>
  <c r="AY202" i="4"/>
  <c r="AZ202" i="4"/>
  <c r="AP203" i="4"/>
  <c r="AY203" i="4"/>
  <c r="AZ203" i="4"/>
  <c r="AP204" i="4"/>
  <c r="AY204" i="4"/>
  <c r="AZ204" i="4"/>
  <c r="AP205" i="4"/>
  <c r="AY205" i="4"/>
  <c r="AZ205" i="4"/>
  <c r="AP206" i="4"/>
  <c r="AY206" i="4"/>
  <c r="AZ206" i="4"/>
  <c r="AP207" i="4"/>
  <c r="AY207" i="4"/>
  <c r="AZ207" i="4"/>
  <c r="AP208" i="4"/>
  <c r="AY208" i="4"/>
  <c r="AZ208" i="4"/>
  <c r="AP209" i="4"/>
  <c r="AY209" i="4"/>
  <c r="AZ209" i="4"/>
  <c r="AP210" i="4"/>
  <c r="AY210" i="4"/>
  <c r="AZ210" i="4"/>
  <c r="AP211" i="4"/>
  <c r="AY211" i="4"/>
  <c r="AZ211" i="4"/>
  <c r="AP212" i="4"/>
  <c r="AY212" i="4"/>
  <c r="AZ212" i="4"/>
  <c r="AP213" i="4"/>
  <c r="AY213" i="4"/>
  <c r="AZ213" i="4"/>
  <c r="AP214" i="4"/>
  <c r="AY214" i="4"/>
  <c r="AZ214" i="4"/>
  <c r="AP215" i="4"/>
  <c r="AY215" i="4"/>
  <c r="AZ215" i="4"/>
  <c r="AP216" i="4"/>
  <c r="AY216" i="4"/>
  <c r="AZ216" i="4"/>
  <c r="AP217" i="4"/>
  <c r="AY217" i="4"/>
  <c r="AZ217" i="4"/>
  <c r="AP218" i="4"/>
  <c r="AY218" i="4"/>
  <c r="AZ218" i="4"/>
  <c r="AP219" i="4"/>
  <c r="AY219" i="4"/>
  <c r="AZ219" i="4"/>
  <c r="AP220" i="4"/>
  <c r="AM216" i="4"/>
  <c r="AM212" i="4"/>
  <c r="AX216" i="4"/>
  <c r="AX217" i="4"/>
  <c r="AM214" i="4"/>
  <c r="AX219" i="4"/>
  <c r="AM209" i="4"/>
  <c r="AX201" i="4"/>
  <c r="AX213" i="4"/>
  <c r="AM219" i="4"/>
  <c r="AX210" i="4"/>
  <c r="AX212" i="4"/>
  <c r="AX205" i="4"/>
  <c r="AX218" i="4"/>
  <c r="AM208" i="4"/>
  <c r="AX206" i="4"/>
  <c r="AM218" i="4"/>
  <c r="AM202" i="4"/>
  <c r="AX215" i="4"/>
  <c r="AX202" i="4"/>
  <c r="AM205" i="4"/>
  <c r="AM201" i="4"/>
  <c r="AX214" i="4"/>
  <c r="AM215" i="4"/>
  <c r="AX204" i="4"/>
  <c r="AM217" i="4"/>
  <c r="AM203" i="4"/>
  <c r="AM211" i="4"/>
  <c r="AM220" i="4"/>
  <c r="AX203" i="4"/>
  <c r="AX208" i="4"/>
  <c r="AM207" i="4"/>
  <c r="AX211" i="4"/>
  <c r="AM206" i="4"/>
  <c r="AX209" i="4"/>
  <c r="AM213" i="4"/>
  <c r="AM204" i="4"/>
  <c r="AX207" i="4"/>
  <c r="AX220" i="4"/>
  <c r="AD36" i="23" l="1"/>
  <c r="AF36" i="23" s="1"/>
  <c r="BA202" i="4"/>
  <c r="BA203" i="4" s="1"/>
  <c r="BA204" i="4" s="1"/>
  <c r="BA205" i="4" s="1"/>
  <c r="BA206" i="4" s="1"/>
  <c r="BA207" i="4" s="1"/>
  <c r="BA208" i="4" s="1"/>
  <c r="BA209" i="4" s="1"/>
  <c r="BA210" i="4" s="1"/>
  <c r="BA211" i="4" s="1"/>
  <c r="BA212" i="4" s="1"/>
  <c r="BA213" i="4" s="1"/>
  <c r="BA214" i="4" s="1"/>
  <c r="BA215" i="4" s="1"/>
  <c r="BA216" i="4" s="1"/>
  <c r="BA217" i="4" s="1"/>
  <c r="BA218" i="4" s="1"/>
  <c r="BA219" i="4" s="1"/>
  <c r="BA220" i="4" s="1"/>
  <c r="BA221" i="4" s="1"/>
  <c r="AN215" i="4"/>
  <c r="AO215" i="4" s="1"/>
  <c r="AN208" i="4"/>
  <c r="AO208" i="4" s="1"/>
  <c r="AN216" i="4"/>
  <c r="AO216" i="4" s="1"/>
  <c r="AN209" i="4"/>
  <c r="AO209" i="4" s="1"/>
  <c r="AN201" i="4"/>
  <c r="AO201" i="4" s="1"/>
  <c r="AN217" i="4"/>
  <c r="AO217" i="4" s="1"/>
  <c r="AN202" i="4"/>
  <c r="AO202" i="4" s="1"/>
  <c r="AN218" i="4"/>
  <c r="AO218" i="4" s="1"/>
  <c r="AN203" i="4"/>
  <c r="AO203" i="4" s="1"/>
  <c r="AN219" i="4"/>
  <c r="AO219" i="4" s="1"/>
  <c r="AN211" i="4"/>
  <c r="AO211" i="4" s="1"/>
  <c r="AN204" i="4"/>
  <c r="AO204" i="4" s="1"/>
  <c r="AN220" i="4"/>
  <c r="AO220" i="4" s="1"/>
  <c r="AN212" i="4"/>
  <c r="AO212" i="4" s="1"/>
  <c r="AN205" i="4"/>
  <c r="AO205" i="4" s="1"/>
  <c r="AN213" i="4"/>
  <c r="AO213" i="4" s="1"/>
  <c r="AN206" i="4"/>
  <c r="AO206" i="4" s="1"/>
  <c r="AN214" i="4"/>
  <c r="AO214" i="4" s="1"/>
  <c r="AN207" i="4"/>
  <c r="AO207" i="4" s="1"/>
  <c r="AY220" i="4"/>
  <c r="AZ220" i="4"/>
  <c r="AP221" i="4"/>
  <c r="AY221" i="4"/>
  <c r="AZ221" i="4"/>
  <c r="AP222" i="4"/>
  <c r="AY222" i="4"/>
  <c r="AZ222" i="4"/>
  <c r="AP223" i="4"/>
  <c r="AY223" i="4"/>
  <c r="AZ223" i="4"/>
  <c r="AP224" i="4"/>
  <c r="AY224" i="4"/>
  <c r="AZ224" i="4"/>
  <c r="AP225" i="4"/>
  <c r="AY225" i="4"/>
  <c r="AZ225" i="4"/>
  <c r="AP226" i="4"/>
  <c r="AY226" i="4"/>
  <c r="AZ226" i="4"/>
  <c r="AP227" i="4"/>
  <c r="AY227" i="4"/>
  <c r="AZ227" i="4"/>
  <c r="AP228" i="4"/>
  <c r="AY228" i="4"/>
  <c r="AZ228" i="4"/>
  <c r="AP229" i="4"/>
  <c r="AY229" i="4"/>
  <c r="AZ229" i="4"/>
  <c r="AP230" i="4"/>
  <c r="AX227" i="4"/>
  <c r="AM225" i="4"/>
  <c r="AM221" i="4"/>
  <c r="AX221" i="4"/>
  <c r="AM224" i="4"/>
  <c r="AX222" i="4"/>
  <c r="AX224" i="4"/>
  <c r="AM230" i="4"/>
  <c r="AM228" i="4"/>
  <c r="AX230" i="4"/>
  <c r="AX228" i="4"/>
  <c r="AX229" i="4"/>
  <c r="AM229" i="4"/>
  <c r="AM223" i="4"/>
  <c r="AX225" i="4"/>
  <c r="AM222" i="4"/>
  <c r="AM226" i="4"/>
  <c r="AM227" i="4"/>
  <c r="AX226" i="4"/>
  <c r="AX223" i="4"/>
  <c r="AD38" i="23" l="1"/>
  <c r="AF38" i="23" s="1"/>
  <c r="BA222" i="4"/>
  <c r="BA223" i="4" s="1"/>
  <c r="BA224" i="4" s="1"/>
  <c r="BA225" i="4" s="1"/>
  <c r="BA226" i="4" s="1"/>
  <c r="BA227" i="4" s="1"/>
  <c r="BA228" i="4" s="1"/>
  <c r="BA229" i="4" s="1"/>
  <c r="BA230" i="4" s="1"/>
  <c r="BA231" i="4" s="1"/>
  <c r="AN225" i="4"/>
  <c r="AO225" i="4" s="1"/>
  <c r="AN226" i="4"/>
  <c r="AO226" i="4" s="1"/>
  <c r="AN227" i="4"/>
  <c r="AO227" i="4" s="1"/>
  <c r="AN228" i="4"/>
  <c r="AO228" i="4" s="1"/>
  <c r="AN221" i="4"/>
  <c r="AO221" i="4" s="1"/>
  <c r="AN222" i="4"/>
  <c r="AO222" i="4" s="1"/>
  <c r="AN230" i="4"/>
  <c r="AO230" i="4" s="1"/>
  <c r="AN223" i="4"/>
  <c r="AO223" i="4" s="1"/>
  <c r="AN229" i="4"/>
  <c r="AO229" i="4" s="1"/>
  <c r="AN224" i="4"/>
  <c r="AO224" i="4" s="1"/>
  <c r="AY230" i="4"/>
  <c r="AZ230" i="4"/>
  <c r="AP231" i="4"/>
  <c r="AY231" i="4"/>
  <c r="AZ231" i="4"/>
  <c r="AP232" i="4"/>
  <c r="AY232" i="4"/>
  <c r="AZ232" i="4"/>
  <c r="AP233" i="4"/>
  <c r="AY233" i="4"/>
  <c r="AZ233" i="4"/>
  <c r="AP234" i="4"/>
  <c r="AY234" i="4"/>
  <c r="AZ234" i="4"/>
  <c r="AP235" i="4"/>
  <c r="AY235" i="4"/>
  <c r="AZ235" i="4"/>
  <c r="AP236" i="4"/>
  <c r="AY236" i="4"/>
  <c r="AZ236" i="4"/>
  <c r="AP237" i="4"/>
  <c r="AY237" i="4"/>
  <c r="AZ237" i="4"/>
  <c r="AP238" i="4"/>
  <c r="AY238" i="4"/>
  <c r="AZ238" i="4"/>
  <c r="AP239" i="4"/>
  <c r="AY239" i="4"/>
  <c r="AZ239" i="4"/>
  <c r="AP240" i="4"/>
  <c r="AY240" i="4"/>
  <c r="AZ240" i="4"/>
  <c r="AP241" i="4"/>
  <c r="AY241" i="4"/>
  <c r="AZ241" i="4"/>
  <c r="AP242" i="4"/>
  <c r="AY242" i="4"/>
  <c r="AZ242" i="4"/>
  <c r="AP243" i="4"/>
  <c r="AY243" i="4"/>
  <c r="AZ243" i="4"/>
  <c r="AP244" i="4"/>
  <c r="AY244" i="4"/>
  <c r="AZ244" i="4"/>
  <c r="AP245" i="4"/>
  <c r="AY245" i="4"/>
  <c r="AZ245" i="4"/>
  <c r="AP246" i="4"/>
  <c r="AY246" i="4"/>
  <c r="AZ246" i="4"/>
  <c r="AP247" i="4"/>
  <c r="AY247" i="4"/>
  <c r="AZ247" i="4"/>
  <c r="AP248" i="4"/>
  <c r="AY248" i="4"/>
  <c r="AZ248" i="4"/>
  <c r="AP249" i="4"/>
  <c r="AY249" i="4"/>
  <c r="AZ249" i="4"/>
  <c r="AP250" i="4"/>
  <c r="AM236" i="4"/>
  <c r="AM245" i="4"/>
  <c r="AM231" i="4"/>
  <c r="AX236" i="4"/>
  <c r="AM232" i="4"/>
  <c r="AX244" i="4"/>
  <c r="AX242" i="4"/>
  <c r="AM243" i="4"/>
  <c r="AX237" i="4"/>
  <c r="AM235" i="4"/>
  <c r="AM250" i="4"/>
  <c r="AX235" i="4"/>
  <c r="AX250" i="4"/>
  <c r="AM234" i="4"/>
  <c r="AX240" i="4"/>
  <c r="AM233" i="4"/>
  <c r="AX239" i="4"/>
  <c r="AE108" i="23"/>
  <c r="AX247" i="4"/>
  <c r="AM248" i="4"/>
  <c r="AX248" i="4"/>
  <c r="AM249" i="4"/>
  <c r="AX241" i="4"/>
  <c r="AX246" i="4"/>
  <c r="AX245" i="4"/>
  <c r="AX234" i="4"/>
  <c r="AM238" i="4"/>
  <c r="AX243" i="4"/>
  <c r="AM241" i="4"/>
  <c r="AM244" i="4"/>
  <c r="AX231" i="4"/>
  <c r="AX233" i="4"/>
  <c r="AM237" i="4"/>
  <c r="AM242" i="4"/>
  <c r="AM246" i="4"/>
  <c r="AM247" i="4"/>
  <c r="AM239" i="4"/>
  <c r="AX238" i="4"/>
  <c r="AC109" i="23"/>
  <c r="AX249" i="4"/>
  <c r="AX232" i="4"/>
  <c r="AD39" i="23" l="1"/>
  <c r="AF39" i="23" s="1"/>
  <c r="AE125" i="23"/>
  <c r="Q66" i="23" s="1"/>
  <c r="Q49" i="23"/>
  <c r="O50" i="23"/>
  <c r="AC126" i="23"/>
  <c r="O67" i="23" s="1"/>
  <c r="BA232" i="4"/>
  <c r="BA233" i="4" s="1"/>
  <c r="BA234" i="4" s="1"/>
  <c r="BA235" i="4" s="1"/>
  <c r="BA236" i="4" s="1"/>
  <c r="BA237" i="4" s="1"/>
  <c r="BA238" i="4" s="1"/>
  <c r="BA239" i="4" s="1"/>
  <c r="BA240" i="4" s="1"/>
  <c r="BA241" i="4" s="1"/>
  <c r="BA242" i="4" s="1"/>
  <c r="BA243" i="4" s="1"/>
  <c r="BA244" i="4" s="1"/>
  <c r="BA245" i="4" s="1"/>
  <c r="BA246" i="4" s="1"/>
  <c r="BA247" i="4" s="1"/>
  <c r="BA248" i="4" s="1"/>
  <c r="BA249" i="4" s="1"/>
  <c r="BA250" i="4" s="1"/>
  <c r="BA251" i="4" s="1"/>
  <c r="AN245" i="4"/>
  <c r="AO245" i="4" s="1"/>
  <c r="AN238" i="4"/>
  <c r="AO238" i="4" s="1"/>
  <c r="AN231" i="4"/>
  <c r="AO231" i="4" s="1"/>
  <c r="AN246" i="4"/>
  <c r="AO246" i="4" s="1"/>
  <c r="AN247" i="4"/>
  <c r="AO247" i="4" s="1"/>
  <c r="AN232" i="4"/>
  <c r="AO232" i="4" s="1"/>
  <c r="AN239" i="4"/>
  <c r="AO239" i="4" s="1"/>
  <c r="AN248" i="4"/>
  <c r="AO248" i="4" s="1"/>
  <c r="AN233" i="4"/>
  <c r="AO233" i="4" s="1"/>
  <c r="AN249" i="4"/>
  <c r="AO249" i="4" s="1"/>
  <c r="AN241" i="4"/>
  <c r="AO241" i="4" s="1"/>
  <c r="AN234" i="4"/>
  <c r="AO234" i="4" s="1"/>
  <c r="AN250" i="4"/>
  <c r="AO250" i="4" s="1"/>
  <c r="AN242" i="4"/>
  <c r="AO242" i="4" s="1"/>
  <c r="AN235" i="4"/>
  <c r="AO235" i="4" s="1"/>
  <c r="AN243" i="4"/>
  <c r="AO243" i="4" s="1"/>
  <c r="AN236" i="4"/>
  <c r="AO236" i="4" s="1"/>
  <c r="AN244" i="4"/>
  <c r="AO244" i="4" s="1"/>
  <c r="AN237" i="4"/>
  <c r="AO237" i="4" s="1"/>
  <c r="AY250" i="4"/>
  <c r="AZ250" i="4"/>
  <c r="AP251" i="4"/>
  <c r="AY251" i="4"/>
  <c r="AZ251" i="4"/>
  <c r="AP252" i="4"/>
  <c r="AY252" i="4"/>
  <c r="AZ252" i="4"/>
  <c r="AP253" i="4"/>
  <c r="AY253" i="4"/>
  <c r="AZ253" i="4"/>
  <c r="AP254" i="4"/>
  <c r="AY254" i="4"/>
  <c r="AZ254" i="4"/>
  <c r="AP255" i="4"/>
  <c r="AY255" i="4"/>
  <c r="AZ255" i="4"/>
  <c r="AP256" i="4"/>
  <c r="AY256" i="4"/>
  <c r="AZ256" i="4"/>
  <c r="AP257" i="4"/>
  <c r="AY257" i="4"/>
  <c r="AZ257" i="4"/>
  <c r="AP258" i="4"/>
  <c r="AY258" i="4"/>
  <c r="AZ258" i="4"/>
  <c r="AP259" i="4"/>
  <c r="AY259" i="4"/>
  <c r="AZ259" i="4"/>
  <c r="AP260" i="4"/>
  <c r="AM257" i="4"/>
  <c r="AM254" i="4"/>
  <c r="AX253" i="4"/>
  <c r="AX255" i="4"/>
  <c r="AX256" i="4"/>
  <c r="AM258" i="4"/>
  <c r="AM253" i="4"/>
  <c r="AM251" i="4"/>
  <c r="AM255" i="4"/>
  <c r="AM259" i="4"/>
  <c r="AX254" i="4"/>
  <c r="AX259" i="4"/>
  <c r="AX252" i="4"/>
  <c r="AX257" i="4"/>
  <c r="AM256" i="4"/>
  <c r="AX251" i="4"/>
  <c r="AX258" i="4"/>
  <c r="AM252" i="4"/>
  <c r="AM260" i="4"/>
  <c r="AX260" i="4"/>
  <c r="AD41" i="23" l="1"/>
  <c r="AF41" i="23" s="1"/>
  <c r="BA252" i="4"/>
  <c r="BA253" i="4" s="1"/>
  <c r="BA254" i="4" s="1"/>
  <c r="BA255" i="4" s="1"/>
  <c r="BA256" i="4" s="1"/>
  <c r="BA257" i="4" s="1"/>
  <c r="BA258" i="4" s="1"/>
  <c r="BA259" i="4" s="1"/>
  <c r="BA260" i="4" s="1"/>
  <c r="BA261" i="4" s="1"/>
  <c r="AN256" i="4"/>
  <c r="AO256" i="4" s="1"/>
  <c r="AN257" i="4"/>
  <c r="AO257" i="4" s="1"/>
  <c r="AN258" i="4"/>
  <c r="AO258" i="4" s="1"/>
  <c r="AN252" i="4"/>
  <c r="AO252" i="4" s="1"/>
  <c r="AN260" i="4"/>
  <c r="AO260" i="4" s="1"/>
  <c r="AN253" i="4"/>
  <c r="AO253" i="4" s="1"/>
  <c r="AN259" i="4"/>
  <c r="AO259" i="4" s="1"/>
  <c r="AN251" i="4"/>
  <c r="AO251" i="4" s="1"/>
  <c r="AN254" i="4"/>
  <c r="AO254" i="4" s="1"/>
  <c r="AN255" i="4"/>
  <c r="AO255" i="4" s="1"/>
  <c r="AY260" i="4"/>
  <c r="AZ260" i="4"/>
  <c r="AP261" i="4"/>
  <c r="AY261" i="4"/>
  <c r="AZ261" i="4"/>
  <c r="AP262" i="4"/>
  <c r="AY262" i="4"/>
  <c r="AZ262" i="4"/>
  <c r="AP263" i="4"/>
  <c r="AY263" i="4"/>
  <c r="AZ263" i="4"/>
  <c r="AP264" i="4"/>
  <c r="AY264" i="4"/>
  <c r="AZ264" i="4"/>
  <c r="AP265" i="4"/>
  <c r="AY265" i="4"/>
  <c r="AZ265" i="4"/>
  <c r="AP266" i="4"/>
  <c r="AY266" i="4"/>
  <c r="AZ266" i="4"/>
  <c r="AP267" i="4"/>
  <c r="AY267" i="4"/>
  <c r="AZ267" i="4"/>
  <c r="AP268" i="4"/>
  <c r="AY268" i="4"/>
  <c r="AZ268" i="4"/>
  <c r="AP269" i="4"/>
  <c r="AY269" i="4"/>
  <c r="AZ269" i="4"/>
  <c r="AP270" i="4"/>
  <c r="AY270" i="4"/>
  <c r="AZ270" i="4"/>
  <c r="AP271" i="4"/>
  <c r="AY271" i="4"/>
  <c r="AZ271" i="4"/>
  <c r="AP272" i="4"/>
  <c r="AY272" i="4"/>
  <c r="AZ272" i="4"/>
  <c r="AP273" i="4"/>
  <c r="AY273" i="4"/>
  <c r="AZ273" i="4"/>
  <c r="AP274" i="4"/>
  <c r="AY274" i="4"/>
  <c r="AZ274" i="4"/>
  <c r="AP275" i="4"/>
  <c r="AY275" i="4"/>
  <c r="AZ275" i="4"/>
  <c r="AP276" i="4"/>
  <c r="AY276" i="4"/>
  <c r="AZ276" i="4"/>
  <c r="AP277" i="4"/>
  <c r="AY277" i="4"/>
  <c r="AZ277" i="4"/>
  <c r="AP278" i="4"/>
  <c r="AY278" i="4"/>
  <c r="AZ278" i="4"/>
  <c r="AP279" i="4"/>
  <c r="AY279" i="4"/>
  <c r="AZ279" i="4"/>
  <c r="AP280" i="4"/>
  <c r="AM266" i="4"/>
  <c r="AX273" i="4"/>
  <c r="AM279" i="4"/>
  <c r="AX266" i="4"/>
  <c r="AX265" i="4"/>
  <c r="AD109" i="23"/>
  <c r="AM273" i="4"/>
  <c r="AX262" i="4"/>
  <c r="AX272" i="4"/>
  <c r="AM280" i="4"/>
  <c r="AX279" i="4"/>
  <c r="AM262" i="4"/>
  <c r="AX277" i="4"/>
  <c r="AX268" i="4"/>
  <c r="AM276" i="4"/>
  <c r="AM275" i="4"/>
  <c r="AX280" i="4"/>
  <c r="AM278" i="4"/>
  <c r="AM271" i="4"/>
  <c r="AM261" i="4"/>
  <c r="AM265" i="4"/>
  <c r="AX274" i="4"/>
  <c r="AX269" i="4"/>
  <c r="AM277" i="4"/>
  <c r="AX278" i="4"/>
  <c r="AX275" i="4"/>
  <c r="AM263" i="4"/>
  <c r="AX267" i="4"/>
  <c r="AF107" i="23"/>
  <c r="AX264" i="4"/>
  <c r="AM268" i="4"/>
  <c r="AM274" i="4"/>
  <c r="AM264" i="4"/>
  <c r="AX271" i="4"/>
  <c r="AM267" i="4"/>
  <c r="AM269" i="4"/>
  <c r="AX261" i="4"/>
  <c r="AX263" i="4"/>
  <c r="AX276" i="4"/>
  <c r="AX270" i="4"/>
  <c r="AM272" i="4"/>
  <c r="AD42" i="23" l="1"/>
  <c r="AF42" i="23" s="1"/>
  <c r="AD126" i="23"/>
  <c r="P67" i="23" s="1"/>
  <c r="P50" i="23"/>
  <c r="AF124" i="23"/>
  <c r="R65" i="23" s="1"/>
  <c r="R48" i="23"/>
  <c r="BA262" i="4"/>
  <c r="BA263" i="4" s="1"/>
  <c r="BA264" i="4" s="1"/>
  <c r="BA265" i="4" s="1"/>
  <c r="BA266" i="4" s="1"/>
  <c r="BA267" i="4" s="1"/>
  <c r="BA268" i="4" s="1"/>
  <c r="BA269" i="4" s="1"/>
  <c r="BA270" i="4" s="1"/>
  <c r="BA271" i="4" s="1"/>
  <c r="BA272" i="4" s="1"/>
  <c r="BA273" i="4" s="1"/>
  <c r="BA274" i="4" s="1"/>
  <c r="BA275" i="4" s="1"/>
  <c r="BA276" i="4" s="1"/>
  <c r="BA277" i="4" s="1"/>
  <c r="BA278" i="4" s="1"/>
  <c r="BA279" i="4" s="1"/>
  <c r="BA280" i="4" s="1"/>
  <c r="BA281" i="4" s="1"/>
  <c r="AN275" i="4"/>
  <c r="AO275" i="4" s="1"/>
  <c r="AN268" i="4"/>
  <c r="AO268" i="4" s="1"/>
  <c r="AN276" i="4"/>
  <c r="AO276" i="4" s="1"/>
  <c r="AN269" i="4"/>
  <c r="AO269" i="4" s="1"/>
  <c r="AN261" i="4"/>
  <c r="AO261" i="4" s="1"/>
  <c r="AN277" i="4"/>
  <c r="AO277" i="4" s="1"/>
  <c r="AN262" i="4"/>
  <c r="AO262" i="4" s="1"/>
  <c r="AN263" i="4"/>
  <c r="AO263" i="4" s="1"/>
  <c r="AN279" i="4"/>
  <c r="AO279" i="4" s="1"/>
  <c r="AN271" i="4"/>
  <c r="AO271" i="4" s="1"/>
  <c r="AN264" i="4"/>
  <c r="AO264" i="4" s="1"/>
  <c r="AN280" i="4"/>
  <c r="AO280" i="4" s="1"/>
  <c r="AN272" i="4"/>
  <c r="AO272" i="4" s="1"/>
  <c r="AN265" i="4"/>
  <c r="AO265" i="4" s="1"/>
  <c r="AN278" i="4"/>
  <c r="AO278" i="4" s="1"/>
  <c r="AN273" i="4"/>
  <c r="AO273" i="4" s="1"/>
  <c r="AN266" i="4"/>
  <c r="AO266" i="4" s="1"/>
  <c r="AN274" i="4"/>
  <c r="AO274" i="4" s="1"/>
  <c r="AN267" i="4"/>
  <c r="AO267" i="4" s="1"/>
  <c r="AD44" i="23"/>
  <c r="AF44" i="23" s="1"/>
  <c r="AY280" i="4"/>
  <c r="AZ280" i="4"/>
  <c r="AP281" i="4"/>
  <c r="AY281" i="4"/>
  <c r="AZ281" i="4"/>
  <c r="AP282" i="4"/>
  <c r="AY282" i="4"/>
  <c r="AZ282" i="4"/>
  <c r="AP283" i="4"/>
  <c r="AY283" i="4"/>
  <c r="AZ283" i="4"/>
  <c r="AP284" i="4"/>
  <c r="AY284" i="4"/>
  <c r="AZ284" i="4"/>
  <c r="AP285" i="4"/>
  <c r="AY285" i="4"/>
  <c r="AZ285" i="4"/>
  <c r="AP286" i="4"/>
  <c r="AY286" i="4"/>
  <c r="AZ286" i="4"/>
  <c r="AP287" i="4"/>
  <c r="AY287" i="4"/>
  <c r="AZ287" i="4"/>
  <c r="AP288" i="4"/>
  <c r="AY288" i="4"/>
  <c r="AZ288" i="4"/>
  <c r="AP289" i="4"/>
  <c r="AY289" i="4"/>
  <c r="AZ289" i="4"/>
  <c r="AP290" i="4"/>
  <c r="AM289" i="4"/>
  <c r="AM283" i="4"/>
  <c r="AM287" i="4"/>
  <c r="AX286" i="4"/>
  <c r="AM288" i="4"/>
  <c r="AX285" i="4"/>
  <c r="AX287" i="4"/>
  <c r="AM285" i="4"/>
  <c r="AX281" i="4"/>
  <c r="AX283" i="4"/>
  <c r="AM281" i="4"/>
  <c r="AM290" i="4"/>
  <c r="AX284" i="4"/>
  <c r="AM284" i="4"/>
  <c r="AM282" i="4"/>
  <c r="AM286" i="4"/>
  <c r="AX290" i="4"/>
  <c r="AX289" i="4"/>
  <c r="AX288" i="4"/>
  <c r="AX282" i="4"/>
  <c r="BA282" i="4" l="1"/>
  <c r="BA283" i="4" s="1"/>
  <c r="BA284" i="4" s="1"/>
  <c r="BA285" i="4" s="1"/>
  <c r="BA286" i="4" s="1"/>
  <c r="BA287" i="4" s="1"/>
  <c r="BA288" i="4" s="1"/>
  <c r="BA289" i="4" s="1"/>
  <c r="BA290" i="4" s="1"/>
  <c r="BA291" i="4" s="1"/>
  <c r="AN290" i="4"/>
  <c r="AO290" i="4" s="1"/>
  <c r="AN282" i="4"/>
  <c r="AO282" i="4" s="1"/>
  <c r="AN283" i="4"/>
  <c r="AO283" i="4" s="1"/>
  <c r="AN284" i="4"/>
  <c r="AO284" i="4" s="1"/>
  <c r="AN285" i="4"/>
  <c r="AO285" i="4" s="1"/>
  <c r="AN287" i="4"/>
  <c r="AO287" i="4" s="1"/>
  <c r="AN286" i="4"/>
  <c r="AO286" i="4" s="1"/>
  <c r="AN288" i="4"/>
  <c r="AO288" i="4" s="1"/>
  <c r="AN289" i="4"/>
  <c r="AO289" i="4" s="1"/>
  <c r="AN281" i="4"/>
  <c r="AO281" i="4" s="1"/>
  <c r="AY290" i="4"/>
  <c r="AZ290" i="4"/>
  <c r="AP291" i="4"/>
  <c r="AY291" i="4"/>
  <c r="AZ291" i="4"/>
  <c r="AP292" i="4"/>
  <c r="AY292" i="4"/>
  <c r="AZ292" i="4"/>
  <c r="AP293" i="4"/>
  <c r="AY293" i="4"/>
  <c r="AZ293" i="4"/>
  <c r="AP294" i="4"/>
  <c r="AY294" i="4"/>
  <c r="AZ294" i="4"/>
  <c r="AP295" i="4"/>
  <c r="AY295" i="4"/>
  <c r="AZ295" i="4"/>
  <c r="AP296" i="4"/>
  <c r="AY296" i="4"/>
  <c r="AZ296" i="4"/>
  <c r="AP297" i="4"/>
  <c r="AY297" i="4"/>
  <c r="AZ297" i="4"/>
  <c r="AP298" i="4"/>
  <c r="AY298" i="4"/>
  <c r="AZ298" i="4"/>
  <c r="AP299" i="4"/>
  <c r="AY299" i="4"/>
  <c r="AZ299" i="4"/>
  <c r="AP300" i="4"/>
  <c r="AY300" i="4"/>
  <c r="AZ300" i="4"/>
  <c r="AP301" i="4"/>
  <c r="AY301" i="4"/>
  <c r="AZ301" i="4"/>
  <c r="AP302" i="4"/>
  <c r="AY302" i="4"/>
  <c r="AZ302" i="4"/>
  <c r="AP303" i="4"/>
  <c r="AY303" i="4"/>
  <c r="AZ303" i="4"/>
  <c r="AP304" i="4"/>
  <c r="AY304" i="4"/>
  <c r="AZ304" i="4"/>
  <c r="AP305" i="4"/>
  <c r="AY305" i="4"/>
  <c r="AZ305" i="4"/>
  <c r="AP306" i="4"/>
  <c r="AY306" i="4"/>
  <c r="AZ306" i="4"/>
  <c r="AP307" i="4"/>
  <c r="AY307" i="4"/>
  <c r="AZ307" i="4"/>
  <c r="AP308" i="4"/>
  <c r="AY308" i="4"/>
  <c r="AZ308" i="4"/>
  <c r="AP309" i="4"/>
  <c r="AY309" i="4"/>
  <c r="AZ309" i="4"/>
  <c r="AP310" i="4"/>
  <c r="AX292" i="4"/>
  <c r="AM297" i="4"/>
  <c r="AM308" i="4"/>
  <c r="AM303" i="4"/>
  <c r="AX302" i="4"/>
  <c r="AM299" i="4"/>
  <c r="AM304" i="4"/>
  <c r="AM296" i="4"/>
  <c r="AX305" i="4"/>
  <c r="AM307" i="4"/>
  <c r="AX300" i="4"/>
  <c r="AX310" i="4"/>
  <c r="AX304" i="4"/>
  <c r="AM291" i="4"/>
  <c r="AM295" i="4"/>
  <c r="AM298" i="4"/>
  <c r="AM293" i="4"/>
  <c r="AX301" i="4"/>
  <c r="AM294" i="4"/>
  <c r="AX294" i="4"/>
  <c r="AX291" i="4"/>
  <c r="AM305" i="4"/>
  <c r="AM302" i="4"/>
  <c r="AX298" i="4"/>
  <c r="AX297" i="4"/>
  <c r="AX296" i="4"/>
  <c r="AM309" i="4"/>
  <c r="AX293" i="4"/>
  <c r="AX308" i="4"/>
  <c r="AX299" i="4"/>
  <c r="AX307" i="4"/>
  <c r="AM306" i="4"/>
  <c r="AM292" i="4"/>
  <c r="AM310" i="4"/>
  <c r="AX306" i="4"/>
  <c r="AX303" i="4"/>
  <c r="AM301" i="4"/>
  <c r="AX309" i="4"/>
  <c r="AX295" i="4"/>
  <c r="AD45" i="23" l="1"/>
  <c r="AF45" i="23" s="1"/>
  <c r="BA292" i="4"/>
  <c r="BA293" i="4" s="1"/>
  <c r="BA294" i="4" s="1"/>
  <c r="BA295" i="4" s="1"/>
  <c r="BA296" i="4" s="1"/>
  <c r="BA297" i="4" s="1"/>
  <c r="BA298" i="4" s="1"/>
  <c r="BA299" i="4" s="1"/>
  <c r="BA300" i="4" s="1"/>
  <c r="BA301" i="4" s="1"/>
  <c r="BA302" i="4" s="1"/>
  <c r="BA303" i="4" s="1"/>
  <c r="BA304" i="4" s="1"/>
  <c r="BA305" i="4" s="1"/>
  <c r="BA306" i="4" s="1"/>
  <c r="BA307" i="4" s="1"/>
  <c r="BA308" i="4" s="1"/>
  <c r="BA309" i="4" s="1"/>
  <c r="BA310" i="4" s="1"/>
  <c r="BA311" i="4" s="1"/>
  <c r="AN305" i="4"/>
  <c r="AO305" i="4" s="1"/>
  <c r="AN298" i="4"/>
  <c r="AO298" i="4" s="1"/>
  <c r="AN306" i="4"/>
  <c r="AO306" i="4" s="1"/>
  <c r="AN299" i="4"/>
  <c r="AO299" i="4" s="1"/>
  <c r="AN291" i="4"/>
  <c r="AO291" i="4" s="1"/>
  <c r="AN307" i="4"/>
  <c r="AO307" i="4" s="1"/>
  <c r="AN292" i="4"/>
  <c r="AO292" i="4" s="1"/>
  <c r="AN308" i="4"/>
  <c r="AO308" i="4" s="1"/>
  <c r="AN293" i="4"/>
  <c r="AO293" i="4" s="1"/>
  <c r="AN309" i="4"/>
  <c r="AO309" i="4" s="1"/>
  <c r="AN301" i="4"/>
  <c r="AO301" i="4" s="1"/>
  <c r="AN294" i="4"/>
  <c r="AO294" i="4" s="1"/>
  <c r="AN310" i="4"/>
  <c r="AO310" i="4" s="1"/>
  <c r="AN302" i="4"/>
  <c r="AO302" i="4" s="1"/>
  <c r="AN295" i="4"/>
  <c r="AO295" i="4" s="1"/>
  <c r="AN303" i="4"/>
  <c r="AO303" i="4" s="1"/>
  <c r="AN296" i="4"/>
  <c r="AO296" i="4" s="1"/>
  <c r="AN304" i="4"/>
  <c r="AO304" i="4" s="1"/>
  <c r="AN297" i="4"/>
  <c r="AO297" i="4" s="1"/>
  <c r="AY310" i="4"/>
  <c r="AZ310" i="4"/>
  <c r="AP311" i="4"/>
  <c r="AY311" i="4"/>
  <c r="AZ311" i="4"/>
  <c r="AP312" i="4"/>
  <c r="AY312" i="4"/>
  <c r="AZ312" i="4"/>
  <c r="AP313" i="4"/>
  <c r="AY313" i="4"/>
  <c r="AZ313" i="4"/>
  <c r="AP314" i="4"/>
  <c r="AY314" i="4"/>
  <c r="AZ314" i="4"/>
  <c r="AP315" i="4"/>
  <c r="AY315" i="4"/>
  <c r="AZ315" i="4"/>
  <c r="AP316" i="4"/>
  <c r="AY316" i="4"/>
  <c r="AZ316" i="4"/>
  <c r="AP317" i="4"/>
  <c r="AY317" i="4"/>
  <c r="AZ317" i="4"/>
  <c r="AP318" i="4"/>
  <c r="AY318" i="4"/>
  <c r="AZ318" i="4"/>
  <c r="AP319" i="4"/>
  <c r="AY319" i="4"/>
  <c r="AZ319" i="4"/>
  <c r="AP320" i="4"/>
  <c r="AX318" i="4"/>
  <c r="AX313" i="4"/>
  <c r="AM318" i="4"/>
  <c r="AM319" i="4"/>
  <c r="AM315" i="4"/>
  <c r="AX319" i="4"/>
  <c r="AX315" i="4"/>
  <c r="AX314" i="4"/>
  <c r="AX320" i="4"/>
  <c r="AM312" i="4"/>
  <c r="AM313" i="4"/>
  <c r="AM316" i="4"/>
  <c r="AX316" i="4"/>
  <c r="AM317" i="4"/>
  <c r="AX317" i="4"/>
  <c r="AX311" i="4"/>
  <c r="AM311" i="4"/>
  <c r="AM320" i="4"/>
  <c r="AM314" i="4"/>
  <c r="AX312" i="4"/>
  <c r="AD47" i="23" l="1"/>
  <c r="AF47" i="23" s="1"/>
  <c r="BA312" i="4"/>
  <c r="BA313" i="4" s="1"/>
  <c r="BA314" i="4" s="1"/>
  <c r="BA315" i="4" s="1"/>
  <c r="BA316" i="4" s="1"/>
  <c r="BA317" i="4" s="1"/>
  <c r="BA318" i="4" s="1"/>
  <c r="BA319" i="4" s="1"/>
  <c r="BA320" i="4" s="1"/>
  <c r="BA321" i="4" s="1"/>
  <c r="AN317" i="4"/>
  <c r="AO317" i="4" s="1"/>
  <c r="AN318" i="4"/>
  <c r="AO318" i="4" s="1"/>
  <c r="AN319" i="4"/>
  <c r="AO319" i="4" s="1"/>
  <c r="AN311" i="4"/>
  <c r="AO311" i="4" s="1"/>
  <c r="AN320" i="4"/>
  <c r="AO320" i="4" s="1"/>
  <c r="AN312" i="4"/>
  <c r="AO312" i="4" s="1"/>
  <c r="AN313" i="4"/>
  <c r="AO313" i="4" s="1"/>
  <c r="AN314" i="4"/>
  <c r="AO314" i="4" s="1"/>
  <c r="AN315" i="4"/>
  <c r="AO315" i="4" s="1"/>
  <c r="AN316" i="4"/>
  <c r="AO316" i="4" s="1"/>
  <c r="AY320" i="4"/>
  <c r="AZ320" i="4"/>
  <c r="AP321" i="4"/>
  <c r="AY321" i="4"/>
  <c r="AZ321" i="4"/>
  <c r="AP322" i="4"/>
  <c r="AY322" i="4"/>
  <c r="AZ322" i="4"/>
  <c r="AP323" i="4"/>
  <c r="AY323" i="4"/>
  <c r="AZ323" i="4"/>
  <c r="AP324" i="4"/>
  <c r="AY324" i="4"/>
  <c r="AZ324" i="4"/>
  <c r="AP325" i="4"/>
  <c r="AY325" i="4"/>
  <c r="AZ325" i="4"/>
  <c r="AP326" i="4"/>
  <c r="AP327" i="4"/>
  <c r="AP328" i="4"/>
  <c r="AP329" i="4"/>
  <c r="AP330" i="4"/>
  <c r="AP331" i="4"/>
  <c r="AP332" i="4"/>
  <c r="AP333" i="4"/>
  <c r="AP334" i="4"/>
  <c r="AP335" i="4"/>
  <c r="AP336" i="4"/>
  <c r="AP337" i="4"/>
  <c r="AP338" i="4"/>
  <c r="AP339" i="4"/>
  <c r="AP340" i="4"/>
  <c r="AX324" i="4"/>
  <c r="AM329" i="4"/>
  <c r="AE109" i="23"/>
  <c r="AM327" i="4"/>
  <c r="AC110" i="23"/>
  <c r="AM323" i="4"/>
  <c r="AM336" i="4"/>
  <c r="AX321" i="4"/>
  <c r="AM326" i="4"/>
  <c r="AM328" i="4"/>
  <c r="AF108" i="23"/>
  <c r="AM335" i="4"/>
  <c r="AM332" i="4"/>
  <c r="AX323" i="4"/>
  <c r="AM333" i="4"/>
  <c r="AM334" i="4"/>
  <c r="AM339" i="4"/>
  <c r="AM324" i="4"/>
  <c r="AM337" i="4"/>
  <c r="AX322" i="4"/>
  <c r="AM341" i="4"/>
  <c r="AX325" i="4"/>
  <c r="AM325" i="4"/>
  <c r="AM322" i="4"/>
  <c r="AM321" i="4"/>
  <c r="AM331" i="4"/>
  <c r="AM340" i="4"/>
  <c r="AM338" i="4"/>
  <c r="AD48" i="23" l="1"/>
  <c r="AF48" i="23" s="1"/>
  <c r="Q50" i="23"/>
  <c r="AE126" i="23"/>
  <c r="Q67" i="23" s="1"/>
  <c r="R49" i="23"/>
  <c r="AF125" i="23"/>
  <c r="R66" i="23" s="1"/>
  <c r="O51" i="23"/>
  <c r="AC127" i="23"/>
  <c r="O68" i="23" s="1"/>
  <c r="BA322" i="4"/>
  <c r="BA323" i="4" s="1"/>
  <c r="BA324" i="4" s="1"/>
  <c r="BA325" i="4" s="1"/>
  <c r="AN338" i="4"/>
  <c r="AO338" i="4" s="1"/>
  <c r="AN341" i="4"/>
  <c r="AO341" i="4" s="1"/>
  <c r="AN339" i="4"/>
  <c r="AO339" i="4" s="1"/>
  <c r="AN331" i="4"/>
  <c r="AO331" i="4" s="1"/>
  <c r="AN328" i="4"/>
  <c r="AO328" i="4" s="1"/>
  <c r="AN336" i="4"/>
  <c r="AO336" i="4" s="1"/>
  <c r="AN321" i="4"/>
  <c r="AO321" i="4" s="1"/>
  <c r="AN333" i="4"/>
  <c r="AO333" i="4" s="1"/>
  <c r="AN322" i="4"/>
  <c r="AO322" i="4" s="1"/>
  <c r="AN323" i="4"/>
  <c r="AO323" i="4" s="1"/>
  <c r="AN335" i="4"/>
  <c r="AO335" i="4" s="1"/>
  <c r="AN324" i="4"/>
  <c r="AO324" i="4" s="1"/>
  <c r="AN327" i="4"/>
  <c r="AO327" i="4" s="1"/>
  <c r="AN340" i="4"/>
  <c r="AO340" i="4" s="1"/>
  <c r="AN332" i="4"/>
  <c r="AO332" i="4" s="1"/>
  <c r="AN329" i="4"/>
  <c r="AO329" i="4" s="1"/>
  <c r="AN325" i="4"/>
  <c r="AO325" i="4" s="1"/>
  <c r="AN337" i="4"/>
  <c r="AO337" i="4" s="1"/>
  <c r="AN326" i="4"/>
  <c r="AO326" i="4" s="1"/>
  <c r="AN334" i="4"/>
  <c r="AO334" i="4" s="1"/>
  <c r="AP341" i="4"/>
  <c r="AP342" i="4"/>
  <c r="AP343" i="4"/>
  <c r="AP344" i="4"/>
  <c r="AP345" i="4"/>
  <c r="AP346" i="4"/>
  <c r="AP347" i="4"/>
  <c r="AP348" i="4"/>
  <c r="AP349" i="4"/>
  <c r="AP350" i="4"/>
  <c r="AM342" i="4"/>
  <c r="AM347" i="4"/>
  <c r="AM348" i="4"/>
  <c r="AM350" i="4"/>
  <c r="AM349" i="4"/>
  <c r="AM344" i="4"/>
  <c r="AM346" i="4"/>
  <c r="AM351" i="4"/>
  <c r="AM343" i="4"/>
  <c r="AM345" i="4"/>
  <c r="AD50" i="23" l="1"/>
  <c r="AF50" i="23" s="1"/>
  <c r="AN348" i="4"/>
  <c r="AO348" i="4" s="1"/>
  <c r="AN349" i="4"/>
  <c r="AO349" i="4" s="1"/>
  <c r="AN346" i="4"/>
  <c r="AO346" i="4" s="1"/>
  <c r="AN351" i="4"/>
  <c r="AO351" i="4" s="1"/>
  <c r="AN343" i="4"/>
  <c r="AO343" i="4" s="1"/>
  <c r="AN345" i="4"/>
  <c r="AO345" i="4" s="1"/>
  <c r="AN350" i="4"/>
  <c r="AO350" i="4" s="1"/>
  <c r="AN342" i="4"/>
  <c r="AO342" i="4" s="1"/>
  <c r="AN347" i="4"/>
  <c r="AO347" i="4" s="1"/>
  <c r="AN344" i="4"/>
  <c r="AO344" i="4" s="1"/>
  <c r="AP351" i="4"/>
  <c r="AP352" i="4"/>
  <c r="AP353" i="4"/>
  <c r="AP354" i="4"/>
  <c r="AP355" i="4"/>
  <c r="AP356" i="4"/>
  <c r="AP357" i="4"/>
  <c r="AP358" i="4"/>
  <c r="AP359" i="4"/>
  <c r="AP360" i="4"/>
  <c r="AP361" i="4"/>
  <c r="AP362" i="4"/>
  <c r="AP363" i="4"/>
  <c r="AP364" i="4"/>
  <c r="AP365" i="4"/>
  <c r="AP366" i="4"/>
  <c r="AP367" i="4"/>
  <c r="AP368" i="4"/>
  <c r="AP369" i="4"/>
  <c r="AP370" i="4"/>
  <c r="AM357" i="4"/>
  <c r="AM369" i="4"/>
  <c r="AG107" i="23"/>
  <c r="AM355" i="4"/>
  <c r="AM362" i="4"/>
  <c r="AM365" i="4"/>
  <c r="AM354" i="4"/>
  <c r="AM371" i="4"/>
  <c r="AM359" i="4"/>
  <c r="AM356" i="4"/>
  <c r="AM364" i="4"/>
  <c r="AM366" i="4"/>
  <c r="AM367" i="4"/>
  <c r="AD110" i="23"/>
  <c r="AM363" i="4"/>
  <c r="AM353" i="4"/>
  <c r="AM370" i="4"/>
  <c r="AM361" i="4"/>
  <c r="AM368" i="4"/>
  <c r="AM352" i="4"/>
  <c r="AM358" i="4"/>
  <c r="AD51" i="23" l="1"/>
  <c r="AF51" i="23" s="1"/>
  <c r="AG124" i="23"/>
  <c r="S65" i="23" s="1"/>
  <c r="S48" i="23"/>
  <c r="P51" i="23"/>
  <c r="AD127" i="23"/>
  <c r="P68" i="23" s="1"/>
  <c r="AN355" i="4"/>
  <c r="AO355" i="4" s="1"/>
  <c r="AN364" i="4"/>
  <c r="AO364" i="4" s="1"/>
  <c r="AN353" i="4"/>
  <c r="AO353" i="4" s="1"/>
  <c r="AN369" i="4"/>
  <c r="AO369" i="4" s="1"/>
  <c r="AN361" i="4"/>
  <c r="AO361" i="4" s="1"/>
  <c r="AN358" i="4"/>
  <c r="AO358" i="4" s="1"/>
  <c r="AN371" i="4"/>
  <c r="AO371" i="4" s="1"/>
  <c r="AN363" i="4"/>
  <c r="AO363" i="4" s="1"/>
  <c r="AN352" i="4"/>
  <c r="AO352" i="4" s="1"/>
  <c r="AN368" i="4"/>
  <c r="AO368" i="4" s="1"/>
  <c r="AN357" i="4"/>
  <c r="AO357" i="4" s="1"/>
  <c r="AN365" i="4"/>
  <c r="AO365" i="4" s="1"/>
  <c r="AN354" i="4"/>
  <c r="AO354" i="4" s="1"/>
  <c r="AN370" i="4"/>
  <c r="AO370" i="4" s="1"/>
  <c r="AN362" i="4"/>
  <c r="AO362" i="4" s="1"/>
  <c r="AN359" i="4"/>
  <c r="AO359" i="4" s="1"/>
  <c r="AN366" i="4"/>
  <c r="AO366" i="4" s="1"/>
  <c r="AN367" i="4"/>
  <c r="AO367" i="4" s="1"/>
  <c r="AN356" i="4"/>
  <c r="AO356" i="4" s="1"/>
  <c r="AP371" i="4"/>
  <c r="AP372" i="4"/>
  <c r="AP373" i="4"/>
  <c r="AP374" i="4"/>
  <c r="AP375" i="4"/>
  <c r="AP376" i="4"/>
  <c r="AP377" i="4"/>
  <c r="AP378" i="4"/>
  <c r="AP379" i="4"/>
  <c r="AP380" i="4"/>
  <c r="AM373" i="4"/>
  <c r="AM375" i="4"/>
  <c r="AM380" i="4"/>
  <c r="AM381" i="4"/>
  <c r="AM374" i="4"/>
  <c r="AM379" i="4"/>
  <c r="AM372" i="4"/>
  <c r="AM378" i="4"/>
  <c r="AM377" i="4"/>
  <c r="AM376" i="4"/>
  <c r="AD53" i="23" l="1"/>
  <c r="AF53" i="23" s="1"/>
  <c r="AN375" i="4"/>
  <c r="AO375" i="4" s="1"/>
  <c r="AN380" i="4"/>
  <c r="AO380" i="4" s="1"/>
  <c r="AN372" i="4"/>
  <c r="AO372" i="4" s="1"/>
  <c r="AN377" i="4"/>
  <c r="AO377" i="4" s="1"/>
  <c r="AN379" i="4"/>
  <c r="AO379" i="4" s="1"/>
  <c r="AN374" i="4"/>
  <c r="AO374" i="4" s="1"/>
  <c r="AN376" i="4"/>
  <c r="AO376" i="4" s="1"/>
  <c r="AN381" i="4"/>
  <c r="AO381" i="4" s="1"/>
  <c r="AN373" i="4"/>
  <c r="AO373" i="4" s="1"/>
  <c r="AN378" i="4"/>
  <c r="AO378" i="4" s="1"/>
  <c r="AP381" i="4"/>
  <c r="AP382" i="4"/>
  <c r="AP383" i="4"/>
  <c r="AP384" i="4"/>
  <c r="AP385" i="4"/>
  <c r="AP386" i="4"/>
  <c r="AP387" i="4"/>
  <c r="AP388" i="4"/>
  <c r="AP389" i="4"/>
  <c r="AP390" i="4"/>
  <c r="AP391" i="4"/>
  <c r="AP392" i="4"/>
  <c r="AP393" i="4"/>
  <c r="AP394" i="4"/>
  <c r="AP395" i="4"/>
  <c r="AP396" i="4"/>
  <c r="AP397" i="4"/>
  <c r="AP398" i="4"/>
  <c r="AP399" i="4"/>
  <c r="AP400" i="4"/>
  <c r="AM394" i="4"/>
  <c r="AM382" i="4"/>
  <c r="AM393" i="4"/>
  <c r="AM387" i="4"/>
  <c r="AM401" i="4"/>
  <c r="AM388" i="4"/>
  <c r="AM391" i="4"/>
  <c r="AM384" i="4"/>
  <c r="AM389" i="4"/>
  <c r="AM399" i="4"/>
  <c r="AM395" i="4"/>
  <c r="AM397" i="4"/>
  <c r="AM396" i="4"/>
  <c r="AM400" i="4"/>
  <c r="AM386" i="4"/>
  <c r="AM385" i="4"/>
  <c r="AM398" i="4"/>
  <c r="AM383" i="4"/>
  <c r="AM392" i="4"/>
  <c r="AD54" i="23" l="1"/>
  <c r="AF54" i="23" s="1"/>
  <c r="AN389" i="4"/>
  <c r="AO389" i="4" s="1"/>
  <c r="AN394" i="4"/>
  <c r="AO394" i="4" s="1"/>
  <c r="AN383" i="4"/>
  <c r="AO383" i="4" s="1"/>
  <c r="AN399" i="4"/>
  <c r="AO399" i="4" s="1"/>
  <c r="AN391" i="4"/>
  <c r="AO391" i="4" s="1"/>
  <c r="AN388" i="4"/>
  <c r="AO388" i="4" s="1"/>
  <c r="AN396" i="4"/>
  <c r="AO396" i="4" s="1"/>
  <c r="AN385" i="4"/>
  <c r="AO385" i="4" s="1"/>
  <c r="AN393" i="4"/>
  <c r="AO393" i="4" s="1"/>
  <c r="AN382" i="4"/>
  <c r="AO382" i="4" s="1"/>
  <c r="AN400" i="4"/>
  <c r="AO400" i="4" s="1"/>
  <c r="AN392" i="4"/>
  <c r="AO392" i="4" s="1"/>
  <c r="AN398" i="4"/>
  <c r="AO398" i="4" s="1"/>
  <c r="AN387" i="4"/>
  <c r="AO387" i="4" s="1"/>
  <c r="AN395" i="4"/>
  <c r="AO395" i="4" s="1"/>
  <c r="AN384" i="4"/>
  <c r="AO384" i="4" s="1"/>
  <c r="AN401" i="4"/>
  <c r="AO401" i="4" s="1"/>
  <c r="AN397" i="4"/>
  <c r="AO397" i="4" s="1"/>
  <c r="AN386" i="4"/>
  <c r="AO386" i="4" s="1"/>
  <c r="AD56" i="23"/>
  <c r="AF56" i="23" s="1"/>
  <c r="AP401" i="4"/>
  <c r="AP402" i="4"/>
  <c r="AP403" i="4"/>
  <c r="AP404" i="4"/>
  <c r="AP405" i="4"/>
  <c r="AP406" i="4"/>
  <c r="AP407" i="4"/>
  <c r="AP408" i="4"/>
  <c r="AP409" i="4"/>
  <c r="AP410" i="4"/>
  <c r="AM406" i="4"/>
  <c r="AM409" i="4"/>
  <c r="AC111" i="23"/>
  <c r="AG108" i="23"/>
  <c r="AM405" i="4"/>
  <c r="AM402" i="4"/>
  <c r="AM411" i="4"/>
  <c r="AM404" i="4"/>
  <c r="AM408" i="4"/>
  <c r="AM407" i="4"/>
  <c r="AF109" i="23"/>
  <c r="AM403" i="4"/>
  <c r="AM410" i="4"/>
  <c r="AE110" i="23"/>
  <c r="AN408" i="4" l="1"/>
  <c r="AO408" i="4" s="1"/>
  <c r="AN405" i="4"/>
  <c r="AO405" i="4" s="1"/>
  <c r="AN410" i="4"/>
  <c r="AO410" i="4" s="1"/>
  <c r="AN402" i="4"/>
  <c r="AO402" i="4" s="1"/>
  <c r="AN409" i="4"/>
  <c r="AO409" i="4" s="1"/>
  <c r="AN407" i="4"/>
  <c r="AO407" i="4" s="1"/>
  <c r="AN404" i="4"/>
  <c r="AO404" i="4" s="1"/>
  <c r="AN406" i="4"/>
  <c r="AO406" i="4" s="1"/>
  <c r="AN411" i="4"/>
  <c r="AO411" i="4" s="1"/>
  <c r="AN403" i="4"/>
  <c r="AO403" i="4" s="1"/>
  <c r="S49" i="23"/>
  <c r="AG125" i="23"/>
  <c r="S66" i="23" s="1"/>
  <c r="R50" i="23"/>
  <c r="AF126" i="23"/>
  <c r="R67" i="23" s="1"/>
  <c r="AE127" i="23"/>
  <c r="Q68" i="23" s="1"/>
  <c r="Q51" i="23"/>
  <c r="AC128" i="23"/>
  <c r="O69" i="23" s="1"/>
  <c r="O52" i="23"/>
  <c r="AD57" i="23"/>
  <c r="AF57" i="23" s="1"/>
  <c r="AP411" i="4"/>
  <c r="AP412" i="4"/>
  <c r="AP413" i="4"/>
  <c r="AP414" i="4"/>
  <c r="AP415" i="4"/>
  <c r="AP416" i="4"/>
  <c r="AP417" i="4"/>
  <c r="AP418" i="4"/>
  <c r="AP419" i="4"/>
  <c r="AP420" i="4"/>
  <c r="AP421" i="4"/>
  <c r="AP422" i="4"/>
  <c r="AP423" i="4"/>
  <c r="AP424" i="4"/>
  <c r="AP425" i="4"/>
  <c r="AP426" i="4"/>
  <c r="AP427" i="4"/>
  <c r="AP428" i="4"/>
  <c r="AP429" i="4"/>
  <c r="AP430" i="4"/>
  <c r="AM425" i="4"/>
  <c r="AM422" i="4"/>
  <c r="AM417" i="4"/>
  <c r="AM424" i="4"/>
  <c r="AM428" i="4"/>
  <c r="AM427" i="4"/>
  <c r="AM413" i="4"/>
  <c r="AM431" i="4"/>
  <c r="AM414" i="4"/>
  <c r="AM416" i="4"/>
  <c r="AM419" i="4"/>
  <c r="AM429" i="4"/>
  <c r="AM423" i="4"/>
  <c r="AM412" i="4"/>
  <c r="AM418" i="4"/>
  <c r="AM415" i="4"/>
  <c r="AM421" i="4"/>
  <c r="AM426" i="4"/>
  <c r="AM430" i="4"/>
  <c r="AN414" i="4" l="1"/>
  <c r="AO414" i="4" s="1"/>
  <c r="AN424" i="4"/>
  <c r="AO424" i="4" s="1"/>
  <c r="AN413" i="4"/>
  <c r="AO413" i="4" s="1"/>
  <c r="AN429" i="4"/>
  <c r="AO429" i="4" s="1"/>
  <c r="AN421" i="4"/>
  <c r="AO421" i="4" s="1"/>
  <c r="AN418" i="4"/>
  <c r="AO418" i="4" s="1"/>
  <c r="AN426" i="4"/>
  <c r="AO426" i="4" s="1"/>
  <c r="AN415" i="4"/>
  <c r="AO415" i="4" s="1"/>
  <c r="AN423" i="4"/>
  <c r="AO423" i="4" s="1"/>
  <c r="AN412" i="4"/>
  <c r="AO412" i="4" s="1"/>
  <c r="AN425" i="4"/>
  <c r="AO425" i="4" s="1"/>
  <c r="AN431" i="4"/>
  <c r="AO431" i="4" s="1"/>
  <c r="AN428" i="4"/>
  <c r="AO428" i="4" s="1"/>
  <c r="AN417" i="4"/>
  <c r="AO417" i="4" s="1"/>
  <c r="AN430" i="4"/>
  <c r="AO430" i="4" s="1"/>
  <c r="AN422" i="4"/>
  <c r="AO422" i="4" s="1"/>
  <c r="AN419" i="4"/>
  <c r="AO419" i="4" s="1"/>
  <c r="AN427" i="4"/>
  <c r="AO427" i="4" s="1"/>
  <c r="AN416" i="4"/>
  <c r="AO416" i="4" s="1"/>
  <c r="AP431" i="4"/>
  <c r="AP432" i="4"/>
  <c r="AP433" i="4"/>
  <c r="AP434" i="4"/>
  <c r="AP435" i="4"/>
  <c r="AP436" i="4"/>
  <c r="AP437" i="4"/>
  <c r="AP438" i="4"/>
  <c r="AP439" i="4"/>
  <c r="AP440" i="4"/>
  <c r="AM438" i="4"/>
  <c r="AM433" i="4"/>
  <c r="AM436" i="4"/>
  <c r="AM440" i="4"/>
  <c r="AM441" i="4"/>
  <c r="AM437" i="4"/>
  <c r="AM434" i="4"/>
  <c r="AM439" i="4"/>
  <c r="AM432" i="4"/>
  <c r="AM435" i="4"/>
  <c r="AD59" i="23" l="1"/>
  <c r="AF59" i="23" s="1"/>
  <c r="AN434" i="4"/>
  <c r="AO434" i="4" s="1"/>
  <c r="AN439" i="4"/>
  <c r="AO439" i="4" s="1"/>
  <c r="AN441" i="4"/>
  <c r="AO441" i="4" s="1"/>
  <c r="AN433" i="4"/>
  <c r="AO433" i="4" s="1"/>
  <c r="AN438" i="4"/>
  <c r="AO438" i="4" s="1"/>
  <c r="AN436" i="4"/>
  <c r="AO436" i="4" s="1"/>
  <c r="AN435" i="4"/>
  <c r="AO435" i="4" s="1"/>
  <c r="AN440" i="4"/>
  <c r="AO440" i="4" s="1"/>
  <c r="AN432" i="4"/>
  <c r="AO432" i="4" s="1"/>
  <c r="AN437" i="4"/>
  <c r="AO437" i="4" s="1"/>
  <c r="AP441" i="4"/>
  <c r="AP442" i="4"/>
  <c r="AP443" i="4"/>
  <c r="AP444" i="4"/>
  <c r="AP445" i="4"/>
  <c r="AP446" i="4"/>
  <c r="AP447" i="4"/>
  <c r="AP448" i="4"/>
  <c r="AP449" i="4"/>
  <c r="AP450" i="4"/>
  <c r="AP451" i="4"/>
  <c r="AP452" i="4"/>
  <c r="AP453" i="4"/>
  <c r="AP454" i="4"/>
  <c r="AP455" i="4"/>
  <c r="AP456" i="4"/>
  <c r="AP457" i="4"/>
  <c r="AP458" i="4"/>
  <c r="AP459" i="4"/>
  <c r="AP460" i="4"/>
  <c r="AM442" i="4"/>
  <c r="AM443" i="4"/>
  <c r="AM449" i="4"/>
  <c r="AM454" i="4"/>
  <c r="AH107" i="23"/>
  <c r="AM455" i="4"/>
  <c r="AM444" i="4"/>
  <c r="AM447" i="4"/>
  <c r="AM448" i="4"/>
  <c r="AM452" i="4"/>
  <c r="AM460" i="4"/>
  <c r="AM459" i="4"/>
  <c r="AM446" i="4"/>
  <c r="AM461" i="4"/>
  <c r="AM453" i="4"/>
  <c r="AM451" i="4"/>
  <c r="AM457" i="4"/>
  <c r="AD111" i="23"/>
  <c r="AM456" i="4"/>
  <c r="AM458" i="4"/>
  <c r="AM445" i="4"/>
  <c r="P52" i="23" l="1"/>
  <c r="AD128" i="23"/>
  <c r="P69" i="23" s="1"/>
  <c r="T48" i="23"/>
  <c r="AH124" i="23"/>
  <c r="T65" i="23" s="1"/>
  <c r="AD60" i="23"/>
  <c r="AF60" i="23" s="1"/>
  <c r="AN448" i="4"/>
  <c r="AO448" i="4" s="1"/>
  <c r="AN454" i="4"/>
  <c r="AO454" i="4" s="1"/>
  <c r="AN443" i="4"/>
  <c r="AO443" i="4" s="1"/>
  <c r="AN456" i="4"/>
  <c r="AO456" i="4" s="1"/>
  <c r="AN445" i="4"/>
  <c r="AO445" i="4" s="1"/>
  <c r="AN461" i="4"/>
  <c r="AO461" i="4" s="1"/>
  <c r="AN453" i="4"/>
  <c r="AO453" i="4" s="1"/>
  <c r="AN442" i="4"/>
  <c r="AO442" i="4" s="1"/>
  <c r="AN459" i="4"/>
  <c r="AO459" i="4" s="1"/>
  <c r="AN458" i="4"/>
  <c r="AO458" i="4" s="1"/>
  <c r="AN447" i="4"/>
  <c r="AO447" i="4" s="1"/>
  <c r="AN455" i="4"/>
  <c r="AO455" i="4" s="1"/>
  <c r="AN444" i="4"/>
  <c r="AO444" i="4" s="1"/>
  <c r="AN451" i="4"/>
  <c r="AO451" i="4" s="1"/>
  <c r="AN460" i="4"/>
  <c r="AO460" i="4" s="1"/>
  <c r="AN452" i="4"/>
  <c r="AO452" i="4" s="1"/>
  <c r="AN449" i="4"/>
  <c r="AO449" i="4" s="1"/>
  <c r="AN457" i="4"/>
  <c r="AO457" i="4" s="1"/>
  <c r="AN446" i="4"/>
  <c r="AO446" i="4" s="1"/>
  <c r="AD62" i="23"/>
  <c r="AF62" i="23" s="1"/>
  <c r="AP461" i="4"/>
  <c r="AP462" i="4"/>
  <c r="AP463" i="4"/>
  <c r="AP464" i="4"/>
  <c r="AP465" i="4"/>
  <c r="AP466" i="4"/>
  <c r="AP467" i="4"/>
  <c r="AP468" i="4"/>
  <c r="AP469" i="4"/>
  <c r="AP470" i="4"/>
  <c r="AM465" i="4"/>
  <c r="AM463" i="4"/>
  <c r="AM464" i="4"/>
  <c r="AM469" i="4"/>
  <c r="AM471" i="4"/>
  <c r="AM466" i="4"/>
  <c r="AM468" i="4"/>
  <c r="AM470" i="4"/>
  <c r="AM462" i="4"/>
  <c r="AM467" i="4"/>
  <c r="AN465" i="4" l="1"/>
  <c r="AO465" i="4" s="1"/>
  <c r="AN470" i="4"/>
  <c r="AO470" i="4" s="1"/>
  <c r="AN462" i="4"/>
  <c r="AO462" i="4" s="1"/>
  <c r="AN464" i="4"/>
  <c r="AO464" i="4" s="1"/>
  <c r="AN469" i="4"/>
  <c r="AO469" i="4" s="1"/>
  <c r="AN466" i="4"/>
  <c r="AO466" i="4" s="1"/>
  <c r="AN467" i="4"/>
  <c r="AO467" i="4" s="1"/>
  <c r="AN471" i="4"/>
  <c r="AO471" i="4" s="1"/>
  <c r="AN463" i="4"/>
  <c r="AO463" i="4" s="1"/>
  <c r="AN468" i="4"/>
  <c r="AO468" i="4" s="1"/>
  <c r="AP471" i="4"/>
  <c r="AP472" i="4"/>
  <c r="AP473" i="4"/>
  <c r="AP474" i="4"/>
  <c r="AP475" i="4"/>
  <c r="AP476" i="4"/>
  <c r="AP477" i="4"/>
  <c r="AP478" i="4"/>
  <c r="AP479" i="4"/>
  <c r="AP480" i="4"/>
  <c r="AP481" i="4"/>
  <c r="AP482" i="4"/>
  <c r="AP483" i="4"/>
  <c r="AP484" i="4"/>
  <c r="AP485" i="4"/>
  <c r="AP486" i="4"/>
  <c r="AP487" i="4"/>
  <c r="AP488" i="4"/>
  <c r="AP489" i="4"/>
  <c r="AP490" i="4"/>
  <c r="AM489" i="4"/>
  <c r="AM488" i="4"/>
  <c r="AM479" i="4"/>
  <c r="AM474" i="4"/>
  <c r="AM486" i="4"/>
  <c r="AM478" i="4"/>
  <c r="AM473" i="4"/>
  <c r="AM487" i="4"/>
  <c r="AM490" i="4"/>
  <c r="AM483" i="4"/>
  <c r="AM484" i="4"/>
  <c r="AM472" i="4"/>
  <c r="AM476" i="4"/>
  <c r="AM477" i="4"/>
  <c r="AM491" i="4"/>
  <c r="AM475" i="4"/>
  <c r="AM485" i="4"/>
  <c r="AM481" i="4"/>
  <c r="AM482" i="4"/>
  <c r="AD63" i="23" l="1"/>
  <c r="AF63" i="23" s="1"/>
  <c r="AN482" i="4"/>
  <c r="AO482" i="4" s="1"/>
  <c r="AN484" i="4"/>
  <c r="AO484" i="4" s="1"/>
  <c r="AN473" i="4"/>
  <c r="AO473" i="4" s="1"/>
  <c r="AN489" i="4"/>
  <c r="AO489" i="4" s="1"/>
  <c r="AN481" i="4"/>
  <c r="AO481" i="4" s="1"/>
  <c r="AN478" i="4"/>
  <c r="AO478" i="4" s="1"/>
  <c r="AN486" i="4"/>
  <c r="AO486" i="4" s="1"/>
  <c r="AN475" i="4"/>
  <c r="AO475" i="4" s="1"/>
  <c r="AN490" i="4"/>
  <c r="AO490" i="4" s="1"/>
  <c r="AN479" i="4"/>
  <c r="AO479" i="4" s="1"/>
  <c r="AN483" i="4"/>
  <c r="AO483" i="4" s="1"/>
  <c r="AN472" i="4"/>
  <c r="AO472" i="4" s="1"/>
  <c r="AN488" i="4"/>
  <c r="AO488" i="4" s="1"/>
  <c r="AN477" i="4"/>
  <c r="AO477" i="4" s="1"/>
  <c r="AN485" i="4"/>
  <c r="AO485" i="4" s="1"/>
  <c r="AN474" i="4"/>
  <c r="AO474" i="4" s="1"/>
  <c r="AN491" i="4"/>
  <c r="AO491" i="4" s="1"/>
  <c r="AN487" i="4"/>
  <c r="AO487" i="4" s="1"/>
  <c r="AN476" i="4"/>
  <c r="AO476" i="4" s="1"/>
  <c r="AP491" i="4"/>
  <c r="AP492" i="4"/>
  <c r="AP493" i="4"/>
  <c r="AP494" i="4"/>
  <c r="AP495" i="4"/>
  <c r="AP496" i="4"/>
  <c r="AP497" i="4"/>
  <c r="AP498" i="4"/>
  <c r="AP499" i="4"/>
  <c r="AP500" i="4"/>
  <c r="AM495" i="4"/>
  <c r="AM492" i="4"/>
  <c r="AM493" i="4"/>
  <c r="AM497" i="4"/>
  <c r="AM499" i="4"/>
  <c r="AM500" i="4"/>
  <c r="AM496" i="4"/>
  <c r="AM501" i="4"/>
  <c r="AM494" i="4"/>
  <c r="AM498" i="4"/>
  <c r="AD65" i="23" l="1"/>
  <c r="AF65" i="23" s="1"/>
  <c r="AN501" i="4"/>
  <c r="AO501" i="4" s="1"/>
  <c r="AN498" i="4"/>
  <c r="AO498" i="4" s="1"/>
  <c r="AN493" i="4"/>
  <c r="AO493" i="4" s="1"/>
  <c r="AN495" i="4"/>
  <c r="AO495" i="4" s="1"/>
  <c r="AN500" i="4"/>
  <c r="AO500" i="4" s="1"/>
  <c r="AN492" i="4"/>
  <c r="AO492" i="4" s="1"/>
  <c r="AN497" i="4"/>
  <c r="AO497" i="4" s="1"/>
  <c r="AN494" i="4"/>
  <c r="AO494" i="4" s="1"/>
  <c r="AN499" i="4"/>
  <c r="AO499" i="4" s="1"/>
  <c r="AN496" i="4"/>
  <c r="AO496" i="4" s="1"/>
  <c r="AP501" i="4"/>
  <c r="AP502" i="4"/>
  <c r="AP503" i="4"/>
  <c r="AP504" i="4"/>
  <c r="AP505" i="4"/>
  <c r="AP506" i="4"/>
  <c r="AP507" i="4"/>
  <c r="AP508" i="4"/>
  <c r="AP509" i="4"/>
  <c r="AP510" i="4"/>
  <c r="AP511" i="4"/>
  <c r="AP512" i="4"/>
  <c r="AP513" i="4"/>
  <c r="AP514" i="4"/>
  <c r="AP515" i="4"/>
  <c r="AP516" i="4"/>
  <c r="AP517" i="4"/>
  <c r="AP518" i="4"/>
  <c r="AP519" i="4"/>
  <c r="AP520" i="4"/>
  <c r="AE111" i="23"/>
  <c r="AM503" i="4"/>
  <c r="AM502" i="4"/>
  <c r="AM516" i="4"/>
  <c r="AM511" i="4"/>
  <c r="AG109" i="23"/>
  <c r="AM509" i="4"/>
  <c r="AM513" i="4"/>
  <c r="AM517" i="4"/>
  <c r="AM507" i="4"/>
  <c r="AM520" i="4"/>
  <c r="AM521" i="4"/>
  <c r="AF110" i="23"/>
  <c r="AM518" i="4"/>
  <c r="AM514" i="4"/>
  <c r="AM512" i="4"/>
  <c r="AM505" i="4"/>
  <c r="AM519" i="4"/>
  <c r="AM506" i="4"/>
  <c r="AM515" i="4"/>
  <c r="AH108" i="23"/>
  <c r="AM508" i="4"/>
  <c r="AM504" i="4"/>
  <c r="S50" i="23" l="1"/>
  <c r="AG126" i="23"/>
  <c r="S67" i="23" s="1"/>
  <c r="AE128" i="23"/>
  <c r="Q69" i="23" s="1"/>
  <c r="Q52" i="23"/>
  <c r="AF127" i="23"/>
  <c r="R68" i="23" s="1"/>
  <c r="R51" i="23"/>
  <c r="T49" i="23"/>
  <c r="AH125" i="23"/>
  <c r="T66" i="23" s="1"/>
  <c r="AD66" i="23"/>
  <c r="AF66" i="23" s="1"/>
  <c r="AN514" i="4"/>
  <c r="AO514" i="4" s="1"/>
  <c r="AN503" i="4"/>
  <c r="AO503" i="4" s="1"/>
  <c r="AN519" i="4"/>
  <c r="AO519" i="4" s="1"/>
  <c r="AN511" i="4"/>
  <c r="AO511" i="4" s="1"/>
  <c r="AN508" i="4"/>
  <c r="AO508" i="4" s="1"/>
  <c r="AN516" i="4"/>
  <c r="AO516" i="4" s="1"/>
  <c r="AN505" i="4"/>
  <c r="AO505" i="4" s="1"/>
  <c r="AN518" i="4"/>
  <c r="AO518" i="4" s="1"/>
  <c r="AN521" i="4"/>
  <c r="AO521" i="4" s="1"/>
  <c r="AN513" i="4"/>
  <c r="AO513" i="4" s="1"/>
  <c r="AN502" i="4"/>
  <c r="AO502" i="4" s="1"/>
  <c r="AN515" i="4"/>
  <c r="AO515" i="4" s="1"/>
  <c r="AN504" i="4"/>
  <c r="AO504" i="4" s="1"/>
  <c r="AN507" i="4"/>
  <c r="AO507" i="4" s="1"/>
  <c r="AN520" i="4"/>
  <c r="AO520" i="4" s="1"/>
  <c r="AN512" i="4"/>
  <c r="AO512" i="4" s="1"/>
  <c r="AN509" i="4"/>
  <c r="AO509" i="4" s="1"/>
  <c r="AN517" i="4"/>
  <c r="AO517" i="4" s="1"/>
  <c r="AN506" i="4"/>
  <c r="AO506" i="4" s="1"/>
  <c r="AP521" i="4"/>
  <c r="AP522" i="4"/>
  <c r="AP523" i="4"/>
  <c r="AP524" i="4"/>
  <c r="AP525" i="4"/>
  <c r="AP526" i="4"/>
  <c r="AP527" i="4"/>
  <c r="AP528" i="4"/>
  <c r="AP529" i="4"/>
  <c r="AP530" i="4"/>
  <c r="AM527" i="4"/>
  <c r="AM523" i="4"/>
  <c r="AM528" i="4"/>
  <c r="AM531" i="4"/>
  <c r="AM529" i="4"/>
  <c r="AM525" i="4"/>
  <c r="AM524" i="4"/>
  <c r="AM530" i="4"/>
  <c r="AM526" i="4"/>
  <c r="AM522" i="4"/>
  <c r="AD68" i="23" l="1"/>
  <c r="AF68" i="23" s="1"/>
  <c r="AN527" i="4"/>
  <c r="AO527" i="4" s="1"/>
  <c r="AN525" i="4"/>
  <c r="AO525" i="4" s="1"/>
  <c r="AN530" i="4"/>
  <c r="AO530" i="4" s="1"/>
  <c r="AN522" i="4"/>
  <c r="AO522" i="4" s="1"/>
  <c r="AN524" i="4"/>
  <c r="AO524" i="4" s="1"/>
  <c r="AN529" i="4"/>
  <c r="AO529" i="4" s="1"/>
  <c r="AN526" i="4"/>
  <c r="AO526" i="4" s="1"/>
  <c r="AN531" i="4"/>
  <c r="AO531" i="4" s="1"/>
  <c r="AN523" i="4"/>
  <c r="AO523" i="4" s="1"/>
  <c r="AN528" i="4"/>
  <c r="AO528" i="4" s="1"/>
  <c r="AD69" i="23"/>
  <c r="AF69" i="23" s="1"/>
  <c r="AP531" i="4"/>
  <c r="AP532" i="4"/>
  <c r="AP533" i="4"/>
  <c r="AP534" i="4"/>
  <c r="AP535" i="4"/>
  <c r="AP536" i="4"/>
  <c r="AP537" i="4"/>
  <c r="AP538" i="4"/>
  <c r="AP539" i="4"/>
  <c r="AP540" i="4"/>
  <c r="AP541" i="4"/>
  <c r="AP542" i="4"/>
  <c r="AP543" i="4"/>
  <c r="AP544" i="4"/>
  <c r="AP545" i="4"/>
  <c r="AP546" i="4"/>
  <c r="AP547" i="4"/>
  <c r="AP548" i="4"/>
  <c r="AP549" i="4"/>
  <c r="AP550" i="4"/>
  <c r="AP551" i="4"/>
  <c r="AP552" i="4"/>
  <c r="AP553" i="4"/>
  <c r="AP554" i="4"/>
  <c r="AP555" i="4"/>
  <c r="AP556" i="4"/>
  <c r="AP557" i="4"/>
  <c r="AP558" i="4"/>
  <c r="AP559" i="4"/>
  <c r="AP560" i="4"/>
  <c r="AP561" i="4"/>
  <c r="AP562" i="4"/>
  <c r="AP563" i="4"/>
  <c r="AP564" i="4"/>
  <c r="AP565" i="4"/>
  <c r="AP566" i="4"/>
  <c r="AP567" i="4"/>
  <c r="AP568" i="4"/>
  <c r="AP569" i="4"/>
  <c r="AP570" i="4"/>
  <c r="AP571" i="4"/>
  <c r="AP572" i="4"/>
  <c r="AP573" i="4"/>
  <c r="AP574" i="4"/>
  <c r="AP575" i="4"/>
  <c r="AP576" i="4"/>
  <c r="AP577" i="4"/>
  <c r="AP578" i="4"/>
  <c r="AP579" i="4"/>
  <c r="AP580" i="4"/>
  <c r="AM545" i="4"/>
  <c r="AM534" i="4"/>
  <c r="AM558" i="4"/>
  <c r="AM568" i="4"/>
  <c r="AM548" i="4"/>
  <c r="AM557" i="4"/>
  <c r="AM563" i="4"/>
  <c r="AM559" i="4"/>
  <c r="AM542" i="4"/>
  <c r="AM566" i="4"/>
  <c r="AM564" i="4"/>
  <c r="AM565" i="4"/>
  <c r="AM561" i="4"/>
  <c r="AM574" i="4"/>
  <c r="AM552" i="4"/>
  <c r="AM579" i="4"/>
  <c r="AM567" i="4"/>
  <c r="AM556" i="4"/>
  <c r="AM546" i="4"/>
  <c r="AM547" i="4"/>
  <c r="AM572" i="4"/>
  <c r="AM554" i="4"/>
  <c r="AM560" i="4"/>
  <c r="AM581" i="4"/>
  <c r="AM555" i="4"/>
  <c r="AM549" i="4"/>
  <c r="AM571" i="4"/>
  <c r="AM569" i="4"/>
  <c r="AM573" i="4"/>
  <c r="AM551" i="4"/>
  <c r="AM577" i="4"/>
  <c r="AM537" i="4"/>
  <c r="AM532" i="4"/>
  <c r="AM541" i="4"/>
  <c r="AM533" i="4"/>
  <c r="AM550" i="4"/>
  <c r="AM580" i="4"/>
  <c r="AM575" i="4"/>
  <c r="AM543" i="4"/>
  <c r="AM544" i="4"/>
  <c r="AM562" i="4"/>
  <c r="AM576" i="4"/>
  <c r="AM538" i="4"/>
  <c r="AM553" i="4"/>
  <c r="AM536" i="4"/>
  <c r="AM539" i="4"/>
  <c r="AM535" i="4"/>
  <c r="AM578" i="4"/>
  <c r="AN565" i="4" l="1"/>
  <c r="AO565" i="4" s="1"/>
  <c r="AN557" i="4"/>
  <c r="AO557" i="4" s="1"/>
  <c r="AN549" i="4"/>
  <c r="AO549" i="4" s="1"/>
  <c r="AN541" i="4"/>
  <c r="AO541" i="4" s="1"/>
  <c r="AN538" i="4"/>
  <c r="AO538" i="4" s="1"/>
  <c r="AN573" i="4"/>
  <c r="AO573" i="4" s="1"/>
  <c r="AN562" i="4"/>
  <c r="AO562" i="4" s="1"/>
  <c r="AN554" i="4"/>
  <c r="AO554" i="4" s="1"/>
  <c r="AN546" i="4"/>
  <c r="AO546" i="4" s="1"/>
  <c r="AN535" i="4"/>
  <c r="AO535" i="4" s="1"/>
  <c r="AN558" i="4"/>
  <c r="AO558" i="4" s="1"/>
  <c r="AN576" i="4"/>
  <c r="AO576" i="4" s="1"/>
  <c r="AN578" i="4"/>
  <c r="AO578" i="4" s="1"/>
  <c r="AN567" i="4"/>
  <c r="AO567" i="4" s="1"/>
  <c r="AN559" i="4"/>
  <c r="AO559" i="4" s="1"/>
  <c r="AN551" i="4"/>
  <c r="AO551" i="4" s="1"/>
  <c r="AN543" i="4"/>
  <c r="AO543" i="4" s="1"/>
  <c r="AN532" i="4"/>
  <c r="AO532" i="4" s="1"/>
  <c r="AN566" i="4"/>
  <c r="AO566" i="4" s="1"/>
  <c r="AN575" i="4"/>
  <c r="AO575" i="4" s="1"/>
  <c r="AN564" i="4"/>
  <c r="AO564" i="4" s="1"/>
  <c r="AN556" i="4"/>
  <c r="AO556" i="4" s="1"/>
  <c r="AN548" i="4"/>
  <c r="AO548" i="4" s="1"/>
  <c r="AN537" i="4"/>
  <c r="AO537" i="4" s="1"/>
  <c r="AN577" i="4"/>
  <c r="AO577" i="4" s="1"/>
  <c r="AN550" i="4"/>
  <c r="AO550" i="4" s="1"/>
  <c r="AN580" i="4"/>
  <c r="AO580" i="4" s="1"/>
  <c r="AN572" i="4"/>
  <c r="AO572" i="4" s="1"/>
  <c r="AN569" i="4"/>
  <c r="AO569" i="4" s="1"/>
  <c r="AN561" i="4"/>
  <c r="AO561" i="4" s="1"/>
  <c r="AN553" i="4"/>
  <c r="AO553" i="4" s="1"/>
  <c r="AN545" i="4"/>
  <c r="AO545" i="4" s="1"/>
  <c r="AN534" i="4"/>
  <c r="AO534" i="4" s="1"/>
  <c r="AN542" i="4"/>
  <c r="AO542" i="4" s="1"/>
  <c r="AN539" i="4"/>
  <c r="AO539" i="4" s="1"/>
  <c r="AN581" i="4"/>
  <c r="AO581" i="4" s="1"/>
  <c r="AN574" i="4"/>
  <c r="AO574" i="4" s="1"/>
  <c r="AN563" i="4"/>
  <c r="AO563" i="4" s="1"/>
  <c r="AN555" i="4"/>
  <c r="AO555" i="4" s="1"/>
  <c r="AN547" i="4"/>
  <c r="AO547" i="4" s="1"/>
  <c r="AN536" i="4"/>
  <c r="AO536" i="4" s="1"/>
  <c r="AN579" i="4"/>
  <c r="AO579" i="4" s="1"/>
  <c r="AN571" i="4"/>
  <c r="AO571" i="4" s="1"/>
  <c r="AN568" i="4"/>
  <c r="AO568" i="4" s="1"/>
  <c r="AN560" i="4"/>
  <c r="AO560" i="4" s="1"/>
  <c r="AN552" i="4"/>
  <c r="AO552" i="4" s="1"/>
  <c r="AN544" i="4"/>
  <c r="AO544" i="4" s="1"/>
  <c r="AN533" i="4"/>
  <c r="AO533" i="4" s="1"/>
  <c r="AP581" i="4"/>
  <c r="AP582" i="4"/>
  <c r="AP583" i="4"/>
  <c r="AP584" i="4"/>
  <c r="AP585" i="4"/>
  <c r="AP586" i="4"/>
  <c r="AP587" i="4"/>
  <c r="AP588" i="4"/>
  <c r="AP589" i="4"/>
  <c r="AP590" i="4"/>
  <c r="AP591" i="4"/>
  <c r="AP592" i="4"/>
  <c r="AP593" i="4"/>
  <c r="AP594" i="4"/>
  <c r="AP595" i="4"/>
  <c r="AP596" i="4"/>
  <c r="AP597" i="4"/>
  <c r="AP598" i="4"/>
  <c r="AP599" i="4"/>
  <c r="AP600" i="4"/>
  <c r="AP601" i="4"/>
  <c r="AP602" i="4"/>
  <c r="AP603" i="4"/>
  <c r="AP604" i="4"/>
  <c r="AP605" i="4"/>
  <c r="AP606" i="4"/>
  <c r="AP607" i="4"/>
  <c r="AP608" i="4"/>
  <c r="AP609" i="4"/>
  <c r="AP610" i="4"/>
  <c r="AP611" i="4"/>
  <c r="AP612" i="4"/>
  <c r="AP613" i="4"/>
  <c r="AP614" i="4"/>
  <c r="AP615" i="4"/>
  <c r="AP616" i="4"/>
  <c r="AP617" i="4"/>
  <c r="AP618" i="4"/>
  <c r="AP619" i="4"/>
  <c r="AP620" i="4"/>
  <c r="AP621" i="4"/>
  <c r="AP622" i="4"/>
  <c r="AP623" i="4"/>
  <c r="AP624" i="4"/>
  <c r="AP625" i="4"/>
  <c r="AP626" i="4"/>
  <c r="AP627" i="4"/>
  <c r="AP628" i="4"/>
  <c r="AP629" i="4"/>
  <c r="AP630" i="4"/>
  <c r="AP631" i="4"/>
  <c r="AP632" i="4"/>
  <c r="AP633" i="4"/>
  <c r="AP634" i="4"/>
  <c r="AP635" i="4"/>
  <c r="AP636" i="4"/>
  <c r="AP637" i="4"/>
  <c r="AP638" i="4"/>
  <c r="AP639" i="4"/>
  <c r="AP640" i="4"/>
  <c r="AP641" i="4"/>
  <c r="AP642" i="4"/>
  <c r="AP643" i="4"/>
  <c r="AP644" i="4"/>
  <c r="AP645" i="4"/>
  <c r="AP646" i="4"/>
  <c r="AP647" i="4"/>
  <c r="AP648" i="4"/>
  <c r="AP649" i="4"/>
  <c r="AP650" i="4"/>
  <c r="AP651" i="4"/>
  <c r="AP652" i="4"/>
  <c r="AP653" i="4"/>
  <c r="AP654" i="4"/>
  <c r="AP655" i="4"/>
  <c r="AP656" i="4"/>
  <c r="AP657" i="4"/>
  <c r="AP658" i="4"/>
  <c r="AP659" i="4"/>
  <c r="AP660" i="4"/>
  <c r="AP661" i="4"/>
  <c r="AP662" i="4"/>
  <c r="AP663" i="4"/>
  <c r="AP664" i="4"/>
  <c r="AP665" i="4"/>
  <c r="AP666" i="4"/>
  <c r="AP667" i="4"/>
  <c r="AP668" i="4"/>
  <c r="AP669" i="4"/>
  <c r="AP670" i="4"/>
  <c r="AP671" i="4"/>
  <c r="AP672" i="4"/>
  <c r="AP673" i="4"/>
  <c r="AP674" i="4"/>
  <c r="AP675" i="4"/>
  <c r="AP676" i="4"/>
  <c r="AP677" i="4"/>
  <c r="AP678" i="4"/>
  <c r="AP679" i="4"/>
  <c r="AP680" i="4"/>
  <c r="AP681" i="4"/>
  <c r="AP682" i="4"/>
  <c r="AP683" i="4"/>
  <c r="AP684" i="4"/>
  <c r="AP685" i="4"/>
  <c r="AP686" i="4"/>
  <c r="AP687" i="4"/>
  <c r="AP688" i="4"/>
  <c r="AP689" i="4"/>
  <c r="AP690" i="4"/>
  <c r="AP691" i="4"/>
  <c r="AP692" i="4"/>
  <c r="AP693" i="4"/>
  <c r="AP694" i="4"/>
  <c r="AP695" i="4"/>
  <c r="AP696" i="4"/>
  <c r="AP697" i="4"/>
  <c r="AP698" i="4"/>
  <c r="AP699" i="4"/>
  <c r="AP700" i="4"/>
  <c r="AP701" i="4"/>
  <c r="AP702" i="4"/>
  <c r="AP703" i="4"/>
  <c r="AP704" i="4"/>
  <c r="AP705" i="4"/>
  <c r="AP706" i="4"/>
  <c r="AP707" i="4"/>
  <c r="AP708" i="4"/>
  <c r="AP709" i="4"/>
  <c r="AP710" i="4"/>
  <c r="AP711" i="4"/>
  <c r="AP712" i="4"/>
  <c r="AP713" i="4"/>
  <c r="AP714" i="4"/>
  <c r="AP715" i="4"/>
  <c r="AP716" i="4"/>
  <c r="AP717" i="4"/>
  <c r="AP718" i="4"/>
  <c r="AP719" i="4"/>
  <c r="AP720" i="4"/>
  <c r="AP721" i="4"/>
  <c r="AP722" i="4"/>
  <c r="AP723" i="4"/>
  <c r="AP724" i="4"/>
  <c r="AP725" i="4"/>
  <c r="AP726" i="4"/>
  <c r="AP727" i="4"/>
  <c r="AP728" i="4"/>
  <c r="AP729" i="4"/>
  <c r="AP730" i="4"/>
  <c r="AP731" i="4"/>
  <c r="AP732" i="4"/>
  <c r="AP733" i="4"/>
  <c r="AP734" i="4"/>
  <c r="AP735" i="4"/>
  <c r="AP736" i="4"/>
  <c r="AP737" i="4"/>
  <c r="AP738" i="4"/>
  <c r="AP739" i="4"/>
  <c r="AP740" i="4"/>
  <c r="AP741" i="4"/>
  <c r="AP742" i="4"/>
  <c r="AP743" i="4"/>
  <c r="AP744" i="4"/>
  <c r="AP745" i="4"/>
  <c r="AP746" i="4"/>
  <c r="AP747" i="4"/>
  <c r="AP748" i="4"/>
  <c r="AP749" i="4"/>
  <c r="AP750" i="4"/>
  <c r="AP751" i="4"/>
  <c r="AP752" i="4"/>
  <c r="AP753" i="4"/>
  <c r="AP754" i="4"/>
  <c r="AP755" i="4"/>
  <c r="AP756" i="4"/>
  <c r="AP757" i="4"/>
  <c r="AP758" i="4"/>
  <c r="AP759" i="4"/>
  <c r="AP760" i="4"/>
  <c r="AM724" i="4"/>
  <c r="AM599" i="4"/>
  <c r="AM616" i="4"/>
  <c r="AM691" i="4"/>
  <c r="AM613" i="4"/>
  <c r="AM739" i="4"/>
  <c r="AM649" i="4"/>
  <c r="AM761" i="4"/>
  <c r="AM715" i="4"/>
  <c r="AM665" i="4"/>
  <c r="AM694" i="4"/>
  <c r="AM722" i="4"/>
  <c r="AM594" i="4"/>
  <c r="AM602" i="4"/>
  <c r="AM587" i="4"/>
  <c r="AM625" i="4"/>
  <c r="AM619" i="4"/>
  <c r="AM686" i="4"/>
  <c r="AM609" i="4"/>
  <c r="AM606" i="4"/>
  <c r="AM703" i="4"/>
  <c r="AM688" i="4"/>
  <c r="AM745" i="4"/>
  <c r="AM595" i="4"/>
  <c r="AM584" i="4"/>
  <c r="AM753" i="4"/>
  <c r="AM687" i="4"/>
  <c r="AM734" i="4"/>
  <c r="AM596" i="4"/>
  <c r="AM618" i="4"/>
  <c r="AM641" i="4"/>
  <c r="AM697" i="4"/>
  <c r="AM735" i="4"/>
  <c r="AM717" i="4"/>
  <c r="AM674" i="4"/>
  <c r="AM656" i="4"/>
  <c r="AM586" i="4"/>
  <c r="AM702" i="4"/>
  <c r="AM746" i="4"/>
  <c r="AM608" i="4"/>
  <c r="AM666" i="4"/>
  <c r="AM624" i="4"/>
  <c r="AM696" i="4"/>
  <c r="AM626" i="4"/>
  <c r="AM583" i="4"/>
  <c r="AM647" i="4"/>
  <c r="AM689" i="4"/>
  <c r="AM658" i="4"/>
  <c r="AM597" i="4"/>
  <c r="AM680" i="4"/>
  <c r="AM683" i="4"/>
  <c r="AM640" i="4"/>
  <c r="AM653" i="4"/>
  <c r="AM615" i="4"/>
  <c r="AM760" i="4"/>
  <c r="AM621" i="4"/>
  <c r="AM648" i="4"/>
  <c r="AM756" i="4"/>
  <c r="AM763" i="4"/>
  <c r="AM598" i="4"/>
  <c r="AM644" i="4"/>
  <c r="AM655" i="4"/>
  <c r="AM642" i="4"/>
  <c r="AM762" i="4"/>
  <c r="AM643" i="4"/>
  <c r="AM614" i="4"/>
  <c r="AM725" i="4"/>
  <c r="AM721" i="4"/>
  <c r="AM632" i="4"/>
  <c r="AM737" i="4"/>
  <c r="AM629" i="4"/>
  <c r="AM712" i="4"/>
  <c r="AM650" i="4"/>
  <c r="AM639" i="4"/>
  <c r="AM589" i="4"/>
  <c r="AM603" i="4"/>
  <c r="AM652" i="4"/>
  <c r="AM607" i="4"/>
  <c r="AM601" i="4"/>
  <c r="AM726" i="4"/>
  <c r="AM636" i="4"/>
  <c r="AM620" i="4"/>
  <c r="AM623" i="4"/>
  <c r="AM668" i="4"/>
  <c r="AM719" i="4"/>
  <c r="AM730" i="4"/>
  <c r="AM645" i="4"/>
  <c r="AM759" i="4"/>
  <c r="AM661" i="4"/>
  <c r="AM707" i="4"/>
  <c r="AM590" i="4"/>
  <c r="AM728" i="4"/>
  <c r="AM585" i="4"/>
  <c r="AM675" i="4"/>
  <c r="AM679" i="4"/>
  <c r="AM627" i="4"/>
  <c r="AM676" i="4"/>
  <c r="AM693" i="4"/>
  <c r="AM631" i="4"/>
  <c r="AM670" i="4"/>
  <c r="AM733" i="4"/>
  <c r="AM657" i="4"/>
  <c r="AM748" i="4"/>
  <c r="AM723" i="4"/>
  <c r="AM685" i="4"/>
  <c r="AM758" i="4"/>
  <c r="AM617" i="4"/>
  <c r="AM591" i="4"/>
  <c r="AM678" i="4"/>
  <c r="AM634" i="4"/>
  <c r="AM747" i="4"/>
  <c r="AM677" i="4"/>
  <c r="AM742" i="4"/>
  <c r="AM682" i="4"/>
  <c r="AM718" i="4"/>
  <c r="AM667" i="4"/>
  <c r="AM592" i="4"/>
  <c r="AM749" i="4"/>
  <c r="AM751" i="4"/>
  <c r="AM664" i="4"/>
  <c r="AM669" i="4"/>
  <c r="AM754" i="4"/>
  <c r="AM663" i="4"/>
  <c r="AM744" i="4"/>
  <c r="AM729" i="4"/>
  <c r="AM727" i="4"/>
  <c r="AM672" i="4"/>
  <c r="AM755" i="4"/>
  <c r="AM662" i="4"/>
  <c r="AM622" i="4"/>
  <c r="AM741" i="4"/>
  <c r="AM704" i="4"/>
  <c r="AM695" i="4"/>
  <c r="AM646" i="4"/>
  <c r="AM671" i="4"/>
  <c r="AM692" i="4"/>
  <c r="AM714" i="4"/>
  <c r="AM654" i="4"/>
  <c r="AM637" i="4"/>
  <c r="AM709" i="4"/>
  <c r="AM740" i="4"/>
  <c r="AM713" i="4"/>
  <c r="AM743" i="4"/>
  <c r="AM612" i="4"/>
  <c r="AM699" i="4"/>
  <c r="AM701" i="4"/>
  <c r="AM635" i="4"/>
  <c r="AM651" i="4"/>
  <c r="AM736" i="4"/>
  <c r="AM706" i="4"/>
  <c r="AM681" i="4"/>
  <c r="AM684" i="4"/>
  <c r="AM604" i="4"/>
  <c r="AM698" i="4"/>
  <c r="AM700" i="4"/>
  <c r="AM659" i="4"/>
  <c r="AM705" i="4"/>
  <c r="AM605" i="4"/>
  <c r="AM673" i="4"/>
  <c r="AM582" i="4"/>
  <c r="AM588" i="4"/>
  <c r="AM710" i="4"/>
  <c r="AM732" i="4"/>
  <c r="AM752" i="4"/>
  <c r="AM757" i="4"/>
  <c r="AM610" i="4"/>
  <c r="AM628" i="4"/>
  <c r="AM633" i="4"/>
  <c r="AM731" i="4"/>
  <c r="AM708" i="4"/>
  <c r="AM711" i="4"/>
  <c r="AM611" i="4"/>
  <c r="AM738" i="4"/>
  <c r="AM638" i="4"/>
  <c r="AM593" i="4"/>
  <c r="AM716" i="4"/>
  <c r="AD70" i="23" l="1"/>
  <c r="AF70" i="23" s="1"/>
  <c r="AN758" i="4"/>
  <c r="AO758" i="4" s="1"/>
  <c r="AN757" i="4"/>
  <c r="AO757" i="4" s="1"/>
  <c r="AN746" i="4"/>
  <c r="AO746" i="4" s="1"/>
  <c r="AN738" i="4"/>
  <c r="AO738" i="4" s="1"/>
  <c r="AN730" i="4"/>
  <c r="AO730" i="4" s="1"/>
  <c r="AN722" i="4"/>
  <c r="AO722" i="4" s="1"/>
  <c r="AN719" i="4"/>
  <c r="AO719" i="4" s="1"/>
  <c r="AN711" i="4"/>
  <c r="AO711" i="4" s="1"/>
  <c r="AN703" i="4"/>
  <c r="AO703" i="4" s="1"/>
  <c r="AN695" i="4"/>
  <c r="AO695" i="4" s="1"/>
  <c r="AN684" i="4"/>
  <c r="AO684" i="4" s="1"/>
  <c r="AN676" i="4"/>
  <c r="AO676" i="4" s="1"/>
  <c r="AN668" i="4"/>
  <c r="AO668" i="4" s="1"/>
  <c r="AN657" i="4"/>
  <c r="AO657" i="4" s="1"/>
  <c r="AN649" i="4"/>
  <c r="AO649" i="4" s="1"/>
  <c r="AN641" i="4"/>
  <c r="AO641" i="4" s="1"/>
  <c r="AN633" i="4"/>
  <c r="AO633" i="4" s="1"/>
  <c r="AN622" i="4"/>
  <c r="AO622" i="4" s="1"/>
  <c r="AN614" i="4"/>
  <c r="AO614" i="4" s="1"/>
  <c r="AN606" i="4"/>
  <c r="AO606" i="4" s="1"/>
  <c r="AN595" i="4"/>
  <c r="AO595" i="4" s="1"/>
  <c r="AN587" i="4"/>
  <c r="AO587" i="4" s="1"/>
  <c r="AN754" i="4"/>
  <c r="AO754" i="4" s="1"/>
  <c r="AN743" i="4"/>
  <c r="AO743" i="4" s="1"/>
  <c r="AN735" i="4"/>
  <c r="AO735" i="4" s="1"/>
  <c r="AN727" i="4"/>
  <c r="AO727" i="4" s="1"/>
  <c r="AN716" i="4"/>
  <c r="AO716" i="4" s="1"/>
  <c r="AN708" i="4"/>
  <c r="AO708" i="4" s="1"/>
  <c r="AN700" i="4"/>
  <c r="AO700" i="4" s="1"/>
  <c r="AN692" i="4"/>
  <c r="AO692" i="4" s="1"/>
  <c r="AN689" i="4"/>
  <c r="AO689" i="4" s="1"/>
  <c r="AN681" i="4"/>
  <c r="AO681" i="4" s="1"/>
  <c r="AN673" i="4"/>
  <c r="AO673" i="4" s="1"/>
  <c r="AN665" i="4"/>
  <c r="AO665" i="4" s="1"/>
  <c r="AN654" i="4"/>
  <c r="AO654" i="4" s="1"/>
  <c r="AN646" i="4"/>
  <c r="AO646" i="4" s="1"/>
  <c r="AN638" i="4"/>
  <c r="AO638" i="4" s="1"/>
  <c r="AN627" i="4"/>
  <c r="AO627" i="4" s="1"/>
  <c r="AN619" i="4"/>
  <c r="AO619" i="4" s="1"/>
  <c r="AN611" i="4"/>
  <c r="AO611" i="4" s="1"/>
  <c r="AN603" i="4"/>
  <c r="AO603" i="4" s="1"/>
  <c r="AN592" i="4"/>
  <c r="AO592" i="4" s="1"/>
  <c r="AN584" i="4"/>
  <c r="AO584" i="4" s="1"/>
  <c r="AN762" i="4"/>
  <c r="AN759" i="4"/>
  <c r="AO759" i="4" s="1"/>
  <c r="AN751" i="4"/>
  <c r="AO751" i="4" s="1"/>
  <c r="AN748" i="4"/>
  <c r="AO748" i="4" s="1"/>
  <c r="AN740" i="4"/>
  <c r="AO740" i="4" s="1"/>
  <c r="AN732" i="4"/>
  <c r="AO732" i="4" s="1"/>
  <c r="AN724" i="4"/>
  <c r="AO724" i="4" s="1"/>
  <c r="AN713" i="4"/>
  <c r="AO713" i="4" s="1"/>
  <c r="AN705" i="4"/>
  <c r="AO705" i="4" s="1"/>
  <c r="AN697" i="4"/>
  <c r="AO697" i="4" s="1"/>
  <c r="AN686" i="4"/>
  <c r="AO686" i="4" s="1"/>
  <c r="AN678" i="4"/>
  <c r="AO678" i="4" s="1"/>
  <c r="AN670" i="4"/>
  <c r="AO670" i="4" s="1"/>
  <c r="AN662" i="4"/>
  <c r="AO662" i="4" s="1"/>
  <c r="AN659" i="4"/>
  <c r="AO659" i="4" s="1"/>
  <c r="AN651" i="4"/>
  <c r="AO651" i="4" s="1"/>
  <c r="AN643" i="4"/>
  <c r="AO643" i="4" s="1"/>
  <c r="AN635" i="4"/>
  <c r="AO635" i="4" s="1"/>
  <c r="AN624" i="4"/>
  <c r="AO624" i="4" s="1"/>
  <c r="AN616" i="4"/>
  <c r="AO616" i="4" s="1"/>
  <c r="AN608" i="4"/>
  <c r="AO608" i="4" s="1"/>
  <c r="AN597" i="4"/>
  <c r="AO597" i="4" s="1"/>
  <c r="AN589" i="4"/>
  <c r="AO589" i="4" s="1"/>
  <c r="AN756" i="4"/>
  <c r="AO756" i="4" s="1"/>
  <c r="AN745" i="4"/>
  <c r="AO745" i="4" s="1"/>
  <c r="AN737" i="4"/>
  <c r="AO737" i="4" s="1"/>
  <c r="AN729" i="4"/>
  <c r="AO729" i="4" s="1"/>
  <c r="AN721" i="4"/>
  <c r="AO721" i="4" s="1"/>
  <c r="AN718" i="4"/>
  <c r="AO718" i="4" s="1"/>
  <c r="AN710" i="4"/>
  <c r="AO710" i="4" s="1"/>
  <c r="AN702" i="4"/>
  <c r="AO702" i="4" s="1"/>
  <c r="AN694" i="4"/>
  <c r="AO694" i="4" s="1"/>
  <c r="AN683" i="4"/>
  <c r="AO683" i="4" s="1"/>
  <c r="AN675" i="4"/>
  <c r="AO675" i="4" s="1"/>
  <c r="AN667" i="4"/>
  <c r="AO667" i="4" s="1"/>
  <c r="AN656" i="4"/>
  <c r="AO656" i="4" s="1"/>
  <c r="AN648" i="4"/>
  <c r="AO648" i="4" s="1"/>
  <c r="AN640" i="4"/>
  <c r="AO640" i="4" s="1"/>
  <c r="AN632" i="4"/>
  <c r="AO632" i="4" s="1"/>
  <c r="AN629" i="4"/>
  <c r="AO629" i="4" s="1"/>
  <c r="AN621" i="4"/>
  <c r="AO621" i="4" s="1"/>
  <c r="AN613" i="4"/>
  <c r="AO613" i="4" s="1"/>
  <c r="AN605" i="4"/>
  <c r="AO605" i="4" s="1"/>
  <c r="AN594" i="4"/>
  <c r="AO594" i="4" s="1"/>
  <c r="AN586" i="4"/>
  <c r="AO586" i="4" s="1"/>
  <c r="AN763" i="4"/>
  <c r="AN761" i="4"/>
  <c r="AN753" i="4"/>
  <c r="AO753" i="4" s="1"/>
  <c r="AN742" i="4"/>
  <c r="AO742" i="4" s="1"/>
  <c r="AN734" i="4"/>
  <c r="AO734" i="4" s="1"/>
  <c r="AN726" i="4"/>
  <c r="AO726" i="4" s="1"/>
  <c r="AN715" i="4"/>
  <c r="AO715" i="4" s="1"/>
  <c r="AN707" i="4"/>
  <c r="AO707" i="4" s="1"/>
  <c r="AN699" i="4"/>
  <c r="AO699" i="4" s="1"/>
  <c r="AN691" i="4"/>
  <c r="AO691" i="4" s="1"/>
  <c r="AN688" i="4"/>
  <c r="AO688" i="4" s="1"/>
  <c r="AN680" i="4"/>
  <c r="AO680" i="4" s="1"/>
  <c r="AN672" i="4"/>
  <c r="AO672" i="4" s="1"/>
  <c r="AN664" i="4"/>
  <c r="AO664" i="4" s="1"/>
  <c r="AN653" i="4"/>
  <c r="AO653" i="4" s="1"/>
  <c r="AN645" i="4"/>
  <c r="AO645" i="4" s="1"/>
  <c r="AN637" i="4"/>
  <c r="AO637" i="4" s="1"/>
  <c r="AN626" i="4"/>
  <c r="AO626" i="4" s="1"/>
  <c r="AN618" i="4"/>
  <c r="AO618" i="4" s="1"/>
  <c r="AN610" i="4"/>
  <c r="AO610" i="4" s="1"/>
  <c r="AN602" i="4"/>
  <c r="AO602" i="4" s="1"/>
  <c r="AN599" i="4"/>
  <c r="AO599" i="4" s="1"/>
  <c r="AN591" i="4"/>
  <c r="AO591" i="4" s="1"/>
  <c r="AN583" i="4"/>
  <c r="AO583" i="4" s="1"/>
  <c r="AN747" i="4"/>
  <c r="AO747" i="4" s="1"/>
  <c r="AN739" i="4"/>
  <c r="AO739" i="4" s="1"/>
  <c r="AN731" i="4"/>
  <c r="AO731" i="4" s="1"/>
  <c r="AN723" i="4"/>
  <c r="AO723" i="4" s="1"/>
  <c r="AN712" i="4"/>
  <c r="AO712" i="4" s="1"/>
  <c r="AN704" i="4"/>
  <c r="AO704" i="4" s="1"/>
  <c r="AN696" i="4"/>
  <c r="AO696" i="4" s="1"/>
  <c r="AN685" i="4"/>
  <c r="AO685" i="4" s="1"/>
  <c r="AN677" i="4"/>
  <c r="AO677" i="4" s="1"/>
  <c r="AN669" i="4"/>
  <c r="AO669" i="4" s="1"/>
  <c r="AN661" i="4"/>
  <c r="AO661" i="4" s="1"/>
  <c r="AN658" i="4"/>
  <c r="AO658" i="4" s="1"/>
  <c r="AN650" i="4"/>
  <c r="AO650" i="4" s="1"/>
  <c r="AN642" i="4"/>
  <c r="AO642" i="4" s="1"/>
  <c r="AN634" i="4"/>
  <c r="AO634" i="4" s="1"/>
  <c r="AN623" i="4"/>
  <c r="AO623" i="4" s="1"/>
  <c r="AN615" i="4"/>
  <c r="AO615" i="4" s="1"/>
  <c r="AN607" i="4"/>
  <c r="AO607" i="4" s="1"/>
  <c r="AN596" i="4"/>
  <c r="AO596" i="4" s="1"/>
  <c r="AN588" i="4"/>
  <c r="AO588" i="4" s="1"/>
  <c r="AN755" i="4"/>
  <c r="AO755" i="4" s="1"/>
  <c r="AN744" i="4"/>
  <c r="AO744" i="4" s="1"/>
  <c r="AN736" i="4"/>
  <c r="AO736" i="4" s="1"/>
  <c r="AN728" i="4"/>
  <c r="AO728" i="4" s="1"/>
  <c r="AN717" i="4"/>
  <c r="AO717" i="4" s="1"/>
  <c r="AN709" i="4"/>
  <c r="AO709" i="4" s="1"/>
  <c r="AN701" i="4"/>
  <c r="AO701" i="4" s="1"/>
  <c r="AN693" i="4"/>
  <c r="AO693" i="4" s="1"/>
  <c r="AN682" i="4"/>
  <c r="AO682" i="4" s="1"/>
  <c r="AN674" i="4"/>
  <c r="AO674" i="4" s="1"/>
  <c r="AN666" i="4"/>
  <c r="AO666" i="4" s="1"/>
  <c r="AN655" i="4"/>
  <c r="AO655" i="4" s="1"/>
  <c r="AN647" i="4"/>
  <c r="AO647" i="4" s="1"/>
  <c r="AN639" i="4"/>
  <c r="AO639" i="4" s="1"/>
  <c r="AN631" i="4"/>
  <c r="AO631" i="4" s="1"/>
  <c r="AN628" i="4"/>
  <c r="AO628" i="4" s="1"/>
  <c r="AN620" i="4"/>
  <c r="AO620" i="4" s="1"/>
  <c r="AN612" i="4"/>
  <c r="AO612" i="4" s="1"/>
  <c r="AN604" i="4"/>
  <c r="AO604" i="4" s="1"/>
  <c r="AN593" i="4"/>
  <c r="AO593" i="4" s="1"/>
  <c r="AN585" i="4"/>
  <c r="AO585" i="4" s="1"/>
  <c r="AN760" i="4"/>
  <c r="AO760" i="4" s="1"/>
  <c r="AN752" i="4"/>
  <c r="AO752" i="4" s="1"/>
  <c r="AN749" i="4"/>
  <c r="AO749" i="4" s="1"/>
  <c r="AN741" i="4"/>
  <c r="AO741" i="4" s="1"/>
  <c r="AN733" i="4"/>
  <c r="AO733" i="4" s="1"/>
  <c r="AN725" i="4"/>
  <c r="AO725" i="4" s="1"/>
  <c r="AN714" i="4"/>
  <c r="AO714" i="4" s="1"/>
  <c r="AN706" i="4"/>
  <c r="AO706" i="4" s="1"/>
  <c r="AN698" i="4"/>
  <c r="AO698" i="4" s="1"/>
  <c r="AN687" i="4"/>
  <c r="AO687" i="4" s="1"/>
  <c r="AN679" i="4"/>
  <c r="AO679" i="4" s="1"/>
  <c r="AN671" i="4"/>
  <c r="AO671" i="4" s="1"/>
  <c r="AN663" i="4"/>
  <c r="AO663" i="4" s="1"/>
  <c r="AN652" i="4"/>
  <c r="AO652" i="4" s="1"/>
  <c r="AN644" i="4"/>
  <c r="AO644" i="4" s="1"/>
  <c r="AN636" i="4"/>
  <c r="AO636" i="4" s="1"/>
  <c r="AN625" i="4"/>
  <c r="AO625" i="4" s="1"/>
  <c r="AN617" i="4"/>
  <c r="AO617" i="4" s="1"/>
  <c r="AN609" i="4"/>
  <c r="AO609" i="4" s="1"/>
  <c r="AN601" i="4"/>
  <c r="AO601" i="4" s="1"/>
  <c r="AN598" i="4"/>
  <c r="AO598" i="4" s="1"/>
  <c r="AN590" i="4"/>
  <c r="AO590" i="4" s="1"/>
  <c r="AN582" i="4"/>
  <c r="AO582" i="4" s="1"/>
  <c r="AD71" i="23"/>
  <c r="AF71" i="23" s="1"/>
  <c r="AM1114" i="4"/>
  <c r="AM963" i="4"/>
  <c r="AM1042" i="4"/>
  <c r="AM811" i="4"/>
  <c r="AM985" i="4"/>
  <c r="AM880" i="4"/>
  <c r="AM1074" i="4"/>
  <c r="AM912" i="4"/>
  <c r="AM1034" i="4"/>
  <c r="AM794" i="4"/>
  <c r="AM1100" i="4"/>
  <c r="AM823" i="4"/>
  <c r="AM954" i="4"/>
  <c r="AM1097" i="4"/>
  <c r="AM797" i="4"/>
  <c r="AM1054" i="4"/>
  <c r="AM951" i="4"/>
  <c r="AM879" i="4"/>
  <c r="AM1055" i="4"/>
  <c r="AM891" i="4"/>
  <c r="AM1096" i="4"/>
  <c r="AM1041" i="4"/>
  <c r="AM890" i="4"/>
  <c r="AM857" i="4"/>
  <c r="AM773" i="4"/>
  <c r="AM943" i="4"/>
  <c r="AM1103" i="4"/>
  <c r="AM976" i="4"/>
  <c r="AM958" i="4"/>
  <c r="AM841" i="4"/>
  <c r="AM833" i="4"/>
  <c r="AM899" i="4"/>
  <c r="AM917" i="4"/>
  <c r="AM913" i="4"/>
  <c r="AM984" i="4"/>
  <c r="AM1121" i="4"/>
  <c r="AM1031" i="4"/>
  <c r="AM902" i="4"/>
  <c r="AM769" i="4"/>
  <c r="AM848" i="4"/>
  <c r="AM770" i="4"/>
  <c r="AM928" i="4"/>
  <c r="AM1047" i="4"/>
  <c r="AM1058" i="4"/>
  <c r="AM1022" i="4"/>
  <c r="AM1000" i="4"/>
  <c r="AM1004" i="4"/>
  <c r="AM842" i="4"/>
  <c r="AM950" i="4"/>
  <c r="AM1116" i="4"/>
  <c r="AM775" i="4"/>
  <c r="AM849" i="4"/>
  <c r="AM827" i="4"/>
  <c r="AM921" i="4"/>
  <c r="AM1095" i="4"/>
  <c r="AM1015" i="4"/>
  <c r="AM851" i="4"/>
  <c r="AM1018" i="4"/>
  <c r="AM1102" i="4"/>
  <c r="AM897" i="4"/>
  <c r="AM1124" i="4"/>
  <c r="AM904" i="4"/>
  <c r="AM1090" i="4"/>
  <c r="AM1076" i="4"/>
  <c r="AM1125" i="4"/>
  <c r="AM1016" i="4"/>
  <c r="AM822" i="4"/>
  <c r="AM831" i="4"/>
  <c r="AM944" i="4"/>
  <c r="AM1011" i="4"/>
  <c r="AM1093" i="4"/>
  <c r="AM1109" i="4"/>
  <c r="AM888" i="4"/>
  <c r="AM767" i="4"/>
  <c r="AM1028" i="4"/>
  <c r="AM768" i="4"/>
  <c r="AM820" i="4"/>
  <c r="AM893" i="4"/>
  <c r="AM1094" i="4"/>
  <c r="AM844" i="4"/>
  <c r="AM793" i="4"/>
  <c r="AM938" i="4"/>
  <c r="AM1072" i="4"/>
  <c r="AM790" i="4"/>
  <c r="AM1035" i="4"/>
  <c r="AM1077" i="4"/>
  <c r="AM1078" i="4"/>
  <c r="AH109" i="23"/>
  <c r="AM927" i="4"/>
  <c r="AM800" i="4"/>
  <c r="AM1113" i="4"/>
  <c r="AM1065" i="4"/>
  <c r="AM881" i="4"/>
  <c r="AM808" i="4"/>
  <c r="AM766" i="4"/>
  <c r="AM885" i="4"/>
  <c r="AM997" i="4"/>
  <c r="AM971" i="4"/>
  <c r="AM1120" i="4"/>
  <c r="AM959" i="4"/>
  <c r="AM798" i="4"/>
  <c r="AM829" i="4"/>
  <c r="AM1099" i="4"/>
  <c r="AM862" i="4"/>
  <c r="AM884" i="4"/>
  <c r="AM1068" i="4"/>
  <c r="AM1045" i="4"/>
  <c r="AM1086" i="4"/>
  <c r="AM991" i="4"/>
  <c r="AG111" i="23"/>
  <c r="AM914" i="4"/>
  <c r="AM1073" i="4"/>
  <c r="AM961" i="4"/>
  <c r="AM1064" i="4"/>
  <c r="AM845" i="4"/>
  <c r="AM882" i="4"/>
  <c r="AM996" i="4"/>
  <c r="AM1019" i="4"/>
  <c r="AH111" i="23"/>
  <c r="AM929" i="4"/>
  <c r="AM934" i="4"/>
  <c r="AM1092" i="4"/>
  <c r="AM852" i="4"/>
  <c r="AM975" i="4"/>
  <c r="AM1007" i="4"/>
  <c r="AM786" i="4"/>
  <c r="AM1087" i="4"/>
  <c r="AM771" i="4"/>
  <c r="AF111" i="23"/>
  <c r="AM1122" i="4"/>
  <c r="AM868" i="4"/>
  <c r="AM982" i="4"/>
  <c r="AM977" i="4"/>
  <c r="AM925" i="4"/>
  <c r="AM1111" i="4"/>
  <c r="AM869" i="4"/>
  <c r="AM1056" i="4"/>
  <c r="AM1033" i="4"/>
  <c r="AM1062" i="4"/>
  <c r="AM1012" i="4"/>
  <c r="AM850" i="4"/>
  <c r="AM834" i="4"/>
  <c r="AM1059" i="4"/>
  <c r="AM784" i="4"/>
  <c r="AH110" i="23"/>
  <c r="AM867" i="4"/>
  <c r="AM999" i="4"/>
  <c r="AM1089" i="4"/>
  <c r="AM1030" i="4"/>
  <c r="AM821" i="4"/>
  <c r="AM957" i="4"/>
  <c r="AM918" i="4"/>
  <c r="AM1001" i="4"/>
  <c r="AM892" i="4"/>
  <c r="AM952" i="4"/>
  <c r="AM1071" i="4"/>
  <c r="AM1081" i="4"/>
  <c r="AM878" i="4"/>
  <c r="AM1115" i="4"/>
  <c r="AM1063" i="4"/>
  <c r="AM1098" i="4"/>
  <c r="AM816" i="4"/>
  <c r="AM1026" i="4"/>
  <c r="AM782" i="4"/>
  <c r="AM905" i="4"/>
  <c r="AM1003" i="4"/>
  <c r="AM1070" i="4"/>
  <c r="AM968" i="4"/>
  <c r="AM903" i="4"/>
  <c r="AM1127" i="4"/>
  <c r="AM1044" i="4"/>
  <c r="AM955" i="4"/>
  <c r="AM855" i="4"/>
  <c r="AM1008" i="4"/>
  <c r="AM1040" i="4"/>
  <c r="AM1083" i="4"/>
  <c r="AM863" i="4"/>
  <c r="AM915" i="4"/>
  <c r="AM1085" i="4"/>
  <c r="AM1013" i="4"/>
  <c r="AM895" i="4"/>
  <c r="AM1027" i="4"/>
  <c r="AM898" i="4"/>
  <c r="AM874" i="4"/>
  <c r="AM967" i="4"/>
  <c r="AM832" i="4"/>
  <c r="AM789" i="4"/>
  <c r="AM937" i="4"/>
  <c r="AM1032" i="4"/>
  <c r="AM981" i="4"/>
  <c r="AM941" i="4"/>
  <c r="AM847" i="4"/>
  <c r="AM779" i="4"/>
  <c r="AM1107" i="4"/>
  <c r="AM825" i="4"/>
  <c r="AM1010" i="4"/>
  <c r="AM799" i="4"/>
  <c r="AM910" i="4"/>
  <c r="AM1069" i="4"/>
  <c r="AM956" i="4"/>
  <c r="AM994" i="4"/>
  <c r="AM945" i="4"/>
  <c r="AM964" i="4"/>
  <c r="AM1021" i="4"/>
  <c r="AM1075" i="4"/>
  <c r="AM983" i="4"/>
  <c r="AM765" i="4"/>
  <c r="AM1024" i="4"/>
  <c r="AM965" i="4"/>
  <c r="AM838" i="4"/>
  <c r="AM974" i="4"/>
  <c r="AM1017" i="4"/>
  <c r="AM1112" i="4"/>
  <c r="AM1036" i="4"/>
  <c r="AM1039" i="4"/>
  <c r="AM856" i="4"/>
  <c r="AM818" i="4"/>
  <c r="AM802" i="4"/>
  <c r="AM988" i="4"/>
  <c r="AM853" i="4"/>
  <c r="AM792" i="4"/>
  <c r="AM953" i="4"/>
  <c r="AM828" i="4"/>
  <c r="AM807" i="4"/>
  <c r="AM875" i="4"/>
  <c r="AM872" i="4"/>
  <c r="AM998" i="4"/>
  <c r="AM803" i="4"/>
  <c r="AM931" i="4"/>
  <c r="AM993" i="4"/>
  <c r="AM809" i="4"/>
  <c r="AM936" i="4"/>
  <c r="AM858" i="4"/>
  <c r="AM896" i="4"/>
  <c r="AM1052" i="4"/>
  <c r="AM1105" i="4"/>
  <c r="AM1084" i="4"/>
  <c r="AM1108" i="4"/>
  <c r="AM1088" i="4"/>
  <c r="AM926" i="4"/>
  <c r="AM916" i="4"/>
  <c r="AM1025" i="4"/>
  <c r="AM1002" i="4"/>
  <c r="AM911" i="4"/>
  <c r="AM785" i="4"/>
  <c r="AM932" i="4"/>
  <c r="AM776" i="4"/>
  <c r="AM1049" i="4"/>
  <c r="AM1104" i="4"/>
  <c r="AM777" i="4"/>
  <c r="AM901" i="4"/>
  <c r="AM806" i="4"/>
  <c r="AM1066" i="4"/>
  <c r="AM839" i="4"/>
  <c r="AM919" i="4"/>
  <c r="AM1023" i="4"/>
  <c r="AM1101" i="4"/>
  <c r="AM986" i="4"/>
  <c r="AM860" i="4"/>
  <c r="AM1051" i="4"/>
  <c r="AM887" i="4"/>
  <c r="AM824" i="4"/>
  <c r="AM787" i="4"/>
  <c r="AM871" i="4"/>
  <c r="AM987" i="4"/>
  <c r="AM837" i="4"/>
  <c r="AM1126" i="4"/>
  <c r="AM865" i="4"/>
  <c r="AM781" i="4"/>
  <c r="AM1119" i="4"/>
  <c r="AM909" i="4"/>
  <c r="AM939" i="4"/>
  <c r="AM972" i="4"/>
  <c r="AM1091" i="4"/>
  <c r="AM906" i="4"/>
  <c r="AM992" i="4"/>
  <c r="AM1048" i="4"/>
  <c r="AM814" i="4"/>
  <c r="AM1060" i="4"/>
  <c r="AM1037" i="4"/>
  <c r="AM924" i="4"/>
  <c r="AM835" i="4"/>
  <c r="AM942" i="4"/>
  <c r="AM796" i="4"/>
  <c r="AM873" i="4"/>
  <c r="AM764" i="4"/>
  <c r="AM989" i="4"/>
  <c r="AM1117" i="4"/>
  <c r="AM889" i="4"/>
  <c r="AM817" i="4"/>
  <c r="AM866" i="4"/>
  <c r="AM1005" i="4"/>
  <c r="AM788" i="4"/>
  <c r="AM979" i="4"/>
  <c r="AM894" i="4"/>
  <c r="AM805" i="4"/>
  <c r="AM970" i="4"/>
  <c r="AM947" i="4"/>
  <c r="AM819" i="4"/>
  <c r="AM980" i="4"/>
  <c r="AM886" i="4"/>
  <c r="AM1061" i="4"/>
  <c r="AM859" i="4"/>
  <c r="AM1029" i="4"/>
  <c r="AM923" i="4"/>
  <c r="AM1118" i="4"/>
  <c r="AM795" i="4"/>
  <c r="AM843" i="4"/>
  <c r="AM1006" i="4"/>
  <c r="AM876" i="4"/>
  <c r="AM1067" i="4"/>
  <c r="AM854" i="4"/>
  <c r="AM1038" i="4"/>
  <c r="AM1053" i="4"/>
  <c r="AM778" i="4"/>
  <c r="AG110" i="23"/>
  <c r="AM978" i="4"/>
  <c r="AM1057" i="4"/>
  <c r="AM935" i="4"/>
  <c r="AM877" i="4"/>
  <c r="AM804" i="4"/>
  <c r="AM1046" i="4"/>
  <c r="AM815" i="4"/>
  <c r="AM1009" i="4"/>
  <c r="AM995" i="4"/>
  <c r="AM836" i="4"/>
  <c r="AM920" i="4"/>
  <c r="AM883" i="4"/>
  <c r="AM1079" i="4"/>
  <c r="AC112" i="23"/>
  <c r="AM864" i="4"/>
  <c r="AM1106" i="4"/>
  <c r="AM907" i="4"/>
  <c r="AM966" i="4"/>
  <c r="AM908" i="4"/>
  <c r="AM826" i="4"/>
  <c r="AM1014" i="4"/>
  <c r="AM783" i="4"/>
  <c r="AM946" i="4"/>
  <c r="AM948" i="4"/>
  <c r="AM949" i="4"/>
  <c r="AM962" i="4"/>
  <c r="AM830" i="4"/>
  <c r="AM813" i="4"/>
  <c r="AM1043" i="4"/>
  <c r="AM774" i="4"/>
  <c r="AM1123" i="4"/>
  <c r="AM791" i="4"/>
  <c r="AM772" i="4"/>
  <c r="AM973" i="4"/>
  <c r="AM861" i="4"/>
  <c r="AM801" i="4"/>
  <c r="AM812" i="4"/>
  <c r="AM922" i="4"/>
  <c r="AM1082" i="4"/>
  <c r="AM969" i="4"/>
  <c r="AM933" i="4"/>
  <c r="AM846" i="4"/>
  <c r="AM940" i="4"/>
  <c r="S51" i="23" l="1"/>
  <c r="AG127" i="23"/>
  <c r="S68" i="23" s="1"/>
  <c r="T50" i="23"/>
  <c r="AH126" i="23"/>
  <c r="T67" i="23" s="1"/>
  <c r="R52" i="23"/>
  <c r="AF128" i="23"/>
  <c r="R69" i="23" s="1"/>
  <c r="AN1126" i="4"/>
  <c r="AN1122" i="4"/>
  <c r="AN1118" i="4"/>
  <c r="AN1125" i="4"/>
  <c r="AN1121" i="4"/>
  <c r="AN1117" i="4"/>
  <c r="AN1127" i="4"/>
  <c r="AN1124" i="4"/>
  <c r="AN1120" i="4"/>
  <c r="AN1123" i="4"/>
  <c r="AN1119" i="4"/>
  <c r="AN1115" i="4"/>
  <c r="AN1111" i="4"/>
  <c r="AN1106" i="4"/>
  <c r="AN1102" i="4"/>
  <c r="AN1098" i="4"/>
  <c r="AN1094" i="4"/>
  <c r="AN1090" i="4"/>
  <c r="AN1086" i="4"/>
  <c r="AN1082" i="4"/>
  <c r="AN1077" i="4"/>
  <c r="AN1073" i="4"/>
  <c r="AN1069" i="4"/>
  <c r="AN1065" i="4"/>
  <c r="AN1061" i="4"/>
  <c r="AN1057" i="4"/>
  <c r="AN1053" i="4"/>
  <c r="AN1048" i="4"/>
  <c r="AN1044" i="4"/>
  <c r="AN1040" i="4"/>
  <c r="AN1036" i="4"/>
  <c r="AN1032" i="4"/>
  <c r="AN1028" i="4"/>
  <c r="AN1024" i="4"/>
  <c r="AN1019" i="4"/>
  <c r="AN1015" i="4"/>
  <c r="AN1011" i="4"/>
  <c r="AN1007" i="4"/>
  <c r="AN1003" i="4"/>
  <c r="AN999" i="4"/>
  <c r="AN995" i="4"/>
  <c r="AN991" i="4"/>
  <c r="AN986" i="4"/>
  <c r="AN982" i="4"/>
  <c r="AN978" i="4"/>
  <c r="AN974" i="4"/>
  <c r="AN970" i="4"/>
  <c r="AN966" i="4"/>
  <c r="AN962" i="4"/>
  <c r="AN957" i="4"/>
  <c r="AN953" i="4"/>
  <c r="AN949" i="4"/>
  <c r="AN945" i="4"/>
  <c r="AN941" i="4"/>
  <c r="AN937" i="4"/>
  <c r="AN933" i="4"/>
  <c r="AN928" i="4"/>
  <c r="AN924" i="4"/>
  <c r="AN920" i="4"/>
  <c r="AN916" i="4"/>
  <c r="AN912" i="4"/>
  <c r="AN908" i="4"/>
  <c r="AN904" i="4"/>
  <c r="AN899" i="4"/>
  <c r="AN895" i="4"/>
  <c r="AN891" i="4"/>
  <c r="AN887" i="4"/>
  <c r="AN883" i="4"/>
  <c r="AN879" i="4"/>
  <c r="AN875" i="4"/>
  <c r="AN871" i="4"/>
  <c r="AN866" i="4"/>
  <c r="AN862" i="4"/>
  <c r="AN858" i="4"/>
  <c r="AN854" i="4"/>
  <c r="AN850" i="4"/>
  <c r="AN846" i="4"/>
  <c r="AN842" i="4"/>
  <c r="AN837" i="4"/>
  <c r="AN833" i="4"/>
  <c r="AN829" i="4"/>
  <c r="AN825" i="4"/>
  <c r="AN821" i="4"/>
  <c r="AN817" i="4"/>
  <c r="AN813" i="4"/>
  <c r="AN808" i="4"/>
  <c r="AN804" i="4"/>
  <c r="AN800" i="4"/>
  <c r="AN796" i="4"/>
  <c r="AN792" i="4"/>
  <c r="AN788" i="4"/>
  <c r="AN784" i="4"/>
  <c r="AN779" i="4"/>
  <c r="AN775" i="4"/>
  <c r="AN771" i="4"/>
  <c r="AN767" i="4"/>
  <c r="AN1114" i="4"/>
  <c r="AN1109" i="4"/>
  <c r="AN1105" i="4"/>
  <c r="AN1101" i="4"/>
  <c r="AN1097" i="4"/>
  <c r="AN1093" i="4"/>
  <c r="AN1089" i="4"/>
  <c r="AN1085" i="4"/>
  <c r="AN1081" i="4"/>
  <c r="AN1076" i="4"/>
  <c r="AN1072" i="4"/>
  <c r="AN1068" i="4"/>
  <c r="AN1064" i="4"/>
  <c r="AN1060" i="4"/>
  <c r="AN1056" i="4"/>
  <c r="AN1052" i="4"/>
  <c r="AN1047" i="4"/>
  <c r="AN1043" i="4"/>
  <c r="AN1039" i="4"/>
  <c r="AN1035" i="4"/>
  <c r="AN1031" i="4"/>
  <c r="AN1027" i="4"/>
  <c r="AN1023" i="4"/>
  <c r="AN1018" i="4"/>
  <c r="AN1014" i="4"/>
  <c r="AN1010" i="4"/>
  <c r="AN1006" i="4"/>
  <c r="AN1002" i="4"/>
  <c r="AN998" i="4"/>
  <c r="AN994" i="4"/>
  <c r="AN989" i="4"/>
  <c r="AN985" i="4"/>
  <c r="AN981" i="4"/>
  <c r="AN977" i="4"/>
  <c r="AN973" i="4"/>
  <c r="AN969" i="4"/>
  <c r="AN965" i="4"/>
  <c r="AN961" i="4"/>
  <c r="AN956" i="4"/>
  <c r="AN952" i="4"/>
  <c r="AN948" i="4"/>
  <c r="AN944" i="4"/>
  <c r="AN940" i="4"/>
  <c r="AN936" i="4"/>
  <c r="AN932" i="4"/>
  <c r="AN927" i="4"/>
  <c r="AN923" i="4"/>
  <c r="AN919" i="4"/>
  <c r="AN915" i="4"/>
  <c r="AN911" i="4"/>
  <c r="AN907" i="4"/>
  <c r="AN903" i="4"/>
  <c r="AN898" i="4"/>
  <c r="AN894" i="4"/>
  <c r="AN890" i="4"/>
  <c r="AN886" i="4"/>
  <c r="AN882" i="4"/>
  <c r="AN878" i="4"/>
  <c r="AN874" i="4"/>
  <c r="AN869" i="4"/>
  <c r="AN865" i="4"/>
  <c r="AN861" i="4"/>
  <c r="AN857" i="4"/>
  <c r="AN853" i="4"/>
  <c r="AN849" i="4"/>
  <c r="AN845" i="4"/>
  <c r="AN841" i="4"/>
  <c r="AN836" i="4"/>
  <c r="AN832" i="4"/>
  <c r="AN828" i="4"/>
  <c r="AN824" i="4"/>
  <c r="AN820" i="4"/>
  <c r="AN816" i="4"/>
  <c r="AN812" i="4"/>
  <c r="AN807" i="4"/>
  <c r="AN803" i="4"/>
  <c r="AN799" i="4"/>
  <c r="AN795" i="4"/>
  <c r="AN791" i="4"/>
  <c r="AN787" i="4"/>
  <c r="AN783" i="4"/>
  <c r="AN778" i="4"/>
  <c r="AN774" i="4"/>
  <c r="AN770" i="4"/>
  <c r="AN766" i="4"/>
  <c r="AN1113" i="4"/>
  <c r="AN1108" i="4"/>
  <c r="AN1104" i="4"/>
  <c r="AN1100" i="4"/>
  <c r="AN1096" i="4"/>
  <c r="AN1092" i="4"/>
  <c r="AN1088" i="4"/>
  <c r="AN1084" i="4"/>
  <c r="AN1079" i="4"/>
  <c r="AN1075" i="4"/>
  <c r="AN1071" i="4"/>
  <c r="AN1067" i="4"/>
  <c r="AN1063" i="4"/>
  <c r="AN1059" i="4"/>
  <c r="AN1055" i="4"/>
  <c r="AN1051" i="4"/>
  <c r="AN1046" i="4"/>
  <c r="AN1042" i="4"/>
  <c r="AN1038" i="4"/>
  <c r="AN1034" i="4"/>
  <c r="AN1030" i="4"/>
  <c r="AN1026" i="4"/>
  <c r="AN1022" i="4"/>
  <c r="AN1017" i="4"/>
  <c r="AN1013" i="4"/>
  <c r="AN1009" i="4"/>
  <c r="AN1005" i="4"/>
  <c r="AN1001" i="4"/>
  <c r="AN997" i="4"/>
  <c r="AN993" i="4"/>
  <c r="AN988" i="4"/>
  <c r="AN984" i="4"/>
  <c r="AN980" i="4"/>
  <c r="AN976" i="4"/>
  <c r="AN972" i="4"/>
  <c r="AN968" i="4"/>
  <c r="AN964" i="4"/>
  <c r="AN959" i="4"/>
  <c r="AN955" i="4"/>
  <c r="AN951" i="4"/>
  <c r="AN947" i="4"/>
  <c r="AN943" i="4"/>
  <c r="AN939" i="4"/>
  <c r="AN935" i="4"/>
  <c r="AN931" i="4"/>
  <c r="AN926" i="4"/>
  <c r="AN922" i="4"/>
  <c r="AN918" i="4"/>
  <c r="AN914" i="4"/>
  <c r="AN910" i="4"/>
  <c r="AN906" i="4"/>
  <c r="AN902" i="4"/>
  <c r="AN897" i="4"/>
  <c r="AN893" i="4"/>
  <c r="AN889" i="4"/>
  <c r="AN885" i="4"/>
  <c r="AN881" i="4"/>
  <c r="AN877" i="4"/>
  <c r="AN873" i="4"/>
  <c r="AN868" i="4"/>
  <c r="AN864" i="4"/>
  <c r="AN860" i="4"/>
  <c r="AN856" i="4"/>
  <c r="AN852" i="4"/>
  <c r="AN848" i="4"/>
  <c r="AN844" i="4"/>
  <c r="AN839" i="4"/>
  <c r="AN835" i="4"/>
  <c r="AN831" i="4"/>
  <c r="AN827" i="4"/>
  <c r="AN823" i="4"/>
  <c r="AN819" i="4"/>
  <c r="AN815" i="4"/>
  <c r="AN811" i="4"/>
  <c r="AN806" i="4"/>
  <c r="AN802" i="4"/>
  <c r="AN798" i="4"/>
  <c r="AN794" i="4"/>
  <c r="AN790" i="4"/>
  <c r="AN786" i="4"/>
  <c r="AN782" i="4"/>
  <c r="AN777" i="4"/>
  <c r="AN773" i="4"/>
  <c r="AN769" i="4"/>
  <c r="AN765" i="4"/>
  <c r="AN1116" i="4"/>
  <c r="AN1112" i="4"/>
  <c r="AN1107" i="4"/>
  <c r="AN1103" i="4"/>
  <c r="AN1099" i="4"/>
  <c r="AN1095" i="4"/>
  <c r="AN1091" i="4"/>
  <c r="AN1087" i="4"/>
  <c r="AN1083" i="4"/>
  <c r="AN1078" i="4"/>
  <c r="AN1074" i="4"/>
  <c r="AN1070" i="4"/>
  <c r="AN1066" i="4"/>
  <c r="AN1062" i="4"/>
  <c r="AN1058" i="4"/>
  <c r="AN1054" i="4"/>
  <c r="AN1049" i="4"/>
  <c r="AN1045" i="4"/>
  <c r="AN1041" i="4"/>
  <c r="AN1037" i="4"/>
  <c r="AN1033" i="4"/>
  <c r="AN1029" i="4"/>
  <c r="AN1025" i="4"/>
  <c r="AN1021" i="4"/>
  <c r="AN1016" i="4"/>
  <c r="AN1012" i="4"/>
  <c r="AN1008" i="4"/>
  <c r="AN1004" i="4"/>
  <c r="AN1000" i="4"/>
  <c r="AN996" i="4"/>
  <c r="AN992" i="4"/>
  <c r="AN987" i="4"/>
  <c r="AN983" i="4"/>
  <c r="AN979" i="4"/>
  <c r="AN975" i="4"/>
  <c r="AN971" i="4"/>
  <c r="AN967" i="4"/>
  <c r="AN963" i="4"/>
  <c r="AN958" i="4"/>
  <c r="AN954" i="4"/>
  <c r="AN950" i="4"/>
  <c r="AN946" i="4"/>
  <c r="AN942" i="4"/>
  <c r="AN938" i="4"/>
  <c r="AN934" i="4"/>
  <c r="AN929" i="4"/>
  <c r="AN925" i="4"/>
  <c r="AN921" i="4"/>
  <c r="AN917" i="4"/>
  <c r="AN913" i="4"/>
  <c r="AN909" i="4"/>
  <c r="AN905" i="4"/>
  <c r="AN901" i="4"/>
  <c r="AN896" i="4"/>
  <c r="AN892" i="4"/>
  <c r="AN888" i="4"/>
  <c r="AN884" i="4"/>
  <c r="AN880" i="4"/>
  <c r="AN876" i="4"/>
  <c r="AN872" i="4"/>
  <c r="AN867" i="4"/>
  <c r="AN863" i="4"/>
  <c r="AN859" i="4"/>
  <c r="AN855" i="4"/>
  <c r="AN851" i="4"/>
  <c r="AN847" i="4"/>
  <c r="AN843" i="4"/>
  <c r="AN838" i="4"/>
  <c r="AN834" i="4"/>
  <c r="AN830" i="4"/>
  <c r="AN826" i="4"/>
  <c r="AN822" i="4"/>
  <c r="AN818" i="4"/>
  <c r="AN814" i="4"/>
  <c r="AN809" i="4"/>
  <c r="AN805" i="4"/>
  <c r="AN801" i="4"/>
  <c r="AN797" i="4"/>
  <c r="AN793" i="4"/>
  <c r="AN789" i="4"/>
  <c r="AN785" i="4"/>
  <c r="AN781" i="4"/>
  <c r="AN776" i="4"/>
  <c r="AN772" i="4"/>
  <c r="AN768" i="4"/>
  <c r="AN764" i="4"/>
  <c r="T52" i="23"/>
  <c r="AH128" i="23"/>
  <c r="T69" i="23" s="1"/>
  <c r="AG128" i="23"/>
  <c r="S69" i="23" s="1"/>
  <c r="S52" i="23"/>
  <c r="AC129" i="23"/>
  <c r="O70" i="23" s="1"/>
  <c r="O53" i="23"/>
  <c r="AH127" i="23"/>
  <c r="T68" i="23" s="1"/>
  <c r="T51" i="23"/>
  <c r="AD72" i="23"/>
  <c r="AF72" i="23" s="1"/>
  <c r="AM1397" i="4"/>
  <c r="AM1328" i="4"/>
  <c r="AM1139" i="4"/>
  <c r="AM1386" i="4"/>
  <c r="AM1301" i="4"/>
  <c r="AM1472" i="4"/>
  <c r="AM1363" i="4"/>
  <c r="AM1269" i="4"/>
  <c r="AM1379" i="4"/>
  <c r="AM1303" i="4"/>
  <c r="AM1273" i="4"/>
  <c r="AM1391" i="4"/>
  <c r="AM1186" i="4"/>
  <c r="AM1188" i="4"/>
  <c r="AM1233" i="4"/>
  <c r="AM1294" i="4"/>
  <c r="AM1480" i="4"/>
  <c r="AM1133" i="4"/>
  <c r="AM1298" i="4"/>
  <c r="AM1287" i="4"/>
  <c r="AM1184" i="4"/>
  <c r="AM1265" i="4"/>
  <c r="AM1182" i="4"/>
  <c r="AM1270" i="4"/>
  <c r="AM1446" i="4"/>
  <c r="AM1420" i="4"/>
  <c r="AM1168" i="4"/>
  <c r="AM1369" i="4"/>
  <c r="AM1376" i="4"/>
  <c r="AI111" i="23"/>
  <c r="AM1216" i="4"/>
  <c r="AI109" i="23"/>
  <c r="AM1254" i="4"/>
  <c r="AM1208" i="4"/>
  <c r="AM1291" i="4"/>
  <c r="AM1315" i="4"/>
  <c r="AM1399" i="4"/>
  <c r="AM1142" i="4"/>
  <c r="AM1355" i="4"/>
  <c r="AM1489" i="4"/>
  <c r="AM1460" i="4"/>
  <c r="AM1456" i="4"/>
  <c r="AM1197" i="4"/>
  <c r="AM1337" i="4"/>
  <c r="AM1387" i="4"/>
  <c r="AM1437" i="4"/>
  <c r="AM1153" i="4"/>
  <c r="AM1132" i="4"/>
  <c r="AM1323" i="4"/>
  <c r="AM1360" i="4"/>
  <c r="AM1402" i="4"/>
  <c r="AM1201" i="4"/>
  <c r="AM1332" i="4"/>
  <c r="AM1423" i="4"/>
  <c r="AM1256" i="4"/>
  <c r="AM1152" i="4"/>
  <c r="AM1308" i="4"/>
  <c r="AM1468" i="4"/>
  <c r="AM1266" i="4"/>
  <c r="AM1442" i="4"/>
  <c r="AM1476" i="4"/>
  <c r="AM1461" i="4"/>
  <c r="AM1129" i="4"/>
  <c r="AM1180" i="4"/>
  <c r="AM1343" i="4"/>
  <c r="AM1158" i="4"/>
  <c r="AM1433" i="4"/>
  <c r="AM1340" i="4"/>
  <c r="AM1431" i="4"/>
  <c r="AM1297" i="4"/>
  <c r="AM1307" i="4"/>
  <c r="AM1382" i="4"/>
  <c r="AM1400" i="4"/>
  <c r="AM1334" i="4"/>
  <c r="AM1211" i="4"/>
  <c r="AM1342" i="4"/>
  <c r="AI108" i="23"/>
  <c r="AM1234" i="4"/>
  <c r="AM1465" i="4"/>
  <c r="AG112" i="23"/>
  <c r="AM1374" i="4"/>
  <c r="AM1145" i="4"/>
  <c r="AM1357" i="4"/>
  <c r="AM1134" i="4"/>
  <c r="AM1128" i="4"/>
  <c r="AM1447" i="4"/>
  <c r="AM1226" i="4"/>
  <c r="AM1325" i="4"/>
  <c r="AM1195" i="4"/>
  <c r="AM1348" i="4"/>
  <c r="AM1155" i="4"/>
  <c r="AM1150" i="4"/>
  <c r="AM1203" i="4"/>
  <c r="AM1224" i="4"/>
  <c r="AM1314" i="4"/>
  <c r="AM1255" i="4"/>
  <c r="AM1333" i="4"/>
  <c r="AM1177" i="4"/>
  <c r="AM1436" i="4"/>
  <c r="AM1385" i="4"/>
  <c r="AM1240" i="4"/>
  <c r="AM1258" i="4"/>
  <c r="AM1196" i="4"/>
  <c r="AM1383" i="4"/>
  <c r="AM1331" i="4"/>
  <c r="AM1159" i="4"/>
  <c r="AM1313" i="4"/>
  <c r="AM1339" i="4"/>
  <c r="AM1395" i="4"/>
  <c r="AM1404" i="4"/>
  <c r="AM1458" i="4"/>
  <c r="AM1351" i="4"/>
  <c r="AM1243" i="4"/>
  <c r="AM1324" i="4"/>
  <c r="AM1199" i="4"/>
  <c r="AM1481" i="4"/>
  <c r="AM1135" i="4"/>
  <c r="AM1463" i="4"/>
  <c r="AM1295" i="4"/>
  <c r="AM1261" i="4"/>
  <c r="AM1409" i="4"/>
  <c r="AM1368" i="4"/>
  <c r="AM1228" i="4"/>
  <c r="AM1285" i="4"/>
  <c r="AM1169" i="4"/>
  <c r="AM1232" i="4"/>
  <c r="AM1346" i="4"/>
  <c r="AM1319" i="4"/>
  <c r="AM1246" i="4"/>
  <c r="AM1214" i="4"/>
  <c r="AM1306" i="4"/>
  <c r="AM1156" i="4"/>
  <c r="AM1485" i="4"/>
  <c r="AM1281" i="4"/>
  <c r="AM1137" i="4"/>
  <c r="AM1237" i="4"/>
  <c r="AM1276" i="4"/>
  <c r="AM1401" i="4"/>
  <c r="AM1448" i="4"/>
  <c r="AM1138" i="4"/>
  <c r="AM1183" i="4"/>
  <c r="AM1282" i="4"/>
  <c r="AE112" i="23"/>
  <c r="AM1317" i="4"/>
  <c r="AM1271" i="4"/>
  <c r="AM1286" i="4"/>
  <c r="AM1353" i="4"/>
  <c r="AM1289" i="4"/>
  <c r="AM1187" i="4"/>
  <c r="AM1490" i="4"/>
  <c r="AM1176" i="4"/>
  <c r="AM1205" i="4"/>
  <c r="AM1247" i="4"/>
  <c r="AM1304" i="4"/>
  <c r="AM1259" i="4"/>
  <c r="AM1428" i="4"/>
  <c r="AM1275" i="4"/>
  <c r="AM1469" i="4"/>
  <c r="AM1175" i="4"/>
  <c r="AM1415" i="4"/>
  <c r="AM1370" i="4"/>
  <c r="AM1483" i="4"/>
  <c r="AM1378" i="4"/>
  <c r="AM1189" i="4"/>
  <c r="AM1204" i="4"/>
  <c r="AM1144" i="4"/>
  <c r="AM1482" i="4"/>
  <c r="AM1206" i="4"/>
  <c r="AM1264" i="4"/>
  <c r="AM1466" i="4"/>
  <c r="AM1293" i="4"/>
  <c r="AM1349" i="4"/>
  <c r="AM1178" i="4"/>
  <c r="AM1193" i="4"/>
  <c r="AM1172" i="4"/>
  <c r="AM1210" i="4"/>
  <c r="AM1429" i="4"/>
  <c r="AM1425" i="4"/>
  <c r="AM1212" i="4"/>
  <c r="AM1330" i="4"/>
  <c r="AM1143" i="4"/>
  <c r="AM1491" i="4"/>
  <c r="AM1219" i="4"/>
  <c r="AM1424" i="4"/>
  <c r="AM1221" i="4"/>
  <c r="AM1244" i="4"/>
  <c r="AM1396" i="4"/>
  <c r="AM1148" i="4"/>
  <c r="AM1388" i="4"/>
  <c r="AM1473" i="4"/>
  <c r="AM1453" i="4"/>
  <c r="AM1462" i="4"/>
  <c r="AM1296" i="4"/>
  <c r="AM1161" i="4"/>
  <c r="AM1284" i="4"/>
  <c r="AM1235" i="4"/>
  <c r="AM1450" i="4"/>
  <c r="AF112" i="23"/>
  <c r="AM1248" i="4"/>
  <c r="AM1288" i="4"/>
  <c r="AM1326" i="4"/>
  <c r="AM1359" i="4"/>
  <c r="AM1173" i="4"/>
  <c r="AM1147" i="4"/>
  <c r="AM1149" i="4"/>
  <c r="AM1227" i="4"/>
  <c r="AM1299" i="4"/>
  <c r="AM1312" i="4"/>
  <c r="AM1421" i="4"/>
  <c r="AM1231" i="4"/>
  <c r="AM1166" i="4"/>
  <c r="AM1136" i="4"/>
  <c r="AM1241" i="4"/>
  <c r="AM1141" i="4"/>
  <c r="AM1373" i="4"/>
  <c r="AM1361" i="4"/>
  <c r="AM1280" i="4"/>
  <c r="AM1371" i="4"/>
  <c r="AM1471" i="4"/>
  <c r="AM1394" i="4"/>
  <c r="AM1238" i="4"/>
  <c r="AM1405" i="4"/>
  <c r="AM1393" i="4"/>
  <c r="AM1163" i="4"/>
  <c r="AM1318" i="4"/>
  <c r="AM1347" i="4"/>
  <c r="AM1336" i="4"/>
  <c r="AM1451" i="4"/>
  <c r="AM1364" i="4"/>
  <c r="AM1223" i="4"/>
  <c r="AM1484" i="4"/>
  <c r="AM1171" i="4"/>
  <c r="AM1344" i="4"/>
  <c r="AM1412" i="4"/>
  <c r="AM1229" i="4"/>
  <c r="AM1467" i="4"/>
  <c r="AM1222" i="4"/>
  <c r="AM1130" i="4"/>
  <c r="AM1459" i="4"/>
  <c r="AM1356" i="4"/>
  <c r="AM1209" i="4"/>
  <c r="AM1406" i="4"/>
  <c r="AM1492" i="4"/>
  <c r="AM1192" i="4"/>
  <c r="AM1430" i="4"/>
  <c r="AM1358" i="4"/>
  <c r="AM1242" i="4"/>
  <c r="AM1479" i="4"/>
  <c r="AM1283" i="4"/>
  <c r="AM1279" i="4"/>
  <c r="AM1217" i="4"/>
  <c r="AM1191" i="4"/>
  <c r="AM1432" i="4"/>
  <c r="AM1381" i="4"/>
  <c r="AM1151" i="4"/>
  <c r="AI110" i="23"/>
  <c r="AM1181" i="4"/>
  <c r="AM1253" i="4"/>
  <c r="AM1487" i="4"/>
  <c r="AM1416" i="4"/>
  <c r="AM1263" i="4"/>
  <c r="AM1162" i="4"/>
  <c r="AM1454" i="4"/>
  <c r="AM1292" i="4"/>
  <c r="AM1274" i="4"/>
  <c r="AM1411" i="4"/>
  <c r="AM1445" i="4"/>
  <c r="AM1160" i="4"/>
  <c r="AM1389" i="4"/>
  <c r="AM1154" i="4"/>
  <c r="AM1250" i="4"/>
  <c r="AM1225" i="4"/>
  <c r="AM1220" i="4"/>
  <c r="AM1455" i="4"/>
  <c r="AM1316" i="4"/>
  <c r="AI107" i="23"/>
  <c r="AH112" i="23"/>
  <c r="AM1414" i="4"/>
  <c r="AM1403" i="4"/>
  <c r="AM1354" i="4"/>
  <c r="AM1362" i="4"/>
  <c r="AM1443" i="4"/>
  <c r="AM1278" i="4"/>
  <c r="AM1366" i="4"/>
  <c r="AM1435" i="4"/>
  <c r="AM1179" i="4"/>
  <c r="AM1417" i="4"/>
  <c r="AC113" i="23"/>
  <c r="AM1305" i="4"/>
  <c r="AM1384" i="4"/>
  <c r="AM1439" i="4"/>
  <c r="AM1215" i="4"/>
  <c r="AM1267" i="4"/>
  <c r="AM1457" i="4"/>
  <c r="AM1413" i="4"/>
  <c r="AM1477" i="4"/>
  <c r="AM1302" i="4"/>
  <c r="AM1310" i="4"/>
  <c r="AM1408" i="4"/>
  <c r="AM1239" i="4"/>
  <c r="AM1252" i="4"/>
  <c r="AM1486" i="4"/>
  <c r="AM1438" i="4"/>
  <c r="AM1257" i="4"/>
  <c r="AM1338" i="4"/>
  <c r="AD112" i="23"/>
  <c r="AM1190" i="4"/>
  <c r="AM1207" i="4"/>
  <c r="AM1434" i="4"/>
  <c r="AM1198" i="4"/>
  <c r="AM1418" i="4"/>
  <c r="AM1218" i="4"/>
  <c r="AM1245" i="4"/>
  <c r="AM1449" i="4"/>
  <c r="AM1464" i="4"/>
  <c r="AM1251" i="4"/>
  <c r="AM1478" i="4"/>
  <c r="AM1311" i="4"/>
  <c r="AM1441" i="4"/>
  <c r="AM1372" i="4"/>
  <c r="AM1444" i="4"/>
  <c r="AM1341" i="4"/>
  <c r="AM1452" i="4"/>
  <c r="AM1164" i="4"/>
  <c r="AM1392" i="4"/>
  <c r="AM1377" i="4"/>
  <c r="AM1365" i="4"/>
  <c r="AM1321" i="4"/>
  <c r="AM1398" i="4"/>
  <c r="AM1309" i="4"/>
  <c r="AM1174" i="4"/>
  <c r="AM1488" i="4"/>
  <c r="AM1422" i="4"/>
  <c r="AM1277" i="4"/>
  <c r="AM1268" i="4"/>
  <c r="AM1327" i="4"/>
  <c r="AM1419" i="4"/>
  <c r="AM1475" i="4"/>
  <c r="AM1194" i="4"/>
  <c r="AM1146" i="4"/>
  <c r="AM1375" i="4"/>
  <c r="AM1345" i="4"/>
  <c r="AM1167" i="4"/>
  <c r="AM1474" i="4"/>
  <c r="AM1390" i="4"/>
  <c r="AM1249" i="4"/>
  <c r="AM1300" i="4"/>
  <c r="AM1131" i="4"/>
  <c r="AM1185" i="4"/>
  <c r="AM1157" i="4"/>
  <c r="AM1426" i="4"/>
  <c r="AM1236" i="4"/>
  <c r="AM1272" i="4"/>
  <c r="AM1367" i="4"/>
  <c r="AM1202" i="4"/>
  <c r="AM1335" i="4"/>
  <c r="AM1427" i="4"/>
  <c r="AM1165" i="4"/>
  <c r="AM1322" i="4"/>
  <c r="AM1407" i="4"/>
  <c r="AM1262" i="4"/>
  <c r="AM1352" i="4"/>
  <c r="AM1329" i="4"/>
  <c r="AM1213" i="4"/>
  <c r="AN1489" i="4" l="1"/>
  <c r="AN1485" i="4"/>
  <c r="AN1481" i="4"/>
  <c r="AN1452" i="4"/>
  <c r="AN1419" i="4"/>
  <c r="AN1386" i="4"/>
  <c r="AN1353" i="4"/>
  <c r="AN1319" i="4"/>
  <c r="AN1448" i="4"/>
  <c r="AN1415" i="4"/>
  <c r="AN1382" i="4"/>
  <c r="AN1348" i="4"/>
  <c r="AN1315" i="4"/>
  <c r="AN1488" i="4"/>
  <c r="AN1484" i="4"/>
  <c r="AN1477" i="4"/>
  <c r="AN1444" i="4"/>
  <c r="AN1411" i="4"/>
  <c r="AN1377" i="4"/>
  <c r="AN1344" i="4"/>
  <c r="AN1473" i="4"/>
  <c r="AN1439" i="4"/>
  <c r="AN1406" i="4"/>
  <c r="AN1373" i="4"/>
  <c r="AN1340" i="4"/>
  <c r="AN1491" i="4"/>
  <c r="AN1487" i="4"/>
  <c r="AN1483" i="4"/>
  <c r="AN1468" i="4"/>
  <c r="AN1435" i="4"/>
  <c r="AN1402" i="4"/>
  <c r="AN1369" i="4"/>
  <c r="AN1336" i="4"/>
  <c r="AN1464" i="4"/>
  <c r="AN1431" i="4"/>
  <c r="AN1398" i="4"/>
  <c r="AN1365" i="4"/>
  <c r="AN1332" i="4"/>
  <c r="AN1490" i="4"/>
  <c r="AN1486" i="4"/>
  <c r="AN1482" i="4"/>
  <c r="AN1460" i="4"/>
  <c r="AN1427" i="4"/>
  <c r="AN1394" i="4"/>
  <c r="AN1361" i="4"/>
  <c r="AN1328" i="4"/>
  <c r="AN1492" i="4"/>
  <c r="AN1456" i="4"/>
  <c r="AN1423" i="4"/>
  <c r="AN1390" i="4"/>
  <c r="AN1357" i="4"/>
  <c r="AN1324" i="4"/>
  <c r="AN1480" i="4"/>
  <c r="AN1476" i="4"/>
  <c r="AN1472" i="4"/>
  <c r="AN1467" i="4"/>
  <c r="AN1463" i="4"/>
  <c r="AN1459" i="4"/>
  <c r="AN1455" i="4"/>
  <c r="AN1451" i="4"/>
  <c r="AN1447" i="4"/>
  <c r="AN1443" i="4"/>
  <c r="AN1438" i="4"/>
  <c r="AN1434" i="4"/>
  <c r="AN1430" i="4"/>
  <c r="AN1426" i="4"/>
  <c r="AN1422" i="4"/>
  <c r="AN1418" i="4"/>
  <c r="AN1414" i="4"/>
  <c r="AN1409" i="4"/>
  <c r="AN1405" i="4"/>
  <c r="AN1401" i="4"/>
  <c r="AN1397" i="4"/>
  <c r="AN1393" i="4"/>
  <c r="AN1389" i="4"/>
  <c r="AN1385" i="4"/>
  <c r="AN1381" i="4"/>
  <c r="AN1376" i="4"/>
  <c r="AN1372" i="4"/>
  <c r="AN1368" i="4"/>
  <c r="AN1364" i="4"/>
  <c r="AN1360" i="4"/>
  <c r="AN1356" i="4"/>
  <c r="AN1352" i="4"/>
  <c r="AN1347" i="4"/>
  <c r="AN1343" i="4"/>
  <c r="AN1339" i="4"/>
  <c r="AN1335" i="4"/>
  <c r="AN1331" i="4"/>
  <c r="AN1327" i="4"/>
  <c r="AN1323" i="4"/>
  <c r="AN1318" i="4"/>
  <c r="AN1314" i="4"/>
  <c r="AN1310" i="4"/>
  <c r="AN1306" i="4"/>
  <c r="AN1302" i="4"/>
  <c r="AN1298" i="4"/>
  <c r="AN1294" i="4"/>
  <c r="AN1289" i="4"/>
  <c r="AN1285" i="4"/>
  <c r="AN1281" i="4"/>
  <c r="AN1277" i="4"/>
  <c r="AN1273" i="4"/>
  <c r="AN1269" i="4"/>
  <c r="AN1265" i="4"/>
  <c r="AN1261" i="4"/>
  <c r="AN1256" i="4"/>
  <c r="AN1252" i="4"/>
  <c r="AN1248" i="4"/>
  <c r="AN1244" i="4"/>
  <c r="AN1240" i="4"/>
  <c r="AN1236" i="4"/>
  <c r="AN1232" i="4"/>
  <c r="AN1227" i="4"/>
  <c r="AN1223" i="4"/>
  <c r="AN1219" i="4"/>
  <c r="AN1215" i="4"/>
  <c r="AN1211" i="4"/>
  <c r="AN1207" i="4"/>
  <c r="AN1203" i="4"/>
  <c r="AN1198" i="4"/>
  <c r="AN1194" i="4"/>
  <c r="AN1190" i="4"/>
  <c r="AN1186" i="4"/>
  <c r="AN1182" i="4"/>
  <c r="AN1178" i="4"/>
  <c r="AN1174" i="4"/>
  <c r="AN1169" i="4"/>
  <c r="AN1165" i="4"/>
  <c r="AN1161" i="4"/>
  <c r="AN1157" i="4"/>
  <c r="AN1153" i="4"/>
  <c r="AN1149" i="4"/>
  <c r="AN1145" i="4"/>
  <c r="AN1141" i="4"/>
  <c r="AN1136" i="4"/>
  <c r="AN1132" i="4"/>
  <c r="AN1128" i="4"/>
  <c r="AN1479" i="4"/>
  <c r="AN1475" i="4"/>
  <c r="AN1471" i="4"/>
  <c r="AN1466" i="4"/>
  <c r="AN1462" i="4"/>
  <c r="AN1458" i="4"/>
  <c r="AN1454" i="4"/>
  <c r="AN1450" i="4"/>
  <c r="AN1446" i="4"/>
  <c r="AN1442" i="4"/>
  <c r="AN1437" i="4"/>
  <c r="AN1433" i="4"/>
  <c r="AN1429" i="4"/>
  <c r="AN1425" i="4"/>
  <c r="AN1421" i="4"/>
  <c r="AN1417" i="4"/>
  <c r="AN1413" i="4"/>
  <c r="AN1408" i="4"/>
  <c r="AN1404" i="4"/>
  <c r="AN1400" i="4"/>
  <c r="AN1396" i="4"/>
  <c r="AN1392" i="4"/>
  <c r="AN1388" i="4"/>
  <c r="AN1384" i="4"/>
  <c r="AN1379" i="4"/>
  <c r="AN1375" i="4"/>
  <c r="AN1371" i="4"/>
  <c r="AN1367" i="4"/>
  <c r="AN1363" i="4"/>
  <c r="AN1359" i="4"/>
  <c r="AN1355" i="4"/>
  <c r="AN1351" i="4"/>
  <c r="AN1346" i="4"/>
  <c r="AN1342" i="4"/>
  <c r="AN1338" i="4"/>
  <c r="AN1334" i="4"/>
  <c r="AN1330" i="4"/>
  <c r="AN1326" i="4"/>
  <c r="AN1322" i="4"/>
  <c r="AN1317" i="4"/>
  <c r="AN1313" i="4"/>
  <c r="AN1309" i="4"/>
  <c r="AN1305" i="4"/>
  <c r="AN1301" i="4"/>
  <c r="AN1297" i="4"/>
  <c r="AN1293" i="4"/>
  <c r="AN1288" i="4"/>
  <c r="AN1284" i="4"/>
  <c r="AN1280" i="4"/>
  <c r="AN1276" i="4"/>
  <c r="AN1272" i="4"/>
  <c r="AN1268" i="4"/>
  <c r="AN1264" i="4"/>
  <c r="AN1259" i="4"/>
  <c r="AN1255" i="4"/>
  <c r="AN1251" i="4"/>
  <c r="AN1247" i="4"/>
  <c r="AN1243" i="4"/>
  <c r="AN1239" i="4"/>
  <c r="AN1235" i="4"/>
  <c r="AN1231" i="4"/>
  <c r="AN1226" i="4"/>
  <c r="AN1222" i="4"/>
  <c r="AN1218" i="4"/>
  <c r="AN1214" i="4"/>
  <c r="AN1210" i="4"/>
  <c r="AN1206" i="4"/>
  <c r="AN1202" i="4"/>
  <c r="AN1197" i="4"/>
  <c r="AN1193" i="4"/>
  <c r="AN1189" i="4"/>
  <c r="AN1185" i="4"/>
  <c r="AN1181" i="4"/>
  <c r="AN1177" i="4"/>
  <c r="AN1173" i="4"/>
  <c r="AN1168" i="4"/>
  <c r="AN1164" i="4"/>
  <c r="AN1160" i="4"/>
  <c r="AN1156" i="4"/>
  <c r="AN1152" i="4"/>
  <c r="AN1148" i="4"/>
  <c r="AN1144" i="4"/>
  <c r="AN1139" i="4"/>
  <c r="AN1135" i="4"/>
  <c r="AN1131" i="4"/>
  <c r="AN1478" i="4"/>
  <c r="AN1474" i="4"/>
  <c r="AN1469" i="4"/>
  <c r="AN1465" i="4"/>
  <c r="AN1461" i="4"/>
  <c r="AN1457" i="4"/>
  <c r="AN1453" i="4"/>
  <c r="AN1449" i="4"/>
  <c r="AN1445" i="4"/>
  <c r="AN1441" i="4"/>
  <c r="AN1436" i="4"/>
  <c r="AN1432" i="4"/>
  <c r="AN1428" i="4"/>
  <c r="AN1424" i="4"/>
  <c r="AN1420" i="4"/>
  <c r="AN1416" i="4"/>
  <c r="AN1412" i="4"/>
  <c r="AN1407" i="4"/>
  <c r="AN1403" i="4"/>
  <c r="AN1399" i="4"/>
  <c r="AN1395" i="4"/>
  <c r="AN1391" i="4"/>
  <c r="AN1387" i="4"/>
  <c r="AN1383" i="4"/>
  <c r="AN1378" i="4"/>
  <c r="AN1374" i="4"/>
  <c r="AN1370" i="4"/>
  <c r="AN1366" i="4"/>
  <c r="AN1362" i="4"/>
  <c r="AN1358" i="4"/>
  <c r="AN1354" i="4"/>
  <c r="AN1349" i="4"/>
  <c r="AN1345" i="4"/>
  <c r="AN1341" i="4"/>
  <c r="AN1337" i="4"/>
  <c r="AN1333" i="4"/>
  <c r="AN1329" i="4"/>
  <c r="AN1325" i="4"/>
  <c r="AN1321" i="4"/>
  <c r="AN1316" i="4"/>
  <c r="AN1312" i="4"/>
  <c r="AN1308" i="4"/>
  <c r="AN1304" i="4"/>
  <c r="AN1300" i="4"/>
  <c r="AN1296" i="4"/>
  <c r="AN1292" i="4"/>
  <c r="AN1287" i="4"/>
  <c r="AN1283" i="4"/>
  <c r="AN1279" i="4"/>
  <c r="AN1275" i="4"/>
  <c r="AN1271" i="4"/>
  <c r="AN1267" i="4"/>
  <c r="AN1263" i="4"/>
  <c r="AN1258" i="4"/>
  <c r="AN1254" i="4"/>
  <c r="AN1250" i="4"/>
  <c r="AN1246" i="4"/>
  <c r="AN1242" i="4"/>
  <c r="AN1238" i="4"/>
  <c r="AN1234" i="4"/>
  <c r="AN1229" i="4"/>
  <c r="AN1225" i="4"/>
  <c r="AN1221" i="4"/>
  <c r="AN1217" i="4"/>
  <c r="AN1213" i="4"/>
  <c r="AN1209" i="4"/>
  <c r="AN1205" i="4"/>
  <c r="AN1201" i="4"/>
  <c r="AN1196" i="4"/>
  <c r="AN1192" i="4"/>
  <c r="AN1188" i="4"/>
  <c r="AN1184" i="4"/>
  <c r="AN1180" i="4"/>
  <c r="AN1176" i="4"/>
  <c r="AN1172" i="4"/>
  <c r="AN1167" i="4"/>
  <c r="AN1163" i="4"/>
  <c r="AN1159" i="4"/>
  <c r="AN1155" i="4"/>
  <c r="AN1151" i="4"/>
  <c r="AN1147" i="4"/>
  <c r="AN1143" i="4"/>
  <c r="AN1138" i="4"/>
  <c r="AN1134" i="4"/>
  <c r="AN1130" i="4"/>
  <c r="AN1311" i="4"/>
  <c r="AN1307" i="4"/>
  <c r="AN1303" i="4"/>
  <c r="AN1299" i="4"/>
  <c r="AN1295" i="4"/>
  <c r="AN1291" i="4"/>
  <c r="AN1286" i="4"/>
  <c r="AN1282" i="4"/>
  <c r="AN1278" i="4"/>
  <c r="AN1274" i="4"/>
  <c r="AN1270" i="4"/>
  <c r="AN1266" i="4"/>
  <c r="AN1262" i="4"/>
  <c r="AN1257" i="4"/>
  <c r="AN1253" i="4"/>
  <c r="AN1249" i="4"/>
  <c r="AN1245" i="4"/>
  <c r="AN1241" i="4"/>
  <c r="AN1237" i="4"/>
  <c r="AN1233" i="4"/>
  <c r="AN1228" i="4"/>
  <c r="AN1224" i="4"/>
  <c r="AN1220" i="4"/>
  <c r="AN1216" i="4"/>
  <c r="AN1212" i="4"/>
  <c r="AN1208" i="4"/>
  <c r="AN1204" i="4"/>
  <c r="AN1199" i="4"/>
  <c r="AN1195" i="4"/>
  <c r="AN1191" i="4"/>
  <c r="AN1187" i="4"/>
  <c r="AN1183" i="4"/>
  <c r="AN1179" i="4"/>
  <c r="AN1175" i="4"/>
  <c r="AN1171" i="4"/>
  <c r="AN1166" i="4"/>
  <c r="AN1162" i="4"/>
  <c r="AN1158" i="4"/>
  <c r="AN1154" i="4"/>
  <c r="AN1150" i="4"/>
  <c r="AN1146" i="4"/>
  <c r="AN1142" i="4"/>
  <c r="AN1137" i="4"/>
  <c r="AN1133" i="4"/>
  <c r="AN1129" i="4"/>
  <c r="AF129" i="23"/>
  <c r="R70" i="23" s="1"/>
  <c r="R53" i="23"/>
  <c r="AE129" i="23"/>
  <c r="Q70" i="23" s="1"/>
  <c r="Q53" i="23"/>
  <c r="AI124" i="23"/>
  <c r="U65" i="23" s="1"/>
  <c r="U48" i="23"/>
  <c r="AC130" i="23"/>
  <c r="O71" i="23" s="1"/>
  <c r="O54" i="23"/>
  <c r="U49" i="23"/>
  <c r="AI125" i="23"/>
  <c r="U66" i="23" s="1"/>
  <c r="AI126" i="23"/>
  <c r="U67" i="23" s="1"/>
  <c r="U50" i="23"/>
  <c r="U51" i="23"/>
  <c r="AI127" i="23"/>
  <c r="U68" i="23" s="1"/>
  <c r="P53" i="23"/>
  <c r="AD129" i="23"/>
  <c r="P70" i="23" s="1"/>
  <c r="U52" i="23"/>
  <c r="AI128" i="23"/>
  <c r="U69" i="23" s="1"/>
  <c r="T53" i="23"/>
  <c r="AH129" i="23"/>
  <c r="T70" i="23" s="1"/>
  <c r="AG129" i="23"/>
  <c r="S70" i="23" s="1"/>
  <c r="S53" i="23"/>
  <c r="AD73" i="23"/>
  <c r="AF73" i="23" s="1"/>
  <c r="AJ109" i="23"/>
  <c r="AM1749" i="4"/>
  <c r="AM1714" i="4"/>
  <c r="AM1629" i="4"/>
  <c r="AM1791" i="4"/>
  <c r="AM1647" i="4"/>
  <c r="AM1764" i="4"/>
  <c r="AM1657" i="4"/>
  <c r="AM1526" i="4"/>
  <c r="AM1793" i="4"/>
  <c r="AM1555" i="4"/>
  <c r="AM1661" i="4"/>
  <c r="AM1758" i="4"/>
  <c r="AM1503" i="4"/>
  <c r="AM1665" i="4"/>
  <c r="AM1552" i="4"/>
  <c r="AM1802" i="4"/>
  <c r="AM1602" i="4"/>
  <c r="AM1669" i="4"/>
  <c r="AM1824" i="4"/>
  <c r="AM1595" i="4"/>
  <c r="AM1702" i="4"/>
  <c r="AM1766" i="4"/>
  <c r="AM1554" i="4"/>
  <c r="AJ108" i="23"/>
  <c r="AM1773" i="4"/>
  <c r="AM1642" i="4"/>
  <c r="AM1636" i="4"/>
  <c r="AM1787" i="4"/>
  <c r="AM1806" i="4"/>
  <c r="AM1673" i="4"/>
  <c r="AM1738" i="4"/>
  <c r="AM1505" i="4"/>
  <c r="AM1520" i="4"/>
  <c r="AM1501" i="4"/>
  <c r="AM1792" i="4"/>
  <c r="AM1586" i="4"/>
  <c r="AM1577" i="4"/>
  <c r="AM1597" i="4"/>
  <c r="AM1599" i="4"/>
  <c r="AM1648" i="4"/>
  <c r="AM1581" i="4"/>
  <c r="AM1614" i="4"/>
  <c r="AM1522" i="4"/>
  <c r="AM1850" i="4"/>
  <c r="AM1576" i="4"/>
  <c r="AM1690" i="4"/>
  <c r="AM1817" i="4"/>
  <c r="AM1651" i="4"/>
  <c r="AM1633" i="4"/>
  <c r="AM1705" i="4"/>
  <c r="AM1754" i="4"/>
  <c r="AM1632" i="4"/>
  <c r="AM1826" i="4"/>
  <c r="AM1664" i="4"/>
  <c r="AM1630" i="4"/>
  <c r="AM1813" i="4"/>
  <c r="AM1634" i="4"/>
  <c r="AM1566" i="4"/>
  <c r="AM1707" i="4"/>
  <c r="AM1536" i="4"/>
  <c r="AM1541" i="4"/>
  <c r="AM1730" i="4"/>
  <c r="AM1654" i="4"/>
  <c r="AM1765" i="4"/>
  <c r="AM1840" i="4"/>
  <c r="AM1570" i="4"/>
  <c r="AM1814" i="4"/>
  <c r="AM1842" i="4"/>
  <c r="AM1502" i="4"/>
  <c r="AM1709" i="4"/>
  <c r="AM1578" i="4"/>
  <c r="AM1497" i="4"/>
  <c r="AM1686" i="4"/>
  <c r="AM1496" i="4"/>
  <c r="AM1528" i="4"/>
  <c r="AM1606" i="4"/>
  <c r="AM1747" i="4"/>
  <c r="AM1731" i="4"/>
  <c r="AM1662" i="4"/>
  <c r="AM1547" i="4"/>
  <c r="AM1527" i="4"/>
  <c r="AM1495" i="4"/>
  <c r="AM1499" i="4"/>
  <c r="AM1619" i="4"/>
  <c r="AM1718" i="4"/>
  <c r="AM1604" i="4"/>
  <c r="AM1774" i="4"/>
  <c r="AM1841" i="4"/>
  <c r="AM1515" i="4"/>
  <c r="AM1741" i="4"/>
  <c r="AM1785" i="4"/>
  <c r="AM1594" i="4"/>
  <c r="AM1569" i="4"/>
  <c r="AM1637" i="4"/>
  <c r="AM1734" i="4"/>
  <c r="AM1612" i="4"/>
  <c r="AM1854" i="4"/>
  <c r="AM1838" i="4"/>
  <c r="AM1544" i="4"/>
  <c r="AM1579" i="4"/>
  <c r="AM1682" i="4"/>
  <c r="AM1822" i="4"/>
  <c r="AM1553" i="4"/>
  <c r="AM1596" i="4"/>
  <c r="AM1725" i="4"/>
  <c r="AM1537" i="4"/>
  <c r="AM1513" i="4"/>
  <c r="AM1745" i="4"/>
  <c r="AM1607" i="4"/>
  <c r="AM1737" i="4"/>
  <c r="AM1744" i="4"/>
  <c r="AM1494" i="4"/>
  <c r="AM1845" i="4"/>
  <c r="AM1853" i="4"/>
  <c r="AM1805" i="4"/>
  <c r="AM1667" i="4"/>
  <c r="AM1832" i="4"/>
  <c r="AM1786" i="4"/>
  <c r="AM1753" i="4"/>
  <c r="AE113" i="23"/>
  <c r="AM1675" i="4"/>
  <c r="AM1700" i="4"/>
  <c r="AM1852" i="4"/>
  <c r="AM1668" i="4"/>
  <c r="AM1535" i="4"/>
  <c r="AM1549" i="4"/>
  <c r="AM1644" i="4"/>
  <c r="AF113" i="23"/>
  <c r="AM1788" i="4"/>
  <c r="AM1671" i="4"/>
  <c r="AM1591" i="4"/>
  <c r="AM1592" i="4"/>
  <c r="AM1831" i="4"/>
  <c r="AM1847" i="4"/>
  <c r="AM1638" i="4"/>
  <c r="AM1769" i="4"/>
  <c r="AM1829" i="4"/>
  <c r="AM1855" i="4"/>
  <c r="AM1628" i="4"/>
  <c r="AM1615" i="4"/>
  <c r="AM1635" i="4"/>
  <c r="AM1712" i="4"/>
  <c r="AM1835" i="4"/>
  <c r="AM1696" i="4"/>
  <c r="AM1856" i="4"/>
  <c r="AM1804" i="4"/>
  <c r="AM1809" i="4"/>
  <c r="AM1729" i="4"/>
  <c r="AM1557" i="4"/>
  <c r="AM1724" i="4"/>
  <c r="AM1610" i="4"/>
  <c r="AM1508" i="4"/>
  <c r="AM1493" i="4"/>
  <c r="AM1684" i="4"/>
  <c r="AM1609" i="4"/>
  <c r="AM1807" i="4"/>
  <c r="AM1778" i="4"/>
  <c r="AM1815" i="4"/>
  <c r="AM1755" i="4"/>
  <c r="AM1742" i="4"/>
  <c r="AM1608" i="4"/>
  <c r="AJ107" i="23"/>
  <c r="AM1715" i="4"/>
  <c r="AM1732" i="4"/>
  <c r="AM1631" i="4"/>
  <c r="AM1706" i="4"/>
  <c r="AM1623" i="4"/>
  <c r="AM1777" i="4"/>
  <c r="AM1573" i="4"/>
  <c r="AM1727" i="4"/>
  <c r="AM1763" i="4"/>
  <c r="AM1558" i="4"/>
  <c r="AM1512" i="4"/>
  <c r="AM1659" i="4"/>
  <c r="AM1545" i="4"/>
  <c r="AM1613" i="4"/>
  <c r="AM1735" i="4"/>
  <c r="AM1598" i="4"/>
  <c r="AM1676" i="4"/>
  <c r="AM1760" i="4"/>
  <c r="AM1498" i="4"/>
  <c r="AM1851" i="4"/>
  <c r="AM1584" i="4"/>
  <c r="AM1839" i="4"/>
  <c r="AM1658" i="4"/>
  <c r="AM1562" i="4"/>
  <c r="AM1506" i="4"/>
  <c r="AM1713" i="4"/>
  <c r="AM1703" i="4"/>
  <c r="AM1601" i="4"/>
  <c r="AM1622" i="4"/>
  <c r="AM1672" i="4"/>
  <c r="AM1646" i="4"/>
  <c r="AM1571" i="4"/>
  <c r="AM1694" i="4"/>
  <c r="AM1736" i="4"/>
  <c r="AM1561" i="4"/>
  <c r="AM1844" i="4"/>
  <c r="AM1674" i="4"/>
  <c r="AC114" i="23"/>
  <c r="AM1779" i="4"/>
  <c r="AM1827" i="4"/>
  <c r="AM1589" i="4"/>
  <c r="AM1666" i="4"/>
  <c r="AM1780" i="4"/>
  <c r="AM1691" i="4"/>
  <c r="AM1746" i="4"/>
  <c r="AM1617" i="4"/>
  <c r="AM1523" i="4"/>
  <c r="AM1723" i="4"/>
  <c r="AM1563" i="4"/>
  <c r="AM1697" i="4"/>
  <c r="AM1837" i="4"/>
  <c r="AM1756" i="4"/>
  <c r="AM1518" i="4"/>
  <c r="AM1624" i="4"/>
  <c r="AM1820" i="4"/>
  <c r="AJ111" i="23"/>
  <c r="AM1688" i="4"/>
  <c r="AM1685" i="4"/>
  <c r="AM1717" i="4"/>
  <c r="AM1621" i="4"/>
  <c r="AM1618" i="4"/>
  <c r="AM1626" i="4"/>
  <c r="AJ110" i="23"/>
  <c r="AM1693" i="4"/>
  <c r="AM1825" i="4"/>
  <c r="AM1783" i="4"/>
  <c r="AM1811" i="4"/>
  <c r="AM1759" i="4"/>
  <c r="AM1529" i="4"/>
  <c r="AM1593" i="4"/>
  <c r="AM1848" i="4"/>
  <c r="AM1799" i="4"/>
  <c r="AM1565" i="4"/>
  <c r="AM1751" i="4"/>
  <c r="AM1679" i="4"/>
  <c r="AM1849" i="4"/>
  <c r="AM1509" i="4"/>
  <c r="AM1771" i="4"/>
  <c r="AM1808" i="4"/>
  <c r="AM1534" i="4"/>
  <c r="AM1843" i="4"/>
  <c r="AM1532" i="4"/>
  <c r="AM1701" i="4"/>
  <c r="AM1640" i="4"/>
  <c r="AM1616" i="4"/>
  <c r="AM1695" i="4"/>
  <c r="AM1645" i="4"/>
  <c r="AM1660" i="4"/>
  <c r="AM1653" i="4"/>
  <c r="AM1689" i="4"/>
  <c r="AM1583" i="4"/>
  <c r="AM1611" i="4"/>
  <c r="AM1733" i="4"/>
  <c r="AM1687" i="4"/>
  <c r="AM1721" i="4"/>
  <c r="AM1656" i="4"/>
  <c r="AM1752" i="4"/>
  <c r="AM1833" i="4"/>
  <c r="AM1795" i="4"/>
  <c r="AM1641" i="4"/>
  <c r="AG113" i="23"/>
  <c r="AM1655" i="4"/>
  <c r="AM1711" i="4"/>
  <c r="AM1550" i="4"/>
  <c r="AM1708" i="4"/>
  <c r="AM1625" i="4"/>
  <c r="AM1797" i="4"/>
  <c r="AM1798" i="4"/>
  <c r="AD113" i="23"/>
  <c r="AM1784" i="4"/>
  <c r="AM1704" i="4"/>
  <c r="AM1603" i="4"/>
  <c r="AM1834" i="4"/>
  <c r="AM1587" i="4"/>
  <c r="AM1580" i="4"/>
  <c r="AM1768" i="4"/>
  <c r="AM1574" i="4"/>
  <c r="AM1567" i="4"/>
  <c r="AM1540" i="4"/>
  <c r="AM1803" i="4"/>
  <c r="AM1772" i="4"/>
  <c r="AM1551" i="4"/>
  <c r="AM1836" i="4"/>
  <c r="AM1539" i="4"/>
  <c r="AI112" i="23"/>
  <c r="AM1504" i="4"/>
  <c r="AM1699" i="4"/>
  <c r="AM1828" i="4"/>
  <c r="AM1683" i="4"/>
  <c r="AM1588" i="4"/>
  <c r="AM1846" i="4"/>
  <c r="AM1728" i="4"/>
  <c r="AM1514" i="4"/>
  <c r="AM1775" i="4"/>
  <c r="AM1564" i="4"/>
  <c r="AM1722" i="4"/>
  <c r="AM1816" i="4"/>
  <c r="AM1692" i="4"/>
  <c r="AM1743" i="4"/>
  <c r="AM1510" i="4"/>
  <c r="AM1663" i="4"/>
  <c r="AM1781" i="4"/>
  <c r="AM1582" i="4"/>
  <c r="AM1511" i="4"/>
  <c r="AM1762" i="4"/>
  <c r="AM1585" i="4"/>
  <c r="AM1524" i="4"/>
  <c r="AM1720" i="4"/>
  <c r="AM1559" i="4"/>
  <c r="AM1812" i="4"/>
  <c r="AM1698" i="4"/>
  <c r="AM1789" i="4"/>
  <c r="AM1507" i="4"/>
  <c r="AM1605" i="4"/>
  <c r="AM1748" i="4"/>
  <c r="AH113" i="23"/>
  <c r="AM1649" i="4"/>
  <c r="AM1757" i="4"/>
  <c r="AM1782" i="4"/>
  <c r="AM1823" i="4"/>
  <c r="AM1818" i="4"/>
  <c r="AM1670" i="4"/>
  <c r="AM1568" i="4"/>
  <c r="AM1796" i="4"/>
  <c r="AM1677" i="4"/>
  <c r="AM1719" i="4"/>
  <c r="AM1810" i="4"/>
  <c r="AM1548" i="4"/>
  <c r="AM1678" i="4"/>
  <c r="AM1643" i="4"/>
  <c r="AM1538" i="4"/>
  <c r="AM1533" i="4"/>
  <c r="AM1790" i="4"/>
  <c r="AM1767" i="4"/>
  <c r="AM1519" i="4"/>
  <c r="AM1716" i="4"/>
  <c r="AM1681" i="4"/>
  <c r="AM1575" i="4"/>
  <c r="AM1600" i="4"/>
  <c r="AM1726" i="4"/>
  <c r="AM1794" i="4"/>
  <c r="AM1801" i="4"/>
  <c r="AM1556" i="4"/>
  <c r="AM1819" i="4"/>
  <c r="AM1652" i="4"/>
  <c r="AM1546" i="4"/>
  <c r="AM1776" i="4"/>
  <c r="AM1531" i="4"/>
  <c r="AM1639" i="4"/>
  <c r="AM1517" i="4"/>
  <c r="AM1521" i="4"/>
  <c r="AM1542" i="4"/>
  <c r="AM1572" i="4"/>
  <c r="AM1516" i="4"/>
  <c r="AM1761" i="4"/>
  <c r="AM1821" i="4"/>
  <c r="AM1543" i="4"/>
  <c r="AM1739" i="4"/>
  <c r="AM1750" i="4"/>
  <c r="AM1627" i="4"/>
  <c r="AM1525" i="4"/>
  <c r="AN1816" i="4" l="1"/>
  <c r="AN1783" i="4"/>
  <c r="AN1750" i="4"/>
  <c r="AN1717" i="4"/>
  <c r="AN1684" i="4"/>
  <c r="AN1651" i="4"/>
  <c r="AN1851" i="4"/>
  <c r="AN1853" i="4"/>
  <c r="AN1845" i="4"/>
  <c r="AN1812" i="4"/>
  <c r="AN1779" i="4"/>
  <c r="AN1746" i="4"/>
  <c r="AN1713" i="4"/>
  <c r="AN1679" i="4"/>
  <c r="AN1646" i="4"/>
  <c r="AN1847" i="4"/>
  <c r="AN1849" i="4"/>
  <c r="AN1841" i="4"/>
  <c r="AN1808" i="4"/>
  <c r="AN1775" i="4"/>
  <c r="AN1742" i="4"/>
  <c r="AN1708" i="4"/>
  <c r="AN1675" i="4"/>
  <c r="AN1642" i="4"/>
  <c r="AN1855" i="4"/>
  <c r="AN1856" i="4"/>
  <c r="AN1852" i="4"/>
  <c r="AN1848" i="4"/>
  <c r="AN1837" i="4"/>
  <c r="AN1804" i="4"/>
  <c r="AN1771" i="4"/>
  <c r="AN1737" i="4"/>
  <c r="AN1704" i="4"/>
  <c r="AN1671" i="4"/>
  <c r="AN1638" i="4"/>
  <c r="AN1833" i="4"/>
  <c r="AN1799" i="4"/>
  <c r="AN1766" i="4"/>
  <c r="AN1733" i="4"/>
  <c r="AN1700" i="4"/>
  <c r="AN1667" i="4"/>
  <c r="AN1634" i="4"/>
  <c r="AN1795" i="4"/>
  <c r="AN1729" i="4"/>
  <c r="AN1696" i="4"/>
  <c r="AN1630" i="4"/>
  <c r="AN1762" i="4"/>
  <c r="AN1663" i="4"/>
  <c r="AN1824" i="4"/>
  <c r="AN1791" i="4"/>
  <c r="AN1758" i="4"/>
  <c r="AN1725" i="4"/>
  <c r="AN1692" i="4"/>
  <c r="AN1659" i="4"/>
  <c r="AN1626" i="4"/>
  <c r="AN1828" i="4"/>
  <c r="AN1854" i="4"/>
  <c r="AN1850" i="4"/>
  <c r="AN1846" i="4"/>
  <c r="AN1820" i="4"/>
  <c r="AN1787" i="4"/>
  <c r="AN1754" i="4"/>
  <c r="AN1721" i="4"/>
  <c r="AN1688" i="4"/>
  <c r="AN1655" i="4"/>
  <c r="AN1844" i="4"/>
  <c r="AN1840" i="4"/>
  <c r="AN1836" i="4"/>
  <c r="AN1832" i="4"/>
  <c r="AN1827" i="4"/>
  <c r="AN1823" i="4"/>
  <c r="AN1819" i="4"/>
  <c r="AN1815" i="4"/>
  <c r="AN1811" i="4"/>
  <c r="AN1807" i="4"/>
  <c r="AN1803" i="4"/>
  <c r="AN1798" i="4"/>
  <c r="AN1794" i="4"/>
  <c r="AN1790" i="4"/>
  <c r="AN1786" i="4"/>
  <c r="AN1782" i="4"/>
  <c r="AN1778" i="4"/>
  <c r="AN1774" i="4"/>
  <c r="AN1769" i="4"/>
  <c r="AN1765" i="4"/>
  <c r="AN1761" i="4"/>
  <c r="AN1757" i="4"/>
  <c r="AN1753" i="4"/>
  <c r="AN1749" i="4"/>
  <c r="AN1745" i="4"/>
  <c r="AN1741" i="4"/>
  <c r="AN1736" i="4"/>
  <c r="AN1732" i="4"/>
  <c r="AN1728" i="4"/>
  <c r="AN1724" i="4"/>
  <c r="AN1720" i="4"/>
  <c r="AN1716" i="4"/>
  <c r="AN1712" i="4"/>
  <c r="AN1707" i="4"/>
  <c r="AN1703" i="4"/>
  <c r="AN1699" i="4"/>
  <c r="AN1695" i="4"/>
  <c r="AN1691" i="4"/>
  <c r="AN1687" i="4"/>
  <c r="AN1683" i="4"/>
  <c r="AN1678" i="4"/>
  <c r="AN1674" i="4"/>
  <c r="AN1670" i="4"/>
  <c r="AN1666" i="4"/>
  <c r="AN1662" i="4"/>
  <c r="AN1658" i="4"/>
  <c r="AN1654" i="4"/>
  <c r="AN1649" i="4"/>
  <c r="AN1645" i="4"/>
  <c r="AN1641" i="4"/>
  <c r="AN1637" i="4"/>
  <c r="AN1633" i="4"/>
  <c r="AN1629" i="4"/>
  <c r="AN1625" i="4"/>
  <c r="AN1621" i="4"/>
  <c r="AN1616" i="4"/>
  <c r="AN1612" i="4"/>
  <c r="AN1608" i="4"/>
  <c r="AN1604" i="4"/>
  <c r="AN1600" i="4"/>
  <c r="AN1596" i="4"/>
  <c r="AN1592" i="4"/>
  <c r="AN1587" i="4"/>
  <c r="AN1583" i="4"/>
  <c r="AN1579" i="4"/>
  <c r="AN1575" i="4"/>
  <c r="AN1571" i="4"/>
  <c r="AN1567" i="4"/>
  <c r="AN1563" i="4"/>
  <c r="AN1558" i="4"/>
  <c r="AN1554" i="4"/>
  <c r="AN1550" i="4"/>
  <c r="AN1546" i="4"/>
  <c r="AN1542" i="4"/>
  <c r="AN1538" i="4"/>
  <c r="AN1534" i="4"/>
  <c r="AN1529" i="4"/>
  <c r="AN1525" i="4"/>
  <c r="AN1521" i="4"/>
  <c r="AN1517" i="4"/>
  <c r="AN1513" i="4"/>
  <c r="AN1509" i="4"/>
  <c r="AN1505" i="4"/>
  <c r="AN1501" i="4"/>
  <c r="AN1496" i="4"/>
  <c r="AN1843" i="4"/>
  <c r="AN1839" i="4"/>
  <c r="AN1835" i="4"/>
  <c r="AN1831" i="4"/>
  <c r="AN1826" i="4"/>
  <c r="AN1822" i="4"/>
  <c r="AN1818" i="4"/>
  <c r="AN1814" i="4"/>
  <c r="AN1810" i="4"/>
  <c r="AN1806" i="4"/>
  <c r="AN1802" i="4"/>
  <c r="AN1797" i="4"/>
  <c r="AN1793" i="4"/>
  <c r="AN1789" i="4"/>
  <c r="AN1785" i="4"/>
  <c r="AN1781" i="4"/>
  <c r="AN1777" i="4"/>
  <c r="AN1773" i="4"/>
  <c r="AN1768" i="4"/>
  <c r="AN1764" i="4"/>
  <c r="AN1760" i="4"/>
  <c r="AN1756" i="4"/>
  <c r="AN1752" i="4"/>
  <c r="AN1748" i="4"/>
  <c r="AN1744" i="4"/>
  <c r="AN1739" i="4"/>
  <c r="AN1735" i="4"/>
  <c r="AN1731" i="4"/>
  <c r="AN1727" i="4"/>
  <c r="AN1723" i="4"/>
  <c r="AN1719" i="4"/>
  <c r="AN1715" i="4"/>
  <c r="AN1711" i="4"/>
  <c r="AN1706" i="4"/>
  <c r="AN1702" i="4"/>
  <c r="AN1698" i="4"/>
  <c r="AN1694" i="4"/>
  <c r="AN1690" i="4"/>
  <c r="AN1686" i="4"/>
  <c r="AN1682" i="4"/>
  <c r="AN1677" i="4"/>
  <c r="AN1673" i="4"/>
  <c r="AN1669" i="4"/>
  <c r="AN1665" i="4"/>
  <c r="AN1661" i="4"/>
  <c r="AN1657" i="4"/>
  <c r="AN1653" i="4"/>
  <c r="AN1648" i="4"/>
  <c r="AN1644" i="4"/>
  <c r="AN1640" i="4"/>
  <c r="AN1636" i="4"/>
  <c r="AN1632" i="4"/>
  <c r="AN1628" i="4"/>
  <c r="AN1624" i="4"/>
  <c r="AN1619" i="4"/>
  <c r="AN1615" i="4"/>
  <c r="AN1611" i="4"/>
  <c r="AN1607" i="4"/>
  <c r="AN1603" i="4"/>
  <c r="AN1599" i="4"/>
  <c r="AN1595" i="4"/>
  <c r="AN1591" i="4"/>
  <c r="AN1586" i="4"/>
  <c r="AN1582" i="4"/>
  <c r="AN1578" i="4"/>
  <c r="AN1574" i="4"/>
  <c r="AN1570" i="4"/>
  <c r="AN1566" i="4"/>
  <c r="AN1562" i="4"/>
  <c r="AN1557" i="4"/>
  <c r="AN1553" i="4"/>
  <c r="AN1549" i="4"/>
  <c r="AN1545" i="4"/>
  <c r="AN1541" i="4"/>
  <c r="AN1537" i="4"/>
  <c r="AN1533" i="4"/>
  <c r="AN1528" i="4"/>
  <c r="AN1524" i="4"/>
  <c r="AN1520" i="4"/>
  <c r="AN1516" i="4"/>
  <c r="AN1512" i="4"/>
  <c r="AN1508" i="4"/>
  <c r="AN1504" i="4"/>
  <c r="AN1499" i="4"/>
  <c r="AN1495" i="4"/>
  <c r="AN1842" i="4"/>
  <c r="AN1838" i="4"/>
  <c r="AN1834" i="4"/>
  <c r="AN1829" i="4"/>
  <c r="AN1825" i="4"/>
  <c r="AN1821" i="4"/>
  <c r="AN1817" i="4"/>
  <c r="AN1813" i="4"/>
  <c r="AN1809" i="4"/>
  <c r="AN1805" i="4"/>
  <c r="AN1801" i="4"/>
  <c r="AN1796" i="4"/>
  <c r="AN1792" i="4"/>
  <c r="AN1788" i="4"/>
  <c r="AN1784" i="4"/>
  <c r="AN1780" i="4"/>
  <c r="AN1776" i="4"/>
  <c r="AN1772" i="4"/>
  <c r="AN1767" i="4"/>
  <c r="AN1763" i="4"/>
  <c r="AN1759" i="4"/>
  <c r="AN1755" i="4"/>
  <c r="AN1751" i="4"/>
  <c r="AN1747" i="4"/>
  <c r="AN1743" i="4"/>
  <c r="AN1738" i="4"/>
  <c r="AN1734" i="4"/>
  <c r="AN1730" i="4"/>
  <c r="AN1726" i="4"/>
  <c r="AN1722" i="4"/>
  <c r="AN1718" i="4"/>
  <c r="AN1714" i="4"/>
  <c r="AN1709" i="4"/>
  <c r="AN1705" i="4"/>
  <c r="AN1701" i="4"/>
  <c r="AN1697" i="4"/>
  <c r="AN1693" i="4"/>
  <c r="AN1689" i="4"/>
  <c r="AN1685" i="4"/>
  <c r="AN1681" i="4"/>
  <c r="AN1676" i="4"/>
  <c r="AN1672" i="4"/>
  <c r="AN1668" i="4"/>
  <c r="AN1664" i="4"/>
  <c r="AN1660" i="4"/>
  <c r="AN1656" i="4"/>
  <c r="AN1652" i="4"/>
  <c r="AN1647" i="4"/>
  <c r="AN1643" i="4"/>
  <c r="AN1639" i="4"/>
  <c r="AN1635" i="4"/>
  <c r="AN1631" i="4"/>
  <c r="AN1627" i="4"/>
  <c r="AN1623" i="4"/>
  <c r="AN1618" i="4"/>
  <c r="AN1614" i="4"/>
  <c r="AN1610" i="4"/>
  <c r="AN1606" i="4"/>
  <c r="AN1602" i="4"/>
  <c r="AN1598" i="4"/>
  <c r="AN1594" i="4"/>
  <c r="AN1589" i="4"/>
  <c r="AN1585" i="4"/>
  <c r="AN1581" i="4"/>
  <c r="AN1577" i="4"/>
  <c r="AN1573" i="4"/>
  <c r="AN1569" i="4"/>
  <c r="AN1565" i="4"/>
  <c r="AN1561" i="4"/>
  <c r="AN1556" i="4"/>
  <c r="AN1552" i="4"/>
  <c r="AN1548" i="4"/>
  <c r="AN1544" i="4"/>
  <c r="AN1540" i="4"/>
  <c r="AN1536" i="4"/>
  <c r="AN1532" i="4"/>
  <c r="AN1527" i="4"/>
  <c r="AN1523" i="4"/>
  <c r="AN1519" i="4"/>
  <c r="AN1515" i="4"/>
  <c r="AN1511" i="4"/>
  <c r="AN1507" i="4"/>
  <c r="AN1503" i="4"/>
  <c r="AN1498" i="4"/>
  <c r="AN1494" i="4"/>
  <c r="AN1622" i="4"/>
  <c r="AN1617" i="4"/>
  <c r="AN1613" i="4"/>
  <c r="AN1609" i="4"/>
  <c r="AN1605" i="4"/>
  <c r="AN1601" i="4"/>
  <c r="AN1597" i="4"/>
  <c r="AN1593" i="4"/>
  <c r="AN1588" i="4"/>
  <c r="AN1584" i="4"/>
  <c r="AN1580" i="4"/>
  <c r="AN1576" i="4"/>
  <c r="AN1572" i="4"/>
  <c r="AN1568" i="4"/>
  <c r="AN1564" i="4"/>
  <c r="AN1559" i="4"/>
  <c r="AN1555" i="4"/>
  <c r="AN1551" i="4"/>
  <c r="AN1547" i="4"/>
  <c r="AN1543" i="4"/>
  <c r="AN1539" i="4"/>
  <c r="AN1535" i="4"/>
  <c r="AN1531" i="4"/>
  <c r="AN1526" i="4"/>
  <c r="AN1522" i="4"/>
  <c r="AN1518" i="4"/>
  <c r="AN1514" i="4"/>
  <c r="AN1510" i="4"/>
  <c r="AN1506" i="4"/>
  <c r="AN1502" i="4"/>
  <c r="AN1497" i="4"/>
  <c r="AN1493" i="4"/>
  <c r="V51" i="23"/>
  <c r="AJ127" i="23"/>
  <c r="V68" i="23" s="1"/>
  <c r="O55" i="23"/>
  <c r="AC131" i="23"/>
  <c r="O72" i="23" s="1"/>
  <c r="V52" i="23"/>
  <c r="AJ128" i="23"/>
  <c r="V69" i="23" s="1"/>
  <c r="U53" i="23"/>
  <c r="AI129" i="23"/>
  <c r="U70" i="23" s="1"/>
  <c r="T54" i="23"/>
  <c r="AH130" i="23"/>
  <c r="T71" i="23" s="1"/>
  <c r="S54" i="23"/>
  <c r="AG130" i="23"/>
  <c r="S71" i="23" s="1"/>
  <c r="R54" i="23"/>
  <c r="AF130" i="23"/>
  <c r="R71" i="23" s="1"/>
  <c r="P54" i="23"/>
  <c r="AD130" i="23"/>
  <c r="P71" i="23" s="1"/>
  <c r="V48" i="23"/>
  <c r="AJ124" i="23"/>
  <c r="V65" i="23" s="1"/>
  <c r="Q54" i="23"/>
  <c r="AE130" i="23"/>
  <c r="Q71" i="23" s="1"/>
  <c r="V49" i="23"/>
  <c r="AJ125" i="23"/>
  <c r="V66" i="23" s="1"/>
  <c r="V50" i="23"/>
  <c r="AJ126" i="23"/>
  <c r="V67" i="23" s="1"/>
  <c r="D69" i="29"/>
  <c r="E69" i="29" s="1"/>
  <c r="AM1857" i="4"/>
  <c r="AN1857" i="4" l="1"/>
  <c r="AD74" i="23"/>
  <c r="AF74" i="23" s="1"/>
  <c r="AK107" i="23"/>
  <c r="AM1858" i="4"/>
  <c r="AJ112" i="23"/>
  <c r="AK108" i="23"/>
  <c r="AK109" i="23"/>
  <c r="AC115" i="23"/>
  <c r="AH114" i="23"/>
  <c r="AG114" i="23"/>
  <c r="AD114" i="23"/>
  <c r="AK110" i="23"/>
  <c r="AE114" i="23"/>
  <c r="AF114" i="23"/>
  <c r="AK111" i="23"/>
  <c r="AI113" i="23"/>
  <c r="AN1858" i="4" l="1"/>
  <c r="O56" i="23"/>
  <c r="AC132" i="23"/>
  <c r="O73" i="23" s="1"/>
  <c r="P55" i="23"/>
  <c r="AD131" i="23"/>
  <c r="P72" i="23" s="1"/>
  <c r="Q55" i="23"/>
  <c r="AE131" i="23"/>
  <c r="Q72" i="23" s="1"/>
  <c r="R55" i="23"/>
  <c r="AF131" i="23"/>
  <c r="R72" i="23" s="1"/>
  <c r="S55" i="23"/>
  <c r="AG131" i="23"/>
  <c r="S72" i="23" s="1"/>
  <c r="T55" i="23"/>
  <c r="AH131" i="23"/>
  <c r="T72" i="23" s="1"/>
  <c r="U54" i="23"/>
  <c r="AI130" i="23"/>
  <c r="U71" i="23" s="1"/>
  <c r="V53" i="23"/>
  <c r="AJ129" i="23"/>
  <c r="V70" i="23" s="1"/>
  <c r="W52" i="23"/>
  <c r="AK128" i="23"/>
  <c r="W69" i="23" s="1"/>
  <c r="W51" i="23"/>
  <c r="AK127" i="23"/>
  <c r="W68" i="23" s="1"/>
  <c r="W50" i="23"/>
  <c r="AK126" i="23"/>
  <c r="W67" i="23" s="1"/>
  <c r="W49" i="23"/>
  <c r="AK125" i="23"/>
  <c r="W66" i="23" s="1"/>
  <c r="W48" i="23"/>
  <c r="AK124" i="23"/>
  <c r="W65" i="23" s="1"/>
  <c r="AM1934" i="4"/>
  <c r="AM1875" i="4"/>
  <c r="AM2061" i="4"/>
  <c r="AM2116" i="4"/>
  <c r="AM2125" i="4"/>
  <c r="AM1903" i="4"/>
  <c r="AM1868" i="4"/>
  <c r="AM2139" i="4"/>
  <c r="AM1905" i="4"/>
  <c r="AM2185" i="4"/>
  <c r="AM1973" i="4"/>
  <c r="AM2102" i="4"/>
  <c r="AM2066" i="4"/>
  <c r="AM2073" i="4"/>
  <c r="AM2104" i="4"/>
  <c r="AM2119" i="4"/>
  <c r="AM1867" i="4"/>
  <c r="AM2142" i="4"/>
  <c r="AM2103" i="4"/>
  <c r="AM1895" i="4"/>
  <c r="AM2138" i="4"/>
  <c r="AM1937" i="4"/>
  <c r="AM1911" i="4"/>
  <c r="AM1990" i="4"/>
  <c r="AM2036" i="4"/>
  <c r="AM2206" i="4"/>
  <c r="AM2072" i="4"/>
  <c r="AM1948" i="4"/>
  <c r="AM1999" i="4"/>
  <c r="AM2085" i="4"/>
  <c r="AM1880" i="4"/>
  <c r="AM2221" i="4"/>
  <c r="AM1919" i="4"/>
  <c r="AM1882" i="4"/>
  <c r="AM2198" i="4"/>
  <c r="AM2019" i="4"/>
  <c r="AM1993" i="4"/>
  <c r="AM1944" i="4"/>
  <c r="AM2090" i="4"/>
  <c r="AM2081" i="4"/>
  <c r="AM2127" i="4"/>
  <c r="AM2218" i="4"/>
  <c r="AM2192" i="4"/>
  <c r="AM1962" i="4"/>
  <c r="AM1960" i="4"/>
  <c r="AM2129" i="4"/>
  <c r="AM1915" i="4"/>
  <c r="AM1966" i="4"/>
  <c r="AM2149" i="4"/>
  <c r="AM2184" i="4"/>
  <c r="AM1894" i="4"/>
  <c r="AM2222" i="4"/>
  <c r="AM2200" i="4"/>
  <c r="AM2075" i="4"/>
  <c r="AM2173" i="4"/>
  <c r="AM1954" i="4"/>
  <c r="AM2092" i="4"/>
  <c r="AM2057" i="4"/>
  <c r="AM2048" i="4"/>
  <c r="AM1923" i="4"/>
  <c r="AM2148" i="4"/>
  <c r="AM2035" i="4"/>
  <c r="AM2128" i="4"/>
  <c r="AM2182" i="4"/>
  <c r="AM1866" i="4"/>
  <c r="AM1963" i="4"/>
  <c r="AM1906" i="4"/>
  <c r="AM2212" i="4"/>
  <c r="AM1976" i="4"/>
  <c r="AM2012" i="4"/>
  <c r="AM2150" i="4"/>
  <c r="AM1862" i="4"/>
  <c r="AM2191" i="4"/>
  <c r="AM2164" i="4"/>
  <c r="AM1910" i="4"/>
  <c r="AM2120" i="4"/>
  <c r="AM1998" i="4"/>
  <c r="AM2074" i="4"/>
  <c r="AM2038" i="4"/>
  <c r="AM2143" i="4"/>
  <c r="AM2109" i="4"/>
  <c r="AM2054" i="4"/>
  <c r="AM2202" i="4"/>
  <c r="AM2223" i="4"/>
  <c r="AM2067" i="4"/>
  <c r="AM1997" i="4"/>
  <c r="AM2211" i="4"/>
  <c r="AM1902" i="4"/>
  <c r="AM2076" i="4"/>
  <c r="AM2021" i="4"/>
  <c r="AM2093" i="4"/>
  <c r="AM2157" i="4"/>
  <c r="AM2136" i="4"/>
  <c r="AM2017" i="4"/>
  <c r="AM2188" i="4"/>
  <c r="AM1970" i="4"/>
  <c r="AM1908" i="4"/>
  <c r="AM2005" i="4"/>
  <c r="AM2069" i="4"/>
  <c r="AM1933" i="4"/>
  <c r="AM2122" i="4"/>
  <c r="AM2079" i="4"/>
  <c r="AM2215" i="4"/>
  <c r="AM2118" i="4"/>
  <c r="AM1872" i="4"/>
  <c r="AM2152" i="4"/>
  <c r="AM2108" i="4"/>
  <c r="AM1991" i="4"/>
  <c r="AM2044" i="4"/>
  <c r="AM2207" i="4"/>
  <c r="AM1985" i="4"/>
  <c r="AM2086" i="4"/>
  <c r="AM1870" i="4"/>
  <c r="AM2189" i="4"/>
  <c r="AM2082" i="4"/>
  <c r="AM2216" i="4"/>
  <c r="AM2183" i="4"/>
  <c r="AM1916" i="4"/>
  <c r="AM2154" i="4"/>
  <c r="AM2033" i="4"/>
  <c r="AM2016" i="4"/>
  <c r="AM1888" i="4"/>
  <c r="AM2117" i="4"/>
  <c r="AM2025" i="4"/>
  <c r="AM2002" i="4"/>
  <c r="AM2146" i="4"/>
  <c r="AM1877" i="4"/>
  <c r="AM2087" i="4"/>
  <c r="AM1981" i="4"/>
  <c r="AM1873" i="4"/>
  <c r="AM2201" i="4"/>
  <c r="AM2080" i="4"/>
  <c r="AM1992" i="4"/>
  <c r="AM1969" i="4"/>
  <c r="AM2062" i="4"/>
  <c r="AM2205" i="4"/>
  <c r="AM1885" i="4"/>
  <c r="AM1897" i="4"/>
  <c r="AM1926" i="4"/>
  <c r="AM1904" i="4"/>
  <c r="AM1996" i="4"/>
  <c r="AM2210" i="4"/>
  <c r="AM2084" i="4"/>
  <c r="AM2060" i="4"/>
  <c r="AM2124" i="4"/>
  <c r="AM2097" i="4"/>
  <c r="AM2195" i="4"/>
  <c r="AM2144" i="4"/>
  <c r="AM1932" i="4"/>
  <c r="AM2167" i="4"/>
  <c r="AM2042" i="4"/>
  <c r="AM1953" i="4"/>
  <c r="AM1927" i="4"/>
  <c r="AM1898" i="4"/>
  <c r="AM2024" i="4"/>
  <c r="AM2015" i="4"/>
  <c r="AM1975" i="4"/>
  <c r="AM2151" i="4"/>
  <c r="AM1861" i="4"/>
  <c r="AM2161" i="4"/>
  <c r="AM1958" i="4"/>
  <c r="AM2163" i="4"/>
  <c r="AM1995" i="4"/>
  <c r="AM1921" i="4"/>
  <c r="AM2059" i="4"/>
  <c r="AM2187" i="4"/>
  <c r="AM2156" i="4"/>
  <c r="AM1865" i="4"/>
  <c r="AM2194" i="4"/>
  <c r="AM2110" i="4"/>
  <c r="AM2172" i="4"/>
  <c r="AM2121" i="4"/>
  <c r="AM1914" i="4"/>
  <c r="AM2006" i="4"/>
  <c r="AM1952" i="4"/>
  <c r="AM2053" i="4"/>
  <c r="AM2071" i="4"/>
  <c r="AM1878" i="4"/>
  <c r="AM1956" i="4"/>
  <c r="AM1925" i="4"/>
  <c r="AM2030" i="4"/>
  <c r="AM2141" i="4"/>
  <c r="AM1918" i="4"/>
  <c r="AM2020" i="4"/>
  <c r="AM1889" i="4"/>
  <c r="AM2123" i="4"/>
  <c r="AM2083" i="4"/>
  <c r="AM1978" i="4"/>
  <c r="AM2203" i="4"/>
  <c r="AM2115" i="4"/>
  <c r="AM2088" i="4"/>
  <c r="AM1881" i="4"/>
  <c r="AM1949" i="4"/>
  <c r="AM1994" i="4"/>
  <c r="AM1972" i="4"/>
  <c r="AM2031" i="4"/>
  <c r="AM1957" i="4"/>
  <c r="AM1988" i="4"/>
  <c r="AM2046" i="4"/>
  <c r="AM2193" i="4"/>
  <c r="AM2001" i="4"/>
  <c r="AM2219" i="4"/>
  <c r="AM2155" i="4"/>
  <c r="AM2186" i="4"/>
  <c r="AM1979" i="4"/>
  <c r="AM2050" i="4"/>
  <c r="AM1935" i="4"/>
  <c r="AM2165" i="4"/>
  <c r="AM2089" i="4"/>
  <c r="AM1917" i="4"/>
  <c r="AM2178" i="4"/>
  <c r="AM2063" i="4"/>
  <c r="AM2134" i="4"/>
  <c r="AM2008" i="4"/>
  <c r="AM1941" i="4"/>
  <c r="AM1887" i="4"/>
  <c r="AM2026" i="4"/>
  <c r="AM1951" i="4"/>
  <c r="AM2213" i="4"/>
  <c r="AM1942" i="4"/>
  <c r="AM2101" i="4"/>
  <c r="AM2065" i="4"/>
  <c r="AM1886" i="4"/>
  <c r="AM1946" i="4"/>
  <c r="AM1896" i="4"/>
  <c r="AM1986" i="4"/>
  <c r="AM2214" i="4"/>
  <c r="AM1909" i="4"/>
  <c r="AM2140" i="4"/>
  <c r="AM2145" i="4"/>
  <c r="AM2094" i="4"/>
  <c r="AM1892" i="4"/>
  <c r="AM2147" i="4"/>
  <c r="AM1929" i="4"/>
  <c r="AM1974" i="4"/>
  <c r="AM1907" i="4"/>
  <c r="AM2028" i="4"/>
  <c r="AM2177" i="4"/>
  <c r="AM2051" i="4"/>
  <c r="AM1959" i="4"/>
  <c r="AM1936" i="4"/>
  <c r="AM2166" i="4"/>
  <c r="AM2162" i="4"/>
  <c r="AM2111" i="4"/>
  <c r="AM2179" i="4"/>
  <c r="AM1893" i="4"/>
  <c r="AM1871" i="4"/>
  <c r="AM2014" i="4"/>
  <c r="AM1924" i="4"/>
  <c r="AM1955" i="4"/>
  <c r="AM2027" i="4"/>
  <c r="AM2091" i="4"/>
  <c r="AM2196" i="4"/>
  <c r="AM2197" i="4"/>
  <c r="AM2208" i="4"/>
  <c r="AM2169" i="4"/>
  <c r="AM1961" i="4"/>
  <c r="AM2204" i="4"/>
  <c r="AM2003" i="4"/>
  <c r="AM2132" i="4"/>
  <c r="AM2056" i="4"/>
  <c r="AM2013" i="4"/>
  <c r="AM2159" i="4"/>
  <c r="AM2052" i="4"/>
  <c r="AM1928" i="4"/>
  <c r="AM2171" i="4"/>
  <c r="AM1965" i="4"/>
  <c r="AM1891" i="4"/>
  <c r="AM1922" i="4"/>
  <c r="AM2064" i="4"/>
  <c r="AM2126" i="4"/>
  <c r="AM2105" i="4"/>
  <c r="AM1900" i="4"/>
  <c r="AM2175" i="4"/>
  <c r="AM2034" i="4"/>
  <c r="AM1913" i="4"/>
  <c r="AM1863" i="4"/>
  <c r="AM1869" i="4"/>
  <c r="AM2098" i="4"/>
  <c r="AM2023" i="4"/>
  <c r="AM1968" i="4"/>
  <c r="AM2000" i="4"/>
  <c r="AM1884" i="4"/>
  <c r="AM2037" i="4"/>
  <c r="AM2096" i="4"/>
  <c r="AM2106" i="4"/>
  <c r="AM2055" i="4"/>
  <c r="AM2199" i="4"/>
  <c r="AM1940" i="4"/>
  <c r="AM1971" i="4"/>
  <c r="AM1987" i="4"/>
  <c r="AM2039" i="4"/>
  <c r="AM2168" i="4"/>
  <c r="AM2133" i="4"/>
  <c r="AM1945" i="4"/>
  <c r="AM2170" i="4"/>
  <c r="AM2095" i="4"/>
  <c r="AM1859" i="4"/>
  <c r="AM2176" i="4"/>
  <c r="AM1930" i="4"/>
  <c r="AM1879" i="4"/>
  <c r="AM2018" i="4"/>
  <c r="AM2029" i="4"/>
  <c r="AM2058" i="4"/>
  <c r="AM1964" i="4"/>
  <c r="AM2043" i="4"/>
  <c r="AM2078" i="4"/>
  <c r="AM2131" i="4"/>
  <c r="AM2011" i="4"/>
  <c r="AM1899" i="4"/>
  <c r="AM1983" i="4"/>
  <c r="AM2135" i="4"/>
  <c r="AM2099" i="4"/>
  <c r="AM2009" i="4"/>
  <c r="AM2045" i="4"/>
  <c r="AM2113" i="4"/>
  <c r="AM2181" i="4"/>
  <c r="AM2068" i="4"/>
  <c r="AM1947" i="4"/>
  <c r="AM1943" i="4"/>
  <c r="AM2153" i="4"/>
  <c r="AM2047" i="4"/>
  <c r="AM1939" i="4"/>
  <c r="AM1984" i="4"/>
  <c r="AM2007" i="4"/>
  <c r="AM2112" i="4"/>
  <c r="AM2077" i="4"/>
  <c r="AM1982" i="4"/>
  <c r="AM2032" i="4"/>
  <c r="AM1977" i="4"/>
  <c r="AM2217" i="4"/>
  <c r="AM1874" i="4"/>
  <c r="AM2041" i="4"/>
  <c r="AM2180" i="4"/>
  <c r="AM1876" i="4"/>
  <c r="AM2004" i="4"/>
  <c r="AM1931" i="4"/>
  <c r="AM2158" i="4"/>
  <c r="AM2209" i="4"/>
  <c r="AM2114" i="4"/>
  <c r="AM1989" i="4"/>
  <c r="AM1938" i="4"/>
  <c r="AM1864" i="4"/>
  <c r="AM2174" i="4"/>
  <c r="AM1967" i="4"/>
  <c r="AM2107" i="4"/>
  <c r="AM1912" i="4"/>
  <c r="AM2137" i="4"/>
  <c r="AM2049" i="4"/>
  <c r="AM2022" i="4"/>
  <c r="AM1901" i="4"/>
  <c r="AM1883" i="4"/>
  <c r="AN2223" i="4" l="1"/>
  <c r="AN2222" i="4"/>
  <c r="AN2217" i="4"/>
  <c r="AN2213" i="4"/>
  <c r="AN2221" i="4"/>
  <c r="AN2216" i="4"/>
  <c r="AN2212" i="4"/>
  <c r="AN2219" i="4"/>
  <c r="AN2215" i="4"/>
  <c r="AN2211" i="4"/>
  <c r="AN2218" i="4"/>
  <c r="AN2214" i="4"/>
  <c r="AN2209" i="4"/>
  <c r="AN2205" i="4"/>
  <c r="AN2201" i="4"/>
  <c r="AN2197" i="4"/>
  <c r="AN2193" i="4"/>
  <c r="AN2188" i="4"/>
  <c r="AN2184" i="4"/>
  <c r="AN2180" i="4"/>
  <c r="AN2176" i="4"/>
  <c r="AN2172" i="4"/>
  <c r="AN2168" i="4"/>
  <c r="AN2164" i="4"/>
  <c r="AN2159" i="4"/>
  <c r="AN2155" i="4"/>
  <c r="AN2151" i="4"/>
  <c r="AN2147" i="4"/>
  <c r="AN2143" i="4"/>
  <c r="AN2139" i="4"/>
  <c r="AN2135" i="4"/>
  <c r="AN2131" i="4"/>
  <c r="AN2126" i="4"/>
  <c r="AN2122" i="4"/>
  <c r="AN2118" i="4"/>
  <c r="AN2114" i="4"/>
  <c r="AN2110" i="4"/>
  <c r="AN2106" i="4"/>
  <c r="AN2102" i="4"/>
  <c r="AN2097" i="4"/>
  <c r="AN2093" i="4"/>
  <c r="AN2089" i="4"/>
  <c r="AN2085" i="4"/>
  <c r="AN2081" i="4"/>
  <c r="AN2077" i="4"/>
  <c r="AN2073" i="4"/>
  <c r="AN2068" i="4"/>
  <c r="AN2064" i="4"/>
  <c r="AN2060" i="4"/>
  <c r="AN2056" i="4"/>
  <c r="AN2052" i="4"/>
  <c r="AN2048" i="4"/>
  <c r="AN2044" i="4"/>
  <c r="AN2039" i="4"/>
  <c r="AN2035" i="4"/>
  <c r="AN2031" i="4"/>
  <c r="AN2027" i="4"/>
  <c r="AN2023" i="4"/>
  <c r="AN2019" i="4"/>
  <c r="AN2015" i="4"/>
  <c r="AN2011" i="4"/>
  <c r="AN2006" i="4"/>
  <c r="AN2002" i="4"/>
  <c r="AN1998" i="4"/>
  <c r="AN1994" i="4"/>
  <c r="AN1990" i="4"/>
  <c r="AN1986" i="4"/>
  <c r="AN1982" i="4"/>
  <c r="AN1977" i="4"/>
  <c r="AN1973" i="4"/>
  <c r="AN1969" i="4"/>
  <c r="AN1965" i="4"/>
  <c r="AN1961" i="4"/>
  <c r="AN1957" i="4"/>
  <c r="AN1953" i="4"/>
  <c r="AN1948" i="4"/>
  <c r="AN1944" i="4"/>
  <c r="AN1940" i="4"/>
  <c r="AN1936" i="4"/>
  <c r="AN1932" i="4"/>
  <c r="AN1928" i="4"/>
  <c r="AN1924" i="4"/>
  <c r="AN1919" i="4"/>
  <c r="AN1915" i="4"/>
  <c r="AN1911" i="4"/>
  <c r="AN1907" i="4"/>
  <c r="AN1903" i="4"/>
  <c r="AN1899" i="4"/>
  <c r="AN1895" i="4"/>
  <c r="AN1891" i="4"/>
  <c r="AN1886" i="4"/>
  <c r="AN1882" i="4"/>
  <c r="AN1878" i="4"/>
  <c r="AN1874" i="4"/>
  <c r="AN1870" i="4"/>
  <c r="AN1866" i="4"/>
  <c r="AN1862" i="4"/>
  <c r="AN2208" i="4"/>
  <c r="AN2204" i="4"/>
  <c r="AN2200" i="4"/>
  <c r="AN2196" i="4"/>
  <c r="AN2192" i="4"/>
  <c r="AN2187" i="4"/>
  <c r="AN2183" i="4"/>
  <c r="AN2179" i="4"/>
  <c r="AN2175" i="4"/>
  <c r="AN2171" i="4"/>
  <c r="AN2167" i="4"/>
  <c r="AN2163" i="4"/>
  <c r="AN2158" i="4"/>
  <c r="AN2154" i="4"/>
  <c r="AN2150" i="4"/>
  <c r="AN2146" i="4"/>
  <c r="AN2142" i="4"/>
  <c r="AN2138" i="4"/>
  <c r="AN2134" i="4"/>
  <c r="AN2129" i="4"/>
  <c r="AN2125" i="4"/>
  <c r="AN2121" i="4"/>
  <c r="AN2117" i="4"/>
  <c r="AN2113" i="4"/>
  <c r="AN2109" i="4"/>
  <c r="AN2105" i="4"/>
  <c r="AN2101" i="4"/>
  <c r="AN2096" i="4"/>
  <c r="AN2092" i="4"/>
  <c r="AN2088" i="4"/>
  <c r="AN2084" i="4"/>
  <c r="AN2080" i="4"/>
  <c r="AN2076" i="4"/>
  <c r="AN2072" i="4"/>
  <c r="AN2067" i="4"/>
  <c r="AN2063" i="4"/>
  <c r="AN2059" i="4"/>
  <c r="AN2055" i="4"/>
  <c r="AN2051" i="4"/>
  <c r="AN2047" i="4"/>
  <c r="AN2043" i="4"/>
  <c r="AN2038" i="4"/>
  <c r="AN2034" i="4"/>
  <c r="AN2030" i="4"/>
  <c r="AN2026" i="4"/>
  <c r="AN2022" i="4"/>
  <c r="AN2018" i="4"/>
  <c r="AN2014" i="4"/>
  <c r="AN2009" i="4"/>
  <c r="AN2005" i="4"/>
  <c r="AN2001" i="4"/>
  <c r="AN1997" i="4"/>
  <c r="AN1993" i="4"/>
  <c r="AN1989" i="4"/>
  <c r="AN1985" i="4"/>
  <c r="AN1981" i="4"/>
  <c r="AN1976" i="4"/>
  <c r="AN1972" i="4"/>
  <c r="AN1968" i="4"/>
  <c r="AN1964" i="4"/>
  <c r="AN1960" i="4"/>
  <c r="AN1956" i="4"/>
  <c r="AN1952" i="4"/>
  <c r="AN1947" i="4"/>
  <c r="AN1943" i="4"/>
  <c r="AN1939" i="4"/>
  <c r="AN1935" i="4"/>
  <c r="AN1931" i="4"/>
  <c r="AN1927" i="4"/>
  <c r="AN1923" i="4"/>
  <c r="AN1918" i="4"/>
  <c r="AN1914" i="4"/>
  <c r="AN1910" i="4"/>
  <c r="AN1906" i="4"/>
  <c r="AN1902" i="4"/>
  <c r="AN1898" i="4"/>
  <c r="AN1894" i="4"/>
  <c r="AN1889" i="4"/>
  <c r="AN1885" i="4"/>
  <c r="AN1881" i="4"/>
  <c r="AN1877" i="4"/>
  <c r="AN1873" i="4"/>
  <c r="AN1869" i="4"/>
  <c r="AN1865" i="4"/>
  <c r="AN1861" i="4"/>
  <c r="AN2207" i="4"/>
  <c r="AN2203" i="4"/>
  <c r="AN2199" i="4"/>
  <c r="AN2195" i="4"/>
  <c r="AN2191" i="4"/>
  <c r="AN2186" i="4"/>
  <c r="AN2182" i="4"/>
  <c r="AN2178" i="4"/>
  <c r="AN2174" i="4"/>
  <c r="AN2170" i="4"/>
  <c r="AN2166" i="4"/>
  <c r="AN2162" i="4"/>
  <c r="AN2157" i="4"/>
  <c r="AN2153" i="4"/>
  <c r="AN2149" i="4"/>
  <c r="AN2145" i="4"/>
  <c r="AN2141" i="4"/>
  <c r="AN2137" i="4"/>
  <c r="AN2133" i="4"/>
  <c r="AN2128" i="4"/>
  <c r="AN2124" i="4"/>
  <c r="AN2120" i="4"/>
  <c r="AN2116" i="4"/>
  <c r="AN2112" i="4"/>
  <c r="AN2108" i="4"/>
  <c r="AN2104" i="4"/>
  <c r="AN2099" i="4"/>
  <c r="AN2095" i="4"/>
  <c r="AN2091" i="4"/>
  <c r="AN2087" i="4"/>
  <c r="AN2083" i="4"/>
  <c r="AN2079" i="4"/>
  <c r="AN2075" i="4"/>
  <c r="AN2071" i="4"/>
  <c r="AN2066" i="4"/>
  <c r="AN2062" i="4"/>
  <c r="AN2058" i="4"/>
  <c r="AN2054" i="4"/>
  <c r="AN2050" i="4"/>
  <c r="AN2046" i="4"/>
  <c r="AN2042" i="4"/>
  <c r="AN2037" i="4"/>
  <c r="AN2033" i="4"/>
  <c r="AN2029" i="4"/>
  <c r="AN2025" i="4"/>
  <c r="AN2021" i="4"/>
  <c r="AN2017" i="4"/>
  <c r="AN2013" i="4"/>
  <c r="AN2008" i="4"/>
  <c r="AN2004" i="4"/>
  <c r="AN2000" i="4"/>
  <c r="AN1996" i="4"/>
  <c r="AN1992" i="4"/>
  <c r="AN1988" i="4"/>
  <c r="AN1984" i="4"/>
  <c r="AN1979" i="4"/>
  <c r="AN1975" i="4"/>
  <c r="AN1971" i="4"/>
  <c r="AN1967" i="4"/>
  <c r="AN1963" i="4"/>
  <c r="AN1959" i="4"/>
  <c r="AN1955" i="4"/>
  <c r="AN1951" i="4"/>
  <c r="AN1946" i="4"/>
  <c r="AN1942" i="4"/>
  <c r="AN1938" i="4"/>
  <c r="AN1934" i="4"/>
  <c r="AN1930" i="4"/>
  <c r="AN1926" i="4"/>
  <c r="AN1922" i="4"/>
  <c r="AN1917" i="4"/>
  <c r="AN1913" i="4"/>
  <c r="AN1909" i="4"/>
  <c r="AN1905" i="4"/>
  <c r="AN1901" i="4"/>
  <c r="AN1897" i="4"/>
  <c r="AN1893" i="4"/>
  <c r="AN1888" i="4"/>
  <c r="AN1884" i="4"/>
  <c r="AN1880" i="4"/>
  <c r="AN1876" i="4"/>
  <c r="AN1872" i="4"/>
  <c r="AN1868" i="4"/>
  <c r="AN1864" i="4"/>
  <c r="AN1859" i="4"/>
  <c r="AN2210" i="4"/>
  <c r="AN2206" i="4"/>
  <c r="AN2202" i="4"/>
  <c r="AN2198" i="4"/>
  <c r="AN2194" i="4"/>
  <c r="AN2189" i="4"/>
  <c r="AN2185" i="4"/>
  <c r="AN2181" i="4"/>
  <c r="AN2177" i="4"/>
  <c r="AN2173" i="4"/>
  <c r="AN2169" i="4"/>
  <c r="AN2165" i="4"/>
  <c r="AN2161" i="4"/>
  <c r="AN2156" i="4"/>
  <c r="AN2152" i="4"/>
  <c r="AN2148" i="4"/>
  <c r="AN2144" i="4"/>
  <c r="AN2140" i="4"/>
  <c r="AN2136" i="4"/>
  <c r="AN2132" i="4"/>
  <c r="AN2127" i="4"/>
  <c r="AN2123" i="4"/>
  <c r="AN2119" i="4"/>
  <c r="AN2115" i="4"/>
  <c r="AN2111" i="4"/>
  <c r="AN2107" i="4"/>
  <c r="AN2103" i="4"/>
  <c r="AN2098" i="4"/>
  <c r="AN2094" i="4"/>
  <c r="AN2090" i="4"/>
  <c r="AN2086" i="4"/>
  <c r="AN2082" i="4"/>
  <c r="AN2078" i="4"/>
  <c r="AN2074" i="4"/>
  <c r="AN2069" i="4"/>
  <c r="AN2065" i="4"/>
  <c r="AN2061" i="4"/>
  <c r="AN2057" i="4"/>
  <c r="AN2053" i="4"/>
  <c r="AN2049" i="4"/>
  <c r="AN2045" i="4"/>
  <c r="AN2041" i="4"/>
  <c r="AN2036" i="4"/>
  <c r="AN2032" i="4"/>
  <c r="AN2028" i="4"/>
  <c r="AN2024" i="4"/>
  <c r="AN2020" i="4"/>
  <c r="AN2016" i="4"/>
  <c r="AN2012" i="4"/>
  <c r="AN2007" i="4"/>
  <c r="AN2003" i="4"/>
  <c r="AN1999" i="4"/>
  <c r="AN1995" i="4"/>
  <c r="AN1991" i="4"/>
  <c r="AN1987" i="4"/>
  <c r="AN1983" i="4"/>
  <c r="AN1978" i="4"/>
  <c r="AN1974" i="4"/>
  <c r="AN1970" i="4"/>
  <c r="AN1966" i="4"/>
  <c r="AN1962" i="4"/>
  <c r="AN1958" i="4"/>
  <c r="AN1954" i="4"/>
  <c r="AN1949" i="4"/>
  <c r="AN1945" i="4"/>
  <c r="AN1941" i="4"/>
  <c r="AN1937" i="4"/>
  <c r="AN1933" i="4"/>
  <c r="AN1929" i="4"/>
  <c r="AN1925" i="4"/>
  <c r="AN1921" i="4"/>
  <c r="AN1916" i="4"/>
  <c r="AN1912" i="4"/>
  <c r="AN1908" i="4"/>
  <c r="AN1904" i="4"/>
  <c r="AN1900" i="4"/>
  <c r="AN1896" i="4"/>
  <c r="AN1892" i="4"/>
  <c r="AN1887" i="4"/>
  <c r="AN1883" i="4"/>
  <c r="AN1879" i="4"/>
  <c r="AN1875" i="4"/>
  <c r="AN1871" i="4"/>
  <c r="AN1867" i="4"/>
  <c r="AN1863" i="4"/>
  <c r="AD75" i="23"/>
  <c r="AF75" i="23" s="1"/>
  <c r="AM2346" i="4"/>
  <c r="AM2286" i="4"/>
  <c r="AM2481" i="4"/>
  <c r="AM2303" i="4"/>
  <c r="AM2491" i="4"/>
  <c r="AM2446" i="4"/>
  <c r="AM2494" i="4"/>
  <c r="AM2376" i="4"/>
  <c r="AM2326" i="4"/>
  <c r="AM2298" i="4"/>
  <c r="AM2228" i="4"/>
  <c r="AM2573" i="4"/>
  <c r="AM2378" i="4"/>
  <c r="AM2351" i="4"/>
  <c r="AM2388" i="4"/>
  <c r="AM2285" i="4"/>
  <c r="AM2443" i="4"/>
  <c r="AM2317" i="4"/>
  <c r="AM2339" i="4"/>
  <c r="AM2516" i="4"/>
  <c r="AM2266" i="4"/>
  <c r="AM2363" i="4"/>
  <c r="AC116" i="23"/>
  <c r="AM2434" i="4"/>
  <c r="AM2547" i="4"/>
  <c r="AM2470" i="4"/>
  <c r="AM2539" i="4"/>
  <c r="AM2240" i="4"/>
  <c r="AM2456" i="4"/>
  <c r="AM2498" i="4"/>
  <c r="AM2487" i="4"/>
  <c r="AM2292" i="4"/>
  <c r="AM2500" i="4"/>
  <c r="AM2330" i="4"/>
  <c r="AM2244" i="4"/>
  <c r="AM2270" i="4"/>
  <c r="AM2328" i="4"/>
  <c r="AM2311" i="4"/>
  <c r="AM2379" i="4"/>
  <c r="AM2482" i="4"/>
  <c r="AM2226" i="4"/>
  <c r="AM2532" i="4"/>
  <c r="AM2525" i="4"/>
  <c r="AM2411" i="4"/>
  <c r="AM2398" i="4"/>
  <c r="AM2504" i="4"/>
  <c r="AM2249" i="4"/>
  <c r="AM2404" i="4"/>
  <c r="AM2235" i="4"/>
  <c r="AM2237" i="4"/>
  <c r="AM2492" i="4"/>
  <c r="AM2445" i="4"/>
  <c r="AM2289" i="4"/>
  <c r="AM2269" i="4"/>
  <c r="AM2341" i="4"/>
  <c r="AM2462" i="4"/>
  <c r="AM2387" i="4"/>
  <c r="AM2406" i="4"/>
  <c r="AL109" i="23"/>
  <c r="AM2294" i="4"/>
  <c r="AM2564" i="4"/>
  <c r="AM2408" i="4"/>
  <c r="AM2464" i="4"/>
  <c r="AM2432" i="4"/>
  <c r="AM2542" i="4"/>
  <c r="AM2350" i="4"/>
  <c r="AM2320" i="4"/>
  <c r="AM2486" i="4"/>
  <c r="AM2584" i="4"/>
  <c r="AM2560" i="4"/>
  <c r="AM2513" i="4"/>
  <c r="AM2352" i="4"/>
  <c r="AM2254" i="4"/>
  <c r="AM2529" i="4"/>
  <c r="AM2469" i="4"/>
  <c r="AM2318" i="4"/>
  <c r="AM2393" i="4"/>
  <c r="AM2563" i="4"/>
  <c r="AL111" i="23"/>
  <c r="AM2284" i="4"/>
  <c r="AM2449" i="4"/>
  <c r="AM2579" i="4"/>
  <c r="AM2545" i="4"/>
  <c r="AM2381" i="4"/>
  <c r="AM2309" i="4"/>
  <c r="AM2511" i="4"/>
  <c r="AM2360" i="4"/>
  <c r="AM2308" i="4"/>
  <c r="AM2454" i="4"/>
  <c r="AM2447" i="4"/>
  <c r="AM2459" i="4"/>
  <c r="AM2345" i="4"/>
  <c r="AM2409" i="4"/>
  <c r="AM2426" i="4"/>
  <c r="AM2297" i="4"/>
  <c r="AM2480" i="4"/>
  <c r="AM2538" i="4"/>
  <c r="AM2242" i="4"/>
  <c r="AM2335" i="4"/>
  <c r="AL110" i="23"/>
  <c r="AM2288" i="4"/>
  <c r="AM2299" i="4"/>
  <c r="AM2471" i="4"/>
  <c r="AM2295" i="4"/>
  <c r="AM2558" i="4"/>
  <c r="AL107" i="23"/>
  <c r="AK112" i="23"/>
  <c r="AM2229" i="4"/>
  <c r="AM2444" i="4"/>
  <c r="AM2418" i="4"/>
  <c r="AM2241" i="4"/>
  <c r="AM2386" i="4"/>
  <c r="AM2238" i="4"/>
  <c r="AM2415" i="4"/>
  <c r="AM2534" i="4"/>
  <c r="AF115" i="23"/>
  <c r="AM2278" i="4"/>
  <c r="AM2548" i="4"/>
  <c r="AM2512" i="4"/>
  <c r="AM2348" i="4"/>
  <c r="AM2343" i="4"/>
  <c r="AM2396" i="4"/>
  <c r="AM2505" i="4"/>
  <c r="AM2421" i="4"/>
  <c r="AM2568" i="4"/>
  <c r="AM2541" i="4"/>
  <c r="AM2271" i="4"/>
  <c r="AM2306" i="4"/>
  <c r="AM2325" i="4"/>
  <c r="AM2496" i="4"/>
  <c r="AM2467" i="4"/>
  <c r="AM2384" i="4"/>
  <c r="AM2225" i="4"/>
  <c r="AM2466" i="4"/>
  <c r="AM2576" i="4"/>
  <c r="AM2477" i="4"/>
  <c r="AM2380" i="4"/>
  <c r="AM2261" i="4"/>
  <c r="AM2572" i="4"/>
  <c r="AM2236" i="4"/>
  <c r="AM2452" i="4"/>
  <c r="AM2483" i="4"/>
  <c r="AM2552" i="4"/>
  <c r="AM2412" i="4"/>
  <c r="AM2354" i="4"/>
  <c r="AM2366" i="4"/>
  <c r="AM2275" i="4"/>
  <c r="AM2361" i="4"/>
  <c r="AM2551" i="4"/>
  <c r="AM2472" i="4"/>
  <c r="AM2291" i="4"/>
  <c r="AM2484" i="4"/>
  <c r="AM2268" i="4"/>
  <c r="AM2338" i="4"/>
  <c r="AM2305" i="4"/>
  <c r="AM2321" i="4"/>
  <c r="AM2526" i="4"/>
  <c r="AM2578" i="4"/>
  <c r="AM2509" i="4"/>
  <c r="AM2501" i="4"/>
  <c r="AM2453" i="4"/>
  <c r="AM2440" i="4"/>
  <c r="AM2450" i="4"/>
  <c r="AM2553" i="4"/>
  <c r="AM2549" i="4"/>
  <c r="AM2435" i="4"/>
  <c r="AM2590" i="4"/>
  <c r="AM2401" i="4"/>
  <c r="AM2474" i="4"/>
  <c r="AM2562" i="4"/>
  <c r="AM2333" i="4"/>
  <c r="AM2439" i="4"/>
  <c r="AM2493" i="4"/>
  <c r="AM2397" i="4"/>
  <c r="AM2374" i="4"/>
  <c r="AM2451" i="4"/>
  <c r="AM2531" i="4"/>
  <c r="AM2394" i="4"/>
  <c r="AM2535" i="4"/>
  <c r="AM2316" i="4"/>
  <c r="AM2489" i="4"/>
  <c r="AM2427" i="4"/>
  <c r="AM2575" i="4"/>
  <c r="AM2522" i="4"/>
  <c r="AM2436" i="4"/>
  <c r="AM2476" i="4"/>
  <c r="AM2251" i="4"/>
  <c r="AM2478" i="4"/>
  <c r="AM2413" i="4"/>
  <c r="AM2530" i="4"/>
  <c r="AM2433" i="4"/>
  <c r="AM2353" i="4"/>
  <c r="AM2468" i="4"/>
  <c r="AM2527" i="4"/>
  <c r="AM2392" i="4"/>
  <c r="AM2582" i="4"/>
  <c r="AM2231" i="4"/>
  <c r="AM2519" i="4"/>
  <c r="AM2585" i="4"/>
  <c r="AM2367" i="4"/>
  <c r="AM2373" i="4"/>
  <c r="AM2473" i="4"/>
  <c r="AM2554" i="4"/>
  <c r="AM2457" i="4"/>
  <c r="AH115" i="23"/>
  <c r="AM2290" i="4"/>
  <c r="AM2267" i="4"/>
  <c r="AM2296" i="4"/>
  <c r="AM2329" i="4"/>
  <c r="AM2276" i="4"/>
  <c r="AM2403" i="4"/>
  <c r="AM2364" i="4"/>
  <c r="AM2342" i="4"/>
  <c r="AM2510" i="4"/>
  <c r="AM2448" i="4"/>
  <c r="AM2588" i="4"/>
  <c r="AM2577" i="4"/>
  <c r="AM2369" i="4"/>
  <c r="AM2324" i="4"/>
  <c r="AM2358" i="4"/>
  <c r="AM2566" i="4"/>
  <c r="AM2405" i="4"/>
  <c r="AM2233" i="4"/>
  <c r="AM2399" i="4"/>
  <c r="AM2253" i="4"/>
  <c r="AM2255" i="4"/>
  <c r="AM2569" i="4"/>
  <c r="AM2300" i="4"/>
  <c r="AM2356" i="4"/>
  <c r="AM2507" i="4"/>
  <c r="AM2323" i="4"/>
  <c r="AM2243" i="4"/>
  <c r="AM2368" i="4"/>
  <c r="AM2390" i="4"/>
  <c r="AM2322" i="4"/>
  <c r="AM2528" i="4"/>
  <c r="AM2245" i="4"/>
  <c r="AM2523" i="4"/>
  <c r="AM2441" i="4"/>
  <c r="AM2559" i="4"/>
  <c r="AM2423" i="4"/>
  <c r="AM2283" i="4"/>
  <c r="AM2307" i="4"/>
  <c r="AM2224" i="4"/>
  <c r="AM2336" i="4"/>
  <c r="AM2561" i="4"/>
  <c r="AM2274" i="4"/>
  <c r="AM2327" i="4"/>
  <c r="AM2385" i="4"/>
  <c r="AL108" i="23"/>
  <c r="AM2362" i="4"/>
  <c r="AM2546" i="4"/>
  <c r="AM2515" i="4"/>
  <c r="AM2416" i="4"/>
  <c r="AM2402" i="4"/>
  <c r="AM2337" i="4"/>
  <c r="AM2272" i="4"/>
  <c r="AM2355" i="4"/>
  <c r="AM2508" i="4"/>
  <c r="AM2437" i="4"/>
  <c r="AM2301" i="4"/>
  <c r="AM2537" i="4"/>
  <c r="AE115" i="23"/>
  <c r="AM2377" i="4"/>
  <c r="AM2332" i="4"/>
  <c r="AM2574" i="4"/>
  <c r="AM2544" i="4"/>
  <c r="AM2463" i="4"/>
  <c r="AM2465" i="4"/>
  <c r="AM2230" i="4"/>
  <c r="AM2407" i="4"/>
  <c r="AM2260" i="4"/>
  <c r="AM2581" i="4"/>
  <c r="AM2488" i="4"/>
  <c r="AM2239" i="4"/>
  <c r="AM2331" i="4"/>
  <c r="AM2389" i="4"/>
  <c r="AM2571" i="4"/>
  <c r="AM2314" i="4"/>
  <c r="AM2557" i="4"/>
  <c r="AM2565" i="4"/>
  <c r="AM2256" i="4"/>
  <c r="AM2232" i="4"/>
  <c r="AD115" i="23"/>
  <c r="AM2431" i="4"/>
  <c r="AM2461" i="4"/>
  <c r="AM2365" i="4"/>
  <c r="AM2556" i="4"/>
  <c r="AM2265" i="4"/>
  <c r="AM2257" i="4"/>
  <c r="AM2540" i="4"/>
  <c r="AM2383" i="4"/>
  <c r="AM2247" i="4"/>
  <c r="AM2438" i="4"/>
  <c r="AM2234" i="4"/>
  <c r="AM2375" i="4"/>
  <c r="AM2349" i="4"/>
  <c r="AM2533" i="4"/>
  <c r="AM2293" i="4"/>
  <c r="AM2429" i="4"/>
  <c r="AM2252" i="4"/>
  <c r="AM2302" i="4"/>
  <c r="AM2334" i="4"/>
  <c r="AM2281" i="4"/>
  <c r="AJ113" i="23"/>
  <c r="AM2543" i="4"/>
  <c r="AM2536" i="4"/>
  <c r="AM2422" i="4"/>
  <c r="AM2410" i="4"/>
  <c r="AM2442" i="4"/>
  <c r="AM2227" i="4"/>
  <c r="AM2524" i="4"/>
  <c r="AM2518" i="4"/>
  <c r="AM2258" i="4"/>
  <c r="AM2319" i="4"/>
  <c r="AM2279" i="4"/>
  <c r="AM2315" i="4"/>
  <c r="AM2479" i="4"/>
  <c r="AM2391" i="4"/>
  <c r="AM2419" i="4"/>
  <c r="AM2475" i="4"/>
  <c r="AM2382" i="4"/>
  <c r="AM2587" i="4"/>
  <c r="AM2502" i="4"/>
  <c r="AM2517" i="4"/>
  <c r="AM2273" i="4"/>
  <c r="AM2455" i="4"/>
  <c r="AM2425" i="4"/>
  <c r="AM2372" i="4"/>
  <c r="AM2287" i="4"/>
  <c r="AM2521" i="4"/>
  <c r="AM2485" i="4"/>
  <c r="AM2495" i="4"/>
  <c r="AM2583" i="4"/>
  <c r="AI114" i="23"/>
  <c r="AM2277" i="4"/>
  <c r="AM2262" i="4"/>
  <c r="AM2514" i="4"/>
  <c r="AM2357" i="4"/>
  <c r="AM2417" i="4"/>
  <c r="AG115" i="23"/>
  <c r="AM2555" i="4"/>
  <c r="AM2282" i="4"/>
  <c r="AM2458" i="4"/>
  <c r="AM2589" i="4"/>
  <c r="AM2586" i="4"/>
  <c r="AM2424" i="4"/>
  <c r="AM2428" i="4"/>
  <c r="AM2497" i="4"/>
  <c r="AM2304" i="4"/>
  <c r="AM2347" i="4"/>
  <c r="AM2248" i="4"/>
  <c r="AM2259" i="4"/>
  <c r="AM2344" i="4"/>
  <c r="AM2264" i="4"/>
  <c r="AM2313" i="4"/>
  <c r="AM2420" i="4"/>
  <c r="AM2567" i="4"/>
  <c r="AM2395" i="4"/>
  <c r="AM2371" i="4"/>
  <c r="AM2312" i="4"/>
  <c r="AM2359" i="4"/>
  <c r="AM2263" i="4"/>
  <c r="AM2570" i="4"/>
  <c r="AM2499" i="4"/>
  <c r="AM2503" i="4"/>
  <c r="AM2246" i="4"/>
  <c r="AM2414" i="4"/>
  <c r="AM2506" i="4"/>
  <c r="AN2569" i="4" l="1"/>
  <c r="AN2536" i="4"/>
  <c r="AN2503" i="4"/>
  <c r="AN2470" i="4"/>
  <c r="AN2437" i="4"/>
  <c r="AN2404" i="4"/>
  <c r="AN2371" i="4"/>
  <c r="AN2337" i="4"/>
  <c r="AN2304" i="4"/>
  <c r="AN2271" i="4"/>
  <c r="AN2238" i="4"/>
  <c r="AN2590" i="4"/>
  <c r="AN2587" i="4"/>
  <c r="AN2583" i="4"/>
  <c r="AN2578" i="4"/>
  <c r="AN2565" i="4"/>
  <c r="AN2532" i="4"/>
  <c r="AN2499" i="4"/>
  <c r="AN2466" i="4"/>
  <c r="AN2433" i="4"/>
  <c r="AN2399" i="4"/>
  <c r="AN2366" i="4"/>
  <c r="AN2333" i="4"/>
  <c r="AN2300" i="4"/>
  <c r="AN2267" i="4"/>
  <c r="AN2234" i="4"/>
  <c r="AN2561" i="4"/>
  <c r="AN2528" i="4"/>
  <c r="AN2495" i="4"/>
  <c r="AN2462" i="4"/>
  <c r="AN2428" i="4"/>
  <c r="AN2395" i="4"/>
  <c r="AN2362" i="4"/>
  <c r="AN2329" i="4"/>
  <c r="AN2296" i="4"/>
  <c r="AN2263" i="4"/>
  <c r="AN2230" i="4"/>
  <c r="AN2586" i="4"/>
  <c r="AN2582" i="4"/>
  <c r="AN2577" i="4"/>
  <c r="AN2557" i="4"/>
  <c r="AN2524" i="4"/>
  <c r="AN2491" i="4"/>
  <c r="AN2457" i="4"/>
  <c r="AN2424" i="4"/>
  <c r="AN2391" i="4"/>
  <c r="AN2358" i="4"/>
  <c r="AN2325" i="4"/>
  <c r="AN2292" i="4"/>
  <c r="AN2259" i="4"/>
  <c r="AN2226" i="4"/>
  <c r="AN2553" i="4"/>
  <c r="AN2519" i="4"/>
  <c r="AN2486" i="4"/>
  <c r="AN2453" i="4"/>
  <c r="AN2420" i="4"/>
  <c r="AN2387" i="4"/>
  <c r="AN2354" i="4"/>
  <c r="AN2321" i="4"/>
  <c r="AN2288" i="4"/>
  <c r="AN2255" i="4"/>
  <c r="AN2589" i="4"/>
  <c r="AN2585" i="4"/>
  <c r="AN2581" i="4"/>
  <c r="AN2576" i="4"/>
  <c r="AN2548" i="4"/>
  <c r="AN2515" i="4"/>
  <c r="AN2482" i="4"/>
  <c r="AN2449" i="4"/>
  <c r="AN2416" i="4"/>
  <c r="AN2383" i="4"/>
  <c r="AN2350" i="4"/>
  <c r="AN2317" i="4"/>
  <c r="AN2284" i="4"/>
  <c r="AN2251" i="4"/>
  <c r="AN2544" i="4"/>
  <c r="AN2511" i="4"/>
  <c r="AN2478" i="4"/>
  <c r="AN2445" i="4"/>
  <c r="AN2412" i="4"/>
  <c r="AN2379" i="4"/>
  <c r="AN2346" i="4"/>
  <c r="AN2313" i="4"/>
  <c r="AN2279" i="4"/>
  <c r="AN2246" i="4"/>
  <c r="AN2588" i="4"/>
  <c r="AN2584" i="4"/>
  <c r="AN2579" i="4"/>
  <c r="AN2573" i="4"/>
  <c r="AN2540" i="4"/>
  <c r="AN2507" i="4"/>
  <c r="AN2474" i="4"/>
  <c r="AN2441" i="4"/>
  <c r="AN2408" i="4"/>
  <c r="AN2375" i="4"/>
  <c r="AN2342" i="4"/>
  <c r="AN2308" i="4"/>
  <c r="AN2275" i="4"/>
  <c r="AN2242" i="4"/>
  <c r="AN2572" i="4"/>
  <c r="AN2568" i="4"/>
  <c r="AN2564" i="4"/>
  <c r="AN2560" i="4"/>
  <c r="AN2556" i="4"/>
  <c r="AN2552" i="4"/>
  <c r="AN2547" i="4"/>
  <c r="AN2543" i="4"/>
  <c r="AN2539" i="4"/>
  <c r="AN2535" i="4"/>
  <c r="AN2531" i="4"/>
  <c r="AN2527" i="4"/>
  <c r="AN2523" i="4"/>
  <c r="AN2518" i="4"/>
  <c r="AN2514" i="4"/>
  <c r="AN2510" i="4"/>
  <c r="AN2506" i="4"/>
  <c r="AN2502" i="4"/>
  <c r="AN2498" i="4"/>
  <c r="AN2494" i="4"/>
  <c r="AN2489" i="4"/>
  <c r="AN2485" i="4"/>
  <c r="AN2481" i="4"/>
  <c r="AN2477" i="4"/>
  <c r="AN2473" i="4"/>
  <c r="AN2469" i="4"/>
  <c r="AN2465" i="4"/>
  <c r="AN2461" i="4"/>
  <c r="AN2456" i="4"/>
  <c r="AN2452" i="4"/>
  <c r="AN2448" i="4"/>
  <c r="AN2444" i="4"/>
  <c r="AN2440" i="4"/>
  <c r="AN2436" i="4"/>
  <c r="AN2432" i="4"/>
  <c r="AN2427" i="4"/>
  <c r="AN2423" i="4"/>
  <c r="AN2419" i="4"/>
  <c r="AN2415" i="4"/>
  <c r="AN2411" i="4"/>
  <c r="AN2407" i="4"/>
  <c r="AN2403" i="4"/>
  <c r="AN2398" i="4"/>
  <c r="AN2394" i="4"/>
  <c r="AN2390" i="4"/>
  <c r="AN2386" i="4"/>
  <c r="AN2382" i="4"/>
  <c r="AN2378" i="4"/>
  <c r="AN2374" i="4"/>
  <c r="AN2369" i="4"/>
  <c r="AN2365" i="4"/>
  <c r="AN2361" i="4"/>
  <c r="AN2357" i="4"/>
  <c r="AN2353" i="4"/>
  <c r="AN2349" i="4"/>
  <c r="AN2345" i="4"/>
  <c r="AN2341" i="4"/>
  <c r="AN2336" i="4"/>
  <c r="AN2332" i="4"/>
  <c r="AN2328" i="4"/>
  <c r="AN2324" i="4"/>
  <c r="AN2320" i="4"/>
  <c r="AN2316" i="4"/>
  <c r="AN2312" i="4"/>
  <c r="AN2307" i="4"/>
  <c r="AN2303" i="4"/>
  <c r="AN2299" i="4"/>
  <c r="AN2295" i="4"/>
  <c r="AN2291" i="4"/>
  <c r="AN2287" i="4"/>
  <c r="AN2283" i="4"/>
  <c r="AN2278" i="4"/>
  <c r="AN2274" i="4"/>
  <c r="AN2270" i="4"/>
  <c r="AN2266" i="4"/>
  <c r="AN2262" i="4"/>
  <c r="AN2258" i="4"/>
  <c r="AN2254" i="4"/>
  <c r="AN2249" i="4"/>
  <c r="AN2245" i="4"/>
  <c r="AN2241" i="4"/>
  <c r="AN2237" i="4"/>
  <c r="AN2233" i="4"/>
  <c r="AN2229" i="4"/>
  <c r="AN2225" i="4"/>
  <c r="AN2575" i="4"/>
  <c r="AN2571" i="4"/>
  <c r="AN2567" i="4"/>
  <c r="AN2563" i="4"/>
  <c r="AN2559" i="4"/>
  <c r="AN2555" i="4"/>
  <c r="AN2551" i="4"/>
  <c r="AN2546" i="4"/>
  <c r="AN2542" i="4"/>
  <c r="AN2538" i="4"/>
  <c r="AN2534" i="4"/>
  <c r="AN2530" i="4"/>
  <c r="AN2526" i="4"/>
  <c r="AN2522" i="4"/>
  <c r="AN2517" i="4"/>
  <c r="AN2513" i="4"/>
  <c r="AN2509" i="4"/>
  <c r="AN2505" i="4"/>
  <c r="AN2501" i="4"/>
  <c r="AN2497" i="4"/>
  <c r="AN2493" i="4"/>
  <c r="AN2488" i="4"/>
  <c r="AN2484" i="4"/>
  <c r="AN2480" i="4"/>
  <c r="AN2476" i="4"/>
  <c r="AN2472" i="4"/>
  <c r="AN2468" i="4"/>
  <c r="AN2464" i="4"/>
  <c r="AN2459" i="4"/>
  <c r="AN2455" i="4"/>
  <c r="AN2451" i="4"/>
  <c r="AN2447" i="4"/>
  <c r="AN2443" i="4"/>
  <c r="AN2439" i="4"/>
  <c r="AN2435" i="4"/>
  <c r="AN2431" i="4"/>
  <c r="AN2426" i="4"/>
  <c r="AN2422" i="4"/>
  <c r="AN2418" i="4"/>
  <c r="AN2414" i="4"/>
  <c r="AN2410" i="4"/>
  <c r="AN2406" i="4"/>
  <c r="AN2402" i="4"/>
  <c r="AN2397" i="4"/>
  <c r="AN2393" i="4"/>
  <c r="AN2389" i="4"/>
  <c r="AN2385" i="4"/>
  <c r="AN2381" i="4"/>
  <c r="AN2377" i="4"/>
  <c r="AN2373" i="4"/>
  <c r="AN2368" i="4"/>
  <c r="AN2364" i="4"/>
  <c r="AN2360" i="4"/>
  <c r="AN2356" i="4"/>
  <c r="AN2352" i="4"/>
  <c r="AN2348" i="4"/>
  <c r="AN2344" i="4"/>
  <c r="AN2339" i="4"/>
  <c r="AN2335" i="4"/>
  <c r="AN2331" i="4"/>
  <c r="AN2327" i="4"/>
  <c r="AN2323" i="4"/>
  <c r="AN2319" i="4"/>
  <c r="AN2315" i="4"/>
  <c r="AN2311" i="4"/>
  <c r="AN2306" i="4"/>
  <c r="AN2302" i="4"/>
  <c r="AN2298" i="4"/>
  <c r="AN2294" i="4"/>
  <c r="AN2290" i="4"/>
  <c r="AN2286" i="4"/>
  <c r="AN2282" i="4"/>
  <c r="AN2277" i="4"/>
  <c r="AN2273" i="4"/>
  <c r="AN2269" i="4"/>
  <c r="AN2265" i="4"/>
  <c r="AN2261" i="4"/>
  <c r="AN2257" i="4"/>
  <c r="AN2253" i="4"/>
  <c r="AN2248" i="4"/>
  <c r="AN2244" i="4"/>
  <c r="AN2240" i="4"/>
  <c r="AN2236" i="4"/>
  <c r="AN2232" i="4"/>
  <c r="AN2228" i="4"/>
  <c r="AN2224" i="4"/>
  <c r="AN2574" i="4"/>
  <c r="AN2570" i="4"/>
  <c r="AN2566" i="4"/>
  <c r="AN2562" i="4"/>
  <c r="AN2558" i="4"/>
  <c r="AN2554" i="4"/>
  <c r="AN2549" i="4"/>
  <c r="AN2545" i="4"/>
  <c r="AN2541" i="4"/>
  <c r="AN2537" i="4"/>
  <c r="AN2533" i="4"/>
  <c r="AN2529" i="4"/>
  <c r="AN2525" i="4"/>
  <c r="AN2521" i="4"/>
  <c r="AN2516" i="4"/>
  <c r="AN2512" i="4"/>
  <c r="AN2508" i="4"/>
  <c r="AN2504" i="4"/>
  <c r="AN2500" i="4"/>
  <c r="AN2496" i="4"/>
  <c r="AN2492" i="4"/>
  <c r="AN2487" i="4"/>
  <c r="AN2483" i="4"/>
  <c r="AN2479" i="4"/>
  <c r="AN2475" i="4"/>
  <c r="AN2471" i="4"/>
  <c r="AN2467" i="4"/>
  <c r="AN2463" i="4"/>
  <c r="AN2458" i="4"/>
  <c r="AN2454" i="4"/>
  <c r="AN2450" i="4"/>
  <c r="AN2446" i="4"/>
  <c r="AN2442" i="4"/>
  <c r="AN2438" i="4"/>
  <c r="AN2434" i="4"/>
  <c r="AN2429" i="4"/>
  <c r="AN2425" i="4"/>
  <c r="AN2421" i="4"/>
  <c r="AN2417" i="4"/>
  <c r="AN2413" i="4"/>
  <c r="AN2409" i="4"/>
  <c r="AN2405" i="4"/>
  <c r="AN2401" i="4"/>
  <c r="AN2396" i="4"/>
  <c r="AN2392" i="4"/>
  <c r="AN2388" i="4"/>
  <c r="AN2384" i="4"/>
  <c r="AN2380" i="4"/>
  <c r="AN2376" i="4"/>
  <c r="AN2372" i="4"/>
  <c r="AN2367" i="4"/>
  <c r="AN2363" i="4"/>
  <c r="AN2359" i="4"/>
  <c r="AN2355" i="4"/>
  <c r="AN2351" i="4"/>
  <c r="AN2347" i="4"/>
  <c r="AN2343" i="4"/>
  <c r="AN2338" i="4"/>
  <c r="AN2334" i="4"/>
  <c r="AN2330" i="4"/>
  <c r="AN2326" i="4"/>
  <c r="AN2322" i="4"/>
  <c r="AN2318" i="4"/>
  <c r="AN2314" i="4"/>
  <c r="AN2309" i="4"/>
  <c r="AN2305" i="4"/>
  <c r="AN2301" i="4"/>
  <c r="AN2297" i="4"/>
  <c r="AN2293" i="4"/>
  <c r="AN2289" i="4"/>
  <c r="AN2285" i="4"/>
  <c r="AN2281" i="4"/>
  <c r="AN2276" i="4"/>
  <c r="AN2272" i="4"/>
  <c r="AN2268" i="4"/>
  <c r="AN2264" i="4"/>
  <c r="AN2260" i="4"/>
  <c r="AN2256" i="4"/>
  <c r="AN2252" i="4"/>
  <c r="AN2247" i="4"/>
  <c r="AN2243" i="4"/>
  <c r="AN2239" i="4"/>
  <c r="AN2235" i="4"/>
  <c r="AN2231" i="4"/>
  <c r="AN2227" i="4"/>
  <c r="AI131" i="23"/>
  <c r="U72" i="23" s="1"/>
  <c r="U55" i="23"/>
  <c r="AE132" i="23"/>
  <c r="Q73" i="23" s="1"/>
  <c r="Q56" i="23"/>
  <c r="X48" i="23"/>
  <c r="AL124" i="23"/>
  <c r="X65" i="23" s="1"/>
  <c r="T56" i="23"/>
  <c r="AH132" i="23"/>
  <c r="T73" i="23" s="1"/>
  <c r="AF132" i="23"/>
  <c r="R73" i="23" s="1"/>
  <c r="R56" i="23"/>
  <c r="X49" i="23"/>
  <c r="AL125" i="23"/>
  <c r="X66" i="23" s="1"/>
  <c r="S56" i="23"/>
  <c r="AG132" i="23"/>
  <c r="S73" i="23" s="1"/>
  <c r="X50" i="23"/>
  <c r="AL126" i="23"/>
  <c r="X67" i="23" s="1"/>
  <c r="P56" i="23"/>
  <c r="AD132" i="23"/>
  <c r="P73" i="23" s="1"/>
  <c r="AL127" i="23"/>
  <c r="X68" i="23" s="1"/>
  <c r="X51" i="23"/>
  <c r="X52" i="23"/>
  <c r="AL128" i="23"/>
  <c r="X69" i="23" s="1"/>
  <c r="O57" i="23"/>
  <c r="AC133" i="23"/>
  <c r="O74" i="23" s="1"/>
  <c r="W53" i="23"/>
  <c r="AK129" i="23"/>
  <c r="W70" i="23" s="1"/>
  <c r="V54" i="23"/>
  <c r="AJ130" i="23"/>
  <c r="V71" i="23" s="1"/>
  <c r="AD76" i="23"/>
  <c r="AF76" i="23" s="1"/>
  <c r="AI115" i="23"/>
  <c r="AM2920" i="4"/>
  <c r="AM2846" i="4"/>
  <c r="AM2626" i="4"/>
  <c r="AE116" i="23"/>
  <c r="AM2859" i="4"/>
  <c r="AM2736" i="4"/>
  <c r="AM2607" i="4"/>
  <c r="AM2792" i="4"/>
  <c r="AM2866" i="4"/>
  <c r="AM2781" i="4"/>
  <c r="AM2629" i="4"/>
  <c r="AM2698" i="4"/>
  <c r="AM2748" i="4"/>
  <c r="AM2822" i="4"/>
  <c r="AM2605" i="4"/>
  <c r="AM2766" i="4"/>
  <c r="AM2659" i="4"/>
  <c r="AM2844" i="4"/>
  <c r="AM2722" i="4"/>
  <c r="AM2708" i="4"/>
  <c r="AM2932" i="4"/>
  <c r="AM2904" i="4"/>
  <c r="AM2706" i="4"/>
  <c r="AM2791" i="4"/>
  <c r="AM2592" i="4"/>
  <c r="AM2655" i="4"/>
  <c r="AM2685" i="4"/>
  <c r="AM2646" i="4"/>
  <c r="AM2858" i="4"/>
  <c r="AM2742" i="4"/>
  <c r="AM2894" i="4"/>
  <c r="AM2724" i="4"/>
  <c r="AM2797" i="4"/>
  <c r="AM2715" i="4"/>
  <c r="AM2756" i="4"/>
  <c r="AM2726" i="4"/>
  <c r="AM2907" i="4"/>
  <c r="AM2784" i="4"/>
  <c r="AM2771" i="4"/>
  <c r="AM2614" i="4"/>
  <c r="AM2668" i="4"/>
  <c r="AM2825" i="4"/>
  <c r="AM2703" i="4"/>
  <c r="AM2895" i="4"/>
  <c r="AM2636" i="4"/>
  <c r="AM2606" i="4"/>
  <c r="AM2948" i="4"/>
  <c r="AM2642" i="4"/>
  <c r="AM2838" i="4"/>
  <c r="AM2793" i="4"/>
  <c r="AM2612" i="4"/>
  <c r="AM2631" i="4"/>
  <c r="AM2780" i="4"/>
  <c r="AM2750" i="4"/>
  <c r="AM2665" i="4"/>
  <c r="AM2856" i="4"/>
  <c r="AM2649" i="4"/>
  <c r="AM2937" i="4"/>
  <c r="AM2855" i="4"/>
  <c r="AM2719" i="4"/>
  <c r="AM2934" i="4"/>
  <c r="AM2747" i="4"/>
  <c r="AM2599" i="4"/>
  <c r="AM2637" i="4"/>
  <c r="AM2883" i="4"/>
  <c r="AM2714" i="4"/>
  <c r="AM2697" i="4"/>
  <c r="AM2852" i="4"/>
  <c r="AM2929" i="4"/>
  <c r="AM2819" i="4"/>
  <c r="AM2660" i="4"/>
  <c r="AM2713" i="4"/>
  <c r="AM2621" i="4"/>
  <c r="AM2755" i="4"/>
  <c r="AM2591" i="4"/>
  <c r="AM2761" i="4"/>
  <c r="AM2864" i="4"/>
  <c r="AM2865" i="4"/>
  <c r="AM2915" i="4"/>
  <c r="AM2603" i="4"/>
  <c r="AM2694" i="4"/>
  <c r="AM2688" i="4"/>
  <c r="AM2774" i="4"/>
  <c r="AM2902" i="4"/>
  <c r="AM2656" i="4"/>
  <c r="AM2942" i="4"/>
  <c r="AM2664" i="4"/>
  <c r="AM2930" i="4"/>
  <c r="AM2611" i="4"/>
  <c r="AM2601" i="4"/>
  <c r="AM2718" i="4"/>
  <c r="AM2693" i="4"/>
  <c r="AM2681" i="4"/>
  <c r="AM2843" i="4"/>
  <c r="AM2796" i="4"/>
  <c r="AM2622" i="4"/>
  <c r="AM2691" i="4"/>
  <c r="AM2643" i="4"/>
  <c r="AM2701" i="4"/>
  <c r="AM2823" i="4"/>
  <c r="AM2709" i="4"/>
  <c r="AM2912" i="4"/>
  <c r="AM2927" i="4"/>
  <c r="AM2619" i="4"/>
  <c r="AM2878" i="4"/>
  <c r="AM2596" i="4"/>
  <c r="AM2597" i="4"/>
  <c r="AM2935" i="4"/>
  <c r="AM2749" i="4"/>
  <c r="AM2710" i="4"/>
  <c r="AM2943" i="4"/>
  <c r="AM2752" i="4"/>
  <c r="AM2870" i="4"/>
  <c r="AM2661" i="4"/>
  <c r="AD116" i="23"/>
  <c r="AM2604" i="4"/>
  <c r="AM2737" i="4"/>
  <c r="AM2853" i="4"/>
  <c r="AM2914" i="4"/>
  <c r="AM2826" i="4"/>
  <c r="AM2824" i="4"/>
  <c r="AM2776" i="4"/>
  <c r="AM2739" i="4"/>
  <c r="AM2770" i="4"/>
  <c r="AM2743" i="4"/>
  <c r="AM2786" i="4"/>
  <c r="AM2671" i="4"/>
  <c r="AM2650" i="4"/>
  <c r="AM2680" i="4"/>
  <c r="AM2869" i="4"/>
  <c r="AM2938" i="4"/>
  <c r="AM2890" i="4"/>
  <c r="AM2782" i="4"/>
  <c r="AM2916" i="4"/>
  <c r="AM2717" i="4"/>
  <c r="AM2727" i="4"/>
  <c r="AM2772" i="4"/>
  <c r="AM2598" i="4"/>
  <c r="AK113" i="23"/>
  <c r="AM2862" i="4"/>
  <c r="AM2849" i="4"/>
  <c r="AM2873" i="4"/>
  <c r="AM2827" i="4"/>
  <c r="AM2900" i="4"/>
  <c r="AM2911" i="4"/>
  <c r="AM2768" i="4"/>
  <c r="AM2944" i="4"/>
  <c r="AM2741" i="4"/>
  <c r="AM2788" i="4"/>
  <c r="AM2857" i="4"/>
  <c r="AM2617" i="4"/>
  <c r="AM2794" i="4"/>
  <c r="AM2908" i="4"/>
  <c r="AM2851" i="4"/>
  <c r="AM2939" i="4"/>
  <c r="AM2702" i="4"/>
  <c r="AM2936" i="4"/>
  <c r="AM2835" i="4"/>
  <c r="AM2925" i="4"/>
  <c r="AM2821" i="4"/>
  <c r="AM2647" i="4"/>
  <c r="AM2673" i="4"/>
  <c r="AM2679" i="4"/>
  <c r="AM2751" i="4"/>
  <c r="AM2806" i="4"/>
  <c r="AM2785" i="4"/>
  <c r="AM2840" i="4"/>
  <c r="AM2892" i="4"/>
  <c r="AM2716" i="4"/>
  <c r="AM2945" i="4"/>
  <c r="AM2919" i="4"/>
  <c r="AM2757" i="4"/>
  <c r="AM2639" i="4"/>
  <c r="AM2897" i="4"/>
  <c r="AM2658" i="4"/>
  <c r="AM2759" i="4"/>
  <c r="AM2616" i="4"/>
  <c r="AM2738" i="4"/>
  <c r="AM2926" i="4"/>
  <c r="AM2651" i="4"/>
  <c r="AM2798" i="4"/>
  <c r="AM2839" i="4"/>
  <c r="AM2630" i="4"/>
  <c r="AM2795" i="4"/>
  <c r="AM2909" i="4"/>
  <c r="AM2886" i="4"/>
  <c r="AM2608" i="4"/>
  <c r="AM2765" i="4"/>
  <c r="AM2734" i="4"/>
  <c r="AM2921" i="4"/>
  <c r="AM2867" i="4"/>
  <c r="AM2632" i="4"/>
  <c r="AM2593" i="4"/>
  <c r="AM2763" i="4"/>
  <c r="AM2594" i="4"/>
  <c r="AM2746" i="4"/>
  <c r="AM2692" i="4"/>
  <c r="AM2684" i="4"/>
  <c r="AM2888" i="4"/>
  <c r="AM2634" i="4"/>
  <c r="AM2711" i="4"/>
  <c r="AM2618" i="4"/>
  <c r="AM2677" i="4"/>
  <c r="AM2877" i="4"/>
  <c r="AM2799" i="4"/>
  <c r="AM2811" i="4"/>
  <c r="AM2802" i="4"/>
  <c r="AM2609" i="4"/>
  <c r="AM2812" i="4"/>
  <c r="AM2882" i="4"/>
  <c r="AM2753" i="4"/>
  <c r="AM2676" i="4"/>
  <c r="AM2732" i="4"/>
  <c r="AM2644" i="4"/>
  <c r="AM2652" i="4"/>
  <c r="AM2600" i="4"/>
  <c r="AM2845" i="4"/>
  <c r="AM2645" i="4"/>
  <c r="AM2623" i="4"/>
  <c r="AM2720" i="4"/>
  <c r="AM2847" i="4"/>
  <c r="AM2635" i="4"/>
  <c r="AM2733" i="4"/>
  <c r="AM2872" i="4"/>
  <c r="AM2831" i="4"/>
  <c r="AM2829" i="4"/>
  <c r="AM2905" i="4"/>
  <c r="AG116" i="23"/>
  <c r="AM2687" i="4"/>
  <c r="AM2682" i="4"/>
  <c r="AM2777" i="4"/>
  <c r="AM2669" i="4"/>
  <c r="AM2729" i="4"/>
  <c r="AM2803" i="4"/>
  <c r="AM2686" i="4"/>
  <c r="AM2725" i="4"/>
  <c r="AM2731" i="4"/>
  <c r="AM2707" i="4"/>
  <c r="AM2833" i="4"/>
  <c r="AM2754" i="4"/>
  <c r="AM2789" i="4"/>
  <c r="AM2728" i="4"/>
  <c r="AM2952" i="4"/>
  <c r="AM2667" i="4"/>
  <c r="AM2641" i="4"/>
  <c r="AF116" i="23"/>
  <c r="AM2678" i="4"/>
  <c r="AM2854" i="4"/>
  <c r="AM2800" i="4"/>
  <c r="AM2744" i="4"/>
  <c r="AM2815" i="4"/>
  <c r="AM2946" i="4"/>
  <c r="AM2860" i="4"/>
  <c r="AM2764" i="4"/>
  <c r="AM2602" i="4"/>
  <c r="AM2949" i="4"/>
  <c r="AM2906" i="4"/>
  <c r="AM2813" i="4"/>
  <c r="AM2696" i="4"/>
  <c r="AM2818" i="4"/>
  <c r="AM2922" i="4"/>
  <c r="AM2893" i="4"/>
  <c r="AM2695" i="4"/>
  <c r="AM2767" i="4"/>
  <c r="AM2625" i="4"/>
  <c r="AM2810" i="4"/>
  <c r="AL112" i="23"/>
  <c r="AM2674" i="4"/>
  <c r="AM2809" i="4"/>
  <c r="AM2654" i="4"/>
  <c r="AM2876" i="4"/>
  <c r="AM2595" i="4"/>
  <c r="AJ114" i="23"/>
  <c r="AM2913" i="4"/>
  <c r="AM2896" i="4"/>
  <c r="AM2881" i="4"/>
  <c r="AM2836" i="4"/>
  <c r="AM2804" i="4"/>
  <c r="AM2842" i="4"/>
  <c r="AM2657" i="4"/>
  <c r="AM2917" i="4"/>
  <c r="AM2662" i="4"/>
  <c r="AM2778" i="4"/>
  <c r="AM2816" i="4"/>
  <c r="AM2947" i="4"/>
  <c r="AM2762" i="4"/>
  <c r="AM2923" i="4"/>
  <c r="AM2779" i="4"/>
  <c r="AM2899" i="4"/>
  <c r="AM2887" i="4"/>
  <c r="AM2787" i="4"/>
  <c r="AM2653" i="4"/>
  <c r="AM2874" i="4"/>
  <c r="AM2954" i="4"/>
  <c r="AM2808" i="4"/>
  <c r="AM2841" i="4"/>
  <c r="AM2928" i="4"/>
  <c r="AM2638" i="4"/>
  <c r="AM2624" i="4"/>
  <c r="AM2950" i="4"/>
  <c r="AH116" i="23"/>
  <c r="AM2699" i="4"/>
  <c r="AM2690" i="4"/>
  <c r="AM2903" i="4"/>
  <c r="AM2721" i="4"/>
  <c r="AM2871" i="4"/>
  <c r="AM2705" i="4"/>
  <c r="AM2898" i="4"/>
  <c r="AM2672" i="4"/>
  <c r="AM2814" i="4"/>
  <c r="AM2740" i="4"/>
  <c r="AM2817" i="4"/>
  <c r="AM2620" i="4"/>
  <c r="AM2723" i="4"/>
  <c r="AM2931" i="4"/>
  <c r="AM2783" i="4"/>
  <c r="AM2758" i="4"/>
  <c r="AM2773" i="4"/>
  <c r="AM2689" i="4"/>
  <c r="AM2745" i="4"/>
  <c r="AM2891" i="4"/>
  <c r="AM2663" i="4"/>
  <c r="AM2884" i="4"/>
  <c r="AM2889" i="4"/>
  <c r="AM2868" i="4"/>
  <c r="AM2951" i="4"/>
  <c r="AC117" i="23"/>
  <c r="AM2830" i="4"/>
  <c r="AM2801" i="4"/>
  <c r="AM2683" i="4"/>
  <c r="AM2633" i="4"/>
  <c r="AM2885" i="4"/>
  <c r="AM2828" i="4"/>
  <c r="AM2832" i="4"/>
  <c r="AM2901" i="4"/>
  <c r="AM2648" i="4"/>
  <c r="AM2863" i="4"/>
  <c r="AM2775" i="4"/>
  <c r="AM2879" i="4"/>
  <c r="AM2666" i="4"/>
  <c r="AM2875" i="4"/>
  <c r="AM2613" i="4"/>
  <c r="AM2675" i="4"/>
  <c r="AM2627" i="4"/>
  <c r="AM2628" i="4"/>
  <c r="AM2704" i="4"/>
  <c r="AM2848" i="4"/>
  <c r="AM2712" i="4"/>
  <c r="AM2924" i="4"/>
  <c r="AM2769" i="4"/>
  <c r="AM2807" i="4"/>
  <c r="AM2918" i="4"/>
  <c r="AM2837" i="4"/>
  <c r="AM2953" i="4"/>
  <c r="AM2834" i="4"/>
  <c r="AM2861" i="4"/>
  <c r="AM2615" i="4"/>
  <c r="AM2941" i="4"/>
  <c r="AM2805" i="4"/>
  <c r="AM2735" i="4"/>
  <c r="AM2933" i="4"/>
  <c r="AN2953" i="4" l="1"/>
  <c r="AN2949" i="4"/>
  <c r="AN2945" i="4"/>
  <c r="AN2952" i="4"/>
  <c r="AN2948" i="4"/>
  <c r="AN2944" i="4"/>
  <c r="AN2954" i="4"/>
  <c r="AN2951" i="4"/>
  <c r="AN2947" i="4"/>
  <c r="AN2950" i="4"/>
  <c r="AN2946" i="4"/>
  <c r="AN2943" i="4"/>
  <c r="AN2938" i="4"/>
  <c r="AN2934" i="4"/>
  <c r="AN2930" i="4"/>
  <c r="AN2926" i="4"/>
  <c r="AN2922" i="4"/>
  <c r="AN2918" i="4"/>
  <c r="AN2914" i="4"/>
  <c r="AN2909" i="4"/>
  <c r="AN2905" i="4"/>
  <c r="AN2901" i="4"/>
  <c r="AN2897" i="4"/>
  <c r="AN2893" i="4"/>
  <c r="AN2889" i="4"/>
  <c r="AN2885" i="4"/>
  <c r="AN2881" i="4"/>
  <c r="AN2876" i="4"/>
  <c r="AN2872" i="4"/>
  <c r="AN2868" i="4"/>
  <c r="AN2864" i="4"/>
  <c r="AN2860" i="4"/>
  <c r="AN2856" i="4"/>
  <c r="AN2852" i="4"/>
  <c r="AN2847" i="4"/>
  <c r="AN2843" i="4"/>
  <c r="AN2839" i="4"/>
  <c r="AN2835" i="4"/>
  <c r="AN2831" i="4"/>
  <c r="AN2827" i="4"/>
  <c r="AN2823" i="4"/>
  <c r="AN2818" i="4"/>
  <c r="AN2814" i="4"/>
  <c r="AN2810" i="4"/>
  <c r="AN2806" i="4"/>
  <c r="AN2802" i="4"/>
  <c r="AN2798" i="4"/>
  <c r="AN2794" i="4"/>
  <c r="AN2789" i="4"/>
  <c r="AN2785" i="4"/>
  <c r="AN2781" i="4"/>
  <c r="AN2777" i="4"/>
  <c r="AN2773" i="4"/>
  <c r="AN2769" i="4"/>
  <c r="AN2765" i="4"/>
  <c r="AN2761" i="4"/>
  <c r="AN2756" i="4"/>
  <c r="AN2752" i="4"/>
  <c r="AN2748" i="4"/>
  <c r="AN2744" i="4"/>
  <c r="AN2740" i="4"/>
  <c r="AN2736" i="4"/>
  <c r="AN2732" i="4"/>
  <c r="AN2727" i="4"/>
  <c r="AN2723" i="4"/>
  <c r="AN2719" i="4"/>
  <c r="AN2715" i="4"/>
  <c r="AN2711" i="4"/>
  <c r="AN2707" i="4"/>
  <c r="AN2703" i="4"/>
  <c r="AN2698" i="4"/>
  <c r="AN2694" i="4"/>
  <c r="AN2690" i="4"/>
  <c r="AN2686" i="4"/>
  <c r="AN2682" i="4"/>
  <c r="AN2678" i="4"/>
  <c r="AN2674" i="4"/>
  <c r="AN2669" i="4"/>
  <c r="AN2665" i="4"/>
  <c r="AN2661" i="4"/>
  <c r="AN2657" i="4"/>
  <c r="AN2653" i="4"/>
  <c r="AN2649" i="4"/>
  <c r="AN2645" i="4"/>
  <c r="AN2641" i="4"/>
  <c r="AN2636" i="4"/>
  <c r="AN2632" i="4"/>
  <c r="AN2628" i="4"/>
  <c r="AN2624" i="4"/>
  <c r="AN2620" i="4"/>
  <c r="AN2616" i="4"/>
  <c r="AN2612" i="4"/>
  <c r="AN2607" i="4"/>
  <c r="AN2603" i="4"/>
  <c r="AN2599" i="4"/>
  <c r="AN2595" i="4"/>
  <c r="AN2591" i="4"/>
  <c r="AN2942" i="4"/>
  <c r="AN2937" i="4"/>
  <c r="AN2933" i="4"/>
  <c r="AN2929" i="4"/>
  <c r="AN2925" i="4"/>
  <c r="AN2921" i="4"/>
  <c r="AN2917" i="4"/>
  <c r="AN2913" i="4"/>
  <c r="AN2908" i="4"/>
  <c r="AN2904" i="4"/>
  <c r="AN2900" i="4"/>
  <c r="AN2896" i="4"/>
  <c r="AN2892" i="4"/>
  <c r="AN2888" i="4"/>
  <c r="AN2884" i="4"/>
  <c r="AN2879" i="4"/>
  <c r="AN2875" i="4"/>
  <c r="AN2871" i="4"/>
  <c r="AN2867" i="4"/>
  <c r="AN2863" i="4"/>
  <c r="AN2859" i="4"/>
  <c r="AN2855" i="4"/>
  <c r="AN2851" i="4"/>
  <c r="AN2846" i="4"/>
  <c r="AN2842" i="4"/>
  <c r="AN2838" i="4"/>
  <c r="AN2834" i="4"/>
  <c r="AN2830" i="4"/>
  <c r="AN2826" i="4"/>
  <c r="AN2822" i="4"/>
  <c r="AN2817" i="4"/>
  <c r="AN2813" i="4"/>
  <c r="AN2809" i="4"/>
  <c r="AN2805" i="4"/>
  <c r="AN2801" i="4"/>
  <c r="AN2797" i="4"/>
  <c r="AN2793" i="4"/>
  <c r="AN2788" i="4"/>
  <c r="AN2784" i="4"/>
  <c r="AN2780" i="4"/>
  <c r="AN2776" i="4"/>
  <c r="AN2772" i="4"/>
  <c r="AN2768" i="4"/>
  <c r="AN2764" i="4"/>
  <c r="AN2759" i="4"/>
  <c r="AN2755" i="4"/>
  <c r="AN2751" i="4"/>
  <c r="AN2747" i="4"/>
  <c r="AN2743" i="4"/>
  <c r="AN2739" i="4"/>
  <c r="AN2735" i="4"/>
  <c r="AN2731" i="4"/>
  <c r="AN2726" i="4"/>
  <c r="AN2722" i="4"/>
  <c r="AN2718" i="4"/>
  <c r="AN2714" i="4"/>
  <c r="AN2710" i="4"/>
  <c r="AN2706" i="4"/>
  <c r="AN2702" i="4"/>
  <c r="AN2697" i="4"/>
  <c r="AN2693" i="4"/>
  <c r="AN2689" i="4"/>
  <c r="AN2685" i="4"/>
  <c r="AN2681" i="4"/>
  <c r="AN2677" i="4"/>
  <c r="AN2673" i="4"/>
  <c r="AN2668" i="4"/>
  <c r="AN2664" i="4"/>
  <c r="AN2660" i="4"/>
  <c r="AN2656" i="4"/>
  <c r="AN2652" i="4"/>
  <c r="AN2648" i="4"/>
  <c r="AN2644" i="4"/>
  <c r="AN2639" i="4"/>
  <c r="AN2635" i="4"/>
  <c r="AN2631" i="4"/>
  <c r="AN2627" i="4"/>
  <c r="AN2623" i="4"/>
  <c r="AN2619" i="4"/>
  <c r="AN2615" i="4"/>
  <c r="AN2611" i="4"/>
  <c r="AN2606" i="4"/>
  <c r="AN2602" i="4"/>
  <c r="AN2598" i="4"/>
  <c r="AN2594" i="4"/>
  <c r="AN2941" i="4"/>
  <c r="AN2936" i="4"/>
  <c r="AN2932" i="4"/>
  <c r="AN2928" i="4"/>
  <c r="AN2924" i="4"/>
  <c r="AN2920" i="4"/>
  <c r="AN2916" i="4"/>
  <c r="AN2912" i="4"/>
  <c r="AN2907" i="4"/>
  <c r="AN2903" i="4"/>
  <c r="AN2899" i="4"/>
  <c r="AN2895" i="4"/>
  <c r="AN2891" i="4"/>
  <c r="AN2887" i="4"/>
  <c r="AN2883" i="4"/>
  <c r="AN2878" i="4"/>
  <c r="AN2874" i="4"/>
  <c r="AN2870" i="4"/>
  <c r="AN2866" i="4"/>
  <c r="AN2862" i="4"/>
  <c r="AN2858" i="4"/>
  <c r="AN2854" i="4"/>
  <c r="AN2849" i="4"/>
  <c r="AN2845" i="4"/>
  <c r="AN2841" i="4"/>
  <c r="AN2837" i="4"/>
  <c r="AN2833" i="4"/>
  <c r="AN2829" i="4"/>
  <c r="AN2825" i="4"/>
  <c r="AN2821" i="4"/>
  <c r="AN2816" i="4"/>
  <c r="AN2812" i="4"/>
  <c r="AN2808" i="4"/>
  <c r="AN2804" i="4"/>
  <c r="AN2800" i="4"/>
  <c r="AN2796" i="4"/>
  <c r="AN2792" i="4"/>
  <c r="AN2787" i="4"/>
  <c r="AN2783" i="4"/>
  <c r="AN2779" i="4"/>
  <c r="AN2775" i="4"/>
  <c r="AN2771" i="4"/>
  <c r="AN2767" i="4"/>
  <c r="AN2763" i="4"/>
  <c r="AN2758" i="4"/>
  <c r="AN2754" i="4"/>
  <c r="AN2750" i="4"/>
  <c r="AN2746" i="4"/>
  <c r="AN2742" i="4"/>
  <c r="AN2738" i="4"/>
  <c r="AN2734" i="4"/>
  <c r="AN2729" i="4"/>
  <c r="AN2725" i="4"/>
  <c r="AN2721" i="4"/>
  <c r="AN2717" i="4"/>
  <c r="AN2713" i="4"/>
  <c r="AN2709" i="4"/>
  <c r="AN2705" i="4"/>
  <c r="AN2701" i="4"/>
  <c r="AN2696" i="4"/>
  <c r="AN2692" i="4"/>
  <c r="AN2688" i="4"/>
  <c r="AN2684" i="4"/>
  <c r="AN2680" i="4"/>
  <c r="AN2676" i="4"/>
  <c r="AN2672" i="4"/>
  <c r="AN2667" i="4"/>
  <c r="AN2663" i="4"/>
  <c r="AN2659" i="4"/>
  <c r="AN2655" i="4"/>
  <c r="AN2651" i="4"/>
  <c r="AN2647" i="4"/>
  <c r="AN2643" i="4"/>
  <c r="AN2638" i="4"/>
  <c r="AN2634" i="4"/>
  <c r="AN2630" i="4"/>
  <c r="AN2626" i="4"/>
  <c r="AN2622" i="4"/>
  <c r="AN2618" i="4"/>
  <c r="AN2614" i="4"/>
  <c r="AN2609" i="4"/>
  <c r="AN2605" i="4"/>
  <c r="AN2601" i="4"/>
  <c r="AN2597" i="4"/>
  <c r="AN2593" i="4"/>
  <c r="AN2939" i="4"/>
  <c r="AN2935" i="4"/>
  <c r="AN2931" i="4"/>
  <c r="AN2927" i="4"/>
  <c r="AN2923" i="4"/>
  <c r="AN2919" i="4"/>
  <c r="AN2915" i="4"/>
  <c r="AN2911" i="4"/>
  <c r="AN2906" i="4"/>
  <c r="AN2902" i="4"/>
  <c r="AN2898" i="4"/>
  <c r="AN2894" i="4"/>
  <c r="AN2890" i="4"/>
  <c r="AN2886" i="4"/>
  <c r="AN2882" i="4"/>
  <c r="AN2877" i="4"/>
  <c r="AN2873" i="4"/>
  <c r="AN2869" i="4"/>
  <c r="AN2865" i="4"/>
  <c r="AN2861" i="4"/>
  <c r="AN2857" i="4"/>
  <c r="AN2853" i="4"/>
  <c r="AN2848" i="4"/>
  <c r="AN2844" i="4"/>
  <c r="AN2840" i="4"/>
  <c r="AN2836" i="4"/>
  <c r="AN2832" i="4"/>
  <c r="AN2828" i="4"/>
  <c r="AN2824" i="4"/>
  <c r="AN2819" i="4"/>
  <c r="AN2815" i="4"/>
  <c r="AN2811" i="4"/>
  <c r="AN2807" i="4"/>
  <c r="AN2803" i="4"/>
  <c r="AN2799" i="4"/>
  <c r="AN2795" i="4"/>
  <c r="AN2791" i="4"/>
  <c r="AN2786" i="4"/>
  <c r="AN2782" i="4"/>
  <c r="AN2778" i="4"/>
  <c r="AN2774" i="4"/>
  <c r="AN2770" i="4"/>
  <c r="AN2766" i="4"/>
  <c r="AN2762" i="4"/>
  <c r="AN2757" i="4"/>
  <c r="AN2753" i="4"/>
  <c r="AN2749" i="4"/>
  <c r="AN2745" i="4"/>
  <c r="AN2741" i="4"/>
  <c r="AN2737" i="4"/>
  <c r="AN2733" i="4"/>
  <c r="AN2728" i="4"/>
  <c r="AN2724" i="4"/>
  <c r="AN2720" i="4"/>
  <c r="AN2716" i="4"/>
  <c r="AN2712" i="4"/>
  <c r="AN2708" i="4"/>
  <c r="AN2704" i="4"/>
  <c r="AN2699" i="4"/>
  <c r="AN2695" i="4"/>
  <c r="AN2691" i="4"/>
  <c r="AN2687" i="4"/>
  <c r="AN2683" i="4"/>
  <c r="AN2679" i="4"/>
  <c r="AN2675" i="4"/>
  <c r="AN2671" i="4"/>
  <c r="AN2666" i="4"/>
  <c r="AN2662" i="4"/>
  <c r="AN2658" i="4"/>
  <c r="AN2654" i="4"/>
  <c r="AN2650" i="4"/>
  <c r="AN2646" i="4"/>
  <c r="AN2642" i="4"/>
  <c r="AN2637" i="4"/>
  <c r="AN2633" i="4"/>
  <c r="AN2629" i="4"/>
  <c r="AN2625" i="4"/>
  <c r="AN2621" i="4"/>
  <c r="AN2617" i="4"/>
  <c r="AN2613" i="4"/>
  <c r="AN2608" i="4"/>
  <c r="AN2604" i="4"/>
  <c r="AN2600" i="4"/>
  <c r="AN2596" i="4"/>
  <c r="AN2592" i="4"/>
  <c r="T57" i="23"/>
  <c r="AH133" i="23"/>
  <c r="T74" i="23" s="1"/>
  <c r="O58" i="23"/>
  <c r="AC134" i="23"/>
  <c r="O75" i="23" s="1"/>
  <c r="S57" i="23"/>
  <c r="AG133" i="23"/>
  <c r="S74" i="23" s="1"/>
  <c r="R57" i="23"/>
  <c r="AF133" i="23"/>
  <c r="R74" i="23" s="1"/>
  <c r="Q57" i="23"/>
  <c r="AE133" i="23"/>
  <c r="Q74" i="23" s="1"/>
  <c r="X53" i="23"/>
  <c r="AL129" i="23"/>
  <c r="X70" i="23" s="1"/>
  <c r="P57" i="23"/>
  <c r="AD133" i="23"/>
  <c r="P74" i="23" s="1"/>
  <c r="W54" i="23"/>
  <c r="AK130" i="23"/>
  <c r="W71" i="23" s="1"/>
  <c r="AJ131" i="23"/>
  <c r="V72" i="23" s="1"/>
  <c r="V55" i="23"/>
  <c r="U56" i="23"/>
  <c r="AI132" i="23"/>
  <c r="U73" i="23" s="1"/>
  <c r="AD77" i="23"/>
  <c r="AF77" i="23" s="1"/>
  <c r="AM3102" i="4"/>
  <c r="AM2958" i="4"/>
  <c r="AM2968" i="4"/>
  <c r="AM3145" i="4"/>
  <c r="AM3017" i="4"/>
  <c r="AM3076" i="4"/>
  <c r="AM3074" i="4"/>
  <c r="AM3205" i="4"/>
  <c r="AM3256" i="4"/>
  <c r="AM3253" i="4"/>
  <c r="AM3219" i="4"/>
  <c r="AM3080" i="4"/>
  <c r="AM3119" i="4"/>
  <c r="AM3012" i="4"/>
  <c r="AM3100" i="4"/>
  <c r="AM2994" i="4"/>
  <c r="AM3177" i="4"/>
  <c r="AM3022" i="4"/>
  <c r="AM3276" i="4"/>
  <c r="AM2990" i="4"/>
  <c r="AM3065" i="4"/>
  <c r="AM3167" i="4"/>
  <c r="AM3061" i="4"/>
  <c r="AM3166" i="4"/>
  <c r="AM3294" i="4"/>
  <c r="AM3117" i="4"/>
  <c r="AM3257" i="4"/>
  <c r="AM3121" i="4"/>
  <c r="AM3250" i="4"/>
  <c r="AM3112" i="4"/>
  <c r="AM3303" i="4"/>
  <c r="AM3223" i="4"/>
  <c r="AC118" i="23"/>
  <c r="AM3316" i="4"/>
  <c r="AM3225" i="4"/>
  <c r="AM3005" i="4"/>
  <c r="AM3050" i="4"/>
  <c r="AM3190" i="4"/>
  <c r="AM3302" i="4"/>
  <c r="AM3209" i="4"/>
  <c r="AM3251" i="4"/>
  <c r="AM3014" i="4"/>
  <c r="AM3260" i="4"/>
  <c r="AM3018" i="4"/>
  <c r="AM3214" i="4"/>
  <c r="AM3077" i="4"/>
  <c r="AM3202" i="4"/>
  <c r="AM3127" i="4"/>
  <c r="AM3066" i="4"/>
  <c r="AM3035" i="4"/>
  <c r="AM2999" i="4"/>
  <c r="AM3165" i="4"/>
  <c r="AM3171" i="4"/>
  <c r="AD117" i="23"/>
  <c r="AM3002" i="4"/>
  <c r="AL113" i="23"/>
  <c r="AM3263" i="4"/>
  <c r="AM3068" i="4"/>
  <c r="AM3148" i="4"/>
  <c r="AG117" i="23"/>
  <c r="AM2981" i="4"/>
  <c r="AM3083" i="4"/>
  <c r="AM3185" i="4"/>
  <c r="AM3231" i="4"/>
  <c r="AM3101" i="4"/>
  <c r="AM2967" i="4"/>
  <c r="AM3019" i="4"/>
  <c r="AM3020" i="4"/>
  <c r="AM3306" i="4"/>
  <c r="AM3024" i="4"/>
  <c r="AM3052" i="4"/>
  <c r="AM3283" i="4"/>
  <c r="AM3195" i="4"/>
  <c r="AM3146" i="4"/>
  <c r="AM3319" i="4"/>
  <c r="AM2962" i="4"/>
  <c r="AM3186" i="4"/>
  <c r="AM3072" i="4"/>
  <c r="AM3163" i="4"/>
  <c r="AM3025" i="4"/>
  <c r="AM2996" i="4"/>
  <c r="AM3158" i="4"/>
  <c r="AM3279" i="4"/>
  <c r="AM3134" i="4"/>
  <c r="AM3273" i="4"/>
  <c r="AM3312" i="4"/>
  <c r="AM3124" i="4"/>
  <c r="AM3298" i="4"/>
  <c r="AM3069" i="4"/>
  <c r="AM3301" i="4"/>
  <c r="AM3108" i="4"/>
  <c r="AK114" i="23"/>
  <c r="AM3232" i="4"/>
  <c r="AM3086" i="4"/>
  <c r="AM3278" i="4"/>
  <c r="AM3197" i="4"/>
  <c r="AM3099" i="4"/>
  <c r="AM3267" i="4"/>
  <c r="AM2965" i="4"/>
  <c r="AM3008" i="4"/>
  <c r="AM3106" i="4"/>
  <c r="AM3201" i="4"/>
  <c r="AM2987" i="4"/>
  <c r="AM3122" i="4"/>
  <c r="AM3259" i="4"/>
  <c r="AM3317" i="4"/>
  <c r="AI116" i="23"/>
  <c r="AM2969" i="4"/>
  <c r="AM3131" i="4"/>
  <c r="AM3308" i="4"/>
  <c r="AM3054" i="4"/>
  <c r="AM3284" i="4"/>
  <c r="AM3118" i="4"/>
  <c r="AM3087" i="4"/>
  <c r="AM2960" i="4"/>
  <c r="AM3004" i="4"/>
  <c r="AM3269" i="4"/>
  <c r="AM3258" i="4"/>
  <c r="AM3055" i="4"/>
  <c r="AM3181" i="4"/>
  <c r="AM3123" i="4"/>
  <c r="AM3111" i="4"/>
  <c r="AM3154" i="4"/>
  <c r="AM3174" i="4"/>
  <c r="AM3144" i="4"/>
  <c r="AM3159" i="4"/>
  <c r="AM3032" i="4"/>
  <c r="AM3192" i="4"/>
  <c r="AM3001" i="4"/>
  <c r="AM3125" i="4"/>
  <c r="AM2992" i="4"/>
  <c r="AM3255" i="4"/>
  <c r="AM3272" i="4"/>
  <c r="AM3161" i="4"/>
  <c r="AM3228" i="4"/>
  <c r="AM3200" i="4"/>
  <c r="AM2956" i="4"/>
  <c r="AM2995" i="4"/>
  <c r="AM3084" i="4"/>
  <c r="AM2977" i="4"/>
  <c r="AM3156" i="4"/>
  <c r="AM2983" i="4"/>
  <c r="AM3079" i="4"/>
  <c r="AM3179" i="4"/>
  <c r="AM3093" i="4"/>
  <c r="AM3285" i="4"/>
  <c r="AM3051" i="4"/>
  <c r="AM2991" i="4"/>
  <c r="AM3045" i="4"/>
  <c r="AJ115" i="23"/>
  <c r="AM3288" i="4"/>
  <c r="AM3056" i="4"/>
  <c r="AM2985" i="4"/>
  <c r="AM3264" i="4"/>
  <c r="AM3140" i="4"/>
  <c r="AM3281" i="4"/>
  <c r="AM3164" i="4"/>
  <c r="AM3299" i="4"/>
  <c r="AM3155" i="4"/>
  <c r="AM3235" i="4"/>
  <c r="AM3199" i="4"/>
  <c r="AM3071" i="4"/>
  <c r="AM3184" i="4"/>
  <c r="AM3006" i="4"/>
  <c r="AM3238" i="4"/>
  <c r="AM2955" i="4"/>
  <c r="AM3178" i="4"/>
  <c r="AM3216" i="4"/>
  <c r="AM3149" i="4"/>
  <c r="AM2979" i="4"/>
  <c r="AM3104" i="4"/>
  <c r="AM3204" i="4"/>
  <c r="AM3307" i="4"/>
  <c r="AM3130" i="4"/>
  <c r="AM3290" i="4"/>
  <c r="AM3078" i="4"/>
  <c r="AM2961" i="4"/>
  <c r="AM3011" i="4"/>
  <c r="AM3103" i="4"/>
  <c r="AM3292" i="4"/>
  <c r="AM3310" i="4"/>
  <c r="AM3085" i="4"/>
  <c r="AM3172" i="4"/>
  <c r="AM3160" i="4"/>
  <c r="AM3010" i="4"/>
  <c r="AM2974" i="4"/>
  <c r="AM3280" i="4"/>
  <c r="AM3143" i="4"/>
  <c r="AM3081" i="4"/>
  <c r="AM3198" i="4"/>
  <c r="AM2964" i="4"/>
  <c r="AM2971" i="4"/>
  <c r="AM3318" i="4"/>
  <c r="AM3088" i="4"/>
  <c r="AM3248" i="4"/>
  <c r="AM3091" i="4"/>
  <c r="AM3003" i="4"/>
  <c r="AM3304" i="4"/>
  <c r="AM3230" i="4"/>
  <c r="AM3092" i="4"/>
  <c r="AM3254" i="4"/>
  <c r="AM3139" i="4"/>
  <c r="AM3246" i="4"/>
  <c r="AM3129" i="4"/>
  <c r="AM3187" i="4"/>
  <c r="AM3151" i="4"/>
  <c r="AM3309" i="4"/>
  <c r="AM2957" i="4"/>
  <c r="AM3227" i="4"/>
  <c r="AM3222" i="4"/>
  <c r="AM3110" i="4"/>
  <c r="AM2978" i="4"/>
  <c r="AM3136" i="4"/>
  <c r="AM3096" i="4"/>
  <c r="AM3296" i="4"/>
  <c r="AM3114" i="4"/>
  <c r="AM3027" i="4"/>
  <c r="AM3189" i="4"/>
  <c r="AM3239" i="4"/>
  <c r="AM3152" i="4"/>
  <c r="AM3237" i="4"/>
  <c r="AM3191" i="4"/>
  <c r="AM3173" i="4"/>
  <c r="AM3241" i="4"/>
  <c r="AM2959" i="4"/>
  <c r="AM3170" i="4"/>
  <c r="AM3073" i="4"/>
  <c r="AM3029" i="4"/>
  <c r="AM3042" i="4"/>
  <c r="AM3193" i="4"/>
  <c r="AM3115" i="4"/>
  <c r="AM3295" i="4"/>
  <c r="AM3113" i="4"/>
  <c r="AM3057" i="4"/>
  <c r="AM2997" i="4"/>
  <c r="AM3314" i="4"/>
  <c r="AM3268" i="4"/>
  <c r="AM3175" i="4"/>
  <c r="AM3075" i="4"/>
  <c r="AH117" i="23"/>
  <c r="AM3183" i="4"/>
  <c r="AM3126" i="4"/>
  <c r="AM2976" i="4"/>
  <c r="AM3116" i="4"/>
  <c r="AM2984" i="4"/>
  <c r="AM3293" i="4"/>
  <c r="AM2988" i="4"/>
  <c r="AM3207" i="4"/>
  <c r="AM3157" i="4"/>
  <c r="AM3026" i="4"/>
  <c r="AM3141" i="4"/>
  <c r="AM3162" i="4"/>
  <c r="AM3034" i="4"/>
  <c r="AM3249" i="4"/>
  <c r="AM3169" i="4"/>
  <c r="AM2993" i="4"/>
  <c r="AM3028" i="4"/>
  <c r="AM3217" i="4"/>
  <c r="AM3196" i="4"/>
  <c r="AM3053" i="4"/>
  <c r="AM2980" i="4"/>
  <c r="AM3059" i="4"/>
  <c r="AM3033" i="4"/>
  <c r="AM3265" i="4"/>
  <c r="AM3305" i="4"/>
  <c r="AM3218" i="4"/>
  <c r="AM3233" i="4"/>
  <c r="AM3291" i="4"/>
  <c r="AM3036" i="4"/>
  <c r="AM3040" i="4"/>
  <c r="AM3016" i="4"/>
  <c r="AM3247" i="4"/>
  <c r="AM3243" i="4"/>
  <c r="AM3015" i="4"/>
  <c r="AM3188" i="4"/>
  <c r="AM3105" i="4"/>
  <c r="AM3286" i="4"/>
  <c r="AM3282" i="4"/>
  <c r="AM3044" i="4"/>
  <c r="AM2982" i="4"/>
  <c r="AM3211" i="4"/>
  <c r="AM3133" i="4"/>
  <c r="AM3212" i="4"/>
  <c r="AM3097" i="4"/>
  <c r="AM3234" i="4"/>
  <c r="AM3287" i="4"/>
  <c r="AM3194" i="4"/>
  <c r="AM3271" i="4"/>
  <c r="AM3047" i="4"/>
  <c r="AM3220" i="4"/>
  <c r="AM3274" i="4"/>
  <c r="AM2975" i="4"/>
  <c r="AM3252" i="4"/>
  <c r="AM3043" i="4"/>
  <c r="AM3289" i="4"/>
  <c r="AM3021" i="4"/>
  <c r="AM3094" i="4"/>
  <c r="AM3315" i="4"/>
  <c r="AM2989" i="4"/>
  <c r="AM3229" i="4"/>
  <c r="AM3067" i="4"/>
  <c r="AM2986" i="4"/>
  <c r="AM3182" i="4"/>
  <c r="AM3142" i="4"/>
  <c r="AM2972" i="4"/>
  <c r="AM3082" i="4"/>
  <c r="AM3137" i="4"/>
  <c r="AM3095" i="4"/>
  <c r="AM3208" i="4"/>
  <c r="AM3107" i="4"/>
  <c r="AM3138" i="4"/>
  <c r="AM3037" i="4"/>
  <c r="AM3038" i="4"/>
  <c r="AM3277" i="4"/>
  <c r="AM3213" i="4"/>
  <c r="AM3215" i="4"/>
  <c r="AM3261" i="4"/>
  <c r="AM3206" i="4"/>
  <c r="AM3009" i="4"/>
  <c r="AM3089" i="4"/>
  <c r="AM3226" i="4"/>
  <c r="AM3153" i="4"/>
  <c r="AM2963" i="4"/>
  <c r="AM3262" i="4"/>
  <c r="AM3046" i="4"/>
  <c r="AM3203" i="4"/>
  <c r="AM3242" i="4"/>
  <c r="AM2973" i="4"/>
  <c r="AM3049" i="4"/>
  <c r="AM3048" i="4"/>
  <c r="AM3128" i="4"/>
  <c r="AM3311" i="4"/>
  <c r="AM3221" i="4"/>
  <c r="AM3109" i="4"/>
  <c r="AM3007" i="4"/>
  <c r="AM3245" i="4"/>
  <c r="AM3058" i="4"/>
  <c r="AM3297" i="4"/>
  <c r="AM3041" i="4"/>
  <c r="AM3070" i="4"/>
  <c r="AM3313" i="4"/>
  <c r="AM2966" i="4"/>
  <c r="AM3224" i="4"/>
  <c r="AM3062" i="4"/>
  <c r="AM3135" i="4"/>
  <c r="AF117" i="23"/>
  <c r="AM3132" i="4"/>
  <c r="AM3023" i="4"/>
  <c r="AM3168" i="4"/>
  <c r="AE117" i="23"/>
  <c r="AM3266" i="4"/>
  <c r="AM3064" i="4"/>
  <c r="AM3039" i="4"/>
  <c r="AM3275" i="4"/>
  <c r="AM3236" i="4"/>
  <c r="AM3031" i="4"/>
  <c r="AM3013" i="4"/>
  <c r="AM3147" i="4"/>
  <c r="AM3098" i="4"/>
  <c r="AM3176" i="4"/>
  <c r="AM3244" i="4"/>
  <c r="AM2998" i="4"/>
  <c r="AM3063" i="4"/>
  <c r="AN3305" i="4" l="1"/>
  <c r="AN3317" i="4"/>
  <c r="AN3313" i="4"/>
  <c r="AN3301" i="4"/>
  <c r="AN3267" i="4"/>
  <c r="AN3234" i="4"/>
  <c r="AN3201" i="4"/>
  <c r="AN3168" i="4"/>
  <c r="AN3135" i="4"/>
  <c r="AN3102" i="4"/>
  <c r="AN3069" i="4"/>
  <c r="AN3036" i="4"/>
  <c r="AN3003" i="4"/>
  <c r="AN2969" i="4"/>
  <c r="AN3296" i="4"/>
  <c r="AN3263" i="4"/>
  <c r="AN3230" i="4"/>
  <c r="AN3197" i="4"/>
  <c r="AN3164" i="4"/>
  <c r="AN3131" i="4"/>
  <c r="AN3098" i="4"/>
  <c r="AN3065" i="4"/>
  <c r="AN3032" i="4"/>
  <c r="AN2998" i="4"/>
  <c r="AN2965" i="4"/>
  <c r="AN3205" i="4"/>
  <c r="AN3106" i="4"/>
  <c r="AN2974" i="4"/>
  <c r="AN3319" i="4"/>
  <c r="AN3316" i="4"/>
  <c r="AN3312" i="4"/>
  <c r="AN3292" i="4"/>
  <c r="AN3259" i="4"/>
  <c r="AN3226" i="4"/>
  <c r="AN3193" i="4"/>
  <c r="AN3160" i="4"/>
  <c r="AN3127" i="4"/>
  <c r="AN3094" i="4"/>
  <c r="AN3061" i="4"/>
  <c r="AN3027" i="4"/>
  <c r="AN2994" i="4"/>
  <c r="AN2961" i="4"/>
  <c r="AN3238" i="4"/>
  <c r="AN3007" i="4"/>
  <c r="AN3288" i="4"/>
  <c r="AN3255" i="4"/>
  <c r="AN3222" i="4"/>
  <c r="AN3189" i="4"/>
  <c r="AN3156" i="4"/>
  <c r="AN3123" i="4"/>
  <c r="AN3089" i="4"/>
  <c r="AN3056" i="4"/>
  <c r="AN3023" i="4"/>
  <c r="AN2990" i="4"/>
  <c r="AN2957" i="4"/>
  <c r="AN3139" i="4"/>
  <c r="AN3315" i="4"/>
  <c r="AN3311" i="4"/>
  <c r="AN3284" i="4"/>
  <c r="AN3251" i="4"/>
  <c r="AN3218" i="4"/>
  <c r="AN3185" i="4"/>
  <c r="AN3152" i="4"/>
  <c r="AN3118" i="4"/>
  <c r="AN3085" i="4"/>
  <c r="AN3052" i="4"/>
  <c r="AN3019" i="4"/>
  <c r="AN2986" i="4"/>
  <c r="AN3280" i="4"/>
  <c r="AN3247" i="4"/>
  <c r="AN3214" i="4"/>
  <c r="AN3181" i="4"/>
  <c r="AN3147" i="4"/>
  <c r="AN3114" i="4"/>
  <c r="AN3081" i="4"/>
  <c r="AN3048" i="4"/>
  <c r="AN3015" i="4"/>
  <c r="AN2982" i="4"/>
  <c r="AN3172" i="4"/>
  <c r="AN3073" i="4"/>
  <c r="AN3318" i="4"/>
  <c r="AN3314" i="4"/>
  <c r="AN3309" i="4"/>
  <c r="AN3276" i="4"/>
  <c r="AN3243" i="4"/>
  <c r="AN3209" i="4"/>
  <c r="AN3176" i="4"/>
  <c r="AN3143" i="4"/>
  <c r="AN3110" i="4"/>
  <c r="AN3077" i="4"/>
  <c r="AN3044" i="4"/>
  <c r="AN3011" i="4"/>
  <c r="AN2978" i="4"/>
  <c r="AN3272" i="4"/>
  <c r="AN3040" i="4"/>
  <c r="AN3308" i="4"/>
  <c r="AN3304" i="4"/>
  <c r="AN3299" i="4"/>
  <c r="AN3295" i="4"/>
  <c r="AN3291" i="4"/>
  <c r="AN3287" i="4"/>
  <c r="AN3283" i="4"/>
  <c r="AN3279" i="4"/>
  <c r="AN3275" i="4"/>
  <c r="AN3271" i="4"/>
  <c r="AN3266" i="4"/>
  <c r="AN3262" i="4"/>
  <c r="AN3258" i="4"/>
  <c r="AN3254" i="4"/>
  <c r="AN3250" i="4"/>
  <c r="AN3246" i="4"/>
  <c r="AN3242" i="4"/>
  <c r="AN3237" i="4"/>
  <c r="AN3233" i="4"/>
  <c r="AN3229" i="4"/>
  <c r="AN3225" i="4"/>
  <c r="AN3221" i="4"/>
  <c r="AN3217" i="4"/>
  <c r="AN3213" i="4"/>
  <c r="AN3208" i="4"/>
  <c r="AN3204" i="4"/>
  <c r="AN3200" i="4"/>
  <c r="AN3196" i="4"/>
  <c r="AN3192" i="4"/>
  <c r="AN3188" i="4"/>
  <c r="AN3184" i="4"/>
  <c r="AN3179" i="4"/>
  <c r="AN3175" i="4"/>
  <c r="AN3171" i="4"/>
  <c r="AN3167" i="4"/>
  <c r="AN3163" i="4"/>
  <c r="AN3159" i="4"/>
  <c r="AN3155" i="4"/>
  <c r="AN3151" i="4"/>
  <c r="AN3146" i="4"/>
  <c r="AN3142" i="4"/>
  <c r="AN3138" i="4"/>
  <c r="AN3134" i="4"/>
  <c r="AN3130" i="4"/>
  <c r="AN3126" i="4"/>
  <c r="AN3122" i="4"/>
  <c r="AN3117" i="4"/>
  <c r="AN3113" i="4"/>
  <c r="AN3109" i="4"/>
  <c r="AN3105" i="4"/>
  <c r="AN3101" i="4"/>
  <c r="AN3097" i="4"/>
  <c r="AN3093" i="4"/>
  <c r="AN3088" i="4"/>
  <c r="AN3084" i="4"/>
  <c r="AN3080" i="4"/>
  <c r="AN3076" i="4"/>
  <c r="AN3072" i="4"/>
  <c r="AN3068" i="4"/>
  <c r="AN3064" i="4"/>
  <c r="AN3059" i="4"/>
  <c r="AN3055" i="4"/>
  <c r="AN3051" i="4"/>
  <c r="AN3047" i="4"/>
  <c r="AN3043" i="4"/>
  <c r="AN3039" i="4"/>
  <c r="AN3035" i="4"/>
  <c r="AN3031" i="4"/>
  <c r="AN3026" i="4"/>
  <c r="AN3022" i="4"/>
  <c r="AN3018" i="4"/>
  <c r="AN3014" i="4"/>
  <c r="AN3010" i="4"/>
  <c r="AN3006" i="4"/>
  <c r="AN3002" i="4"/>
  <c r="AN2997" i="4"/>
  <c r="AN2993" i="4"/>
  <c r="AN2989" i="4"/>
  <c r="AN2985" i="4"/>
  <c r="AN2981" i="4"/>
  <c r="AN2977" i="4"/>
  <c r="AN2973" i="4"/>
  <c r="AN2968" i="4"/>
  <c r="AN2964" i="4"/>
  <c r="AN2960" i="4"/>
  <c r="AN2956" i="4"/>
  <c r="AN3307" i="4"/>
  <c r="AN3303" i="4"/>
  <c r="AN3298" i="4"/>
  <c r="AN3294" i="4"/>
  <c r="AN3290" i="4"/>
  <c r="AN3286" i="4"/>
  <c r="AN3282" i="4"/>
  <c r="AN3278" i="4"/>
  <c r="AN3274" i="4"/>
  <c r="AN3269" i="4"/>
  <c r="AN3265" i="4"/>
  <c r="AN3261" i="4"/>
  <c r="AN3257" i="4"/>
  <c r="AN3253" i="4"/>
  <c r="AN3249" i="4"/>
  <c r="AN3245" i="4"/>
  <c r="AN3241" i="4"/>
  <c r="AN3236" i="4"/>
  <c r="AN3232" i="4"/>
  <c r="AN3228" i="4"/>
  <c r="AN3224" i="4"/>
  <c r="AN3220" i="4"/>
  <c r="AN3216" i="4"/>
  <c r="AN3212" i="4"/>
  <c r="AN3207" i="4"/>
  <c r="AN3203" i="4"/>
  <c r="AN3199" i="4"/>
  <c r="AN3195" i="4"/>
  <c r="AN3191" i="4"/>
  <c r="AN3187" i="4"/>
  <c r="AN3183" i="4"/>
  <c r="AN3178" i="4"/>
  <c r="AN3174" i="4"/>
  <c r="AN3170" i="4"/>
  <c r="AN3166" i="4"/>
  <c r="AN3162" i="4"/>
  <c r="AN3158" i="4"/>
  <c r="AN3154" i="4"/>
  <c r="AN3149" i="4"/>
  <c r="AN3145" i="4"/>
  <c r="AN3141" i="4"/>
  <c r="AN3137" i="4"/>
  <c r="AN3133" i="4"/>
  <c r="AN3129" i="4"/>
  <c r="AN3125" i="4"/>
  <c r="AN3121" i="4"/>
  <c r="AN3116" i="4"/>
  <c r="AN3112" i="4"/>
  <c r="AN3108" i="4"/>
  <c r="AN3104" i="4"/>
  <c r="AN3100" i="4"/>
  <c r="AN3096" i="4"/>
  <c r="AN3092" i="4"/>
  <c r="AN3087" i="4"/>
  <c r="AN3083" i="4"/>
  <c r="AN3079" i="4"/>
  <c r="AN3075" i="4"/>
  <c r="AN3071" i="4"/>
  <c r="AN3067" i="4"/>
  <c r="AN3063" i="4"/>
  <c r="AN3058" i="4"/>
  <c r="AN3054" i="4"/>
  <c r="AN3050" i="4"/>
  <c r="AN3046" i="4"/>
  <c r="AN3042" i="4"/>
  <c r="AN3038" i="4"/>
  <c r="AN3034" i="4"/>
  <c r="AN3029" i="4"/>
  <c r="AN3025" i="4"/>
  <c r="AN3021" i="4"/>
  <c r="AN3017" i="4"/>
  <c r="AN3013" i="4"/>
  <c r="AN3009" i="4"/>
  <c r="AN3005" i="4"/>
  <c r="AN3001" i="4"/>
  <c r="AN2996" i="4"/>
  <c r="AN2992" i="4"/>
  <c r="AN2988" i="4"/>
  <c r="AN2984" i="4"/>
  <c r="AN2980" i="4"/>
  <c r="AN2976" i="4"/>
  <c r="AN2972" i="4"/>
  <c r="AN2967" i="4"/>
  <c r="AN2963" i="4"/>
  <c r="AN2959" i="4"/>
  <c r="AN2955" i="4"/>
  <c r="AN3310" i="4"/>
  <c r="AN3306" i="4"/>
  <c r="AN3302" i="4"/>
  <c r="AN3297" i="4"/>
  <c r="AN3293" i="4"/>
  <c r="AN3289" i="4"/>
  <c r="AN3285" i="4"/>
  <c r="AN3281" i="4"/>
  <c r="AN3277" i="4"/>
  <c r="AN3273" i="4"/>
  <c r="AN3268" i="4"/>
  <c r="AN3264" i="4"/>
  <c r="AN3260" i="4"/>
  <c r="AN3256" i="4"/>
  <c r="AN3252" i="4"/>
  <c r="AN3248" i="4"/>
  <c r="AN3244" i="4"/>
  <c r="AN3239" i="4"/>
  <c r="AN3235" i="4"/>
  <c r="AN3231" i="4"/>
  <c r="AN3227" i="4"/>
  <c r="AN3223" i="4"/>
  <c r="AN3219" i="4"/>
  <c r="AN3215" i="4"/>
  <c r="AN3211" i="4"/>
  <c r="AN3206" i="4"/>
  <c r="AN3202" i="4"/>
  <c r="AN3198" i="4"/>
  <c r="AN3194" i="4"/>
  <c r="AN3190" i="4"/>
  <c r="AN3186" i="4"/>
  <c r="AN3182" i="4"/>
  <c r="AN3177" i="4"/>
  <c r="AN3173" i="4"/>
  <c r="AN3169" i="4"/>
  <c r="AN3165" i="4"/>
  <c r="AN3161" i="4"/>
  <c r="AN3157" i="4"/>
  <c r="AN3153" i="4"/>
  <c r="AN3148" i="4"/>
  <c r="AN3144" i="4"/>
  <c r="AN3140" i="4"/>
  <c r="AN3136" i="4"/>
  <c r="AN3132" i="4"/>
  <c r="AN3128" i="4"/>
  <c r="AN3124" i="4"/>
  <c r="AN3119" i="4"/>
  <c r="AN3115" i="4"/>
  <c r="AN3111" i="4"/>
  <c r="AN3107" i="4"/>
  <c r="AN3103" i="4"/>
  <c r="AN3099" i="4"/>
  <c r="AN3095" i="4"/>
  <c r="AN3091" i="4"/>
  <c r="AN3086" i="4"/>
  <c r="AN3082" i="4"/>
  <c r="AN3078" i="4"/>
  <c r="AN3074" i="4"/>
  <c r="AN3070" i="4"/>
  <c r="AN3066" i="4"/>
  <c r="AN3062" i="4"/>
  <c r="AN3057" i="4"/>
  <c r="AN3053" i="4"/>
  <c r="AN3049" i="4"/>
  <c r="AN3045" i="4"/>
  <c r="AN3041" i="4"/>
  <c r="AN3037" i="4"/>
  <c r="AN3033" i="4"/>
  <c r="AN3028" i="4"/>
  <c r="AN3024" i="4"/>
  <c r="AN3020" i="4"/>
  <c r="AN3016" i="4"/>
  <c r="AN3012" i="4"/>
  <c r="AN3008" i="4"/>
  <c r="AN3004" i="4"/>
  <c r="AN2999" i="4"/>
  <c r="AN2995" i="4"/>
  <c r="AN2991" i="4"/>
  <c r="AN2987" i="4"/>
  <c r="AN2983" i="4"/>
  <c r="AN2979" i="4"/>
  <c r="AN2975" i="4"/>
  <c r="AN2971" i="4"/>
  <c r="AN2966" i="4"/>
  <c r="AN2962" i="4"/>
  <c r="AN2958" i="4"/>
  <c r="Q58" i="23"/>
  <c r="AE134" i="23"/>
  <c r="Q75" i="23" s="1"/>
  <c r="AL130" i="23"/>
  <c r="X71" i="23" s="1"/>
  <c r="X54" i="23"/>
  <c r="AD134" i="23"/>
  <c r="P75" i="23" s="1"/>
  <c r="P58" i="23"/>
  <c r="AK131" i="23"/>
  <c r="W72" i="23" s="1"/>
  <c r="W55" i="23"/>
  <c r="V56" i="23"/>
  <c r="AJ132" i="23"/>
  <c r="V73" i="23" s="1"/>
  <c r="AH134" i="23"/>
  <c r="T75" i="23" s="1"/>
  <c r="T58" i="23"/>
  <c r="AC135" i="23"/>
  <c r="O76" i="23" s="1"/>
  <c r="O59" i="23"/>
  <c r="AG134" i="23"/>
  <c r="S75" i="23" s="1"/>
  <c r="S58" i="23"/>
  <c r="U57" i="23"/>
  <c r="AI133" i="23"/>
  <c r="U74" i="23" s="1"/>
  <c r="AF134" i="23"/>
  <c r="R75" i="23" s="1"/>
  <c r="R58" i="23"/>
  <c r="AD78" i="23"/>
  <c r="AF78" i="23" s="1"/>
  <c r="AM3619" i="4"/>
  <c r="AM3333" i="4"/>
  <c r="AM3509" i="4"/>
  <c r="AM3634" i="4"/>
  <c r="AM3505" i="4"/>
  <c r="AJ116" i="23"/>
  <c r="AM3594" i="4"/>
  <c r="AM3481" i="4"/>
  <c r="AM3661" i="4"/>
  <c r="AM3494" i="4"/>
  <c r="AM3526" i="4"/>
  <c r="AM3596" i="4"/>
  <c r="AM3615" i="4"/>
  <c r="AM3683" i="4"/>
  <c r="AM3645" i="4"/>
  <c r="AM3448" i="4"/>
  <c r="AM3637" i="4"/>
  <c r="AM3649" i="4"/>
  <c r="AM3514" i="4"/>
  <c r="AM3408" i="4"/>
  <c r="AM3398" i="4"/>
  <c r="AM3647" i="4"/>
  <c r="AM3567" i="4"/>
  <c r="AM3349" i="4"/>
  <c r="AM3625" i="4"/>
  <c r="AM3419" i="4"/>
  <c r="AM3498" i="4"/>
  <c r="AM3374" i="4"/>
  <c r="AM3532" i="4"/>
  <c r="AM3366" i="4"/>
  <c r="AM3652" i="4"/>
  <c r="AM3527" i="4"/>
  <c r="AM3534" i="4"/>
  <c r="AM3559" i="4"/>
  <c r="AM3400" i="4"/>
  <c r="AM3623" i="4"/>
  <c r="AM3648" i="4"/>
  <c r="AM3614" i="4"/>
  <c r="AM3517" i="4"/>
  <c r="AM3657" i="4"/>
  <c r="AM3455" i="4"/>
  <c r="AM3428" i="4"/>
  <c r="AM3542" i="4"/>
  <c r="AM3599" i="4"/>
  <c r="AM3397" i="4"/>
  <c r="AM3565" i="4"/>
  <c r="AM3633" i="4"/>
  <c r="AM3427" i="4"/>
  <c r="AM3445" i="4"/>
  <c r="AM3578" i="4"/>
  <c r="AM3605" i="4"/>
  <c r="AM3524" i="4"/>
  <c r="AM3375" i="4"/>
  <c r="AM3577" i="4"/>
  <c r="AM3669" i="4"/>
  <c r="AM3571" i="4"/>
  <c r="AM3430" i="4"/>
  <c r="AG118" i="23"/>
  <c r="AM3340" i="4"/>
  <c r="AM3523" i="4"/>
  <c r="AM3560" i="4"/>
  <c r="AM3394" i="4"/>
  <c r="AM3470" i="4"/>
  <c r="AM3323" i="4"/>
  <c r="AM3320" i="4"/>
  <c r="AM3487" i="4"/>
  <c r="AM3617" i="4"/>
  <c r="AM3381" i="4"/>
  <c r="AM3579" i="4"/>
  <c r="AM3403" i="4"/>
  <c r="AM3552" i="4"/>
  <c r="AM3546" i="4"/>
  <c r="AM3675" i="4"/>
  <c r="AM3335" i="4"/>
  <c r="AM3603" i="4"/>
  <c r="AM3628" i="4"/>
  <c r="AM3462" i="4"/>
  <c r="AM3415" i="4"/>
  <c r="AM3355" i="4"/>
  <c r="AM3458" i="4"/>
  <c r="AM3378" i="4"/>
  <c r="AM3590" i="4"/>
  <c r="AM3536" i="4"/>
  <c r="AM3616" i="4"/>
  <c r="AM3499" i="4"/>
  <c r="AM3446" i="4"/>
  <c r="AM3467" i="4"/>
  <c r="AM3522" i="4"/>
  <c r="AM3490" i="4"/>
  <c r="AM3659" i="4"/>
  <c r="AM3597" i="4"/>
  <c r="AM3344" i="4"/>
  <c r="AM3353" i="4"/>
  <c r="AM3654" i="4"/>
  <c r="AM3507" i="4"/>
  <c r="AM3667" i="4"/>
  <c r="AM3642" i="4"/>
  <c r="AM3551" i="4"/>
  <c r="AM3589" i="4"/>
  <c r="AM3484" i="4"/>
  <c r="AM3581" i="4"/>
  <c r="AM3409" i="4"/>
  <c r="AM3513" i="4"/>
  <c r="AM3410" i="4"/>
  <c r="AM3558" i="4"/>
  <c r="AM3639" i="4"/>
  <c r="AM3399" i="4"/>
  <c r="AM3385" i="4"/>
  <c r="AM3464" i="4"/>
  <c r="AM3539" i="4"/>
  <c r="AM3572" i="4"/>
  <c r="AM3673" i="4"/>
  <c r="AM3641" i="4"/>
  <c r="AM3575" i="4"/>
  <c r="AM3373" i="4"/>
  <c r="AM3591" i="4"/>
  <c r="AM3668" i="4"/>
  <c r="AF118" i="23"/>
  <c r="AM3346" i="4"/>
  <c r="AM3635" i="4"/>
  <c r="AM3377" i="4"/>
  <c r="AM3339" i="4"/>
  <c r="AM3493" i="4"/>
  <c r="AM3492" i="4"/>
  <c r="AM3573" i="4"/>
  <c r="AM3556" i="4"/>
  <c r="AM3461" i="4"/>
  <c r="AM3566" i="4"/>
  <c r="AM3426" i="4"/>
  <c r="AM3425" i="4"/>
  <c r="AM3679" i="4"/>
  <c r="AM3602" i="4"/>
  <c r="AM3516" i="4"/>
  <c r="AM3328" i="4"/>
  <c r="AM3611" i="4"/>
  <c r="AM3557" i="4"/>
  <c r="AM3383" i="4"/>
  <c r="AM3653" i="4"/>
  <c r="AM3341" i="4"/>
  <c r="AD118" i="23"/>
  <c r="AM3429" i="4"/>
  <c r="AK115" i="23"/>
  <c r="AM3561" i="4"/>
  <c r="AM3655" i="4"/>
  <c r="AM3582" i="4"/>
  <c r="AM3376" i="4"/>
  <c r="AM3332" i="4"/>
  <c r="AM3489" i="4"/>
  <c r="AM3444" i="4"/>
  <c r="AM3601" i="4"/>
  <c r="AM3520" i="4"/>
  <c r="AM3519" i="4"/>
  <c r="AM3460" i="4"/>
  <c r="AM3424" i="4"/>
  <c r="AM3607" i="4"/>
  <c r="AM3643" i="4"/>
  <c r="AM3417" i="4"/>
  <c r="AM3327" i="4"/>
  <c r="AM3610" i="4"/>
  <c r="AM3622" i="4"/>
  <c r="AM3548" i="4"/>
  <c r="AM3368" i="4"/>
  <c r="AM3541" i="4"/>
  <c r="AM3418" i="4"/>
  <c r="AM3588" i="4"/>
  <c r="AM3329" i="4"/>
  <c r="AM3404" i="4"/>
  <c r="AM3680" i="4"/>
  <c r="AM3564" i="4"/>
  <c r="AM3414" i="4"/>
  <c r="AM3476" i="4"/>
  <c r="AH118" i="23"/>
  <c r="AM3379" i="4"/>
  <c r="AM3658" i="4"/>
  <c r="AM3369" i="4"/>
  <c r="AM3497" i="4"/>
  <c r="AM3359" i="4"/>
  <c r="AM3650" i="4"/>
  <c r="AM3563" i="4"/>
  <c r="AM3412" i="4"/>
  <c r="AM3463" i="4"/>
  <c r="AM3436" i="4"/>
  <c r="AM3437" i="4"/>
  <c r="AM3387" i="4"/>
  <c r="AM3372" i="4"/>
  <c r="AM3550" i="4"/>
  <c r="AM3452" i="4"/>
  <c r="AM3364" i="4"/>
  <c r="AM3530" i="4"/>
  <c r="AM3592" i="4"/>
  <c r="AM3538" i="4"/>
  <c r="AM3435" i="4"/>
  <c r="AM3471" i="4"/>
  <c r="AE118" i="23"/>
  <c r="AM3543" i="4"/>
  <c r="AM3562" i="4"/>
  <c r="AM3677" i="4"/>
  <c r="AM3474" i="4"/>
  <c r="AM3544" i="4"/>
  <c r="AM3593" i="4"/>
  <c r="AM3584" i="4"/>
  <c r="AM3568" i="4"/>
  <c r="AM3583" i="4"/>
  <c r="AM3421" i="4"/>
  <c r="AM3389" i="4"/>
  <c r="AM3660" i="4"/>
  <c r="AM3491" i="4"/>
  <c r="AM3503" i="4"/>
  <c r="AM3620" i="4"/>
  <c r="AM3501" i="4"/>
  <c r="AM3457" i="4"/>
  <c r="AM3401" i="4"/>
  <c r="AM3395" i="4"/>
  <c r="AM3451" i="4"/>
  <c r="AM3342" i="4"/>
  <c r="AM3449" i="4"/>
  <c r="AM3407" i="4"/>
  <c r="AM3651" i="4"/>
  <c r="AM3504" i="4"/>
  <c r="AM3488" i="4"/>
  <c r="AM3629" i="4"/>
  <c r="AM3483" i="4"/>
  <c r="AM3576" i="4"/>
  <c r="AM3473" i="4"/>
  <c r="AM3518" i="4"/>
  <c r="AM3337" i="4"/>
  <c r="AM3325" i="4"/>
  <c r="AM3608" i="4"/>
  <c r="AM3468" i="4"/>
  <c r="AM3351" i="4"/>
  <c r="AM3432" i="4"/>
  <c r="AM3321" i="4"/>
  <c r="AM3670" i="4"/>
  <c r="AM3453" i="4"/>
  <c r="AM3678" i="4"/>
  <c r="AM3485" i="4"/>
  <c r="AM3554" i="4"/>
  <c r="AM3624" i="4"/>
  <c r="AM3646" i="4"/>
  <c r="AM3681" i="4"/>
  <c r="AM3529" i="4"/>
  <c r="AM3358" i="4"/>
  <c r="AM3638" i="4"/>
  <c r="AM3640" i="4"/>
  <c r="AM3475" i="4"/>
  <c r="AM3612" i="4"/>
  <c r="AM3674" i="4"/>
  <c r="AM3664" i="4"/>
  <c r="AM3482" i="4"/>
  <c r="AM3465" i="4"/>
  <c r="AM3606" i="4"/>
  <c r="AM3416" i="4"/>
  <c r="AM3343" i="4"/>
  <c r="AC119" i="23"/>
  <c r="AM3386" i="4"/>
  <c r="AM3331" i="4"/>
  <c r="AM3439" i="4"/>
  <c r="AM3478" i="4"/>
  <c r="AM3338" i="4"/>
  <c r="AM3396" i="4"/>
  <c r="AM3477" i="4"/>
  <c r="AM3361" i="4"/>
  <c r="AM3631" i="4"/>
  <c r="AM3580" i="4"/>
  <c r="AM3382" i="4"/>
  <c r="AM3609" i="4"/>
  <c r="AM3393" i="4"/>
  <c r="AM3545" i="4"/>
  <c r="AM3347" i="4"/>
  <c r="AM3423" i="4"/>
  <c r="AM3525" i="4"/>
  <c r="AM3350" i="4"/>
  <c r="AM3666" i="4"/>
  <c r="AM3380" i="4"/>
  <c r="AM3515" i="4"/>
  <c r="AM3334" i="4"/>
  <c r="AM3370" i="4"/>
  <c r="AM3663" i="4"/>
  <c r="AM3547" i="4"/>
  <c r="AM3357" i="4"/>
  <c r="AM3502" i="4"/>
  <c r="AM3595" i="4"/>
  <c r="AM3440" i="4"/>
  <c r="AM3466" i="4"/>
  <c r="AM3671" i="4"/>
  <c r="AM3352" i="4"/>
  <c r="AM3511" i="4"/>
  <c r="AM3604" i="4"/>
  <c r="AM3585" i="4"/>
  <c r="AM3555" i="4"/>
  <c r="AM3613" i="4"/>
  <c r="AM3384" i="4"/>
  <c r="AM3356" i="4"/>
  <c r="AM3354" i="4"/>
  <c r="AM3553" i="4"/>
  <c r="AM3406" i="4"/>
  <c r="AM3535" i="4"/>
  <c r="AM3402" i="4"/>
  <c r="AM3549" i="4"/>
  <c r="AM3531" i="4"/>
  <c r="AM3665" i="4"/>
  <c r="AM3574" i="4"/>
  <c r="AM3422" i="4"/>
  <c r="AM3537" i="4"/>
  <c r="AM3508" i="4"/>
  <c r="AM3618" i="4"/>
  <c r="AM3348" i="4"/>
  <c r="AM3479" i="4"/>
  <c r="AM3626" i="4"/>
  <c r="AM3656" i="4"/>
  <c r="AM3391" i="4"/>
  <c r="AM3454" i="4"/>
  <c r="AM3363" i="4"/>
  <c r="AM3447" i="4"/>
  <c r="AI117" i="23"/>
  <c r="AM3621" i="4"/>
  <c r="AM3367" i="4"/>
  <c r="AM3676" i="4"/>
  <c r="AM3431" i="4"/>
  <c r="AM3500" i="4"/>
  <c r="AM3438" i="4"/>
  <c r="AM3443" i="4"/>
  <c r="AM3413" i="4"/>
  <c r="AM3388" i="4"/>
  <c r="AM3362" i="4"/>
  <c r="AM3486" i="4"/>
  <c r="AM3324" i="4"/>
  <c r="AM3496" i="4"/>
  <c r="AM3456" i="4"/>
  <c r="AM3684" i="4"/>
  <c r="AM3365" i="4"/>
  <c r="AM3569" i="4"/>
  <c r="AM3533" i="4"/>
  <c r="AM3636" i="4"/>
  <c r="AM3392" i="4"/>
  <c r="AM3586" i="4"/>
  <c r="AL114" i="23"/>
  <c r="AM3472" i="4"/>
  <c r="AM3644" i="4"/>
  <c r="AM3322" i="4"/>
  <c r="AM3506" i="4"/>
  <c r="AM3411" i="4"/>
  <c r="AM3469" i="4"/>
  <c r="AM3495" i="4"/>
  <c r="AM3672" i="4"/>
  <c r="AM3459" i="4"/>
  <c r="AM3405" i="4"/>
  <c r="AM3528" i="4"/>
  <c r="AM3632" i="4"/>
  <c r="AM3662" i="4"/>
  <c r="AM3434" i="4"/>
  <c r="AM3326" i="4"/>
  <c r="AM3371" i="4"/>
  <c r="AM3587" i="4"/>
  <c r="AM3336" i="4"/>
  <c r="AM3442" i="4"/>
  <c r="AM3627" i="4"/>
  <c r="AM3441" i="4"/>
  <c r="AM3345" i="4"/>
  <c r="AM3521" i="4"/>
  <c r="AM3598" i="4"/>
  <c r="AM3682" i="4"/>
  <c r="AM3433" i="4"/>
  <c r="AM3512" i="4"/>
  <c r="AN3627" i="4" l="1"/>
  <c r="AN3678" i="4"/>
  <c r="AN3528" i="4"/>
  <c r="AN3656" i="4"/>
  <c r="AN3623" i="4"/>
  <c r="AN3590" i="4"/>
  <c r="AN3557" i="4"/>
  <c r="AN3524" i="4"/>
  <c r="AN3491" i="4"/>
  <c r="AN3458" i="4"/>
  <c r="AN3425" i="4"/>
  <c r="AN3392" i="4"/>
  <c r="AN3358" i="4"/>
  <c r="AN3325" i="4"/>
  <c r="AN3674" i="4"/>
  <c r="AN3462" i="4"/>
  <c r="AN3681" i="4"/>
  <c r="AN3677" i="4"/>
  <c r="AN3673" i="4"/>
  <c r="AN3652" i="4"/>
  <c r="AN3619" i="4"/>
  <c r="AN3586" i="4"/>
  <c r="AN3553" i="4"/>
  <c r="AN3520" i="4"/>
  <c r="AN3487" i="4"/>
  <c r="AN3454" i="4"/>
  <c r="AN3421" i="4"/>
  <c r="AN3387" i="4"/>
  <c r="AN3354" i="4"/>
  <c r="AN3321" i="4"/>
  <c r="AN3495" i="4"/>
  <c r="AN3648" i="4"/>
  <c r="AN3615" i="4"/>
  <c r="AN3582" i="4"/>
  <c r="AN3549" i="4"/>
  <c r="AN3516" i="4"/>
  <c r="AN3483" i="4"/>
  <c r="AN3449" i="4"/>
  <c r="AN3416" i="4"/>
  <c r="AN3383" i="4"/>
  <c r="AN3350" i="4"/>
  <c r="AN3594" i="4"/>
  <c r="AN3329" i="4"/>
  <c r="AN3680" i="4"/>
  <c r="AN3676" i="4"/>
  <c r="AN3672" i="4"/>
  <c r="AN3644" i="4"/>
  <c r="AN3611" i="4"/>
  <c r="AN3578" i="4"/>
  <c r="AN3545" i="4"/>
  <c r="AN3512" i="4"/>
  <c r="AN3478" i="4"/>
  <c r="AN3445" i="4"/>
  <c r="AN3412" i="4"/>
  <c r="AN3379" i="4"/>
  <c r="AN3346" i="4"/>
  <c r="AN3682" i="4"/>
  <c r="AN3561" i="4"/>
  <c r="AN3363" i="4"/>
  <c r="AN3640" i="4"/>
  <c r="AN3607" i="4"/>
  <c r="AN3574" i="4"/>
  <c r="AN3541" i="4"/>
  <c r="AN3507" i="4"/>
  <c r="AN3474" i="4"/>
  <c r="AN3441" i="4"/>
  <c r="AN3408" i="4"/>
  <c r="AN3375" i="4"/>
  <c r="AN3342" i="4"/>
  <c r="AN3660" i="4"/>
  <c r="AN3396" i="4"/>
  <c r="AN3683" i="4"/>
  <c r="AN3679" i="4"/>
  <c r="AN3675" i="4"/>
  <c r="AN3668" i="4"/>
  <c r="AN3636" i="4"/>
  <c r="AN3603" i="4"/>
  <c r="AN3569" i="4"/>
  <c r="AN3536" i="4"/>
  <c r="AN3503" i="4"/>
  <c r="AN3470" i="4"/>
  <c r="AN3437" i="4"/>
  <c r="AN3404" i="4"/>
  <c r="AN3371" i="4"/>
  <c r="AN3338" i="4"/>
  <c r="AN3429" i="4"/>
  <c r="AN3684" i="4"/>
  <c r="AN3664" i="4"/>
  <c r="AN3632" i="4"/>
  <c r="AN3598" i="4"/>
  <c r="AN3565" i="4"/>
  <c r="AN3532" i="4"/>
  <c r="AN3499" i="4"/>
  <c r="AN3466" i="4"/>
  <c r="AN3433" i="4"/>
  <c r="AN3400" i="4"/>
  <c r="AN3367" i="4"/>
  <c r="AN3334" i="4"/>
  <c r="AN3671" i="4"/>
  <c r="AN3667" i="4"/>
  <c r="AN3663" i="4"/>
  <c r="AN3659" i="4"/>
  <c r="AN3655" i="4"/>
  <c r="AN3651" i="4"/>
  <c r="AN3647" i="4"/>
  <c r="AN3643" i="4"/>
  <c r="AN3639" i="4"/>
  <c r="AN3635" i="4"/>
  <c r="AN3631" i="4"/>
  <c r="AN3626" i="4"/>
  <c r="AN3622" i="4"/>
  <c r="AN3618" i="4"/>
  <c r="AN3614" i="4"/>
  <c r="AN3610" i="4"/>
  <c r="AN3606" i="4"/>
  <c r="AN3602" i="4"/>
  <c r="AN3597" i="4"/>
  <c r="AN3593" i="4"/>
  <c r="AN3589" i="4"/>
  <c r="AN3585" i="4"/>
  <c r="AN3581" i="4"/>
  <c r="AN3577" i="4"/>
  <c r="AN3573" i="4"/>
  <c r="AN3568" i="4"/>
  <c r="AN3564" i="4"/>
  <c r="AN3560" i="4"/>
  <c r="AN3556" i="4"/>
  <c r="AN3552" i="4"/>
  <c r="AN3548" i="4"/>
  <c r="AN3544" i="4"/>
  <c r="AN3539" i="4"/>
  <c r="AN3535" i="4"/>
  <c r="AN3531" i="4"/>
  <c r="AN3527" i="4"/>
  <c r="AN3523" i="4"/>
  <c r="AN3519" i="4"/>
  <c r="AN3515" i="4"/>
  <c r="AN3511" i="4"/>
  <c r="AN3506" i="4"/>
  <c r="AN3502" i="4"/>
  <c r="AN3498" i="4"/>
  <c r="AN3494" i="4"/>
  <c r="AN3490" i="4"/>
  <c r="AN3486" i="4"/>
  <c r="AN3482" i="4"/>
  <c r="AN3477" i="4"/>
  <c r="AN3473" i="4"/>
  <c r="AN3469" i="4"/>
  <c r="AN3465" i="4"/>
  <c r="AN3461" i="4"/>
  <c r="AN3457" i="4"/>
  <c r="AN3453" i="4"/>
  <c r="AN3448" i="4"/>
  <c r="AN3444" i="4"/>
  <c r="AN3440" i="4"/>
  <c r="AN3436" i="4"/>
  <c r="AN3432" i="4"/>
  <c r="AN3428" i="4"/>
  <c r="AN3424" i="4"/>
  <c r="AN3419" i="4"/>
  <c r="AN3415" i="4"/>
  <c r="AN3411" i="4"/>
  <c r="AN3407" i="4"/>
  <c r="AN3403" i="4"/>
  <c r="AN3399" i="4"/>
  <c r="AN3395" i="4"/>
  <c r="AN3391" i="4"/>
  <c r="AN3386" i="4"/>
  <c r="AN3382" i="4"/>
  <c r="AN3378" i="4"/>
  <c r="AN3374" i="4"/>
  <c r="AN3370" i="4"/>
  <c r="AN3366" i="4"/>
  <c r="AN3362" i="4"/>
  <c r="AN3357" i="4"/>
  <c r="AN3353" i="4"/>
  <c r="AN3349" i="4"/>
  <c r="AN3345" i="4"/>
  <c r="AN3341" i="4"/>
  <c r="AN3337" i="4"/>
  <c r="AN3333" i="4"/>
  <c r="AN3328" i="4"/>
  <c r="AN3324" i="4"/>
  <c r="AN3320" i="4"/>
  <c r="AN3670" i="4"/>
  <c r="AN3666" i="4"/>
  <c r="AN3662" i="4"/>
  <c r="AN3658" i="4"/>
  <c r="AN3654" i="4"/>
  <c r="AN3650" i="4"/>
  <c r="AN3646" i="4"/>
  <c r="AN3642" i="4"/>
  <c r="AN3638" i="4"/>
  <c r="AN3634" i="4"/>
  <c r="AN3629" i="4"/>
  <c r="AN3625" i="4"/>
  <c r="AN3621" i="4"/>
  <c r="AN3617" i="4"/>
  <c r="AN3613" i="4"/>
  <c r="AN3609" i="4"/>
  <c r="AN3605" i="4"/>
  <c r="AN3601" i="4"/>
  <c r="AN3596" i="4"/>
  <c r="AN3592" i="4"/>
  <c r="AN3588" i="4"/>
  <c r="AN3584" i="4"/>
  <c r="AN3580" i="4"/>
  <c r="AN3576" i="4"/>
  <c r="AN3572" i="4"/>
  <c r="AN3567" i="4"/>
  <c r="AN3563" i="4"/>
  <c r="AN3559" i="4"/>
  <c r="AN3555" i="4"/>
  <c r="AN3551" i="4"/>
  <c r="AN3547" i="4"/>
  <c r="AN3543" i="4"/>
  <c r="AN3538" i="4"/>
  <c r="AN3534" i="4"/>
  <c r="AN3530" i="4"/>
  <c r="AN3526" i="4"/>
  <c r="AN3522" i="4"/>
  <c r="AN3518" i="4"/>
  <c r="AN3514" i="4"/>
  <c r="AN3509" i="4"/>
  <c r="AN3505" i="4"/>
  <c r="AN3501" i="4"/>
  <c r="AN3497" i="4"/>
  <c r="AN3493" i="4"/>
  <c r="AN3489" i="4"/>
  <c r="AN3485" i="4"/>
  <c r="AN3481" i="4"/>
  <c r="AN3476" i="4"/>
  <c r="AN3472" i="4"/>
  <c r="AN3468" i="4"/>
  <c r="AN3464" i="4"/>
  <c r="AN3460" i="4"/>
  <c r="AN3456" i="4"/>
  <c r="AN3452" i="4"/>
  <c r="AN3447" i="4"/>
  <c r="AN3443" i="4"/>
  <c r="AN3439" i="4"/>
  <c r="AN3435" i="4"/>
  <c r="AN3431" i="4"/>
  <c r="AN3427" i="4"/>
  <c r="AN3423" i="4"/>
  <c r="AN3418" i="4"/>
  <c r="AN3414" i="4"/>
  <c r="AN3410" i="4"/>
  <c r="AN3406" i="4"/>
  <c r="AN3402" i="4"/>
  <c r="AN3398" i="4"/>
  <c r="AN3394" i="4"/>
  <c r="AN3389" i="4"/>
  <c r="AN3385" i="4"/>
  <c r="AN3381" i="4"/>
  <c r="AN3377" i="4"/>
  <c r="AN3373" i="4"/>
  <c r="AN3369" i="4"/>
  <c r="AN3365" i="4"/>
  <c r="AN3361" i="4"/>
  <c r="AN3356" i="4"/>
  <c r="AN3352" i="4"/>
  <c r="AN3348" i="4"/>
  <c r="AN3344" i="4"/>
  <c r="AN3340" i="4"/>
  <c r="AN3336" i="4"/>
  <c r="AN3332" i="4"/>
  <c r="AN3327" i="4"/>
  <c r="AN3323" i="4"/>
  <c r="AN3669" i="4"/>
  <c r="AN3665" i="4"/>
  <c r="AN3661" i="4"/>
  <c r="AN3657" i="4"/>
  <c r="AN3653" i="4"/>
  <c r="AN3649" i="4"/>
  <c r="AN3645" i="4"/>
  <c r="AN3641" i="4"/>
  <c r="AN3637" i="4"/>
  <c r="AN3633" i="4"/>
  <c r="AN3628" i="4"/>
  <c r="AN3624" i="4"/>
  <c r="AN3620" i="4"/>
  <c r="AN3616" i="4"/>
  <c r="AN3612" i="4"/>
  <c r="AN3608" i="4"/>
  <c r="AN3604" i="4"/>
  <c r="AN3599" i="4"/>
  <c r="AN3595" i="4"/>
  <c r="AN3591" i="4"/>
  <c r="AN3587" i="4"/>
  <c r="AN3583" i="4"/>
  <c r="AN3579" i="4"/>
  <c r="AN3575" i="4"/>
  <c r="AN3571" i="4"/>
  <c r="AN3566" i="4"/>
  <c r="AN3562" i="4"/>
  <c r="AN3558" i="4"/>
  <c r="AN3554" i="4"/>
  <c r="AN3550" i="4"/>
  <c r="AN3546" i="4"/>
  <c r="AN3542" i="4"/>
  <c r="AN3537" i="4"/>
  <c r="AN3533" i="4"/>
  <c r="AN3529" i="4"/>
  <c r="AN3525" i="4"/>
  <c r="AN3521" i="4"/>
  <c r="AN3517" i="4"/>
  <c r="AN3513" i="4"/>
  <c r="AN3508" i="4"/>
  <c r="AN3504" i="4"/>
  <c r="AN3500" i="4"/>
  <c r="AN3496" i="4"/>
  <c r="AN3492" i="4"/>
  <c r="AN3488" i="4"/>
  <c r="AN3484" i="4"/>
  <c r="AN3479" i="4"/>
  <c r="AN3475" i="4"/>
  <c r="AN3471" i="4"/>
  <c r="AN3467" i="4"/>
  <c r="AN3463" i="4"/>
  <c r="AN3459" i="4"/>
  <c r="AN3455" i="4"/>
  <c r="AN3451" i="4"/>
  <c r="AN3446" i="4"/>
  <c r="AN3442" i="4"/>
  <c r="AN3438" i="4"/>
  <c r="AN3434" i="4"/>
  <c r="AN3430" i="4"/>
  <c r="AN3426" i="4"/>
  <c r="AN3422" i="4"/>
  <c r="AN3417" i="4"/>
  <c r="AN3413" i="4"/>
  <c r="AN3409" i="4"/>
  <c r="AN3405" i="4"/>
  <c r="AN3401" i="4"/>
  <c r="AN3397" i="4"/>
  <c r="AN3393" i="4"/>
  <c r="AN3388" i="4"/>
  <c r="AN3384" i="4"/>
  <c r="AN3380" i="4"/>
  <c r="AN3376" i="4"/>
  <c r="AN3372" i="4"/>
  <c r="AN3368" i="4"/>
  <c r="AN3364" i="4"/>
  <c r="AN3359" i="4"/>
  <c r="AN3355" i="4"/>
  <c r="AN3351" i="4"/>
  <c r="AN3347" i="4"/>
  <c r="AN3343" i="4"/>
  <c r="AN3339" i="4"/>
  <c r="AN3335" i="4"/>
  <c r="AN3331" i="4"/>
  <c r="AN3326" i="4"/>
  <c r="AN3322" i="4"/>
  <c r="R59" i="23"/>
  <c r="AF135" i="23"/>
  <c r="R76" i="23" s="1"/>
  <c r="P59" i="23"/>
  <c r="AD135" i="23"/>
  <c r="P76" i="23" s="1"/>
  <c r="Q59" i="23"/>
  <c r="AE135" i="23"/>
  <c r="Q76" i="23" s="1"/>
  <c r="X55" i="23"/>
  <c r="AL131" i="23"/>
  <c r="X72" i="23" s="1"/>
  <c r="AG135" i="23"/>
  <c r="S76" i="23" s="1"/>
  <c r="S59" i="23"/>
  <c r="W56" i="23"/>
  <c r="AK132" i="23"/>
  <c r="W73" i="23" s="1"/>
  <c r="O60" i="23"/>
  <c r="AC136" i="23"/>
  <c r="O77" i="23" s="1"/>
  <c r="AJ133" i="23"/>
  <c r="V74" i="23" s="1"/>
  <c r="V57" i="23"/>
  <c r="U58" i="23"/>
  <c r="AI134" i="23"/>
  <c r="U75" i="23" s="1"/>
  <c r="T59" i="23"/>
  <c r="AH135" i="23"/>
  <c r="T76" i="23" s="1"/>
  <c r="AD79" i="23"/>
  <c r="AF79" i="23" s="1"/>
  <c r="AD119" i="23"/>
  <c r="AM3686" i="4"/>
  <c r="AK119" i="23"/>
  <c r="AG119" i="23"/>
  <c r="AM3691" i="4"/>
  <c r="AE120" i="23"/>
  <c r="AI118" i="23"/>
  <c r="AI119" i="23"/>
  <c r="AM3685" i="4"/>
  <c r="AM3688" i="4"/>
  <c r="AG120" i="23"/>
  <c r="AJ119" i="23"/>
  <c r="AJ120" i="23"/>
  <c r="AF119" i="23"/>
  <c r="AM3689" i="4"/>
  <c r="AH120" i="23"/>
  <c r="AD120" i="23"/>
  <c r="AK118" i="23"/>
  <c r="AM3687" i="4"/>
  <c r="AL115" i="23"/>
  <c r="AC120" i="23"/>
  <c r="AK120" i="23"/>
  <c r="AE119" i="23"/>
  <c r="AL118" i="23"/>
  <c r="AL117" i="23"/>
  <c r="AL116" i="23"/>
  <c r="AJ118" i="23"/>
  <c r="AF120" i="23"/>
  <c r="AI120" i="23"/>
  <c r="AK117" i="23"/>
  <c r="AJ117" i="23"/>
  <c r="AK116" i="23"/>
  <c r="AM3690" i="4"/>
  <c r="AH119" i="23"/>
  <c r="AL120" i="23"/>
  <c r="AL119" i="23"/>
  <c r="AN3686" i="4" l="1"/>
  <c r="AN3690" i="4"/>
  <c r="AN3685" i="4"/>
  <c r="AN3689" i="4"/>
  <c r="AN3688" i="4"/>
  <c r="AN3691" i="4"/>
  <c r="AN3687" i="4"/>
  <c r="X61" i="23"/>
  <c r="AL137" i="23"/>
  <c r="X78" i="23" s="1"/>
  <c r="AJ136" i="23"/>
  <c r="V77" i="23" s="1"/>
  <c r="V60" i="23"/>
  <c r="AG137" i="23"/>
  <c r="S78" i="23" s="1"/>
  <c r="S61" i="23"/>
  <c r="AJ135" i="23"/>
  <c r="V76" i="23" s="1"/>
  <c r="V59" i="23"/>
  <c r="W57" i="23"/>
  <c r="AK133" i="23"/>
  <c r="W74" i="23" s="1"/>
  <c r="V61" i="23"/>
  <c r="AJ137" i="23"/>
  <c r="V78" i="23" s="1"/>
  <c r="R60" i="23"/>
  <c r="AF136" i="23"/>
  <c r="R77" i="23" s="1"/>
  <c r="W58" i="23"/>
  <c r="AK134" i="23"/>
  <c r="W75" i="23" s="1"/>
  <c r="U59" i="23"/>
  <c r="AI135" i="23"/>
  <c r="U76" i="23" s="1"/>
  <c r="R61" i="23"/>
  <c r="AF137" i="23"/>
  <c r="R78" i="23" s="1"/>
  <c r="AE136" i="23"/>
  <c r="Q77" i="23" s="1"/>
  <c r="Q60" i="23"/>
  <c r="AL132" i="23"/>
  <c r="X73" i="23" s="1"/>
  <c r="X56" i="23"/>
  <c r="AK135" i="23"/>
  <c r="W76" i="23" s="1"/>
  <c r="W59" i="23"/>
  <c r="AI136" i="23"/>
  <c r="U77" i="23" s="1"/>
  <c r="U60" i="23"/>
  <c r="AG136" i="23"/>
  <c r="S77" i="23" s="1"/>
  <c r="S60" i="23"/>
  <c r="AL133" i="23"/>
  <c r="X74" i="23" s="1"/>
  <c r="X57" i="23"/>
  <c r="AK136" i="23"/>
  <c r="W77" i="23" s="1"/>
  <c r="W60" i="23"/>
  <c r="AI137" i="23"/>
  <c r="U78" i="23" s="1"/>
  <c r="U61" i="23"/>
  <c r="AE137" i="23"/>
  <c r="Q78" i="23" s="1"/>
  <c r="Q61" i="23"/>
  <c r="AL136" i="23"/>
  <c r="X77" i="23" s="1"/>
  <c r="X60" i="23"/>
  <c r="X58" i="23"/>
  <c r="AL134" i="23"/>
  <c r="X75" i="23" s="1"/>
  <c r="W61" i="23"/>
  <c r="AK137" i="23"/>
  <c r="W78" i="23" s="1"/>
  <c r="T60" i="23"/>
  <c r="AH136" i="23"/>
  <c r="T77" i="23" s="1"/>
  <c r="P60" i="23"/>
  <c r="AD136" i="23"/>
  <c r="P77" i="23" s="1"/>
  <c r="X59" i="23"/>
  <c r="AL135" i="23"/>
  <c r="X76" i="23" s="1"/>
  <c r="V58" i="23"/>
  <c r="AJ134" i="23"/>
  <c r="V75" i="23" s="1"/>
  <c r="T61" i="23"/>
  <c r="AH137" i="23"/>
  <c r="T78" i="23" s="1"/>
  <c r="P61" i="23"/>
  <c r="AD137" i="23"/>
  <c r="P78" i="23" s="1"/>
  <c r="AC137" i="23"/>
  <c r="O78" i="23" s="1"/>
  <c r="O61" i="23"/>
  <c r="D70" i="29"/>
  <c r="D68" i="29"/>
  <c r="E68" i="29" s="1"/>
  <c r="AM3692" i="4"/>
  <c r="AN3692" i="4" l="1"/>
  <c r="E70" i="29"/>
  <c r="E75" i="29" s="1"/>
  <c r="D75" i="29"/>
  <c r="AE3767" i="4"/>
  <c r="AM4361" i="4"/>
  <c r="AM4098" i="4"/>
  <c r="AM4472" i="4"/>
  <c r="AM4946" i="4"/>
  <c r="AM4201" i="4"/>
  <c r="AM3938" i="4"/>
  <c r="AM5021" i="4"/>
  <c r="AM4304" i="4"/>
  <c r="AM4042" i="4"/>
  <c r="AM4416" i="4"/>
  <c r="AM4890" i="4"/>
  <c r="AM4145" i="4"/>
  <c r="AM3882" i="4"/>
  <c r="AM4965" i="4"/>
  <c r="AM4216" i="4"/>
  <c r="AM3953" i="4"/>
  <c r="AM4400" i="4"/>
  <c r="AM4802" i="4"/>
  <c r="AM4057" i="4"/>
  <c r="AM3794" i="4"/>
  <c r="AM4877" i="4"/>
  <c r="AM4164" i="4"/>
  <c r="AM3901" i="4"/>
  <c r="AM4347" i="4"/>
  <c r="AM4750" i="4"/>
  <c r="AM4698" i="4"/>
  <c r="AM5170" i="4"/>
  <c r="AM5289" i="4"/>
  <c r="AM4136" i="4"/>
  <c r="AM3873" i="4"/>
  <c r="AM4319" i="4"/>
  <c r="AM4722" i="4"/>
  <c r="AM3976" i="4"/>
  <c r="AM3714" i="4"/>
  <c r="AM4797" i="4"/>
  <c r="AM4080" i="4"/>
  <c r="AM3817" i="4"/>
  <c r="AM4263" i="4"/>
  <c r="AM4665" i="4"/>
  <c r="AM3920" i="4"/>
  <c r="AM4367" i="4"/>
  <c r="AM4741" i="4"/>
  <c r="AM3992" i="4"/>
  <c r="AM3729" i="4"/>
  <c r="AM4175" i="4"/>
  <c r="AM4577" i="4"/>
  <c r="AM3832" i="4"/>
  <c r="AM4278" i="4"/>
  <c r="AM4652" i="4"/>
  <c r="AM3939" i="4"/>
  <c r="AM4386" i="4"/>
  <c r="AM4123" i="4"/>
  <c r="AM4525" i="4"/>
  <c r="AM4474" i="4"/>
  <c r="AM4944" i="4"/>
  <c r="AM5412" i="4"/>
  <c r="AM3911" i="4"/>
  <c r="AM4358" i="4"/>
  <c r="AM4095" i="4"/>
  <c r="AM4497" i="4"/>
  <c r="AM3752" i="4"/>
  <c r="AM4198" i="4"/>
  <c r="AM4572" i="4"/>
  <c r="AM3855" i="4"/>
  <c r="AM4301" i="4"/>
  <c r="AM4039" i="4"/>
  <c r="AM4441" i="4"/>
  <c r="AM3696" i="4"/>
  <c r="AM4142" i="4"/>
  <c r="AM4516" i="4"/>
  <c r="AM3767" i="4"/>
  <c r="AM4213" i="4"/>
  <c r="AM3950" i="4"/>
  <c r="AM5033" i="4"/>
  <c r="AM4316" i="4"/>
  <c r="AM4054" i="4"/>
  <c r="AM4428" i="4"/>
  <c r="AM4902" i="4"/>
  <c r="AM4161" i="4"/>
  <c r="AM3898" i="4"/>
  <c r="AM4981" i="4"/>
  <c r="AM4746" i="4"/>
  <c r="AM4720" i="4"/>
  <c r="AM5188" i="4"/>
  <c r="AM5377" i="4"/>
  <c r="AM4133" i="4"/>
  <c r="AM3870" i="4"/>
  <c r="AM4953" i="4"/>
  <c r="AM4236" i="4"/>
  <c r="AM3973" i="4"/>
  <c r="AM3711" i="4"/>
  <c r="AM4822" i="4"/>
  <c r="AM4077" i="4"/>
  <c r="AM3814" i="4"/>
  <c r="AM4897" i="4"/>
  <c r="AM4180" i="4"/>
  <c r="AM3917" i="4"/>
  <c r="AM4364" i="4"/>
  <c r="AM4766" i="4"/>
  <c r="AM3988" i="4"/>
  <c r="AM3726" i="4"/>
  <c r="AM4809" i="4"/>
  <c r="AM4092" i="4"/>
  <c r="AM3829" i="4"/>
  <c r="AM4275" i="4"/>
  <c r="AM4677" i="4"/>
  <c r="AM3936" i="4"/>
  <c r="AM4383" i="4"/>
  <c r="AM4757" i="4"/>
  <c r="AM3702" i="4"/>
  <c r="AM4495" i="4"/>
  <c r="AM5307" i="4"/>
  <c r="AM5064" i="4"/>
  <c r="AM3908" i="4"/>
  <c r="AM4355" i="4"/>
  <c r="AM4729" i="4"/>
  <c r="AM4012" i="4"/>
  <c r="AM3749" i="4"/>
  <c r="AM4195" i="4"/>
  <c r="AM4597" i="4"/>
  <c r="AM3852" i="4"/>
  <c r="AM4298" i="4"/>
  <c r="AM4672" i="4"/>
  <c r="AM3955" i="4"/>
  <c r="AM3693" i="4"/>
  <c r="AM4139" i="4"/>
  <c r="AM4541" i="4"/>
  <c r="AM3764" i="4"/>
  <c r="AM4210" i="4"/>
  <c r="AM4584" i="4"/>
  <c r="AM3867" i="4"/>
  <c r="AM4313" i="4"/>
  <c r="AM4051" i="4"/>
  <c r="AM4453" i="4"/>
  <c r="AM3712" i="4"/>
  <c r="AM4158" i="4"/>
  <c r="AM4532" i="4"/>
  <c r="AM4032" i="4"/>
  <c r="AM4955" i="4"/>
  <c r="AM5426" i="4"/>
  <c r="AM5054" i="4"/>
  <c r="AM4393" i="4"/>
  <c r="AM4130" i="4"/>
  <c r="AM4504" i="4"/>
  <c r="AM3787" i="4"/>
  <c r="AM4233" i="4"/>
  <c r="AM3970" i="4"/>
  <c r="AM5053" i="4"/>
  <c r="AM4336" i="4"/>
  <c r="AM4074" i="4"/>
  <c r="AM4448" i="4"/>
  <c r="AM4922" i="4"/>
  <c r="AM4177" i="4"/>
  <c r="AM3914" i="4"/>
  <c r="AM4997" i="4"/>
  <c r="AM4248" i="4"/>
  <c r="AM3985" i="4"/>
  <c r="AM3723" i="4"/>
  <c r="AM4834" i="4"/>
  <c r="AM4089" i="4"/>
  <c r="AM3826" i="4"/>
  <c r="AM4909" i="4"/>
  <c r="AM4196" i="4"/>
  <c r="AM3933" i="4"/>
  <c r="AM4380" i="4"/>
  <c r="AM4782" i="4"/>
  <c r="AM4731" i="4"/>
  <c r="AM5202" i="4"/>
  <c r="AM5321" i="4"/>
  <c r="AM4168" i="4"/>
  <c r="AM3905" i="4"/>
  <c r="AM4352" i="4"/>
  <c r="AM4754" i="4"/>
  <c r="AM4009" i="4"/>
  <c r="AM3746" i="4"/>
  <c r="AM4829" i="4"/>
  <c r="AM4112" i="4"/>
  <c r="AM3849" i="4"/>
  <c r="AM4295" i="4"/>
  <c r="AM4697" i="4"/>
  <c r="AM3952" i="4"/>
  <c r="AM4399" i="4"/>
  <c r="AM4773" i="4"/>
  <c r="AM4024" i="4"/>
  <c r="AM3761" i="4"/>
  <c r="AM4207" i="4"/>
  <c r="AM4609" i="4"/>
  <c r="AM3864" i="4"/>
  <c r="AM4310" i="4"/>
  <c r="AM4684" i="4"/>
  <c r="AM3971" i="4"/>
  <c r="AM3709" i="4"/>
  <c r="AM4155" i="4"/>
  <c r="AM4557" i="4"/>
  <c r="AM4506" i="4"/>
  <c r="AM4976" i="4"/>
  <c r="AM5097" i="4"/>
  <c r="AM3943" i="4"/>
  <c r="AM4390" i="4"/>
  <c r="AM4127" i="4"/>
  <c r="AM4529" i="4"/>
  <c r="AM3784" i="4"/>
  <c r="AM4230" i="4"/>
  <c r="AM4604" i="4"/>
  <c r="AM3887" i="4"/>
  <c r="AM4333" i="4"/>
  <c r="AM4071" i="4"/>
  <c r="AM4473" i="4"/>
  <c r="AM3728" i="4"/>
  <c r="AM4174" i="4"/>
  <c r="AM4548" i="4"/>
  <c r="AM3799" i="4"/>
  <c r="AM4245" i="4"/>
  <c r="AM3982" i="4"/>
  <c r="AM5065" i="4"/>
  <c r="AM4348" i="4"/>
  <c r="AM4086" i="4"/>
  <c r="AM4460" i="4"/>
  <c r="AM4934" i="4"/>
  <c r="AM4193" i="4"/>
  <c r="AM3930" i="4"/>
  <c r="AM5013" i="4"/>
  <c r="AM4966" i="4"/>
  <c r="AM4752" i="4"/>
  <c r="AM5220" i="4"/>
  <c r="AM3807" i="4"/>
  <c r="AM4165" i="4"/>
  <c r="AM3902" i="4"/>
  <c r="AM4985" i="4"/>
  <c r="AM4268" i="4"/>
  <c r="AM4006" i="4"/>
  <c r="AM3743" i="4"/>
  <c r="AM4854" i="4"/>
  <c r="AM4109" i="4"/>
  <c r="AM3846" i="4"/>
  <c r="AM4929" i="4"/>
  <c r="AM4212" i="4"/>
  <c r="AM3949" i="4"/>
  <c r="AM4396" i="4"/>
  <c r="AM4798" i="4"/>
  <c r="AM4021" i="4"/>
  <c r="AM3758" i="4"/>
  <c r="AM4841" i="4"/>
  <c r="AM4124" i="4"/>
  <c r="AM3861" i="4"/>
  <c r="AM4307" i="4"/>
  <c r="AM4709" i="4"/>
  <c r="AM3968" i="4"/>
  <c r="AM3706" i="4"/>
  <c r="AM4789" i="4"/>
  <c r="AM3958" i="4"/>
  <c r="AM4527" i="4"/>
  <c r="AM5339" i="4"/>
  <c r="AM5226" i="4"/>
  <c r="AM3940" i="4"/>
  <c r="AM4387" i="4"/>
  <c r="AM4761" i="4"/>
  <c r="AM4044" i="4"/>
  <c r="AM3781" i="4"/>
  <c r="AM4227" i="4"/>
  <c r="AM4629" i="4"/>
  <c r="AM3884" i="4"/>
  <c r="AM4330" i="4"/>
  <c r="AM4704" i="4"/>
  <c r="AM3987" i="4"/>
  <c r="AM3725" i="4"/>
  <c r="AM4171" i="4"/>
  <c r="AM4573" i="4"/>
  <c r="AM3796" i="4"/>
  <c r="AM4242" i="4"/>
  <c r="AM4616" i="4"/>
  <c r="AM3899" i="4"/>
  <c r="AM4345" i="4"/>
  <c r="AM4083" i="4"/>
  <c r="AM4485" i="4"/>
  <c r="AM3744" i="4"/>
  <c r="AM4190" i="4"/>
  <c r="AM4564" i="4"/>
  <c r="AM4288" i="4"/>
  <c r="AM4987" i="4"/>
  <c r="AM5115" i="4"/>
  <c r="AM4562" i="4"/>
  <c r="AM3716" i="4"/>
  <c r="AM4162" i="4"/>
  <c r="AM4536" i="4"/>
  <c r="AM3819" i="4"/>
  <c r="AM4265" i="4"/>
  <c r="AM4003" i="4"/>
  <c r="AM4405" i="4"/>
  <c r="AM4369" i="4"/>
  <c r="AM4106" i="4"/>
  <c r="AM4480" i="4"/>
  <c r="AM4954" i="4"/>
  <c r="AM4209" i="4"/>
  <c r="AM3946" i="4"/>
  <c r="AM5029" i="4"/>
  <c r="AM4280" i="4"/>
  <c r="AM4018" i="4"/>
  <c r="AM3755" i="4"/>
  <c r="AM4866" i="4"/>
  <c r="AM4121" i="4"/>
  <c r="AM3858" i="4"/>
  <c r="AM4941" i="4"/>
  <c r="AM4228" i="4"/>
  <c r="AM3965" i="4"/>
  <c r="AM3703" i="4"/>
  <c r="AM4814" i="4"/>
  <c r="AM4763" i="4"/>
  <c r="AM5234" i="4"/>
  <c r="AM5353" i="4"/>
  <c r="AM4200" i="4"/>
  <c r="AM3937" i="4"/>
  <c r="AM4384" i="4"/>
  <c r="AM4786" i="4"/>
  <c r="AM4041" i="4"/>
  <c r="AM3778" i="4"/>
  <c r="AM4861" i="4"/>
  <c r="AM4144" i="4"/>
  <c r="AM3881" i="4"/>
  <c r="AM4327" i="4"/>
  <c r="AM4730" i="4"/>
  <c r="AM3984" i="4"/>
  <c r="AM3722" i="4"/>
  <c r="AM4805" i="4"/>
  <c r="AM4056" i="4"/>
  <c r="AM3793" i="4"/>
  <c r="AM4239" i="4"/>
  <c r="AM4641" i="4"/>
  <c r="AM3896" i="4"/>
  <c r="AM4342" i="4"/>
  <c r="AM4717" i="4"/>
  <c r="AM4004" i="4"/>
  <c r="AM3741" i="4"/>
  <c r="AM4187" i="4"/>
  <c r="AM4589" i="4"/>
  <c r="AM4538" i="4"/>
  <c r="AM5008" i="4"/>
  <c r="AM5129" i="4"/>
  <c r="AM3975" i="4"/>
  <c r="AM3713" i="4"/>
  <c r="AM4159" i="4"/>
  <c r="AM4561" i="4"/>
  <c r="AM3816" i="4"/>
  <c r="AM4262" i="4"/>
  <c r="AM4636" i="4"/>
  <c r="AM3919" i="4"/>
  <c r="AM4366" i="4"/>
  <c r="AM4103" i="4"/>
  <c r="AM4505" i="4"/>
  <c r="AM3760" i="4"/>
  <c r="AM4206" i="4"/>
  <c r="AM4580" i="4"/>
  <c r="AM3831" i="4"/>
  <c r="AM4277" i="4"/>
  <c r="AM4015" i="4"/>
  <c r="AM4417" i="4"/>
  <c r="AM4381" i="4"/>
  <c r="AM4118" i="4"/>
  <c r="AM4492" i="4"/>
  <c r="AM3779" i="4"/>
  <c r="AM4225" i="4"/>
  <c r="AM3962" i="4"/>
  <c r="AM5045" i="4"/>
  <c r="AM4998" i="4"/>
  <c r="AM4784" i="4"/>
  <c r="AM5252" i="4"/>
  <c r="AM4064" i="4"/>
  <c r="AM4197" i="4"/>
  <c r="AM3934" i="4"/>
  <c r="AM5017" i="4"/>
  <c r="AM4300" i="4"/>
  <c r="AM4038" i="4"/>
  <c r="AM4412" i="4"/>
  <c r="AM4886" i="4"/>
  <c r="AM4141" i="4"/>
  <c r="AM3878" i="4"/>
  <c r="AM4961" i="4"/>
  <c r="AM4244" i="4"/>
  <c r="AM3981" i="4"/>
  <c r="AM3719" i="4"/>
  <c r="AM4830" i="4"/>
  <c r="AM4053" i="4"/>
  <c r="AM3790" i="4"/>
  <c r="AM4873" i="4"/>
  <c r="AM4156" i="4"/>
  <c r="AM3893" i="4"/>
  <c r="AM4339" i="4"/>
  <c r="AM4742" i="4"/>
  <c r="AM4001" i="4"/>
  <c r="AM3738" i="4"/>
  <c r="AM4821" i="4"/>
  <c r="AM4215" i="4"/>
  <c r="AM4559" i="4"/>
  <c r="AM5371" i="4"/>
  <c r="AM5386" i="4"/>
  <c r="AM3972" i="4"/>
  <c r="AM3710" i="4"/>
  <c r="AM4793" i="4"/>
  <c r="AM4076" i="4"/>
  <c r="AM3813" i="4"/>
  <c r="AM4259" i="4"/>
  <c r="AM4661" i="4"/>
  <c r="AM3916" i="4"/>
  <c r="AM4363" i="4"/>
  <c r="AM4737" i="4"/>
  <c r="AM4020" i="4"/>
  <c r="AM3757" i="4"/>
  <c r="AM4203" i="4"/>
  <c r="AM4605" i="4"/>
  <c r="AM3828" i="4"/>
  <c r="AM4274" i="4"/>
  <c r="AM4648" i="4"/>
  <c r="AM3931" i="4"/>
  <c r="AM4378" i="4"/>
  <c r="AM4115" i="4"/>
  <c r="AM4517" i="4"/>
  <c r="AM3776" i="4"/>
  <c r="AM4222" i="4"/>
  <c r="AM4596" i="4"/>
  <c r="AM3836" i="4"/>
  <c r="AM5019" i="4"/>
  <c r="AM5147" i="4"/>
  <c r="AM4755" i="4"/>
  <c r="AM3748" i="4"/>
  <c r="AM4194" i="4"/>
  <c r="AM4568" i="4"/>
  <c r="AM3851" i="4"/>
  <c r="AM4297" i="4"/>
  <c r="AM4035" i="4"/>
  <c r="AM4437" i="4"/>
  <c r="AM4401" i="4"/>
  <c r="AM4138" i="4"/>
  <c r="AM4512" i="4"/>
  <c r="AM3795" i="4"/>
  <c r="AM4241" i="4"/>
  <c r="AM3978" i="4"/>
  <c r="AM5061" i="4"/>
  <c r="AM4312" i="4"/>
  <c r="AM4050" i="4"/>
  <c r="AM4424" i="4"/>
  <c r="AM4898" i="4"/>
  <c r="AM4153" i="4"/>
  <c r="AM3890" i="4"/>
  <c r="AM4973" i="4"/>
  <c r="AM4260" i="4"/>
  <c r="AM3998" i="4"/>
  <c r="AM3735" i="4"/>
  <c r="AM4846" i="4"/>
  <c r="AM4795" i="4"/>
  <c r="AM5266" i="4"/>
  <c r="AM5385" i="4"/>
  <c r="AM4232" i="4"/>
  <c r="AM3969" i="4"/>
  <c r="AM3707" i="4"/>
  <c r="AM4818" i="4"/>
  <c r="AM4073" i="4"/>
  <c r="AM3810" i="4"/>
  <c r="AM4893" i="4"/>
  <c r="AM4176" i="4"/>
  <c r="AM3913" i="4"/>
  <c r="AM4360" i="4"/>
  <c r="AM4762" i="4"/>
  <c r="AM4017" i="4"/>
  <c r="AM3754" i="4"/>
  <c r="AM4837" i="4"/>
  <c r="AM4088" i="4"/>
  <c r="AM3825" i="4"/>
  <c r="AM4271" i="4"/>
  <c r="AM4673" i="4"/>
  <c r="AM3928" i="4"/>
  <c r="AM4375" i="4"/>
  <c r="AM4749" i="4"/>
  <c r="AM4036" i="4"/>
  <c r="AM3773" i="4"/>
  <c r="AM4219" i="4"/>
  <c r="AM4621" i="4"/>
  <c r="AM4570" i="4"/>
  <c r="AM5040" i="4"/>
  <c r="AM5161" i="4"/>
  <c r="AM4008" i="4"/>
  <c r="AM3745" i="4"/>
  <c r="AM4191" i="4"/>
  <c r="AM4593" i="4"/>
  <c r="AM3848" i="4"/>
  <c r="AM4294" i="4"/>
  <c r="AM4668" i="4"/>
  <c r="AM3951" i="4"/>
  <c r="AM4398" i="4"/>
  <c r="AM4135" i="4"/>
  <c r="AM4537" i="4"/>
  <c r="AM3792" i="4"/>
  <c r="AM4238" i="4"/>
  <c r="AM4612" i="4"/>
  <c r="AM3863" i="4"/>
  <c r="AM4309" i="4"/>
  <c r="AM4047" i="4"/>
  <c r="AM4449" i="4"/>
  <c r="AM3704" i="4"/>
  <c r="AM4150" i="4"/>
  <c r="AM4524" i="4"/>
  <c r="AM3811" i="4"/>
  <c r="AM4257" i="4"/>
  <c r="AM3995" i="4"/>
  <c r="AM5078" i="4"/>
  <c r="AM5030" i="4"/>
  <c r="AM4816" i="4"/>
  <c r="AM5284" i="4"/>
  <c r="AM4320" i="4"/>
  <c r="AM3783" i="4"/>
  <c r="AM4229" i="4"/>
  <c r="AM3966" i="4"/>
  <c r="AM5049" i="4"/>
  <c r="AM4332" i="4"/>
  <c r="AM4070" i="4"/>
  <c r="AM4444" i="4"/>
  <c r="AM4918" i="4"/>
  <c r="AM4173" i="4"/>
  <c r="AM3910" i="4"/>
  <c r="AM4993" i="4"/>
  <c r="AM4276" i="4"/>
  <c r="AM4014" i="4"/>
  <c r="AM3751" i="4"/>
  <c r="AM4862" i="4"/>
  <c r="AM4085" i="4"/>
  <c r="AM3822" i="4"/>
  <c r="AM4905" i="4"/>
  <c r="AM4188" i="4"/>
  <c r="AM3925" i="4"/>
  <c r="AM4372" i="4"/>
  <c r="AM4774" i="4"/>
  <c r="AM4033" i="4"/>
  <c r="AM3770" i="4"/>
  <c r="AM4853" i="4"/>
  <c r="AM3763" i="4"/>
  <c r="AM4591" i="4"/>
  <c r="AM5403" i="4"/>
  <c r="AM5267" i="4"/>
  <c r="AM4005" i="4"/>
  <c r="AM3742" i="4"/>
  <c r="AM4825" i="4"/>
  <c r="AM4108" i="4"/>
  <c r="AM3845" i="4"/>
  <c r="AM4291" i="4"/>
  <c r="AM4693" i="4"/>
  <c r="AM3948" i="4"/>
  <c r="AM4395" i="4"/>
  <c r="AM4769" i="4"/>
  <c r="AM4052" i="4"/>
  <c r="AM3789" i="4"/>
  <c r="AM4235" i="4"/>
  <c r="AM4637" i="4"/>
  <c r="AM3860" i="4"/>
  <c r="AM4306" i="4"/>
  <c r="AM4680" i="4"/>
  <c r="AM3963" i="4"/>
  <c r="AM3701" i="4"/>
  <c r="AM4147" i="4"/>
  <c r="AM4549" i="4"/>
  <c r="AM3808" i="4"/>
  <c r="AM4254" i="4"/>
  <c r="AM4628" i="4"/>
  <c r="AM4093" i="4"/>
  <c r="AM5051" i="4"/>
  <c r="AM5179" i="4"/>
  <c r="AM4979" i="4"/>
  <c r="AM3780" i="4"/>
  <c r="AM4226" i="4"/>
  <c r="AM4600" i="4"/>
  <c r="AM3883" i="4"/>
  <c r="AM4329" i="4"/>
  <c r="AM4067" i="4"/>
  <c r="AM4469" i="4"/>
  <c r="AM3724" i="4"/>
  <c r="AM4170" i="4"/>
  <c r="AM4544" i="4"/>
  <c r="AM3827" i="4"/>
  <c r="AM4273" i="4"/>
  <c r="AM4011" i="4"/>
  <c r="AM4413" i="4"/>
  <c r="AM4344" i="4"/>
  <c r="AM4082" i="4"/>
  <c r="AM4456" i="4"/>
  <c r="AM4930" i="4"/>
  <c r="AM4185" i="4"/>
  <c r="AM3922" i="4"/>
  <c r="AM5005" i="4"/>
  <c r="AM4292" i="4"/>
  <c r="AM4030" i="4"/>
  <c r="AM4404" i="4"/>
  <c r="AM4878" i="4"/>
  <c r="AM4827" i="4"/>
  <c r="AM5298" i="4"/>
  <c r="AM5417" i="4"/>
  <c r="AM4264" i="4"/>
  <c r="AM4002" i="4"/>
  <c r="AM3739" i="4"/>
  <c r="AM4850" i="4"/>
  <c r="AM4105" i="4"/>
  <c r="AM3842" i="4"/>
  <c r="AM4925" i="4"/>
  <c r="AM4208" i="4"/>
  <c r="AM3945" i="4"/>
  <c r="AM4392" i="4"/>
  <c r="AM4794" i="4"/>
  <c r="AM4049" i="4"/>
  <c r="AM3786" i="4"/>
  <c r="AM4869" i="4"/>
  <c r="AM4120" i="4"/>
  <c r="AM3857" i="4"/>
  <c r="AM4303" i="4"/>
  <c r="AM4705" i="4"/>
  <c r="AM3960" i="4"/>
  <c r="AM3698" i="4"/>
  <c r="AM4781" i="4"/>
  <c r="AM4068" i="4"/>
  <c r="AM3805" i="4"/>
  <c r="AM4251" i="4"/>
  <c r="AM4653" i="4"/>
  <c r="AM4602" i="4"/>
  <c r="AM5073" i="4"/>
  <c r="AM5193" i="4"/>
  <c r="AM4040" i="4"/>
  <c r="AM3777" i="4"/>
  <c r="AM4223" i="4"/>
  <c r="AM4625" i="4"/>
  <c r="AM3880" i="4"/>
  <c r="AM4326" i="4"/>
  <c r="AM4700" i="4"/>
  <c r="AM3983" i="4"/>
  <c r="AM3721" i="4"/>
  <c r="AM4167" i="4"/>
  <c r="AM4569" i="4"/>
  <c r="AM3824" i="4"/>
  <c r="AM4270" i="4"/>
  <c r="AM4644" i="4"/>
  <c r="AM3895" i="4"/>
  <c r="AM4341" i="4"/>
  <c r="AM4079" i="4"/>
  <c r="AM4481" i="4"/>
  <c r="AM3736" i="4"/>
  <c r="AM4182" i="4"/>
  <c r="AM4556" i="4"/>
  <c r="AM3843" i="4"/>
  <c r="AM4289" i="4"/>
  <c r="AM4027" i="4"/>
  <c r="AM4429" i="4"/>
  <c r="AM5062" i="4"/>
  <c r="AM4848" i="4"/>
  <c r="AM5316" i="4"/>
  <c r="AM3815" i="4"/>
  <c r="AM4261" i="4"/>
  <c r="AM3999" i="4"/>
  <c r="AM5082" i="4"/>
  <c r="AM4365" i="4"/>
  <c r="AM4102" i="4"/>
  <c r="AM4476" i="4"/>
  <c r="AM4950" i="4"/>
  <c r="AM4205" i="4"/>
  <c r="AM3942" i="4"/>
  <c r="AM5025" i="4"/>
  <c r="AM4308" i="4"/>
  <c r="AM4046" i="4"/>
  <c r="AM4420" i="4"/>
  <c r="AM4894" i="4"/>
  <c r="AM4117" i="4"/>
  <c r="AM3854" i="4"/>
  <c r="AM4937" i="4"/>
  <c r="AM4220" i="4"/>
  <c r="AM3957" i="4"/>
  <c r="AM3695" i="4"/>
  <c r="AM4806" i="4"/>
  <c r="AM4065" i="4"/>
  <c r="AM3802" i="4"/>
  <c r="AM4885" i="4"/>
  <c r="AM4656" i="4"/>
  <c r="AM4623" i="4"/>
  <c r="AM5092" i="4"/>
  <c r="AM5116" i="4"/>
  <c r="AM4037" i="4"/>
  <c r="AM3774" i="4"/>
  <c r="AM4857" i="4"/>
  <c r="AM4140" i="4"/>
  <c r="AM3877" i="4"/>
  <c r="AM4323" i="4"/>
  <c r="AM4726" i="4"/>
  <c r="AM3980" i="4"/>
  <c r="AM3718" i="4"/>
  <c r="AM4801" i="4"/>
  <c r="AM4084" i="4"/>
  <c r="AM3821" i="4"/>
  <c r="AM4267" i="4"/>
  <c r="AM4669" i="4"/>
  <c r="AM3892" i="4"/>
  <c r="AM4338" i="4"/>
  <c r="AM4713" i="4"/>
  <c r="AM3996" i="4"/>
  <c r="AM3733" i="4"/>
  <c r="AM4179" i="4"/>
  <c r="AM4581" i="4"/>
  <c r="AM3840" i="4"/>
  <c r="AM4286" i="4"/>
  <c r="AM4660" i="4"/>
  <c r="AM4349" i="4"/>
  <c r="AM5084" i="4"/>
  <c r="AM5211" i="4"/>
  <c r="AM4487" i="4"/>
  <c r="AM3812" i="4"/>
  <c r="AM4258" i="4"/>
  <c r="AM4632" i="4"/>
  <c r="AM3915" i="4"/>
  <c r="AM4362" i="4"/>
  <c r="AM4099" i="4"/>
  <c r="AM4501" i="4"/>
  <c r="AM3756" i="4"/>
  <c r="AM4202" i="4"/>
  <c r="AM4576" i="4"/>
  <c r="AM3859" i="4"/>
  <c r="AM4305" i="4"/>
  <c r="AM4043" i="4"/>
  <c r="AM4445" i="4"/>
  <c r="AM4377" i="4"/>
  <c r="AM4114" i="4"/>
  <c r="AM4488" i="4"/>
  <c r="AM3771" i="4"/>
  <c r="AM4217" i="4"/>
  <c r="AM3954" i="4"/>
  <c r="AM5037" i="4"/>
  <c r="AM4324" i="4"/>
  <c r="AM4062" i="4"/>
  <c r="AM4436" i="4"/>
  <c r="AM4910" i="4"/>
  <c r="AM4859" i="4"/>
  <c r="AM5330" i="4"/>
  <c r="AM4090" i="4"/>
  <c r="AM4296" i="4"/>
  <c r="AM4034" i="4"/>
  <c r="AM4408" i="4"/>
  <c r="AM4882" i="4"/>
  <c r="AM4137" i="4"/>
  <c r="AM3874" i="4"/>
  <c r="AM4957" i="4"/>
  <c r="AM4240" i="4"/>
  <c r="AM3977" i="4"/>
  <c r="AM3715" i="4"/>
  <c r="AM4826" i="4"/>
  <c r="AM4081" i="4"/>
  <c r="AM3818" i="4"/>
  <c r="AM4901" i="4"/>
  <c r="AM4152" i="4"/>
  <c r="AM3889" i="4"/>
  <c r="AM4335" i="4"/>
  <c r="AM4738" i="4"/>
  <c r="AM3993" i="4"/>
  <c r="AM3730" i="4"/>
  <c r="AM4813" i="4"/>
  <c r="AM4100" i="4"/>
  <c r="AM3837" i="4"/>
  <c r="AM4283" i="4"/>
  <c r="AM4685" i="4"/>
  <c r="AM4634" i="4"/>
  <c r="AM5106" i="4"/>
  <c r="AM5225" i="4"/>
  <c r="AM4072" i="4"/>
  <c r="AM3809" i="4"/>
  <c r="AM4255" i="4"/>
  <c r="AM4657" i="4"/>
  <c r="AM3912" i="4"/>
  <c r="AM4359" i="4"/>
  <c r="AM4733" i="4"/>
  <c r="AM4016" i="4"/>
  <c r="AM3753" i="4"/>
  <c r="AM4199" i="4"/>
  <c r="AM4601" i="4"/>
  <c r="AM3856" i="4"/>
  <c r="AM4302" i="4"/>
  <c r="AM4676" i="4"/>
  <c r="AM3927" i="4"/>
  <c r="AM4374" i="4"/>
  <c r="AM4111" i="4"/>
  <c r="AM4513" i="4"/>
  <c r="AM3768" i="4"/>
  <c r="AM4214" i="4"/>
  <c r="AM4588" i="4"/>
  <c r="AM3875" i="4"/>
  <c r="AM4321" i="4"/>
  <c r="AM4059" i="4"/>
  <c r="AM4461" i="4"/>
  <c r="AM4410" i="4"/>
  <c r="AM4880" i="4"/>
  <c r="AM5348" i="4"/>
  <c r="AM3847" i="4"/>
  <c r="AM4293" i="4"/>
  <c r="AM4031" i="4"/>
  <c r="AM4433" i="4"/>
  <c r="AM4397" i="4"/>
  <c r="AM4134" i="4"/>
  <c r="AM4508" i="4"/>
  <c r="AM3791" i="4"/>
  <c r="AM4237" i="4"/>
  <c r="AM3974" i="4"/>
  <c r="AM5057" i="4"/>
  <c r="AM4340" i="4"/>
  <c r="AM4078" i="4"/>
  <c r="AM4452" i="4"/>
  <c r="AM4926" i="4"/>
  <c r="AM4149" i="4"/>
  <c r="AM3886" i="4"/>
  <c r="AM4969" i="4"/>
  <c r="AM4252" i="4"/>
  <c r="AM3989" i="4"/>
  <c r="AM3727" i="4"/>
  <c r="AM4838" i="4"/>
  <c r="AM4097" i="4"/>
  <c r="AM3834" i="4"/>
  <c r="AM4917" i="4"/>
  <c r="AM4913" i="4"/>
  <c r="AM4655" i="4"/>
  <c r="AM5124" i="4"/>
  <c r="AM5340" i="4"/>
  <c r="AM4069" i="4"/>
  <c r="AM3806" i="4"/>
  <c r="AM4889" i="4"/>
  <c r="AM4172" i="4"/>
  <c r="AM3909" i="4"/>
  <c r="AM4356" i="4"/>
  <c r="AM4758" i="4"/>
  <c r="AM4013" i="4"/>
  <c r="AM3750" i="4"/>
  <c r="AM4833" i="4"/>
  <c r="AM4116" i="4"/>
  <c r="AM3853" i="4"/>
  <c r="AM4299" i="4"/>
  <c r="AM4701" i="4"/>
  <c r="AM3924" i="4"/>
  <c r="AM4371" i="4"/>
  <c r="AM4745" i="4"/>
  <c r="AM4028" i="4"/>
  <c r="AM3765" i="4"/>
  <c r="AM4211" i="4"/>
  <c r="AM4613" i="4"/>
  <c r="AM3872" i="4"/>
  <c r="AM4318" i="4"/>
  <c r="AM4692" i="4"/>
  <c r="AM3897" i="4"/>
  <c r="AM4431" i="4"/>
  <c r="AM5243" i="4"/>
  <c r="AM4679" i="4"/>
  <c r="AM3844" i="4"/>
  <c r="AM4290" i="4"/>
  <c r="AM4664" i="4"/>
  <c r="AM3947" i="4"/>
  <c r="AM4394" i="4"/>
  <c r="AM4131" i="4"/>
  <c r="AM4533" i="4"/>
  <c r="AM3788" i="4"/>
  <c r="AM4234" i="4"/>
  <c r="AM4608" i="4"/>
  <c r="AM3891" i="4"/>
  <c r="AM4337" i="4"/>
  <c r="AM4075" i="4"/>
  <c r="AM4477" i="4"/>
  <c r="AM3700" i="4"/>
  <c r="AM4146" i="4"/>
  <c r="AM4520" i="4"/>
  <c r="AM3803" i="4"/>
  <c r="AM4249" i="4"/>
  <c r="AM3986" i="4"/>
  <c r="AM5069" i="4"/>
  <c r="AM4357" i="4"/>
  <c r="AM4094" i="4"/>
  <c r="AM4468" i="4"/>
  <c r="AM4942" i="4"/>
  <c r="AM4891" i="4"/>
  <c r="AM5362" i="4"/>
  <c r="AM3894" i="4"/>
  <c r="AM4328" i="4"/>
  <c r="AM4066" i="4"/>
  <c r="AM4440" i="4"/>
  <c r="AM4914" i="4"/>
  <c r="AM4169" i="4"/>
  <c r="AM3906" i="4"/>
  <c r="AM4989" i="4"/>
  <c r="AM4272" i="4"/>
  <c r="AM4010" i="4"/>
  <c r="AM3747" i="4"/>
  <c r="AM4858" i="4"/>
  <c r="AM4113" i="4"/>
  <c r="AM3850" i="4"/>
  <c r="AM4933" i="4"/>
  <c r="AM4184" i="4"/>
  <c r="AM3921" i="4"/>
  <c r="AM4368" i="4"/>
  <c r="AM4770" i="4"/>
  <c r="AM4025" i="4"/>
  <c r="AM3762" i="4"/>
  <c r="AM4845" i="4"/>
  <c r="AM4132" i="4"/>
  <c r="AM3869" i="4"/>
  <c r="AM4315" i="4"/>
  <c r="AM4718" i="4"/>
  <c r="AM4666" i="4"/>
  <c r="AM5138" i="4"/>
  <c r="AM5257" i="4"/>
  <c r="AM4104" i="4"/>
  <c r="AM3841" i="4"/>
  <c r="AM4287" i="4"/>
  <c r="AM4689" i="4"/>
  <c r="AM3944" i="4"/>
  <c r="AM4391" i="4"/>
  <c r="AM4765" i="4"/>
  <c r="AM4048" i="4"/>
  <c r="AM3785" i="4"/>
  <c r="AM4231" i="4"/>
  <c r="AM4633" i="4"/>
  <c r="AM3888" i="4"/>
  <c r="AM4334" i="4"/>
  <c r="AM4708" i="4"/>
  <c r="AM3959" i="4"/>
  <c r="AM3697" i="4"/>
  <c r="AM4143" i="4"/>
  <c r="AM4545" i="4"/>
  <c r="AM3800" i="4"/>
  <c r="AM4246" i="4"/>
  <c r="AM4620" i="4"/>
  <c r="AM3907" i="4"/>
  <c r="AM4354" i="4"/>
  <c r="AM4091" i="4"/>
  <c r="AM4493" i="4"/>
  <c r="AM4442" i="4"/>
  <c r="AM4912" i="4"/>
  <c r="AM5380" i="4"/>
  <c r="AM3879" i="4"/>
  <c r="AM4325" i="4"/>
  <c r="AM4063" i="4"/>
  <c r="AM4465" i="4"/>
  <c r="AM3720" i="4"/>
  <c r="AM4166" i="4"/>
  <c r="AM4540" i="4"/>
  <c r="AM3823" i="4"/>
  <c r="AM4269" i="4"/>
  <c r="AM4007" i="4"/>
  <c r="AM4409" i="4"/>
  <c r="AM4373" i="4"/>
  <c r="AM4110" i="4"/>
  <c r="AM4484" i="4"/>
  <c r="AM4958" i="4"/>
  <c r="AM4181" i="4"/>
  <c r="AM3918" i="4"/>
  <c r="AM5001" i="4"/>
  <c r="AM4284" i="4"/>
  <c r="AM4022" i="4"/>
  <c r="AM3759" i="4"/>
  <c r="AM4870" i="4"/>
  <c r="AM4129" i="4"/>
  <c r="AM3866" i="4"/>
  <c r="AM4949" i="4"/>
  <c r="AM4489" i="4"/>
  <c r="AM4687" i="4"/>
  <c r="AM5156" i="4"/>
  <c r="AM5185" i="4"/>
  <c r="AM4101" i="4"/>
  <c r="AM3838" i="4"/>
  <c r="AM4921" i="4"/>
  <c r="AM4204" i="4"/>
  <c r="AM3941" i="4"/>
  <c r="AM4388" i="4"/>
  <c r="AM4790" i="4"/>
  <c r="AM4045" i="4"/>
  <c r="AM3782" i="4"/>
  <c r="AM4865" i="4"/>
  <c r="AM4148" i="4"/>
  <c r="AM3885" i="4"/>
  <c r="AM4331" i="4"/>
  <c r="AM4734" i="4"/>
  <c r="AM3956" i="4"/>
  <c r="AM3694" i="4"/>
  <c r="AM4777" i="4"/>
  <c r="AM4060" i="4"/>
  <c r="AM3797" i="4"/>
  <c r="AM4243" i="4"/>
  <c r="AM4645" i="4"/>
  <c r="AM3904" i="4"/>
  <c r="AM4351" i="4"/>
  <c r="AM4725" i="4"/>
  <c r="AM4154" i="4"/>
  <c r="AM4463" i="4"/>
  <c r="AM5275" i="4"/>
  <c r="AM4872" i="4"/>
  <c r="AM3876" i="4"/>
  <c r="AM4322" i="4"/>
  <c r="AM4696" i="4"/>
  <c r="AM3979" i="4"/>
  <c r="AM3717" i="4"/>
  <c r="AM4163" i="4"/>
  <c r="AM4565" i="4"/>
  <c r="AM3820" i="4"/>
  <c r="AM4266" i="4"/>
  <c r="AM4640" i="4"/>
  <c r="AM3923" i="4"/>
  <c r="AM4370" i="4"/>
  <c r="AM4107" i="4"/>
  <c r="AM4509" i="4"/>
  <c r="AM3732" i="4"/>
  <c r="AM4178" i="4"/>
  <c r="AM4552" i="4"/>
  <c r="AM3835" i="4"/>
  <c r="AM4281" i="4"/>
  <c r="AM4019" i="4"/>
  <c r="AM4421" i="4"/>
  <c r="AM4389" i="4"/>
  <c r="AM4126" i="4"/>
  <c r="AM4500" i="4"/>
  <c r="AM3775" i="4"/>
  <c r="AM4923" i="4"/>
  <c r="AM5394" i="4"/>
  <c r="AM4681" i="4"/>
  <c r="AM3868" i="4"/>
  <c r="AM5050" i="4"/>
  <c r="AM4443" i="4"/>
  <c r="AM5270" i="4"/>
  <c r="AM5336" i="4"/>
  <c r="AM3699" i="4"/>
  <c r="AM4721" i="4"/>
  <c r="AM4812" i="4"/>
  <c r="AM4703" i="4"/>
  <c r="AM5042" i="4"/>
  <c r="AM4402" i="4"/>
  <c r="AM4438" i="4"/>
  <c r="AM5075" i="4"/>
  <c r="AM4531" i="4"/>
  <c r="AM5199" i="4"/>
  <c r="AM5104" i="4"/>
  <c r="AM4883" i="4"/>
  <c r="AM4714" i="4"/>
  <c r="AM4907" i="4"/>
  <c r="AM4824" i="4"/>
  <c r="AM4446" i="4"/>
  <c r="AM4772" i="4"/>
  <c r="AM3708" i="4"/>
  <c r="AM4478" i="4"/>
  <c r="AM4975" i="4"/>
  <c r="AM5310" i="4"/>
  <c r="AM5192" i="4"/>
  <c r="AM5341" i="4"/>
  <c r="AM4426" i="4"/>
  <c r="AM4771" i="4"/>
  <c r="AM4908" i="4"/>
  <c r="AM5074" i="4"/>
  <c r="AM4539" i="4"/>
  <c r="AM3961" i="4"/>
  <c r="AM4649" i="4"/>
  <c r="AM4828" i="4"/>
  <c r="AM5142" i="4"/>
  <c r="AM5295" i="4"/>
  <c r="AM5365" i="4"/>
  <c r="AM4974" i="4"/>
  <c r="AM4855" i="4"/>
  <c r="AM4575" i="4"/>
  <c r="AM5260" i="4"/>
  <c r="AM5055" i="4"/>
  <c r="AM3926" i="4"/>
  <c r="AM4842" i="4"/>
  <c r="AM4659" i="4"/>
  <c r="AM4900" i="4"/>
  <c r="AM5319" i="4"/>
  <c r="AM4096" i="4"/>
  <c r="AM3731" i="4"/>
  <c r="AM4522" i="4"/>
  <c r="AM4695" i="4"/>
  <c r="AM5175" i="4"/>
  <c r="AM4815" i="4"/>
  <c r="AM5372" i="4"/>
  <c r="AM4407" i="4"/>
  <c r="AM4847" i="4"/>
  <c r="AM4924" i="4"/>
  <c r="AM5407" i="4"/>
  <c r="AM5213" i="4"/>
  <c r="AM3903" i="4"/>
  <c r="AM4642" i="4"/>
  <c r="AM5036" i="4"/>
  <c r="AM5186" i="4"/>
  <c r="AM4839" i="4"/>
  <c r="AM4353" i="4"/>
  <c r="AM4662" i="4"/>
  <c r="AM5366" i="4"/>
  <c r="AM5176" i="4"/>
  <c r="AM4221" i="4"/>
  <c r="AM4810" i="4"/>
  <c r="AM5080" i="4"/>
  <c r="AM4800" i="4"/>
  <c r="AM5228" i="4"/>
  <c r="AM3833" i="4"/>
  <c r="AM5094" i="4"/>
  <c r="AM5333" i="4"/>
  <c r="AM4856" i="4"/>
  <c r="AM5205" i="4"/>
  <c r="AM3900" i="4"/>
  <c r="AM4951" i="4"/>
  <c r="AM4415" i="4"/>
  <c r="AM5274" i="4"/>
  <c r="AM4498" i="4"/>
  <c r="AM4425" i="4"/>
  <c r="AM4311" i="4"/>
  <c r="AM5261" i="4"/>
  <c r="AM4881" i="4"/>
  <c r="AM5355" i="4"/>
  <c r="AM4719" i="4"/>
  <c r="AM5052" i="4"/>
  <c r="AM5279" i="4"/>
  <c r="AM5085" i="4"/>
  <c r="AM4785" i="4"/>
  <c r="AM4514" i="4"/>
  <c r="AM4651" i="4"/>
  <c r="AM5056" i="4"/>
  <c r="AM5137" i="4"/>
  <c r="AM4852" i="4"/>
  <c r="AM4534" i="4"/>
  <c r="AM4768" i="4"/>
  <c r="AM4884" i="4"/>
  <c r="AM5382" i="4"/>
  <c r="AM5109" i="4"/>
  <c r="AM3766" i="4"/>
  <c r="AM4598" i="4"/>
  <c r="AM5003" i="4"/>
  <c r="AM5347" i="4"/>
  <c r="AM5312" i="4"/>
  <c r="AM4611" i="4"/>
  <c r="AM5041" i="4"/>
  <c r="AM4631" i="4"/>
  <c r="AM4643" i="4"/>
  <c r="AM5406" i="4"/>
  <c r="AM5098" i="4"/>
  <c r="AM3804" i="4"/>
  <c r="AM4874" i="4"/>
  <c r="AM4439" i="4"/>
  <c r="AM5262" i="4"/>
  <c r="AM5323" i="4"/>
  <c r="AM4635" i="4"/>
  <c r="AM5288" i="4"/>
  <c r="AM4459" i="4"/>
  <c r="AM4667" i="4"/>
  <c r="AM5151" i="4"/>
  <c r="AM5304" i="4"/>
  <c r="AM4776" i="4"/>
  <c r="AM5071" i="4"/>
  <c r="AM4780" i="4"/>
  <c r="AM4928" i="4"/>
  <c r="AM5100" i="4"/>
  <c r="AM4724" i="4"/>
  <c r="AM5222" i="4"/>
  <c r="AM4811" i="4"/>
  <c r="AM4756" i="4"/>
  <c r="AM5167" i="4"/>
  <c r="AM5328" i="4"/>
  <c r="AM5427" i="4"/>
  <c r="AM4983" i="4"/>
  <c r="AM4875" i="4"/>
  <c r="AM5048" i="4"/>
  <c r="AM5184" i="4"/>
  <c r="AM4434" i="4"/>
  <c r="AM5246" i="4"/>
  <c r="AM4931" i="4"/>
  <c r="AM5239" i="4"/>
  <c r="AM5278" i="4"/>
  <c r="AM5416" i="4"/>
  <c r="AM5276" i="4"/>
  <c r="AM5079" i="4"/>
  <c r="AM4995" i="4"/>
  <c r="AM5134" i="4"/>
  <c r="AM5364" i="4"/>
  <c r="AM5361" i="4"/>
  <c r="AM5334" i="4"/>
  <c r="AM5015" i="4"/>
  <c r="AM4992" i="4"/>
  <c r="AM5181" i="4"/>
  <c r="AM5217" i="4"/>
  <c r="AM4610" i="4"/>
  <c r="AM4748" i="4"/>
  <c r="AM5154" i="4"/>
  <c r="AM5324" i="4"/>
  <c r="AM4247" i="4"/>
  <c r="AM4119" i="4"/>
  <c r="AM5173" i="4"/>
  <c r="AM5210" i="4"/>
  <c r="AM5344" i="4"/>
  <c r="AM4553" i="4"/>
  <c r="AM5047" i="4"/>
  <c r="AM5282" i="4"/>
  <c r="AM5283" i="4"/>
  <c r="AM5413" i="4"/>
  <c r="AM5244" i="4"/>
  <c r="AM4711" i="4"/>
  <c r="AM4595" i="4"/>
  <c r="AM4962" i="4"/>
  <c r="AM4511" i="4"/>
  <c r="AM5363" i="4"/>
  <c r="AM5150" i="4"/>
  <c r="AM3772" i="4"/>
  <c r="AM3967" i="4"/>
  <c r="AM4282" i="4"/>
  <c r="AM4867" i="4"/>
  <c r="AM5004" i="4"/>
  <c r="AM5410" i="4"/>
  <c r="AM5233" i="4"/>
  <c r="AM5034" i="4"/>
  <c r="AM5359" i="4"/>
  <c r="AM4607" i="4"/>
  <c r="AM5238" i="4"/>
  <c r="AM5391" i="4"/>
  <c r="AM4285" i="4"/>
  <c r="AM4464" i="4"/>
  <c r="AM4523" i="4"/>
  <c r="AM4671" i="4"/>
  <c r="AM5187" i="4"/>
  <c r="AM5290" i="4"/>
  <c r="AM5258" i="4"/>
  <c r="AM5383" i="4"/>
  <c r="AM4728" i="4"/>
  <c r="AM5120" i="4"/>
  <c r="AM5415" i="4"/>
  <c r="AM4594" i="4"/>
  <c r="AM4727" i="4"/>
  <c r="AM4618" i="4"/>
  <c r="AM4792" i="4"/>
  <c r="AM5271" i="4"/>
  <c r="AM5241" i="4"/>
  <c r="AM5139" i="4"/>
  <c r="AM5128" i="4"/>
  <c r="AM3865" i="4"/>
  <c r="AM5218" i="4"/>
  <c r="AM5160" i="4"/>
  <c r="AM5309" i="4"/>
  <c r="AM4528" i="4"/>
  <c r="AM4739" i="4"/>
  <c r="AM4876" i="4"/>
  <c r="AM5108" i="4"/>
  <c r="AM5105" i="4"/>
  <c r="AM5180" i="4"/>
  <c r="AM5231" i="4"/>
  <c r="AM4530" i="4"/>
  <c r="AM5338" i="4"/>
  <c r="AM5263" i="4"/>
  <c r="AM5299" i="4"/>
  <c r="AM4218" i="4"/>
  <c r="AM4823" i="4"/>
  <c r="AM4543" i="4"/>
  <c r="AM5315" i="4"/>
  <c r="AM5189" i="4"/>
  <c r="AM5076" i="4"/>
  <c r="AM4743" i="4"/>
  <c r="AM5389" i="4"/>
  <c r="AM5422" i="4"/>
  <c r="AM5287" i="4"/>
  <c r="AM4840" i="4"/>
  <c r="AM4183" i="4"/>
  <c r="AM4490" i="4"/>
  <c r="AM5178" i="4"/>
  <c r="AM5143" i="4"/>
  <c r="AM5204" i="4"/>
  <c r="AM4712" i="4"/>
  <c r="AM4574" i="4"/>
  <c r="AM5149" i="4"/>
  <c r="AM5090" i="4"/>
  <c r="AM5425" i="4"/>
  <c r="AM4343" i="4"/>
  <c r="AM4963" i="4"/>
  <c r="AM5102" i="4"/>
  <c r="AM5419" i="4"/>
  <c r="AM5329" i="4"/>
  <c r="AM4382" i="4"/>
  <c r="AM4943" i="4"/>
  <c r="AM4507" i="4"/>
  <c r="AM4977" i="4"/>
  <c r="AM5349" i="4"/>
  <c r="AM3997" i="4"/>
  <c r="AM4716" i="4"/>
  <c r="AM5122" i="4"/>
  <c r="AM5292" i="4"/>
  <c r="AM4936" i="4"/>
  <c r="AM3862" i="4"/>
  <c r="AM4807" i="4"/>
  <c r="AM5119" i="4"/>
  <c r="AM5103" i="4"/>
  <c r="AM5035" i="4"/>
  <c r="AM4250" i="4"/>
  <c r="AM4403" i="4"/>
  <c r="AM5293" i="4"/>
  <c r="AM4470" i="4"/>
  <c r="AM5046" i="4"/>
  <c r="AM4535" i="4"/>
  <c r="AM5358" i="4"/>
  <c r="AM5332" i="4"/>
  <c r="AM4658" i="4"/>
  <c r="AM4945" i="4"/>
  <c r="AM4515" i="4"/>
  <c r="AM5194" i="4"/>
  <c r="AM5132" i="4"/>
  <c r="AM5400" i="4"/>
  <c r="AM3964" i="4"/>
  <c r="AM4482" i="4"/>
  <c r="AM4619" i="4"/>
  <c r="AM5195" i="4"/>
  <c r="AM5196" i="4"/>
  <c r="AM5043" i="4"/>
  <c r="AM3801" i="4"/>
  <c r="AM4967" i="4"/>
  <c r="AM5153" i="4"/>
  <c r="AM5216" i="4"/>
  <c r="AM5395" i="4"/>
  <c r="AM5409" i="4"/>
  <c r="AM4566" i="4"/>
  <c r="AM4971" i="4"/>
  <c r="AM5402" i="4"/>
  <c r="AM5280" i="4"/>
  <c r="AM5337" i="4"/>
  <c r="AM4486" i="4"/>
  <c r="AM4799" i="4"/>
  <c r="AM4000" i="4"/>
  <c r="AM5227" i="4"/>
  <c r="AM5011" i="4"/>
  <c r="AM4256" i="4"/>
  <c r="AM4617" i="4"/>
  <c r="AM4920" i="4"/>
  <c r="AM5230" i="4"/>
  <c r="AM5291" i="4"/>
  <c r="AM4029" i="4"/>
  <c r="AM5002" i="4"/>
  <c r="AM4558" i="4"/>
  <c r="AM4423" i="4"/>
  <c r="AM4835" i="4"/>
  <c r="AM4346" i="4"/>
  <c r="AM4583" i="4"/>
  <c r="AM5038" i="4"/>
  <c r="AM4491" i="4"/>
  <c r="AM4896" i="4"/>
  <c r="AM5411" i="4"/>
  <c r="AM5162" i="4"/>
  <c r="AM4192" i="4"/>
  <c r="AM4582" i="4"/>
  <c r="AM5354" i="4"/>
  <c r="AM4406" i="4"/>
  <c r="AM5145" i="4"/>
  <c r="AM5235" i="4"/>
  <c r="AM4694" i="4"/>
  <c r="AM4843" i="4"/>
  <c r="AM5016" i="4"/>
  <c r="AM5317" i="4"/>
  <c r="AM5209" i="4"/>
  <c r="AM4385" i="4"/>
  <c r="AM4670" i="4"/>
  <c r="AM4740" i="4"/>
  <c r="AM4087" i="4"/>
  <c r="AM5265" i="4"/>
  <c r="AM4458" i="4"/>
  <c r="AM4888" i="4"/>
  <c r="AM5111" i="4"/>
  <c r="AM5172" i="4"/>
  <c r="AM3994" i="4"/>
  <c r="AM4970" i="4"/>
  <c r="AM4783" i="4"/>
  <c r="AM4860" i="4"/>
  <c r="AM5256" i="4"/>
  <c r="AM4683" i="4"/>
  <c r="AM4058" i="4"/>
  <c r="AM4571" i="4"/>
  <c r="AM5131" i="4"/>
  <c r="AM5297" i="4"/>
  <c r="AM4125" i="4"/>
  <c r="AM4654" i="4"/>
  <c r="AM4475" i="4"/>
  <c r="AM5302" i="4"/>
  <c r="AM5277" i="4"/>
  <c r="AM4990" i="4"/>
  <c r="AM5219" i="4"/>
  <c r="AM4499" i="4"/>
  <c r="AM5254" i="4"/>
  <c r="AM4994" i="4"/>
  <c r="AM4715" i="4"/>
  <c r="AM5146" i="4"/>
  <c r="AM5367" i="4"/>
  <c r="AM5428" i="4"/>
  <c r="AM4585" i="4"/>
  <c r="AM4542" i="4"/>
  <c r="AM5039" i="4"/>
  <c r="AM3769" i="4"/>
  <c r="AM5059" i="4"/>
  <c r="AM5404" i="4"/>
  <c r="AM4026" i="4"/>
  <c r="AM4663" i="4"/>
  <c r="AM4972" i="4"/>
  <c r="AM5378" i="4"/>
  <c r="AM5201" i="4"/>
  <c r="AM3991" i="4"/>
  <c r="AM4986" i="4"/>
  <c r="AM5063" i="4"/>
  <c r="AM5375" i="4"/>
  <c r="AM4887" i="4"/>
  <c r="AM4615" i="4"/>
  <c r="AM4279" i="4"/>
  <c r="AM4919" i="4"/>
  <c r="AM4639" i="4"/>
  <c r="AM5155" i="4"/>
  <c r="AM5022" i="4"/>
  <c r="AM5032" i="4"/>
  <c r="AM5010" i="4"/>
  <c r="AM4467" i="4"/>
  <c r="AM4964" i="4"/>
  <c r="AM4554" i="4"/>
  <c r="AM4904" i="4"/>
  <c r="AM4863" i="4"/>
  <c r="AM4586" i="4"/>
  <c r="AM4760" i="4"/>
  <c r="AM5408" i="4"/>
  <c r="AM5300" i="4"/>
  <c r="AM5322" i="4"/>
  <c r="AM4414" i="4"/>
  <c r="AM4483" i="4"/>
  <c r="AM4988" i="4"/>
  <c r="AM4674" i="4"/>
  <c r="AM5326" i="4"/>
  <c r="AM4376" i="4"/>
  <c r="AM4706" i="4"/>
  <c r="AM4844" i="4"/>
  <c r="AM5163" i="4"/>
  <c r="AM5420" i="4"/>
  <c r="AM5331" i="4"/>
  <c r="AM4686" i="4"/>
  <c r="AM4935" i="4"/>
  <c r="AM5077" i="4"/>
  <c r="AM4759" i="4"/>
  <c r="AM4736" i="4"/>
  <c r="AM4496" i="4"/>
  <c r="AM4791" i="4"/>
  <c r="AM5024" i="4"/>
  <c r="AM5370" i="4"/>
  <c r="AM5157" i="4"/>
  <c r="AM4819" i="4"/>
  <c r="AM4454" i="4"/>
  <c r="AM5023" i="4"/>
  <c r="AM4836" i="4"/>
  <c r="AM5424" i="4"/>
  <c r="AM4599" i="4"/>
  <c r="AM4521" i="4"/>
  <c r="AM4984" i="4"/>
  <c r="AM5376" i="4"/>
  <c r="AM5177" i="4"/>
  <c r="AM4128" i="4"/>
  <c r="AM4638" i="4"/>
  <c r="AM4451" i="4"/>
  <c r="AM5214" i="4"/>
  <c r="AM5352" i="4"/>
  <c r="AM4317" i="4"/>
  <c r="AM5099" i="4"/>
  <c r="AM4411" i="4"/>
  <c r="AM5140" i="4"/>
  <c r="AM5212" i="4"/>
  <c r="AM4778" i="4"/>
  <c r="AM4751" i="4"/>
  <c r="AM5342" i="4"/>
  <c r="AM5311" i="4"/>
  <c r="AM5117" i="4"/>
  <c r="AM5148" i="4"/>
  <c r="AM4803" i="4"/>
  <c r="AM4551" i="4"/>
  <c r="AM5350" i="4"/>
  <c r="AM4723" i="4"/>
  <c r="AM5067" i="4"/>
  <c r="AM5242" i="4"/>
  <c r="AM5285" i="4"/>
  <c r="AM4224" i="4"/>
  <c r="AM4055" i="4"/>
  <c r="AM4895" i="4"/>
  <c r="AM4707" i="4"/>
  <c r="AM5127" i="4"/>
  <c r="AM4471" i="4"/>
  <c r="AM5207" i="4"/>
  <c r="AM4590" i="4"/>
  <c r="AM4503" i="4"/>
  <c r="AM5152" i="4"/>
  <c r="AM5387" i="4"/>
  <c r="AM4466" i="4"/>
  <c r="AM4688" i="4"/>
  <c r="AM4911" i="4"/>
  <c r="AM4732" i="4"/>
  <c r="AM5215" i="4"/>
  <c r="AM5171" i="4"/>
  <c r="AM4960" i="4"/>
  <c r="AM4614" i="4"/>
  <c r="AM4587" i="4"/>
  <c r="AM5250" i="4"/>
  <c r="AM5164" i="4"/>
  <c r="AM4851" i="4"/>
  <c r="AM4430" i="4"/>
  <c r="AM4678" i="4"/>
  <c r="AM4820" i="4"/>
  <c r="AM5318" i="4"/>
  <c r="AM5301" i="4"/>
  <c r="AM5081" i="4"/>
  <c r="AM4702" i="4"/>
  <c r="AM5028" i="4"/>
  <c r="AM5114" i="4"/>
  <c r="AM5248" i="4"/>
  <c r="AM5305" i="4"/>
  <c r="AM5009" i="4"/>
  <c r="AM4767" i="4"/>
  <c r="AM4579" i="4"/>
  <c r="AM5168" i="4"/>
  <c r="AM5133" i="4"/>
  <c r="AM5166" i="4"/>
  <c r="AM4462" i="4"/>
  <c r="AM4796" i="4"/>
  <c r="AM5198" i="4"/>
  <c r="AM5259" i="4"/>
  <c r="AM5089" i="4"/>
  <c r="AM3734" i="4"/>
  <c r="AM4526" i="4"/>
  <c r="AM4603" i="4"/>
  <c r="AM5343" i="4"/>
  <c r="AM5240" i="4"/>
  <c r="AM4832" i="4"/>
  <c r="AM5169" i="4"/>
  <c r="AM4627" i="4"/>
  <c r="AM4864" i="4"/>
  <c r="AM5379" i="4"/>
  <c r="AM4592" i="4"/>
  <c r="AM3935" i="4"/>
  <c r="AM4550" i="4"/>
  <c r="AM5206" i="4"/>
  <c r="AM5190" i="4"/>
  <c r="AM5264" i="4"/>
  <c r="AM4952" i="4"/>
  <c r="AM5088" i="4"/>
  <c r="AM5072" i="4"/>
  <c r="AM5125" i="4"/>
  <c r="AM4253" i="4"/>
  <c r="AM4753" i="4"/>
  <c r="AM4991" i="4"/>
  <c r="AM4804" i="4"/>
  <c r="AM5136" i="4"/>
  <c r="AM5357" i="4"/>
  <c r="AM4379" i="4"/>
  <c r="AM4939" i="4"/>
  <c r="AM4787" i="4"/>
  <c r="AM5247" i="4"/>
  <c r="AM3871" i="4"/>
  <c r="AM4435" i="4"/>
  <c r="AM4419" i="4"/>
  <c r="AM5182" i="4"/>
  <c r="AM5320" i="4"/>
  <c r="AM4947" i="4"/>
  <c r="AM3830" i="4"/>
  <c r="AM4899" i="4"/>
  <c r="AM5294" i="4"/>
  <c r="AM5018" i="4"/>
  <c r="AM5429" i="4"/>
  <c r="AM5251" i="4"/>
  <c r="AM5381" i="4"/>
  <c r="AM4817" i="4"/>
  <c r="AM4422" i="4"/>
  <c r="AM4563" i="4"/>
  <c r="AM5060" i="4"/>
  <c r="AM5392" i="4"/>
  <c r="AM4455" i="4"/>
  <c r="AM5303" i="4"/>
  <c r="AM4626" i="4"/>
  <c r="AM5020" i="4"/>
  <c r="AM5335" i="4"/>
  <c r="AM5396" i="4"/>
  <c r="AM3737" i="4"/>
  <c r="AM4510" i="4"/>
  <c r="AM5007" i="4"/>
  <c r="AM5255" i="4"/>
  <c r="AM5224" i="4"/>
  <c r="AM5373" i="4"/>
  <c r="AM5314" i="4"/>
  <c r="AM5393" i="4"/>
  <c r="AM5110" i="4"/>
  <c r="AM5346" i="4"/>
  <c r="AM4519" i="4"/>
  <c r="AM5249" i="4"/>
  <c r="AM4906" i="4"/>
  <c r="AM5031" i="4"/>
  <c r="AM5087" i="4"/>
  <c r="AM5327" i="4"/>
  <c r="AM5397" i="4"/>
  <c r="AM4578" i="4"/>
  <c r="AM5221" i="4"/>
  <c r="AM4868" i="4"/>
  <c r="AM5123" i="4"/>
  <c r="AM5253" i="4"/>
  <c r="AM4808" i="4"/>
  <c r="AM4978" i="4"/>
  <c r="AM4948" i="4"/>
  <c r="AM4932" i="4"/>
  <c r="AM5351" i="4"/>
  <c r="AM4849" i="4"/>
  <c r="AM4624" i="4"/>
  <c r="AM5236" i="4"/>
  <c r="AM4892" i="4"/>
  <c r="AM5197" i="4"/>
  <c r="AM5268" i="4"/>
  <c r="AM5130" i="4"/>
  <c r="AM5066" i="4"/>
  <c r="AM4879" i="4"/>
  <c r="AM4956" i="4"/>
  <c r="AM5096" i="4"/>
  <c r="AM4968" i="4"/>
  <c r="AM4160" i="4"/>
  <c r="AM5356" i="4"/>
  <c r="AM4980" i="4"/>
  <c r="AM5135" i="4"/>
  <c r="AM5388" i="4"/>
  <c r="AM5107" i="4"/>
  <c r="AM5083" i="4"/>
  <c r="AM4903" i="4"/>
  <c r="AM5044" i="4"/>
  <c r="AM5368" i="4"/>
  <c r="AM5269" i="4"/>
  <c r="AM3705" i="4"/>
  <c r="AM5093" i="4"/>
  <c r="AM5203" i="4"/>
  <c r="AM5159" i="4"/>
  <c r="AM5345" i="4"/>
  <c r="AM4518" i="4"/>
  <c r="AM4916" i="4"/>
  <c r="AM5158" i="4"/>
  <c r="AM5232" i="4"/>
  <c r="AM4023" i="4"/>
  <c r="AM5058" i="4"/>
  <c r="AM4779" i="4"/>
  <c r="AM5313" i="4"/>
  <c r="AM4831" i="4"/>
  <c r="AM5405" i="4"/>
  <c r="AM4959" i="4"/>
  <c r="AM5286" i="4"/>
  <c r="AM5191" i="4"/>
  <c r="AM5325" i="4"/>
  <c r="AM4122" i="4"/>
  <c r="AM4650" i="4"/>
  <c r="AM4567" i="4"/>
  <c r="AM5390" i="4"/>
  <c r="AM5273" i="4"/>
  <c r="AM4764" i="4"/>
  <c r="AM4450" i="4"/>
  <c r="AM4744" i="4"/>
  <c r="AM4314" i="4"/>
  <c r="AM4775" i="4"/>
  <c r="AM5174" i="4"/>
  <c r="AM5414" i="4"/>
  <c r="AM5141" i="4"/>
  <c r="AM5006" i="4"/>
  <c r="AM4630" i="4"/>
  <c r="AM5369" i="4"/>
  <c r="AM5374" i="4"/>
  <c r="AM5421" i="4"/>
  <c r="AM5401" i="4"/>
  <c r="AM3798" i="4"/>
  <c r="AM4691" i="4"/>
  <c r="AM4675" i="4"/>
  <c r="AM5095" i="4"/>
  <c r="AM5229" i="4"/>
  <c r="AM4061" i="4"/>
  <c r="AM4982" i="4"/>
  <c r="AM4151" i="4"/>
  <c r="AM4606" i="4"/>
  <c r="AM5272" i="4"/>
  <c r="AM4938" i="4"/>
  <c r="AM4432" i="4"/>
  <c r="AM4622" i="4"/>
  <c r="AM4699" i="4"/>
  <c r="AM5183" i="4"/>
  <c r="AM5245" i="4"/>
  <c r="AM5000" i="4"/>
  <c r="AM4418" i="4"/>
  <c r="AM5068" i="4"/>
  <c r="AM3740" i="4"/>
  <c r="AM5296" i="4"/>
  <c r="AM4690" i="4"/>
  <c r="AM4560" i="4"/>
  <c r="AM4646" i="4"/>
  <c r="AM4788" i="4"/>
  <c r="AM5112" i="4"/>
  <c r="AM5360" i="4"/>
  <c r="AM5308" i="4"/>
  <c r="AM4502" i="4"/>
  <c r="AM4479" i="4"/>
  <c r="AM3932" i="4"/>
  <c r="AM5384" i="4"/>
  <c r="AM4457" i="4"/>
  <c r="AM4189" i="4"/>
  <c r="AM4735" i="4"/>
  <c r="AM4547" i="4"/>
  <c r="AM5223" i="4"/>
  <c r="AM5101" i="4"/>
  <c r="AM5281" i="4"/>
  <c r="AM4682" i="4"/>
  <c r="AM5027" i="4"/>
  <c r="AM3929" i="4"/>
  <c r="AM5144" i="4"/>
  <c r="AM5418" i="4"/>
  <c r="AM4186" i="4"/>
  <c r="AM4494" i="4"/>
  <c r="AM5086" i="4"/>
  <c r="AM5398" i="4"/>
  <c r="AM5208" i="4"/>
  <c r="AM4915" i="4"/>
  <c r="AM4546" i="4"/>
  <c r="AM4427" i="4"/>
  <c r="AM5121" i="4"/>
  <c r="AM4999" i="4"/>
  <c r="AM4647" i="4"/>
  <c r="AM4871" i="4"/>
  <c r="AM5012" i="4"/>
  <c r="AM5423" i="4"/>
  <c r="AM5237" i="4"/>
  <c r="AM4157" i="4"/>
  <c r="AM4555" i="4"/>
  <c r="AM4447" i="4"/>
  <c r="AM5306" i="4"/>
  <c r="AM4927" i="4"/>
  <c r="AM4996" i="4"/>
  <c r="AM5014" i="4"/>
  <c r="AM5126" i="4"/>
  <c r="AM5200" i="4"/>
  <c r="AM3839" i="4"/>
  <c r="AM5026" i="4"/>
  <c r="AM4747" i="4"/>
  <c r="AM5091" i="4"/>
  <c r="AM5399" i="4"/>
  <c r="AM5113" i="4"/>
  <c r="AM5118" i="4"/>
  <c r="AM5165" i="4"/>
  <c r="AM4940" i="4"/>
  <c r="AN4940" i="4" l="1"/>
  <c r="AN5165" i="4"/>
  <c r="AN5118" i="4"/>
  <c r="AN5113" i="4"/>
  <c r="AN5399" i="4"/>
  <c r="AN5091" i="4"/>
  <c r="AN4747" i="4"/>
  <c r="AN5026" i="4"/>
  <c r="AN3839" i="4"/>
  <c r="AN5200" i="4"/>
  <c r="AN5126" i="4"/>
  <c r="AN5014" i="4"/>
  <c r="AN4996" i="4"/>
  <c r="AN4927" i="4"/>
  <c r="AN5306" i="4"/>
  <c r="AN4447" i="4"/>
  <c r="AN4555" i="4"/>
  <c r="AN4157" i="4"/>
  <c r="AN5237" i="4"/>
  <c r="AN5423" i="4"/>
  <c r="AN5012" i="4"/>
  <c r="AN4871" i="4"/>
  <c r="AN4647" i="4"/>
  <c r="AN4999" i="4"/>
  <c r="AN5121" i="4"/>
  <c r="AN4427" i="4"/>
  <c r="AN4546" i="4"/>
  <c r="AN4915" i="4"/>
  <c r="AN5208" i="4"/>
  <c r="AN5398" i="4"/>
  <c r="AN5086" i="4"/>
  <c r="AN4494" i="4"/>
  <c r="AN4186" i="4"/>
  <c r="AN5418" i="4"/>
  <c r="AN5144" i="4"/>
  <c r="AN3929" i="4"/>
  <c r="AN5027" i="4"/>
  <c r="AN4682" i="4"/>
  <c r="AN5281" i="4"/>
  <c r="AN5101" i="4"/>
  <c r="AN5223" i="4"/>
  <c r="AN4547" i="4"/>
  <c r="AN4735" i="4"/>
  <c r="AN4189" i="4"/>
  <c r="AN4457" i="4"/>
  <c r="AN5384" i="4"/>
  <c r="AN3932" i="4"/>
  <c r="AN4479" i="4"/>
  <c r="AN4502" i="4"/>
  <c r="AN5308" i="4"/>
  <c r="AN5360" i="4"/>
  <c r="AN5112" i="4"/>
  <c r="AN4788" i="4"/>
  <c r="AN4646" i="4"/>
  <c r="AN4560" i="4"/>
  <c r="AN4690" i="4"/>
  <c r="AN5296" i="4"/>
  <c r="AN3740" i="4"/>
  <c r="AN5068" i="4"/>
  <c r="AN4418" i="4"/>
  <c r="AN5000" i="4"/>
  <c r="AN5245" i="4"/>
  <c r="AN5183" i="4"/>
  <c r="AN4699" i="4"/>
  <c r="AN4622" i="4"/>
  <c r="AN4432" i="4"/>
  <c r="AN4938" i="4"/>
  <c r="AN5272" i="4"/>
  <c r="AN4606" i="4"/>
  <c r="AN4151" i="4"/>
  <c r="AN4982" i="4"/>
  <c r="AN4061" i="4"/>
  <c r="AN5229" i="4"/>
  <c r="AN5095" i="4"/>
  <c r="AN4675" i="4"/>
  <c r="AN4691" i="4"/>
  <c r="AN3798" i="4"/>
  <c r="AN5401" i="4"/>
  <c r="AN5421" i="4"/>
  <c r="AN5374" i="4"/>
  <c r="AN5369" i="4"/>
  <c r="AN4630" i="4"/>
  <c r="AN5006" i="4"/>
  <c r="AN5141" i="4"/>
  <c r="AN5414" i="4"/>
  <c r="AN5174" i="4"/>
  <c r="AN4775" i="4"/>
  <c r="AN4314" i="4"/>
  <c r="AN4744" i="4"/>
  <c r="AN4450" i="4"/>
  <c r="AN4764" i="4"/>
  <c r="AN5273" i="4"/>
  <c r="AN5390" i="4"/>
  <c r="AN4567" i="4"/>
  <c r="AN4650" i="4"/>
  <c r="AN4122" i="4"/>
  <c r="AN5325" i="4"/>
  <c r="AN5191" i="4"/>
  <c r="AN5286" i="4"/>
  <c r="AN4959" i="4"/>
  <c r="AN5405" i="4"/>
  <c r="AN4831" i="4"/>
  <c r="AN5313" i="4"/>
  <c r="AN4779" i="4"/>
  <c r="AN5058" i="4"/>
  <c r="AN4023" i="4"/>
  <c r="AN5232" i="4"/>
  <c r="AN5158" i="4"/>
  <c r="AN4916" i="4"/>
  <c r="AN4518" i="4"/>
  <c r="AN5345" i="4"/>
  <c r="AN5159" i="4"/>
  <c r="AN5203" i="4"/>
  <c r="AN5093" i="4"/>
  <c r="AN3705" i="4"/>
  <c r="AN5269" i="4"/>
  <c r="AN5368" i="4"/>
  <c r="AN5044" i="4"/>
  <c r="AN4903" i="4"/>
  <c r="AN5083" i="4"/>
  <c r="AN5107" i="4"/>
  <c r="AN5388" i="4"/>
  <c r="AN5135" i="4"/>
  <c r="AN4980" i="4"/>
  <c r="AN5356" i="4"/>
  <c r="AN4160" i="4"/>
  <c r="AN4968" i="4"/>
  <c r="AN5096" i="4"/>
  <c r="AN4956" i="4"/>
  <c r="AN4879" i="4"/>
  <c r="AN5066" i="4"/>
  <c r="AN5130" i="4"/>
  <c r="AN5268" i="4"/>
  <c r="AN5197" i="4"/>
  <c r="AN4892" i="4"/>
  <c r="AN5236" i="4"/>
  <c r="AN4624" i="4"/>
  <c r="AN4849" i="4"/>
  <c r="AN5351" i="4"/>
  <c r="AN4932" i="4"/>
  <c r="AN4948" i="4"/>
  <c r="AN4978" i="4"/>
  <c r="AN4808" i="4"/>
  <c r="AN5253" i="4"/>
  <c r="AN5123" i="4"/>
  <c r="AN4868" i="4"/>
  <c r="AN5221" i="4"/>
  <c r="AN4578" i="4"/>
  <c r="AN5397" i="4"/>
  <c r="AN5327" i="4"/>
  <c r="AN5087" i="4"/>
  <c r="AN5031" i="4"/>
  <c r="AN4906" i="4"/>
  <c r="AN5249" i="4"/>
  <c r="AN4519" i="4"/>
  <c r="AN5346" i="4"/>
  <c r="AN5110" i="4"/>
  <c r="AN5393" i="4"/>
  <c r="AN5314" i="4"/>
  <c r="AN5373" i="4"/>
  <c r="AN5224" i="4"/>
  <c r="AN5255" i="4"/>
  <c r="AN5007" i="4"/>
  <c r="AN4510" i="4"/>
  <c r="AN3737" i="4"/>
  <c r="AN5396" i="4"/>
  <c r="AN5335" i="4"/>
  <c r="AN5020" i="4"/>
  <c r="AN4626" i="4"/>
  <c r="AN5303" i="4"/>
  <c r="AN4455" i="4"/>
  <c r="AN5392" i="4"/>
  <c r="AN5060" i="4"/>
  <c r="AN4563" i="4"/>
  <c r="AN4422" i="4"/>
  <c r="AN4817" i="4"/>
  <c r="AN5381" i="4"/>
  <c r="AN5251" i="4"/>
  <c r="AN5429" i="4"/>
  <c r="AN5018" i="4"/>
  <c r="AN5294" i="4"/>
  <c r="AN4899" i="4"/>
  <c r="AN3830" i="4"/>
  <c r="AN4947" i="4"/>
  <c r="AN5320" i="4"/>
  <c r="AN5182" i="4"/>
  <c r="AN4419" i="4"/>
  <c r="AN4435" i="4"/>
  <c r="AN3871" i="4"/>
  <c r="AN5247" i="4"/>
  <c r="AN4787" i="4"/>
  <c r="AN4939" i="4"/>
  <c r="AN4379" i="4"/>
  <c r="AN5357" i="4"/>
  <c r="AN5136" i="4"/>
  <c r="AN4804" i="4"/>
  <c r="AN4991" i="4"/>
  <c r="AN4753" i="4"/>
  <c r="AN4253" i="4"/>
  <c r="AN5125" i="4"/>
  <c r="AN5072" i="4"/>
  <c r="AN5088" i="4"/>
  <c r="AN4952" i="4"/>
  <c r="AN5264" i="4"/>
  <c r="AN5190" i="4"/>
  <c r="AN5206" i="4"/>
  <c r="AN4550" i="4"/>
  <c r="AN3935" i="4"/>
  <c r="AN4592" i="4"/>
  <c r="AN5379" i="4"/>
  <c r="AN4864" i="4"/>
  <c r="AN4627" i="4"/>
  <c r="AN5169" i="4"/>
  <c r="AN4832" i="4"/>
  <c r="AN5240" i="4"/>
  <c r="AN5343" i="4"/>
  <c r="AN4603" i="4"/>
  <c r="AN4526" i="4"/>
  <c r="AN3734" i="4"/>
  <c r="AN5089" i="4"/>
  <c r="AN5259" i="4"/>
  <c r="AN5198" i="4"/>
  <c r="AN4796" i="4"/>
  <c r="AN4462" i="4"/>
  <c r="AN5166" i="4"/>
  <c r="AN5133" i="4"/>
  <c r="AN5168" i="4"/>
  <c r="AN4579" i="4"/>
  <c r="AN4767" i="4"/>
  <c r="AN5009" i="4"/>
  <c r="AN5305" i="4"/>
  <c r="AN5248" i="4"/>
  <c r="AN5114" i="4"/>
  <c r="AN5028" i="4"/>
  <c r="AN4702" i="4"/>
  <c r="AN5081" i="4"/>
  <c r="AN5301" i="4"/>
  <c r="AN5318" i="4"/>
  <c r="AN4820" i="4"/>
  <c r="AN4678" i="4"/>
  <c r="AN4430" i="4"/>
  <c r="AN4851" i="4"/>
  <c r="AN5164" i="4"/>
  <c r="AN5250" i="4"/>
  <c r="AN4587" i="4"/>
  <c r="AN4614" i="4"/>
  <c r="AN4960" i="4"/>
  <c r="AN5171" i="4"/>
  <c r="AN5215" i="4"/>
  <c r="AN4732" i="4"/>
  <c r="AN4911" i="4"/>
  <c r="AN4688" i="4"/>
  <c r="AN4466" i="4"/>
  <c r="AN5387" i="4"/>
  <c r="AN5152" i="4"/>
  <c r="AN4503" i="4"/>
  <c r="AN4590" i="4"/>
  <c r="AN5207" i="4"/>
  <c r="AN4471" i="4"/>
  <c r="AN5127" i="4"/>
  <c r="AN4707" i="4"/>
  <c r="AN4895" i="4"/>
  <c r="AN4055" i="4"/>
  <c r="AN4224" i="4"/>
  <c r="AN5285" i="4"/>
  <c r="AN5242" i="4"/>
  <c r="AN5067" i="4"/>
  <c r="AN4723" i="4"/>
  <c r="AN5350" i="4"/>
  <c r="AN4551" i="4"/>
  <c r="AN4803" i="4"/>
  <c r="AN5148" i="4"/>
  <c r="AN5117" i="4"/>
  <c r="AN5311" i="4"/>
  <c r="AN5342" i="4"/>
  <c r="AN4751" i="4"/>
  <c r="AN4778" i="4"/>
  <c r="AN5212" i="4"/>
  <c r="AN5140" i="4"/>
  <c r="AN4411" i="4"/>
  <c r="AN5099" i="4"/>
  <c r="AN4317" i="4"/>
  <c r="AN5352" i="4"/>
  <c r="AN5214" i="4"/>
  <c r="AN4451" i="4"/>
  <c r="AN4638" i="4"/>
  <c r="AN4128" i="4"/>
  <c r="AN5177" i="4"/>
  <c r="AN5376" i="4"/>
  <c r="AN4984" i="4"/>
  <c r="AN4521" i="4"/>
  <c r="AN4599" i="4"/>
  <c r="AN5424" i="4"/>
  <c r="AN4836" i="4"/>
  <c r="AN5023" i="4"/>
  <c r="AN4454" i="4"/>
  <c r="AN4819" i="4"/>
  <c r="AN5157" i="4"/>
  <c r="AN5370" i="4"/>
  <c r="AN5024" i="4"/>
  <c r="AN4791" i="4"/>
  <c r="AN4496" i="4"/>
  <c r="AN4736" i="4"/>
  <c r="AN4759" i="4"/>
  <c r="AN5077" i="4"/>
  <c r="AN4935" i="4"/>
  <c r="AN4686" i="4"/>
  <c r="AN5331" i="4"/>
  <c r="AN5420" i="4"/>
  <c r="AN5163" i="4"/>
  <c r="AN4844" i="4"/>
  <c r="AN4706" i="4"/>
  <c r="AN4376" i="4"/>
  <c r="AN5326" i="4"/>
  <c r="AN4674" i="4"/>
  <c r="AN4988" i="4"/>
  <c r="AN4483" i="4"/>
  <c r="AN4414" i="4"/>
  <c r="AN5322" i="4"/>
  <c r="AN5300" i="4"/>
  <c r="AN5408" i="4"/>
  <c r="AN4760" i="4"/>
  <c r="AN4586" i="4"/>
  <c r="AN4863" i="4"/>
  <c r="AN4904" i="4"/>
  <c r="AN4554" i="4"/>
  <c r="AN4964" i="4"/>
  <c r="AN4467" i="4"/>
  <c r="AN5010" i="4"/>
  <c r="AN5032" i="4"/>
  <c r="AN5022" i="4"/>
  <c r="AN5155" i="4"/>
  <c r="AN4639" i="4"/>
  <c r="AN4919" i="4"/>
  <c r="AN4279" i="4"/>
  <c r="AN4615" i="4"/>
  <c r="AN4887" i="4"/>
  <c r="AN5375" i="4"/>
  <c r="AN5063" i="4"/>
  <c r="AN4986" i="4"/>
  <c r="AN3991" i="4"/>
  <c r="AN5201" i="4"/>
  <c r="AN5378" i="4"/>
  <c r="AN4972" i="4"/>
  <c r="AN4663" i="4"/>
  <c r="AN4026" i="4"/>
  <c r="AN5404" i="4"/>
  <c r="AN5059" i="4"/>
  <c r="AN3769" i="4"/>
  <c r="AN5039" i="4"/>
  <c r="AN4542" i="4"/>
  <c r="AN4585" i="4"/>
  <c r="AN5428" i="4"/>
  <c r="AN5367" i="4"/>
  <c r="AN5146" i="4"/>
  <c r="AN4715" i="4"/>
  <c r="AN4994" i="4"/>
  <c r="AN5254" i="4"/>
  <c r="AN4499" i="4"/>
  <c r="AN5219" i="4"/>
  <c r="AN4990" i="4"/>
  <c r="AN5277" i="4"/>
  <c r="AN5302" i="4"/>
  <c r="AN4475" i="4"/>
  <c r="AN4654" i="4"/>
  <c r="AN4125" i="4"/>
  <c r="AN5297" i="4"/>
  <c r="AN5131" i="4"/>
  <c r="AN4571" i="4"/>
  <c r="AN4058" i="4"/>
  <c r="AN4683" i="4"/>
  <c r="AN5256" i="4"/>
  <c r="AN4860" i="4"/>
  <c r="AN4783" i="4"/>
  <c r="AN4970" i="4"/>
  <c r="AN3994" i="4"/>
  <c r="AN5172" i="4"/>
  <c r="AN5111" i="4"/>
  <c r="AN4888" i="4"/>
  <c r="AN4458" i="4"/>
  <c r="AN5265" i="4"/>
  <c r="AN4087" i="4"/>
  <c r="AN4740" i="4"/>
  <c r="AN4670" i="4"/>
  <c r="AN4385" i="4"/>
  <c r="AN5209" i="4"/>
  <c r="AN5317" i="4"/>
  <c r="AN5016" i="4"/>
  <c r="AN4843" i="4"/>
  <c r="AN4694" i="4"/>
  <c r="AN5235" i="4"/>
  <c r="AN5145" i="4"/>
  <c r="AN4406" i="4"/>
  <c r="AN5354" i="4"/>
  <c r="AN4582" i="4"/>
  <c r="AN4192" i="4"/>
  <c r="AN5162" i="4"/>
  <c r="AN5411" i="4"/>
  <c r="AN4896" i="4"/>
  <c r="AN4491" i="4"/>
  <c r="AN5038" i="4"/>
  <c r="AN4583" i="4"/>
  <c r="AN4346" i="4"/>
  <c r="AN4835" i="4"/>
  <c r="AN4423" i="4"/>
  <c r="AN4558" i="4"/>
  <c r="AN5002" i="4"/>
  <c r="AN4029" i="4"/>
  <c r="AN5291" i="4"/>
  <c r="AN5230" i="4"/>
  <c r="AN4920" i="4"/>
  <c r="AN4617" i="4"/>
  <c r="AN4256" i="4"/>
  <c r="AN5011" i="4"/>
  <c r="AN5227" i="4"/>
  <c r="AN4000" i="4"/>
  <c r="AN4799" i="4"/>
  <c r="AN4486" i="4"/>
  <c r="AN5337" i="4"/>
  <c r="AN5280" i="4"/>
  <c r="AN5402" i="4"/>
  <c r="AN4971" i="4"/>
  <c r="AN4566" i="4"/>
  <c r="AN5409" i="4"/>
  <c r="AN5395" i="4"/>
  <c r="AN5216" i="4"/>
  <c r="AN5153" i="4"/>
  <c r="AN4967" i="4"/>
  <c r="AN3801" i="4"/>
  <c r="AN5043" i="4"/>
  <c r="AN5196" i="4"/>
  <c r="AN5195" i="4"/>
  <c r="AN4619" i="4"/>
  <c r="AN4482" i="4"/>
  <c r="AN3964" i="4"/>
  <c r="AN5400" i="4"/>
  <c r="AN5132" i="4"/>
  <c r="AN5194" i="4"/>
  <c r="AN4515" i="4"/>
  <c r="AN4945" i="4"/>
  <c r="AN4658" i="4"/>
  <c r="AN5332" i="4"/>
  <c r="AN5358" i="4"/>
  <c r="AN4535" i="4"/>
  <c r="AN5046" i="4"/>
  <c r="AN4470" i="4"/>
  <c r="AN5293" i="4"/>
  <c r="AN4403" i="4"/>
  <c r="AN4250" i="4"/>
  <c r="AN5035" i="4"/>
  <c r="AN5103" i="4"/>
  <c r="AN5119" i="4"/>
  <c r="AN4807" i="4"/>
  <c r="AN3862" i="4"/>
  <c r="AN4936" i="4"/>
  <c r="AN5292" i="4"/>
  <c r="AN5122" i="4"/>
  <c r="AN4716" i="4"/>
  <c r="AN3997" i="4"/>
  <c r="AN5349" i="4"/>
  <c r="AN4977" i="4"/>
  <c r="AN4507" i="4"/>
  <c r="AN4943" i="4"/>
  <c r="AN4382" i="4"/>
  <c r="AN5329" i="4"/>
  <c r="AN5419" i="4"/>
  <c r="AN5102" i="4"/>
  <c r="AN4963" i="4"/>
  <c r="AN4343" i="4"/>
  <c r="AN5425" i="4"/>
  <c r="AN5090" i="4"/>
  <c r="AN5149" i="4"/>
  <c r="AN4574" i="4"/>
  <c r="AN4712" i="4"/>
  <c r="AN5204" i="4"/>
  <c r="AN5143" i="4"/>
  <c r="AN5178" i="4"/>
  <c r="AN4490" i="4"/>
  <c r="AN4183" i="4"/>
  <c r="AN4840" i="4"/>
  <c r="AN5287" i="4"/>
  <c r="AN5422" i="4"/>
  <c r="AN5389" i="4"/>
  <c r="AN4743" i="4"/>
  <c r="AN5076" i="4"/>
  <c r="AN5189" i="4"/>
  <c r="AN5315" i="4"/>
  <c r="AN4543" i="4"/>
  <c r="AN4823" i="4"/>
  <c r="AN4218" i="4"/>
  <c r="AN5299" i="4"/>
  <c r="AN5263" i="4"/>
  <c r="AN5338" i="4"/>
  <c r="AN4530" i="4"/>
  <c r="AN5231" i="4"/>
  <c r="AN5180" i="4"/>
  <c r="AN5105" i="4"/>
  <c r="AN5108" i="4"/>
  <c r="AN4876" i="4"/>
  <c r="AN4739" i="4"/>
  <c r="AN4528" i="4"/>
  <c r="AN5309" i="4"/>
  <c r="AN5160" i="4"/>
  <c r="AN5218" i="4"/>
  <c r="AN3865" i="4"/>
  <c r="AN5128" i="4"/>
  <c r="AN5139" i="4"/>
  <c r="AN5241" i="4"/>
  <c r="AN5271" i="4"/>
  <c r="AN4792" i="4"/>
  <c r="AN4618" i="4"/>
  <c r="AN4727" i="4"/>
  <c r="AN4594" i="4"/>
  <c r="AN5415" i="4"/>
  <c r="AN5120" i="4"/>
  <c r="AN4728" i="4"/>
  <c r="AN5383" i="4"/>
  <c r="AN5258" i="4"/>
  <c r="AN5290" i="4"/>
  <c r="AN5187" i="4"/>
  <c r="AN4671" i="4"/>
  <c r="AN4523" i="4"/>
  <c r="AN4464" i="4"/>
  <c r="AN4285" i="4"/>
  <c r="AN5391" i="4"/>
  <c r="AN5238" i="4"/>
  <c r="AN4607" i="4"/>
  <c r="AN5359" i="4"/>
  <c r="AN5034" i="4"/>
  <c r="AN5233" i="4"/>
  <c r="AN5410" i="4"/>
  <c r="AN5004" i="4"/>
  <c r="AN4867" i="4"/>
  <c r="AN4282" i="4"/>
  <c r="AN3967" i="4"/>
  <c r="AN3772" i="4"/>
  <c r="AN5150" i="4"/>
  <c r="AN5363" i="4"/>
  <c r="AN4511" i="4"/>
  <c r="AN4962" i="4"/>
  <c r="AN4595" i="4"/>
  <c r="AN4711" i="4"/>
  <c r="AN5244" i="4"/>
  <c r="AN5413" i="4"/>
  <c r="AN5283" i="4"/>
  <c r="AN5282" i="4"/>
  <c r="AN5047" i="4"/>
  <c r="AN4553" i="4"/>
  <c r="AN5344" i="4"/>
  <c r="AN5210" i="4"/>
  <c r="AN5173" i="4"/>
  <c r="AN4119" i="4"/>
  <c r="AN4247" i="4"/>
  <c r="AN5324" i="4"/>
  <c r="AN5154" i="4"/>
  <c r="AN4748" i="4"/>
  <c r="AN4610" i="4"/>
  <c r="AN5217" i="4"/>
  <c r="AN5181" i="4"/>
  <c r="AN4992" i="4"/>
  <c r="AN5015" i="4"/>
  <c r="AN5334" i="4"/>
  <c r="AN5361" i="4"/>
  <c r="AN5364" i="4"/>
  <c r="AN5134" i="4"/>
  <c r="AN4995" i="4"/>
  <c r="AN5079" i="4"/>
  <c r="AN5276" i="4"/>
  <c r="AN5416" i="4"/>
  <c r="AN5278" i="4"/>
  <c r="AN5239" i="4"/>
  <c r="AN4931" i="4"/>
  <c r="AN5246" i="4"/>
  <c r="AN4434" i="4"/>
  <c r="AN5184" i="4"/>
  <c r="AN5048" i="4"/>
  <c r="AN4875" i="4"/>
  <c r="AN4983" i="4"/>
  <c r="AN5427" i="4"/>
  <c r="AN5328" i="4"/>
  <c r="AN5167" i="4"/>
  <c r="AN4756" i="4"/>
  <c r="AN4811" i="4"/>
  <c r="AN5222" i="4"/>
  <c r="AN4724" i="4"/>
  <c r="AN5100" i="4"/>
  <c r="AN4928" i="4"/>
  <c r="AN4780" i="4"/>
  <c r="AN5071" i="4"/>
  <c r="AN4776" i="4"/>
  <c r="AN5304" i="4"/>
  <c r="AN5151" i="4"/>
  <c r="AN4667" i="4"/>
  <c r="AN4459" i="4"/>
  <c r="AN5288" i="4"/>
  <c r="AN4635" i="4"/>
  <c r="AN5323" i="4"/>
  <c r="AN5262" i="4"/>
  <c r="AN4439" i="4"/>
  <c r="AN4874" i="4"/>
  <c r="AN3804" i="4"/>
  <c r="AN5098" i="4"/>
  <c r="AN5406" i="4"/>
  <c r="AN4643" i="4"/>
  <c r="AN4631" i="4"/>
  <c r="AN5041" i="4"/>
  <c r="AN4611" i="4"/>
  <c r="AN5312" i="4"/>
  <c r="AN5347" i="4"/>
  <c r="AN5003" i="4"/>
  <c r="AN4598" i="4"/>
  <c r="AN3766" i="4"/>
  <c r="AN5109" i="4"/>
  <c r="AN5382" i="4"/>
  <c r="AN4884" i="4"/>
  <c r="AN4768" i="4"/>
  <c r="AN4534" i="4"/>
  <c r="AN4852" i="4"/>
  <c r="AN5137" i="4"/>
  <c r="AN5056" i="4"/>
  <c r="AN4651" i="4"/>
  <c r="AN4514" i="4"/>
  <c r="AN4785" i="4"/>
  <c r="AN5085" i="4"/>
  <c r="AN5279" i="4"/>
  <c r="AN5052" i="4"/>
  <c r="AN4719" i="4"/>
  <c r="AN5355" i="4"/>
  <c r="AN4881" i="4"/>
  <c r="AN5261" i="4"/>
  <c r="AN4311" i="4"/>
  <c r="AN4425" i="4"/>
  <c r="AN4498" i="4"/>
  <c r="AN5274" i="4"/>
  <c r="AN4415" i="4"/>
  <c r="AN4951" i="4"/>
  <c r="AN3900" i="4"/>
  <c r="AN5205" i="4"/>
  <c r="AN4856" i="4"/>
  <c r="AN5333" i="4"/>
  <c r="AN5094" i="4"/>
  <c r="AN3833" i="4"/>
  <c r="AN5228" i="4"/>
  <c r="AN4800" i="4"/>
  <c r="AN5080" i="4"/>
  <c r="AN4810" i="4"/>
  <c r="AN4221" i="4"/>
  <c r="AN5176" i="4"/>
  <c r="AN5366" i="4"/>
  <c r="AN4662" i="4"/>
  <c r="AN4353" i="4"/>
  <c r="AN4839" i="4"/>
  <c r="AN5186" i="4"/>
  <c r="AN5036" i="4"/>
  <c r="AN4642" i="4"/>
  <c r="AN3903" i="4"/>
  <c r="AN5213" i="4"/>
  <c r="AN5407" i="4"/>
  <c r="AN4924" i="4"/>
  <c r="AN4847" i="4"/>
  <c r="AN4407" i="4"/>
  <c r="AN5372" i="4"/>
  <c r="AN4815" i="4"/>
  <c r="AN5175" i="4"/>
  <c r="AN4695" i="4"/>
  <c r="AN4522" i="4"/>
  <c r="AN3731" i="4"/>
  <c r="AN4096" i="4"/>
  <c r="AN5319" i="4"/>
  <c r="AN4900" i="4"/>
  <c r="AN4659" i="4"/>
  <c r="AN4842" i="4"/>
  <c r="AN3926" i="4"/>
  <c r="AN5055" i="4"/>
  <c r="AN5260" i="4"/>
  <c r="AN4575" i="4"/>
  <c r="AN4855" i="4"/>
  <c r="AN4974" i="4"/>
  <c r="AN5365" i="4"/>
  <c r="AN5295" i="4"/>
  <c r="AN5142" i="4"/>
  <c r="AN4828" i="4"/>
  <c r="AN4649" i="4"/>
  <c r="AN3961" i="4"/>
  <c r="AN4539" i="4"/>
  <c r="AN5074" i="4"/>
  <c r="AN4908" i="4"/>
  <c r="AN4771" i="4"/>
  <c r="AN4426" i="4"/>
  <c r="AN5341" i="4"/>
  <c r="AN5192" i="4"/>
  <c r="AN5310" i="4"/>
  <c r="AN4975" i="4"/>
  <c r="AN4478" i="4"/>
  <c r="AN3708" i="4"/>
  <c r="AN4772" i="4"/>
  <c r="AN4446" i="4"/>
  <c r="AN4824" i="4"/>
  <c r="AN4907" i="4"/>
  <c r="AN4714" i="4"/>
  <c r="AN4883" i="4"/>
  <c r="AN5104" i="4"/>
  <c r="AN5199" i="4"/>
  <c r="AN4531" i="4"/>
  <c r="AN5075" i="4"/>
  <c r="AN4438" i="4"/>
  <c r="AN4402" i="4"/>
  <c r="AN5042" i="4"/>
  <c r="AN4703" i="4"/>
  <c r="AN4812" i="4"/>
  <c r="AN4721" i="4"/>
  <c r="AN3699" i="4"/>
  <c r="AN5336" i="4"/>
  <c r="AN5270" i="4"/>
  <c r="AN4443" i="4"/>
  <c r="AN5050" i="4"/>
  <c r="AN3868" i="4"/>
  <c r="AN4681" i="4"/>
  <c r="AN5394" i="4"/>
  <c r="AN4923" i="4"/>
  <c r="AN3775" i="4"/>
  <c r="AN4500" i="4"/>
  <c r="AN4126" i="4"/>
  <c r="AN4389" i="4"/>
  <c r="AN4421" i="4"/>
  <c r="AN4019" i="4"/>
  <c r="AN4281" i="4"/>
  <c r="AN3835" i="4"/>
  <c r="AN4552" i="4"/>
  <c r="AN4178" i="4"/>
  <c r="AN3732" i="4"/>
  <c r="AN4509" i="4"/>
  <c r="AN4107" i="4"/>
  <c r="AN4370" i="4"/>
  <c r="AN3923" i="4"/>
  <c r="AN4640" i="4"/>
  <c r="AN4266" i="4"/>
  <c r="AN3820" i="4"/>
  <c r="AN4565" i="4"/>
  <c r="AN4163" i="4"/>
  <c r="AN3717" i="4"/>
  <c r="AN3979" i="4"/>
  <c r="AN4696" i="4"/>
  <c r="AN4322" i="4"/>
  <c r="AN3876" i="4"/>
  <c r="AN4872" i="4"/>
  <c r="AN5275" i="4"/>
  <c r="AN4463" i="4"/>
  <c r="AN4154" i="4"/>
  <c r="AN4725" i="4"/>
  <c r="AN4351" i="4"/>
  <c r="AN3904" i="4"/>
  <c r="AN4645" i="4"/>
  <c r="AN4243" i="4"/>
  <c r="AN3797" i="4"/>
  <c r="AN4060" i="4"/>
  <c r="AN4777" i="4"/>
  <c r="AN3694" i="4"/>
  <c r="AN3956" i="4"/>
  <c r="AN4734" i="4"/>
  <c r="AN4331" i="4"/>
  <c r="AN3885" i="4"/>
  <c r="AN4148" i="4"/>
  <c r="AN4865" i="4"/>
  <c r="AN3782" i="4"/>
  <c r="AN4045" i="4"/>
  <c r="AN4790" i="4"/>
  <c r="AN4388" i="4"/>
  <c r="AN3941" i="4"/>
  <c r="AN4204" i="4"/>
  <c r="AN4921" i="4"/>
  <c r="AN3838" i="4"/>
  <c r="AN4101" i="4"/>
  <c r="AN5185" i="4"/>
  <c r="AN5156" i="4"/>
  <c r="AN4687" i="4"/>
  <c r="AN4489" i="4"/>
  <c r="AN4949" i="4"/>
  <c r="AN3866" i="4"/>
  <c r="AN4129" i="4"/>
  <c r="AN4870" i="4"/>
  <c r="AN3759" i="4"/>
  <c r="AN4022" i="4"/>
  <c r="AN4284" i="4"/>
  <c r="AN5001" i="4"/>
  <c r="AN3918" i="4"/>
  <c r="AN4181" i="4"/>
  <c r="AN4958" i="4"/>
  <c r="AN4484" i="4"/>
  <c r="AN4110" i="4"/>
  <c r="AN4373" i="4"/>
  <c r="AN4409" i="4"/>
  <c r="AN4007" i="4"/>
  <c r="AN4269" i="4"/>
  <c r="AN3823" i="4"/>
  <c r="AN4540" i="4"/>
  <c r="AN4166" i="4"/>
  <c r="AN3720" i="4"/>
  <c r="AN4465" i="4"/>
  <c r="AN4063" i="4"/>
  <c r="AN4325" i="4"/>
  <c r="AN3879" i="4"/>
  <c r="AN5380" i="4"/>
  <c r="AN4912" i="4"/>
  <c r="AN4442" i="4"/>
  <c r="AN4493" i="4"/>
  <c r="AN4091" i="4"/>
  <c r="AN4354" i="4"/>
  <c r="AN3907" i="4"/>
  <c r="AN4620" i="4"/>
  <c r="AN4246" i="4"/>
  <c r="AN3800" i="4"/>
  <c r="AN4545" i="4"/>
  <c r="AN4143" i="4"/>
  <c r="AN3697" i="4"/>
  <c r="AN3959" i="4"/>
  <c r="AN4708" i="4"/>
  <c r="AN4334" i="4"/>
  <c r="AN3888" i="4"/>
  <c r="AN4633" i="4"/>
  <c r="AN4231" i="4"/>
  <c r="AN3785" i="4"/>
  <c r="AN4048" i="4"/>
  <c r="AN4765" i="4"/>
  <c r="AN4391" i="4"/>
  <c r="AN3944" i="4"/>
  <c r="AN4689" i="4"/>
  <c r="AN4287" i="4"/>
  <c r="AN3841" i="4"/>
  <c r="AN4104" i="4"/>
  <c r="AN5257" i="4"/>
  <c r="AN5138" i="4"/>
  <c r="AN4666" i="4"/>
  <c r="AN4718" i="4"/>
  <c r="AN4315" i="4"/>
  <c r="AN3869" i="4"/>
  <c r="AN4132" i="4"/>
  <c r="AN4845" i="4"/>
  <c r="AN3762" i="4"/>
  <c r="AN4025" i="4"/>
  <c r="AN4770" i="4"/>
  <c r="AN4368" i="4"/>
  <c r="AN3921" i="4"/>
  <c r="AN4184" i="4"/>
  <c r="AN4933" i="4"/>
  <c r="AN3850" i="4"/>
  <c r="AN4113" i="4"/>
  <c r="AN4858" i="4"/>
  <c r="AN3747" i="4"/>
  <c r="AN4010" i="4"/>
  <c r="AN4272" i="4"/>
  <c r="AN4989" i="4"/>
  <c r="AN3906" i="4"/>
  <c r="AN4169" i="4"/>
  <c r="AN4914" i="4"/>
  <c r="AN4440" i="4"/>
  <c r="AN4066" i="4"/>
  <c r="AN4328" i="4"/>
  <c r="AN3894" i="4"/>
  <c r="AN5362" i="4"/>
  <c r="AN4891" i="4"/>
  <c r="AN4942" i="4"/>
  <c r="AN4468" i="4"/>
  <c r="AN4094" i="4"/>
  <c r="AN4357" i="4"/>
  <c r="AN5069" i="4"/>
  <c r="AN3986" i="4"/>
  <c r="AN4249" i="4"/>
  <c r="AN3803" i="4"/>
  <c r="AN4520" i="4"/>
  <c r="AN4146" i="4"/>
  <c r="AN3700" i="4"/>
  <c r="AN4477" i="4"/>
  <c r="AN4075" i="4"/>
  <c r="AN4337" i="4"/>
  <c r="AN3891" i="4"/>
  <c r="AN4608" i="4"/>
  <c r="AN4234" i="4"/>
  <c r="AN3788" i="4"/>
  <c r="AN4533" i="4"/>
  <c r="AN4131" i="4"/>
  <c r="AN4394" i="4"/>
  <c r="AN3947" i="4"/>
  <c r="AN4664" i="4"/>
  <c r="AN4290" i="4"/>
  <c r="AN3844" i="4"/>
  <c r="AN4679" i="4"/>
  <c r="AN5243" i="4"/>
  <c r="AN4431" i="4"/>
  <c r="AN3897" i="4"/>
  <c r="AN4692" i="4"/>
  <c r="AN4318" i="4"/>
  <c r="AN3872" i="4"/>
  <c r="AN4613" i="4"/>
  <c r="AN4211" i="4"/>
  <c r="AN3765" i="4"/>
  <c r="AN4028" i="4"/>
  <c r="AN4745" i="4"/>
  <c r="AN4371" i="4"/>
  <c r="AN3924" i="4"/>
  <c r="AN4701" i="4"/>
  <c r="AN4299" i="4"/>
  <c r="AN3853" i="4"/>
  <c r="AN4116" i="4"/>
  <c r="AN4833" i="4"/>
  <c r="AN3750" i="4"/>
  <c r="AN4013" i="4"/>
  <c r="AN4758" i="4"/>
  <c r="AN4356" i="4"/>
  <c r="AN3909" i="4"/>
  <c r="AN4172" i="4"/>
  <c r="AN4889" i="4"/>
  <c r="AN3806" i="4"/>
  <c r="AN4069" i="4"/>
  <c r="AN5340" i="4"/>
  <c r="AN5124" i="4"/>
  <c r="AN4655" i="4"/>
  <c r="AN4913" i="4"/>
  <c r="AN4917" i="4"/>
  <c r="AN3834" i="4"/>
  <c r="AN4097" i="4"/>
  <c r="AN4838" i="4"/>
  <c r="AN3727" i="4"/>
  <c r="AN3989" i="4"/>
  <c r="AN4252" i="4"/>
  <c r="AN4969" i="4"/>
  <c r="AN3886" i="4"/>
  <c r="AN4149" i="4"/>
  <c r="AN4926" i="4"/>
  <c r="AN4452" i="4"/>
  <c r="AN4078" i="4"/>
  <c r="AN4340" i="4"/>
  <c r="AN5057" i="4"/>
  <c r="AN3974" i="4"/>
  <c r="AN4237" i="4"/>
  <c r="AN3791" i="4"/>
  <c r="AN4508" i="4"/>
  <c r="AN4134" i="4"/>
  <c r="AN4397" i="4"/>
  <c r="AN4433" i="4"/>
  <c r="AN4031" i="4"/>
  <c r="AN4293" i="4"/>
  <c r="AN3847" i="4"/>
  <c r="AN5348" i="4"/>
  <c r="AN4880" i="4"/>
  <c r="AN4410" i="4"/>
  <c r="AN4461" i="4"/>
  <c r="AN4059" i="4"/>
  <c r="AN4321" i="4"/>
  <c r="AN3875" i="4"/>
  <c r="AN4588" i="4"/>
  <c r="AN4214" i="4"/>
  <c r="AN3768" i="4"/>
  <c r="AN4513" i="4"/>
  <c r="AN4111" i="4"/>
  <c r="AN4374" i="4"/>
  <c r="AN3927" i="4"/>
  <c r="AN4676" i="4"/>
  <c r="AN4302" i="4"/>
  <c r="AN3856" i="4"/>
  <c r="AN4601" i="4"/>
  <c r="AN4199" i="4"/>
  <c r="AN3753" i="4"/>
  <c r="AN4016" i="4"/>
  <c r="AN4733" i="4"/>
  <c r="AN4359" i="4"/>
  <c r="AN3912" i="4"/>
  <c r="AN4657" i="4"/>
  <c r="AN4255" i="4"/>
  <c r="AN3809" i="4"/>
  <c r="AN4072" i="4"/>
  <c r="AN5225" i="4"/>
  <c r="AN5106" i="4"/>
  <c r="AN4634" i="4"/>
  <c r="AN4685" i="4"/>
  <c r="AN4283" i="4"/>
  <c r="AN3837" i="4"/>
  <c r="AN4100" i="4"/>
  <c r="AN4813" i="4"/>
  <c r="AN3730" i="4"/>
  <c r="AN3993" i="4"/>
  <c r="AN4738" i="4"/>
  <c r="AN4335" i="4"/>
  <c r="AN3889" i="4"/>
  <c r="AN4152" i="4"/>
  <c r="AN4901" i="4"/>
  <c r="AN3818" i="4"/>
  <c r="AN4081" i="4"/>
  <c r="AN4826" i="4"/>
  <c r="AN3715" i="4"/>
  <c r="AN3977" i="4"/>
  <c r="AN4240" i="4"/>
  <c r="AN4957" i="4"/>
  <c r="AN3874" i="4"/>
  <c r="AN4137" i="4"/>
  <c r="AN4882" i="4"/>
  <c r="AN4408" i="4"/>
  <c r="AN4034" i="4"/>
  <c r="AN4296" i="4"/>
  <c r="AN4090" i="4"/>
  <c r="AN5330" i="4"/>
  <c r="AN4859" i="4"/>
  <c r="AN4910" i="4"/>
  <c r="AN4436" i="4"/>
  <c r="AN4062" i="4"/>
  <c r="AN4324" i="4"/>
  <c r="AN5037" i="4"/>
  <c r="AN3954" i="4"/>
  <c r="AN4217" i="4"/>
  <c r="AN3771" i="4"/>
  <c r="AN4488" i="4"/>
  <c r="AN4114" i="4"/>
  <c r="AN4377" i="4"/>
  <c r="AN4445" i="4"/>
  <c r="AN4043" i="4"/>
  <c r="AN4305" i="4"/>
  <c r="AN3859" i="4"/>
  <c r="AN4576" i="4"/>
  <c r="AN4202" i="4"/>
  <c r="AN3756" i="4"/>
  <c r="AN4501" i="4"/>
  <c r="AN4099" i="4"/>
  <c r="AN4362" i="4"/>
  <c r="AN3915" i="4"/>
  <c r="AN4632" i="4"/>
  <c r="AN4258" i="4"/>
  <c r="AN3812" i="4"/>
  <c r="AN4487" i="4"/>
  <c r="AN5211" i="4"/>
  <c r="AN5084" i="4"/>
  <c r="AN4349" i="4"/>
  <c r="AN4660" i="4"/>
  <c r="AN4286" i="4"/>
  <c r="AN3840" i="4"/>
  <c r="AN4581" i="4"/>
  <c r="AN4179" i="4"/>
  <c r="AN3733" i="4"/>
  <c r="AN3996" i="4"/>
  <c r="AN4713" i="4"/>
  <c r="AN4338" i="4"/>
  <c r="AN3892" i="4"/>
  <c r="AN4669" i="4"/>
  <c r="AN4267" i="4"/>
  <c r="AN3821" i="4"/>
  <c r="AN4084" i="4"/>
  <c r="AN4801" i="4"/>
  <c r="AN3718" i="4"/>
  <c r="AN3980" i="4"/>
  <c r="AN4726" i="4"/>
  <c r="AN4323" i="4"/>
  <c r="AN3877" i="4"/>
  <c r="AN4140" i="4"/>
  <c r="AN4857" i="4"/>
  <c r="AN3774" i="4"/>
  <c r="AN4037" i="4"/>
  <c r="AN5116" i="4"/>
  <c r="AN5092" i="4"/>
  <c r="AN4623" i="4"/>
  <c r="AN4656" i="4"/>
  <c r="AN4885" i="4"/>
  <c r="AN3802" i="4"/>
  <c r="AN4065" i="4"/>
  <c r="AN4806" i="4"/>
  <c r="AN3695" i="4"/>
  <c r="AN3957" i="4"/>
  <c r="AN4220" i="4"/>
  <c r="AN4937" i="4"/>
  <c r="AN3854" i="4"/>
  <c r="AN4117" i="4"/>
  <c r="AN4894" i="4"/>
  <c r="AN4420" i="4"/>
  <c r="AN4046" i="4"/>
  <c r="AN4308" i="4"/>
  <c r="AN5025" i="4"/>
  <c r="AN3942" i="4"/>
  <c r="AN4205" i="4"/>
  <c r="AN4950" i="4"/>
  <c r="AN4476" i="4"/>
  <c r="AN4102" i="4"/>
  <c r="AN4365" i="4"/>
  <c r="AN5082" i="4"/>
  <c r="AN3999" i="4"/>
  <c r="AN4261" i="4"/>
  <c r="AN3815" i="4"/>
  <c r="AN5316" i="4"/>
  <c r="AN4848" i="4"/>
  <c r="AN5062" i="4"/>
  <c r="AN4429" i="4"/>
  <c r="AN4027" i="4"/>
  <c r="AN4289" i="4"/>
  <c r="AN3843" i="4"/>
  <c r="AN4556" i="4"/>
  <c r="AN4182" i="4"/>
  <c r="AN3736" i="4"/>
  <c r="AN4481" i="4"/>
  <c r="AN4079" i="4"/>
  <c r="AN4341" i="4"/>
  <c r="AN3895" i="4"/>
  <c r="AN4644" i="4"/>
  <c r="AN4270" i="4"/>
  <c r="AN3824" i="4"/>
  <c r="AN4569" i="4"/>
  <c r="AN4167" i="4"/>
  <c r="AN3721" i="4"/>
  <c r="AN3983" i="4"/>
  <c r="AN4700" i="4"/>
  <c r="AN4326" i="4"/>
  <c r="AN3880" i="4"/>
  <c r="AN4625" i="4"/>
  <c r="AN4223" i="4"/>
  <c r="AN3777" i="4"/>
  <c r="AN4040" i="4"/>
  <c r="AN5193" i="4"/>
  <c r="AN5073" i="4"/>
  <c r="AN4602" i="4"/>
  <c r="AN4653" i="4"/>
  <c r="AN4251" i="4"/>
  <c r="AN3805" i="4"/>
  <c r="AN4068" i="4"/>
  <c r="AN4781" i="4"/>
  <c r="AN3698" i="4"/>
  <c r="AN3960" i="4"/>
  <c r="AN4705" i="4"/>
  <c r="AN4303" i="4"/>
  <c r="AN3857" i="4"/>
  <c r="AN4120" i="4"/>
  <c r="AN4869" i="4"/>
  <c r="AN3786" i="4"/>
  <c r="AN4049" i="4"/>
  <c r="AN4794" i="4"/>
  <c r="AN4392" i="4"/>
  <c r="AN3945" i="4"/>
  <c r="AN4208" i="4"/>
  <c r="AN4925" i="4"/>
  <c r="AN3842" i="4"/>
  <c r="AN4105" i="4"/>
  <c r="AN4850" i="4"/>
  <c r="AN3739" i="4"/>
  <c r="AN4002" i="4"/>
  <c r="AN4264" i="4"/>
  <c r="AN5417" i="4"/>
  <c r="AN5298" i="4"/>
  <c r="AN4827" i="4"/>
  <c r="AN4878" i="4"/>
  <c r="AN4404" i="4"/>
  <c r="AN4030" i="4"/>
  <c r="AN4292" i="4"/>
  <c r="AN5005" i="4"/>
  <c r="AN3922" i="4"/>
  <c r="AN4185" i="4"/>
  <c r="AN4930" i="4"/>
  <c r="AN4456" i="4"/>
  <c r="AN4082" i="4"/>
  <c r="AN4344" i="4"/>
  <c r="AN4413" i="4"/>
  <c r="AN4011" i="4"/>
  <c r="AN4273" i="4"/>
  <c r="AN3827" i="4"/>
  <c r="AN4544" i="4"/>
  <c r="AN4170" i="4"/>
  <c r="AN3724" i="4"/>
  <c r="AN4469" i="4"/>
  <c r="AN4067" i="4"/>
  <c r="AN4329" i="4"/>
  <c r="AN3883" i="4"/>
  <c r="AN4600" i="4"/>
  <c r="AN4226" i="4"/>
  <c r="AN3780" i="4"/>
  <c r="AN4979" i="4"/>
  <c r="AN5179" i="4"/>
  <c r="AN5051" i="4"/>
  <c r="AN4093" i="4"/>
  <c r="AN4628" i="4"/>
  <c r="AN4254" i="4"/>
  <c r="AN3808" i="4"/>
  <c r="AN4549" i="4"/>
  <c r="AN4147" i="4"/>
  <c r="AN3701" i="4"/>
  <c r="AN3963" i="4"/>
  <c r="AN4680" i="4"/>
  <c r="AN4306" i="4"/>
  <c r="AN3860" i="4"/>
  <c r="AN4637" i="4"/>
  <c r="AN4235" i="4"/>
  <c r="AN3789" i="4"/>
  <c r="AN4052" i="4"/>
  <c r="AN4769" i="4"/>
  <c r="AN4395" i="4"/>
  <c r="AN3948" i="4"/>
  <c r="AN4693" i="4"/>
  <c r="AN4291" i="4"/>
  <c r="AN3845" i="4"/>
  <c r="AN4108" i="4"/>
  <c r="AN4825" i="4"/>
  <c r="AN3742" i="4"/>
  <c r="AN4005" i="4"/>
  <c r="AN5267" i="4"/>
  <c r="AN5403" i="4"/>
  <c r="AN4591" i="4"/>
  <c r="AN3763" i="4"/>
  <c r="AN4853" i="4"/>
  <c r="AN3770" i="4"/>
  <c r="AN4033" i="4"/>
  <c r="AN4774" i="4"/>
  <c r="AN4372" i="4"/>
  <c r="AN3925" i="4"/>
  <c r="AN4188" i="4"/>
  <c r="AN4905" i="4"/>
  <c r="AN3822" i="4"/>
  <c r="AN4085" i="4"/>
  <c r="AN4862" i="4"/>
  <c r="AN3751" i="4"/>
  <c r="AN4014" i="4"/>
  <c r="AN4276" i="4"/>
  <c r="AN4993" i="4"/>
  <c r="AN3910" i="4"/>
  <c r="AN4173" i="4"/>
  <c r="AN4918" i="4"/>
  <c r="AN4444" i="4"/>
  <c r="AN4070" i="4"/>
  <c r="AN4332" i="4"/>
  <c r="AN5049" i="4"/>
  <c r="AN3966" i="4"/>
  <c r="AN4229" i="4"/>
  <c r="AN3783" i="4"/>
  <c r="AN4320" i="4"/>
  <c r="AN5284" i="4"/>
  <c r="AN4816" i="4"/>
  <c r="AN5030" i="4"/>
  <c r="AN5078" i="4"/>
  <c r="AN3995" i="4"/>
  <c r="AN4257" i="4"/>
  <c r="AN3811" i="4"/>
  <c r="AN4524" i="4"/>
  <c r="AN4150" i="4"/>
  <c r="AN3704" i="4"/>
  <c r="AN4449" i="4"/>
  <c r="AN4047" i="4"/>
  <c r="AN4309" i="4"/>
  <c r="AN3863" i="4"/>
  <c r="AN4612" i="4"/>
  <c r="AN4238" i="4"/>
  <c r="AN3792" i="4"/>
  <c r="AN4537" i="4"/>
  <c r="AN4135" i="4"/>
  <c r="AN4398" i="4"/>
  <c r="AN3951" i="4"/>
  <c r="AN4668" i="4"/>
  <c r="AN4294" i="4"/>
  <c r="AN3848" i="4"/>
  <c r="AN4593" i="4"/>
  <c r="AN4191" i="4"/>
  <c r="AN3745" i="4"/>
  <c r="AN4008" i="4"/>
  <c r="AN5161" i="4"/>
  <c r="AN5040" i="4"/>
  <c r="AN4570" i="4"/>
  <c r="AN4621" i="4"/>
  <c r="AN4219" i="4"/>
  <c r="AN3773" i="4"/>
  <c r="AN4036" i="4"/>
  <c r="AN4749" i="4"/>
  <c r="AN4375" i="4"/>
  <c r="AN3928" i="4"/>
  <c r="AN4673" i="4"/>
  <c r="AN4271" i="4"/>
  <c r="AN3825" i="4"/>
  <c r="AN4088" i="4"/>
  <c r="AN4837" i="4"/>
  <c r="AN3754" i="4"/>
  <c r="AN4017" i="4"/>
  <c r="AN4762" i="4"/>
  <c r="AN4360" i="4"/>
  <c r="AN3913" i="4"/>
  <c r="AN4176" i="4"/>
  <c r="AN4893" i="4"/>
  <c r="AN3810" i="4"/>
  <c r="AN4073" i="4"/>
  <c r="AN4818" i="4"/>
  <c r="AN3707" i="4"/>
  <c r="AN3969" i="4"/>
  <c r="AN4232" i="4"/>
  <c r="AN5385" i="4"/>
  <c r="AN5266" i="4"/>
  <c r="AN4795" i="4"/>
  <c r="AN4846" i="4"/>
  <c r="AN3735" i="4"/>
  <c r="AN3998" i="4"/>
  <c r="AN4260" i="4"/>
  <c r="AN4973" i="4"/>
  <c r="AN3890" i="4"/>
  <c r="AN4153" i="4"/>
  <c r="AN4898" i="4"/>
  <c r="AN4424" i="4"/>
  <c r="AN4050" i="4"/>
  <c r="AN4312" i="4"/>
  <c r="AN5061" i="4"/>
  <c r="AN3978" i="4"/>
  <c r="AN4241" i="4"/>
  <c r="AN3795" i="4"/>
  <c r="AN4512" i="4"/>
  <c r="AN4138" i="4"/>
  <c r="AN4401" i="4"/>
  <c r="AN4437" i="4"/>
  <c r="AN4035" i="4"/>
  <c r="AN4297" i="4"/>
  <c r="AN3851" i="4"/>
  <c r="AN4568" i="4"/>
  <c r="AN4194" i="4"/>
  <c r="AN3748" i="4"/>
  <c r="AN4755" i="4"/>
  <c r="AN5147" i="4"/>
  <c r="AN5019" i="4"/>
  <c r="AN3836" i="4"/>
  <c r="AN4596" i="4"/>
  <c r="AN4222" i="4"/>
  <c r="AN3776" i="4"/>
  <c r="AN4517" i="4"/>
  <c r="AN4115" i="4"/>
  <c r="AN4378" i="4"/>
  <c r="AN3931" i="4"/>
  <c r="AN4648" i="4"/>
  <c r="AN4274" i="4"/>
  <c r="AN3828" i="4"/>
  <c r="AN4605" i="4"/>
  <c r="AN4203" i="4"/>
  <c r="AN3757" i="4"/>
  <c r="AN4020" i="4"/>
  <c r="AN4737" i="4"/>
  <c r="AN4363" i="4"/>
  <c r="AN3916" i="4"/>
  <c r="AN4661" i="4"/>
  <c r="AN4259" i="4"/>
  <c r="AN3813" i="4"/>
  <c r="AN4076" i="4"/>
  <c r="AN4793" i="4"/>
  <c r="AN3710" i="4"/>
  <c r="AN3972" i="4"/>
  <c r="AN5386" i="4"/>
  <c r="AN5371" i="4"/>
  <c r="AN4559" i="4"/>
  <c r="AN4215" i="4"/>
  <c r="AN4821" i="4"/>
  <c r="AN3738" i="4"/>
  <c r="AN4001" i="4"/>
  <c r="AN4742" i="4"/>
  <c r="AN4339" i="4"/>
  <c r="AN3893" i="4"/>
  <c r="AN4156" i="4"/>
  <c r="AN4873" i="4"/>
  <c r="AN3790" i="4"/>
  <c r="AN4053" i="4"/>
  <c r="AN4830" i="4"/>
  <c r="AN3719" i="4"/>
  <c r="AN3981" i="4"/>
  <c r="AN4244" i="4"/>
  <c r="AN4961" i="4"/>
  <c r="AN3878" i="4"/>
  <c r="AN4141" i="4"/>
  <c r="AN4886" i="4"/>
  <c r="AN4412" i="4"/>
  <c r="AN4038" i="4"/>
  <c r="AN4300" i="4"/>
  <c r="AN5017" i="4"/>
  <c r="AN3934" i="4"/>
  <c r="AN4197" i="4"/>
  <c r="AN4064" i="4"/>
  <c r="AN5252" i="4"/>
  <c r="AN4784" i="4"/>
  <c r="AN4998" i="4"/>
  <c r="AN5045" i="4"/>
  <c r="AN3962" i="4"/>
  <c r="AN4225" i="4"/>
  <c r="AN3779" i="4"/>
  <c r="AN4492" i="4"/>
  <c r="AN4118" i="4"/>
  <c r="AN4381" i="4"/>
  <c r="AN4417" i="4"/>
  <c r="AN4015" i="4"/>
  <c r="AN4277" i="4"/>
  <c r="AN3831" i="4"/>
  <c r="AN4580" i="4"/>
  <c r="AN4206" i="4"/>
  <c r="AN3760" i="4"/>
  <c r="AN4505" i="4"/>
  <c r="AN4103" i="4"/>
  <c r="AN4366" i="4"/>
  <c r="AN3919" i="4"/>
  <c r="AN4636" i="4"/>
  <c r="AN4262" i="4"/>
  <c r="AN3816" i="4"/>
  <c r="AN4561" i="4"/>
  <c r="AN4159" i="4"/>
  <c r="AN3713" i="4"/>
  <c r="AN3975" i="4"/>
  <c r="AN5129" i="4"/>
  <c r="AN5008" i="4"/>
  <c r="AN4538" i="4"/>
  <c r="AN4589" i="4"/>
  <c r="AN4187" i="4"/>
  <c r="AN3741" i="4"/>
  <c r="AN4004" i="4"/>
  <c r="AN4717" i="4"/>
  <c r="AN4342" i="4"/>
  <c r="AN3896" i="4"/>
  <c r="AN4641" i="4"/>
  <c r="AN4239" i="4"/>
  <c r="AN3793" i="4"/>
  <c r="AN4056" i="4"/>
  <c r="AN4805" i="4"/>
  <c r="AN3722" i="4"/>
  <c r="AN3984" i="4"/>
  <c r="AN4730" i="4"/>
  <c r="AN4327" i="4"/>
  <c r="AN3881" i="4"/>
  <c r="AN4144" i="4"/>
  <c r="AN4861" i="4"/>
  <c r="AN3778" i="4"/>
  <c r="AN4041" i="4"/>
  <c r="AN4786" i="4"/>
  <c r="AN4384" i="4"/>
  <c r="AN3937" i="4"/>
  <c r="AN4200" i="4"/>
  <c r="AN5353" i="4"/>
  <c r="AN5234" i="4"/>
  <c r="AN4763" i="4"/>
  <c r="AN4814" i="4"/>
  <c r="AN3703" i="4"/>
  <c r="AN3965" i="4"/>
  <c r="AN4228" i="4"/>
  <c r="AN4941" i="4"/>
  <c r="AN3858" i="4"/>
  <c r="AN4121" i="4"/>
  <c r="AN4866" i="4"/>
  <c r="AN3755" i="4"/>
  <c r="AN4018" i="4"/>
  <c r="AN4280" i="4"/>
  <c r="AN5029" i="4"/>
  <c r="AN3946" i="4"/>
  <c r="AN4209" i="4"/>
  <c r="AN4954" i="4"/>
  <c r="AN4480" i="4"/>
  <c r="AN4106" i="4"/>
  <c r="AN4369" i="4"/>
  <c r="AN4405" i="4"/>
  <c r="AN4003" i="4"/>
  <c r="AN4265" i="4"/>
  <c r="AN3819" i="4"/>
  <c r="AN4536" i="4"/>
  <c r="AN4162" i="4"/>
  <c r="AN3716" i="4"/>
  <c r="AN4562" i="4"/>
  <c r="AN5115" i="4"/>
  <c r="AN4987" i="4"/>
  <c r="AN4288" i="4"/>
  <c r="AN4564" i="4"/>
  <c r="AN4190" i="4"/>
  <c r="AN3744" i="4"/>
  <c r="AN4485" i="4"/>
  <c r="AN4083" i="4"/>
  <c r="AN4345" i="4"/>
  <c r="AN3899" i="4"/>
  <c r="AN4616" i="4"/>
  <c r="AN4242" i="4"/>
  <c r="AN3796" i="4"/>
  <c r="AN4573" i="4"/>
  <c r="AN4171" i="4"/>
  <c r="AN3725" i="4"/>
  <c r="AN3987" i="4"/>
  <c r="AN4704" i="4"/>
  <c r="AN4330" i="4"/>
  <c r="AN3884" i="4"/>
  <c r="AN4629" i="4"/>
  <c r="AN4227" i="4"/>
  <c r="AN3781" i="4"/>
  <c r="AN4044" i="4"/>
  <c r="AN4761" i="4"/>
  <c r="AN4387" i="4"/>
  <c r="AN3940" i="4"/>
  <c r="AN5226" i="4"/>
  <c r="AN5339" i="4"/>
  <c r="AN4527" i="4"/>
  <c r="AN3958" i="4"/>
  <c r="AN4789" i="4"/>
  <c r="AN3706" i="4"/>
  <c r="AN3968" i="4"/>
  <c r="AN4709" i="4"/>
  <c r="AN4307" i="4"/>
  <c r="AN3861" i="4"/>
  <c r="AN4124" i="4"/>
  <c r="AN4841" i="4"/>
  <c r="AN3758" i="4"/>
  <c r="AN4021" i="4"/>
  <c r="AN4798" i="4"/>
  <c r="AN4396" i="4"/>
  <c r="AN3949" i="4"/>
  <c r="AN4212" i="4"/>
  <c r="AN4929" i="4"/>
  <c r="AN3846" i="4"/>
  <c r="AN4109" i="4"/>
  <c r="AN4854" i="4"/>
  <c r="AN3743" i="4"/>
  <c r="AN4006" i="4"/>
  <c r="AN4268" i="4"/>
  <c r="AN4985" i="4"/>
  <c r="AN3902" i="4"/>
  <c r="AN4165" i="4"/>
  <c r="AN3807" i="4"/>
  <c r="AN5220" i="4"/>
  <c r="AN4752" i="4"/>
  <c r="AN4966" i="4"/>
  <c r="AN5013" i="4"/>
  <c r="AN3930" i="4"/>
  <c r="AN4193" i="4"/>
  <c r="AN4934" i="4"/>
  <c r="AN4460" i="4"/>
  <c r="AN4086" i="4"/>
  <c r="AN4348" i="4"/>
  <c r="AN5065" i="4"/>
  <c r="AN3982" i="4"/>
  <c r="AN4245" i="4"/>
  <c r="AN3799" i="4"/>
  <c r="AN4548" i="4"/>
  <c r="AN4174" i="4"/>
  <c r="AN3728" i="4"/>
  <c r="AN4473" i="4"/>
  <c r="AN4071" i="4"/>
  <c r="AN4333" i="4"/>
  <c r="AN3887" i="4"/>
  <c r="AN4604" i="4"/>
  <c r="AN4230" i="4"/>
  <c r="AN3784" i="4"/>
  <c r="AN4529" i="4"/>
  <c r="AN4127" i="4"/>
  <c r="AN4390" i="4"/>
  <c r="AN3943" i="4"/>
  <c r="AN5097" i="4"/>
  <c r="AN4976" i="4"/>
  <c r="AN4506" i="4"/>
  <c r="AN4557" i="4"/>
  <c r="AN4155" i="4"/>
  <c r="AN3709" i="4"/>
  <c r="AN3971" i="4"/>
  <c r="AN4684" i="4"/>
  <c r="AN4310" i="4"/>
  <c r="AN3864" i="4"/>
  <c r="AN4609" i="4"/>
  <c r="AN4207" i="4"/>
  <c r="AN3761" i="4"/>
  <c r="AN4024" i="4"/>
  <c r="AN4773" i="4"/>
  <c r="AN4399" i="4"/>
  <c r="AN3952" i="4"/>
  <c r="AN4697" i="4"/>
  <c r="AN4295" i="4"/>
  <c r="AN3849" i="4"/>
  <c r="AN4112" i="4"/>
  <c r="AN4829" i="4"/>
  <c r="AN3746" i="4"/>
  <c r="AN4009" i="4"/>
  <c r="AN4754" i="4"/>
  <c r="AN4352" i="4"/>
  <c r="AN3905" i="4"/>
  <c r="AN4168" i="4"/>
  <c r="AN5321" i="4"/>
  <c r="AN5202" i="4"/>
  <c r="AN4731" i="4"/>
  <c r="AN4782" i="4"/>
  <c r="AN4380" i="4"/>
  <c r="AN3933" i="4"/>
  <c r="AN4196" i="4"/>
  <c r="AN4909" i="4"/>
  <c r="AN3826" i="4"/>
  <c r="AN4089" i="4"/>
  <c r="AN4834" i="4"/>
  <c r="AN3723" i="4"/>
  <c r="AN3985" i="4"/>
  <c r="AN4248" i="4"/>
  <c r="AN4997" i="4"/>
  <c r="AN3914" i="4"/>
  <c r="AN4177" i="4"/>
  <c r="AN4922" i="4"/>
  <c r="AN4448" i="4"/>
  <c r="AN4074" i="4"/>
  <c r="AN4336" i="4"/>
  <c r="AN5053" i="4"/>
  <c r="AN3970" i="4"/>
  <c r="AN4233" i="4"/>
  <c r="AN3787" i="4"/>
  <c r="AN4504" i="4"/>
  <c r="AN4130" i="4"/>
  <c r="AN4393" i="4"/>
  <c r="AN5054" i="4"/>
  <c r="AN5426" i="4"/>
  <c r="AN4955" i="4"/>
  <c r="AN4032" i="4"/>
  <c r="AN4532" i="4"/>
  <c r="AN4158" i="4"/>
  <c r="AN3712" i="4"/>
  <c r="AN4453" i="4"/>
  <c r="AN4051" i="4"/>
  <c r="AN4313" i="4"/>
  <c r="AN3867" i="4"/>
  <c r="AN4584" i="4"/>
  <c r="AN4210" i="4"/>
  <c r="AN3764" i="4"/>
  <c r="AN4541" i="4"/>
  <c r="AN4139" i="4"/>
  <c r="AN3693" i="4"/>
  <c r="AN3955" i="4"/>
  <c r="AN4672" i="4"/>
  <c r="AN4298" i="4"/>
  <c r="AN3852" i="4"/>
  <c r="AN4597" i="4"/>
  <c r="AN4195" i="4"/>
  <c r="AN3749" i="4"/>
  <c r="AN4012" i="4"/>
  <c r="AN4729" i="4"/>
  <c r="AN4355" i="4"/>
  <c r="AN3908" i="4"/>
  <c r="AN5064" i="4"/>
  <c r="AN5307" i="4"/>
  <c r="AN4495" i="4"/>
  <c r="AN3702" i="4"/>
  <c r="AN4757" i="4"/>
  <c r="AN4383" i="4"/>
  <c r="AN3936" i="4"/>
  <c r="AN4677" i="4"/>
  <c r="AN4275" i="4"/>
  <c r="AN3829" i="4"/>
  <c r="AN4092" i="4"/>
  <c r="AN4809" i="4"/>
  <c r="AN3726" i="4"/>
  <c r="AN3988" i="4"/>
  <c r="AN4766" i="4"/>
  <c r="AN4364" i="4"/>
  <c r="AN3917" i="4"/>
  <c r="AN4180" i="4"/>
  <c r="AN4897" i="4"/>
  <c r="AN3814" i="4"/>
  <c r="AN4077" i="4"/>
  <c r="AN4822" i="4"/>
  <c r="AN3711" i="4"/>
  <c r="AN3973" i="4"/>
  <c r="AN4236" i="4"/>
  <c r="AN4953" i="4"/>
  <c r="AN3870" i="4"/>
  <c r="AN4133" i="4"/>
  <c r="AN5377" i="4"/>
  <c r="AN5188" i="4"/>
  <c r="AN4720" i="4"/>
  <c r="AN4746" i="4"/>
  <c r="AN4981" i="4"/>
  <c r="AN3898" i="4"/>
  <c r="AN4161" i="4"/>
  <c r="AN4902" i="4"/>
  <c r="AN4428" i="4"/>
  <c r="AN4054" i="4"/>
  <c r="AN4316" i="4"/>
  <c r="AN5033" i="4"/>
  <c r="AN3950" i="4"/>
  <c r="AN4213" i="4"/>
  <c r="AN3767" i="4"/>
  <c r="AN4516" i="4"/>
  <c r="AN4142" i="4"/>
  <c r="AN3696" i="4"/>
  <c r="AN4441" i="4"/>
  <c r="AN4039" i="4"/>
  <c r="AN4301" i="4"/>
  <c r="AN3855" i="4"/>
  <c r="AN4572" i="4"/>
  <c r="AN4198" i="4"/>
  <c r="AN3752" i="4"/>
  <c r="AN4497" i="4"/>
  <c r="AN4095" i="4"/>
  <c r="AN4358" i="4"/>
  <c r="AN3911" i="4"/>
  <c r="AN5412" i="4"/>
  <c r="AN4944" i="4"/>
  <c r="AN4474" i="4"/>
  <c r="AN4525" i="4"/>
  <c r="AN4123" i="4"/>
  <c r="AN4386" i="4"/>
  <c r="AN3939" i="4"/>
  <c r="AN4652" i="4"/>
  <c r="AN4278" i="4"/>
  <c r="AN3832" i="4"/>
  <c r="AN4577" i="4"/>
  <c r="AN4175" i="4"/>
  <c r="AN3729" i="4"/>
  <c r="AN3992" i="4"/>
  <c r="AN4741" i="4"/>
  <c r="AN4367" i="4"/>
  <c r="AN3920" i="4"/>
  <c r="AN4665" i="4"/>
  <c r="AN4263" i="4"/>
  <c r="AN3817" i="4"/>
  <c r="AN4080" i="4"/>
  <c r="AN4797" i="4"/>
  <c r="AN3714" i="4"/>
  <c r="AN3976" i="4"/>
  <c r="AN4722" i="4"/>
  <c r="AN4319" i="4"/>
  <c r="AN3873" i="4"/>
  <c r="AN4136" i="4"/>
  <c r="AN5289" i="4"/>
  <c r="AN5170" i="4"/>
  <c r="AN4698" i="4"/>
  <c r="AN4750" i="4"/>
  <c r="AN4347" i="4"/>
  <c r="AN3901" i="4"/>
  <c r="AN4164" i="4"/>
  <c r="AN4877" i="4"/>
  <c r="AN3794" i="4"/>
  <c r="AN4057" i="4"/>
  <c r="AN4802" i="4"/>
  <c r="AN4400" i="4"/>
  <c r="AN3953" i="4"/>
  <c r="AN4216" i="4"/>
  <c r="AN4965" i="4"/>
  <c r="AN3882" i="4"/>
  <c r="AN4145" i="4"/>
  <c r="AN4890" i="4"/>
  <c r="AN4416" i="4"/>
  <c r="AN4042" i="4"/>
  <c r="AN4304" i="4"/>
  <c r="AN5021" i="4"/>
  <c r="AN3938" i="4"/>
  <c r="AN4201" i="4"/>
  <c r="AN4946" i="4"/>
  <c r="AN4472" i="4"/>
  <c r="AN4098" i="4"/>
  <c r="AN4361" i="4"/>
</calcChain>
</file>

<file path=xl/sharedStrings.xml><?xml version="1.0" encoding="utf-8"?>
<sst xmlns="http://schemas.openxmlformats.org/spreadsheetml/2006/main" count="2915" uniqueCount="584">
  <si>
    <t>Fecha Hoy</t>
  </si>
  <si>
    <t>Fecha</t>
  </si>
  <si>
    <t>Delta</t>
  </si>
  <si>
    <t>Plazo [dias]</t>
  </si>
  <si>
    <t>Tasa Corta</t>
  </si>
  <si>
    <t>Factor dia</t>
  </si>
  <si>
    <t>Plazo</t>
  </si>
  <si>
    <t>BTP0600318</t>
  </si>
  <si>
    <t>Duration</t>
  </si>
  <si>
    <t>BTP0600317</t>
  </si>
  <si>
    <t>BTP0600120</t>
  </si>
  <si>
    <t>Premio</t>
  </si>
  <si>
    <t>BTP0600118</t>
  </si>
  <si>
    <t>BCP0600518</t>
  </si>
  <si>
    <t>BCP0600221</t>
  </si>
  <si>
    <t>Periodo</t>
  </si>
  <si>
    <t>Tasa Spot</t>
  </si>
  <si>
    <t>Spread</t>
  </si>
  <si>
    <t>Devengo</t>
  </si>
  <si>
    <t>G/P Cap.</t>
  </si>
  <si>
    <t>RPM</t>
  </si>
  <si>
    <t>Relativos</t>
  </si>
  <si>
    <t>BEI-2</t>
  </si>
  <si>
    <t>BEI-5</t>
  </si>
  <si>
    <t>BEI-10</t>
  </si>
  <si>
    <t>Spreads</t>
  </si>
  <si>
    <t>Años</t>
  </si>
  <si>
    <t>IF $ 360</t>
  </si>
  <si>
    <t>IF UF 360</t>
  </si>
  <si>
    <t>IF $ 120</t>
  </si>
  <si>
    <t>Hoy</t>
  </si>
  <si>
    <t>Esperado (4 meses)</t>
  </si>
  <si>
    <t>Asset Class</t>
  </si>
  <si>
    <t>Inputs</t>
  </si>
  <si>
    <t>Inflación</t>
  </si>
  <si>
    <t>Trayectoria TPM</t>
  </si>
  <si>
    <t>Factor</t>
  </si>
  <si>
    <t>Bear</t>
  </si>
  <si>
    <t>TPM</t>
  </si>
  <si>
    <t>Base</t>
  </si>
  <si>
    <t>Bull</t>
  </si>
  <si>
    <t>Extreme</t>
  </si>
  <si>
    <t>BCP0600618</t>
  </si>
  <si>
    <t>BCP0600323</t>
  </si>
  <si>
    <t>BTP0600122</t>
  </si>
  <si>
    <t>Plazo en Meses</t>
  </si>
  <si>
    <t>Papeles en el benchmark</t>
  </si>
  <si>
    <t>Benchmark</t>
  </si>
  <si>
    <t>Instrumentos</t>
  </si>
  <si>
    <t>UF-02</t>
  </si>
  <si>
    <t>UF-03</t>
  </si>
  <si>
    <t>BTU0300117</t>
  </si>
  <si>
    <t>BCU0300317</t>
  </si>
  <si>
    <t>BCU0300517</t>
  </si>
  <si>
    <t>BTU0300717</t>
  </si>
  <si>
    <t>BCU0300717</t>
  </si>
  <si>
    <t>UF-04</t>
  </si>
  <si>
    <t>BCU0300118</t>
  </si>
  <si>
    <t>BCU0300318</t>
  </si>
  <si>
    <t>BCU0300718</t>
  </si>
  <si>
    <t>BCU0300818</t>
  </si>
  <si>
    <t>BCU0301018</t>
  </si>
  <si>
    <t>UF-05</t>
  </si>
  <si>
    <t>BTU0300119</t>
  </si>
  <si>
    <t>BCU0300519</t>
  </si>
  <si>
    <t>BTU0300719</t>
  </si>
  <si>
    <t>BTU0300120</t>
  </si>
  <si>
    <t>UF-07</t>
  </si>
  <si>
    <t>BCU0300221</t>
  </si>
  <si>
    <t>BTU0300122</t>
  </si>
  <si>
    <t>BCU0300322</t>
  </si>
  <si>
    <t>UF-10</t>
  </si>
  <si>
    <t>BCU0500922</t>
  </si>
  <si>
    <t>BCU0300323</t>
  </si>
  <si>
    <t>BTU0451023</t>
  </si>
  <si>
    <t>BTU0300124</t>
  </si>
  <si>
    <t>UF-20</t>
  </si>
  <si>
    <t>BCU0300231</t>
  </si>
  <si>
    <t>BTU0300132</t>
  </si>
  <si>
    <t>BTU0300134</t>
  </si>
  <si>
    <t>UF-30</t>
  </si>
  <si>
    <t>BTU0300140</t>
  </si>
  <si>
    <t>BCU0300241</t>
  </si>
  <si>
    <t>BTU0300142</t>
  </si>
  <si>
    <t>BTU0300144</t>
  </si>
  <si>
    <t>BCP0600117</t>
  </si>
  <si>
    <t>BCP0600617</t>
  </si>
  <si>
    <t>BCP0600318</t>
  </si>
  <si>
    <t>BTP0600119</t>
  </si>
  <si>
    <t>BCP0600322</t>
  </si>
  <si>
    <t>BTP0600124</t>
  </si>
  <si>
    <t>BTP0600132</t>
  </si>
  <si>
    <t>BTP0600134</t>
  </si>
  <si>
    <t>BTP0600143</t>
  </si>
  <si>
    <t>Mes</t>
  </si>
  <si>
    <t>UF Proyectada</t>
  </si>
  <si>
    <t>Proyeccion UF</t>
  </si>
  <si>
    <t>Cero CLP</t>
  </si>
  <si>
    <t>Cero UF</t>
  </si>
  <si>
    <t>Fecha UF</t>
  </si>
  <si>
    <t>Venc</t>
  </si>
  <si>
    <t>Diferencia</t>
  </si>
  <si>
    <t>Instrumento</t>
  </si>
  <si>
    <t>Tipo</t>
  </si>
  <si>
    <t>N° Negocios</t>
  </si>
  <si>
    <t>Cantidad</t>
  </si>
  <si>
    <t>Reaj.</t>
  </si>
  <si>
    <t>Monto $</t>
  </si>
  <si>
    <t>Precio Mayor</t>
  </si>
  <si>
    <t>Precio Menor</t>
  </si>
  <si>
    <t>Precio Medio</t>
  </si>
  <si>
    <t>TIR Mayor</t>
  </si>
  <si>
    <t>TIR Menor</t>
  </si>
  <si>
    <t>TIR Media</t>
  </si>
  <si>
    <t>$</t>
  </si>
  <si>
    <t>BT</t>
  </si>
  <si>
    <t>UF</t>
  </si>
  <si>
    <t>Corp UF 02</t>
  </si>
  <si>
    <t>Corp UF 05</t>
  </si>
  <si>
    <t>Corp UF 10</t>
  </si>
  <si>
    <t>Corp UF 07</t>
  </si>
  <si>
    <t>PES02B Index</t>
  </si>
  <si>
    <t>PES05B Index</t>
  </si>
  <si>
    <t>PES07B Index</t>
  </si>
  <si>
    <t>PES10B Index</t>
  </si>
  <si>
    <t>UF02B Index</t>
  </si>
  <si>
    <t>UF05B Index</t>
  </si>
  <si>
    <t>UF07B Index</t>
  </si>
  <si>
    <t>UF10B Index</t>
  </si>
  <si>
    <t>Inflacion Dev. Periodo</t>
  </si>
  <si>
    <t>Dur</t>
  </si>
  <si>
    <t>Tasa Proyect</t>
  </si>
  <si>
    <t>IF UF</t>
  </si>
  <si>
    <t>IF CLP</t>
  </si>
  <si>
    <t>IPC Mercado</t>
  </si>
  <si>
    <t>IPC Simulado</t>
  </si>
  <si>
    <t>Tir Mkt CLP Comp</t>
  </si>
  <si>
    <t>Tir CLP Comp</t>
  </si>
  <si>
    <t>Breakeven Mkt</t>
  </si>
  <si>
    <t>Tir Mkt</t>
  </si>
  <si>
    <t>Tir Mkt (t-1)</t>
  </si>
  <si>
    <t>Tir Mkt t</t>
  </si>
  <si>
    <t>Delta_t Mkt</t>
  </si>
  <si>
    <t>18</t>
  </si>
  <si>
    <t>20</t>
  </si>
  <si>
    <t>Average</t>
  </si>
  <si>
    <t>Diff</t>
  </si>
  <si>
    <t>Overview</t>
  </si>
  <si>
    <t>Spot</t>
  </si>
  <si>
    <t>Estimation</t>
  </si>
  <si>
    <t>Carry</t>
  </si>
  <si>
    <t>Tot Ret Period</t>
  </si>
  <si>
    <t>Capital G/L</t>
  </si>
  <si>
    <t>Valuation</t>
  </si>
  <si>
    <t>Mkt</t>
  </si>
  <si>
    <t>Instrument</t>
  </si>
  <si>
    <t>Date</t>
  </si>
  <si>
    <t>Holding Period</t>
  </si>
  <si>
    <t>CPI</t>
  </si>
  <si>
    <t>MesAñoVenc</t>
  </si>
  <si>
    <t>AñoVenc</t>
  </si>
  <si>
    <t>Tir Val</t>
  </si>
  <si>
    <t>Inflation</t>
  </si>
  <si>
    <t>N/A</t>
  </si>
  <si>
    <t>TPM actual</t>
  </si>
  <si>
    <t>FechaRPM</t>
  </si>
  <si>
    <t>Breakeven Bear</t>
  </si>
  <si>
    <t>Breakeven Bull</t>
  </si>
  <si>
    <t>Tir CLP Comp Bear</t>
  </si>
  <si>
    <t>Tir CLP Comp Bull</t>
  </si>
  <si>
    <t>Breakeven Val</t>
  </si>
  <si>
    <t>Chile's Rates Outlook</t>
  </si>
  <si>
    <t>BTU0300130</t>
  </si>
  <si>
    <t>Punta</t>
  </si>
  <si>
    <t>Term (days)</t>
  </si>
  <si>
    <t>Premium</t>
  </si>
  <si>
    <t>BTU0300338</t>
  </si>
  <si>
    <t>BTU0300327</t>
  </si>
  <si>
    <t>BTU0450824</t>
  </si>
  <si>
    <t>BTU0260925</t>
  </si>
  <si>
    <t>BTU0300328</t>
  </si>
  <si>
    <t>BCU0300528</t>
  </si>
  <si>
    <t>BTU0300329</t>
  </si>
  <si>
    <t>BTU0300339</t>
  </si>
  <si>
    <t>Expected</t>
  </si>
  <si>
    <t>Market</t>
  </si>
  <si>
    <t>RIAMPDU2 Index</t>
  </si>
  <si>
    <t>PX_LAST</t>
  </si>
  <si>
    <t>IF UF 120</t>
  </si>
  <si>
    <t>RIAMIC01 Index</t>
  </si>
  <si>
    <t>RIAMICM6 Index</t>
  </si>
  <si>
    <t>RIAMIUM6 Index</t>
  </si>
  <si>
    <t>RIAMIU01 Index</t>
  </si>
  <si>
    <t>RIAMPDU5 Index</t>
  </si>
  <si>
    <t>RIAMG006 Index</t>
  </si>
  <si>
    <t>RIAMG008 Index</t>
  </si>
  <si>
    <t>RIAMBGU2 Index</t>
  </si>
  <si>
    <t>RIAMBGU5 Index</t>
  </si>
  <si>
    <t>RIAMC002 Index</t>
  </si>
  <si>
    <t>RIAMC004 Index</t>
  </si>
  <si>
    <t>RIAMC006 Index</t>
  </si>
  <si>
    <t>RIAMC008 Index</t>
  </si>
  <si>
    <t>Indice</t>
  </si>
  <si>
    <t>RIAMBGU7 Index</t>
  </si>
  <si>
    <t>RIAMBGU8 Index</t>
  </si>
  <si>
    <t>Ret - IF$120</t>
  </si>
  <si>
    <t>Ret/Vol</t>
  </si>
  <si>
    <t>Vol (ann)</t>
  </si>
  <si>
    <t>MesAnio</t>
  </si>
  <si>
    <t>S0193Z 3M BLC2 Curncy</t>
  </si>
  <si>
    <t>S0193Z 6M BLC2 Curncy</t>
  </si>
  <si>
    <t>S0193Z 9M BLC2 Curncy</t>
  </si>
  <si>
    <t>S0193Z 1Y BLC2 Curncy</t>
  </si>
  <si>
    <t>S0193Z 18M BLC2 Curncy</t>
  </si>
  <si>
    <t>S0193Z 2Y BLC2 Curncy</t>
  </si>
  <si>
    <t>S0193Z 3Y BLC2 Curncy</t>
  </si>
  <si>
    <t>S0193Z 4Y BLC2 Curncy</t>
  </si>
  <si>
    <t>S0193Z 5Y BLC2 Curncy</t>
  </si>
  <si>
    <t>S0193Z 6Y BLC2 Curncy</t>
  </si>
  <si>
    <t>S0193Z 7Y BLC2 Curncy</t>
  </si>
  <si>
    <t>S0193Z 8Y BLC2 Curncy</t>
  </si>
  <si>
    <t>S0193Z 9Y BLC2 Curncy</t>
  </si>
  <si>
    <t>S0193Z 10Y BLC2 Curncy</t>
  </si>
  <si>
    <t>S0193Z 15Y BLC2 Curncy</t>
  </si>
  <si>
    <t>S0193Z 20Y BLC2 Curncy</t>
  </si>
  <si>
    <t>Ticker</t>
  </si>
  <si>
    <t>MATURITY</t>
  </si>
  <si>
    <t>CHIBNOM Index</t>
  </si>
  <si>
    <t>Swap Eq</t>
  </si>
  <si>
    <t>Swap Sprd</t>
  </si>
  <si>
    <t>Tasa ACT/365</t>
  </si>
  <si>
    <t>Feriados Chile</t>
  </si>
  <si>
    <t>CNPINSMO Index</t>
  </si>
  <si>
    <t>SETTLE_DT</t>
  </si>
  <si>
    <t>CHUF Index</t>
  </si>
  <si>
    <t>IPC Proyectado</t>
  </si>
  <si>
    <t>DiasMes</t>
  </si>
  <si>
    <t>UF al 9 Mes</t>
  </si>
  <si>
    <t>Dias Desde 9 Ant</t>
  </si>
  <si>
    <t>Mkt BEI</t>
  </si>
  <si>
    <t>Flat Forward Rates in Swap Camara CLP (Implicit TPM)</t>
  </si>
  <si>
    <t>Indep Var</t>
  </si>
  <si>
    <t>Inf FWD 1 MO</t>
  </si>
  <si>
    <t>Inf FWD 3-1 MO</t>
  </si>
  <si>
    <t>Inf FWD 12-3 MO</t>
  </si>
  <si>
    <t>Constant</t>
  </si>
  <si>
    <t xml:space="preserve">Month </t>
  </si>
  <si>
    <t>1 MO</t>
  </si>
  <si>
    <t>Next 2MO
(3-1 FWD)</t>
  </si>
  <si>
    <t>Next 9MO
(12-3 FWD)</t>
  </si>
  <si>
    <t>Implied CPI
(Market)</t>
  </si>
  <si>
    <t>Coeff BEI 2YR</t>
  </si>
  <si>
    <t>R^2</t>
  </si>
  <si>
    <t>Annualized</t>
  </si>
  <si>
    <t>Coeff BEI 5YR</t>
  </si>
  <si>
    <t>BEI</t>
  </si>
  <si>
    <t>Swap Break-even Inflation</t>
  </si>
  <si>
    <t>Swap BEI 2YR</t>
  </si>
  <si>
    <t>Ret UF 1MO</t>
  </si>
  <si>
    <t>Current</t>
  </si>
  <si>
    <t>Plazo Dias</t>
  </si>
  <si>
    <t>Swap</t>
  </si>
  <si>
    <t>UF Camara</t>
  </si>
  <si>
    <t>CLP Camara</t>
  </si>
  <si>
    <t>YR</t>
  </si>
  <si>
    <t>Colchon Tasa</t>
  </si>
  <si>
    <t>Funding Cost CLP ACT/30</t>
  </si>
  <si>
    <t>Rent UF</t>
  </si>
  <si>
    <t>Funding Cost UF ACT/30</t>
  </si>
  <si>
    <t>Dif Devg 1MO</t>
  </si>
  <si>
    <t>BEI Mkt</t>
  </si>
  <si>
    <t>BEI Mdl</t>
  </si>
  <si>
    <t>Delta mes</t>
  </si>
  <si>
    <t>Ganancia Capital</t>
  </si>
  <si>
    <t>Dev + GC</t>
  </si>
  <si>
    <t>Gan Cap a UF5</t>
  </si>
  <si>
    <t>VOLATILITY_260D</t>
  </si>
  <si>
    <t>9 del Mes</t>
  </si>
  <si>
    <t>Inf 2016</t>
  </si>
  <si>
    <t>SECURITY_TENOR_TWO_RT</t>
  </si>
  <si>
    <t>Market Rate</t>
  </si>
  <si>
    <t>Type</t>
  </si>
  <si>
    <t>Tenor [Months]</t>
  </si>
  <si>
    <t>Expiration</t>
  </si>
  <si>
    <t>Tenor [Days]</t>
  </si>
  <si>
    <t>CERO</t>
  </si>
  <si>
    <t>BULLET</t>
  </si>
  <si>
    <t>CLICREAL Index</t>
  </si>
  <si>
    <t>CHSWCC Curncy</t>
  </si>
  <si>
    <t>CHSWCF Curncy</t>
  </si>
  <si>
    <t>CHSWCI Curncy</t>
  </si>
  <si>
    <t>CHSWC1 Curncy</t>
  </si>
  <si>
    <t>CHSWC1F Curncy</t>
  </si>
  <si>
    <t>CHSWC2 Curncy</t>
  </si>
  <si>
    <t>CHSWC3 Curncy</t>
  </si>
  <si>
    <t>CHSWC4 Curncy</t>
  </si>
  <si>
    <t>CHSWC5 Curncy</t>
  </si>
  <si>
    <t>CHSWC6 Curncy</t>
  </si>
  <si>
    <t>CHSWC7 Curncy</t>
  </si>
  <si>
    <t>CHSWC8 Curncy</t>
  </si>
  <si>
    <t>CHSWC9 Curncy</t>
  </si>
  <si>
    <t>CHSWC10 Curncy</t>
  </si>
  <si>
    <t>CHSWC15 Curncy</t>
  </si>
  <si>
    <t>CHSWC20 Curncy</t>
  </si>
  <si>
    <t>Tasa ACT/360</t>
  </si>
  <si>
    <t>Swap BEI 5YR</t>
  </si>
  <si>
    <t>Año</t>
  </si>
  <si>
    <t>aux</t>
  </si>
  <si>
    <t>Swap BEI</t>
  </si>
  <si>
    <t>Tenor</t>
  </si>
  <si>
    <t>Tenor dias</t>
  </si>
  <si>
    <t>Zero</t>
  </si>
  <si>
    <t>CLP/Cam Zero Comp ACT/365</t>
  </si>
  <si>
    <t>UF/Cam Zero Comp ACT/365</t>
  </si>
  <si>
    <t>Swap Cámara CLP and UF</t>
  </si>
  <si>
    <t>Carry &amp; Roll</t>
  </si>
  <si>
    <t>Roll</t>
  </si>
  <si>
    <t>Total</t>
  </si>
  <si>
    <t>UF/Cam Zero Comp ACT/360</t>
  </si>
  <si>
    <t>CLP/Cam Zero Comp ACT/360</t>
  </si>
  <si>
    <t>Z365 CLP</t>
  </si>
  <si>
    <t>BEI ACT/365</t>
  </si>
  <si>
    <t>CHSWPC</t>
  </si>
  <si>
    <t>CHSWPF</t>
  </si>
  <si>
    <t>CHSWPI</t>
  </si>
  <si>
    <t>CHSWP1</t>
  </si>
  <si>
    <t>CHSWP1F</t>
  </si>
  <si>
    <t>CHSWP2</t>
  </si>
  <si>
    <t>CHSWP3</t>
  </si>
  <si>
    <t>CHSWP4</t>
  </si>
  <si>
    <t>CHSWP5</t>
  </si>
  <si>
    <t>CHSWP6</t>
  </si>
  <si>
    <t>CHSWP7</t>
  </si>
  <si>
    <t>CHSWP8</t>
  </si>
  <si>
    <t>CHSWP9</t>
  </si>
  <si>
    <t>CHSWP10</t>
  </si>
  <si>
    <t>CHSWP15</t>
  </si>
  <si>
    <t>CHSWP20</t>
  </si>
  <si>
    <t>BEI ACT/360</t>
  </si>
  <si>
    <t>Swap CLP/Cam Forward Matrix (zero ACT/360)</t>
  </si>
  <si>
    <t>Swap UF/Cam Forward Matrix (zero ACT/360)</t>
  </si>
  <si>
    <t>BEI Forward Matrix (ACT/360)</t>
  </si>
  <si>
    <t>Source</t>
  </si>
  <si>
    <t>Z365 UF</t>
  </si>
  <si>
    <t>CLP Zero ACT/365 estimated</t>
  </si>
  <si>
    <t>CLP Zero ACT/360 estimated</t>
  </si>
  <si>
    <t>UF Zero ACT/365 estimated</t>
  </si>
  <si>
    <t>UF Zero ACT/360 estimated</t>
  </si>
  <si>
    <t>Swap Zero Rates and FRAs</t>
  </si>
  <si>
    <t>Swap CLP/Cam: Market - Estimated</t>
  </si>
  <si>
    <t>Swap UF/Cam: Market - Estimated</t>
  </si>
  <si>
    <t>BEI: : Market - Estimated</t>
  </si>
  <si>
    <t>Inlfation Target (right)</t>
  </si>
  <si>
    <t>Swap CLP/Cam (zero ACT/360) bps Running</t>
  </si>
  <si>
    <t>Swap CLP/Cam (zero ACT/360) bps Upfront</t>
  </si>
  <si>
    <t>Swap UF/Cam (zero ACT/360) bps Running</t>
  </si>
  <si>
    <t>Swap UF/Cam (zero ACT/360) bps Upfront</t>
  </si>
  <si>
    <t>Carry CLP</t>
  </si>
  <si>
    <t>Roll CLP</t>
  </si>
  <si>
    <t>Total CLP</t>
  </si>
  <si>
    <t>Carry UF</t>
  </si>
  <si>
    <t>Roll UF</t>
  </si>
  <si>
    <t>Total UF</t>
  </si>
  <si>
    <t>TOTAL BEI</t>
  </si>
  <si>
    <t>Break-even Inflation</t>
  </si>
  <si>
    <t>2YR BEI</t>
  </si>
  <si>
    <t>2YR CLP/Cam</t>
  </si>
  <si>
    <t>2YR UF/Cam</t>
  </si>
  <si>
    <t>5YR CLP/Cam</t>
  </si>
  <si>
    <t>5YR UF/Cam</t>
  </si>
  <si>
    <t>5YR BEI</t>
  </si>
  <si>
    <t>CostoAlt</t>
  </si>
  <si>
    <t>Cash Break-even Inflation: PES05B vs UF05B</t>
  </si>
  <si>
    <t>UF-05 Bench</t>
  </si>
  <si>
    <t>PES-05 Bench</t>
  </si>
  <si>
    <t>Exp 1MO</t>
  </si>
  <si>
    <t>Exp 2MO</t>
  </si>
  <si>
    <t>Tenor 1MO</t>
  </si>
  <si>
    <t>Tenor 2MO</t>
  </si>
  <si>
    <t>Fwd 1MO</t>
  </si>
  <si>
    <t>Fwd 2MO</t>
  </si>
  <si>
    <t>Funding compACT/360 1MO</t>
  </si>
  <si>
    <t>Funding compACT/360 2MO</t>
  </si>
  <si>
    <t>Ptos Fwd 1MO</t>
  </si>
  <si>
    <t>PtosFwd 2MO</t>
  </si>
  <si>
    <t>BEI 5YR Bench</t>
  </si>
  <si>
    <t>5YR Swap BEI</t>
  </si>
  <si>
    <t>5YR Swap Cam/UF</t>
  </si>
  <si>
    <t>5YR Swap Cam/CLP</t>
  </si>
  <si>
    <t>BCP0450420</t>
  </si>
  <si>
    <t>2YR swap BEI Carry &amp; Roll Running bps</t>
  </si>
  <si>
    <t>2YR swap BEI Carry &amp; Roll Upfront bps</t>
  </si>
  <si>
    <t>5YR swap BEI Carry &amp; Roll Running bps</t>
  </si>
  <si>
    <t>5YR swap BEI Carry &amp; Roll Upfront bps</t>
  </si>
  <si>
    <t>PES-10 Bench</t>
  </si>
  <si>
    <t>UF-10 Bench</t>
  </si>
  <si>
    <t>Inf Actual</t>
  </si>
  <si>
    <t>BTP0450326</t>
  </si>
  <si>
    <t>PESO-02</t>
  </si>
  <si>
    <t>PESO-03</t>
  </si>
  <si>
    <t>PESO-04</t>
  </si>
  <si>
    <t>PESO-05</t>
  </si>
  <si>
    <t>PESO-07</t>
  </si>
  <si>
    <t>PESO-10</t>
  </si>
  <si>
    <t>PESO-20</t>
  </si>
  <si>
    <t>326</t>
  </si>
  <si>
    <t>26</t>
  </si>
  <si>
    <t>ok</t>
  </si>
  <si>
    <t>check 2016</t>
  </si>
  <si>
    <t>3M</t>
  </si>
  <si>
    <t>6M</t>
  </si>
  <si>
    <t>9M</t>
  </si>
  <si>
    <t>1Y</t>
  </si>
  <si>
    <t>18M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</si>
  <si>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</si>
  <si>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</si>
  <si>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</si>
  <si>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</si>
  <si>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</si>
  <si>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</si>
  <si>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</si>
  <si>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</si>
  <si>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</si>
  <si>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</si>
  <si>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</si>
  <si>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Swap CLP/Cam (zero ACT/360)</t>
  </si>
  <si>
    <t>2s/10s</t>
  </si>
  <si>
    <t>2s/5s</t>
  </si>
  <si>
    <t>5s/10s</t>
  </si>
  <si>
    <t>2s/5s/10s</t>
  </si>
  <si>
    <t>(P/R/P)</t>
  </si>
  <si>
    <t>Swap UF/Cam (zero ACT/360)</t>
  </si>
  <si>
    <t>Fecha Grafico</t>
  </si>
  <si>
    <t>IPC Proy</t>
  </si>
  <si>
    <t>Realized CPI YoY</t>
  </si>
  <si>
    <t>Market Fwd CPI YoY</t>
  </si>
  <si>
    <t>Basis Points Runnings (DV01 neutral)</t>
  </si>
  <si>
    <t>Coef anteriores</t>
  </si>
  <si>
    <t>Model</t>
  </si>
  <si>
    <t>CHSWP2  Curncy</t>
  </si>
  <si>
    <t>CHSWP5  Curncy</t>
  </si>
  <si>
    <t>CHSWP10  Curncy</t>
  </si>
  <si>
    <t>Swap Curve and Butterfly Trades</t>
  </si>
  <si>
    <t>CLP</t>
  </si>
  <si>
    <t>BTU0150326</t>
  </si>
  <si>
    <t>(P/R)</t>
  </si>
  <si>
    <t>Flattener</t>
  </si>
  <si>
    <t>Butterfly</t>
  </si>
  <si>
    <t>BCP0450620</t>
  </si>
  <si>
    <t>BTP0500335</t>
  </si>
  <si>
    <t>BTU0200335</t>
  </si>
  <si>
    <t>CPI Forward Matrix</t>
  </si>
  <si>
    <t>Fixing</t>
  </si>
  <si>
    <t>CFNP1 Curncy</t>
  </si>
  <si>
    <t>CFNP2 Curncy</t>
  </si>
  <si>
    <t>CFNP3 Curncy</t>
  </si>
  <si>
    <t>CFNP4 Curncy</t>
  </si>
  <si>
    <t>CFNP5 Curncy</t>
  </si>
  <si>
    <t>CFNP6 Curncy</t>
  </si>
  <si>
    <t>CFNP7 Curncy</t>
  </si>
  <si>
    <t>CFNP8 Curncy</t>
  </si>
  <si>
    <t>CFNP9 Curncy</t>
  </si>
  <si>
    <t>CFNP10 Curncy</t>
  </si>
  <si>
    <t>CFNP11 Curncy</t>
  </si>
  <si>
    <t>CFNP12 Curncy</t>
  </si>
  <si>
    <t>CFNP13 Curncy</t>
  </si>
  <si>
    <t>CFNP14 Curncy</t>
  </si>
  <si>
    <t>CFNP15 Curncy</t>
  </si>
  <si>
    <t>CFNP16 Curncy</t>
  </si>
  <si>
    <t>CFNP17 Curncy</t>
  </si>
  <si>
    <t>BTU0150321</t>
  </si>
  <si>
    <t>CHOVCHOV Index</t>
  </si>
  <si>
    <t>CFNP1 BSAC Curncy</t>
  </si>
  <si>
    <t>CFNP2 BSAC Curncy</t>
  </si>
  <si>
    <t>CFNP3 BSAC Curncy</t>
  </si>
  <si>
    <t>CFNP4 BSAC Curncy</t>
  </si>
  <si>
    <t>CFNP5 BSAC Curncy</t>
  </si>
  <si>
    <t>CFNP6 BSAC Curncy</t>
  </si>
  <si>
    <t>CFNP7 BSAC Curncy</t>
  </si>
  <si>
    <t>CFNP8 BSAC Curncy</t>
  </si>
  <si>
    <t>CFNP9 BSAC Curncy</t>
  </si>
  <si>
    <t>CFNP10 BSAC Curncy</t>
  </si>
  <si>
    <t>CFNP11 BSAC Curncy</t>
  </si>
  <si>
    <t>CFNP12 BSAC Curncy</t>
  </si>
  <si>
    <t>CFNP13 BSAC Curncy</t>
  </si>
  <si>
    <t>CFNP14 BSAC Curncy</t>
  </si>
  <si>
    <t>CFNP15 BSAC Curncy</t>
  </si>
  <si>
    <t>CFNP16 BSAC Curncy</t>
  </si>
  <si>
    <t>CFNP17 BSAC Curncy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</si>
  <si>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</si>
  <si>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</si>
  <si>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</si>
  <si>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</si>
  <si>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</si>
  <si>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</si>
  <si>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</si>
  <si>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</si>
  <si>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</si>
  <si>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</si>
  <si>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ON</t>
  </si>
  <si>
    <t>0,25Y</t>
  </si>
  <si>
    <t>0,50Y</t>
  </si>
  <si>
    <t>0,75Y</t>
  </si>
  <si>
    <t>1,00Y</t>
  </si>
  <si>
    <t>1,50Y</t>
  </si>
  <si>
    <t>2,00Y</t>
  </si>
  <si>
    <t>2,50Y</t>
  </si>
  <si>
    <t>3,00Y</t>
  </si>
  <si>
    <t>3,50Y</t>
  </si>
  <si>
    <t>4,00Y</t>
  </si>
  <si>
    <t>4,50Y</t>
  </si>
  <si>
    <t>5,00Y</t>
  </si>
  <si>
    <t>5,50Y</t>
  </si>
  <si>
    <t>6,00Y</t>
  </si>
  <si>
    <t>6,50Y</t>
  </si>
  <si>
    <t>7,00Y</t>
  </si>
  <si>
    <t>7,50Y</t>
  </si>
  <si>
    <t>8,00Y</t>
  </si>
  <si>
    <t>8,50Y</t>
  </si>
  <si>
    <t>9,00Y</t>
  </si>
  <si>
    <t>9,50Y</t>
  </si>
  <si>
    <t>10,00Y</t>
  </si>
  <si>
    <t>Zero lineal ACT/360</t>
  </si>
  <si>
    <t>Days</t>
  </si>
  <si>
    <t>Tennor</t>
  </si>
  <si>
    <t>Z Rate Lineal</t>
  </si>
  <si>
    <t>Z Rate Ann Com</t>
  </si>
  <si>
    <t>Swap Rate</t>
  </si>
  <si>
    <t>D Spot</t>
  </si>
  <si>
    <t>Fecha RPM</t>
  </si>
  <si>
    <t>Dias</t>
  </si>
  <si>
    <t>Trayectoria factor</t>
  </si>
  <si>
    <t>Trayectoria factor partes</t>
  </si>
  <si>
    <t>Zero LIN ACT/360</t>
  </si>
  <si>
    <t>Swap CLP/Cam</t>
  </si>
  <si>
    <t>ΔDias</t>
  </si>
  <si>
    <t>Cupon Swap CLP/Cam Estimado</t>
  </si>
  <si>
    <t>Mov TPM bps</t>
  </si>
  <si>
    <t>Diferencia (market-estimado) bps</t>
  </si>
  <si>
    <t>Pts 1MO</t>
  </si>
  <si>
    <t>Pts 2MO</t>
  </si>
  <si>
    <t>Hawk</t>
  </si>
  <si>
    <t>Dove</t>
  </si>
  <si>
    <t>22</t>
  </si>
  <si>
    <t>Realized CPI YoY 24/Aug</t>
  </si>
  <si>
    <t>Market Fwd CPI YoY 24/Aug</t>
  </si>
  <si>
    <t>Realized CPI
(Market)</t>
  </si>
  <si>
    <t>-</t>
  </si>
  <si>
    <t>Expected Bloomberg 24/Aug</t>
  </si>
  <si>
    <t/>
  </si>
  <si>
    <t>Mercado </t>
  </si>
  <si>
    <t>1YR</t>
  </si>
  <si>
    <t>2YR</t>
  </si>
  <si>
    <t>1YR/1YR</t>
  </si>
  <si>
    <t>Cash</t>
  </si>
  <si>
    <t>Fwd</t>
  </si>
  <si>
    <t>EOF</t>
  </si>
  <si>
    <t>Inf 2017</t>
  </si>
  <si>
    <t>Inf 2018+</t>
  </si>
  <si>
    <t>check 2017</t>
  </si>
  <si>
    <t>322</t>
  </si>
  <si>
    <t>BTP0450321</t>
  </si>
  <si>
    <t>Corp UF 10 / A</t>
  </si>
  <si>
    <t>Corp UF 05 / A</t>
  </si>
  <si>
    <t>Corp UF 02 / A</t>
  </si>
  <si>
    <t>Corp UF 02 / AAA-AA</t>
  </si>
  <si>
    <t>Corp UF 05 / AAA-AA</t>
  </si>
  <si>
    <t>Corp UF 07 / AAA-AA</t>
  </si>
  <si>
    <t>Corp UF 10 / AAA-AA</t>
  </si>
  <si>
    <t>Spreads A</t>
  </si>
  <si>
    <t>Spreads AAA-AA</t>
  </si>
  <si>
    <t>Factor AAA-AA</t>
  </si>
  <si>
    <t>Factor A</t>
  </si>
  <si>
    <t>RIAMBEB3 Index</t>
  </si>
  <si>
    <t>RIAMBEB5 Index</t>
  </si>
  <si>
    <t>RIAMBEB8 Index</t>
  </si>
  <si>
    <t>221</t>
  </si>
  <si>
    <t>21</t>
  </si>
  <si>
    <t>420</t>
  </si>
  <si>
    <t>620</t>
  </si>
  <si>
    <t>321</t>
  </si>
  <si>
    <t>BCP0400119</t>
  </si>
  <si>
    <t>IPC Real</t>
  </si>
  <si>
    <t>318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</si>
</sst>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6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-* #,##0.000_-;\-* #,##0.000_-;_-* &quot;-&quot;??_-;_-@_-"/>
    <numFmt numFmtId="167" formatCode="0.0"/>
    <numFmt numFmtId="168" formatCode="0.000"/>
    <numFmt numFmtId="169" formatCode="#,##0_ ;\-#,##0\ "/>
    <numFmt numFmtId="170" formatCode="0&quot;  meses&quot;"/>
    <numFmt numFmtId="171" formatCode="_-[$€-2]\ * #,##0.00_-;\-[$€-2]\ * #,##0.00_-;_-[$€-2]\ * &quot;-&quot;??_-"/>
    <numFmt numFmtId="172" formatCode="_-* #,##0.0_-;\-* #,##0.0_-;_-* &quot;-&quot;??_-;_-@_-"/>
    <numFmt numFmtId="173" formatCode="0&quot;  months&quot;"/>
    <numFmt numFmtId="174" formatCode="dd\-mm\-yyyy"/>
    <numFmt numFmtId="175" formatCode="_-* #,##0_-;\-* #,##0_-;_-* &quot;-&quot;??_-;_-@_-"/>
    <numFmt numFmtId="176" formatCode="\$#,##0\ ;\(\$#,##0\)"/>
    <numFmt numFmtId="177" formatCode="_([$€]* #,##0.00_);_([$€]* \(#,##0.00\);_([$€]* &quot;-&quot;??_);_(@_)"/>
    <numFmt numFmtId="178" formatCode="dd\-mmm\-yy_)"/>
    <numFmt numFmtId="179" formatCode="#,##0.0"/>
    <numFmt numFmtId="180" formatCode="_-* #,##0.00\ _P_t_a_-;\-* #,##0.00\ _P_t_a_-;_-* &quot;-&quot;??\ _P_t_a_-;_-@_-"/>
    <numFmt numFmtId="181" formatCode="#\ &quot;YR&quot;"/>
    <numFmt numFmtId="182" formatCode="#,##0.00\ &quot;YR&quot;"/>
    <numFmt numFmtId="183" formatCode="0.0000%"/>
    <numFmt numFmtId="184" formatCode="#&quot;d&quot;"/>
    <numFmt numFmtId="185" formatCode="#,##0.00&quot;YR&quot;"/>
    <numFmt numFmtId="186" formatCode="0.0000"/>
    <numFmt numFmtId="187" formatCode="0.0%"/>
  </numFmts>
  <fonts count="13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indexed="9"/>
      <name val="Calibri"/>
      <family val="2"/>
    </font>
    <font>
      <u/>
      <sz val="10"/>
      <color indexed="12"/>
      <name val="Arial"/>
      <family val="2"/>
    </font>
    <font>
      <sz val="9"/>
      <name val="Arial"/>
      <family val="2"/>
    </font>
    <font>
      <sz val="9"/>
      <color theme="1"/>
      <name val="Calibri"/>
      <family val="2"/>
      <scheme val="minor"/>
    </font>
    <font>
      <sz val="8"/>
      <color theme="1"/>
      <name val="Tahoma"/>
      <family val="2"/>
    </font>
    <font>
      <b/>
      <sz val="9"/>
      <color theme="1" tint="0.499984740745262"/>
      <name val="Calibri"/>
      <family val="2"/>
      <scheme val="minor"/>
    </font>
    <font>
      <b/>
      <sz val="10"/>
      <color theme="1" tint="0.499984740745262"/>
      <name val="Calibri"/>
      <family val="2"/>
      <scheme val="minor"/>
    </font>
    <font>
      <b/>
      <sz val="20"/>
      <color theme="1" tint="0.499984740745262"/>
      <name val="Calibri"/>
      <family val="2"/>
      <scheme val="minor"/>
    </font>
    <font>
      <sz val="10"/>
      <color rgb="FF000000"/>
      <name val="Arial"/>
      <family val="2"/>
    </font>
    <font>
      <b/>
      <sz val="9"/>
      <name val="Arial"/>
      <family val="2"/>
    </font>
    <font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rgb="FF000000"/>
      <name val="Calibri"/>
      <family val="2"/>
      <scheme val="minor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4"/>
      <color indexed="16"/>
      <name val="Times New Roman"/>
      <family val="1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10"/>
      <name val="Calibri"/>
      <family val="2"/>
    </font>
    <font>
      <sz val="11"/>
      <color indexed="10"/>
      <name val="Calibri"/>
      <family val="2"/>
    </font>
    <font>
      <sz val="10"/>
      <color indexed="24"/>
      <name val="Arial"/>
      <family val="2"/>
    </font>
    <font>
      <sz val="10"/>
      <name val="BERNHARD"/>
    </font>
    <font>
      <sz val="10"/>
      <name val="Helv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9"/>
      <name val="Geneva"/>
      <family val="2"/>
    </font>
    <font>
      <i/>
      <sz val="11"/>
      <color indexed="23"/>
      <name val="Calibri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1"/>
      <color indexed="56"/>
      <name val="Calibri"/>
      <family val="2"/>
    </font>
    <font>
      <u/>
      <sz val="8"/>
      <color indexed="12"/>
      <name val="Verdana"/>
      <family val="2"/>
    </font>
    <font>
      <sz val="10"/>
      <color indexed="12"/>
      <name val="Arial"/>
      <family val="2"/>
    </font>
    <font>
      <sz val="8"/>
      <name val="Tahoma"/>
      <family val="2"/>
    </font>
    <font>
      <sz val="11"/>
      <color indexed="52"/>
      <name val="Calibri"/>
      <family val="2"/>
    </font>
    <font>
      <sz val="8"/>
      <name val="Arial"/>
      <family val="2"/>
    </font>
    <font>
      <sz val="8"/>
      <name val="Verdana"/>
      <family val="2"/>
    </font>
    <font>
      <sz val="11"/>
      <color indexed="19"/>
      <name val="Calibri"/>
      <family val="2"/>
    </font>
    <font>
      <sz val="7"/>
      <name val="Small Fonts"/>
      <family val="2"/>
    </font>
    <font>
      <b/>
      <sz val="11"/>
      <color indexed="63"/>
      <name val="Calibri"/>
      <family val="2"/>
    </font>
    <font>
      <sz val="8"/>
      <name val="Helv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sz val="11"/>
      <color rgb="FF9C6500"/>
      <name val="Calibri"/>
      <family val="2"/>
      <scheme val="minor"/>
    </font>
    <font>
      <b/>
      <sz val="16"/>
      <color theme="1" tint="0.499984740745262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b/>
      <sz val="18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1" tint="0.499984740745262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A7D00"/>
      <name val="Calibri"/>
      <family val="2"/>
      <scheme val="minor"/>
    </font>
    <font>
      <b/>
      <sz val="20"/>
      <color rgb="FFFFFFFF"/>
      <name val="Arial"/>
      <family val="2"/>
    </font>
    <font>
      <b/>
      <sz val="20"/>
      <color rgb="FF000000"/>
      <name val="Arial"/>
      <family val="2"/>
    </font>
    <font>
      <sz val="20"/>
      <color rgb="FF000000"/>
      <name val="Arial"/>
      <family val="2"/>
    </font>
    <font>
      <sz val="10"/>
      <color theme="1"/>
      <name val="Arial"/>
      <family val="2"/>
    </font>
  </fonts>
  <fills count="62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9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</patternFill>
    </fill>
    <fill>
      <patternFill patternType="solid">
        <fgColor rgb="FFFFFF99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10"/>
      </patternFill>
    </fill>
    <fill>
      <patternFill patternType="solid">
        <fgColor indexed="9"/>
        <bgColor indexed="18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9"/>
        <bgColor indexed="40"/>
      </patternFill>
    </fill>
    <fill>
      <patternFill patternType="solid">
        <fgColor indexed="22"/>
        <bgColor indexed="12"/>
      </patternFill>
    </fill>
    <fill>
      <patternFill patternType="solid">
        <fgColor theme="6"/>
      </patternFill>
    </fill>
    <fill>
      <patternFill patternType="solid">
        <fgColor rgb="FFFFEB9C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163358"/>
        <bgColor indexed="64"/>
      </patternFill>
    </fill>
    <fill>
      <patternFill patternType="solid">
        <fgColor theme="9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medium">
        <color theme="1" tint="0.499984740745262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/>
      <top style="thin">
        <color theme="0" tint="-0.24994659260841701"/>
      </top>
      <bottom style="medium">
        <color theme="1" tint="0.499984740745262"/>
      </bottom>
      <diagonal/>
    </border>
    <border>
      <left/>
      <right style="thin">
        <color theme="0"/>
      </right>
      <top style="thin">
        <color theme="0" tint="-0.24994659260841701"/>
      </top>
      <bottom style="medium">
        <color theme="1" tint="0.499984740745262"/>
      </bottom>
      <diagonal/>
    </border>
    <border>
      <left style="thin">
        <color theme="0"/>
      </left>
      <right/>
      <top/>
      <bottom style="medium">
        <color theme="1" tint="0.499984740745262"/>
      </bottom>
      <diagonal/>
    </border>
    <border>
      <left/>
      <right style="thin">
        <color theme="0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thin">
        <color theme="0" tint="-0.24994659260841701"/>
      </bottom>
      <diagonal/>
    </border>
    <border>
      <left style="thin">
        <color theme="0"/>
      </left>
      <right style="medium">
        <color theme="1" tint="0.499984740745262"/>
      </right>
      <top style="medium">
        <color theme="1" tint="0.499984740745262"/>
      </top>
      <bottom style="thin">
        <color theme="0" tint="-0.24994659260841701"/>
      </bottom>
      <diagonal/>
    </border>
    <border>
      <left style="medium">
        <color theme="1" tint="0.499984740745262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medium">
        <color theme="1" tint="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1" tint="0.499984740745262"/>
      </left>
      <right/>
      <top style="thin">
        <color theme="0" tint="-0.24994659260841701"/>
      </top>
      <bottom style="medium">
        <color theme="1" tint="0.499984740745262"/>
      </bottom>
      <diagonal/>
    </border>
    <border>
      <left style="thin">
        <color theme="0"/>
      </left>
      <right style="medium">
        <color theme="1" tint="0.499984740745262"/>
      </right>
      <top style="thin">
        <color theme="0" tint="-0.24994659260841701"/>
      </top>
      <bottom style="medium">
        <color theme="1" tint="0.499984740745262"/>
      </bottom>
      <diagonal/>
    </border>
    <border>
      <left/>
      <right/>
      <top/>
      <bottom style="medium">
        <color theme="0" tint="-0.34998626667073579"/>
      </bottom>
      <diagonal/>
    </border>
    <border>
      <left style="thin">
        <color theme="0"/>
      </left>
      <right/>
      <top/>
      <bottom style="thin">
        <color theme="0" tint="-0.24994659260841701"/>
      </bottom>
      <diagonal/>
    </border>
    <border>
      <left/>
      <right style="thin">
        <color theme="0"/>
      </right>
      <top/>
      <bottom style="thin">
        <color theme="0" tint="-0.24994659260841701"/>
      </bottom>
      <diagonal/>
    </border>
    <border>
      <left/>
      <right/>
      <top/>
      <bottom style="medium">
        <color theme="1" tint="0.4999847407452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/>
      <right style="medium">
        <color theme="1" tint="0.499984740745262"/>
      </right>
      <top/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medium">
        <color theme="1" tint="0.499984740745262"/>
      </bottom>
      <diagonal/>
    </border>
    <border>
      <left style="thin">
        <color rgb="FF143157"/>
      </left>
      <right/>
      <top style="thin">
        <color rgb="FF143157"/>
      </top>
      <bottom style="thick">
        <color rgb="FFFFFFFF"/>
      </bottom>
      <diagonal/>
    </border>
    <border>
      <left style="thin">
        <color rgb="FF143157"/>
      </left>
      <right/>
      <top style="thick">
        <color rgb="FFFFFFFF"/>
      </top>
      <bottom style="thin">
        <color rgb="FF143157"/>
      </bottom>
      <diagonal/>
    </border>
    <border>
      <left style="thin">
        <color rgb="FF143157"/>
      </left>
      <right/>
      <top style="thin">
        <color rgb="FF143157"/>
      </top>
      <bottom style="thin">
        <color rgb="FF143157"/>
      </bottom>
      <diagonal/>
    </border>
    <border>
      <left/>
      <right/>
      <top style="thin">
        <color rgb="FF143157"/>
      </top>
      <bottom/>
      <diagonal/>
    </border>
    <border>
      <left/>
      <right style="thin">
        <color rgb="FF143157"/>
      </right>
      <top style="thin">
        <color rgb="FF143157"/>
      </top>
      <bottom/>
      <diagonal/>
    </border>
    <border>
      <left style="thin">
        <color theme="0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thin">
        <color theme="0"/>
      </right>
      <top style="medium">
        <color theme="1" tint="0.499984740745262"/>
      </top>
      <bottom style="medium">
        <color theme="1" tint="0.499984740745262"/>
      </bottom>
      <diagonal/>
    </border>
  </borders>
  <cellStyleXfs count="559">
    <xf numFmtId="0" fontId="0" fillId="0" borderId="0"/>
    <xf numFmtId="43" fontId="58" fillId="0" borderId="0" applyFont="0" applyFill="0" applyBorder="0" applyAlignment="0" applyProtection="0"/>
    <xf numFmtId="44" fontId="58" fillId="0" borderId="0" applyFont="0" applyFill="0" applyBorder="0" applyAlignment="0" applyProtection="0"/>
    <xf numFmtId="0" fontId="61" fillId="0" borderId="0"/>
    <xf numFmtId="0" fontId="63" fillId="0" borderId="0"/>
    <xf numFmtId="9" fontId="58" fillId="0" borderId="0" applyFont="0" applyFill="0" applyBorder="0" applyAlignment="0" applyProtection="0"/>
    <xf numFmtId="9" fontId="63" fillId="0" borderId="0" applyFont="0" applyFill="0" applyBorder="0" applyAlignment="0" applyProtection="0"/>
    <xf numFmtId="0" fontId="67" fillId="17" borderId="0" applyNumberFormat="0" applyBorder="0" applyAlignment="0" applyProtection="0"/>
    <xf numFmtId="0" fontId="50" fillId="0" borderId="0"/>
    <xf numFmtId="9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0" fontId="68" fillId="19" borderId="0"/>
    <xf numFmtId="0" fontId="50" fillId="0" borderId="0"/>
    <xf numFmtId="44" fontId="50" fillId="0" borderId="0" applyFont="0" applyFill="0" applyBorder="0" applyAlignment="0" applyProtection="0"/>
    <xf numFmtId="165" fontId="50" fillId="0" borderId="0" applyFont="0" applyFill="0" applyBorder="0" applyAlignment="0" applyProtection="0"/>
    <xf numFmtId="164" fontId="50" fillId="0" borderId="0" applyFont="0" applyFill="0" applyBorder="0" applyAlignment="0" applyProtection="0"/>
    <xf numFmtId="0" fontId="58" fillId="0" borderId="0"/>
    <xf numFmtId="171" fontId="58" fillId="0" borderId="0" applyFont="0" applyFill="0" applyBorder="0" applyAlignment="0" applyProtection="0"/>
    <xf numFmtId="0" fontId="69" fillId="0" borderId="0" applyNumberFormat="0" applyFill="0" applyBorder="0" applyAlignment="0" applyProtection="0">
      <alignment vertical="top"/>
      <protection locked="0"/>
    </xf>
    <xf numFmtId="165" fontId="58" fillId="0" borderId="0" applyFont="0" applyFill="0" applyBorder="0" applyAlignment="0" applyProtection="0"/>
    <xf numFmtId="43" fontId="50" fillId="0" borderId="0" applyFont="0" applyFill="0" applyBorder="0" applyAlignment="0" applyProtection="0"/>
    <xf numFmtId="0" fontId="58" fillId="0" borderId="0"/>
    <xf numFmtId="0" fontId="58" fillId="0" borderId="0"/>
    <xf numFmtId="9" fontId="58" fillId="0" borderId="0" applyFont="0" applyFill="0" applyBorder="0" applyAlignment="0" applyProtection="0"/>
    <xf numFmtId="9" fontId="58" fillId="0" borderId="0" applyFont="0" applyFill="0" applyBorder="0" applyAlignment="0" applyProtection="0"/>
    <xf numFmtId="0" fontId="47" fillId="0" borderId="0"/>
    <xf numFmtId="9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0" fontId="47" fillId="0" borderId="0"/>
    <xf numFmtId="44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0" fontId="67" fillId="20" borderId="0" applyNumberFormat="0" applyBorder="0" applyAlignment="0" applyProtection="0"/>
    <xf numFmtId="0" fontId="40" fillId="21" borderId="0" applyNumberFormat="0" applyBorder="0" applyAlignment="0" applyProtection="0"/>
    <xf numFmtId="0" fontId="40" fillId="0" borderId="0"/>
    <xf numFmtId="165" fontId="40" fillId="0" borderId="0" applyFont="0" applyFill="0" applyBorder="0" applyAlignment="0" applyProtection="0"/>
    <xf numFmtId="165" fontId="40" fillId="0" borderId="0" applyFont="0" applyFill="0" applyBorder="0" applyAlignment="0" applyProtection="0"/>
    <xf numFmtId="43" fontId="40" fillId="0" borderId="0" applyFont="0" applyFill="0" applyBorder="0" applyAlignment="0" applyProtection="0"/>
    <xf numFmtId="0" fontId="40" fillId="0" borderId="0"/>
    <xf numFmtId="164" fontId="40" fillId="0" borderId="0" applyFont="0" applyFill="0" applyBorder="0" applyAlignment="0" applyProtection="0"/>
    <xf numFmtId="164" fontId="40" fillId="0" borderId="0" applyFont="0" applyFill="0" applyBorder="0" applyAlignment="0" applyProtection="0"/>
    <xf numFmtId="164" fontId="40" fillId="0" borderId="0" applyFont="0" applyFill="0" applyBorder="0" applyAlignment="0" applyProtection="0"/>
    <xf numFmtId="0" fontId="71" fillId="0" borderId="0"/>
    <xf numFmtId="0" fontId="71" fillId="0" borderId="0"/>
    <xf numFmtId="0" fontId="37" fillId="0" borderId="0"/>
    <xf numFmtId="165" fontId="37" fillId="0" borderId="0" applyFont="0" applyFill="0" applyBorder="0" applyAlignment="0" applyProtection="0"/>
    <xf numFmtId="165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0" fontId="37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0" fontId="37" fillId="21" borderId="0" applyNumberFormat="0" applyBorder="0" applyAlignment="0" applyProtection="0"/>
    <xf numFmtId="0" fontId="58" fillId="0" borderId="0"/>
    <xf numFmtId="0" fontId="81" fillId="0" borderId="0" applyNumberFormat="0" applyFill="0" applyBorder="0" applyAlignment="0" applyProtection="0"/>
    <xf numFmtId="0" fontId="82" fillId="24" borderId="0" applyNumberFormat="0" applyBorder="0" applyAlignment="0" applyProtection="0"/>
    <xf numFmtId="0" fontId="82" fillId="25" borderId="0" applyNumberFormat="0" applyBorder="0" applyAlignment="0" applyProtection="0"/>
    <xf numFmtId="0" fontId="82" fillId="26" borderId="0" applyNumberFormat="0" applyBorder="0" applyAlignment="0" applyProtection="0"/>
    <xf numFmtId="0" fontId="82" fillId="27" borderId="0" applyNumberFormat="0" applyBorder="0" applyAlignment="0" applyProtection="0"/>
    <xf numFmtId="0" fontId="82" fillId="28" borderId="0" applyNumberFormat="0" applyBorder="0" applyAlignment="0" applyProtection="0"/>
    <xf numFmtId="0" fontId="82" fillId="29" borderId="0" applyNumberFormat="0" applyBorder="0" applyAlignment="0" applyProtection="0"/>
    <xf numFmtId="0" fontId="82" fillId="30" borderId="0" applyNumberFormat="0" applyBorder="0" applyAlignment="0" applyProtection="0"/>
    <xf numFmtId="0" fontId="82" fillId="30" borderId="0" applyNumberFormat="0" applyBorder="0" applyAlignment="0" applyProtection="0"/>
    <xf numFmtId="0" fontId="82" fillId="31" borderId="0" applyNumberFormat="0" applyBorder="0" applyAlignment="0" applyProtection="0"/>
    <xf numFmtId="0" fontId="82" fillId="31" borderId="0" applyNumberFormat="0" applyBorder="0" applyAlignment="0" applyProtection="0"/>
    <xf numFmtId="0" fontId="82" fillId="32" borderId="0" applyNumberFormat="0" applyBorder="0" applyAlignment="0" applyProtection="0"/>
    <xf numFmtId="0" fontId="82" fillId="32" borderId="0" applyNumberFormat="0" applyBorder="0" applyAlignment="0" applyProtection="0"/>
    <xf numFmtId="0" fontId="82" fillId="29" borderId="0" applyNumberFormat="0" applyBorder="0" applyAlignment="0" applyProtection="0"/>
    <xf numFmtId="0" fontId="82" fillId="29" borderId="0" applyNumberFormat="0" applyBorder="0" applyAlignment="0" applyProtection="0"/>
    <xf numFmtId="0" fontId="82" fillId="28" borderId="0" applyNumberFormat="0" applyBorder="0" applyAlignment="0" applyProtection="0"/>
    <xf numFmtId="0" fontId="82" fillId="28" borderId="0" applyNumberFormat="0" applyBorder="0" applyAlignment="0" applyProtection="0"/>
    <xf numFmtId="0" fontId="82" fillId="32" borderId="0" applyNumberFormat="0" applyBorder="0" applyAlignment="0" applyProtection="0"/>
    <xf numFmtId="0" fontId="82" fillId="32" borderId="0" applyNumberFormat="0" applyBorder="0" applyAlignment="0" applyProtection="0"/>
    <xf numFmtId="0" fontId="82" fillId="31" borderId="0" applyNumberFormat="0" applyBorder="0" applyAlignment="0" applyProtection="0"/>
    <xf numFmtId="0" fontId="82" fillId="33" borderId="0" applyNumberFormat="0" applyBorder="0" applyAlignment="0" applyProtection="0"/>
    <xf numFmtId="0" fontId="82" fillId="27" borderId="0" applyNumberFormat="0" applyBorder="0" applyAlignment="0" applyProtection="0"/>
    <xf numFmtId="0" fontId="82" fillId="30" borderId="0" applyNumberFormat="0" applyBorder="0" applyAlignment="0" applyProtection="0"/>
    <xf numFmtId="0" fontId="82" fillId="34" borderId="0" applyNumberFormat="0" applyBorder="0" applyAlignment="0" applyProtection="0"/>
    <xf numFmtId="0" fontId="82" fillId="28" borderId="0" applyNumberFormat="0" applyBorder="0" applyAlignment="0" applyProtection="0"/>
    <xf numFmtId="0" fontId="82" fillId="28" borderId="0" applyNumberFormat="0" applyBorder="0" applyAlignment="0" applyProtection="0"/>
    <xf numFmtId="0" fontId="82" fillId="31" borderId="0" applyNumberFormat="0" applyBorder="0" applyAlignment="0" applyProtection="0"/>
    <xf numFmtId="0" fontId="82" fillId="31" borderId="0" applyNumberFormat="0" applyBorder="0" applyAlignment="0" applyProtection="0"/>
    <xf numFmtId="0" fontId="82" fillId="35" borderId="0" applyNumberFormat="0" applyBorder="0" applyAlignment="0" applyProtection="0"/>
    <xf numFmtId="0" fontId="82" fillId="35" borderId="0" applyNumberFormat="0" applyBorder="0" applyAlignment="0" applyProtection="0"/>
    <xf numFmtId="0" fontId="82" fillId="25" borderId="0" applyNumberFormat="0" applyBorder="0" applyAlignment="0" applyProtection="0"/>
    <xf numFmtId="0" fontId="82" fillId="25" borderId="0" applyNumberFormat="0" applyBorder="0" applyAlignment="0" applyProtection="0"/>
    <xf numFmtId="0" fontId="82" fillId="28" borderId="0" applyNumberFormat="0" applyBorder="0" applyAlignment="0" applyProtection="0"/>
    <xf numFmtId="0" fontId="82" fillId="28" borderId="0" applyNumberFormat="0" applyBorder="0" applyAlignment="0" applyProtection="0"/>
    <xf numFmtId="0" fontId="82" fillId="32" borderId="0" applyNumberFormat="0" applyBorder="0" applyAlignment="0" applyProtection="0"/>
    <xf numFmtId="0" fontId="82" fillId="32" borderId="0" applyNumberFormat="0" applyBorder="0" applyAlignment="0" applyProtection="0"/>
    <xf numFmtId="0" fontId="83" fillId="36" borderId="0" applyNumberFormat="0" applyBorder="0" applyAlignment="0" applyProtection="0"/>
    <xf numFmtId="0" fontId="83" fillId="31" borderId="0" applyNumberFormat="0" applyBorder="0" applyAlignment="0" applyProtection="0"/>
    <xf numFmtId="0" fontId="83" fillId="33" borderId="0" applyNumberFormat="0" applyBorder="0" applyAlignment="0" applyProtection="0"/>
    <xf numFmtId="0" fontId="83" fillId="37" borderId="0" applyNumberFormat="0" applyBorder="0" applyAlignment="0" applyProtection="0"/>
    <xf numFmtId="0" fontId="83" fillId="38" borderId="0" applyNumberFormat="0" applyBorder="0" applyAlignment="0" applyProtection="0"/>
    <xf numFmtId="0" fontId="83" fillId="39" borderId="0" applyNumberFormat="0" applyBorder="0" applyAlignment="0" applyProtection="0"/>
    <xf numFmtId="0" fontId="83" fillId="28" borderId="0" applyNumberFormat="0" applyBorder="0" applyAlignment="0" applyProtection="0"/>
    <xf numFmtId="0" fontId="83" fillId="28" borderId="0" applyNumberFormat="0" applyBorder="0" applyAlignment="0" applyProtection="0"/>
    <xf numFmtId="0" fontId="83" fillId="40" borderId="0" applyNumberFormat="0" applyBorder="0" applyAlignment="0" applyProtection="0"/>
    <xf numFmtId="0" fontId="83" fillId="40" borderId="0" applyNumberFormat="0" applyBorder="0" applyAlignment="0" applyProtection="0"/>
    <xf numFmtId="0" fontId="83" fillId="34" borderId="0" applyNumberFormat="0" applyBorder="0" applyAlignment="0" applyProtection="0"/>
    <xf numFmtId="0" fontId="83" fillId="34" borderId="0" applyNumberFormat="0" applyBorder="0" applyAlignment="0" applyProtection="0"/>
    <xf numFmtId="0" fontId="83" fillId="25" borderId="0" applyNumberFormat="0" applyBorder="0" applyAlignment="0" applyProtection="0"/>
    <xf numFmtId="0" fontId="83" fillId="25" borderId="0" applyNumberFormat="0" applyBorder="0" applyAlignment="0" applyProtection="0"/>
    <xf numFmtId="0" fontId="83" fillId="28" borderId="0" applyNumberFormat="0" applyBorder="0" applyAlignment="0" applyProtection="0"/>
    <xf numFmtId="0" fontId="83" fillId="28" borderId="0" applyNumberFormat="0" applyBorder="0" applyAlignment="0" applyProtection="0"/>
    <xf numFmtId="0" fontId="83" fillId="31" borderId="0" applyNumberFormat="0" applyBorder="0" applyAlignment="0" applyProtection="0"/>
    <xf numFmtId="0" fontId="83" fillId="31" borderId="0" applyNumberFormat="0" applyBorder="0" applyAlignment="0" applyProtection="0"/>
    <xf numFmtId="0" fontId="83" fillId="41" borderId="0" applyNumberFormat="0" applyBorder="0" applyAlignment="0" applyProtection="0"/>
    <xf numFmtId="0" fontId="83" fillId="37" borderId="0" applyNumberFormat="0" applyBorder="0" applyAlignment="0" applyProtection="0"/>
    <xf numFmtId="0" fontId="83" fillId="38" borderId="0" applyNumberFormat="0" applyBorder="0" applyAlignment="0" applyProtection="0"/>
    <xf numFmtId="0" fontId="84" fillId="42" borderId="0">
      <alignment horizontal="left"/>
      <protection locked="0"/>
    </xf>
    <xf numFmtId="0" fontId="85" fillId="25" borderId="0" applyNumberFormat="0" applyBorder="0" applyAlignment="0" applyProtection="0"/>
    <xf numFmtId="0" fontId="86" fillId="28" borderId="0" applyNumberFormat="0" applyBorder="0" applyAlignment="0" applyProtection="0"/>
    <xf numFmtId="0" fontId="86" fillId="28" borderId="0" applyNumberFormat="0" applyBorder="0" applyAlignment="0" applyProtection="0"/>
    <xf numFmtId="0" fontId="87" fillId="44" borderId="38" applyNumberFormat="0" applyAlignment="0" applyProtection="0"/>
    <xf numFmtId="0" fontId="87" fillId="44" borderId="38" applyNumberFormat="0" applyAlignment="0" applyProtection="0"/>
    <xf numFmtId="0" fontId="68" fillId="45" borderId="39" applyNumberFormat="0" applyAlignment="0" applyProtection="0"/>
    <xf numFmtId="0" fontId="68" fillId="45" borderId="39" applyNumberFormat="0" applyAlignment="0" applyProtection="0"/>
    <xf numFmtId="0" fontId="88" fillId="0" borderId="40" applyNumberFormat="0" applyFill="0" applyAlignment="0" applyProtection="0"/>
    <xf numFmtId="0" fontId="88" fillId="0" borderId="40" applyNumberFormat="0" applyFill="0" applyAlignment="0" applyProtection="0"/>
    <xf numFmtId="0" fontId="68" fillId="45" borderId="39" applyNumberFormat="0" applyAlignment="0" applyProtection="0"/>
    <xf numFmtId="43" fontId="58" fillId="0" borderId="0" applyFont="0" applyFill="0" applyBorder="0" applyAlignment="0" applyProtection="0"/>
    <xf numFmtId="3" fontId="89" fillId="0" borderId="0" applyFont="0" applyFill="0" applyBorder="0" applyAlignment="0" applyProtection="0"/>
    <xf numFmtId="0" fontId="90" fillId="0" borderId="0"/>
    <xf numFmtId="0" fontId="91" fillId="0" borderId="0"/>
    <xf numFmtId="0" fontId="90" fillId="0" borderId="0"/>
    <xf numFmtId="0" fontId="91" fillId="0" borderId="0"/>
    <xf numFmtId="176" fontId="89" fillId="0" borderId="0" applyFont="0" applyFill="0" applyBorder="0" applyAlignment="0" applyProtection="0"/>
    <xf numFmtId="0" fontId="89" fillId="0" borderId="0" applyFont="0" applyFill="0" applyBorder="0" applyAlignment="0" applyProtection="0"/>
    <xf numFmtId="0" fontId="92" fillId="0" borderId="0">
      <protection locked="0"/>
    </xf>
    <xf numFmtId="0" fontId="93" fillId="0" borderId="0">
      <protection locked="0"/>
    </xf>
    <xf numFmtId="0" fontId="93" fillId="0" borderId="0">
      <protection locked="0"/>
    </xf>
    <xf numFmtId="0" fontId="94" fillId="0" borderId="0" applyNumberFormat="0" applyFill="0" applyBorder="0" applyAlignment="0" applyProtection="0"/>
    <xf numFmtId="0" fontId="94" fillId="0" borderId="0" applyNumberFormat="0" applyFill="0" applyBorder="0" applyAlignment="0" applyProtection="0"/>
    <xf numFmtId="0" fontId="83" fillId="46" borderId="0" applyNumberFormat="0" applyBorder="0" applyAlignment="0" applyProtection="0"/>
    <xf numFmtId="0" fontId="83" fillId="46" borderId="0" applyNumberFormat="0" applyBorder="0" applyAlignment="0" applyProtection="0"/>
    <xf numFmtId="0" fontId="83" fillId="40" borderId="0" applyNumberFormat="0" applyBorder="0" applyAlignment="0" applyProtection="0"/>
    <xf numFmtId="0" fontId="83" fillId="40" borderId="0" applyNumberFormat="0" applyBorder="0" applyAlignment="0" applyProtection="0"/>
    <xf numFmtId="0" fontId="83" fillId="34" borderId="0" applyNumberFormat="0" applyBorder="0" applyAlignment="0" applyProtection="0"/>
    <xf numFmtId="0" fontId="83" fillId="34" borderId="0" applyNumberFormat="0" applyBorder="0" applyAlignment="0" applyProtection="0"/>
    <xf numFmtId="0" fontId="83" fillId="47" borderId="0" applyNumberFormat="0" applyBorder="0" applyAlignment="0" applyProtection="0"/>
    <xf numFmtId="0" fontId="83" fillId="47" borderId="0" applyNumberFormat="0" applyBorder="0" applyAlignment="0" applyProtection="0"/>
    <xf numFmtId="0" fontId="83" fillId="38" borderId="0" applyNumberFormat="0" applyBorder="0" applyAlignment="0" applyProtection="0"/>
    <xf numFmtId="0" fontId="83" fillId="38" borderId="0" applyNumberFormat="0" applyBorder="0" applyAlignment="0" applyProtection="0"/>
    <xf numFmtId="0" fontId="83" fillId="41" borderId="0" applyNumberFormat="0" applyBorder="0" applyAlignment="0" applyProtection="0"/>
    <xf numFmtId="0" fontId="83" fillId="41" borderId="0" applyNumberFormat="0" applyBorder="0" applyAlignment="0" applyProtection="0"/>
    <xf numFmtId="0" fontId="95" fillId="35" borderId="38" applyNumberFormat="0" applyAlignment="0" applyProtection="0"/>
    <xf numFmtId="0" fontId="95" fillId="35" borderId="38" applyNumberFormat="0" applyAlignment="0" applyProtection="0"/>
    <xf numFmtId="0" fontId="58" fillId="0" borderId="0"/>
    <xf numFmtId="177" fontId="96" fillId="0" borderId="0" applyFont="0" applyFill="0" applyBorder="0" applyAlignment="0" applyProtection="0"/>
    <xf numFmtId="177" fontId="96" fillId="0" borderId="0" applyFont="0" applyFill="0" applyBorder="0" applyAlignment="0" applyProtection="0"/>
    <xf numFmtId="177" fontId="96" fillId="0" borderId="0" applyFont="0" applyFill="0" applyBorder="0" applyAlignment="0" applyProtection="0"/>
    <xf numFmtId="177" fontId="96" fillId="0" borderId="0" applyFont="0" applyFill="0" applyBorder="0" applyAlignment="0" applyProtection="0"/>
    <xf numFmtId="0" fontId="97" fillId="0" borderId="0" applyNumberFormat="0" applyFill="0" applyBorder="0" applyAlignment="0" applyProtection="0"/>
    <xf numFmtId="0" fontId="92" fillId="0" borderId="0">
      <protection locked="0"/>
    </xf>
    <xf numFmtId="0" fontId="92" fillId="0" borderId="0">
      <protection locked="0"/>
    </xf>
    <xf numFmtId="0" fontId="92" fillId="0" borderId="0">
      <protection locked="0"/>
    </xf>
    <xf numFmtId="0" fontId="92" fillId="0" borderId="0">
      <protection locked="0"/>
    </xf>
    <xf numFmtId="0" fontId="92" fillId="0" borderId="0">
      <protection locked="0"/>
    </xf>
    <xf numFmtId="0" fontId="92" fillId="0" borderId="0">
      <protection locked="0"/>
    </xf>
    <xf numFmtId="0" fontId="92" fillId="0" borderId="0">
      <protection locked="0"/>
    </xf>
    <xf numFmtId="178" fontId="58" fillId="0" borderId="0">
      <protection locked="0"/>
    </xf>
    <xf numFmtId="0" fontId="92" fillId="0" borderId="0">
      <protection locked="0"/>
    </xf>
    <xf numFmtId="0" fontId="92" fillId="0" borderId="0">
      <protection locked="0"/>
    </xf>
    <xf numFmtId="2" fontId="89" fillId="0" borderId="0" applyFont="0" applyFill="0" applyBorder="0" applyAlignment="0" applyProtection="0"/>
    <xf numFmtId="0" fontId="86" fillId="26" borderId="0" applyNumberFormat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116" fillId="0" borderId="42" applyNumberFormat="0" applyFill="0" applyAlignment="0" applyProtection="0"/>
    <xf numFmtId="0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117" fillId="0" borderId="43" applyNumberFormat="0" applyFill="0" applyAlignment="0" applyProtection="0"/>
    <xf numFmtId="0" fontId="100" fillId="0" borderId="44" applyNumberFormat="0" applyFill="0" applyAlignment="0" applyProtection="0"/>
    <xf numFmtId="0" fontId="100" fillId="0" borderId="0" applyNumberFormat="0" applyFill="0" applyBorder="0" applyAlignment="0" applyProtection="0"/>
    <xf numFmtId="0" fontId="101" fillId="0" borderId="0" applyNumberFormat="0" applyFill="0" applyBorder="0" applyAlignment="0" applyProtection="0">
      <alignment vertical="top"/>
      <protection locked="0"/>
    </xf>
    <xf numFmtId="0" fontId="81" fillId="48" borderId="0" applyFill="0">
      <protection locked="0"/>
    </xf>
    <xf numFmtId="0" fontId="85" fillId="27" borderId="0" applyNumberFormat="0" applyBorder="0" applyAlignment="0" applyProtection="0"/>
    <xf numFmtId="0" fontId="85" fillId="27" borderId="0" applyNumberFormat="0" applyBorder="0" applyAlignment="0" applyProtection="0"/>
    <xf numFmtId="10" fontId="102" fillId="49" borderId="0" applyNumberFormat="0"/>
    <xf numFmtId="0" fontId="58" fillId="0" borderId="0"/>
    <xf numFmtId="0" fontId="58" fillId="0" borderId="0"/>
    <xf numFmtId="0" fontId="58" fillId="0" borderId="0"/>
    <xf numFmtId="0" fontId="58" fillId="0" borderId="0"/>
    <xf numFmtId="0" fontId="103" fillId="0" borderId="0"/>
    <xf numFmtId="0" fontId="58" fillId="0" borderId="0"/>
    <xf numFmtId="0" fontId="104" fillId="0" borderId="41" applyNumberFormat="0" applyFill="0" applyAlignment="0" applyProtection="0"/>
    <xf numFmtId="43" fontId="58" fillId="0" borderId="0" applyFont="0" applyFill="0" applyBorder="0" applyAlignment="0" applyProtection="0"/>
    <xf numFmtId="4" fontId="105" fillId="0" borderId="0"/>
    <xf numFmtId="4" fontId="105" fillId="0" borderId="0"/>
    <xf numFmtId="4" fontId="105" fillId="0" borderId="0"/>
    <xf numFmtId="179" fontId="105" fillId="0" borderId="0"/>
    <xf numFmtId="179" fontId="105" fillId="0" borderId="0"/>
    <xf numFmtId="179" fontId="105" fillId="0" borderId="0"/>
    <xf numFmtId="165" fontId="96" fillId="0" borderId="0" applyFont="0" applyFill="0" applyBorder="0" applyAlignment="0" applyProtection="0"/>
    <xf numFmtId="43" fontId="58" fillId="0" borderId="0" applyFont="0" applyFill="0" applyBorder="0" applyAlignment="0" applyProtection="0"/>
    <xf numFmtId="43" fontId="82" fillId="0" borderId="0" applyFont="0" applyFill="0" applyBorder="0" applyAlignment="0" applyProtection="0"/>
    <xf numFmtId="43" fontId="82" fillId="0" borderId="0" applyFont="0" applyFill="0" applyBorder="0" applyAlignment="0" applyProtection="0"/>
    <xf numFmtId="43" fontId="82" fillId="0" borderId="0" applyFont="0" applyFill="0" applyBorder="0" applyAlignment="0" applyProtection="0"/>
    <xf numFmtId="43" fontId="82" fillId="0" borderId="0" applyFont="0" applyFill="0" applyBorder="0" applyAlignment="0" applyProtection="0"/>
    <xf numFmtId="43" fontId="82" fillId="0" borderId="0" applyFont="0" applyFill="0" applyBorder="0" applyAlignment="0" applyProtection="0"/>
    <xf numFmtId="43" fontId="82" fillId="0" borderId="0" applyFont="0" applyFill="0" applyBorder="0" applyAlignment="0" applyProtection="0"/>
    <xf numFmtId="43" fontId="82" fillId="0" borderId="0" applyFont="0" applyFill="0" applyBorder="0" applyAlignment="0" applyProtection="0"/>
    <xf numFmtId="43" fontId="82" fillId="0" borderId="0" applyFont="0" applyFill="0" applyBorder="0" applyAlignment="0" applyProtection="0"/>
    <xf numFmtId="180" fontId="58" fillId="0" borderId="0" applyFont="0" applyFill="0" applyBorder="0" applyAlignment="0" applyProtection="0"/>
    <xf numFmtId="165" fontId="82" fillId="0" borderId="0" applyFont="0" applyFill="0" applyBorder="0" applyAlignment="0" applyProtection="0"/>
    <xf numFmtId="165" fontId="82" fillId="0" borderId="0" applyFont="0" applyFill="0" applyBorder="0" applyAlignment="0" applyProtection="0"/>
    <xf numFmtId="165" fontId="82" fillId="0" borderId="0" applyFont="0" applyFill="0" applyBorder="0" applyAlignment="0" applyProtection="0"/>
    <xf numFmtId="43" fontId="82" fillId="0" borderId="0" applyFont="0" applyFill="0" applyBorder="0" applyAlignment="0" applyProtection="0"/>
    <xf numFmtId="43" fontId="82" fillId="0" borderId="0" applyFont="0" applyFill="0" applyBorder="0" applyAlignment="0" applyProtection="0"/>
    <xf numFmtId="43" fontId="82" fillId="0" borderId="0" applyFont="0" applyFill="0" applyBorder="0" applyAlignment="0" applyProtection="0"/>
    <xf numFmtId="43" fontId="82" fillId="0" borderId="0" applyFont="0" applyFill="0" applyBorder="0" applyAlignment="0" applyProtection="0"/>
    <xf numFmtId="43" fontId="82" fillId="0" borderId="0" applyFont="0" applyFill="0" applyBorder="0" applyAlignment="0" applyProtection="0"/>
    <xf numFmtId="43" fontId="82" fillId="0" borderId="0" applyFont="0" applyFill="0" applyBorder="0" applyAlignment="0" applyProtection="0"/>
    <xf numFmtId="43" fontId="82" fillId="0" borderId="0" applyFont="0" applyFill="0" applyBorder="0" applyAlignment="0" applyProtection="0"/>
    <xf numFmtId="43" fontId="82" fillId="0" borderId="0" applyFont="0" applyFill="0" applyBorder="0" applyAlignment="0" applyProtection="0"/>
    <xf numFmtId="43" fontId="82" fillId="0" borderId="0" applyFont="0" applyFill="0" applyBorder="0" applyAlignment="0" applyProtection="0"/>
    <xf numFmtId="43" fontId="82" fillId="0" borderId="0" applyFont="0" applyFill="0" applyBorder="0" applyAlignment="0" applyProtection="0"/>
    <xf numFmtId="43" fontId="82" fillId="0" borderId="0" applyFont="0" applyFill="0" applyBorder="0" applyAlignment="0" applyProtection="0"/>
    <xf numFmtId="43" fontId="58" fillId="0" borderId="0" applyFont="0" applyFill="0" applyBorder="0" applyAlignment="0" applyProtection="0"/>
    <xf numFmtId="165" fontId="82" fillId="0" borderId="0" applyFont="0" applyFill="0" applyBorder="0" applyAlignment="0" applyProtection="0"/>
    <xf numFmtId="165" fontId="82" fillId="0" borderId="0" applyFont="0" applyFill="0" applyBorder="0" applyAlignment="0" applyProtection="0"/>
    <xf numFmtId="165" fontId="82" fillId="0" borderId="0" applyFont="0" applyFill="0" applyBorder="0" applyAlignment="0" applyProtection="0"/>
    <xf numFmtId="165" fontId="96" fillId="0" borderId="0" applyFont="0" applyFill="0" applyBorder="0" applyAlignment="0" applyProtection="0"/>
    <xf numFmtId="165" fontId="96" fillId="0" borderId="0" applyFont="0" applyFill="0" applyBorder="0" applyAlignment="0" applyProtection="0"/>
    <xf numFmtId="43" fontId="58" fillId="0" borderId="0" applyFont="0" applyFill="0" applyBorder="0" applyAlignment="0" applyProtection="0"/>
    <xf numFmtId="43" fontId="106" fillId="0" borderId="0" applyFont="0" applyFill="0" applyBorder="0" applyAlignment="0" applyProtection="0"/>
    <xf numFmtId="43" fontId="58" fillId="0" borderId="0" applyFont="0" applyFill="0" applyBorder="0" applyAlignment="0" applyProtection="0"/>
    <xf numFmtId="43" fontId="106" fillId="0" borderId="0" applyFont="0" applyFill="0" applyBorder="0" applyAlignment="0" applyProtection="0"/>
    <xf numFmtId="43" fontId="58" fillId="0" borderId="0" applyFont="0" applyFill="0" applyBorder="0" applyAlignment="0" applyProtection="0"/>
    <xf numFmtId="43" fontId="58" fillId="0" borderId="0" applyFont="0" applyFill="0" applyBorder="0" applyAlignment="0" applyProtection="0"/>
    <xf numFmtId="43" fontId="58" fillId="0" borderId="0" applyFont="0" applyFill="0" applyBorder="0" applyAlignment="0" applyProtection="0"/>
    <xf numFmtId="43" fontId="82" fillId="0" borderId="0" applyFont="0" applyFill="0" applyBorder="0" applyAlignment="0" applyProtection="0"/>
    <xf numFmtId="43" fontId="82" fillId="0" borderId="0" applyFont="0" applyFill="0" applyBorder="0" applyAlignment="0" applyProtection="0"/>
    <xf numFmtId="165" fontId="96" fillId="0" borderId="0" applyFont="0" applyFill="0" applyBorder="0" applyAlignment="0" applyProtection="0"/>
    <xf numFmtId="165" fontId="58" fillId="0" borderId="0" applyFont="0" applyFill="0" applyBorder="0" applyAlignment="0" applyProtection="0"/>
    <xf numFmtId="43" fontId="82" fillId="0" borderId="0" applyFont="0" applyFill="0" applyBorder="0" applyAlignment="0" applyProtection="0"/>
    <xf numFmtId="165" fontId="96" fillId="0" borderId="0" applyFont="0" applyFill="0" applyBorder="0" applyAlignment="0" applyProtection="0"/>
    <xf numFmtId="0" fontId="92" fillId="0" borderId="0">
      <protection locked="0"/>
    </xf>
    <xf numFmtId="0" fontId="107" fillId="35" borderId="0" applyNumberFormat="0" applyBorder="0" applyAlignment="0" applyProtection="0"/>
    <xf numFmtId="0" fontId="107" fillId="35" borderId="0" applyNumberFormat="0" applyBorder="0" applyAlignment="0" applyProtection="0"/>
    <xf numFmtId="37" fontId="108" fillId="0" borderId="0"/>
    <xf numFmtId="0" fontId="58" fillId="0" borderId="0"/>
    <xf numFmtId="0" fontId="58" fillId="0" borderId="0"/>
    <xf numFmtId="0" fontId="58" fillId="0" borderId="0"/>
    <xf numFmtId="0" fontId="82" fillId="0" borderId="0"/>
    <xf numFmtId="0" fontId="37" fillId="0" borderId="0"/>
    <xf numFmtId="0" fontId="82" fillId="0" borderId="0"/>
    <xf numFmtId="0" fontId="37" fillId="0" borderId="0"/>
    <xf numFmtId="0" fontId="82" fillId="0" borderId="0"/>
    <xf numFmtId="0" fontId="106" fillId="0" borderId="0"/>
    <xf numFmtId="0" fontId="96" fillId="0" borderId="0"/>
    <xf numFmtId="0" fontId="82" fillId="0" borderId="0"/>
    <xf numFmtId="0" fontId="58" fillId="0" borderId="0"/>
    <xf numFmtId="0" fontId="96" fillId="0" borderId="0"/>
    <xf numFmtId="0" fontId="96" fillId="0" borderId="0"/>
    <xf numFmtId="0" fontId="96" fillId="0" borderId="0"/>
    <xf numFmtId="0" fontId="58" fillId="32" borderId="45" applyNumberFormat="0" applyFont="0" applyAlignment="0" applyProtection="0"/>
    <xf numFmtId="0" fontId="58" fillId="32" borderId="45" applyNumberFormat="0" applyFont="0" applyAlignment="0" applyProtection="0"/>
    <xf numFmtId="0" fontId="58" fillId="32" borderId="45" applyNumberFormat="0" applyFont="0" applyAlignment="0" applyProtection="0"/>
    <xf numFmtId="0" fontId="109" fillId="43" borderId="46" applyNumberFormat="0" applyAlignment="0" applyProtection="0"/>
    <xf numFmtId="9" fontId="58" fillId="0" borderId="0" applyFont="0" applyFill="0" applyBorder="0" applyAlignment="0" applyProtection="0"/>
    <xf numFmtId="9" fontId="82" fillId="0" borderId="0" applyFont="0" applyFill="0" applyBorder="0" applyAlignment="0" applyProtection="0"/>
    <xf numFmtId="9" fontId="96" fillId="0" borderId="0" applyFont="0" applyFill="0" applyBorder="0" applyAlignment="0" applyProtection="0"/>
    <xf numFmtId="9" fontId="96" fillId="0" borderId="0" applyFont="0" applyFill="0" applyBorder="0" applyAlignment="0" applyProtection="0"/>
    <xf numFmtId="9" fontId="96" fillId="0" borderId="0" applyFont="0" applyFill="0" applyBorder="0" applyAlignment="0" applyProtection="0"/>
    <xf numFmtId="9" fontId="96" fillId="0" borderId="0" applyFont="0" applyFill="0" applyBorder="0" applyAlignment="0" applyProtection="0"/>
    <xf numFmtId="9" fontId="58" fillId="0" borderId="0" applyFont="0" applyFill="0" applyBorder="0" applyAlignment="0" applyProtection="0"/>
    <xf numFmtId="9" fontId="105" fillId="0" borderId="0"/>
    <xf numFmtId="9" fontId="105" fillId="0" borderId="0"/>
    <xf numFmtId="9" fontId="105" fillId="0" borderId="0"/>
    <xf numFmtId="10" fontId="105" fillId="0" borderId="0"/>
    <xf numFmtId="10" fontId="105" fillId="0" borderId="0"/>
    <xf numFmtId="10" fontId="105" fillId="0" borderId="0"/>
    <xf numFmtId="38" fontId="110" fillId="0" borderId="0"/>
    <xf numFmtId="0" fontId="109" fillId="44" borderId="46" applyNumberFormat="0" applyAlignment="0" applyProtection="0"/>
    <xf numFmtId="0" fontId="109" fillId="44" borderId="46" applyNumberFormat="0" applyAlignment="0" applyProtection="0"/>
    <xf numFmtId="0" fontId="88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111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47" applyNumberFormat="0" applyFill="0" applyAlignment="0" applyProtection="0"/>
    <xf numFmtId="0" fontId="114" fillId="0" borderId="48" applyNumberFormat="0" applyFill="0" applyAlignment="0" applyProtection="0"/>
    <xf numFmtId="0" fontId="94" fillId="0" borderId="49" applyNumberFormat="0" applyFill="0" applyAlignment="0" applyProtection="0"/>
    <xf numFmtId="0" fontId="94" fillId="0" borderId="49" applyNumberFormat="0" applyFill="0" applyAlignment="0" applyProtection="0"/>
    <xf numFmtId="0" fontId="112" fillId="0" borderId="0" applyNumberFormat="0" applyFill="0" applyBorder="0" applyAlignment="0" applyProtection="0"/>
    <xf numFmtId="0" fontId="115" fillId="0" borderId="50" applyNumberFormat="0" applyFill="0" applyAlignment="0" applyProtection="0"/>
    <xf numFmtId="0" fontId="115" fillId="0" borderId="50" applyNumberFormat="0" applyFill="0" applyAlignment="0" applyProtection="0"/>
    <xf numFmtId="0" fontId="88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9" fontId="37" fillId="0" borderId="0" applyFont="0" applyFill="0" applyBorder="0" applyAlignment="0" applyProtection="0"/>
    <xf numFmtId="0" fontId="67" fillId="50" borderId="0" applyNumberFormat="0" applyBorder="0" applyAlignment="0" applyProtection="0"/>
    <xf numFmtId="0" fontId="32" fillId="0" borderId="0"/>
    <xf numFmtId="9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0" fontId="32" fillId="0" borderId="0"/>
    <xf numFmtId="0" fontId="32" fillId="0" borderId="0"/>
    <xf numFmtId="44" fontId="32" fillId="0" borderId="0" applyFont="0" applyFill="0" applyBorder="0" applyAlignment="0" applyProtection="0"/>
    <xf numFmtId="165" fontId="32" fillId="0" borderId="0" applyFont="0" applyFill="0" applyBorder="0" applyAlignment="0" applyProtection="0"/>
    <xf numFmtId="164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0" fontId="32" fillId="21" borderId="0" applyNumberFormat="0" applyBorder="0" applyAlignment="0" applyProtection="0"/>
    <xf numFmtId="43" fontId="58" fillId="0" borderId="0" applyFont="0" applyFill="0" applyBorder="0" applyAlignment="0" applyProtection="0"/>
    <xf numFmtId="44" fontId="58" fillId="0" borderId="0" applyFont="0" applyFill="0" applyBorder="0" applyAlignment="0" applyProtection="0"/>
    <xf numFmtId="0" fontId="32" fillId="0" borderId="0"/>
    <xf numFmtId="9" fontId="58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32" fillId="0" borderId="0"/>
    <xf numFmtId="9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4" fontId="32" fillId="0" borderId="0" applyFont="0" applyFill="0" applyBorder="0" applyAlignment="0" applyProtection="0"/>
    <xf numFmtId="0" fontId="32" fillId="0" borderId="0"/>
    <xf numFmtId="9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0" fontId="32" fillId="0" borderId="0"/>
    <xf numFmtId="44" fontId="32" fillId="0" borderId="0" applyFont="0" applyFill="0" applyBorder="0" applyAlignment="0" applyProtection="0"/>
    <xf numFmtId="165" fontId="32" fillId="0" borderId="0" applyFont="0" applyFill="0" applyBorder="0" applyAlignment="0" applyProtection="0"/>
    <xf numFmtId="164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0" fontId="58" fillId="0" borderId="0"/>
    <xf numFmtId="0" fontId="32" fillId="0" borderId="0"/>
    <xf numFmtId="0" fontId="58" fillId="0" borderId="0"/>
    <xf numFmtId="43" fontId="58" fillId="0" borderId="0" applyFont="0" applyFill="0" applyBorder="0" applyAlignment="0" applyProtection="0"/>
    <xf numFmtId="9" fontId="58" fillId="0" borderId="0" applyFont="0" applyFill="0" applyBorder="0" applyAlignment="0" applyProtection="0"/>
    <xf numFmtId="0" fontId="58" fillId="0" borderId="0"/>
    <xf numFmtId="0" fontId="118" fillId="51" borderId="0" applyNumberFormat="0" applyBorder="0" applyAlignment="0" applyProtection="0"/>
    <xf numFmtId="0" fontId="31" fillId="0" borderId="0"/>
    <xf numFmtId="43" fontId="31" fillId="0" borderId="0" applyFont="0" applyFill="0" applyBorder="0" applyAlignment="0" applyProtection="0"/>
    <xf numFmtId="0" fontId="58" fillId="0" borderId="0"/>
    <xf numFmtId="165" fontId="31" fillId="0" borderId="0" applyFont="0" applyFill="0" applyBorder="0" applyAlignment="0" applyProtection="0"/>
    <xf numFmtId="165" fontId="31" fillId="0" borderId="0" applyFont="0" applyFill="0" applyBorder="0" applyAlignment="0" applyProtection="0"/>
    <xf numFmtId="0" fontId="31" fillId="0" borderId="0"/>
    <xf numFmtId="0" fontId="31" fillId="0" borderId="0"/>
    <xf numFmtId="44" fontId="58" fillId="0" borderId="0" applyFont="0" applyFill="0" applyBorder="0" applyAlignment="0" applyProtection="0"/>
    <xf numFmtId="43" fontId="58" fillId="0" borderId="0" applyFont="0" applyFill="0" applyBorder="0" applyAlignment="0" applyProtection="0"/>
    <xf numFmtId="9" fontId="58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31" fillId="0" borderId="0"/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4" fontId="31" fillId="0" borderId="0" applyFont="0" applyFill="0" applyBorder="0" applyAlignment="0" applyProtection="0"/>
    <xf numFmtId="164" fontId="31" fillId="0" borderId="0" applyFont="0" applyFill="0" applyBorder="0" applyAlignment="0" applyProtection="0"/>
    <xf numFmtId="165" fontId="58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31" fillId="0" borderId="0"/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31" fillId="0" borderId="0"/>
    <xf numFmtId="44" fontId="31" fillId="0" borderId="0" applyFont="0" applyFill="0" applyBorder="0" applyAlignment="0" applyProtection="0"/>
    <xf numFmtId="165" fontId="31" fillId="0" borderId="0" applyFont="0" applyFill="0" applyBorder="0" applyAlignment="0" applyProtection="0"/>
    <xf numFmtId="164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31" fillId="0" borderId="0"/>
    <xf numFmtId="165" fontId="31" fillId="0" borderId="0" applyFont="0" applyFill="0" applyBorder="0" applyAlignment="0" applyProtection="0"/>
    <xf numFmtId="165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31" fillId="0" borderId="0"/>
    <xf numFmtId="164" fontId="31" fillId="0" borderId="0" applyFont="0" applyFill="0" applyBorder="0" applyAlignment="0" applyProtection="0"/>
    <xf numFmtId="164" fontId="31" fillId="0" borderId="0" applyFont="0" applyFill="0" applyBorder="0" applyAlignment="0" applyProtection="0"/>
    <xf numFmtId="164" fontId="31" fillId="0" borderId="0" applyFont="0" applyFill="0" applyBorder="0" applyAlignment="0" applyProtection="0"/>
    <xf numFmtId="0" fontId="31" fillId="0" borderId="0"/>
    <xf numFmtId="165" fontId="31" fillId="0" borderId="0" applyFont="0" applyFill="0" applyBorder="0" applyAlignment="0" applyProtection="0"/>
    <xf numFmtId="165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31" fillId="0" borderId="0"/>
    <xf numFmtId="164" fontId="31" fillId="0" borderId="0" applyFont="0" applyFill="0" applyBorder="0" applyAlignment="0" applyProtection="0"/>
    <xf numFmtId="164" fontId="31" fillId="0" borderId="0" applyFont="0" applyFill="0" applyBorder="0" applyAlignment="0" applyProtection="0"/>
    <xf numFmtId="164" fontId="31" fillId="0" borderId="0" applyFont="0" applyFill="0" applyBorder="0" applyAlignment="0" applyProtection="0"/>
    <xf numFmtId="0" fontId="31" fillId="21" borderId="0" applyNumberFormat="0" applyBorder="0" applyAlignment="0" applyProtection="0"/>
    <xf numFmtId="0" fontId="31" fillId="0" borderId="0"/>
    <xf numFmtId="0" fontId="31" fillId="0" borderId="0"/>
    <xf numFmtId="43" fontId="31" fillId="0" borderId="0" applyFont="0" applyFill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9" fontId="31" fillId="0" borderId="0" applyFont="0" applyFill="0" applyBorder="0" applyAlignment="0" applyProtection="0"/>
    <xf numFmtId="0" fontId="31" fillId="0" borderId="0"/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31" fillId="0" borderId="0"/>
    <xf numFmtId="44" fontId="31" fillId="0" borderId="0" applyFont="0" applyFill="0" applyBorder="0" applyAlignment="0" applyProtection="0"/>
    <xf numFmtId="165" fontId="31" fillId="0" borderId="0" applyFont="0" applyFill="0" applyBorder="0" applyAlignment="0" applyProtection="0"/>
    <xf numFmtId="164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31" fillId="21" borderId="0" applyNumberFormat="0" applyBorder="0" applyAlignment="0" applyProtection="0"/>
    <xf numFmtId="0" fontId="31" fillId="0" borderId="0"/>
    <xf numFmtId="9" fontId="31" fillId="0" borderId="0" applyFont="0" applyFill="0" applyBorder="0" applyAlignment="0" applyProtection="0"/>
    <xf numFmtId="0" fontId="31" fillId="0" borderId="0"/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4" fontId="31" fillId="0" borderId="0" applyFont="0" applyFill="0" applyBorder="0" applyAlignment="0" applyProtection="0"/>
    <xf numFmtId="0" fontId="31" fillId="0" borderId="0"/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31" fillId="0" borderId="0"/>
    <xf numFmtId="44" fontId="31" fillId="0" borderId="0" applyFont="0" applyFill="0" applyBorder="0" applyAlignment="0" applyProtection="0"/>
    <xf numFmtId="165" fontId="31" fillId="0" borderId="0" applyFont="0" applyFill="0" applyBorder="0" applyAlignment="0" applyProtection="0"/>
    <xf numFmtId="164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31" fillId="0" borderId="0"/>
    <xf numFmtId="9" fontId="31" fillId="0" borderId="0" applyFont="0" applyFill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8" fillId="0" borderId="0"/>
    <xf numFmtId="9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0" fontId="28" fillId="0" borderId="0"/>
    <xf numFmtId="44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0" fontId="28" fillId="21" borderId="0" applyNumberFormat="0" applyBorder="0" applyAlignment="0" applyProtection="0"/>
    <xf numFmtId="0" fontId="28" fillId="0" borderId="0"/>
    <xf numFmtId="9" fontId="28" fillId="0" borderId="0" applyFont="0" applyFill="0" applyBorder="0" applyAlignment="0" applyProtection="0"/>
    <xf numFmtId="0" fontId="28" fillId="0" borderId="0"/>
    <xf numFmtId="9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0" fontId="28" fillId="0" borderId="0"/>
    <xf numFmtId="9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0" fontId="28" fillId="0" borderId="0"/>
    <xf numFmtId="44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0" fontId="28" fillId="0" borderId="0"/>
    <xf numFmtId="164" fontId="28" fillId="0" borderId="0" applyFont="0" applyFill="0" applyBorder="0" applyAlignment="0" applyProtection="0"/>
    <xf numFmtId="0" fontId="71" fillId="0" borderId="0"/>
    <xf numFmtId="165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0" fontId="58" fillId="0" borderId="0"/>
    <xf numFmtId="165" fontId="58" fillId="0" borderId="0" applyFont="0" applyFill="0" applyBorder="0" applyAlignment="0" applyProtection="0"/>
    <xf numFmtId="164" fontId="58" fillId="0" borderId="0" applyFont="0" applyFill="0" applyBorder="0" applyAlignment="0" applyProtection="0"/>
    <xf numFmtId="165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58" fillId="0" borderId="0" applyFont="0" applyFill="0" applyBorder="0" applyAlignment="0" applyProtection="0"/>
    <xf numFmtId="165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58" fillId="0" borderId="0" applyFont="0" applyFill="0" applyBorder="0" applyAlignment="0" applyProtection="0"/>
    <xf numFmtId="164" fontId="58" fillId="0" borderId="0" applyFont="0" applyFill="0" applyBorder="0" applyAlignment="0" applyProtection="0"/>
    <xf numFmtId="165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58" fillId="0" borderId="0" applyFont="0" applyFill="0" applyBorder="0" applyAlignment="0" applyProtection="0"/>
    <xf numFmtId="165" fontId="28" fillId="0" borderId="0" applyFont="0" applyFill="0" applyBorder="0" applyAlignment="0" applyProtection="0"/>
    <xf numFmtId="0" fontId="20" fillId="0" borderId="0"/>
    <xf numFmtId="0" fontId="128" fillId="55" borderId="69" applyNumberFormat="0" applyAlignment="0" applyProtection="0"/>
    <xf numFmtId="0" fontId="19" fillId="0" borderId="0"/>
    <xf numFmtId="0" fontId="19" fillId="0" borderId="0"/>
    <xf numFmtId="0" fontId="19" fillId="0" borderId="0"/>
    <xf numFmtId="0" fontId="12" fillId="0" borderId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164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4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4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</cellStyleXfs>
  <cellXfs count="596">
    <xf numFmtId="0" fontId="0" fillId="0" borderId="0" xfId="0"/>
    <xf numFmtId="0" fontId="0" fillId="3" borderId="0" xfId="3" applyFont="1" applyFill="1"/>
    <xf numFmtId="0" fontId="0" fillId="3" borderId="3" xfId="3" applyFont="1" applyFill="1" applyBorder="1"/>
    <xf numFmtId="0" fontId="0" fillId="3" borderId="4" xfId="3" applyFont="1" applyFill="1" applyBorder="1"/>
    <xf numFmtId="0" fontId="0" fillId="3" borderId="5" xfId="3" applyFont="1" applyFill="1" applyBorder="1"/>
    <xf numFmtId="0" fontId="59" fillId="4" borderId="8" xfId="3" applyFont="1" applyFill="1" applyBorder="1" applyAlignment="1">
      <alignment horizontal="center"/>
    </xf>
    <xf numFmtId="0" fontId="0" fillId="3" borderId="4" xfId="3" applyFont="1" applyFill="1" applyBorder="1" applyAlignment="1">
      <alignment horizontal="center"/>
    </xf>
    <xf numFmtId="14" fontId="0" fillId="3" borderId="4" xfId="3" applyNumberFormat="1" applyFont="1" applyFill="1" applyBorder="1" applyAlignment="1">
      <alignment horizontal="center"/>
    </xf>
    <xf numFmtId="0" fontId="0" fillId="3" borderId="10" xfId="3" applyFont="1" applyFill="1" applyBorder="1"/>
    <xf numFmtId="0" fontId="59" fillId="4" borderId="14" xfId="3" applyFont="1" applyFill="1" applyBorder="1"/>
    <xf numFmtId="166" fontId="0" fillId="3" borderId="10" xfId="1" applyNumberFormat="1" applyFont="1" applyFill="1" applyBorder="1"/>
    <xf numFmtId="43" fontId="0" fillId="3" borderId="10" xfId="3" applyNumberFormat="1" applyFont="1" applyFill="1" applyBorder="1"/>
    <xf numFmtId="43" fontId="0" fillId="3" borderId="11" xfId="3" applyNumberFormat="1" applyFont="1" applyFill="1" applyBorder="1"/>
    <xf numFmtId="2" fontId="0" fillId="3" borderId="12" xfId="3" applyNumberFormat="1" applyFont="1" applyFill="1" applyBorder="1"/>
    <xf numFmtId="2" fontId="0" fillId="3" borderId="2" xfId="3" applyNumberFormat="1" applyFont="1" applyFill="1" applyBorder="1"/>
    <xf numFmtId="169" fontId="0" fillId="3" borderId="0" xfId="1" applyNumberFormat="1" applyFont="1" applyFill="1" applyBorder="1"/>
    <xf numFmtId="169" fontId="0" fillId="6" borderId="4" xfId="1" applyNumberFormat="1" applyFont="1" applyFill="1" applyBorder="1"/>
    <xf numFmtId="169" fontId="0" fillId="3" borderId="5" xfId="1" applyNumberFormat="1" applyFont="1" applyFill="1" applyBorder="1"/>
    <xf numFmtId="169" fontId="0" fillId="3" borderId="4" xfId="1" applyNumberFormat="1" applyFont="1" applyFill="1" applyBorder="1"/>
    <xf numFmtId="169" fontId="0" fillId="6" borderId="5" xfId="1" applyNumberFormat="1" applyFont="1" applyFill="1" applyBorder="1"/>
    <xf numFmtId="14" fontId="62" fillId="7" borderId="12" xfId="3" applyNumberFormat="1" applyFont="1" applyFill="1" applyBorder="1"/>
    <xf numFmtId="2" fontId="62" fillId="7" borderId="1" xfId="3" applyNumberFormat="1" applyFont="1" applyFill="1" applyBorder="1"/>
    <xf numFmtId="169" fontId="62" fillId="7" borderId="3" xfId="1" applyNumberFormat="1" applyFont="1" applyFill="1" applyBorder="1"/>
    <xf numFmtId="0" fontId="63" fillId="3" borderId="0" xfId="4" applyFill="1"/>
    <xf numFmtId="0" fontId="63" fillId="3" borderId="8" xfId="4" applyFill="1" applyBorder="1"/>
    <xf numFmtId="0" fontId="63" fillId="9" borderId="6" xfId="4" applyFill="1" applyBorder="1" applyAlignment="1">
      <alignment horizontal="center"/>
    </xf>
    <xf numFmtId="0" fontId="64" fillId="10" borderId="3" xfId="4" applyFont="1" applyFill="1" applyBorder="1" applyAlignment="1">
      <alignment horizontal="center"/>
    </xf>
    <xf numFmtId="0" fontId="64" fillId="10" borderId="6" xfId="4" applyFont="1" applyFill="1" applyBorder="1" applyAlignment="1">
      <alignment horizontal="center"/>
    </xf>
    <xf numFmtId="0" fontId="64" fillId="10" borderId="9" xfId="4" applyFont="1" applyFill="1" applyBorder="1" applyAlignment="1">
      <alignment horizontal="center"/>
    </xf>
    <xf numFmtId="0" fontId="63" fillId="3" borderId="3" xfId="4" applyFill="1" applyBorder="1"/>
    <xf numFmtId="0" fontId="63" fillId="8" borderId="4" xfId="4" applyFill="1" applyBorder="1"/>
    <xf numFmtId="0" fontId="63" fillId="8" borderId="0" xfId="4" applyFill="1" applyBorder="1" applyAlignment="1">
      <alignment horizontal="center"/>
    </xf>
    <xf numFmtId="10" fontId="63" fillId="8" borderId="0" xfId="6" applyNumberFormat="1" applyFont="1" applyFill="1" applyBorder="1" applyAlignment="1">
      <alignment horizontal="center"/>
    </xf>
    <xf numFmtId="10" fontId="63" fillId="8" borderId="10" xfId="6" applyNumberFormat="1" applyFont="1" applyFill="1" applyBorder="1" applyAlignment="1">
      <alignment horizontal="center"/>
    </xf>
    <xf numFmtId="10" fontId="64" fillId="3" borderId="10" xfId="6" applyNumberFormat="1" applyFont="1" applyFill="1" applyBorder="1" applyAlignment="1">
      <alignment horizontal="center"/>
    </xf>
    <xf numFmtId="0" fontId="63" fillId="3" borderId="4" xfId="4" applyFill="1" applyBorder="1"/>
    <xf numFmtId="0" fontId="63" fillId="3" borderId="0" xfId="4" applyFill="1" applyBorder="1" applyAlignment="1">
      <alignment horizontal="center"/>
    </xf>
    <xf numFmtId="10" fontId="63" fillId="3" borderId="0" xfId="6" applyNumberFormat="1" applyFont="1" applyFill="1" applyBorder="1" applyAlignment="1">
      <alignment horizontal="center"/>
    </xf>
    <xf numFmtId="10" fontId="63" fillId="3" borderId="10" xfId="6" applyNumberFormat="1" applyFont="1" applyFill="1" applyBorder="1" applyAlignment="1">
      <alignment horizontal="center"/>
    </xf>
    <xf numFmtId="10" fontId="64" fillId="8" borderId="10" xfId="6" applyNumberFormat="1" applyFont="1" applyFill="1" applyBorder="1" applyAlignment="1">
      <alignment horizontal="center"/>
    </xf>
    <xf numFmtId="0" fontId="63" fillId="8" borderId="5" xfId="4" applyFill="1" applyBorder="1"/>
    <xf numFmtId="0" fontId="63" fillId="8" borderId="7" xfId="4" applyFill="1" applyBorder="1" applyAlignment="1">
      <alignment horizontal="center"/>
    </xf>
    <xf numFmtId="0" fontId="63" fillId="8" borderId="2" xfId="4" applyFill="1" applyBorder="1" applyAlignment="1">
      <alignment horizontal="center"/>
    </xf>
    <xf numFmtId="10" fontId="63" fillId="8" borderId="7" xfId="6" applyNumberFormat="1" applyFont="1" applyFill="1" applyBorder="1" applyAlignment="1">
      <alignment horizontal="center"/>
    </xf>
    <xf numFmtId="10" fontId="63" fillId="8" borderId="11" xfId="6" applyNumberFormat="1" applyFont="1" applyFill="1" applyBorder="1" applyAlignment="1">
      <alignment horizontal="center"/>
    </xf>
    <xf numFmtId="0" fontId="63" fillId="11" borderId="8" xfId="4" applyFill="1" applyBorder="1"/>
    <xf numFmtId="0" fontId="63" fillId="11" borderId="14" xfId="4" applyFill="1" applyBorder="1"/>
    <xf numFmtId="0" fontId="63" fillId="11" borderId="13" xfId="4" applyFill="1" applyBorder="1"/>
    <xf numFmtId="0" fontId="63" fillId="3" borderId="6" xfId="4" applyFill="1" applyBorder="1"/>
    <xf numFmtId="0" fontId="63" fillId="3" borderId="9" xfId="4" applyFill="1" applyBorder="1"/>
    <xf numFmtId="0" fontId="63" fillId="3" borderId="0" xfId="4" applyFill="1" applyBorder="1"/>
    <xf numFmtId="0" fontId="63" fillId="3" borderId="10" xfId="4" applyFill="1" applyBorder="1"/>
    <xf numFmtId="0" fontId="63" fillId="3" borderId="5" xfId="4" applyFill="1" applyBorder="1"/>
    <xf numFmtId="0" fontId="63" fillId="3" borderId="7" xfId="4" applyFill="1" applyBorder="1"/>
    <xf numFmtId="0" fontId="63" fillId="3" borderId="11" xfId="4" applyFill="1" applyBorder="1"/>
    <xf numFmtId="10" fontId="63" fillId="3" borderId="0" xfId="4" applyNumberFormat="1" applyFill="1"/>
    <xf numFmtId="2" fontId="63" fillId="3" borderId="12" xfId="4" applyNumberFormat="1" applyFill="1" applyBorder="1" applyAlignment="1">
      <alignment horizontal="center"/>
    </xf>
    <xf numFmtId="2" fontId="63" fillId="8" borderId="12" xfId="4" applyNumberFormat="1" applyFill="1" applyBorder="1" applyAlignment="1">
      <alignment horizontal="center"/>
    </xf>
    <xf numFmtId="2" fontId="63" fillId="3" borderId="0" xfId="4" applyNumberFormat="1" applyFill="1" applyAlignment="1">
      <alignment horizontal="center"/>
    </xf>
    <xf numFmtId="2" fontId="63" fillId="3" borderId="0" xfId="4" applyNumberFormat="1" applyFill="1"/>
    <xf numFmtId="0" fontId="63" fillId="3" borderId="0" xfId="4" applyFill="1" applyAlignment="1">
      <alignment horizontal="center"/>
    </xf>
    <xf numFmtId="10" fontId="63" fillId="3" borderId="0" xfId="5" applyNumberFormat="1" applyFont="1" applyFill="1"/>
    <xf numFmtId="10" fontId="63" fillId="3" borderId="6" xfId="5" applyNumberFormat="1" applyFont="1" applyFill="1" applyBorder="1" applyAlignment="1">
      <alignment horizontal="center"/>
    </xf>
    <xf numFmtId="10" fontId="63" fillId="3" borderId="0" xfId="5" applyNumberFormat="1" applyFont="1" applyFill="1" applyBorder="1" applyAlignment="1">
      <alignment horizontal="center"/>
    </xf>
    <xf numFmtId="10" fontId="63" fillId="3" borderId="7" xfId="5" applyNumberFormat="1" applyFont="1" applyFill="1" applyBorder="1" applyAlignment="1">
      <alignment horizontal="center"/>
    </xf>
    <xf numFmtId="10" fontId="63" fillId="8" borderId="4" xfId="6" applyNumberFormat="1" applyFont="1" applyFill="1" applyBorder="1" applyAlignment="1">
      <alignment horizontal="center"/>
    </xf>
    <xf numFmtId="0" fontId="64" fillId="9" borderId="3" xfId="4" applyFont="1" applyFill="1" applyBorder="1" applyAlignment="1">
      <alignment horizontal="center"/>
    </xf>
    <xf numFmtId="14" fontId="63" fillId="3" borderId="3" xfId="4" applyNumberFormat="1" applyFill="1" applyBorder="1"/>
    <xf numFmtId="14" fontId="63" fillId="3" borderId="4" xfId="4" applyNumberFormat="1" applyFill="1" applyBorder="1"/>
    <xf numFmtId="14" fontId="63" fillId="3" borderId="5" xfId="4" applyNumberFormat="1" applyFill="1" applyBorder="1"/>
    <xf numFmtId="0" fontId="64" fillId="3" borderId="0" xfId="4" applyFont="1" applyFill="1"/>
    <xf numFmtId="0" fontId="63" fillId="13" borderId="15" xfId="4" applyFill="1" applyBorder="1"/>
    <xf numFmtId="0" fontId="63" fillId="13" borderId="16" xfId="4" applyFill="1" applyBorder="1"/>
    <xf numFmtId="0" fontId="63" fillId="13" borderId="9" xfId="4" applyFill="1" applyBorder="1"/>
    <xf numFmtId="0" fontId="63" fillId="13" borderId="10" xfId="4" applyFill="1" applyBorder="1"/>
    <xf numFmtId="0" fontId="63" fillId="13" borderId="11" xfId="4" applyFill="1" applyBorder="1"/>
    <xf numFmtId="9" fontId="63" fillId="13" borderId="17" xfId="4" applyNumberFormat="1" applyFill="1" applyBorder="1"/>
    <xf numFmtId="9" fontId="63" fillId="8" borderId="12" xfId="4" applyNumberFormat="1" applyFill="1" applyBorder="1" applyAlignment="1">
      <alignment horizontal="center"/>
    </xf>
    <xf numFmtId="167" fontId="63" fillId="13" borderId="18" xfId="4" applyNumberFormat="1" applyFill="1" applyBorder="1"/>
    <xf numFmtId="0" fontId="65" fillId="3" borderId="0" xfId="4" applyFont="1" applyFill="1"/>
    <xf numFmtId="14" fontId="0" fillId="6" borderId="12" xfId="3" applyNumberFormat="1" applyFont="1" applyFill="1" applyBorder="1"/>
    <xf numFmtId="167" fontId="63" fillId="13" borderId="16" xfId="4" applyNumberFormat="1" applyFill="1" applyBorder="1"/>
    <xf numFmtId="9" fontId="63" fillId="14" borderId="17" xfId="4" applyNumberFormat="1" applyFill="1" applyBorder="1"/>
    <xf numFmtId="170" fontId="63" fillId="3" borderId="9" xfId="4" applyNumberFormat="1" applyFill="1" applyBorder="1"/>
    <xf numFmtId="2" fontId="63" fillId="3" borderId="11" xfId="5" applyNumberFormat="1" applyFont="1" applyFill="1" applyBorder="1" applyAlignment="1">
      <alignment horizontal="center"/>
    </xf>
    <xf numFmtId="44" fontId="63" fillId="3" borderId="0" xfId="2" applyFont="1" applyFill="1"/>
    <xf numFmtId="167" fontId="63" fillId="3" borderId="0" xfId="4" applyNumberFormat="1" applyFill="1"/>
    <xf numFmtId="0" fontId="57" fillId="3" borderId="3" xfId="4" applyFont="1" applyFill="1" applyBorder="1"/>
    <xf numFmtId="0" fontId="57" fillId="3" borderId="4" xfId="4" applyFont="1" applyFill="1" applyBorder="1"/>
    <xf numFmtId="0" fontId="57" fillId="3" borderId="5" xfId="4" applyFont="1" applyFill="1" applyBorder="1"/>
    <xf numFmtId="2" fontId="63" fillId="14" borderId="9" xfId="4" applyNumberFormat="1" applyFill="1" applyBorder="1"/>
    <xf numFmtId="2" fontId="63" fillId="14" borderId="10" xfId="4" applyNumberFormat="1" applyFill="1" applyBorder="1"/>
    <xf numFmtId="2" fontId="63" fillId="14" borderId="11" xfId="4" applyNumberFormat="1" applyFill="1" applyBorder="1"/>
    <xf numFmtId="166" fontId="58" fillId="5" borderId="9" xfId="1" applyNumberFormat="1" applyFill="1" applyBorder="1"/>
    <xf numFmtId="166" fontId="58" fillId="5" borderId="10" xfId="1" applyNumberFormat="1" applyFill="1" applyBorder="1"/>
    <xf numFmtId="14" fontId="62" fillId="7" borderId="2" xfId="3" applyNumberFormat="1" applyFont="1" applyFill="1" applyBorder="1"/>
    <xf numFmtId="166" fontId="58" fillId="5" borderId="11" xfId="1" applyNumberFormat="1" applyFill="1" applyBorder="1"/>
    <xf numFmtId="166" fontId="63" fillId="3" borderId="0" xfId="4" applyNumberFormat="1" applyFill="1"/>
    <xf numFmtId="166" fontId="0" fillId="3" borderId="12" xfId="1" applyNumberFormat="1" applyFont="1" applyFill="1" applyBorder="1"/>
    <xf numFmtId="0" fontId="63" fillId="3" borderId="20" xfId="4" applyFill="1" applyBorder="1"/>
    <xf numFmtId="14" fontId="63" fillId="3" borderId="0" xfId="4" applyNumberFormat="1" applyFill="1"/>
    <xf numFmtId="0" fontId="64" fillId="3" borderId="0" xfId="4" applyFont="1" applyFill="1" applyAlignment="1">
      <alignment horizontal="left"/>
    </xf>
    <xf numFmtId="43" fontId="63" fillId="3" borderId="0" xfId="1" applyFont="1" applyFill="1"/>
    <xf numFmtId="17" fontId="63" fillId="15" borderId="0" xfId="4" applyNumberFormat="1" applyFill="1"/>
    <xf numFmtId="10" fontId="63" fillId="15" borderId="0" xfId="5" applyNumberFormat="1" applyFont="1" applyFill="1"/>
    <xf numFmtId="0" fontId="59" fillId="4" borderId="13" xfId="3" applyFont="1" applyFill="1" applyBorder="1"/>
    <xf numFmtId="166" fontId="0" fillId="3" borderId="0" xfId="1" applyNumberFormat="1" applyFont="1" applyFill="1" applyBorder="1"/>
    <xf numFmtId="0" fontId="59" fillId="4" borderId="19" xfId="3" applyFont="1" applyFill="1" applyBorder="1"/>
    <xf numFmtId="43" fontId="0" fillId="3" borderId="12" xfId="3" applyNumberFormat="1" applyFont="1" applyFill="1" applyBorder="1"/>
    <xf numFmtId="43" fontId="0" fillId="3" borderId="2" xfId="3" applyNumberFormat="1" applyFont="1" applyFill="1" applyBorder="1"/>
    <xf numFmtId="0" fontId="0" fillId="3" borderId="10" xfId="3" applyNumberFormat="1" applyFont="1" applyFill="1" applyBorder="1"/>
    <xf numFmtId="0" fontId="0" fillId="3" borderId="11" xfId="3" applyNumberFormat="1" applyFont="1" applyFill="1" applyBorder="1"/>
    <xf numFmtId="0" fontId="60" fillId="3" borderId="8" xfId="3" applyFont="1" applyFill="1" applyBorder="1"/>
    <xf numFmtId="0" fontId="59" fillId="4" borderId="19" xfId="3" applyFont="1" applyFill="1" applyBorder="1" applyAlignment="1">
      <alignment horizontal="center"/>
    </xf>
    <xf numFmtId="2" fontId="63" fillId="3" borderId="20" xfId="4" applyNumberFormat="1" applyFill="1" applyBorder="1"/>
    <xf numFmtId="0" fontId="63" fillId="3" borderId="0" xfId="4" applyFill="1" applyAlignment="1">
      <alignment wrapText="1"/>
    </xf>
    <xf numFmtId="14" fontId="63" fillId="3" borderId="4" xfId="4" applyNumberFormat="1" applyFill="1" applyBorder="1" applyAlignment="1">
      <alignment wrapText="1"/>
    </xf>
    <xf numFmtId="2" fontId="63" fillId="14" borderId="10" xfId="4" applyNumberFormat="1" applyFill="1" applyBorder="1" applyAlignment="1">
      <alignment wrapText="1"/>
    </xf>
    <xf numFmtId="2" fontId="62" fillId="7" borderId="12" xfId="3" applyNumberFormat="1" applyFont="1" applyFill="1" applyBorder="1" applyAlignment="1">
      <alignment wrapText="1"/>
    </xf>
    <xf numFmtId="14" fontId="0" fillId="6" borderId="12" xfId="3" applyNumberFormat="1" applyFont="1" applyFill="1" applyBorder="1" applyAlignment="1">
      <alignment wrapText="1"/>
    </xf>
    <xf numFmtId="169" fontId="62" fillId="7" borderId="4" xfId="1" applyNumberFormat="1" applyFont="1" applyFill="1" applyBorder="1" applyAlignment="1">
      <alignment wrapText="1"/>
    </xf>
    <xf numFmtId="166" fontId="58" fillId="5" borderId="10" xfId="1" applyNumberFormat="1" applyFill="1" applyBorder="1" applyAlignment="1">
      <alignment wrapText="1"/>
    </xf>
    <xf numFmtId="166" fontId="63" fillId="3" borderId="0" xfId="4" applyNumberFormat="1" applyFill="1" applyAlignment="1">
      <alignment wrapText="1"/>
    </xf>
    <xf numFmtId="17" fontId="63" fillId="15" borderId="0" xfId="4" applyNumberFormat="1" applyFill="1" applyAlignment="1">
      <alignment wrapText="1"/>
    </xf>
    <xf numFmtId="10" fontId="63" fillId="15" borderId="0" xfId="5" applyNumberFormat="1" applyFont="1" applyFill="1" applyAlignment="1">
      <alignment wrapText="1"/>
    </xf>
    <xf numFmtId="14" fontId="63" fillId="3" borderId="0" xfId="4" applyNumberFormat="1" applyFill="1" applyAlignment="1">
      <alignment wrapText="1"/>
    </xf>
    <xf numFmtId="4" fontId="0" fillId="0" borderId="0" xfId="0" applyNumberFormat="1"/>
    <xf numFmtId="3" fontId="0" fillId="0" borderId="0" xfId="0" applyNumberFormat="1"/>
    <xf numFmtId="0" fontId="60" fillId="0" borderId="0" xfId="0" applyFont="1"/>
    <xf numFmtId="0" fontId="55" fillId="3" borderId="0" xfId="4" applyFont="1" applyFill="1"/>
    <xf numFmtId="4" fontId="63" fillId="3" borderId="20" xfId="4" applyNumberFormat="1" applyFill="1" applyBorder="1"/>
    <xf numFmtId="10" fontId="63" fillId="3" borderId="6" xfId="6" applyNumberFormat="1" applyFont="1" applyFill="1" applyBorder="1" applyAlignment="1">
      <alignment horizontal="center"/>
    </xf>
    <xf numFmtId="168" fontId="63" fillId="3" borderId="0" xfId="1" applyNumberFormat="1" applyFont="1" applyFill="1"/>
    <xf numFmtId="168" fontId="63" fillId="3" borderId="0" xfId="1" applyNumberFormat="1" applyFont="1" applyFill="1" applyAlignment="1">
      <alignment wrapText="1"/>
    </xf>
    <xf numFmtId="168" fontId="63" fillId="3" borderId="0" xfId="4" applyNumberFormat="1" applyFill="1"/>
    <xf numFmtId="0" fontId="54" fillId="3" borderId="0" xfId="4" applyFont="1" applyFill="1"/>
    <xf numFmtId="0" fontId="55" fillId="12" borderId="0" xfId="4" applyNumberFormat="1" applyFont="1" applyFill="1" applyBorder="1" applyAlignment="1">
      <alignment horizontal="center"/>
    </xf>
    <xf numFmtId="0" fontId="53" fillId="3" borderId="5" xfId="4" applyFont="1" applyFill="1" applyBorder="1"/>
    <xf numFmtId="0" fontId="63" fillId="3" borderId="4" xfId="4" applyNumberFormat="1" applyFill="1" applyBorder="1"/>
    <xf numFmtId="0" fontId="63" fillId="3" borderId="5" xfId="4" applyNumberFormat="1" applyFill="1" applyBorder="1"/>
    <xf numFmtId="0" fontId="59" fillId="2" borderId="19" xfId="3" applyFont="1" applyFill="1" applyBorder="1"/>
    <xf numFmtId="14" fontId="0" fillId="3" borderId="19" xfId="3" applyNumberFormat="1" applyFont="1" applyFill="1" applyBorder="1" applyAlignment="1">
      <alignment horizontal="center"/>
    </xf>
    <xf numFmtId="0" fontId="59" fillId="4" borderId="8" xfId="3" applyFont="1" applyFill="1" applyBorder="1"/>
    <xf numFmtId="0" fontId="64" fillId="9" borderId="8" xfId="4" applyFont="1" applyFill="1" applyBorder="1" applyAlignment="1">
      <alignment horizontal="center"/>
    </xf>
    <xf numFmtId="0" fontId="63" fillId="9" borderId="13" xfId="4" applyFill="1" applyBorder="1" applyAlignment="1">
      <alignment horizontal="center"/>
    </xf>
    <xf numFmtId="2" fontId="63" fillId="3" borderId="2" xfId="4" applyNumberFormat="1" applyFill="1" applyBorder="1" applyAlignment="1">
      <alignment horizontal="center" wrapText="1"/>
    </xf>
    <xf numFmtId="0" fontId="63" fillId="9" borderId="14" xfId="4" applyFill="1" applyBorder="1" applyAlignment="1">
      <alignment horizontal="center"/>
    </xf>
    <xf numFmtId="0" fontId="64" fillId="10" borderId="8" xfId="4" applyFont="1" applyFill="1" applyBorder="1" applyAlignment="1">
      <alignment horizontal="center"/>
    </xf>
    <xf numFmtId="0" fontId="64" fillId="10" borderId="14" xfId="4" applyFont="1" applyFill="1" applyBorder="1" applyAlignment="1">
      <alignment horizontal="center"/>
    </xf>
    <xf numFmtId="0" fontId="64" fillId="10" borderId="13" xfId="4" applyFont="1" applyFill="1" applyBorder="1" applyAlignment="1">
      <alignment horizontal="center"/>
    </xf>
    <xf numFmtId="0" fontId="63" fillId="8" borderId="3" xfId="4" applyFill="1" applyBorder="1"/>
    <xf numFmtId="2" fontId="63" fillId="8" borderId="1" xfId="4" applyNumberFormat="1" applyFill="1" applyBorder="1" applyAlignment="1">
      <alignment horizontal="center"/>
    </xf>
    <xf numFmtId="10" fontId="63" fillId="8" borderId="3" xfId="6" applyNumberFormat="1" applyFont="1" applyFill="1" applyBorder="1" applyAlignment="1">
      <alignment horizontal="center"/>
    </xf>
    <xf numFmtId="10" fontId="64" fillId="8" borderId="9" xfId="6" applyNumberFormat="1" applyFont="1" applyFill="1" applyBorder="1" applyAlignment="1">
      <alignment horizontal="center"/>
    </xf>
    <xf numFmtId="10" fontId="63" fillId="8" borderId="5" xfId="6" applyNumberFormat="1" applyFont="1" applyFill="1" applyBorder="1" applyAlignment="1">
      <alignment horizontal="center"/>
    </xf>
    <xf numFmtId="10" fontId="63" fillId="3" borderId="7" xfId="6" applyNumberFormat="1" applyFont="1" applyFill="1" applyBorder="1" applyAlignment="1">
      <alignment horizontal="center"/>
    </xf>
    <xf numFmtId="10" fontId="64" fillId="8" borderId="11" xfId="6" applyNumberFormat="1" applyFont="1" applyFill="1" applyBorder="1" applyAlignment="1">
      <alignment horizontal="center"/>
    </xf>
    <xf numFmtId="0" fontId="52" fillId="9" borderId="9" xfId="4" applyFont="1" applyFill="1" applyBorder="1" applyAlignment="1">
      <alignment horizontal="center"/>
    </xf>
    <xf numFmtId="43" fontId="0" fillId="3" borderId="0" xfId="1" applyNumberFormat="1" applyFont="1" applyFill="1" applyBorder="1"/>
    <xf numFmtId="2" fontId="63" fillId="8" borderId="0" xfId="4" applyNumberFormat="1" applyFill="1" applyBorder="1" applyAlignment="1">
      <alignment horizontal="center"/>
    </xf>
    <xf numFmtId="0" fontId="63" fillId="8" borderId="6" xfId="4" applyFill="1" applyBorder="1" applyAlignment="1">
      <alignment horizontal="center"/>
    </xf>
    <xf numFmtId="0" fontId="63" fillId="3" borderId="7" xfId="4" applyFill="1" applyBorder="1" applyAlignment="1">
      <alignment horizontal="center"/>
    </xf>
    <xf numFmtId="2" fontId="63" fillId="3" borderId="2" xfId="4" applyNumberFormat="1" applyFill="1" applyBorder="1" applyAlignment="1">
      <alignment horizontal="center"/>
    </xf>
    <xf numFmtId="10" fontId="64" fillId="3" borderId="11" xfId="6" applyNumberFormat="1" applyFont="1" applyFill="1" applyBorder="1" applyAlignment="1">
      <alignment horizontal="center"/>
    </xf>
    <xf numFmtId="2" fontId="63" fillId="8" borderId="6" xfId="4" applyNumberFormat="1" applyFill="1" applyBorder="1" applyAlignment="1">
      <alignment horizontal="center"/>
    </xf>
    <xf numFmtId="2" fontId="63" fillId="3" borderId="0" xfId="4" applyNumberFormat="1" applyFill="1" applyBorder="1" applyAlignment="1">
      <alignment horizontal="center"/>
    </xf>
    <xf numFmtId="2" fontId="63" fillId="3" borderId="7" xfId="4" applyNumberFormat="1" applyFill="1" applyBorder="1" applyAlignment="1">
      <alignment horizontal="center"/>
    </xf>
    <xf numFmtId="14" fontId="0" fillId="0" borderId="0" xfId="0" applyNumberFormat="1"/>
    <xf numFmtId="0" fontId="0" fillId="0" borderId="4" xfId="3" applyFont="1" applyFill="1" applyBorder="1" applyAlignment="1">
      <alignment horizontal="center"/>
    </xf>
    <xf numFmtId="14" fontId="0" fillId="0" borderId="4" xfId="3" applyNumberFormat="1" applyFont="1" applyFill="1" applyBorder="1" applyAlignment="1">
      <alignment horizontal="center"/>
    </xf>
    <xf numFmtId="0" fontId="0" fillId="0" borderId="10" xfId="3" applyFont="1" applyFill="1" applyBorder="1"/>
    <xf numFmtId="166" fontId="0" fillId="0" borderId="12" xfId="1" applyNumberFormat="1" applyFont="1" applyFill="1" applyBorder="1"/>
    <xf numFmtId="166" fontId="0" fillId="0" borderId="0" xfId="1" applyNumberFormat="1" applyFont="1" applyFill="1" applyBorder="1"/>
    <xf numFmtId="166" fontId="0" fillId="0" borderId="10" xfId="1" applyNumberFormat="1" applyFont="1" applyFill="1" applyBorder="1"/>
    <xf numFmtId="17" fontId="63" fillId="7" borderId="0" xfId="4" applyNumberFormat="1" applyFill="1"/>
    <xf numFmtId="10" fontId="63" fillId="7" borderId="0" xfId="4" applyNumberFormat="1" applyFill="1"/>
    <xf numFmtId="17" fontId="63" fillId="16" borderId="0" xfId="4" applyNumberFormat="1" applyFill="1"/>
    <xf numFmtId="10" fontId="63" fillId="16" borderId="0" xfId="5" applyNumberFormat="1" applyFont="1" applyFill="1"/>
    <xf numFmtId="10" fontId="64" fillId="3" borderId="0" xfId="4" applyNumberFormat="1" applyFont="1" applyFill="1"/>
    <xf numFmtId="0" fontId="63" fillId="18" borderId="20" xfId="4" applyFill="1" applyBorder="1"/>
    <xf numFmtId="0" fontId="63" fillId="18" borderId="20" xfId="4" applyFill="1" applyBorder="1" applyAlignment="1">
      <alignment wrapText="1"/>
    </xf>
    <xf numFmtId="0" fontId="56" fillId="18" borderId="20" xfId="4" applyFont="1" applyFill="1" applyBorder="1"/>
    <xf numFmtId="0" fontId="67" fillId="17" borderId="20" xfId="7" applyBorder="1"/>
    <xf numFmtId="0" fontId="51" fillId="18" borderId="20" xfId="4" applyFont="1" applyFill="1" applyBorder="1"/>
    <xf numFmtId="0" fontId="70" fillId="0" borderId="0" xfId="0" applyFont="1"/>
    <xf numFmtId="0" fontId="70" fillId="0" borderId="0" xfId="0" applyFont="1" applyAlignment="1">
      <alignment wrapText="1"/>
    </xf>
    <xf numFmtId="0" fontId="70" fillId="0" borderId="0" xfId="0" applyFont="1" applyAlignment="1"/>
    <xf numFmtId="0" fontId="72" fillId="0" borderId="0" xfId="0" applyFont="1" applyAlignment="1">
      <alignment vertical="center"/>
    </xf>
    <xf numFmtId="0" fontId="73" fillId="0" borderId="21" xfId="0" applyFont="1" applyBorder="1" applyAlignment="1">
      <alignment horizontal="left" vertical="center"/>
    </xf>
    <xf numFmtId="0" fontId="71" fillId="0" borderId="22" xfId="0" applyFont="1" applyBorder="1" applyAlignment="1">
      <alignment horizontal="left"/>
    </xf>
    <xf numFmtId="10" fontId="71" fillId="0" borderId="23" xfId="5" applyNumberFormat="1" applyFont="1" applyBorder="1" applyAlignment="1">
      <alignment horizontal="center"/>
    </xf>
    <xf numFmtId="0" fontId="74" fillId="0" borderId="0" xfId="0" applyFont="1" applyBorder="1" applyAlignment="1">
      <alignment vertical="center"/>
    </xf>
    <xf numFmtId="14" fontId="73" fillId="0" borderId="21" xfId="0" applyNumberFormat="1" applyFont="1" applyBorder="1" applyAlignment="1">
      <alignment horizontal="right" vertical="center"/>
    </xf>
    <xf numFmtId="0" fontId="71" fillId="0" borderId="28" xfId="0" applyFont="1" applyBorder="1" applyAlignment="1">
      <alignment horizontal="left"/>
    </xf>
    <xf numFmtId="43" fontId="71" fillId="0" borderId="29" xfId="1" applyFont="1" applyBorder="1" applyAlignment="1">
      <alignment horizontal="center"/>
    </xf>
    <xf numFmtId="0" fontId="71" fillId="0" borderId="30" xfId="0" applyFont="1" applyBorder="1" applyAlignment="1">
      <alignment horizontal="left"/>
    </xf>
    <xf numFmtId="43" fontId="71" fillId="0" borderId="31" xfId="1" applyFont="1" applyBorder="1" applyAlignment="1">
      <alignment horizontal="center"/>
    </xf>
    <xf numFmtId="0" fontId="71" fillId="0" borderId="32" xfId="0" applyFont="1" applyBorder="1" applyAlignment="1">
      <alignment horizontal="left"/>
    </xf>
    <xf numFmtId="43" fontId="71" fillId="0" borderId="33" xfId="1" applyFont="1" applyBorder="1" applyAlignment="1">
      <alignment horizontal="center"/>
    </xf>
    <xf numFmtId="14" fontId="71" fillId="0" borderId="28" xfId="0" applyNumberFormat="1" applyFont="1" applyBorder="1" applyAlignment="1">
      <alignment horizontal="left"/>
    </xf>
    <xf numFmtId="14" fontId="71" fillId="0" borderId="30" xfId="0" applyNumberFormat="1" applyFont="1" applyBorder="1" applyAlignment="1">
      <alignment horizontal="left"/>
    </xf>
    <xf numFmtId="14" fontId="71" fillId="0" borderId="32" xfId="0" applyNumberFormat="1" applyFont="1" applyBorder="1" applyAlignment="1">
      <alignment horizontal="left"/>
    </xf>
    <xf numFmtId="172" fontId="71" fillId="0" borderId="29" xfId="1" applyNumberFormat="1" applyFont="1" applyBorder="1" applyAlignment="1">
      <alignment horizontal="center"/>
    </xf>
    <xf numFmtId="172" fontId="71" fillId="0" borderId="31" xfId="1" applyNumberFormat="1" applyFont="1" applyBorder="1" applyAlignment="1">
      <alignment horizontal="center"/>
    </xf>
    <xf numFmtId="172" fontId="71" fillId="0" borderId="33" xfId="1" applyNumberFormat="1" applyFont="1" applyBorder="1" applyAlignment="1">
      <alignment horizontal="center"/>
    </xf>
    <xf numFmtId="2" fontId="71" fillId="0" borderId="22" xfId="0" applyNumberFormat="1" applyFont="1" applyBorder="1" applyAlignment="1">
      <alignment horizontal="right"/>
    </xf>
    <xf numFmtId="0" fontId="73" fillId="0" borderId="21" xfId="0" applyFont="1" applyBorder="1" applyAlignment="1">
      <alignment horizontal="right" vertical="center"/>
    </xf>
    <xf numFmtId="2" fontId="71" fillId="0" borderId="22" xfId="0" applyNumberFormat="1" applyFont="1" applyBorder="1" applyAlignment="1">
      <alignment horizontal="left"/>
    </xf>
    <xf numFmtId="14" fontId="71" fillId="0" borderId="22" xfId="0" applyNumberFormat="1" applyFont="1" applyBorder="1" applyAlignment="1">
      <alignment horizontal="left"/>
    </xf>
    <xf numFmtId="0" fontId="73" fillId="0" borderId="21" xfId="0" applyFont="1" applyBorder="1" applyAlignment="1">
      <alignment vertical="center"/>
    </xf>
    <xf numFmtId="168" fontId="0" fillId="3" borderId="0" xfId="3" applyNumberFormat="1" applyFont="1" applyFill="1" applyBorder="1"/>
    <xf numFmtId="168" fontId="0" fillId="0" borderId="0" xfId="3" applyNumberFormat="1" applyFont="1" applyFill="1" applyBorder="1"/>
    <xf numFmtId="0" fontId="63" fillId="12" borderId="9" xfId="4" applyNumberFormat="1" applyFill="1" applyBorder="1"/>
    <xf numFmtId="0" fontId="63" fillId="3" borderId="0" xfId="4" applyFill="1" applyAlignment="1">
      <alignment horizontal="right"/>
    </xf>
    <xf numFmtId="0" fontId="49" fillId="3" borderId="0" xfId="4" applyFont="1" applyFill="1" applyAlignment="1">
      <alignment horizontal="right"/>
    </xf>
    <xf numFmtId="0" fontId="48" fillId="3" borderId="0" xfId="4" applyFont="1" applyFill="1" applyAlignment="1">
      <alignment horizontal="right"/>
    </xf>
    <xf numFmtId="0" fontId="58" fillId="0" borderId="0" xfId="0" applyFont="1"/>
    <xf numFmtId="0" fontId="47" fillId="18" borderId="20" xfId="4" applyFont="1" applyFill="1" applyBorder="1"/>
    <xf numFmtId="0" fontId="46" fillId="18" borderId="20" xfId="4" applyFont="1" applyFill="1" applyBorder="1" applyAlignment="1">
      <alignment wrapText="1"/>
    </xf>
    <xf numFmtId="10" fontId="71" fillId="0" borderId="0" xfId="5" applyNumberFormat="1" applyFont="1" applyBorder="1" applyAlignment="1">
      <alignment horizontal="center"/>
    </xf>
    <xf numFmtId="0" fontId="73" fillId="0" borderId="21" xfId="0" applyFont="1" applyBorder="1" applyAlignment="1">
      <alignment horizontal="center" vertical="center"/>
    </xf>
    <xf numFmtId="0" fontId="45" fillId="18" borderId="20" xfId="4" applyFont="1" applyFill="1" applyBorder="1"/>
    <xf numFmtId="14" fontId="0" fillId="12" borderId="1" xfId="3" applyNumberFormat="1" applyFont="1" applyFill="1" applyBorder="1"/>
    <xf numFmtId="14" fontId="0" fillId="12" borderId="12" xfId="3" applyNumberFormat="1" applyFont="1" applyFill="1" applyBorder="1"/>
    <xf numFmtId="14" fontId="0" fillId="10" borderId="12" xfId="3" applyNumberFormat="1" applyFont="1" applyFill="1" applyBorder="1"/>
    <xf numFmtId="14" fontId="62" fillId="10" borderId="12" xfId="3" applyNumberFormat="1" applyFont="1" applyFill="1" applyBorder="1"/>
    <xf numFmtId="2" fontId="49" fillId="3" borderId="0" xfId="4" applyNumberFormat="1" applyFont="1" applyFill="1" applyAlignment="1">
      <alignment horizontal="right"/>
    </xf>
    <xf numFmtId="0" fontId="44" fillId="18" borderId="20" xfId="4" applyFont="1" applyFill="1" applyBorder="1"/>
    <xf numFmtId="0" fontId="44" fillId="3" borderId="0" xfId="4" applyFont="1" applyFill="1"/>
    <xf numFmtId="0" fontId="0" fillId="0" borderId="0" xfId="0" applyNumberFormat="1"/>
    <xf numFmtId="0" fontId="67" fillId="20" borderId="0" xfId="33"/>
    <xf numFmtId="0" fontId="78" fillId="0" borderId="28" xfId="0" applyFont="1" applyBorder="1" applyAlignment="1">
      <alignment horizontal="left"/>
    </xf>
    <xf numFmtId="43" fontId="78" fillId="0" borderId="29" xfId="1" applyFont="1" applyBorder="1" applyAlignment="1">
      <alignment horizontal="center"/>
    </xf>
    <xf numFmtId="0" fontId="78" fillId="0" borderId="30" xfId="0" applyFont="1" applyBorder="1" applyAlignment="1">
      <alignment horizontal="left"/>
    </xf>
    <xf numFmtId="43" fontId="78" fillId="0" borderId="31" xfId="1" applyFont="1" applyBorder="1" applyAlignment="1">
      <alignment horizontal="center"/>
    </xf>
    <xf numFmtId="0" fontId="78" fillId="0" borderId="32" xfId="0" applyFont="1" applyBorder="1" applyAlignment="1">
      <alignment horizontal="left"/>
    </xf>
    <xf numFmtId="43" fontId="78" fillId="0" borderId="33" xfId="1" applyFont="1" applyBorder="1" applyAlignment="1">
      <alignment horizontal="center"/>
    </xf>
    <xf numFmtId="173" fontId="78" fillId="0" borderId="29" xfId="1" applyNumberFormat="1" applyFont="1" applyBorder="1" applyAlignment="1">
      <alignment horizontal="center"/>
    </xf>
    <xf numFmtId="2" fontId="0" fillId="0" borderId="0" xfId="0" applyNumberFormat="1"/>
    <xf numFmtId="43" fontId="0" fillId="0" borderId="0" xfId="1" applyFont="1"/>
    <xf numFmtId="43" fontId="0" fillId="12" borderId="0" xfId="1" applyFont="1" applyFill="1"/>
    <xf numFmtId="0" fontId="43" fillId="18" borderId="20" xfId="4" applyFont="1" applyFill="1" applyBorder="1"/>
    <xf numFmtId="0" fontId="42" fillId="18" borderId="20" xfId="4" applyFont="1" applyFill="1" applyBorder="1"/>
    <xf numFmtId="43" fontId="63" fillId="3" borderId="20" xfId="1" applyFont="1" applyFill="1" applyBorder="1"/>
    <xf numFmtId="2" fontId="71" fillId="0" borderId="23" xfId="1" applyNumberFormat="1" applyFont="1" applyBorder="1" applyAlignment="1">
      <alignment horizontal="center"/>
    </xf>
    <xf numFmtId="43" fontId="63" fillId="3" borderId="0" xfId="4" applyNumberFormat="1" applyFill="1"/>
    <xf numFmtId="0" fontId="41" fillId="18" borderId="20" xfId="4" applyFont="1" applyFill="1" applyBorder="1"/>
    <xf numFmtId="0" fontId="40" fillId="18" borderId="20" xfId="4" applyFont="1" applyFill="1" applyBorder="1"/>
    <xf numFmtId="0" fontId="67" fillId="20" borderId="20" xfId="33" applyBorder="1"/>
    <xf numFmtId="0" fontId="79" fillId="22" borderId="0" xfId="39" applyFont="1" applyFill="1" applyAlignment="1">
      <alignment horizontal="center"/>
    </xf>
    <xf numFmtId="14" fontId="80" fillId="23" borderId="0" xfId="39" applyNumberFormat="1" applyFont="1" applyFill="1" applyAlignment="1">
      <alignment horizontal="center"/>
    </xf>
    <xf numFmtId="14" fontId="80" fillId="0" borderId="0" xfId="39" applyNumberFormat="1" applyFont="1" applyAlignment="1">
      <alignment horizontal="center"/>
    </xf>
    <xf numFmtId="17" fontId="63" fillId="0" borderId="0" xfId="4" applyNumberFormat="1" applyFill="1"/>
    <xf numFmtId="14" fontId="58" fillId="0" borderId="20" xfId="0" applyNumberFormat="1" applyFont="1" applyBorder="1" applyAlignment="1">
      <alignment horizontal="left"/>
    </xf>
    <xf numFmtId="43" fontId="58" fillId="0" borderId="20" xfId="1" applyFont="1" applyBorder="1"/>
    <xf numFmtId="14" fontId="58" fillId="0" borderId="20" xfId="1" applyNumberFormat="1" applyFont="1" applyBorder="1"/>
    <xf numFmtId="175" fontId="58" fillId="0" borderId="20" xfId="1" applyNumberFormat="1" applyFont="1" applyBorder="1"/>
    <xf numFmtId="0" fontId="0" fillId="0" borderId="20" xfId="0" applyBorder="1"/>
    <xf numFmtId="17" fontId="63" fillId="0" borderId="20" xfId="4" applyNumberFormat="1" applyFill="1" applyBorder="1"/>
    <xf numFmtId="1" fontId="63" fillId="0" borderId="20" xfId="4" applyNumberFormat="1" applyFill="1" applyBorder="1"/>
    <xf numFmtId="10" fontId="63" fillId="0" borderId="20" xfId="5" applyNumberFormat="1" applyFont="1" applyFill="1" applyBorder="1"/>
    <xf numFmtId="0" fontId="40" fillId="21" borderId="20" xfId="34" applyBorder="1"/>
    <xf numFmtId="0" fontId="73" fillId="0" borderId="21" xfId="0" applyFont="1" applyBorder="1" applyAlignment="1">
      <alignment horizontal="left" vertical="center" wrapText="1"/>
    </xf>
    <xf numFmtId="10" fontId="71" fillId="0" borderId="22" xfId="5" applyNumberFormat="1" applyFont="1" applyBorder="1" applyAlignment="1">
      <alignment horizontal="left"/>
    </xf>
    <xf numFmtId="17" fontId="71" fillId="0" borderId="22" xfId="0" applyNumberFormat="1" applyFont="1" applyBorder="1" applyAlignment="1">
      <alignment horizontal="left"/>
    </xf>
    <xf numFmtId="2" fontId="71" fillId="0" borderId="22" xfId="1" applyNumberFormat="1" applyFont="1" applyBorder="1" applyAlignment="1">
      <alignment horizontal="left"/>
    </xf>
    <xf numFmtId="2" fontId="71" fillId="0" borderId="22" xfId="5" applyNumberFormat="1" applyFont="1" applyBorder="1" applyAlignment="1">
      <alignment horizontal="left"/>
    </xf>
    <xf numFmtId="0" fontId="40" fillId="3" borderId="0" xfId="4" applyFont="1" applyFill="1"/>
    <xf numFmtId="0" fontId="39" fillId="18" borderId="20" xfId="4" applyFont="1" applyFill="1" applyBorder="1"/>
    <xf numFmtId="0" fontId="39" fillId="3" borderId="0" xfId="4" applyFont="1" applyFill="1"/>
    <xf numFmtId="2" fontId="63" fillId="3" borderId="20" xfId="1" applyNumberFormat="1" applyFont="1" applyFill="1" applyBorder="1"/>
    <xf numFmtId="0" fontId="60" fillId="0" borderId="0" xfId="0" applyNumberFormat="1" applyFont="1"/>
    <xf numFmtId="0" fontId="63" fillId="3" borderId="0" xfId="4" applyNumberFormat="1" applyFill="1"/>
    <xf numFmtId="0" fontId="38" fillId="18" borderId="20" xfId="4" applyFont="1" applyFill="1" applyBorder="1"/>
    <xf numFmtId="0" fontId="38" fillId="21" borderId="20" xfId="34" applyFont="1" applyBorder="1"/>
    <xf numFmtId="2" fontId="38" fillId="3" borderId="0" xfId="5" applyNumberFormat="1" applyFont="1" applyFill="1" applyAlignment="1">
      <alignment horizontal="center"/>
    </xf>
    <xf numFmtId="10" fontId="63" fillId="0" borderId="0" xfId="5" applyNumberFormat="1" applyFont="1" applyFill="1"/>
    <xf numFmtId="0" fontId="37" fillId="18" borderId="20" xfId="4" applyFont="1" applyFill="1" applyBorder="1"/>
    <xf numFmtId="0" fontId="36" fillId="18" borderId="20" xfId="4" applyFont="1" applyFill="1" applyBorder="1"/>
    <xf numFmtId="0" fontId="35" fillId="3" borderId="0" xfId="4" applyFont="1" applyFill="1"/>
    <xf numFmtId="0" fontId="63" fillId="12" borderId="0" xfId="4" applyFill="1"/>
    <xf numFmtId="0" fontId="34" fillId="18" borderId="20" xfId="4" applyFont="1" applyFill="1" applyBorder="1"/>
    <xf numFmtId="175" fontId="63" fillId="3" borderId="0" xfId="1" applyNumberFormat="1" applyFont="1" applyFill="1"/>
    <xf numFmtId="0" fontId="67" fillId="50" borderId="20" xfId="296" applyBorder="1"/>
    <xf numFmtId="4" fontId="63" fillId="3" borderId="0" xfId="4" applyNumberFormat="1" applyFill="1"/>
    <xf numFmtId="0" fontId="33" fillId="12" borderId="20" xfId="4" applyFont="1" applyFill="1" applyBorder="1"/>
    <xf numFmtId="0" fontId="32" fillId="18" borderId="20" xfId="4" applyFont="1" applyFill="1" applyBorder="1"/>
    <xf numFmtId="14" fontId="80" fillId="0" borderId="0" xfId="301" applyNumberFormat="1" applyFont="1" applyAlignment="1">
      <alignment horizontal="center"/>
    </xf>
    <xf numFmtId="0" fontId="67" fillId="20" borderId="20" xfId="33" applyBorder="1"/>
    <xf numFmtId="0" fontId="118" fillId="51" borderId="0" xfId="330"/>
    <xf numFmtId="10" fontId="0" fillId="0" borderId="0" xfId="5" applyNumberFormat="1" applyFont="1"/>
    <xf numFmtId="0" fontId="31" fillId="3" borderId="3" xfId="4" applyFont="1" applyFill="1" applyBorder="1"/>
    <xf numFmtId="0" fontId="31" fillId="3" borderId="4" xfId="4" applyFont="1" applyFill="1" applyBorder="1"/>
    <xf numFmtId="0" fontId="31" fillId="3" borderId="5" xfId="4" applyFont="1" applyFill="1" applyBorder="1"/>
    <xf numFmtId="17" fontId="63" fillId="52" borderId="0" xfId="4" applyNumberFormat="1" applyFill="1"/>
    <xf numFmtId="10" fontId="63" fillId="52" borderId="0" xfId="5" applyNumberFormat="1" applyFont="1" applyFill="1"/>
    <xf numFmtId="43" fontId="0" fillId="0" borderId="20" xfId="1" applyFont="1" applyBorder="1"/>
    <xf numFmtId="175" fontId="0" fillId="0" borderId="0" xfId="1" applyNumberFormat="1" applyFont="1"/>
    <xf numFmtId="0" fontId="31" fillId="0" borderId="0" xfId="377"/>
    <xf numFmtId="4" fontId="63" fillId="3" borderId="0" xfId="4" applyNumberFormat="1" applyFill="1" applyBorder="1"/>
    <xf numFmtId="43" fontId="0" fillId="8" borderId="20" xfId="1" applyFont="1" applyFill="1" applyBorder="1"/>
    <xf numFmtId="2" fontId="0" fillId="52" borderId="20" xfId="0" applyNumberFormat="1" applyFill="1" applyBorder="1"/>
    <xf numFmtId="0" fontId="0" fillId="0" borderId="20" xfId="0" applyNumberFormat="1" applyBorder="1"/>
    <xf numFmtId="0" fontId="58" fillId="0" borderId="20" xfId="0" applyFont="1" applyBorder="1"/>
    <xf numFmtId="0" fontId="0" fillId="53" borderId="20" xfId="0" applyFill="1" applyBorder="1"/>
    <xf numFmtId="14" fontId="0" fillId="0" borderId="20" xfId="0" applyNumberFormat="1" applyBorder="1"/>
    <xf numFmtId="0" fontId="64" fillId="8" borderId="20" xfId="0" applyFont="1" applyFill="1" applyBorder="1"/>
    <xf numFmtId="43" fontId="31" fillId="0" borderId="0" xfId="1" applyFont="1"/>
    <xf numFmtId="0" fontId="0" fillId="3" borderId="0" xfId="3" applyFont="1" applyFill="1" applyBorder="1" applyAlignment="1">
      <alignment horizontal="center"/>
    </xf>
    <xf numFmtId="14" fontId="0" fillId="3" borderId="0" xfId="3" applyNumberFormat="1" applyFont="1" applyFill="1" applyBorder="1" applyAlignment="1">
      <alignment horizontal="center"/>
    </xf>
    <xf numFmtId="0" fontId="0" fillId="3" borderId="0" xfId="3" applyFont="1" applyFill="1" applyBorder="1"/>
    <xf numFmtId="43" fontId="0" fillId="3" borderId="4" xfId="1" applyNumberFormat="1" applyFont="1" applyFill="1" applyBorder="1"/>
    <xf numFmtId="43" fontId="0" fillId="3" borderId="10" xfId="1" applyNumberFormat="1" applyFont="1" applyFill="1" applyBorder="1"/>
    <xf numFmtId="43" fontId="0" fillId="0" borderId="4" xfId="1" applyNumberFormat="1" applyFont="1" applyFill="1" applyBorder="1"/>
    <xf numFmtId="43" fontId="0" fillId="0" borderId="10" xfId="1" applyNumberFormat="1" applyFont="1" applyFill="1" applyBorder="1"/>
    <xf numFmtId="43" fontId="0" fillId="3" borderId="5" xfId="1" applyNumberFormat="1" applyFont="1" applyFill="1" applyBorder="1"/>
    <xf numFmtId="43" fontId="0" fillId="3" borderId="11" xfId="1" applyNumberFormat="1" applyFont="1" applyFill="1" applyBorder="1"/>
    <xf numFmtId="43" fontId="0" fillId="0" borderId="0" xfId="0" applyNumberFormat="1"/>
    <xf numFmtId="0" fontId="30" fillId="18" borderId="20" xfId="4" applyFont="1" applyFill="1" applyBorder="1"/>
    <xf numFmtId="0" fontId="64" fillId="3" borderId="0" xfId="4" applyFont="1" applyFill="1" applyAlignment="1">
      <alignment horizontal="right"/>
    </xf>
    <xf numFmtId="0" fontId="64" fillId="12" borderId="0" xfId="4" applyFont="1" applyFill="1"/>
    <xf numFmtId="2" fontId="70" fillId="0" borderId="0" xfId="0" applyNumberFormat="1" applyFont="1"/>
    <xf numFmtId="0" fontId="28" fillId="18" borderId="20" xfId="4" applyFont="1" applyFill="1" applyBorder="1" applyAlignment="1">
      <alignment wrapText="1"/>
    </xf>
    <xf numFmtId="43" fontId="0" fillId="12" borderId="20" xfId="1" applyFont="1" applyFill="1" applyBorder="1"/>
    <xf numFmtId="0" fontId="119" fillId="0" borderId="0" xfId="0" applyFont="1" applyBorder="1" applyAlignment="1">
      <alignment horizontal="center" vertical="center"/>
    </xf>
    <xf numFmtId="0" fontId="120" fillId="0" borderId="0" xfId="0" applyFont="1"/>
    <xf numFmtId="43" fontId="120" fillId="0" borderId="0" xfId="1" applyFont="1"/>
    <xf numFmtId="2" fontId="120" fillId="0" borderId="0" xfId="0" applyNumberFormat="1" applyFont="1" applyBorder="1"/>
    <xf numFmtId="182" fontId="73" fillId="0" borderId="0" xfId="1" applyNumberFormat="1" applyFont="1"/>
    <xf numFmtId="181" fontId="73" fillId="0" borderId="0" xfId="0" applyNumberFormat="1" applyFont="1"/>
    <xf numFmtId="0" fontId="27" fillId="18" borderId="20" xfId="4" applyFont="1" applyFill="1" applyBorder="1"/>
    <xf numFmtId="181" fontId="73" fillId="0" borderId="52" xfId="0" applyNumberFormat="1" applyFont="1" applyBorder="1"/>
    <xf numFmtId="2" fontId="120" fillId="0" borderId="51" xfId="0" applyNumberFormat="1" applyFont="1" applyBorder="1"/>
    <xf numFmtId="2" fontId="120" fillId="0" borderId="52" xfId="0" applyNumberFormat="1" applyFont="1" applyBorder="1"/>
    <xf numFmtId="2" fontId="120" fillId="0" borderId="53" xfId="0" applyNumberFormat="1" applyFont="1" applyBorder="1"/>
    <xf numFmtId="2" fontId="120" fillId="0" borderId="37" xfId="0" applyNumberFormat="1" applyFont="1" applyBorder="1"/>
    <xf numFmtId="2" fontId="120" fillId="0" borderId="54" xfId="0" applyNumberFormat="1" applyFont="1" applyBorder="1"/>
    <xf numFmtId="0" fontId="73" fillId="0" borderId="21" xfId="0" applyFont="1" applyBorder="1" applyAlignment="1">
      <alignment horizontal="center" vertical="center" wrapText="1"/>
    </xf>
    <xf numFmtId="182" fontId="73" fillId="0" borderId="21" xfId="0" applyNumberFormat="1" applyFont="1" applyBorder="1" applyAlignment="1">
      <alignment horizontal="center" vertical="center" wrapText="1"/>
    </xf>
    <xf numFmtId="181" fontId="73" fillId="0" borderId="21" xfId="0" applyNumberFormat="1" applyFont="1" applyBorder="1" applyAlignment="1">
      <alignment horizontal="center" vertical="center" wrapText="1"/>
    </xf>
    <xf numFmtId="182" fontId="73" fillId="0" borderId="51" xfId="0" applyNumberFormat="1" applyFont="1" applyBorder="1"/>
    <xf numFmtId="182" fontId="73" fillId="0" borderId="52" xfId="0" applyNumberFormat="1" applyFont="1" applyBorder="1"/>
    <xf numFmtId="43" fontId="0" fillId="8" borderId="20" xfId="1" applyNumberFormat="1" applyFont="1" applyFill="1" applyBorder="1"/>
    <xf numFmtId="2" fontId="120" fillId="0" borderId="0" xfId="0" applyNumberFormat="1" applyFont="1"/>
    <xf numFmtId="0" fontId="60" fillId="0" borderId="20" xfId="0" applyFont="1" applyBorder="1"/>
    <xf numFmtId="0" fontId="77" fillId="0" borderId="55" xfId="0" applyFont="1" applyBorder="1"/>
    <xf numFmtId="0" fontId="70" fillId="0" borderId="55" xfId="0" applyFont="1" applyBorder="1"/>
    <xf numFmtId="0" fontId="120" fillId="0" borderId="55" xfId="0" applyFont="1" applyBorder="1"/>
    <xf numFmtId="43" fontId="0" fillId="3" borderId="0" xfId="1" applyFont="1" applyFill="1"/>
    <xf numFmtId="0" fontId="121" fillId="0" borderId="0" xfId="0" applyFont="1"/>
    <xf numFmtId="0" fontId="124" fillId="0" borderId="0" xfId="0" applyFont="1"/>
    <xf numFmtId="0" fontId="125" fillId="0" borderId="0" xfId="0" applyFont="1" applyBorder="1" applyAlignment="1">
      <alignment vertical="center"/>
    </xf>
    <xf numFmtId="184" fontId="73" fillId="0" borderId="21" xfId="0" applyNumberFormat="1" applyFont="1" applyBorder="1" applyAlignment="1">
      <alignment horizontal="right" vertical="center"/>
    </xf>
    <xf numFmtId="185" fontId="73" fillId="0" borderId="21" xfId="0" applyNumberFormat="1" applyFont="1" applyBorder="1" applyAlignment="1">
      <alignment horizontal="center" vertical="center" wrapText="1"/>
    </xf>
    <xf numFmtId="0" fontId="73" fillId="0" borderId="55" xfId="0" applyFont="1" applyBorder="1" applyAlignment="1">
      <alignment horizontal="center" vertical="center"/>
    </xf>
    <xf numFmtId="182" fontId="73" fillId="0" borderId="55" xfId="1" applyNumberFormat="1" applyFont="1" applyBorder="1"/>
    <xf numFmtId="181" fontId="73" fillId="0" borderId="55" xfId="0" applyNumberFormat="1" applyFont="1" applyBorder="1"/>
    <xf numFmtId="0" fontId="0" fillId="0" borderId="55" xfId="0" applyBorder="1"/>
    <xf numFmtId="2" fontId="0" fillId="0" borderId="55" xfId="0" applyNumberFormat="1" applyBorder="1"/>
    <xf numFmtId="183" fontId="0" fillId="0" borderId="55" xfId="5" applyNumberFormat="1" applyFont="1" applyBorder="1"/>
    <xf numFmtId="2" fontId="0" fillId="12" borderId="55" xfId="0" applyNumberFormat="1" applyFill="1" applyBorder="1"/>
    <xf numFmtId="0" fontId="0" fillId="0" borderId="57" xfId="0" applyBorder="1"/>
    <xf numFmtId="2" fontId="0" fillId="0" borderId="57" xfId="0" applyNumberFormat="1" applyBorder="1"/>
    <xf numFmtId="183" fontId="0" fillId="0" borderId="57" xfId="5" applyNumberFormat="1" applyFont="1" applyBorder="1"/>
    <xf numFmtId="2" fontId="0" fillId="12" borderId="57" xfId="0" applyNumberFormat="1" applyFill="1" applyBorder="1"/>
    <xf numFmtId="2" fontId="0" fillId="0" borderId="58" xfId="0" applyNumberFormat="1" applyBorder="1"/>
    <xf numFmtId="0" fontId="64" fillId="8" borderId="59" xfId="0" applyFont="1" applyFill="1" applyBorder="1"/>
    <xf numFmtId="0" fontId="64" fillId="8" borderId="60" xfId="0" applyFont="1" applyFill="1" applyBorder="1"/>
    <xf numFmtId="0" fontId="64" fillId="8" borderId="17" xfId="0" applyFont="1" applyFill="1" applyBorder="1"/>
    <xf numFmtId="184" fontId="73" fillId="0" borderId="27" xfId="0" applyNumberFormat="1" applyFont="1" applyBorder="1" applyAlignment="1">
      <alignment horizontal="right" vertical="center"/>
    </xf>
    <xf numFmtId="182" fontId="73" fillId="0" borderId="0" xfId="0" applyNumberFormat="1" applyFont="1" applyBorder="1"/>
    <xf numFmtId="2" fontId="121" fillId="0" borderId="0" xfId="0" applyNumberFormat="1" applyFont="1"/>
    <xf numFmtId="2" fontId="121" fillId="8" borderId="0" xfId="0" applyNumberFormat="1" applyFont="1" applyFill="1"/>
    <xf numFmtId="2" fontId="121" fillId="54" borderId="0" xfId="0" applyNumberFormat="1" applyFont="1" applyFill="1"/>
    <xf numFmtId="2" fontId="126" fillId="0" borderId="62" xfId="0" applyNumberFormat="1" applyFont="1" applyBorder="1"/>
    <xf numFmtId="2" fontId="126" fillId="0" borderId="61" xfId="0" applyNumberFormat="1" applyFont="1" applyBorder="1"/>
    <xf numFmtId="2" fontId="126" fillId="0" borderId="63" xfId="0" applyNumberFormat="1" applyFont="1" applyBorder="1"/>
    <xf numFmtId="0" fontId="27" fillId="3" borderId="0" xfId="4" applyFont="1" applyFill="1"/>
    <xf numFmtId="0" fontId="71" fillId="0" borderId="22" xfId="0" applyNumberFormat="1" applyFont="1" applyBorder="1" applyAlignment="1">
      <alignment horizontal="left"/>
    </xf>
    <xf numFmtId="0" fontId="121" fillId="0" borderId="55" xfId="0" applyFont="1" applyBorder="1"/>
    <xf numFmtId="0" fontId="126" fillId="0" borderId="55" xfId="0" applyFont="1" applyBorder="1"/>
    <xf numFmtId="0" fontId="126" fillId="0" borderId="20" xfId="0" applyFont="1" applyBorder="1"/>
    <xf numFmtId="0" fontId="121" fillId="0" borderId="20" xfId="0" applyFont="1" applyBorder="1"/>
    <xf numFmtId="0" fontId="121" fillId="12" borderId="20" xfId="0" applyFont="1" applyFill="1" applyBorder="1"/>
    <xf numFmtId="43" fontId="121" fillId="0" borderId="0" xfId="1" applyFont="1"/>
    <xf numFmtId="43" fontId="121" fillId="0" borderId="0" xfId="0" applyNumberFormat="1" applyFont="1"/>
    <xf numFmtId="0" fontId="126" fillId="0" borderId="56" xfId="0" applyFont="1" applyBorder="1"/>
    <xf numFmtId="0" fontId="121" fillId="0" borderId="56" xfId="0" applyFont="1" applyBorder="1"/>
    <xf numFmtId="0" fontId="121" fillId="0" borderId="20" xfId="0" applyFont="1" applyBorder="1" applyAlignment="1">
      <alignment wrapText="1"/>
    </xf>
    <xf numFmtId="2" fontId="121" fillId="0" borderId="20" xfId="0" applyNumberFormat="1" applyFont="1" applyBorder="1"/>
    <xf numFmtId="2" fontId="121" fillId="0" borderId="20" xfId="1" applyNumberFormat="1" applyFont="1" applyBorder="1"/>
    <xf numFmtId="10" fontId="121" fillId="0" borderId="56" xfId="5" applyNumberFormat="1" applyFont="1" applyBorder="1"/>
    <xf numFmtId="2" fontId="121" fillId="0" borderId="55" xfId="0" applyNumberFormat="1" applyFont="1" applyBorder="1"/>
    <xf numFmtId="43" fontId="121" fillId="0" borderId="55" xfId="0" applyNumberFormat="1" applyFont="1" applyBorder="1"/>
    <xf numFmtId="0" fontId="121" fillId="0" borderId="0" xfId="0" applyFont="1" applyAlignment="1">
      <alignment wrapText="1"/>
    </xf>
    <xf numFmtId="10" fontId="121" fillId="0" borderId="20" xfId="5" applyNumberFormat="1" applyFont="1" applyBorder="1"/>
    <xf numFmtId="2" fontId="121" fillId="0" borderId="55" xfId="1" applyNumberFormat="1" applyFont="1" applyBorder="1"/>
    <xf numFmtId="168" fontId="121" fillId="0" borderId="55" xfId="1" applyNumberFormat="1" applyFont="1" applyBorder="1"/>
    <xf numFmtId="14" fontId="121" fillId="0" borderId="55" xfId="0" applyNumberFormat="1" applyFont="1" applyBorder="1"/>
    <xf numFmtId="168" fontId="121" fillId="0" borderId="55" xfId="0" applyNumberFormat="1" applyFont="1" applyBorder="1"/>
    <xf numFmtId="16" fontId="71" fillId="0" borderId="22" xfId="0" applyNumberFormat="1" applyFont="1" applyBorder="1" applyAlignment="1">
      <alignment horizontal="left"/>
    </xf>
    <xf numFmtId="0" fontId="73" fillId="0" borderId="26" xfId="0" applyFont="1" applyBorder="1" applyAlignment="1">
      <alignment horizontal="center" vertical="center" wrapText="1"/>
    </xf>
    <xf numFmtId="0" fontId="73" fillId="0" borderId="27" xfId="0" applyFont="1" applyBorder="1" applyAlignment="1">
      <alignment horizontal="center" vertical="center" wrapText="1"/>
    </xf>
    <xf numFmtId="0" fontId="26" fillId="18" borderId="20" xfId="4" applyFont="1" applyFill="1" applyBorder="1"/>
    <xf numFmtId="0" fontId="25" fillId="18" borderId="20" xfId="4" applyFont="1" applyFill="1" applyBorder="1"/>
    <xf numFmtId="17" fontId="121" fillId="0" borderId="55" xfId="0" applyNumberFormat="1" applyFont="1" applyBorder="1"/>
    <xf numFmtId="0" fontId="119" fillId="0" borderId="0" xfId="0" applyFont="1" applyBorder="1" applyAlignment="1">
      <alignment horizontal="center" vertical="center"/>
    </xf>
    <xf numFmtId="0" fontId="24" fillId="18" borderId="20" xfId="4" applyFont="1" applyFill="1" applyBorder="1"/>
    <xf numFmtId="0" fontId="24" fillId="8" borderId="4" xfId="4" applyFont="1" applyFill="1" applyBorder="1"/>
    <xf numFmtId="0" fontId="24" fillId="3" borderId="4" xfId="4" applyFont="1" applyFill="1" applyBorder="1"/>
    <xf numFmtId="0" fontId="24" fillId="3" borderId="0" xfId="4" applyFont="1" applyFill="1"/>
    <xf numFmtId="0" fontId="24" fillId="8" borderId="3" xfId="4" applyFont="1" applyFill="1" applyBorder="1"/>
    <xf numFmtId="0" fontId="24" fillId="3" borderId="5" xfId="4" applyFont="1" applyFill="1" applyBorder="1" applyAlignment="1">
      <alignment wrapText="1"/>
    </xf>
    <xf numFmtId="43" fontId="0" fillId="3" borderId="4" xfId="1" applyFont="1" applyFill="1" applyBorder="1"/>
    <xf numFmtId="43" fontId="0" fillId="3" borderId="10" xfId="1" applyFont="1" applyFill="1" applyBorder="1"/>
    <xf numFmtId="43" fontId="0" fillId="0" borderId="4" xfId="1" applyFont="1" applyFill="1" applyBorder="1"/>
    <xf numFmtId="43" fontId="0" fillId="0" borderId="10" xfId="1" applyFont="1" applyFill="1" applyBorder="1"/>
    <xf numFmtId="0" fontId="0" fillId="3" borderId="11" xfId="3" applyFont="1" applyFill="1" applyBorder="1"/>
    <xf numFmtId="43" fontId="0" fillId="3" borderId="5" xfId="1" applyFont="1" applyFill="1" applyBorder="1"/>
    <xf numFmtId="43" fontId="0" fillId="3" borderId="11" xfId="1" applyFont="1" applyFill="1" applyBorder="1"/>
    <xf numFmtId="43" fontId="0" fillId="3" borderId="0" xfId="1" applyFont="1" applyFill="1" applyBorder="1"/>
    <xf numFmtId="181" fontId="73" fillId="0" borderId="0" xfId="0" applyNumberFormat="1" applyFont="1" applyBorder="1"/>
    <xf numFmtId="0" fontId="23" fillId="3" borderId="0" xfId="4" applyFont="1" applyFill="1"/>
    <xf numFmtId="0" fontId="22" fillId="3" borderId="0" xfId="4" applyFont="1" applyFill="1"/>
    <xf numFmtId="0" fontId="22" fillId="18" borderId="20" xfId="4" applyFont="1" applyFill="1" applyBorder="1"/>
    <xf numFmtId="0" fontId="75" fillId="0" borderId="0" xfId="0" applyFont="1" applyBorder="1" applyAlignment="1">
      <alignment horizontal="center" vertical="center"/>
    </xf>
    <xf numFmtId="0" fontId="123" fillId="0" borderId="0" xfId="0" applyFont="1" applyBorder="1" applyAlignment="1">
      <alignment horizontal="center" vertical="center"/>
    </xf>
    <xf numFmtId="43" fontId="120" fillId="0" borderId="0" xfId="0" applyNumberFormat="1" applyFont="1"/>
    <xf numFmtId="0" fontId="60" fillId="0" borderId="0" xfId="0" applyFont="1" applyFill="1" applyBorder="1"/>
    <xf numFmtId="14" fontId="58" fillId="0" borderId="0" xfId="1" applyNumberFormat="1" applyFont="1"/>
    <xf numFmtId="10" fontId="58" fillId="0" borderId="0" xfId="5" applyNumberFormat="1" applyFont="1"/>
    <xf numFmtId="0" fontId="64" fillId="0" borderId="0" xfId="0" applyFont="1"/>
    <xf numFmtId="10" fontId="0" fillId="0" borderId="0" xfId="0" applyNumberFormat="1"/>
    <xf numFmtId="17" fontId="71" fillId="0" borderId="0" xfId="0" applyNumberFormat="1" applyFont="1" applyBorder="1" applyAlignment="1">
      <alignment horizontal="left"/>
    </xf>
    <xf numFmtId="10" fontId="71" fillId="0" borderId="0" xfId="5" applyNumberFormat="1" applyFont="1" applyBorder="1" applyAlignment="1">
      <alignment horizontal="left"/>
    </xf>
    <xf numFmtId="2" fontId="71" fillId="0" borderId="0" xfId="1" applyNumberFormat="1" applyFont="1" applyBorder="1" applyAlignment="1">
      <alignment horizontal="left"/>
    </xf>
    <xf numFmtId="2" fontId="71" fillId="0" borderId="0" xfId="5" applyNumberFormat="1" applyFont="1" applyBorder="1" applyAlignment="1">
      <alignment horizontal="left"/>
    </xf>
    <xf numFmtId="0" fontId="127" fillId="8" borderId="20" xfId="0" applyFont="1" applyFill="1" applyBorder="1"/>
    <xf numFmtId="14" fontId="120" fillId="0" borderId="65" xfId="0" applyNumberFormat="1" applyFont="1" applyBorder="1"/>
    <xf numFmtId="0" fontId="120" fillId="0" borderId="66" xfId="0" applyFont="1" applyFill="1" applyBorder="1"/>
    <xf numFmtId="0" fontId="120" fillId="0" borderId="66" xfId="0" applyFont="1" applyBorder="1"/>
    <xf numFmtId="0" fontId="120" fillId="0" borderId="67" xfId="0" applyFont="1" applyBorder="1"/>
    <xf numFmtId="14" fontId="120" fillId="0" borderId="64" xfId="0" applyNumberFormat="1" applyFont="1" applyBorder="1"/>
    <xf numFmtId="0" fontId="120" fillId="0" borderId="0" xfId="0" applyFont="1" applyFill="1" applyBorder="1"/>
    <xf numFmtId="0" fontId="120" fillId="0" borderId="0" xfId="0" applyFont="1" applyBorder="1"/>
    <xf numFmtId="0" fontId="120" fillId="0" borderId="68" xfId="0" applyFont="1" applyBorder="1"/>
    <xf numFmtId="0" fontId="21" fillId="18" borderId="20" xfId="4" applyFont="1" applyFill="1" applyBorder="1"/>
    <xf numFmtId="0" fontId="78" fillId="21" borderId="20" xfId="34" applyFont="1" applyBorder="1"/>
    <xf numFmtId="14" fontId="78" fillId="0" borderId="0" xfId="4" applyNumberFormat="1" applyFont="1" applyFill="1"/>
    <xf numFmtId="10" fontId="128" fillId="55" borderId="69" xfId="462" applyNumberFormat="1"/>
    <xf numFmtId="17" fontId="129" fillId="0" borderId="0" xfId="4" applyNumberFormat="1" applyFont="1" applyFill="1"/>
    <xf numFmtId="10" fontId="130" fillId="55" borderId="69" xfId="462" applyNumberFormat="1" applyFont="1"/>
    <xf numFmtId="0" fontId="73" fillId="0" borderId="26" xfId="0" applyFont="1" applyBorder="1" applyAlignment="1">
      <alignment vertical="center"/>
    </xf>
    <xf numFmtId="10" fontId="58" fillId="0" borderId="20" xfId="5" applyNumberFormat="1" applyFont="1" applyBorder="1"/>
    <xf numFmtId="14" fontId="78" fillId="0" borderId="0" xfId="4" applyNumberFormat="1" applyFont="1" applyFill="1" applyAlignment="1">
      <alignment horizontal="left"/>
    </xf>
    <xf numFmtId="14" fontId="62" fillId="12" borderId="12" xfId="3" applyNumberFormat="1" applyFont="1" applyFill="1" applyBorder="1"/>
    <xf numFmtId="0" fontId="18" fillId="18" borderId="20" xfId="4" applyFont="1" applyFill="1" applyBorder="1"/>
    <xf numFmtId="43" fontId="63" fillId="14" borderId="15" xfId="1" applyFont="1" applyFill="1" applyBorder="1"/>
    <xf numFmtId="43" fontId="63" fillId="14" borderId="16" xfId="1" applyFont="1" applyFill="1" applyBorder="1"/>
    <xf numFmtId="43" fontId="63" fillId="14" borderId="18" xfId="1" applyFont="1" applyFill="1" applyBorder="1"/>
    <xf numFmtId="43" fontId="63" fillId="14" borderId="15" xfId="4" applyNumberFormat="1" applyFill="1" applyBorder="1"/>
    <xf numFmtId="43" fontId="63" fillId="14" borderId="16" xfId="4" applyNumberFormat="1" applyFill="1" applyBorder="1"/>
    <xf numFmtId="43" fontId="63" fillId="14" borderId="18" xfId="4" applyNumberFormat="1" applyFill="1" applyBorder="1"/>
    <xf numFmtId="0" fontId="17" fillId="18" borderId="20" xfId="4" applyFont="1" applyFill="1" applyBorder="1"/>
    <xf numFmtId="0" fontId="16" fillId="18" borderId="20" xfId="4" applyFont="1" applyFill="1" applyBorder="1"/>
    <xf numFmtId="0" fontId="16" fillId="21" borderId="20" xfId="34" applyFont="1" applyBorder="1"/>
    <xf numFmtId="43" fontId="63" fillId="3" borderId="10" xfId="1" applyFont="1" applyFill="1" applyBorder="1"/>
    <xf numFmtId="43" fontId="63" fillId="3" borderId="11" xfId="1" applyFont="1" applyFill="1" applyBorder="1"/>
    <xf numFmtId="0" fontId="15" fillId="18" borderId="20" xfId="4" applyFont="1" applyFill="1" applyBorder="1"/>
    <xf numFmtId="166" fontId="121" fillId="0" borderId="0" xfId="1" applyNumberFormat="1" applyFont="1"/>
    <xf numFmtId="186" fontId="0" fillId="0" borderId="0" xfId="0" applyNumberFormat="1"/>
    <xf numFmtId="186" fontId="58" fillId="0" borderId="0" xfId="0" applyNumberFormat="1" applyFont="1"/>
    <xf numFmtId="0" fontId="14" fillId="3" borderId="0" xfId="4" applyFont="1" applyFill="1"/>
    <xf numFmtId="0" fontId="0" fillId="54" borderId="0" xfId="0" applyFill="1"/>
    <xf numFmtId="0" fontId="0" fillId="56" borderId="0" xfId="0" applyFill="1"/>
    <xf numFmtId="14" fontId="0" fillId="13" borderId="0" xfId="0" applyNumberFormat="1" applyFill="1"/>
    <xf numFmtId="14" fontId="0" fillId="57" borderId="0" xfId="0" applyNumberFormat="1" applyFill="1"/>
    <xf numFmtId="14" fontId="0" fillId="7" borderId="0" xfId="0" applyNumberFormat="1" applyFill="1"/>
    <xf numFmtId="14" fontId="0" fillId="58" borderId="0" xfId="0" applyNumberFormat="1" applyFill="1"/>
    <xf numFmtId="14" fontId="0" fillId="59" borderId="0" xfId="0" applyNumberFormat="1" applyFill="1"/>
    <xf numFmtId="14" fontId="0" fillId="56" borderId="0" xfId="0" applyNumberFormat="1" applyFill="1"/>
    <xf numFmtId="1" fontId="0" fillId="0" borderId="0" xfId="0" applyNumberFormat="1"/>
    <xf numFmtId="43" fontId="0" fillId="0" borderId="0" xfId="1" applyFont="1" applyFill="1" applyBorder="1"/>
    <xf numFmtId="0" fontId="0" fillId="0" borderId="0" xfId="0" applyBorder="1"/>
    <xf numFmtId="2" fontId="0" fillId="0" borderId="0" xfId="1" applyNumberFormat="1" applyFont="1"/>
    <xf numFmtId="0" fontId="60" fillId="0" borderId="20" xfId="0" applyFont="1" applyFill="1" applyBorder="1"/>
    <xf numFmtId="0" fontId="0" fillId="18" borderId="0" xfId="0" applyFill="1"/>
    <xf numFmtId="2" fontId="0" fillId="16" borderId="0" xfId="1" applyNumberFormat="1" applyFont="1" applyFill="1"/>
    <xf numFmtId="1" fontId="0" fillId="0" borderId="0" xfId="1" applyNumberFormat="1" applyFont="1"/>
    <xf numFmtId="0" fontId="0" fillId="0" borderId="20" xfId="0" applyBorder="1" applyAlignment="1">
      <alignment horizontal="center"/>
    </xf>
    <xf numFmtId="2" fontId="0" fillId="0" borderId="20" xfId="0" applyNumberFormat="1" applyBorder="1" applyAlignment="1">
      <alignment horizontal="center"/>
    </xf>
    <xf numFmtId="167" fontId="71" fillId="0" borderId="22" xfId="0" applyNumberFormat="1" applyFont="1" applyBorder="1" applyAlignment="1">
      <alignment horizontal="left"/>
    </xf>
    <xf numFmtId="0" fontId="13" fillId="3" borderId="0" xfId="4" applyFont="1" applyFill="1"/>
    <xf numFmtId="0" fontId="12" fillId="18" borderId="20" xfId="4" applyFont="1" applyFill="1" applyBorder="1"/>
    <xf numFmtId="10" fontId="121" fillId="0" borderId="0" xfId="0" applyNumberFormat="1" applyFont="1"/>
    <xf numFmtId="0" fontId="64" fillId="0" borderId="3" xfId="0" applyFont="1" applyBorder="1"/>
    <xf numFmtId="0" fontId="64" fillId="0" borderId="6" xfId="0" applyFont="1" applyBorder="1"/>
    <xf numFmtId="0" fontId="0" fillId="0" borderId="6" xfId="0" applyBorder="1"/>
    <xf numFmtId="10" fontId="0" fillId="0" borderId="6" xfId="5" applyNumberFormat="1" applyFont="1" applyBorder="1"/>
    <xf numFmtId="0" fontId="73" fillId="0" borderId="70" xfId="0" applyFont="1" applyBorder="1" applyAlignment="1">
      <alignment horizontal="center" vertical="center" wrapText="1"/>
    </xf>
    <xf numFmtId="0" fontId="121" fillId="0" borderId="9" xfId="0" applyFont="1" applyBorder="1"/>
    <xf numFmtId="10" fontId="0" fillId="0" borderId="4" xfId="0" applyNumberFormat="1" applyBorder="1"/>
    <xf numFmtId="10" fontId="0" fillId="0" borderId="0" xfId="0" applyNumberFormat="1" applyBorder="1"/>
    <xf numFmtId="10" fontId="121" fillId="0" borderId="0" xfId="0" applyNumberFormat="1" applyFont="1" applyBorder="1"/>
    <xf numFmtId="10" fontId="121" fillId="0" borderId="10" xfId="0" applyNumberFormat="1" applyFont="1" applyBorder="1"/>
    <xf numFmtId="0" fontId="121" fillId="0" borderId="10" xfId="0" applyFont="1" applyBorder="1"/>
    <xf numFmtId="0" fontId="0" fillId="0" borderId="10" xfId="0" applyBorder="1"/>
    <xf numFmtId="10" fontId="0" fillId="0" borderId="5" xfId="0" applyNumberFormat="1" applyBorder="1"/>
    <xf numFmtId="10" fontId="0" fillId="0" borderId="7" xfId="0" applyNumberFormat="1" applyBorder="1"/>
    <xf numFmtId="0" fontId="0" fillId="0" borderId="7" xfId="0" applyBorder="1"/>
    <xf numFmtId="0" fontId="0" fillId="0" borderId="11" xfId="0" applyBorder="1"/>
    <xf numFmtId="0" fontId="12" fillId="3" borderId="0" xfId="4" applyFont="1" applyFill="1"/>
    <xf numFmtId="0" fontId="63" fillId="0" borderId="0" xfId="4" applyNumberFormat="1" applyFill="1"/>
    <xf numFmtId="0" fontId="12" fillId="3" borderId="0" xfId="4" quotePrefix="1" applyFont="1" applyFill="1"/>
    <xf numFmtId="0" fontId="131" fillId="60" borderId="71" xfId="466" applyFont="1" applyFill="1" applyBorder="1" applyAlignment="1">
      <alignment horizontal="center" readingOrder="1"/>
    </xf>
    <xf numFmtId="0" fontId="132" fillId="0" borderId="73" xfId="466" applyFont="1" applyBorder="1" applyAlignment="1">
      <alignment horizontal="left" readingOrder="1"/>
    </xf>
    <xf numFmtId="0" fontId="133" fillId="0" borderId="20" xfId="466" applyFont="1" applyBorder="1" applyAlignment="1">
      <alignment horizontal="center" readingOrder="1"/>
    </xf>
    <xf numFmtId="0" fontId="132" fillId="0" borderId="72" xfId="466" applyFont="1" applyBorder="1" applyAlignment="1">
      <alignment horizontal="left" readingOrder="1"/>
    </xf>
    <xf numFmtId="2" fontId="133" fillId="0" borderId="20" xfId="466" applyNumberFormat="1" applyFont="1" applyBorder="1" applyAlignment="1">
      <alignment horizontal="center" readingOrder="1"/>
    </xf>
    <xf numFmtId="0" fontId="131" fillId="60" borderId="74" xfId="466" applyFont="1" applyFill="1" applyBorder="1" applyAlignment="1">
      <alignment horizontal="center" readingOrder="1"/>
    </xf>
    <xf numFmtId="0" fontId="131" fillId="60" borderId="75" xfId="466" applyFont="1" applyFill="1" applyBorder="1" applyAlignment="1">
      <alignment horizontal="center" readingOrder="1"/>
    </xf>
    <xf numFmtId="0" fontId="11" fillId="0" borderId="0" xfId="512"/>
    <xf numFmtId="4" fontId="11" fillId="0" borderId="0" xfId="512" applyNumberFormat="1"/>
    <xf numFmtId="3" fontId="11" fillId="0" borderId="0" xfId="512" applyNumberFormat="1"/>
    <xf numFmtId="0" fontId="11" fillId="0" borderId="0" xfId="517"/>
    <xf numFmtId="4" fontId="11" fillId="0" borderId="0" xfId="517" applyNumberFormat="1"/>
    <xf numFmtId="3" fontId="11" fillId="0" borderId="0" xfId="517" applyNumberFormat="1"/>
    <xf numFmtId="14" fontId="80" fillId="0" borderId="0" xfId="521" applyNumberFormat="1" applyFont="1" applyAlignment="1">
      <alignment horizontal="center"/>
    </xf>
    <xf numFmtId="10" fontId="63" fillId="7" borderId="0" xfId="5" applyNumberFormat="1" applyFont="1" applyFill="1"/>
    <xf numFmtId="0" fontId="10" fillId="3" borderId="3" xfId="4" applyFont="1" applyFill="1" applyBorder="1"/>
    <xf numFmtId="0" fontId="10" fillId="3" borderId="4" xfId="4" applyFont="1" applyFill="1" applyBorder="1"/>
    <xf numFmtId="0" fontId="10" fillId="3" borderId="5" xfId="4" applyFont="1" applyFill="1" applyBorder="1"/>
    <xf numFmtId="0" fontId="9" fillId="18" borderId="20" xfId="4" applyFont="1" applyFill="1" applyBorder="1"/>
    <xf numFmtId="14" fontId="0" fillId="10" borderId="20" xfId="0" applyNumberFormat="1" applyFill="1" applyBorder="1"/>
    <xf numFmtId="14" fontId="0" fillId="0" borderId="20" xfId="0" applyNumberFormat="1" applyBorder="1" applyAlignment="1">
      <alignment horizontal="right"/>
    </xf>
    <xf numFmtId="0" fontId="8" fillId="0" borderId="0" xfId="512" applyFont="1"/>
    <xf numFmtId="0" fontId="63" fillId="3" borderId="20" xfId="1" applyNumberFormat="1" applyFont="1" applyFill="1" applyBorder="1"/>
    <xf numFmtId="175" fontId="63" fillId="3" borderId="0" xfId="4" applyNumberFormat="1" applyFill="1"/>
    <xf numFmtId="0" fontId="7" fillId="0" borderId="0" xfId="512" applyFont="1"/>
    <xf numFmtId="0" fontId="6" fillId="0" borderId="0" xfId="517" applyFont="1"/>
    <xf numFmtId="0" fontId="6" fillId="0" borderId="0" xfId="512" applyFont="1"/>
    <xf numFmtId="0" fontId="134" fillId="61" borderId="0" xfId="0" applyFont="1" applyFill="1"/>
    <xf numFmtId="0" fontId="63" fillId="61" borderId="0" xfId="4" applyFill="1"/>
    <xf numFmtId="0" fontId="55" fillId="12" borderId="6" xfId="4" applyNumberFormat="1" applyFont="1" applyFill="1" applyBorder="1" applyAlignment="1">
      <alignment horizontal="center"/>
    </xf>
    <xf numFmtId="0" fontId="55" fillId="12" borderId="7" xfId="4" applyNumberFormat="1" applyFont="1" applyFill="1" applyBorder="1" applyAlignment="1">
      <alignment horizontal="center"/>
    </xf>
    <xf numFmtId="10" fontId="63" fillId="8" borderId="6" xfId="6" applyNumberFormat="1" applyFont="1" applyFill="1" applyBorder="1" applyAlignment="1">
      <alignment horizontal="center"/>
    </xf>
    <xf numFmtId="0" fontId="5" fillId="8" borderId="3" xfId="4" applyFont="1" applyFill="1" applyBorder="1"/>
    <xf numFmtId="0" fontId="5" fillId="3" borderId="4" xfId="4" applyFont="1" applyFill="1" applyBorder="1"/>
    <xf numFmtId="0" fontId="5" fillId="8" borderId="4" xfId="4" applyFont="1" applyFill="1" applyBorder="1"/>
    <xf numFmtId="0" fontId="5" fillId="3" borderId="5" xfId="4" applyFont="1" applyFill="1" applyBorder="1"/>
    <xf numFmtId="0" fontId="5" fillId="3" borderId="0" xfId="4" applyFont="1" applyFill="1" applyBorder="1" applyAlignment="1">
      <alignment horizontal="center"/>
    </xf>
    <xf numFmtId="0" fontId="5" fillId="8" borderId="0" xfId="4" applyFont="1" applyFill="1" applyBorder="1" applyAlignment="1">
      <alignment horizontal="center"/>
    </xf>
    <xf numFmtId="0" fontId="5" fillId="3" borderId="8" xfId="4" applyFont="1" applyFill="1" applyBorder="1"/>
    <xf numFmtId="9" fontId="63" fillId="3" borderId="0" xfId="4" applyNumberFormat="1" applyFill="1"/>
    <xf numFmtId="0" fontId="4" fillId="0" borderId="0" xfId="517" applyFont="1"/>
    <xf numFmtId="0" fontId="4" fillId="0" borderId="0" xfId="512" applyFont="1"/>
    <xf numFmtId="0" fontId="3" fillId="18" borderId="20" xfId="4" applyFont="1" applyFill="1" applyBorder="1"/>
    <xf numFmtId="0" fontId="2" fillId="0" borderId="0" xfId="517" applyFont="1"/>
    <xf numFmtId="0" fontId="1" fillId="18" borderId="20" xfId="4" applyFont="1" applyFill="1" applyBorder="1"/>
    <xf numFmtId="14" fontId="58" fillId="0" borderId="0" xfId="0" applyNumberFormat="1" applyFont="1"/>
    <xf numFmtId="187" fontId="0" fillId="0" borderId="0" xfId="0" applyNumberFormat="1"/>
    <xf numFmtId="2" fontId="60" fillId="0" borderId="0" xfId="0" applyNumberFormat="1" applyFont="1" applyFill="1" applyBorder="1"/>
    <xf numFmtId="2" fontId="58" fillId="0" borderId="0" xfId="5" applyNumberFormat="1" applyFont="1"/>
    <xf numFmtId="174" fontId="58" fillId="0" borderId="0" xfId="0" applyNumberFormat="1" applyFont="1"/>
    <xf numFmtId="0" fontId="66" fillId="3" borderId="0" xfId="4" applyFont="1" applyFill="1" applyAlignment="1">
      <alignment horizontal="center" wrapText="1"/>
    </xf>
    <xf numFmtId="9" fontId="65" fillId="13" borderId="8" xfId="5" applyFont="1" applyFill="1" applyBorder="1" applyAlignment="1">
      <alignment horizontal="center"/>
    </xf>
    <xf numFmtId="9" fontId="65" fillId="13" borderId="13" xfId="5" applyFont="1" applyFill="1" applyBorder="1" applyAlignment="1">
      <alignment horizontal="center"/>
    </xf>
    <xf numFmtId="0" fontId="64" fillId="3" borderId="0" xfId="4" applyFont="1" applyFill="1" applyAlignment="1">
      <alignment horizontal="center"/>
    </xf>
    <xf numFmtId="0" fontId="73" fillId="0" borderId="24" xfId="0" applyFont="1" applyBorder="1" applyAlignment="1">
      <alignment horizontal="center" vertical="center"/>
    </xf>
    <xf numFmtId="0" fontId="73" fillId="0" borderId="25" xfId="0" applyFont="1" applyBorder="1" applyAlignment="1">
      <alignment horizontal="center" vertical="center"/>
    </xf>
    <xf numFmtId="0" fontId="73" fillId="0" borderId="26" xfId="0" applyFont="1" applyBorder="1" applyAlignment="1">
      <alignment horizontal="center" vertical="center"/>
    </xf>
    <xf numFmtId="0" fontId="73" fillId="0" borderId="27" xfId="0" applyFont="1" applyBorder="1" applyAlignment="1">
      <alignment horizontal="center" vertical="center"/>
    </xf>
    <xf numFmtId="0" fontId="74" fillId="0" borderId="34" xfId="0" applyFont="1" applyBorder="1" applyAlignment="1">
      <alignment horizontal="center" vertical="center"/>
    </xf>
    <xf numFmtId="0" fontId="75" fillId="0" borderId="0" xfId="0" applyFont="1" applyBorder="1" applyAlignment="1">
      <alignment horizontal="center" vertical="center"/>
    </xf>
    <xf numFmtId="9" fontId="71" fillId="0" borderId="35" xfId="5" applyNumberFormat="1" applyFont="1" applyBorder="1" applyAlignment="1">
      <alignment horizontal="center"/>
    </xf>
    <xf numFmtId="9" fontId="71" fillId="0" borderId="36" xfId="5" applyNumberFormat="1" applyFont="1" applyBorder="1" applyAlignment="1">
      <alignment horizontal="center"/>
    </xf>
    <xf numFmtId="14" fontId="74" fillId="0" borderId="0" xfId="0" applyNumberFormat="1" applyFont="1" applyBorder="1" applyAlignment="1">
      <alignment horizontal="center" vertical="center"/>
    </xf>
    <xf numFmtId="184" fontId="74" fillId="0" borderId="26" xfId="0" applyNumberFormat="1" applyFont="1" applyBorder="1" applyAlignment="1">
      <alignment horizontal="center" vertical="center"/>
    </xf>
    <xf numFmtId="184" fontId="74" fillId="0" borderId="37" xfId="0" applyNumberFormat="1" applyFont="1" applyBorder="1" applyAlignment="1">
      <alignment horizontal="center" vertical="center"/>
    </xf>
    <xf numFmtId="184" fontId="74" fillId="0" borderId="27" xfId="0" applyNumberFormat="1" applyFont="1" applyBorder="1" applyAlignment="1">
      <alignment horizontal="center" vertical="center"/>
    </xf>
    <xf numFmtId="0" fontId="123" fillId="0" borderId="0" xfId="0" applyFont="1" applyBorder="1" applyAlignment="1">
      <alignment horizontal="center" vertical="center"/>
    </xf>
    <xf numFmtId="0" fontId="73" fillId="0" borderId="26" xfId="0" applyFont="1" applyBorder="1" applyAlignment="1">
      <alignment horizontal="center" vertical="center" wrapText="1"/>
    </xf>
    <xf numFmtId="0" fontId="73" fillId="0" borderId="37" xfId="0" applyFont="1" applyBorder="1" applyAlignment="1">
      <alignment horizontal="center" vertical="center" wrapText="1"/>
    </xf>
    <xf numFmtId="0" fontId="73" fillId="0" borderId="27" xfId="0" applyFont="1" applyBorder="1" applyAlignment="1">
      <alignment horizontal="center" vertical="center" wrapText="1"/>
    </xf>
    <xf numFmtId="0" fontId="77" fillId="0" borderId="0" xfId="0" applyFont="1" applyAlignment="1">
      <alignment horizontal="center"/>
    </xf>
    <xf numFmtId="0" fontId="73" fillId="0" borderId="37" xfId="0" applyFont="1" applyBorder="1" applyAlignment="1">
      <alignment horizontal="center" vertical="center"/>
    </xf>
    <xf numFmtId="0" fontId="73" fillId="0" borderId="76" xfId="0" applyFont="1" applyBorder="1" applyAlignment="1">
      <alignment horizontal="center" vertical="center"/>
    </xf>
    <xf numFmtId="0" fontId="73" fillId="0" borderId="61" xfId="0" applyFont="1" applyBorder="1" applyAlignment="1">
      <alignment horizontal="center" vertical="center"/>
    </xf>
    <xf numFmtId="0" fontId="73" fillId="0" borderId="77" xfId="0" applyFont="1" applyBorder="1" applyAlignment="1">
      <alignment horizontal="center" vertical="center"/>
    </xf>
    <xf numFmtId="0" fontId="122" fillId="0" borderId="26" xfId="0" applyFont="1" applyBorder="1" applyAlignment="1">
      <alignment horizontal="center" vertical="center"/>
    </xf>
    <xf numFmtId="0" fontId="122" fillId="0" borderId="37" xfId="0" applyFont="1" applyBorder="1" applyAlignment="1">
      <alignment horizontal="center" vertical="center"/>
    </xf>
    <xf numFmtId="0" fontId="119" fillId="0" borderId="0" xfId="0" applyFont="1" applyBorder="1" applyAlignment="1">
      <alignment horizontal="center" vertical="center"/>
    </xf>
    <xf numFmtId="0" fontId="127" fillId="8" borderId="20" xfId="0" applyFont="1" applyFill="1" applyBorder="1" applyAlignment="1">
      <alignment horizontal="center"/>
    </xf>
    <xf numFmtId="0" fontId="60" fillId="0" borderId="20" xfId="0" applyFont="1" applyBorder="1" applyAlignment="1">
      <alignment horizontal="center"/>
    </xf>
    <xf numFmtId="0" fontId="60" fillId="0" borderId="20" xfId="0" applyFont="1" applyBorder="1" applyAlignment="1">
      <alignment horizontal="center" vertical="center" wrapText="1"/>
    </xf>
    <xf numFmtId="0" fontId="60" fillId="0" borderId="20" xfId="0" applyFont="1" applyBorder="1" applyAlignment="1">
      <alignment horizontal="center" vertical="center"/>
    </xf>
  </cellXfs>
  <cellStyles count="559">
    <cellStyle name="=C:\WINNT\SYSTEM32\COMMAND.COM" xfId="55"/>
    <cellStyle name="20% - Accent1" xfId="56"/>
    <cellStyle name="20% - Accent2" xfId="57"/>
    <cellStyle name="20% - Accent3" xfId="58"/>
    <cellStyle name="20% - Accent4" xfId="59"/>
    <cellStyle name="20% - Accent5" xfId="60"/>
    <cellStyle name="20% - Accent6" xfId="61"/>
    <cellStyle name="20% - Énfasis1 2" xfId="63"/>
    <cellStyle name="20% - Énfasis1 3" xfId="62"/>
    <cellStyle name="20% - Énfasis2 2" xfId="65"/>
    <cellStyle name="20% - Énfasis2 3" xfId="64"/>
    <cellStyle name="20% - Énfasis3 2" xfId="67"/>
    <cellStyle name="20% - Énfasis3 3" xfId="66"/>
    <cellStyle name="20% - Énfasis4 2" xfId="69"/>
    <cellStyle name="20% - Énfasis4 3" xfId="68"/>
    <cellStyle name="20% - Énfasis5 2" xfId="71"/>
    <cellStyle name="20% - Énfasis5 3" xfId="70"/>
    <cellStyle name="20% - Énfasis6 2" xfId="73"/>
    <cellStyle name="20% - Énfasis6 3" xfId="72"/>
    <cellStyle name="40% - Accent1" xfId="34"/>
    <cellStyle name="40% - Accent2" xfId="74"/>
    <cellStyle name="40% - Accent3" xfId="75"/>
    <cellStyle name="40% - Accent4" xfId="76"/>
    <cellStyle name="40% - Accent5" xfId="77"/>
    <cellStyle name="40% - Accent6" xfId="78"/>
    <cellStyle name="40% - Énfasis1 2" xfId="80"/>
    <cellStyle name="40% - Énfasis1 3" xfId="79"/>
    <cellStyle name="40% - Énfasis1 4" xfId="53"/>
    <cellStyle name="40% - Énfasis1 4 2" xfId="373"/>
    <cellStyle name="40% - Énfasis1 5" xfId="306"/>
    <cellStyle name="40% - Énfasis1 5 2" xfId="390"/>
    <cellStyle name="40% - Énfasis1 6" xfId="419"/>
    <cellStyle name="40% - Énfasis2 2" xfId="82"/>
    <cellStyle name="40% - Énfasis2 3" xfId="81"/>
    <cellStyle name="40% - Énfasis3 2" xfId="84"/>
    <cellStyle name="40% - Énfasis3 3" xfId="83"/>
    <cellStyle name="40% - Énfasis4 2" xfId="86"/>
    <cellStyle name="40% - Énfasis4 3" xfId="85"/>
    <cellStyle name="40% - Énfasis5 2" xfId="88"/>
    <cellStyle name="40% - Énfasis5 3" xfId="87"/>
    <cellStyle name="40% - Énfasis6 2" xfId="90"/>
    <cellStyle name="40% - Énfasis6 3" xfId="89"/>
    <cellStyle name="60% - Accent1" xfId="91"/>
    <cellStyle name="60% - Accent2" xfId="92"/>
    <cellStyle name="60% - Accent3" xfId="93"/>
    <cellStyle name="60% - Accent4" xfId="94"/>
    <cellStyle name="60% - Accent5" xfId="95"/>
    <cellStyle name="60% - Accent6" xfId="96"/>
    <cellStyle name="60% - Énfasis1 2" xfId="98"/>
    <cellStyle name="60% - Énfasis1 3" xfId="97"/>
    <cellStyle name="60% - Énfasis2 2" xfId="100"/>
    <cellStyle name="60% - Énfasis2 3" xfId="99"/>
    <cellStyle name="60% - Énfasis3 2" xfId="102"/>
    <cellStyle name="60% - Énfasis3 3" xfId="101"/>
    <cellStyle name="60% - Énfasis4 2" xfId="104"/>
    <cellStyle name="60% - Énfasis4 3" xfId="103"/>
    <cellStyle name="60% - Énfasis5 2" xfId="106"/>
    <cellStyle name="60% - Énfasis5 3" xfId="105"/>
    <cellStyle name="60% - Énfasis6 2" xfId="108"/>
    <cellStyle name="60% - Énfasis6 3" xfId="107"/>
    <cellStyle name="Accent1" xfId="33"/>
    <cellStyle name="Accent2" xfId="109"/>
    <cellStyle name="Accent3" xfId="296"/>
    <cellStyle name="Accent4" xfId="110"/>
    <cellStyle name="Accent5" xfId="111"/>
    <cellStyle name="Accent6" xfId="7"/>
    <cellStyle name="asno" xfId="112"/>
    <cellStyle name="Bad" xfId="113"/>
    <cellStyle name="blp_column_header" xfId="11"/>
    <cellStyle name="Buena 2" xfId="115"/>
    <cellStyle name="Buena 3" xfId="114"/>
    <cellStyle name="Calculation" xfId="462"/>
    <cellStyle name="Cálculo 2" xfId="117"/>
    <cellStyle name="Cálculo 3" xfId="116"/>
    <cellStyle name="Celda de comprobación 2" xfId="119"/>
    <cellStyle name="Celda de comprobación 3" xfId="118"/>
    <cellStyle name="Celda vinculada 2" xfId="121"/>
    <cellStyle name="Celda vinculada 3" xfId="120"/>
    <cellStyle name="Check Cell" xfId="122"/>
    <cellStyle name="Comma 2" xfId="123"/>
    <cellStyle name="Comma0" xfId="124"/>
    <cellStyle name="Comma0 - Modelo1" xfId="125"/>
    <cellStyle name="Comma0 - Style1" xfId="126"/>
    <cellStyle name="Comma1 - Modelo2" xfId="127"/>
    <cellStyle name="Comma1 - Style2" xfId="128"/>
    <cellStyle name="Currency0" xfId="129"/>
    <cellStyle name="Date" xfId="130"/>
    <cellStyle name="Dia" xfId="131"/>
    <cellStyle name="Diseño" xfId="3"/>
    <cellStyle name="Diseño 2" xfId="16"/>
    <cellStyle name="Encabez1" xfId="132"/>
    <cellStyle name="Encabez2" xfId="133"/>
    <cellStyle name="Encabezado 4 2" xfId="135"/>
    <cellStyle name="Encabezado 4 3" xfId="134"/>
    <cellStyle name="Énfasis1 2" xfId="137"/>
    <cellStyle name="Énfasis1 3" xfId="136"/>
    <cellStyle name="Énfasis2 2" xfId="139"/>
    <cellStyle name="Énfasis2 3" xfId="138"/>
    <cellStyle name="Énfasis3 2" xfId="141"/>
    <cellStyle name="Énfasis3 3" xfId="140"/>
    <cellStyle name="Énfasis4 2" xfId="143"/>
    <cellStyle name="Énfasis4 3" xfId="142"/>
    <cellStyle name="Énfasis5 2" xfId="145"/>
    <cellStyle name="Énfasis5 3" xfId="144"/>
    <cellStyle name="Énfasis6 2" xfId="147"/>
    <cellStyle name="Énfasis6 3" xfId="146"/>
    <cellStyle name="Entrada 2" xfId="149"/>
    <cellStyle name="Entrada 3" xfId="148"/>
    <cellStyle name="Estilo 1" xfId="150"/>
    <cellStyle name="Euro" xfId="17"/>
    <cellStyle name="Euro 2" xfId="151"/>
    <cellStyle name="Euro 2 2" xfId="152"/>
    <cellStyle name="Euro 3" xfId="153"/>
    <cellStyle name="Euro_P&amp;L" xfId="154"/>
    <cellStyle name="Explanatory Text" xfId="155"/>
    <cellStyle name="F2" xfId="156"/>
    <cellStyle name="F3" xfId="157"/>
    <cellStyle name="F4" xfId="158"/>
    <cellStyle name="F5" xfId="159"/>
    <cellStyle name="F6" xfId="160"/>
    <cellStyle name="F7" xfId="161"/>
    <cellStyle name="F8" xfId="162"/>
    <cellStyle name="FECHA" xfId="163"/>
    <cellStyle name="Fijo" xfId="164"/>
    <cellStyle name="Financiero" xfId="165"/>
    <cellStyle name="Fixed" xfId="166"/>
    <cellStyle name="Good" xfId="167"/>
    <cellStyle name="Heading 1" xfId="168"/>
    <cellStyle name="Heading 1 2" xfId="169"/>
    <cellStyle name="Heading 1_Enero" xfId="170"/>
    <cellStyle name="Heading 2" xfId="171"/>
    <cellStyle name="Heading 2 2" xfId="172"/>
    <cellStyle name="Heading 2_Enero" xfId="173"/>
    <cellStyle name="Heading 3" xfId="174"/>
    <cellStyle name="Heading 4" xfId="175"/>
    <cellStyle name="Hipervínculo 2" xfId="18"/>
    <cellStyle name="Hipeﰠvínculo_Vencimientos CP" xfId="176"/>
    <cellStyle name="imbecil" xfId="177"/>
    <cellStyle name="Incorrecto 2" xfId="179"/>
    <cellStyle name="Incorrecto 3" xfId="178"/>
    <cellStyle name="input" xfId="180"/>
    <cellStyle name="l]_x000a__x000a_Path=M:\RIOCEN01_x000a__x000a_Name=Carlos Emilio Brousse_x000a__x000a_DDEApps=nsf,nsg,nsh,ntf,ns2,ors,org_x000a__x000a_SmartIcons=Todos_x000a__x000a__Flow InstitucionalesJUNIO" xfId="181"/>
    <cellStyle name="l]_x000a__x000a_Path=M:\RIOCEN01_x000a__x000a_Name=Carlos Emilio Brousse_x000a__x000a_DDEApps=nsf,nsg,nsh,ntf,ns2,ors,org_x000a__x000a_SmartIcons=Todos_x000a_ﲌ_Flow InstitucionalesJUNIO_Vencimientos CP" xfId="182"/>
    <cellStyle name="l]_x000d__x000a_Path=M:\RIOCEN01_x000d__x000a_Name=Carlos Emilio Brousse_x000d__x000a_DDEApps=nsf,nsg,nsh,ntf,ns2,ors,org_x000d__x000a_SmartIcons=Todos_x000d__x000a_" xfId="183"/>
    <cellStyle name="l]_x000d__x000a_Path=M:\RIOCEN01_x000d__x000a_Name=Carlos Emilio Brousse_x000d__x000a_DDEApps=nsf,nsg,nsh,ntf,ns2,ors,org_x000d__x000a_SmartIcons=Todos_x000d__x000a_ 2" xfId="184"/>
    <cellStyle name="l]_x000d__x000a_Path=M:\RIOCEN01_x000d__x000a_Name=Carlos Emilio Brousse_x000d__x000a_DDEApps=nsf,nsg,nsh,ntf,ns2,ors,org_x000d__x000a_SmartIcons=Todos_x000d__x000a_ 3" xfId="185"/>
    <cellStyle name="l]_x000d__x000a_Path=M:\RIOCEN01_x000d__x000a_Name=Carlos Emilio Brousse_x000d__x000a_DDEApps=nsf,nsg,nsh,ntf,ns2,ors,org_x000d__x000a_SmartIcons=Todos_x000d__x000a__bbg" xfId="186"/>
    <cellStyle name="Linked Cell" xfId="187"/>
    <cellStyle name="Millares" xfId="1" builtinId="3"/>
    <cellStyle name="Millares (2)" xfId="189"/>
    <cellStyle name="Millares (2) 2" xfId="190"/>
    <cellStyle name="Millares (2)_Notepad CP" xfId="191"/>
    <cellStyle name="Millares [1]" xfId="192"/>
    <cellStyle name="Millares [1] 2" xfId="193"/>
    <cellStyle name="Millares [1]_Notepad CP" xfId="194"/>
    <cellStyle name="Millares 10" xfId="195"/>
    <cellStyle name="Millares 11" xfId="196"/>
    <cellStyle name="Millares 12" xfId="197"/>
    <cellStyle name="Millares 13" xfId="198"/>
    <cellStyle name="Millares 14" xfId="199"/>
    <cellStyle name="Millares 15" xfId="200"/>
    <cellStyle name="Millares 16" xfId="201"/>
    <cellStyle name="Millares 17" xfId="202"/>
    <cellStyle name="Millares 18" xfId="203"/>
    <cellStyle name="Millares 19" xfId="204"/>
    <cellStyle name="Millares 2" xfId="14"/>
    <cellStyle name="Millares 2 10" xfId="523"/>
    <cellStyle name="Millares 2 2" xfId="30"/>
    <cellStyle name="Millares 2 2 2" xfId="207"/>
    <cellStyle name="Millares 2 2 3" xfId="208"/>
    <cellStyle name="Millares 2 2 4" xfId="206"/>
    <cellStyle name="Millares 2 2 5" xfId="321"/>
    <cellStyle name="Millares 2 2 5 2" xfId="402"/>
    <cellStyle name="Millares 2 2 6" xfId="354"/>
    <cellStyle name="Millares 2 2 7" xfId="431"/>
    <cellStyle name="Millares 2 2 8" xfId="485"/>
    <cellStyle name="Millares 2 2 9" xfId="537"/>
    <cellStyle name="Millares 2 3" xfId="37"/>
    <cellStyle name="Millares 2 3 2" xfId="209"/>
    <cellStyle name="Millares 2 3 2 2" xfId="459"/>
    <cellStyle name="Millares 2 3 3" xfId="327"/>
    <cellStyle name="Millares 2 3 3 2" xfId="448"/>
    <cellStyle name="Millares 2 3 4" xfId="359"/>
    <cellStyle name="Millares 2 4" xfId="205"/>
    <cellStyle name="Millares 2 5" xfId="47"/>
    <cellStyle name="Millares 2 5 2" xfId="367"/>
    <cellStyle name="Millares 2 6" xfId="303"/>
    <cellStyle name="Millares 2 6 2" xfId="387"/>
    <cellStyle name="Millares 2 7" xfId="335"/>
    <cellStyle name="Millares 2 8" xfId="416"/>
    <cellStyle name="Millares 2 9" xfId="471"/>
    <cellStyle name="Millares 2_P&amp;L" xfId="210"/>
    <cellStyle name="Millares 20" xfId="211"/>
    <cellStyle name="Millares 21" xfId="212"/>
    <cellStyle name="Millares 22" xfId="213"/>
    <cellStyle name="Millares 23" xfId="214"/>
    <cellStyle name="Millares 24" xfId="215"/>
    <cellStyle name="Millares 25" xfId="216"/>
    <cellStyle name="Millares 26" xfId="217"/>
    <cellStyle name="Millares 27" xfId="218"/>
    <cellStyle name="Millares 28" xfId="219"/>
    <cellStyle name="Millares 29" xfId="188"/>
    <cellStyle name="Millares 3" xfId="19"/>
    <cellStyle name="Millares 3 2" xfId="36"/>
    <cellStyle name="Millares 3 2 2" xfId="222"/>
    <cellStyle name="Millares 3 2 3" xfId="223"/>
    <cellStyle name="Millares 3 2 4" xfId="221"/>
    <cellStyle name="Millares 3 2 5" xfId="358"/>
    <cellStyle name="Millares 3 3" xfId="224"/>
    <cellStyle name="Millares 3 4" xfId="225"/>
    <cellStyle name="Millares 3 5" xfId="220"/>
    <cellStyle name="Millares 3 6" xfId="46"/>
    <cellStyle name="Millares 3 6 2" xfId="366"/>
    <cellStyle name="Millares 3 7" xfId="347"/>
    <cellStyle name="Millares 3 8" xfId="334"/>
    <cellStyle name="Millares 3_PRICING_FWD" xfId="226"/>
    <cellStyle name="Millares 30" xfId="48"/>
    <cellStyle name="Millares 30 2" xfId="368"/>
    <cellStyle name="Millares 31" xfId="299"/>
    <cellStyle name="Millares 31 2" xfId="384"/>
    <cellStyle name="Millares 32" xfId="339"/>
    <cellStyle name="Millares 33" xfId="332"/>
    <cellStyle name="Millares 34" xfId="376"/>
    <cellStyle name="Millares 35" xfId="413"/>
    <cellStyle name="Millares 36" xfId="468"/>
    <cellStyle name="Millares 37" xfId="520"/>
    <cellStyle name="Millares 4" xfId="20"/>
    <cellStyle name="Millares 4 2" xfId="32"/>
    <cellStyle name="Millares 4 2 2" xfId="228"/>
    <cellStyle name="Millares 4 2 2 2" xfId="458"/>
    <cellStyle name="Millares 4 2 2 3" xfId="505"/>
    <cellStyle name="Millares 4 2 2 4" xfId="557"/>
    <cellStyle name="Millares 4 2 3" xfId="323"/>
    <cellStyle name="Millares 4 2 3 2" xfId="404"/>
    <cellStyle name="Millares 4 2 3 3" xfId="447"/>
    <cellStyle name="Millares 4 2 3 4" xfId="497"/>
    <cellStyle name="Millares 4 2 3 5" xfId="549"/>
    <cellStyle name="Millares 4 2 4" xfId="356"/>
    <cellStyle name="Millares 4 2 5" xfId="433"/>
    <cellStyle name="Millares 4 2 6" xfId="487"/>
    <cellStyle name="Millares 4 2 7" xfId="539"/>
    <cellStyle name="Millares 4 3" xfId="227"/>
    <cellStyle name="Millares 4 3 2" xfId="451"/>
    <cellStyle name="Millares 4 3 3" xfId="500"/>
    <cellStyle name="Millares 4 3 4" xfId="552"/>
    <cellStyle name="Millares 4 4" xfId="305"/>
    <cellStyle name="Millares 4 4 2" xfId="389"/>
    <cellStyle name="Millares 4 4 3" xfId="439"/>
    <cellStyle name="Millares 4 4 4" xfId="492"/>
    <cellStyle name="Millares 4 4 5" xfId="544"/>
    <cellStyle name="Millares 4 5" xfId="348"/>
    <cellStyle name="Millares 4 6" xfId="418"/>
    <cellStyle name="Millares 4 7" xfId="473"/>
    <cellStyle name="Millares 4 8" xfId="525"/>
    <cellStyle name="Millares 5" xfId="10"/>
    <cellStyle name="Millares 5 2" xfId="230"/>
    <cellStyle name="Millares 5 2 2" xfId="454"/>
    <cellStyle name="Millares 5 2 3" xfId="501"/>
    <cellStyle name="Millares 5 2 4" xfId="553"/>
    <cellStyle name="Millares 5 3" xfId="229"/>
    <cellStyle name="Millares 5 3 2" xfId="443"/>
    <cellStyle name="Millares 5 3 3" xfId="493"/>
    <cellStyle name="Millares 5 3 4" xfId="545"/>
    <cellStyle name="Millares 5 4" xfId="314"/>
    <cellStyle name="Millares 5 4 2" xfId="395"/>
    <cellStyle name="Millares 5 5" xfId="344"/>
    <cellStyle name="Millares 5 6" xfId="424"/>
    <cellStyle name="Millares 5 7" xfId="478"/>
    <cellStyle name="Millares 5 8" xfId="530"/>
    <cellStyle name="Millares 6" xfId="27"/>
    <cellStyle name="Millares 6 2" xfId="232"/>
    <cellStyle name="Millares 6 2 2" xfId="456"/>
    <cellStyle name="Millares 6 2 3" xfId="503"/>
    <cellStyle name="Millares 6 2 4" xfId="555"/>
    <cellStyle name="Millares 6 3" xfId="231"/>
    <cellStyle name="Millares 6 3 2" xfId="445"/>
    <cellStyle name="Millares 6 3 3" xfId="495"/>
    <cellStyle name="Millares 6 3 4" xfId="547"/>
    <cellStyle name="Millares 6 4" xfId="318"/>
    <cellStyle name="Millares 6 4 2" xfId="399"/>
    <cellStyle name="Millares 6 5" xfId="351"/>
    <cellStyle name="Millares 6 6" xfId="428"/>
    <cellStyle name="Millares 6 7" xfId="482"/>
    <cellStyle name="Millares 6 8" xfId="534"/>
    <cellStyle name="Millares 7" xfId="38"/>
    <cellStyle name="Millares 7 2" xfId="234"/>
    <cellStyle name="Millares 7 2 2" xfId="452"/>
    <cellStyle name="Millares 7 3" xfId="233"/>
    <cellStyle name="Millares 7 3 2" xfId="441"/>
    <cellStyle name="Millares 7 4" xfId="307"/>
    <cellStyle name="Millares 7 5" xfId="360"/>
    <cellStyle name="Millares 8" xfId="235"/>
    <cellStyle name="Millares 8 2" xfId="236"/>
    <cellStyle name="Millares 8 2 2" xfId="449"/>
    <cellStyle name="Millares 8 2 3" xfId="498"/>
    <cellStyle name="Millares 8 2 4" xfId="550"/>
    <cellStyle name="Millares 8 3" xfId="437"/>
    <cellStyle name="Millares 8 4" xfId="490"/>
    <cellStyle name="Millares 8 5" xfId="542"/>
    <cellStyle name="Millares 8_P&amp;L" xfId="237"/>
    <cellStyle name="Millares 9" xfId="238"/>
    <cellStyle name="Millares 9 2" xfId="460"/>
    <cellStyle name="Millares 9 3" xfId="506"/>
    <cellStyle name="Millares 9 4" xfId="558"/>
    <cellStyle name="Moneda" xfId="2" builtinId="4"/>
    <cellStyle name="Moneda 10" xfId="522"/>
    <cellStyle name="Moneda 2" xfId="15"/>
    <cellStyle name="Moneda 2 2" xfId="31"/>
    <cellStyle name="Moneda 2 2 2" xfId="322"/>
    <cellStyle name="Moneda 2 2 2 2" xfId="403"/>
    <cellStyle name="Moneda 2 2 3" xfId="355"/>
    <cellStyle name="Moneda 2 2 4" xfId="432"/>
    <cellStyle name="Moneda 2 2 5" xfId="486"/>
    <cellStyle name="Moneda 2 2 6" xfId="538"/>
    <cellStyle name="Moneda 2 3" xfId="42"/>
    <cellStyle name="Moneda 2 3 2" xfId="364"/>
    <cellStyle name="Moneda 2 4" xfId="52"/>
    <cellStyle name="Moneda 2 4 2" xfId="372"/>
    <cellStyle name="Moneda 2 5" xfId="304"/>
    <cellStyle name="Moneda 2 5 2" xfId="388"/>
    <cellStyle name="Moneda 2 6" xfId="346"/>
    <cellStyle name="Moneda 2 7" xfId="417"/>
    <cellStyle name="Moneda 2 8" xfId="472"/>
    <cellStyle name="Moneda 2 9" xfId="524"/>
    <cellStyle name="Moneda 3" xfId="13"/>
    <cellStyle name="Moneda 3 2" xfId="41"/>
    <cellStyle name="Moneda 3 2 2" xfId="363"/>
    <cellStyle name="Moneda 3 2 2 2" xfId="455"/>
    <cellStyle name="Moneda 3 2 2 3" xfId="502"/>
    <cellStyle name="Moneda 3 2 2 4" xfId="554"/>
    <cellStyle name="Moneda 3 2 3" xfId="444"/>
    <cellStyle name="Moneda 3 2 4" xfId="494"/>
    <cellStyle name="Moneda 3 2 5" xfId="546"/>
    <cellStyle name="Moneda 3 3" xfId="51"/>
    <cellStyle name="Moneda 3 3 2" xfId="371"/>
    <cellStyle name="Moneda 3 3 3" xfId="435"/>
    <cellStyle name="Moneda 3 3 4" xfId="489"/>
    <cellStyle name="Moneda 3 3 5" xfId="541"/>
    <cellStyle name="Moneda 3 4" xfId="315"/>
    <cellStyle name="Moneda 3 4 2" xfId="396"/>
    <cellStyle name="Moneda 3 5" xfId="345"/>
    <cellStyle name="Moneda 3 6" xfId="425"/>
    <cellStyle name="Moneda 3 7" xfId="479"/>
    <cellStyle name="Moneda 3 8" xfId="531"/>
    <cellStyle name="Moneda 4" xfId="29"/>
    <cellStyle name="Moneda 4 2" xfId="40"/>
    <cellStyle name="Moneda 4 2 2" xfId="362"/>
    <cellStyle name="Moneda 4 2 3" xfId="457"/>
    <cellStyle name="Moneda 4 2 4" xfId="504"/>
    <cellStyle name="Moneda 4 2 5" xfId="556"/>
    <cellStyle name="Moneda 4 3" xfId="50"/>
    <cellStyle name="Moneda 4 3 2" xfId="370"/>
    <cellStyle name="Moneda 4 3 3" xfId="446"/>
    <cellStyle name="Moneda 4 3 4" xfId="496"/>
    <cellStyle name="Moneda 4 3 5" xfId="548"/>
    <cellStyle name="Moneda 4 4" xfId="320"/>
    <cellStyle name="Moneda 4 4 2" xfId="401"/>
    <cellStyle name="Moneda 4 5" xfId="353"/>
    <cellStyle name="Moneda 4 6" xfId="430"/>
    <cellStyle name="Moneda 4 7" xfId="484"/>
    <cellStyle name="Moneda 4 8" xfId="536"/>
    <cellStyle name="Moneda 5" xfId="308"/>
    <cellStyle name="Moneda 5 2" xfId="453"/>
    <cellStyle name="Moneda 5 3" xfId="442"/>
    <cellStyle name="Moneda 6" xfId="302"/>
    <cellStyle name="Moneda 6 2" xfId="386"/>
    <cellStyle name="Moneda 6 2 2" xfId="450"/>
    <cellStyle name="Moneda 6 2 3" xfId="499"/>
    <cellStyle name="Moneda 6 2 4" xfId="551"/>
    <cellStyle name="Moneda 6 3" xfId="438"/>
    <cellStyle name="Moneda 6 4" xfId="491"/>
    <cellStyle name="Moneda 6 5" xfId="543"/>
    <cellStyle name="Moneda 7" xfId="338"/>
    <cellStyle name="Moneda 8" xfId="415"/>
    <cellStyle name="Moneda 9" xfId="470"/>
    <cellStyle name="Monetario" xfId="239"/>
    <cellStyle name="Neutral" xfId="330" builtinId="28"/>
    <cellStyle name="Neutral 2" xfId="241"/>
    <cellStyle name="Neutral 3" xfId="240"/>
    <cellStyle name="no dec" xfId="242"/>
    <cellStyle name="Normal" xfId="0" builtinId="0"/>
    <cellStyle name="Normal - Style1" xfId="243"/>
    <cellStyle name="Normal 10" xfId="45"/>
    <cellStyle name="Normal 10 2" xfId="365"/>
    <cellStyle name="Normal 11" xfId="297"/>
    <cellStyle name="Normal 11 2" xfId="382"/>
    <cellStyle name="Normal 12" xfId="300"/>
    <cellStyle name="Normal 12 2" xfId="333"/>
    <cellStyle name="Normal 13" xfId="331"/>
    <cellStyle name="Normal 14" xfId="377"/>
    <cellStyle name="Normal 15" xfId="407"/>
    <cellStyle name="Normal 16" xfId="408"/>
    <cellStyle name="Normal 17" xfId="409"/>
    <cellStyle name="Normal 18" xfId="410"/>
    <cellStyle name="Normal 19" xfId="411"/>
    <cellStyle name="Normal 2" xfId="4"/>
    <cellStyle name="Normal 2 2" xfId="21"/>
    <cellStyle name="Normal 2 2 2" xfId="44"/>
    <cellStyle name="Normal 2 2 2 2" xfId="245"/>
    <cellStyle name="Normal 2 3" xfId="43"/>
    <cellStyle name="Normal 2 3 2" xfId="247"/>
    <cellStyle name="Normal 2 3 2 2" xfId="374"/>
    <cellStyle name="Normal 2 3 3" xfId="246"/>
    <cellStyle name="Normal 2 3 4" xfId="309"/>
    <cellStyle name="Normal 2 3 4 2" xfId="391"/>
    <cellStyle name="Normal 2 3 5" xfId="420"/>
    <cellStyle name="Normal 2 3 6" xfId="474"/>
    <cellStyle name="Normal 2 3 7" xfId="526"/>
    <cellStyle name="Normal 2 4" xfId="248"/>
    <cellStyle name="Normal 2 4 2" xfId="249"/>
    <cellStyle name="Normal 2 4 2 2" xfId="375"/>
    <cellStyle name="Normal 2 4 3" xfId="440"/>
    <cellStyle name="Normal 2 5" xfId="244"/>
    <cellStyle name="Normal 2 5 2" xfId="436"/>
    <cellStyle name="Normal 2 6" xfId="337"/>
    <cellStyle name="Normal 2_Estimacion" xfId="250"/>
    <cellStyle name="Normal 20" xfId="461"/>
    <cellStyle name="Normal 21" xfId="463"/>
    <cellStyle name="Normal 22" xfId="464"/>
    <cellStyle name="Normal 23" xfId="465"/>
    <cellStyle name="Normal 24" xfId="466"/>
    <cellStyle name="Normal 25" xfId="507"/>
    <cellStyle name="Normal 26" xfId="508"/>
    <cellStyle name="Normal 27" xfId="509"/>
    <cellStyle name="Normal 28" xfId="510"/>
    <cellStyle name="Normal 288" xfId="292"/>
    <cellStyle name="Normal 288 2" xfId="378"/>
    <cellStyle name="Normal 29" xfId="511"/>
    <cellStyle name="Normal 3" xfId="12"/>
    <cellStyle name="Normal 3 2" xfId="28"/>
    <cellStyle name="Normal 3 2 2" xfId="252"/>
    <cellStyle name="Normal 3 2 3" xfId="319"/>
    <cellStyle name="Normal 3 2 3 2" xfId="400"/>
    <cellStyle name="Normal 3 2 4" xfId="352"/>
    <cellStyle name="Normal 3 2 5" xfId="429"/>
    <cellStyle name="Normal 3 2 6" xfId="483"/>
    <cellStyle name="Normal 3 2 7" xfId="535"/>
    <cellStyle name="Normal 3 3" xfId="39"/>
    <cellStyle name="Normal 3 3 2" xfId="251"/>
    <cellStyle name="Normal 3 3 3" xfId="326"/>
    <cellStyle name="Normal 3 3 4" xfId="361"/>
    <cellStyle name="Normal 3 4" xfId="49"/>
    <cellStyle name="Normal 3 4 2" xfId="369"/>
    <cellStyle name="Normal 3 5" xfId="301"/>
    <cellStyle name="Normal 3 5 2" xfId="385"/>
    <cellStyle name="Normal 3 6" xfId="336"/>
    <cellStyle name="Normal 3 7" xfId="414"/>
    <cellStyle name="Normal 3 8" xfId="469"/>
    <cellStyle name="Normal 3 9" xfId="521"/>
    <cellStyle name="Normal 3_P&amp;L" xfId="253"/>
    <cellStyle name="Normal 30" xfId="512"/>
    <cellStyle name="Normal 303" xfId="293"/>
    <cellStyle name="Normal 303 2" xfId="379"/>
    <cellStyle name="Normal 307" xfId="294"/>
    <cellStyle name="Normal 307 2" xfId="380"/>
    <cellStyle name="Normal 31" xfId="513"/>
    <cellStyle name="Normal 32" xfId="514"/>
    <cellStyle name="Normal 33" xfId="515"/>
    <cellStyle name="Normal 34" xfId="516"/>
    <cellStyle name="Normal 35" xfId="517"/>
    <cellStyle name="Normal 36" xfId="518"/>
    <cellStyle name="Normal 4" xfId="22"/>
    <cellStyle name="Normal 4 2" xfId="325"/>
    <cellStyle name="Normal 4 2 2" xfId="405"/>
    <cellStyle name="Normal 4 2 3" xfId="434"/>
    <cellStyle name="Normal 4 2 4" xfId="488"/>
    <cellStyle name="Normal 4 2 5" xfId="540"/>
    <cellStyle name="Normal 5" xfId="8"/>
    <cellStyle name="Normal 5 2" xfId="254"/>
    <cellStyle name="Normal 5 3" xfId="312"/>
    <cellStyle name="Normal 5 3 2" xfId="393"/>
    <cellStyle name="Normal 5 4" xfId="342"/>
    <cellStyle name="Normal 5 5" xfId="422"/>
    <cellStyle name="Normal 5 6" xfId="476"/>
    <cellStyle name="Normal 5 7" xfId="528"/>
    <cellStyle name="Normal 6" xfId="25"/>
    <cellStyle name="Normal 6 2" xfId="255"/>
    <cellStyle name="Normal 6 3" xfId="316"/>
    <cellStyle name="Normal 6 3 2" xfId="397"/>
    <cellStyle name="Normal 6 4" xfId="349"/>
    <cellStyle name="Normal 6 5" xfId="426"/>
    <cellStyle name="Normal 6 6" xfId="480"/>
    <cellStyle name="Normal 6 7" xfId="532"/>
    <cellStyle name="Normal 7" xfId="35"/>
    <cellStyle name="Normal 7 2" xfId="256"/>
    <cellStyle name="Normal 7 2 2" xfId="329"/>
    <cellStyle name="Normal 7 3" xfId="324"/>
    <cellStyle name="Normal 7 4" xfId="357"/>
    <cellStyle name="Normal 8" xfId="257"/>
    <cellStyle name="Normal 9" xfId="54"/>
    <cellStyle name="Notas 2" xfId="259"/>
    <cellStyle name="Notas 3" xfId="258"/>
    <cellStyle name="Note" xfId="260"/>
    <cellStyle name="Output" xfId="261"/>
    <cellStyle name="Percent 2" xfId="262"/>
    <cellStyle name="Porcentaje" xfId="5" builtinId="5"/>
    <cellStyle name="Porcentaje 10" xfId="412"/>
    <cellStyle name="Porcentaje 11" xfId="467"/>
    <cellStyle name="Porcentaje 12" xfId="519"/>
    <cellStyle name="Porcentaje 2" xfId="9"/>
    <cellStyle name="Porcentaje 2 2" xfId="263"/>
    <cellStyle name="Porcentaje 2 2 2" xfId="328"/>
    <cellStyle name="Porcentaje 2 3" xfId="313"/>
    <cellStyle name="Porcentaje 2 3 2" xfId="394"/>
    <cellStyle name="Porcentaje 2 4" xfId="343"/>
    <cellStyle name="Porcentaje 2 5" xfId="423"/>
    <cellStyle name="Porcentaje 2 6" xfId="477"/>
    <cellStyle name="Porcentaje 2 7" xfId="529"/>
    <cellStyle name="Porcentaje 3" xfId="26"/>
    <cellStyle name="Porcentaje 3 2" xfId="265"/>
    <cellStyle name="Porcentaje 3 3" xfId="266"/>
    <cellStyle name="Porcentaje 3 4" xfId="264"/>
    <cellStyle name="Porcentaje 3 5" xfId="317"/>
    <cellStyle name="Porcentaje 3 5 2" xfId="398"/>
    <cellStyle name="Porcentaje 3 6" xfId="350"/>
    <cellStyle name="Porcentaje 3 7" xfId="427"/>
    <cellStyle name="Porcentaje 3 8" xfId="481"/>
    <cellStyle name="Porcentaje 3 9" xfId="533"/>
    <cellStyle name="Porcentaje 4" xfId="267"/>
    <cellStyle name="Porcentaje 4 2" xfId="310"/>
    <cellStyle name="Porcentaje 5" xfId="268"/>
    <cellStyle name="Porcentaje 6" xfId="295"/>
    <cellStyle name="Porcentaje 6 2" xfId="381"/>
    <cellStyle name="Porcentaje 7" xfId="298"/>
    <cellStyle name="Porcentaje 7 2" xfId="383"/>
    <cellStyle name="Porcentaje 8" xfId="340"/>
    <cellStyle name="Porcentaje 9" xfId="406"/>
    <cellStyle name="Porcentual (0)" xfId="269"/>
    <cellStyle name="Porcentual (0) 2" xfId="270"/>
    <cellStyle name="Porcentual (0)_Notepad CP" xfId="271"/>
    <cellStyle name="Porcentual (2)" xfId="272"/>
    <cellStyle name="Porcentual (2) 2" xfId="273"/>
    <cellStyle name="Porcentual (2)_Notepad CP" xfId="274"/>
    <cellStyle name="Porcentual 2" xfId="6"/>
    <cellStyle name="Porcentual 2 2" xfId="23"/>
    <cellStyle name="Porcentual 2 3" xfId="311"/>
    <cellStyle name="Porcentual 2 3 2" xfId="392"/>
    <cellStyle name="Porcentual 2 3 3" xfId="421"/>
    <cellStyle name="Porcentual 2 3 4" xfId="475"/>
    <cellStyle name="Porcentual 2 3 5" xfId="527"/>
    <cellStyle name="Porcentual 2 4" xfId="341"/>
    <cellStyle name="Porcentual 3" xfId="24"/>
    <cellStyle name="RM" xfId="275"/>
    <cellStyle name="Salida 2" xfId="277"/>
    <cellStyle name="Salida 3" xfId="276"/>
    <cellStyle name="Texto de advertencia 2" xfId="279"/>
    <cellStyle name="Texto de advertencia 3" xfId="278"/>
    <cellStyle name="Texto explicativo 2" xfId="281"/>
    <cellStyle name="Texto explicativo 3" xfId="280"/>
    <cellStyle name="Title" xfId="282"/>
    <cellStyle name="Título 1 2" xfId="284"/>
    <cellStyle name="Título 2 2" xfId="285"/>
    <cellStyle name="Título 3 2" xfId="287"/>
    <cellStyle name="Título 3 3" xfId="286"/>
    <cellStyle name="Título 4" xfId="288"/>
    <cellStyle name="Título 5" xfId="283"/>
    <cellStyle name="Total 2" xfId="290"/>
    <cellStyle name="Total 3" xfId="289"/>
    <cellStyle name="Warning Text" xfId="291"/>
  </cellStyles>
  <dxfs count="4">
    <dxf>
      <font>
        <color theme="5" tint="-0.499984740745262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99"/>
      <color rgb="FF88B14B"/>
      <color rgb="FFFF7C80"/>
      <color rgb="FFF9D019"/>
      <color rgb="FFFFFF66"/>
      <color rgb="FF7F7F7F"/>
      <color rgb="FFFF7C00"/>
      <color rgb="FF045AB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3.29</v>
        <stp/>
        <stp>##V3_BDHV12</stp>
        <stp>CHSWP1F  Curncy</stp>
        <stp>PX_LAST</stp>
        <stp>27-10-2016</stp>
        <stp>27-10-2016</stp>
        <stp>[TPM a RPM_v21.xlsm]Zero_swap_CL!R7C5</stp>
        <tr r="E7" s="15"/>
      </tp>
      <tp>
        <v>27145</v>
        <stp/>
        <stp>##V3_BDPV12</stp>
        <stp>CFNP15 BSAC Curncy</stp>
        <stp>PX_LAST</stp>
        <stp>[TPM a RPM_v21.xlsm]Inflation_FWD!R18C3</stp>
        <tr r="C18" s="16"/>
      </tp>
      <tp>
        <v>27177</v>
        <stp/>
        <stp>##V3_BDPV12</stp>
        <stp>CFNP16 BSAC Curncy</stp>
        <stp>PX_LAST</stp>
        <stp>[TPM a RPM_v21.xlsm]Inflation_FWD!R19C3</stp>
        <tr r="C19" s="16"/>
      </tp>
      <tp t="s">
        <v>04-11-2024</v>
        <stp/>
        <stp>##V3_BDPV12</stp>
        <stp>S0193Z 8Y BLC2 Curncy</stp>
        <stp>MATURITY</stp>
        <stp>[TPM a RPM_v21.xlsm]Zero_swap_CL!R14C17</stp>
        <tr r="Q14" s="15"/>
      </tp>
      <tp>
        <v>3.33</v>
        <stp/>
        <stp>##V3_BDHV12</stp>
        <stp>CHSWP3  Curncy</stp>
        <stp>PX_LAST</stp>
        <stp>27-10-2016</stp>
        <stp>27-10-2016</stp>
        <stp>[TPM a RPM_v21.xlsm]Zero_swap_CL!R9C5</stp>
        <tr r="E9" s="15"/>
      </tp>
      <tp>
        <v>1.08</v>
        <stp/>
        <stp>##V3_BDPV12</stp>
        <stp>UF02B Index</stp>
        <stp>PX_LAST</stp>
        <stp>[TPM a RPM_v21.xlsm]HPR!R16C3</stp>
        <tr r="C16" s="4"/>
      </tp>
      <tp t="s">
        <v>03-11-2025</v>
        <stp/>
        <stp>##V3_BDPV12</stp>
        <stp>S0193Z 9Y BLC2 Curncy</stp>
        <stp>MATURITY</stp>
        <stp>[TPM a RPM_v21.xlsm]Zero_swap_CL!R15C17</stp>
        <tr r="Q15" s="15"/>
      </tp>
      <tp>
        <v>3.24</v>
        <stp/>
        <stp>##V3_BDHV12</stp>
        <stp>CHSWP2  Curncy</stp>
        <stp>PX_LAST</stp>
        <stp>27-10-2016</stp>
        <stp>27-10-2016</stp>
        <stp>[TPM a RPM_v21.xlsm]Zero_swap_CL!R8C5</stp>
        <tr r="E8" s="15"/>
      </tp>
      <tp>
        <v>1.07</v>
        <stp/>
        <stp>##V3_BDPV12</stp>
        <stp>UF05B Index</stp>
        <stp>PX_LAST</stp>
        <stp>[TPM a RPM_v21.xlsm]HPR!R17C3</stp>
        <tr r="C17" s="4"/>
      </tp>
      <tp>
        <v>3.49</v>
        <stp/>
        <stp>##V3_BDHV12</stp>
        <stp>CHSWPC  Curncy</stp>
        <stp>PX_LAST</stp>
        <stp>27-10-2016</stp>
        <stp>27-10-2016</stp>
        <stp>[TPM a RPM_v21.xlsm]Zero_swap_CL!R3C5</stp>
        <tr r="E3" s="15"/>
      </tp>
      <tp>
        <v>27218</v>
        <stp/>
        <stp>##V3_BDPV12</stp>
        <stp>CFNP17 BSAC Curncy</stp>
        <stp>PX_LAST</stp>
        <stp>[TPM a RPM_v21.xlsm]Inflation_FWD!R20C3</stp>
        <tr r="C20" s="16"/>
      </tp>
      <tp>
        <v>1.49</v>
        <stp/>
        <stp>##V3_BDHV12</stp>
        <stp>CHSWC5 Curncy</stp>
        <stp>PX_LAST</stp>
        <stp>09-12-2015</stp>
        <stp>09-12-2015</stp>
        <stp>[TPM a RPM_v21.xlsm]Informe5!R237C36</stp>
        <tr r="AJ237" s="29"/>
      </tp>
      <tp>
        <v>1.38</v>
        <stp/>
        <stp>##V3_BDHV12</stp>
        <stp>CHSWC5 Curncy</stp>
        <stp>PX_LAST</stp>
        <stp>29-10-2015</stp>
        <stp>29-10-2015</stp>
        <stp>[TPM a RPM_v21.xlsm]Informe5!R266C36</stp>
        <tr r="AJ266" s="29"/>
      </tp>
      <tp>
        <v>1.17</v>
        <stp/>
        <stp>##V3_BDHV12</stp>
        <stp>CHSWC5 Curncy</stp>
        <stp>PX_LAST</stp>
        <stp>08-03-2016</stp>
        <stp>08-03-2016</stp>
        <stp>[TPM a RPM_v21.xlsm]Informe5!R173C36</stp>
        <tr r="AJ173" s="29"/>
      </tp>
      <tp>
        <v>1.29</v>
        <stp/>
        <stp>##V3_BDHV12</stp>
        <stp>CHSWC5 Curncy</stp>
        <stp>PX_LAST</stp>
        <stp>18-02-2016</stp>
        <stp>18-02-2016</stp>
        <stp>[TPM a RPM_v21.xlsm]Informe5!R186C36</stp>
        <tr r="AJ186" s="29"/>
      </tp>
      <tp t="s">
        <v>#N/A N/A</v>
        <stp/>
        <stp>##V3_BDHV12</stp>
        <stp>CHSWC5 Curncy</stp>
        <stp>PX_LAST</stp>
        <stp>08-12-2015</stp>
        <stp>08-12-2015</stp>
        <stp>[TPM a RPM_v21.xlsm]Informe5!R238C36</stp>
        <tr r="AJ238" s="29"/>
      </tp>
      <tp>
        <v>1.37</v>
        <stp/>
        <stp>##V3_BDHV12</stp>
        <stp>CHSWC5 Curncy</stp>
        <stp>PX_LAST</stp>
        <stp>28-10-2015</stp>
        <stp>28-10-2015</stp>
        <stp>[TPM a RPM_v21.xlsm]Informe5!R267C36</stp>
        <tr r="AJ267" s="29"/>
      </tp>
      <tp>
        <v>1.18</v>
        <stp/>
        <stp>##V3_BDHV12</stp>
        <stp>CHSWC5 Curncy</stp>
        <stp>PX_LAST</stp>
        <stp>09-03-2016</stp>
        <stp>09-03-2016</stp>
        <stp>[TPM a RPM_v21.xlsm]Informe5!R172C36</stp>
        <tr r="AJ172" s="29"/>
      </tp>
      <tp>
        <v>1.29</v>
        <stp/>
        <stp>##V3_BDHV12</stp>
        <stp>CHSWC5 Curncy</stp>
        <stp>PX_LAST</stp>
        <stp>19-02-2016</stp>
        <stp>19-02-2016</stp>
        <stp>[TPM a RPM_v21.xlsm]Informe5!R185C36</stp>
        <tr r="AJ185" s="29"/>
      </tp>
      <tp>
        <v>1.31</v>
        <stp/>
        <stp>##V3_BDHV12</stp>
        <stp>CHSWC5 Curncy</stp>
        <stp>PX_LAST</stp>
        <stp>29-01-2016</stp>
        <stp>29-01-2016</stp>
        <stp>[TPM a RPM_v21.xlsm]Informe5!R200C36</stp>
        <tr r="AJ200" s="29"/>
      </tp>
      <tp>
        <v>1.33</v>
        <stp/>
        <stp>##V3_BDHV12</stp>
        <stp>CHSWC5 Curncy</stp>
        <stp>PX_LAST</stp>
        <stp>28-01-2016</stp>
        <stp>28-01-2016</stp>
        <stp>[TPM a RPM_v21.xlsm]Informe5!R201C36</stp>
        <tr r="AJ201" s="29"/>
      </tp>
      <tp>
        <v>0.79</v>
        <stp/>
        <stp>##V3_BDHV12</stp>
        <stp>CHSWC2 Curncy</stp>
        <stp>PX_LAST</stp>
        <stp>19-05-2016</stp>
        <stp>19-05-2016</stp>
        <stp>[TPM a RPM_v21.xlsm]Informe5!R121C35</stp>
        <tr r="AI121" s="29"/>
      </tp>
      <tp>
        <v>0.76</v>
        <stp/>
        <stp>##V3_BDHV12</stp>
        <stp>CHSWC2 Curncy</stp>
        <stp>PX_LAST</stp>
        <stp>18-05-2016</stp>
        <stp>18-05-2016</stp>
        <stp>[TPM a RPM_v21.xlsm]Informe5!R122C35</stp>
        <tr r="AI122" s="29"/>
      </tp>
      <tp>
        <v>0.82</v>
        <stp/>
        <stp>##V3_BDHV12</stp>
        <stp>CHSWC2 Curncy</stp>
        <stp>PX_LAST</stp>
        <stp>08-04-2016</stp>
        <stp>08-04-2016</stp>
        <stp>[TPM a RPM_v21.xlsm]Informe5!R150C35</stp>
        <tr r="AI150" s="29"/>
      </tp>
      <tp>
        <v>1.27</v>
        <stp/>
        <stp>##V3_BDHV12</stp>
        <stp>CHSWC5 Curncy</stp>
        <stp>PX_LAST</stp>
        <stp>10-02-2016</stp>
        <stp>10-02-2016</stp>
        <stp>[TPM a RPM_v21.xlsm]Informe5!R192C36</stp>
        <tr r="AJ192" s="29"/>
      </tp>
      <tp>
        <v>0.79</v>
        <stp/>
        <stp>##V3_BDHV12</stp>
        <stp>CHSWC2 Curncy</stp>
        <stp>PX_LAST</stp>
        <stp>07-04-2016</stp>
        <stp>07-04-2016</stp>
        <stp>[TPM a RPM_v21.xlsm]Informe5!R151C35</stp>
        <tr r="AI151" s="29"/>
      </tp>
      <tp>
        <v>0.74</v>
        <stp/>
        <stp>##V3_BDHV12</stp>
        <stp>CHSWC2 Curncy</stp>
        <stp>PX_LAST</stp>
        <stp>17-05-2016</stp>
        <stp>17-05-2016</stp>
        <stp>[TPM a RPM_v21.xlsm]Informe5!R123C35</stp>
        <tr r="AI123" s="29"/>
      </tp>
      <tp>
        <v>1.3599999999999999</v>
        <stp/>
        <stp>##V3_BDHV12</stp>
        <stp>CHSWC5 Curncy</stp>
        <stp>PX_LAST</stp>
        <stp>01-12-2015</stp>
        <stp>01-12-2015</stp>
        <stp>[TPM a RPM_v21.xlsm]Informe5!R243C36</stp>
        <tr r="AJ243" s="29"/>
      </tp>
      <tp>
        <v>1.29</v>
        <stp/>
        <stp>##V3_BDHV12</stp>
        <stp>CHSWC5 Curncy</stp>
        <stp>PX_LAST</stp>
        <stp>11-02-2016</stp>
        <stp>11-02-2016</stp>
        <stp>[TPM a RPM_v21.xlsm]Informe5!R191C36</stp>
        <tr r="AJ191" s="29"/>
      </tp>
      <tp>
        <v>0.79</v>
        <stp/>
        <stp>##V3_BDHV12</stp>
        <stp>CHSWC2 Curncy</stp>
        <stp>PX_LAST</stp>
        <stp>06-04-2016</stp>
        <stp>06-04-2016</stp>
        <stp>[TPM a RPM_v21.xlsm]Informe5!R152C35</stp>
        <tr r="AI152" s="29"/>
      </tp>
      <tp>
        <v>1.29</v>
        <stp/>
        <stp>##V3_BDHV12</stp>
        <stp>CHSWC5 Curncy</stp>
        <stp>PX_LAST</stp>
        <stp>22-01-2016</stp>
        <stp>22-01-2016</stp>
        <stp>[TPM a RPM_v21.xlsm]Informe5!R205C36</stp>
        <tr r="AJ205" s="29"/>
      </tp>
      <tp>
        <v>1.3599999999999999</v>
        <stp/>
        <stp>##V3_BDHV12</stp>
        <stp>CHSWC5 Curncy</stp>
        <stp>PX_LAST</stp>
        <stp>30-11-2015</stp>
        <stp>30-11-2015</stp>
        <stp>[TPM a RPM_v21.xlsm]Informe5!R244C36</stp>
        <tr r="AJ244" s="29"/>
      </tp>
      <tp>
        <v>0.75</v>
        <stp/>
        <stp>##V3_BDHV12</stp>
        <stp>CHSWC2 Curncy</stp>
        <stp>PX_LAST</stp>
        <stp>16-05-2016</stp>
        <stp>16-05-2016</stp>
        <stp>[TPM a RPM_v21.xlsm]Informe5!R124C35</stp>
        <tr r="AI124" s="29"/>
      </tp>
      <tp>
        <v>1.1400000000000001</v>
        <stp/>
        <stp>##V3_BDHV12</stp>
        <stp>CHSWC5 Curncy</stp>
        <stp>PX_LAST</stp>
        <stp>01-03-2016</stp>
        <stp>01-03-2016</stp>
        <stp>[TPM a RPM_v21.xlsm]Informe5!R178C36</stp>
        <tr r="AJ178" s="29"/>
      </tp>
      <tp>
        <v>1.33</v>
        <stp/>
        <stp>##V3_BDHV12</stp>
        <stp>CHSWC5 Curncy</stp>
        <stp>PX_LAST</stp>
        <stp>12-02-2016</stp>
        <stp>12-02-2016</stp>
        <stp>[TPM a RPM_v21.xlsm]Informe5!R190C36</stp>
        <tr r="AJ190" s="29"/>
      </tp>
      <tp>
        <v>1.28</v>
        <stp/>
        <stp>##V3_BDHV12</stp>
        <stp>CHSWC5 Curncy</stp>
        <stp>PX_LAST</stp>
        <stp>21-01-2016</stp>
        <stp>21-01-2016</stp>
        <stp>[TPM a RPM_v21.xlsm]Informe5!R206C36</stp>
        <tr r="AJ206" s="29"/>
      </tp>
      <tp>
        <v>0.79</v>
        <stp/>
        <stp>##V3_BDHV12</stp>
        <stp>CHSWC2 Curncy</stp>
        <stp>PX_LAST</stp>
        <stp>05-04-2016</stp>
        <stp>05-04-2016</stp>
        <stp>[TPM a RPM_v21.xlsm]Informe5!R153C35</stp>
        <tr r="AI153" s="29"/>
      </tp>
      <tp>
        <v>1.1299999999999999</v>
        <stp/>
        <stp>##V3_BDHV12</stp>
        <stp>CHSWC5 Curncy</stp>
        <stp>PX_LAST</stp>
        <stp>02-03-2016</stp>
        <stp>02-03-2016</stp>
        <stp>[TPM a RPM_v21.xlsm]Informe5!R177C36</stp>
        <tr r="AJ177" s="29"/>
      </tp>
      <tp>
        <v>1.42</v>
        <stp/>
        <stp>##V3_BDHV12</stp>
        <stp>CHSWC5 Curncy</stp>
        <stp>PX_LAST</stp>
        <stp>03-12-2015</stp>
        <stp>03-12-2015</stp>
        <stp>[TPM a RPM_v21.xlsm]Informe5!R241C36</stp>
        <tr r="AJ241" s="29"/>
      </tp>
      <tp>
        <v>1.29</v>
        <stp/>
        <stp>##V3_BDHV12</stp>
        <stp>CHSWC5 Curncy</stp>
        <stp>PX_LAST</stp>
        <stp>20-01-2016</stp>
        <stp>20-01-2016</stp>
        <stp>[TPM a RPM_v21.xlsm]Informe5!R207C36</stp>
        <tr r="AJ207" s="29"/>
      </tp>
      <tp>
        <v>0.8</v>
        <stp/>
        <stp>##V3_BDHV12</stp>
        <stp>CHSWC2 Curncy</stp>
        <stp>PX_LAST</stp>
        <stp>04-04-2016</stp>
        <stp>04-04-2016</stp>
        <stp>[TPM a RPM_v21.xlsm]Informe5!R154C35</stp>
        <tr r="AI154" s="29"/>
      </tp>
      <tp>
        <v>1.3599999999999999</v>
        <stp/>
        <stp>##V3_BDHV12</stp>
        <stp>CHSWC5 Curncy</stp>
        <stp>PX_LAST</stp>
        <stp>02-12-2015</stp>
        <stp>02-12-2015</stp>
        <stp>[TPM a RPM_v21.xlsm]Informe5!R242C36</stp>
        <tr r="AJ242" s="29"/>
      </tp>
      <tp>
        <v>1.1599999999999999</v>
        <stp/>
        <stp>##V3_BDHV12</stp>
        <stp>CHSWC5 Curncy</stp>
        <stp>PX_LAST</stp>
        <stp>03-03-2016</stp>
        <stp>03-03-2016</stp>
        <stp>[TPM a RPM_v21.xlsm]Informe5!R176C36</stp>
        <tr r="AJ176" s="29"/>
      </tp>
      <tp>
        <v>1.19</v>
        <stp/>
        <stp>##V3_BDHV12</stp>
        <stp>CHSWC5 Curncy</stp>
        <stp>PX_LAST</stp>
        <stp>04-03-2016</stp>
        <stp>04-03-2016</stp>
        <stp>[TPM a RPM_v21.xlsm]Informe5!R175C36</stp>
        <tr r="AJ175" s="29"/>
      </tp>
      <tp>
        <v>0.76</v>
        <stp/>
        <stp>##V3_BDHV12</stp>
        <stp>CHSWC2 Curncy</stp>
        <stp>PX_LAST</stp>
        <stp>13-05-2016</stp>
        <stp>13-05-2016</stp>
        <stp>[TPM a RPM_v21.xlsm]Informe5!R125C35</stp>
        <tr r="AI125" s="29"/>
      </tp>
      <tp>
        <v>1.33</v>
        <stp/>
        <stp>##V3_BDHV12</stp>
        <stp>CHSWC5 Curncy</stp>
        <stp>PX_LAST</stp>
        <stp>27-01-2016</stp>
        <stp>27-01-2016</stp>
        <stp>[TPM a RPM_v21.xlsm]Informe5!R202C36</stp>
        <tr r="AJ202" s="29"/>
      </tp>
      <tp>
        <v>1.3</v>
        <stp/>
        <stp>##V3_BDHV12</stp>
        <stp>CHSWC5 Curncy</stp>
        <stp>PX_LAST</stp>
        <stp>15-02-2016</stp>
        <stp>15-02-2016</stp>
        <stp>[TPM a RPM_v21.xlsm]Informe5!R189C36</stp>
        <tr r="AJ189" s="29"/>
      </tp>
      <tp>
        <v>1.44</v>
        <stp/>
        <stp>##V3_BDHV12</stp>
        <stp>CHSWC5 Curncy</stp>
        <stp>PX_LAST</stp>
        <stp>04-12-2015</stp>
        <stp>04-12-2015</stp>
        <stp>[TPM a RPM_v21.xlsm]Informe5!R240C36</stp>
        <tr r="AJ240" s="29"/>
      </tp>
      <tp>
        <v>0.79</v>
        <stp/>
        <stp>##V3_BDHV12</stp>
        <stp>CHSWC2 Curncy</stp>
        <stp>PX_LAST</stp>
        <stp>12-05-2016</stp>
        <stp>12-05-2016</stp>
        <stp>[TPM a RPM_v21.xlsm]Informe5!R126C35</stp>
        <tr r="AI126" s="29"/>
      </tp>
      <tp>
        <v>1.32</v>
        <stp/>
        <stp>##V3_BDHV12</stp>
        <stp>CHSWC5 Curncy</stp>
        <stp>PX_LAST</stp>
        <stp>26-01-2016</stp>
        <stp>26-01-2016</stp>
        <stp>[TPM a RPM_v21.xlsm]Informe5!R203C36</stp>
        <tr r="AJ203" s="29"/>
      </tp>
      <tp>
        <v>1.27</v>
        <stp/>
        <stp>##V3_BDHV12</stp>
        <stp>CHSWC5 Curncy</stp>
        <stp>PX_LAST</stp>
        <stp>16-02-2016</stp>
        <stp>16-02-2016</stp>
        <stp>[TPM a RPM_v21.xlsm]Informe5!R188C36</stp>
        <tr r="AJ188" s="29"/>
      </tp>
      <tp>
        <v>0.8</v>
        <stp/>
        <stp>##V3_BDHV12</stp>
        <stp>CHSWC2 Curncy</stp>
        <stp>PX_LAST</stp>
        <stp>11-05-2016</stp>
        <stp>11-05-2016</stp>
        <stp>[TPM a RPM_v21.xlsm]Informe5!R127C35</stp>
        <tr r="AI127" s="29"/>
      </tp>
      <tp>
        <v>1.3</v>
        <stp/>
        <stp>##V3_BDHV12</stp>
        <stp>CHSWC5 Curncy</stp>
        <stp>PX_LAST</stp>
        <stp>25-01-2016</stp>
        <stp>25-01-2016</stp>
        <stp>[TPM a RPM_v21.xlsm]Informe5!R204C36</stp>
        <tr r="AJ204" s="29"/>
      </tp>
      <tp>
        <v>0.82</v>
        <stp/>
        <stp>##V3_BDHV12</stp>
        <stp>CHSWC2 Curncy</stp>
        <stp>PX_LAST</stp>
        <stp>01-04-2016</stp>
        <stp>01-04-2016</stp>
        <stp>[TPM a RPM_v21.xlsm]Informe5!R155C35</stp>
        <tr r="AI155" s="29"/>
      </tp>
      <tp>
        <v>1.47</v>
        <stp/>
        <stp>##V3_BDHV12</stp>
        <stp>CHSWC5 Curncy</stp>
        <stp>PX_LAST</stp>
        <stp>07-12-2015</stp>
        <stp>07-12-2015</stp>
        <stp>[TPM a RPM_v21.xlsm]Informe5!R239C36</stp>
        <tr r="AJ239" s="29"/>
      </tp>
      <tp>
        <v>1.28</v>
        <stp/>
        <stp>##V3_BDHV12</stp>
        <stp>CHSWC5 Curncy</stp>
        <stp>PX_LAST</stp>
        <stp>17-02-2016</stp>
        <stp>17-02-2016</stp>
        <stp>[TPM a RPM_v21.xlsm]Informe5!R187C36</stp>
        <tr r="AJ187" s="29"/>
      </tp>
      <tp>
        <v>0.78</v>
        <stp/>
        <stp>##V3_BDHV12</stp>
        <stp>CHSWC2 Curncy</stp>
        <stp>PX_LAST</stp>
        <stp>10-05-2016</stp>
        <stp>10-05-2016</stp>
        <stp>[TPM a RPM_v21.xlsm]Informe5!R128C35</stp>
        <tr r="AI128" s="29"/>
      </tp>
      <tp>
        <v>1.22</v>
        <stp/>
        <stp>##V3_BDHV12</stp>
        <stp>CHSWC5 Curncy</stp>
        <stp>PX_LAST</stp>
        <stp>07-03-2016</stp>
        <stp>07-03-2016</stp>
        <stp>[TPM a RPM_v21.xlsm]Informe5!R174C36</stp>
        <tr r="AJ174" s="29"/>
      </tp>
      <tp>
        <v>1.45</v>
        <stp/>
        <stp>##V3_BDHV12</stp>
        <stp>CHSWC5 Curncy</stp>
        <stp>PX_LAST</stp>
        <stp>18-12-2015</stp>
        <stp>18-12-2015</stp>
        <stp>[TPM a RPM_v21.xlsm]Informe5!R230C36</stp>
        <tr r="AJ230" s="29"/>
      </tp>
      <tp>
        <v>1.27</v>
        <stp/>
        <stp>##V3_BDHV12</stp>
        <stp>CHSWC5 Curncy</stp>
        <stp>PX_LAST</stp>
        <stp>09-02-2016</stp>
        <stp>09-02-2016</stp>
        <stp>[TPM a RPM_v21.xlsm]Informe5!R193C36</stp>
        <tr r="AJ193" s="29"/>
      </tp>
      <tp>
        <v>1.1400000000000001</v>
        <stp/>
        <stp>##V3_BDHV12</stp>
        <stp>CHSWC5 Curncy</stp>
        <stp>PX_LAST</stp>
        <stp>18-03-2016</stp>
        <stp>18-03-2016</stp>
        <stp>[TPM a RPM_v21.xlsm]Informe5!R165C36</stp>
        <tr r="AJ165" s="29"/>
      </tp>
      <tp>
        <v>1.27</v>
        <stp/>
        <stp>##V3_BDHV12</stp>
        <stp>CHSWC5 Curncy</stp>
        <stp>PX_LAST</stp>
        <stp>08-02-2016</stp>
        <stp>08-02-2016</stp>
        <stp>[TPM a RPM_v21.xlsm]Informe5!R194C36</stp>
        <tr r="AJ194" s="29"/>
      </tp>
      <tp>
        <v>0.78</v>
        <stp/>
        <stp>##V3_BDHV12</stp>
        <stp>CHSWC2 Curncy</stp>
        <stp>PX_LAST</stp>
        <stp>18-04-2016</stp>
        <stp>18-04-2016</stp>
        <stp>[TPM a RPM_v21.xlsm]Informe5!R144C35</stp>
        <tr r="AI144" s="29"/>
      </tp>
      <tp>
        <v>0.79</v>
        <stp/>
        <stp>##V3_BDHV12</stp>
        <stp>CHSWC2 Curncy</stp>
        <stp>PX_LAST</stp>
        <stp>09-05-2016</stp>
        <stp>09-05-2016</stp>
        <stp>[TPM a RPM_v21.xlsm]Informe5!R129C35</stp>
        <tr r="AI129" s="29"/>
      </tp>
      <tp>
        <v>0.79</v>
        <stp/>
        <stp>##V3_BDHV12</stp>
        <stp>CHSWC2 Curncy</stp>
        <stp>PX_LAST</stp>
        <stp>19-04-2016</stp>
        <stp>19-04-2016</stp>
        <stp>[TPM a RPM_v21.xlsm]Informe5!R143C35</stp>
        <tr r="AI143" s="29"/>
      </tp>
      <tp>
        <v>1.28</v>
        <stp/>
        <stp>##V3_BDHV12</stp>
        <stp>CHSWC5 Curncy</stp>
        <stp>PX_LAST</stp>
        <stp>01-02-2016</stp>
        <stp>01-02-2016</stp>
        <stp>[TPM a RPM_v21.xlsm]Informe5!R199C36</stp>
        <tr r="AJ199" s="29"/>
      </tp>
      <tp>
        <v>1.51</v>
        <stp/>
        <stp>##V3_BDHV12</stp>
        <stp>CHSWC5 Curncy</stp>
        <stp>PX_LAST</stp>
        <stp>10-12-2015</stp>
        <stp>10-12-2015</stp>
        <stp>[TPM a RPM_v21.xlsm]Informe5!R236C36</stp>
        <tr r="AJ236" s="29"/>
      </tp>
      <tp>
        <v>1.4</v>
        <stp/>
        <stp>##V3_BDHV12</stp>
        <stp>CHSWC5 Curncy</stp>
        <stp>PX_LAST</stp>
        <stp>30-10-2015</stp>
        <stp>30-10-2015</stp>
        <stp>[TPM a RPM_v21.xlsm]Informe5!R265C36</stp>
        <tr r="AJ265" s="29"/>
      </tp>
      <tp>
        <v>1.3</v>
        <stp/>
        <stp>##V3_BDHV12</stp>
        <stp>CHSWC5 Curncy</stp>
        <stp>PX_LAST</stp>
        <stp>20-11-2015</stp>
        <stp>20-11-2015</stp>
        <stp>[TPM a RPM_v21.xlsm]Informe5!R250C36</stp>
        <tr r="AJ250" s="29"/>
      </tp>
      <tp>
        <v>0.81</v>
        <stp/>
        <stp>##V3_BDHV12</stp>
        <stp>CHSWC2 Curncy</stp>
        <stp>PX_LAST</stp>
        <stp>06-05-2016</stp>
        <stp>06-05-2016</stp>
        <stp>[TPM a RPM_v21.xlsm]Informe5!R130C35</stp>
        <tr r="AI130" s="29"/>
      </tp>
      <tp>
        <v>1.17</v>
        <stp/>
        <stp>##V3_BDHV12</stp>
        <stp>CHSWC5 Curncy</stp>
        <stp>PX_LAST</stp>
        <stp>11-03-2016</stp>
        <stp>11-03-2016</stp>
        <stp>[TPM a RPM_v21.xlsm]Informe5!R170C36</stp>
        <tr r="AJ170" s="29"/>
      </tp>
      <tp>
        <v>1.3599999999999999</v>
        <stp/>
        <stp>##V3_BDHV12</stp>
        <stp>CHSWC5 Curncy</stp>
        <stp>PX_LAST</stp>
        <stp>11-12-2015</stp>
        <stp>11-12-2015</stp>
        <stp>[TPM a RPM_v21.xlsm]Informe5!R235C36</stp>
        <tr r="AJ235" s="29"/>
      </tp>
      <tp>
        <v>1.18</v>
        <stp/>
        <stp>##V3_BDHV12</stp>
        <stp>CHSWC5 Curncy</stp>
        <stp>PX_LAST</stp>
        <stp>10-03-2016</stp>
        <stp>10-03-2016</stp>
        <stp>[TPM a RPM_v21.xlsm]Informe5!R171C36</stp>
        <tr r="AJ171" s="29"/>
      </tp>
      <tp>
        <v>1.25</v>
        <stp/>
        <stp>##V3_BDHV12</stp>
        <stp>CHSWC5 Curncy</stp>
        <stp>PX_LAST</stp>
        <stp>03-02-2016</stp>
        <stp>03-02-2016</stp>
        <stp>[TPM a RPM_v21.xlsm]Informe5!R197C36</stp>
        <tr r="AJ197" s="29"/>
      </tp>
      <tp>
        <v>0.82</v>
        <stp/>
        <stp>##V3_BDHV12</stp>
        <stp>CHSWC2 Curncy</stp>
        <stp>PX_LAST</stp>
        <stp>14-04-2016</stp>
        <stp>14-04-2016</stp>
        <stp>[TPM a RPM_v21.xlsm]Informe5!R146C35</stp>
        <tr r="AI146" s="29"/>
      </tp>
      <tp>
        <v>0.83</v>
        <stp/>
        <stp>##V3_BDHV12</stp>
        <stp>CHSWC2 Curncy</stp>
        <stp>PX_LAST</stp>
        <stp>04-05-2016</stp>
        <stp>04-05-2016</stp>
        <stp>[TPM a RPM_v21.xlsm]Informe5!R132C35</stp>
        <tr r="AI132" s="29"/>
      </tp>
      <tp>
        <v>1.26</v>
        <stp/>
        <stp>##V3_BDHV12</stp>
        <stp>CHSWC5 Curncy</stp>
        <stp>PX_LAST</stp>
        <stp>02-02-2016</stp>
        <stp>02-02-2016</stp>
        <stp>[TPM a RPM_v21.xlsm]Informe5!R198C36</stp>
        <tr r="AJ198" s="29"/>
      </tp>
      <tp>
        <v>0.8</v>
        <stp/>
        <stp>##V3_BDHV12</stp>
        <stp>CHSWC2 Curncy</stp>
        <stp>PX_LAST</stp>
        <stp>15-04-2016</stp>
        <stp>15-04-2016</stp>
        <stp>[TPM a RPM_v21.xlsm]Informe5!R145C35</stp>
        <tr r="AI145" s="29"/>
      </tp>
      <tp>
        <v>0.84</v>
        <stp/>
        <stp>##V3_BDHV12</stp>
        <stp>CHSWC2 Curncy</stp>
        <stp>PX_LAST</stp>
        <stp>05-05-2016</stp>
        <stp>05-05-2016</stp>
        <stp>[TPM a RPM_v21.xlsm]Informe5!R131C35</stp>
        <tr r="AI131" s="29"/>
      </tp>
      <tp>
        <v>1.28</v>
        <stp/>
        <stp>##V3_BDHV12</stp>
        <stp>CHSWC5 Curncy</stp>
        <stp>PX_LAST</stp>
        <stp>23-11-2015</stp>
        <stp>23-11-2015</stp>
        <stp>[TPM a RPM_v21.xlsm]Informe5!R249C36</stp>
        <tr r="AJ249" s="29"/>
      </tp>
      <tp>
        <v>1.31</v>
        <stp/>
        <stp>##V3_BDHV12</stp>
        <stp>CHSWC5 Curncy</stp>
        <stp>PX_LAST</stp>
        <stp>05-02-2016</stp>
        <stp>05-02-2016</stp>
        <stp>[TPM a RPM_v21.xlsm]Informe5!R195C36</stp>
        <tr r="AJ195" s="29"/>
      </tp>
      <tp>
        <v>1.27</v>
        <stp/>
        <stp>##V3_BDHV12</stp>
        <stp>CHSWC5 Curncy</stp>
        <stp>PX_LAST</stp>
        <stp>24-11-2015</stp>
        <stp>24-11-2015</stp>
        <stp>[TPM a RPM_v21.xlsm]Informe5!R248C36</stp>
        <tr r="AJ248" s="29"/>
      </tp>
      <tp>
        <v>1.21</v>
        <stp/>
        <stp>##V3_BDHV12</stp>
        <stp>CHSWC5 Curncy</stp>
        <stp>PX_LAST</stp>
        <stp>15-03-2016</stp>
        <stp>15-03-2016</stp>
        <stp>[TPM a RPM_v21.xlsm]Informe5!R168C36</stp>
        <tr r="AJ168" s="29"/>
      </tp>
      <tp>
        <v>0.84</v>
        <stp/>
        <stp>##V3_BDHV12</stp>
        <stp>CHSWC2 Curncy</stp>
        <stp>PX_LAST</stp>
        <stp>02-05-2016</stp>
        <stp>02-05-2016</stp>
        <stp>[TPM a RPM_v21.xlsm]Informe5!R134C35</stp>
        <tr r="AI134" s="29"/>
      </tp>
      <tp>
        <v>0.79</v>
        <stp/>
        <stp>##V3_BDHV12</stp>
        <stp>CHSWC2 Curncy</stp>
        <stp>PX_LAST</stp>
        <stp>12-04-2016</stp>
        <stp>12-04-2016</stp>
        <stp>[TPM a RPM_v21.xlsm]Informe5!R148C35</stp>
        <tr r="AI148" s="29"/>
      </tp>
      <tp>
        <v>1.52</v>
        <stp/>
        <stp>##V3_BDHV12</stp>
        <stp>CHSWC5 Curncy</stp>
        <stp>PX_LAST</stp>
        <stp>14-12-2015</stp>
        <stp>14-12-2015</stp>
        <stp>[TPM a RPM_v21.xlsm]Informe5!R234C36</stp>
        <tr r="AJ234" s="29"/>
      </tp>
      <tp>
        <v>1.28</v>
        <stp/>
        <stp>##V3_BDHV12</stp>
        <stp>CHSWC5 Curncy</stp>
        <stp>PX_LAST</stp>
        <stp>04-02-2016</stp>
        <stp>04-02-2016</stp>
        <stp>[TPM a RPM_v21.xlsm]Informe5!R196C36</stp>
        <tr r="AJ196" s="29"/>
      </tp>
      <tp>
        <v>0.83</v>
        <stp/>
        <stp>##V3_BDHV12</stp>
        <stp>CHSWC2 Curncy</stp>
        <stp>PX_LAST</stp>
        <stp>03-05-2016</stp>
        <stp>03-05-2016</stp>
        <stp>[TPM a RPM_v21.xlsm]Informe5!R133C35</stp>
        <tr r="AI133" s="29"/>
      </tp>
      <tp>
        <v>1.25</v>
        <stp/>
        <stp>##V3_BDHV12</stp>
        <stp>CHSWC5 Curncy</stp>
        <stp>PX_LAST</stp>
        <stp>25-11-2015</stp>
        <stp>25-11-2015</stp>
        <stp>[TPM a RPM_v21.xlsm]Informe5!R247C36</stp>
        <tr r="AJ247" s="29"/>
      </tp>
      <tp>
        <v>1.19</v>
        <stp/>
        <stp>##V3_BDHV12</stp>
        <stp>CHSWC5 Curncy</stp>
        <stp>PX_LAST</stp>
        <stp>14-03-2016</stp>
        <stp>14-03-2016</stp>
        <stp>[TPM a RPM_v21.xlsm]Informe5!R169C36</stp>
        <tr r="AJ169" s="29"/>
      </tp>
      <tp>
        <v>1.49</v>
        <stp/>
        <stp>##V3_BDHV12</stp>
        <stp>CHSWC5 Curncy</stp>
        <stp>PX_LAST</stp>
        <stp>15-12-2015</stp>
        <stp>15-12-2015</stp>
        <stp>[TPM a RPM_v21.xlsm]Informe5!R233C36</stp>
        <tr r="AJ233" s="29"/>
      </tp>
      <tp>
        <v>0.79</v>
        <stp/>
        <stp>##V3_BDHV12</stp>
        <stp>CHSWC2 Curncy</stp>
        <stp>PX_LAST</stp>
        <stp>13-04-2016</stp>
        <stp>13-04-2016</stp>
        <stp>[TPM a RPM_v21.xlsm]Informe5!R147C35</stp>
        <tr r="AI147" s="29"/>
      </tp>
      <tp>
        <v>1.27</v>
        <stp/>
        <stp>##V3_BDHV12</stp>
        <stp>CHSWC5 Curncy</stp>
        <stp>PX_LAST</stp>
        <stp>26-11-2015</stp>
        <stp>26-11-2015</stp>
        <stp>[TPM a RPM_v21.xlsm]Informe5!R246C36</stp>
        <tr r="AJ246" s="29"/>
      </tp>
      <tp>
        <v>1.19</v>
        <stp/>
        <stp>##V3_BDHV12</stp>
        <stp>CHSWC5 Curncy</stp>
        <stp>PX_LAST</stp>
        <stp>17-03-2016</stp>
        <stp>17-03-2016</stp>
        <stp>[TPM a RPM_v21.xlsm]Informe5!R166C36</stp>
        <tr r="AJ166" s="29"/>
      </tp>
      <tp>
        <v>1.48</v>
        <stp/>
        <stp>##V3_BDHV12</stp>
        <stp>CHSWC5 Curncy</stp>
        <stp>PX_LAST</stp>
        <stp>16-12-2015</stp>
        <stp>16-12-2015</stp>
        <stp>[TPM a RPM_v21.xlsm]Informe5!R232C36</stp>
        <tr r="AJ232" s="29"/>
      </tp>
      <tp>
        <v>1.21</v>
        <stp/>
        <stp>##V3_BDHV12</stp>
        <stp>CHSWC5 Curncy</stp>
        <stp>PX_LAST</stp>
        <stp>16-03-2016</stp>
        <stp>16-03-2016</stp>
        <stp>[TPM a RPM_v21.xlsm]Informe5!R167C36</stp>
        <tr r="AJ167" s="29"/>
      </tp>
      <tp>
        <v>1.31</v>
        <stp/>
        <stp>##V3_BDHV12</stp>
        <stp>CHSWC5 Curncy</stp>
        <stp>PX_LAST</stp>
        <stp>27-11-2015</stp>
        <stp>27-11-2015</stp>
        <stp>[TPM a RPM_v21.xlsm]Informe5!R245C36</stp>
        <tr r="AJ245" s="29"/>
      </tp>
      <tp>
        <v>1.42</v>
        <stp/>
        <stp>##V3_BDHV12</stp>
        <stp>CHSWC5 Curncy</stp>
        <stp>PX_LAST</stp>
        <stp>17-12-2015</stp>
        <stp>17-12-2015</stp>
        <stp>[TPM a RPM_v21.xlsm]Informe5!R231C36</stp>
        <tr r="AJ231" s="29"/>
      </tp>
      <tp>
        <v>0.8</v>
        <stp/>
        <stp>##V3_BDHV12</stp>
        <stp>CHSWC2 Curncy</stp>
        <stp>PX_LAST</stp>
        <stp>11-04-2016</stp>
        <stp>11-04-2016</stp>
        <stp>[TPM a RPM_v21.xlsm]Informe5!R149C35</stp>
        <tr r="AI149" s="29"/>
      </tp>
      <tp>
        <v>1.42</v>
        <stp/>
        <stp>##V3_BDHV12</stp>
        <stp>CHSWC5 Curncy</stp>
        <stp>PX_LAST</stp>
        <stp>08-01-2016</stp>
        <stp>08-01-2016</stp>
        <stp>[TPM a RPM_v21.xlsm]Informe5!R215C36</stp>
        <tr r="AJ215" s="29"/>
      </tp>
      <tp>
        <v>1.44</v>
        <stp/>
        <stp>##V3_BDHV12</stp>
        <stp>CHSWC5 Curncy</stp>
        <stp>PX_LAST</stp>
        <stp>29-12-2015</stp>
        <stp>29-12-2015</stp>
        <stp>[TPM a RPM_v21.xlsm]Informe5!R223C36</stp>
        <tr r="AJ223" s="29"/>
      </tp>
      <tp>
        <v>1.17</v>
        <stp/>
        <stp>##V3_BDHV12</stp>
        <stp>CHSWC5 Curncy</stp>
        <stp>PX_LAST</stp>
        <stp>28-03-2016</stp>
        <stp>28-03-2016</stp>
        <stp>[TPM a RPM_v21.xlsm]Informe5!R159C36</stp>
        <tr r="AJ159" s="29"/>
      </tp>
      <tp>
        <v>1.3</v>
        <stp/>
        <stp>##V3_BDHV12</stp>
        <stp>CHSWC5 Curncy</stp>
        <stp>PX_LAST</stp>
        <stp>19-11-2015</stp>
        <stp>19-11-2015</stp>
        <stp>[TPM a RPM_v21.xlsm]Informe5!R251C36</stp>
        <tr r="AJ251" s="29"/>
      </tp>
      <tp>
        <v>1.41</v>
        <stp/>
        <stp>##V3_BDHV12</stp>
        <stp>CHSWC5 Curncy</stp>
        <stp>PX_LAST</stp>
        <stp>28-12-2015</stp>
        <stp>28-12-2015</stp>
        <stp>[TPM a RPM_v21.xlsm]Informe5!R224C36</stp>
        <tr r="AJ224" s="29"/>
      </tp>
      <tp>
        <v>1.19</v>
        <stp/>
        <stp>##V3_BDHV12</stp>
        <stp>CHSWC5 Curncy</stp>
        <stp>PX_LAST</stp>
        <stp>29-03-2016</stp>
        <stp>29-03-2016</stp>
        <stp>[TPM a RPM_v21.xlsm]Informe5!R158C36</stp>
        <tr r="AJ158" s="29"/>
      </tp>
      <tp>
        <v>1.29</v>
        <stp/>
        <stp>##V3_BDHV12</stp>
        <stp>CHSWC5 Curncy</stp>
        <stp>PX_LAST</stp>
        <stp>18-11-2015</stp>
        <stp>18-11-2015</stp>
        <stp>[TPM a RPM_v21.xlsm]Informe5!R252C36</stp>
        <tr r="AJ252" s="29"/>
      </tp>
      <tp>
        <v>0.92</v>
        <stp/>
        <stp>##V3_BDHV12</stp>
        <stp>CHSWC2 Curncy</stp>
        <stp>PX_LAST</stp>
        <stp>29-04-2016</stp>
        <stp>29-04-2016</stp>
        <stp>[TPM a RPM_v21.xlsm]Informe5!R135C35</stp>
        <tr r="AI135" s="29"/>
      </tp>
      <tp>
        <v>0.74</v>
        <stp/>
        <stp>##V3_BDHV12</stp>
        <stp>CHSWC2 Curncy</stp>
        <stp>PX_LAST</stp>
        <stp>09-06-2016</stp>
        <stp>09-06-2016</stp>
        <stp>[TPM a RPM_v21.xlsm]Informe5!R106C35</stp>
        <tr r="AI106" s="29"/>
      </tp>
      <tp>
        <v>0.9</v>
        <stp/>
        <stp>##V3_BDHV12</stp>
        <stp>CHSWC2 Curncy</stp>
        <stp>PX_LAST</stp>
        <stp>28-04-2016</stp>
        <stp>28-04-2016</stp>
        <stp>[TPM a RPM_v21.xlsm]Informe5!R136C35</stp>
        <tr r="AI136" s="29"/>
      </tp>
      <tp>
        <v>0.74</v>
        <stp/>
        <stp>##V3_BDHV12</stp>
        <stp>CHSWC2 Curncy</stp>
        <stp>PX_LAST</stp>
        <stp>08-06-2016</stp>
        <stp>08-06-2016</stp>
        <stp>[TPM a RPM_v21.xlsm]Informe5!R107C35</stp>
        <tr r="AI107" s="29"/>
      </tp>
      <tp t="s">
        <v>#N/A N/A</v>
        <stp/>
        <stp>##V3_BDHV12</stp>
        <stp>CHSWC5 Curncy</stp>
        <stp>PX_LAST</stp>
        <stp>01-01-2016</stp>
        <stp>01-01-2016</stp>
        <stp>[TPM a RPM_v21.xlsm]Informe5!R220C36</stp>
        <tr r="AJ220" s="29"/>
      </tp>
      <tp>
        <v>1.4</v>
        <stp/>
        <stp>##V3_BDHV12</stp>
        <stp>CHSWC5 Curncy</stp>
        <stp>PX_LAST</stp>
        <stp>23-12-2015</stp>
        <stp>23-12-2015</stp>
        <stp>[TPM a RPM_v21.xlsm]Informe5!R227C36</stp>
        <tr r="AJ227" s="29"/>
      </tp>
      <tp>
        <v>1.31</v>
        <stp/>
        <stp>##V3_BDHV12</stp>
        <stp>CHSWC5 Curncy</stp>
        <stp>PX_LAST</stp>
        <stp>13-11-2015</stp>
        <stp>13-11-2015</stp>
        <stp>[TPM a RPM_v21.xlsm]Informe5!R255C36</stp>
        <tr r="AJ255" s="29"/>
      </tp>
      <tp>
        <v>0.86</v>
        <stp/>
        <stp>##V3_BDHV12</stp>
        <stp>CHSWC2 Curncy</stp>
        <stp>PX_LAST</stp>
        <stp>25-04-2016</stp>
        <stp>25-04-2016</stp>
        <stp>[TPM a RPM_v21.xlsm]Informe5!R139C35</stp>
        <tr r="AI139" s="29"/>
      </tp>
      <tp>
        <v>1.1499999999999999</v>
        <stp/>
        <stp>##V3_BDHV12</stp>
        <stp>CHSWC5 Curncy</stp>
        <stp>PX_LAST</stp>
        <stp>22-03-2016</stp>
        <stp>22-03-2016</stp>
        <stp>[TPM a RPM_v21.xlsm]Informe5!R163C36</stp>
        <tr r="AJ163" s="29"/>
      </tp>
      <tp>
        <v>1.42</v>
        <stp/>
        <stp>##V3_BDHV12</stp>
        <stp>CHSWC5 Curncy</stp>
        <stp>PX_LAST</stp>
        <stp>22-12-2015</stp>
        <stp>22-12-2015</stp>
        <stp>[TPM a RPM_v21.xlsm]Informe5!R228C36</stp>
        <tr r="AJ228" s="29"/>
      </tp>
      <tp>
        <v>1.1599999999999999</v>
        <stp/>
        <stp>##V3_BDHV12</stp>
        <stp>CHSWC5 Curncy</stp>
        <stp>PX_LAST</stp>
        <stp>23-03-2016</stp>
        <stp>23-03-2016</stp>
        <stp>[TPM a RPM_v21.xlsm]Informe5!R162C36</stp>
        <tr r="AJ162" s="29"/>
      </tp>
      <tp>
        <v>1.38</v>
        <stp/>
        <stp>##V3_BDHV12</stp>
        <stp>CHSWC5 Curncy</stp>
        <stp>PX_LAST</stp>
        <stp>12-11-2015</stp>
        <stp>12-11-2015</stp>
        <stp>[TPM a RPM_v21.xlsm]Informe5!R256C36</stp>
        <tr r="AJ256" s="29"/>
      </tp>
      <tp>
        <v>1.43</v>
        <stp/>
        <stp>##V3_BDHV12</stp>
        <stp>CHSWC5 Curncy</stp>
        <stp>PX_LAST</stp>
        <stp>21-12-2015</stp>
        <stp>21-12-2015</stp>
        <stp>[TPM a RPM_v21.xlsm]Informe5!R229C36</stp>
        <tr r="AJ229" s="29"/>
      </tp>
      <tp>
        <v>0.72</v>
        <stp/>
        <stp>##V3_BDHV12</stp>
        <stp>CHSWC2 Curncy</stp>
        <stp>PX_LAST</stp>
        <stp>07-06-2016</stp>
        <stp>07-06-2016</stp>
        <stp>[TPM a RPM_v21.xlsm]Informe5!R108C35</stp>
        <tr r="AI108" s="29"/>
      </tp>
      <tp>
        <v>0.89</v>
        <stp/>
        <stp>##V3_BDHV12</stp>
        <stp>CHSWC2 Curncy</stp>
        <stp>PX_LAST</stp>
        <stp>27-04-2016</stp>
        <stp>27-04-2016</stp>
        <stp>[TPM a RPM_v21.xlsm]Informe5!R137C35</stp>
        <tr r="AI137" s="29"/>
      </tp>
      <tp>
        <v>1.38</v>
        <stp/>
        <stp>##V3_BDHV12</stp>
        <stp>CHSWC5 Curncy</stp>
        <stp>PX_LAST</stp>
        <stp>11-11-2015</stp>
        <stp>11-11-2015</stp>
        <stp>[TPM a RPM_v21.xlsm]Informe5!R257C36</stp>
        <tr r="AJ257" s="29"/>
      </tp>
      <tp>
        <v>0.74</v>
        <stp/>
        <stp>##V3_BDHV12</stp>
        <stp>CHSWC2 Curncy</stp>
        <stp>PX_LAST</stp>
        <stp>06-06-2016</stp>
        <stp>06-06-2016</stp>
        <stp>[TPM a RPM_v21.xlsm]Informe5!R109C35</stp>
        <tr r="AI109" s="29"/>
      </tp>
      <tp>
        <v>1.1400000000000001</v>
        <stp/>
        <stp>##V3_BDHV12</stp>
        <stp>CHSWC5 Curncy</stp>
        <stp>PX_LAST</stp>
        <stp>21-03-2016</stp>
        <stp>21-03-2016</stp>
        <stp>[TPM a RPM_v21.xlsm]Informe5!R164C36</stp>
        <tr r="AJ164" s="29"/>
      </tp>
      <tp>
        <v>1.42</v>
        <stp/>
        <stp>##V3_BDHV12</stp>
        <stp>CHSWC5 Curncy</stp>
        <stp>PX_LAST</stp>
        <stp>10-11-2015</stp>
        <stp>10-11-2015</stp>
        <stp>[TPM a RPM_v21.xlsm]Informe5!R258C36</stp>
        <tr r="AJ258" s="29"/>
      </tp>
      <tp>
        <v>0.87</v>
        <stp/>
        <stp>##V3_BDHV12</stp>
        <stp>CHSWC2 Curncy</stp>
        <stp>PX_LAST</stp>
        <stp>26-04-2016</stp>
        <stp>26-04-2016</stp>
        <stp>[TPM a RPM_v21.xlsm]Informe5!R138C35</stp>
        <tr r="AI138" s="29"/>
      </tp>
      <tp>
        <v>1.3</v>
        <stp/>
        <stp>##V3_BDHV12</stp>
        <stp>CHSWC5 Curncy</stp>
        <stp>PX_LAST</stp>
        <stp>17-11-2015</stp>
        <stp>17-11-2015</stp>
        <stp>[TPM a RPM_v21.xlsm]Informe5!R253C36</stp>
        <tr r="AJ253" s="29"/>
      </tp>
      <tp>
        <v>0.81</v>
        <stp/>
        <stp>##V3_BDHV12</stp>
        <stp>CHSWC2 Curncy</stp>
        <stp>PX_LAST</stp>
        <stp>31-05-2016</stp>
        <stp>31-05-2016</stp>
        <stp>[TPM a RPM_v21.xlsm]Informe5!R113C35</stp>
        <tr r="AI113" s="29"/>
      </tp>
      <tp>
        <v>0.8</v>
        <stp/>
        <stp>##V3_BDHV12</stp>
        <stp>CHSWC2 Curncy</stp>
        <stp>PX_LAST</stp>
        <stp>01-06-2016</stp>
        <stp>01-06-2016</stp>
        <stp>[TPM a RPM_v21.xlsm]Informe5!R112C35</stp>
        <tr r="AI112" s="29"/>
      </tp>
      <tp>
        <v>1.46</v>
        <stp/>
        <stp>##V3_BDHV12</stp>
        <stp>CHSWC5 Curncy</stp>
        <stp>PX_LAST</stp>
        <stp>05-01-2016</stp>
        <stp>05-01-2016</stp>
        <stp>[TPM a RPM_v21.xlsm]Informe5!R218C36</stp>
        <tr r="AJ218" s="29"/>
      </tp>
      <tp>
        <v>0.84</v>
        <stp/>
        <stp>##V3_BDHV12</stp>
        <stp>CHSWC2 Curncy</stp>
        <stp>PX_LAST</stp>
        <stp>21-04-2016</stp>
        <stp>21-04-2016</stp>
        <stp>[TPM a RPM_v21.xlsm]Informe5!R141C35</stp>
        <tr r="AI141" s="29"/>
      </tp>
      <tp>
        <v>1.29</v>
        <stp/>
        <stp>##V3_BDHV12</stp>
        <stp>CHSWC5 Curncy</stp>
        <stp>PX_LAST</stp>
        <stp>16-11-2015</stp>
        <stp>16-11-2015</stp>
        <stp>[TPM a RPM_v21.xlsm]Informe5!R254C36</stp>
        <tr r="AJ254" s="29"/>
      </tp>
      <tp>
        <v>0.81</v>
        <stp/>
        <stp>##V3_BDHV12</stp>
        <stp>CHSWC2 Curncy</stp>
        <stp>PX_LAST</stp>
        <stp>30-05-2016</stp>
        <stp>30-05-2016</stp>
        <stp>[TPM a RPM_v21.xlsm]Informe5!R114C35</stp>
        <tr r="AI114" s="29"/>
      </tp>
      <tp>
        <v>1.47</v>
        <stp/>
        <stp>##V3_BDHV12</stp>
        <stp>CHSWC5 Curncy</stp>
        <stp>PX_LAST</stp>
        <stp>04-01-2016</stp>
        <stp>04-01-2016</stp>
        <stp>[TPM a RPM_v21.xlsm]Informe5!R219C36</stp>
        <tr r="AJ219" s="29"/>
      </tp>
      <tp>
        <v>0.84</v>
        <stp/>
        <stp>##V3_BDHV12</stp>
        <stp>CHSWC2 Curncy</stp>
        <stp>PX_LAST</stp>
        <stp>20-04-2016</stp>
        <stp>20-04-2016</stp>
        <stp>[TPM a RPM_v21.xlsm]Informe5!R142C35</stp>
        <tr r="AI142" s="29"/>
      </tp>
      <tp>
        <v>0.76</v>
        <stp/>
        <stp>##V3_BDHV12</stp>
        <stp>CHSWC2 Curncy</stp>
        <stp>PX_LAST</stp>
        <stp>03-06-2016</stp>
        <stp>03-06-2016</stp>
        <stp>[TPM a RPM_v21.xlsm]Informe5!R110C35</stp>
        <tr r="AI110" s="29"/>
      </tp>
      <tp>
        <v>1.1599999999999999</v>
        <stp/>
        <stp>##V3_BDHV12</stp>
        <stp>CHSWC5 Curncy</stp>
        <stp>PX_LAST</stp>
        <stp>24-03-2016</stp>
        <stp>24-03-2016</stp>
        <stp>[TPM a RPM_v21.xlsm]Informe5!R161C36</stp>
        <tr r="AJ161" s="29"/>
      </tp>
      <tp t="s">
        <v>#N/A N/A</v>
        <stp/>
        <stp>##V3_BDHV12</stp>
        <stp>CHSWC5 Curncy</stp>
        <stp>PX_LAST</stp>
        <stp>25-12-2015</stp>
        <stp>25-12-2015</stp>
        <stp>[TPM a RPM_v21.xlsm]Informe5!R225C36</stp>
        <tr r="AJ225" s="29"/>
      </tp>
      <tp>
        <v>1.42</v>
        <stp/>
        <stp>##V3_BDHV12</stp>
        <stp>CHSWC5 Curncy</stp>
        <stp>PX_LAST</stp>
        <stp>07-01-2016</stp>
        <stp>07-01-2016</stp>
        <stp>[TPM a RPM_v21.xlsm]Informe5!R216C36</stp>
        <tr r="AJ216" s="29"/>
      </tp>
      <tp>
        <v>0.78</v>
        <stp/>
        <stp>##V3_BDHV12</stp>
        <stp>CHSWC2 Curncy</stp>
        <stp>PX_LAST</stp>
        <stp>02-06-2016</stp>
        <stp>02-06-2016</stp>
        <stp>[TPM a RPM_v21.xlsm]Informe5!R111C35</stp>
        <tr r="AI111" s="29"/>
      </tp>
      <tp t="s">
        <v>#N/A N/A</v>
        <stp/>
        <stp>##V3_BDHV12</stp>
        <stp>CHSWC5 Curncy</stp>
        <stp>PX_LAST</stp>
        <stp>25-03-2016</stp>
        <stp>25-03-2016</stp>
        <stp>[TPM a RPM_v21.xlsm]Informe5!R160C36</stp>
        <tr r="AJ160" s="29"/>
      </tp>
      <tp>
        <v>0.86</v>
        <stp/>
        <stp>##V3_BDHV12</stp>
        <stp>CHSWC2 Curncy</stp>
        <stp>PX_LAST</stp>
        <stp>22-04-2016</stp>
        <stp>22-04-2016</stp>
        <stp>[TPM a RPM_v21.xlsm]Informe5!R140C35</stp>
        <tr r="AI140" s="29"/>
      </tp>
      <tp>
        <v>1.4</v>
        <stp/>
        <stp>##V3_BDHV12</stp>
        <stp>CHSWC5 Curncy</stp>
        <stp>PX_LAST</stp>
        <stp>24-12-2015</stp>
        <stp>24-12-2015</stp>
        <stp>[TPM a RPM_v21.xlsm]Informe5!R226C36</stp>
        <tr r="AJ226" s="29"/>
      </tp>
      <tp>
        <v>1.42</v>
        <stp/>
        <stp>##V3_BDHV12</stp>
        <stp>CHSWC5 Curncy</stp>
        <stp>PX_LAST</stp>
        <stp>06-01-2016</stp>
        <stp>06-01-2016</stp>
        <stp>[TPM a RPM_v21.xlsm]Informe5!R217C36</stp>
        <tr r="AJ217" s="29"/>
      </tp>
      <tp>
        <v>26839</v>
        <stp/>
        <stp>##V3_BDPV12</stp>
        <stp>CFNP10 BSAC Curncy</stp>
        <stp>PX_LAST</stp>
        <stp>[TPM a RPM_v21.xlsm]Inflation_FWD!R13C3</stp>
        <tr r="C13" s="16"/>
      </tp>
      <tp>
        <v>1.31</v>
        <stp/>
        <stp>##V3_BDHV12</stp>
        <stp>CHSWC5 Curncy</stp>
        <stp>PX_LAST</stp>
        <stp>18-01-2016</stp>
        <stp>18-01-2016</stp>
        <stp>[TPM a RPM_v21.xlsm]Informe5!R209C36</stp>
        <tr r="AJ209" s="29"/>
      </tp>
      <tp>
        <v>1.32</v>
        <stp/>
        <stp>##V3_BDHV12</stp>
        <stp>CHSWC5 Curncy</stp>
        <stp>PX_LAST</stp>
        <stp>19-01-2016</stp>
        <stp>19-01-2016</stp>
        <stp>[TPM a RPM_v21.xlsm]Informe5!R208C36</stp>
        <tr r="AJ208" s="29"/>
      </tp>
      <tp>
        <v>1.1400000000000001</v>
        <stp/>
        <stp>##V3_BDHV12</stp>
        <stp>CHSWC5 Curncy</stp>
        <stp>PX_LAST</stp>
        <stp>29-02-2016</stp>
        <stp>29-02-2016</stp>
        <stp>[TPM a RPM_v21.xlsm]Informe5!R179C36</stp>
        <tr r="AJ179" s="29"/>
      </tp>
      <tp>
        <v>1.41</v>
        <stp/>
        <stp>##V3_BDHV12</stp>
        <stp>CHSWC5 Curncy</stp>
        <stp>PX_LAST</stp>
        <stp>09-11-2015</stp>
        <stp>09-11-2015</stp>
        <stp>[TPM a RPM_v21.xlsm]Informe5!R259C36</stp>
        <tr r="AJ259" s="29"/>
      </tp>
      <tp>
        <v>1.28</v>
        <stp/>
        <stp>##V3_BDHV12</stp>
        <stp>CHSWC5 Curncy</stp>
        <stp>PX_LAST</stp>
        <stp>23-02-2016</stp>
        <stp>23-02-2016</stp>
        <stp>[TPM a RPM_v21.xlsm]Informe5!R183C36</stp>
        <tr r="AJ183" s="29"/>
      </tp>
      <tp>
        <v>0.71</v>
        <stp/>
        <stp>##V3_BDHV12</stp>
        <stp>CHSWC2 Curncy</stp>
        <stp>PX_LAST</stp>
        <stp>14-06-2016</stp>
        <stp>14-06-2016</stp>
        <stp>[TPM a RPM_v21.xlsm]Informe5!R103C35</stp>
        <tr r="AI103" s="29"/>
      </tp>
      <tp>
        <v>1.38</v>
        <stp/>
        <stp>##V3_BDHV12</stp>
        <stp>CHSWC5 Curncy</stp>
        <stp>PX_LAST</stp>
        <stp>02-11-2015</stp>
        <stp>02-11-2015</stp>
        <stp>[TPM a RPM_v21.xlsm]Informe5!R264C36</stp>
        <tr r="AJ264" s="29"/>
      </tp>
      <tp>
        <v>0.79</v>
        <stp/>
        <stp>##V3_BDHV12</stp>
        <stp>CHSWC2 Curncy</stp>
        <stp>PX_LAST</stp>
        <stp>24-05-2016</stp>
        <stp>24-05-2016</stp>
        <stp>[TPM a RPM_v21.xlsm]Informe5!R118C35</stp>
        <tr r="AI118" s="29"/>
      </tp>
      <tp>
        <v>1.29</v>
        <stp/>
        <stp>##V3_BDHV12</stp>
        <stp>CHSWC5 Curncy</stp>
        <stp>PX_LAST</stp>
        <stp>22-02-2016</stp>
        <stp>22-02-2016</stp>
        <stp>[TPM a RPM_v21.xlsm]Informe5!R184C36</stp>
        <tr r="AJ184" s="29"/>
      </tp>
      <tp>
        <v>1.41</v>
        <stp/>
        <stp>##V3_BDHV12</stp>
        <stp>CHSWC5 Curncy</stp>
        <stp>PX_LAST</stp>
        <stp>11-01-2016</stp>
        <stp>11-01-2016</stp>
        <stp>[TPM a RPM_v21.xlsm]Informe5!R214C36</stp>
        <tr r="AJ214" s="29"/>
      </tp>
      <tp>
        <v>0.78</v>
        <stp/>
        <stp>##V3_BDHV12</stp>
        <stp>CHSWC2 Curncy</stp>
        <stp>PX_LAST</stp>
        <stp>25-05-2016</stp>
        <stp>25-05-2016</stp>
        <stp>[TPM a RPM_v21.xlsm]Informe5!R117C35</stp>
        <tr r="AI117" s="29"/>
      </tp>
      <tp>
        <v>0.72</v>
        <stp/>
        <stp>##V3_BDHV12</stp>
        <stp>CHSWC2 Curncy</stp>
        <stp>PX_LAST</stp>
        <stp>15-06-2016</stp>
        <stp>15-06-2016</stp>
        <stp>[TPM a RPM_v21.xlsm]Informe5!R102C35</stp>
        <tr r="AI102" s="29"/>
      </tp>
      <tp>
        <v>1.38</v>
        <stp/>
        <stp>##V3_BDHV12</stp>
        <stp>CHSWC5 Curncy</stp>
        <stp>PX_LAST</stp>
        <stp>03-11-2015</stp>
        <stp>03-11-2015</stp>
        <stp>[TPM a RPM_v21.xlsm]Informe5!R263C36</stp>
        <tr r="AJ263" s="29"/>
      </tp>
      <tp>
        <v>1.49</v>
        <stp/>
        <stp>##V3_BDHV12</stp>
        <stp>CHSWC5 Curncy</stp>
        <stp>PX_LAST</stp>
        <stp>30-12-2015</stp>
        <stp>30-12-2015</stp>
        <stp>[TPM a RPM_v21.xlsm]Informe5!R222C36</stp>
        <tr r="AJ222" s="29"/>
      </tp>
      <tp>
        <v>1.4</v>
        <stp/>
        <stp>##V3_BDHV12</stp>
        <stp>CHSWC5 Curncy</stp>
        <stp>PX_LAST</stp>
        <stp>12-01-2016</stp>
        <stp>12-01-2016</stp>
        <stp>[TPM a RPM_v21.xlsm]Informe5!R213C36</stp>
        <tr r="AJ213" s="29"/>
      </tp>
      <tp>
        <v>0.68</v>
        <stp/>
        <stp>##V3_BDHV12</stp>
        <stp>CHSWC2 Curncy</stp>
        <stp>PX_LAST</stp>
        <stp>16-06-2016</stp>
        <stp>16-06-2016</stp>
        <stp>[TPM a RPM_v21.xlsm]Informe5!R101C35</stp>
        <tr r="AI101" s="29"/>
      </tp>
      <tp>
        <v>0.8</v>
        <stp/>
        <stp>##V3_BDHV12</stp>
        <stp>CHSWC2 Curncy</stp>
        <stp>PX_LAST</stp>
        <stp>26-05-2016</stp>
        <stp>26-05-2016</stp>
        <stp>[TPM a RPM_v21.xlsm]Informe5!R116C35</stp>
        <tr r="AI116" s="29"/>
      </tp>
      <tp>
        <v>1.18</v>
        <stp/>
        <stp>##V3_BDHV12</stp>
        <stp>CHSWC5 Curncy</stp>
        <stp>PX_LAST</stp>
        <stp>31-03-2016</stp>
        <stp>31-03-2016</stp>
        <stp>[TPM a RPM_v21.xlsm]Informe5!R156C36</stp>
        <tr r="AJ156" s="29"/>
      </tp>
      <tp t="s">
        <v>#N/A N/A</v>
        <stp/>
        <stp>##V3_BDHV12</stp>
        <stp>CHSWC5 Curncy</stp>
        <stp>PX_LAST</stp>
        <stp>31-12-2015</stp>
        <stp>31-12-2015</stp>
        <stp>[TPM a RPM_v21.xlsm]Informe5!R221C36</stp>
        <tr r="AJ221" s="29"/>
      </tp>
      <tp>
        <v>1.4</v>
        <stp/>
        <stp>##V3_BDHV12</stp>
        <stp>CHSWC5 Curncy</stp>
        <stp>PX_LAST</stp>
        <stp>13-01-2016</stp>
        <stp>13-01-2016</stp>
        <stp>[TPM a RPM_v21.xlsm]Informe5!R212C36</stp>
        <tr r="AJ212" s="29"/>
      </tp>
      <tp>
        <v>1.2</v>
        <stp/>
        <stp>##V3_BDHV12</stp>
        <stp>CHSWC5 Curncy</stp>
        <stp>PX_LAST</stp>
        <stp>30-03-2016</stp>
        <stp>30-03-2016</stp>
        <stp>[TPM a RPM_v21.xlsm]Informe5!R157C36</stp>
        <tr r="AJ157" s="29"/>
      </tp>
      <tp>
        <v>0.8</v>
        <stp/>
        <stp>##V3_BDHV12</stp>
        <stp>CHSWC2 Curncy</stp>
        <stp>PX_LAST</stp>
        <stp>27-05-2016</stp>
        <stp>27-05-2016</stp>
        <stp>[TPM a RPM_v21.xlsm]Informe5!R115C35</stp>
        <tr r="AI115" s="29"/>
      </tp>
      <tp>
        <v>0.68</v>
        <stp/>
        <stp>##V3_BDHV12</stp>
        <stp>CHSWC2 Curncy</stp>
        <stp>PX_LAST</stp>
        <stp>17-06-2016</stp>
        <stp>17-06-2016</stp>
        <stp>[TPM a RPM_v21.xlsm]Informe5!R100C35</stp>
        <tr r="AI100" s="29"/>
      </tp>
      <tp>
        <v>0.78</v>
        <stp/>
        <stp>##V3_BDHV12</stp>
        <stp>CHSWC2 Curncy</stp>
        <stp>PX_LAST</stp>
        <stp>20-05-2016</stp>
        <stp>20-05-2016</stp>
        <stp>[TPM a RPM_v21.xlsm]Informe5!R120C35</stp>
        <tr r="AI120" s="29"/>
      </tp>
      <tp>
        <v>1.4</v>
        <stp/>
        <stp>##V3_BDHV12</stp>
        <stp>CHSWC5 Curncy</stp>
        <stp>PX_LAST</stp>
        <stp>06-11-2015</stp>
        <stp>06-11-2015</stp>
        <stp>[TPM a RPM_v21.xlsm]Informe5!R260C36</stp>
        <tr r="AJ260" s="29"/>
      </tp>
      <tp>
        <v>0.74</v>
        <stp/>
        <stp>##V3_BDHV12</stp>
        <stp>CHSWC2 Curncy</stp>
        <stp>PX_LAST</stp>
        <stp>10-06-2016</stp>
        <stp>10-06-2016</stp>
        <stp>[TPM a RPM_v21.xlsm]Informe5!R105C35</stp>
        <tr r="AI105" s="29"/>
      </tp>
      <tp>
        <v>1.37</v>
        <stp/>
        <stp>##V3_BDHV12</stp>
        <stp>CHSWC5 Curncy</stp>
        <stp>PX_LAST</stp>
        <stp>14-01-2016</stp>
        <stp>14-01-2016</stp>
        <stp>[TPM a RPM_v21.xlsm]Informe5!R211C36</stp>
        <tr r="AJ211" s="29"/>
      </tp>
      <tp>
        <v>1.2</v>
        <stp/>
        <stp>##V3_BDHV12</stp>
        <stp>CHSWC5 Curncy</stp>
        <stp>PX_LAST</stp>
        <stp>26-02-2016</stp>
        <stp>26-02-2016</stp>
        <stp>[TPM a RPM_v21.xlsm]Informe5!R180C36</stp>
        <tr r="AJ180" s="29"/>
      </tp>
      <tp>
        <v>1.33</v>
        <stp/>
        <stp>##V3_BDHV12</stp>
        <stp>CHSWC5 Curncy</stp>
        <stp>PX_LAST</stp>
        <stp>15-01-2016</stp>
        <stp>15-01-2016</stp>
        <stp>[TPM a RPM_v21.xlsm]Informe5!R210C36</stp>
        <tr r="AJ210" s="29"/>
      </tp>
      <tp>
        <v>1.23</v>
        <stp/>
        <stp>##V3_BDHV12</stp>
        <stp>CHSWC5 Curncy</stp>
        <stp>PX_LAST</stp>
        <stp>25-02-2016</stp>
        <stp>25-02-2016</stp>
        <stp>[TPM a RPM_v21.xlsm]Informe5!R181C36</stp>
        <tr r="AJ181" s="29"/>
      </tp>
      <tp>
        <v>1.38</v>
        <stp/>
        <stp>##V3_BDHV12</stp>
        <stp>CHSWC5 Curncy</stp>
        <stp>PX_LAST</stp>
        <stp>04-11-2015</stp>
        <stp>04-11-2015</stp>
        <stp>[TPM a RPM_v21.xlsm]Informe5!R262C36</stp>
        <tr r="AJ262" s="29"/>
      </tp>
      <tp>
        <v>1.24</v>
        <stp/>
        <stp>##V3_BDHV12</stp>
        <stp>CHSWC5 Curncy</stp>
        <stp>PX_LAST</stp>
        <stp>24-02-2016</stp>
        <stp>24-02-2016</stp>
        <stp>[TPM a RPM_v21.xlsm]Informe5!R182C36</stp>
        <tr r="AJ182" s="29"/>
      </tp>
      <tp>
        <v>0.79</v>
        <stp/>
        <stp>##V3_BDHV12</stp>
        <stp>CHSWC2 Curncy</stp>
        <stp>PX_LAST</stp>
        <stp>23-05-2016</stp>
        <stp>23-05-2016</stp>
        <stp>[TPM a RPM_v21.xlsm]Informe5!R119C35</stp>
        <tr r="AI119" s="29"/>
      </tp>
      <tp>
        <v>1.37</v>
        <stp/>
        <stp>##V3_BDHV12</stp>
        <stp>CHSWC5 Curncy</stp>
        <stp>PX_LAST</stp>
        <stp>05-11-2015</stp>
        <stp>05-11-2015</stp>
        <stp>[TPM a RPM_v21.xlsm]Informe5!R261C36</stp>
        <tr r="AJ261" s="29"/>
      </tp>
      <tp>
        <v>0.75</v>
        <stp/>
        <stp>##V3_BDHV12</stp>
        <stp>CHSWC2 Curncy</stp>
        <stp>PX_LAST</stp>
        <stp>13-06-2016</stp>
        <stp>13-06-2016</stp>
        <stp>[TPM a RPM_v21.xlsm]Informe5!R104C35</stp>
        <tr r="AI104" s="29"/>
      </tp>
      <tp t="s">
        <v>02-11-2022</v>
        <stp/>
        <stp>##V3_BDPV12</stp>
        <stp>S0193Z 6Y BLC2 Curncy</stp>
        <stp>MATURITY</stp>
        <stp>[TPM a RPM_v21.xlsm]Zero_swap_CL!R12C17</stp>
        <tr r="Q12" s="15"/>
      </tp>
      <tp>
        <v>1.19</v>
        <stp/>
        <stp>##V3_BDPV12</stp>
        <stp>UF07B Index</stp>
        <stp>PX_LAST</stp>
        <stp>[TPM a RPM_v21.xlsm]HPR!R18C3</stp>
        <tr r="C18" s="4"/>
      </tp>
      <tp>
        <v>1.28</v>
        <stp/>
        <stp>##V3_BDPV12</stp>
        <stp>UF10B Index</stp>
        <stp>PX_LAST</stp>
        <stp>[TPM a RPM_v21.xlsm]HPR!R19C3</stp>
        <tr r="C19" s="4"/>
      </tp>
      <tp>
        <v>26895</v>
        <stp/>
        <stp>##V3_BDPV12</stp>
        <stp>CFNP11 BSAC Curncy</stp>
        <stp>PX_LAST</stp>
        <stp>[TPM a RPM_v21.xlsm]Inflation_FWD!R14C3</stp>
        <tr r="C14" s="16"/>
      </tp>
      <tp>
        <v>1.774562809120346</v>
        <stp/>
        <stp>##V3_BDPV12</stp>
        <stp>RIAMG006 Index</stp>
        <stp>VOLATILITY_260D</stp>
        <stp>[TPM a RPM_v21.xlsm]VolIndicesRA!R8C3</stp>
        <tr r="C8" s="20"/>
      </tp>
      <tp>
        <v>0.78</v>
        <stp/>
        <stp>##V3_BDHV12</stp>
        <stp>CHSWC2 Curncy</stp>
        <stp>PX_LAST</stp>
        <stp>18-01-2016</stp>
        <stp>18-01-2016</stp>
        <stp>[TPM a RPM_v21.xlsm]Informe5!R209C35</stp>
        <tr r="AI209" s="29"/>
      </tp>
      <tp>
        <v>0.8</v>
        <stp/>
        <stp>##V3_BDHV12</stp>
        <stp>CHSWC2 Curncy</stp>
        <stp>PX_LAST</stp>
        <stp>19-01-2016</stp>
        <stp>19-01-2016</stp>
        <stp>[TPM a RPM_v21.xlsm]Informe5!R208C35</stp>
        <tr r="AI208" s="29"/>
      </tp>
      <tp>
        <v>0.67</v>
        <stp/>
        <stp>##V3_BDHV12</stp>
        <stp>CHSWC2 Curncy</stp>
        <stp>PX_LAST</stp>
        <stp>29-02-2016</stp>
        <stp>29-02-2016</stp>
        <stp>[TPM a RPM_v21.xlsm]Informe5!R179C35</stp>
        <tr r="AI179" s="29"/>
      </tp>
      <tp>
        <v>0.89</v>
        <stp/>
        <stp>##V3_BDHV12</stp>
        <stp>CHSWC2 Curncy</stp>
        <stp>PX_LAST</stp>
        <stp>09-11-2015</stp>
        <stp>09-11-2015</stp>
        <stp>[TPM a RPM_v21.xlsm]Informe5!R259C35</stp>
        <tr r="AI259" s="29"/>
      </tp>
      <tp>
        <v>0.73</v>
        <stp/>
        <stp>##V3_BDHV12</stp>
        <stp>CHSWC2 Curncy</stp>
        <stp>PX_LAST</stp>
        <stp>23-02-2016</stp>
        <stp>23-02-2016</stp>
        <stp>[TPM a RPM_v21.xlsm]Informe5!R183C35</stp>
        <tr r="AI183" s="29"/>
      </tp>
      <tp>
        <v>1.19</v>
        <stp/>
        <stp>##V3_BDHV12</stp>
        <stp>CHSWC5 Curncy</stp>
        <stp>PX_LAST</stp>
        <stp>24-05-2016</stp>
        <stp>24-05-2016</stp>
        <stp>[TPM a RPM_v21.xlsm]Informe5!R118C36</stp>
        <tr r="AJ118" s="29"/>
      </tp>
      <tp>
        <v>1.1400000000000001</v>
        <stp/>
        <stp>##V3_BDHV12</stp>
        <stp>CHSWC5 Curncy</stp>
        <stp>PX_LAST</stp>
        <stp>14-06-2016</stp>
        <stp>14-06-2016</stp>
        <stp>[TPM a RPM_v21.xlsm]Informe5!R103C36</stp>
        <tr r="AJ103" s="29"/>
      </tp>
      <tp>
        <v>0.91</v>
        <stp/>
        <stp>##V3_BDHV12</stp>
        <stp>CHSWC2 Curncy</stp>
        <stp>PX_LAST</stp>
        <stp>02-11-2015</stp>
        <stp>02-11-2015</stp>
        <stp>[TPM a RPM_v21.xlsm]Informe5!R264C35</stp>
        <tr r="AI264" s="29"/>
      </tp>
      <tp>
        <v>0.76</v>
        <stp/>
        <stp>##V3_BDHV12</stp>
        <stp>CHSWC2 Curncy</stp>
        <stp>PX_LAST</stp>
        <stp>22-02-2016</stp>
        <stp>22-02-2016</stp>
        <stp>[TPM a RPM_v21.xlsm]Informe5!R184C35</stp>
        <tr r="AI184" s="29"/>
      </tp>
      <tp>
        <v>0.86</v>
        <stp/>
        <stp>##V3_BDHV12</stp>
        <stp>CHSWC2 Curncy</stp>
        <stp>PX_LAST</stp>
        <stp>11-01-2016</stp>
        <stp>11-01-2016</stp>
        <stp>[TPM a RPM_v21.xlsm]Informe5!R214C35</stp>
        <tr r="AI214" s="29"/>
      </tp>
      <tp>
        <v>0.92</v>
        <stp/>
        <stp>##V3_BDHV12</stp>
        <stp>CHSWC2 Curncy</stp>
        <stp>PX_LAST</stp>
        <stp>03-11-2015</stp>
        <stp>03-11-2015</stp>
        <stp>[TPM a RPM_v21.xlsm]Informe5!R263C35</stp>
        <tr r="AI263" s="29"/>
      </tp>
      <tp>
        <v>1.1400000000000001</v>
        <stp/>
        <stp>##V3_BDHV12</stp>
        <stp>CHSWC5 Curncy</stp>
        <stp>PX_LAST</stp>
        <stp>15-06-2016</stp>
        <stp>15-06-2016</stp>
        <stp>[TPM a RPM_v21.xlsm]Informe5!R102C36</stp>
        <tr r="AJ102" s="29"/>
      </tp>
      <tp>
        <v>1.2</v>
        <stp/>
        <stp>##V3_BDHV12</stp>
        <stp>CHSWC5 Curncy</stp>
        <stp>PX_LAST</stp>
        <stp>25-05-2016</stp>
        <stp>25-05-2016</stp>
        <stp>[TPM a RPM_v21.xlsm]Informe5!R117C36</stp>
        <tr r="AJ117" s="29"/>
      </tp>
      <tp>
        <v>0.84</v>
        <stp/>
        <stp>##V3_BDHV12</stp>
        <stp>CHSWC2 Curncy</stp>
        <stp>PX_LAST</stp>
        <stp>12-01-2016</stp>
        <stp>12-01-2016</stp>
        <stp>[TPM a RPM_v21.xlsm]Informe5!R213C35</stp>
        <tr r="AI213" s="29"/>
      </tp>
      <tp>
        <v>0.92</v>
        <stp/>
        <stp>##V3_BDHV12</stp>
        <stp>CHSWC2 Curncy</stp>
        <stp>PX_LAST</stp>
        <stp>30-12-2015</stp>
        <stp>30-12-2015</stp>
        <stp>[TPM a RPM_v21.xlsm]Informe5!R222C35</stp>
        <tr r="AI222" s="29"/>
      </tp>
      <tp>
        <v>0.79</v>
        <stp/>
        <stp>##V3_BDHV12</stp>
        <stp>CHSWC2 Curncy</stp>
        <stp>PX_LAST</stp>
        <stp>31-03-2016</stp>
        <stp>31-03-2016</stp>
        <stp>[TPM a RPM_v21.xlsm]Informe5!R156C35</stp>
        <tr r="AI156" s="29"/>
      </tp>
      <tp>
        <v>1.22</v>
        <stp/>
        <stp>##V3_BDHV12</stp>
        <stp>CHSWC5 Curncy</stp>
        <stp>PX_LAST</stp>
        <stp>26-05-2016</stp>
        <stp>26-05-2016</stp>
        <stp>[TPM a RPM_v21.xlsm]Informe5!R116C36</stp>
        <tr r="AJ116" s="29"/>
      </tp>
      <tp>
        <v>1.1200000000000001</v>
        <stp/>
        <stp>##V3_BDHV12</stp>
        <stp>CHSWC5 Curncy</stp>
        <stp>PX_LAST</stp>
        <stp>16-06-2016</stp>
        <stp>16-06-2016</stp>
        <stp>[TPM a RPM_v21.xlsm]Informe5!R101C36</stp>
        <tr r="AJ101" s="29"/>
      </tp>
      <tp>
        <v>0.85</v>
        <stp/>
        <stp>##V3_BDHV12</stp>
        <stp>CHSWC2 Curncy</stp>
        <stp>PX_LAST</stp>
        <stp>13-01-2016</stp>
        <stp>13-01-2016</stp>
        <stp>[TPM a RPM_v21.xlsm]Informe5!R212C35</stp>
        <tr r="AI212" s="29"/>
      </tp>
      <tp t="s">
        <v>#N/A N/A</v>
        <stp/>
        <stp>##V3_BDHV12</stp>
        <stp>CHSWC2 Curncy</stp>
        <stp>PX_LAST</stp>
        <stp>31-12-2015</stp>
        <stp>31-12-2015</stp>
        <stp>[TPM a RPM_v21.xlsm]Informe5!R221C35</stp>
        <tr r="AI221" s="29"/>
      </tp>
      <tp>
        <v>1.1000000000000001</v>
        <stp/>
        <stp>##V3_BDHV12</stp>
        <stp>CHSWC5 Curncy</stp>
        <stp>PX_LAST</stp>
        <stp>17-06-2016</stp>
        <stp>17-06-2016</stp>
        <stp>[TPM a RPM_v21.xlsm]Informe5!R100C36</stp>
        <tr r="AJ100" s="29"/>
      </tp>
      <tp>
        <v>0.81</v>
        <stp/>
        <stp>##V3_BDHV12</stp>
        <stp>CHSWC2 Curncy</stp>
        <stp>PX_LAST</stp>
        <stp>30-03-2016</stp>
        <stp>30-03-2016</stp>
        <stp>[TPM a RPM_v21.xlsm]Informe5!R157C35</stp>
        <tr r="AI157" s="29"/>
      </tp>
      <tp>
        <v>1.23</v>
        <stp/>
        <stp>##V3_BDHV12</stp>
        <stp>CHSWC5 Curncy</stp>
        <stp>PX_LAST</stp>
        <stp>27-05-2016</stp>
        <stp>27-05-2016</stp>
        <stp>[TPM a RPM_v21.xlsm]Informe5!R115C36</stp>
        <tr r="AJ115" s="29"/>
      </tp>
      <tp>
        <v>0.88</v>
        <stp/>
        <stp>##V3_BDHV12</stp>
        <stp>CHSWC2 Curncy</stp>
        <stp>PX_LAST</stp>
        <stp>06-11-2015</stp>
        <stp>06-11-2015</stp>
        <stp>[TPM a RPM_v21.xlsm]Informe5!R260C35</stp>
        <tr r="AI260" s="29"/>
      </tp>
      <tp>
        <v>1.1400000000000001</v>
        <stp/>
        <stp>##V3_BDHV12</stp>
        <stp>CHSWC5 Curncy</stp>
        <stp>PX_LAST</stp>
        <stp>10-06-2016</stp>
        <stp>10-06-2016</stp>
        <stp>[TPM a RPM_v21.xlsm]Informe5!R105C36</stp>
        <tr r="AJ105" s="29"/>
      </tp>
      <tp>
        <v>1.18</v>
        <stp/>
        <stp>##V3_BDHV12</stp>
        <stp>CHSWC5 Curncy</stp>
        <stp>PX_LAST</stp>
        <stp>20-05-2016</stp>
        <stp>20-05-2016</stp>
        <stp>[TPM a RPM_v21.xlsm]Informe5!R120C36</stp>
        <tr r="AJ120" s="29"/>
      </tp>
      <tp>
        <v>0.83</v>
        <stp/>
        <stp>##V3_BDHV12</stp>
        <stp>CHSWC2 Curncy</stp>
        <stp>PX_LAST</stp>
        <stp>14-01-2016</stp>
        <stp>14-01-2016</stp>
        <stp>[TPM a RPM_v21.xlsm]Informe5!R211C35</stp>
        <tr r="AI211" s="29"/>
      </tp>
      <tp>
        <v>0.68</v>
        <stp/>
        <stp>##V3_BDHV12</stp>
        <stp>CHSWC2 Curncy</stp>
        <stp>PX_LAST</stp>
        <stp>26-02-2016</stp>
        <stp>26-02-2016</stp>
        <stp>[TPM a RPM_v21.xlsm]Informe5!R180C35</stp>
        <tr r="AI180" s="29"/>
      </tp>
      <tp>
        <v>0.78</v>
        <stp/>
        <stp>##V3_BDHV12</stp>
        <stp>CHSWC2 Curncy</stp>
        <stp>PX_LAST</stp>
        <stp>15-01-2016</stp>
        <stp>15-01-2016</stp>
        <stp>[TPM a RPM_v21.xlsm]Informe5!R210C35</stp>
        <tr r="AI210" s="29"/>
      </tp>
      <tp>
        <v>0.73</v>
        <stp/>
        <stp>##V3_BDHV12</stp>
        <stp>CHSWC2 Curncy</stp>
        <stp>PX_LAST</stp>
        <stp>25-02-2016</stp>
        <stp>25-02-2016</stp>
        <stp>[TPM a RPM_v21.xlsm]Informe5!R181C35</stp>
        <tr r="AI181" s="29"/>
      </tp>
      <tp>
        <v>0.91</v>
        <stp/>
        <stp>##V3_BDHV12</stp>
        <stp>CHSWC2 Curncy</stp>
        <stp>PX_LAST</stp>
        <stp>04-11-2015</stp>
        <stp>04-11-2015</stp>
        <stp>[TPM a RPM_v21.xlsm]Informe5!R262C35</stp>
        <tr r="AI262" s="29"/>
      </tp>
      <tp>
        <v>0.74</v>
        <stp/>
        <stp>##V3_BDHV12</stp>
        <stp>CHSWC2 Curncy</stp>
        <stp>PX_LAST</stp>
        <stp>24-02-2016</stp>
        <stp>24-02-2016</stp>
        <stp>[TPM a RPM_v21.xlsm]Informe5!R182C35</stp>
        <tr r="AI182" s="29"/>
      </tp>
      <tp>
        <v>0.91</v>
        <stp/>
        <stp>##V3_BDHV12</stp>
        <stp>CHSWC2 Curncy</stp>
        <stp>PX_LAST</stp>
        <stp>05-11-2015</stp>
        <stp>05-11-2015</stp>
        <stp>[TPM a RPM_v21.xlsm]Informe5!R261C35</stp>
        <tr r="AI261" s="29"/>
      </tp>
      <tp>
        <v>1.1499999999999999</v>
        <stp/>
        <stp>##V3_BDHV12</stp>
        <stp>CHSWC5 Curncy</stp>
        <stp>PX_LAST</stp>
        <stp>13-06-2016</stp>
        <stp>13-06-2016</stp>
        <stp>[TPM a RPM_v21.xlsm]Informe5!R104C36</stp>
        <tr r="AJ104" s="29"/>
      </tp>
      <tp>
        <v>1.19</v>
        <stp/>
        <stp>##V3_BDHV12</stp>
        <stp>CHSWC5 Curncy</stp>
        <stp>PX_LAST</stp>
        <stp>23-05-2016</stp>
        <stp>23-05-2016</stp>
        <stp>[TPM a RPM_v21.xlsm]Informe5!R119C36</stp>
        <tr r="AJ119" s="29"/>
      </tp>
      <tp t="s">
        <v>02-11-2023</v>
        <stp/>
        <stp>##V3_BDPV12</stp>
        <stp>S0193Z 7Y BLC2 Curncy</stp>
        <stp>MATURITY</stp>
        <stp>[TPM a RPM_v21.xlsm]Zero_swap_CL!R13C17</stp>
        <tr r="Q13" s="15"/>
      </tp>
      <tp>
        <v>3.33</v>
        <stp/>
        <stp>##V3_BDHV12</stp>
        <stp>CHSWP1  Curncy</stp>
        <stp>PX_LAST</stp>
        <stp>27-10-2016</stp>
        <stp>27-10-2016</stp>
        <stp>[TPM a RPM_v21.xlsm]Zero_swap_CL!R6C5</stp>
        <tr r="E6" s="15"/>
      </tp>
      <tp>
        <v>27035</v>
        <stp/>
        <stp>##V3_BDPV12</stp>
        <stp>CFNP12 BSAC Curncy</stp>
        <stp>PX_LAST</stp>
        <stp>[TPM a RPM_v21.xlsm]Inflation_FWD!R15C3</stp>
        <tr r="C15" s="16"/>
      </tp>
      <tp>
        <v>2.4554135706806877</v>
        <stp/>
        <stp>##V3_BDPV12</stp>
        <stp>RIAMG008 Index</stp>
        <stp>VOLATILITY_260D</stp>
        <stp>[TPM a RPM_v21.xlsm]VolIndicesRA!R9C3</stp>
        <tr r="C9" s="20"/>
      </tp>
      <tp>
        <v>0.86</v>
        <stp/>
        <stp>##V3_BDHV12</stp>
        <stp>CHSWC2 Curncy</stp>
        <stp>PX_LAST</stp>
        <stp>08-01-2016</stp>
        <stp>08-01-2016</stp>
        <stp>[TPM a RPM_v21.xlsm]Informe5!R215C35</stp>
        <tr r="AI215" s="29"/>
      </tp>
      <tp>
        <v>0.9</v>
        <stp/>
        <stp>##V3_BDHV12</stp>
        <stp>CHSWC2 Curncy</stp>
        <stp>PX_LAST</stp>
        <stp>29-12-2015</stp>
        <stp>29-12-2015</stp>
        <stp>[TPM a RPM_v21.xlsm]Informe5!R223C35</stp>
        <tr r="AI223" s="29"/>
      </tp>
      <tp>
        <v>0.74</v>
        <stp/>
        <stp>##V3_BDHV12</stp>
        <stp>CHSWC2 Curncy</stp>
        <stp>PX_LAST</stp>
        <stp>19-11-2015</stp>
        <stp>19-11-2015</stp>
        <stp>[TPM a RPM_v21.xlsm]Informe5!R251C35</stp>
        <tr r="AI251" s="29"/>
      </tp>
      <tp>
        <v>0.78</v>
        <stp/>
        <stp>##V3_BDHV12</stp>
        <stp>CHSWC2 Curncy</stp>
        <stp>PX_LAST</stp>
        <stp>28-03-2016</stp>
        <stp>28-03-2016</stp>
        <stp>[TPM a RPM_v21.xlsm]Informe5!R159C35</stp>
        <tr r="AI159" s="29"/>
      </tp>
      <tp>
        <v>0.91</v>
        <stp/>
        <stp>##V3_BDHV12</stp>
        <stp>CHSWC2 Curncy</stp>
        <stp>PX_LAST</stp>
        <stp>28-12-2015</stp>
        <stp>28-12-2015</stp>
        <stp>[TPM a RPM_v21.xlsm]Informe5!R224C35</stp>
        <tr r="AI224" s="29"/>
      </tp>
      <tp>
        <v>0.74</v>
        <stp/>
        <stp>##V3_BDHV12</stp>
        <stp>CHSWC2 Curncy</stp>
        <stp>PX_LAST</stp>
        <stp>18-11-2015</stp>
        <stp>18-11-2015</stp>
        <stp>[TPM a RPM_v21.xlsm]Informe5!R252C35</stp>
        <tr r="AI252" s="29"/>
      </tp>
      <tp>
        <v>0.82</v>
        <stp/>
        <stp>##V3_BDHV12</stp>
        <stp>CHSWC2 Curncy</stp>
        <stp>PX_LAST</stp>
        <stp>29-03-2016</stp>
        <stp>29-03-2016</stp>
        <stp>[TPM a RPM_v21.xlsm]Informe5!R158C35</stp>
        <tr r="AI158" s="29"/>
      </tp>
      <tp>
        <v>1.1400000000000001</v>
        <stp/>
        <stp>##V3_BDHV12</stp>
        <stp>CHSWC5 Curncy</stp>
        <stp>PX_LAST</stp>
        <stp>09-06-2016</stp>
        <stp>09-06-2016</stp>
        <stp>[TPM a RPM_v21.xlsm]Informe5!R106C36</stp>
        <tr r="AJ106" s="29"/>
      </tp>
      <tp>
        <v>1.22</v>
        <stp/>
        <stp>##V3_BDHV12</stp>
        <stp>CHSWC5 Curncy</stp>
        <stp>PX_LAST</stp>
        <stp>29-04-2016</stp>
        <stp>29-04-2016</stp>
        <stp>[TPM a RPM_v21.xlsm]Informe5!R135C36</stp>
        <tr r="AJ135" s="29"/>
      </tp>
      <tp>
        <v>1.1499999999999999</v>
        <stp/>
        <stp>##V3_BDHV12</stp>
        <stp>CHSWC5 Curncy</stp>
        <stp>PX_LAST</stp>
        <stp>08-06-2016</stp>
        <stp>08-06-2016</stp>
        <stp>[TPM a RPM_v21.xlsm]Informe5!R107C36</stp>
        <tr r="AJ107" s="29"/>
      </tp>
      <tp>
        <v>1.24</v>
        <stp/>
        <stp>##V3_BDHV12</stp>
        <stp>CHSWC5 Curncy</stp>
        <stp>PX_LAST</stp>
        <stp>28-04-2016</stp>
        <stp>28-04-2016</stp>
        <stp>[TPM a RPM_v21.xlsm]Informe5!R136C36</stp>
        <tr r="AJ136" s="29"/>
      </tp>
      <tp>
        <v>0.92</v>
        <stp/>
        <stp>##V3_BDHV12</stp>
        <stp>CHSWC2 Curncy</stp>
        <stp>PX_LAST</stp>
        <stp>23-12-2015</stp>
        <stp>23-12-2015</stp>
        <stp>[TPM a RPM_v21.xlsm]Informe5!R227C35</stp>
        <tr r="AI227" s="29"/>
      </tp>
      <tp t="s">
        <v>#N/A N/A</v>
        <stp/>
        <stp>##V3_BDHV12</stp>
        <stp>CHSWC2 Curncy</stp>
        <stp>PX_LAST</stp>
        <stp>01-01-2016</stp>
        <stp>01-01-2016</stp>
        <stp>[TPM a RPM_v21.xlsm]Informe5!R220C35</stp>
        <tr r="AI220" s="29"/>
      </tp>
      <tp>
        <v>0.73</v>
        <stp/>
        <stp>##V3_BDHV12</stp>
        <stp>CHSWC2 Curncy</stp>
        <stp>PX_LAST</stp>
        <stp>22-03-2016</stp>
        <stp>22-03-2016</stp>
        <stp>[TPM a RPM_v21.xlsm]Informe5!R163C35</stp>
        <tr r="AI163" s="29"/>
      </tp>
      <tp>
        <v>0.86</v>
        <stp/>
        <stp>##V3_BDHV12</stp>
        <stp>CHSWC2 Curncy</stp>
        <stp>PX_LAST</stp>
        <stp>13-11-2015</stp>
        <stp>13-11-2015</stp>
        <stp>[TPM a RPM_v21.xlsm]Informe5!R255C35</stp>
        <tr r="AI255" s="29"/>
      </tp>
      <tp>
        <v>1.23</v>
        <stp/>
        <stp>##V3_BDHV12</stp>
        <stp>CHSWC5 Curncy</stp>
        <stp>PX_LAST</stp>
        <stp>25-04-2016</stp>
        <stp>25-04-2016</stp>
        <stp>[TPM a RPM_v21.xlsm]Informe5!R139C36</stp>
        <tr r="AJ139" s="29"/>
      </tp>
      <tp>
        <v>0.94</v>
        <stp/>
        <stp>##V3_BDHV12</stp>
        <stp>CHSWC2 Curncy</stp>
        <stp>PX_LAST</stp>
        <stp>22-12-2015</stp>
        <stp>22-12-2015</stp>
        <stp>[TPM a RPM_v21.xlsm]Informe5!R228C35</stp>
        <tr r="AI228" s="29"/>
      </tp>
      <tp>
        <v>0.9</v>
        <stp/>
        <stp>##V3_BDHV12</stp>
        <stp>CHSWC2 Curncy</stp>
        <stp>PX_LAST</stp>
        <stp>12-11-2015</stp>
        <stp>12-11-2015</stp>
        <stp>[TPM a RPM_v21.xlsm]Informe5!R256C35</stp>
        <tr r="AI256" s="29"/>
      </tp>
      <tp>
        <v>0.72</v>
        <stp/>
        <stp>##V3_BDHV12</stp>
        <stp>CHSWC2 Curncy</stp>
        <stp>PX_LAST</stp>
        <stp>23-03-2016</stp>
        <stp>23-03-2016</stp>
        <stp>[TPM a RPM_v21.xlsm]Informe5!R162C35</stp>
        <tr r="AI162" s="29"/>
      </tp>
      <tp>
        <v>0.97</v>
        <stp/>
        <stp>##V3_BDHV12</stp>
        <stp>CHSWC2 Curncy</stp>
        <stp>PX_LAST</stp>
        <stp>21-12-2015</stp>
        <stp>21-12-2015</stp>
        <stp>[TPM a RPM_v21.xlsm]Informe5!R229C35</stp>
        <tr r="AI229" s="29"/>
      </tp>
      <tp>
        <v>1.26</v>
        <stp/>
        <stp>##V3_BDHV12</stp>
        <stp>CHSWC5 Curncy</stp>
        <stp>PX_LAST</stp>
        <stp>27-04-2016</stp>
        <stp>27-04-2016</stp>
        <stp>[TPM a RPM_v21.xlsm]Informe5!R137C36</stp>
        <tr r="AJ137" s="29"/>
      </tp>
      <tp>
        <v>0.9</v>
        <stp/>
        <stp>##V3_BDHV12</stp>
        <stp>CHSWC2 Curncy</stp>
        <stp>PX_LAST</stp>
        <stp>11-11-2015</stp>
        <stp>11-11-2015</stp>
        <stp>[TPM a RPM_v21.xlsm]Informe5!R257C35</stp>
        <tr r="AI257" s="29"/>
      </tp>
      <tp>
        <v>1.1299999999999999</v>
        <stp/>
        <stp>##V3_BDHV12</stp>
        <stp>CHSWC5 Curncy</stp>
        <stp>PX_LAST</stp>
        <stp>07-06-2016</stp>
        <stp>07-06-2016</stp>
        <stp>[TPM a RPM_v21.xlsm]Informe5!R108C36</stp>
        <tr r="AJ108" s="29"/>
      </tp>
      <tp>
        <v>0.91</v>
        <stp/>
        <stp>##V3_BDHV12</stp>
        <stp>CHSWC2 Curncy</stp>
        <stp>PX_LAST</stp>
        <stp>10-11-2015</stp>
        <stp>10-11-2015</stp>
        <stp>[TPM a RPM_v21.xlsm]Informe5!R258C35</stp>
        <tr r="AI258" s="29"/>
      </tp>
      <tp>
        <v>1.28</v>
        <stp/>
        <stp>##V3_BDHV12</stp>
        <stp>CHSWC5 Curncy</stp>
        <stp>PX_LAST</stp>
        <stp>26-04-2016</stp>
        <stp>26-04-2016</stp>
        <stp>[TPM a RPM_v21.xlsm]Informe5!R138C36</stp>
        <tr r="AJ138" s="29"/>
      </tp>
      <tp>
        <v>0.73</v>
        <stp/>
        <stp>##V3_BDHV12</stp>
        <stp>CHSWC2 Curncy</stp>
        <stp>PX_LAST</stp>
        <stp>21-03-2016</stp>
        <stp>21-03-2016</stp>
        <stp>[TPM a RPM_v21.xlsm]Informe5!R164C35</stp>
        <tr r="AI164" s="29"/>
      </tp>
      <tp>
        <v>1.1400000000000001</v>
        <stp/>
        <stp>##V3_BDHV12</stp>
        <stp>CHSWC5 Curncy</stp>
        <stp>PX_LAST</stp>
        <stp>06-06-2016</stp>
        <stp>06-06-2016</stp>
        <stp>[TPM a RPM_v21.xlsm]Informe5!R109C36</stp>
        <tr r="AJ109" s="29"/>
      </tp>
      <tp>
        <v>1.23</v>
        <stp/>
        <stp>##V3_BDHV12</stp>
        <stp>CHSWC5 Curncy</stp>
        <stp>PX_LAST</stp>
        <stp>31-05-2016</stp>
        <stp>31-05-2016</stp>
        <stp>[TPM a RPM_v21.xlsm]Informe5!R113C36</stp>
        <tr r="AJ113" s="29"/>
      </tp>
      <tp>
        <v>1.21</v>
        <stp/>
        <stp>##V3_BDHV12</stp>
        <stp>CHSWC5 Curncy</stp>
        <stp>PX_LAST</stp>
        <stp>01-06-2016</stp>
        <stp>01-06-2016</stp>
        <stp>[TPM a RPM_v21.xlsm]Informe5!R112C36</stp>
        <tr r="AJ112" s="29"/>
      </tp>
      <tp>
        <v>0.79</v>
        <stp/>
        <stp>##V3_BDHV12</stp>
        <stp>CHSWC2 Curncy</stp>
        <stp>PX_LAST</stp>
        <stp>17-11-2015</stp>
        <stp>17-11-2015</stp>
        <stp>[TPM a RPM_v21.xlsm]Informe5!R253C35</stp>
        <tr r="AI253" s="29"/>
      </tp>
      <tp>
        <v>1.2</v>
        <stp/>
        <stp>##V3_BDHV12</stp>
        <stp>CHSWC5 Curncy</stp>
        <stp>PX_LAST</stp>
        <stp>21-04-2016</stp>
        <stp>21-04-2016</stp>
        <stp>[TPM a RPM_v21.xlsm]Informe5!R141C36</stp>
        <tr r="AJ141" s="29"/>
      </tp>
      <tp>
        <v>0.88</v>
        <stp/>
        <stp>##V3_BDHV12</stp>
        <stp>CHSWC2 Curncy</stp>
        <stp>PX_LAST</stp>
        <stp>05-01-2016</stp>
        <stp>05-01-2016</stp>
        <stp>[TPM a RPM_v21.xlsm]Informe5!R218C35</stp>
        <tr r="AI218" s="29"/>
      </tp>
      <tp>
        <v>1.23</v>
        <stp/>
        <stp>##V3_BDHV12</stp>
        <stp>CHSWC5 Curncy</stp>
        <stp>PX_LAST</stp>
        <stp>30-05-2016</stp>
        <stp>30-05-2016</stp>
        <stp>[TPM a RPM_v21.xlsm]Informe5!R114C36</stp>
        <tr r="AJ114" s="29"/>
      </tp>
      <tp>
        <v>0.77</v>
        <stp/>
        <stp>##V3_BDHV12</stp>
        <stp>CHSWC2 Curncy</stp>
        <stp>PX_LAST</stp>
        <stp>16-11-2015</stp>
        <stp>16-11-2015</stp>
        <stp>[TPM a RPM_v21.xlsm]Informe5!R254C35</stp>
        <tr r="AI254" s="29"/>
      </tp>
      <tp>
        <v>1.19</v>
        <stp/>
        <stp>##V3_BDHV12</stp>
        <stp>CHSWC5 Curncy</stp>
        <stp>PX_LAST</stp>
        <stp>20-04-2016</stp>
        <stp>20-04-2016</stp>
        <stp>[TPM a RPM_v21.xlsm]Informe5!R142C36</stp>
        <tr r="AJ142" s="29"/>
      </tp>
      <tp>
        <v>0.89</v>
        <stp/>
        <stp>##V3_BDHV12</stp>
        <stp>CHSWC2 Curncy</stp>
        <stp>PX_LAST</stp>
        <stp>04-01-2016</stp>
        <stp>04-01-2016</stp>
        <stp>[TPM a RPM_v21.xlsm]Informe5!R219C35</stp>
        <tr r="AI219" s="29"/>
      </tp>
      <tp>
        <v>0.74</v>
        <stp/>
        <stp>##V3_BDHV12</stp>
        <stp>CHSWC2 Curncy</stp>
        <stp>PX_LAST</stp>
        <stp>24-03-2016</stp>
        <stp>24-03-2016</stp>
        <stp>[TPM a RPM_v21.xlsm]Informe5!R161C35</stp>
        <tr r="AI161" s="29"/>
      </tp>
      <tp>
        <v>1.17</v>
        <stp/>
        <stp>##V3_BDHV12</stp>
        <stp>CHSWC5 Curncy</stp>
        <stp>PX_LAST</stp>
        <stp>03-06-2016</stp>
        <stp>03-06-2016</stp>
        <stp>[TPM a RPM_v21.xlsm]Informe5!R110C36</stp>
        <tr r="AJ110" s="29"/>
      </tp>
      <tp>
        <v>0.86</v>
        <stp/>
        <stp>##V3_BDHV12</stp>
        <stp>CHSWC2 Curncy</stp>
        <stp>PX_LAST</stp>
        <stp>07-01-2016</stp>
        <stp>07-01-2016</stp>
        <stp>[TPM a RPM_v21.xlsm]Informe5!R216C35</stp>
        <tr r="AI216" s="29"/>
      </tp>
      <tp t="s">
        <v>#N/A N/A</v>
        <stp/>
        <stp>##V3_BDHV12</stp>
        <stp>CHSWC2 Curncy</stp>
        <stp>PX_LAST</stp>
        <stp>25-12-2015</stp>
        <stp>25-12-2015</stp>
        <stp>[TPM a RPM_v21.xlsm]Informe5!R225C35</stp>
        <tr r="AI225" s="29"/>
      </tp>
      <tp t="s">
        <v>#N/A N/A</v>
        <stp/>
        <stp>##V3_BDHV12</stp>
        <stp>CHSWC2 Curncy</stp>
        <stp>PX_LAST</stp>
        <stp>25-03-2016</stp>
        <stp>25-03-2016</stp>
        <stp>[TPM a RPM_v21.xlsm]Informe5!R160C35</stp>
        <tr r="AI160" s="29"/>
      </tp>
      <tp>
        <v>1.21</v>
        <stp/>
        <stp>##V3_BDHV12</stp>
        <stp>CHSWC5 Curncy</stp>
        <stp>PX_LAST</stp>
        <stp>02-06-2016</stp>
        <stp>02-06-2016</stp>
        <stp>[TPM a RPM_v21.xlsm]Informe5!R111C36</stp>
        <tr r="AJ111" s="29"/>
      </tp>
      <tp>
        <v>0.88</v>
        <stp/>
        <stp>##V3_BDHV12</stp>
        <stp>CHSWC2 Curncy</stp>
        <stp>PX_LAST</stp>
        <stp>06-01-2016</stp>
        <stp>06-01-2016</stp>
        <stp>[TPM a RPM_v21.xlsm]Informe5!R217C35</stp>
        <tr r="AI217" s="29"/>
      </tp>
      <tp>
        <v>1.22</v>
        <stp/>
        <stp>##V3_BDHV12</stp>
        <stp>CHSWC5 Curncy</stp>
        <stp>PX_LAST</stp>
        <stp>22-04-2016</stp>
        <stp>22-04-2016</stp>
        <stp>[TPM a RPM_v21.xlsm]Informe5!R140C36</stp>
        <tr r="AJ140" s="29"/>
      </tp>
      <tp>
        <v>0.91</v>
        <stp/>
        <stp>##V3_BDHV12</stp>
        <stp>CHSWC2 Curncy</stp>
        <stp>PX_LAST</stp>
        <stp>24-12-2015</stp>
        <stp>24-12-2015</stp>
        <stp>[TPM a RPM_v21.xlsm]Informe5!R226C35</stp>
        <tr r="AI226" s="29"/>
      </tp>
      <tp>
        <v>26254.74</v>
        <stp/>
        <stp>##V3_BDHV12</stp>
        <stp>CHUF Index</stp>
        <stp>PX_LAST</stp>
        <stp>27-10-2016</stp>
        <stp>27-10-2016</stp>
        <stp>[TPM a RPM_v21.xlsm]Inflation_FWD!R1C16</stp>
        <tr r="P1" s="16"/>
      </tp>
      <tp t="s">
        <v>02-11-2020</v>
        <stp/>
        <stp>##V3_BDPV12</stp>
        <stp>S0193Z 4Y BLC2 Curncy</stp>
        <stp>MATURITY</stp>
        <stp>[TPM a RPM_v21.xlsm]Zero_swap_CL!R10C17</stp>
        <tr r="Q10" s="15"/>
      </tp>
      <tp>
        <v>3.36</v>
        <stp/>
        <stp>##V3_BDHV12</stp>
        <stp>CHSWPI  Curncy</stp>
        <stp>PX_LAST</stp>
        <stp>27-10-2016</stp>
        <stp>27-10-2016</stp>
        <stp>[TPM a RPM_v21.xlsm]Zero_swap_CL!R5C5</stp>
        <tr r="E5" s="15"/>
      </tp>
      <tp>
        <v>27097</v>
        <stp/>
        <stp>##V3_BDPV12</stp>
        <stp>CFNP13 BSAC Curncy</stp>
        <stp>PX_LAST</stp>
        <stp>[TPM a RPM_v21.xlsm]Inflation_FWD!R16C3</stp>
        <tr r="C16" s="16"/>
      </tp>
      <tp>
        <v>0.97</v>
        <stp/>
        <stp>##V3_BDHV12</stp>
        <stp>CHSWC2 Curncy</stp>
        <stp>PX_LAST</stp>
        <stp>18-12-2015</stp>
        <stp>18-12-2015</stp>
        <stp>[TPM a RPM_v21.xlsm]Informe5!R230C35</stp>
        <tr r="AI230" s="29"/>
      </tp>
      <tp>
        <v>0.78</v>
        <stp/>
        <stp>##V3_BDHV12</stp>
        <stp>CHSWC2 Curncy</stp>
        <stp>PX_LAST</stp>
        <stp>09-02-2016</stp>
        <stp>09-02-2016</stp>
        <stp>[TPM a RPM_v21.xlsm]Informe5!R193C35</stp>
        <tr r="AI193" s="29"/>
      </tp>
      <tp>
        <v>0.72</v>
        <stp/>
        <stp>##V3_BDHV12</stp>
        <stp>CHSWC2 Curncy</stp>
        <stp>PX_LAST</stp>
        <stp>18-03-2016</stp>
        <stp>18-03-2016</stp>
        <stp>[TPM a RPM_v21.xlsm]Informe5!R165C35</stp>
        <tr r="AI165" s="29"/>
      </tp>
      <tp>
        <v>0.81</v>
        <stp/>
        <stp>##V3_BDHV12</stp>
        <stp>CHSWC2 Curncy</stp>
        <stp>PX_LAST</stp>
        <stp>08-02-2016</stp>
        <stp>08-02-2016</stp>
        <stp>[TPM a RPM_v21.xlsm]Informe5!R194C35</stp>
        <tr r="AI194" s="29"/>
      </tp>
      <tp>
        <v>1.1400000000000001</v>
        <stp/>
        <stp>##V3_BDHV12</stp>
        <stp>CHSWC5 Curncy</stp>
        <stp>PX_LAST</stp>
        <stp>18-04-2016</stp>
        <stp>18-04-2016</stp>
        <stp>[TPM a RPM_v21.xlsm]Informe5!R144C36</stp>
        <tr r="AJ144" s="29"/>
      </tp>
      <tp>
        <v>1.1499999999999999</v>
        <stp/>
        <stp>##V3_BDHV12</stp>
        <stp>CHSWC5 Curncy</stp>
        <stp>PX_LAST</stp>
        <stp>09-05-2016</stp>
        <stp>09-05-2016</stp>
        <stp>[TPM a RPM_v21.xlsm]Informe5!R129C36</stp>
        <tr r="AJ129" s="29"/>
      </tp>
      <tp>
        <v>1.17</v>
        <stp/>
        <stp>##V3_BDHV12</stp>
        <stp>CHSWC5 Curncy</stp>
        <stp>PX_LAST</stp>
        <stp>19-04-2016</stp>
        <stp>19-04-2016</stp>
        <stp>[TPM a RPM_v21.xlsm]Informe5!R143C36</stp>
        <tr r="AJ143" s="29"/>
      </tp>
      <tp>
        <v>0.72</v>
        <stp/>
        <stp>##V3_BDHV12</stp>
        <stp>CHSWC2 Curncy</stp>
        <stp>PX_LAST</stp>
        <stp>01-02-2016</stp>
        <stp>01-02-2016</stp>
        <stp>[TPM a RPM_v21.xlsm]Informe5!R199C35</stp>
        <tr r="AI199" s="29"/>
      </tp>
      <tp>
        <v>0.94</v>
        <stp/>
        <stp>##V3_BDHV12</stp>
        <stp>CHSWC2 Curncy</stp>
        <stp>PX_LAST</stp>
        <stp>10-12-2015</stp>
        <stp>10-12-2015</stp>
        <stp>[TPM a RPM_v21.xlsm]Informe5!R236C35</stp>
        <tr r="AI236" s="29"/>
      </tp>
      <tp>
        <v>0.74</v>
        <stp/>
        <stp>##V3_BDHV12</stp>
        <stp>CHSWC2 Curncy</stp>
        <stp>PX_LAST</stp>
        <stp>20-11-2015</stp>
        <stp>20-11-2015</stp>
        <stp>[TPM a RPM_v21.xlsm]Informe5!R250C35</stp>
        <tr r="AI250" s="29"/>
      </tp>
      <tp>
        <v>0.76</v>
        <stp/>
        <stp>##V3_BDHV12</stp>
        <stp>CHSWC2 Curncy</stp>
        <stp>PX_LAST</stp>
        <stp>11-03-2016</stp>
        <stp>11-03-2016</stp>
        <stp>[TPM a RPM_v21.xlsm]Informe5!R170C35</stp>
        <tr r="AI170" s="29"/>
      </tp>
      <tp>
        <v>1.17</v>
        <stp/>
        <stp>##V3_BDHV12</stp>
        <stp>CHSWC5 Curncy</stp>
        <stp>PX_LAST</stp>
        <stp>06-05-2016</stp>
        <stp>06-05-2016</stp>
        <stp>[TPM a RPM_v21.xlsm]Informe5!R130C36</stp>
        <tr r="AJ130" s="29"/>
      </tp>
      <tp>
        <v>0.96</v>
        <stp/>
        <stp>##V3_BDHV12</stp>
        <stp>CHSWC2 Curncy</stp>
        <stp>PX_LAST</stp>
        <stp>30-10-2015</stp>
        <stp>30-10-2015</stp>
        <stp>[TPM a RPM_v21.xlsm]Informe5!R265C35</stp>
        <tr r="AI265" s="29"/>
      </tp>
      <tp>
        <v>0.81</v>
        <stp/>
        <stp>##V3_BDHV12</stp>
        <stp>CHSWC2 Curncy</stp>
        <stp>PX_LAST</stp>
        <stp>11-12-2015</stp>
        <stp>11-12-2015</stp>
        <stp>[TPM a RPM_v21.xlsm]Informe5!R235C35</stp>
        <tr r="AI235" s="29"/>
      </tp>
      <tp>
        <v>0.76</v>
        <stp/>
        <stp>##V3_BDHV12</stp>
        <stp>CHSWC2 Curncy</stp>
        <stp>PX_LAST</stp>
        <stp>10-03-2016</stp>
        <stp>10-03-2016</stp>
        <stp>[TPM a RPM_v21.xlsm]Informe5!R171C35</stp>
        <tr r="AI171" s="29"/>
      </tp>
      <tp>
        <v>0.71</v>
        <stp/>
        <stp>##V3_BDHV12</stp>
        <stp>CHSWC2 Curncy</stp>
        <stp>PX_LAST</stp>
        <stp>03-02-2016</stp>
        <stp>03-02-2016</stp>
        <stp>[TPM a RPM_v21.xlsm]Informe5!R197C35</stp>
        <tr r="AI197" s="29"/>
      </tp>
      <tp>
        <v>1.17</v>
        <stp/>
        <stp>##V3_BDHV12</stp>
        <stp>CHSWC5 Curncy</stp>
        <stp>PX_LAST</stp>
        <stp>14-04-2016</stp>
        <stp>14-04-2016</stp>
        <stp>[TPM a RPM_v21.xlsm]Informe5!R146C36</stp>
        <tr r="AJ146" s="29"/>
      </tp>
      <tp>
        <v>1.19</v>
        <stp/>
        <stp>##V3_BDHV12</stp>
        <stp>CHSWC5 Curncy</stp>
        <stp>PX_LAST</stp>
        <stp>04-05-2016</stp>
        <stp>04-05-2016</stp>
        <stp>[TPM a RPM_v21.xlsm]Informe5!R132C36</stp>
        <tr r="AJ132" s="29"/>
      </tp>
      <tp>
        <v>0.7</v>
        <stp/>
        <stp>##V3_BDHV12</stp>
        <stp>CHSWC2 Curncy</stp>
        <stp>PX_LAST</stp>
        <stp>02-02-2016</stp>
        <stp>02-02-2016</stp>
        <stp>[TPM a RPM_v21.xlsm]Informe5!R198C35</stp>
        <tr r="AI198" s="29"/>
      </tp>
      <tp>
        <v>1.19</v>
        <stp/>
        <stp>##V3_BDHV12</stp>
        <stp>CHSWC5 Curncy</stp>
        <stp>PX_LAST</stp>
        <stp>15-04-2016</stp>
        <stp>15-04-2016</stp>
        <stp>[TPM a RPM_v21.xlsm]Informe5!R145C36</stp>
        <tr r="AJ145" s="29"/>
      </tp>
      <tp>
        <v>0.68</v>
        <stp/>
        <stp>##V3_BDHV12</stp>
        <stp>CHSWC2 Curncy</stp>
        <stp>PX_LAST</stp>
        <stp>23-11-2015</stp>
        <stp>23-11-2015</stp>
        <stp>[TPM a RPM_v21.xlsm]Informe5!R249C35</stp>
        <tr r="AI249" s="29"/>
      </tp>
      <tp>
        <v>1.18</v>
        <stp/>
        <stp>##V3_BDHV12</stp>
        <stp>CHSWC5 Curncy</stp>
        <stp>PX_LAST</stp>
        <stp>05-05-2016</stp>
        <stp>05-05-2016</stp>
        <stp>[TPM a RPM_v21.xlsm]Informe5!R131C36</stp>
        <tr r="AJ131" s="29"/>
      </tp>
      <tp>
        <v>0.84</v>
        <stp/>
        <stp>##V3_BDHV12</stp>
        <stp>CHSWC2 Curncy</stp>
        <stp>PX_LAST</stp>
        <stp>05-02-2016</stp>
        <stp>05-02-2016</stp>
        <stp>[TPM a RPM_v21.xlsm]Informe5!R195C35</stp>
        <tr r="AI195" s="29"/>
      </tp>
      <tp>
        <v>1.21</v>
        <stp/>
        <stp>##V3_BDHV12</stp>
        <stp>CHSWC5 Curncy</stp>
        <stp>PX_LAST</stp>
        <stp>02-05-2016</stp>
        <stp>02-05-2016</stp>
        <stp>[TPM a RPM_v21.xlsm]Informe5!R134C36</stp>
        <tr r="AJ134" s="29"/>
      </tp>
      <tp>
        <v>0.68</v>
        <stp/>
        <stp>##V3_BDHV12</stp>
        <stp>CHSWC2 Curncy</stp>
        <stp>PX_LAST</stp>
        <stp>24-11-2015</stp>
        <stp>24-11-2015</stp>
        <stp>[TPM a RPM_v21.xlsm]Informe5!R248C35</stp>
        <tr r="AI248" s="29"/>
      </tp>
      <tp>
        <v>0.78</v>
        <stp/>
        <stp>##V3_BDHV12</stp>
        <stp>CHSWC2 Curncy</stp>
        <stp>PX_LAST</stp>
        <stp>15-03-2016</stp>
        <stp>15-03-2016</stp>
        <stp>[TPM a RPM_v21.xlsm]Informe5!R168C35</stp>
        <tr r="AI168" s="29"/>
      </tp>
      <tp>
        <v>0.96</v>
        <stp/>
        <stp>##V3_BDHV12</stp>
        <stp>CHSWC2 Curncy</stp>
        <stp>PX_LAST</stp>
        <stp>14-12-2015</stp>
        <stp>14-12-2015</stp>
        <stp>[TPM a RPM_v21.xlsm]Informe5!R234C35</stp>
        <tr r="AI234" s="29"/>
      </tp>
      <tp>
        <v>1.17</v>
        <stp/>
        <stp>##V3_BDHV12</stp>
        <stp>CHSWC5 Curncy</stp>
        <stp>PX_LAST</stp>
        <stp>12-04-2016</stp>
        <stp>12-04-2016</stp>
        <stp>[TPM a RPM_v21.xlsm]Informe5!R148C36</stp>
        <tr r="AJ148" s="29"/>
      </tp>
      <tp>
        <v>0.77</v>
        <stp/>
        <stp>##V3_BDHV12</stp>
        <stp>CHSWC2 Curncy</stp>
        <stp>PX_LAST</stp>
        <stp>04-02-2016</stp>
        <stp>04-02-2016</stp>
        <stp>[TPM a RPM_v21.xlsm]Informe5!R196C35</stp>
        <tr r="AI196" s="29"/>
      </tp>
      <tp>
        <v>0.62</v>
        <stp/>
        <stp>##V3_BDHV12</stp>
        <stp>CHSWC2 Curncy</stp>
        <stp>PX_LAST</stp>
        <stp>25-11-2015</stp>
        <stp>25-11-2015</stp>
        <stp>[TPM a RPM_v21.xlsm]Informe5!R247C35</stp>
        <tr r="AI247" s="29"/>
      </tp>
      <tp>
        <v>0.77</v>
        <stp/>
        <stp>##V3_BDHV12</stp>
        <stp>CHSWC2 Curncy</stp>
        <stp>PX_LAST</stp>
        <stp>14-03-2016</stp>
        <stp>14-03-2016</stp>
        <stp>[TPM a RPM_v21.xlsm]Informe5!R169C35</stp>
        <tr r="AI169" s="29"/>
      </tp>
      <tp>
        <v>1.2</v>
        <stp/>
        <stp>##V3_BDHV12</stp>
        <stp>CHSWC5 Curncy</stp>
        <stp>PX_LAST</stp>
        <stp>03-05-2016</stp>
        <stp>03-05-2016</stp>
        <stp>[TPM a RPM_v21.xlsm]Informe5!R133C36</stp>
        <tr r="AJ133" s="29"/>
      </tp>
      <tp>
        <v>1.1599999999999999</v>
        <stp/>
        <stp>##V3_BDHV12</stp>
        <stp>CHSWC5 Curncy</stp>
        <stp>PX_LAST</stp>
        <stp>13-04-2016</stp>
        <stp>13-04-2016</stp>
        <stp>[TPM a RPM_v21.xlsm]Informe5!R147C36</stp>
        <tr r="AJ147" s="29"/>
      </tp>
      <tp>
        <v>0.97</v>
        <stp/>
        <stp>##V3_BDHV12</stp>
        <stp>CHSWC2 Curncy</stp>
        <stp>PX_LAST</stp>
        <stp>15-12-2015</stp>
        <stp>15-12-2015</stp>
        <stp>[TPM a RPM_v21.xlsm]Informe5!R233C35</stp>
        <tr r="AI233" s="29"/>
      </tp>
      <tp>
        <v>0.63</v>
        <stp/>
        <stp>##V3_BDHV12</stp>
        <stp>CHSWC2 Curncy</stp>
        <stp>PX_LAST</stp>
        <stp>26-11-2015</stp>
        <stp>26-11-2015</stp>
        <stp>[TPM a RPM_v21.xlsm]Informe5!R246C35</stp>
        <tr r="AI246" s="29"/>
      </tp>
      <tp>
        <v>0.75</v>
        <stp/>
        <stp>##V3_BDHV12</stp>
        <stp>CHSWC2 Curncy</stp>
        <stp>PX_LAST</stp>
        <stp>17-03-2016</stp>
        <stp>17-03-2016</stp>
        <stp>[TPM a RPM_v21.xlsm]Informe5!R166C35</stp>
        <tr r="AI166" s="29"/>
      </tp>
      <tp>
        <v>0.96</v>
        <stp/>
        <stp>##V3_BDHV12</stp>
        <stp>CHSWC2 Curncy</stp>
        <stp>PX_LAST</stp>
        <stp>16-12-2015</stp>
        <stp>16-12-2015</stp>
        <stp>[TPM a RPM_v21.xlsm]Informe5!R232C35</stp>
        <tr r="AI232" s="29"/>
      </tp>
      <tp>
        <v>0.79</v>
        <stp/>
        <stp>##V3_BDHV12</stp>
        <stp>CHSWC2 Curncy</stp>
        <stp>PX_LAST</stp>
        <stp>16-03-2016</stp>
        <stp>16-03-2016</stp>
        <stp>[TPM a RPM_v21.xlsm]Informe5!R167C35</stp>
        <tr r="AI167" s="29"/>
      </tp>
      <tp>
        <v>0.66</v>
        <stp/>
        <stp>##V3_BDHV12</stp>
        <stp>CHSWC2 Curncy</stp>
        <stp>PX_LAST</stp>
        <stp>27-11-2015</stp>
        <stp>27-11-2015</stp>
        <stp>[TPM a RPM_v21.xlsm]Informe5!R245C35</stp>
        <tr r="AI245" s="29"/>
      </tp>
      <tp>
        <v>1.17</v>
        <stp/>
        <stp>##V3_BDHV12</stp>
        <stp>CHSWC5 Curncy</stp>
        <stp>PX_LAST</stp>
        <stp>11-04-2016</stp>
        <stp>11-04-2016</stp>
        <stp>[TPM a RPM_v21.xlsm]Informe5!R149C36</stp>
        <tr r="AJ149" s="29"/>
      </tp>
      <tp>
        <v>0.81</v>
        <stp/>
        <stp>##V3_BDHV12</stp>
        <stp>CHSWC2 Curncy</stp>
        <stp>PX_LAST</stp>
        <stp>17-12-2015</stp>
        <stp>17-12-2015</stp>
        <stp>[TPM a RPM_v21.xlsm]Informe5!R231C35</stp>
        <tr r="AI231" s="29"/>
      </tp>
      <tp t="s">
        <v>02-11-2021</v>
        <stp/>
        <stp>##V3_BDPV12</stp>
        <stp>S0193Z 5Y BLC2 Curncy</stp>
        <stp>MATURITY</stp>
        <stp>[TPM a RPM_v21.xlsm]Zero_swap_CL!R11C17</stp>
        <tr r="Q11" s="15"/>
      </tp>
      <tp>
        <v>3.39</v>
        <stp/>
        <stp>##V3_BDHV12</stp>
        <stp>CHSWPF  Curncy</stp>
        <stp>PX_LAST</stp>
        <stp>27-10-2016</stp>
        <stp>27-10-2016</stp>
        <stp>[TPM a RPM_v21.xlsm]Zero_swap_CL!R4C5</stp>
        <tr r="E4" s="15"/>
      </tp>
      <tp>
        <v>27130</v>
        <stp/>
        <stp>##V3_BDPV12</stp>
        <stp>CFNP14 BSAC Curncy</stp>
        <stp>PX_LAST</stp>
        <stp>[TPM a RPM_v21.xlsm]Inflation_FWD!R17C3</stp>
        <tr r="C17" s="16"/>
      </tp>
      <tp>
        <v>0.91</v>
        <stp/>
        <stp>##V3_BDHV12</stp>
        <stp>CHSWC2 Curncy</stp>
        <stp>PX_LAST</stp>
        <stp>09-12-2015</stp>
        <stp>09-12-2015</stp>
        <stp>[TPM a RPM_v21.xlsm]Informe5!R237C35</stp>
        <tr r="AI237" s="29"/>
      </tp>
      <tp>
        <v>0.73</v>
        <stp/>
        <stp>##V3_BDHV12</stp>
        <stp>CHSWC2 Curncy</stp>
        <stp>PX_LAST</stp>
        <stp>08-03-2016</stp>
        <stp>08-03-2016</stp>
        <stp>[TPM a RPM_v21.xlsm]Informe5!R173C35</stp>
        <tr r="AI173" s="29"/>
      </tp>
      <tp>
        <v>0.95</v>
        <stp/>
        <stp>##V3_BDHV12</stp>
        <stp>CHSWC2 Curncy</stp>
        <stp>PX_LAST</stp>
        <stp>29-10-2015</stp>
        <stp>29-10-2015</stp>
        <stp>[TPM a RPM_v21.xlsm]Informe5!R266C35</stp>
        <tr r="AI266" s="29"/>
      </tp>
      <tp>
        <v>0.76</v>
        <stp/>
        <stp>##V3_BDHV12</stp>
        <stp>CHSWC2 Curncy</stp>
        <stp>PX_LAST</stp>
        <stp>18-02-2016</stp>
        <stp>18-02-2016</stp>
        <stp>[TPM a RPM_v21.xlsm]Informe5!R186C35</stp>
        <tr r="AI186" s="29"/>
      </tp>
      <tp t="s">
        <v>#N/A N/A</v>
        <stp/>
        <stp>##V3_BDHV12</stp>
        <stp>CHSWC2 Curncy</stp>
        <stp>PX_LAST</stp>
        <stp>08-12-2015</stp>
        <stp>08-12-2015</stp>
        <stp>[TPM a RPM_v21.xlsm]Informe5!R238C35</stp>
        <tr r="AI238" s="29"/>
      </tp>
      <tp>
        <v>0.74</v>
        <stp/>
        <stp>##V3_BDHV12</stp>
        <stp>CHSWC2 Curncy</stp>
        <stp>PX_LAST</stp>
        <stp>09-03-2016</stp>
        <stp>09-03-2016</stp>
        <stp>[TPM a RPM_v21.xlsm]Informe5!R172C35</stp>
        <tr r="AI172" s="29"/>
      </tp>
      <tp>
        <v>0.91</v>
        <stp/>
        <stp>##V3_BDHV12</stp>
        <stp>CHSWC2 Curncy</stp>
        <stp>PX_LAST</stp>
        <stp>28-10-2015</stp>
        <stp>28-10-2015</stp>
        <stp>[TPM a RPM_v21.xlsm]Informe5!R267C35</stp>
        <tr r="AI267" s="29"/>
      </tp>
      <tp>
        <v>0.75</v>
        <stp/>
        <stp>##V3_BDHV12</stp>
        <stp>CHSWC2 Curncy</stp>
        <stp>PX_LAST</stp>
        <stp>19-02-2016</stp>
        <stp>19-02-2016</stp>
        <stp>[TPM a RPM_v21.xlsm]Informe5!R185C35</stp>
        <tr r="AI185" s="29"/>
      </tp>
      <tp>
        <v>0.72</v>
        <stp/>
        <stp>##V3_BDHV12</stp>
        <stp>CHSWC2 Curncy</stp>
        <stp>PX_LAST</stp>
        <stp>29-01-2016</stp>
        <stp>29-01-2016</stp>
        <stp>[TPM a RPM_v21.xlsm]Informe5!R200C35</stp>
        <tr r="AI200" s="29"/>
      </tp>
      <tp>
        <v>0.78</v>
        <stp/>
        <stp>##V3_BDHV12</stp>
        <stp>CHSWC2 Curncy</stp>
        <stp>PX_LAST</stp>
        <stp>28-01-2016</stp>
        <stp>28-01-2016</stp>
        <stp>[TPM a RPM_v21.xlsm]Informe5!R201C35</stp>
        <tr r="AI201" s="29"/>
      </tp>
      <tp>
        <v>1.2</v>
        <stp/>
        <stp>##V3_BDHV12</stp>
        <stp>CHSWC5 Curncy</stp>
        <stp>PX_LAST</stp>
        <stp>19-05-2016</stp>
        <stp>19-05-2016</stp>
        <stp>[TPM a RPM_v21.xlsm]Informe5!R121C36</stp>
        <tr r="AJ121" s="29"/>
      </tp>
      <tp>
        <v>1.17</v>
        <stp/>
        <stp>##V3_BDHV12</stp>
        <stp>CHSWC5 Curncy</stp>
        <stp>PX_LAST</stp>
        <stp>18-05-2016</stp>
        <stp>18-05-2016</stp>
        <stp>[TPM a RPM_v21.xlsm]Informe5!R122C36</stp>
        <tr r="AJ122" s="29"/>
      </tp>
      <tp>
        <v>1.1400000000000001</v>
        <stp/>
        <stp>##V3_BDHV12</stp>
        <stp>CHSWC5 Curncy</stp>
        <stp>PX_LAST</stp>
        <stp>08-04-2016</stp>
        <stp>08-04-2016</stp>
        <stp>[TPM a RPM_v21.xlsm]Informe5!R150C36</stp>
        <tr r="AJ150" s="29"/>
      </tp>
      <tp>
        <v>0.78</v>
        <stp/>
        <stp>##V3_BDHV12</stp>
        <stp>CHSWC2 Curncy</stp>
        <stp>PX_LAST</stp>
        <stp>10-02-2016</stp>
        <stp>10-02-2016</stp>
        <stp>[TPM a RPM_v21.xlsm]Informe5!R192C35</stp>
        <tr r="AI192" s="29"/>
      </tp>
      <tp>
        <v>1.1400000000000001</v>
        <stp/>
        <stp>##V3_BDHV12</stp>
        <stp>CHSWC5 Curncy</stp>
        <stp>PX_LAST</stp>
        <stp>07-04-2016</stp>
        <stp>07-04-2016</stp>
        <stp>[TPM a RPM_v21.xlsm]Informe5!R151C36</stp>
        <tr r="AJ151" s="29"/>
      </tp>
      <tp>
        <v>1.1599999999999999</v>
        <stp/>
        <stp>##V3_BDHV12</stp>
        <stp>CHSWC5 Curncy</stp>
        <stp>PX_LAST</stp>
        <stp>17-05-2016</stp>
        <stp>17-05-2016</stp>
        <stp>[TPM a RPM_v21.xlsm]Informe5!R123C36</stp>
        <tr r="AJ123" s="29"/>
      </tp>
      <tp>
        <v>0.78</v>
        <stp/>
        <stp>##V3_BDHV12</stp>
        <stp>CHSWC2 Curncy</stp>
        <stp>PX_LAST</stp>
        <stp>01-12-2015</stp>
        <stp>01-12-2015</stp>
        <stp>[TPM a RPM_v21.xlsm]Informe5!R243C35</stp>
        <tr r="AI243" s="29"/>
      </tp>
      <tp>
        <v>0.77</v>
        <stp/>
        <stp>##V3_BDHV12</stp>
        <stp>CHSWC2 Curncy</stp>
        <stp>PX_LAST</stp>
        <stp>11-02-2016</stp>
        <stp>11-02-2016</stp>
        <stp>[TPM a RPM_v21.xlsm]Informe5!R191C35</stp>
        <tr r="AI191" s="29"/>
      </tp>
      <tp>
        <v>0.79</v>
        <stp/>
        <stp>##V3_BDHV12</stp>
        <stp>CHSWC2 Curncy</stp>
        <stp>PX_LAST</stp>
        <stp>22-01-2016</stp>
        <stp>22-01-2016</stp>
        <stp>[TPM a RPM_v21.xlsm]Informe5!R205C35</stp>
        <tr r="AI205" s="29"/>
      </tp>
      <tp>
        <v>1.1499999999999999</v>
        <stp/>
        <stp>##V3_BDHV12</stp>
        <stp>CHSWC5 Curncy</stp>
        <stp>PX_LAST</stp>
        <stp>06-04-2016</stp>
        <stp>06-04-2016</stp>
        <stp>[TPM a RPM_v21.xlsm]Informe5!R152C36</stp>
        <tr r="AJ152" s="29"/>
      </tp>
      <tp>
        <v>0.67</v>
        <stp/>
        <stp>##V3_BDHV12</stp>
        <stp>CHSWC2 Curncy</stp>
        <stp>PX_LAST</stp>
        <stp>01-03-2016</stp>
        <stp>01-03-2016</stp>
        <stp>[TPM a RPM_v21.xlsm]Informe5!R178C35</stp>
        <tr r="AI178" s="29"/>
      </tp>
      <tp>
        <v>0.71</v>
        <stp/>
        <stp>##V3_BDHV12</stp>
        <stp>CHSWC2 Curncy</stp>
        <stp>PX_LAST</stp>
        <stp>30-11-2015</stp>
        <stp>30-11-2015</stp>
        <stp>[TPM a RPM_v21.xlsm]Informe5!R244C35</stp>
        <tr r="AI244" s="29"/>
      </tp>
      <tp>
        <v>1.17</v>
        <stp/>
        <stp>##V3_BDHV12</stp>
        <stp>CHSWC5 Curncy</stp>
        <stp>PX_LAST</stp>
        <stp>16-05-2016</stp>
        <stp>16-05-2016</stp>
        <stp>[TPM a RPM_v21.xlsm]Informe5!R124C36</stp>
        <tr r="AJ124" s="29"/>
      </tp>
      <tp>
        <v>0.78</v>
        <stp/>
        <stp>##V3_BDHV12</stp>
        <stp>CHSWC2 Curncy</stp>
        <stp>PX_LAST</stp>
        <stp>12-02-2016</stp>
        <stp>12-02-2016</stp>
        <stp>[TPM a RPM_v21.xlsm]Informe5!R190C35</stp>
        <tr r="AI190" s="29"/>
      </tp>
      <tp>
        <v>1.1499999999999999</v>
        <stp/>
        <stp>##V3_BDHV12</stp>
        <stp>CHSWC5 Curncy</stp>
        <stp>PX_LAST</stp>
        <stp>05-04-2016</stp>
        <stp>05-04-2016</stp>
        <stp>[TPM a RPM_v21.xlsm]Informe5!R153C36</stp>
        <tr r="AJ153" s="29"/>
      </tp>
      <tp>
        <v>0.78</v>
        <stp/>
        <stp>##V3_BDHV12</stp>
        <stp>CHSWC2 Curncy</stp>
        <stp>PX_LAST</stp>
        <stp>21-01-2016</stp>
        <stp>21-01-2016</stp>
        <stp>[TPM a RPM_v21.xlsm]Informe5!R206C35</stp>
        <tr r="AI206" s="29"/>
      </tp>
      <tp>
        <v>0.83</v>
        <stp/>
        <stp>##V3_BDHV12</stp>
        <stp>CHSWC2 Curncy</stp>
        <stp>PX_LAST</stp>
        <stp>03-12-2015</stp>
        <stp>03-12-2015</stp>
        <stp>[TPM a RPM_v21.xlsm]Informe5!R241C35</stp>
        <tr r="AI241" s="29"/>
      </tp>
      <tp>
        <v>0.66</v>
        <stp/>
        <stp>##V3_BDHV12</stp>
        <stp>CHSWC2 Curncy</stp>
        <stp>PX_LAST</stp>
        <stp>02-03-2016</stp>
        <stp>02-03-2016</stp>
        <stp>[TPM a RPM_v21.xlsm]Informe5!R177C35</stp>
        <tr r="AI177" s="29"/>
      </tp>
      <tp>
        <v>1.1499999999999999</v>
        <stp/>
        <stp>##V3_BDHV12</stp>
        <stp>CHSWC5 Curncy</stp>
        <stp>PX_LAST</stp>
        <stp>04-04-2016</stp>
        <stp>04-04-2016</stp>
        <stp>[TPM a RPM_v21.xlsm]Informe5!R154C36</stp>
        <tr r="AJ154" s="29"/>
      </tp>
      <tp>
        <v>0.78</v>
        <stp/>
        <stp>##V3_BDHV12</stp>
        <stp>CHSWC2 Curncy</stp>
        <stp>PX_LAST</stp>
        <stp>20-01-2016</stp>
        <stp>20-01-2016</stp>
        <stp>[TPM a RPM_v21.xlsm]Informe5!R207C35</stp>
        <tr r="AI207" s="29"/>
      </tp>
      <tp>
        <v>0.69</v>
        <stp/>
        <stp>##V3_BDHV12</stp>
        <stp>CHSWC2 Curncy</stp>
        <stp>PX_LAST</stp>
        <stp>03-03-2016</stp>
        <stp>03-03-2016</stp>
        <stp>[TPM a RPM_v21.xlsm]Informe5!R176C35</stp>
        <tr r="AI176" s="29"/>
      </tp>
      <tp>
        <v>0.79</v>
        <stp/>
        <stp>##V3_BDHV12</stp>
        <stp>CHSWC2 Curncy</stp>
        <stp>PX_LAST</stp>
        <stp>02-12-2015</stp>
        <stp>02-12-2015</stp>
        <stp>[TPM a RPM_v21.xlsm]Informe5!R242C35</stp>
        <tr r="AI242" s="29"/>
      </tp>
      <tp>
        <v>1.17</v>
        <stp/>
        <stp>##V3_BDHV12</stp>
        <stp>CHSWC5 Curncy</stp>
        <stp>PX_LAST</stp>
        <stp>13-05-2016</stp>
        <stp>13-05-2016</stp>
        <stp>[TPM a RPM_v21.xlsm]Informe5!R125C36</stp>
        <tr r="AJ125" s="29"/>
      </tp>
      <tp>
        <v>0.75</v>
        <stp/>
        <stp>##V3_BDHV12</stp>
        <stp>CHSWC2 Curncy</stp>
        <stp>PX_LAST</stp>
        <stp>04-03-2016</stp>
        <stp>04-03-2016</stp>
        <stp>[TPM a RPM_v21.xlsm]Informe5!R175C35</stp>
        <tr r="AI175" s="29"/>
      </tp>
      <tp>
        <v>0.76</v>
        <stp/>
        <stp>##V3_BDHV12</stp>
        <stp>CHSWC2 Curncy</stp>
        <stp>PX_LAST</stp>
        <stp>27-01-2016</stp>
        <stp>27-01-2016</stp>
        <stp>[TPM a RPM_v21.xlsm]Informe5!R202C35</stp>
        <tr r="AI202" s="29"/>
      </tp>
      <tp>
        <v>0.8</v>
        <stp/>
        <stp>##V3_BDHV12</stp>
        <stp>CHSWC2 Curncy</stp>
        <stp>PX_LAST</stp>
        <stp>15-02-2016</stp>
        <stp>15-02-2016</stp>
        <stp>[TPM a RPM_v21.xlsm]Informe5!R189C35</stp>
        <tr r="AI189" s="29"/>
      </tp>
      <tp>
        <v>0.84</v>
        <stp/>
        <stp>##V3_BDHV12</stp>
        <stp>CHSWC2 Curncy</stp>
        <stp>PX_LAST</stp>
        <stp>04-12-2015</stp>
        <stp>04-12-2015</stp>
        <stp>[TPM a RPM_v21.xlsm]Informe5!R240C35</stp>
        <tr r="AI240" s="29"/>
      </tp>
      <tp>
        <v>1.18</v>
        <stp/>
        <stp>##V3_BDHV12</stp>
        <stp>CHSWC5 Curncy</stp>
        <stp>PX_LAST</stp>
        <stp>12-05-2016</stp>
        <stp>12-05-2016</stp>
        <stp>[TPM a RPM_v21.xlsm]Informe5!R126C36</stp>
        <tr r="AJ126" s="29"/>
      </tp>
      <tp>
        <v>0.74</v>
        <stp/>
        <stp>##V3_BDHV12</stp>
        <stp>CHSWC2 Curncy</stp>
        <stp>PX_LAST</stp>
        <stp>26-01-2016</stp>
        <stp>26-01-2016</stp>
        <stp>[TPM a RPM_v21.xlsm]Informe5!R203C35</stp>
        <tr r="AI203" s="29"/>
      </tp>
      <tp>
        <v>0.77</v>
        <stp/>
        <stp>##V3_BDHV12</stp>
        <stp>CHSWC2 Curncy</stp>
        <stp>PX_LAST</stp>
        <stp>16-02-2016</stp>
        <stp>16-02-2016</stp>
        <stp>[TPM a RPM_v21.xlsm]Informe5!R188C35</stp>
        <tr r="AI188" s="29"/>
      </tp>
      <tp>
        <v>1.1599999999999999</v>
        <stp/>
        <stp>##V3_BDHV12</stp>
        <stp>CHSWC5 Curncy</stp>
        <stp>PX_LAST</stp>
        <stp>11-05-2016</stp>
        <stp>11-05-2016</stp>
        <stp>[TPM a RPM_v21.xlsm]Informe5!R127C36</stp>
        <tr r="AJ127" s="29"/>
      </tp>
      <tp>
        <v>1.17</v>
        <stp/>
        <stp>##V3_BDHV12</stp>
        <stp>CHSWC5 Curncy</stp>
        <stp>PX_LAST</stp>
        <stp>01-04-2016</stp>
        <stp>01-04-2016</stp>
        <stp>[TPM a RPM_v21.xlsm]Informe5!R155C36</stp>
        <tr r="AJ155" s="29"/>
      </tp>
      <tp>
        <v>0.84</v>
        <stp/>
        <stp>##V3_BDHV12</stp>
        <stp>CHSWC2 Curncy</stp>
        <stp>PX_LAST</stp>
        <stp>07-12-2015</stp>
        <stp>07-12-2015</stp>
        <stp>[TPM a RPM_v21.xlsm]Informe5!R239C35</stp>
        <tr r="AI239" s="29"/>
      </tp>
      <tp>
        <v>0.74</v>
        <stp/>
        <stp>##V3_BDHV12</stp>
        <stp>CHSWC2 Curncy</stp>
        <stp>PX_LAST</stp>
        <stp>25-01-2016</stp>
        <stp>25-01-2016</stp>
        <stp>[TPM a RPM_v21.xlsm]Informe5!R204C35</stp>
        <tr r="AI204" s="29"/>
      </tp>
      <tp>
        <v>0.78</v>
        <stp/>
        <stp>##V3_BDHV12</stp>
        <stp>CHSWC2 Curncy</stp>
        <stp>PX_LAST</stp>
        <stp>17-02-2016</stp>
        <stp>17-02-2016</stp>
        <stp>[TPM a RPM_v21.xlsm]Informe5!R187C35</stp>
        <tr r="AI187" s="29"/>
      </tp>
      <tp>
        <v>0.76</v>
        <stp/>
        <stp>##V3_BDHV12</stp>
        <stp>CHSWC2 Curncy</stp>
        <stp>PX_LAST</stp>
        <stp>07-03-2016</stp>
        <stp>07-03-2016</stp>
        <stp>[TPM a RPM_v21.xlsm]Informe5!R174C35</stp>
        <tr r="AI174" s="29"/>
      </tp>
      <tp>
        <v>1.1400000000000001</v>
        <stp/>
        <stp>##V3_BDHV12</stp>
        <stp>CHSWC5 Curncy</stp>
        <stp>PX_LAST</stp>
        <stp>10-05-2016</stp>
        <stp>10-05-2016</stp>
        <stp>[TPM a RPM_v21.xlsm]Informe5!R128C36</stp>
        <tr r="AJ128" s="29"/>
      </tp>
      <tp>
        <v>552</v>
        <stp/>
        <stp>##V3_BDPV12</stp>
        <stp>CHSWP1F  Curncy</stp>
        <stp>DAYS_TO_MTY_TDY</stp>
        <stp>[TPM a RPM_v21.xlsm]Zero_swap_CL!R7C9</stp>
        <tr r="I7" s="15"/>
      </tp>
      <tp>
        <v>26649</v>
        <stp/>
        <stp>##V3_BDPV12</stp>
        <stp>CFNP7 BSAC Curncy</stp>
        <stp>PX_LAST</stp>
        <stp>[TPM a RPM_v21.xlsm]Inflation_FWD!R10C3</stp>
        <tr r="C10" s="16"/>
      </tp>
      <tp>
        <v>26706</v>
        <stp/>
        <stp>##V3_BDPV12</stp>
        <stp>CFNP8 BSAC Curncy</stp>
        <stp>PX_LAST</stp>
        <stp>[TPM a RPM_v21.xlsm]Inflation_FWD!R11C3</stp>
        <tr r="C11" s="16"/>
      </tp>
      <tp>
        <v>3.5</v>
        <stp/>
        <stp>##V3_BDPV12</stp>
        <stp>CHIBNOM Index</stp>
        <stp>PX_LAST</stp>
        <stp>[TPM a RPM_v21.xlsm]Zero_swap_CL!R2C16</stp>
        <tr r="P2" s="15"/>
      </tp>
      <tp>
        <v>26776</v>
        <stp/>
        <stp>##V3_BDPV12</stp>
        <stp>CFNP9 BSAC Curncy</stp>
        <stp>PX_LAST</stp>
        <stp>[TPM a RPM_v21.xlsm]Inflation_FWD!R12C3</stp>
        <tr r="C12" s="16"/>
      </tp>
      <tp>
        <v>0.77</v>
        <stp/>
        <stp>##V3_BDPV12</stp>
        <stp>CHSWC5 Curncy</stp>
        <stp>PX_LAST</stp>
        <stp>[TPM a RPM_v21.xlsm]Informe2!R63C6</stp>
        <tr r="F63" s="27"/>
      </tp>
      <tp>
        <v>3.58</v>
        <stp/>
        <stp>##V3_BDPV12</stp>
        <stp>CHSWP5 Curncy</stp>
        <stp>PX_LAST</stp>
        <stp>[TPM a RPM_v21.xlsm]Informe2!R63C5</stp>
        <tr r="E63" s="27"/>
      </tp>
      <tp>
        <v>3.31</v>
        <stp/>
        <stp>##V3_BDHV12</stp>
        <stp>CHSWP2  Curncy</stp>
        <stp>PX_LAST</stp>
        <stp>15-08-2016</stp>
        <stp>15-08-2016</stp>
        <stp>[TPM a RPM_v21.xlsm]Informe5!R59C32</stp>
        <tr r="AF59" s="29"/>
      </tp>
      <tp>
        <v>3.39</v>
        <stp/>
        <stp>##V3_BDHV12</stp>
        <stp>CHSWP2  Curncy</stp>
        <stp>PX_LAST</stp>
        <stp>05-09-2016</stp>
        <stp>05-09-2016</stp>
        <stp>[TPM a RPM_v21.xlsm]Informe5!R44C32</stp>
        <tr r="AF44" s="29"/>
      </tp>
      <tp>
        <v>3.34</v>
        <stp/>
        <stp>##V3_BDHV12</stp>
        <stp>CHSWP2  Curncy</stp>
        <stp>PX_LAST</stp>
        <stp>06-09-2016</stp>
        <stp>06-09-2016</stp>
        <stp>[TPM a RPM_v21.xlsm]Informe5!R43C32</stp>
        <tr r="AF43" s="29"/>
      </tp>
      <tp>
        <v>3.31</v>
        <stp/>
        <stp>##V3_BDHV12</stp>
        <stp>CHSWP2  Curncy</stp>
        <stp>PX_LAST</stp>
        <stp>17-08-2016</stp>
        <stp>17-08-2016</stp>
        <stp>[TPM a RPM_v21.xlsm]Informe5!R57C32</stp>
        <tr r="AF57" s="29"/>
      </tp>
      <tp>
        <v>3.31</v>
        <stp/>
        <stp>##V3_BDHV12</stp>
        <stp>CHSWP2  Curncy</stp>
        <stp>PX_LAST</stp>
        <stp>07-09-2016</stp>
        <stp>07-09-2016</stp>
        <stp>[TPM a RPM_v21.xlsm]Informe5!R42C32</stp>
        <tr r="AF42" s="29"/>
      </tp>
      <tp>
        <v>3.31</v>
        <stp/>
        <stp>##V3_BDHV12</stp>
        <stp>CHSWP2  Curncy</stp>
        <stp>PX_LAST</stp>
        <stp>16-08-2016</stp>
        <stp>16-08-2016</stp>
        <stp>[TPM a RPM_v21.xlsm]Informe5!R58C32</stp>
        <tr r="AF58" s="29"/>
      </tp>
      <tp>
        <v>3.31</v>
        <stp/>
        <stp>##V3_BDHV12</stp>
        <stp>CHSWP2  Curncy</stp>
        <stp>PX_LAST</stp>
        <stp>12-08-2016</stp>
        <stp>12-08-2016</stp>
        <stp>[TPM a RPM_v21.xlsm]Informe5!R60C32</stp>
        <tr r="AF60" s="29"/>
      </tp>
      <tp>
        <v>3.44</v>
        <stp/>
        <stp>##V3_BDHV12</stp>
        <stp>CHSWP2  Curncy</stp>
        <stp>PX_LAST</stp>
        <stp>01-09-2016</stp>
        <stp>01-09-2016</stp>
        <stp>[TPM a RPM_v21.xlsm]Informe5!R46C32</stp>
        <tr r="AF46" s="29"/>
      </tp>
      <tp>
        <v>3.42</v>
        <stp/>
        <stp>##V3_BDHV12</stp>
        <stp>CHSWP2  Curncy</stp>
        <stp>PX_LAST</stp>
        <stp>02-09-2016</stp>
        <stp>02-09-2016</stp>
        <stp>[TPM a RPM_v21.xlsm]Informe5!R45C32</stp>
        <tr r="AF45" s="29"/>
      </tp>
      <tp>
        <v>3.42</v>
        <stp/>
        <stp>##V3_BDHV12</stp>
        <stp>CHSWP2  Curncy</stp>
        <stp>PX_LAST</stp>
        <stp>10-08-2016</stp>
        <stp>10-08-2016</stp>
        <stp>[TPM a RPM_v21.xlsm]Informe5!R62C32</stp>
        <tr r="AF62" s="29"/>
      </tp>
      <tp>
        <v>3.37</v>
        <stp/>
        <stp>##V3_BDHV12</stp>
        <stp>CHSWP2  Curncy</stp>
        <stp>PX_LAST</stp>
        <stp>11-08-2016</stp>
        <stp>11-08-2016</stp>
        <stp>[TPM a RPM_v21.xlsm]Informe5!R61C32</stp>
        <tr r="AF61" s="29"/>
      </tp>
      <tp>
        <v>3.36</v>
        <stp/>
        <stp>##V3_BDHV12</stp>
        <stp>CHSWP2  Curncy</stp>
        <stp>PX_LAST</stp>
        <stp>19-08-2016</stp>
        <stp>19-08-2016</stp>
        <stp>[TPM a RPM_v21.xlsm]Informe5!R55C32</stp>
        <tr r="AF55" s="29"/>
      </tp>
      <tp>
        <v>3.33</v>
        <stp/>
        <stp>##V3_BDHV12</stp>
        <stp>CHSWP2  Curncy</stp>
        <stp>PX_LAST</stp>
        <stp>08-09-2016</stp>
        <stp>08-09-2016</stp>
        <stp>[TPM a RPM_v21.xlsm]Informe5!R41C32</stp>
        <tr r="AF41" s="29"/>
      </tp>
      <tp>
        <v>3.34</v>
        <stp/>
        <stp>##V3_BDHV12</stp>
        <stp>CHSWP2  Curncy</stp>
        <stp>PX_LAST</stp>
        <stp>18-08-2016</stp>
        <stp>18-08-2016</stp>
        <stp>[TPM a RPM_v21.xlsm]Informe5!R56C32</stp>
        <tr r="AF56" s="29"/>
      </tp>
      <tp>
        <v>3.38</v>
        <stp/>
        <stp>##V3_BDHV12</stp>
        <stp>CHSWP2  Curncy</stp>
        <stp>PX_LAST</stp>
        <stp>09-09-2016</stp>
        <stp>09-09-2016</stp>
        <stp>[TPM a RPM_v21.xlsm]Informe5!R40C32</stp>
        <tr r="AF40" s="29"/>
      </tp>
      <tp>
        <v>3.4</v>
        <stp/>
        <stp>##V3_BDHV12</stp>
        <stp>CHSWP2  Curncy</stp>
        <stp>PX_LAST</stp>
        <stp>12-09-2016</stp>
        <stp>12-09-2016</stp>
        <stp>[TPM a RPM_v21.xlsm]Informe5!R39C32</stp>
        <tr r="AF39" s="29"/>
      </tp>
      <tp>
        <v>3.44</v>
        <stp/>
        <stp>##V3_BDHV12</stp>
        <stp>CHSWP2  Curncy</stp>
        <stp>PX_LAST</stp>
        <stp>13-09-2016</stp>
        <stp>13-09-2016</stp>
        <stp>[TPM a RPM_v21.xlsm]Informe5!R38C32</stp>
        <tr r="AF38" s="29"/>
      </tp>
      <tp>
        <v>3.42</v>
        <stp/>
        <stp>##V3_BDHV12</stp>
        <stp>CHSWP2  Curncy</stp>
        <stp>PX_LAST</stp>
        <stp>05-08-2016</stp>
        <stp>05-08-2016</stp>
        <stp>[TPM a RPM_v21.xlsm]Informe5!R65C32</stp>
        <tr r="AF65" s="29"/>
      </tp>
      <tp>
        <v>3.44</v>
        <stp/>
        <stp>##V3_BDHV12</stp>
        <stp>CHSWP2  Curncy</stp>
        <stp>PX_LAST</stp>
        <stp>04-08-2016</stp>
        <stp>04-08-2016</stp>
        <stp>[TPM a RPM_v21.xlsm]Informe5!R66C32</stp>
        <tr r="AF66" s="29"/>
      </tp>
      <tp>
        <v>3.4699999999999998</v>
        <stp/>
        <stp>##V3_BDHV12</stp>
        <stp>CHSWP2  Curncy</stp>
        <stp>PX_LAST</stp>
        <stp>03-08-2016</stp>
        <stp>03-08-2016</stp>
        <stp>[TPM a RPM_v21.xlsm]Informe5!R67C32</stp>
        <tr r="AF67" s="29"/>
      </tp>
      <tp>
        <v>3.4</v>
        <stp/>
        <stp>##V3_BDHV12</stp>
        <stp>CHSWP2  Curncy</stp>
        <stp>PX_LAST</stp>
        <stp>16-09-2016</stp>
        <stp>16-09-2016</stp>
        <stp>[TPM a RPM_v21.xlsm]Informe5!R35C32</stp>
        <tr r="AF35" s="29"/>
      </tp>
      <tp>
        <v>3.5</v>
        <stp/>
        <stp>##V3_BDHV12</stp>
        <stp>CHSWP2  Curncy</stp>
        <stp>PX_LAST</stp>
        <stp>02-08-2016</stp>
        <stp>02-08-2016</stp>
        <stp>[TPM a RPM_v21.xlsm]Informe5!R68C32</stp>
        <tr r="AF68" s="29"/>
      </tp>
      <tp>
        <v>3.42</v>
        <stp/>
        <stp>##V3_BDHV12</stp>
        <stp>CHSWP2  Curncy</stp>
        <stp>PX_LAST</stp>
        <stp>14-09-2016</stp>
        <stp>14-09-2016</stp>
        <stp>[TPM a RPM_v21.xlsm]Informe5!R37C32</stp>
        <tr r="AF37" s="29"/>
      </tp>
      <tp>
        <v>3.48</v>
        <stp/>
        <stp>##V3_BDHV12</stp>
        <stp>CHSWP2  Curncy</stp>
        <stp>PX_LAST</stp>
        <stp>01-08-2016</stp>
        <stp>01-08-2016</stp>
        <stp>[TPM a RPM_v21.xlsm]Informe5!R69C32</stp>
        <tr r="AF69" s="29"/>
      </tp>
      <tp>
        <v>3.41</v>
        <stp/>
        <stp>##V3_BDHV12</stp>
        <stp>CHSWP2  Curncy</stp>
        <stp>PX_LAST</stp>
        <stp>15-09-2016</stp>
        <stp>15-09-2016</stp>
        <stp>[TPM a RPM_v21.xlsm]Informe5!R36C32</stp>
        <tr r="AF36" s="29"/>
      </tp>
      <tp>
        <v>3.41</v>
        <stp/>
        <stp>##V3_BDHV12</stp>
        <stp>CHSWP2  Curncy</stp>
        <stp>PX_LAST</stp>
        <stp>19-09-2016</stp>
        <stp>19-09-2016</stp>
        <stp>[TPM a RPM_v21.xlsm]Informe5!R34C32</stp>
        <tr r="AF34" s="29"/>
      </tp>
      <tp>
        <v>3.44</v>
        <stp/>
        <stp>##V3_BDHV12</stp>
        <stp>CHSWP2  Curncy</stp>
        <stp>PX_LAST</stp>
        <stp>09-08-2016</stp>
        <stp>09-08-2016</stp>
        <stp>[TPM a RPM_v21.xlsm]Informe5!R63C32</stp>
        <tr r="AF63" s="29"/>
      </tp>
      <tp>
        <v>3.44</v>
        <stp/>
        <stp>##V3_BDHV12</stp>
        <stp>CHSWP2  Curncy</stp>
        <stp>PX_LAST</stp>
        <stp>08-08-2016</stp>
        <stp>08-08-2016</stp>
        <stp>[TPM a RPM_v21.xlsm]Informe5!R64C32</stp>
        <tr r="AF64" s="29"/>
      </tp>
      <tp>
        <v>3.38</v>
        <stp/>
        <stp>##V3_BDHV12</stp>
        <stp>CHSWP2  Curncy</stp>
        <stp>PX_LAST</stp>
        <stp>21-09-2016</stp>
        <stp>21-09-2016</stp>
        <stp>[TPM a RPM_v21.xlsm]Informe5!R32C32</stp>
        <tr r="AF32" s="29"/>
      </tp>
      <tp>
        <v>3.39</v>
        <stp/>
        <stp>##V3_BDHV12</stp>
        <stp>CHSWP2  Curncy</stp>
        <stp>PX_LAST</stp>
        <stp>20-09-2016</stp>
        <stp>20-09-2016</stp>
        <stp>[TPM a RPM_v21.xlsm]Informe5!R33C32</stp>
        <tr r="AF33" s="29"/>
      </tp>
      <tp>
        <v>3.36</v>
        <stp/>
        <stp>##V3_BDHV12</stp>
        <stp>CHSWP2  Curncy</stp>
        <stp>PX_LAST</stp>
        <stp>23-09-2016</stp>
        <stp>23-09-2016</stp>
        <stp>[TPM a RPM_v21.xlsm]Informe5!R30C32</stp>
        <tr r="AF30" s="29"/>
      </tp>
      <tp>
        <v>3.36</v>
        <stp/>
        <stp>##V3_BDHV12</stp>
        <stp>CHSWP2  Curncy</stp>
        <stp>PX_LAST</stp>
        <stp>22-09-2016</stp>
        <stp>22-09-2016</stp>
        <stp>[TPM a RPM_v21.xlsm]Informe5!R31C32</stp>
        <tr r="AF31" s="29"/>
      </tp>
      <tp>
        <v>3.36</v>
        <stp/>
        <stp>##V3_BDHV12</stp>
        <stp>CHSWP2  Curncy</stp>
        <stp>PX_LAST</stp>
        <stp>26-09-2016</stp>
        <stp>26-09-2016</stp>
        <stp>[TPM a RPM_v21.xlsm]Informe5!R29C32</stp>
        <tr r="AF29" s="29"/>
      </tp>
      <tp>
        <v>3.43</v>
        <stp/>
        <stp>##V3_BDHV12</stp>
        <stp>CHSWP2  Curncy</stp>
        <stp>PX_LAST</stp>
        <stp>30-08-2016</stp>
        <stp>30-08-2016</stp>
        <stp>[TPM a RPM_v21.xlsm]Informe5!R48C32</stp>
        <tr r="AF48" s="29"/>
      </tp>
      <tp>
        <v>3.43</v>
        <stp/>
        <stp>##V3_BDHV12</stp>
        <stp>CHSWP2  Curncy</stp>
        <stp>PX_LAST</stp>
        <stp>31-08-2016</stp>
        <stp>31-08-2016</stp>
        <stp>[TPM a RPM_v21.xlsm]Informe5!R47C32</stp>
        <tr r="AF47" s="29"/>
      </tp>
      <tp>
        <v>3.32</v>
        <stp/>
        <stp>##V3_BDHV12</stp>
        <stp>CHSWP2  Curncy</stp>
        <stp>PX_LAST</stp>
        <stp>27-09-2016</stp>
        <stp>27-09-2016</stp>
        <stp>[TPM a RPM_v21.xlsm]Informe5!R28C32</stp>
        <tr r="AF28" s="29"/>
      </tp>
      <tp>
        <v>3.31</v>
        <stp/>
        <stp>##V3_BDHV12</stp>
        <stp>CHSWP2  Curncy</stp>
        <stp>PX_LAST</stp>
        <stp>28-09-2016</stp>
        <stp>28-09-2016</stp>
        <stp>[TPM a RPM_v21.xlsm]Informe5!R27C32</stp>
        <tr r="AF27" s="29"/>
      </tp>
      <tp>
        <v>3.33</v>
        <stp/>
        <stp>##V3_BDHV12</stp>
        <stp>CHSWP2  Curncy</stp>
        <stp>PX_LAST</stp>
        <stp>29-09-2016</stp>
        <stp>29-09-2016</stp>
        <stp>[TPM a RPM_v21.xlsm]Informe5!R26C32</stp>
        <tr r="AF26" s="29"/>
      </tp>
      <tp>
        <v>3.42</v>
        <stp/>
        <stp>##V3_BDHV12</stp>
        <stp>CHSWP2  Curncy</stp>
        <stp>PX_LAST</stp>
        <stp>26-08-2016</stp>
        <stp>26-08-2016</stp>
        <stp>[TPM a RPM_v21.xlsm]Informe5!R50C32</stp>
        <tr r="AF50" s="29"/>
      </tp>
      <tp>
        <v>3.36</v>
        <stp/>
        <stp>##V3_BDHV12</stp>
        <stp>CHSWP2  Curncy</stp>
        <stp>PX_LAST</stp>
        <stp>30-09-2016</stp>
        <stp>30-09-2016</stp>
        <stp>[TPM a RPM_v21.xlsm]Informe5!R25C32</stp>
        <tr r="AF25" s="29"/>
      </tp>
      <tp>
        <v>3.4</v>
        <stp/>
        <stp>##V3_BDHV12</stp>
        <stp>CHSWP2  Curncy</stp>
        <stp>PX_LAST</stp>
        <stp>24-08-2016</stp>
        <stp>24-08-2016</stp>
        <stp>[TPM a RPM_v21.xlsm]Informe5!R52C32</stp>
        <tr r="AF52" s="29"/>
      </tp>
      <tp>
        <v>3.41</v>
        <stp/>
        <stp>##V3_BDHV12</stp>
        <stp>CHSWP2  Curncy</stp>
        <stp>PX_LAST</stp>
        <stp>25-08-2016</stp>
        <stp>25-08-2016</stp>
        <stp>[TPM a RPM_v21.xlsm]Informe5!R51C32</stp>
        <tr r="AF51" s="29"/>
      </tp>
      <tp>
        <v>3.41</v>
        <stp/>
        <stp>##V3_BDHV12</stp>
        <stp>CHSWP2  Curncy</stp>
        <stp>PX_LAST</stp>
        <stp>22-08-2016</stp>
        <stp>22-08-2016</stp>
        <stp>[TPM a RPM_v21.xlsm]Informe5!R54C32</stp>
        <tr r="AF54" s="29"/>
      </tp>
      <tp>
        <v>3.4</v>
        <stp/>
        <stp>##V3_BDHV12</stp>
        <stp>CHSWP2  Curncy</stp>
        <stp>PX_LAST</stp>
        <stp>23-08-2016</stp>
        <stp>23-08-2016</stp>
        <stp>[TPM a RPM_v21.xlsm]Informe5!R53C32</stp>
        <tr r="AF53" s="29"/>
      </tp>
      <tp>
        <v>3.41</v>
        <stp/>
        <stp>##V3_BDHV12</stp>
        <stp>CHSWP2  Curncy</stp>
        <stp>PX_LAST</stp>
        <stp>29-08-2016</stp>
        <stp>29-08-2016</stp>
        <stp>[TPM a RPM_v21.xlsm]Informe5!R49C32</stp>
        <tr r="AF49" s="29"/>
      </tp>
      <tp>
        <v>3.51</v>
        <stp/>
        <stp>##V3_BDHV12</stp>
        <stp>CHSWP2  Curncy</stp>
        <stp>PX_LAST</stp>
        <stp>29-07-2016</stp>
        <stp>29-07-2016</stp>
        <stp>[TPM a RPM_v21.xlsm]Informe5!R70C32</stp>
        <tr r="AF70" s="29"/>
      </tp>
      <tp>
        <v>3.56</v>
        <stp/>
        <stp>##V3_BDHV12</stp>
        <stp>CHSWP2  Curncy</stp>
        <stp>PX_LAST</stp>
        <stp>28-07-2016</stp>
        <stp>28-07-2016</stp>
        <stp>[TPM a RPM_v21.xlsm]Informe5!R71C32</stp>
        <tr r="AF71" s="29"/>
      </tp>
      <tp>
        <v>3.57</v>
        <stp/>
        <stp>##V3_BDHV12</stp>
        <stp>CHSWP2  Curncy</stp>
        <stp>PX_LAST</stp>
        <stp>30-06-2016</stp>
        <stp>30-06-2016</stp>
        <stp>[TPM a RPM_v21.xlsm]Informe5!R91C32</stp>
        <tr r="AF91" s="29"/>
      </tp>
      <tp>
        <v>3.52</v>
        <stp/>
        <stp>##V3_BDHV12</stp>
        <stp>CHSWP2  Curncy</stp>
        <stp>PX_LAST</stp>
        <stp>22-07-2016</stp>
        <stp>22-07-2016</stp>
        <stp>[TPM a RPM_v21.xlsm]Informe5!R75C32</stp>
        <tr r="AF75" s="29"/>
      </tp>
      <tp>
        <v>3.5300000000000002</v>
        <stp/>
        <stp>##V3_BDHV12</stp>
        <stp>CHSWP2  Curncy</stp>
        <stp>PX_LAST</stp>
        <stp>21-07-2016</stp>
        <stp>21-07-2016</stp>
        <stp>[TPM a RPM_v21.xlsm]Informe5!R76C32</stp>
        <tr r="AF76" s="29"/>
      </tp>
      <tp>
        <v>3.49</v>
        <stp/>
        <stp>##V3_BDHV12</stp>
        <stp>CHSWP2  Curncy</stp>
        <stp>PX_LAST</stp>
        <stp>20-07-2016</stp>
        <stp>20-07-2016</stp>
        <stp>[TPM a RPM_v21.xlsm]Informe5!R77C32</stp>
        <tr r="AF77" s="29"/>
      </tp>
      <tp>
        <v>3.57</v>
        <stp/>
        <stp>##V3_BDHV12</stp>
        <stp>CHSWP2  Curncy</stp>
        <stp>PX_LAST</stp>
        <stp>27-07-2016</stp>
        <stp>27-07-2016</stp>
        <stp>[TPM a RPM_v21.xlsm]Informe5!R72C32</stp>
        <tr r="AF72" s="29"/>
      </tp>
      <tp>
        <v>3.58</v>
        <stp/>
        <stp>##V3_BDHV12</stp>
        <stp>CHSWP2  Curncy</stp>
        <stp>PX_LAST</stp>
        <stp>26-07-2016</stp>
        <stp>26-07-2016</stp>
        <stp>[TPM a RPM_v21.xlsm]Informe5!R73C32</stp>
        <tr r="AF73" s="29"/>
      </tp>
      <tp>
        <v>3.58</v>
        <stp/>
        <stp>##V3_BDHV12</stp>
        <stp>CHSWP2  Curncy</stp>
        <stp>PX_LAST</stp>
        <stp>25-07-2016</stp>
        <stp>25-07-2016</stp>
        <stp>[TPM a RPM_v21.xlsm]Informe5!R74C32</stp>
        <tr r="AF74" s="29"/>
      </tp>
      <tp>
        <v>3.65</v>
        <stp/>
        <stp>##V3_BDHV12</stp>
        <stp>CHSWP2  Curncy</stp>
        <stp>PX_LAST</stp>
        <stp>24-06-2016</stp>
        <stp>24-06-2016</stp>
        <stp>[TPM a RPM_v21.xlsm]Informe5!R95C32</stp>
        <tr r="AF95" s="29"/>
      </tp>
      <tp>
        <v>3.66</v>
        <stp/>
        <stp>##V3_BDHV12</stp>
        <stp>CHSWP2  Curncy</stp>
        <stp>PX_LAST</stp>
        <stp>27-06-2016</stp>
        <stp>27-06-2016</stp>
        <stp>[TPM a RPM_v21.xlsm]Informe5!R94C32</stp>
        <tr r="AF94" s="29"/>
      </tp>
      <tp>
        <v>3.69</v>
        <stp/>
        <stp>##V3_BDHV12</stp>
        <stp>CHSWP2  Curncy</stp>
        <stp>PX_LAST</stp>
        <stp>20-06-2016</stp>
        <stp>20-06-2016</stp>
        <stp>[TPM a RPM_v21.xlsm]Informe5!R99C32</stp>
        <tr r="AF99" s="29"/>
      </tp>
      <tp>
        <v>3.68</v>
        <stp/>
        <stp>##V3_BDHV12</stp>
        <stp>CHSWP2  Curncy</stp>
        <stp>PX_LAST</stp>
        <stp>21-06-2016</stp>
        <stp>21-06-2016</stp>
        <stp>[TPM a RPM_v21.xlsm]Informe5!R98C32</stp>
        <tr r="AF98" s="29"/>
      </tp>
      <tp>
        <v>3.65</v>
        <stp/>
        <stp>##V3_BDHV12</stp>
        <stp>CHSWP2  Curncy</stp>
        <stp>PX_LAST</stp>
        <stp>22-06-2016</stp>
        <stp>22-06-2016</stp>
        <stp>[TPM a RPM_v21.xlsm]Informe5!R97C32</stp>
        <tr r="AF97" s="29"/>
      </tp>
      <tp>
        <v>3.68</v>
        <stp/>
        <stp>##V3_BDHV12</stp>
        <stp>CHSWP2  Curncy</stp>
        <stp>PX_LAST</stp>
        <stp>23-06-2016</stp>
        <stp>23-06-2016</stp>
        <stp>[TPM a RPM_v21.xlsm]Informe5!R96C32</stp>
        <tr r="AF96" s="29"/>
      </tp>
      <tp>
        <v>3.61</v>
        <stp/>
        <stp>##V3_BDHV12</stp>
        <stp>CHSWP2  Curncy</stp>
        <stp>PX_LAST</stp>
        <stp>28-06-2016</stp>
        <stp>28-06-2016</stp>
        <stp>[TPM a RPM_v21.xlsm]Informe5!R93C32</stp>
        <tr r="AF93" s="29"/>
      </tp>
      <tp>
        <v>3.59</v>
        <stp/>
        <stp>##V3_BDHV12</stp>
        <stp>CHSWP2  Curncy</stp>
        <stp>PX_LAST</stp>
        <stp>29-06-2016</stp>
        <stp>29-06-2016</stp>
        <stp>[TPM a RPM_v21.xlsm]Informe5!R92C32</stp>
        <tr r="AF92" s="29"/>
      </tp>
      <tp>
        <v>3.56</v>
        <stp/>
        <stp>##V3_BDHV12</stp>
        <stp>CHSWP2  Curncy</stp>
        <stp>PX_LAST</stp>
        <stp>06-07-2016</stp>
        <stp>06-07-2016</stp>
        <stp>[TPM a RPM_v21.xlsm]Informe5!R87C32</stp>
        <tr r="AF87" s="29"/>
      </tp>
      <tp>
        <v>3.58</v>
        <stp/>
        <stp>##V3_BDHV12</stp>
        <stp>CHSWP2  Curncy</stp>
        <stp>PX_LAST</stp>
        <stp>07-07-2016</stp>
        <stp>07-07-2016</stp>
        <stp>[TPM a RPM_v21.xlsm]Informe5!R86C32</stp>
        <tr r="AF86" s="29"/>
      </tp>
      <tp>
        <v>3.52</v>
        <stp/>
        <stp>##V3_BDHV12</stp>
        <stp>CHSWP2  Curncy</stp>
        <stp>PX_LAST</stp>
        <stp>04-07-2016</stp>
        <stp>04-07-2016</stp>
        <stp>[TPM a RPM_v21.xlsm]Informe5!R89C32</stp>
        <tr r="AF89" s="29"/>
      </tp>
      <tp>
        <v>3.55</v>
        <stp/>
        <stp>##V3_BDHV12</stp>
        <stp>CHSWP2  Curncy</stp>
        <stp>PX_LAST</stp>
        <stp>05-07-2016</stp>
        <stp>05-07-2016</stp>
        <stp>[TPM a RPM_v21.xlsm]Informe5!R88C32</stp>
        <tr r="AF88" s="29"/>
      </tp>
      <tp>
        <v>3.56</v>
        <stp/>
        <stp>##V3_BDHV12</stp>
        <stp>CHSWP2  Curncy</stp>
        <stp>PX_LAST</stp>
        <stp>01-07-2016</stp>
        <stp>01-07-2016</stp>
        <stp>[TPM a RPM_v21.xlsm]Informe5!R90C32</stp>
        <tr r="AF90" s="29"/>
      </tp>
      <tp>
        <v>3.56</v>
        <stp/>
        <stp>##V3_BDHV12</stp>
        <stp>CHSWP2  Curncy</stp>
        <stp>PX_LAST</stp>
        <stp>08-07-2016</stp>
        <stp>08-07-2016</stp>
        <stp>[TPM a RPM_v21.xlsm]Informe5!R85C32</stp>
        <tr r="AF85" s="29"/>
      </tp>
      <tp>
        <v>3.51</v>
        <stp/>
        <stp>##V3_BDHV12</stp>
        <stp>CHSWP2  Curncy</stp>
        <stp>PX_LAST</stp>
        <stp>18-07-2016</stp>
        <stp>18-07-2016</stp>
        <stp>[TPM a RPM_v21.xlsm]Informe5!R79C32</stp>
        <tr r="AF79" s="29"/>
      </tp>
      <tp>
        <v>3.49</v>
        <stp/>
        <stp>##V3_BDHV12</stp>
        <stp>CHSWP2  Curncy</stp>
        <stp>PX_LAST</stp>
        <stp>19-07-2016</stp>
        <stp>19-07-2016</stp>
        <stp>[TPM a RPM_v21.xlsm]Informe5!R78C32</stp>
        <tr r="AF78" s="29"/>
      </tp>
      <tp>
        <v>3.5</v>
        <stp/>
        <stp>##V3_BDHV12</stp>
        <stp>CHSWP2  Curncy</stp>
        <stp>PX_LAST</stp>
        <stp>15-07-2016</stp>
        <stp>15-07-2016</stp>
        <stp>[TPM a RPM_v21.xlsm]Informe5!R80C32</stp>
        <tr r="AF80" s="29"/>
      </tp>
      <tp>
        <v>3.5</v>
        <stp/>
        <stp>##V3_BDHV12</stp>
        <stp>CHSWP2  Curncy</stp>
        <stp>PX_LAST</stp>
        <stp>14-07-2016</stp>
        <stp>14-07-2016</stp>
        <stp>[TPM a RPM_v21.xlsm]Informe5!R81C32</stp>
        <tr r="AF81" s="29"/>
      </tp>
      <tp>
        <v>3.54</v>
        <stp/>
        <stp>##V3_BDHV12</stp>
        <stp>CHSWP2  Curncy</stp>
        <stp>PX_LAST</stp>
        <stp>13-07-2016</stp>
        <stp>13-07-2016</stp>
        <stp>[TPM a RPM_v21.xlsm]Informe5!R82C32</stp>
        <tr r="AF82" s="29"/>
      </tp>
      <tp>
        <v>3.54</v>
        <stp/>
        <stp>##V3_BDHV12</stp>
        <stp>CHSWP2  Curncy</stp>
        <stp>PX_LAST</stp>
        <stp>12-07-2016</stp>
        <stp>12-07-2016</stp>
        <stp>[TPM a RPM_v21.xlsm]Informe5!R83C32</stp>
        <tr r="AF83" s="29"/>
      </tp>
      <tp>
        <v>3.56</v>
        <stp/>
        <stp>##V3_BDHV12</stp>
        <stp>CHSWP2  Curncy</stp>
        <stp>PX_LAST</stp>
        <stp>11-07-2016</stp>
        <stp>11-07-2016</stp>
        <stp>[TPM a RPM_v21.xlsm]Informe5!R84C32</stp>
        <tr r="AF84" s="29"/>
      </tp>
      <tp t="s">
        <v>02-11-2026</v>
        <stp/>
        <stp>##V3_BDPV12</stp>
        <stp>S0193Z 10Y BLC2 Curncy</stp>
        <stp>MATURITY</stp>
        <stp>[TPM a RPM_v21.xlsm]Zero_swap_CL!R16C17</stp>
        <tr r="Q16" s="15"/>
      </tp>
      <tp t="s">
        <v>02-11-2036</v>
        <stp/>
        <stp>##V3_BDPV12</stp>
        <stp>S0193Z 20Y BLC2 Curncy</stp>
        <stp>MATURITY</stp>
        <stp>[TPM a RPM_v21.xlsm]Zero_swap_CL!R18C17</stp>
        <tr r="Q18" s="15"/>
      </tp>
      <tp>
        <v>3.33</v>
        <stp/>
        <stp>##V3_BDHV12</stp>
        <stp>CHSWP2  Curncy</stp>
        <stp>PX_LAST</stp>
        <stp>03-10-2016</stp>
        <stp>03-10-2016</stp>
        <stp>[TPM a RPM_v21.xlsm]Informe5!R24C32</stp>
        <tr r="AF24" s="29"/>
      </tp>
      <tp>
        <v>3.26</v>
        <stp/>
        <stp>##V3_BDHV12</stp>
        <stp>CHSWP2  Curncy</stp>
        <stp>PX_LAST</stp>
        <stp>07-10-2016</stp>
        <stp>07-10-2016</stp>
        <stp>[TPM a RPM_v21.xlsm]Informe5!R20C32</stp>
        <tr r="AF20" s="29"/>
      </tp>
      <tp>
        <v>3.36</v>
        <stp/>
        <stp>##V3_BDHV12</stp>
        <stp>CHSWP2  Curncy</stp>
        <stp>PX_LAST</stp>
        <stp>06-10-2016</stp>
        <stp>06-10-2016</stp>
        <stp>[TPM a RPM_v21.xlsm]Informe5!R21C32</stp>
        <tr r="AF21" s="29"/>
      </tp>
      <tp>
        <v>3.36</v>
        <stp/>
        <stp>##V3_BDHV12</stp>
        <stp>CHSWP2  Curncy</stp>
        <stp>PX_LAST</stp>
        <stp>05-10-2016</stp>
        <stp>05-10-2016</stp>
        <stp>[TPM a RPM_v21.xlsm]Informe5!R22C32</stp>
        <tr r="AF22" s="29"/>
      </tp>
      <tp>
        <v>3.33</v>
        <stp/>
        <stp>##V3_BDHV12</stp>
        <stp>CHSWP2  Curncy</stp>
        <stp>PX_LAST</stp>
        <stp>04-10-2016</stp>
        <stp>04-10-2016</stp>
        <stp>[TPM a RPM_v21.xlsm]Informe5!R23C32</stp>
        <tr r="AF23" s="29"/>
      </tp>
      <tp>
        <v>3.21</v>
        <stp/>
        <stp>##V3_BDHV12</stp>
        <stp>CHSWP2  Curncy</stp>
        <stp>PX_LAST</stp>
        <stp>19-10-2016</stp>
        <stp>19-10-2016</stp>
        <stp>[TPM a RPM_v21.xlsm]Informe5!R12C32</stp>
        <tr r="AF12" s="29"/>
      </tp>
      <tp>
        <v>3.2</v>
        <stp/>
        <stp>##V3_BDHV12</stp>
        <stp>CHSWP2  Curncy</stp>
        <stp>PX_LAST</stp>
        <stp>18-10-2016</stp>
        <stp>18-10-2016</stp>
        <stp>[TPM a RPM_v21.xlsm]Informe5!R13C32</stp>
        <tr r="AF13" s="29"/>
      </tp>
      <tp>
        <v>3.2</v>
        <stp/>
        <stp>##V3_BDHV12</stp>
        <stp>CHSWP2  Curncy</stp>
        <stp>PX_LAST</stp>
        <stp>11-10-2016</stp>
        <stp>11-10-2016</stp>
        <stp>[TPM a RPM_v21.xlsm]Informe5!R18C32</stp>
        <tr r="AF18" s="29"/>
      </tp>
      <tp>
        <v>3.27</v>
        <stp/>
        <stp>##V3_BDHV12</stp>
        <stp>CHSWP2  Curncy</stp>
        <stp>PX_LAST</stp>
        <stp>10-10-2016</stp>
        <stp>10-10-2016</stp>
        <stp>[TPM a RPM_v21.xlsm]Informe5!R19C32</stp>
        <tr r="AF19" s="29"/>
      </tp>
      <tp>
        <v>3.22</v>
        <stp/>
        <stp>##V3_BDHV12</stp>
        <stp>CHSWP2  Curncy</stp>
        <stp>PX_LAST</stp>
        <stp>13-10-2016</stp>
        <stp>13-10-2016</stp>
        <stp>[TPM a RPM_v21.xlsm]Informe5!R16C32</stp>
        <tr r="AF16" s="29"/>
      </tp>
      <tp>
        <v>3.22</v>
        <stp/>
        <stp>##V3_BDHV12</stp>
        <stp>CHSWP2  Curncy</stp>
        <stp>PX_LAST</stp>
        <stp>12-10-2016</stp>
        <stp>12-10-2016</stp>
        <stp>[TPM a RPM_v21.xlsm]Informe5!R17C32</stp>
        <tr r="AF17" s="29"/>
      </tp>
      <tp>
        <v>3.23</v>
        <stp/>
        <stp>##V3_BDHV12</stp>
        <stp>CHSWP2  Curncy</stp>
        <stp>PX_LAST</stp>
        <stp>14-10-2016</stp>
        <stp>14-10-2016</stp>
        <stp>[TPM a RPM_v21.xlsm]Informe5!R15C32</stp>
        <tr r="AF15" s="29"/>
      </tp>
      <tp>
        <v>3.21</v>
        <stp/>
        <stp>##V3_BDHV12</stp>
        <stp>CHSWP2  Curncy</stp>
        <stp>PX_LAST</stp>
        <stp>17-10-2016</stp>
        <stp>17-10-2016</stp>
        <stp>[TPM a RPM_v21.xlsm]Informe5!R14C32</stp>
        <tr r="AF14" s="29"/>
      </tp>
      <tp>
        <v>3.19</v>
        <stp/>
        <stp>##V3_BDHV12</stp>
        <stp>CHSWP2  Curncy</stp>
        <stp>PX_LAST</stp>
        <stp>20-10-2016</stp>
        <stp>20-10-2016</stp>
        <stp>[TPM a RPM_v21.xlsm]Informe5!R11C32</stp>
        <tr r="AF11" s="29"/>
      </tp>
      <tp>
        <v>3.23</v>
        <stp/>
        <stp>##V3_BDHV12</stp>
        <stp>CHSWP2  Curncy</stp>
        <stp>PX_LAST</stp>
        <stp>21-10-2016</stp>
        <stp>21-10-2016</stp>
        <stp>[TPM a RPM_v21.xlsm]Informe5!R10C32</stp>
        <tr r="AF10" s="29"/>
      </tp>
      <tp>
        <v>1.18</v>
        <stp/>
        <stp>##V3_BDHV12</stp>
        <stp>CHSWC10 Curncy</stp>
        <stp>PX_LAST</stp>
        <stp>06-10-2016</stp>
        <stp>06-10-2016</stp>
        <stp>[TPM a RPM_v21.xlsm]Informe5!R21C37</stp>
        <tr r="AK21" s="29"/>
      </tp>
      <tp>
        <v>1.1599999999999999</v>
        <stp/>
        <stp>##V3_BDHV12</stp>
        <stp>CHSWC10 Curncy</stp>
        <stp>PX_LAST</stp>
        <stp>07-10-2016</stp>
        <stp>07-10-2016</stp>
        <stp>[TPM a RPM_v21.xlsm]Informe5!R20C37</stp>
        <tr r="AK20" s="29"/>
      </tp>
      <tp>
        <v>1.1299999999999999</v>
        <stp/>
        <stp>##V3_BDHV12</stp>
        <stp>CHSWC10 Curncy</stp>
        <stp>PX_LAST</stp>
        <stp>04-10-2016</stp>
        <stp>04-10-2016</stp>
        <stp>[TPM a RPM_v21.xlsm]Informe5!R23C37</stp>
        <tr r="AK23" s="29"/>
      </tp>
      <tp>
        <v>1.18</v>
        <stp/>
        <stp>##V3_BDHV12</stp>
        <stp>CHSWC10 Curncy</stp>
        <stp>PX_LAST</stp>
        <stp>05-10-2016</stp>
        <stp>05-10-2016</stp>
        <stp>[TPM a RPM_v21.xlsm]Informe5!R22C37</stp>
        <tr r="AK22" s="29"/>
      </tp>
      <tp>
        <v>1.1299999999999999</v>
        <stp/>
        <stp>##V3_BDHV12</stp>
        <stp>CHSWC10 Curncy</stp>
        <stp>PX_LAST</stp>
        <stp>03-10-2016</stp>
        <stp>03-10-2016</stp>
        <stp>[TPM a RPM_v21.xlsm]Informe5!R24C37</stp>
        <tr r="AK24" s="29"/>
      </tp>
      <tp>
        <v>1.17</v>
        <stp/>
        <stp>##V3_BDHV12</stp>
        <stp>CHSWC10 Curncy</stp>
        <stp>PX_LAST</stp>
        <stp>18-10-2016</stp>
        <stp>18-10-2016</stp>
        <stp>[TPM a RPM_v21.xlsm]Informe5!R13C37</stp>
        <tr r="AK13" s="29"/>
      </tp>
      <tp>
        <v>1.18</v>
        <stp/>
        <stp>##V3_BDHV12</stp>
        <stp>CHSWC10 Curncy</stp>
        <stp>PX_LAST</stp>
        <stp>19-10-2016</stp>
        <stp>19-10-2016</stp>
        <stp>[TPM a RPM_v21.xlsm]Informe5!R12C37</stp>
        <tr r="AK12" s="29"/>
      </tp>
      <tp>
        <v>1.19</v>
        <stp/>
        <stp>##V3_BDHV12</stp>
        <stp>CHSWC10 Curncy</stp>
        <stp>PX_LAST</stp>
        <stp>14-10-2016</stp>
        <stp>14-10-2016</stp>
        <stp>[TPM a RPM_v21.xlsm]Informe5!R15C37</stp>
        <tr r="AK15" s="29"/>
      </tp>
      <tp>
        <v>1.19</v>
        <stp/>
        <stp>##V3_BDHV12</stp>
        <stp>CHSWC10 Curncy</stp>
        <stp>PX_LAST</stp>
        <stp>17-10-2016</stp>
        <stp>17-10-2016</stp>
        <stp>[TPM a RPM_v21.xlsm]Informe5!R14C37</stp>
        <tr r="AK14" s="29"/>
      </tp>
      <tp t="s">
        <v>#N/A N/A</v>
        <stp/>
        <stp>##V3_BDHV12</stp>
        <stp>CHSWC10 Curncy</stp>
        <stp>PX_LAST</stp>
        <stp>10-10-2016</stp>
        <stp>10-10-2016</stp>
        <stp>[TPM a RPM_v21.xlsm]Informe5!R19C37</stp>
        <tr r="AK19" s="29"/>
      </tp>
      <tp>
        <v>1.1499999999999999</v>
        <stp/>
        <stp>##V3_BDHV12</stp>
        <stp>CHSWC10 Curncy</stp>
        <stp>PX_LAST</stp>
        <stp>11-10-2016</stp>
        <stp>11-10-2016</stp>
        <stp>[TPM a RPM_v21.xlsm]Informe5!R18C37</stp>
        <tr r="AK18" s="29"/>
      </tp>
      <tp>
        <v>1.1599999999999999</v>
        <stp/>
        <stp>##V3_BDHV12</stp>
        <stp>CHSWC10 Curncy</stp>
        <stp>PX_LAST</stp>
        <stp>12-10-2016</stp>
        <stp>12-10-2016</stp>
        <stp>[TPM a RPM_v21.xlsm]Informe5!R17C37</stp>
        <tr r="AK17" s="29"/>
      </tp>
      <tp>
        <v>1.18</v>
        <stp/>
        <stp>##V3_BDHV12</stp>
        <stp>CHSWC10 Curncy</stp>
        <stp>PX_LAST</stp>
        <stp>13-10-2016</stp>
        <stp>13-10-2016</stp>
        <stp>[TPM a RPM_v21.xlsm]Informe5!R16C37</stp>
        <tr r="AK16" s="29"/>
      </tp>
      <tp>
        <v>3.52</v>
        <stp/>
        <stp>##V3_BDPV12</stp>
        <stp>PES02B Index</stp>
        <stp>PX_LAST</stp>
        <stp>[TPM a RPM_v21.xlsm]HPR!R12C3</stp>
        <tr r="C12" s="4"/>
      </tp>
      <tp>
        <v>1.1499999999999999</v>
        <stp/>
        <stp>##V3_BDHV12</stp>
        <stp>CHSWC10 Curncy</stp>
        <stp>PX_LAST</stp>
        <stp>21-10-2016</stp>
        <stp>21-10-2016</stp>
        <stp>[TPM a RPM_v21.xlsm]Informe5!R10C37</stp>
        <tr r="AK10" s="29"/>
      </tp>
      <tp>
        <v>1.1299999999999999</v>
        <stp/>
        <stp>##V3_BDHV12</stp>
        <stp>CHSWC10 Curncy</stp>
        <stp>PX_LAST</stp>
        <stp>20-10-2016</stp>
        <stp>20-10-2016</stp>
        <stp>[TPM a RPM_v21.xlsm]Informe5!R11C37</stp>
        <tr r="AK11" s="29"/>
      </tp>
      <tp>
        <v>0.55000000000000004</v>
        <stp/>
        <stp>##V3_BDPV12</stp>
        <stp>CHSWC2 Curncy</stp>
        <stp>PX_LAST</stp>
        <stp>[TPM a RPM_v21.xlsm]Informe2!R37C6</stp>
        <tr r="F37" s="27"/>
      </tp>
      <tp>
        <v>3.24</v>
        <stp/>
        <stp>##V3_BDPV12</stp>
        <stp>CHSWP2 Curncy</stp>
        <stp>PX_LAST</stp>
        <stp>[TPM a RPM_v21.xlsm]Informe2!R37C5</stp>
        <tr r="E37" s="27"/>
      </tp>
      <tp>
        <v>1.25</v>
        <stp/>
        <stp>##V3_BDHV12</stp>
        <stp>CHSWC10 Curncy</stp>
        <stp>PX_LAST</stp>
        <stp>01-09-2016</stp>
        <stp>01-09-2016</stp>
        <stp>[TPM a RPM_v21.xlsm]Informe5!R46C37</stp>
        <tr r="AK46" s="29"/>
      </tp>
      <tp>
        <v>1.2</v>
        <stp/>
        <stp>##V3_BDHV12</stp>
        <stp>CHSWC10 Curncy</stp>
        <stp>PX_LAST</stp>
        <stp>12-08-2016</stp>
        <stp>12-08-2016</stp>
        <stp>[TPM a RPM_v21.xlsm]Informe5!R60C37</stp>
        <tr r="AK60" s="29"/>
      </tp>
      <tp>
        <v>1.21</v>
        <stp/>
        <stp>##V3_BDHV12</stp>
        <stp>CHSWC10 Curncy</stp>
        <stp>PX_LAST</stp>
        <stp>11-08-2016</stp>
        <stp>11-08-2016</stp>
        <stp>[TPM a RPM_v21.xlsm]Informe5!R61C37</stp>
        <tr r="AK61" s="29"/>
      </tp>
      <tp>
        <v>1.25</v>
        <stp/>
        <stp>##V3_BDHV12</stp>
        <stp>CHSWC10 Curncy</stp>
        <stp>PX_LAST</stp>
        <stp>02-09-2016</stp>
        <stp>02-09-2016</stp>
        <stp>[TPM a RPM_v21.xlsm]Informe5!R45C37</stp>
        <tr r="AK45" s="29"/>
      </tp>
      <tp>
        <v>1.22</v>
        <stp/>
        <stp>##V3_BDHV12</stp>
        <stp>CHSWC10 Curncy</stp>
        <stp>PX_LAST</stp>
        <stp>10-08-2016</stp>
        <stp>10-08-2016</stp>
        <stp>[TPM a RPM_v21.xlsm]Informe5!R62C37</stp>
        <tr r="AK62" s="29"/>
      </tp>
      <tp>
        <v>1.22</v>
        <stp/>
        <stp>##V3_BDHV12</stp>
        <stp>CHSWC10 Curncy</stp>
        <stp>PX_LAST</stp>
        <stp>05-09-2016</stp>
        <stp>05-09-2016</stp>
        <stp>[TPM a RPM_v21.xlsm]Informe5!R44C37</stp>
        <tr r="AK44" s="29"/>
      </tp>
      <tp t="s">
        <v>#N/A N/A</v>
        <stp/>
        <stp>##V3_BDHV12</stp>
        <stp>CHSWC10 Curncy</stp>
        <stp>PX_LAST</stp>
        <stp>15-08-2016</stp>
        <stp>15-08-2016</stp>
        <stp>[TPM a RPM_v21.xlsm]Informe5!R59C37</stp>
        <tr r="AK59" s="29"/>
      </tp>
      <tp>
        <v>1.17</v>
        <stp/>
        <stp>##V3_BDHV12</stp>
        <stp>CHSWC10 Curncy</stp>
        <stp>PX_LAST</stp>
        <stp>07-09-2016</stp>
        <stp>07-09-2016</stp>
        <stp>[TPM a RPM_v21.xlsm]Informe5!R42C37</stp>
        <tr r="AK42" s="29"/>
      </tp>
      <tp>
        <v>1.22</v>
        <stp/>
        <stp>##V3_BDHV12</stp>
        <stp>CHSWC10 Curncy</stp>
        <stp>PX_LAST</stp>
        <stp>16-08-2016</stp>
        <stp>16-08-2016</stp>
        <stp>[TPM a RPM_v21.xlsm]Informe5!R58C37</stp>
        <tr r="AK58" s="29"/>
      </tp>
      <tp>
        <v>1.2</v>
        <stp/>
        <stp>##V3_BDHV12</stp>
        <stp>CHSWC10 Curncy</stp>
        <stp>PX_LAST</stp>
        <stp>06-09-2016</stp>
        <stp>06-09-2016</stp>
        <stp>[TPM a RPM_v21.xlsm]Informe5!R43C37</stp>
        <tr r="AK43" s="29"/>
      </tp>
      <tp>
        <v>1.23</v>
        <stp/>
        <stp>##V3_BDHV12</stp>
        <stp>CHSWC10 Curncy</stp>
        <stp>PX_LAST</stp>
        <stp>17-08-2016</stp>
        <stp>17-08-2016</stp>
        <stp>[TPM a RPM_v21.xlsm]Informe5!R57C37</stp>
        <tr r="AK57" s="29"/>
      </tp>
      <tp>
        <v>1.26</v>
        <stp/>
        <stp>##V3_BDHV12</stp>
        <stp>CHSWC10 Curncy</stp>
        <stp>PX_LAST</stp>
        <stp>18-08-2016</stp>
        <stp>18-08-2016</stp>
        <stp>[TPM a RPM_v21.xlsm]Informe5!R56C37</stp>
        <tr r="AK56" s="29"/>
      </tp>
      <tp>
        <v>1.19</v>
        <stp/>
        <stp>##V3_BDHV12</stp>
        <stp>CHSWC10 Curncy</stp>
        <stp>PX_LAST</stp>
        <stp>09-09-2016</stp>
        <stp>09-09-2016</stp>
        <stp>[TPM a RPM_v21.xlsm]Informe5!R40C37</stp>
        <tr r="AK40" s="29"/>
      </tp>
      <tp>
        <v>1.27</v>
        <stp/>
        <stp>##V3_BDHV12</stp>
        <stp>CHSWC10 Curncy</stp>
        <stp>PX_LAST</stp>
        <stp>19-08-2016</stp>
        <stp>19-08-2016</stp>
        <stp>[TPM a RPM_v21.xlsm]Informe5!R55C37</stp>
        <tr r="AK55" s="29"/>
      </tp>
      <tp>
        <v>1.1599999999999999</v>
        <stp/>
        <stp>##V3_BDHV12</stp>
        <stp>CHSWC10 Curncy</stp>
        <stp>PX_LAST</stp>
        <stp>08-09-2016</stp>
        <stp>08-09-2016</stp>
        <stp>[TPM a RPM_v21.xlsm]Informe5!R41C37</stp>
        <tr r="AK41" s="29"/>
      </tp>
      <tp>
        <v>1.3599999999999999</v>
        <stp/>
        <stp>##V3_BDHV12</stp>
        <stp>CHSWC10 Curncy</stp>
        <stp>PX_LAST</stp>
        <stp>02-08-2016</stp>
        <stp>02-08-2016</stp>
        <stp>[TPM a RPM_v21.xlsm]Informe5!R68C37</stp>
        <tr r="AK68" s="29"/>
      </tp>
      <tp>
        <v>1.37</v>
        <stp/>
        <stp>##V3_BDHV12</stp>
        <stp>CHSWC10 Curncy</stp>
        <stp>PX_LAST</stp>
        <stp>03-08-2016</stp>
        <stp>03-08-2016</stp>
        <stp>[TPM a RPM_v21.xlsm]Informe5!R67C37</stp>
        <tr r="AK67" s="29"/>
      </tp>
      <tp>
        <v>1.22</v>
        <stp/>
        <stp>##V3_BDHV12</stp>
        <stp>CHSWC10 Curncy</stp>
        <stp>PX_LAST</stp>
        <stp>16-09-2016</stp>
        <stp>16-09-2016</stp>
        <stp>[TPM a RPM_v21.xlsm]Informe5!R35C37</stp>
        <tr r="AK35" s="29"/>
      </tp>
      <tp>
        <v>1.24</v>
        <stp/>
        <stp>##V3_BDHV12</stp>
        <stp>CHSWC10 Curncy</stp>
        <stp>PX_LAST</stp>
        <stp>15-09-2016</stp>
        <stp>15-09-2016</stp>
        <stp>[TPM a RPM_v21.xlsm]Informe5!R36C37</stp>
        <tr r="AK36" s="29"/>
      </tp>
      <tp>
        <v>1.24</v>
        <stp/>
        <stp>##V3_BDHV12</stp>
        <stp>CHSWC10 Curncy</stp>
        <stp>PX_LAST</stp>
        <stp>14-09-2016</stp>
        <stp>14-09-2016</stp>
        <stp>[TPM a RPM_v21.xlsm]Informe5!R37C37</stp>
        <tr r="AK37" s="29"/>
      </tp>
      <tp>
        <v>1.33</v>
        <stp/>
        <stp>##V3_BDHV12</stp>
        <stp>CHSWC10 Curncy</stp>
        <stp>PX_LAST</stp>
        <stp>01-08-2016</stp>
        <stp>01-08-2016</stp>
        <stp>[TPM a RPM_v21.xlsm]Informe5!R69C37</stp>
        <tr r="AK69" s="29"/>
      </tp>
      <tp>
        <v>1.25</v>
        <stp/>
        <stp>##V3_BDHV12</stp>
        <stp>CHSWC10 Curncy</stp>
        <stp>PX_LAST</stp>
        <stp>13-09-2016</stp>
        <stp>13-09-2016</stp>
        <stp>[TPM a RPM_v21.xlsm]Informe5!R38C37</stp>
        <tr r="AK38" s="29"/>
      </tp>
      <tp>
        <v>1.22</v>
        <stp/>
        <stp>##V3_BDHV12</stp>
        <stp>CHSWC10 Curncy</stp>
        <stp>PX_LAST</stp>
        <stp>12-09-2016</stp>
        <stp>12-09-2016</stp>
        <stp>[TPM a RPM_v21.xlsm]Informe5!R39C37</stp>
        <tr r="AK39" s="29"/>
      </tp>
      <tp>
        <v>1.3</v>
        <stp/>
        <stp>##V3_BDHV12</stp>
        <stp>CHSWC10 Curncy</stp>
        <stp>PX_LAST</stp>
        <stp>04-08-2016</stp>
        <stp>04-08-2016</stp>
        <stp>[TPM a RPM_v21.xlsm]Informe5!R66C37</stp>
        <tr r="AK66" s="29"/>
      </tp>
      <tp>
        <v>1.27</v>
        <stp/>
        <stp>##V3_BDHV12</stp>
        <stp>CHSWC10 Curncy</stp>
        <stp>PX_LAST</stp>
        <stp>05-08-2016</stp>
        <stp>05-08-2016</stp>
        <stp>[TPM a RPM_v21.xlsm]Informe5!R65C37</stp>
        <tr r="AK65" s="29"/>
      </tp>
      <tp>
        <v>1.29</v>
        <stp/>
        <stp>##V3_BDHV12</stp>
        <stp>CHSWC10 Curncy</stp>
        <stp>PX_LAST</stp>
        <stp>08-08-2016</stp>
        <stp>08-08-2016</stp>
        <stp>[TPM a RPM_v21.xlsm]Informe5!R64C37</stp>
        <tr r="AK64" s="29"/>
      </tp>
      <tp>
        <v>1.26</v>
        <stp/>
        <stp>##V3_BDHV12</stp>
        <stp>CHSWC10 Curncy</stp>
        <stp>PX_LAST</stp>
        <stp>09-08-2016</stp>
        <stp>09-08-2016</stp>
        <stp>[TPM a RPM_v21.xlsm]Informe5!R63C37</stp>
        <tr r="AK63" s="29"/>
      </tp>
      <tp t="s">
        <v>#N/A N/A</v>
        <stp/>
        <stp>##V3_BDHV12</stp>
        <stp>CHSWC10 Curncy</stp>
        <stp>PX_LAST</stp>
        <stp>19-09-2016</stp>
        <stp>19-09-2016</stp>
        <stp>[TPM a RPM_v21.xlsm]Informe5!R34C37</stp>
        <tr r="AK34" s="29"/>
      </tp>
      <tp>
        <v>1.26</v>
        <stp/>
        <stp>##V3_BDHV12</stp>
        <stp>CHSWC10 Curncy</stp>
        <stp>PX_LAST</stp>
        <stp>31-08-2016</stp>
        <stp>31-08-2016</stp>
        <stp>[TPM a RPM_v21.xlsm]Informe5!R47C37</stp>
        <tr r="AK47" s="29"/>
      </tp>
      <tp>
        <v>1.1100000000000001</v>
        <stp/>
        <stp>##V3_BDHV12</stp>
        <stp>CHSWC10 Curncy</stp>
        <stp>PX_LAST</stp>
        <stp>27-09-2016</stp>
        <stp>27-09-2016</stp>
        <stp>[TPM a RPM_v21.xlsm]Informe5!R28C37</stp>
        <tr r="AK28" s="29"/>
      </tp>
      <tp>
        <v>1.1400000000000001</v>
        <stp/>
        <stp>##V3_BDHV12</stp>
        <stp>CHSWC10 Curncy</stp>
        <stp>PX_LAST</stp>
        <stp>26-09-2016</stp>
        <stp>26-09-2016</stp>
        <stp>[TPM a RPM_v21.xlsm]Informe5!R29C37</stp>
        <tr r="AK29" s="29"/>
      </tp>
      <tp>
        <v>1.26</v>
        <stp/>
        <stp>##V3_BDHV12</stp>
        <stp>CHSWC10 Curncy</stp>
        <stp>PX_LAST</stp>
        <stp>30-08-2016</stp>
        <stp>30-08-2016</stp>
        <stp>[TPM a RPM_v21.xlsm]Informe5!R48C37</stp>
        <tr r="AK48" s="29"/>
      </tp>
      <tp>
        <v>1.22</v>
        <stp/>
        <stp>##V3_BDHV12</stp>
        <stp>CHSWC10 Curncy</stp>
        <stp>PX_LAST</stp>
        <stp>20-09-2016</stp>
        <stp>20-09-2016</stp>
        <stp>[TPM a RPM_v21.xlsm]Informe5!R33C37</stp>
        <tr r="AK33" s="29"/>
      </tp>
      <tp>
        <v>1.22</v>
        <stp/>
        <stp>##V3_BDHV12</stp>
        <stp>CHSWC10 Curncy</stp>
        <stp>PX_LAST</stp>
        <stp>21-09-2016</stp>
        <stp>21-09-2016</stp>
        <stp>[TPM a RPM_v21.xlsm]Informe5!R32C37</stp>
        <tr r="AK32" s="29"/>
      </tp>
      <tp>
        <v>1.18</v>
        <stp/>
        <stp>##V3_BDHV12</stp>
        <stp>CHSWC10 Curncy</stp>
        <stp>PX_LAST</stp>
        <stp>22-09-2016</stp>
        <stp>22-09-2016</stp>
        <stp>[TPM a RPM_v21.xlsm]Informe5!R31C37</stp>
        <tr r="AK31" s="29"/>
      </tp>
      <tp>
        <v>1.17</v>
        <stp/>
        <stp>##V3_BDHV12</stp>
        <stp>CHSWC10 Curncy</stp>
        <stp>PX_LAST</stp>
        <stp>23-09-2016</stp>
        <stp>23-09-2016</stp>
        <stp>[TPM a RPM_v21.xlsm]Informe5!R30C37</stp>
        <tr r="AK30" s="29"/>
      </tp>
      <tp>
        <v>1.1200000000000001</v>
        <stp/>
        <stp>##V3_BDHV12</stp>
        <stp>CHSWC10 Curncy</stp>
        <stp>PX_LAST</stp>
        <stp>29-09-2016</stp>
        <stp>29-09-2016</stp>
        <stp>[TPM a RPM_v21.xlsm]Informe5!R26C37</stp>
        <tr r="AK26" s="29"/>
      </tp>
      <tp>
        <v>1.1200000000000001</v>
        <stp/>
        <stp>##V3_BDHV12</stp>
        <stp>CHSWC10 Curncy</stp>
        <stp>PX_LAST</stp>
        <stp>28-09-2016</stp>
        <stp>28-09-2016</stp>
        <stp>[TPM a RPM_v21.xlsm]Informe5!R27C37</stp>
        <tr r="AK27" s="29"/>
      </tp>
      <tp>
        <v>1.26</v>
        <stp/>
        <stp>##V3_BDHV12</stp>
        <stp>CHSWC10 Curncy</stp>
        <stp>PX_LAST</stp>
        <stp>23-08-2016</stp>
        <stp>23-08-2016</stp>
        <stp>[TPM a RPM_v21.xlsm]Informe5!R53C37</stp>
        <tr r="AK53" s="29"/>
      </tp>
      <tp>
        <v>1.26</v>
        <stp/>
        <stp>##V3_BDHV12</stp>
        <stp>CHSWC10 Curncy</stp>
        <stp>PX_LAST</stp>
        <stp>22-08-2016</stp>
        <stp>22-08-2016</stp>
        <stp>[TPM a RPM_v21.xlsm]Informe5!R54C37</stp>
        <tr r="AK54" s="29"/>
      </tp>
      <tp>
        <v>1.17</v>
        <stp/>
        <stp>##V3_BDHV12</stp>
        <stp>CHSWC10 Curncy</stp>
        <stp>PX_LAST</stp>
        <stp>30-09-2016</stp>
        <stp>30-09-2016</stp>
        <stp>[TPM a RPM_v21.xlsm]Informe5!R25C37</stp>
        <tr r="AK25" s="29"/>
      </tp>
      <tp>
        <v>1.26</v>
        <stp/>
        <stp>##V3_BDHV12</stp>
        <stp>CHSWC10 Curncy</stp>
        <stp>PX_LAST</stp>
        <stp>26-08-2016</stp>
        <stp>26-08-2016</stp>
        <stp>[TPM a RPM_v21.xlsm]Informe5!R50C37</stp>
        <tr r="AK50" s="29"/>
      </tp>
      <tp>
        <v>1.24</v>
        <stp/>
        <stp>##V3_BDHV12</stp>
        <stp>CHSWC10 Curncy</stp>
        <stp>PX_LAST</stp>
        <stp>25-08-2016</stp>
        <stp>25-08-2016</stp>
        <stp>[TPM a RPM_v21.xlsm]Informe5!R51C37</stp>
        <tr r="AK51" s="29"/>
      </tp>
      <tp>
        <v>1.24</v>
        <stp/>
        <stp>##V3_BDHV12</stp>
        <stp>CHSWC10 Curncy</stp>
        <stp>PX_LAST</stp>
        <stp>24-08-2016</stp>
        <stp>24-08-2016</stp>
        <stp>[TPM a RPM_v21.xlsm]Informe5!R52C37</stp>
        <tr r="AK52" s="29"/>
      </tp>
      <tp>
        <v>1.25</v>
        <stp/>
        <stp>##V3_BDHV12</stp>
        <stp>CHSWC10 Curncy</stp>
        <stp>PX_LAST</stp>
        <stp>29-08-2016</stp>
        <stp>29-08-2016</stp>
        <stp>[TPM a RPM_v21.xlsm]Informe5!R49C37</stp>
        <tr r="AK49" s="29"/>
      </tp>
      <tp>
        <v>1.42</v>
        <stp/>
        <stp>##V3_BDHV12</stp>
        <stp>CHSWC10 Curncy</stp>
        <stp>PX_LAST</stp>
        <stp>30-06-2016</stp>
        <stp>30-06-2016</stp>
        <stp>[TPM a RPM_v21.xlsm]Informe5!R91C37</stp>
        <tr r="AK91" s="29"/>
      </tp>
      <tp>
        <v>1.4</v>
        <stp/>
        <stp>##V3_BDHV12</stp>
        <stp>CHSWC10 Curncy</stp>
        <stp>PX_LAST</stp>
        <stp>28-07-2016</stp>
        <stp>28-07-2016</stp>
        <stp>[TPM a RPM_v21.xlsm]Informe5!R71C37</stp>
        <tr r="AK71" s="29"/>
      </tp>
      <tp>
        <v>1.33</v>
        <stp/>
        <stp>##V3_BDHV12</stp>
        <stp>CHSWC10 Curncy</stp>
        <stp>PX_LAST</stp>
        <stp>29-07-2016</stp>
        <stp>29-07-2016</stp>
        <stp>[TPM a RPM_v21.xlsm]Informe5!R70C37</stp>
        <tr r="AK70" s="29"/>
      </tp>
      <tp>
        <v>1.45</v>
        <stp/>
        <stp>##V3_BDHV12</stp>
        <stp>CHSWC10 Curncy</stp>
        <stp>PX_LAST</stp>
        <stp>26-07-2016</stp>
        <stp>26-07-2016</stp>
        <stp>[TPM a RPM_v21.xlsm]Informe5!R73C37</stp>
        <tr r="AK73" s="29"/>
      </tp>
      <tp>
        <v>1.42</v>
        <stp/>
        <stp>##V3_BDHV12</stp>
        <stp>CHSWC10 Curncy</stp>
        <stp>PX_LAST</stp>
        <stp>27-07-2016</stp>
        <stp>27-07-2016</stp>
        <stp>[TPM a RPM_v21.xlsm]Informe5!R72C37</stp>
        <tr r="AK72" s="29"/>
      </tp>
      <tp>
        <v>1.47</v>
        <stp/>
        <stp>##V3_BDHV12</stp>
        <stp>CHSWC10 Curncy</stp>
        <stp>PX_LAST</stp>
        <stp>25-07-2016</stp>
        <stp>25-07-2016</stp>
        <stp>[TPM a RPM_v21.xlsm]Informe5!R74C37</stp>
        <tr r="AK74" s="29"/>
      </tp>
      <tp>
        <v>1.44</v>
        <stp/>
        <stp>##V3_BDHV12</stp>
        <stp>CHSWC10 Curncy</stp>
        <stp>PX_LAST</stp>
        <stp>22-07-2016</stp>
        <stp>22-07-2016</stp>
        <stp>[TPM a RPM_v21.xlsm]Informe5!R75C37</stp>
        <tr r="AK75" s="29"/>
      </tp>
      <tp>
        <v>1.4</v>
        <stp/>
        <stp>##V3_BDHV12</stp>
        <stp>CHSWC10 Curncy</stp>
        <stp>PX_LAST</stp>
        <stp>20-07-2016</stp>
        <stp>20-07-2016</stp>
        <stp>[TPM a RPM_v21.xlsm]Informe5!R77C37</stp>
        <tr r="AK77" s="29"/>
      </tp>
      <tp>
        <v>1.43</v>
        <stp/>
        <stp>##V3_BDHV12</stp>
        <stp>CHSWC10 Curncy</stp>
        <stp>PX_LAST</stp>
        <stp>21-07-2016</stp>
        <stp>21-07-2016</stp>
        <stp>[TPM a RPM_v21.xlsm]Informe5!R76C37</stp>
        <tr r="AK76" s="29"/>
      </tp>
      <tp>
        <v>1.54</v>
        <stp/>
        <stp>##V3_BDHV12</stp>
        <stp>CHSWC10 Curncy</stp>
        <stp>PX_LAST</stp>
        <stp>21-06-2016</stp>
        <stp>21-06-2016</stp>
        <stp>[TPM a RPM_v21.xlsm]Informe5!R98C37</stp>
        <tr r="AK98" s="29"/>
      </tp>
      <tp>
        <v>1.56</v>
        <stp/>
        <stp>##V3_BDHV12</stp>
        <stp>CHSWC10 Curncy</stp>
        <stp>PX_LAST</stp>
        <stp>20-06-2016</stp>
        <stp>20-06-2016</stp>
        <stp>[TPM a RPM_v21.xlsm]Informe5!R99C37</stp>
        <tr r="AK99" s="29"/>
      </tp>
      <tp>
        <v>3.81</v>
        <stp/>
        <stp>##V3_BDPV12</stp>
        <stp>PES05B Index</stp>
        <stp>PX_LAST</stp>
        <stp>[TPM a RPM_v21.xlsm]HPR!R13C3</stp>
        <tr r="C13" s="4"/>
      </tp>
      <tp>
        <v>1.52</v>
        <stp/>
        <stp>##V3_BDHV12</stp>
        <stp>CHSWC10 Curncy</stp>
        <stp>PX_LAST</stp>
        <stp>23-06-2016</stp>
        <stp>23-06-2016</stp>
        <stp>[TPM a RPM_v21.xlsm]Informe5!R96C37</stp>
        <tr r="AK96" s="29"/>
      </tp>
      <tp>
        <v>1.53</v>
        <stp/>
        <stp>##V3_BDHV12</stp>
        <stp>CHSWC10 Curncy</stp>
        <stp>PX_LAST</stp>
        <stp>22-06-2016</stp>
        <stp>22-06-2016</stp>
        <stp>[TPM a RPM_v21.xlsm]Informe5!R97C37</stp>
        <tr r="AK97" s="29"/>
      </tp>
      <tp>
        <v>1.5</v>
        <stp/>
        <stp>##V3_BDHV12</stp>
        <stp>CHSWC10 Curncy</stp>
        <stp>PX_LAST</stp>
        <stp>24-06-2016</stp>
        <stp>24-06-2016</stp>
        <stp>[TPM a RPM_v21.xlsm]Informe5!R95C37</stp>
        <tr r="AK95" s="29"/>
      </tp>
      <tp t="s">
        <v>#N/A N/A</v>
        <stp/>
        <stp>##V3_BDHV12</stp>
        <stp>CHSWC10 Curncy</stp>
        <stp>PX_LAST</stp>
        <stp>27-06-2016</stp>
        <stp>27-06-2016</stp>
        <stp>[TPM a RPM_v21.xlsm]Informe5!R94C37</stp>
        <tr r="AK94" s="29"/>
      </tp>
      <tp>
        <v>1.44</v>
        <stp/>
        <stp>##V3_BDHV12</stp>
        <stp>CHSWC10 Curncy</stp>
        <stp>PX_LAST</stp>
        <stp>29-06-2016</stp>
        <stp>29-06-2016</stp>
        <stp>[TPM a RPM_v21.xlsm]Informe5!R92C37</stp>
        <tr r="AK92" s="29"/>
      </tp>
      <tp>
        <v>1.45</v>
        <stp/>
        <stp>##V3_BDHV12</stp>
        <stp>CHSWC10 Curncy</stp>
        <stp>PX_LAST</stp>
        <stp>28-06-2016</stp>
        <stp>28-06-2016</stp>
        <stp>[TPM a RPM_v21.xlsm]Informe5!R93C37</stp>
        <tr r="AK93" s="29"/>
      </tp>
      <tp>
        <v>1.4</v>
        <stp/>
        <stp>##V3_BDHV12</stp>
        <stp>CHSWC10 Curncy</stp>
        <stp>PX_LAST</stp>
        <stp>01-07-2016</stp>
        <stp>01-07-2016</stp>
        <stp>[TPM a RPM_v21.xlsm]Informe5!R90C37</stp>
        <tr r="AK90" s="29"/>
      </tp>
      <tp>
        <v>1.35</v>
        <stp/>
        <stp>##V3_BDHV12</stp>
        <stp>CHSWC10 Curncy</stp>
        <stp>PX_LAST</stp>
        <stp>07-07-2016</stp>
        <stp>07-07-2016</stp>
        <stp>[TPM a RPM_v21.xlsm]Informe5!R86C37</stp>
        <tr r="AK86" s="29"/>
      </tp>
      <tp>
        <v>1.34</v>
        <stp/>
        <stp>##V3_BDHV12</stp>
        <stp>CHSWC10 Curncy</stp>
        <stp>PX_LAST</stp>
        <stp>06-07-2016</stp>
        <stp>06-07-2016</stp>
        <stp>[TPM a RPM_v21.xlsm]Informe5!R87C37</stp>
        <tr r="AK87" s="29"/>
      </tp>
      <tp>
        <v>1.35</v>
        <stp/>
        <stp>##V3_BDHV12</stp>
        <stp>CHSWC10 Curncy</stp>
        <stp>PX_LAST</stp>
        <stp>05-07-2016</stp>
        <stp>05-07-2016</stp>
        <stp>[TPM a RPM_v21.xlsm]Informe5!R88C37</stp>
        <tr r="AK88" s="29"/>
      </tp>
      <tp>
        <v>1.35</v>
        <stp/>
        <stp>##V3_BDHV12</stp>
        <stp>CHSWC10 Curncy</stp>
        <stp>PX_LAST</stp>
        <stp>04-07-2016</stp>
        <stp>04-07-2016</stp>
        <stp>[TPM a RPM_v21.xlsm]Informe5!R89C37</stp>
        <tr r="AK89" s="29"/>
      </tp>
      <tp>
        <v>1.34</v>
        <stp/>
        <stp>##V3_BDHV12</stp>
        <stp>CHSWC10 Curncy</stp>
        <stp>PX_LAST</stp>
        <stp>08-07-2016</stp>
        <stp>08-07-2016</stp>
        <stp>[TPM a RPM_v21.xlsm]Informe5!R85C37</stp>
        <tr r="AK85" s="29"/>
      </tp>
      <tp>
        <v>1.3599999999999999</v>
        <stp/>
        <stp>##V3_BDHV12</stp>
        <stp>CHSWC10 Curncy</stp>
        <stp>PX_LAST</stp>
        <stp>12-07-2016</stp>
        <stp>12-07-2016</stp>
        <stp>[TPM a RPM_v21.xlsm]Informe5!R83C37</stp>
        <tr r="AK83" s="29"/>
      </tp>
      <tp>
        <v>1.3900000000000001</v>
        <stp/>
        <stp>##V3_BDHV12</stp>
        <stp>CHSWC10 Curncy</stp>
        <stp>PX_LAST</stp>
        <stp>13-07-2016</stp>
        <stp>13-07-2016</stp>
        <stp>[TPM a RPM_v21.xlsm]Informe5!R82C37</stp>
        <tr r="AK82" s="29"/>
      </tp>
      <tp>
        <v>1.35</v>
        <stp/>
        <stp>##V3_BDHV12</stp>
        <stp>CHSWC10 Curncy</stp>
        <stp>PX_LAST</stp>
        <stp>11-07-2016</stp>
        <stp>11-07-2016</stp>
        <stp>[TPM a RPM_v21.xlsm]Informe5!R84C37</stp>
        <tr r="AK84" s="29"/>
      </tp>
      <tp>
        <v>1.4</v>
        <stp/>
        <stp>##V3_BDHV12</stp>
        <stp>CHSWC10 Curncy</stp>
        <stp>PX_LAST</stp>
        <stp>19-07-2016</stp>
        <stp>19-07-2016</stp>
        <stp>[TPM a RPM_v21.xlsm]Informe5!R78C37</stp>
        <tr r="AK78" s="29"/>
      </tp>
      <tp>
        <v>1.43</v>
        <stp/>
        <stp>##V3_BDHV12</stp>
        <stp>CHSWC10 Curncy</stp>
        <stp>PX_LAST</stp>
        <stp>18-07-2016</stp>
        <stp>18-07-2016</stp>
        <stp>[TPM a RPM_v21.xlsm]Informe5!R79C37</stp>
        <tr r="AK79" s="29"/>
      </tp>
      <tp>
        <v>1.35</v>
        <stp/>
        <stp>##V3_BDHV12</stp>
        <stp>CHSWC10 Curncy</stp>
        <stp>PX_LAST</stp>
        <stp>14-07-2016</stp>
        <stp>14-07-2016</stp>
        <stp>[TPM a RPM_v21.xlsm]Informe5!R81C37</stp>
        <tr r="AK81" s="29"/>
      </tp>
      <tp>
        <v>1.3599999999999999</v>
        <stp/>
        <stp>##V3_BDHV12</stp>
        <stp>CHSWC10 Curncy</stp>
        <stp>PX_LAST</stp>
        <stp>15-07-2016</stp>
        <stp>15-07-2016</stp>
        <stp>[TPM a RPM_v21.xlsm]Informe5!R80C37</stp>
        <tr r="AK80" s="29"/>
      </tp>
      <tp>
        <v>1.1927198058600197</v>
        <stp/>
        <stp>##V3_BDPV12</stp>
        <stp>RIAMC008 Index</stp>
        <stp>VOLATILITY_260D</stp>
        <stp>[TPM a RPM_v21.xlsm]VolIndicesRA!R17C3</stp>
        <tr r="C17" s="20"/>
      </tp>
      <tp>
        <v>4.1900000000000004</v>
        <stp/>
        <stp>##V3_BDPV12</stp>
        <stp>PES10B Index</stp>
        <stp>PX_LAST</stp>
        <stp>[TPM a RPM_v21.xlsm]HPR!R15C3</stp>
        <tr r="C15" s="4"/>
      </tp>
      <tp>
        <v>3.9</v>
        <stp/>
        <stp>##V3_BDPV12</stp>
        <stp>PES07B Index</stp>
        <stp>PX_LAST</stp>
        <stp>[TPM a RPM_v21.xlsm]HPR!R14C3</stp>
        <tr r="C14" s="4"/>
      </tp>
      <tp>
        <v>0.87211409158004916</v>
        <stp/>
        <stp>##V3_BDPV12</stp>
        <stp>RIAMC006 Index</stp>
        <stp>VOLATILITY_260D</stp>
        <stp>[TPM a RPM_v21.xlsm]VolIndicesRA!R16C3</stp>
        <tr r="C16" s="20"/>
      </tp>
      <tp t="s">
        <v>02-11-2031</v>
        <stp/>
        <stp>##V3_BDPV12</stp>
        <stp>S0193Z 15Y BLC2 Curncy</stp>
        <stp>MATURITY</stp>
        <stp>[TPM a RPM_v21.xlsm]Zero_swap_CL!R17C17</stp>
        <tr r="Q17" s="15"/>
      </tp>
      <tp>
        <v>3.63</v>
        <stp/>
        <stp>##V3_BDHV12</stp>
        <stp>CHSWP5  Curncy</stp>
        <stp>PX_LAST</stp>
        <stp>03-10-2016</stp>
        <stp>03-10-2016</stp>
        <stp>[TPM a RPM_v21.xlsm]Informe5!R24C33</stp>
        <tr r="AG24" s="29"/>
      </tp>
      <tp>
        <v>3.68</v>
        <stp/>
        <stp>##V3_BDHV12</stp>
        <stp>CHSWP5  Curncy</stp>
        <stp>PX_LAST</stp>
        <stp>06-10-2016</stp>
        <stp>06-10-2016</stp>
        <stp>[TPM a RPM_v21.xlsm]Informe5!R21C33</stp>
        <tr r="AG21" s="29"/>
      </tp>
      <tp>
        <v>3.56</v>
        <stp/>
        <stp>##V3_BDHV12</stp>
        <stp>CHSWP5  Curncy</stp>
        <stp>PX_LAST</stp>
        <stp>07-10-2016</stp>
        <stp>07-10-2016</stp>
        <stp>[TPM a RPM_v21.xlsm]Informe5!R20C33</stp>
        <tr r="AG20" s="29"/>
      </tp>
      <tp>
        <v>3.63</v>
        <stp/>
        <stp>##V3_BDHV12</stp>
        <stp>CHSWP5  Curncy</stp>
        <stp>PX_LAST</stp>
        <stp>04-10-2016</stp>
        <stp>04-10-2016</stp>
        <stp>[TPM a RPM_v21.xlsm]Informe5!R23C33</stp>
        <tr r="AG23" s="29"/>
      </tp>
      <tp>
        <v>3.66</v>
        <stp/>
        <stp>##V3_BDHV12</stp>
        <stp>CHSWP5  Curncy</stp>
        <stp>PX_LAST</stp>
        <stp>05-10-2016</stp>
        <stp>05-10-2016</stp>
        <stp>[TPM a RPM_v21.xlsm]Informe5!R22C33</stp>
        <tr r="AG22" s="29"/>
      </tp>
      <tp>
        <v>0.80885723964807899</v>
        <stp/>
        <stp>##V3_BDPV12</stp>
        <stp>RIAMC004 Index</stp>
        <stp>VOLATILITY_260D</stp>
        <stp>[TPM a RPM_v21.xlsm]VolIndicesRA!R15C3</stp>
        <tr r="C15" s="20"/>
      </tp>
      <tp>
        <v>3.52</v>
        <stp/>
        <stp>##V3_BDHV12</stp>
        <stp>CHSWP5  Curncy</stp>
        <stp>PX_LAST</stp>
        <stp>18-10-2016</stp>
        <stp>18-10-2016</stp>
        <stp>[TPM a RPM_v21.xlsm]Informe5!R13C33</stp>
        <tr r="AG13" s="29"/>
      </tp>
      <tp>
        <v>3.55</v>
        <stp/>
        <stp>##V3_BDHV12</stp>
        <stp>CHSWP5  Curncy</stp>
        <stp>PX_LAST</stp>
        <stp>19-10-2016</stp>
        <stp>19-10-2016</stp>
        <stp>[TPM a RPM_v21.xlsm]Informe5!R12C33</stp>
        <tr r="AG12" s="29"/>
      </tp>
      <tp>
        <v>3.56</v>
        <stp/>
        <stp>##V3_BDHV12</stp>
        <stp>CHSWP5  Curncy</stp>
        <stp>PX_LAST</stp>
        <stp>10-10-2016</stp>
        <stp>10-10-2016</stp>
        <stp>[TPM a RPM_v21.xlsm]Informe5!R19C33</stp>
        <tr r="AG19" s="29"/>
      </tp>
      <tp>
        <v>3.54</v>
        <stp/>
        <stp>##V3_BDHV12</stp>
        <stp>CHSWP5  Curncy</stp>
        <stp>PX_LAST</stp>
        <stp>11-10-2016</stp>
        <stp>11-10-2016</stp>
        <stp>[TPM a RPM_v21.xlsm]Informe5!R18C33</stp>
        <tr r="AG18" s="29"/>
      </tp>
      <tp>
        <v>3.55</v>
        <stp/>
        <stp>##V3_BDHV12</stp>
        <stp>CHSWP5  Curncy</stp>
        <stp>PX_LAST</stp>
        <stp>12-10-2016</stp>
        <stp>12-10-2016</stp>
        <stp>[TPM a RPM_v21.xlsm]Informe5!R17C33</stp>
        <tr r="AG17" s="29"/>
      </tp>
      <tp>
        <v>3.54</v>
        <stp/>
        <stp>##V3_BDHV12</stp>
        <stp>CHSWP5  Curncy</stp>
        <stp>PX_LAST</stp>
        <stp>13-10-2016</stp>
        <stp>13-10-2016</stp>
        <stp>[TPM a RPM_v21.xlsm]Informe5!R16C33</stp>
        <tr r="AG16" s="29"/>
      </tp>
      <tp>
        <v>3.56</v>
        <stp/>
        <stp>##V3_BDHV12</stp>
        <stp>CHSWP5  Curncy</stp>
        <stp>PX_LAST</stp>
        <stp>14-10-2016</stp>
        <stp>14-10-2016</stp>
        <stp>[TPM a RPM_v21.xlsm]Informe5!R15C33</stp>
        <tr r="AG15" s="29"/>
      </tp>
      <tp>
        <v>3.55</v>
        <stp/>
        <stp>##V3_BDHV12</stp>
        <stp>CHSWP5  Curncy</stp>
        <stp>PX_LAST</stp>
        <stp>17-10-2016</stp>
        <stp>17-10-2016</stp>
        <stp>[TPM a RPM_v21.xlsm]Informe5!R14C33</stp>
        <tr r="AG14" s="29"/>
      </tp>
      <tp>
        <v>3.54</v>
        <stp/>
        <stp>##V3_BDHV12</stp>
        <stp>CHSWP5  Curncy</stp>
        <stp>PX_LAST</stp>
        <stp>21-10-2016</stp>
        <stp>21-10-2016</stp>
        <stp>[TPM a RPM_v21.xlsm]Informe5!R10C33</stp>
        <tr r="AG10" s="29"/>
      </tp>
      <tp>
        <v>3.52</v>
        <stp/>
        <stp>##V3_BDHV12</stp>
        <stp>CHSWP5  Curncy</stp>
        <stp>PX_LAST</stp>
        <stp>20-10-2016</stp>
        <stp>20-10-2016</stp>
        <stp>[TPM a RPM_v21.xlsm]Informe5!R11C33</stp>
        <tr r="AG11" s="29"/>
      </tp>
      <tp>
        <v>3.7</v>
        <stp/>
        <stp>##V3_BDHV12</stp>
        <stp>CHSWP5  Curncy</stp>
        <stp>PX_LAST</stp>
        <stp>05-09-2016</stp>
        <stp>05-09-2016</stp>
        <stp>[TPM a RPM_v21.xlsm]Informe5!R44C33</stp>
        <tr r="AG44" s="29"/>
      </tp>
      <tp>
        <v>3.64</v>
        <stp/>
        <stp>##V3_BDHV12</stp>
        <stp>CHSWP5  Curncy</stp>
        <stp>PX_LAST</stp>
        <stp>15-08-2016</stp>
        <stp>15-08-2016</stp>
        <stp>[TPM a RPM_v21.xlsm]Informe5!R59C33</stp>
        <tr r="AG59" s="29"/>
      </tp>
      <tp>
        <v>3.61</v>
        <stp/>
        <stp>##V3_BDHV12</stp>
        <stp>CHSWP5  Curncy</stp>
        <stp>PX_LAST</stp>
        <stp>07-09-2016</stp>
        <stp>07-09-2016</stp>
        <stp>[TPM a RPM_v21.xlsm]Informe5!R42C33</stp>
        <tr r="AG42" s="29"/>
      </tp>
      <tp>
        <v>3.65</v>
        <stp/>
        <stp>##V3_BDHV12</stp>
        <stp>CHSWP5  Curncy</stp>
        <stp>PX_LAST</stp>
        <stp>16-08-2016</stp>
        <stp>16-08-2016</stp>
        <stp>[TPM a RPM_v21.xlsm]Informe5!R58C33</stp>
        <tr r="AG58" s="29"/>
      </tp>
      <tp>
        <v>3.65</v>
        <stp/>
        <stp>##V3_BDHV12</stp>
        <stp>CHSWP5  Curncy</stp>
        <stp>PX_LAST</stp>
        <stp>06-09-2016</stp>
        <stp>06-09-2016</stp>
        <stp>[TPM a RPM_v21.xlsm]Informe5!R43C33</stp>
        <tr r="AG43" s="29"/>
      </tp>
      <tp>
        <v>3.65</v>
        <stp/>
        <stp>##V3_BDHV12</stp>
        <stp>CHSWP5  Curncy</stp>
        <stp>PX_LAST</stp>
        <stp>17-08-2016</stp>
        <stp>17-08-2016</stp>
        <stp>[TPM a RPM_v21.xlsm]Informe5!R57C33</stp>
        <tr r="AG57" s="29"/>
      </tp>
      <tp>
        <v>3.74</v>
        <stp/>
        <stp>##V3_BDHV12</stp>
        <stp>CHSWP5  Curncy</stp>
        <stp>PX_LAST</stp>
        <stp>01-09-2016</stp>
        <stp>01-09-2016</stp>
        <stp>[TPM a RPM_v21.xlsm]Informe5!R46C33</stp>
        <tr r="AG46" s="29"/>
      </tp>
      <tp>
        <v>3.64</v>
        <stp/>
        <stp>##V3_BDHV12</stp>
        <stp>CHSWP5  Curncy</stp>
        <stp>PX_LAST</stp>
        <stp>12-08-2016</stp>
        <stp>12-08-2016</stp>
        <stp>[TPM a RPM_v21.xlsm]Informe5!R60C33</stp>
        <tr r="AG60" s="29"/>
      </tp>
      <tp>
        <v>3.7</v>
        <stp/>
        <stp>##V3_BDHV12</stp>
        <stp>CHSWP5  Curncy</stp>
        <stp>PX_LAST</stp>
        <stp>11-08-2016</stp>
        <stp>11-08-2016</stp>
        <stp>[TPM a RPM_v21.xlsm]Informe5!R61C33</stp>
        <tr r="AG61" s="29"/>
      </tp>
      <tp>
        <v>3.74</v>
        <stp/>
        <stp>##V3_BDHV12</stp>
        <stp>CHSWP5  Curncy</stp>
        <stp>PX_LAST</stp>
        <stp>02-09-2016</stp>
        <stp>02-09-2016</stp>
        <stp>[TPM a RPM_v21.xlsm]Informe5!R45C33</stp>
        <tr r="AG45" s="29"/>
      </tp>
      <tp>
        <v>3.73</v>
        <stp/>
        <stp>##V3_BDHV12</stp>
        <stp>CHSWP5  Curncy</stp>
        <stp>PX_LAST</stp>
        <stp>10-08-2016</stp>
        <stp>10-08-2016</stp>
        <stp>[TPM a RPM_v21.xlsm]Informe5!R62C33</stp>
        <tr r="AG62" s="29"/>
      </tp>
      <tp>
        <v>3.66</v>
        <stp/>
        <stp>##V3_BDHV12</stp>
        <stp>CHSWP5  Curncy</stp>
        <stp>PX_LAST</stp>
        <stp>18-08-2016</stp>
        <stp>18-08-2016</stp>
        <stp>[TPM a RPM_v21.xlsm]Informe5!R56C33</stp>
        <tr r="AG56" s="29"/>
      </tp>
      <tp>
        <v>3.63</v>
        <stp/>
        <stp>##V3_BDHV12</stp>
        <stp>CHSWP5  Curncy</stp>
        <stp>PX_LAST</stp>
        <stp>09-09-2016</stp>
        <stp>09-09-2016</stp>
        <stp>[TPM a RPM_v21.xlsm]Informe5!R40C33</stp>
        <tr r="AG40" s="29"/>
      </tp>
      <tp>
        <v>3.66</v>
        <stp/>
        <stp>##V3_BDHV12</stp>
        <stp>CHSWP5  Curncy</stp>
        <stp>PX_LAST</stp>
        <stp>19-08-2016</stp>
        <stp>19-08-2016</stp>
        <stp>[TPM a RPM_v21.xlsm]Informe5!R55C33</stp>
        <tr r="AG55" s="29"/>
      </tp>
      <tp>
        <v>3.6</v>
        <stp/>
        <stp>##V3_BDHV12</stp>
        <stp>CHSWP5  Curncy</stp>
        <stp>PX_LAST</stp>
        <stp>08-09-2016</stp>
        <stp>08-09-2016</stp>
        <stp>[TPM a RPM_v21.xlsm]Informe5!R41C33</stp>
        <tr r="AG41" s="29"/>
      </tp>
      <tp>
        <v>3.71</v>
        <stp/>
        <stp>##V3_BDHV12</stp>
        <stp>CHSWP5  Curncy</stp>
        <stp>PX_LAST</stp>
        <stp>13-09-2016</stp>
        <stp>13-09-2016</stp>
        <stp>[TPM a RPM_v21.xlsm]Informe5!R38C33</stp>
        <tr r="AG38" s="29"/>
      </tp>
      <tp>
        <v>3.66</v>
        <stp/>
        <stp>##V3_BDHV12</stp>
        <stp>CHSWP5  Curncy</stp>
        <stp>PX_LAST</stp>
        <stp>12-09-2016</stp>
        <stp>12-09-2016</stp>
        <stp>[TPM a RPM_v21.xlsm]Informe5!R39C33</stp>
        <tr r="AG39" s="29"/>
      </tp>
      <tp>
        <v>3.71</v>
        <stp/>
        <stp>##V3_BDHV12</stp>
        <stp>CHSWP5  Curncy</stp>
        <stp>PX_LAST</stp>
        <stp>04-08-2016</stp>
        <stp>04-08-2016</stp>
        <stp>[TPM a RPM_v21.xlsm]Informe5!R66C33</stp>
        <tr r="AG66" s="29"/>
      </tp>
      <tp>
        <v>3.7199999999999998</v>
        <stp/>
        <stp>##V3_BDHV12</stp>
        <stp>CHSWP5  Curncy</stp>
        <stp>PX_LAST</stp>
        <stp>05-08-2016</stp>
        <stp>05-08-2016</stp>
        <stp>[TPM a RPM_v21.xlsm]Informe5!R65C33</stp>
        <tr r="AG65" s="29"/>
      </tp>
      <tp>
        <v>3.79</v>
        <stp/>
        <stp>##V3_BDHV12</stp>
        <stp>CHSWP5  Curncy</stp>
        <stp>PX_LAST</stp>
        <stp>02-08-2016</stp>
        <stp>02-08-2016</stp>
        <stp>[TPM a RPM_v21.xlsm]Informe5!R68C33</stp>
        <tr r="AG68" s="29"/>
      </tp>
      <tp>
        <v>3.76</v>
        <stp/>
        <stp>##V3_BDHV12</stp>
        <stp>CHSWP5  Curncy</stp>
        <stp>PX_LAST</stp>
        <stp>03-08-2016</stp>
        <stp>03-08-2016</stp>
        <stp>[TPM a RPM_v21.xlsm]Informe5!R67C33</stp>
        <tr r="AG67" s="29"/>
      </tp>
      <tp>
        <v>3.68</v>
        <stp/>
        <stp>##V3_BDHV12</stp>
        <stp>CHSWP5  Curncy</stp>
        <stp>PX_LAST</stp>
        <stp>16-09-2016</stp>
        <stp>16-09-2016</stp>
        <stp>[TPM a RPM_v21.xlsm]Informe5!R35C33</stp>
        <tr r="AG35" s="29"/>
      </tp>
      <tp>
        <v>3.7</v>
        <stp/>
        <stp>##V3_BDHV12</stp>
        <stp>CHSWP5  Curncy</stp>
        <stp>PX_LAST</stp>
        <stp>15-09-2016</stp>
        <stp>15-09-2016</stp>
        <stp>[TPM a RPM_v21.xlsm]Informe5!R36C33</stp>
        <tr r="AG36" s="29"/>
      </tp>
      <tp>
        <v>3.7</v>
        <stp/>
        <stp>##V3_BDHV12</stp>
        <stp>CHSWP5  Curncy</stp>
        <stp>PX_LAST</stp>
        <stp>14-09-2016</stp>
        <stp>14-09-2016</stp>
        <stp>[TPM a RPM_v21.xlsm]Informe5!R37C33</stp>
        <tr r="AG37" s="29"/>
      </tp>
      <tp>
        <v>3.81</v>
        <stp/>
        <stp>##V3_BDHV12</stp>
        <stp>CHSWP5  Curncy</stp>
        <stp>PX_LAST</stp>
        <stp>01-08-2016</stp>
        <stp>01-08-2016</stp>
        <stp>[TPM a RPM_v21.xlsm]Informe5!R69C33</stp>
        <tr r="AG69" s="29"/>
      </tp>
      <tp>
        <v>3.71</v>
        <stp/>
        <stp>##V3_BDHV12</stp>
        <stp>CHSWP5  Curncy</stp>
        <stp>PX_LAST</stp>
        <stp>19-09-2016</stp>
        <stp>19-09-2016</stp>
        <stp>[TPM a RPM_v21.xlsm]Informe5!R34C33</stp>
        <tr r="AG34" s="29"/>
      </tp>
      <tp>
        <v>3.74</v>
        <stp/>
        <stp>##V3_BDHV12</stp>
        <stp>CHSWP5  Curncy</stp>
        <stp>PX_LAST</stp>
        <stp>08-08-2016</stp>
        <stp>08-08-2016</stp>
        <stp>[TPM a RPM_v21.xlsm]Informe5!R64C33</stp>
        <tr r="AG64" s="29"/>
      </tp>
      <tp>
        <v>3.74</v>
        <stp/>
        <stp>##V3_BDHV12</stp>
        <stp>CHSWP5  Curncy</stp>
        <stp>PX_LAST</stp>
        <stp>09-08-2016</stp>
        <stp>09-08-2016</stp>
        <stp>[TPM a RPM_v21.xlsm]Informe5!R63C33</stp>
        <tr r="AG63" s="29"/>
      </tp>
      <tp>
        <v>3.69</v>
        <stp/>
        <stp>##V3_BDHV12</stp>
        <stp>CHSWP5  Curncy</stp>
        <stp>PX_LAST</stp>
        <stp>20-09-2016</stp>
        <stp>20-09-2016</stp>
        <stp>[TPM a RPM_v21.xlsm]Informe5!R33C33</stp>
        <tr r="AG33" s="29"/>
      </tp>
      <tp>
        <v>3.69</v>
        <stp/>
        <stp>##V3_BDHV12</stp>
        <stp>CHSWP5  Curncy</stp>
        <stp>PX_LAST</stp>
        <stp>21-09-2016</stp>
        <stp>21-09-2016</stp>
        <stp>[TPM a RPM_v21.xlsm]Informe5!R32C33</stp>
        <tr r="AG32" s="29"/>
      </tp>
      <tp>
        <v>3.66</v>
        <stp/>
        <stp>##V3_BDHV12</stp>
        <stp>CHSWP5  Curncy</stp>
        <stp>PX_LAST</stp>
        <stp>22-09-2016</stp>
        <stp>22-09-2016</stp>
        <stp>[TPM a RPM_v21.xlsm]Informe5!R31C33</stp>
        <tr r="AG31" s="29"/>
      </tp>
      <tp>
        <v>3.66</v>
        <stp/>
        <stp>##V3_BDHV12</stp>
        <stp>CHSWP5  Curncy</stp>
        <stp>PX_LAST</stp>
        <stp>23-09-2016</stp>
        <stp>23-09-2016</stp>
        <stp>[TPM a RPM_v21.xlsm]Informe5!R30C33</stp>
        <tr r="AG30" s="29"/>
      </tp>
      <tp>
        <v>3.73</v>
        <stp/>
        <stp>##V3_BDHV12</stp>
        <stp>CHSWP5  Curncy</stp>
        <stp>PX_LAST</stp>
        <stp>31-08-2016</stp>
        <stp>31-08-2016</stp>
        <stp>[TPM a RPM_v21.xlsm]Informe5!R47C33</stp>
        <tr r="AG47" s="29"/>
      </tp>
      <tp>
        <v>3.62</v>
        <stp/>
        <stp>##V3_BDHV12</stp>
        <stp>CHSWP5  Curncy</stp>
        <stp>PX_LAST</stp>
        <stp>27-09-2016</stp>
        <stp>27-09-2016</stp>
        <stp>[TPM a RPM_v21.xlsm]Informe5!R28C33</stp>
        <tr r="AG28" s="29"/>
      </tp>
      <tp>
        <v>3.66</v>
        <stp/>
        <stp>##V3_BDHV12</stp>
        <stp>CHSWP5  Curncy</stp>
        <stp>PX_LAST</stp>
        <stp>26-09-2016</stp>
        <stp>26-09-2016</stp>
        <stp>[TPM a RPM_v21.xlsm]Informe5!R29C33</stp>
        <tr r="AG29" s="29"/>
      </tp>
      <tp>
        <v>3.73</v>
        <stp/>
        <stp>##V3_BDHV12</stp>
        <stp>CHSWP5  Curncy</stp>
        <stp>PX_LAST</stp>
        <stp>30-08-2016</stp>
        <stp>30-08-2016</stp>
        <stp>[TPM a RPM_v21.xlsm]Informe5!R48C33</stp>
        <tr r="AG48" s="29"/>
      </tp>
      <tp>
        <v>3.63</v>
        <stp/>
        <stp>##V3_BDHV12</stp>
        <stp>CHSWP5  Curncy</stp>
        <stp>PX_LAST</stp>
        <stp>29-09-2016</stp>
        <stp>29-09-2016</stp>
        <stp>[TPM a RPM_v21.xlsm]Informe5!R26C33</stp>
        <tr r="AG26" s="29"/>
      </tp>
      <tp>
        <v>3.6</v>
        <stp/>
        <stp>##V3_BDHV12</stp>
        <stp>CHSWP5  Curncy</stp>
        <stp>PX_LAST</stp>
        <stp>28-09-2016</stp>
        <stp>28-09-2016</stp>
        <stp>[TPM a RPM_v21.xlsm]Informe5!R27C33</stp>
        <tr r="AG27" s="29"/>
      </tp>
      <tp>
        <v>3.66</v>
        <stp/>
        <stp>##V3_BDHV12</stp>
        <stp>CHSWP5  Curncy</stp>
        <stp>PX_LAST</stp>
        <stp>30-09-2016</stp>
        <stp>30-09-2016</stp>
        <stp>[TPM a RPM_v21.xlsm]Informe5!R25C33</stp>
        <tr r="AG25" s="29"/>
      </tp>
      <tp>
        <v>3.7199999999999998</v>
        <stp/>
        <stp>##V3_BDHV12</stp>
        <stp>CHSWP5  Curncy</stp>
        <stp>PX_LAST</stp>
        <stp>26-08-2016</stp>
        <stp>26-08-2016</stp>
        <stp>[TPM a RPM_v21.xlsm]Informe5!R50C33</stp>
        <tr r="AG50" s="29"/>
      </tp>
      <tp>
        <v>3.71</v>
        <stp/>
        <stp>##V3_BDHV12</stp>
        <stp>CHSWP5  Curncy</stp>
        <stp>PX_LAST</stp>
        <stp>25-08-2016</stp>
        <stp>25-08-2016</stp>
        <stp>[TPM a RPM_v21.xlsm]Informe5!R51C33</stp>
        <tr r="AG51" s="29"/>
      </tp>
      <tp>
        <v>3.7</v>
        <stp/>
        <stp>##V3_BDHV12</stp>
        <stp>CHSWP5  Curncy</stp>
        <stp>PX_LAST</stp>
        <stp>24-08-2016</stp>
        <stp>24-08-2016</stp>
        <stp>[TPM a RPM_v21.xlsm]Informe5!R52C33</stp>
        <tr r="AG52" s="29"/>
      </tp>
      <tp>
        <v>3.66</v>
        <stp/>
        <stp>##V3_BDHV12</stp>
        <stp>CHSWP5  Curncy</stp>
        <stp>PX_LAST</stp>
        <stp>23-08-2016</stp>
        <stp>23-08-2016</stp>
        <stp>[TPM a RPM_v21.xlsm]Informe5!R53C33</stp>
        <tr r="AG53" s="29"/>
      </tp>
      <tp>
        <v>3.68</v>
        <stp/>
        <stp>##V3_BDHV12</stp>
        <stp>CHSWP5  Curncy</stp>
        <stp>PX_LAST</stp>
        <stp>22-08-2016</stp>
        <stp>22-08-2016</stp>
        <stp>[TPM a RPM_v21.xlsm]Informe5!R54C33</stp>
        <tr r="AG54" s="29"/>
      </tp>
      <tp>
        <v>3.7199999999999998</v>
        <stp/>
        <stp>##V3_BDHV12</stp>
        <stp>CHSWP5  Curncy</stp>
        <stp>PX_LAST</stp>
        <stp>29-08-2016</stp>
        <stp>29-08-2016</stp>
        <stp>[TPM a RPM_v21.xlsm]Informe5!R49C33</stp>
        <tr r="AG49" s="29"/>
      </tp>
      <tp>
        <v>3.9</v>
        <stp/>
        <stp>##V3_BDHV12</stp>
        <stp>CHSWP5  Curncy</stp>
        <stp>PX_LAST</stp>
        <stp>28-07-2016</stp>
        <stp>28-07-2016</stp>
        <stp>[TPM a RPM_v21.xlsm]Informe5!R71C33</stp>
        <tr r="AG71" s="29"/>
      </tp>
      <tp>
        <v>3.8</v>
        <stp/>
        <stp>##V3_BDHV12</stp>
        <stp>CHSWP5  Curncy</stp>
        <stp>PX_LAST</stp>
        <stp>29-07-2016</stp>
        <stp>29-07-2016</stp>
        <stp>[TPM a RPM_v21.xlsm]Informe5!R70C33</stp>
        <tr r="AG70" s="29"/>
      </tp>
      <tp>
        <v>3.89</v>
        <stp/>
        <stp>##V3_BDHV12</stp>
        <stp>CHSWP5  Curncy</stp>
        <stp>PX_LAST</stp>
        <stp>30-06-2016</stp>
        <stp>30-06-2016</stp>
        <stp>[TPM a RPM_v21.xlsm]Informe5!R91C33</stp>
        <tr r="AG91" s="29"/>
      </tp>
      <tp>
        <v>3.85</v>
        <stp/>
        <stp>##V3_BDHV12</stp>
        <stp>CHSWP5  Curncy</stp>
        <stp>PX_LAST</stp>
        <stp>22-07-2016</stp>
        <stp>22-07-2016</stp>
        <stp>[TPM a RPM_v21.xlsm]Informe5!R75C33</stp>
        <tr r="AG75" s="29"/>
      </tp>
      <tp>
        <v>3.79</v>
        <stp/>
        <stp>##V3_BDHV12</stp>
        <stp>CHSWP5  Curncy</stp>
        <stp>PX_LAST</stp>
        <stp>20-07-2016</stp>
        <stp>20-07-2016</stp>
        <stp>[TPM a RPM_v21.xlsm]Informe5!R77C33</stp>
        <tr r="AG77" s="29"/>
      </tp>
      <tp>
        <v>3.8</v>
        <stp/>
        <stp>##V3_BDHV12</stp>
        <stp>CHSWP5  Curncy</stp>
        <stp>PX_LAST</stp>
        <stp>21-07-2016</stp>
        <stp>21-07-2016</stp>
        <stp>[TPM a RPM_v21.xlsm]Informe5!R76C33</stp>
        <tr r="AG76" s="29"/>
      </tp>
      <tp>
        <v>3.93</v>
        <stp/>
        <stp>##V3_BDHV12</stp>
        <stp>CHSWP5  Curncy</stp>
        <stp>PX_LAST</stp>
        <stp>26-07-2016</stp>
        <stp>26-07-2016</stp>
        <stp>[TPM a RPM_v21.xlsm]Informe5!R73C33</stp>
        <tr r="AG73" s="29"/>
      </tp>
      <tp>
        <v>3.92</v>
        <stp/>
        <stp>##V3_BDHV12</stp>
        <stp>CHSWP5  Curncy</stp>
        <stp>PX_LAST</stp>
        <stp>27-07-2016</stp>
        <stp>27-07-2016</stp>
        <stp>[TPM a RPM_v21.xlsm]Informe5!R72C33</stp>
        <tr r="AG72" s="29"/>
      </tp>
      <tp>
        <v>3.94</v>
        <stp/>
        <stp>##V3_BDHV12</stp>
        <stp>CHSWP5  Curncy</stp>
        <stp>PX_LAST</stp>
        <stp>25-07-2016</stp>
        <stp>25-07-2016</stp>
        <stp>[TPM a RPM_v21.xlsm]Informe5!R74C33</stp>
        <tr r="AG74" s="29"/>
      </tp>
      <tp>
        <v>4.0199999999999996</v>
        <stp/>
        <stp>##V3_BDHV12</stp>
        <stp>CHSWP5  Curncy</stp>
        <stp>PX_LAST</stp>
        <stp>24-06-2016</stp>
        <stp>24-06-2016</stp>
        <stp>[TPM a RPM_v21.xlsm]Informe5!R95C33</stp>
        <tr r="AG95" s="29"/>
      </tp>
      <tp>
        <v>4.0199999999999996</v>
        <stp/>
        <stp>##V3_BDHV12</stp>
        <stp>CHSWP5  Curncy</stp>
        <stp>PX_LAST</stp>
        <stp>27-06-2016</stp>
        <stp>27-06-2016</stp>
        <stp>[TPM a RPM_v21.xlsm]Informe5!R94C33</stp>
        <tr r="AG94" s="29"/>
      </tp>
      <tp>
        <v>4.05</v>
        <stp/>
        <stp>##V3_BDHV12</stp>
        <stp>CHSWP5  Curncy</stp>
        <stp>PX_LAST</stp>
        <stp>21-06-2016</stp>
        <stp>21-06-2016</stp>
        <stp>[TPM a RPM_v21.xlsm]Informe5!R98C33</stp>
        <tr r="AG98" s="29"/>
      </tp>
      <tp>
        <v>4.0599999999999996</v>
        <stp/>
        <stp>##V3_BDHV12</stp>
        <stp>CHSWP5  Curncy</stp>
        <stp>PX_LAST</stp>
        <stp>20-06-2016</stp>
        <stp>20-06-2016</stp>
        <stp>[TPM a RPM_v21.xlsm]Informe5!R99C33</stp>
        <tr r="AG99" s="29"/>
      </tp>
      <tp>
        <v>4.05</v>
        <stp/>
        <stp>##V3_BDHV12</stp>
        <stp>CHSWP5  Curncy</stp>
        <stp>PX_LAST</stp>
        <stp>23-06-2016</stp>
        <stp>23-06-2016</stp>
        <stp>[TPM a RPM_v21.xlsm]Informe5!R96C33</stp>
        <tr r="AG96" s="29"/>
      </tp>
      <tp>
        <v>4.04</v>
        <stp/>
        <stp>##V3_BDHV12</stp>
        <stp>CHSWP5  Curncy</stp>
        <stp>PX_LAST</stp>
        <stp>22-06-2016</stp>
        <stp>22-06-2016</stp>
        <stp>[TPM a RPM_v21.xlsm]Informe5!R97C33</stp>
        <tr r="AG97" s="29"/>
      </tp>
      <tp>
        <v>3.94</v>
        <stp/>
        <stp>##V3_BDHV12</stp>
        <stp>CHSWP5  Curncy</stp>
        <stp>PX_LAST</stp>
        <stp>29-06-2016</stp>
        <stp>29-06-2016</stp>
        <stp>[TPM a RPM_v21.xlsm]Informe5!R92C33</stp>
        <tr r="AG92" s="29"/>
      </tp>
      <tp>
        <v>3.94</v>
        <stp/>
        <stp>##V3_BDHV12</stp>
        <stp>CHSWP5  Curncy</stp>
        <stp>PX_LAST</stp>
        <stp>28-06-2016</stp>
        <stp>28-06-2016</stp>
        <stp>[TPM a RPM_v21.xlsm]Informe5!R93C33</stp>
        <tr r="AG93" s="29"/>
      </tp>
      <tp>
        <v>3.85</v>
        <stp/>
        <stp>##V3_BDHV12</stp>
        <stp>CHSWP5  Curncy</stp>
        <stp>PX_LAST</stp>
        <stp>07-07-2016</stp>
        <stp>07-07-2016</stp>
        <stp>[TPM a RPM_v21.xlsm]Informe5!R86C33</stp>
        <tr r="AG86" s="29"/>
      </tp>
      <tp>
        <v>3.86</v>
        <stp/>
        <stp>##V3_BDHV12</stp>
        <stp>CHSWP5  Curncy</stp>
        <stp>PX_LAST</stp>
        <stp>06-07-2016</stp>
        <stp>06-07-2016</stp>
        <stp>[TPM a RPM_v21.xlsm]Informe5!R87C33</stp>
        <tr r="AG87" s="29"/>
      </tp>
      <tp>
        <v>3.83</v>
        <stp/>
        <stp>##V3_BDHV12</stp>
        <stp>CHSWP5  Curncy</stp>
        <stp>PX_LAST</stp>
        <stp>05-07-2016</stp>
        <stp>05-07-2016</stp>
        <stp>[TPM a RPM_v21.xlsm]Informe5!R88C33</stp>
        <tr r="AG88" s="29"/>
      </tp>
      <tp>
        <v>3.81</v>
        <stp/>
        <stp>##V3_BDHV12</stp>
        <stp>CHSWP5  Curncy</stp>
        <stp>PX_LAST</stp>
        <stp>04-07-2016</stp>
        <stp>04-07-2016</stp>
        <stp>[TPM a RPM_v21.xlsm]Informe5!R89C33</stp>
        <tr r="AG89" s="29"/>
      </tp>
      <tp>
        <v>3.87</v>
        <stp/>
        <stp>##V3_BDHV12</stp>
        <stp>CHSWP5  Curncy</stp>
        <stp>PX_LAST</stp>
        <stp>01-07-2016</stp>
        <stp>01-07-2016</stp>
        <stp>[TPM a RPM_v21.xlsm]Informe5!R90C33</stp>
        <tr r="AG90" s="29"/>
      </tp>
      <tp>
        <v>3.84</v>
        <stp/>
        <stp>##V3_BDHV12</stp>
        <stp>CHSWP5  Curncy</stp>
        <stp>PX_LAST</stp>
        <stp>08-07-2016</stp>
        <stp>08-07-2016</stp>
        <stp>[TPM a RPM_v21.xlsm]Informe5!R85C33</stp>
        <tr r="AG85" s="29"/>
      </tp>
      <tp>
        <v>0.68465253565574002</v>
        <stp/>
        <stp>##V3_BDPV12</stp>
        <stp>RIAMC002 Index</stp>
        <stp>VOLATILITY_260D</stp>
        <stp>[TPM a RPM_v21.xlsm]VolIndicesRA!R14C3</stp>
        <tr r="C14" s="20"/>
      </tp>
      <tp>
        <v>3.79</v>
        <stp/>
        <stp>##V3_BDHV12</stp>
        <stp>CHSWP5  Curncy</stp>
        <stp>PX_LAST</stp>
        <stp>19-07-2016</stp>
        <stp>19-07-2016</stp>
        <stp>[TPM a RPM_v21.xlsm]Informe5!R78C33</stp>
        <tr r="AG78" s="29"/>
      </tp>
      <tp>
        <v>3.82</v>
        <stp/>
        <stp>##V3_BDHV12</stp>
        <stp>CHSWP5  Curncy</stp>
        <stp>PX_LAST</stp>
        <stp>18-07-2016</stp>
        <stp>18-07-2016</stp>
        <stp>[TPM a RPM_v21.xlsm]Informe5!R79C33</stp>
        <tr r="AG79" s="29"/>
      </tp>
      <tp>
        <v>3.8</v>
        <stp/>
        <stp>##V3_BDHV12</stp>
        <stp>CHSWP5  Curncy</stp>
        <stp>PX_LAST</stp>
        <stp>14-07-2016</stp>
        <stp>14-07-2016</stp>
        <stp>[TPM a RPM_v21.xlsm]Informe5!R81C33</stp>
        <tr r="AG81" s="29"/>
      </tp>
      <tp>
        <v>3.82</v>
        <stp/>
        <stp>##V3_BDHV12</stp>
        <stp>CHSWP5  Curncy</stp>
        <stp>PX_LAST</stp>
        <stp>15-07-2016</stp>
        <stp>15-07-2016</stp>
        <stp>[TPM a RPM_v21.xlsm]Informe5!R80C33</stp>
        <tr r="AG80" s="29"/>
      </tp>
      <tp>
        <v>3.85</v>
        <stp/>
        <stp>##V3_BDHV12</stp>
        <stp>CHSWP5  Curncy</stp>
        <stp>PX_LAST</stp>
        <stp>12-07-2016</stp>
        <stp>12-07-2016</stp>
        <stp>[TPM a RPM_v21.xlsm]Informe5!R83C33</stp>
        <tr r="AG83" s="29"/>
      </tp>
      <tp>
        <v>3.86</v>
        <stp/>
        <stp>##V3_BDHV12</stp>
        <stp>CHSWP5  Curncy</stp>
        <stp>PX_LAST</stp>
        <stp>13-07-2016</stp>
        <stp>13-07-2016</stp>
        <stp>[TPM a RPM_v21.xlsm]Informe5!R82C33</stp>
        <tr r="AG82" s="29"/>
      </tp>
      <tp>
        <v>3.85</v>
        <stp/>
        <stp>##V3_BDHV12</stp>
        <stp>CHSWP5  Curncy</stp>
        <stp>PX_LAST</stp>
        <stp>11-07-2016</stp>
        <stp>11-07-2016</stp>
        <stp>[TPM a RPM_v21.xlsm]Informe5!R84C33</stp>
        <tr r="AG84" s="29"/>
      </tp>
    </main>
    <main first="bloomberg.rtd">
      <tp>
        <v>1.1599999999999999</v>
        <stp/>
        <stp>##V3_BDHV12</stp>
        <stp>CHSWC10 Curncy</stp>
        <stp>PX_LAST</stp>
        <stp>26-10-2016</stp>
        <stp>26-10-2016</stp>
        <stp>[TPM a RPM_v21.xlsm]Informe5!R7C37</stp>
        <tr r="AK7" s="29"/>
      </tp>
      <tp>
        <v>1.1499999999999999</v>
        <stp/>
        <stp>##V3_BDHV12</stp>
        <stp>CHSWC10 Curncy</stp>
        <stp>PX_LAST</stp>
        <stp>27-10-2016</stp>
        <stp>27-10-2016</stp>
        <stp>[TPM a RPM_v21.xlsm]Informe5!R6C37</stp>
        <tr r="AK6" s="29"/>
      </tp>
      <tp>
        <v>4.2</v>
        <stp/>
        <stp>##V3_BDHV12</stp>
        <stp>CHSWP15  Curncy</stp>
        <stp>PX_LAST</stp>
        <stp>27-10-2016</stp>
        <stp>27-10-2016</stp>
        <stp>[TPM a RPM_v21.xlsm]Zero_swap_CL!R17C5</stp>
        <tr r="E17" s="15"/>
      </tp>
      <tp>
        <v>1.17</v>
        <stp/>
        <stp>##V3_BDHV12</stp>
        <stp>CHSWC10 Curncy</stp>
        <stp>PX_LAST</stp>
        <stp>24-10-2016</stp>
        <stp>24-10-2016</stp>
        <stp>[TPM a RPM_v21.xlsm]Informe5!R9C37</stp>
        <tr r="AK9" s="29"/>
      </tp>
      <tp>
        <v>4.04</v>
        <stp/>
        <stp>##V3_BDHV12</stp>
        <stp>CHSWP10  Curncy</stp>
        <stp>PX_LAST</stp>
        <stp>27-10-2016</stp>
        <stp>27-10-2016</stp>
        <stp>[TPM a RPM_v21.xlsm]Zero_swap_CL!R16C5</stp>
        <tr r="E16" s="15"/>
      </tp>
      <tp>
        <v>371</v>
        <stp/>
        <stp>##V3_BDPV12</stp>
        <stp>CHSWP1  Curncy</stp>
        <stp>DAYS_TO_MTY_TDY</stp>
        <stp>[TPM a RPM_v21.xlsm]Zero_swap_CL!R6C9</stp>
        <tr r="I6" s="15"/>
      </tp>
      <tp>
        <v>1.1400000000000001</v>
        <stp/>
        <stp>##V3_BDHV12</stp>
        <stp>CHSWC10 Curncy</stp>
        <stp>PX_LAST</stp>
        <stp>25-10-2016</stp>
        <stp>25-10-2016</stp>
        <stp>[TPM a RPM_v21.xlsm]Informe5!R8C37</stp>
        <tr r="AK8" s="29"/>
      </tp>
      <tp t="s">
        <v>07-04-2017</v>
        <stp/>
        <stp>##V3_BDPV12</stp>
        <stp>CFNP5 BSAC Curncy</stp>
        <stp>SETTLE_DT</stp>
        <stp>[TPM a RPM_v21.xlsm]Inflation_FWD!R8C2</stp>
        <tr r="B8" s="16"/>
      </tp>
      <tp t="s">
        <v>09-03-2018</v>
        <stp/>
        <stp>##V3_BDPV12</stp>
        <stp>CFNP16 BSAC Curncy</stp>
        <stp>SETTLE_DT</stp>
        <stp>[TPM a RPM_v21.xlsm]Inflation_FWD!R19C2</stp>
        <tr r="B19" s="16"/>
      </tp>
      <tp t="s">
        <v>09-05-2017</v>
        <stp/>
        <stp>##V3_BDPV12</stp>
        <stp>CFNP6 BSAC Curncy</stp>
        <stp>SETTLE_DT</stp>
        <stp>[TPM a RPM_v21.xlsm]Inflation_FWD!R9C2</stp>
        <tr r="B9" s="16"/>
      </tp>
      <tp t="s">
        <v>09-02-2018</v>
        <stp/>
        <stp>##V3_BDPV12</stp>
        <stp>CFNP15 BSAC Curncy</stp>
        <stp>SETTLE_DT</stp>
        <stp>[TPM a RPM_v21.xlsm]Inflation_FWD!R18C2</stp>
        <tr r="B18" s="16"/>
      </tp>
      <tp t="s">
        <v>09-12-2016</v>
        <stp/>
        <stp>##V3_BDPV12</stp>
        <stp>CFNP1 BSAC Curncy</stp>
        <stp>SETTLE_DT</stp>
        <stp>[TPM a RPM_v21.xlsm]Inflation_FWD!R4C2</stp>
        <tr r="B4" s="16"/>
      </tp>
      <tp t="s">
        <v>08-09-2017</v>
        <stp/>
        <stp>##V3_BDPV12</stp>
        <stp>CFNP10 BSAC Curncy</stp>
        <stp>SETTLE_DT</stp>
        <stp>[TPM a RPM_v21.xlsm]Inflation_FWD!R13C2</stp>
        <tr r="B13" s="16"/>
      </tp>
      <tp t="s">
        <v>09-01-2018</v>
        <stp/>
        <stp>##V3_BDPV12</stp>
        <stp>CFNP14 BSAC Curncy</stp>
        <stp>SETTLE_DT</stp>
        <stp>[TPM a RPM_v21.xlsm]Inflation_FWD!R17C2</stp>
        <tr r="B17" s="16"/>
      </tp>
      <tp t="s">
        <v>09-01-2017</v>
        <stp/>
        <stp>##V3_BDPV12</stp>
        <stp>CFNP2 BSAC Curncy</stp>
        <stp>SETTLE_DT</stp>
        <stp>[TPM a RPM_v21.xlsm]Inflation_FWD!R5C2</stp>
        <tr r="B5" s="16"/>
      </tp>
      <tp t="s">
        <v>09-02-2017</v>
        <stp/>
        <stp>##V3_BDPV12</stp>
        <stp>CFNP3 BSAC Curncy</stp>
        <stp>SETTLE_DT</stp>
        <stp>[TPM a RPM_v21.xlsm]Inflation_FWD!R6C2</stp>
        <tr r="B6" s="16"/>
      </tp>
      <tp t="s">
        <v>09-03-2017</v>
        <stp/>
        <stp>##V3_BDPV12</stp>
        <stp>CFNP4 BSAC Curncy</stp>
        <stp>SETTLE_DT</stp>
        <stp>[TPM a RPM_v21.xlsm]Inflation_FWD!R7C2</stp>
        <tr r="B7" s="16"/>
      </tp>
      <tp t="s">
        <v>09-11-2017</v>
        <stp/>
        <stp>##V3_BDPV12</stp>
        <stp>CFNP12 BSAC Curncy</stp>
        <stp>SETTLE_DT</stp>
        <stp>[TPM a RPM_v21.xlsm]Inflation_FWD!R15C2</stp>
        <tr r="B15" s="16"/>
      </tp>
      <tp t="s">
        <v>09-04-2018</v>
        <stp/>
        <stp>##V3_BDPV12</stp>
        <stp>CFNP17 BSAC Curncy</stp>
        <stp>SETTLE_DT</stp>
        <stp>[TPM a RPM_v21.xlsm]Inflation_FWD!R20C2</stp>
        <tr r="B20" s="16"/>
      </tp>
      <tp>
        <v>552</v>
        <stp/>
        <stp>##V3_BDPV12</stp>
        <stp>CHSWP1F  Curncy</stp>
        <stp>DAYS_TO_MTY_TDY</stp>
        <stp>[TPM a RPM_v21.xlsm]Zero_swap_CL!R7C10</stp>
        <tr r="J7" s="15"/>
      </tp>
      <tp>
        <v>4.2699999999999996</v>
        <stp/>
        <stp>##V3_BDHV12</stp>
        <stp>CHSWP20  Curncy</stp>
        <stp>PX_LAST</stp>
        <stp>27-10-2016</stp>
        <stp>27-10-2016</stp>
        <stp>[TPM a RPM_v21.xlsm]Zero_swap_CL!R18C5</stp>
        <tr r="E18" s="15"/>
      </tp>
      <tp>
        <v>736</v>
        <stp/>
        <stp>##V3_BDPV12</stp>
        <stp>CHSWP2  Curncy</stp>
        <stp>DAYS_TO_MTY_TDY</stp>
        <stp>[TPM a RPM_v21.xlsm]Zero_swap_CL!R8C9</stp>
        <tr r="I8" s="15"/>
      </tp>
      <tp>
        <v>1101</v>
        <stp/>
        <stp>##V3_BDPV12</stp>
        <stp>CHSWP3  Curncy</stp>
        <stp>DAYS_TO_MTY_TDY</stp>
        <stp>[TPM a RPM_v21.xlsm]Zero_swap_CL!R9C9</stp>
        <tr r="I9" s="15"/>
      </tp>
      <tp t="s">
        <v>06-10-2017</v>
        <stp/>
        <stp>##V3_BDPV12</stp>
        <stp>CFNP11 BSAC Curncy</stp>
        <stp>SETTLE_DT</stp>
        <stp>[TPM a RPM_v21.xlsm]Inflation_FWD!R14C2</stp>
        <tr r="B14" s="16"/>
      </tp>
      <tp t="s">
        <v>07-12-2017</v>
        <stp/>
        <stp>##V3_BDPV12</stp>
        <stp>CFNP13 BSAC Curncy</stp>
        <stp>SETTLE_DT</stp>
        <stp>[TPM a RPM_v21.xlsm]Inflation_FWD!R16C2</stp>
        <tr r="B16" s="16"/>
      </tp>
      <tp>
        <v>3.2</v>
        <stp/>
        <stp>##V3_BDHV12</stp>
        <stp>CHSWP2  Curncy</stp>
        <stp>PX_LAST</stp>
        <stp>25-10-2016</stp>
        <stp>25-10-2016</stp>
        <stp>[TPM a RPM_v21.xlsm]Informe5!R8C32</stp>
        <tr r="AF8" s="29"/>
      </tp>
      <tp>
        <v>3.54</v>
        <stp/>
        <stp>##V3_BDHV12</stp>
        <stp>CHSWP5  Curncy</stp>
        <stp>PX_LAST</stp>
        <stp>25-10-2016</stp>
        <stp>25-10-2016</stp>
        <stp>[TPM a RPM_v21.xlsm]Informe5!R8C33</stp>
        <tr r="AG8" s="29"/>
      </tp>
      <tp t="e">
        <v>#N/A</v>
        <stp/>
        <stp>##V3_BDHV12</stp>
        <stp>CNPINSMO Index</stp>
        <stp>PX_LAST</stp>
        <stp>01-01-2013</stp>
        <stp/>
        <stp>[TPM a RPM_v21.xlsm]Inflation_FWD!R5C12</stp>
        <stp>Dir=V</stp>
        <stp>Dts=S</stp>
        <stp>Sort=A</stp>
        <stp>Quote=C</stp>
        <stp>QtTyp=Y</stp>
        <stp>Days=T</stp>
        <stp>Per=cd</stp>
        <stp>DtFmt=D</stp>
        <stp>UseDPDF=Y</stp>
        <stp>cols=2;rows=45</stp>
        <tr r="L5" s="16"/>
      </tp>
      <tp>
        <v>3.22</v>
        <stp/>
        <stp>##V3_BDHV12</stp>
        <stp>CHSWP2  Curncy</stp>
        <stp>PX_LAST</stp>
        <stp>24-10-2016</stp>
        <stp>24-10-2016</stp>
        <stp>[TPM a RPM_v21.xlsm]Informe5!R9C32</stp>
        <tr r="AF9" s="29"/>
      </tp>
      <tp>
        <v>3.55</v>
        <stp/>
        <stp>##V3_BDHV12</stp>
        <stp>CHSWP5  Curncy</stp>
        <stp>PX_LAST</stp>
        <stp>24-10-2016</stp>
        <stp>24-10-2016</stp>
        <stp>[TPM a RPM_v21.xlsm]Informe5!R9C33</stp>
        <tr r="AG9" s="29"/>
      </tp>
      <tp>
        <v>3.24</v>
        <stp/>
        <stp>##V3_BDHV12</stp>
        <stp>CHSWP2  Curncy</stp>
        <stp>PX_LAST</stp>
        <stp>27-10-2016</stp>
        <stp>27-10-2016</stp>
        <stp>[TPM a RPM_v21.xlsm]Informe5!R6C32</stp>
        <tr r="AF6" s="29"/>
      </tp>
      <tp>
        <v>3.58</v>
        <stp/>
        <stp>##V3_BDHV12</stp>
        <stp>CHSWP5  Curncy</stp>
        <stp>PX_LAST</stp>
        <stp>27-10-2016</stp>
        <stp>27-10-2016</stp>
        <stp>[TPM a RPM_v21.xlsm]Informe5!R6C33</stp>
        <tr r="AG6" s="29"/>
      </tp>
      <tp>
        <v>3.24</v>
        <stp/>
        <stp>##V3_BDHV12</stp>
        <stp>CHSWP2  Curncy</stp>
        <stp>PX_LAST</stp>
        <stp>26-10-2016</stp>
        <stp>26-10-2016</stp>
        <stp>[TPM a RPM_v21.xlsm]Informe5!R7C32</stp>
        <tr r="AF7" s="29"/>
      </tp>
      <tp>
        <v>3.56</v>
        <stp/>
        <stp>##V3_BDHV12</stp>
        <stp>CHSWP5  Curncy</stp>
        <stp>PX_LAST</stp>
        <stp>26-10-2016</stp>
        <stp>26-10-2016</stp>
        <stp>[TPM a RPM_v21.xlsm]Informe5!R7C33</stp>
        <tr r="AG7" s="29"/>
      </tp>
      <tp t="s">
        <v>07-07-2017</v>
        <stp/>
        <stp>##V3_BDPV12</stp>
        <stp>CFNP8 BSAC Curncy</stp>
        <stp>SETTLE_DT</stp>
        <stp>[TPM a RPM_v21.xlsm]Inflation_FWD!R11C2</stp>
        <tr r="B11" s="16"/>
      </tp>
      <tp>
        <v>371</v>
        <stp/>
        <stp>##V3_BDPV12</stp>
        <stp>CHSWP1  Curncy</stp>
        <stp>DAYS_TO_MTY_TDY</stp>
        <stp>[TPM a RPM_v21.xlsm]Zero_swap_CL!R6C10</stp>
        <tr r="J6" s="15"/>
      </tp>
      <tp>
        <v>736</v>
        <stp/>
        <stp>##V3_BDPV12</stp>
        <stp>CHSWP2  Curncy</stp>
        <stp>DAYS_TO_MTY_TDY</stp>
        <stp>[TPM a RPM_v21.xlsm]Zero_swap_CL!R8C10</stp>
        <tr r="J8" s="15"/>
      </tp>
      <tp>
        <v>1101</v>
        <stp/>
        <stp>##V3_BDPV12</stp>
        <stp>CHSWP3  Curncy</stp>
        <stp>DAYS_TO_MTY_TDY</stp>
        <stp>[TPM a RPM_v21.xlsm]Zero_swap_CL!R9C10</stp>
        <tr r="J9" s="15"/>
      </tp>
      <tp>
        <v>98</v>
        <stp/>
        <stp>##V3_BDPV12</stp>
        <stp>CHSWPC  Curncy</stp>
        <stp>DAYS_TO_MTY_TDY</stp>
        <stp>[TPM a RPM_v21.xlsm]Zero_swap_CL!R3C10</stp>
        <tr r="J3" s="15"/>
      </tp>
      <tp>
        <v>187</v>
        <stp/>
        <stp>##V3_BDPV12</stp>
        <stp>CHSWPF  Curncy</stp>
        <stp>DAYS_TO_MTY_TDY</stp>
        <stp>[TPM a RPM_v21.xlsm]Zero_swap_CL!R4C10</stp>
        <tr r="J4" s="15"/>
      </tp>
      <tp>
        <v>279</v>
        <stp/>
        <stp>##V3_BDPV12</stp>
        <stp>CHSWPI  Curncy</stp>
        <stp>DAYS_TO_MTY_TDY</stp>
        <stp>[TPM a RPM_v21.xlsm]Zero_swap_CL!R5C10</stp>
        <tr r="J5" s="15"/>
      </tp>
      <tp t="s">
        <v>09-08-2017</v>
        <stp/>
        <stp>##V3_BDPV12</stp>
        <stp>CFNP9 BSAC Curncy</stp>
        <stp>SETTLE_DT</stp>
        <stp>[TPM a RPM_v21.xlsm]Inflation_FWD!R12C2</stp>
        <tr r="B12" s="16"/>
      </tp>
      <tp t="s">
        <v>09-06-2017</v>
        <stp/>
        <stp>##V3_BDPV12</stp>
        <stp>CFNP7 BSAC Curncy</stp>
        <stp>SETTLE_DT</stp>
        <stp>[TPM a RPM_v21.xlsm]Inflation_FWD!R10C2</stp>
        <tr r="B10" s="16"/>
      </tp>
      <tp>
        <v>0.55000000000000004</v>
        <stp/>
        <stp>##V3_BDHV12</stp>
        <stp>CHSWC2 Curncy</stp>
        <stp>PX_LAST</stp>
        <stp>26-10-2016</stp>
        <stp>26-10-2016</stp>
        <stp>[TPM a RPM_v21.xlsm]Informe5!R7C35</stp>
        <tr r="AI7" s="29"/>
      </tp>
      <tp>
        <v>0.77</v>
        <stp/>
        <stp>##V3_BDHV12</stp>
        <stp>CHSWC5 Curncy</stp>
        <stp>PX_LAST</stp>
        <stp>26-10-2016</stp>
        <stp>26-10-2016</stp>
        <stp>[TPM a RPM_v21.xlsm]Informe5!R7C36</stp>
        <tr r="AJ7" s="29"/>
      </tp>
      <tp>
        <v>0.55000000000000004</v>
        <stp/>
        <stp>##V3_BDHV12</stp>
        <stp>CHSWC2 Curncy</stp>
        <stp>PX_LAST</stp>
        <stp>27-10-2016</stp>
        <stp>27-10-2016</stp>
        <stp>[TPM a RPM_v21.xlsm]Informe5!R6C35</stp>
        <tr r="AI6" s="29"/>
      </tp>
      <tp>
        <v>0.77</v>
        <stp/>
        <stp>##V3_BDHV12</stp>
        <stp>CHSWC5 Curncy</stp>
        <stp>PX_LAST</stp>
        <stp>27-10-2016</stp>
        <stp>27-10-2016</stp>
        <stp>[TPM a RPM_v21.xlsm]Informe5!R6C36</stp>
        <tr r="AJ6" s="29"/>
      </tp>
      <tp>
        <v>0.53</v>
        <stp/>
        <stp>##V3_BDHV12</stp>
        <stp>CHSWC2 Curncy</stp>
        <stp>PX_LAST</stp>
        <stp>24-10-2016</stp>
        <stp>24-10-2016</stp>
        <stp>[TPM a RPM_v21.xlsm]Informe5!R9C35</stp>
        <tr r="AI9" s="29"/>
      </tp>
      <tp>
        <v>0.78</v>
        <stp/>
        <stp>##V3_BDHV12</stp>
        <stp>CHSWC5 Curncy</stp>
        <stp>PX_LAST</stp>
        <stp>24-10-2016</stp>
        <stp>24-10-2016</stp>
        <stp>[TPM a RPM_v21.xlsm]Informe5!R9C36</stp>
        <tr r="AJ9" s="29"/>
      </tp>
      <tp>
        <v>0.54</v>
        <stp/>
        <stp>##V3_BDHV12</stp>
        <stp>CHSWC2 Curncy</stp>
        <stp>PX_LAST</stp>
        <stp>25-10-2016</stp>
        <stp>25-10-2016</stp>
        <stp>[TPM a RPM_v21.xlsm]Informe5!R8C35</stp>
        <tr r="AI8" s="29"/>
      </tp>
      <tp>
        <v>0.75</v>
        <stp/>
        <stp>##V3_BDHV12</stp>
        <stp>CHSWC5 Curncy</stp>
        <stp>PX_LAST</stp>
        <stp>25-10-2016</stp>
        <stp>25-10-2016</stp>
        <stp>[TPM a RPM_v21.xlsm]Informe5!R8C36</stp>
        <tr r="AJ8" s="29"/>
      </tp>
      <tp>
        <v>3293</v>
        <stp/>
        <stp>##V3_BDPV12</stp>
        <stp>CHSWP9  Curncy</stp>
        <stp>DAYS_TO_MTY_TDY</stp>
        <stp>[TPM a RPM_v21.xlsm]Zero_swap_CL!R15C9</stp>
        <tr r="I15" s="15"/>
      </tp>
      <tp>
        <v>2928</v>
        <stp/>
        <stp>##V3_BDPV12</stp>
        <stp>CHSWP8  Curncy</stp>
        <stp>DAYS_TO_MTY_TDY</stp>
        <stp>[TPM a RPM_v21.xlsm]Zero_swap_CL!R14C9</stp>
        <tr r="I14" s="15"/>
      </tp>
      <tp>
        <v>1832</v>
        <stp/>
        <stp>##V3_BDPV12</stp>
        <stp>CHSWP5  Curncy</stp>
        <stp>DAYS_TO_MTY_TDY</stp>
        <stp>[TPM a RPM_v21.xlsm]Zero_swap_CL!R11C9</stp>
        <tr r="I11" s="15"/>
      </tp>
      <tp>
        <v>1467</v>
        <stp/>
        <stp>##V3_BDPV12</stp>
        <stp>CHSWP4  Curncy</stp>
        <stp>DAYS_TO_MTY_TDY</stp>
        <stp>[TPM a RPM_v21.xlsm]Zero_swap_CL!R10C9</stp>
        <tr r="I10" s="15"/>
      </tp>
      <tp>
        <v>0.77</v>
        <stp/>
        <stp>##V3_BDHV12</stp>
        <stp>CHSWC1F Curncy</stp>
        <stp>PX_LAST</stp>
        <stp>27-10-2016</stp>
        <stp>27-10-2016</stp>
        <stp>[TPM a RPM_v21.xlsm]Zero_swap_CL!R28C5</stp>
        <tr r="E28" s="15"/>
      </tp>
      <tp>
        <v>1.2</v>
        <stp/>
        <stp>##V3_BDHV12</stp>
        <stp>CHSWC15 Curncy</stp>
        <stp>PX_LAST</stp>
        <stp>27-10-2016</stp>
        <stp>27-10-2016</stp>
        <stp>[TPM a RPM_v21.xlsm]Zero_swap_CL!R38C5</stp>
        <tr r="E38" s="15"/>
      </tp>
      <tp>
        <v>26455</v>
        <stp/>
        <stp>##V3_BDPV12</stp>
        <stp>CFNP5 BSAC Curncy</stp>
        <stp>PX_LAST</stp>
        <stp>[TPM a RPM_v21.xlsm]Inflation_FWD!R8C3</stp>
        <tr r="C8" s="16"/>
      </tp>
      <tp>
        <v>2562</v>
        <stp/>
        <stp>##V3_BDPV12</stp>
        <stp>CHSWP7  Curncy</stp>
        <stp>DAYS_TO_MTY_TDY</stp>
        <stp>[TPM a RPM_v21.xlsm]Zero_swap_CL!R13C9</stp>
        <tr r="I13" s="15"/>
      </tp>
      <tp>
        <v>1.26</v>
        <stp/>
        <stp>##V3_BDHV12</stp>
        <stp>CHSWC20 Curncy</stp>
        <stp>PX_LAST</stp>
        <stp>27-10-2016</stp>
        <stp>27-10-2016</stp>
        <stp>[TPM a RPM_v21.xlsm]Zero_swap_CL!R39C5</stp>
        <tr r="E39" s="15"/>
      </tp>
      <tp>
        <v>26586</v>
        <stp/>
        <stp>##V3_BDPV12</stp>
        <stp>CFNP6 BSAC Curncy</stp>
        <stp>PX_LAST</stp>
        <stp>[TPM a RPM_v21.xlsm]Inflation_FWD!R9C3</stp>
        <tr r="C9" s="16"/>
      </tp>
      <tp>
        <v>2197</v>
        <stp/>
        <stp>##V3_BDPV12</stp>
        <stp>CHSWP6  Curncy</stp>
        <stp>DAYS_TO_MTY_TDY</stp>
        <stp>[TPM a RPM_v21.xlsm]Zero_swap_CL!R12C9</stp>
        <tr r="I12" s="15"/>
      </tp>
      <tp>
        <v>4.01</v>
        <stp/>
        <stp>##V3_BDHV12</stp>
        <stp>CHSWP10  Curncy</stp>
        <stp>PX_LAST</stp>
        <stp>25-10-2016</stp>
        <stp>25-10-2016</stp>
        <stp>[TPM a RPM_v21.xlsm]Informe5!R8C34</stp>
        <tr r="AH8" s="29"/>
      </tp>
      <tp>
        <v>26391</v>
        <stp/>
        <stp>##V3_BDPV12</stp>
        <stp>CFNP3 BSAC Curncy</stp>
        <stp>PX_LAST</stp>
        <stp>[TPM a RPM_v21.xlsm]Inflation_FWD!R6C3</stp>
        <tr r="C6" s="16"/>
      </tp>
      <tp>
        <v>1.48</v>
        <stp/>
        <stp>##V3_BDHV12</stp>
        <stp>CHSWC10 Curncy</stp>
        <stp>PX_LAST</stp>
        <stp>28-03-2016</stp>
        <stp>28-03-2016</stp>
        <stp>[TPM a RPM_v21.xlsm]Informe5!R159C37</stp>
        <tr r="AK159" s="29"/>
      </tp>
      <tp>
        <v>1.73</v>
        <stp/>
        <stp>##V3_BDHV12</stp>
        <stp>CHSWC10 Curncy</stp>
        <stp>PX_LAST</stp>
        <stp>19-11-2015</stp>
        <stp>19-11-2015</stp>
        <stp>[TPM a RPM_v21.xlsm]Informe5!R251C37</stp>
        <tr r="AK251" s="29"/>
      </tp>
      <tp>
        <v>1.72</v>
        <stp/>
        <stp>##V3_BDHV12</stp>
        <stp>CHSWC10 Curncy</stp>
        <stp>PX_LAST</stp>
        <stp>29-12-2015</stp>
        <stp>29-12-2015</stp>
        <stp>[TPM a RPM_v21.xlsm]Informe5!R223C37</stp>
        <tr r="AK223" s="29"/>
      </tp>
      <tp>
        <v>1.49</v>
        <stp/>
        <stp>##V3_BDHV12</stp>
        <stp>CHSWC10 Curncy</stp>
        <stp>PX_LAST</stp>
        <stp>29-03-2016</stp>
        <stp>29-03-2016</stp>
        <stp>[TPM a RPM_v21.xlsm]Informe5!R158C37</stp>
        <tr r="AK158" s="29"/>
      </tp>
      <tp>
        <v>1.73</v>
        <stp/>
        <stp>##V3_BDHV12</stp>
        <stp>CHSWC10 Curncy</stp>
        <stp>PX_LAST</stp>
        <stp>18-11-2015</stp>
        <stp>18-11-2015</stp>
        <stp>[TPM a RPM_v21.xlsm]Informe5!R252C37</stp>
        <tr r="AK252" s="29"/>
      </tp>
      <tp>
        <v>1.67</v>
        <stp/>
        <stp>##V3_BDHV12</stp>
        <stp>CHSWC10 Curncy</stp>
        <stp>PX_LAST</stp>
        <stp>28-12-2015</stp>
        <stp>28-12-2015</stp>
        <stp>[TPM a RPM_v21.xlsm]Informe5!R224C37</stp>
        <tr r="AK224" s="29"/>
      </tp>
      <tp>
        <v>1.74</v>
        <stp/>
        <stp>##V3_BDHV12</stp>
        <stp>CHSWC10 Curncy</stp>
        <stp>PX_LAST</stp>
        <stp>08-01-2016</stp>
        <stp>08-01-2016</stp>
        <stp>[TPM a RPM_v21.xlsm]Informe5!R215C37</stp>
        <tr r="AK215" s="29"/>
      </tp>
      <tp>
        <v>1.72</v>
        <stp/>
        <stp>##V3_BDHV12</stp>
        <stp>CHSWC10 Curncy</stp>
        <stp>PX_LAST</stp>
        <stp>11-11-2015</stp>
        <stp>11-11-2015</stp>
        <stp>[TPM a RPM_v21.xlsm]Informe5!R257C37</stp>
        <tr r="AK257" s="29"/>
      </tp>
      <tp>
        <v>1.6800000000000002</v>
        <stp/>
        <stp>##V3_BDHV12</stp>
        <stp>CHSWC10 Curncy</stp>
        <stp>PX_LAST</stp>
        <stp>21-12-2015</stp>
        <stp>21-12-2015</stp>
        <stp>[TPM a RPM_v21.xlsm]Informe5!R229C37</stp>
        <tr r="AK229" s="29"/>
      </tp>
      <tp>
        <v>1.76</v>
        <stp/>
        <stp>##V3_BDHV12</stp>
        <stp>CHSWC10 Curncy</stp>
        <stp>PX_LAST</stp>
        <stp>10-11-2015</stp>
        <stp>10-11-2015</stp>
        <stp>[TPM a RPM_v21.xlsm]Informe5!R258C37</stp>
        <tr r="AK258" s="29"/>
      </tp>
      <tp>
        <v>1.42</v>
        <stp/>
        <stp>##V3_BDHV12</stp>
        <stp>CHSWC10 Curncy</stp>
        <stp>PX_LAST</stp>
        <stp>21-03-2016</stp>
        <stp>21-03-2016</stp>
        <stp>[TPM a RPM_v21.xlsm]Informe5!R164C37</stp>
        <tr r="AK164" s="29"/>
      </tp>
      <tp>
        <v>1.44</v>
        <stp/>
        <stp>##V3_BDHV12</stp>
        <stp>CHSWC10 Curncy</stp>
        <stp>PX_LAST</stp>
        <stp>22-03-2016</stp>
        <stp>22-03-2016</stp>
        <stp>[TPM a RPM_v21.xlsm]Informe5!R163C37</stp>
        <tr r="AK163" s="29"/>
      </tp>
      <tp>
        <v>1.69</v>
        <stp/>
        <stp>##V3_BDHV12</stp>
        <stp>CHSWC10 Curncy</stp>
        <stp>PX_LAST</stp>
        <stp>13-11-2015</stp>
        <stp>13-11-2015</stp>
        <stp>[TPM a RPM_v21.xlsm]Informe5!R255C37</stp>
        <tr r="AK255" s="29"/>
      </tp>
      <tp>
        <v>1.6800000000000002</v>
        <stp/>
        <stp>##V3_BDHV12</stp>
        <stp>CHSWC10 Curncy</stp>
        <stp>PX_LAST</stp>
        <stp>23-12-2015</stp>
        <stp>23-12-2015</stp>
        <stp>[TPM a RPM_v21.xlsm]Informe5!R227C37</stp>
        <tr r="AK227" s="29"/>
      </tp>
      <tp t="s">
        <v>#N/A N/A</v>
        <stp/>
        <stp>##V3_BDHV12</stp>
        <stp>CHSWC10 Curncy</stp>
        <stp>PX_LAST</stp>
        <stp>01-01-2016</stp>
        <stp>01-01-2016</stp>
        <stp>[TPM a RPM_v21.xlsm]Informe5!R220C37</stp>
        <tr r="AK220" s="29"/>
      </tp>
      <tp>
        <v>1.7</v>
        <stp/>
        <stp>##V3_BDHV12</stp>
        <stp>CHSWC10 Curncy</stp>
        <stp>PX_LAST</stp>
        <stp>12-11-2015</stp>
        <stp>12-11-2015</stp>
        <stp>[TPM a RPM_v21.xlsm]Informe5!R256C37</stp>
        <tr r="AK256" s="29"/>
      </tp>
      <tp>
        <v>1.45</v>
        <stp/>
        <stp>##V3_BDHV12</stp>
        <stp>CHSWC10 Curncy</stp>
        <stp>PX_LAST</stp>
        <stp>23-03-2016</stp>
        <stp>23-03-2016</stp>
        <stp>[TPM a RPM_v21.xlsm]Informe5!R162C37</stp>
        <tr r="AK162" s="29"/>
      </tp>
      <tp>
        <v>1.67</v>
        <stp/>
        <stp>##V3_BDHV12</stp>
        <stp>CHSWC10 Curncy</stp>
        <stp>PX_LAST</stp>
        <stp>22-12-2015</stp>
        <stp>22-12-2015</stp>
        <stp>[TPM a RPM_v21.xlsm]Informe5!R228C37</stp>
        <tr r="AK228" s="29"/>
      </tp>
      <tp t="s">
        <v>#N/A N/A</v>
        <stp/>
        <stp>##V3_BDHV12</stp>
        <stp>CHSWC10 Curncy</stp>
        <stp>PX_LAST</stp>
        <stp>25-12-2015</stp>
        <stp>25-12-2015</stp>
        <stp>[TPM a RPM_v21.xlsm]Informe5!R225C37</stp>
        <tr r="AK225" s="29"/>
      </tp>
      <tp>
        <v>1.74</v>
        <stp/>
        <stp>##V3_BDHV12</stp>
        <stp>CHSWC10 Curncy</stp>
        <stp>PX_LAST</stp>
        <stp>07-01-2016</stp>
        <stp>07-01-2016</stp>
        <stp>[TPM a RPM_v21.xlsm]Informe5!R216C37</stp>
        <tr r="AK216" s="29"/>
      </tp>
      <tp>
        <v>1.47</v>
        <stp/>
        <stp>##V3_BDHV12</stp>
        <stp>CHSWC10 Curncy</stp>
        <stp>PX_LAST</stp>
        <stp>24-03-2016</stp>
        <stp>24-03-2016</stp>
        <stp>[TPM a RPM_v21.xlsm]Informe5!R161C37</stp>
        <tr r="AK161" s="29"/>
      </tp>
      <tp>
        <v>1.6800000000000002</v>
        <stp/>
        <stp>##V3_BDHV12</stp>
        <stp>CHSWC10 Curncy</stp>
        <stp>PX_LAST</stp>
        <stp>24-12-2015</stp>
        <stp>24-12-2015</stp>
        <stp>[TPM a RPM_v21.xlsm]Informe5!R226C37</stp>
        <tr r="AK226" s="29"/>
      </tp>
      <tp>
        <v>1.73</v>
        <stp/>
        <stp>##V3_BDHV12</stp>
        <stp>CHSWC10 Curncy</stp>
        <stp>PX_LAST</stp>
        <stp>06-01-2016</stp>
        <stp>06-01-2016</stp>
        <stp>[TPM a RPM_v21.xlsm]Informe5!R217C37</stp>
        <tr r="AK217" s="29"/>
      </tp>
      <tp t="s">
        <v>#N/A N/A</v>
        <stp/>
        <stp>##V3_BDHV12</stp>
        <stp>CHSWC10 Curncy</stp>
        <stp>PX_LAST</stp>
        <stp>25-03-2016</stp>
        <stp>25-03-2016</stp>
        <stp>[TPM a RPM_v21.xlsm]Informe5!R160C37</stp>
        <tr r="AK160" s="29"/>
      </tp>
      <tp>
        <v>1.75</v>
        <stp/>
        <stp>##V3_BDHV12</stp>
        <stp>CHSWC10 Curncy</stp>
        <stp>PX_LAST</stp>
        <stp>05-01-2016</stp>
        <stp>05-01-2016</stp>
        <stp>[TPM a RPM_v21.xlsm]Informe5!R218C37</stp>
        <tr r="AK218" s="29"/>
      </tp>
      <tp>
        <v>1.74</v>
        <stp/>
        <stp>##V3_BDHV12</stp>
        <stp>CHSWC10 Curncy</stp>
        <stp>PX_LAST</stp>
        <stp>17-11-2015</stp>
        <stp>17-11-2015</stp>
        <stp>[TPM a RPM_v21.xlsm]Informe5!R253C37</stp>
        <tr r="AK253" s="29"/>
      </tp>
      <tp>
        <v>1.74</v>
        <stp/>
        <stp>##V3_BDHV12</stp>
        <stp>CHSWC10 Curncy</stp>
        <stp>PX_LAST</stp>
        <stp>04-01-2016</stp>
        <stp>04-01-2016</stp>
        <stp>[TPM a RPM_v21.xlsm]Informe5!R219C37</stp>
        <tr r="AK219" s="29"/>
      </tp>
      <tp>
        <v>1.72</v>
        <stp/>
        <stp>##V3_BDHV12</stp>
        <stp>CHSWC10 Curncy</stp>
        <stp>PX_LAST</stp>
        <stp>16-11-2015</stp>
        <stp>16-11-2015</stp>
        <stp>[TPM a RPM_v21.xlsm]Informe5!R254C37</stp>
        <tr r="AK254" s="29"/>
      </tp>
      <tp>
        <v>4.03</v>
        <stp/>
        <stp>##V3_BDHV12</stp>
        <stp>CHSWP10  Curncy</stp>
        <stp>PX_LAST</stp>
        <stp>24-10-2016</stp>
        <stp>24-10-2016</stp>
        <stp>[TPM a RPM_v21.xlsm]Informe5!R9C34</stp>
        <tr r="AH9" s="29"/>
      </tp>
      <tp>
        <v>1.1499999999999999</v>
        <stp/>
        <stp>##V3_BDHV12</stp>
        <stp>CHSWC10 Curncy</stp>
        <stp>PX_LAST</stp>
        <stp>27-10-2016</stp>
        <stp>27-10-2016</stp>
        <stp>[TPM a RPM_v21.xlsm]Zero_swap_CL!R37C5</stp>
        <tr r="E37" s="15"/>
      </tp>
      <tp>
        <v>26419</v>
        <stp/>
        <stp>##V3_BDPV12</stp>
        <stp>CFNP4 BSAC Curncy</stp>
        <stp>PX_LAST</stp>
        <stp>[TPM a RPM_v21.xlsm]Inflation_FWD!R7C3</stp>
        <tr r="C7" s="16"/>
      </tp>
      <tp>
        <v>1.49</v>
        <stp/>
        <stp>##V3_BDHV12</stp>
        <stp>CHSWC10 Curncy</stp>
        <stp>PX_LAST</stp>
        <stp>29-02-2016</stp>
        <stp>29-02-2016</stp>
        <stp>[TPM a RPM_v21.xlsm]Informe5!R179C37</stp>
        <tr r="AK179" s="29"/>
      </tp>
      <tp>
        <v>1.78</v>
        <stp/>
        <stp>##V3_BDHV12</stp>
        <stp>CHSWC10 Curncy</stp>
        <stp>PX_LAST</stp>
        <stp>09-11-2015</stp>
        <stp>09-11-2015</stp>
        <stp>[TPM a RPM_v21.xlsm]Informe5!R259C37</stp>
        <tr r="AK259" s="29"/>
      </tp>
      <tp>
        <v>1.6600000000000001</v>
        <stp/>
        <stp>##V3_BDHV12</stp>
        <stp>CHSWC10 Curncy</stp>
        <stp>PX_LAST</stp>
        <stp>18-01-2016</stp>
        <stp>18-01-2016</stp>
        <stp>[TPM a RPM_v21.xlsm]Informe5!R209C37</stp>
        <tr r="AK209" s="29"/>
      </tp>
      <tp>
        <v>1.6600000000000001</v>
        <stp/>
        <stp>##V3_BDHV12</stp>
        <stp>CHSWC10 Curncy</stp>
        <stp>PX_LAST</stp>
        <stp>19-01-2016</stp>
        <stp>19-01-2016</stp>
        <stp>[TPM a RPM_v21.xlsm]Informe5!R208C37</stp>
        <tr r="AK208" s="29"/>
      </tp>
      <tp>
        <v>1.48</v>
        <stp/>
        <stp>##V3_BDHV12</stp>
        <stp>CHSWC10 Curncy</stp>
        <stp>PX_LAST</stp>
        <stp>31-03-2016</stp>
        <stp>31-03-2016</stp>
        <stp>[TPM a RPM_v21.xlsm]Informe5!R156C37</stp>
        <tr r="AK156" s="29"/>
      </tp>
      <tp>
        <v>1.74</v>
        <stp/>
        <stp>##V3_BDHV12</stp>
        <stp>CHSWC10 Curncy</stp>
        <stp>PX_LAST</stp>
        <stp>30-12-2015</stp>
        <stp>30-12-2015</stp>
        <stp>[TPM a RPM_v21.xlsm]Informe5!R222C37</stp>
        <tr r="AK222" s="29"/>
      </tp>
      <tp>
        <v>1.73</v>
        <stp/>
        <stp>##V3_BDHV12</stp>
        <stp>CHSWC10 Curncy</stp>
        <stp>PX_LAST</stp>
        <stp>12-01-2016</stp>
        <stp>12-01-2016</stp>
        <stp>[TPM a RPM_v21.xlsm]Informe5!R213C37</stp>
        <tr r="AK213" s="29"/>
      </tp>
      <tp>
        <v>1.48</v>
        <stp/>
        <stp>##V3_BDHV12</stp>
        <stp>CHSWC10 Curncy</stp>
        <stp>PX_LAST</stp>
        <stp>30-03-2016</stp>
        <stp>30-03-2016</stp>
        <stp>[TPM a RPM_v21.xlsm]Informe5!R157C37</stp>
        <tr r="AK157" s="29"/>
      </tp>
      <tp t="s">
        <v>#N/A N/A</v>
        <stp/>
        <stp>##V3_BDHV12</stp>
        <stp>CHSWC10 Curncy</stp>
        <stp>PX_LAST</stp>
        <stp>31-12-2015</stp>
        <stp>31-12-2015</stp>
        <stp>[TPM a RPM_v21.xlsm]Informe5!R221C37</stp>
        <tr r="AK221" s="29"/>
      </tp>
      <tp>
        <v>1.72</v>
        <stp/>
        <stp>##V3_BDHV12</stp>
        <stp>CHSWC10 Curncy</stp>
        <stp>PX_LAST</stp>
        <stp>13-01-2016</stp>
        <stp>13-01-2016</stp>
        <stp>[TPM a RPM_v21.xlsm]Informe5!R212C37</stp>
        <tr r="AK212" s="29"/>
      </tp>
      <tp>
        <v>1.79</v>
        <stp/>
        <stp>##V3_BDHV12</stp>
        <stp>CHSWC10 Curncy</stp>
        <stp>PX_LAST</stp>
        <stp>02-11-2015</stp>
        <stp>02-11-2015</stp>
        <stp>[TPM a RPM_v21.xlsm]Informe5!R264C37</stp>
        <tr r="AK264" s="29"/>
      </tp>
      <tp>
        <v>1.62</v>
        <stp/>
        <stp>##V3_BDHV12</stp>
        <stp>CHSWC10 Curncy</stp>
        <stp>PX_LAST</stp>
        <stp>23-02-2016</stp>
        <stp>23-02-2016</stp>
        <stp>[TPM a RPM_v21.xlsm]Informe5!R183C37</stp>
        <tr r="AK183" s="29"/>
      </tp>
      <tp>
        <v>1.76</v>
        <stp/>
        <stp>##V3_BDHV12</stp>
        <stp>CHSWC10 Curncy</stp>
        <stp>PX_LAST</stp>
        <stp>03-11-2015</stp>
        <stp>03-11-2015</stp>
        <stp>[TPM a RPM_v21.xlsm]Informe5!R263C37</stp>
        <tr r="AK263" s="29"/>
      </tp>
      <tp>
        <v>1.73</v>
        <stp/>
        <stp>##V3_BDHV12</stp>
        <stp>CHSWC10 Curncy</stp>
        <stp>PX_LAST</stp>
        <stp>11-01-2016</stp>
        <stp>11-01-2016</stp>
        <stp>[TPM a RPM_v21.xlsm]Informe5!R214C37</stp>
        <tr r="AK214" s="29"/>
      </tp>
      <tp>
        <v>1.65</v>
        <stp/>
        <stp>##V3_BDHV12</stp>
        <stp>CHSWC10 Curncy</stp>
        <stp>PX_LAST</stp>
        <stp>22-02-2016</stp>
        <stp>22-02-2016</stp>
        <stp>[TPM a RPM_v21.xlsm]Informe5!R184C37</stp>
        <tr r="AK184" s="29"/>
      </tp>
      <tp>
        <v>1.76</v>
        <stp/>
        <stp>##V3_BDHV12</stp>
        <stp>CHSWC10 Curncy</stp>
        <stp>PX_LAST</stp>
        <stp>04-11-2015</stp>
        <stp>04-11-2015</stp>
        <stp>[TPM a RPM_v21.xlsm]Informe5!R262C37</stp>
        <tr r="AK262" s="29"/>
      </tp>
      <tp>
        <v>1.56</v>
        <stp/>
        <stp>##V3_BDHV12</stp>
        <stp>CHSWC10 Curncy</stp>
        <stp>PX_LAST</stp>
        <stp>25-02-2016</stp>
        <stp>25-02-2016</stp>
        <stp>[TPM a RPM_v21.xlsm]Informe5!R181C37</stp>
        <tr r="AK181" s="29"/>
      </tp>
      <tp>
        <v>1.76</v>
        <stp/>
        <stp>##V3_BDHV12</stp>
        <stp>CHSWC10 Curncy</stp>
        <stp>PX_LAST</stp>
        <stp>05-11-2015</stp>
        <stp>05-11-2015</stp>
        <stp>[TPM a RPM_v21.xlsm]Informe5!R261C37</stp>
        <tr r="AK261" s="29"/>
      </tp>
      <tp>
        <v>1.58</v>
        <stp/>
        <stp>##V3_BDHV12</stp>
        <stp>CHSWC10 Curncy</stp>
        <stp>PX_LAST</stp>
        <stp>24-02-2016</stp>
        <stp>24-02-2016</stp>
        <stp>[TPM a RPM_v21.xlsm]Informe5!R182C37</stp>
        <tr r="AK182" s="29"/>
      </tp>
      <tp>
        <v>1.69</v>
        <stp/>
        <stp>##V3_BDHV12</stp>
        <stp>CHSWC10 Curncy</stp>
        <stp>PX_LAST</stp>
        <stp>14-01-2016</stp>
        <stp>14-01-2016</stp>
        <stp>[TPM a RPM_v21.xlsm]Informe5!R211C37</stp>
        <tr r="AK211" s="29"/>
      </tp>
      <tp>
        <v>1.79</v>
        <stp/>
        <stp>##V3_BDHV12</stp>
        <stp>CHSWC10 Curncy</stp>
        <stp>PX_LAST</stp>
        <stp>06-11-2015</stp>
        <stp>06-11-2015</stp>
        <stp>[TPM a RPM_v21.xlsm]Informe5!R260C37</stp>
        <tr r="AK260" s="29"/>
      </tp>
      <tp>
        <v>1.6600000000000001</v>
        <stp/>
        <stp>##V3_BDHV12</stp>
        <stp>CHSWC10 Curncy</stp>
        <stp>PX_LAST</stp>
        <stp>15-01-2016</stp>
        <stp>15-01-2016</stp>
        <stp>[TPM a RPM_v21.xlsm]Informe5!R210C37</stp>
        <tr r="AK210" s="29"/>
      </tp>
      <tp>
        <v>1.52</v>
        <stp/>
        <stp>##V3_BDHV12</stp>
        <stp>CHSWC10 Curncy</stp>
        <stp>PX_LAST</stp>
        <stp>26-02-2016</stp>
        <stp>26-02-2016</stp>
        <stp>[TPM a RPM_v21.xlsm]Informe5!R180C37</stp>
        <tr r="AK180" s="29"/>
      </tp>
      <tp>
        <v>4.04</v>
        <stp/>
        <stp>##V3_BDHV12</stp>
        <stp>CHSWP10  Curncy</stp>
        <stp>PX_LAST</stp>
        <stp>27-10-2016</stp>
        <stp>27-10-2016</stp>
        <stp>[TPM a RPM_v21.xlsm]Informe5!R6C34</stp>
        <tr r="AH6" s="29"/>
      </tp>
      <tp>
        <v>26369</v>
        <stp/>
        <stp>##V3_BDPV12</stp>
        <stp>CFNP1 BSAC Curncy</stp>
        <stp>PX_LAST</stp>
        <stp>[TPM a RPM_v21.xlsm]Inflation_FWD!R4C3</stp>
        <tr r="C4" s="16"/>
      </tp>
      <tp>
        <v>1.6800000000000002</v>
        <stp/>
        <stp>##V3_BDHV12</stp>
        <stp>CHSWC10 Curncy</stp>
        <stp>PX_LAST</stp>
        <stp>29-01-2016</stp>
        <stp>29-01-2016</stp>
        <stp>[TPM a RPM_v21.xlsm]Informe5!R200C37</stp>
        <tr r="AK200" s="29"/>
      </tp>
      <tp>
        <v>1.71</v>
        <stp/>
        <stp>##V3_BDHV12</stp>
        <stp>CHSWC10 Curncy</stp>
        <stp>PX_LAST</stp>
        <stp>28-01-2016</stp>
        <stp>28-01-2016</stp>
        <stp>[TPM a RPM_v21.xlsm]Informe5!R201C37</stp>
        <tr r="AK201" s="29"/>
      </tp>
      <tp>
        <v>1.6400000000000001</v>
        <stp/>
        <stp>##V3_BDHV12</stp>
        <stp>CHSWC10 Curncy</stp>
        <stp>PX_LAST</stp>
        <stp>18-02-2016</stp>
        <stp>18-02-2016</stp>
        <stp>[TPM a RPM_v21.xlsm]Informe5!R186C37</stp>
        <tr r="AK186" s="29"/>
      </tp>
      <tp>
        <v>1.79</v>
        <stp/>
        <stp>##V3_BDHV12</stp>
        <stp>CHSWC10 Curncy</stp>
        <stp>PX_LAST</stp>
        <stp>29-10-2015</stp>
        <stp>29-10-2015</stp>
        <stp>[TPM a RPM_v21.xlsm]Informe5!R266C37</stp>
        <tr r="AK266" s="29"/>
      </tp>
      <tp>
        <v>1.51</v>
        <stp/>
        <stp>##V3_BDHV12</stp>
        <stp>CHSWC10 Curncy</stp>
        <stp>PX_LAST</stp>
        <stp>08-03-2016</stp>
        <stp>08-03-2016</stp>
        <stp>[TPM a RPM_v21.xlsm]Informe5!R173C37</stp>
        <tr r="AK173" s="29"/>
      </tp>
      <tp>
        <v>1.75</v>
        <stp/>
        <stp>##V3_BDHV12</stp>
        <stp>CHSWC10 Curncy</stp>
        <stp>PX_LAST</stp>
        <stp>09-12-2015</stp>
        <stp>09-12-2015</stp>
        <stp>[TPM a RPM_v21.xlsm]Informe5!R237C37</stp>
        <tr r="AK237" s="29"/>
      </tp>
      <tp>
        <v>1.6400000000000001</v>
        <stp/>
        <stp>##V3_BDHV12</stp>
        <stp>CHSWC10 Curncy</stp>
        <stp>PX_LAST</stp>
        <stp>19-02-2016</stp>
        <stp>19-02-2016</stp>
        <stp>[TPM a RPM_v21.xlsm]Informe5!R185C37</stp>
        <tr r="AK185" s="29"/>
      </tp>
      <tp>
        <v>1.76</v>
        <stp/>
        <stp>##V3_BDHV12</stp>
        <stp>CHSWC10 Curncy</stp>
        <stp>PX_LAST</stp>
        <stp>28-10-2015</stp>
        <stp>28-10-2015</stp>
        <stp>[TPM a RPM_v21.xlsm]Informe5!R267C37</stp>
        <tr r="AK267" s="29"/>
      </tp>
      <tp>
        <v>1.5</v>
        <stp/>
        <stp>##V3_BDHV12</stp>
        <stp>CHSWC10 Curncy</stp>
        <stp>PX_LAST</stp>
        <stp>09-03-2016</stp>
        <stp>09-03-2016</stp>
        <stp>[TPM a RPM_v21.xlsm]Informe5!R172C37</stp>
        <tr r="AK172" s="29"/>
      </tp>
      <tp t="s">
        <v>#N/A N/A</v>
        <stp/>
        <stp>##V3_BDHV12</stp>
        <stp>CHSWC10 Curncy</stp>
        <stp>PX_LAST</stp>
        <stp>08-12-2015</stp>
        <stp>08-12-2015</stp>
        <stp>[TPM a RPM_v21.xlsm]Informe5!R238C37</stp>
        <tr r="AK238" s="29"/>
      </tp>
      <tp>
        <v>1.73</v>
        <stp/>
        <stp>##V3_BDHV12</stp>
        <stp>CHSWC10 Curncy</stp>
        <stp>PX_LAST</stp>
        <stp>03-12-2015</stp>
        <stp>03-12-2015</stp>
        <stp>[TPM a RPM_v21.xlsm]Informe5!R241C37</stp>
        <tr r="AK241" s="29"/>
      </tp>
      <tp>
        <v>1.46</v>
        <stp/>
        <stp>##V3_BDHV12</stp>
        <stp>CHSWC10 Curncy</stp>
        <stp>PX_LAST</stp>
        <stp>02-03-2016</stp>
        <stp>02-03-2016</stp>
        <stp>[TPM a RPM_v21.xlsm]Informe5!R177C37</stp>
        <tr r="AK177" s="29"/>
      </tp>
      <tp>
        <v>1.6400000000000001</v>
        <stp/>
        <stp>##V3_BDHV12</stp>
        <stp>CHSWC10 Curncy</stp>
        <stp>PX_LAST</stp>
        <stp>21-01-2016</stp>
        <stp>21-01-2016</stp>
        <stp>[TPM a RPM_v21.xlsm]Informe5!R206C37</stp>
        <tr r="AK206" s="29"/>
      </tp>
      <tp>
        <v>1.6</v>
        <stp/>
        <stp>##V3_BDHV12</stp>
        <stp>CHSWC10 Curncy</stp>
        <stp>PX_LAST</stp>
        <stp>12-02-2016</stp>
        <stp>12-02-2016</stp>
        <stp>[TPM a RPM_v21.xlsm]Informe5!R190C37</stp>
        <tr r="AK190" s="29"/>
      </tp>
      <tp>
        <v>1.49</v>
        <stp/>
        <stp>##V3_BDHV12</stp>
        <stp>CHSWC10 Curncy</stp>
        <stp>PX_LAST</stp>
        <stp>03-03-2016</stp>
        <stp>03-03-2016</stp>
        <stp>[TPM a RPM_v21.xlsm]Informe5!R176C37</stp>
        <tr r="AK176" s="29"/>
      </tp>
      <tp>
        <v>1.6800000000000002</v>
        <stp/>
        <stp>##V3_BDHV12</stp>
        <stp>CHSWC10 Curncy</stp>
        <stp>PX_LAST</stp>
        <stp>02-12-2015</stp>
        <stp>02-12-2015</stp>
        <stp>[TPM a RPM_v21.xlsm]Informe5!R242C37</stp>
        <tr r="AK242" s="29"/>
      </tp>
      <tp>
        <v>1.63</v>
        <stp/>
        <stp>##V3_BDHV12</stp>
        <stp>CHSWC10 Curncy</stp>
        <stp>PX_LAST</stp>
        <stp>20-01-2016</stp>
        <stp>20-01-2016</stp>
        <stp>[TPM a RPM_v21.xlsm]Informe5!R207C37</stp>
        <tr r="AK207" s="29"/>
      </tp>
      <tp>
        <v>1.67</v>
        <stp/>
        <stp>##V3_BDHV12</stp>
        <stp>CHSWC10 Curncy</stp>
        <stp>PX_LAST</stp>
        <stp>01-12-2015</stp>
        <stp>01-12-2015</stp>
        <stp>[TPM a RPM_v21.xlsm]Informe5!R243C37</stp>
        <tr r="AK243" s="29"/>
      </tp>
      <tp>
        <v>1.5699999999999998</v>
        <stp/>
        <stp>##V3_BDHV12</stp>
        <stp>CHSWC10 Curncy</stp>
        <stp>PX_LAST</stp>
        <stp>10-02-2016</stp>
        <stp>10-02-2016</stp>
        <stp>[TPM a RPM_v21.xlsm]Informe5!R192C37</stp>
        <tr r="AK192" s="29"/>
      </tp>
      <tp>
        <v>1.48</v>
        <stp/>
        <stp>##V3_BDHV12</stp>
        <stp>CHSWC10 Curncy</stp>
        <stp>PX_LAST</stp>
        <stp>01-03-2016</stp>
        <stp>01-03-2016</stp>
        <stp>[TPM a RPM_v21.xlsm]Informe5!R178C37</stp>
        <tr r="AK178" s="29"/>
      </tp>
      <tp>
        <v>1.7</v>
        <stp/>
        <stp>##V3_BDHV12</stp>
        <stp>CHSWC10 Curncy</stp>
        <stp>PX_LAST</stp>
        <stp>30-11-2015</stp>
        <stp>30-11-2015</stp>
        <stp>[TPM a RPM_v21.xlsm]Informe5!R244C37</stp>
        <tr r="AK244" s="29"/>
      </tp>
      <tp>
        <v>1.62</v>
        <stp/>
        <stp>##V3_BDHV12</stp>
        <stp>CHSWC10 Curncy</stp>
        <stp>PX_LAST</stp>
        <stp>22-01-2016</stp>
        <stp>22-01-2016</stp>
        <stp>[TPM a RPM_v21.xlsm]Informe5!R205C37</stp>
        <tr r="AK205" s="29"/>
      </tp>
      <tp>
        <v>1.5899999999999999</v>
        <stp/>
        <stp>##V3_BDHV12</stp>
        <stp>CHSWC10 Curncy</stp>
        <stp>PX_LAST</stp>
        <stp>11-02-2016</stp>
        <stp>11-02-2016</stp>
        <stp>[TPM a RPM_v21.xlsm]Informe5!R191C37</stp>
        <tr r="AK191" s="29"/>
      </tp>
      <tp>
        <v>1.62</v>
        <stp/>
        <stp>##V3_BDHV12</stp>
        <stp>CHSWC10 Curncy</stp>
        <stp>PX_LAST</stp>
        <stp>25-01-2016</stp>
        <stp>25-01-2016</stp>
        <stp>[TPM a RPM_v21.xlsm]Informe5!R204C37</stp>
        <tr r="AK204" s="29"/>
      </tp>
      <tp>
        <v>1.76</v>
        <stp/>
        <stp>##V3_BDHV12</stp>
        <stp>CHSWC10 Curncy</stp>
        <stp>PX_LAST</stp>
        <stp>07-12-2015</stp>
        <stp>07-12-2015</stp>
        <stp>[TPM a RPM_v21.xlsm]Informe5!R239C37</stp>
        <tr r="AK239" s="29"/>
      </tp>
      <tp>
        <v>1.6</v>
        <stp/>
        <stp>##V3_BDHV12</stp>
        <stp>CHSWC10 Curncy</stp>
        <stp>PX_LAST</stp>
        <stp>16-02-2016</stp>
        <stp>16-02-2016</stp>
        <stp>[TPM a RPM_v21.xlsm]Informe5!R188C37</stp>
        <tr r="AK188" s="29"/>
      </tp>
      <tp>
        <v>1.54</v>
        <stp/>
        <stp>##V3_BDHV12</stp>
        <stp>CHSWC10 Curncy</stp>
        <stp>PX_LAST</stp>
        <stp>07-03-2016</stp>
        <stp>07-03-2016</stp>
        <stp>[TPM a RPM_v21.xlsm]Informe5!R174C37</stp>
        <tr r="AK174" s="29"/>
      </tp>
      <tp>
        <v>1.6099999999999999</v>
        <stp/>
        <stp>##V3_BDHV12</stp>
        <stp>CHSWC10 Curncy</stp>
        <stp>PX_LAST</stp>
        <stp>17-02-2016</stp>
        <stp>17-02-2016</stp>
        <stp>[TPM a RPM_v21.xlsm]Informe5!R187C37</stp>
        <tr r="AK187" s="29"/>
      </tp>
      <tp>
        <v>1.67</v>
        <stp/>
        <stp>##V3_BDHV12</stp>
        <stp>CHSWC10 Curncy</stp>
        <stp>PX_LAST</stp>
        <stp>27-01-2016</stp>
        <stp>27-01-2016</stp>
        <stp>[TPM a RPM_v21.xlsm]Informe5!R202C37</stp>
        <tr r="AK202" s="29"/>
      </tp>
      <tp>
        <v>1.51</v>
        <stp/>
        <stp>##V3_BDHV12</stp>
        <stp>CHSWC10 Curncy</stp>
        <stp>PX_LAST</stp>
        <stp>04-03-2016</stp>
        <stp>04-03-2016</stp>
        <stp>[TPM a RPM_v21.xlsm]Informe5!R175C37</stp>
        <tr r="AK175" s="29"/>
      </tp>
      <tp>
        <v>1.65</v>
        <stp/>
        <stp>##V3_BDHV12</stp>
        <stp>CHSWC10 Curncy</stp>
        <stp>PX_LAST</stp>
        <stp>26-01-2016</stp>
        <stp>26-01-2016</stp>
        <stp>[TPM a RPM_v21.xlsm]Informe5!R203C37</stp>
        <tr r="AK203" s="29"/>
      </tp>
      <tp>
        <v>1.74</v>
        <stp/>
        <stp>##V3_BDHV12</stp>
        <stp>CHSWC10 Curncy</stp>
        <stp>PX_LAST</stp>
        <stp>04-12-2015</stp>
        <stp>04-12-2015</stp>
        <stp>[TPM a RPM_v21.xlsm]Informe5!R240C37</stp>
        <tr r="AK240" s="29"/>
      </tp>
      <tp>
        <v>1.63</v>
        <stp/>
        <stp>##V3_BDHV12</stp>
        <stp>CHSWC10 Curncy</stp>
        <stp>PX_LAST</stp>
        <stp>15-02-2016</stp>
        <stp>15-02-2016</stp>
        <stp>[TPM a RPM_v21.xlsm]Informe5!R189C37</stp>
        <tr r="AK189" s="29"/>
      </tp>
      <tp>
        <v>4.0199999999999996</v>
        <stp/>
        <stp>##V3_BDHV12</stp>
        <stp>CHSWP10  Curncy</stp>
        <stp>PX_LAST</stp>
        <stp>26-10-2016</stp>
        <stp>26-10-2016</stp>
        <stp>[TPM a RPM_v21.xlsm]Informe5!R7C34</stp>
        <tr r="AH7" s="29"/>
      </tp>
      <tp>
        <v>26379</v>
        <stp/>
        <stp>##V3_BDPV12</stp>
        <stp>CFNP2 BSAC Curncy</stp>
        <stp>PX_LAST</stp>
        <stp>[TPM a RPM_v21.xlsm]Inflation_FWD!R5C3</stp>
        <tr r="C5" s="16"/>
      </tp>
      <tp>
        <v>1.56</v>
        <stp/>
        <stp>##V3_BDHV12</stp>
        <stp>CHSWC10 Curncy</stp>
        <stp>PX_LAST</stp>
        <stp>09-02-2016</stp>
        <stp>09-02-2016</stp>
        <stp>[TPM a RPM_v21.xlsm]Informe5!R193C37</stp>
        <tr r="AK193" s="29"/>
      </tp>
      <tp>
        <v>1.6800000000000002</v>
        <stp/>
        <stp>##V3_BDHV12</stp>
        <stp>CHSWC10 Curncy</stp>
        <stp>PX_LAST</stp>
        <stp>18-12-2015</stp>
        <stp>18-12-2015</stp>
        <stp>[TPM a RPM_v21.xlsm]Informe5!R230C37</stp>
        <tr r="AK230" s="29"/>
      </tp>
      <tp>
        <v>1.5899999999999999</v>
        <stp/>
        <stp>##V3_BDHV12</stp>
        <stp>CHSWC10 Curncy</stp>
        <stp>PX_LAST</stp>
        <stp>08-02-2016</stp>
        <stp>08-02-2016</stp>
        <stp>[TPM a RPM_v21.xlsm]Informe5!R194C37</stp>
        <tr r="AK194" s="29"/>
      </tp>
      <tp>
        <v>1.42</v>
        <stp/>
        <stp>##V3_BDHV12</stp>
        <stp>CHSWC10 Curncy</stp>
        <stp>PX_LAST</stp>
        <stp>18-03-2016</stp>
        <stp>18-03-2016</stp>
        <stp>[TPM a RPM_v21.xlsm]Informe5!R165C37</stp>
        <tr r="AK165" s="29"/>
      </tp>
      <tp>
        <v>1.58</v>
        <stp/>
        <stp>##V3_BDHV12</stp>
        <stp>CHSWC10 Curncy</stp>
        <stp>PX_LAST</stp>
        <stp>03-02-2016</stp>
        <stp>03-02-2016</stp>
        <stp>[TPM a RPM_v21.xlsm]Informe5!R197C37</stp>
        <tr r="AK197" s="29"/>
      </tp>
      <tp>
        <v>1.72</v>
        <stp/>
        <stp>##V3_BDHV12</stp>
        <stp>CHSWC10 Curncy</stp>
        <stp>PX_LAST</stp>
        <stp>23-11-2015</stp>
        <stp>23-11-2015</stp>
        <stp>[TPM a RPM_v21.xlsm]Informe5!R249C37</stp>
        <tr r="AK249" s="29"/>
      </tp>
      <tp>
        <v>1.6</v>
        <stp/>
        <stp>##V3_BDHV12</stp>
        <stp>CHSWC10 Curncy</stp>
        <stp>PX_LAST</stp>
        <stp>02-02-2016</stp>
        <stp>02-02-2016</stp>
        <stp>[TPM a RPM_v21.xlsm]Informe5!R198C37</stp>
        <tr r="AK198" s="29"/>
      </tp>
      <tp>
        <v>1.8199999999999998</v>
        <stp/>
        <stp>##V3_BDHV12</stp>
        <stp>CHSWC10 Curncy</stp>
        <stp>PX_LAST</stp>
        <stp>30-10-2015</stp>
        <stp>30-10-2015</stp>
        <stp>[TPM a RPM_v21.xlsm]Informe5!R265C37</stp>
        <tr r="AK265" s="29"/>
      </tp>
      <tp>
        <v>1.51</v>
        <stp/>
        <stp>##V3_BDHV12</stp>
        <stp>CHSWC10 Curncy</stp>
        <stp>PX_LAST</stp>
        <stp>11-03-2016</stp>
        <stp>11-03-2016</stp>
        <stp>[TPM a RPM_v21.xlsm]Informe5!R170C37</stp>
        <tr r="AK170" s="29"/>
      </tp>
      <tp>
        <v>1.74</v>
        <stp/>
        <stp>##V3_BDHV12</stp>
        <stp>CHSWC10 Curncy</stp>
        <stp>PX_LAST</stp>
        <stp>20-11-2015</stp>
        <stp>20-11-2015</stp>
        <stp>[TPM a RPM_v21.xlsm]Informe5!R250C37</stp>
        <tr r="AK250" s="29"/>
      </tp>
      <tp>
        <v>1.78</v>
        <stp/>
        <stp>##V3_BDHV12</stp>
        <stp>CHSWC10 Curncy</stp>
        <stp>PX_LAST</stp>
        <stp>10-12-2015</stp>
        <stp>10-12-2015</stp>
        <stp>[TPM a RPM_v21.xlsm]Informe5!R236C37</stp>
        <tr r="AK236" s="29"/>
      </tp>
      <tp>
        <v>1.63</v>
        <stp/>
        <stp>##V3_BDHV12</stp>
        <stp>CHSWC10 Curncy</stp>
        <stp>PX_LAST</stp>
        <stp>01-02-2016</stp>
        <stp>01-02-2016</stp>
        <stp>[TPM a RPM_v21.xlsm]Informe5!R199C37</stp>
        <tr r="AK199" s="29"/>
      </tp>
      <tp>
        <v>1.51</v>
        <stp/>
        <stp>##V3_BDHV12</stp>
        <stp>CHSWC10 Curncy</stp>
        <stp>PX_LAST</stp>
        <stp>10-03-2016</stp>
        <stp>10-03-2016</stp>
        <stp>[TPM a RPM_v21.xlsm]Informe5!R171C37</stp>
        <tr r="AK171" s="29"/>
      </tp>
      <tp>
        <v>1.6800000000000002</v>
        <stp/>
        <stp>##V3_BDHV12</stp>
        <stp>CHSWC10 Curncy</stp>
        <stp>PX_LAST</stp>
        <stp>11-12-2015</stp>
        <stp>11-12-2015</stp>
        <stp>[TPM a RPM_v21.xlsm]Informe5!R235C37</stp>
        <tr r="AK235" s="29"/>
      </tp>
      <tp>
        <v>1.73</v>
        <stp/>
        <stp>##V3_BDHV12</stp>
        <stp>CHSWC10 Curncy</stp>
        <stp>PX_LAST</stp>
        <stp>16-12-2015</stp>
        <stp>16-12-2015</stp>
        <stp>[TPM a RPM_v21.xlsm]Informe5!R232C37</stp>
        <tr r="AK232" s="29"/>
      </tp>
      <tp>
        <v>1.48</v>
        <stp/>
        <stp>##V3_BDHV12</stp>
        <stp>CHSWC10 Curncy</stp>
        <stp>PX_LAST</stp>
        <stp>17-03-2016</stp>
        <stp>17-03-2016</stp>
        <stp>[TPM a RPM_v21.xlsm]Informe5!R166C37</stp>
        <tr r="AK166" s="29"/>
      </tp>
      <tp>
        <v>1.65</v>
        <stp/>
        <stp>##V3_BDHV12</stp>
        <stp>CHSWC10 Curncy</stp>
        <stp>PX_LAST</stp>
        <stp>26-11-2015</stp>
        <stp>26-11-2015</stp>
        <stp>[TPM a RPM_v21.xlsm]Informe5!R246C37</stp>
        <tr r="AK246" s="29"/>
      </tp>
      <tp>
        <v>1.73</v>
        <stp/>
        <stp>##V3_BDHV12</stp>
        <stp>CHSWC10 Curncy</stp>
        <stp>PX_LAST</stp>
        <stp>17-12-2015</stp>
        <stp>17-12-2015</stp>
        <stp>[TPM a RPM_v21.xlsm]Informe5!R231C37</stp>
        <tr r="AK231" s="29"/>
      </tp>
      <tp>
        <v>1.6400000000000001</v>
        <stp/>
        <stp>##V3_BDHV12</stp>
        <stp>CHSWC10 Curncy</stp>
        <stp>PX_LAST</stp>
        <stp>27-11-2015</stp>
        <stp>27-11-2015</stp>
        <stp>[TPM a RPM_v21.xlsm]Informe5!R245C37</stp>
        <tr r="AK245" s="29"/>
      </tp>
      <tp>
        <v>1.51</v>
        <stp/>
        <stp>##V3_BDHV12</stp>
        <stp>CHSWC10 Curncy</stp>
        <stp>PX_LAST</stp>
        <stp>16-03-2016</stp>
        <stp>16-03-2016</stp>
        <stp>[TPM a RPM_v21.xlsm]Informe5!R167C37</stp>
        <tr r="AK167" s="29"/>
      </tp>
      <tp>
        <v>1.77</v>
        <stp/>
        <stp>##V3_BDHV12</stp>
        <stp>CHSWC10 Curncy</stp>
        <stp>PX_LAST</stp>
        <stp>14-12-2015</stp>
        <stp>14-12-2015</stp>
        <stp>[TPM a RPM_v21.xlsm]Informe5!R234C37</stp>
        <tr r="AK234" s="29"/>
      </tp>
      <tp>
        <v>1.51</v>
        <stp/>
        <stp>##V3_BDHV12</stp>
        <stp>CHSWC10 Curncy</stp>
        <stp>PX_LAST</stp>
        <stp>15-03-2016</stp>
        <stp>15-03-2016</stp>
        <stp>[TPM a RPM_v21.xlsm]Informe5!R168C37</stp>
        <tr r="AK168" s="29"/>
      </tp>
      <tp>
        <v>1.67</v>
        <stp/>
        <stp>##V3_BDHV12</stp>
        <stp>CHSWC10 Curncy</stp>
        <stp>PX_LAST</stp>
        <stp>24-11-2015</stp>
        <stp>24-11-2015</stp>
        <stp>[TPM a RPM_v21.xlsm]Informe5!R248C37</stp>
        <tr r="AK248" s="29"/>
      </tp>
      <tp>
        <v>1.63</v>
        <stp/>
        <stp>##V3_BDHV12</stp>
        <stp>CHSWC10 Curncy</stp>
        <stp>PX_LAST</stp>
        <stp>05-02-2016</stp>
        <stp>05-02-2016</stp>
        <stp>[TPM a RPM_v21.xlsm]Informe5!R195C37</stp>
        <tr r="AK195" s="29"/>
      </tp>
      <tp>
        <v>1.74</v>
        <stp/>
        <stp>##V3_BDHV12</stp>
        <stp>CHSWC10 Curncy</stp>
        <stp>PX_LAST</stp>
        <stp>15-12-2015</stp>
        <stp>15-12-2015</stp>
        <stp>[TPM a RPM_v21.xlsm]Informe5!R233C37</stp>
        <tr r="AK233" s="29"/>
      </tp>
      <tp>
        <v>1.53</v>
        <stp/>
        <stp>##V3_BDHV12</stp>
        <stp>CHSWC10 Curncy</stp>
        <stp>PX_LAST</stp>
        <stp>14-03-2016</stp>
        <stp>14-03-2016</stp>
        <stp>[TPM a RPM_v21.xlsm]Informe5!R169C37</stp>
        <tr r="AK169" s="29"/>
      </tp>
      <tp>
        <v>1.63</v>
        <stp/>
        <stp>##V3_BDHV12</stp>
        <stp>CHSWC10 Curncy</stp>
        <stp>PX_LAST</stp>
        <stp>25-11-2015</stp>
        <stp>25-11-2015</stp>
        <stp>[TPM a RPM_v21.xlsm]Informe5!R247C37</stp>
        <tr r="AK247" s="29"/>
      </tp>
      <tp>
        <v>1.5899999999999999</v>
        <stp/>
        <stp>##V3_BDHV12</stp>
        <stp>CHSWC10 Curncy</stp>
        <stp>PX_LAST</stp>
        <stp>04-02-2016</stp>
        <stp>04-02-2016</stp>
        <stp>[TPM a RPM_v21.xlsm]Informe5!R196C37</stp>
        <tr r="AK196" s="29"/>
      </tp>
      <tp>
        <v>1.41</v>
        <stp/>
        <stp>##V3_BDHV12</stp>
        <stp>CHSWC10 Curncy</stp>
        <stp>PX_LAST</stp>
        <stp>18-04-2016</stp>
        <stp>18-04-2016</stp>
        <stp>[TPM a RPM_v21.xlsm]Informe5!R144C37</stp>
        <tr r="AK144" s="29"/>
      </tp>
      <tp>
        <v>1.43</v>
        <stp/>
        <stp>##V3_BDHV12</stp>
        <stp>CHSWC10 Curncy</stp>
        <stp>PX_LAST</stp>
        <stp>19-04-2016</stp>
        <stp>19-04-2016</stp>
        <stp>[TPM a RPM_v21.xlsm]Informe5!R143C37</stp>
        <tr r="AK143" s="29"/>
      </tp>
      <tp>
        <v>1.49</v>
        <stp/>
        <stp>##V3_BDHV12</stp>
        <stp>CHSWC10 Curncy</stp>
        <stp>PX_LAST</stp>
        <stp>09-05-2016</stp>
        <stp>09-05-2016</stp>
        <stp>[TPM a RPM_v21.xlsm]Informe5!R129C37</stp>
        <tr r="AK129" s="29"/>
      </tp>
      <tp>
        <v>1.52</v>
        <stp/>
        <stp>##V3_BDHV12</stp>
        <stp>CHSWC10 Curncy</stp>
        <stp>PX_LAST</stp>
        <stp>04-05-2016</stp>
        <stp>04-05-2016</stp>
        <stp>[TPM a RPM_v21.xlsm]Informe5!R132C37</stp>
        <tr r="AK132" s="29"/>
      </tp>
      <tp>
        <v>1.48</v>
        <stp/>
        <stp>##V3_BDHV12</stp>
        <stp>CHSWC10 Curncy</stp>
        <stp>PX_LAST</stp>
        <stp>14-04-2016</stp>
        <stp>14-04-2016</stp>
        <stp>[TPM a RPM_v21.xlsm]Informe5!R146C37</stp>
        <tr r="AK146" s="29"/>
      </tp>
      <tp>
        <v>1.51</v>
        <stp/>
        <stp>##V3_BDHV12</stp>
        <stp>CHSWC10 Curncy</stp>
        <stp>PX_LAST</stp>
        <stp>05-05-2016</stp>
        <stp>05-05-2016</stp>
        <stp>[TPM a RPM_v21.xlsm]Informe5!R131C37</stp>
        <tr r="AK131" s="29"/>
      </tp>
      <tp>
        <v>1.44</v>
        <stp/>
        <stp>##V3_BDHV12</stp>
        <stp>CHSWC10 Curncy</stp>
        <stp>PX_LAST</stp>
        <stp>15-04-2016</stp>
        <stp>15-04-2016</stp>
        <stp>[TPM a RPM_v21.xlsm]Informe5!R145C37</stp>
        <tr r="AK145" s="29"/>
      </tp>
      <tp>
        <v>1.52</v>
        <stp/>
        <stp>##V3_BDHV12</stp>
        <stp>CHSWC10 Curncy</stp>
        <stp>PX_LAST</stp>
        <stp>06-05-2016</stp>
        <stp>06-05-2016</stp>
        <stp>[TPM a RPM_v21.xlsm]Informe5!R130C37</stp>
        <tr r="AK130" s="29"/>
      </tp>
      <tp>
        <v>1.46</v>
        <stp/>
        <stp>##V3_BDHV12</stp>
        <stp>CHSWC10 Curncy</stp>
        <stp>PX_LAST</stp>
        <stp>11-04-2016</stp>
        <stp>11-04-2016</stp>
        <stp>[TPM a RPM_v21.xlsm]Informe5!R149C37</stp>
        <tr r="AK149" s="29"/>
      </tp>
      <tp>
        <v>1.45</v>
        <stp/>
        <stp>##V3_BDHV12</stp>
        <stp>CHSWC10 Curncy</stp>
        <stp>PX_LAST</stp>
        <stp>12-04-2016</stp>
        <stp>12-04-2016</stp>
        <stp>[TPM a RPM_v21.xlsm]Informe5!R148C37</stp>
        <tr r="AK148" s="29"/>
      </tp>
      <tp>
        <v>1.53</v>
        <stp/>
        <stp>##V3_BDHV12</stp>
        <stp>CHSWC10 Curncy</stp>
        <stp>PX_LAST</stp>
        <stp>02-05-2016</stp>
        <stp>02-05-2016</stp>
        <stp>[TPM a RPM_v21.xlsm]Informe5!R134C37</stp>
        <tr r="AK134" s="29"/>
      </tp>
      <tp>
        <v>1.43</v>
        <stp/>
        <stp>##V3_BDHV12</stp>
        <stp>CHSWC10 Curncy</stp>
        <stp>PX_LAST</stp>
        <stp>13-04-2016</stp>
        <stp>13-04-2016</stp>
        <stp>[TPM a RPM_v21.xlsm]Informe5!R147C37</stp>
        <tr r="AK147" s="29"/>
      </tp>
      <tp>
        <v>1.53</v>
        <stp/>
        <stp>##V3_BDHV12</stp>
        <stp>CHSWC10 Curncy</stp>
        <stp>PX_LAST</stp>
        <stp>03-05-2016</stp>
        <stp>03-05-2016</stp>
        <stp>[TPM a RPM_v21.xlsm]Informe5!R133C37</stp>
        <tr r="AK133" s="29"/>
      </tp>
      <tp>
        <v>1.54</v>
        <stp/>
        <stp>##V3_BDHV12</stp>
        <stp>CHSWC10 Curncy</stp>
        <stp>PX_LAST</stp>
        <stp>19-05-2016</stp>
        <stp>19-05-2016</stp>
        <stp>[TPM a RPM_v21.xlsm]Informe5!R121C37</stp>
        <tr r="AK121" s="29"/>
      </tp>
      <tp>
        <v>1.42</v>
        <stp/>
        <stp>##V3_BDHV12</stp>
        <stp>CHSWC10 Curncy</stp>
        <stp>PX_LAST</stp>
        <stp>08-04-2016</stp>
        <stp>08-04-2016</stp>
        <stp>[TPM a RPM_v21.xlsm]Informe5!R150C37</stp>
        <tr r="AK150" s="29"/>
      </tp>
      <tp>
        <v>1.52</v>
        <stp/>
        <stp>##V3_BDHV12</stp>
        <stp>CHSWC10 Curncy</stp>
        <stp>PX_LAST</stp>
        <stp>18-05-2016</stp>
        <stp>18-05-2016</stp>
        <stp>[TPM a RPM_v21.xlsm]Informe5!R122C37</stp>
        <tr r="AK122" s="29"/>
      </tp>
      <tp>
        <v>1.45</v>
        <stp/>
        <stp>##V3_BDHV12</stp>
        <stp>CHSWC10 Curncy</stp>
        <stp>PX_LAST</stp>
        <stp>05-04-2016</stp>
        <stp>05-04-2016</stp>
        <stp>[TPM a RPM_v21.xlsm]Informe5!R153C37</stp>
        <tr r="AK153" s="29"/>
      </tp>
      <tp>
        <v>1.47</v>
        <stp/>
        <stp>##V3_BDHV12</stp>
        <stp>CHSWC10 Curncy</stp>
        <stp>PX_LAST</stp>
        <stp>04-04-2016</stp>
        <stp>04-04-2016</stp>
        <stp>[TPM a RPM_v21.xlsm]Informe5!R154C37</stp>
        <tr r="AK154" s="29"/>
      </tp>
      <tp>
        <v>1.52</v>
        <stp/>
        <stp>##V3_BDHV12</stp>
        <stp>CHSWC10 Curncy</stp>
        <stp>PX_LAST</stp>
        <stp>17-05-2016</stp>
        <stp>17-05-2016</stp>
        <stp>[TPM a RPM_v21.xlsm]Informe5!R123C37</stp>
        <tr r="AK123" s="29"/>
      </tp>
      <tp>
        <v>1.44</v>
        <stp/>
        <stp>##V3_BDHV12</stp>
        <stp>CHSWC10 Curncy</stp>
        <stp>PX_LAST</stp>
        <stp>07-04-2016</stp>
        <stp>07-04-2016</stp>
        <stp>[TPM a RPM_v21.xlsm]Informe5!R151C37</stp>
        <tr r="AK151" s="29"/>
      </tp>
      <tp>
        <v>1.51</v>
        <stp/>
        <stp>##V3_BDHV12</stp>
        <stp>CHSWC10 Curncy</stp>
        <stp>PX_LAST</stp>
        <stp>16-05-2016</stp>
        <stp>16-05-2016</stp>
        <stp>[TPM a RPM_v21.xlsm]Informe5!R124C37</stp>
        <tr r="AK124" s="29"/>
      </tp>
      <tp>
        <v>1.45</v>
        <stp/>
        <stp>##V3_BDHV12</stp>
        <stp>CHSWC10 Curncy</stp>
        <stp>PX_LAST</stp>
        <stp>06-04-2016</stp>
        <stp>06-04-2016</stp>
        <stp>[TPM a RPM_v21.xlsm]Informe5!R152C37</stp>
        <tr r="AK152" s="29"/>
      </tp>
      <tp>
        <v>1.48</v>
        <stp/>
        <stp>##V3_BDHV12</stp>
        <stp>CHSWC10 Curncy</stp>
        <stp>PX_LAST</stp>
        <stp>01-04-2016</stp>
        <stp>01-04-2016</stp>
        <stp>[TPM a RPM_v21.xlsm]Informe5!R155C37</stp>
        <tr r="AK155" s="29"/>
      </tp>
      <tp>
        <v>1.49</v>
        <stp/>
        <stp>##V3_BDHV12</stp>
        <stp>CHSWC10 Curncy</stp>
        <stp>PX_LAST</stp>
        <stp>11-05-2016</stp>
        <stp>11-05-2016</stp>
        <stp>[TPM a RPM_v21.xlsm]Informe5!R127C37</stp>
        <tr r="AK127" s="29"/>
      </tp>
      <tp>
        <v>1.49</v>
        <stp/>
        <stp>##V3_BDHV12</stp>
        <stp>CHSWC10 Curncy</stp>
        <stp>PX_LAST</stp>
        <stp>10-05-2016</stp>
        <stp>10-05-2016</stp>
        <stp>[TPM a RPM_v21.xlsm]Informe5!R128C37</stp>
        <tr r="AK128" s="29"/>
      </tp>
      <tp>
        <v>1.51</v>
        <stp/>
        <stp>##V3_BDHV12</stp>
        <stp>CHSWC10 Curncy</stp>
        <stp>PX_LAST</stp>
        <stp>13-05-2016</stp>
        <stp>13-05-2016</stp>
        <stp>[TPM a RPM_v21.xlsm]Informe5!R125C37</stp>
        <tr r="AK125" s="29"/>
      </tp>
      <tp>
        <v>1.52</v>
        <stp/>
        <stp>##V3_BDHV12</stp>
        <stp>CHSWC10 Curncy</stp>
        <stp>PX_LAST</stp>
        <stp>12-05-2016</stp>
        <stp>12-05-2016</stp>
        <stp>[TPM a RPM_v21.xlsm]Informe5!R126C37</stp>
        <tr r="AK126" s="29"/>
      </tp>
      <tp>
        <v>1.5699999999999998</v>
        <stp/>
        <stp>##V3_BDHV12</stp>
        <stp>CHSWC10 Curncy</stp>
        <stp>PX_LAST</stp>
        <stp>16-06-2016</stp>
        <stp>16-06-2016</stp>
        <stp>[TPM a RPM_v21.xlsm]Informe5!R101C37</stp>
        <tr r="AK101" s="29"/>
      </tp>
      <tp>
        <v>1.56</v>
        <stp/>
        <stp>##V3_BDHV12</stp>
        <stp>CHSWC10 Curncy</stp>
        <stp>PX_LAST</stp>
        <stp>26-05-2016</stp>
        <stp>26-05-2016</stp>
        <stp>[TPM a RPM_v21.xlsm]Informe5!R116C37</stp>
        <tr r="AK116" s="29"/>
      </tp>
      <tp>
        <v>1.58</v>
        <stp/>
        <stp>##V3_BDHV12</stp>
        <stp>CHSWC10 Curncy</stp>
        <stp>PX_LAST</stp>
        <stp>27-05-2016</stp>
        <stp>27-05-2016</stp>
        <stp>[TPM a RPM_v21.xlsm]Informe5!R115C37</stp>
        <tr r="AK115" s="29"/>
      </tp>
      <tp>
        <v>1.55</v>
        <stp/>
        <stp>##V3_BDHV12</stp>
        <stp>CHSWC10 Curncy</stp>
        <stp>PX_LAST</stp>
        <stp>17-06-2016</stp>
        <stp>17-06-2016</stp>
        <stp>[TPM a RPM_v21.xlsm]Informe5!R100C37</stp>
        <tr r="AK100" s="29"/>
      </tp>
      <tp>
        <v>1.5699999999999998</v>
        <stp/>
        <stp>##V3_BDHV12</stp>
        <stp>CHSWC10 Curncy</stp>
        <stp>PX_LAST</stp>
        <stp>14-06-2016</stp>
        <stp>14-06-2016</stp>
        <stp>[TPM a RPM_v21.xlsm]Informe5!R103C37</stp>
        <tr r="AK103" s="29"/>
      </tp>
      <tp>
        <v>1.52</v>
        <stp/>
        <stp>##V3_BDHV12</stp>
        <stp>CHSWC10 Curncy</stp>
        <stp>PX_LAST</stp>
        <stp>24-05-2016</stp>
        <stp>24-05-2016</stp>
        <stp>[TPM a RPM_v21.xlsm]Informe5!R118C37</stp>
        <tr r="AK118" s="29"/>
      </tp>
      <tp>
        <v>1.56</v>
        <stp/>
        <stp>##V3_BDHV12</stp>
        <stp>CHSWC10 Curncy</stp>
        <stp>PX_LAST</stp>
        <stp>25-05-2016</stp>
        <stp>25-05-2016</stp>
        <stp>[TPM a RPM_v21.xlsm]Informe5!R117C37</stp>
        <tr r="AK117" s="29"/>
      </tp>
      <tp>
        <v>1.5899999999999999</v>
        <stp/>
        <stp>##V3_BDHV12</stp>
        <stp>CHSWC10 Curncy</stp>
        <stp>PX_LAST</stp>
        <stp>15-06-2016</stp>
        <stp>15-06-2016</stp>
        <stp>[TPM a RPM_v21.xlsm]Informe5!R102C37</stp>
        <tr r="AK102" s="29"/>
      </tp>
      <tp>
        <v>1.5</v>
        <stp/>
        <stp>##V3_BDHV12</stp>
        <stp>CHSWC10 Curncy</stp>
        <stp>PX_LAST</stp>
        <stp>23-05-2016</stp>
        <stp>23-05-2016</stp>
        <stp>[TPM a RPM_v21.xlsm]Informe5!R119C37</stp>
        <tr r="AK119" s="29"/>
      </tp>
      <tp>
        <v>1.55</v>
        <stp/>
        <stp>##V3_BDHV12</stp>
        <stp>CHSWC10 Curncy</stp>
        <stp>PX_LAST</stp>
        <stp>13-06-2016</stp>
        <stp>13-06-2016</stp>
        <stp>[TPM a RPM_v21.xlsm]Informe5!R104C37</stp>
        <tr r="AK104" s="29"/>
      </tp>
      <tp>
        <v>1.55</v>
        <stp/>
        <stp>##V3_BDHV12</stp>
        <stp>CHSWC10 Curncy</stp>
        <stp>PX_LAST</stp>
        <stp>10-06-2016</stp>
        <stp>10-06-2016</stp>
        <stp>[TPM a RPM_v21.xlsm]Informe5!R105C37</stp>
        <tr r="AK105" s="29"/>
      </tp>
      <tp>
        <v>1.53</v>
        <stp/>
        <stp>##V3_BDHV12</stp>
        <stp>CHSWC10 Curncy</stp>
        <stp>PX_LAST</stp>
        <stp>20-05-2016</stp>
        <stp>20-05-2016</stp>
        <stp>[TPM a RPM_v21.xlsm]Informe5!R120C37</stp>
        <tr r="AK120" s="29"/>
      </tp>
      <tp>
        <v>1.56</v>
        <stp/>
        <stp>##V3_BDHV12</stp>
        <stp>CHSWC10 Curncy</stp>
        <stp>PX_LAST</stp>
        <stp>09-06-2016</stp>
        <stp>09-06-2016</stp>
        <stp>[TPM a RPM_v21.xlsm]Informe5!R106C37</stp>
        <tr r="AK106" s="29"/>
      </tp>
      <tp>
        <v>1.53</v>
        <stp/>
        <stp>##V3_BDHV12</stp>
        <stp>CHSWC10 Curncy</stp>
        <stp>PX_LAST</stp>
        <stp>29-04-2016</stp>
        <stp>29-04-2016</stp>
        <stp>[TPM a RPM_v21.xlsm]Informe5!R135C37</stp>
        <tr r="AK135" s="29"/>
      </tp>
      <tp>
        <v>1.55</v>
        <stp/>
        <stp>##V3_BDHV12</stp>
        <stp>CHSWC10 Curncy</stp>
        <stp>PX_LAST</stp>
        <stp>08-06-2016</stp>
        <stp>08-06-2016</stp>
        <stp>[TPM a RPM_v21.xlsm]Informe5!R107C37</stp>
        <tr r="AK107" s="29"/>
      </tp>
      <tp>
        <v>1.54</v>
        <stp/>
        <stp>##V3_BDHV12</stp>
        <stp>CHSWC10 Curncy</stp>
        <stp>PX_LAST</stp>
        <stp>28-04-2016</stp>
        <stp>28-04-2016</stp>
        <stp>[TPM a RPM_v21.xlsm]Informe5!R136C37</stp>
        <tr r="AK136" s="29"/>
      </tp>
      <tp>
        <v>1.5699999999999998</v>
        <stp/>
        <stp>##V3_BDHV12</stp>
        <stp>CHSWC10 Curncy</stp>
        <stp>PX_LAST</stp>
        <stp>27-04-2016</stp>
        <stp>27-04-2016</stp>
        <stp>[TPM a RPM_v21.xlsm]Informe5!R137C37</stp>
        <tr r="AK137" s="29"/>
      </tp>
      <tp>
        <v>1.52</v>
        <stp/>
        <stp>##V3_BDHV12</stp>
        <stp>CHSWC10 Curncy</stp>
        <stp>PX_LAST</stp>
        <stp>07-06-2016</stp>
        <stp>07-06-2016</stp>
        <stp>[TPM a RPM_v21.xlsm]Informe5!R108C37</stp>
        <tr r="AK108" s="29"/>
      </tp>
      <tp>
        <v>1.58</v>
        <stp/>
        <stp>##V3_BDHV12</stp>
        <stp>CHSWC10 Curncy</stp>
        <stp>PX_LAST</stp>
        <stp>26-04-2016</stp>
        <stp>26-04-2016</stp>
        <stp>[TPM a RPM_v21.xlsm]Informe5!R138C37</stp>
        <tr r="AK138" s="29"/>
      </tp>
      <tp>
        <v>1.55</v>
        <stp/>
        <stp>##V3_BDHV12</stp>
        <stp>CHSWC10 Curncy</stp>
        <stp>PX_LAST</stp>
        <stp>06-06-2016</stp>
        <stp>06-06-2016</stp>
        <stp>[TPM a RPM_v21.xlsm]Informe5!R109C37</stp>
        <tr r="AK109" s="29"/>
      </tp>
      <tp>
        <v>1.54</v>
        <stp/>
        <stp>##V3_BDHV12</stp>
        <stp>CHSWC10 Curncy</stp>
        <stp>PX_LAST</stp>
        <stp>25-04-2016</stp>
        <stp>25-04-2016</stp>
        <stp>[TPM a RPM_v21.xlsm]Informe5!R139C37</stp>
        <tr r="AK139" s="29"/>
      </tp>
      <tp>
        <v>1.58</v>
        <stp/>
        <stp>##V3_BDHV12</stp>
        <stp>CHSWC10 Curncy</stp>
        <stp>PX_LAST</stp>
        <stp>03-06-2016</stp>
        <stp>03-06-2016</stp>
        <stp>[TPM a RPM_v21.xlsm]Informe5!R110C37</stp>
        <tr r="AK110" s="29"/>
      </tp>
      <tp>
        <v>1.51</v>
        <stp/>
        <stp>##V3_BDHV12</stp>
        <stp>CHSWC10 Curncy</stp>
        <stp>PX_LAST</stp>
        <stp>22-04-2016</stp>
        <stp>22-04-2016</stp>
        <stp>[TPM a RPM_v21.xlsm]Informe5!R140C37</stp>
        <tr r="AK140" s="29"/>
      </tp>
      <tp>
        <v>1.6099999999999999</v>
        <stp/>
        <stp>##V3_BDHV12</stp>
        <stp>CHSWC10 Curncy</stp>
        <stp>PX_LAST</stp>
        <stp>02-06-2016</stp>
        <stp>02-06-2016</stp>
        <stp>[TPM a RPM_v21.xlsm]Informe5!R111C37</stp>
        <tr r="AK111" s="29"/>
      </tp>
      <tp>
        <v>1.49</v>
        <stp/>
        <stp>##V3_BDHV12</stp>
        <stp>CHSWC10 Curncy</stp>
        <stp>PX_LAST</stp>
        <stp>21-04-2016</stp>
        <stp>21-04-2016</stp>
        <stp>[TPM a RPM_v21.xlsm]Informe5!R141C37</stp>
        <tr r="AK141" s="29"/>
      </tp>
      <tp>
        <v>1.6</v>
        <stp/>
        <stp>##V3_BDHV12</stp>
        <stp>CHSWC10 Curncy</stp>
        <stp>PX_LAST</stp>
        <stp>01-06-2016</stp>
        <stp>01-06-2016</stp>
        <stp>[TPM a RPM_v21.xlsm]Informe5!R112C37</stp>
        <tr r="AK112" s="29"/>
      </tp>
      <tp>
        <v>1.62</v>
        <stp/>
        <stp>##V3_BDHV12</stp>
        <stp>CHSWC10 Curncy</stp>
        <stp>PX_LAST</stp>
        <stp>31-05-2016</stp>
        <stp>31-05-2016</stp>
        <stp>[TPM a RPM_v21.xlsm]Informe5!R113C37</stp>
        <tr r="AK113" s="29"/>
      </tp>
      <tp>
        <v>1.46</v>
        <stp/>
        <stp>##V3_BDHV12</stp>
        <stp>CHSWC10 Curncy</stp>
        <stp>PX_LAST</stp>
        <stp>20-04-2016</stp>
        <stp>20-04-2016</stp>
        <stp>[TPM a RPM_v21.xlsm]Informe5!R142C37</stp>
        <tr r="AK142" s="29"/>
      </tp>
      <tp>
        <v>1.6</v>
        <stp/>
        <stp>##V3_BDHV12</stp>
        <stp>CHSWC10 Curncy</stp>
        <stp>PX_LAST</stp>
        <stp>30-05-2016</stp>
        <stp>30-05-2016</stp>
        <stp>[TPM a RPM_v21.xlsm]Informe5!R114C37</stp>
        <tr r="AK114" s="29"/>
      </tp>
      <tp>
        <v>0.77</v>
        <stp/>
        <stp>##V3_BDHV12</stp>
        <stp>CHSWC5 Curncy</stp>
        <stp>PX_LAST</stp>
        <stp>27-10-2016</stp>
        <stp>27-10-2016</stp>
        <stp>[TPM a RPM_v21.xlsm]Zero_swap_CL!R32C5</stp>
        <tr r="E32" s="15"/>
      </tp>
      <tp>
        <v>3.2701199999999999</v>
        <stp/>
        <stp>##V3_BDPV12</stp>
        <stp>S0193Z 18M BLC2 Curncy</stp>
        <stp>PX_LAST</stp>
        <stp>[TPM a RPM_v21.xlsm]Zero_swap_CL!R7C16</stp>
        <tr r="P7" s="15"/>
      </tp>
      <tp>
        <v>0.85</v>
        <stp/>
        <stp>##V3_BDHV12</stp>
        <stp>CHSWC6 Curncy</stp>
        <stp>PX_LAST</stp>
        <stp>27-10-2016</stp>
        <stp>27-10-2016</stp>
        <stp>[TPM a RPM_v21.xlsm]Zero_swap_CL!R33C5</stp>
        <tr r="E33" s="15"/>
      </tp>
      <tp>
        <v>0.53</v>
        <stp/>
        <stp>##V3_BDHV12</stp>
        <stp>CHSWC3 Curncy</stp>
        <stp>PX_LAST</stp>
        <stp>27-10-2016</stp>
        <stp>27-10-2016</stp>
        <stp>[TPM a RPM_v21.xlsm]Zero_swap_CL!R30C5</stp>
        <tr r="E30" s="15"/>
      </tp>
      <tp>
        <v>0.64</v>
        <stp/>
        <stp>##V3_BDHV12</stp>
        <stp>CHSWC4 Curncy</stp>
        <stp>PX_LAST</stp>
        <stp>27-10-2016</stp>
        <stp>27-10-2016</stp>
        <stp>[TPM a RPM_v21.xlsm]Zero_swap_CL!R31C5</stp>
        <tr r="E31" s="15"/>
      </tp>
      <tp>
        <v>98</v>
        <stp/>
        <stp>##V3_BDPV12</stp>
        <stp>CHSWPC  Curncy</stp>
        <stp>DAYS_TO_MTY_TDY</stp>
        <stp>[TPM a RPM_v21.xlsm]Zero_swap_CL!R3C9</stp>
        <tr r="I3" s="15"/>
      </tp>
      <tp>
        <v>1.0900000000000001</v>
        <stp/>
        <stp>##V3_BDHV12</stp>
        <stp>CHSWC9 Curncy</stp>
        <stp>PX_LAST</stp>
        <stp>27-10-2016</stp>
        <stp>27-10-2016</stp>
        <stp>[TPM a RPM_v21.xlsm]Zero_swap_CL!R36C5</stp>
        <tr r="E36" s="15"/>
      </tp>
      <tp>
        <v>0.89</v>
        <stp/>
        <stp>##V3_BDHV12</stp>
        <stp>CHSWCI Curncy</stp>
        <stp>PX_LAST</stp>
        <stp>27-10-2016</stp>
        <stp>27-10-2016</stp>
        <stp>[TPM a RPM_v21.xlsm]Zero_swap_CL!R26C5</stp>
        <tr r="E26" s="15"/>
      </tp>
      <tp>
        <v>0.77</v>
        <stp/>
        <stp>##V3_BDHV12</stp>
        <stp>CHSWC1 Curncy</stp>
        <stp>PX_LAST</stp>
        <stp>27-10-2016</stp>
        <stp>27-10-2016</stp>
        <stp>[TPM a RPM_v21.xlsm]Zero_swap_CL!R27C5</stp>
        <tr r="E27" s="15"/>
      </tp>
      <tp>
        <v>187</v>
        <stp/>
        <stp>##V3_BDPV12</stp>
        <stp>CHSWPF  Curncy</stp>
        <stp>DAYS_TO_MTY_TDY</stp>
        <stp>[TPM a RPM_v21.xlsm]Zero_swap_CL!R4C9</stp>
        <tr r="I4" s="15"/>
      </tp>
      <tp>
        <v>0.93</v>
        <stp/>
        <stp>##V3_BDHV12</stp>
        <stp>CHSWC7 Curncy</stp>
        <stp>PX_LAST</stp>
        <stp>27-10-2016</stp>
        <stp>27-10-2016</stp>
        <stp>[TPM a RPM_v21.xlsm]Zero_swap_CL!R34C5</stp>
        <tr r="E34" s="15"/>
      </tp>
      <tp>
        <v>1.18</v>
        <stp/>
        <stp>##V3_BDHV12</stp>
        <stp>CHSWCC Curncy</stp>
        <stp>PX_LAST</stp>
        <stp>27-10-2016</stp>
        <stp>27-10-2016</stp>
        <stp>[TPM a RPM_v21.xlsm]Zero_swap_CL!R24C5</stp>
        <tr r="E24" s="15"/>
      </tp>
      <tp>
        <v>7311</v>
        <stp/>
        <stp>##V3_BDPV12</stp>
        <stp>CHSWP20  Curncy</stp>
        <stp>DAYS_TO_MTY_TDY</stp>
        <stp>[TPM a RPM_v21.xlsm]Zero_swap_CL!R18C9</stp>
        <tr r="I18" s="15"/>
      </tp>
      <tp>
        <v>1.01</v>
        <stp/>
        <stp>##V3_BDHV12</stp>
        <stp>CHSWC8 Curncy</stp>
        <stp>PX_LAST</stp>
        <stp>27-10-2016</stp>
        <stp>27-10-2016</stp>
        <stp>[TPM a RPM_v21.xlsm]Zero_swap_CL!R35C5</stp>
        <tr r="E35" s="15"/>
      </tp>
      <tp>
        <v>1.73</v>
        <stp/>
        <stp>##V3_BDHV12</stp>
        <stp>CHSWCF Curncy</stp>
        <stp>PX_LAST</stp>
        <stp>27-10-2016</stp>
        <stp>27-10-2016</stp>
        <stp>[TPM a RPM_v21.xlsm]Zero_swap_CL!R25C5</stp>
        <tr r="E25" s="15"/>
      </tp>
      <tp>
        <v>3.5</v>
        <stp/>
        <stp>##V3_BDPV12</stp>
        <stp>CHOVCHOV Index</stp>
        <stp>PX_LAST</stp>
        <stp>[TPM a RPM_v21.xlsm]HPR!R2C3</stp>
        <tr r="C2" s="4"/>
      </tp>
      <tp>
        <v>279</v>
        <stp/>
        <stp>##V3_BDPV12</stp>
        <stp>CHSWPI  Curncy</stp>
        <stp>DAYS_TO_MTY_TDY</stp>
        <stp>[TPM a RPM_v21.xlsm]Zero_swap_CL!R5C9</stp>
        <tr r="I5" s="15"/>
      </tp>
      <tp>
        <v>3.9699999999999998</v>
        <stp/>
        <stp>##V3_BDHV12</stp>
        <stp>CHSWP9  Curncy</stp>
        <stp>PX_LAST</stp>
        <stp>27-10-2016</stp>
        <stp>27-10-2016</stp>
        <stp>[TPM a RPM_v21.xlsm]Zero_swap_CL!R15C5</stp>
        <tr r="E15" s="15"/>
      </tp>
      <tp>
        <v>4.82</v>
        <stp/>
        <stp>##V3_BDHV12</stp>
        <stp>CHSWP10  Curncy</stp>
        <stp>PX_LAST</stp>
        <stp>16-12-2015</stp>
        <stp>16-12-2015</stp>
        <stp>[TPM a RPM_v21.xlsm]Informe5!R232C34</stp>
        <tr r="AH232" s="29"/>
      </tp>
      <tp>
        <v>4.57</v>
        <stp/>
        <stp>##V3_BDHV12</stp>
        <stp>CHSWP10  Curncy</stp>
        <stp>PX_LAST</stp>
        <stp>17-03-2016</stp>
        <stp>17-03-2016</stp>
        <stp>[TPM a RPM_v21.xlsm]Informe5!R166C34</stp>
        <tr r="AH166" s="29"/>
      </tp>
      <tp>
        <v>4.7</v>
        <stp/>
        <stp>##V3_BDHV12</stp>
        <stp>CHSWP10  Curncy</stp>
        <stp>PX_LAST</stp>
        <stp>26-11-2015</stp>
        <stp>26-11-2015</stp>
        <stp>[TPM a RPM_v21.xlsm]Informe5!R246C34</stp>
        <tr r="AH246" s="29"/>
      </tp>
      <tp>
        <v>4.0199999999999996</v>
        <stp/>
        <stp>##V3_BDHV12</stp>
        <stp>CHSWP2  Curncy</stp>
        <stp>PX_LAST</stp>
        <stp>29-12-2015</stp>
        <stp>29-12-2015</stp>
        <stp>[TPM a RPM_v21.xlsm]Informe5!R223C32</stp>
        <tr r="AF223" s="29"/>
      </tp>
      <tp>
        <v>4.37</v>
        <stp/>
        <stp>##V3_BDHV12</stp>
        <stp>CHSWP5  Curncy</stp>
        <stp>PX_LAST</stp>
        <stp>29-12-2015</stp>
        <stp>29-12-2015</stp>
        <stp>[TPM a RPM_v21.xlsm]Informe5!R223C33</stp>
        <tr r="AG223" s="29"/>
      </tp>
      <tp>
        <v>4.34</v>
        <stp/>
        <stp>##V3_BDHV12</stp>
        <stp>CHSWP5  Curncy</stp>
        <stp>PX_LAST</stp>
        <stp>19-11-2015</stp>
        <stp>19-11-2015</stp>
        <stp>[TPM a RPM_v21.xlsm]Informe5!R251C33</stp>
        <tr r="AG251" s="29"/>
      </tp>
      <tp>
        <v>3.91</v>
        <stp/>
        <stp>##V3_BDHV12</stp>
        <stp>CHSWP2  Curncy</stp>
        <stp>PX_LAST</stp>
        <stp>19-11-2015</stp>
        <stp>19-11-2015</stp>
        <stp>[TPM a RPM_v21.xlsm]Informe5!R251C32</stp>
        <tr r="AF251" s="29"/>
      </tp>
      <tp>
        <v>4.22</v>
        <stp/>
        <stp>##V3_BDHV12</stp>
        <stp>CHSWP5  Curncy</stp>
        <stp>PX_LAST</stp>
        <stp>28-03-2016</stp>
        <stp>28-03-2016</stp>
        <stp>[TPM a RPM_v21.xlsm]Informe5!R159C33</stp>
        <tr r="AG159" s="29"/>
      </tp>
      <tp>
        <v>3.86</v>
        <stp/>
        <stp>##V3_BDHV12</stp>
        <stp>CHSWP2  Curncy</stp>
        <stp>PX_LAST</stp>
        <stp>28-03-2016</stp>
        <stp>28-03-2016</stp>
        <stp>[TPM a RPM_v21.xlsm]Informe5!R159C32</stp>
        <tr r="AF159" s="29"/>
      </tp>
      <tp>
        <v>4.8100000000000005</v>
        <stp/>
        <stp>##V3_BDHV12</stp>
        <stp>CHSWP10  Curncy</stp>
        <stp>PX_LAST</stp>
        <stp>17-12-2015</stp>
        <stp>17-12-2015</stp>
        <stp>[TPM a RPM_v21.xlsm]Informe5!R231C34</stp>
        <tr r="AH231" s="29"/>
      </tp>
      <tp>
        <v>4.5999999999999996</v>
        <stp/>
        <stp>##V3_BDHV12</stp>
        <stp>CHSWP10  Curncy</stp>
        <stp>PX_LAST</stp>
        <stp>16-03-2016</stp>
        <stp>16-03-2016</stp>
        <stp>[TPM a RPM_v21.xlsm]Informe5!R167C34</stp>
        <tr r="AH167" s="29"/>
      </tp>
      <tp>
        <v>4.7300000000000004</v>
        <stp/>
        <stp>##V3_BDHV12</stp>
        <stp>CHSWP10  Curncy</stp>
        <stp>PX_LAST</stp>
        <stp>27-11-2015</stp>
        <stp>27-11-2015</stp>
        <stp>[TPM a RPM_v21.xlsm]Informe5!R245C34</stp>
        <tr r="AH245" s="29"/>
      </tp>
      <tp>
        <v>4.33</v>
        <stp/>
        <stp>##V3_BDHV12</stp>
        <stp>CHSWP5  Curncy</stp>
        <stp>PX_LAST</stp>
        <stp>28-12-2015</stp>
        <stp>28-12-2015</stp>
        <stp>[TPM a RPM_v21.xlsm]Informe5!R224C33</stp>
        <tr r="AG224" s="29"/>
      </tp>
      <tp>
        <v>3.98</v>
        <stp/>
        <stp>##V3_BDHV12</stp>
        <stp>CHSWP2  Curncy</stp>
        <stp>PX_LAST</stp>
        <stp>28-12-2015</stp>
        <stp>28-12-2015</stp>
        <stp>[TPM a RPM_v21.xlsm]Informe5!R224C32</stp>
        <tr r="AF224" s="29"/>
      </tp>
      <tp>
        <v>3.91</v>
        <stp/>
        <stp>##V3_BDHV12</stp>
        <stp>CHSWP2  Curncy</stp>
        <stp>PX_LAST</stp>
        <stp>18-11-2015</stp>
        <stp>18-11-2015</stp>
        <stp>[TPM a RPM_v21.xlsm]Informe5!R252C32</stp>
        <tr r="AF252" s="29"/>
      </tp>
      <tp>
        <v>4.3600000000000003</v>
        <stp/>
        <stp>##V3_BDHV12</stp>
        <stp>CHSWP5  Curncy</stp>
        <stp>PX_LAST</stp>
        <stp>18-11-2015</stp>
        <stp>18-11-2015</stp>
        <stp>[TPM a RPM_v21.xlsm]Informe5!R252C33</stp>
        <tr r="AG252" s="29"/>
      </tp>
      <tp>
        <v>3.84</v>
        <stp/>
        <stp>##V3_BDHV12</stp>
        <stp>CHSWP2  Curncy</stp>
        <stp>PX_LAST</stp>
        <stp>29-03-2016</stp>
        <stp>29-03-2016</stp>
        <stp>[TPM a RPM_v21.xlsm]Informe5!R158C32</stp>
        <tr r="AF158" s="29"/>
      </tp>
      <tp>
        <v>4.1900000000000004</v>
        <stp/>
        <stp>##V3_BDHV12</stp>
        <stp>CHSWP5  Curncy</stp>
        <stp>PX_LAST</stp>
        <stp>29-03-2016</stp>
        <stp>29-03-2016</stp>
        <stp>[TPM a RPM_v21.xlsm]Informe5!R158C33</stp>
        <tr r="AG158" s="29"/>
      </tp>
      <tp>
        <v>4.6100000000000003</v>
        <stp/>
        <stp>##V3_BDHV12</stp>
        <stp>CHSWP10  Curncy</stp>
        <stp>PX_LAST</stp>
        <stp>05-02-2016</stp>
        <stp>05-02-2016</stp>
        <stp>[TPM a RPM_v21.xlsm]Informe5!R195C34</stp>
        <tr r="AH195" s="29"/>
      </tp>
      <tp>
        <v>4.82</v>
        <stp/>
        <stp>##V3_BDHV12</stp>
        <stp>CHSWP10  Curncy</stp>
        <stp>PX_LAST</stp>
        <stp>14-12-2015</stp>
        <stp>14-12-2015</stp>
        <stp>[TPM a RPM_v21.xlsm]Informe5!R234C34</stp>
        <tr r="AH234" s="29"/>
      </tp>
      <tp>
        <v>4.58</v>
        <stp/>
        <stp>##V3_BDHV12</stp>
        <stp>CHSWP10  Curncy</stp>
        <stp>PX_LAST</stp>
        <stp>15-03-2016</stp>
        <stp>15-03-2016</stp>
        <stp>[TPM a RPM_v21.xlsm]Informe5!R168C34</stp>
        <tr r="AH168" s="29"/>
      </tp>
      <tp>
        <v>4.7</v>
        <stp/>
        <stp>##V3_BDHV12</stp>
        <stp>CHSWP10  Curncy</stp>
        <stp>PX_LAST</stp>
        <stp>24-11-2015</stp>
        <stp>24-11-2015</stp>
        <stp>[TPM a RPM_v21.xlsm]Informe5!R248C34</stp>
        <tr r="AH248" s="29"/>
      </tp>
      <tp>
        <v>4.58</v>
        <stp/>
        <stp>##V3_BDHV12</stp>
        <stp>CHSWP10  Curncy</stp>
        <stp>PX_LAST</stp>
        <stp>04-02-2016</stp>
        <stp>04-02-2016</stp>
        <stp>[TPM a RPM_v21.xlsm]Informe5!R196C34</stp>
        <tr r="AH196" s="29"/>
      </tp>
      <tp>
        <v>4.82</v>
        <stp/>
        <stp>##V3_BDHV12</stp>
        <stp>CHSWP10  Curncy</stp>
        <stp>PX_LAST</stp>
        <stp>15-12-2015</stp>
        <stp>15-12-2015</stp>
        <stp>[TPM a RPM_v21.xlsm]Informe5!R233C34</stp>
        <tr r="AH233" s="29"/>
      </tp>
      <tp>
        <v>4.58</v>
        <stp/>
        <stp>##V3_BDHV12</stp>
        <stp>CHSWP10  Curncy</stp>
        <stp>PX_LAST</stp>
        <stp>14-03-2016</stp>
        <stp>14-03-2016</stp>
        <stp>[TPM a RPM_v21.xlsm]Informe5!R169C34</stp>
        <tr r="AH169" s="29"/>
      </tp>
      <tp>
        <v>4.6399999999999997</v>
        <stp/>
        <stp>##V3_BDHV12</stp>
        <stp>CHSWP10  Curncy</stp>
        <stp>PX_LAST</stp>
        <stp>25-11-2015</stp>
        <stp>25-11-2015</stp>
        <stp>[TPM a RPM_v21.xlsm]Informe5!R247C34</stp>
        <tr r="AH247" s="29"/>
      </tp>
      <tp>
        <v>3658</v>
        <stp/>
        <stp>##V3_BDPV12</stp>
        <stp>CHSWP10  Curncy</stp>
        <stp>DAYS_TO_MTY_TDY</stp>
        <stp>[TPM a RPM_v21.xlsm]Zero_swap_CL!R16C9</stp>
        <tr r="I16" s="15"/>
      </tp>
      <tp>
        <v>4.38</v>
        <stp/>
        <stp>##V3_BDHV12</stp>
        <stp>CHSWP5  Curncy</stp>
        <stp>PX_LAST</stp>
        <stp>08-01-2016</stp>
        <stp>08-01-2016</stp>
        <stp>[TPM a RPM_v21.xlsm]Informe5!R215C33</stp>
        <tr r="AG215" s="29"/>
      </tp>
      <tp>
        <v>4.03</v>
        <stp/>
        <stp>##V3_BDHV12</stp>
        <stp>CHSWP2  Curncy</stp>
        <stp>PX_LAST</stp>
        <stp>08-01-2016</stp>
        <stp>08-01-2016</stp>
        <stp>[TPM a RPM_v21.xlsm]Informe5!R215C32</stp>
        <tr r="AF215" s="29"/>
      </tp>
      <tp>
        <v>4.5600000000000005</v>
        <stp/>
        <stp>##V3_BDHV12</stp>
        <stp>CHSWP10  Curncy</stp>
        <stp>PX_LAST</stp>
        <stp>03-02-2016</stp>
        <stp>03-02-2016</stp>
        <stp>[TPM a RPM_v21.xlsm]Informe5!R197C34</stp>
        <tr r="AH197" s="29"/>
      </tp>
      <tp>
        <v>4.57</v>
        <stp/>
        <stp>##V3_BDHV12</stp>
        <stp>CHSWP10  Curncy</stp>
        <stp>PX_LAST</stp>
        <stp>02-02-2016</stp>
        <stp>02-02-2016</stp>
        <stp>[TPM a RPM_v21.xlsm]Informe5!R198C34</stp>
        <tr r="AH198" s="29"/>
      </tp>
      <tp>
        <v>4.74</v>
        <stp/>
        <stp>##V3_BDHV12</stp>
        <stp>CHSWP10  Curncy</stp>
        <stp>PX_LAST</stp>
        <stp>23-11-2015</stp>
        <stp>23-11-2015</stp>
        <stp>[TPM a RPM_v21.xlsm]Informe5!R249C34</stp>
        <tr r="AH249" s="29"/>
      </tp>
      <tp>
        <v>4.57</v>
        <stp/>
        <stp>##V3_BDHV12</stp>
        <stp>CHSWP10  Curncy</stp>
        <stp>PX_LAST</stp>
        <stp>01-02-2016</stp>
        <stp>01-02-2016</stp>
        <stp>[TPM a RPM_v21.xlsm]Informe5!R199C34</stp>
        <tr r="AH199" s="29"/>
      </tp>
      <tp>
        <v>4.71</v>
        <stp/>
        <stp>##V3_BDHV12</stp>
        <stp>CHSWP10  Curncy</stp>
        <stp>PX_LAST</stp>
        <stp>30-10-2015</stp>
        <stp>30-10-2015</stp>
        <stp>[TPM a RPM_v21.xlsm]Informe5!R265C34</stp>
        <tr r="AH265" s="29"/>
      </tp>
      <tp>
        <v>4.55</v>
        <stp/>
        <stp>##V3_BDHV12</stp>
        <stp>CHSWP10  Curncy</stp>
        <stp>PX_LAST</stp>
        <stp>11-03-2016</stp>
        <stp>11-03-2016</stp>
        <stp>[TPM a RPM_v21.xlsm]Informe5!R170C34</stp>
        <tr r="AH170" s="29"/>
      </tp>
      <tp>
        <v>4.74</v>
        <stp/>
        <stp>##V3_BDHV12</stp>
        <stp>CHSWP10  Curncy</stp>
        <stp>PX_LAST</stp>
        <stp>20-11-2015</stp>
        <stp>20-11-2015</stp>
        <stp>[TPM a RPM_v21.xlsm]Informe5!R250C34</stp>
        <tr r="AH250" s="29"/>
      </tp>
      <tp>
        <v>4.82</v>
        <stp/>
        <stp>##V3_BDHV12</stp>
        <stp>CHSWP10  Curncy</stp>
        <stp>PX_LAST</stp>
        <stp>10-12-2015</stp>
        <stp>10-12-2015</stp>
        <stp>[TPM a RPM_v21.xlsm]Informe5!R236C34</stp>
        <tr r="AH236" s="29"/>
      </tp>
      <tp>
        <v>4.53</v>
        <stp/>
        <stp>##V3_BDHV12</stp>
        <stp>CHSWP10  Curncy</stp>
        <stp>PX_LAST</stp>
        <stp>10-03-2016</stp>
        <stp>10-03-2016</stp>
        <stp>[TPM a RPM_v21.xlsm]Informe5!R171C34</stp>
        <tr r="AH171" s="29"/>
      </tp>
      <tp>
        <v>4.76</v>
        <stp/>
        <stp>##V3_BDHV12</stp>
        <stp>CHSWP10  Curncy</stp>
        <stp>PX_LAST</stp>
        <stp>11-12-2015</stp>
        <stp>11-12-2015</stp>
        <stp>[TPM a RPM_v21.xlsm]Informe5!R235C34</stp>
        <tr r="AH235" s="29"/>
      </tp>
      <tp>
        <v>4</v>
        <stp/>
        <stp>##V3_BDHV12</stp>
        <stp>CHSWP2  Curncy</stp>
        <stp>PX_LAST</stp>
        <stp>21-12-2015</stp>
        <stp>21-12-2015</stp>
        <stp>[TPM a RPM_v21.xlsm]Informe5!R229C32</stp>
        <tr r="AF229" s="29"/>
      </tp>
      <tp>
        <v>4.3499999999999996</v>
        <stp/>
        <stp>##V3_BDHV12</stp>
        <stp>CHSWP5  Curncy</stp>
        <stp>PX_LAST</stp>
        <stp>21-12-2015</stp>
        <stp>21-12-2015</stp>
        <stp>[TPM a RPM_v21.xlsm]Informe5!R229C33</stp>
        <tr r="AG229" s="29"/>
      </tp>
      <tp>
        <v>4.4000000000000004</v>
        <stp/>
        <stp>##V3_BDHV12</stp>
        <stp>CHSWP5  Curncy</stp>
        <stp>PX_LAST</stp>
        <stp>11-11-2015</stp>
        <stp>11-11-2015</stp>
        <stp>[TPM a RPM_v21.xlsm]Informe5!R257C33</stp>
        <tr r="AG257" s="29"/>
      </tp>
      <tp>
        <v>3.95</v>
        <stp/>
        <stp>##V3_BDHV12</stp>
        <stp>CHSWP2  Curncy</stp>
        <stp>PX_LAST</stp>
        <stp>11-11-2015</stp>
        <stp>11-11-2015</stp>
        <stp>[TPM a RPM_v21.xlsm]Informe5!R257C32</stp>
        <tr r="AF257" s="29"/>
      </tp>
      <tp>
        <v>3.96</v>
        <stp/>
        <stp>##V3_BDHV12</stp>
        <stp>CHSWP2  Curncy</stp>
        <stp>PX_LAST</stp>
        <stp>10-11-2015</stp>
        <stp>10-11-2015</stp>
        <stp>[TPM a RPM_v21.xlsm]Informe5!R258C32</stp>
        <tr r="AF258" s="29"/>
      </tp>
      <tp>
        <v>4.24</v>
        <stp/>
        <stp>##V3_BDHV12</stp>
        <stp>CHSWP5  Curncy</stp>
        <stp>PX_LAST</stp>
        <stp>21-03-2016</stp>
        <stp>21-03-2016</stp>
        <stp>[TPM a RPM_v21.xlsm]Informe5!R164C33</stp>
        <tr r="AG164" s="29"/>
      </tp>
      <tp>
        <v>4.4400000000000004</v>
        <stp/>
        <stp>##V3_BDHV12</stp>
        <stp>CHSWP5  Curncy</stp>
        <stp>PX_LAST</stp>
        <stp>10-11-2015</stp>
        <stp>10-11-2015</stp>
        <stp>[TPM a RPM_v21.xlsm]Informe5!R258C33</stp>
        <tr r="AG258" s="29"/>
      </tp>
      <tp>
        <v>3.87</v>
        <stp/>
        <stp>##V3_BDHV12</stp>
        <stp>CHSWP2  Curncy</stp>
        <stp>PX_LAST</stp>
        <stp>21-03-2016</stp>
        <stp>21-03-2016</stp>
        <stp>[TPM a RPM_v21.xlsm]Informe5!R164C32</stp>
        <tr r="AF164" s="29"/>
      </tp>
      <tp t="s">
        <v>#N/A N/A</v>
        <stp/>
        <stp>##V3_BDHV12</stp>
        <stp>CHSWP5  Curncy</stp>
        <stp>PX_LAST</stp>
        <stp>01-01-2016</stp>
        <stp>01-01-2016</stp>
        <stp>[TPM a RPM_v21.xlsm]Informe5!R220C33</stp>
        <tr r="AG220" s="29"/>
      </tp>
      <tp>
        <v>3.9699999999999998</v>
        <stp/>
        <stp>##V3_BDHV12</stp>
        <stp>CHSWP2  Curncy</stp>
        <stp>PX_LAST</stp>
        <stp>23-12-2015</stp>
        <stp>23-12-2015</stp>
        <stp>[TPM a RPM_v21.xlsm]Informe5!R227C32</stp>
        <tr r="AF227" s="29"/>
      </tp>
      <tp>
        <v>4.3</v>
        <stp/>
        <stp>##V3_BDHV12</stp>
        <stp>CHSWP5  Curncy</stp>
        <stp>PX_LAST</stp>
        <stp>23-12-2015</stp>
        <stp>23-12-2015</stp>
        <stp>[TPM a RPM_v21.xlsm]Informe5!R227C33</stp>
        <tr r="AG227" s="29"/>
      </tp>
      <tp t="s">
        <v>#N/A N/A</v>
        <stp/>
        <stp>##V3_BDHV12</stp>
        <stp>CHSWP2  Curncy</stp>
        <stp>PX_LAST</stp>
        <stp>01-01-2016</stp>
        <stp>01-01-2016</stp>
        <stp>[TPM a RPM_v21.xlsm]Informe5!R220C32</stp>
        <tr r="AF220" s="29"/>
      </tp>
      <tp>
        <v>3.86</v>
        <stp/>
        <stp>##V3_BDHV12</stp>
        <stp>CHSWP2  Curncy</stp>
        <stp>PX_LAST</stp>
        <stp>22-03-2016</stp>
        <stp>22-03-2016</stp>
        <stp>[TPM a RPM_v21.xlsm]Informe5!R163C32</stp>
        <tr r="AF163" s="29"/>
      </tp>
      <tp>
        <v>4.37</v>
        <stp/>
        <stp>##V3_BDHV12</stp>
        <stp>CHSWP5  Curncy</stp>
        <stp>PX_LAST</stp>
        <stp>13-11-2015</stp>
        <stp>13-11-2015</stp>
        <stp>[TPM a RPM_v21.xlsm]Informe5!R255C33</stp>
        <tr r="AG255" s="29"/>
      </tp>
      <tp>
        <v>3.91</v>
        <stp/>
        <stp>##V3_BDHV12</stp>
        <stp>CHSWP2  Curncy</stp>
        <stp>PX_LAST</stp>
        <stp>13-11-2015</stp>
        <stp>13-11-2015</stp>
        <stp>[TPM a RPM_v21.xlsm]Informe5!R255C32</stp>
        <tr r="AF255" s="29"/>
      </tp>
      <tp>
        <v>4.2300000000000004</v>
        <stp/>
        <stp>##V3_BDHV12</stp>
        <stp>CHSWP5  Curncy</stp>
        <stp>PX_LAST</stp>
        <stp>22-03-2016</stp>
        <stp>22-03-2016</stp>
        <stp>[TPM a RPM_v21.xlsm]Informe5!R163C33</stp>
        <tr r="AG163" s="29"/>
      </tp>
      <tp>
        <v>4.32</v>
        <stp/>
        <stp>##V3_BDHV12</stp>
        <stp>CHSWP5  Curncy</stp>
        <stp>PX_LAST</stp>
        <stp>22-12-2015</stp>
        <stp>22-12-2015</stp>
        <stp>[TPM a RPM_v21.xlsm]Informe5!R228C33</stp>
        <tr r="AG228" s="29"/>
      </tp>
      <tp>
        <v>3.9699999999999998</v>
        <stp/>
        <stp>##V3_BDHV12</stp>
        <stp>CHSWP2  Curncy</stp>
        <stp>PX_LAST</stp>
        <stp>22-12-2015</stp>
        <stp>22-12-2015</stp>
        <stp>[TPM a RPM_v21.xlsm]Informe5!R228C32</stp>
        <tr r="AF228" s="29"/>
      </tp>
      <tp>
        <v>3.95</v>
        <stp/>
        <stp>##V3_BDHV12</stp>
        <stp>CHSWP2  Curncy</stp>
        <stp>PX_LAST</stp>
        <stp>12-11-2015</stp>
        <stp>12-11-2015</stp>
        <stp>[TPM a RPM_v21.xlsm]Informe5!R256C32</stp>
        <tr r="AF256" s="29"/>
      </tp>
      <tp>
        <v>4.24</v>
        <stp/>
        <stp>##V3_BDHV12</stp>
        <stp>CHSWP5  Curncy</stp>
        <stp>PX_LAST</stp>
        <stp>23-03-2016</stp>
        <stp>23-03-2016</stp>
        <stp>[TPM a RPM_v21.xlsm]Informe5!R162C33</stp>
        <tr r="AG162" s="29"/>
      </tp>
      <tp>
        <v>3.88</v>
        <stp/>
        <stp>##V3_BDHV12</stp>
        <stp>CHSWP2  Curncy</stp>
        <stp>PX_LAST</stp>
        <stp>23-03-2016</stp>
        <stp>23-03-2016</stp>
        <stp>[TPM a RPM_v21.xlsm]Informe5!R162C32</stp>
        <tr r="AF162" s="29"/>
      </tp>
      <tp>
        <v>4.41</v>
        <stp/>
        <stp>##V3_BDHV12</stp>
        <stp>CHSWP5  Curncy</stp>
        <stp>PX_LAST</stp>
        <stp>12-11-2015</stp>
        <stp>12-11-2015</stp>
        <stp>[TPM a RPM_v21.xlsm]Informe5!R256C33</stp>
        <tr r="AG256" s="29"/>
      </tp>
      <tp>
        <v>3.88</v>
        <stp/>
        <stp>##V3_BDHV12</stp>
        <stp>CHSWP2  Curncy</stp>
        <stp>PX_LAST</stp>
        <stp>24-03-2016</stp>
        <stp>24-03-2016</stp>
        <stp>[TPM a RPM_v21.xlsm]Informe5!R161C32</stp>
        <tr r="AF161" s="29"/>
      </tp>
      <tp>
        <v>4.25</v>
        <stp/>
        <stp>##V3_BDHV12</stp>
        <stp>CHSWP5  Curncy</stp>
        <stp>PX_LAST</stp>
        <stp>24-03-2016</stp>
        <stp>24-03-2016</stp>
        <stp>[TPM a RPM_v21.xlsm]Informe5!R161C33</stp>
        <tr r="AG161" s="29"/>
      </tp>
      <tp>
        <v>4.05</v>
        <stp/>
        <stp>##V3_BDHV12</stp>
        <stp>CHSWP2  Curncy</stp>
        <stp>PX_LAST</stp>
        <stp>07-01-2016</stp>
        <stp>07-01-2016</stp>
        <stp>[TPM a RPM_v21.xlsm]Informe5!R216C32</stp>
        <tr r="AF216" s="29"/>
      </tp>
      <tp>
        <v>4.4000000000000004</v>
        <stp/>
        <stp>##V3_BDHV12</stp>
        <stp>CHSWP5  Curncy</stp>
        <stp>PX_LAST</stp>
        <stp>07-01-2016</stp>
        <stp>07-01-2016</stp>
        <stp>[TPM a RPM_v21.xlsm]Informe5!R216C33</stp>
        <tr r="AG216" s="29"/>
      </tp>
      <tp t="s">
        <v>#N/A N/A</v>
        <stp/>
        <stp>##V3_BDHV12</stp>
        <stp>CHSWP2  Curncy</stp>
        <stp>PX_LAST</stp>
        <stp>25-12-2015</stp>
        <stp>25-12-2015</stp>
        <stp>[TPM a RPM_v21.xlsm]Informe5!R225C32</stp>
        <tr r="AF225" s="29"/>
      </tp>
      <tp t="s">
        <v>#N/A N/A</v>
        <stp/>
        <stp>##V3_BDHV12</stp>
        <stp>CHSWP5  Curncy</stp>
        <stp>PX_LAST</stp>
        <stp>25-12-2015</stp>
        <stp>25-12-2015</stp>
        <stp>[TPM a RPM_v21.xlsm]Informe5!R225C33</stp>
        <tr r="AG225" s="29"/>
      </tp>
      <tp t="s">
        <v>#N/A N/A</v>
        <stp/>
        <stp>##V3_BDHV12</stp>
        <stp>CHSWP5  Curncy</stp>
        <stp>PX_LAST</stp>
        <stp>25-03-2016</stp>
        <stp>25-03-2016</stp>
        <stp>[TPM a RPM_v21.xlsm]Informe5!R160C33</stp>
        <tr r="AG160" s="29"/>
      </tp>
      <tp t="s">
        <v>#N/A N/A</v>
        <stp/>
        <stp>##V3_BDHV12</stp>
        <stp>CHSWP2  Curncy</stp>
        <stp>PX_LAST</stp>
        <stp>25-03-2016</stp>
        <stp>25-03-2016</stp>
        <stp>[TPM a RPM_v21.xlsm]Informe5!R160C32</stp>
        <tr r="AF160" s="29"/>
      </tp>
      <tp>
        <v>4.3899999999999997</v>
        <stp/>
        <stp>##V3_BDHV12</stp>
        <stp>CHSWP5  Curncy</stp>
        <stp>PX_LAST</stp>
        <stp>06-01-2016</stp>
        <stp>06-01-2016</stp>
        <stp>[TPM a RPM_v21.xlsm]Informe5!R217C33</stp>
        <tr r="AG217" s="29"/>
      </tp>
      <tp>
        <v>4.03</v>
        <stp/>
        <stp>##V3_BDHV12</stp>
        <stp>CHSWP2  Curncy</stp>
        <stp>PX_LAST</stp>
        <stp>06-01-2016</stp>
        <stp>06-01-2016</stp>
        <stp>[TPM a RPM_v21.xlsm]Informe5!R217C32</stp>
        <tr r="AF217" s="29"/>
      </tp>
      <tp>
        <v>4.32</v>
        <stp/>
        <stp>##V3_BDHV12</stp>
        <stp>CHSWP5  Curncy</stp>
        <stp>PX_LAST</stp>
        <stp>24-12-2015</stp>
        <stp>24-12-2015</stp>
        <stp>[TPM a RPM_v21.xlsm]Informe5!R226C33</stp>
        <tr r="AG226" s="29"/>
      </tp>
      <tp>
        <v>3.98</v>
        <stp/>
        <stp>##V3_BDHV12</stp>
        <stp>CHSWP2  Curncy</stp>
        <stp>PX_LAST</stp>
        <stp>24-12-2015</stp>
        <stp>24-12-2015</stp>
        <stp>[TPM a RPM_v21.xlsm]Informe5!R226C32</stp>
        <tr r="AF226" s="29"/>
      </tp>
      <tp>
        <v>4.7300000000000004</v>
        <stp/>
        <stp>##V3_BDHV12</stp>
        <stp>CHSWP10  Curncy</stp>
        <stp>PX_LAST</stp>
        <stp>18-12-2015</stp>
        <stp>18-12-2015</stp>
        <stp>[TPM a RPM_v21.xlsm]Informe5!R230C34</stp>
        <tr r="AH230" s="29"/>
      </tp>
      <tp>
        <v>4.63</v>
        <stp/>
        <stp>##V3_BDHV12</stp>
        <stp>CHSWP10  Curncy</stp>
        <stp>PX_LAST</stp>
        <stp>09-02-2016</stp>
        <stp>09-02-2016</stp>
        <stp>[TPM a RPM_v21.xlsm]Informe5!R193C34</stp>
        <tr r="AH193" s="29"/>
      </tp>
      <tp>
        <v>4.37</v>
        <stp/>
        <stp>##V3_BDHV12</stp>
        <stp>CHSWP5  Curncy</stp>
        <stp>PX_LAST</stp>
        <stp>17-11-2015</stp>
        <stp>17-11-2015</stp>
        <stp>[TPM a RPM_v21.xlsm]Informe5!R253C33</stp>
        <tr r="AG253" s="29"/>
      </tp>
      <tp>
        <v>3.9</v>
        <stp/>
        <stp>##V3_BDHV12</stp>
        <stp>CHSWP2  Curncy</stp>
        <stp>PX_LAST</stp>
        <stp>17-11-2015</stp>
        <stp>17-11-2015</stp>
        <stp>[TPM a RPM_v21.xlsm]Informe5!R253C32</stp>
        <tr r="AF253" s="29"/>
      </tp>
      <tp>
        <v>4.07</v>
        <stp/>
        <stp>##V3_BDHV12</stp>
        <stp>CHSWP2  Curncy</stp>
        <stp>PX_LAST</stp>
        <stp>05-01-2016</stp>
        <stp>05-01-2016</stp>
        <stp>[TPM a RPM_v21.xlsm]Informe5!R218C32</stp>
        <tr r="AF218" s="29"/>
      </tp>
      <tp>
        <v>4.4400000000000004</v>
        <stp/>
        <stp>##V3_BDHV12</stp>
        <stp>CHSWP5  Curncy</stp>
        <stp>PX_LAST</stp>
        <stp>05-01-2016</stp>
        <stp>05-01-2016</stp>
        <stp>[TPM a RPM_v21.xlsm]Informe5!R218C33</stp>
        <tr r="AG218" s="29"/>
      </tp>
      <tp>
        <v>4.5600000000000005</v>
        <stp/>
        <stp>##V3_BDHV12</stp>
        <stp>CHSWP10  Curncy</stp>
        <stp>PX_LAST</stp>
        <stp>18-03-2016</stp>
        <stp>18-03-2016</stp>
        <stp>[TPM a RPM_v21.xlsm]Informe5!R165C34</stp>
        <tr r="AH165" s="29"/>
      </tp>
      <tp>
        <v>4.6100000000000003</v>
        <stp/>
        <stp>##V3_BDHV12</stp>
        <stp>CHSWP10  Curncy</stp>
        <stp>PX_LAST</stp>
        <stp>08-02-2016</stp>
        <stp>08-02-2016</stp>
        <stp>[TPM a RPM_v21.xlsm]Informe5!R194C34</stp>
        <tr r="AH194" s="29"/>
      </tp>
      <tp>
        <v>3.91</v>
        <stp/>
        <stp>##V3_BDHV12</stp>
        <stp>CHSWP2  Curncy</stp>
        <stp>PX_LAST</stp>
        <stp>16-11-2015</stp>
        <stp>16-11-2015</stp>
        <stp>[TPM a RPM_v21.xlsm]Informe5!R254C32</stp>
        <tr r="AF254" s="29"/>
      </tp>
      <tp>
        <v>4.37</v>
        <stp/>
        <stp>##V3_BDHV12</stp>
        <stp>CHSWP5  Curncy</stp>
        <stp>PX_LAST</stp>
        <stp>16-11-2015</stp>
        <stp>16-11-2015</stp>
        <stp>[TPM a RPM_v21.xlsm]Informe5!R254C33</stp>
        <tr r="AG254" s="29"/>
      </tp>
      <tp>
        <v>4.4000000000000004</v>
        <stp/>
        <stp>##V3_BDHV12</stp>
        <stp>CHSWP5  Curncy</stp>
        <stp>PX_LAST</stp>
        <stp>04-01-2016</stp>
        <stp>04-01-2016</stp>
        <stp>[TPM a RPM_v21.xlsm]Informe5!R219C33</stp>
        <tr r="AG219" s="29"/>
      </tp>
      <tp>
        <v>4.05</v>
        <stp/>
        <stp>##V3_BDHV12</stp>
        <stp>CHSWP2  Curncy</stp>
        <stp>PX_LAST</stp>
        <stp>04-01-2016</stp>
        <stp>04-01-2016</stp>
        <stp>[TPM a RPM_v21.xlsm]Informe5!R219C32</stp>
        <tr r="AF219" s="29"/>
      </tp>
      <tp>
        <v>3.89</v>
        <stp/>
        <stp>##V3_BDHV12</stp>
        <stp>CHSWP8  Curncy</stp>
        <stp>PX_LAST</stp>
        <stp>27-10-2016</stp>
        <stp>27-10-2016</stp>
        <stp>[TPM a RPM_v21.xlsm]Zero_swap_CL!R14C5</stp>
        <tr r="E14" s="15"/>
      </tp>
      <tp>
        <v>4.6399999999999997</v>
        <stp/>
        <stp>##V3_BDHV12</stp>
        <stp>CHSWP10  Curncy</stp>
        <stp>PX_LAST</stp>
        <stp>16-02-2016</stp>
        <stp>16-02-2016</stp>
        <stp>[TPM a RPM_v21.xlsm]Informe5!R188C34</stp>
        <tr r="AH188" s="29"/>
      </tp>
      <tp>
        <v>4.6899999999999995</v>
        <stp/>
        <stp>##V3_BDHV12</stp>
        <stp>CHSWP10  Curncy</stp>
        <stp>PX_LAST</stp>
        <stp>25-01-2016</stp>
        <stp>25-01-2016</stp>
        <stp>[TPM a RPM_v21.xlsm]Informe5!R204C34</stp>
        <tr r="AH204" s="29"/>
      </tp>
      <tp>
        <v>4.78</v>
        <stp/>
        <stp>##V3_BDHV12</stp>
        <stp>CHSWP10  Curncy</stp>
        <stp>PX_LAST</stp>
        <stp>07-12-2015</stp>
        <stp>07-12-2015</stp>
        <stp>[TPM a RPM_v21.xlsm]Informe5!R239C34</stp>
        <tr r="AH239" s="29"/>
      </tp>
      <tp>
        <v>3.7800000000000002</v>
        <stp/>
        <stp>##V3_BDHV12</stp>
        <stp>CHSWP2  Curncy</stp>
        <stp>PX_LAST</stp>
        <stp>29-02-2016</stp>
        <stp>29-02-2016</stp>
        <stp>[TPM a RPM_v21.xlsm]Informe5!R179C32</stp>
        <tr r="AF179" s="29"/>
      </tp>
      <tp>
        <v>4.08</v>
        <stp/>
        <stp>##V3_BDHV12</stp>
        <stp>CHSWP5  Curncy</stp>
        <stp>PX_LAST</stp>
        <stp>29-02-2016</stp>
        <stp>29-02-2016</stp>
        <stp>[TPM a RPM_v21.xlsm]Informe5!R179C33</stp>
        <tr r="AG179" s="29"/>
      </tp>
      <tp>
        <v>4.6500000000000004</v>
        <stp/>
        <stp>##V3_BDHV12</stp>
        <stp>CHSWP10  Curncy</stp>
        <stp>PX_LAST</stp>
        <stp>17-02-2016</stp>
        <stp>17-02-2016</stp>
        <stp>[TPM a RPM_v21.xlsm]Informe5!R187C34</stp>
        <tr r="AH187" s="29"/>
      </tp>
      <tp>
        <v>4.53</v>
        <stp/>
        <stp>##V3_BDHV12</stp>
        <stp>CHSWP10  Curncy</stp>
        <stp>PX_LAST</stp>
        <stp>07-03-2016</stp>
        <stp>07-03-2016</stp>
        <stp>[TPM a RPM_v21.xlsm]Informe5!R174C34</stp>
        <tr r="AH174" s="29"/>
      </tp>
      <tp>
        <v>4.46</v>
        <stp/>
        <stp>##V3_BDHV12</stp>
        <stp>CHSWP5  Curncy</stp>
        <stp>PX_LAST</stp>
        <stp>09-11-2015</stp>
        <stp>09-11-2015</stp>
        <stp>[TPM a RPM_v21.xlsm]Informe5!R259C33</stp>
        <tr r="AG259" s="29"/>
      </tp>
      <tp>
        <v>3.98</v>
        <stp/>
        <stp>##V3_BDHV12</stp>
        <stp>CHSWP2  Curncy</stp>
        <stp>PX_LAST</stp>
        <stp>09-11-2015</stp>
        <stp>09-11-2015</stp>
        <stp>[TPM a RPM_v21.xlsm]Informe5!R259C32</stp>
        <tr r="AF259" s="29"/>
      </tp>
      <tp>
        <v>4.68</v>
        <stp/>
        <stp>##V3_BDHV12</stp>
        <stp>CHSWP10  Curncy</stp>
        <stp>PX_LAST</stp>
        <stp>27-01-2016</stp>
        <stp>27-01-2016</stp>
        <stp>[TPM a RPM_v21.xlsm]Informe5!R202C34</stp>
        <tr r="AH202" s="29"/>
      </tp>
      <tp>
        <v>4.5</v>
        <stp/>
        <stp>##V3_BDHV12</stp>
        <stp>CHSWP10  Curncy</stp>
        <stp>PX_LAST</stp>
        <stp>04-03-2016</stp>
        <stp>04-03-2016</stp>
        <stp>[TPM a RPM_v21.xlsm]Informe5!R175C34</stp>
        <tr r="AH175" s="29"/>
      </tp>
      <tp>
        <v>3.94</v>
        <stp/>
        <stp>##V3_BDHV12</stp>
        <stp>CHSWP2  Curncy</stp>
        <stp>PX_LAST</stp>
        <stp>18-01-2016</stp>
        <stp>18-01-2016</stp>
        <stp>[TPM a RPM_v21.xlsm]Informe5!R209C32</stp>
        <tr r="AF209" s="29"/>
      </tp>
      <tp>
        <v>4.28</v>
        <stp/>
        <stp>##V3_BDHV12</stp>
        <stp>CHSWP5  Curncy</stp>
        <stp>PX_LAST</stp>
        <stp>18-01-2016</stp>
        <stp>18-01-2016</stp>
        <stp>[TPM a RPM_v21.xlsm]Informe5!R209C33</stp>
        <tr r="AG209" s="29"/>
      </tp>
      <tp>
        <v>4.6500000000000004</v>
        <stp/>
        <stp>##V3_BDHV12</stp>
        <stp>CHSWP10  Curncy</stp>
        <stp>PX_LAST</stp>
        <stp>15-02-2016</stp>
        <stp>15-02-2016</stp>
        <stp>[TPM a RPM_v21.xlsm]Informe5!R189C34</stp>
        <tr r="AH189" s="29"/>
      </tp>
      <tp>
        <v>4.66</v>
        <stp/>
        <stp>##V3_BDHV12</stp>
        <stp>CHSWP10  Curncy</stp>
        <stp>PX_LAST</stp>
        <stp>26-01-2016</stp>
        <stp>26-01-2016</stp>
        <stp>[TPM a RPM_v21.xlsm]Informe5!R203C34</stp>
        <tr r="AH203" s="29"/>
      </tp>
      <tp>
        <v>4.79</v>
        <stp/>
        <stp>##V3_BDHV12</stp>
        <stp>CHSWP10  Curncy</stp>
        <stp>PX_LAST</stp>
        <stp>04-12-2015</stp>
        <stp>04-12-2015</stp>
        <stp>[TPM a RPM_v21.xlsm]Informe5!R240C34</stp>
        <tr r="AH240" s="29"/>
      </tp>
      <tp>
        <v>5484</v>
        <stp/>
        <stp>##V3_BDPV12</stp>
        <stp>CHSWP15  Curncy</stp>
        <stp>DAYS_TO_MTY_TDY</stp>
        <stp>[TPM a RPM_v21.xlsm]Zero_swap_CL!R17C9</stp>
        <tr r="I17" s="15"/>
      </tp>
      <tp>
        <v>4.29</v>
        <stp/>
        <stp>##V3_BDHV12</stp>
        <stp>CHSWP5  Curncy</stp>
        <stp>PX_LAST</stp>
        <stp>19-01-2016</stp>
        <stp>19-01-2016</stp>
        <stp>[TPM a RPM_v21.xlsm]Informe5!R208C33</stp>
        <tr r="AG208" s="29"/>
      </tp>
      <tp>
        <v>3.96</v>
        <stp/>
        <stp>##V3_BDHV12</stp>
        <stp>CHSWP2  Curncy</stp>
        <stp>PX_LAST</stp>
        <stp>19-01-2016</stp>
        <stp>19-01-2016</stp>
        <stp>[TPM a RPM_v21.xlsm]Informe5!R208C32</stp>
        <tr r="AF208" s="29"/>
      </tp>
      <tp>
        <v>4.63</v>
        <stp/>
        <stp>##V3_BDHV12</stp>
        <stp>CHSWP10  Curncy</stp>
        <stp>PX_LAST</stp>
        <stp>12-02-2016</stp>
        <stp>12-02-2016</stp>
        <stp>[TPM a RPM_v21.xlsm]Informe5!R190C34</stp>
        <tr r="AH190" s="29"/>
      </tp>
      <tp>
        <v>4.7699999999999996</v>
        <stp/>
        <stp>##V3_BDHV12</stp>
        <stp>CHSWP10  Curncy</stp>
        <stp>PX_LAST</stp>
        <stp>03-12-2015</stp>
        <stp>03-12-2015</stp>
        <stp>[TPM a RPM_v21.xlsm]Informe5!R241C34</stp>
        <tr r="AH241" s="29"/>
      </tp>
      <tp>
        <v>4.46</v>
        <stp/>
        <stp>##V3_BDHV12</stp>
        <stp>CHSWP10  Curncy</stp>
        <stp>PX_LAST</stp>
        <stp>02-03-2016</stp>
        <stp>02-03-2016</stp>
        <stp>[TPM a RPM_v21.xlsm]Informe5!R177C34</stp>
        <tr r="AH177" s="29"/>
      </tp>
      <tp>
        <v>4.68</v>
        <stp/>
        <stp>##V3_BDHV12</stp>
        <stp>CHSWP10  Curncy</stp>
        <stp>PX_LAST</stp>
        <stp>21-01-2016</stp>
        <stp>21-01-2016</stp>
        <stp>[TPM a RPM_v21.xlsm]Informe5!R206C34</stp>
        <tr r="AH206" s="29"/>
      </tp>
      <tp>
        <v>4.5</v>
        <stp/>
        <stp>##V3_BDHV12</stp>
        <stp>CHSWP10  Curncy</stp>
        <stp>PX_LAST</stp>
        <stp>03-03-2016</stp>
        <stp>03-03-2016</stp>
        <stp>[TPM a RPM_v21.xlsm]Informe5!R176C34</stp>
        <tr r="AH176" s="29"/>
      </tp>
      <tp>
        <v>4.7300000000000004</v>
        <stp/>
        <stp>##V3_BDHV12</stp>
        <stp>CHSWP10  Curncy</stp>
        <stp>PX_LAST</stp>
        <stp>02-12-2015</stp>
        <stp>02-12-2015</stp>
        <stp>[TPM a RPM_v21.xlsm]Informe5!R242C34</stp>
        <tr r="AH242" s="29"/>
      </tp>
      <tp>
        <v>4.66</v>
        <stp/>
        <stp>##V3_BDHV12</stp>
        <stp>CHSWP10  Curncy</stp>
        <stp>PX_LAST</stp>
        <stp>20-01-2016</stp>
        <stp>20-01-2016</stp>
        <stp>[TPM a RPM_v21.xlsm]Informe5!R207C34</stp>
        <tr r="AH207" s="29"/>
      </tp>
      <tp>
        <v>4.62</v>
        <stp/>
        <stp>##V3_BDHV12</stp>
        <stp>CHSWP10  Curncy</stp>
        <stp>PX_LAST</stp>
        <stp>10-02-2016</stp>
        <stp>10-02-2016</stp>
        <stp>[TPM a RPM_v21.xlsm]Informe5!R192C34</stp>
        <tr r="AH192" s="29"/>
      </tp>
      <tp>
        <v>4.7300000000000004</v>
        <stp/>
        <stp>##V3_BDHV12</stp>
        <stp>CHSWP10  Curncy</stp>
        <stp>PX_LAST</stp>
        <stp>01-12-2015</stp>
        <stp>01-12-2015</stp>
        <stp>[TPM a RPM_v21.xlsm]Informe5!R243C34</stp>
        <tr r="AH243" s="29"/>
      </tp>
      <tp>
        <v>4.59</v>
        <stp/>
        <stp>##V3_BDHV12</stp>
        <stp>CHSWP10  Curncy</stp>
        <stp>PX_LAST</stp>
        <stp>11-02-2016</stp>
        <stp>11-02-2016</stp>
        <stp>[TPM a RPM_v21.xlsm]Informe5!R191C34</stp>
        <tr r="AH191" s="29"/>
      </tp>
      <tp>
        <v>4.47</v>
        <stp/>
        <stp>##V3_BDHV12</stp>
        <stp>CHSWP10  Curncy</stp>
        <stp>PX_LAST</stp>
        <stp>01-03-2016</stp>
        <stp>01-03-2016</stp>
        <stp>[TPM a RPM_v21.xlsm]Informe5!R178C34</stp>
        <tr r="AH178" s="29"/>
      </tp>
      <tp>
        <v>4.75</v>
        <stp/>
        <stp>##V3_BDHV12</stp>
        <stp>CHSWP10  Curncy</stp>
        <stp>PX_LAST</stp>
        <stp>30-11-2015</stp>
        <stp>30-11-2015</stp>
        <stp>[TPM a RPM_v21.xlsm]Informe5!R244C34</stp>
        <tr r="AH244" s="29"/>
      </tp>
      <tp>
        <v>4.66</v>
        <stp/>
        <stp>##V3_BDHV12</stp>
        <stp>CHSWP10  Curncy</stp>
        <stp>PX_LAST</stp>
        <stp>22-01-2016</stp>
        <stp>22-01-2016</stp>
        <stp>[TPM a RPM_v21.xlsm]Informe5!R205C34</stp>
        <tr r="AH205" s="29"/>
      </tp>
      <tp>
        <v>4.3600000000000003</v>
        <stp/>
        <stp>##V3_BDHV12</stp>
        <stp>CHSWP5  Curncy</stp>
        <stp>PX_LAST</stp>
        <stp>12-01-2016</stp>
        <stp>12-01-2016</stp>
        <stp>[TPM a RPM_v21.xlsm]Informe5!R213C33</stp>
        <tr r="AG213" s="29"/>
      </tp>
      <tp>
        <v>4.0199999999999996</v>
        <stp/>
        <stp>##V3_BDHV12</stp>
        <stp>CHSWP2  Curncy</stp>
        <stp>PX_LAST</stp>
        <stp>12-01-2016</stp>
        <stp>12-01-2016</stp>
        <stp>[TPM a RPM_v21.xlsm]Informe5!R213C32</stp>
        <tr r="AF213" s="29"/>
      </tp>
      <tp>
        <v>4.3899999999999997</v>
        <stp/>
        <stp>##V3_BDHV12</stp>
        <stp>CHSWP5  Curncy</stp>
        <stp>PX_LAST</stp>
        <stp>30-12-2015</stp>
        <stp>30-12-2015</stp>
        <stp>[TPM a RPM_v21.xlsm]Informe5!R222C33</stp>
        <tr r="AG222" s="29"/>
      </tp>
      <tp>
        <v>4.04</v>
        <stp/>
        <stp>##V3_BDHV12</stp>
        <stp>CHSWP2  Curncy</stp>
        <stp>PX_LAST</stp>
        <stp>30-12-2015</stp>
        <stp>30-12-2015</stp>
        <stp>[TPM a RPM_v21.xlsm]Informe5!R222C32</stp>
        <tr r="AF222" s="29"/>
      </tp>
      <tp>
        <v>3.84</v>
        <stp/>
        <stp>##V3_BDHV12</stp>
        <stp>CHSWP2  Curncy</stp>
        <stp>PX_LAST</stp>
        <stp>31-03-2016</stp>
        <stp>31-03-2016</stp>
        <stp>[TPM a RPM_v21.xlsm]Informe5!R156C32</stp>
        <tr r="AF156" s="29"/>
      </tp>
      <tp>
        <v>4.1900000000000004</v>
        <stp/>
        <stp>##V3_BDHV12</stp>
        <stp>CHSWP5  Curncy</stp>
        <stp>PX_LAST</stp>
        <stp>31-03-2016</stp>
        <stp>31-03-2016</stp>
        <stp>[TPM a RPM_v21.xlsm]Informe5!R156C33</stp>
        <tr r="AG156" s="29"/>
      </tp>
      <tp>
        <v>3.98</v>
        <stp/>
        <stp>##V3_BDHV12</stp>
        <stp>CHSWP2  Curncy</stp>
        <stp>PX_LAST</stp>
        <stp>13-01-2016</stp>
        <stp>13-01-2016</stp>
        <stp>[TPM a RPM_v21.xlsm]Informe5!R212C32</stp>
        <tr r="AF212" s="29"/>
      </tp>
      <tp>
        <v>4.34</v>
        <stp/>
        <stp>##V3_BDHV12</stp>
        <stp>CHSWP5  Curncy</stp>
        <stp>PX_LAST</stp>
        <stp>13-01-2016</stp>
        <stp>13-01-2016</stp>
        <stp>[TPM a RPM_v21.xlsm]Informe5!R212C33</stp>
        <tr r="AG212" s="29"/>
      </tp>
      <tp t="s">
        <v>#N/A N/A</v>
        <stp/>
        <stp>##V3_BDHV12</stp>
        <stp>CHSWP2  Curncy</stp>
        <stp>PX_LAST</stp>
        <stp>31-12-2015</stp>
        <stp>31-12-2015</stp>
        <stp>[TPM a RPM_v21.xlsm]Informe5!R221C32</stp>
        <tr r="AF221" s="29"/>
      </tp>
      <tp t="s">
        <v>#N/A N/A</v>
        <stp/>
        <stp>##V3_BDHV12</stp>
        <stp>CHSWP5  Curncy</stp>
        <stp>PX_LAST</stp>
        <stp>31-12-2015</stp>
        <stp>31-12-2015</stp>
        <stp>[TPM a RPM_v21.xlsm]Informe5!R221C33</stp>
        <tr r="AG221" s="29"/>
      </tp>
      <tp>
        <v>4.18</v>
        <stp/>
        <stp>##V3_BDHV12</stp>
        <stp>CHSWP5  Curncy</stp>
        <stp>PX_LAST</stp>
        <stp>30-03-2016</stp>
        <stp>30-03-2016</stp>
        <stp>[TPM a RPM_v21.xlsm]Informe5!R157C33</stp>
        <tr r="AG157" s="29"/>
      </tp>
      <tp>
        <v>3.85</v>
        <stp/>
        <stp>##V3_BDHV12</stp>
        <stp>CHSWP2  Curncy</stp>
        <stp>PX_LAST</stp>
        <stp>30-03-2016</stp>
        <stp>30-03-2016</stp>
        <stp>[TPM a RPM_v21.xlsm]Informe5!R157C32</stp>
        <tr r="AF157" s="29"/>
      </tp>
      <tp>
        <v>4.3499999999999996</v>
        <stp/>
        <stp>##V3_BDHV12</stp>
        <stp>CHSWP5  Curncy</stp>
        <stp>PX_LAST</stp>
        <stp>02-11-2015</stp>
        <stp>02-11-2015</stp>
        <stp>[TPM a RPM_v21.xlsm]Informe5!R264C33</stp>
        <tr r="AG264" s="29"/>
      </tp>
      <tp>
        <v>3.94</v>
        <stp/>
        <stp>##V3_BDHV12</stp>
        <stp>CHSWP2  Curncy</stp>
        <stp>PX_LAST</stp>
        <stp>02-11-2015</stp>
        <stp>02-11-2015</stp>
        <stp>[TPM a RPM_v21.xlsm]Informe5!R264C32</stp>
        <tr r="AF264" s="29"/>
      </tp>
      <tp>
        <v>4.2</v>
        <stp/>
        <stp>##V3_BDHV12</stp>
        <stp>CHSWP5  Curncy</stp>
        <stp>PX_LAST</stp>
        <stp>23-02-2016</stp>
        <stp>23-02-2016</stp>
        <stp>[TPM a RPM_v21.xlsm]Informe5!R183C33</stp>
        <tr r="AG183" s="29"/>
      </tp>
      <tp>
        <v>3.91</v>
        <stp/>
        <stp>##V3_BDHV12</stp>
        <stp>CHSWP2  Curncy</stp>
        <stp>PX_LAST</stp>
        <stp>23-02-2016</stp>
        <stp>23-02-2016</stp>
        <stp>[TPM a RPM_v21.xlsm]Informe5!R183C32</stp>
        <tr r="AF183" s="29"/>
      </tp>
      <tp>
        <v>4.0199999999999996</v>
        <stp/>
        <stp>##V3_BDHV12</stp>
        <stp>CHSWP2  Curncy</stp>
        <stp>PX_LAST</stp>
        <stp>11-01-2016</stp>
        <stp>11-01-2016</stp>
        <stp>[TPM a RPM_v21.xlsm]Informe5!R214C32</stp>
        <tr r="AF214" s="29"/>
      </tp>
      <tp>
        <v>4.3600000000000003</v>
        <stp/>
        <stp>##V3_BDHV12</stp>
        <stp>CHSWP5  Curncy</stp>
        <stp>PX_LAST</stp>
        <stp>11-01-2016</stp>
        <stp>11-01-2016</stp>
        <stp>[TPM a RPM_v21.xlsm]Informe5!R214C33</stp>
        <tr r="AG214" s="29"/>
      </tp>
      <tp>
        <v>3.9</v>
        <stp/>
        <stp>##V3_BDHV12</stp>
        <stp>CHSWP2  Curncy</stp>
        <stp>PX_LAST</stp>
        <stp>03-11-2015</stp>
        <stp>03-11-2015</stp>
        <stp>[TPM a RPM_v21.xlsm]Informe5!R263C32</stp>
        <tr r="AF263" s="29"/>
      </tp>
      <tp>
        <v>4.32</v>
        <stp/>
        <stp>##V3_BDHV12</stp>
        <stp>CHSWP5  Curncy</stp>
        <stp>PX_LAST</stp>
        <stp>03-11-2015</stp>
        <stp>03-11-2015</stp>
        <stp>[TPM a RPM_v21.xlsm]Informe5!R263C33</stp>
        <tr r="AG263" s="29"/>
      </tp>
      <tp>
        <v>3.93</v>
        <stp/>
        <stp>##V3_BDHV12</stp>
        <stp>CHSWP2  Curncy</stp>
        <stp>PX_LAST</stp>
        <stp>22-02-2016</stp>
        <stp>22-02-2016</stp>
        <stp>[TPM a RPM_v21.xlsm]Informe5!R184C32</stp>
        <tr r="AF184" s="29"/>
      </tp>
      <tp>
        <v>4.22</v>
        <stp/>
        <stp>##V3_BDHV12</stp>
        <stp>CHSWP5  Curncy</stp>
        <stp>PX_LAST</stp>
        <stp>22-02-2016</stp>
        <stp>22-02-2016</stp>
        <stp>[TPM a RPM_v21.xlsm]Informe5!R184C33</stp>
        <tr r="AG184" s="29"/>
      </tp>
      <tp>
        <v>4.68</v>
        <stp/>
        <stp>##V3_BDHV12</stp>
        <stp>CHSWP10  Curncy</stp>
        <stp>PX_LAST</stp>
        <stp>29-01-2016</stp>
        <stp>29-01-2016</stp>
        <stp>[TPM a RPM_v21.xlsm]Informe5!R200C34</stp>
        <tr r="AH200" s="29"/>
      </tp>
      <tp>
        <v>4.34</v>
        <stp/>
        <stp>##V3_BDHV12</stp>
        <stp>CHSWP5  Curncy</stp>
        <stp>PX_LAST</stp>
        <stp>04-11-2015</stp>
        <stp>04-11-2015</stp>
        <stp>[TPM a RPM_v21.xlsm]Informe5!R262C33</stp>
        <tr r="AG262" s="29"/>
      </tp>
      <tp>
        <v>3.89</v>
        <stp/>
        <stp>##V3_BDHV12</stp>
        <stp>CHSWP2  Curncy</stp>
        <stp>PX_LAST</stp>
        <stp>04-11-2015</stp>
        <stp>04-11-2015</stp>
        <stp>[TPM a RPM_v21.xlsm]Informe5!R262C32</stp>
        <tr r="AF262" s="29"/>
      </tp>
      <tp>
        <v>4.1500000000000004</v>
        <stp/>
        <stp>##V3_BDHV12</stp>
        <stp>CHSWP5  Curncy</stp>
        <stp>PX_LAST</stp>
        <stp>25-02-2016</stp>
        <stp>25-02-2016</stp>
        <stp>[TPM a RPM_v21.xlsm]Informe5!R181C33</stp>
        <tr r="AG181" s="29"/>
      </tp>
      <tp>
        <v>3.86</v>
        <stp/>
        <stp>##V3_BDHV12</stp>
        <stp>CHSWP2  Curncy</stp>
        <stp>PX_LAST</stp>
        <stp>25-02-2016</stp>
        <stp>25-02-2016</stp>
        <stp>[TPM a RPM_v21.xlsm]Informe5!R181C32</stp>
        <tr r="AF181" s="29"/>
      </tp>
      <tp>
        <v>4.68</v>
        <stp/>
        <stp>##V3_BDHV12</stp>
        <stp>CHSWP10  Curncy</stp>
        <stp>PX_LAST</stp>
        <stp>28-01-2016</stp>
        <stp>28-01-2016</stp>
        <stp>[TPM a RPM_v21.xlsm]Informe5!R201C34</stp>
        <tr r="AH201" s="29"/>
      </tp>
      <tp>
        <v>3.92</v>
        <stp/>
        <stp>##V3_BDHV12</stp>
        <stp>CHSWP2  Curncy</stp>
        <stp>PX_LAST</stp>
        <stp>05-11-2015</stp>
        <stp>05-11-2015</stp>
        <stp>[TPM a RPM_v21.xlsm]Informe5!R261C32</stp>
        <tr r="AF261" s="29"/>
      </tp>
      <tp>
        <v>4.3600000000000003</v>
        <stp/>
        <stp>##V3_BDHV12</stp>
        <stp>CHSWP5  Curncy</stp>
        <stp>PX_LAST</stp>
        <stp>05-11-2015</stp>
        <stp>05-11-2015</stp>
        <stp>[TPM a RPM_v21.xlsm]Informe5!R261C33</stp>
        <tr r="AG261" s="29"/>
      </tp>
      <tp>
        <v>3.86</v>
        <stp/>
        <stp>##V3_BDHV12</stp>
        <stp>CHSWP2  Curncy</stp>
        <stp>PX_LAST</stp>
        <stp>24-02-2016</stp>
        <stp>24-02-2016</stp>
        <stp>[TPM a RPM_v21.xlsm]Informe5!R182C32</stp>
        <tr r="AF182" s="29"/>
      </tp>
      <tp>
        <v>4.1500000000000004</v>
        <stp/>
        <stp>##V3_BDHV12</stp>
        <stp>CHSWP5  Curncy</stp>
        <stp>PX_LAST</stp>
        <stp>24-02-2016</stp>
        <stp>24-02-2016</stp>
        <stp>[TPM a RPM_v21.xlsm]Informe5!R182C33</stp>
        <tr r="AG182" s="29"/>
      </tp>
      <tp>
        <v>4.67</v>
        <stp/>
        <stp>##V3_BDHV12</stp>
        <stp>CHSWP10  Curncy</stp>
        <stp>PX_LAST</stp>
        <stp>29-10-2015</stp>
        <stp>29-10-2015</stp>
        <stp>[TPM a RPM_v21.xlsm]Informe5!R266C34</stp>
        <tr r="AH266" s="29"/>
      </tp>
      <tp>
        <v>4.51</v>
        <stp/>
        <stp>##V3_BDHV12</stp>
        <stp>CHSWP10  Curncy</stp>
        <stp>PX_LAST</stp>
        <stp>08-03-2016</stp>
        <stp>08-03-2016</stp>
        <stp>[TPM a RPM_v21.xlsm]Informe5!R173C34</stp>
        <tr r="AH173" s="29"/>
      </tp>
      <tp>
        <v>4.8100000000000005</v>
        <stp/>
        <stp>##V3_BDHV12</stp>
        <stp>CHSWP10  Curncy</stp>
        <stp>PX_LAST</stp>
        <stp>09-12-2015</stp>
        <stp>09-12-2015</stp>
        <stp>[TPM a RPM_v21.xlsm]Informe5!R237C34</stp>
        <tr r="AH237" s="29"/>
      </tp>
      <tp>
        <v>4.6500000000000004</v>
        <stp/>
        <stp>##V3_BDHV12</stp>
        <stp>CHSWP10  Curncy</stp>
        <stp>PX_LAST</stp>
        <stp>18-02-2016</stp>
        <stp>18-02-2016</stp>
        <stp>[TPM a RPM_v21.xlsm]Informe5!R186C34</stp>
        <tr r="AH186" s="29"/>
      </tp>
      <tp>
        <v>4.45</v>
        <stp/>
        <stp>##V3_BDHV12</stp>
        <stp>CHSWP5  Curncy</stp>
        <stp>PX_LAST</stp>
        <stp>06-11-2015</stp>
        <stp>06-11-2015</stp>
        <stp>[TPM a RPM_v21.xlsm]Informe5!R260C33</stp>
        <tr r="AG260" s="29"/>
      </tp>
      <tp>
        <v>3.98</v>
        <stp/>
        <stp>##V3_BDHV12</stp>
        <stp>CHSWP2  Curncy</stp>
        <stp>PX_LAST</stp>
        <stp>06-11-2015</stp>
        <stp>06-11-2015</stp>
        <stp>[TPM a RPM_v21.xlsm]Informe5!R260C32</stp>
        <tr r="AF260" s="29"/>
      </tp>
      <tp>
        <v>4.32</v>
        <stp/>
        <stp>##V3_BDHV12</stp>
        <stp>CHSWP5  Curncy</stp>
        <stp>PX_LAST</stp>
        <stp>14-01-2016</stp>
        <stp>14-01-2016</stp>
        <stp>[TPM a RPM_v21.xlsm]Informe5!R211C33</stp>
        <tr r="AG211" s="29"/>
      </tp>
      <tp>
        <v>3.96</v>
        <stp/>
        <stp>##V3_BDHV12</stp>
        <stp>CHSWP2  Curncy</stp>
        <stp>PX_LAST</stp>
        <stp>14-01-2016</stp>
        <stp>14-01-2016</stp>
        <stp>[TPM a RPM_v21.xlsm]Informe5!R211C32</stp>
        <tr r="AF211" s="29"/>
      </tp>
      <tp>
        <v>4.62</v>
        <stp/>
        <stp>##V3_BDHV12</stp>
        <stp>CHSWP10  Curncy</stp>
        <stp>PX_LAST</stp>
        <stp>28-10-2015</stp>
        <stp>28-10-2015</stp>
        <stp>[TPM a RPM_v21.xlsm]Informe5!R267C34</stp>
        <tr r="AH267" s="29"/>
      </tp>
      <tp>
        <v>4.54</v>
        <stp/>
        <stp>##V3_BDHV12</stp>
        <stp>CHSWP10  Curncy</stp>
        <stp>PX_LAST</stp>
        <stp>09-03-2016</stp>
        <stp>09-03-2016</stp>
        <stp>[TPM a RPM_v21.xlsm]Informe5!R172C34</stp>
        <tr r="AH172" s="29"/>
      </tp>
      <tp t="s">
        <v>#N/A N/A</v>
        <stp/>
        <stp>##V3_BDHV12</stp>
        <stp>CHSWP10  Curncy</stp>
        <stp>PX_LAST</stp>
        <stp>08-12-2015</stp>
        <stp>08-12-2015</stp>
        <stp>[TPM a RPM_v21.xlsm]Informe5!R238C34</stp>
        <tr r="AH238" s="29"/>
      </tp>
      <tp>
        <v>4.6500000000000004</v>
        <stp/>
        <stp>##V3_BDHV12</stp>
        <stp>CHSWP10  Curncy</stp>
        <stp>PX_LAST</stp>
        <stp>19-02-2016</stp>
        <stp>19-02-2016</stp>
        <stp>[TPM a RPM_v21.xlsm]Informe5!R185C34</stp>
        <tr r="AH185" s="29"/>
      </tp>
      <tp>
        <v>3.95</v>
        <stp/>
        <stp>##V3_BDHV12</stp>
        <stp>CHSWP2  Curncy</stp>
        <stp>PX_LAST</stp>
        <stp>15-01-2016</stp>
        <stp>15-01-2016</stp>
        <stp>[TPM a RPM_v21.xlsm]Informe5!R210C32</stp>
        <tr r="AF210" s="29"/>
      </tp>
      <tp>
        <v>4.29</v>
        <stp/>
        <stp>##V3_BDHV12</stp>
        <stp>CHSWP5  Curncy</stp>
        <stp>PX_LAST</stp>
        <stp>15-01-2016</stp>
        <stp>15-01-2016</stp>
        <stp>[TPM a RPM_v21.xlsm]Informe5!R210C33</stp>
        <tr r="AG210" s="29"/>
      </tp>
      <tp>
        <v>3.81</v>
        <stp/>
        <stp>##V3_BDHV12</stp>
        <stp>CHSWP2  Curncy</stp>
        <stp>PX_LAST</stp>
        <stp>26-02-2016</stp>
        <stp>26-02-2016</stp>
        <stp>[TPM a RPM_v21.xlsm]Informe5!R180C32</stp>
        <tr r="AF180" s="29"/>
      </tp>
      <tp>
        <v>4.1100000000000003</v>
        <stp/>
        <stp>##V3_BDHV12</stp>
        <stp>CHSWP5  Curncy</stp>
        <stp>PX_LAST</stp>
        <stp>26-02-2016</stp>
        <stp>26-02-2016</stp>
        <stp>[TPM a RPM_v21.xlsm]Informe5!R180C33</stp>
        <tr r="AG180" s="29"/>
      </tp>
      <tp t="e">
        <v>#N/A</v>
        <stp/>
        <stp>##V3_BDHV12</stp>
        <stp>CNPINSMO Index</stp>
        <stp>PX_LAST</stp>
        <stp>30-09-2016</stp>
        <stp>30-09-2016</stp>
        <stp>[TPM a RPM_v21.xlsm]Inflation_FWD!R2C16</stp>
        <tr r="P2" s="16"/>
      </tp>
      <tp>
        <v>4.5600000000000005</v>
        <stp/>
        <stp>##V3_BDHV12</stp>
        <stp>CHSWP10  Curncy</stp>
        <stp>PX_LAST</stp>
        <stp>25-02-2016</stp>
        <stp>25-02-2016</stp>
        <stp>[TPM a RPM_v21.xlsm]Informe5!R181C34</stp>
        <tr r="AH181" s="29"/>
      </tp>
      <tp>
        <v>4.74</v>
        <stp/>
        <stp>##V3_BDHV12</stp>
        <stp>CHSWP10  Curncy</stp>
        <stp>PX_LAST</stp>
        <stp>04-11-2015</stp>
        <stp>04-11-2015</stp>
        <stp>[TPM a RPM_v21.xlsm]Informe5!R262C34</stp>
        <tr r="AH262" s="29"/>
      </tp>
      <tp>
        <v>4.28</v>
        <stp/>
        <stp>##V3_BDHV12</stp>
        <stp>CHSWP5  Curncy</stp>
        <stp>PX_LAST</stp>
        <stp>29-01-2016</stp>
        <stp>29-01-2016</stp>
        <stp>[TPM a RPM_v21.xlsm]Informe5!R200C33</stp>
        <tr r="AG200" s="29"/>
      </tp>
      <tp>
        <v>3.93</v>
        <stp/>
        <stp>##V3_BDHV12</stp>
        <stp>CHSWP2  Curncy</stp>
        <stp>PX_LAST</stp>
        <stp>29-01-2016</stp>
        <stp>29-01-2016</stp>
        <stp>[TPM a RPM_v21.xlsm]Informe5!R200C32</stp>
        <tr r="AF200" s="29"/>
      </tp>
      <tp>
        <v>4.55</v>
        <stp/>
        <stp>##V3_BDHV12</stp>
        <stp>CHSWP10  Curncy</stp>
        <stp>PX_LAST</stp>
        <stp>24-02-2016</stp>
        <stp>24-02-2016</stp>
        <stp>[TPM a RPM_v21.xlsm]Informe5!R182C34</stp>
        <tr r="AH182" s="29"/>
      </tp>
      <tp>
        <v>4.76</v>
        <stp/>
        <stp>##V3_BDHV12</stp>
        <stp>CHSWP10  Curncy</stp>
        <stp>PX_LAST</stp>
        <stp>05-11-2015</stp>
        <stp>05-11-2015</stp>
        <stp>[TPM a RPM_v21.xlsm]Informe5!R261C34</stp>
        <tr r="AH261" s="29"/>
      </tp>
      <tp>
        <v>3.92</v>
        <stp/>
        <stp>##V3_BDHV12</stp>
        <stp>CHSWP2  Curncy</stp>
        <stp>PX_LAST</stp>
        <stp>28-01-2016</stp>
        <stp>28-01-2016</stp>
        <stp>[TPM a RPM_v21.xlsm]Informe5!R201C32</stp>
        <tr r="AF201" s="29"/>
      </tp>
      <tp>
        <v>4.28</v>
        <stp/>
        <stp>##V3_BDHV12</stp>
        <stp>CHSWP5  Curncy</stp>
        <stp>PX_LAST</stp>
        <stp>28-01-2016</stp>
        <stp>28-01-2016</stp>
        <stp>[TPM a RPM_v21.xlsm]Informe5!R201C33</stp>
        <tr r="AG201" s="29"/>
      </tp>
      <tp>
        <v>4.7</v>
        <stp/>
        <stp>##V3_BDHV12</stp>
        <stp>CHSWP10  Curncy</stp>
        <stp>PX_LAST</stp>
        <stp>14-01-2016</stp>
        <stp>14-01-2016</stp>
        <stp>[TPM a RPM_v21.xlsm]Informe5!R211C34</stp>
        <tr r="AH211" s="29"/>
      </tp>
      <tp>
        <v>4.83</v>
        <stp/>
        <stp>##V3_BDHV12</stp>
        <stp>CHSWP10  Curncy</stp>
        <stp>PX_LAST</stp>
        <stp>06-11-2015</stp>
        <stp>06-11-2015</stp>
        <stp>[TPM a RPM_v21.xlsm]Informe5!R260C34</stp>
        <tr r="AH260" s="29"/>
      </tp>
      <tp>
        <v>3.93</v>
        <stp/>
        <stp>##V3_BDHV12</stp>
        <stp>CHSWP2  Curncy</stp>
        <stp>PX_LAST</stp>
        <stp>18-02-2016</stp>
        <stp>18-02-2016</stp>
        <stp>[TPM a RPM_v21.xlsm]Informe5!R186C32</stp>
        <tr r="AF186" s="29"/>
      </tp>
      <tp>
        <v>4.2300000000000004</v>
        <stp/>
        <stp>##V3_BDHV12</stp>
        <stp>CHSWP5  Curncy</stp>
        <stp>PX_LAST</stp>
        <stp>18-02-2016</stp>
        <stp>18-02-2016</stp>
        <stp>[TPM a RPM_v21.xlsm]Informe5!R186C33</stp>
        <tr r="AG186" s="29"/>
      </tp>
      <tp>
        <v>4.3899999999999997</v>
        <stp/>
        <stp>##V3_BDHV12</stp>
        <stp>CHSWP5  Curncy</stp>
        <stp>PX_LAST</stp>
        <stp>09-12-2015</stp>
        <stp>09-12-2015</stp>
        <stp>[TPM a RPM_v21.xlsm]Informe5!R237C33</stp>
        <tr r="AG237" s="29"/>
      </tp>
      <tp>
        <v>3.9699999999999998</v>
        <stp/>
        <stp>##V3_BDHV12</stp>
        <stp>CHSWP2  Curncy</stp>
        <stp>PX_LAST</stp>
        <stp>09-12-2015</stp>
        <stp>09-12-2015</stp>
        <stp>[TPM a RPM_v21.xlsm]Informe5!R237C32</stp>
        <tr r="AF237" s="29"/>
      </tp>
      <tp>
        <v>4.17</v>
        <stp/>
        <stp>##V3_BDHV12</stp>
        <stp>CHSWP5  Curncy</stp>
        <stp>PX_LAST</stp>
        <stp>08-03-2016</stp>
        <stp>08-03-2016</stp>
        <stp>[TPM a RPM_v21.xlsm]Informe5!R173C33</stp>
        <tr r="AG173" s="29"/>
      </tp>
      <tp>
        <v>3.83</v>
        <stp/>
        <stp>##V3_BDHV12</stp>
        <stp>CHSWP2  Curncy</stp>
        <stp>PX_LAST</stp>
        <stp>08-03-2016</stp>
        <stp>08-03-2016</stp>
        <stp>[TPM a RPM_v21.xlsm]Informe5!R173C32</stp>
        <tr r="AF173" s="29"/>
      </tp>
      <tp>
        <v>3.87</v>
        <stp/>
        <stp>##V3_BDHV12</stp>
        <stp>CHSWP2  Curncy</stp>
        <stp>PX_LAST</stp>
        <stp>29-10-2015</stp>
        <stp>29-10-2015</stp>
        <stp>[TPM a RPM_v21.xlsm]Informe5!R266C32</stp>
        <tr r="AF266" s="29"/>
      </tp>
      <tp>
        <v>4.22</v>
        <stp/>
        <stp>##V3_BDHV12</stp>
        <stp>CHSWP5  Curncy</stp>
        <stp>PX_LAST</stp>
        <stp>29-10-2015</stp>
        <stp>29-10-2015</stp>
        <stp>[TPM a RPM_v21.xlsm]Informe5!R266C33</stp>
        <tr r="AG266" s="29"/>
      </tp>
      <tp>
        <v>4.5199999999999996</v>
        <stp/>
        <stp>##V3_BDHV12</stp>
        <stp>CHSWP10  Curncy</stp>
        <stp>PX_LAST</stp>
        <stp>26-02-2016</stp>
        <stp>26-02-2016</stp>
        <stp>[TPM a RPM_v21.xlsm]Informe5!R180C34</stp>
        <tr r="AH180" s="29"/>
      </tp>
      <tp>
        <v>4.68</v>
        <stp/>
        <stp>##V3_BDHV12</stp>
        <stp>CHSWP10  Curncy</stp>
        <stp>PX_LAST</stp>
        <stp>15-01-2016</stp>
        <stp>15-01-2016</stp>
        <stp>[TPM a RPM_v21.xlsm]Informe5!R210C34</stp>
        <tr r="AH210" s="29"/>
      </tp>
      <tp>
        <v>4.2300000000000004</v>
        <stp/>
        <stp>##V3_BDHV12</stp>
        <stp>CHSWP5  Curncy</stp>
        <stp>PX_LAST</stp>
        <stp>19-02-2016</stp>
        <stp>19-02-2016</stp>
        <stp>[TPM a RPM_v21.xlsm]Informe5!R185C33</stp>
        <tr r="AG185" s="29"/>
      </tp>
      <tp>
        <v>3.94</v>
        <stp/>
        <stp>##V3_BDHV12</stp>
        <stp>CHSWP2  Curncy</stp>
        <stp>PX_LAST</stp>
        <stp>19-02-2016</stp>
        <stp>19-02-2016</stp>
        <stp>[TPM a RPM_v21.xlsm]Informe5!R185C32</stp>
        <tr r="AF185" s="29"/>
      </tp>
      <tp t="s">
        <v>#N/A N/A</v>
        <stp/>
        <stp>##V3_BDHV12</stp>
        <stp>CHSWP2  Curncy</stp>
        <stp>PX_LAST</stp>
        <stp>08-12-2015</stp>
        <stp>08-12-2015</stp>
        <stp>[TPM a RPM_v21.xlsm]Informe5!R238C32</stp>
        <tr r="AF238" s="29"/>
      </tp>
      <tp t="s">
        <v>#N/A N/A</v>
        <stp/>
        <stp>##V3_BDHV12</stp>
        <stp>CHSWP5  Curncy</stp>
        <stp>PX_LAST</stp>
        <stp>08-12-2015</stp>
        <stp>08-12-2015</stp>
        <stp>[TPM a RPM_v21.xlsm]Informe5!R238C33</stp>
        <tr r="AG238" s="29"/>
      </tp>
      <tp>
        <v>3.85</v>
        <stp/>
        <stp>##V3_BDHV12</stp>
        <stp>CHSWP2  Curncy</stp>
        <stp>PX_LAST</stp>
        <stp>09-03-2016</stp>
        <stp>09-03-2016</stp>
        <stp>[TPM a RPM_v21.xlsm]Informe5!R172C32</stp>
        <tr r="AF172" s="29"/>
      </tp>
      <tp>
        <v>4.2</v>
        <stp/>
        <stp>##V3_BDHV12</stp>
        <stp>CHSWP5  Curncy</stp>
        <stp>PX_LAST</stp>
        <stp>09-03-2016</stp>
        <stp>09-03-2016</stp>
        <stp>[TPM a RPM_v21.xlsm]Informe5!R172C33</stp>
        <tr r="AG172" s="29"/>
      </tp>
      <tp>
        <v>4.17</v>
        <stp/>
        <stp>##V3_BDHV12</stp>
        <stp>CHSWP5  Curncy</stp>
        <stp>PX_LAST</stp>
        <stp>28-10-2015</stp>
        <stp>28-10-2015</stp>
        <stp>[TPM a RPM_v21.xlsm]Informe5!R267C33</stp>
        <tr r="AG267" s="29"/>
      </tp>
      <tp>
        <v>3.84</v>
        <stp/>
        <stp>##V3_BDHV12</stp>
        <stp>CHSWP2  Curncy</stp>
        <stp>PX_LAST</stp>
        <stp>28-10-2015</stp>
        <stp>28-10-2015</stp>
        <stp>[TPM a RPM_v21.xlsm]Informe5!R267C32</stp>
        <tr r="AF267" s="29"/>
      </tp>
      <tp>
        <v>4.58</v>
        <stp/>
        <stp>##V3_BDHV12</stp>
        <stp>CHSWP10  Curncy</stp>
        <stp>PX_LAST</stp>
        <stp>31-03-2016</stp>
        <stp>31-03-2016</stp>
        <stp>[TPM a RPM_v21.xlsm]Informe5!R156C34</stp>
        <tr r="AH156" s="29"/>
      </tp>
      <tp>
        <v>4.78</v>
        <stp/>
        <stp>##V3_BDHV12</stp>
        <stp>CHSWP10  Curncy</stp>
        <stp>PX_LAST</stp>
        <stp>30-12-2015</stp>
        <stp>30-12-2015</stp>
        <stp>[TPM a RPM_v21.xlsm]Informe5!R222C34</stp>
        <tr r="AH222" s="29"/>
      </tp>
      <tp>
        <v>4.74</v>
        <stp/>
        <stp>##V3_BDHV12</stp>
        <stp>CHSWP10  Curncy</stp>
        <stp>PX_LAST</stp>
        <stp>12-01-2016</stp>
        <stp>12-01-2016</stp>
        <stp>[TPM a RPM_v21.xlsm]Informe5!R213C34</stp>
        <tr r="AH213" s="29"/>
      </tp>
      <tp>
        <v>4.5600000000000005</v>
        <stp/>
        <stp>##V3_BDHV12</stp>
        <stp>CHSWP10  Curncy</stp>
        <stp>PX_LAST</stp>
        <stp>30-03-2016</stp>
        <stp>30-03-2016</stp>
        <stp>[TPM a RPM_v21.xlsm]Informe5!R157C34</stp>
        <tr r="AH157" s="29"/>
      </tp>
      <tp t="s">
        <v>#N/A N/A</v>
        <stp/>
        <stp>##V3_BDHV12</stp>
        <stp>CHSWP10  Curncy</stp>
        <stp>PX_LAST</stp>
        <stp>31-12-2015</stp>
        <stp>31-12-2015</stp>
        <stp>[TPM a RPM_v21.xlsm]Informe5!R221C34</stp>
        <tr r="AH221" s="29"/>
      </tp>
      <tp>
        <v>4.7300000000000004</v>
        <stp/>
        <stp>##V3_BDHV12</stp>
        <stp>CHSWP10  Curncy</stp>
        <stp>PX_LAST</stp>
        <stp>13-01-2016</stp>
        <stp>13-01-2016</stp>
        <stp>[TPM a RPM_v21.xlsm]Informe5!R212C34</stp>
        <tr r="AH212" s="29"/>
      </tp>
      <tp>
        <v>4.6100000000000003</v>
        <stp/>
        <stp>##V3_BDHV12</stp>
        <stp>CHSWP10  Curncy</stp>
        <stp>PX_LAST</stp>
        <stp>23-02-2016</stp>
        <stp>23-02-2016</stp>
        <stp>[TPM a RPM_v21.xlsm]Informe5!R183C34</stp>
        <tr r="AH183" s="29"/>
      </tp>
      <tp>
        <v>4.76</v>
        <stp/>
        <stp>##V3_BDHV12</stp>
        <stp>CHSWP10  Curncy</stp>
        <stp>PX_LAST</stp>
        <stp>02-11-2015</stp>
        <stp>02-11-2015</stp>
        <stp>[TPM a RPM_v21.xlsm]Informe5!R264C34</stp>
        <tr r="AH264" s="29"/>
      </tp>
      <tp>
        <v>4.6500000000000004</v>
        <stp/>
        <stp>##V3_BDHV12</stp>
        <stp>CHSWP10  Curncy</stp>
        <stp>PX_LAST</stp>
        <stp>22-02-2016</stp>
        <stp>22-02-2016</stp>
        <stp>[TPM a RPM_v21.xlsm]Informe5!R184C34</stp>
        <tr r="AH184" s="29"/>
      </tp>
      <tp>
        <v>4.7300000000000004</v>
        <stp/>
        <stp>##V3_BDHV12</stp>
        <stp>CHSWP10  Curncy</stp>
        <stp>PX_LAST</stp>
        <stp>03-11-2015</stp>
        <stp>03-11-2015</stp>
        <stp>[TPM a RPM_v21.xlsm]Informe5!R263C34</stp>
        <tr r="AH263" s="29"/>
      </tp>
      <tp>
        <v>4.74</v>
        <stp/>
        <stp>##V3_BDHV12</stp>
        <stp>CHSWP10  Curncy</stp>
        <stp>PX_LAST</stp>
        <stp>11-01-2016</stp>
        <stp>11-01-2016</stp>
        <stp>[TPM a RPM_v21.xlsm]Informe5!R214C34</stp>
        <tr r="AH214" s="29"/>
      </tp>
      <tp>
        <v>4.2699999999999996</v>
        <stp/>
        <stp>##V3_BDHV12</stp>
        <stp>CHSWP5  Curncy</stp>
        <stp>PX_LAST</stp>
        <stp>21-01-2016</stp>
        <stp>21-01-2016</stp>
        <stp>[TPM a RPM_v21.xlsm]Informe5!R206C33</stp>
        <tr r="AG206" s="29"/>
      </tp>
      <tp>
        <v>3.93</v>
        <stp/>
        <stp>##V3_BDHV12</stp>
        <stp>CHSWP2  Curncy</stp>
        <stp>PX_LAST</stp>
        <stp>21-01-2016</stp>
        <stp>21-01-2016</stp>
        <stp>[TPM a RPM_v21.xlsm]Informe5!R206C32</stp>
        <tr r="AF206" s="29"/>
      </tp>
      <tp>
        <v>3.95</v>
        <stp/>
        <stp>##V3_BDHV12</stp>
        <stp>CHSWP2  Curncy</stp>
        <stp>PX_LAST</stp>
        <stp>03-12-2015</stp>
        <stp>03-12-2015</stp>
        <stp>[TPM a RPM_v21.xlsm]Informe5!R241C32</stp>
        <tr r="AF241" s="29"/>
      </tp>
      <tp>
        <v>4.07</v>
        <stp/>
        <stp>##V3_BDHV12</stp>
        <stp>CHSWP5  Curncy</stp>
        <stp>PX_LAST</stp>
        <stp>02-03-2016</stp>
        <stp>02-03-2016</stp>
        <stp>[TPM a RPM_v21.xlsm]Informe5!R177C33</stp>
        <tr r="AG177" s="29"/>
      </tp>
      <tp>
        <v>3.76</v>
        <stp/>
        <stp>##V3_BDHV12</stp>
        <stp>CHSWP2  Curncy</stp>
        <stp>PX_LAST</stp>
        <stp>02-03-2016</stp>
        <stp>02-03-2016</stp>
        <stp>[TPM a RPM_v21.xlsm]Informe5!R177C32</stp>
        <tr r="AF177" s="29"/>
      </tp>
      <tp>
        <v>4.34</v>
        <stp/>
        <stp>##V3_BDHV12</stp>
        <stp>CHSWP5  Curncy</stp>
        <stp>PX_LAST</stp>
        <stp>03-12-2015</stp>
        <stp>03-12-2015</stp>
        <stp>[TPM a RPM_v21.xlsm]Informe5!R241C33</stp>
        <tr r="AG241" s="29"/>
      </tp>
      <tp>
        <v>4.22</v>
        <stp/>
        <stp>##V3_BDHV12</stp>
        <stp>CHSWP5  Curncy</stp>
        <stp>PX_LAST</stp>
        <stp>12-02-2016</stp>
        <stp>12-02-2016</stp>
        <stp>[TPM a RPM_v21.xlsm]Informe5!R190C33</stp>
        <tr r="AG190" s="29"/>
      </tp>
      <tp>
        <v>3.92</v>
        <stp/>
        <stp>##V3_BDHV12</stp>
        <stp>CHSWP2  Curncy</stp>
        <stp>PX_LAST</stp>
        <stp>12-02-2016</stp>
        <stp>12-02-2016</stp>
        <stp>[TPM a RPM_v21.xlsm]Informe5!R190C32</stp>
        <tr r="AF190" s="29"/>
      </tp>
      <tp>
        <v>3.94</v>
        <stp/>
        <stp>##V3_BDHV12</stp>
        <stp>CHSWP2  Curncy</stp>
        <stp>PX_LAST</stp>
        <stp>20-01-2016</stp>
        <stp>20-01-2016</stp>
        <stp>[TPM a RPM_v21.xlsm]Informe5!R207C32</stp>
        <tr r="AF207" s="29"/>
      </tp>
      <tp>
        <v>4.2699999999999996</v>
        <stp/>
        <stp>##V3_BDHV12</stp>
        <stp>CHSWP5  Curncy</stp>
        <stp>PX_LAST</stp>
        <stp>20-01-2016</stp>
        <stp>20-01-2016</stp>
        <stp>[TPM a RPM_v21.xlsm]Informe5!R207C33</stp>
        <tr r="AG207" s="29"/>
      </tp>
      <tp>
        <v>3.77</v>
        <stp/>
        <stp>##V3_BDHV12</stp>
        <stp>CHSWP2  Curncy</stp>
        <stp>PX_LAST</stp>
        <stp>03-03-2016</stp>
        <stp>03-03-2016</stp>
        <stp>[TPM a RPM_v21.xlsm]Informe5!R176C32</stp>
        <tr r="AF176" s="29"/>
      </tp>
      <tp>
        <v>4.3099999999999996</v>
        <stp/>
        <stp>##V3_BDHV12</stp>
        <stp>CHSWP5  Curncy</stp>
        <stp>PX_LAST</stp>
        <stp>02-12-2015</stp>
        <stp>02-12-2015</stp>
        <stp>[TPM a RPM_v21.xlsm]Informe5!R242C33</stp>
        <tr r="AG242" s="29"/>
      </tp>
      <tp>
        <v>3.92</v>
        <stp/>
        <stp>##V3_BDHV12</stp>
        <stp>CHSWP2  Curncy</stp>
        <stp>PX_LAST</stp>
        <stp>02-12-2015</stp>
        <stp>02-12-2015</stp>
        <stp>[TPM a RPM_v21.xlsm]Informe5!R242C32</stp>
        <tr r="AF242" s="29"/>
      </tp>
      <tp>
        <v>4.0999999999999996</v>
        <stp/>
        <stp>##V3_BDHV12</stp>
        <stp>CHSWP5  Curncy</stp>
        <stp>PX_LAST</stp>
        <stp>03-03-2016</stp>
        <stp>03-03-2016</stp>
        <stp>[TPM a RPM_v21.xlsm]Informe5!R176C33</stp>
        <tr r="AG176" s="29"/>
      </tp>
      <tp>
        <v>3.89</v>
        <stp/>
        <stp>##V3_BDHV12</stp>
        <stp>CHSWP2  Curncy</stp>
        <stp>PX_LAST</stp>
        <stp>01-12-2015</stp>
        <stp>01-12-2015</stp>
        <stp>[TPM a RPM_v21.xlsm]Informe5!R243C32</stp>
        <tr r="AF243" s="29"/>
      </tp>
      <tp>
        <v>4.26</v>
        <stp/>
        <stp>##V3_BDHV12</stp>
        <stp>CHSWP5  Curncy</stp>
        <stp>PX_LAST</stp>
        <stp>01-12-2015</stp>
        <stp>01-12-2015</stp>
        <stp>[TPM a RPM_v21.xlsm]Informe5!R243C33</stp>
        <tr r="AG243" s="29"/>
      </tp>
      <tp>
        <v>4.24</v>
        <stp/>
        <stp>##V3_BDHV12</stp>
        <stp>CHSWP5  Curncy</stp>
        <stp>PX_LAST</stp>
        <stp>10-02-2016</stp>
        <stp>10-02-2016</stp>
        <stp>[TPM a RPM_v21.xlsm]Informe5!R192C33</stp>
        <tr r="AG192" s="29"/>
      </tp>
      <tp>
        <v>3.92</v>
        <stp/>
        <stp>##V3_BDHV12</stp>
        <stp>CHSWP2  Curncy</stp>
        <stp>PX_LAST</stp>
        <stp>10-02-2016</stp>
        <stp>10-02-2016</stp>
        <stp>[TPM a RPM_v21.xlsm]Informe5!R192C32</stp>
        <tr r="AF192" s="29"/>
      </tp>
      <tp>
        <v>3.91</v>
        <stp/>
        <stp>##V3_BDHV12</stp>
        <stp>CHSWP2  Curncy</stp>
        <stp>PX_LAST</stp>
        <stp>22-01-2016</stp>
        <stp>22-01-2016</stp>
        <stp>[TPM a RPM_v21.xlsm]Informe5!R205C32</stp>
        <tr r="AF205" s="29"/>
      </tp>
      <tp>
        <v>4.25</v>
        <stp/>
        <stp>##V3_BDHV12</stp>
        <stp>CHSWP5  Curncy</stp>
        <stp>PX_LAST</stp>
        <stp>22-01-2016</stp>
        <stp>22-01-2016</stp>
        <stp>[TPM a RPM_v21.xlsm]Informe5!R205C33</stp>
        <tr r="AG205" s="29"/>
      </tp>
      <tp>
        <v>3.77</v>
        <stp/>
        <stp>##V3_BDHV12</stp>
        <stp>CHSWP2  Curncy</stp>
        <stp>PX_LAST</stp>
        <stp>01-03-2016</stp>
        <stp>01-03-2016</stp>
        <stp>[TPM a RPM_v21.xlsm]Informe5!R178C32</stp>
        <tr r="AF178" s="29"/>
      </tp>
      <tp>
        <v>4.3099999999999996</v>
        <stp/>
        <stp>##V3_BDHV12</stp>
        <stp>CHSWP5  Curncy</stp>
        <stp>PX_LAST</stp>
        <stp>30-11-2015</stp>
        <stp>30-11-2015</stp>
        <stp>[TPM a RPM_v21.xlsm]Informe5!R244C33</stp>
        <tr r="AG244" s="29"/>
      </tp>
      <tp>
        <v>4.09</v>
        <stp/>
        <stp>##V3_BDHV12</stp>
        <stp>CHSWP5  Curncy</stp>
        <stp>PX_LAST</stp>
        <stp>01-03-2016</stp>
        <stp>01-03-2016</stp>
        <stp>[TPM a RPM_v21.xlsm]Informe5!R178C33</stp>
        <tr r="AG178" s="29"/>
      </tp>
      <tp>
        <v>3.93</v>
        <stp/>
        <stp>##V3_BDHV12</stp>
        <stp>CHSWP2  Curncy</stp>
        <stp>PX_LAST</stp>
        <stp>30-11-2015</stp>
        <stp>30-11-2015</stp>
        <stp>[TPM a RPM_v21.xlsm]Informe5!R244C32</stp>
        <tr r="AF244" s="29"/>
      </tp>
      <tp>
        <v>3.92</v>
        <stp/>
        <stp>##V3_BDHV12</stp>
        <stp>CHSWP2  Curncy</stp>
        <stp>PX_LAST</stp>
        <stp>11-02-2016</stp>
        <stp>11-02-2016</stp>
        <stp>[TPM a RPM_v21.xlsm]Informe5!R191C32</stp>
        <tr r="AF191" s="29"/>
      </tp>
      <tp>
        <v>4.2</v>
        <stp/>
        <stp>##V3_BDHV12</stp>
        <stp>CHSWP5  Curncy</stp>
        <stp>PX_LAST</stp>
        <stp>11-02-2016</stp>
        <stp>11-02-2016</stp>
        <stp>[TPM a RPM_v21.xlsm]Informe5!R191C33</stp>
        <tr r="AG191" s="29"/>
      </tp>
      <tp>
        <v>4.49</v>
        <stp/>
        <stp>##V3_BDHV12</stp>
        <stp>CHSWP10  Curncy</stp>
        <stp>PX_LAST</stp>
        <stp>29-02-2016</stp>
        <stp>29-02-2016</stp>
        <stp>[TPM a RPM_v21.xlsm]Informe5!R179C34</stp>
        <tr r="AH179" s="29"/>
      </tp>
      <tp>
        <v>4.3600000000000003</v>
        <stp/>
        <stp>##V3_BDHV12</stp>
        <stp>CHSWP5  Curncy</stp>
        <stp>PX_LAST</stp>
        <stp>07-12-2015</stp>
        <stp>07-12-2015</stp>
        <stp>[TPM a RPM_v21.xlsm]Informe5!R239C33</stp>
        <tr r="AG239" s="29"/>
      </tp>
      <tp>
        <v>3.98</v>
        <stp/>
        <stp>##V3_BDHV12</stp>
        <stp>CHSWP2  Curncy</stp>
        <stp>PX_LAST</stp>
        <stp>07-12-2015</stp>
        <stp>07-12-2015</stp>
        <stp>[TPM a RPM_v21.xlsm]Informe5!R239C32</stp>
        <tr r="AF239" s="29"/>
      </tp>
      <tp>
        <v>4.2699999999999996</v>
        <stp/>
        <stp>##V3_BDHV12</stp>
        <stp>CHSWP5  Curncy</stp>
        <stp>PX_LAST</stp>
        <stp>25-01-2016</stp>
        <stp>25-01-2016</stp>
        <stp>[TPM a RPM_v21.xlsm]Informe5!R204C33</stp>
        <tr r="AG204" s="29"/>
      </tp>
      <tp>
        <v>3.93</v>
        <stp/>
        <stp>##V3_BDHV12</stp>
        <stp>CHSWP2  Curncy</stp>
        <stp>PX_LAST</stp>
        <stp>25-01-2016</stp>
        <stp>25-01-2016</stp>
        <stp>[TPM a RPM_v21.xlsm]Informe5!R204C32</stp>
        <tr r="AF204" s="29"/>
      </tp>
      <tp>
        <v>3.92</v>
        <stp/>
        <stp>##V3_BDHV12</stp>
        <stp>CHSWP2  Curncy</stp>
        <stp>PX_LAST</stp>
        <stp>16-02-2016</stp>
        <stp>16-02-2016</stp>
        <stp>[TPM a RPM_v21.xlsm]Informe5!R188C32</stp>
        <tr r="AF188" s="29"/>
      </tp>
      <tp>
        <v>4.22</v>
        <stp/>
        <stp>##V3_BDHV12</stp>
        <stp>CHSWP5  Curncy</stp>
        <stp>PX_LAST</stp>
        <stp>16-02-2016</stp>
        <stp>16-02-2016</stp>
        <stp>[TPM a RPM_v21.xlsm]Informe5!R188C33</stp>
        <tr r="AG188" s="29"/>
      </tp>
      <tp>
        <v>4.84</v>
        <stp/>
        <stp>##V3_BDHV12</stp>
        <stp>CHSWP10  Curncy</stp>
        <stp>PX_LAST</stp>
        <stp>09-11-2015</stp>
        <stp>09-11-2015</stp>
        <stp>[TPM a RPM_v21.xlsm]Informe5!R259C34</stp>
        <tr r="AH259" s="29"/>
      </tp>
      <tp>
        <v>3.82</v>
        <stp/>
        <stp>##V3_BDHV12</stp>
        <stp>CHSWP2  Curncy</stp>
        <stp>PX_LAST</stp>
        <stp>07-03-2016</stp>
        <stp>07-03-2016</stp>
        <stp>[TPM a RPM_v21.xlsm]Informe5!R174C32</stp>
        <tr r="AF174" s="29"/>
      </tp>
      <tp>
        <v>4.1500000000000004</v>
        <stp/>
        <stp>##V3_BDHV12</stp>
        <stp>CHSWP5  Curncy</stp>
        <stp>PX_LAST</stp>
        <stp>07-03-2016</stp>
        <stp>07-03-2016</stp>
        <stp>[TPM a RPM_v21.xlsm]Informe5!R174C33</stp>
        <tr r="AG174" s="29"/>
      </tp>
      <tp>
        <v>4.22</v>
        <stp/>
        <stp>##V3_BDHV12</stp>
        <stp>CHSWP5  Curncy</stp>
        <stp>PX_LAST</stp>
        <stp>17-02-2016</stp>
        <stp>17-02-2016</stp>
        <stp>[TPM a RPM_v21.xlsm]Informe5!R187C33</stp>
        <tr r="AG187" s="29"/>
      </tp>
      <tp>
        <v>3.93</v>
        <stp/>
        <stp>##V3_BDHV12</stp>
        <stp>CHSWP2  Curncy</stp>
        <stp>PX_LAST</stp>
        <stp>17-02-2016</stp>
        <stp>17-02-2016</stp>
        <stp>[TPM a RPM_v21.xlsm]Informe5!R187C32</stp>
        <tr r="AF187" s="29"/>
      </tp>
      <tp>
        <v>4.67</v>
        <stp/>
        <stp>##V3_BDHV12</stp>
        <stp>CHSWP10  Curncy</stp>
        <stp>PX_LAST</stp>
        <stp>18-01-2016</stp>
        <stp>18-01-2016</stp>
        <stp>[TPM a RPM_v21.xlsm]Informe5!R209C34</stp>
        <tr r="AH209" s="29"/>
      </tp>
      <tp>
        <v>4.0999999999999996</v>
        <stp/>
        <stp>##V3_BDHV12</stp>
        <stp>CHSWP5  Curncy</stp>
        <stp>PX_LAST</stp>
        <stp>04-03-2016</stp>
        <stp>04-03-2016</stp>
        <stp>[TPM a RPM_v21.xlsm]Informe5!R175C33</stp>
        <tr r="AG175" s="29"/>
      </tp>
      <tp>
        <v>3.7800000000000002</v>
        <stp/>
        <stp>##V3_BDHV12</stp>
        <stp>CHSWP2  Curncy</stp>
        <stp>PX_LAST</stp>
        <stp>04-03-2016</stp>
        <stp>04-03-2016</stp>
        <stp>[TPM a RPM_v21.xlsm]Informe5!R175C32</stp>
        <tr r="AF175" s="29"/>
      </tp>
      <tp>
        <v>4.28</v>
        <stp/>
        <stp>##V3_BDHV12</stp>
        <stp>CHSWP5  Curncy</stp>
        <stp>PX_LAST</stp>
        <stp>27-01-2016</stp>
        <stp>27-01-2016</stp>
        <stp>[TPM a RPM_v21.xlsm]Informe5!R202C33</stp>
        <tr r="AG202" s="29"/>
      </tp>
      <tp>
        <v>3.94</v>
        <stp/>
        <stp>##V3_BDHV12</stp>
        <stp>CHSWP2  Curncy</stp>
        <stp>PX_LAST</stp>
        <stp>27-01-2016</stp>
        <stp>27-01-2016</stp>
        <stp>[TPM a RPM_v21.xlsm]Informe5!R202C32</stp>
        <tr r="AF202" s="29"/>
      </tp>
      <tp>
        <v>4.7</v>
        <stp/>
        <stp>##V3_BDHV12</stp>
        <stp>CHSWP10  Curncy</stp>
        <stp>PX_LAST</stp>
        <stp>19-01-2016</stp>
        <stp>19-01-2016</stp>
        <stp>[TPM a RPM_v21.xlsm]Informe5!R208C34</stp>
        <tr r="AH208" s="29"/>
      </tp>
      <tp>
        <v>4.3499999999999996</v>
        <stp/>
        <stp>##V3_BDHV12</stp>
        <stp>CHSWP5  Curncy</stp>
        <stp>PX_LAST</stp>
        <stp>04-12-2015</stp>
        <stp>04-12-2015</stp>
        <stp>[TPM a RPM_v21.xlsm]Informe5!R240C33</stp>
        <tr r="AG240" s="29"/>
      </tp>
      <tp>
        <v>3.9699999999999998</v>
        <stp/>
        <stp>##V3_BDHV12</stp>
        <stp>CHSWP2  Curncy</stp>
        <stp>PX_LAST</stp>
        <stp>04-12-2015</stp>
        <stp>04-12-2015</stp>
        <stp>[TPM a RPM_v21.xlsm]Informe5!R240C32</stp>
        <tr r="AF240" s="29"/>
      </tp>
      <tp>
        <v>3.91</v>
        <stp/>
        <stp>##V3_BDHV12</stp>
        <stp>CHSWP2  Curncy</stp>
        <stp>PX_LAST</stp>
        <stp>26-01-2016</stp>
        <stp>26-01-2016</stp>
        <stp>[TPM a RPM_v21.xlsm]Informe5!R203C32</stp>
        <tr r="AF203" s="29"/>
      </tp>
      <tp>
        <v>4.24</v>
        <stp/>
        <stp>##V3_BDHV12</stp>
        <stp>CHSWP5  Curncy</stp>
        <stp>PX_LAST</stp>
        <stp>26-01-2016</stp>
        <stp>26-01-2016</stp>
        <stp>[TPM a RPM_v21.xlsm]Informe5!R203C33</stp>
        <tr r="AG203" s="29"/>
      </tp>
      <tp>
        <v>4.2300000000000004</v>
        <stp/>
        <stp>##V3_BDHV12</stp>
        <stp>CHSWP5  Curncy</stp>
        <stp>PX_LAST</stp>
        <stp>15-02-2016</stp>
        <stp>15-02-2016</stp>
        <stp>[TPM a RPM_v21.xlsm]Informe5!R189C33</stp>
        <tr r="AG189" s="29"/>
      </tp>
      <tp>
        <v>3.93</v>
        <stp/>
        <stp>##V3_BDHV12</stp>
        <stp>CHSWP2  Curncy</stp>
        <stp>PX_LAST</stp>
        <stp>15-02-2016</stp>
        <stp>15-02-2016</stp>
        <stp>[TPM a RPM_v21.xlsm]Informe5!R189C32</stp>
        <tr r="AF189" s="29"/>
      </tp>
      <tp>
        <v>0.55000000000000004</v>
        <stp/>
        <stp>##V3_BDHV12</stp>
        <stp>CHSWC2 Curncy</stp>
        <stp>PX_LAST</stp>
        <stp>27-10-2016</stp>
        <stp>27-10-2016</stp>
        <stp>[TPM a RPM_v21.xlsm]Zero_swap_CL!R29C5</stp>
        <tr r="E29" s="15"/>
      </tp>
      <tp t="s">
        <v>#N/A N/A</v>
        <stp/>
        <stp>##V3_BDHV12</stp>
        <stp>CHSWP10  Curncy</stp>
        <stp>PX_LAST</stp>
        <stp>25-12-2015</stp>
        <stp>25-12-2015</stp>
        <stp>[TPM a RPM_v21.xlsm]Informe5!R225C34</stp>
        <tr r="AH225" s="29"/>
      </tp>
      <tp>
        <v>4.78</v>
        <stp/>
        <stp>##V3_BDHV12</stp>
        <stp>CHSWP10  Curncy</stp>
        <stp>PX_LAST</stp>
        <stp>07-01-2016</stp>
        <stp>07-01-2016</stp>
        <stp>[TPM a RPM_v21.xlsm]Informe5!R216C34</stp>
        <tr r="AH216" s="29"/>
      </tp>
      <tp>
        <v>4.58</v>
        <stp/>
        <stp>##V3_BDHV12</stp>
        <stp>CHSWP10  Curncy</stp>
        <stp>PX_LAST</stp>
        <stp>24-03-2016</stp>
        <stp>24-03-2016</stp>
        <stp>[TPM a RPM_v21.xlsm]Informe5!R161C34</stp>
        <tr r="AH161" s="29"/>
      </tp>
      <tp>
        <v>4.71</v>
        <stp/>
        <stp>##V3_BDHV12</stp>
        <stp>CHSWP10  Curncy</stp>
        <stp>PX_LAST</stp>
        <stp>24-12-2015</stp>
        <stp>24-12-2015</stp>
        <stp>[TPM a RPM_v21.xlsm]Informe5!R226C34</stp>
        <tr r="AH226" s="29"/>
      </tp>
      <tp>
        <v>4.76</v>
        <stp/>
        <stp>##V3_BDHV12</stp>
        <stp>CHSWP10  Curncy</stp>
        <stp>PX_LAST</stp>
        <stp>06-01-2016</stp>
        <stp>06-01-2016</stp>
        <stp>[TPM a RPM_v21.xlsm]Informe5!R217C34</stp>
        <tr r="AH217" s="29"/>
      </tp>
      <tp t="s">
        <v>#N/A N/A</v>
        <stp/>
        <stp>##V3_BDHV12</stp>
        <stp>CHSWP10  Curncy</stp>
        <stp>PX_LAST</stp>
        <stp>25-03-2016</stp>
        <stp>25-03-2016</stp>
        <stp>[TPM a RPM_v21.xlsm]Informe5!R160C34</stp>
        <tr r="AH160" s="29"/>
      </tp>
      <tp>
        <v>4.83</v>
        <stp/>
        <stp>##V3_BDHV12</stp>
        <stp>CHSWP10  Curncy</stp>
        <stp>PX_LAST</stp>
        <stp>05-01-2016</stp>
        <stp>05-01-2016</stp>
        <stp>[TPM a RPM_v21.xlsm]Informe5!R218C34</stp>
        <tr r="AH218" s="29"/>
      </tp>
      <tp>
        <v>4.75</v>
        <stp/>
        <stp>##V3_BDHV12</stp>
        <stp>CHSWP10  Curncy</stp>
        <stp>PX_LAST</stp>
        <stp>17-11-2015</stp>
        <stp>17-11-2015</stp>
        <stp>[TPM a RPM_v21.xlsm]Informe5!R253C34</stp>
        <tr r="AH253" s="29"/>
      </tp>
      <tp>
        <v>3.92</v>
        <stp/>
        <stp>##V3_BDHV12</stp>
        <stp>CHSWP2  Curncy</stp>
        <stp>PX_LAST</stp>
        <stp>09-02-2016</stp>
        <stp>09-02-2016</stp>
        <stp>[TPM a RPM_v21.xlsm]Informe5!R193C32</stp>
        <tr r="AF193" s="29"/>
      </tp>
      <tp>
        <v>4.22</v>
        <stp/>
        <stp>##V3_BDHV12</stp>
        <stp>CHSWP5  Curncy</stp>
        <stp>PX_LAST</stp>
        <stp>09-02-2016</stp>
        <stp>09-02-2016</stp>
        <stp>[TPM a RPM_v21.xlsm]Informe5!R193C33</stp>
        <tr r="AG193" s="29"/>
      </tp>
      <tp>
        <v>3.99</v>
        <stp/>
        <stp>##V3_BDHV12</stp>
        <stp>CHSWP2  Curncy</stp>
        <stp>PX_LAST</stp>
        <stp>18-12-2015</stp>
        <stp>18-12-2015</stp>
        <stp>[TPM a RPM_v21.xlsm]Informe5!R230C32</stp>
        <tr r="AF230" s="29"/>
      </tp>
      <tp>
        <v>4.33</v>
        <stp/>
        <stp>##V3_BDHV12</stp>
        <stp>CHSWP5  Curncy</stp>
        <stp>PX_LAST</stp>
        <stp>18-12-2015</stp>
        <stp>18-12-2015</stp>
        <stp>[TPM a RPM_v21.xlsm]Informe5!R230C33</stp>
        <tr r="AG230" s="29"/>
      </tp>
      <tp>
        <v>4.79</v>
        <stp/>
        <stp>##V3_BDHV12</stp>
        <stp>CHSWP10  Curncy</stp>
        <stp>PX_LAST</stp>
        <stp>04-01-2016</stp>
        <stp>04-01-2016</stp>
        <stp>[TPM a RPM_v21.xlsm]Informe5!R219C34</stp>
        <tr r="AH219" s="29"/>
      </tp>
      <tp>
        <v>4.75</v>
        <stp/>
        <stp>##V3_BDHV12</stp>
        <stp>CHSWP10  Curncy</stp>
        <stp>PX_LAST</stp>
        <stp>16-11-2015</stp>
        <stp>16-11-2015</stp>
        <stp>[TPM a RPM_v21.xlsm]Informe5!R254C34</stp>
        <tr r="AH254" s="29"/>
      </tp>
      <tp>
        <v>4.21</v>
        <stp/>
        <stp>##V3_BDHV12</stp>
        <stp>CHSWP5  Curncy</stp>
        <stp>PX_LAST</stp>
        <stp>08-02-2016</stp>
        <stp>08-02-2016</stp>
        <stp>[TPM a RPM_v21.xlsm]Informe5!R194C33</stp>
        <tr r="AG194" s="29"/>
      </tp>
      <tp>
        <v>3.9</v>
        <stp/>
        <stp>##V3_BDHV12</stp>
        <stp>CHSWP2  Curncy</stp>
        <stp>PX_LAST</stp>
        <stp>08-02-2016</stp>
        <stp>08-02-2016</stp>
        <stp>[TPM a RPM_v21.xlsm]Informe5!R194C32</stp>
        <tr r="AF194" s="29"/>
      </tp>
      <tp>
        <v>3.86</v>
        <stp/>
        <stp>##V3_BDHV12</stp>
        <stp>CHSWP2  Curncy</stp>
        <stp>PX_LAST</stp>
        <stp>18-03-2016</stp>
        <stp>18-03-2016</stp>
        <stp>[TPM a RPM_v21.xlsm]Informe5!R165C32</stp>
        <tr r="AF165" s="29"/>
      </tp>
      <tp>
        <v>4.2300000000000004</v>
        <stp/>
        <stp>##V3_BDHV12</stp>
        <stp>CHSWP5  Curncy</stp>
        <stp>PX_LAST</stp>
        <stp>18-03-2016</stp>
        <stp>18-03-2016</stp>
        <stp>[TPM a RPM_v21.xlsm]Informe5!R165C33</stp>
        <tr r="AG165" s="29"/>
      </tp>
      <tp>
        <v>4.8100000000000005</v>
        <stp/>
        <stp>##V3_BDHV12</stp>
        <stp>CHSWP10  Curncy</stp>
        <stp>PX_LAST</stp>
        <stp>11-11-2015</stp>
        <stp>11-11-2015</stp>
        <stp>[TPM a RPM_v21.xlsm]Informe5!R257C34</stp>
        <tr r="AH257" s="29"/>
      </tp>
      <tp>
        <v>4.71</v>
        <stp/>
        <stp>##V3_BDHV12</stp>
        <stp>CHSWP10  Curncy</stp>
        <stp>PX_LAST</stp>
        <stp>21-12-2015</stp>
        <stp>21-12-2015</stp>
        <stp>[TPM a RPM_v21.xlsm]Informe5!R229C34</stp>
        <tr r="AH229" s="29"/>
      </tp>
      <tp>
        <v>4.84</v>
        <stp/>
        <stp>##V3_BDHV12</stp>
        <stp>CHSWP10  Curncy</stp>
        <stp>PX_LAST</stp>
        <stp>10-11-2015</stp>
        <stp>10-11-2015</stp>
        <stp>[TPM a RPM_v21.xlsm]Informe5!R258C34</stp>
        <tr r="AH258" s="29"/>
      </tp>
      <tp>
        <v>4.5600000000000005</v>
        <stp/>
        <stp>##V3_BDHV12</stp>
        <stp>CHSWP10  Curncy</stp>
        <stp>PX_LAST</stp>
        <stp>21-03-2016</stp>
        <stp>21-03-2016</stp>
        <stp>[TPM a RPM_v21.xlsm]Informe5!R164C34</stp>
        <tr r="AH164" s="29"/>
      </tp>
      <tp>
        <v>4.57</v>
        <stp/>
        <stp>##V3_BDHV12</stp>
        <stp>CHSWP10  Curncy</stp>
        <stp>PX_LAST</stp>
        <stp>22-03-2016</stp>
        <stp>22-03-2016</stp>
        <stp>[TPM a RPM_v21.xlsm]Informe5!R163C34</stp>
        <tr r="AH163" s="29"/>
      </tp>
      <tp>
        <v>4.74</v>
        <stp/>
        <stp>##V3_BDHV12</stp>
        <stp>CHSWP10  Curncy</stp>
        <stp>PX_LAST</stp>
        <stp>13-11-2015</stp>
        <stp>13-11-2015</stp>
        <stp>[TPM a RPM_v21.xlsm]Informe5!R255C34</stp>
        <tr r="AH255" s="29"/>
      </tp>
      <tp>
        <v>4.67</v>
        <stp/>
        <stp>##V3_BDHV12</stp>
        <stp>CHSWP10  Curncy</stp>
        <stp>PX_LAST</stp>
        <stp>23-12-2015</stp>
        <stp>23-12-2015</stp>
        <stp>[TPM a RPM_v21.xlsm]Informe5!R227C34</stp>
        <tr r="AH227" s="29"/>
      </tp>
      <tp t="s">
        <v>#N/A N/A</v>
        <stp/>
        <stp>##V3_BDHV12</stp>
        <stp>CHSWP10  Curncy</stp>
        <stp>PX_LAST</stp>
        <stp>01-01-2016</stp>
        <stp>01-01-2016</stp>
        <stp>[TPM a RPM_v21.xlsm]Informe5!R220C34</stp>
        <tr r="AH220" s="29"/>
      </tp>
      <tp>
        <v>4.78</v>
        <stp/>
        <stp>##V3_BDHV12</stp>
        <stp>CHSWP10  Curncy</stp>
        <stp>PX_LAST</stp>
        <stp>12-11-2015</stp>
        <stp>12-11-2015</stp>
        <stp>[TPM a RPM_v21.xlsm]Informe5!R256C34</stp>
        <tr r="AH256" s="29"/>
      </tp>
      <tp>
        <v>4.57</v>
        <stp/>
        <stp>##V3_BDHV12</stp>
        <stp>CHSWP10  Curncy</stp>
        <stp>PX_LAST</stp>
        <stp>23-03-2016</stp>
        <stp>23-03-2016</stp>
        <stp>[TPM a RPM_v21.xlsm]Informe5!R162C34</stp>
        <tr r="AH162" s="29"/>
      </tp>
      <tp>
        <v>4.6899999999999995</v>
        <stp/>
        <stp>##V3_BDHV12</stp>
        <stp>CHSWP10  Curncy</stp>
        <stp>PX_LAST</stp>
        <stp>22-12-2015</stp>
        <stp>22-12-2015</stp>
        <stp>[TPM a RPM_v21.xlsm]Informe5!R228C34</stp>
        <tr r="AH228" s="29"/>
      </tp>
      <tp>
        <v>3.83</v>
        <stp/>
        <stp>##V3_BDHV12</stp>
        <stp>CHSWP2  Curncy</stp>
        <stp>PX_LAST</stp>
        <stp>03-02-2016</stp>
        <stp>03-02-2016</stp>
        <stp>[TPM a RPM_v21.xlsm]Informe5!R197C32</stp>
        <tr r="AF197" s="29"/>
      </tp>
      <tp>
        <v>4.16</v>
        <stp/>
        <stp>##V3_BDHV12</stp>
        <stp>CHSWP5  Curncy</stp>
        <stp>PX_LAST</stp>
        <stp>03-02-2016</stp>
        <stp>03-02-2016</stp>
        <stp>[TPM a RPM_v21.xlsm]Informe5!R197C33</stp>
        <tr r="AG197" s="29"/>
      </tp>
      <tp>
        <v>3.92</v>
        <stp/>
        <stp>##V3_BDHV12</stp>
        <stp>CHSWP2  Curncy</stp>
        <stp>PX_LAST</stp>
        <stp>23-11-2015</stp>
        <stp>23-11-2015</stp>
        <stp>[TPM a RPM_v21.xlsm]Informe5!R249C32</stp>
        <tr r="AF249" s="29"/>
      </tp>
      <tp>
        <v>4.33</v>
        <stp/>
        <stp>##V3_BDHV12</stp>
        <stp>CHSWP5  Curncy</stp>
        <stp>PX_LAST</stp>
        <stp>23-11-2015</stp>
        <stp>23-11-2015</stp>
        <stp>[TPM a RPM_v21.xlsm]Informe5!R249C33</stp>
        <tr r="AG249" s="29"/>
      </tp>
      <tp>
        <v>4.1500000000000004</v>
        <stp/>
        <stp>##V3_BDHV12</stp>
        <stp>CHSWP5  Curncy</stp>
        <stp>PX_LAST</stp>
        <stp>02-02-2016</stp>
        <stp>02-02-2016</stp>
        <stp>[TPM a RPM_v21.xlsm]Informe5!R198C33</stp>
        <tr r="AG198" s="29"/>
      </tp>
      <tp>
        <v>3.84</v>
        <stp/>
        <stp>##V3_BDHV12</stp>
        <stp>CHSWP2  Curncy</stp>
        <stp>PX_LAST</stp>
        <stp>02-02-2016</stp>
        <stp>02-02-2016</stp>
        <stp>[TPM a RPM_v21.xlsm]Informe5!R198C32</stp>
        <tr r="AF198" s="29"/>
      </tp>
      <tp>
        <v>4</v>
        <stp/>
        <stp>##V3_BDHV12</stp>
        <stp>CHSWP2  Curncy</stp>
        <stp>PX_LAST</stp>
        <stp>10-12-2015</stp>
        <stp>10-12-2015</stp>
        <stp>[TPM a RPM_v21.xlsm]Informe5!R236C32</stp>
        <tr r="AF236" s="29"/>
      </tp>
      <tp>
        <v>4.41</v>
        <stp/>
        <stp>##V3_BDHV12</stp>
        <stp>CHSWP5  Curncy</stp>
        <stp>PX_LAST</stp>
        <stp>10-12-2015</stp>
        <stp>10-12-2015</stp>
        <stp>[TPM a RPM_v21.xlsm]Informe5!R236C33</stp>
        <tr r="AG236" s="29"/>
      </tp>
      <tp>
        <v>3.91</v>
        <stp/>
        <stp>##V3_BDHV12</stp>
        <stp>CHSWP2  Curncy</stp>
        <stp>PX_LAST</stp>
        <stp>20-11-2015</stp>
        <stp>20-11-2015</stp>
        <stp>[TPM a RPM_v21.xlsm]Informe5!R250C32</stp>
        <tr r="AF250" s="29"/>
      </tp>
      <tp>
        <v>3.88</v>
        <stp/>
        <stp>##V3_BDHV12</stp>
        <stp>CHSWP2  Curncy</stp>
        <stp>PX_LAST</stp>
        <stp>11-03-2016</stp>
        <stp>11-03-2016</stp>
        <stp>[TPM a RPM_v21.xlsm]Informe5!R170C32</stp>
        <tr r="AF170" s="29"/>
      </tp>
      <tp>
        <v>4.21</v>
        <stp/>
        <stp>##V3_BDHV12</stp>
        <stp>CHSWP5  Curncy</stp>
        <stp>PX_LAST</stp>
        <stp>11-03-2016</stp>
        <stp>11-03-2016</stp>
        <stp>[TPM a RPM_v21.xlsm]Informe5!R170C33</stp>
        <tr r="AG170" s="29"/>
      </tp>
      <tp>
        <v>4.33</v>
        <stp/>
        <stp>##V3_BDHV12</stp>
        <stp>CHSWP5  Curncy</stp>
        <stp>PX_LAST</stp>
        <stp>20-11-2015</stp>
        <stp>20-11-2015</stp>
        <stp>[TPM a RPM_v21.xlsm]Informe5!R250C33</stp>
        <tr r="AG250" s="29"/>
      </tp>
      <tp>
        <v>4.2699999999999996</v>
        <stp/>
        <stp>##V3_BDHV12</stp>
        <stp>CHSWP5  Curncy</stp>
        <stp>PX_LAST</stp>
        <stp>30-10-2015</stp>
        <stp>30-10-2015</stp>
        <stp>[TPM a RPM_v21.xlsm]Informe5!R265C33</stp>
        <tr r="AG265" s="29"/>
      </tp>
      <tp>
        <v>3.91</v>
        <stp/>
        <stp>##V3_BDHV12</stp>
        <stp>CHSWP2  Curncy</stp>
        <stp>PX_LAST</stp>
        <stp>30-10-2015</stp>
        <stp>30-10-2015</stp>
        <stp>[TPM a RPM_v21.xlsm]Informe5!R265C32</stp>
        <tr r="AF265" s="29"/>
      </tp>
      <tp>
        <v>3.85</v>
        <stp/>
        <stp>##V3_BDHV12</stp>
        <stp>CHSWP2  Curncy</stp>
        <stp>PX_LAST</stp>
        <stp>01-02-2016</stp>
        <stp>01-02-2016</stp>
        <stp>[TPM a RPM_v21.xlsm]Informe5!R199C32</stp>
        <tr r="AF199" s="29"/>
      </tp>
      <tp>
        <v>4.18</v>
        <stp/>
        <stp>##V3_BDHV12</stp>
        <stp>CHSWP5  Curncy</stp>
        <stp>PX_LAST</stp>
        <stp>01-02-2016</stp>
        <stp>01-02-2016</stp>
        <stp>[TPM a RPM_v21.xlsm]Informe5!R199C33</stp>
        <tr r="AG199" s="29"/>
      </tp>
      <tp>
        <v>4.33</v>
        <stp/>
        <stp>##V3_BDHV12</stp>
        <stp>CHSWP5  Curncy</stp>
        <stp>PX_LAST</stp>
        <stp>11-12-2015</stp>
        <stp>11-12-2015</stp>
        <stp>[TPM a RPM_v21.xlsm]Informe5!R235C33</stp>
        <tr r="AG235" s="29"/>
      </tp>
      <tp>
        <v>3.92</v>
        <stp/>
        <stp>##V3_BDHV12</stp>
        <stp>CHSWP2  Curncy</stp>
        <stp>PX_LAST</stp>
        <stp>11-12-2015</stp>
        <stp>11-12-2015</stp>
        <stp>[TPM a RPM_v21.xlsm]Informe5!R235C32</stp>
        <tr r="AF235" s="29"/>
      </tp>
      <tp>
        <v>4.1900000000000004</v>
        <stp/>
        <stp>##V3_BDHV12</stp>
        <stp>CHSWP5  Curncy</stp>
        <stp>PX_LAST</stp>
        <stp>10-03-2016</stp>
        <stp>10-03-2016</stp>
        <stp>[TPM a RPM_v21.xlsm]Informe5!R171C33</stp>
        <tr r="AG171" s="29"/>
      </tp>
      <tp>
        <v>3.86</v>
        <stp/>
        <stp>##V3_BDHV12</stp>
        <stp>CHSWP2  Curncy</stp>
        <stp>PX_LAST</stp>
        <stp>10-03-2016</stp>
        <stp>10-03-2016</stp>
        <stp>[TPM a RPM_v21.xlsm]Informe5!R171C32</stp>
        <tr r="AF171" s="29"/>
      </tp>
      <tp>
        <v>4.57</v>
        <stp/>
        <stp>##V3_BDHV12</stp>
        <stp>CHSWP10  Curncy</stp>
        <stp>PX_LAST</stp>
        <stp>28-03-2016</stp>
        <stp>28-03-2016</stp>
        <stp>[TPM a RPM_v21.xlsm]Informe5!R159C34</stp>
        <tr r="AH159" s="29"/>
      </tp>
      <tp>
        <v>4.75</v>
        <stp/>
        <stp>##V3_BDHV12</stp>
        <stp>CHSWP10  Curncy</stp>
        <stp>PX_LAST</stp>
        <stp>19-11-2015</stp>
        <stp>19-11-2015</stp>
        <stp>[TPM a RPM_v21.xlsm]Informe5!R251C34</stp>
        <tr r="AH251" s="29"/>
      </tp>
      <tp>
        <v>4.76</v>
        <stp/>
        <stp>##V3_BDHV12</stp>
        <stp>CHSWP10  Curncy</stp>
        <stp>PX_LAST</stp>
        <stp>29-12-2015</stp>
        <stp>29-12-2015</stp>
        <stp>[TPM a RPM_v21.xlsm]Informe5!R223C34</stp>
        <tr r="AH223" s="29"/>
      </tp>
      <tp>
        <v>4.2</v>
        <stp/>
        <stp>##V3_BDHV12</stp>
        <stp>CHSWP5  Curncy</stp>
        <stp>PX_LAST</stp>
        <stp>17-03-2016</stp>
        <stp>17-03-2016</stp>
        <stp>[TPM a RPM_v21.xlsm]Informe5!R166C33</stp>
        <tr r="AG166" s="29"/>
      </tp>
      <tp>
        <v>4.28</v>
        <stp/>
        <stp>##V3_BDHV12</stp>
        <stp>CHSWP5  Curncy</stp>
        <stp>PX_LAST</stp>
        <stp>26-11-2015</stp>
        <stp>26-11-2015</stp>
        <stp>[TPM a RPM_v21.xlsm]Informe5!R246C33</stp>
        <tr r="AG246" s="29"/>
      </tp>
      <tp>
        <v>3.89</v>
        <stp/>
        <stp>##V3_BDHV12</stp>
        <stp>CHSWP2  Curncy</stp>
        <stp>PX_LAST</stp>
        <stp>26-11-2015</stp>
        <stp>26-11-2015</stp>
        <stp>[TPM a RPM_v21.xlsm]Informe5!R246C32</stp>
        <tr r="AF246" s="29"/>
      </tp>
      <tp>
        <v>3.89</v>
        <stp/>
        <stp>##V3_BDHV12</stp>
        <stp>CHSWP2  Curncy</stp>
        <stp>PX_LAST</stp>
        <stp>17-03-2016</stp>
        <stp>17-03-2016</stp>
        <stp>[TPM a RPM_v21.xlsm]Informe5!R166C32</stp>
        <tr r="AF166" s="29"/>
      </tp>
      <tp>
        <v>4.01</v>
        <stp/>
        <stp>##V3_BDHV12</stp>
        <stp>CHSWP2  Curncy</stp>
        <stp>PX_LAST</stp>
        <stp>16-12-2015</stp>
        <stp>16-12-2015</stp>
        <stp>[TPM a RPM_v21.xlsm]Informe5!R232C32</stp>
        <tr r="AF232" s="29"/>
      </tp>
      <tp>
        <v>4.41</v>
        <stp/>
        <stp>##V3_BDHV12</stp>
        <stp>CHSWP5  Curncy</stp>
        <stp>PX_LAST</stp>
        <stp>16-12-2015</stp>
        <stp>16-12-2015</stp>
        <stp>[TPM a RPM_v21.xlsm]Informe5!R232C33</stp>
        <tr r="AG232" s="29"/>
      </tp>
      <tp>
        <v>4.57</v>
        <stp/>
        <stp>##V3_BDHV12</stp>
        <stp>CHSWP10  Curncy</stp>
        <stp>PX_LAST</stp>
        <stp>29-03-2016</stp>
        <stp>29-03-2016</stp>
        <stp>[TPM a RPM_v21.xlsm]Informe5!R158C34</stp>
        <tr r="AH158" s="29"/>
      </tp>
      <tp>
        <v>4.76</v>
        <stp/>
        <stp>##V3_BDHV12</stp>
        <stp>CHSWP10  Curncy</stp>
        <stp>PX_LAST</stp>
        <stp>18-11-2015</stp>
        <stp>18-11-2015</stp>
        <stp>[TPM a RPM_v21.xlsm]Informe5!R252C34</stp>
        <tr r="AH252" s="29"/>
      </tp>
      <tp>
        <v>4.71</v>
        <stp/>
        <stp>##V3_BDHV12</stp>
        <stp>CHSWP10  Curncy</stp>
        <stp>PX_LAST</stp>
        <stp>28-12-2015</stp>
        <stp>28-12-2015</stp>
        <stp>[TPM a RPM_v21.xlsm]Informe5!R224C34</stp>
        <tr r="AH224" s="29"/>
      </tp>
      <tp>
        <v>3.95</v>
        <stp/>
        <stp>##V3_BDHV12</stp>
        <stp>CHSWP2  Curncy</stp>
        <stp>PX_LAST</stp>
        <stp>16-03-2016</stp>
        <stp>16-03-2016</stp>
        <stp>[TPM a RPM_v21.xlsm]Informe5!R167C32</stp>
        <tr r="AF167" s="29"/>
      </tp>
      <tp>
        <v>3.91</v>
        <stp/>
        <stp>##V3_BDHV12</stp>
        <stp>CHSWP2  Curncy</stp>
        <stp>PX_LAST</stp>
        <stp>27-11-2015</stp>
        <stp>27-11-2015</stp>
        <stp>[TPM a RPM_v21.xlsm]Informe5!R245C32</stp>
        <tr r="AF245" s="29"/>
      </tp>
      <tp>
        <v>4.3</v>
        <stp/>
        <stp>##V3_BDHV12</stp>
        <stp>CHSWP5  Curncy</stp>
        <stp>PX_LAST</stp>
        <stp>27-11-2015</stp>
        <stp>27-11-2015</stp>
        <stp>[TPM a RPM_v21.xlsm]Informe5!R245C33</stp>
        <tr r="AG245" s="29"/>
      </tp>
      <tp>
        <v>4.28</v>
        <stp/>
        <stp>##V3_BDHV12</stp>
        <stp>CHSWP5  Curncy</stp>
        <stp>PX_LAST</stp>
        <stp>16-03-2016</stp>
        <stp>16-03-2016</stp>
        <stp>[TPM a RPM_v21.xlsm]Informe5!R167C33</stp>
        <tr r="AG167" s="29"/>
      </tp>
      <tp>
        <v>4.41</v>
        <stp/>
        <stp>##V3_BDHV12</stp>
        <stp>CHSWP5  Curncy</stp>
        <stp>PX_LAST</stp>
        <stp>17-12-2015</stp>
        <stp>17-12-2015</stp>
        <stp>[TPM a RPM_v21.xlsm]Informe5!R231C33</stp>
        <tr r="AG231" s="29"/>
      </tp>
      <tp>
        <v>3.92</v>
        <stp/>
        <stp>##V3_BDHV12</stp>
        <stp>CHSWP2  Curncy</stp>
        <stp>PX_LAST</stp>
        <stp>17-12-2015</stp>
        <stp>17-12-2015</stp>
        <stp>[TPM a RPM_v21.xlsm]Informe5!R231C32</stp>
        <tr r="AF231" s="29"/>
      </tp>
      <tp>
        <v>4.2699999999999996</v>
        <stp/>
        <stp>##V3_BDHV12</stp>
        <stp>CHSWP5  Curncy</stp>
        <stp>PX_LAST</stp>
        <stp>15-03-2016</stp>
        <stp>15-03-2016</stp>
        <stp>[TPM a RPM_v21.xlsm]Informe5!R168C33</stp>
        <tr r="AG168" s="29"/>
      </tp>
      <tp>
        <v>4.29</v>
        <stp/>
        <stp>##V3_BDHV12</stp>
        <stp>CHSWP5  Curncy</stp>
        <stp>PX_LAST</stp>
        <stp>24-11-2015</stp>
        <stp>24-11-2015</stp>
        <stp>[TPM a RPM_v21.xlsm]Informe5!R248C33</stp>
        <tr r="AG248" s="29"/>
      </tp>
      <tp>
        <v>3.9</v>
        <stp/>
        <stp>##V3_BDHV12</stp>
        <stp>CHSWP2  Curncy</stp>
        <stp>PX_LAST</stp>
        <stp>24-11-2015</stp>
        <stp>24-11-2015</stp>
        <stp>[TPM a RPM_v21.xlsm]Informe5!R248C32</stp>
        <tr r="AF248" s="29"/>
      </tp>
      <tp>
        <v>3.94</v>
        <stp/>
        <stp>##V3_BDHV12</stp>
        <stp>CHSWP2  Curncy</stp>
        <stp>PX_LAST</stp>
        <stp>15-03-2016</stp>
        <stp>15-03-2016</stp>
        <stp>[TPM a RPM_v21.xlsm]Informe5!R168C32</stp>
        <tr r="AF168" s="29"/>
      </tp>
      <tp>
        <v>4.04</v>
        <stp/>
        <stp>##V3_BDHV12</stp>
        <stp>CHSWP2  Curncy</stp>
        <stp>PX_LAST</stp>
        <stp>14-12-2015</stp>
        <stp>14-12-2015</stp>
        <stp>[TPM a RPM_v21.xlsm]Informe5!R234C32</stp>
        <tr r="AF234" s="29"/>
      </tp>
      <tp>
        <v>4.4400000000000004</v>
        <stp/>
        <stp>##V3_BDHV12</stp>
        <stp>CHSWP5  Curncy</stp>
        <stp>PX_LAST</stp>
        <stp>14-12-2015</stp>
        <stp>14-12-2015</stp>
        <stp>[TPM a RPM_v21.xlsm]Informe5!R234C33</stp>
        <tr r="AG234" s="29"/>
      </tp>
      <tp>
        <v>3.85</v>
        <stp/>
        <stp>##V3_BDHV12</stp>
        <stp>CHSWP2  Curncy</stp>
        <stp>PX_LAST</stp>
        <stp>05-02-2016</stp>
        <stp>05-02-2016</stp>
        <stp>[TPM a RPM_v21.xlsm]Informe5!R195C32</stp>
        <tr r="AF195" s="29"/>
      </tp>
      <tp>
        <v>4.18</v>
        <stp/>
        <stp>##V3_BDHV12</stp>
        <stp>CHSWP5  Curncy</stp>
        <stp>PX_LAST</stp>
        <stp>05-02-2016</stp>
        <stp>05-02-2016</stp>
        <stp>[TPM a RPM_v21.xlsm]Informe5!R195C33</stp>
        <tr r="AG195" s="29"/>
      </tp>
      <tp>
        <v>4.7699999999999996</v>
        <stp/>
        <stp>##V3_BDHV12</stp>
        <stp>CHSWP10  Curncy</stp>
        <stp>PX_LAST</stp>
        <stp>08-01-2016</stp>
        <stp>08-01-2016</stp>
        <stp>[TPM a RPM_v21.xlsm]Informe5!R215C34</stp>
        <tr r="AH215" s="29"/>
      </tp>
      <tp>
        <v>3.93</v>
        <stp/>
        <stp>##V3_BDHV12</stp>
        <stp>CHSWP2  Curncy</stp>
        <stp>PX_LAST</stp>
        <stp>14-03-2016</stp>
        <stp>14-03-2016</stp>
        <stp>[TPM a RPM_v21.xlsm]Informe5!R169C32</stp>
        <tr r="AF169" s="29"/>
      </tp>
      <tp>
        <v>3.86</v>
        <stp/>
        <stp>##V3_BDHV12</stp>
        <stp>CHSWP2  Curncy</stp>
        <stp>PX_LAST</stp>
        <stp>25-11-2015</stp>
        <stp>25-11-2015</stp>
        <stp>[TPM a RPM_v21.xlsm]Informe5!R247C32</stp>
        <tr r="AF247" s="29"/>
      </tp>
      <tp>
        <v>4.26</v>
        <stp/>
        <stp>##V3_BDHV12</stp>
        <stp>CHSWP5  Curncy</stp>
        <stp>PX_LAST</stp>
        <stp>14-03-2016</stp>
        <stp>14-03-2016</stp>
        <stp>[TPM a RPM_v21.xlsm]Informe5!R169C33</stp>
        <tr r="AG169" s="29"/>
      </tp>
      <tp>
        <v>4.25</v>
        <stp/>
        <stp>##V3_BDHV12</stp>
        <stp>CHSWP5  Curncy</stp>
        <stp>PX_LAST</stp>
        <stp>25-11-2015</stp>
        <stp>25-11-2015</stp>
        <stp>[TPM a RPM_v21.xlsm]Informe5!R247C33</stp>
        <tr r="AG247" s="29"/>
      </tp>
      <tp>
        <v>4.43</v>
        <stp/>
        <stp>##V3_BDHV12</stp>
        <stp>CHSWP5  Curncy</stp>
        <stp>PX_LAST</stp>
        <stp>15-12-2015</stp>
        <stp>15-12-2015</stp>
        <stp>[TPM a RPM_v21.xlsm]Informe5!R233C33</stp>
        <tr r="AG233" s="29"/>
      </tp>
      <tp>
        <v>4.03</v>
        <stp/>
        <stp>##V3_BDHV12</stp>
        <stp>CHSWP2  Curncy</stp>
        <stp>PX_LAST</stp>
        <stp>15-12-2015</stp>
        <stp>15-12-2015</stp>
        <stp>[TPM a RPM_v21.xlsm]Informe5!R233C32</stp>
        <tr r="AF233" s="29"/>
      </tp>
      <tp>
        <v>4.16</v>
        <stp/>
        <stp>##V3_BDHV12</stp>
        <stp>CHSWP5  Curncy</stp>
        <stp>PX_LAST</stp>
        <stp>04-02-2016</stp>
        <stp>04-02-2016</stp>
        <stp>[TPM a RPM_v21.xlsm]Informe5!R196C33</stp>
        <tr r="AG196" s="29"/>
      </tp>
      <tp>
        <v>3.82</v>
        <stp/>
        <stp>##V3_BDHV12</stp>
        <stp>CHSWP2  Curncy</stp>
        <stp>PX_LAST</stp>
        <stp>04-02-2016</stp>
        <stp>04-02-2016</stp>
        <stp>[TPM a RPM_v21.xlsm]Informe5!R196C32</stp>
        <tr r="AF196" s="29"/>
      </tp>
      <tp>
        <v>4</v>
        <stp/>
        <stp>##V3_BDHV12</stp>
        <stp>CHSWP10  Curncy</stp>
        <stp>PX_LAST</stp>
        <stp>20-10-2016</stp>
        <stp>20-10-2016</stp>
        <stp>[TPM a RPM_v21.xlsm]Informe5!R11C34</stp>
        <tr r="AH11" s="29"/>
      </tp>
      <tp>
        <v>4.01</v>
        <stp/>
        <stp>##V3_BDHV12</stp>
        <stp>CHSWP10  Curncy</stp>
        <stp>PX_LAST</stp>
        <stp>21-10-2016</stp>
        <stp>21-10-2016</stp>
        <stp>[TPM a RPM_v21.xlsm]Informe5!R10C34</stp>
        <tr r="AH10" s="29"/>
      </tp>
      <tp>
        <v>4.04</v>
        <stp/>
        <stp>##V3_BDHV12</stp>
        <stp>CHSWP10  Curncy</stp>
        <stp>PX_LAST</stp>
        <stp>13-10-2016</stp>
        <stp>13-10-2016</stp>
        <stp>[TPM a RPM_v21.xlsm]Informe5!R16C34</stp>
        <tr r="AH16" s="29"/>
      </tp>
      <tp>
        <v>4.04</v>
        <stp/>
        <stp>##V3_BDHV12</stp>
        <stp>CHSWP10  Curncy</stp>
        <stp>PX_LAST</stp>
        <stp>12-10-2016</stp>
        <stp>12-10-2016</stp>
        <stp>[TPM a RPM_v21.xlsm]Informe5!R17C34</stp>
        <tr r="AH17" s="29"/>
      </tp>
      <tp>
        <v>4.03</v>
        <stp/>
        <stp>##V3_BDHV12</stp>
        <stp>CHSWP10  Curncy</stp>
        <stp>PX_LAST</stp>
        <stp>11-10-2016</stp>
        <stp>11-10-2016</stp>
        <stp>[TPM a RPM_v21.xlsm]Informe5!R18C34</stp>
        <tr r="AH18" s="29"/>
      </tp>
      <tp>
        <v>4.0599999999999996</v>
        <stp/>
        <stp>##V3_BDHV12</stp>
        <stp>CHSWP10  Curncy</stp>
        <stp>PX_LAST</stp>
        <stp>10-10-2016</stp>
        <stp>10-10-2016</stp>
        <stp>[TPM a RPM_v21.xlsm]Informe5!R19C34</stp>
        <tr r="AH19" s="29"/>
      </tp>
      <tp>
        <v>4.0599999999999996</v>
        <stp/>
        <stp>##V3_BDHV12</stp>
        <stp>CHSWP10  Curncy</stp>
        <stp>PX_LAST</stp>
        <stp>17-10-2016</stp>
        <stp>17-10-2016</stp>
        <stp>[TPM a RPM_v21.xlsm]Informe5!R14C34</stp>
        <tr r="AH14" s="29"/>
      </tp>
      <tp>
        <v>4.07</v>
        <stp/>
        <stp>##V3_BDHV12</stp>
        <stp>CHSWP10  Curncy</stp>
        <stp>PX_LAST</stp>
        <stp>14-10-2016</stp>
        <stp>14-10-2016</stp>
        <stp>[TPM a RPM_v21.xlsm]Informe5!R15C34</stp>
        <tr r="AH15" s="29"/>
      </tp>
      <tp>
        <v>4.04</v>
        <stp/>
        <stp>##V3_BDHV12</stp>
        <stp>CHSWP10  Curncy</stp>
        <stp>PX_LAST</stp>
        <stp>19-10-2016</stp>
        <stp>19-10-2016</stp>
        <stp>[TPM a RPM_v21.xlsm]Informe5!R12C34</stp>
        <tr r="AH12" s="29"/>
      </tp>
      <tp>
        <v>4.05</v>
        <stp/>
        <stp>##V3_BDHV12</stp>
        <stp>CHSWP10  Curncy</stp>
        <stp>PX_LAST</stp>
        <stp>18-10-2016</stp>
        <stp>18-10-2016</stp>
        <stp>[TPM a RPM_v21.xlsm]Informe5!R13C34</stp>
        <tr r="AH13" s="29"/>
      </tp>
      <tp>
        <v>4.07</v>
        <stp/>
        <stp>##V3_BDHV12</stp>
        <stp>CHSWP10  Curncy</stp>
        <stp>PX_LAST</stp>
        <stp>03-10-2016</stp>
        <stp>03-10-2016</stp>
        <stp>[TPM a RPM_v21.xlsm]Informe5!R24C34</stp>
        <tr r="AH24" s="29"/>
      </tp>
      <tp>
        <v>4.13</v>
        <stp/>
        <stp>##V3_BDHV12</stp>
        <stp>CHSWP10  Curncy</stp>
        <stp>PX_LAST</stp>
        <stp>05-10-2016</stp>
        <stp>05-10-2016</stp>
        <stp>[TPM a RPM_v21.xlsm]Informe5!R22C34</stp>
        <tr r="AH22" s="29"/>
      </tp>
      <tp>
        <v>4.08</v>
        <stp/>
        <stp>##V3_BDHV12</stp>
        <stp>CHSWP10  Curncy</stp>
        <stp>PX_LAST</stp>
        <stp>04-10-2016</stp>
        <stp>04-10-2016</stp>
        <stp>[TPM a RPM_v21.xlsm]Informe5!R23C34</stp>
        <tr r="AH23" s="29"/>
      </tp>
      <tp>
        <v>4.07</v>
        <stp/>
        <stp>##V3_BDHV12</stp>
        <stp>CHSWP10  Curncy</stp>
        <stp>PX_LAST</stp>
        <stp>07-10-2016</stp>
        <stp>07-10-2016</stp>
        <stp>[TPM a RPM_v21.xlsm]Informe5!R20C34</stp>
        <tr r="AH20" s="29"/>
      </tp>
      <tp>
        <v>4.1399999999999997</v>
        <stp/>
        <stp>##V3_BDHV12</stp>
        <stp>CHSWP10  Curncy</stp>
        <stp>PX_LAST</stp>
        <stp>06-10-2016</stp>
        <stp>06-10-2016</stp>
        <stp>[TPM a RPM_v21.xlsm]Informe5!R21C34</stp>
        <tr r="AH21" s="29"/>
      </tp>
      <tp>
        <v>3.58</v>
        <stp/>
        <stp>##V3_BDHV12</stp>
        <stp>CHSWP5  Curncy</stp>
        <stp>PX_LAST</stp>
        <stp>27-10-2016</stp>
        <stp>27-10-2016</stp>
        <stp>[TPM a RPM_v21.xlsm]Zero_swap_CL!R11C5</stp>
        <tr r="E11" s="15"/>
      </tp>
      <tp>
        <v>4.5600000000000005</v>
        <stp/>
        <stp>##V3_BDHV12</stp>
        <stp>CHSWP10  Curncy</stp>
        <stp>PX_LAST</stp>
        <stp>03-06-2016</stp>
        <stp>03-06-2016</stp>
        <stp>[TPM a RPM_v21.xlsm]Informe5!R110C34</stp>
        <tr r="AH110" s="29"/>
      </tp>
      <tp>
        <v>4.5199999999999996</v>
        <stp/>
        <stp>##V3_BDHV12</stp>
        <stp>CHSWP10  Curncy</stp>
        <stp>PX_LAST</stp>
        <stp>22-04-2016</stp>
        <stp>22-04-2016</stp>
        <stp>[TPM a RPM_v21.xlsm]Informe5!R140C34</stp>
        <tr r="AH140" s="29"/>
      </tp>
      <tp>
        <v>4.59</v>
        <stp/>
        <stp>##V3_BDHV12</stp>
        <stp>CHSWP10  Curncy</stp>
        <stp>PX_LAST</stp>
        <stp>02-06-2016</stp>
        <stp>02-06-2016</stp>
        <stp>[TPM a RPM_v21.xlsm]Informe5!R111C34</stp>
        <tr r="AH111" s="29"/>
      </tp>
      <tp>
        <v>4.55</v>
        <stp/>
        <stp>##V3_BDHV12</stp>
        <stp>CHSWP10  Curncy</stp>
        <stp>PX_LAST</stp>
        <stp>21-04-2016</stp>
        <stp>21-04-2016</stp>
        <stp>[TPM a RPM_v21.xlsm]Informe5!R141C34</stp>
        <tr r="AH141" s="29"/>
      </tp>
      <tp>
        <v>4.6100000000000003</v>
        <stp/>
        <stp>##V3_BDHV12</stp>
        <stp>CHSWP10  Curncy</stp>
        <stp>PX_LAST</stp>
        <stp>01-06-2016</stp>
        <stp>01-06-2016</stp>
        <stp>[TPM a RPM_v21.xlsm]Informe5!R112C34</stp>
        <tr r="AH112" s="29"/>
      </tp>
      <tp>
        <v>4.62</v>
        <stp/>
        <stp>##V3_BDHV12</stp>
        <stp>CHSWP10  Curncy</stp>
        <stp>PX_LAST</stp>
        <stp>31-05-2016</stp>
        <stp>31-05-2016</stp>
        <stp>[TPM a RPM_v21.xlsm]Informe5!R113C34</stp>
        <tr r="AH113" s="29"/>
      </tp>
      <tp>
        <v>4.5199999999999996</v>
        <stp/>
        <stp>##V3_BDHV12</stp>
        <stp>CHSWP10  Curncy</stp>
        <stp>PX_LAST</stp>
        <stp>20-04-2016</stp>
        <stp>20-04-2016</stp>
        <stp>[TPM a RPM_v21.xlsm]Informe5!R142C34</stp>
        <tr r="AH142" s="29"/>
      </tp>
      <tp>
        <v>4.6100000000000003</v>
        <stp/>
        <stp>##V3_BDHV12</stp>
        <stp>CHSWP10  Curncy</stp>
        <stp>PX_LAST</stp>
        <stp>30-05-2016</stp>
        <stp>30-05-2016</stp>
        <stp>[TPM a RPM_v21.xlsm]Informe5!R114C34</stp>
        <tr r="AH114" s="29"/>
      </tp>
      <tp>
        <v>4.5</v>
        <stp/>
        <stp>##V3_BDHV12</stp>
        <stp>CHSWP10  Curncy</stp>
        <stp>PX_LAST</stp>
        <stp>27-04-2016</stp>
        <stp>27-04-2016</stp>
        <stp>[TPM a RPM_v21.xlsm]Informe5!R137C34</stp>
        <tr r="AH137" s="29"/>
      </tp>
      <tp>
        <v>4.53</v>
        <stp/>
        <stp>##V3_BDHV12</stp>
        <stp>CHSWP10  Curncy</stp>
        <stp>PX_LAST</stp>
        <stp>07-06-2016</stp>
        <stp>07-06-2016</stp>
        <stp>[TPM a RPM_v21.xlsm]Informe5!R108C34</stp>
        <tr r="AH108" s="29"/>
      </tp>
      <tp>
        <v>3.69</v>
        <stp/>
        <stp>##V3_BDHV12</stp>
        <stp>CHSWP2  Curncy</stp>
        <stp>PX_LAST</stp>
        <stp>18-04-2016</stp>
        <stp>18-04-2016</stp>
        <stp>[TPM a RPM_v21.xlsm]Informe5!R144C32</stp>
        <tr r="AF144" s="29"/>
      </tp>
      <tp>
        <v>4.08</v>
        <stp/>
        <stp>##V3_BDHV12</stp>
        <stp>CHSWP5  Curncy</stp>
        <stp>PX_LAST</stp>
        <stp>18-04-2016</stp>
        <stp>18-04-2016</stp>
        <stp>[TPM a RPM_v21.xlsm]Informe5!R144C33</stp>
        <tr r="AG144" s="29"/>
      </tp>
      <tp>
        <v>4.5199999999999996</v>
        <stp/>
        <stp>##V3_BDHV12</stp>
        <stp>CHSWP10  Curncy</stp>
        <stp>PX_LAST</stp>
        <stp>26-04-2016</stp>
        <stp>26-04-2016</stp>
        <stp>[TPM a RPM_v21.xlsm]Informe5!R138C34</stp>
        <tr r="AH138" s="29"/>
      </tp>
      <tp>
        <v>4.5199999999999996</v>
        <stp/>
        <stp>##V3_BDHV12</stp>
        <stp>CHSWP10  Curncy</stp>
        <stp>PX_LAST</stp>
        <stp>06-06-2016</stp>
        <stp>06-06-2016</stp>
        <stp>[TPM a RPM_v21.xlsm]Informe5!R109C34</stp>
        <tr r="AH109" s="29"/>
      </tp>
      <tp>
        <v>4.0599999999999996</v>
        <stp/>
        <stp>##V3_BDHV12</stp>
        <stp>CHSWP5  Curncy</stp>
        <stp>PX_LAST</stp>
        <stp>09-05-2016</stp>
        <stp>09-05-2016</stp>
        <stp>[TPM a RPM_v21.xlsm]Informe5!R129C33</stp>
        <tr r="AG129" s="29"/>
      </tp>
      <tp>
        <v>3.7199999999999998</v>
        <stp/>
        <stp>##V3_BDHV12</stp>
        <stp>CHSWP2  Curncy</stp>
        <stp>PX_LAST</stp>
        <stp>09-05-2016</stp>
        <stp>09-05-2016</stp>
        <stp>[TPM a RPM_v21.xlsm]Informe5!R129C32</stp>
        <tr r="AF129" s="29"/>
      </tp>
      <tp>
        <v>4.0999999999999996</v>
        <stp/>
        <stp>##V3_BDHV12</stp>
        <stp>CHSWP5  Curncy</stp>
        <stp>PX_LAST</stp>
        <stp>19-04-2016</stp>
        <stp>19-04-2016</stp>
        <stp>[TPM a RPM_v21.xlsm]Informe5!R143C33</stp>
        <tr r="AG143" s="29"/>
      </tp>
      <tp>
        <v>3.7</v>
        <stp/>
        <stp>##V3_BDHV12</stp>
        <stp>CHSWP2  Curncy</stp>
        <stp>PX_LAST</stp>
        <stp>19-04-2016</stp>
        <stp>19-04-2016</stp>
        <stp>[TPM a RPM_v21.xlsm]Informe5!R143C32</stp>
        <tr r="AF143" s="29"/>
      </tp>
      <tp>
        <v>4.51</v>
        <stp/>
        <stp>##V3_BDHV12</stp>
        <stp>CHSWP10  Curncy</stp>
        <stp>PX_LAST</stp>
        <stp>25-04-2016</stp>
        <stp>25-04-2016</stp>
        <stp>[TPM a RPM_v21.xlsm]Informe5!R139C34</stp>
        <tr r="AH139" s="29"/>
      </tp>
      <tp>
        <v>3.84</v>
        <stp/>
        <stp>##V3_BDHV12</stp>
        <stp>CHSWP2  Curncy</stp>
        <stp>PX_LAST</stp>
        <stp>14-04-2016</stp>
        <stp>14-04-2016</stp>
        <stp>[TPM a RPM_v21.xlsm]Informe5!R146C32</stp>
        <tr r="AF146" s="29"/>
      </tp>
      <tp>
        <v>4.0999999999999996</v>
        <stp/>
        <stp>##V3_BDHV12</stp>
        <stp>CHSWP5  Curncy</stp>
        <stp>PX_LAST</stp>
        <stp>14-04-2016</stp>
        <stp>14-04-2016</stp>
        <stp>[TPM a RPM_v21.xlsm]Informe5!R146C33</stp>
        <tr r="AG146" s="29"/>
      </tp>
      <tp>
        <v>4.05</v>
        <stp/>
        <stp>##V3_BDHV12</stp>
        <stp>CHSWP5  Curncy</stp>
        <stp>PX_LAST</stp>
        <stp>04-05-2016</stp>
        <stp>04-05-2016</stp>
        <stp>[TPM a RPM_v21.xlsm]Informe5!R132C33</stp>
        <tr r="AG132" s="29"/>
      </tp>
      <tp>
        <v>3.71</v>
        <stp/>
        <stp>##V3_BDHV12</stp>
        <stp>CHSWP2  Curncy</stp>
        <stp>PX_LAST</stp>
        <stp>04-05-2016</stp>
        <stp>04-05-2016</stp>
        <stp>[TPM a RPM_v21.xlsm]Informe5!R132C32</stp>
        <tr r="AF132" s="29"/>
      </tp>
      <tp>
        <v>4.12</v>
        <stp/>
        <stp>##V3_BDHV12</stp>
        <stp>CHSWP5  Curncy</stp>
        <stp>PX_LAST</stp>
        <stp>15-04-2016</stp>
        <stp>15-04-2016</stp>
        <stp>[TPM a RPM_v21.xlsm]Informe5!R145C33</stp>
        <tr r="AG145" s="29"/>
      </tp>
      <tp>
        <v>3.73</v>
        <stp/>
        <stp>##V3_BDHV12</stp>
        <stp>CHSWP2  Curncy</stp>
        <stp>PX_LAST</stp>
        <stp>15-04-2016</stp>
        <stp>15-04-2016</stp>
        <stp>[TPM a RPM_v21.xlsm]Informe5!R145C32</stp>
        <tr r="AF145" s="29"/>
      </tp>
      <tp>
        <v>3.7</v>
        <stp/>
        <stp>##V3_BDHV12</stp>
        <stp>CHSWP2  Curncy</stp>
        <stp>PX_LAST</stp>
        <stp>05-05-2016</stp>
        <stp>05-05-2016</stp>
        <stp>[TPM a RPM_v21.xlsm]Informe5!R131C32</stp>
        <tr r="AF131" s="29"/>
      </tp>
      <tp>
        <v>4.04</v>
        <stp/>
        <stp>##V3_BDHV12</stp>
        <stp>CHSWP5  Curncy</stp>
        <stp>PX_LAST</stp>
        <stp>05-05-2016</stp>
        <stp>05-05-2016</stp>
        <stp>[TPM a RPM_v21.xlsm]Informe5!R131C33</stp>
        <tr r="AG131" s="29"/>
      </tp>
      <tp>
        <v>4.51</v>
        <stp/>
        <stp>##V3_BDHV12</stp>
        <stp>CHSWP10  Curncy</stp>
        <stp>PX_LAST</stp>
        <stp>09-06-2016</stp>
        <stp>09-06-2016</stp>
        <stp>[TPM a RPM_v21.xlsm]Informe5!R106C34</stp>
        <tr r="AH106" s="29"/>
      </tp>
      <tp>
        <v>4.4800000000000004</v>
        <stp/>
        <stp>##V3_BDHV12</stp>
        <stp>CHSWP10  Curncy</stp>
        <stp>PX_LAST</stp>
        <stp>29-04-2016</stp>
        <stp>29-04-2016</stp>
        <stp>[TPM a RPM_v21.xlsm]Informe5!R135C34</stp>
        <tr r="AH135" s="29"/>
      </tp>
      <tp>
        <v>4.04</v>
        <stp/>
        <stp>##V3_BDHV12</stp>
        <stp>CHSWP5  Curncy</stp>
        <stp>PX_LAST</stp>
        <stp>06-05-2016</stp>
        <stp>06-05-2016</stp>
        <stp>[TPM a RPM_v21.xlsm]Informe5!R130C33</stp>
        <tr r="AG130" s="29"/>
      </tp>
      <tp>
        <v>3.69</v>
        <stp/>
        <stp>##V3_BDHV12</stp>
        <stp>CHSWP2  Curncy</stp>
        <stp>PX_LAST</stp>
        <stp>06-05-2016</stp>
        <stp>06-05-2016</stp>
        <stp>[TPM a RPM_v21.xlsm]Informe5!R130C32</stp>
        <tr r="AF130" s="29"/>
      </tp>
      <tp>
        <v>4.51</v>
        <stp/>
        <stp>##V3_BDHV12</stp>
        <stp>CHSWP10  Curncy</stp>
        <stp>PX_LAST</stp>
        <stp>08-06-2016</stp>
        <stp>08-06-2016</stp>
        <stp>[TPM a RPM_v21.xlsm]Informe5!R107C34</stp>
        <tr r="AH107" s="29"/>
      </tp>
      <tp>
        <v>4.4800000000000004</v>
        <stp/>
        <stp>##V3_BDHV12</stp>
        <stp>CHSWP10  Curncy</stp>
        <stp>PX_LAST</stp>
        <stp>28-04-2016</stp>
        <stp>28-04-2016</stp>
        <stp>[TPM a RPM_v21.xlsm]Informe5!R136C34</stp>
        <tr r="AH136" s="29"/>
      </tp>
      <tp>
        <v>4.1500000000000004</v>
        <stp/>
        <stp>##V3_BDHV12</stp>
        <stp>CHSWP5  Curncy</stp>
        <stp>PX_LAST</stp>
        <stp>11-04-2016</stp>
        <stp>11-04-2016</stp>
        <stp>[TPM a RPM_v21.xlsm]Informe5!R149C33</stp>
        <tr r="AG149" s="29"/>
      </tp>
      <tp>
        <v>3.77</v>
        <stp/>
        <stp>##V3_BDHV12</stp>
        <stp>CHSWP2  Curncy</stp>
        <stp>PX_LAST</stp>
        <stp>11-04-2016</stp>
        <stp>11-04-2016</stp>
        <stp>[TPM a RPM_v21.xlsm]Informe5!R149C32</stp>
        <tr r="AF149" s="29"/>
      </tp>
      <tp>
        <v>4.0599999999999996</v>
        <stp/>
        <stp>##V3_BDHV12</stp>
        <stp>CHSWP5  Curncy</stp>
        <stp>PX_LAST</stp>
        <stp>02-05-2016</stp>
        <stp>02-05-2016</stp>
        <stp>[TPM a RPM_v21.xlsm]Informe5!R134C33</stp>
        <tr r="AG134" s="29"/>
      </tp>
      <tp>
        <v>3.7</v>
        <stp/>
        <stp>##V3_BDHV12</stp>
        <stp>CHSWP2  Curncy</stp>
        <stp>PX_LAST</stp>
        <stp>02-05-2016</stp>
        <stp>02-05-2016</stp>
        <stp>[TPM a RPM_v21.xlsm]Informe5!R134C32</stp>
        <tr r="AF134" s="29"/>
      </tp>
      <tp>
        <v>3.77</v>
        <stp/>
        <stp>##V3_BDHV12</stp>
        <stp>CHSWP2  Curncy</stp>
        <stp>PX_LAST</stp>
        <stp>12-04-2016</stp>
        <stp>12-04-2016</stp>
        <stp>[TPM a RPM_v21.xlsm]Informe5!R148C32</stp>
        <tr r="AF148" s="29"/>
      </tp>
      <tp>
        <v>4.1399999999999997</v>
        <stp/>
        <stp>##V3_BDHV12</stp>
        <stp>CHSWP5  Curncy</stp>
        <stp>PX_LAST</stp>
        <stp>12-04-2016</stp>
        <stp>12-04-2016</stp>
        <stp>[TPM a RPM_v21.xlsm]Informe5!R148C33</stp>
        <tr r="AG148" s="29"/>
      </tp>
      <tp>
        <v>3.71</v>
        <stp/>
        <stp>##V3_BDHV12</stp>
        <stp>CHSWP2  Curncy</stp>
        <stp>PX_LAST</stp>
        <stp>03-05-2016</stp>
        <stp>03-05-2016</stp>
        <stp>[TPM a RPM_v21.xlsm]Informe5!R133C32</stp>
        <tr r="AF133" s="29"/>
      </tp>
      <tp>
        <v>4.05</v>
        <stp/>
        <stp>##V3_BDHV12</stp>
        <stp>CHSWP5  Curncy</stp>
        <stp>PX_LAST</stp>
        <stp>03-05-2016</stp>
        <stp>03-05-2016</stp>
        <stp>[TPM a RPM_v21.xlsm]Informe5!R133C33</stp>
        <tr r="AG133" s="29"/>
      </tp>
      <tp>
        <v>4.1500000000000004</v>
        <stp/>
        <stp>##V3_BDHV12</stp>
        <stp>CHSWP5  Curncy</stp>
        <stp>PX_LAST</stp>
        <stp>13-04-2016</stp>
        <stp>13-04-2016</stp>
        <stp>[TPM a RPM_v21.xlsm]Informe5!R147C33</stp>
        <tr r="AG147" s="29"/>
      </tp>
      <tp>
        <v>3.75</v>
        <stp/>
        <stp>##V3_BDHV12</stp>
        <stp>CHSWP2  Curncy</stp>
        <stp>PX_LAST</stp>
        <stp>13-04-2016</stp>
        <stp>13-04-2016</stp>
        <stp>[TPM a RPM_v21.xlsm]Informe5!R147C32</stp>
        <tr r="AF147" s="29"/>
      </tp>
      <tp>
        <v>4.16</v>
        <stp/>
        <stp>##V3_BDHV12</stp>
        <stp>CHSWP10  Curncy</stp>
        <stp>PX_LAST</stp>
        <stp>29-08-2016</stp>
        <stp>29-08-2016</stp>
        <stp>[TPM a RPM_v21.xlsm]Informe5!R49C34</stp>
        <tr r="AH49" s="29"/>
      </tp>
      <tp>
        <v>4.16</v>
        <stp/>
        <stp>##V3_BDHV12</stp>
        <stp>CHSWP10  Curncy</stp>
        <stp>PX_LAST</stp>
        <stp>24-08-2016</stp>
        <stp>24-08-2016</stp>
        <stp>[TPM a RPM_v21.xlsm]Informe5!R52C34</stp>
        <tr r="AH52" s="29"/>
      </tp>
      <tp>
        <v>4.16</v>
        <stp/>
        <stp>##V3_BDHV12</stp>
        <stp>CHSWP10  Curncy</stp>
        <stp>PX_LAST</stp>
        <stp>25-08-2016</stp>
        <stp>25-08-2016</stp>
        <stp>[TPM a RPM_v21.xlsm]Informe5!R51C34</stp>
        <tr r="AH51" s="29"/>
      </tp>
      <tp>
        <v>4.16</v>
        <stp/>
        <stp>##V3_BDHV12</stp>
        <stp>CHSWP10  Curncy</stp>
        <stp>PX_LAST</stp>
        <stp>26-08-2016</stp>
        <stp>26-08-2016</stp>
        <stp>[TPM a RPM_v21.xlsm]Informe5!R50C34</stp>
        <tr r="AH50" s="29"/>
      </tp>
      <tp>
        <v>4.0999999999999996</v>
        <stp/>
        <stp>##V3_BDHV12</stp>
        <stp>CHSWP10  Curncy</stp>
        <stp>PX_LAST</stp>
        <stp>30-09-2016</stp>
        <stp>30-09-2016</stp>
        <stp>[TPM a RPM_v21.xlsm]Informe5!R25C34</stp>
        <tr r="AH25" s="29"/>
      </tp>
      <tp>
        <v>4.17</v>
        <stp/>
        <stp>##V3_BDHV12</stp>
        <stp>CHSWP10  Curncy</stp>
        <stp>PX_LAST</stp>
        <stp>22-08-2016</stp>
        <stp>22-08-2016</stp>
        <stp>[TPM a RPM_v21.xlsm]Informe5!R54C34</stp>
        <tr r="AH54" s="29"/>
      </tp>
      <tp>
        <v>4.1500000000000004</v>
        <stp/>
        <stp>##V3_BDHV12</stp>
        <stp>CHSWP10  Curncy</stp>
        <stp>PX_LAST</stp>
        <stp>23-08-2016</stp>
        <stp>23-08-2016</stp>
        <stp>[TPM a RPM_v21.xlsm]Informe5!R53C34</stp>
        <tr r="AH53" s="29"/>
      </tp>
      <tp>
        <v>4.05</v>
        <stp/>
        <stp>##V3_BDHV12</stp>
        <stp>CHSWP10  Curncy</stp>
        <stp>PX_LAST</stp>
        <stp>28-09-2016</stp>
        <stp>28-09-2016</stp>
        <stp>[TPM a RPM_v21.xlsm]Informe5!R27C34</stp>
        <tr r="AH27" s="29"/>
      </tp>
      <tp>
        <v>4.05</v>
        <stp/>
        <stp>##V3_BDHV12</stp>
        <stp>CHSWP10  Curncy</stp>
        <stp>PX_LAST</stp>
        <stp>29-09-2016</stp>
        <stp>29-09-2016</stp>
        <stp>[TPM a RPM_v21.xlsm]Informe5!R26C34</stp>
        <tr r="AH26" s="29"/>
      </tp>
      <tp>
        <v>4.1100000000000003</v>
        <stp/>
        <stp>##V3_BDHV12</stp>
        <stp>CHSWP10  Curncy</stp>
        <stp>PX_LAST</stp>
        <stp>23-09-2016</stp>
        <stp>23-09-2016</stp>
        <stp>[TPM a RPM_v21.xlsm]Informe5!R30C34</stp>
        <tr r="AH30" s="29"/>
      </tp>
      <tp>
        <v>4.12</v>
        <stp/>
        <stp>##V3_BDHV12</stp>
        <stp>CHSWP10  Curncy</stp>
        <stp>PX_LAST</stp>
        <stp>22-09-2016</stp>
        <stp>22-09-2016</stp>
        <stp>[TPM a RPM_v21.xlsm]Informe5!R31C34</stp>
        <tr r="AH31" s="29"/>
      </tp>
      <tp>
        <v>4.1500000000000004</v>
        <stp/>
        <stp>##V3_BDHV12</stp>
        <stp>CHSWP10  Curncy</stp>
        <stp>PX_LAST</stp>
        <stp>21-09-2016</stp>
        <stp>21-09-2016</stp>
        <stp>[TPM a RPM_v21.xlsm]Informe5!R32C34</stp>
        <tr r="AH32" s="29"/>
      </tp>
      <tp>
        <v>4.16</v>
        <stp/>
        <stp>##V3_BDHV12</stp>
        <stp>CHSWP10  Curncy</stp>
        <stp>PX_LAST</stp>
        <stp>20-09-2016</stp>
        <stp>20-09-2016</stp>
        <stp>[TPM a RPM_v21.xlsm]Informe5!R33C34</stp>
        <tr r="AH33" s="29"/>
      </tp>
      <tp>
        <v>4.07</v>
        <stp/>
        <stp>##V3_BDHV12</stp>
        <stp>CHSWP10  Curncy</stp>
        <stp>PX_LAST</stp>
        <stp>26-09-2016</stp>
        <stp>26-09-2016</stp>
        <stp>[TPM a RPM_v21.xlsm]Informe5!R29C34</stp>
        <tr r="AH29" s="29"/>
      </tp>
      <tp>
        <v>4.16</v>
        <stp/>
        <stp>##V3_BDHV12</stp>
        <stp>CHSWP10  Curncy</stp>
        <stp>PX_LAST</stp>
        <stp>30-08-2016</stp>
        <stp>30-08-2016</stp>
        <stp>[TPM a RPM_v21.xlsm]Informe5!R48C34</stp>
        <tr r="AH48" s="29"/>
      </tp>
      <tp>
        <v>4.07</v>
        <stp/>
        <stp>##V3_BDHV12</stp>
        <stp>CHSWP10  Curncy</stp>
        <stp>PX_LAST</stp>
        <stp>27-09-2016</stp>
        <stp>27-09-2016</stp>
        <stp>[TPM a RPM_v21.xlsm]Informe5!R28C34</stp>
        <tr r="AH28" s="29"/>
      </tp>
      <tp>
        <v>4.1500000000000004</v>
        <stp/>
        <stp>##V3_BDHV12</stp>
        <stp>CHSWP10  Curncy</stp>
        <stp>PX_LAST</stp>
        <stp>31-08-2016</stp>
        <stp>31-08-2016</stp>
        <stp>[TPM a RPM_v21.xlsm]Informe5!R47C34</stp>
        <tr r="AH47" s="29"/>
      </tp>
      <tp>
        <v>4.17</v>
        <stp/>
        <stp>##V3_BDHV12</stp>
        <stp>CHSWP10  Curncy</stp>
        <stp>PX_LAST</stp>
        <stp>19-09-2016</stp>
        <stp>19-09-2016</stp>
        <stp>[TPM a RPM_v21.xlsm]Informe5!R34C34</stp>
        <tr r="AH34" s="29"/>
      </tp>
      <tp>
        <v>4.1900000000000004</v>
        <stp/>
        <stp>##V3_BDHV12</stp>
        <stp>CHSWP10  Curncy</stp>
        <stp>PX_LAST</stp>
        <stp>09-08-2016</stp>
        <stp>09-08-2016</stp>
        <stp>[TPM a RPM_v21.xlsm]Informe5!R63C34</stp>
        <tr r="AH63" s="29"/>
      </tp>
      <tp>
        <v>4.17</v>
        <stp/>
        <stp>##V3_BDHV12</stp>
        <stp>CHSWP10  Curncy</stp>
        <stp>PX_LAST</stp>
        <stp>08-08-2016</stp>
        <stp>08-08-2016</stp>
        <stp>[TPM a RPM_v21.xlsm]Informe5!R64C34</stp>
        <tr r="AH64" s="29"/>
      </tp>
      <tp>
        <v>4.1399999999999997</v>
        <stp/>
        <stp>##V3_BDHV12</stp>
        <stp>CHSWP10  Curncy</stp>
        <stp>PX_LAST</stp>
        <stp>05-08-2016</stp>
        <stp>05-08-2016</stp>
        <stp>[TPM a RPM_v21.xlsm]Informe5!R65C34</stp>
        <tr r="AH65" s="29"/>
      </tp>
      <tp>
        <v>4.1900000000000004</v>
        <stp/>
        <stp>##V3_BDHV12</stp>
        <stp>CHSWP10  Curncy</stp>
        <stp>PX_LAST</stp>
        <stp>04-08-2016</stp>
        <stp>04-08-2016</stp>
        <stp>[TPM a RPM_v21.xlsm]Informe5!R66C34</stp>
        <tr r="AH66" s="29"/>
      </tp>
      <tp>
        <v>4.16</v>
        <stp/>
        <stp>##V3_BDHV12</stp>
        <stp>CHSWP10  Curncy</stp>
        <stp>PX_LAST</stp>
        <stp>12-09-2016</stp>
        <stp>12-09-2016</stp>
        <stp>[TPM a RPM_v21.xlsm]Informe5!R39C34</stp>
        <tr r="AH39" s="29"/>
      </tp>
      <tp>
        <v>4.21</v>
        <stp/>
        <stp>##V3_BDHV12</stp>
        <stp>CHSWP10  Curncy</stp>
        <stp>PX_LAST</stp>
        <stp>13-09-2016</stp>
        <stp>13-09-2016</stp>
        <stp>[TPM a RPM_v21.xlsm]Informe5!R38C34</stp>
        <tr r="AH38" s="29"/>
      </tp>
      <tp>
        <v>4.22</v>
        <stp/>
        <stp>##V3_BDHV12</stp>
        <stp>CHSWP10  Curncy</stp>
        <stp>PX_LAST</stp>
        <stp>01-08-2016</stp>
        <stp>01-08-2016</stp>
        <stp>[TPM a RPM_v21.xlsm]Informe5!R69C34</stp>
        <tr r="AH69" s="29"/>
      </tp>
      <tp>
        <v>4.1900000000000004</v>
        <stp/>
        <stp>##V3_BDHV12</stp>
        <stp>CHSWP10  Curncy</stp>
        <stp>PX_LAST</stp>
        <stp>14-09-2016</stp>
        <stp>14-09-2016</stp>
        <stp>[TPM a RPM_v21.xlsm]Informe5!R37C34</stp>
        <tr r="AH37" s="29"/>
      </tp>
      <tp>
        <v>4.16</v>
        <stp/>
        <stp>##V3_BDHV12</stp>
        <stp>CHSWP10  Curncy</stp>
        <stp>PX_LAST</stp>
        <stp>15-09-2016</stp>
        <stp>15-09-2016</stp>
        <stp>[TPM a RPM_v21.xlsm]Informe5!R36C34</stp>
        <tr r="AH36" s="29"/>
      </tp>
      <tp>
        <v>4.21</v>
        <stp/>
        <stp>##V3_BDHV12</stp>
        <stp>CHSWP10  Curncy</stp>
        <stp>PX_LAST</stp>
        <stp>03-08-2016</stp>
        <stp>03-08-2016</stp>
        <stp>[TPM a RPM_v21.xlsm]Informe5!R67C34</stp>
        <tr r="AH67" s="29"/>
      </tp>
      <tp>
        <v>4.17</v>
        <stp/>
        <stp>##V3_BDHV12</stp>
        <stp>CHSWP10  Curncy</stp>
        <stp>PX_LAST</stp>
        <stp>16-09-2016</stp>
        <stp>16-09-2016</stp>
        <stp>[TPM a RPM_v21.xlsm]Informe5!R35C34</stp>
        <tr r="AH35" s="29"/>
      </tp>
      <tp>
        <v>4.22</v>
        <stp/>
        <stp>##V3_BDHV12</stp>
        <stp>CHSWP10  Curncy</stp>
        <stp>PX_LAST</stp>
        <stp>02-08-2016</stp>
        <stp>02-08-2016</stp>
        <stp>[TPM a RPM_v21.xlsm]Informe5!R68C34</stp>
        <tr r="AH68" s="29"/>
      </tp>
      <tp>
        <v>4.16</v>
        <stp/>
        <stp>##V3_BDHV12</stp>
        <stp>CHSWP10  Curncy</stp>
        <stp>PX_LAST</stp>
        <stp>19-08-2016</stp>
        <stp>19-08-2016</stp>
        <stp>[TPM a RPM_v21.xlsm]Informe5!R55C34</stp>
        <tr r="AH55" s="29"/>
      </tp>
      <tp>
        <v>4.0599999999999996</v>
        <stp/>
        <stp>##V3_BDHV12</stp>
        <stp>CHSWP10  Curncy</stp>
        <stp>PX_LAST</stp>
        <stp>08-09-2016</stp>
        <stp>08-09-2016</stp>
        <stp>[TPM a RPM_v21.xlsm]Informe5!R41C34</stp>
        <tr r="AH41" s="29"/>
      </tp>
      <tp>
        <v>4.1500000000000004</v>
        <stp/>
        <stp>##V3_BDHV12</stp>
        <stp>CHSWP10  Curncy</stp>
        <stp>PX_LAST</stp>
        <stp>18-08-2016</stp>
        <stp>18-08-2016</stp>
        <stp>[TPM a RPM_v21.xlsm]Informe5!R56C34</stp>
        <tr r="AH56" s="29"/>
      </tp>
      <tp>
        <v>4.1100000000000003</v>
        <stp/>
        <stp>##V3_BDHV12</stp>
        <stp>CHSWP10  Curncy</stp>
        <stp>PX_LAST</stp>
        <stp>09-09-2016</stp>
        <stp>09-09-2016</stp>
        <stp>[TPM a RPM_v21.xlsm]Informe5!R40C34</stp>
        <tr r="AH40" s="29"/>
      </tp>
      <tp>
        <v>4.08</v>
        <stp/>
        <stp>##V3_BDHV12</stp>
        <stp>CHSWP10  Curncy</stp>
        <stp>PX_LAST</stp>
        <stp>06-09-2016</stp>
        <stp>06-09-2016</stp>
        <stp>[TPM a RPM_v21.xlsm]Informe5!R43C34</stp>
        <tr r="AH43" s="29"/>
      </tp>
      <tp>
        <v>4.12</v>
        <stp/>
        <stp>##V3_BDHV12</stp>
        <stp>CHSWP10  Curncy</stp>
        <stp>PX_LAST</stp>
        <stp>17-08-2016</stp>
        <stp>17-08-2016</stp>
        <stp>[TPM a RPM_v21.xlsm]Informe5!R57C34</stp>
        <tr r="AH57" s="29"/>
      </tp>
      <tp>
        <v>4.13</v>
        <stp/>
        <stp>##V3_BDHV12</stp>
        <stp>CHSWP10  Curncy</stp>
        <stp>PX_LAST</stp>
        <stp>16-08-2016</stp>
        <stp>16-08-2016</stp>
        <stp>[TPM a RPM_v21.xlsm]Informe5!R58C34</stp>
        <tr r="AH58" s="29"/>
      </tp>
      <tp>
        <v>4.04</v>
        <stp/>
        <stp>##V3_BDHV12</stp>
        <stp>CHSWP10  Curncy</stp>
        <stp>PX_LAST</stp>
        <stp>07-09-2016</stp>
        <stp>07-09-2016</stp>
        <stp>[TPM a RPM_v21.xlsm]Informe5!R42C34</stp>
        <tr r="AH42" s="29"/>
      </tp>
      <tp>
        <v>4.12</v>
        <stp/>
        <stp>##V3_BDHV12</stp>
        <stp>CHSWP10  Curncy</stp>
        <stp>PX_LAST</stp>
        <stp>15-08-2016</stp>
        <stp>15-08-2016</stp>
        <stp>[TPM a RPM_v21.xlsm]Informe5!R59C34</stp>
        <tr r="AH59" s="29"/>
      </tp>
      <tp>
        <v>4.13</v>
        <stp/>
        <stp>##V3_BDHV12</stp>
        <stp>CHSWP10  Curncy</stp>
        <stp>PX_LAST</stp>
        <stp>05-09-2016</stp>
        <stp>05-09-2016</stp>
        <stp>[TPM a RPM_v21.xlsm]Informe5!R44C34</stp>
        <tr r="AH44" s="29"/>
      </tp>
      <tp>
        <v>4.16</v>
        <stp/>
        <stp>##V3_BDHV12</stp>
        <stp>CHSWP10  Curncy</stp>
        <stp>PX_LAST</stp>
        <stp>02-09-2016</stp>
        <stp>02-09-2016</stp>
        <stp>[TPM a RPM_v21.xlsm]Informe5!R45C34</stp>
        <tr r="AH45" s="29"/>
      </tp>
      <tp>
        <v>4.1900000000000004</v>
        <stp/>
        <stp>##V3_BDHV12</stp>
        <stp>CHSWP10  Curncy</stp>
        <stp>PX_LAST</stp>
        <stp>10-08-2016</stp>
        <stp>10-08-2016</stp>
        <stp>[TPM a RPM_v21.xlsm]Informe5!R62C34</stp>
        <tr r="AH62" s="29"/>
      </tp>
      <tp>
        <v>4.1500000000000004</v>
        <stp/>
        <stp>##V3_BDHV12</stp>
        <stp>CHSWP10  Curncy</stp>
        <stp>PX_LAST</stp>
        <stp>11-08-2016</stp>
        <stp>11-08-2016</stp>
        <stp>[TPM a RPM_v21.xlsm]Informe5!R61C34</stp>
        <tr r="AH61" s="29"/>
      </tp>
      <tp>
        <v>4.12</v>
        <stp/>
        <stp>##V3_BDHV12</stp>
        <stp>CHSWP10  Curncy</stp>
        <stp>PX_LAST</stp>
        <stp>12-08-2016</stp>
        <stp>12-08-2016</stp>
        <stp>[TPM a RPM_v21.xlsm]Informe5!R60C34</stp>
        <tr r="AH60" s="29"/>
      </tp>
      <tp>
        <v>4.17</v>
        <stp/>
        <stp>##V3_BDHV12</stp>
        <stp>CHSWP10  Curncy</stp>
        <stp>PX_LAST</stp>
        <stp>01-09-2016</stp>
        <stp>01-09-2016</stp>
        <stp>[TPM a RPM_v21.xlsm]Informe5!R46C34</stp>
        <tr r="AH46" s="29"/>
      </tp>
      <tp>
        <v>4.24</v>
        <stp/>
        <stp>##V3_BDHV12</stp>
        <stp>CHSWP10  Curncy</stp>
        <stp>PX_LAST</stp>
        <stp>15-07-2016</stp>
        <stp>15-07-2016</stp>
        <stp>[TPM a RPM_v21.xlsm]Informe5!R80C34</stp>
        <tr r="AH80" s="29"/>
      </tp>
      <tp>
        <v>4.24</v>
        <stp/>
        <stp>##V3_BDHV12</stp>
        <stp>CHSWP10  Curncy</stp>
        <stp>PX_LAST</stp>
        <stp>14-07-2016</stp>
        <stp>14-07-2016</stp>
        <stp>[TPM a RPM_v21.xlsm]Informe5!R81C34</stp>
        <tr r="AH81" s="29"/>
      </tp>
      <tp>
        <v>4.25</v>
        <stp/>
        <stp>##V3_BDHV12</stp>
        <stp>CHSWP10  Curncy</stp>
        <stp>PX_LAST</stp>
        <stp>18-07-2016</stp>
        <stp>18-07-2016</stp>
        <stp>[TPM a RPM_v21.xlsm]Informe5!R79C34</stp>
        <tr r="AH79" s="29"/>
      </tp>
      <tp>
        <v>4.22</v>
        <stp/>
        <stp>##V3_BDHV12</stp>
        <stp>CHSWP10  Curncy</stp>
        <stp>PX_LAST</stp>
        <stp>19-07-2016</stp>
        <stp>19-07-2016</stp>
        <stp>[TPM a RPM_v21.xlsm]Informe5!R78C34</stp>
        <tr r="AH78" s="29"/>
      </tp>
      <tp>
        <v>4.3</v>
        <stp/>
        <stp>##V3_BDHV12</stp>
        <stp>CHSWP10  Curncy</stp>
        <stp>PX_LAST</stp>
        <stp>11-07-2016</stp>
        <stp>11-07-2016</stp>
        <stp>[TPM a RPM_v21.xlsm]Informe5!R84C34</stp>
        <tr r="AH84" s="29"/>
      </tp>
      <tp>
        <v>4.3</v>
        <stp/>
        <stp>##V3_BDHV12</stp>
        <stp>CHSWP10  Curncy</stp>
        <stp>PX_LAST</stp>
        <stp>13-07-2016</stp>
        <stp>13-07-2016</stp>
        <stp>[TPM a RPM_v21.xlsm]Informe5!R82C34</stp>
        <tr r="AH82" s="29"/>
      </tp>
      <tp>
        <v>4.2699999999999996</v>
        <stp/>
        <stp>##V3_BDHV12</stp>
        <stp>CHSWP10  Curncy</stp>
        <stp>PX_LAST</stp>
        <stp>12-07-2016</stp>
        <stp>12-07-2016</stp>
        <stp>[TPM a RPM_v21.xlsm]Informe5!R83C34</stp>
        <tr r="AH83" s="29"/>
      </tp>
      <tp>
        <v>4.29</v>
        <stp/>
        <stp>##V3_BDHV12</stp>
        <stp>CHSWP10  Curncy</stp>
        <stp>PX_LAST</stp>
        <stp>08-07-2016</stp>
        <stp>08-07-2016</stp>
        <stp>[TPM a RPM_v21.xlsm]Informe5!R85C34</stp>
        <tr r="AH85" s="29"/>
      </tp>
      <tp>
        <v>4.29</v>
        <stp/>
        <stp>##V3_BDHV12</stp>
        <stp>CHSWP10  Curncy</stp>
        <stp>PX_LAST</stp>
        <stp>04-07-2016</stp>
        <stp>04-07-2016</stp>
        <stp>[TPM a RPM_v21.xlsm]Informe5!R89C34</stp>
        <tr r="AH89" s="29"/>
      </tp>
      <tp>
        <v>4.28</v>
        <stp/>
        <stp>##V3_BDHV12</stp>
        <stp>CHSWP10  Curncy</stp>
        <stp>PX_LAST</stp>
        <stp>05-07-2016</stp>
        <stp>05-07-2016</stp>
        <stp>[TPM a RPM_v21.xlsm]Informe5!R88C34</stp>
        <tr r="AH88" s="29"/>
      </tp>
      <tp>
        <v>4.3</v>
        <stp/>
        <stp>##V3_BDHV12</stp>
        <stp>CHSWP10  Curncy</stp>
        <stp>PX_LAST</stp>
        <stp>06-07-2016</stp>
        <stp>06-07-2016</stp>
        <stp>[TPM a RPM_v21.xlsm]Informe5!R87C34</stp>
        <tr r="AH87" s="29"/>
      </tp>
      <tp>
        <v>4.3099999999999996</v>
        <stp/>
        <stp>##V3_BDHV12</stp>
        <stp>CHSWP10  Curncy</stp>
        <stp>PX_LAST</stp>
        <stp>07-07-2016</stp>
        <stp>07-07-2016</stp>
        <stp>[TPM a RPM_v21.xlsm]Informe5!R86C34</stp>
        <tr r="AH86" s="29"/>
      </tp>
      <tp>
        <v>4.3099999999999996</v>
        <stp/>
        <stp>##V3_BDHV12</stp>
        <stp>CHSWP10  Curncy</stp>
        <stp>PX_LAST</stp>
        <stp>01-07-2016</stp>
        <stp>01-07-2016</stp>
        <stp>[TPM a RPM_v21.xlsm]Informe5!R90C34</stp>
        <tr r="AH90" s="29"/>
      </tp>
      <tp>
        <v>4.41</v>
        <stp/>
        <stp>##V3_BDHV12</stp>
        <stp>CHSWP10  Curncy</stp>
        <stp>PX_LAST</stp>
        <stp>28-06-2016</stp>
        <stp>28-06-2016</stp>
        <stp>[TPM a RPM_v21.xlsm]Informe5!R93C34</stp>
        <tr r="AH93" s="29"/>
      </tp>
      <tp>
        <v>4.38</v>
        <stp/>
        <stp>##V3_BDHV12</stp>
        <stp>CHSWP10  Curncy</stp>
        <stp>PX_LAST</stp>
        <stp>29-06-2016</stp>
        <stp>29-06-2016</stp>
        <stp>[TPM a RPM_v21.xlsm]Informe5!R92C34</stp>
        <tr r="AH92" s="29"/>
      </tp>
      <tp>
        <v>4.47</v>
        <stp/>
        <stp>##V3_BDHV12</stp>
        <stp>CHSWP10  Curncy</stp>
        <stp>PX_LAST</stp>
        <stp>27-06-2016</stp>
        <stp>27-06-2016</stp>
        <stp>[TPM a RPM_v21.xlsm]Informe5!R94C34</stp>
        <tr r="AH94" s="29"/>
      </tp>
      <tp>
        <v>4.47</v>
        <stp/>
        <stp>##V3_BDHV12</stp>
        <stp>CHSWP10  Curncy</stp>
        <stp>PX_LAST</stp>
        <stp>24-06-2016</stp>
        <stp>24-06-2016</stp>
        <stp>[TPM a RPM_v21.xlsm]Informe5!R95C34</stp>
        <tr r="AH95" s="29"/>
      </tp>
      <tp>
        <v>4.5</v>
        <stp/>
        <stp>##V3_BDHV12</stp>
        <stp>CHSWP10  Curncy</stp>
        <stp>PX_LAST</stp>
        <stp>22-06-2016</stp>
        <stp>22-06-2016</stp>
        <stp>[TPM a RPM_v21.xlsm]Informe5!R97C34</stp>
        <tr r="AH97" s="29"/>
      </tp>
      <tp>
        <v>4.51</v>
        <stp/>
        <stp>##V3_BDHV12</stp>
        <stp>CHSWP10  Curncy</stp>
        <stp>PX_LAST</stp>
        <stp>23-06-2016</stp>
        <stp>23-06-2016</stp>
        <stp>[TPM a RPM_v21.xlsm]Informe5!R96C34</stp>
        <tr r="AH96" s="29"/>
      </tp>
      <tp>
        <v>4.49</v>
        <stp/>
        <stp>##V3_BDHV12</stp>
        <stp>CHSWP10  Curncy</stp>
        <stp>PX_LAST</stp>
        <stp>20-06-2016</stp>
        <stp>20-06-2016</stp>
        <stp>[TPM a RPM_v21.xlsm]Informe5!R99C34</stp>
        <tr r="AH99" s="29"/>
      </tp>
      <tp>
        <v>4.51</v>
        <stp/>
        <stp>##V3_BDHV12</stp>
        <stp>CHSWP10  Curncy</stp>
        <stp>PX_LAST</stp>
        <stp>21-06-2016</stp>
        <stp>21-06-2016</stp>
        <stp>[TPM a RPM_v21.xlsm]Informe5!R98C34</stp>
        <tr r="AH98" s="29"/>
      </tp>
      <tp>
        <v>4.26</v>
        <stp/>
        <stp>##V3_BDHV12</stp>
        <stp>CHSWP10  Curncy</stp>
        <stp>PX_LAST</stp>
        <stp>21-07-2016</stp>
        <stp>21-07-2016</stp>
        <stp>[TPM a RPM_v21.xlsm]Informe5!R76C34</stp>
        <tr r="AH76" s="29"/>
      </tp>
      <tp>
        <v>4.21</v>
        <stp/>
        <stp>##V3_BDHV12</stp>
        <stp>CHSWP10  Curncy</stp>
        <stp>PX_LAST</stp>
        <stp>20-07-2016</stp>
        <stp>20-07-2016</stp>
        <stp>[TPM a RPM_v21.xlsm]Informe5!R77C34</stp>
        <tr r="AH77" s="29"/>
      </tp>
      <tp>
        <v>4.29</v>
        <stp/>
        <stp>##V3_BDHV12</stp>
        <stp>CHSWP10  Curncy</stp>
        <stp>PX_LAST</stp>
        <stp>22-07-2016</stp>
        <stp>22-07-2016</stp>
        <stp>[TPM a RPM_v21.xlsm]Informe5!R75C34</stp>
        <tr r="AH75" s="29"/>
      </tp>
      <tp>
        <v>4.3499999999999996</v>
        <stp/>
        <stp>##V3_BDHV12</stp>
        <stp>CHSWP10  Curncy</stp>
        <stp>PX_LAST</stp>
        <stp>25-07-2016</stp>
        <stp>25-07-2016</stp>
        <stp>[TPM a RPM_v21.xlsm]Informe5!R74C34</stp>
        <tr r="AH74" s="29"/>
      </tp>
      <tp>
        <v>4.32</v>
        <stp/>
        <stp>##V3_BDHV12</stp>
        <stp>CHSWP10  Curncy</stp>
        <stp>PX_LAST</stp>
        <stp>27-07-2016</stp>
        <stp>27-07-2016</stp>
        <stp>[TPM a RPM_v21.xlsm]Informe5!R72C34</stp>
        <tr r="AH72" s="29"/>
      </tp>
      <tp>
        <v>4.34</v>
        <stp/>
        <stp>##V3_BDHV12</stp>
        <stp>CHSWP10  Curncy</stp>
        <stp>PX_LAST</stp>
        <stp>26-07-2016</stp>
        <stp>26-07-2016</stp>
        <stp>[TPM a RPM_v21.xlsm]Informe5!R73C34</stp>
        <tr r="AH73" s="29"/>
      </tp>
      <tp>
        <v>4.21</v>
        <stp/>
        <stp>##V3_BDHV12</stp>
        <stp>CHSWP10  Curncy</stp>
        <stp>PX_LAST</stp>
        <stp>29-07-2016</stp>
        <stp>29-07-2016</stp>
        <stp>[TPM a RPM_v21.xlsm]Informe5!R70C34</stp>
        <tr r="AH70" s="29"/>
      </tp>
      <tp>
        <v>4.29</v>
        <stp/>
        <stp>##V3_BDHV12</stp>
        <stp>CHSWP10  Curncy</stp>
        <stp>PX_LAST</stp>
        <stp>28-07-2016</stp>
        <stp>28-07-2016</stp>
        <stp>[TPM a RPM_v21.xlsm]Informe5!R71C34</stp>
        <tr r="AH71" s="29"/>
      </tp>
      <tp>
        <v>4.34</v>
        <stp/>
        <stp>##V3_BDHV12</stp>
        <stp>CHSWP10  Curncy</stp>
        <stp>PX_LAST</stp>
        <stp>30-06-2016</stp>
        <stp>30-06-2016</stp>
        <stp>[TPM a RPM_v21.xlsm]Informe5!R91C34</stp>
        <tr r="AH91" s="29"/>
      </tp>
      <tp>
        <v>3.45</v>
        <stp/>
        <stp>##V3_BDHV12</stp>
        <stp>CHSWP4  Curncy</stp>
        <stp>PX_LAST</stp>
        <stp>27-10-2016</stp>
        <stp>27-10-2016</stp>
        <stp>[TPM a RPM_v21.xlsm]Zero_swap_CL!R10C5</stp>
        <tr r="E10" s="15"/>
      </tp>
      <tp>
        <v>4.59</v>
        <stp/>
        <stp>##V3_BDHV12</stp>
        <stp>CHSWP10  Curncy</stp>
        <stp>PX_LAST</stp>
        <stp>23-05-2016</stp>
        <stp>23-05-2016</stp>
        <stp>[TPM a RPM_v21.xlsm]Informe5!R119C34</stp>
        <tr r="AH119" s="29"/>
      </tp>
      <tp>
        <v>4.5</v>
        <stp/>
        <stp>##V3_BDHV12</stp>
        <stp>CHSWP10  Curncy</stp>
        <stp>PX_LAST</stp>
        <stp>13-06-2016</stp>
        <stp>13-06-2016</stp>
        <stp>[TPM a RPM_v21.xlsm]Informe5!R104C34</stp>
        <tr r="AH104" s="29"/>
      </tp>
      <tp>
        <v>4.49</v>
        <stp/>
        <stp>##V3_BDHV12</stp>
        <stp>CHSWP10  Curncy</stp>
        <stp>PX_LAST</stp>
        <stp>10-06-2016</stp>
        <stp>10-06-2016</stp>
        <stp>[TPM a RPM_v21.xlsm]Informe5!R105C34</stp>
        <tr r="AH105" s="29"/>
      </tp>
      <tp>
        <v>4.59</v>
        <stp/>
        <stp>##V3_BDHV12</stp>
        <stp>CHSWP10  Curncy</stp>
        <stp>PX_LAST</stp>
        <stp>20-05-2016</stp>
        <stp>20-05-2016</stp>
        <stp>[TPM a RPM_v21.xlsm]Informe5!R120C34</stp>
        <tr r="AH120" s="29"/>
      </tp>
      <tp>
        <v>4.49</v>
        <stp/>
        <stp>##V3_BDHV12</stp>
        <stp>CHSWP10  Curncy</stp>
        <stp>PX_LAST</stp>
        <stp>16-06-2016</stp>
        <stp>16-06-2016</stp>
        <stp>[TPM a RPM_v21.xlsm]Informe5!R101C34</stp>
        <tr r="AH101" s="29"/>
      </tp>
      <tp>
        <v>4.57</v>
        <stp/>
        <stp>##V3_BDHV12</stp>
        <stp>CHSWP10  Curncy</stp>
        <stp>PX_LAST</stp>
        <stp>26-05-2016</stp>
        <stp>26-05-2016</stp>
        <stp>[TPM a RPM_v21.xlsm]Informe5!R116C34</stp>
        <tr r="AH116" s="29"/>
      </tp>
      <tp>
        <v>4.17</v>
        <stp/>
        <stp>##V3_BDHV12</stp>
        <stp>CHSWP5  Curncy</stp>
        <stp>PX_LAST</stp>
        <stp>19-05-2016</stp>
        <stp>19-05-2016</stp>
        <stp>[TPM a RPM_v21.xlsm]Informe5!R121C33</stp>
        <tr r="AG121" s="29"/>
      </tp>
      <tp>
        <v>3.81</v>
        <stp/>
        <stp>##V3_BDHV12</stp>
        <stp>CHSWP2  Curncy</stp>
        <stp>PX_LAST</stp>
        <stp>19-05-2016</stp>
        <stp>19-05-2016</stp>
        <stp>[TPM a RPM_v21.xlsm]Informe5!R121C32</stp>
        <tr r="AF121" s="29"/>
      </tp>
      <tp>
        <v>4.5999999999999996</v>
        <stp/>
        <stp>##V3_BDHV12</stp>
        <stp>CHSWP10  Curncy</stp>
        <stp>PX_LAST</stp>
        <stp>27-05-2016</stp>
        <stp>27-05-2016</stp>
        <stp>[TPM a RPM_v21.xlsm]Informe5!R115C34</stp>
        <tr r="AH115" s="29"/>
      </tp>
      <tp>
        <v>4.4800000000000004</v>
        <stp/>
        <stp>##V3_BDHV12</stp>
        <stp>CHSWP10  Curncy</stp>
        <stp>PX_LAST</stp>
        <stp>17-06-2016</stp>
        <stp>17-06-2016</stp>
        <stp>[TPM a RPM_v21.xlsm]Informe5!R100C34</stp>
        <tr r="AH100" s="29"/>
      </tp>
      <tp>
        <v>3.74</v>
        <stp/>
        <stp>##V3_BDHV12</stp>
        <stp>CHSWP2  Curncy</stp>
        <stp>PX_LAST</stp>
        <stp>18-05-2016</stp>
        <stp>18-05-2016</stp>
        <stp>[TPM a RPM_v21.xlsm]Informe5!R122C32</stp>
        <tr r="AF122" s="29"/>
      </tp>
      <tp>
        <v>4.09</v>
        <stp/>
        <stp>##V3_BDHV12</stp>
        <stp>CHSWP5  Curncy</stp>
        <stp>PX_LAST</stp>
        <stp>18-05-2016</stp>
        <stp>18-05-2016</stp>
        <stp>[TPM a RPM_v21.xlsm]Informe5!R122C33</stp>
        <tr r="AG122" s="29"/>
      </tp>
      <tp>
        <v>4.12</v>
        <stp/>
        <stp>##V3_BDHV12</stp>
        <stp>CHSWP5  Curncy</stp>
        <stp>PX_LAST</stp>
        <stp>08-04-2016</stp>
        <stp>08-04-2016</stp>
        <stp>[TPM a RPM_v21.xlsm]Informe5!R150C33</stp>
        <tr r="AG150" s="29"/>
      </tp>
      <tp>
        <v>3.7800000000000002</v>
        <stp/>
        <stp>##V3_BDHV12</stp>
        <stp>CHSWP2  Curncy</stp>
        <stp>PX_LAST</stp>
        <stp>08-04-2016</stp>
        <stp>08-04-2016</stp>
        <stp>[TPM a RPM_v21.xlsm]Informe5!R150C32</stp>
        <tr r="AF150" s="29"/>
      </tp>
      <tp>
        <v>4.5199999999999996</v>
        <stp/>
        <stp>##V3_BDHV12</stp>
        <stp>CHSWP10  Curncy</stp>
        <stp>PX_LAST</stp>
        <stp>14-06-2016</stp>
        <stp>14-06-2016</stp>
        <stp>[TPM a RPM_v21.xlsm]Informe5!R103C34</stp>
        <tr r="AH103" s="29"/>
      </tp>
      <tp>
        <v>4.59</v>
        <stp/>
        <stp>##V3_BDHV12</stp>
        <stp>CHSWP10  Curncy</stp>
        <stp>PX_LAST</stp>
        <stp>24-05-2016</stp>
        <stp>24-05-2016</stp>
        <stp>[TPM a RPM_v21.xlsm]Informe5!R118C34</stp>
        <tr r="AH118" s="29"/>
      </tp>
      <tp>
        <v>4.5999999999999996</v>
        <stp/>
        <stp>##V3_BDHV12</stp>
        <stp>CHSWP10  Curncy</stp>
        <stp>PX_LAST</stp>
        <stp>25-05-2016</stp>
        <stp>25-05-2016</stp>
        <stp>[TPM a RPM_v21.xlsm]Informe5!R117C34</stp>
        <tr r="AH117" s="29"/>
      </tp>
      <tp>
        <v>4.53</v>
        <stp/>
        <stp>##V3_BDHV12</stp>
        <stp>CHSWP10  Curncy</stp>
        <stp>PX_LAST</stp>
        <stp>15-06-2016</stp>
        <stp>15-06-2016</stp>
        <stp>[TPM a RPM_v21.xlsm]Informe5!R102C34</stp>
        <tr r="AH102" s="29"/>
      </tp>
      <tp>
        <v>3.79</v>
        <stp/>
        <stp>##V3_BDHV12</stp>
        <stp>CHSWP2  Curncy</stp>
        <stp>PX_LAST</stp>
        <stp>05-04-2016</stp>
        <stp>05-04-2016</stp>
        <stp>[TPM a RPM_v21.xlsm]Informe5!R153C32</stp>
        <tr r="AF153" s="29"/>
      </tp>
      <tp>
        <v>4.1399999999999997</v>
        <stp/>
        <stp>##V3_BDHV12</stp>
        <stp>CHSWP5  Curncy</stp>
        <stp>PX_LAST</stp>
        <stp>05-04-2016</stp>
        <stp>05-04-2016</stp>
        <stp>[TPM a RPM_v21.xlsm]Informe5!R153C33</stp>
        <tr r="AG153" s="29"/>
      </tp>
      <tp>
        <v>4.16</v>
        <stp/>
        <stp>##V3_BDHV12</stp>
        <stp>CHSWP5  Curncy</stp>
        <stp>PX_LAST</stp>
        <stp>04-04-2016</stp>
        <stp>04-04-2016</stp>
        <stp>[TPM a RPM_v21.xlsm]Informe5!R154C33</stp>
        <tr r="AG154" s="29"/>
      </tp>
      <tp>
        <v>3.82</v>
        <stp/>
        <stp>##V3_BDHV12</stp>
        <stp>CHSWP2  Curncy</stp>
        <stp>PX_LAST</stp>
        <stp>04-04-2016</stp>
        <stp>04-04-2016</stp>
        <stp>[TPM a RPM_v21.xlsm]Informe5!R154C32</stp>
        <tr r="AF154" s="29"/>
      </tp>
      <tp>
        <v>3.8</v>
        <stp/>
        <stp>##V3_BDHV12</stp>
        <stp>CHSWP2  Curncy</stp>
        <stp>PX_LAST</stp>
        <stp>07-04-2016</stp>
        <stp>07-04-2016</stp>
        <stp>[TPM a RPM_v21.xlsm]Informe5!R151C32</stp>
        <tr r="AF151" s="29"/>
      </tp>
      <tp>
        <v>4.1500000000000004</v>
        <stp/>
        <stp>##V3_BDHV12</stp>
        <stp>CHSWP5  Curncy</stp>
        <stp>PX_LAST</stp>
        <stp>07-04-2016</stp>
        <stp>07-04-2016</stp>
        <stp>[TPM a RPM_v21.xlsm]Informe5!R151C33</stp>
        <tr r="AG151" s="29"/>
      </tp>
      <tp>
        <v>4.09</v>
        <stp/>
        <stp>##V3_BDHV12</stp>
        <stp>CHSWP5  Curncy</stp>
        <stp>PX_LAST</stp>
        <stp>17-05-2016</stp>
        <stp>17-05-2016</stp>
        <stp>[TPM a RPM_v21.xlsm]Informe5!R123C33</stp>
        <tr r="AG123" s="29"/>
      </tp>
      <tp>
        <v>3.77</v>
        <stp/>
        <stp>##V3_BDHV12</stp>
        <stp>CHSWP2  Curncy</stp>
        <stp>PX_LAST</stp>
        <stp>17-05-2016</stp>
        <stp>17-05-2016</stp>
        <stp>[TPM a RPM_v21.xlsm]Informe5!R123C32</stp>
        <tr r="AF123" s="29"/>
      </tp>
      <tp>
        <v>4.16</v>
        <stp/>
        <stp>##V3_BDHV12</stp>
        <stp>CHSWP5  Curncy</stp>
        <stp>PX_LAST</stp>
        <stp>06-04-2016</stp>
        <stp>06-04-2016</stp>
        <stp>[TPM a RPM_v21.xlsm]Informe5!R152C33</stp>
        <tr r="AG152" s="29"/>
      </tp>
      <tp>
        <v>3.82</v>
        <stp/>
        <stp>##V3_BDHV12</stp>
        <stp>CHSWP2  Curncy</stp>
        <stp>PX_LAST</stp>
        <stp>06-04-2016</stp>
        <stp>06-04-2016</stp>
        <stp>[TPM a RPM_v21.xlsm]Informe5!R152C32</stp>
        <tr r="AF152" s="29"/>
      </tp>
      <tp>
        <v>3.79</v>
        <stp/>
        <stp>##V3_BDHV12</stp>
        <stp>CHSWP2  Curncy</stp>
        <stp>PX_LAST</stp>
        <stp>16-05-2016</stp>
        <stp>16-05-2016</stp>
        <stp>[TPM a RPM_v21.xlsm]Informe5!R124C32</stp>
        <tr r="AF124" s="29"/>
      </tp>
      <tp>
        <v>4.12</v>
        <stp/>
        <stp>##V3_BDHV12</stp>
        <stp>CHSWP5  Curncy</stp>
        <stp>PX_LAST</stp>
        <stp>16-05-2016</stp>
        <stp>16-05-2016</stp>
        <stp>[TPM a RPM_v21.xlsm]Informe5!R124C33</stp>
        <tr r="AG124" s="29"/>
      </tp>
      <tp>
        <v>4.07</v>
        <stp/>
        <stp>##V3_BDHV12</stp>
        <stp>CHSWP5  Curncy</stp>
        <stp>PX_LAST</stp>
        <stp>11-05-2016</stp>
        <stp>11-05-2016</stp>
        <stp>[TPM a RPM_v21.xlsm]Informe5!R127C33</stp>
        <tr r="AG127" s="29"/>
      </tp>
      <tp>
        <v>3.75</v>
        <stp/>
        <stp>##V3_BDHV12</stp>
        <stp>CHSWP2  Curncy</stp>
        <stp>PX_LAST</stp>
        <stp>11-05-2016</stp>
        <stp>11-05-2016</stp>
        <stp>[TPM a RPM_v21.xlsm]Informe5!R127C32</stp>
        <tr r="AF127" s="29"/>
      </tp>
      <tp>
        <v>3.84</v>
        <stp/>
        <stp>##V3_BDHV12</stp>
        <stp>CHSWP2  Curncy</stp>
        <stp>PX_LAST</stp>
        <stp>01-04-2016</stp>
        <stp>01-04-2016</stp>
        <stp>[TPM a RPM_v21.xlsm]Informe5!R155C32</stp>
        <tr r="AF155" s="29"/>
      </tp>
      <tp>
        <v>4.18</v>
        <stp/>
        <stp>##V3_BDHV12</stp>
        <stp>CHSWP5  Curncy</stp>
        <stp>PX_LAST</stp>
        <stp>01-04-2016</stp>
        <stp>01-04-2016</stp>
        <stp>[TPM a RPM_v21.xlsm]Informe5!R155C33</stp>
        <tr r="AG155" s="29"/>
      </tp>
      <tp>
        <v>3.74</v>
        <stp/>
        <stp>##V3_BDHV12</stp>
        <stp>CHSWP2  Curncy</stp>
        <stp>PX_LAST</stp>
        <stp>10-05-2016</stp>
        <stp>10-05-2016</stp>
        <stp>[TPM a RPM_v21.xlsm]Informe5!R128C32</stp>
        <tr r="AF128" s="29"/>
      </tp>
      <tp>
        <v>4.0599999999999996</v>
        <stp/>
        <stp>##V3_BDHV12</stp>
        <stp>CHSWP5  Curncy</stp>
        <stp>PX_LAST</stp>
        <stp>10-05-2016</stp>
        <stp>10-05-2016</stp>
        <stp>[TPM a RPM_v21.xlsm]Informe5!R128C33</stp>
        <tr r="AG128" s="29"/>
      </tp>
      <tp>
        <v>4.0999999999999996</v>
        <stp/>
        <stp>##V3_BDHV12</stp>
        <stp>CHSWP5  Curncy</stp>
        <stp>PX_LAST</stp>
        <stp>13-05-2016</stp>
        <stp>13-05-2016</stp>
        <stp>[TPM a RPM_v21.xlsm]Informe5!R125C33</stp>
        <tr r="AG125" s="29"/>
      </tp>
      <tp>
        <v>3.77</v>
        <stp/>
        <stp>##V3_BDHV12</stp>
        <stp>CHSWP2  Curncy</stp>
        <stp>PX_LAST</stp>
        <stp>13-05-2016</stp>
        <stp>13-05-2016</stp>
        <stp>[TPM a RPM_v21.xlsm]Informe5!R125C32</stp>
        <tr r="AF125" s="29"/>
      </tp>
      <tp>
        <v>3.76</v>
        <stp/>
        <stp>##V3_BDHV12</stp>
        <stp>CHSWP2  Curncy</stp>
        <stp>PX_LAST</stp>
        <stp>12-05-2016</stp>
        <stp>12-05-2016</stp>
        <stp>[TPM a RPM_v21.xlsm]Informe5!R126C32</stp>
        <tr r="AF126" s="29"/>
      </tp>
      <tp>
        <v>4.09</v>
        <stp/>
        <stp>##V3_BDHV12</stp>
        <stp>CHSWP5  Curncy</stp>
        <stp>PX_LAST</stp>
        <stp>12-05-2016</stp>
        <stp>12-05-2016</stp>
        <stp>[TPM a RPM_v21.xlsm]Informe5!R126C33</stp>
        <tr r="AG126" s="29"/>
      </tp>
      <tp>
        <v>3.79</v>
        <stp/>
        <stp>##V3_BDHV12</stp>
        <stp>CHSWP7  Curncy</stp>
        <stp>PX_LAST</stp>
        <stp>27-10-2016</stp>
        <stp>27-10-2016</stp>
        <stp>[TPM a RPM_v21.xlsm]Zero_swap_CL!R13C5</stp>
        <tr r="E13" s="15"/>
      </tp>
      <tp>
        <v>4.58</v>
        <stp/>
        <stp>##V3_BDHV12</stp>
        <stp>CHSWP10  Curncy</stp>
        <stp>PX_LAST</stp>
        <stp>01-04-2016</stp>
        <stp>01-04-2016</stp>
        <stp>[TPM a RPM_v21.xlsm]Informe5!R155C34</stp>
        <tr r="AH155" s="29"/>
      </tp>
      <tp>
        <v>4.49</v>
        <stp/>
        <stp>##V3_BDHV12</stp>
        <stp>CHSWP10  Curncy</stp>
        <stp>PX_LAST</stp>
        <stp>11-05-2016</stp>
        <stp>11-05-2016</stp>
        <stp>[TPM a RPM_v21.xlsm]Informe5!R127C34</stp>
        <tr r="AH127" s="29"/>
      </tp>
      <tp>
        <v>4.49</v>
        <stp/>
        <stp>##V3_BDHV12</stp>
        <stp>CHSWP10  Curncy</stp>
        <stp>PX_LAST</stp>
        <stp>10-05-2016</stp>
        <stp>10-05-2016</stp>
        <stp>[TPM a RPM_v21.xlsm]Informe5!R128C34</stp>
        <tr r="AH128" s="29"/>
      </tp>
      <tp>
        <v>4.5199999999999996</v>
        <stp/>
        <stp>##V3_BDHV12</stp>
        <stp>CHSWP10  Curncy</stp>
        <stp>PX_LAST</stp>
        <stp>13-05-2016</stp>
        <stp>13-05-2016</stp>
        <stp>[TPM a RPM_v21.xlsm]Informe5!R125C34</stp>
        <tr r="AH125" s="29"/>
      </tp>
      <tp>
        <v>4.49</v>
        <stp/>
        <stp>##V3_BDHV12</stp>
        <stp>CHSWP10  Curncy</stp>
        <stp>PX_LAST</stp>
        <stp>12-05-2016</stp>
        <stp>12-05-2016</stp>
        <stp>[TPM a RPM_v21.xlsm]Informe5!R126C34</stp>
        <tr r="AH126" s="29"/>
      </tp>
      <tp>
        <v>4.54</v>
        <stp/>
        <stp>##V3_BDHV12</stp>
        <stp>CHSWP10  Curncy</stp>
        <stp>PX_LAST</stp>
        <stp>05-04-2016</stp>
        <stp>05-04-2016</stp>
        <stp>[TPM a RPM_v21.xlsm]Informe5!R153C34</stp>
        <tr r="AH153" s="29"/>
      </tp>
      <tp>
        <v>4.58</v>
        <stp/>
        <stp>##V3_BDHV12</stp>
        <stp>CHSWP10  Curncy</stp>
        <stp>PX_LAST</stp>
        <stp>04-04-2016</stp>
        <stp>04-04-2016</stp>
        <stp>[TPM a RPM_v21.xlsm]Informe5!R154C34</stp>
        <tr r="AH154" s="29"/>
      </tp>
      <tp>
        <v>4.55</v>
        <stp/>
        <stp>##V3_BDHV12</stp>
        <stp>CHSWP10  Curncy</stp>
        <stp>PX_LAST</stp>
        <stp>17-05-2016</stp>
        <stp>17-05-2016</stp>
        <stp>[TPM a RPM_v21.xlsm]Informe5!R123C34</stp>
        <tr r="AH123" s="29"/>
      </tp>
      <tp>
        <v>4.57</v>
        <stp/>
        <stp>##V3_BDHV12</stp>
        <stp>CHSWP10  Curncy</stp>
        <stp>PX_LAST</stp>
        <stp>07-04-2016</stp>
        <stp>07-04-2016</stp>
        <stp>[TPM a RPM_v21.xlsm]Informe5!R151C34</stp>
        <tr r="AH151" s="29"/>
      </tp>
      <tp>
        <v>4.55</v>
        <stp/>
        <stp>##V3_BDHV12</stp>
        <stp>CHSWP10  Curncy</stp>
        <stp>PX_LAST</stp>
        <stp>16-05-2016</stp>
        <stp>16-05-2016</stp>
        <stp>[TPM a RPM_v21.xlsm]Informe5!R124C34</stp>
        <tr r="AH124" s="29"/>
      </tp>
      <tp>
        <v>4.57</v>
        <stp/>
        <stp>##V3_BDHV12</stp>
        <stp>CHSWP10  Curncy</stp>
        <stp>PX_LAST</stp>
        <stp>06-04-2016</stp>
        <stp>06-04-2016</stp>
        <stp>[TPM a RPM_v21.xlsm]Informe5!R152C34</stp>
        <tr r="AH152" s="29"/>
      </tp>
      <tp>
        <v>4.59</v>
        <stp/>
        <stp>##V3_BDHV12</stp>
        <stp>CHSWP10  Curncy</stp>
        <stp>PX_LAST</stp>
        <stp>19-05-2016</stp>
        <stp>19-05-2016</stp>
        <stp>[TPM a RPM_v21.xlsm]Informe5!R121C34</stp>
        <tr r="AH121" s="29"/>
      </tp>
      <tp>
        <v>3.67</v>
        <stp/>
        <stp>##V3_BDHV12</stp>
        <stp>CHSWP2  Curncy</stp>
        <stp>PX_LAST</stp>
        <stp>16-06-2016</stp>
        <stp>16-06-2016</stp>
        <stp>[TPM a RPM_v21.xlsm]Informe5!R101C32</stp>
        <tr r="AF101" s="29"/>
      </tp>
      <tp>
        <v>4.16</v>
        <stp/>
        <stp>##V3_BDHV12</stp>
        <stp>CHSWP5  Curncy</stp>
        <stp>PX_LAST</stp>
        <stp>26-05-2016</stp>
        <stp>26-05-2016</stp>
        <stp>[TPM a RPM_v21.xlsm]Informe5!R116C33</stp>
        <tr r="AG116" s="29"/>
      </tp>
      <tp>
        <v>3.79</v>
        <stp/>
        <stp>##V3_BDHV12</stp>
        <stp>CHSWP2  Curncy</stp>
        <stp>PX_LAST</stp>
        <stp>26-05-2016</stp>
        <stp>26-05-2016</stp>
        <stp>[TPM a RPM_v21.xlsm]Informe5!R116C32</stp>
        <tr r="AF116" s="29"/>
      </tp>
      <tp>
        <v>4.05</v>
        <stp/>
        <stp>##V3_BDHV12</stp>
        <stp>CHSWP5  Curncy</stp>
        <stp>PX_LAST</stp>
        <stp>16-06-2016</stp>
        <stp>16-06-2016</stp>
        <stp>[TPM a RPM_v21.xlsm]Informe5!R101C33</stp>
        <tr r="AG101" s="29"/>
      </tp>
      <tp>
        <v>4.55</v>
        <stp/>
        <stp>##V3_BDHV12</stp>
        <stp>CHSWP10  Curncy</stp>
        <stp>PX_LAST</stp>
        <stp>08-04-2016</stp>
        <stp>08-04-2016</stp>
        <stp>[TPM a RPM_v21.xlsm]Informe5!R150C34</stp>
        <tr r="AH150" s="29"/>
      </tp>
      <tp>
        <v>4.5199999999999996</v>
        <stp/>
        <stp>##V3_BDHV12</stp>
        <stp>CHSWP10  Curncy</stp>
        <stp>PX_LAST</stp>
        <stp>18-05-2016</stp>
        <stp>18-05-2016</stp>
        <stp>[TPM a RPM_v21.xlsm]Informe5!R122C34</stp>
        <tr r="AH122" s="29"/>
      </tp>
      <tp>
        <v>4.03</v>
        <stp/>
        <stp>##V3_BDHV12</stp>
        <stp>CHSWP5  Curncy</stp>
        <stp>PX_LAST</stp>
        <stp>17-06-2016</stp>
        <stp>17-06-2016</stp>
        <stp>[TPM a RPM_v21.xlsm]Informe5!R100C33</stp>
        <tr r="AG100" s="29"/>
      </tp>
      <tp>
        <v>3.81</v>
        <stp/>
        <stp>##V3_BDHV12</stp>
        <stp>CHSWP2  Curncy</stp>
        <stp>PX_LAST</stp>
        <stp>27-05-2016</stp>
        <stp>27-05-2016</stp>
        <stp>[TPM a RPM_v21.xlsm]Informe5!R115C32</stp>
        <tr r="AF115" s="29"/>
      </tp>
      <tp>
        <v>4.1900000000000004</v>
        <stp/>
        <stp>##V3_BDHV12</stp>
        <stp>CHSWP5  Curncy</stp>
        <stp>PX_LAST</stp>
        <stp>27-05-2016</stp>
        <stp>27-05-2016</stp>
        <stp>[TPM a RPM_v21.xlsm]Informe5!R115C33</stp>
        <tr r="AG115" s="29"/>
      </tp>
      <tp>
        <v>3.66</v>
        <stp/>
        <stp>##V3_BDHV12</stp>
        <stp>CHSWP2  Curncy</stp>
        <stp>PX_LAST</stp>
        <stp>17-06-2016</stp>
        <stp>17-06-2016</stp>
        <stp>[TPM a RPM_v21.xlsm]Informe5!R100C32</stp>
        <tr r="AF100" s="29"/>
      </tp>
      <tp>
        <v>4.18</v>
        <stp/>
        <stp>##V3_BDHV12</stp>
        <stp>CHSWP5  Curncy</stp>
        <stp>PX_LAST</stp>
        <stp>24-05-2016</stp>
        <stp>24-05-2016</stp>
        <stp>[TPM a RPM_v21.xlsm]Informe5!R118C33</stp>
        <tr r="AG118" s="29"/>
      </tp>
      <tp>
        <v>3.69</v>
        <stp/>
        <stp>##V3_BDHV12</stp>
        <stp>CHSWP2  Curncy</stp>
        <stp>PX_LAST</stp>
        <stp>14-06-2016</stp>
        <stp>14-06-2016</stp>
        <stp>[TPM a RPM_v21.xlsm]Informe5!R103C32</stp>
        <tr r="AF103" s="29"/>
      </tp>
      <tp>
        <v>3.82</v>
        <stp/>
        <stp>##V3_BDHV12</stp>
        <stp>CHSWP2  Curncy</stp>
        <stp>PX_LAST</stp>
        <stp>24-05-2016</stp>
        <stp>24-05-2016</stp>
        <stp>[TPM a RPM_v21.xlsm]Informe5!R118C32</stp>
        <tr r="AF118" s="29"/>
      </tp>
      <tp>
        <v>4.07</v>
        <stp/>
        <stp>##V3_BDHV12</stp>
        <stp>CHSWP5  Curncy</stp>
        <stp>PX_LAST</stp>
        <stp>14-06-2016</stp>
        <stp>14-06-2016</stp>
        <stp>[TPM a RPM_v21.xlsm]Informe5!R103C33</stp>
        <tr r="AG103" s="29"/>
      </tp>
      <tp>
        <v>3.82</v>
        <stp/>
        <stp>##V3_BDHV12</stp>
        <stp>CHSWP2  Curncy</stp>
        <stp>PX_LAST</stp>
        <stp>25-05-2016</stp>
        <stp>25-05-2016</stp>
        <stp>[TPM a RPM_v21.xlsm]Informe5!R117C32</stp>
        <tr r="AF117" s="29"/>
      </tp>
      <tp>
        <v>4.08</v>
        <stp/>
        <stp>##V3_BDHV12</stp>
        <stp>CHSWP5  Curncy</stp>
        <stp>PX_LAST</stp>
        <stp>15-06-2016</stp>
        <stp>15-06-2016</stp>
        <stp>[TPM a RPM_v21.xlsm]Informe5!R102C33</stp>
        <tr r="AG102" s="29"/>
      </tp>
      <tp>
        <v>3.69</v>
        <stp/>
        <stp>##V3_BDHV12</stp>
        <stp>CHSWP2  Curncy</stp>
        <stp>PX_LAST</stp>
        <stp>15-06-2016</stp>
        <stp>15-06-2016</stp>
        <stp>[TPM a RPM_v21.xlsm]Informe5!R102C32</stp>
        <tr r="AF102" s="29"/>
      </tp>
      <tp>
        <v>4.1900000000000004</v>
        <stp/>
        <stp>##V3_BDHV12</stp>
        <stp>CHSWP5  Curncy</stp>
        <stp>PX_LAST</stp>
        <stp>25-05-2016</stp>
        <stp>25-05-2016</stp>
        <stp>[TPM a RPM_v21.xlsm]Informe5!R117C33</stp>
        <tr r="AG117" s="29"/>
      </tp>
      <tp>
        <v>3.79</v>
        <stp/>
        <stp>##V3_BDHV12</stp>
        <stp>CHSWP2  Curncy</stp>
        <stp>PX_LAST</stp>
        <stp>23-05-2016</stp>
        <stp>23-05-2016</stp>
        <stp>[TPM a RPM_v21.xlsm]Informe5!R119C32</stp>
        <tr r="AF119" s="29"/>
      </tp>
      <tp>
        <v>4.05</v>
        <stp/>
        <stp>##V3_BDHV12</stp>
        <stp>CHSWP5  Curncy</stp>
        <stp>PX_LAST</stp>
        <stp>13-06-2016</stp>
        <stp>13-06-2016</stp>
        <stp>[TPM a RPM_v21.xlsm]Informe5!R104C33</stp>
        <tr r="AG104" s="29"/>
      </tp>
      <tp>
        <v>4.1500000000000004</v>
        <stp/>
        <stp>##V3_BDHV12</stp>
        <stp>CHSWP5  Curncy</stp>
        <stp>PX_LAST</stp>
        <stp>23-05-2016</stp>
        <stp>23-05-2016</stp>
        <stp>[TPM a RPM_v21.xlsm]Informe5!R119C33</stp>
        <tr r="AG119" s="29"/>
      </tp>
      <tp>
        <v>3.68</v>
        <stp/>
        <stp>##V3_BDHV12</stp>
        <stp>CHSWP2  Curncy</stp>
        <stp>PX_LAST</stp>
        <stp>13-06-2016</stp>
        <stp>13-06-2016</stp>
        <stp>[TPM a RPM_v21.xlsm]Informe5!R104C32</stp>
        <tr r="AF104" s="29"/>
      </tp>
      <tp>
        <v>3.81</v>
        <stp/>
        <stp>##V3_BDHV12</stp>
        <stp>CHSWP2  Curncy</stp>
        <stp>PX_LAST</stp>
        <stp>20-05-2016</stp>
        <stp>20-05-2016</stp>
        <stp>[TPM a RPM_v21.xlsm]Informe5!R120C32</stp>
        <tr r="AF120" s="29"/>
      </tp>
      <tp>
        <v>4.16</v>
        <stp/>
        <stp>##V3_BDHV12</stp>
        <stp>CHSWP5  Curncy</stp>
        <stp>PX_LAST</stp>
        <stp>20-05-2016</stp>
        <stp>20-05-2016</stp>
        <stp>[TPM a RPM_v21.xlsm]Informe5!R120C33</stp>
        <tr r="AG120" s="29"/>
      </tp>
      <tp>
        <v>3.7199999999999998</v>
        <stp/>
        <stp>##V3_BDHV12</stp>
        <stp>CHSWP2  Curncy</stp>
        <stp>PX_LAST</stp>
        <stp>10-06-2016</stp>
        <stp>10-06-2016</stp>
        <stp>[TPM a RPM_v21.xlsm]Informe5!R105C32</stp>
        <tr r="AF105" s="29"/>
      </tp>
      <tp>
        <v>4.08</v>
        <stp/>
        <stp>##V3_BDHV12</stp>
        <stp>CHSWP5  Curncy</stp>
        <stp>PX_LAST</stp>
        <stp>10-06-2016</stp>
        <stp>10-06-2016</stp>
        <stp>[TPM a RPM_v21.xlsm]Informe5!R105C33</stp>
        <tr r="AG105" s="29"/>
      </tp>
      <tp>
        <v>3.66</v>
        <stp/>
        <stp>##V3_BDHV12</stp>
        <stp>CHSWP6  Curncy</stp>
        <stp>PX_LAST</stp>
        <stp>27-10-2016</stp>
        <stp>27-10-2016</stp>
        <stp>[TPM a RPM_v21.xlsm]Zero_swap_CL!R12C5</stp>
        <tr r="E12" s="15"/>
      </tp>
      <tp>
        <v>4.5600000000000005</v>
        <stp/>
        <stp>##V3_BDHV12</stp>
        <stp>CHSWP10  Curncy</stp>
        <stp>PX_LAST</stp>
        <stp>11-04-2016</stp>
        <stp>11-04-2016</stp>
        <stp>[TPM a RPM_v21.xlsm]Informe5!R149C34</stp>
        <tr r="AH149" s="29"/>
      </tp>
      <tp>
        <v>4.53</v>
        <stp/>
        <stp>##V3_BDHV12</stp>
        <stp>CHSWP10  Curncy</stp>
        <stp>PX_LAST</stp>
        <stp>12-04-2016</stp>
        <stp>12-04-2016</stp>
        <stp>[TPM a RPM_v21.xlsm]Informe5!R148C34</stp>
        <tr r="AH148" s="29"/>
      </tp>
      <tp>
        <v>4.4800000000000004</v>
        <stp/>
        <stp>##V3_BDHV12</stp>
        <stp>CHSWP10  Curncy</stp>
        <stp>PX_LAST</stp>
        <stp>02-05-2016</stp>
        <stp>02-05-2016</stp>
        <stp>[TPM a RPM_v21.xlsm]Informe5!R134C34</stp>
        <tr r="AH134" s="29"/>
      </tp>
      <tp>
        <v>4.53</v>
        <stp/>
        <stp>##V3_BDHV12</stp>
        <stp>CHSWP10  Curncy</stp>
        <stp>PX_LAST</stp>
        <stp>13-04-2016</stp>
        <stp>13-04-2016</stp>
        <stp>[TPM a RPM_v21.xlsm]Informe5!R147C34</stp>
        <tr r="AH147" s="29"/>
      </tp>
      <tp>
        <v>4.47</v>
        <stp/>
        <stp>##V3_BDHV12</stp>
        <stp>CHSWP10  Curncy</stp>
        <stp>PX_LAST</stp>
        <stp>03-05-2016</stp>
        <stp>03-05-2016</stp>
        <stp>[TPM a RPM_v21.xlsm]Informe5!R133C34</stp>
        <tr r="AH133" s="29"/>
      </tp>
      <tp>
        <v>4.4800000000000004</v>
        <stp/>
        <stp>##V3_BDHV12</stp>
        <stp>CHSWP10  Curncy</stp>
        <stp>PX_LAST</stp>
        <stp>04-05-2016</stp>
        <stp>04-05-2016</stp>
        <stp>[TPM a RPM_v21.xlsm]Informe5!R132C34</stp>
        <tr r="AH132" s="29"/>
      </tp>
      <tp>
        <v>4.49</v>
        <stp/>
        <stp>##V3_BDHV12</stp>
        <stp>CHSWP10  Curncy</stp>
        <stp>PX_LAST</stp>
        <stp>14-04-2016</stp>
        <stp>14-04-2016</stp>
        <stp>[TPM a RPM_v21.xlsm]Informe5!R146C34</stp>
        <tr r="AH146" s="29"/>
      </tp>
      <tp>
        <v>4.47</v>
        <stp/>
        <stp>##V3_BDHV12</stp>
        <stp>CHSWP10  Curncy</stp>
        <stp>PX_LAST</stp>
        <stp>05-05-2016</stp>
        <stp>05-05-2016</stp>
        <stp>[TPM a RPM_v21.xlsm]Informe5!R131C34</stp>
        <tr r="AH131" s="29"/>
      </tp>
      <tp>
        <v>4.4800000000000004</v>
        <stp/>
        <stp>##V3_BDHV12</stp>
        <stp>CHSWP10  Curncy</stp>
        <stp>PX_LAST</stp>
        <stp>15-04-2016</stp>
        <stp>15-04-2016</stp>
        <stp>[TPM a RPM_v21.xlsm]Informe5!R145C34</stp>
        <tr r="AH145" s="29"/>
      </tp>
      <tp>
        <v>4.47</v>
        <stp/>
        <stp>##V3_BDHV12</stp>
        <stp>CHSWP10  Curncy</stp>
        <stp>PX_LAST</stp>
        <stp>06-05-2016</stp>
        <stp>06-05-2016</stp>
        <stp>[TPM a RPM_v21.xlsm]Informe5!R130C34</stp>
        <tr r="AH130" s="29"/>
      </tp>
      <tp>
        <v>3.7</v>
        <stp/>
        <stp>##V3_BDHV12</stp>
        <stp>CHSWP2  Curncy</stp>
        <stp>PX_LAST</stp>
        <stp>29-04-2016</stp>
        <stp>29-04-2016</stp>
        <stp>[TPM a RPM_v21.xlsm]Informe5!R135C32</stp>
        <tr r="AF135" s="29"/>
      </tp>
      <tp>
        <v>4.0599999999999996</v>
        <stp/>
        <stp>##V3_BDHV12</stp>
        <stp>CHSWP5  Curncy</stp>
        <stp>PX_LAST</stp>
        <stp>29-04-2016</stp>
        <stp>29-04-2016</stp>
        <stp>[TPM a RPM_v21.xlsm]Informe5!R135C33</stp>
        <tr r="AG135" s="29"/>
      </tp>
      <tp>
        <v>4.09</v>
        <stp/>
        <stp>##V3_BDHV12</stp>
        <stp>CHSWP5  Curncy</stp>
        <stp>PX_LAST</stp>
        <stp>09-06-2016</stp>
        <stp>09-06-2016</stp>
        <stp>[TPM a RPM_v21.xlsm]Informe5!R106C33</stp>
        <tr r="AG106" s="29"/>
      </tp>
      <tp>
        <v>3.71</v>
        <stp/>
        <stp>##V3_BDHV12</stp>
        <stp>CHSWP2  Curncy</stp>
        <stp>PX_LAST</stp>
        <stp>09-06-2016</stp>
        <stp>09-06-2016</stp>
        <stp>[TPM a RPM_v21.xlsm]Informe5!R106C32</stp>
        <tr r="AF106" s="29"/>
      </tp>
      <tp>
        <v>4.07</v>
        <stp/>
        <stp>##V3_BDHV12</stp>
        <stp>CHSWP5  Curncy</stp>
        <stp>PX_LAST</stp>
        <stp>28-04-2016</stp>
        <stp>28-04-2016</stp>
        <stp>[TPM a RPM_v21.xlsm]Informe5!R136C33</stp>
        <tr r="AG136" s="29"/>
      </tp>
      <tp>
        <v>3.71</v>
        <stp/>
        <stp>##V3_BDHV12</stp>
        <stp>CHSWP2  Curncy</stp>
        <stp>PX_LAST</stp>
        <stp>28-04-2016</stp>
        <stp>28-04-2016</stp>
        <stp>[TPM a RPM_v21.xlsm]Informe5!R136C32</stp>
        <tr r="AF136" s="29"/>
      </tp>
      <tp>
        <v>3.7</v>
        <stp/>
        <stp>##V3_BDHV12</stp>
        <stp>CHSWP2  Curncy</stp>
        <stp>PX_LAST</stp>
        <stp>08-06-2016</stp>
        <stp>08-06-2016</stp>
        <stp>[TPM a RPM_v21.xlsm]Informe5!R107C32</stp>
        <tr r="AF107" s="29"/>
      </tp>
      <tp>
        <v>4.1100000000000003</v>
        <stp/>
        <stp>##V3_BDHV12</stp>
        <stp>CHSWP5  Curncy</stp>
        <stp>PX_LAST</stp>
        <stp>08-06-2016</stp>
        <stp>08-06-2016</stp>
        <stp>[TPM a RPM_v21.xlsm]Informe5!R107C33</stp>
        <tr r="AG107" s="29"/>
      </tp>
      <tp>
        <v>4.45</v>
        <stp/>
        <stp>##V3_BDHV12</stp>
        <stp>CHSWP10  Curncy</stp>
        <stp>PX_LAST</stp>
        <stp>18-04-2016</stp>
        <stp>18-04-2016</stp>
        <stp>[TPM a RPM_v21.xlsm]Informe5!R144C34</stp>
        <tr r="AH144" s="29"/>
      </tp>
      <tp>
        <v>4.1100000000000003</v>
        <stp/>
        <stp>##V3_BDHV12</stp>
        <stp>CHSWP5  Curncy</stp>
        <stp>PX_LAST</stp>
        <stp>07-06-2016</stp>
        <stp>07-06-2016</stp>
        <stp>[TPM a RPM_v21.xlsm]Informe5!R108C33</stp>
        <tr r="AG108" s="29"/>
      </tp>
      <tp>
        <v>3.7199999999999998</v>
        <stp/>
        <stp>##V3_BDHV12</stp>
        <stp>CHSWP2  Curncy</stp>
        <stp>PX_LAST</stp>
        <stp>07-06-2016</stp>
        <stp>07-06-2016</stp>
        <stp>[TPM a RPM_v21.xlsm]Informe5!R108C32</stp>
        <tr r="AF108" s="29"/>
      </tp>
      <tp>
        <v>3.7199999999999998</v>
        <stp/>
        <stp>##V3_BDHV12</stp>
        <stp>CHSWP2  Curncy</stp>
        <stp>PX_LAST</stp>
        <stp>27-04-2016</stp>
        <stp>27-04-2016</stp>
        <stp>[TPM a RPM_v21.xlsm]Informe5!R137C32</stp>
        <tr r="AF137" s="29"/>
      </tp>
      <tp>
        <v>4.0999999999999996</v>
        <stp/>
        <stp>##V3_BDHV12</stp>
        <stp>CHSWP5  Curncy</stp>
        <stp>PX_LAST</stp>
        <stp>27-04-2016</stp>
        <stp>27-04-2016</stp>
        <stp>[TPM a RPM_v21.xlsm]Informe5!R137C33</stp>
        <tr r="AG137" s="29"/>
      </tp>
      <tp>
        <v>4.5</v>
        <stp/>
        <stp>##V3_BDHV12</stp>
        <stp>CHSWP10  Curncy</stp>
        <stp>PX_LAST</stp>
        <stp>19-04-2016</stp>
        <stp>19-04-2016</stp>
        <stp>[TPM a RPM_v21.xlsm]Informe5!R143C34</stp>
        <tr r="AH143" s="29"/>
      </tp>
      <tp>
        <v>4.49</v>
        <stp/>
        <stp>##V3_BDHV12</stp>
        <stp>CHSWP10  Curncy</stp>
        <stp>PX_LAST</stp>
        <stp>09-05-2016</stp>
        <stp>09-05-2016</stp>
        <stp>[TPM a RPM_v21.xlsm]Informe5!R129C34</stp>
        <tr r="AH129" s="29"/>
      </tp>
      <tp>
        <v>3.7199999999999998</v>
        <stp/>
        <stp>##V3_BDHV12</stp>
        <stp>CHSWP2  Curncy</stp>
        <stp>PX_LAST</stp>
        <stp>06-06-2016</stp>
        <stp>06-06-2016</stp>
        <stp>[TPM a RPM_v21.xlsm]Informe5!R109C32</stp>
        <tr r="AF109" s="29"/>
      </tp>
      <tp>
        <v>4.0599999999999996</v>
        <stp/>
        <stp>##V3_BDHV12</stp>
        <stp>CHSWP5  Curncy</stp>
        <stp>PX_LAST</stp>
        <stp>06-06-2016</stp>
        <stp>06-06-2016</stp>
        <stp>[TPM a RPM_v21.xlsm]Informe5!R109C33</stp>
        <tr r="AG109" s="29"/>
      </tp>
      <tp>
        <v>4.1100000000000003</v>
        <stp/>
        <stp>##V3_BDHV12</stp>
        <stp>CHSWP5  Curncy</stp>
        <stp>PX_LAST</stp>
        <stp>26-04-2016</stp>
        <stp>26-04-2016</stp>
        <stp>[TPM a RPM_v21.xlsm]Informe5!R138C33</stp>
        <tr r="AG138" s="29"/>
      </tp>
      <tp>
        <v>3.7199999999999998</v>
        <stp/>
        <stp>##V3_BDHV12</stp>
        <stp>CHSWP2  Curncy</stp>
        <stp>PX_LAST</stp>
        <stp>26-04-2016</stp>
        <stp>26-04-2016</stp>
        <stp>[TPM a RPM_v21.xlsm]Informe5!R138C32</stp>
        <tr r="AF138" s="29"/>
      </tp>
      <tp>
        <v>3.74</v>
        <stp/>
        <stp>##V3_BDHV12</stp>
        <stp>CHSWP2  Curncy</stp>
        <stp>PX_LAST</stp>
        <stp>25-04-2016</stp>
        <stp>25-04-2016</stp>
        <stp>[TPM a RPM_v21.xlsm]Informe5!R139C32</stp>
        <tr r="AF139" s="29"/>
      </tp>
      <tp>
        <v>4.1100000000000003</v>
        <stp/>
        <stp>##V3_BDHV12</stp>
        <stp>CHSWP5  Curncy</stp>
        <stp>PX_LAST</stp>
        <stp>25-04-2016</stp>
        <stp>25-04-2016</stp>
        <stp>[TPM a RPM_v21.xlsm]Informe5!R139C33</stp>
        <tr r="AG139" s="29"/>
      </tp>
      <tp>
        <v>3.74</v>
        <stp/>
        <stp>##V3_BDHV12</stp>
        <stp>CHSWP2  Curncy</stp>
        <stp>PX_LAST</stp>
        <stp>03-06-2016</stp>
        <stp>03-06-2016</stp>
        <stp>[TPM a RPM_v21.xlsm]Informe5!R110C32</stp>
        <tr r="AF110" s="29"/>
      </tp>
      <tp>
        <v>4.13</v>
        <stp/>
        <stp>##V3_BDHV12</stp>
        <stp>CHSWP5  Curncy</stp>
        <stp>PX_LAST</stp>
        <stp>03-06-2016</stp>
        <stp>03-06-2016</stp>
        <stp>[TPM a RPM_v21.xlsm]Informe5!R110C33</stp>
        <tr r="AG110" s="29"/>
      </tp>
      <tp>
        <v>4.1500000000000004</v>
        <stp/>
        <stp>##V3_BDHV12</stp>
        <stp>CHSWP5  Curncy</stp>
        <stp>PX_LAST</stp>
        <stp>02-06-2016</stp>
        <stp>02-06-2016</stp>
        <stp>[TPM a RPM_v21.xlsm]Informe5!R111C33</stp>
        <tr r="AG111" s="29"/>
      </tp>
      <tp>
        <v>3.77</v>
        <stp/>
        <stp>##V3_BDHV12</stp>
        <stp>CHSWP2  Curncy</stp>
        <stp>PX_LAST</stp>
        <stp>02-06-2016</stp>
        <stp>02-06-2016</stp>
        <stp>[TPM a RPM_v21.xlsm]Informe5!R111C32</stp>
        <tr r="AF111" s="29"/>
      </tp>
      <tp>
        <v>3.75</v>
        <stp/>
        <stp>##V3_BDHV12</stp>
        <stp>CHSWP2  Curncy</stp>
        <stp>PX_LAST</stp>
        <stp>22-04-2016</stp>
        <stp>22-04-2016</stp>
        <stp>[TPM a RPM_v21.xlsm]Informe5!R140C32</stp>
        <tr r="AF140" s="29"/>
      </tp>
      <tp>
        <v>4.12</v>
        <stp/>
        <stp>##V3_BDHV12</stp>
        <stp>CHSWP5  Curncy</stp>
        <stp>PX_LAST</stp>
        <stp>22-04-2016</stp>
        <stp>22-04-2016</stp>
        <stp>[TPM a RPM_v21.xlsm]Informe5!R140C33</stp>
        <tr r="AG140" s="29"/>
      </tp>
      <tp>
        <v>3.83</v>
        <stp/>
        <stp>##V3_BDHV12</stp>
        <stp>CHSWP2  Curncy</stp>
        <stp>PX_LAST</stp>
        <stp>31-05-2016</stp>
        <stp>31-05-2016</stp>
        <stp>[TPM a RPM_v21.xlsm]Informe5!R113C32</stp>
        <tr r="AF113" s="29"/>
      </tp>
      <tp>
        <v>3.8</v>
        <stp/>
        <stp>##V3_BDHV12</stp>
        <stp>CHSWP2  Curncy</stp>
        <stp>PX_LAST</stp>
        <stp>01-06-2016</stp>
        <stp>01-06-2016</stp>
        <stp>[TPM a RPM_v21.xlsm]Informe5!R112C32</stp>
        <tr r="AF112" s="29"/>
      </tp>
      <tp>
        <v>4.18</v>
        <stp/>
        <stp>##V3_BDHV12</stp>
        <stp>CHSWP5  Curncy</stp>
        <stp>PX_LAST</stp>
        <stp>01-06-2016</stp>
        <stp>01-06-2016</stp>
        <stp>[TPM a RPM_v21.xlsm]Informe5!R112C33</stp>
        <tr r="AG112" s="29"/>
      </tp>
      <tp>
        <v>4.21</v>
        <stp/>
        <stp>##V3_BDHV12</stp>
        <stp>CHSWP5  Curncy</stp>
        <stp>PX_LAST</stp>
        <stp>31-05-2016</stp>
        <stp>31-05-2016</stp>
        <stp>[TPM a RPM_v21.xlsm]Informe5!R113C33</stp>
        <tr r="AG113" s="29"/>
      </tp>
      <tp>
        <v>4.13</v>
        <stp/>
        <stp>##V3_BDHV12</stp>
        <stp>CHSWP5  Curncy</stp>
        <stp>PX_LAST</stp>
        <stp>21-04-2016</stp>
        <stp>21-04-2016</stp>
        <stp>[TPM a RPM_v21.xlsm]Informe5!R141C33</stp>
        <tr r="AG141" s="29"/>
      </tp>
      <tp>
        <v>3.76</v>
        <stp/>
        <stp>##V3_BDHV12</stp>
        <stp>CHSWP2  Curncy</stp>
        <stp>PX_LAST</stp>
        <stp>21-04-2016</stp>
        <stp>21-04-2016</stp>
        <stp>[TPM a RPM_v21.xlsm]Informe5!R141C32</stp>
        <tr r="AF141" s="29"/>
      </tp>
      <tp>
        <v>4.2</v>
        <stp/>
        <stp>##V3_BDHV12</stp>
        <stp>CHSWP5  Curncy</stp>
        <stp>PX_LAST</stp>
        <stp>30-05-2016</stp>
        <stp>30-05-2016</stp>
        <stp>[TPM a RPM_v21.xlsm]Informe5!R114C33</stp>
        <tr r="AG114" s="29"/>
      </tp>
      <tp>
        <v>3.83</v>
        <stp/>
        <stp>##V3_BDHV12</stp>
        <stp>CHSWP2  Curncy</stp>
        <stp>PX_LAST</stp>
        <stp>30-05-2016</stp>
        <stp>30-05-2016</stp>
        <stp>[TPM a RPM_v21.xlsm]Informe5!R114C32</stp>
        <tr r="AF114" s="29"/>
      </tp>
      <tp>
        <v>3.7199999999999998</v>
        <stp/>
        <stp>##V3_BDHV12</stp>
        <stp>CHSWP2  Curncy</stp>
        <stp>PX_LAST</stp>
        <stp>20-04-2016</stp>
        <stp>20-04-2016</stp>
        <stp>[TPM a RPM_v21.xlsm]Informe5!R142C32</stp>
        <tr r="AF142" s="29"/>
      </tp>
      <tp>
        <v>4.12</v>
        <stp/>
        <stp>##V3_BDHV12</stp>
        <stp>CHSWP5  Curncy</stp>
        <stp>PX_LAST</stp>
        <stp>20-04-2016</stp>
        <stp>20-04-2016</stp>
        <stp>[TPM a RPM_v21.xlsm]Informe5!R142C33</stp>
        <tr r="AG142" s="29"/>
      </tp>
      <tp>
        <v>1.984981598442034</v>
        <stp/>
        <stp>##V3_BDPV12</stp>
        <stp>RIAMBEB5 Index</stp>
        <stp>VOLATILITY_260D</stp>
        <stp>[TPM a RPM_v21.xlsm]VolIndicesRA!R19C3</stp>
        <tr r="C19" s="20"/>
      </tp>
      <tp>
        <v>2.1026951824470879</v>
        <stp/>
        <stp>##V3_BDPV12</stp>
        <stp>RIAMBEB3 Index</stp>
        <stp>VOLATILITY_260D</stp>
        <stp>[TPM a RPM_v21.xlsm]VolIndicesRA!R18C3</stp>
        <tr r="C18" s="20"/>
      </tp>
      <tp>
        <v>1.0056659494569575</v>
        <stp/>
        <stp>##V3_BDPV12</stp>
        <stp>RIAMIU01 Index</stp>
        <stp>VOLATILITY_260D</stp>
        <stp>[TPM a RPM_v21.xlsm]VolIndicesRA!R5C3</stp>
        <tr r="C5" s="20"/>
      </tp>
      <tp>
        <v>0.85376401937819701</v>
        <stp/>
        <stp>##V3_BDPV12</stp>
        <stp>RIAMIUM6 Index</stp>
        <stp>VOLATILITY_260D</stp>
        <stp>[TPM a RPM_v21.xlsm]VolIndicesRA!R4C3</stp>
        <tr r="C4" s="20"/>
      </tp>
      <tp>
        <v>1832</v>
        <stp/>
        <stp>##V3_BDPV12</stp>
        <stp>CHSWP5  Curncy</stp>
        <stp>DAYS_TO_MTY_TDY</stp>
        <stp>[TPM a RPM_v21.xlsm]Zero_swap_CL!R11C10</stp>
        <tr r="J11" s="15"/>
      </tp>
      <tp>
        <v>1467</v>
        <stp/>
        <stp>##V3_BDPV12</stp>
        <stp>CHSWP4  Curncy</stp>
        <stp>DAYS_TO_MTY_TDY</stp>
        <stp>[TPM a RPM_v21.xlsm]Zero_swap_CL!R10C10</stp>
        <tr r="J10" s="15"/>
      </tp>
      <tp>
        <v>2562</v>
        <stp/>
        <stp>##V3_BDPV12</stp>
        <stp>CHSWP7  Curncy</stp>
        <stp>DAYS_TO_MTY_TDY</stp>
        <stp>[TPM a RPM_v21.xlsm]Zero_swap_CL!R13C10</stp>
        <tr r="J13" s="15"/>
      </tp>
      <tp>
        <v>2197</v>
        <stp/>
        <stp>##V3_BDPV12</stp>
        <stp>CHSWP6  Curncy</stp>
        <stp>DAYS_TO_MTY_TDY</stp>
        <stp>[TPM a RPM_v21.xlsm]Zero_swap_CL!R12C10</stp>
        <tr r="J12" s="15"/>
      </tp>
      <tp>
        <v>3293</v>
        <stp/>
        <stp>##V3_BDPV12</stp>
        <stp>CHSWP9  Curncy</stp>
        <stp>DAYS_TO_MTY_TDY</stp>
        <stp>[TPM a RPM_v21.xlsm]Zero_swap_CL!R15C10</stp>
        <tr r="J15" s="15"/>
      </tp>
      <tp>
        <v>2928</v>
        <stp/>
        <stp>##V3_BDPV12</stp>
        <stp>CHSWP8  Curncy</stp>
        <stp>DAYS_TO_MTY_TDY</stp>
        <stp>[TPM a RPM_v21.xlsm]Zero_swap_CL!R14C10</stp>
        <tr r="J14" s="15"/>
      </tp>
      <tp>
        <v>1.7307721645920549</v>
        <stp/>
        <stp>##V3_BDPV12</stp>
        <stp>RIAMBEB8 Index</stp>
        <stp>VOLATILITY_260D</stp>
        <stp>[TPM a RPM_v21.xlsm]VolIndicesRA!R20C3</stp>
        <tr r="C20" s="20"/>
      </tp>
      <tp t="s">
        <v>02-08-2017</v>
        <stp/>
        <stp>##V3_BDPV12</stp>
        <stp>S0193Z 9M BLC2 Curncy</stp>
        <stp>MATURITY</stp>
        <stp>[TPM a RPM_v21.xlsm]Zero_swap_CL!R5C17</stp>
        <tr r="Q5" s="15"/>
      </tp>
      <tp t="s">
        <v>02-11-2017</v>
        <stp/>
        <stp>##V3_BDPV12</stp>
        <stp>S0193Z 1Y BLC2 Curncy</stp>
        <stp>MATURITY</stp>
        <stp>[TPM a RPM_v21.xlsm]Zero_swap_CL!R6C17</stp>
        <tr r="Q6" s="15"/>
      </tp>
      <tp t="s">
        <v>05-11-2018</v>
        <stp/>
        <stp>##V3_BDPV12</stp>
        <stp>S0193Z 2Y BLC2 Curncy</stp>
        <stp>MATURITY</stp>
        <stp>[TPM a RPM_v21.xlsm]Zero_swap_CL!R8C17</stp>
        <tr r="Q8" s="15"/>
      </tp>
      <tp t="s">
        <v>04-11-2019</v>
        <stp/>
        <stp>##V3_BDPV12</stp>
        <stp>S0193Z 3Y BLC2 Curncy</stp>
        <stp>MATURITY</stp>
        <stp>[TPM a RPM_v21.xlsm]Zero_swap_CL!R9C17</stp>
        <tr r="Q9" s="15"/>
      </tp>
      <tp t="s">
        <v>02-02-2017</v>
        <stp/>
        <stp>##V3_BDPV12</stp>
        <stp>S0193Z 3M BLC2 Curncy</stp>
        <stp>MATURITY</stp>
        <stp>[TPM a RPM_v21.xlsm]Zero_swap_CL!R3C17</stp>
        <tr r="Q3" s="15"/>
      </tp>
      <tp t="s">
        <v>02-05-2017</v>
        <stp/>
        <stp>##V3_BDPV12</stp>
        <stp>S0193Z 6M BLC2 Curncy</stp>
        <stp>MATURITY</stp>
        <stp>[TPM a RPM_v21.xlsm]Zero_swap_CL!R4C17</stp>
        <tr r="Q4" s="15"/>
      </tp>
      <tp>
        <v>4.0275499999999997</v>
        <stp/>
        <stp>##V3_BDPV12</stp>
        <stp>S0193Z 9Y BLC2 Curncy</stp>
        <stp>PX_LAST</stp>
        <stp>[TPM a RPM_v21.xlsm]Zero_swap_CL!R15C16</stp>
        <tr r="P15" s="15"/>
      </tp>
      <tp>
        <v>3.9371999999999998</v>
        <stp/>
        <stp>##V3_BDPV12</stp>
        <stp>S0193Z 8Y BLC2 Curncy</stp>
        <stp>PX_LAST</stp>
        <stp>[TPM a RPM_v21.xlsm]Zero_swap_CL!R14C16</stp>
        <tr r="P14" s="15"/>
      </tp>
      <tp>
        <v>3.8136700000000001</v>
        <stp/>
        <stp>##V3_BDPV12</stp>
        <stp>S0193Z 7Y BLC2 Curncy</stp>
        <stp>PX_LAST</stp>
        <stp>[TPM a RPM_v21.xlsm]Zero_swap_CL!R13C16</stp>
        <tr r="P13" s="15"/>
      </tp>
      <tp>
        <v>3.7154799999999999</v>
        <stp/>
        <stp>##V3_BDPV12</stp>
        <stp>S0193Z 6Y BLC2 Curncy</stp>
        <stp>PX_LAST</stp>
        <stp>[TPM a RPM_v21.xlsm]Zero_swap_CL!R12C16</stp>
        <tr r="P12" s="15"/>
      </tp>
      <tp>
        <v>3.5968200000000001</v>
        <stp/>
        <stp>##V3_BDPV12</stp>
        <stp>S0193Z 5Y BLC2 Curncy</stp>
        <stp>PX_LAST</stp>
        <stp>[TPM a RPM_v21.xlsm]Zero_swap_CL!R11C16</stp>
        <tr r="P11" s="15"/>
      </tp>
      <tp>
        <v>3.4473199999999999</v>
        <stp/>
        <stp>##V3_BDPV12</stp>
        <stp>S0193Z 4Y BLC2 Curncy</stp>
        <stp>PX_LAST</stp>
        <stp>[TPM a RPM_v21.xlsm]Zero_swap_CL!R10C16</stp>
        <tr r="P10" s="15"/>
      </tp>
      <tp>
        <v>0.95</v>
        <stp/>
        <stp>##V3_BDHV12</stp>
        <stp>CHSWC5 Curncy</stp>
        <stp>PX_LAST</stp>
        <stp>30-08-2016</stp>
        <stp>30-08-2016</stp>
        <stp>[TPM a RPM_v21.xlsm]Informe5!R48C36</stp>
        <tr r="AJ48" s="29"/>
      </tp>
      <tp>
        <v>0.81</v>
        <stp/>
        <stp>##V3_BDHV12</stp>
        <stp>CHSWC5 Curncy</stp>
        <stp>PX_LAST</stp>
        <stp>26-09-2016</stp>
        <stp>26-09-2016</stp>
        <stp>[TPM a RPM_v21.xlsm]Informe5!R29C36</stp>
        <tr r="AJ29" s="29"/>
      </tp>
      <tp>
        <v>0.77</v>
        <stp/>
        <stp>##V3_BDHV12</stp>
        <stp>CHSWC5 Curncy</stp>
        <stp>PX_LAST</stp>
        <stp>27-09-2016</stp>
        <stp>27-09-2016</stp>
        <stp>[TPM a RPM_v21.xlsm]Informe5!R28C36</stp>
        <tr r="AJ28" s="29"/>
      </tp>
      <tp>
        <v>0.95</v>
        <stp/>
        <stp>##V3_BDHV12</stp>
        <stp>CHSWC5 Curncy</stp>
        <stp>PX_LAST</stp>
        <stp>31-08-2016</stp>
        <stp>31-08-2016</stp>
        <stp>[TPM a RPM_v21.xlsm]Informe5!R47C36</stp>
        <tr r="AJ47" s="29"/>
      </tp>
      <tp>
        <v>0.81</v>
        <stp/>
        <stp>##V3_BDHV12</stp>
        <stp>CHSWC5 Curncy</stp>
        <stp>PX_LAST</stp>
        <stp>23-09-2016</stp>
        <stp>23-09-2016</stp>
        <stp>[TPM a RPM_v21.xlsm]Informe5!R30C36</stp>
        <tr r="AJ30" s="29"/>
      </tp>
      <tp>
        <v>0.84</v>
        <stp/>
        <stp>##V3_BDHV12</stp>
        <stp>CHSWC5 Curncy</stp>
        <stp>PX_LAST</stp>
        <stp>22-09-2016</stp>
        <stp>22-09-2016</stp>
        <stp>[TPM a RPM_v21.xlsm]Informe5!R31C36</stp>
        <tr r="AJ31" s="29"/>
      </tp>
      <tp>
        <v>0.87</v>
        <stp/>
        <stp>##V3_BDHV12</stp>
        <stp>CHSWC5 Curncy</stp>
        <stp>PX_LAST</stp>
        <stp>21-09-2016</stp>
        <stp>21-09-2016</stp>
        <stp>[TPM a RPM_v21.xlsm]Informe5!R32C36</stp>
        <tr r="AJ32" s="29"/>
      </tp>
      <tp>
        <v>0.9</v>
        <stp/>
        <stp>##V3_BDHV12</stp>
        <stp>CHSWC5 Curncy</stp>
        <stp>PX_LAST</stp>
        <stp>20-09-2016</stp>
        <stp>20-09-2016</stp>
        <stp>[TPM a RPM_v21.xlsm]Informe5!R33C36</stp>
        <tr r="AJ33" s="29"/>
      </tp>
      <tp>
        <v>0.74</v>
        <stp/>
        <stp>##V3_BDHV12</stp>
        <stp>CHSWC5 Curncy</stp>
        <stp>PX_LAST</stp>
        <stp>28-09-2016</stp>
        <stp>28-09-2016</stp>
        <stp>[TPM a RPM_v21.xlsm]Informe5!R27C36</stp>
        <tr r="AJ27" s="29"/>
      </tp>
      <tp>
        <v>0.77</v>
        <stp/>
        <stp>##V3_BDHV12</stp>
        <stp>CHSWC5 Curncy</stp>
        <stp>PX_LAST</stp>
        <stp>29-09-2016</stp>
        <stp>29-09-2016</stp>
        <stp>[TPM a RPM_v21.xlsm]Informe5!R26C36</stp>
        <tr r="AJ26" s="29"/>
      </tp>
      <tp>
        <v>0.96</v>
        <stp/>
        <stp>##V3_BDHV12</stp>
        <stp>CHSWC5 Curncy</stp>
        <stp>PX_LAST</stp>
        <stp>22-08-2016</stp>
        <stp>22-08-2016</stp>
        <stp>[TPM a RPM_v21.xlsm]Informe5!R54C36</stp>
        <tr r="AJ54" s="29"/>
      </tp>
      <tp>
        <v>0.96</v>
        <stp/>
        <stp>##V3_BDHV12</stp>
        <stp>CHSWC5 Curncy</stp>
        <stp>PX_LAST</stp>
        <stp>23-08-2016</stp>
        <stp>23-08-2016</stp>
        <stp>[TPM a RPM_v21.xlsm]Informe5!R53C36</stp>
        <tr r="AJ53" s="29"/>
      </tp>
      <tp>
        <v>0.94</v>
        <stp/>
        <stp>##V3_BDHV12</stp>
        <stp>CHSWC5 Curncy</stp>
        <stp>PX_LAST</stp>
        <stp>24-08-2016</stp>
        <stp>24-08-2016</stp>
        <stp>[TPM a RPM_v21.xlsm]Informe5!R52C36</stp>
        <tr r="AJ52" s="29"/>
      </tp>
      <tp>
        <v>0.94</v>
        <stp/>
        <stp>##V3_BDHV12</stp>
        <stp>CHSWC5 Curncy</stp>
        <stp>PX_LAST</stp>
        <stp>25-08-2016</stp>
        <stp>25-08-2016</stp>
        <stp>[TPM a RPM_v21.xlsm]Informe5!R51C36</stp>
        <tr r="AJ51" s="29"/>
      </tp>
      <tp>
        <v>0.94</v>
        <stp/>
        <stp>##V3_BDHV12</stp>
        <stp>CHSWC5 Curncy</stp>
        <stp>PX_LAST</stp>
        <stp>26-08-2016</stp>
        <stp>26-08-2016</stp>
        <stp>[TPM a RPM_v21.xlsm]Informe5!R50C36</stp>
        <tr r="AJ50" s="29"/>
      </tp>
      <tp>
        <v>0.77</v>
        <stp/>
        <stp>##V3_BDHV12</stp>
        <stp>CHSWC5 Curncy</stp>
        <stp>PX_LAST</stp>
        <stp>30-09-2016</stp>
        <stp>30-09-2016</stp>
        <stp>[TPM a RPM_v21.xlsm]Informe5!R25C36</stp>
        <tr r="AJ25" s="29"/>
      </tp>
      <tp>
        <v>0.94</v>
        <stp/>
        <stp>##V3_BDHV12</stp>
        <stp>CHSWC5 Curncy</stp>
        <stp>PX_LAST</stp>
        <stp>29-08-2016</stp>
        <stp>29-08-2016</stp>
        <stp>[TPM a RPM_v21.xlsm]Informe5!R49C36</stp>
        <tr r="AJ49" s="29"/>
      </tp>
      <tp>
        <v>0.95</v>
        <stp/>
        <stp>##V3_BDHV12</stp>
        <stp>CHSWC5 Curncy</stp>
        <stp>PX_LAST</stp>
        <stp>10-08-2016</stp>
        <stp>10-08-2016</stp>
        <stp>[TPM a RPM_v21.xlsm]Informe5!R62C36</stp>
        <tr r="AJ62" s="29"/>
      </tp>
      <tp>
        <v>0.96</v>
        <stp/>
        <stp>##V3_BDHV12</stp>
        <stp>CHSWC5 Curncy</stp>
        <stp>PX_LAST</stp>
        <stp>02-09-2016</stp>
        <stp>02-09-2016</stp>
        <stp>[TPM a RPM_v21.xlsm]Informe5!R45C36</stp>
        <tr r="AJ45" s="29"/>
      </tp>
      <tp>
        <v>0.93</v>
        <stp/>
        <stp>##V3_BDHV12</stp>
        <stp>CHSWC5 Curncy</stp>
        <stp>PX_LAST</stp>
        <stp>11-08-2016</stp>
        <stp>11-08-2016</stp>
        <stp>[TPM a RPM_v21.xlsm]Informe5!R61C36</stp>
        <tr r="AJ61" s="29"/>
      </tp>
      <tp>
        <v>0.9</v>
        <stp/>
        <stp>##V3_BDHV12</stp>
        <stp>CHSWC5 Curncy</stp>
        <stp>PX_LAST</stp>
        <stp>12-08-2016</stp>
        <stp>12-08-2016</stp>
        <stp>[TPM a RPM_v21.xlsm]Informe5!R60C36</stp>
        <tr r="AJ60" s="29"/>
      </tp>
      <tp>
        <v>0.94</v>
        <stp/>
        <stp>##V3_BDHV12</stp>
        <stp>CHSWC5 Curncy</stp>
        <stp>PX_LAST</stp>
        <stp>01-09-2016</stp>
        <stp>01-09-2016</stp>
        <stp>[TPM a RPM_v21.xlsm]Informe5!R46C36</stp>
        <tr r="AJ46" s="29"/>
      </tp>
      <tp>
        <v>0.93</v>
        <stp/>
        <stp>##V3_BDHV12</stp>
        <stp>CHSWC5 Curncy</stp>
        <stp>PX_LAST</stp>
        <stp>17-08-2016</stp>
        <stp>17-08-2016</stp>
        <stp>[TPM a RPM_v21.xlsm]Informe5!R57C36</stp>
        <tr r="AJ57" s="29"/>
      </tp>
      <tp>
        <v>0.89</v>
        <stp/>
        <stp>##V3_BDHV12</stp>
        <stp>CHSWC5 Curncy</stp>
        <stp>PX_LAST</stp>
        <stp>06-09-2016</stp>
        <stp>06-09-2016</stp>
        <stp>[TPM a RPM_v21.xlsm]Informe5!R43C36</stp>
        <tr r="AJ43" s="29"/>
      </tp>
      <tp>
        <v>0.92</v>
        <stp/>
        <stp>##V3_BDHV12</stp>
        <stp>CHSWC5 Curncy</stp>
        <stp>PX_LAST</stp>
        <stp>16-08-2016</stp>
        <stp>16-08-2016</stp>
        <stp>[TPM a RPM_v21.xlsm]Informe5!R58C36</stp>
        <tr r="AJ58" s="29"/>
      </tp>
      <tp>
        <v>0.89</v>
        <stp/>
        <stp>##V3_BDHV12</stp>
        <stp>CHSWC5 Curncy</stp>
        <stp>PX_LAST</stp>
        <stp>07-09-2016</stp>
        <stp>07-09-2016</stp>
        <stp>[TPM a RPM_v21.xlsm]Informe5!R42C36</stp>
        <tr r="AJ42" s="29"/>
      </tp>
      <tp t="s">
        <v>#N/A N/A</v>
        <stp/>
        <stp>##V3_BDHV12</stp>
        <stp>CHSWC5 Curncy</stp>
        <stp>PX_LAST</stp>
        <stp>15-08-2016</stp>
        <stp>15-08-2016</stp>
        <stp>[TPM a RPM_v21.xlsm]Informe5!R59C36</stp>
        <tr r="AJ59" s="29"/>
      </tp>
      <tp>
        <v>0.92</v>
        <stp/>
        <stp>##V3_BDHV12</stp>
        <stp>CHSWC5 Curncy</stp>
        <stp>PX_LAST</stp>
        <stp>05-09-2016</stp>
        <stp>05-09-2016</stp>
        <stp>[TPM a RPM_v21.xlsm]Informe5!R44C36</stp>
        <tr r="AJ44" s="29"/>
      </tp>
      <tp>
        <v>0.89</v>
        <stp/>
        <stp>##V3_BDHV12</stp>
        <stp>CHSWC5 Curncy</stp>
        <stp>PX_LAST</stp>
        <stp>08-09-2016</stp>
        <stp>08-09-2016</stp>
        <stp>[TPM a RPM_v21.xlsm]Informe5!R41C36</stp>
        <tr r="AJ41" s="29"/>
      </tp>
      <tp>
        <v>0.96</v>
        <stp/>
        <stp>##V3_BDHV12</stp>
        <stp>CHSWC5 Curncy</stp>
        <stp>PX_LAST</stp>
        <stp>19-08-2016</stp>
        <stp>19-08-2016</stp>
        <stp>[TPM a RPM_v21.xlsm]Informe5!R55C36</stp>
        <tr r="AJ55" s="29"/>
      </tp>
      <tp>
        <v>0.91</v>
        <stp/>
        <stp>##V3_BDHV12</stp>
        <stp>CHSWC5 Curncy</stp>
        <stp>PX_LAST</stp>
        <stp>09-09-2016</stp>
        <stp>09-09-2016</stp>
        <stp>[TPM a RPM_v21.xlsm]Informe5!R40C36</stp>
        <tr r="AJ40" s="29"/>
      </tp>
      <tp>
        <v>0.96</v>
        <stp/>
        <stp>##V3_BDHV12</stp>
        <stp>CHSWC5 Curncy</stp>
        <stp>PX_LAST</stp>
        <stp>18-08-2016</stp>
        <stp>18-08-2016</stp>
        <stp>[TPM a RPM_v21.xlsm]Informe5!R56C36</stp>
        <tr r="AJ56" s="29"/>
      </tp>
      <tp>
        <v>1.07</v>
        <stp/>
        <stp>##V3_BDHV12</stp>
        <stp>CHSWC5 Curncy</stp>
        <stp>PX_LAST</stp>
        <stp>01-08-2016</stp>
        <stp>01-08-2016</stp>
        <stp>[TPM a RPM_v21.xlsm]Informe5!R69C36</stp>
        <tr r="AJ69" s="29"/>
      </tp>
      <tp>
        <v>0.96</v>
        <stp/>
        <stp>##V3_BDHV12</stp>
        <stp>CHSWC5 Curncy</stp>
        <stp>PX_LAST</stp>
        <stp>14-09-2016</stp>
        <stp>14-09-2016</stp>
        <stp>[TPM a RPM_v21.xlsm]Informe5!R37C36</stp>
        <tr r="AJ37" s="29"/>
      </tp>
      <tp>
        <v>0.94</v>
        <stp/>
        <stp>##V3_BDHV12</stp>
        <stp>CHSWC5 Curncy</stp>
        <stp>PX_LAST</stp>
        <stp>15-09-2016</stp>
        <stp>15-09-2016</stp>
        <stp>[TPM a RPM_v21.xlsm]Informe5!R36C36</stp>
        <tr r="AJ36" s="29"/>
      </tp>
      <tp>
        <v>0.92</v>
        <stp/>
        <stp>##V3_BDHV12</stp>
        <stp>CHSWC5 Curncy</stp>
        <stp>PX_LAST</stp>
        <stp>16-09-2016</stp>
        <stp>16-09-2016</stp>
        <stp>[TPM a RPM_v21.xlsm]Informe5!R35C36</stp>
        <tr r="AJ35" s="29"/>
      </tp>
      <tp>
        <v>1.06</v>
        <stp/>
        <stp>##V3_BDHV12</stp>
        <stp>CHSWC5 Curncy</stp>
        <stp>PX_LAST</stp>
        <stp>03-08-2016</stp>
        <stp>03-08-2016</stp>
        <stp>[TPM a RPM_v21.xlsm]Informe5!R67C36</stp>
        <tr r="AJ67" s="29"/>
      </tp>
      <tp>
        <v>1.08</v>
        <stp/>
        <stp>##V3_BDHV12</stp>
        <stp>CHSWC5 Curncy</stp>
        <stp>PX_LAST</stp>
        <stp>02-08-2016</stp>
        <stp>02-08-2016</stp>
        <stp>[TPM a RPM_v21.xlsm]Informe5!R68C36</stp>
        <tr r="AJ68" s="29"/>
      </tp>
      <tp>
        <v>0.99</v>
        <stp/>
        <stp>##V3_BDHV12</stp>
        <stp>CHSWC5 Curncy</stp>
        <stp>PX_LAST</stp>
        <stp>05-08-2016</stp>
        <stp>05-08-2016</stp>
        <stp>[TPM a RPM_v21.xlsm]Informe5!R65C36</stp>
        <tr r="AJ65" s="29"/>
      </tp>
      <tp>
        <v>1.01</v>
        <stp/>
        <stp>##V3_BDHV12</stp>
        <stp>CHSWC5 Curncy</stp>
        <stp>PX_LAST</stp>
        <stp>04-08-2016</stp>
        <stp>04-08-2016</stp>
        <stp>[TPM a RPM_v21.xlsm]Informe5!R66C36</stp>
        <tr r="AJ66" s="29"/>
      </tp>
      <tp>
        <v>0.93</v>
        <stp/>
        <stp>##V3_BDHV12</stp>
        <stp>CHSWC5 Curncy</stp>
        <stp>PX_LAST</stp>
        <stp>12-09-2016</stp>
        <stp>12-09-2016</stp>
        <stp>[TPM a RPM_v21.xlsm]Informe5!R39C36</stp>
        <tr r="AJ39" s="29"/>
      </tp>
      <tp>
        <v>0.95</v>
        <stp/>
        <stp>##V3_BDHV12</stp>
        <stp>CHSWC5 Curncy</stp>
        <stp>PX_LAST</stp>
        <stp>13-09-2016</stp>
        <stp>13-09-2016</stp>
        <stp>[TPM a RPM_v21.xlsm]Informe5!R38C36</stp>
        <tr r="AJ38" s="29"/>
      </tp>
      <tp>
        <v>0.97</v>
        <stp/>
        <stp>##V3_BDHV12</stp>
        <stp>CHSWC5 Curncy</stp>
        <stp>PX_LAST</stp>
        <stp>09-08-2016</stp>
        <stp>09-08-2016</stp>
        <stp>[TPM a RPM_v21.xlsm]Informe5!R63C36</stp>
        <tr r="AJ63" s="29"/>
      </tp>
      <tp>
        <v>0.98</v>
        <stp/>
        <stp>##V3_BDHV12</stp>
        <stp>CHSWC5 Curncy</stp>
        <stp>PX_LAST</stp>
        <stp>08-08-2016</stp>
        <stp>08-08-2016</stp>
        <stp>[TPM a RPM_v21.xlsm]Informe5!R64C36</stp>
        <tr r="AJ64" s="29"/>
      </tp>
      <tp t="s">
        <v>#N/A N/A</v>
        <stp/>
        <stp>##V3_BDHV12</stp>
        <stp>CHSWC5 Curncy</stp>
        <stp>PX_LAST</stp>
        <stp>19-09-2016</stp>
        <stp>19-09-2016</stp>
        <stp>[TPM a RPM_v21.xlsm]Informe5!R34C36</stp>
        <tr r="AJ34" s="29"/>
      </tp>
      <tp>
        <v>0.8</v>
        <stp/>
        <stp>##V3_BDHV12</stp>
        <stp>CHSWC2 Curncy</stp>
        <stp>PX_LAST</stp>
        <stp>02-08-2016</stp>
        <stp>02-08-2016</stp>
        <stp>[TPM a RPM_v21.xlsm]Informe5!R68C35</stp>
        <tr r="AI68" s="29"/>
      </tp>
      <tp>
        <v>0.59</v>
        <stp/>
        <stp>##V3_BDHV12</stp>
        <stp>CHSWC2 Curncy</stp>
        <stp>PX_LAST</stp>
        <stp>16-09-2016</stp>
        <stp>16-09-2016</stp>
        <stp>[TPM a RPM_v21.xlsm]Informe5!R35C35</stp>
        <tr r="AI35" s="29"/>
      </tp>
      <tp>
        <v>0.8</v>
        <stp/>
        <stp>##V3_BDHV12</stp>
        <stp>CHSWC2 Curncy</stp>
        <stp>PX_LAST</stp>
        <stp>03-08-2016</stp>
        <stp>03-08-2016</stp>
        <stp>[TPM a RPM_v21.xlsm]Informe5!R67C35</stp>
        <tr r="AI67" s="29"/>
      </tp>
      <tp>
        <v>0.6</v>
        <stp/>
        <stp>##V3_BDHV12</stp>
        <stp>CHSWC2 Curncy</stp>
        <stp>PX_LAST</stp>
        <stp>15-09-2016</stp>
        <stp>15-09-2016</stp>
        <stp>[TPM a RPM_v21.xlsm]Informe5!R36C35</stp>
        <tr r="AI36" s="29"/>
      </tp>
      <tp>
        <v>0.8</v>
        <stp/>
        <stp>##V3_BDHV12</stp>
        <stp>CHSWC2 Curncy</stp>
        <stp>PX_LAST</stp>
        <stp>01-08-2016</stp>
        <stp>01-08-2016</stp>
        <stp>[TPM a RPM_v21.xlsm]Informe5!R69C35</stp>
        <tr r="AI69" s="29"/>
      </tp>
      <tp>
        <v>0.63</v>
        <stp/>
        <stp>##V3_BDHV12</stp>
        <stp>CHSWC2 Curncy</stp>
        <stp>PX_LAST</stp>
        <stp>14-09-2016</stp>
        <stp>14-09-2016</stp>
        <stp>[TPM a RPM_v21.xlsm]Informe5!R37C35</stp>
        <tr r="AI37" s="29"/>
      </tp>
      <tp>
        <v>0.62</v>
        <stp/>
        <stp>##V3_BDHV12</stp>
        <stp>CHSWC2 Curncy</stp>
        <stp>PX_LAST</stp>
        <stp>13-09-2016</stp>
        <stp>13-09-2016</stp>
        <stp>[TPM a RPM_v21.xlsm]Informe5!R38C35</stp>
        <tr r="AI38" s="29"/>
      </tp>
      <tp>
        <v>0.61</v>
        <stp/>
        <stp>##V3_BDHV12</stp>
        <stp>CHSWC2 Curncy</stp>
        <stp>PX_LAST</stp>
        <stp>12-09-2016</stp>
        <stp>12-09-2016</stp>
        <stp>[TPM a RPM_v21.xlsm]Informe5!R39C35</stp>
        <tr r="AI39" s="29"/>
      </tp>
      <tp>
        <v>0.78</v>
        <stp/>
        <stp>##V3_BDHV12</stp>
        <stp>CHSWC2 Curncy</stp>
        <stp>PX_LAST</stp>
        <stp>04-08-2016</stp>
        <stp>04-08-2016</stp>
        <stp>[TPM a RPM_v21.xlsm]Informe5!R66C35</stp>
        <tr r="AI66" s="29"/>
      </tp>
      <tp>
        <v>0.76</v>
        <stp/>
        <stp>##V3_BDHV12</stp>
        <stp>CHSWC2 Curncy</stp>
        <stp>PX_LAST</stp>
        <stp>05-08-2016</stp>
        <stp>05-08-2016</stp>
        <stp>[TPM a RPM_v21.xlsm]Informe5!R65C35</stp>
        <tr r="AI65" s="29"/>
      </tp>
      <tp>
        <v>0.72</v>
        <stp/>
        <stp>##V3_BDHV12</stp>
        <stp>CHSWC2 Curncy</stp>
        <stp>PX_LAST</stp>
        <stp>08-08-2016</stp>
        <stp>08-08-2016</stp>
        <stp>[TPM a RPM_v21.xlsm]Informe5!R64C35</stp>
        <tr r="AI64" s="29"/>
      </tp>
      <tp>
        <v>0.71</v>
        <stp/>
        <stp>##V3_BDHV12</stp>
        <stp>CHSWC2 Curncy</stp>
        <stp>PX_LAST</stp>
        <stp>09-08-2016</stp>
        <stp>09-08-2016</stp>
        <stp>[TPM a RPM_v21.xlsm]Informe5!R63C35</stp>
        <tr r="AI63" s="29"/>
      </tp>
      <tp t="s">
        <v>#N/A N/A</v>
        <stp/>
        <stp>##V3_BDHV12</stp>
        <stp>CHSWC2 Curncy</stp>
        <stp>PX_LAST</stp>
        <stp>19-09-2016</stp>
        <stp>19-09-2016</stp>
        <stp>[TPM a RPM_v21.xlsm]Informe5!R34C35</stp>
        <tr r="AI34" s="29"/>
      </tp>
      <tp>
        <v>0.64</v>
        <stp/>
        <stp>##V3_BDHV12</stp>
        <stp>CHSWC2 Curncy</stp>
        <stp>PX_LAST</stp>
        <stp>01-09-2016</stp>
        <stp>01-09-2016</stp>
        <stp>[TPM a RPM_v21.xlsm]Informe5!R46C35</stp>
        <tr r="AI46" s="29"/>
      </tp>
      <tp>
        <v>0.6</v>
        <stp/>
        <stp>##V3_BDHV12</stp>
        <stp>CHSWC2 Curncy</stp>
        <stp>PX_LAST</stp>
        <stp>12-08-2016</stp>
        <stp>12-08-2016</stp>
        <stp>[TPM a RPM_v21.xlsm]Informe5!R60C35</stp>
        <tr r="AI60" s="29"/>
      </tp>
      <tp>
        <v>0.65</v>
        <stp/>
        <stp>##V3_BDHV12</stp>
        <stp>CHSWC2 Curncy</stp>
        <stp>PX_LAST</stp>
        <stp>11-08-2016</stp>
        <stp>11-08-2016</stp>
        <stp>[TPM a RPM_v21.xlsm]Informe5!R61C35</stp>
        <tr r="AI61" s="29"/>
      </tp>
      <tp>
        <v>0.67</v>
        <stp/>
        <stp>##V3_BDHV12</stp>
        <stp>CHSWC2 Curncy</stp>
        <stp>PX_LAST</stp>
        <stp>10-08-2016</stp>
        <stp>10-08-2016</stp>
        <stp>[TPM a RPM_v21.xlsm]Informe5!R62C35</stp>
        <tr r="AI62" s="29"/>
      </tp>
      <tp>
        <v>0.64</v>
        <stp/>
        <stp>##V3_BDHV12</stp>
        <stp>CHSWC2 Curncy</stp>
        <stp>PX_LAST</stp>
        <stp>02-09-2016</stp>
        <stp>02-09-2016</stp>
        <stp>[TPM a RPM_v21.xlsm]Informe5!R45C35</stp>
        <tr r="AI45" s="29"/>
      </tp>
      <tp>
        <v>0.62</v>
        <stp/>
        <stp>##V3_BDHV12</stp>
        <stp>CHSWC2 Curncy</stp>
        <stp>PX_LAST</stp>
        <stp>05-09-2016</stp>
        <stp>05-09-2016</stp>
        <stp>[TPM a RPM_v21.xlsm]Informe5!R44C35</stp>
        <tr r="AI44" s="29"/>
      </tp>
      <tp t="s">
        <v>#N/A N/A</v>
        <stp/>
        <stp>##V3_BDHV12</stp>
        <stp>CHSWC2 Curncy</stp>
        <stp>PX_LAST</stp>
        <stp>15-08-2016</stp>
        <stp>15-08-2016</stp>
        <stp>[TPM a RPM_v21.xlsm]Informe5!R59C35</stp>
        <tr r="AI59" s="29"/>
      </tp>
      <tp>
        <v>0.6</v>
        <stp/>
        <stp>##V3_BDHV12</stp>
        <stp>CHSWC2 Curncy</stp>
        <stp>PX_LAST</stp>
        <stp>16-08-2016</stp>
        <stp>16-08-2016</stp>
        <stp>[TPM a RPM_v21.xlsm]Informe5!R58C35</stp>
        <tr r="AI58" s="29"/>
      </tp>
      <tp>
        <v>0.6</v>
        <stp/>
        <stp>##V3_BDHV12</stp>
        <stp>CHSWC2 Curncy</stp>
        <stp>PX_LAST</stp>
        <stp>07-09-2016</stp>
        <stp>07-09-2016</stp>
        <stp>[TPM a RPM_v21.xlsm]Informe5!R42C35</stp>
        <tr r="AI42" s="29"/>
      </tp>
      <tp>
        <v>0.6</v>
        <stp/>
        <stp>##V3_BDHV12</stp>
        <stp>CHSWC2 Curncy</stp>
        <stp>PX_LAST</stp>
        <stp>17-08-2016</stp>
        <stp>17-08-2016</stp>
        <stp>[TPM a RPM_v21.xlsm]Informe5!R57C35</stp>
        <tr r="AI57" s="29"/>
      </tp>
      <tp>
        <v>0.57999999999999996</v>
        <stp/>
        <stp>##V3_BDHV12</stp>
        <stp>CHSWC2 Curncy</stp>
        <stp>PX_LAST</stp>
        <stp>06-09-2016</stp>
        <stp>06-09-2016</stp>
        <stp>[TPM a RPM_v21.xlsm]Informe5!R43C35</stp>
        <tr r="AI43" s="29"/>
      </tp>
      <tp>
        <v>0.61</v>
        <stp/>
        <stp>##V3_BDHV12</stp>
        <stp>CHSWC2 Curncy</stp>
        <stp>PX_LAST</stp>
        <stp>09-09-2016</stp>
        <stp>09-09-2016</stp>
        <stp>[TPM a RPM_v21.xlsm]Informe5!R40C35</stp>
        <tr r="AI40" s="29"/>
      </tp>
      <tp>
        <v>0.62</v>
        <stp/>
        <stp>##V3_BDHV12</stp>
        <stp>CHSWC2 Curncy</stp>
        <stp>PX_LAST</stp>
        <stp>18-08-2016</stp>
        <stp>18-08-2016</stp>
        <stp>[TPM a RPM_v21.xlsm]Informe5!R56C35</stp>
        <tr r="AI56" s="29"/>
      </tp>
      <tp>
        <v>0.57999999999999996</v>
        <stp/>
        <stp>##V3_BDHV12</stp>
        <stp>CHSWC2 Curncy</stp>
        <stp>PX_LAST</stp>
        <stp>08-09-2016</stp>
        <stp>08-09-2016</stp>
        <stp>[TPM a RPM_v21.xlsm]Informe5!R41C35</stp>
        <tr r="AI41" s="29"/>
      </tp>
      <tp>
        <v>0.61</v>
        <stp/>
        <stp>##V3_BDHV12</stp>
        <stp>CHSWC2 Curncy</stp>
        <stp>PX_LAST</stp>
        <stp>19-08-2016</stp>
        <stp>19-08-2016</stp>
        <stp>[TPM a RPM_v21.xlsm]Informe5!R55C35</stp>
        <tr r="AI55" s="29"/>
      </tp>
      <tp>
        <v>0.62</v>
        <stp/>
        <stp>##V3_BDHV12</stp>
        <stp>CHSWC2 Curncy</stp>
        <stp>PX_LAST</stp>
        <stp>23-08-2016</stp>
        <stp>23-08-2016</stp>
        <stp>[TPM a RPM_v21.xlsm]Informe5!R53C35</stp>
        <tr r="AI53" s="29"/>
      </tp>
      <tp>
        <v>0.62</v>
        <stp/>
        <stp>##V3_BDHV12</stp>
        <stp>CHSWC2 Curncy</stp>
        <stp>PX_LAST</stp>
        <stp>22-08-2016</stp>
        <stp>22-08-2016</stp>
        <stp>[TPM a RPM_v21.xlsm]Informe5!R54C35</stp>
        <tr r="AI54" s="29"/>
      </tp>
      <tp>
        <v>0.47</v>
        <stp/>
        <stp>##V3_BDHV12</stp>
        <stp>CHSWC2 Curncy</stp>
        <stp>PX_LAST</stp>
        <stp>30-09-2016</stp>
        <stp>30-09-2016</stp>
        <stp>[TPM a RPM_v21.xlsm]Informe5!R25C35</stp>
        <tr r="AI25" s="29"/>
      </tp>
      <tp>
        <v>0.62</v>
        <stp/>
        <stp>##V3_BDHV12</stp>
        <stp>CHSWC2 Curncy</stp>
        <stp>PX_LAST</stp>
        <stp>26-08-2016</stp>
        <stp>26-08-2016</stp>
        <stp>[TPM a RPM_v21.xlsm]Informe5!R50C35</stp>
        <tr r="AI50" s="29"/>
      </tp>
      <tp>
        <v>0.61</v>
        <stp/>
        <stp>##V3_BDHV12</stp>
        <stp>CHSWC2 Curncy</stp>
        <stp>PX_LAST</stp>
        <stp>25-08-2016</stp>
        <stp>25-08-2016</stp>
        <stp>[TPM a RPM_v21.xlsm]Informe5!R51C35</stp>
        <tr r="AI51" s="29"/>
      </tp>
      <tp>
        <v>0.62</v>
        <stp/>
        <stp>##V3_BDHV12</stp>
        <stp>CHSWC2 Curncy</stp>
        <stp>PX_LAST</stp>
        <stp>24-08-2016</stp>
        <stp>24-08-2016</stp>
        <stp>[TPM a RPM_v21.xlsm]Informe5!R52C35</stp>
        <tr r="AI52" s="29"/>
      </tp>
      <tp>
        <v>0.62</v>
        <stp/>
        <stp>##V3_BDHV12</stp>
        <stp>CHSWC2 Curncy</stp>
        <stp>PX_LAST</stp>
        <stp>29-08-2016</stp>
        <stp>29-08-2016</stp>
        <stp>[TPM a RPM_v21.xlsm]Informe5!R49C35</stp>
        <tr r="AI49" s="29"/>
      </tp>
      <tp>
        <v>0.45</v>
        <stp/>
        <stp>##V3_BDHV12</stp>
        <stp>CHSWC2 Curncy</stp>
        <stp>PX_LAST</stp>
        <stp>27-09-2016</stp>
        <stp>27-09-2016</stp>
        <stp>[TPM a RPM_v21.xlsm]Informe5!R28C35</stp>
        <tr r="AI28" s="29"/>
      </tp>
      <tp>
        <v>0.64</v>
        <stp/>
        <stp>##V3_BDHV12</stp>
        <stp>CHSWC2 Curncy</stp>
        <stp>PX_LAST</stp>
        <stp>31-08-2016</stp>
        <stp>31-08-2016</stp>
        <stp>[TPM a RPM_v21.xlsm]Informe5!R47C35</stp>
        <tr r="AI47" s="29"/>
      </tp>
      <tp>
        <v>0.64</v>
        <stp/>
        <stp>##V3_BDHV12</stp>
        <stp>CHSWC2 Curncy</stp>
        <stp>PX_LAST</stp>
        <stp>30-08-2016</stp>
        <stp>30-08-2016</stp>
        <stp>[TPM a RPM_v21.xlsm]Informe5!R48C35</stp>
        <tr r="AI48" s="29"/>
      </tp>
      <tp>
        <v>0.48</v>
        <stp/>
        <stp>##V3_BDHV12</stp>
        <stp>CHSWC2 Curncy</stp>
        <stp>PX_LAST</stp>
        <stp>26-09-2016</stp>
        <stp>26-09-2016</stp>
        <stp>[TPM a RPM_v21.xlsm]Informe5!R29C35</stp>
        <tr r="AI29" s="29"/>
      </tp>
      <tp>
        <v>0.57999999999999996</v>
        <stp/>
        <stp>##V3_BDHV12</stp>
        <stp>CHSWC2 Curncy</stp>
        <stp>PX_LAST</stp>
        <stp>20-09-2016</stp>
        <stp>20-09-2016</stp>
        <stp>[TPM a RPM_v21.xlsm]Informe5!R33C35</stp>
        <tr r="AI33" s="29"/>
      </tp>
      <tp>
        <v>0.56000000000000005</v>
        <stp/>
        <stp>##V3_BDHV12</stp>
        <stp>CHSWC2 Curncy</stp>
        <stp>PX_LAST</stp>
        <stp>21-09-2016</stp>
        <stp>21-09-2016</stp>
        <stp>[TPM a RPM_v21.xlsm]Informe5!R32C35</stp>
        <tr r="AI32" s="29"/>
      </tp>
      <tp>
        <v>0.52</v>
        <stp/>
        <stp>##V3_BDHV12</stp>
        <stp>CHSWC2 Curncy</stp>
        <stp>PX_LAST</stp>
        <stp>22-09-2016</stp>
        <stp>22-09-2016</stp>
        <stp>[TPM a RPM_v21.xlsm]Informe5!R31C35</stp>
        <tr r="AI31" s="29"/>
      </tp>
      <tp>
        <v>0.5</v>
        <stp/>
        <stp>##V3_BDHV12</stp>
        <stp>CHSWC2 Curncy</stp>
        <stp>PX_LAST</stp>
        <stp>23-09-2016</stp>
        <stp>23-09-2016</stp>
        <stp>[TPM a RPM_v21.xlsm]Informe5!R30C35</stp>
        <tr r="AI30" s="29"/>
      </tp>
      <tp>
        <v>0.47</v>
        <stp/>
        <stp>##V3_BDHV12</stp>
        <stp>CHSWC2 Curncy</stp>
        <stp>PX_LAST</stp>
        <stp>29-09-2016</stp>
        <stp>29-09-2016</stp>
        <stp>[TPM a RPM_v21.xlsm]Informe5!R26C35</stp>
        <tr r="AI26" s="29"/>
      </tp>
      <tp>
        <v>0.45</v>
        <stp/>
        <stp>##V3_BDHV12</stp>
        <stp>CHSWC2 Curncy</stp>
        <stp>PX_LAST</stp>
        <stp>28-09-2016</stp>
        <stp>28-09-2016</stp>
        <stp>[TPM a RPM_v21.xlsm]Informe5!R27C35</stp>
        <tr r="AI27" s="29"/>
      </tp>
      <tp>
        <v>0.7</v>
        <stp/>
        <stp>##V3_BDHV12</stp>
        <stp>CHSWC2 Curncy</stp>
        <stp>PX_LAST</stp>
        <stp>21-06-2016</stp>
        <stp>21-06-2016</stp>
        <stp>[TPM a RPM_v21.xlsm]Informe5!R98C35</stp>
        <tr r="AI98" s="29"/>
      </tp>
      <tp>
        <v>0.72</v>
        <stp/>
        <stp>##V3_BDHV12</stp>
        <stp>CHSWC2 Curncy</stp>
        <stp>PX_LAST</stp>
        <stp>20-06-2016</stp>
        <stp>20-06-2016</stp>
        <stp>[TPM a RPM_v21.xlsm]Informe5!R99C35</stp>
        <tr r="AI99" s="29"/>
      </tp>
      <tp>
        <v>0.73</v>
        <stp/>
        <stp>##V3_BDHV12</stp>
        <stp>CHSWC2 Curncy</stp>
        <stp>PX_LAST</stp>
        <stp>23-06-2016</stp>
        <stp>23-06-2016</stp>
        <stp>[TPM a RPM_v21.xlsm]Informe5!R96C35</stp>
        <tr r="AI96" s="29"/>
      </tp>
      <tp>
        <v>0.7</v>
        <stp/>
        <stp>##V3_BDHV12</stp>
        <stp>CHSWC2 Curncy</stp>
        <stp>PX_LAST</stp>
        <stp>22-06-2016</stp>
        <stp>22-06-2016</stp>
        <stp>[TPM a RPM_v21.xlsm]Informe5!R97C35</stp>
        <tr r="AI97" s="29"/>
      </tp>
      <tp>
        <v>0.71</v>
        <stp/>
        <stp>##V3_BDHV12</stp>
        <stp>CHSWC2 Curncy</stp>
        <stp>PX_LAST</stp>
        <stp>24-06-2016</stp>
        <stp>24-06-2016</stp>
        <stp>[TPM a RPM_v21.xlsm]Informe5!R95C35</stp>
        <tr r="AI95" s="29"/>
      </tp>
      <tp t="s">
        <v>#N/A N/A</v>
        <stp/>
        <stp>##V3_BDHV12</stp>
        <stp>CHSWC2 Curncy</stp>
        <stp>PX_LAST</stp>
        <stp>27-06-2016</stp>
        <stp>27-06-2016</stp>
        <stp>[TPM a RPM_v21.xlsm]Informe5!R94C35</stp>
        <tr r="AI94" s="29"/>
      </tp>
      <tp>
        <v>0.72</v>
        <stp/>
        <stp>##V3_BDHV12</stp>
        <stp>CHSWC2 Curncy</stp>
        <stp>PX_LAST</stp>
        <stp>29-06-2016</stp>
        <stp>29-06-2016</stp>
        <stp>[TPM a RPM_v21.xlsm]Informe5!R92C35</stp>
        <tr r="AI92" s="29"/>
      </tp>
      <tp>
        <v>0.7</v>
        <stp/>
        <stp>##V3_BDHV12</stp>
        <stp>CHSWC2 Curncy</stp>
        <stp>PX_LAST</stp>
        <stp>28-06-2016</stp>
        <stp>28-06-2016</stp>
        <stp>[TPM a RPM_v21.xlsm]Informe5!R93C35</stp>
        <tr r="AI93" s="29"/>
      </tp>
      <tp>
        <v>0.72</v>
        <stp/>
        <stp>##V3_BDHV12</stp>
        <stp>CHSWC2 Curncy</stp>
        <stp>PX_LAST</stp>
        <stp>30-06-2016</stp>
        <stp>30-06-2016</stp>
        <stp>[TPM a RPM_v21.xlsm]Informe5!R91C35</stp>
        <tr r="AI91" s="29"/>
      </tp>
      <tp>
        <v>0.84</v>
        <stp/>
        <stp>##V3_BDHV12</stp>
        <stp>CHSWC2 Curncy</stp>
        <stp>PX_LAST</stp>
        <stp>28-07-2016</stp>
        <stp>28-07-2016</stp>
        <stp>[TPM a RPM_v21.xlsm]Informe5!R71C35</stp>
        <tr r="AI71" s="29"/>
      </tp>
      <tp>
        <v>0.81</v>
        <stp/>
        <stp>##V3_BDHV12</stp>
        <stp>CHSWC2 Curncy</stp>
        <stp>PX_LAST</stp>
        <stp>29-07-2016</stp>
        <stp>29-07-2016</stp>
        <stp>[TPM a RPM_v21.xlsm]Informe5!R70C35</stp>
        <tr r="AI70" s="29"/>
      </tp>
      <tp>
        <v>0.77</v>
        <stp/>
        <stp>##V3_BDHV12</stp>
        <stp>CHSWC2 Curncy</stp>
        <stp>PX_LAST</stp>
        <stp>26-07-2016</stp>
        <stp>26-07-2016</stp>
        <stp>[TPM a RPM_v21.xlsm]Informe5!R73C35</stp>
        <tr r="AI73" s="29"/>
      </tp>
      <tp>
        <v>0.81</v>
        <stp/>
        <stp>##V3_BDHV12</stp>
        <stp>CHSWC2 Curncy</stp>
        <stp>PX_LAST</stp>
        <stp>27-07-2016</stp>
        <stp>27-07-2016</stp>
        <stp>[TPM a RPM_v21.xlsm]Informe5!R72C35</stp>
        <tr r="AI72" s="29"/>
      </tp>
      <tp>
        <v>0.78</v>
        <stp/>
        <stp>##V3_BDHV12</stp>
        <stp>CHSWC2 Curncy</stp>
        <stp>PX_LAST</stp>
        <stp>25-07-2016</stp>
        <stp>25-07-2016</stp>
        <stp>[TPM a RPM_v21.xlsm]Informe5!R74C35</stp>
        <tr r="AI74" s="29"/>
      </tp>
      <tp>
        <v>0.76</v>
        <stp/>
        <stp>##V3_BDHV12</stp>
        <stp>CHSWC2 Curncy</stp>
        <stp>PX_LAST</stp>
        <stp>22-07-2016</stp>
        <stp>22-07-2016</stp>
        <stp>[TPM a RPM_v21.xlsm]Informe5!R75C35</stp>
        <tr r="AI75" s="29"/>
      </tp>
      <tp>
        <v>0.72</v>
        <stp/>
        <stp>##V3_BDHV12</stp>
        <stp>CHSWC2 Curncy</stp>
        <stp>PX_LAST</stp>
        <stp>20-07-2016</stp>
        <stp>20-07-2016</stp>
        <stp>[TPM a RPM_v21.xlsm]Informe5!R77C35</stp>
        <tr r="AI77" s="29"/>
      </tp>
      <tp>
        <v>0.73</v>
        <stp/>
        <stp>##V3_BDHV12</stp>
        <stp>CHSWC2 Curncy</stp>
        <stp>PX_LAST</stp>
        <stp>21-07-2016</stp>
        <stp>21-07-2016</stp>
        <stp>[TPM a RPM_v21.xlsm]Informe5!R76C35</stp>
        <tr r="AI76" s="29"/>
      </tp>
      <tp>
        <v>0.74</v>
        <stp/>
        <stp>##V3_BDHV12</stp>
        <stp>CHSWC2 Curncy</stp>
        <stp>PX_LAST</stp>
        <stp>12-07-2016</stp>
        <stp>12-07-2016</stp>
        <stp>[TPM a RPM_v21.xlsm]Informe5!R83C35</stp>
        <tr r="AI83" s="29"/>
      </tp>
      <tp>
        <v>0.76</v>
        <stp/>
        <stp>##V3_BDHV12</stp>
        <stp>CHSWC2 Curncy</stp>
        <stp>PX_LAST</stp>
        <stp>13-07-2016</stp>
        <stp>13-07-2016</stp>
        <stp>[TPM a RPM_v21.xlsm]Informe5!R82C35</stp>
        <tr r="AI82" s="29"/>
      </tp>
      <tp>
        <v>0.74</v>
        <stp/>
        <stp>##V3_BDHV12</stp>
        <stp>CHSWC2 Curncy</stp>
        <stp>PX_LAST</stp>
        <stp>11-07-2016</stp>
        <stp>11-07-2016</stp>
        <stp>[TPM a RPM_v21.xlsm]Informe5!R84C35</stp>
        <tr r="AI84" s="29"/>
      </tp>
      <tp>
        <v>0.73</v>
        <stp/>
        <stp>##V3_BDHV12</stp>
        <stp>CHSWC2 Curncy</stp>
        <stp>PX_LAST</stp>
        <stp>19-07-2016</stp>
        <stp>19-07-2016</stp>
        <stp>[TPM a RPM_v21.xlsm]Informe5!R78C35</stp>
        <tr r="AI78" s="29"/>
      </tp>
      <tp>
        <v>0.77</v>
        <stp/>
        <stp>##V3_BDHV12</stp>
        <stp>CHSWC2 Curncy</stp>
        <stp>PX_LAST</stp>
        <stp>18-07-2016</stp>
        <stp>18-07-2016</stp>
        <stp>[TPM a RPM_v21.xlsm]Informe5!R79C35</stp>
        <tr r="AI79" s="29"/>
      </tp>
      <tp>
        <v>0.73</v>
        <stp/>
        <stp>##V3_BDHV12</stp>
        <stp>CHSWC2 Curncy</stp>
        <stp>PX_LAST</stp>
        <stp>14-07-2016</stp>
        <stp>14-07-2016</stp>
        <stp>[TPM a RPM_v21.xlsm]Informe5!R81C35</stp>
        <tr r="AI81" s="29"/>
      </tp>
      <tp>
        <v>0.75</v>
        <stp/>
        <stp>##V3_BDHV12</stp>
        <stp>CHSWC2 Curncy</stp>
        <stp>PX_LAST</stp>
        <stp>15-07-2016</stp>
        <stp>15-07-2016</stp>
        <stp>[TPM a RPM_v21.xlsm]Informe5!R80C35</stp>
        <tr r="AI80" s="29"/>
      </tp>
      <tp>
        <v>0.72</v>
        <stp/>
        <stp>##V3_BDHV12</stp>
        <stp>CHSWC2 Curncy</stp>
        <stp>PX_LAST</stp>
        <stp>01-07-2016</stp>
        <stp>01-07-2016</stp>
        <stp>[TPM a RPM_v21.xlsm]Informe5!R90C35</stp>
        <tr r="AI90" s="29"/>
      </tp>
      <tp>
        <v>0.72</v>
        <stp/>
        <stp>##V3_BDHV12</stp>
        <stp>CHSWC2 Curncy</stp>
        <stp>PX_LAST</stp>
        <stp>07-07-2016</stp>
        <stp>07-07-2016</stp>
        <stp>[TPM a RPM_v21.xlsm]Informe5!R86C35</stp>
        <tr r="AI86" s="29"/>
      </tp>
      <tp>
        <v>0.69</v>
        <stp/>
        <stp>##V3_BDHV12</stp>
        <stp>CHSWC2 Curncy</stp>
        <stp>PX_LAST</stp>
        <stp>06-07-2016</stp>
        <stp>06-07-2016</stp>
        <stp>[TPM a RPM_v21.xlsm]Informe5!R87C35</stp>
        <tr r="AI87" s="29"/>
      </tp>
      <tp>
        <v>0.69</v>
        <stp/>
        <stp>##V3_BDHV12</stp>
        <stp>CHSWC2 Curncy</stp>
        <stp>PX_LAST</stp>
        <stp>05-07-2016</stp>
        <stp>05-07-2016</stp>
        <stp>[TPM a RPM_v21.xlsm]Informe5!R88C35</stp>
        <tr r="AI88" s="29"/>
      </tp>
      <tp>
        <v>0.68</v>
        <stp/>
        <stp>##V3_BDHV12</stp>
        <stp>CHSWC2 Curncy</stp>
        <stp>PX_LAST</stp>
        <stp>04-07-2016</stp>
        <stp>04-07-2016</stp>
        <stp>[TPM a RPM_v21.xlsm]Informe5!R89C35</stp>
        <tr r="AI89" s="29"/>
      </tp>
      <tp>
        <v>0.72</v>
        <stp/>
        <stp>##V3_BDHV12</stp>
        <stp>CHSWC2 Curncy</stp>
        <stp>PX_LAST</stp>
        <stp>08-07-2016</stp>
        <stp>08-07-2016</stp>
        <stp>[TPM a RPM_v21.xlsm]Informe5!R85C35</stp>
        <tr r="AI85" s="29"/>
      </tp>
      <tp>
        <v>1.06</v>
        <stp/>
        <stp>##V3_BDHV12</stp>
        <stp>CHSWC5 Curncy</stp>
        <stp>PX_LAST</stp>
        <stp>01-07-2016</stp>
        <stp>01-07-2016</stp>
        <stp>[TPM a RPM_v21.xlsm]Informe5!R90C36</stp>
        <tr r="AJ90" s="29"/>
      </tp>
      <tp>
        <v>1.02</v>
        <stp/>
        <stp>##V3_BDHV12</stp>
        <stp>CHSWC5 Curncy</stp>
        <stp>PX_LAST</stp>
        <stp>04-07-2016</stp>
        <stp>04-07-2016</stp>
        <stp>[TPM a RPM_v21.xlsm]Informe5!R89C36</stp>
        <tr r="AJ89" s="29"/>
      </tp>
      <tp>
        <v>1.03</v>
        <stp/>
        <stp>##V3_BDHV12</stp>
        <stp>CHSWC5 Curncy</stp>
        <stp>PX_LAST</stp>
        <stp>05-07-2016</stp>
        <stp>05-07-2016</stp>
        <stp>[TPM a RPM_v21.xlsm]Informe5!R88C36</stp>
        <tr r="AJ88" s="29"/>
      </tp>
      <tp>
        <v>1.03</v>
        <stp/>
        <stp>##V3_BDHV12</stp>
        <stp>CHSWC5 Curncy</stp>
        <stp>PX_LAST</stp>
        <stp>06-07-2016</stp>
        <stp>06-07-2016</stp>
        <stp>[TPM a RPM_v21.xlsm]Informe5!R87C36</stp>
        <tr r="AJ87" s="29"/>
      </tp>
      <tp>
        <v>1.06</v>
        <stp/>
        <stp>##V3_BDHV12</stp>
        <stp>CHSWC5 Curncy</stp>
        <stp>PX_LAST</stp>
        <stp>07-07-2016</stp>
        <stp>07-07-2016</stp>
        <stp>[TPM a RPM_v21.xlsm]Informe5!R86C36</stp>
        <tr r="AJ86" s="29"/>
      </tp>
      <tp>
        <v>1.04</v>
        <stp/>
        <stp>##V3_BDHV12</stp>
        <stp>CHSWC5 Curncy</stp>
        <stp>PX_LAST</stp>
        <stp>08-07-2016</stp>
        <stp>08-07-2016</stp>
        <stp>[TPM a RPM_v21.xlsm]Informe5!R85C36</stp>
        <tr r="AJ85" s="29"/>
      </tp>
      <tp>
        <v>1.05</v>
        <stp/>
        <stp>##V3_BDHV12</stp>
        <stp>CHSWC5 Curncy</stp>
        <stp>PX_LAST</stp>
        <stp>11-07-2016</stp>
        <stp>11-07-2016</stp>
        <stp>[TPM a RPM_v21.xlsm]Informe5!R84C36</stp>
        <tr r="AJ84" s="29"/>
      </tp>
      <tp>
        <v>1.05</v>
        <stp/>
        <stp>##V3_BDHV12</stp>
        <stp>CHSWC5 Curncy</stp>
        <stp>PX_LAST</stp>
        <stp>13-07-2016</stp>
        <stp>13-07-2016</stp>
        <stp>[TPM a RPM_v21.xlsm]Informe5!R82C36</stp>
        <tr r="AJ82" s="29"/>
      </tp>
      <tp>
        <v>1.04</v>
        <stp/>
        <stp>##V3_BDHV12</stp>
        <stp>CHSWC5 Curncy</stp>
        <stp>PX_LAST</stp>
        <stp>12-07-2016</stp>
        <stp>12-07-2016</stp>
        <stp>[TPM a RPM_v21.xlsm]Informe5!R83C36</stp>
        <tr r="AJ83" s="29"/>
      </tp>
      <tp>
        <v>1.04</v>
        <stp/>
        <stp>##V3_BDHV12</stp>
        <stp>CHSWC5 Curncy</stp>
        <stp>PX_LAST</stp>
        <stp>15-07-2016</stp>
        <stp>15-07-2016</stp>
        <stp>[TPM a RPM_v21.xlsm]Informe5!R80C36</stp>
        <tr r="AJ80" s="29"/>
      </tp>
      <tp>
        <v>1.02</v>
        <stp/>
        <stp>##V3_BDHV12</stp>
        <stp>CHSWC5 Curncy</stp>
        <stp>PX_LAST</stp>
        <stp>14-07-2016</stp>
        <stp>14-07-2016</stp>
        <stp>[TPM a RPM_v21.xlsm]Informe5!R81C36</stp>
        <tr r="AJ81" s="29"/>
      </tp>
      <tp>
        <v>1.05</v>
        <stp/>
        <stp>##V3_BDHV12</stp>
        <stp>CHSWC5 Curncy</stp>
        <stp>PX_LAST</stp>
        <stp>18-07-2016</stp>
        <stp>18-07-2016</stp>
        <stp>[TPM a RPM_v21.xlsm]Informe5!R79C36</stp>
        <tr r="AJ79" s="29"/>
      </tp>
      <tp>
        <v>1.03</v>
        <stp/>
        <stp>##V3_BDHV12</stp>
        <stp>CHSWC5 Curncy</stp>
        <stp>PX_LAST</stp>
        <stp>19-07-2016</stp>
        <stp>19-07-2016</stp>
        <stp>[TPM a RPM_v21.xlsm]Informe5!R78C36</stp>
        <tr r="AJ78" s="29"/>
      </tp>
      <tp>
        <v>1.05</v>
        <stp/>
        <stp>##V3_BDHV12</stp>
        <stp>CHSWC5 Curncy</stp>
        <stp>PX_LAST</stp>
        <stp>30-06-2016</stp>
        <stp>30-06-2016</stp>
        <stp>[TPM a RPM_v21.xlsm]Informe5!R91C36</stp>
        <tr r="AJ91" s="29"/>
      </tp>
      <tp>
        <v>1.07</v>
        <stp/>
        <stp>##V3_BDHV12</stp>
        <stp>CHSWC5 Curncy</stp>
        <stp>PX_LAST</stp>
        <stp>29-07-2016</stp>
        <stp>29-07-2016</stp>
        <stp>[TPM a RPM_v21.xlsm]Informe5!R70C36</stp>
        <tr r="AJ70" s="29"/>
      </tp>
      <tp>
        <v>1.1299999999999999</v>
        <stp/>
        <stp>##V3_BDHV12</stp>
        <stp>CHSWC5 Curncy</stp>
        <stp>PX_LAST</stp>
        <stp>28-07-2016</stp>
        <stp>28-07-2016</stp>
        <stp>[TPM a RPM_v21.xlsm]Informe5!R71C36</stp>
        <tr r="AJ71" s="29"/>
      </tp>
      <tp>
        <v>1.1100000000000001</v>
        <stp/>
        <stp>##V3_BDHV12</stp>
        <stp>CHSWC5 Curncy</stp>
        <stp>PX_LAST</stp>
        <stp>25-07-2016</stp>
        <stp>25-07-2016</stp>
        <stp>[TPM a RPM_v21.xlsm]Informe5!R74C36</stp>
        <tr r="AJ74" s="29"/>
      </tp>
      <tp>
        <v>1.1299999999999999</v>
        <stp/>
        <stp>##V3_BDHV12</stp>
        <stp>CHSWC5 Curncy</stp>
        <stp>PX_LAST</stp>
        <stp>27-07-2016</stp>
        <stp>27-07-2016</stp>
        <stp>[TPM a RPM_v21.xlsm]Informe5!R72C36</stp>
        <tr r="AJ72" s="29"/>
      </tp>
      <tp>
        <v>1.1100000000000001</v>
        <stp/>
        <stp>##V3_BDHV12</stp>
        <stp>CHSWC5 Curncy</stp>
        <stp>PX_LAST</stp>
        <stp>26-07-2016</stp>
        <stp>26-07-2016</stp>
        <stp>[TPM a RPM_v21.xlsm]Informe5!R73C36</stp>
        <tr r="AJ73" s="29"/>
      </tp>
      <tp>
        <v>1.05</v>
        <stp/>
        <stp>##V3_BDHV12</stp>
        <stp>CHSWC5 Curncy</stp>
        <stp>PX_LAST</stp>
        <stp>21-07-2016</stp>
        <stp>21-07-2016</stp>
        <stp>[TPM a RPM_v21.xlsm]Informe5!R76C36</stp>
        <tr r="AJ76" s="29"/>
      </tp>
      <tp>
        <v>1.05</v>
        <stp/>
        <stp>##V3_BDHV12</stp>
        <stp>CHSWC5 Curncy</stp>
        <stp>PX_LAST</stp>
        <stp>20-07-2016</stp>
        <stp>20-07-2016</stp>
        <stp>[TPM a RPM_v21.xlsm]Informe5!R77C36</stp>
        <tr r="AJ77" s="29"/>
      </tp>
      <tp>
        <v>1.08</v>
        <stp/>
        <stp>##V3_BDHV12</stp>
        <stp>CHSWC5 Curncy</stp>
        <stp>PX_LAST</stp>
        <stp>22-07-2016</stp>
        <stp>22-07-2016</stp>
        <stp>[TPM a RPM_v21.xlsm]Informe5!R75C36</stp>
        <tr r="AJ75" s="29"/>
      </tp>
      <tp>
        <v>1.1200000000000001</v>
        <stp/>
        <stp>##V3_BDHV12</stp>
        <stp>CHSWC5 Curncy</stp>
        <stp>PX_LAST</stp>
        <stp>22-06-2016</stp>
        <stp>22-06-2016</stp>
        <stp>[TPM a RPM_v21.xlsm]Informe5!R97C36</stp>
        <tr r="AJ97" s="29"/>
      </tp>
      <tp>
        <v>1.1400000000000001</v>
        <stp/>
        <stp>##V3_BDHV12</stp>
        <stp>CHSWC5 Curncy</stp>
        <stp>PX_LAST</stp>
        <stp>23-06-2016</stp>
        <stp>23-06-2016</stp>
        <stp>[TPM a RPM_v21.xlsm]Informe5!R96C36</stp>
        <tr r="AJ96" s="29"/>
      </tp>
      <tp>
        <v>1.1100000000000001</v>
        <stp/>
        <stp>##V3_BDHV12</stp>
        <stp>CHSWC5 Curncy</stp>
        <stp>PX_LAST</stp>
        <stp>20-06-2016</stp>
        <stp>20-06-2016</stp>
        <stp>[TPM a RPM_v21.xlsm]Informe5!R99C36</stp>
        <tr r="AJ99" s="29"/>
      </tp>
      <tp>
        <v>1.1299999999999999</v>
        <stp/>
        <stp>##V3_BDHV12</stp>
        <stp>CHSWC5 Curncy</stp>
        <stp>PX_LAST</stp>
        <stp>21-06-2016</stp>
        <stp>21-06-2016</stp>
        <stp>[TPM a RPM_v21.xlsm]Informe5!R98C36</stp>
        <tr r="AJ98" s="29"/>
      </tp>
      <tp t="s">
        <v>#N/A N/A</v>
        <stp/>
        <stp>##V3_BDHV12</stp>
        <stp>CHSWC5 Curncy</stp>
        <stp>PX_LAST</stp>
        <stp>27-06-2016</stp>
        <stp>27-06-2016</stp>
        <stp>[TPM a RPM_v21.xlsm]Informe5!R94C36</stp>
        <tr r="AJ94" s="29"/>
      </tp>
      <tp>
        <v>1.1299999999999999</v>
        <stp/>
        <stp>##V3_BDHV12</stp>
        <stp>CHSWC5 Curncy</stp>
        <stp>PX_LAST</stp>
        <stp>24-06-2016</stp>
        <stp>24-06-2016</stp>
        <stp>[TPM a RPM_v21.xlsm]Informe5!R95C36</stp>
        <tr r="AJ95" s="29"/>
      </tp>
      <tp>
        <v>1.07</v>
        <stp/>
        <stp>##V3_BDHV12</stp>
        <stp>CHSWC5 Curncy</stp>
        <stp>PX_LAST</stp>
        <stp>28-06-2016</stp>
        <stp>28-06-2016</stp>
        <stp>[TPM a RPM_v21.xlsm]Informe5!R93C36</stp>
        <tr r="AJ93" s="29"/>
      </tp>
      <tp>
        <v>1.07</v>
        <stp/>
        <stp>##V3_BDHV12</stp>
        <stp>CHSWC5 Curncy</stp>
        <stp>PX_LAST</stp>
        <stp>29-06-2016</stp>
        <stp>29-06-2016</stp>
        <stp>[TPM a RPM_v21.xlsm]Informe5!R92C36</stp>
        <tr r="AJ92" s="29"/>
      </tp>
      <tp>
        <v>4.0954499999999996</v>
        <stp/>
        <stp>##V3_BDPV12</stp>
        <stp>S0193Z 10Y BLC2 Curncy</stp>
        <stp>PX_LAST</stp>
        <stp>[TPM a RPM_v21.xlsm]Zero_swap_CL!R16C16</stp>
        <tr r="P16" s="15"/>
      </tp>
      <tp>
        <v>4.2643000000000004</v>
        <stp/>
        <stp>##V3_BDPV12</stp>
        <stp>S0193Z 15Y BLC2 Curncy</stp>
        <stp>PX_LAST</stp>
        <stp>[TPM a RPM_v21.xlsm]Zero_swap_CL!R17C16</stp>
        <tr r="P17" s="15"/>
      </tp>
      <tp>
        <v>0.73</v>
        <stp/>
        <stp>##V3_BDHV12</stp>
        <stp>CHSWC5 Curncy</stp>
        <stp>PX_LAST</stp>
        <stp>20-10-2016</stp>
        <stp>20-10-2016</stp>
        <stp>[TPM a RPM_v21.xlsm]Informe5!R11C36</stp>
        <tr r="AJ11" s="29"/>
      </tp>
      <tp>
        <v>0.75</v>
        <stp/>
        <stp>##V3_BDHV12</stp>
        <stp>CHSWC5 Curncy</stp>
        <stp>PX_LAST</stp>
        <stp>21-10-2016</stp>
        <stp>21-10-2016</stp>
        <stp>[TPM a RPM_v21.xlsm]Informe5!R10C36</stp>
        <tr r="AJ10" s="29"/>
      </tp>
      <tp>
        <v>0.79</v>
        <stp/>
        <stp>##V3_BDHV12</stp>
        <stp>CHSWC5 Curncy</stp>
        <stp>PX_LAST</stp>
        <stp>05-10-2016</stp>
        <stp>05-10-2016</stp>
        <stp>[TPM a RPM_v21.xlsm]Informe5!R22C36</stp>
        <tr r="AJ22" s="29"/>
      </tp>
      <tp>
        <v>0.76</v>
        <stp/>
        <stp>##V3_BDHV12</stp>
        <stp>CHSWC5 Curncy</stp>
        <stp>PX_LAST</stp>
        <stp>04-10-2016</stp>
        <stp>04-10-2016</stp>
        <stp>[TPM a RPM_v21.xlsm]Informe5!R23C36</stp>
        <tr r="AJ23" s="29"/>
      </tp>
      <tp>
        <v>0.79</v>
        <stp/>
        <stp>##V3_BDHV12</stp>
        <stp>CHSWC5 Curncy</stp>
        <stp>PX_LAST</stp>
        <stp>07-10-2016</stp>
        <stp>07-10-2016</stp>
        <stp>[TPM a RPM_v21.xlsm]Informe5!R20C36</stp>
        <tr r="AJ20" s="29"/>
      </tp>
      <tp>
        <v>0.81</v>
        <stp/>
        <stp>##V3_BDHV12</stp>
        <stp>CHSWC5 Curncy</stp>
        <stp>PX_LAST</stp>
        <stp>06-10-2016</stp>
        <stp>06-10-2016</stp>
        <stp>[TPM a RPM_v21.xlsm]Informe5!R21C36</stp>
        <tr r="AJ21" s="29"/>
      </tp>
      <tp>
        <v>0.74</v>
        <stp/>
        <stp>##V3_BDHV12</stp>
        <stp>CHSWC5 Curncy</stp>
        <stp>PX_LAST</stp>
        <stp>03-10-2016</stp>
        <stp>03-10-2016</stp>
        <stp>[TPM a RPM_v21.xlsm]Informe5!R24C36</stp>
        <tr r="AJ24" s="29"/>
      </tp>
      <tp>
        <v>0.77</v>
        <stp/>
        <stp>##V3_BDHV12</stp>
        <stp>CHSWC5 Curncy</stp>
        <stp>PX_LAST</stp>
        <stp>19-10-2016</stp>
        <stp>19-10-2016</stp>
        <stp>[TPM a RPM_v21.xlsm]Informe5!R12C36</stp>
        <tr r="AJ12" s="29"/>
      </tp>
      <tp>
        <v>0.77</v>
        <stp/>
        <stp>##V3_BDHV12</stp>
        <stp>CHSWC5 Curncy</stp>
        <stp>PX_LAST</stp>
        <stp>18-10-2016</stp>
        <stp>18-10-2016</stp>
        <stp>[TPM a RPM_v21.xlsm]Informe5!R13C36</stp>
        <tr r="AJ13" s="29"/>
      </tp>
      <tp>
        <v>0.8</v>
        <stp/>
        <stp>##V3_BDHV12</stp>
        <stp>CHSWC5 Curncy</stp>
        <stp>PX_LAST</stp>
        <stp>17-10-2016</stp>
        <stp>17-10-2016</stp>
        <stp>[TPM a RPM_v21.xlsm]Informe5!R14C36</stp>
        <tr r="AJ14" s="29"/>
      </tp>
      <tp>
        <v>0.8</v>
        <stp/>
        <stp>##V3_BDHV12</stp>
        <stp>CHSWC5 Curncy</stp>
        <stp>PX_LAST</stp>
        <stp>14-10-2016</stp>
        <stp>14-10-2016</stp>
        <stp>[TPM a RPM_v21.xlsm]Informe5!R15C36</stp>
        <tr r="AJ15" s="29"/>
      </tp>
      <tp>
        <v>0.8</v>
        <stp/>
        <stp>##V3_BDHV12</stp>
        <stp>CHSWC5 Curncy</stp>
        <stp>PX_LAST</stp>
        <stp>13-10-2016</stp>
        <stp>13-10-2016</stp>
        <stp>[TPM a RPM_v21.xlsm]Informe5!R16C36</stp>
        <tr r="AJ16" s="29"/>
      </tp>
      <tp>
        <v>0.79</v>
        <stp/>
        <stp>##V3_BDHV12</stp>
        <stp>CHSWC5 Curncy</stp>
        <stp>PX_LAST</stp>
        <stp>12-10-2016</stp>
        <stp>12-10-2016</stp>
        <stp>[TPM a RPM_v21.xlsm]Informe5!R17C36</stp>
        <tr r="AJ17" s="29"/>
      </tp>
      <tp>
        <v>0.79</v>
        <stp/>
        <stp>##V3_BDHV12</stp>
        <stp>CHSWC5 Curncy</stp>
        <stp>PX_LAST</stp>
        <stp>11-10-2016</stp>
        <stp>11-10-2016</stp>
        <stp>[TPM a RPM_v21.xlsm]Informe5!R18C36</stp>
        <tr r="AJ18" s="29"/>
      </tp>
      <tp t="s">
        <v>#N/A N/A</v>
        <stp/>
        <stp>##V3_BDHV12</stp>
        <stp>CHSWC5 Curncy</stp>
        <stp>PX_LAST</stp>
        <stp>10-10-2016</stp>
        <stp>10-10-2016</stp>
        <stp>[TPM a RPM_v21.xlsm]Informe5!R19C36</stp>
        <tr r="AJ19" s="29"/>
      </tp>
      <tp>
        <v>0.52</v>
        <stp/>
        <stp>##V3_BDHV12</stp>
        <stp>CHSWC2 Curncy</stp>
        <stp>PX_LAST</stp>
        <stp>18-10-2016</stp>
        <stp>18-10-2016</stp>
        <stp>[TPM a RPM_v21.xlsm]Informe5!R13C35</stp>
        <tr r="AI13" s="29"/>
      </tp>
      <tp>
        <v>0.52</v>
        <stp/>
        <stp>##V3_BDHV12</stp>
        <stp>CHSWC2 Curncy</stp>
        <stp>PX_LAST</stp>
        <stp>19-10-2016</stp>
        <stp>19-10-2016</stp>
        <stp>[TPM a RPM_v21.xlsm]Informe5!R12C35</stp>
        <tr r="AI12" s="29"/>
      </tp>
      <tp>
        <v>0.55000000000000004</v>
        <stp/>
        <stp>##V3_BDHV12</stp>
        <stp>CHSWC2 Curncy</stp>
        <stp>PX_LAST</stp>
        <stp>14-10-2016</stp>
        <stp>14-10-2016</stp>
        <stp>[TPM a RPM_v21.xlsm]Informe5!R15C35</stp>
        <tr r="AI15" s="29"/>
      </tp>
      <tp>
        <v>0.54</v>
        <stp/>
        <stp>##V3_BDHV12</stp>
        <stp>CHSWC2 Curncy</stp>
        <stp>PX_LAST</stp>
        <stp>17-10-2016</stp>
        <stp>17-10-2016</stp>
        <stp>[TPM a RPM_v21.xlsm]Informe5!R14C35</stp>
        <tr r="AI14" s="29"/>
      </tp>
      <tp t="s">
        <v>#N/A N/A</v>
        <stp/>
        <stp>##V3_BDHV12</stp>
        <stp>CHSWC2 Curncy</stp>
        <stp>PX_LAST</stp>
        <stp>10-10-2016</stp>
        <stp>10-10-2016</stp>
        <stp>[TPM a RPM_v21.xlsm]Informe5!R19C35</stp>
        <tr r="AI19" s="29"/>
      </tp>
      <tp>
        <v>0.51</v>
        <stp/>
        <stp>##V3_BDHV12</stp>
        <stp>CHSWC2 Curncy</stp>
        <stp>PX_LAST</stp>
        <stp>11-10-2016</stp>
        <stp>11-10-2016</stp>
        <stp>[TPM a RPM_v21.xlsm]Informe5!R18C35</stp>
        <tr r="AI18" s="29"/>
      </tp>
      <tp>
        <v>0.54</v>
        <stp/>
        <stp>##V3_BDHV12</stp>
        <stp>CHSWC2 Curncy</stp>
        <stp>PX_LAST</stp>
        <stp>12-10-2016</stp>
        <stp>12-10-2016</stp>
        <stp>[TPM a RPM_v21.xlsm]Informe5!R17C35</stp>
        <tr r="AI17" s="29"/>
      </tp>
      <tp>
        <v>0.53</v>
        <stp/>
        <stp>##V3_BDHV12</stp>
        <stp>CHSWC2 Curncy</stp>
        <stp>PX_LAST</stp>
        <stp>13-10-2016</stp>
        <stp>13-10-2016</stp>
        <stp>[TPM a RPM_v21.xlsm]Informe5!R16C35</stp>
        <tr r="AI16" s="29"/>
      </tp>
      <tp>
        <v>0.47</v>
        <stp/>
        <stp>##V3_BDHV12</stp>
        <stp>CHSWC2 Curncy</stp>
        <stp>PX_LAST</stp>
        <stp>06-10-2016</stp>
        <stp>06-10-2016</stp>
        <stp>[TPM a RPM_v21.xlsm]Informe5!R21C35</stp>
        <tr r="AI21" s="29"/>
      </tp>
      <tp>
        <v>0.54</v>
        <stp/>
        <stp>##V3_BDHV12</stp>
        <stp>CHSWC2 Curncy</stp>
        <stp>PX_LAST</stp>
        <stp>07-10-2016</stp>
        <stp>07-10-2016</stp>
        <stp>[TPM a RPM_v21.xlsm]Informe5!R20C35</stp>
        <tr r="AI20" s="29"/>
      </tp>
      <tp>
        <v>0.45</v>
        <stp/>
        <stp>##V3_BDHV12</stp>
        <stp>CHSWC2 Curncy</stp>
        <stp>PX_LAST</stp>
        <stp>04-10-2016</stp>
        <stp>04-10-2016</stp>
        <stp>[TPM a RPM_v21.xlsm]Informe5!R23C35</stp>
        <tr r="AI23" s="29"/>
      </tp>
      <tp>
        <v>0.48</v>
        <stp/>
        <stp>##V3_BDHV12</stp>
        <stp>CHSWC2 Curncy</stp>
        <stp>PX_LAST</stp>
        <stp>05-10-2016</stp>
        <stp>05-10-2016</stp>
        <stp>[TPM a RPM_v21.xlsm]Informe5!R22C35</stp>
        <tr r="AI22" s="29"/>
      </tp>
      <tp>
        <v>0.44</v>
        <stp/>
        <stp>##V3_BDHV12</stp>
        <stp>CHSWC2 Curncy</stp>
        <stp>PX_LAST</stp>
        <stp>03-10-2016</stp>
        <stp>03-10-2016</stp>
        <stp>[TPM a RPM_v21.xlsm]Informe5!R24C35</stp>
        <tr r="AI24" s="29"/>
      </tp>
      <tp>
        <v>0.52</v>
        <stp/>
        <stp>##V3_BDHV12</stp>
        <stp>CHSWC2 Curncy</stp>
        <stp>PX_LAST</stp>
        <stp>21-10-2016</stp>
        <stp>21-10-2016</stp>
        <stp>[TPM a RPM_v21.xlsm]Informe5!R10C35</stp>
        <tr r="AI10" s="29"/>
      </tp>
      <tp>
        <v>0.52</v>
        <stp/>
        <stp>##V3_BDHV12</stp>
        <stp>CHSWC2 Curncy</stp>
        <stp>PX_LAST</stp>
        <stp>20-10-2016</stp>
        <stp>20-10-2016</stp>
        <stp>[TPM a RPM_v21.xlsm]Informe5!R11C35</stp>
        <tr r="AI11" s="29"/>
      </tp>
      <tp>
        <v>4.3954899999999997</v>
        <stp/>
        <stp>##V3_BDPV12</stp>
        <stp>S0193Z 20Y BLC2 Curncy</stp>
        <stp>PX_LAST</stp>
        <stp>[TPM a RPM_v21.xlsm]Zero_swap_CL!R18C16</stp>
        <tr r="P18" s="15"/>
      </tp>
      <tp>
        <v>26276.75</v>
        <stp/>
        <stp>##V3_BDHV12</stp>
        <stp>CHUF Index</stp>
        <stp>PX_LAST</stp>
        <stp>09-11-2016</stp>
        <stp>09-11-2016</stp>
        <stp>[TPM a RPM_v21.xlsm]Inflation_FWD!R3C3</stp>
        <tr r="C3" s="16"/>
      </tp>
      <tp>
        <v>3658</v>
        <stp/>
        <stp>##V3_BDPV12</stp>
        <stp>CHSWP10  Curncy</stp>
        <stp>DAYS_TO_MTY_TDY</stp>
        <stp>[TPM a RPM_v21.xlsm]Zero_swap_CL!R16C10</stp>
        <tr r="J16" s="15"/>
      </tp>
      <tp>
        <v>5484</v>
        <stp/>
        <stp>##V3_BDPV12</stp>
        <stp>CHSWP15  Curncy</stp>
        <stp>DAYS_TO_MTY_TDY</stp>
        <stp>[TPM a RPM_v21.xlsm]Zero_swap_CL!R17C10</stp>
        <tr r="J17" s="15"/>
      </tp>
      <tp>
        <v>7311</v>
        <stp/>
        <stp>##V3_BDPV12</stp>
        <stp>CHSWP20  Curncy</stp>
        <stp>DAYS_TO_MTY_TDY</stp>
        <stp>[TPM a RPM_v21.xlsm]Zero_swap_CL!R18C10</stp>
        <tr r="J18" s="15"/>
      </tp>
      <tp>
        <v>3.5</v>
        <stp/>
        <stp>##V3_BDHV12</stp>
        <stp>CHOVCHOV Index</stp>
        <stp>PX_LAST</stp>
        <stp>27-10-2016</stp>
        <stp>27-10-2016</stp>
        <stp>[TPM a RPM_v21.xlsm]Zero_swap_CL!R2C5</stp>
        <tr r="E2" s="15"/>
        <tr r="E2" s="15"/>
      </tp>
      <tp>
        <v>0.3730957245174582</v>
        <stp/>
        <stp>##V3_BDPV12</stp>
        <stp>RIAMIC01 Index</stp>
        <stp>VOLATILITY_260D</stp>
        <stp>[TPM a RPM_v21.xlsm]VolIndicesRA!R3C3</stp>
        <tr r="C3" s="20"/>
      </tp>
      <tp>
        <v>0.27827340648898963</v>
        <stp/>
        <stp>##V3_BDPV12</stp>
        <stp>RIAMICM6 Index</stp>
        <stp>VOLATILITY_260D</stp>
        <stp>[TPM a RPM_v21.xlsm]VolIndicesRA!R2C3</stp>
        <tr r="C2" s="20"/>
      </tp>
      <tp>
        <v>0.66721833260105989</v>
        <stp/>
        <stp>##V3_BDPV12</stp>
        <stp>RIAMPDU2 Index</stp>
        <stp>VOLATILITY_260D</stp>
        <stp>[TPM a RPM_v21.xlsm]VolIndicesRA!R6C3</stp>
        <tr r="C6" s="20"/>
      </tp>
      <tp>
        <v>3.36</v>
        <stp/>
        <stp>##V3_BDPV12</stp>
        <stp>S0193Z 9M BLC2 Curncy</stp>
        <stp>PX_LAST</stp>
        <stp>[TPM a RPM_v21.xlsm]Zero_swap_CL!R5C16</stp>
        <tr r="P5" s="15"/>
      </tp>
      <tp>
        <v>3.4</v>
        <stp/>
        <stp>##V3_BDPV12</stp>
        <stp>S0193Z 6M BLC2 Curncy</stp>
        <stp>PX_LAST</stp>
        <stp>[TPM a RPM_v21.xlsm]Zero_swap_CL!R4C16</stp>
        <tr r="P4" s="15"/>
      </tp>
      <tp>
        <v>3.33</v>
        <stp/>
        <stp>##V3_BDPV12</stp>
        <stp>S0193Z 1Y BLC2 Curncy</stp>
        <stp>PX_LAST</stp>
        <stp>[TPM a RPM_v21.xlsm]Zero_swap_CL!R6C16</stp>
        <tr r="P6" s="15"/>
      </tp>
      <tp>
        <v>3.2379699999999998</v>
        <stp/>
        <stp>##V3_BDPV12</stp>
        <stp>S0193Z 2Y BLC2 Curncy</stp>
        <stp>PX_LAST</stp>
        <stp>[TPM a RPM_v21.xlsm]Zero_swap_CL!R8C16</stp>
        <tr r="P8" s="15"/>
      </tp>
      <tp>
        <v>3.3317199999999998</v>
        <stp/>
        <stp>##V3_BDPV12</stp>
        <stp>S0193Z 3Y BLC2 Curncy</stp>
        <stp>PX_LAST</stp>
        <stp>[TPM a RPM_v21.xlsm]Zero_swap_CL!R9C16</stp>
        <tr r="P9" s="15"/>
      </tp>
      <tp>
        <v>3.48</v>
        <stp/>
        <stp>##V3_BDPV12</stp>
        <stp>S0193Z 3M BLC2 Curncy</stp>
        <stp>PX_LAST</stp>
        <stp>[TPM a RPM_v21.xlsm]Zero_swap_CL!R3C16</stp>
        <tr r="P3" s="15"/>
      </tp>
      <tp t="s">
        <v>02-05-2018</v>
        <stp/>
        <stp>##V3_BDPV12</stp>
        <stp>S0193Z 18M BLC2 Curncy</stp>
        <stp>MATURITY</stp>
        <stp>[TPM a RPM_v21.xlsm]Zero_swap_CL!R7C17</stp>
        <tr r="Q7" s="15"/>
      </tp>
      <tp>
        <v>1.2622852273548006</v>
        <stp/>
        <stp>##V3_BDPV12</stp>
        <stp>RIAMPDU5 Index</stp>
        <stp>VOLATILITY_260D</stp>
        <stp>[TPM a RPM_v21.xlsm]VolIndicesRA!R7C3</stp>
        <tr r="C7" s="20"/>
      </tp>
      <tp>
        <v>26254.74</v>
        <stp/>
        <stp>##V3_BDHV12</stp>
        <stp>CHUF Index</stp>
        <stp>PX_LAST</stp>
        <stp>27-10-2016</stp>
        <stp>27-10-2016</stp>
        <stp>[TPM a RPM_v21.xlsm]Inflation_FWD!R2C3</stp>
        <tr r="C2" s="16"/>
      </tp>
      <tp>
        <v>1.620356685907089</v>
        <stp/>
        <stp>##V3_BDPV12</stp>
        <stp>RIAMBGU7 Index</stp>
        <stp>VOLATILITY_260D</stp>
        <stp>[TPM a RPM_v21.xlsm]VolIndicesRA!R12C3</stp>
        <tr r="C12" s="20"/>
      </tp>
      <tp>
        <v>3.1013717744364411</v>
        <stp/>
        <stp>##V3_BDPV12</stp>
        <stp>RIAMBGU8 Index</stp>
        <stp>VOLATILITY_260D</stp>
        <stp>[TPM a RPM_v21.xlsm]VolIndicesRA!R13C3</stp>
        <tr r="C13" s="20"/>
      </tp>
      <tp>
        <v>0.76743522685254817</v>
        <stp/>
        <stp>##V3_BDPV12</stp>
        <stp>RIAMBGU2 Index</stp>
        <stp>VOLATILITY_260D</stp>
        <stp>[TPM a RPM_v21.xlsm]VolIndicesRA!R10C3</stp>
        <tr r="C10" s="20"/>
      </tp>
      <tp>
        <v>1.150776253622724</v>
        <stp/>
        <stp>##V3_BDPV12</stp>
        <stp>RIAMBGU5 Index</stp>
        <stp>VOLATILITY_260D</stp>
        <stp>[TPM a RPM_v21.xlsm]VolIndicesRA!R11C3</stp>
        <tr r="C11" s="20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659993124560055"/>
          <c:y val="4.0827528606658677E-2"/>
          <c:w val="0.86902286902286907"/>
          <c:h val="0.70397111913357446"/>
        </c:manualLayout>
      </c:layout>
      <c:lineChart>
        <c:grouping val="standard"/>
        <c:varyColors val="0"/>
        <c:ser>
          <c:idx val="0"/>
          <c:order val="0"/>
          <c:tx>
            <c:strRef>
              <c:f>HPR!$L$9</c:f>
              <c:strCache>
                <c:ptCount val="1"/>
                <c:pt idx="0">
                  <c:v>Hoy</c:v>
                </c:pt>
              </c:strCache>
            </c:strRef>
          </c:tx>
          <c:spPr>
            <a:ln w="25400">
              <a:solidFill>
                <a:srgbClr val="045ABE"/>
              </a:solidFill>
            </a:ln>
          </c:spPr>
          <c:marker>
            <c:spPr>
              <a:solidFill>
                <a:srgbClr val="045ABE"/>
              </a:solidFill>
              <a:ln>
                <a:solidFill>
                  <a:srgbClr val="4F81BD">
                    <a:shade val="95000"/>
                    <a:satMod val="105000"/>
                  </a:srgbClr>
                </a:solidFill>
              </a:ln>
            </c:spPr>
          </c:marker>
          <c:dLbls>
            <c:dLbl>
              <c:idx val="0"/>
              <c:layout>
                <c:manualLayout>
                  <c:x val="7.9916185113035512E-2"/>
                  <c:y val="-1.51675956110434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1922776804666569E-2"/>
                  <c:y val="9.8633388950860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1.1088447623880695E-2"/>
                  <c:y val="-4.83136613661101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HPR!$K$13:$K$15</c:f>
              <c:strCache>
                <c:ptCount val="3"/>
                <c:pt idx="0">
                  <c:v>PESO-02</c:v>
                </c:pt>
                <c:pt idx="1">
                  <c:v>PESO-05</c:v>
                </c:pt>
                <c:pt idx="2">
                  <c:v>PESO-10</c:v>
                </c:pt>
              </c:strCache>
            </c:strRef>
          </c:cat>
          <c:val>
            <c:numRef>
              <c:f>HPR!$L$13:$L$15</c:f>
              <c:numCache>
                <c:formatCode>0.00%</c:formatCode>
                <c:ptCount val="3"/>
                <c:pt idx="0">
                  <c:v>3.5200000000000002E-2</c:v>
                </c:pt>
                <c:pt idx="1">
                  <c:v>3.8100000000000002E-2</c:v>
                </c:pt>
                <c:pt idx="2">
                  <c:v>4.1900000000000007E-2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HPR!$O$9</c:f>
              <c:strCache>
                <c:ptCount val="1"/>
                <c:pt idx="0">
                  <c:v>Esperado (4 meses)</c:v>
                </c:pt>
              </c:strCache>
            </c:strRef>
          </c:tx>
          <c:spPr>
            <a:ln w="25400">
              <a:solidFill>
                <a:srgbClr val="FF7C00"/>
              </a:solidFill>
            </a:ln>
          </c:spPr>
          <c:marker>
            <c:symbol val="square"/>
            <c:size val="5"/>
            <c:spPr>
              <a:solidFill>
                <a:srgbClr val="FF7C00"/>
              </a:solidFill>
              <a:ln>
                <a:solidFill>
                  <a:srgbClr val="FF7C00"/>
                </a:solidFill>
              </a:ln>
            </c:spPr>
          </c:marker>
          <c:dLbls>
            <c:dLbl>
              <c:idx val="0"/>
              <c:layout>
                <c:manualLayout>
                  <c:x val="-0.11689601169916131"/>
                  <c:y val="-0.1179145496579239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0.148346893228783"/>
                  <c:y val="-7.21359951994612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4.3653586960673575E-7"/>
                  <c:y val="7.59093132273101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HPR!$K$13:$K$15</c:f>
              <c:strCache>
                <c:ptCount val="3"/>
                <c:pt idx="0">
                  <c:v>PESO-02</c:v>
                </c:pt>
                <c:pt idx="1">
                  <c:v>PESO-05</c:v>
                </c:pt>
                <c:pt idx="2">
                  <c:v>PESO-10</c:v>
                </c:pt>
              </c:strCache>
            </c:strRef>
          </c:cat>
          <c:val>
            <c:numRef>
              <c:f>HPR!$O$13:$O$15</c:f>
              <c:numCache>
                <c:formatCode>0.00%</c:formatCode>
                <c:ptCount val="3"/>
                <c:pt idx="0">
                  <c:v>-1.6014279901623539E-11</c:v>
                </c:pt>
                <c:pt idx="1">
                  <c:v>-6.0862305720828931E-10</c:v>
                </c:pt>
                <c:pt idx="2">
                  <c:v>-1.698110200698999E-14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525184"/>
        <c:axId val="460946752"/>
      </c:lineChart>
      <c:catAx>
        <c:axId val="194525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L"/>
          </a:p>
        </c:txPr>
        <c:crossAx val="460946752"/>
        <c:crosses val="autoZero"/>
        <c:auto val="1"/>
        <c:lblAlgn val="ctr"/>
        <c:lblOffset val="100"/>
        <c:noMultiLvlLbl val="0"/>
      </c:catAx>
      <c:valAx>
        <c:axId val="460946752"/>
        <c:scaling>
          <c:orientation val="minMax"/>
          <c:min val="3.0000000000000006E-2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numFmt formatCode="0.00%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L"/>
          </a:p>
        </c:txPr>
        <c:crossAx val="19452518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27234447045470678"/>
          <c:y val="0.90304894683863435"/>
          <c:w val="0.56017024898914669"/>
          <c:h val="8.7994430803676457E-2"/>
        </c:manualLayout>
      </c:layout>
      <c:overlay val="0"/>
      <c:txPr>
        <a:bodyPr/>
        <a:lstStyle/>
        <a:p>
          <a:pPr>
            <a:defRPr sz="14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ysClr val="window" lastClr="FFFFFF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L"/>
    </a:p>
  </c:txPr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81011781011781"/>
          <c:y val="3.9145814424777554E-2"/>
          <c:w val="0.86902286902286907"/>
          <c:h val="0.70818505338078341"/>
        </c:manualLayout>
      </c:layout>
      <c:lineChart>
        <c:grouping val="standard"/>
        <c:varyColors val="0"/>
        <c:ser>
          <c:idx val="0"/>
          <c:order val="0"/>
          <c:tx>
            <c:strRef>
              <c:f>HPR!$L$9</c:f>
              <c:strCache>
                <c:ptCount val="1"/>
                <c:pt idx="0">
                  <c:v>Hoy</c:v>
                </c:pt>
              </c:strCache>
            </c:strRef>
          </c:tx>
          <c:spPr>
            <a:ln w="25400">
              <a:solidFill>
                <a:srgbClr val="045ABE"/>
              </a:solidFill>
            </a:ln>
          </c:spPr>
          <c:marker>
            <c:spPr>
              <a:solidFill>
                <a:srgbClr val="045ABE"/>
              </a:solidFill>
              <a:ln>
                <a:solidFill>
                  <a:srgbClr val="045ABE"/>
                </a:solidFill>
              </a:ln>
            </c:spPr>
          </c:marker>
          <c:dLbls>
            <c:dLbl>
              <c:idx val="0"/>
              <c:layout>
                <c:manualLayout>
                  <c:x val="-0.13419876569482869"/>
                  <c:y val="2.8147183843149665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8.8798380451923703E-2"/>
                  <c:y val="7.64789228766443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6.0601655562285486E-2"/>
                  <c:y val="7.5096197415076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4.9896268163984701E-2"/>
                  <c:y val="7.782460783820126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HPR!$K$16:$K$19</c:f>
              <c:strCache>
                <c:ptCount val="4"/>
                <c:pt idx="0">
                  <c:v>UF-02</c:v>
                </c:pt>
                <c:pt idx="1">
                  <c:v>UF-05</c:v>
                </c:pt>
                <c:pt idx="2">
                  <c:v>UF-07</c:v>
                </c:pt>
                <c:pt idx="3">
                  <c:v>UF-10</c:v>
                </c:pt>
              </c:strCache>
            </c:strRef>
          </c:cat>
          <c:val>
            <c:numRef>
              <c:f>HPR!$L$16:$L$19</c:f>
              <c:numCache>
                <c:formatCode>0.00%</c:formatCode>
                <c:ptCount val="4"/>
                <c:pt idx="0">
                  <c:v>1.0800000000000001E-2</c:v>
                </c:pt>
                <c:pt idx="1">
                  <c:v>1.0700000000000001E-2</c:v>
                </c:pt>
                <c:pt idx="2">
                  <c:v>1.1899999999999999E-2</c:v>
                </c:pt>
                <c:pt idx="3">
                  <c:v>1.2800000000000001E-2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HPR!$O$9</c:f>
              <c:strCache>
                <c:ptCount val="1"/>
                <c:pt idx="0">
                  <c:v>Esperado (4 meses)</c:v>
                </c:pt>
              </c:strCache>
            </c:strRef>
          </c:tx>
          <c:spPr>
            <a:ln w="25400">
              <a:solidFill>
                <a:srgbClr val="FF7C00"/>
              </a:solidFill>
            </a:ln>
          </c:spPr>
          <c:marker>
            <c:symbol val="square"/>
            <c:size val="5"/>
            <c:spPr>
              <a:solidFill>
                <a:srgbClr val="FF7C00"/>
              </a:solidFill>
              <a:ln>
                <a:solidFill>
                  <a:srgbClr val="FF7C00"/>
                </a:solidFill>
              </a:ln>
            </c:spPr>
          </c:marker>
          <c:dLbls>
            <c:dLbl>
              <c:idx val="0"/>
              <c:layout>
                <c:manualLayout>
                  <c:x val="-8.009494655163947E-2"/>
                  <c:y val="-6.38330084797571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8.4685121220554285E-2"/>
                  <c:y val="-7.49376065363896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9.7974146163122541E-2"/>
                  <c:y val="-9.50211094888410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7.2072290340006881E-2"/>
                  <c:y val="-5.957514906104130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HPR!$K$16:$K$19</c:f>
              <c:strCache>
                <c:ptCount val="4"/>
                <c:pt idx="0">
                  <c:v>UF-02</c:v>
                </c:pt>
                <c:pt idx="1">
                  <c:v>UF-05</c:v>
                </c:pt>
                <c:pt idx="2">
                  <c:v>UF-07</c:v>
                </c:pt>
                <c:pt idx="3">
                  <c:v>UF-10</c:v>
                </c:pt>
              </c:strCache>
            </c:strRef>
          </c:cat>
          <c:val>
            <c:numRef>
              <c:f>HPR!$O$16:$O$19</c:f>
              <c:numCache>
                <c:formatCode>0.00%</c:formatCode>
                <c:ptCount val="4"/>
                <c:pt idx="0">
                  <c:v>-6.2252966071484583E-12</c:v>
                </c:pt>
                <c:pt idx="1">
                  <c:v>-1.7894825090703296E-9</c:v>
                </c:pt>
                <c:pt idx="2">
                  <c:v>-1.2805234316445867E-8</c:v>
                </c:pt>
                <c:pt idx="3">
                  <c:v>-8.7857006537934248E-14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525696"/>
        <c:axId val="636252672"/>
      </c:lineChart>
      <c:catAx>
        <c:axId val="194525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L"/>
          </a:p>
        </c:txPr>
        <c:crossAx val="636252672"/>
        <c:crosses val="autoZero"/>
        <c:auto val="1"/>
        <c:lblAlgn val="ctr"/>
        <c:lblOffset val="100"/>
        <c:noMultiLvlLbl val="0"/>
      </c:catAx>
      <c:valAx>
        <c:axId val="63625267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numFmt formatCode="0.0%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L"/>
          </a:p>
        </c:txPr>
        <c:crossAx val="194525696"/>
        <c:crosses val="autoZero"/>
        <c:crossBetween val="between"/>
        <c:majorUnit val="2.5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26937886402453343"/>
          <c:y val="0.9050074990626169"/>
          <c:w val="0.55739824621714384"/>
          <c:h val="8.7994750656168033E-2"/>
        </c:manualLayout>
      </c:layout>
      <c:overlay val="0"/>
      <c:txPr>
        <a:bodyPr/>
        <a:lstStyle/>
        <a:p>
          <a:pPr>
            <a:defRPr sz="14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L"/>
    </a:p>
  </c:txPr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89812889812891"/>
          <c:y val="3.8869257950530034E-2"/>
          <c:w val="0.86902286902286907"/>
          <c:h val="0.7243816254416961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HPR!$L$9</c:f>
              <c:strCache>
                <c:ptCount val="1"/>
                <c:pt idx="0">
                  <c:v>Hoy</c:v>
                </c:pt>
              </c:strCache>
            </c:strRef>
          </c:tx>
          <c:spPr>
            <a:solidFill>
              <a:srgbClr val="045ABE"/>
            </a:solidFill>
            <a:effectLst>
              <a:innerShdw blurRad="63500" dist="50800" dir="10800000">
                <a:prstClr val="black">
                  <a:alpha val="50000"/>
                </a:prstClr>
              </a:innerShdw>
            </a:effectLst>
          </c:spPr>
          <c:invertIfNegative val="0"/>
          <c:dLbls>
            <c:dLbl>
              <c:idx val="0"/>
              <c:layout>
                <c:manualLayout>
                  <c:x val="-8.3104650130513616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1.1080620017401815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1.1080620017401815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1200" b="1"/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HPR!$B$32:$B$34</c:f>
              <c:strCache>
                <c:ptCount val="3"/>
                <c:pt idx="0">
                  <c:v>BEI-2</c:v>
                </c:pt>
                <c:pt idx="1">
                  <c:v>BEI-5</c:v>
                </c:pt>
                <c:pt idx="2">
                  <c:v>BEI-10</c:v>
                </c:pt>
              </c:strCache>
            </c:strRef>
          </c:cat>
          <c:val>
            <c:numRef>
              <c:f>HPR!$C$32:$C$34</c:f>
              <c:numCache>
                <c:formatCode>0.00%</c:formatCode>
                <c:ptCount val="3"/>
                <c:pt idx="0">
                  <c:v>2.4399999999999998E-2</c:v>
                </c:pt>
                <c:pt idx="1">
                  <c:v>2.7400000000000001E-2</c:v>
                </c:pt>
                <c:pt idx="2">
                  <c:v>2.9100000000000001E-2</c:v>
                </c:pt>
              </c:numCache>
            </c:numRef>
          </c:val>
        </c:ser>
        <c:ser>
          <c:idx val="1"/>
          <c:order val="1"/>
          <c:tx>
            <c:strRef>
              <c:f>HPR!$O$9</c:f>
              <c:strCache>
                <c:ptCount val="1"/>
                <c:pt idx="0">
                  <c:v>Esperado (4 meses)</c:v>
                </c:pt>
              </c:strCache>
            </c:strRef>
          </c:tx>
          <c:spPr>
            <a:solidFill>
              <a:srgbClr val="FF7C00"/>
            </a:solidFill>
            <a:effectLst>
              <a:innerShdw blurRad="63500" dist="50800" dir="10800000">
                <a:prstClr val="black">
                  <a:alpha val="50000"/>
                </a:prstClr>
              </a:innerShdw>
            </a:effectLst>
          </c:spPr>
          <c:invertIfNegative val="0"/>
          <c:dLbls>
            <c:txPr>
              <a:bodyPr/>
              <a:lstStyle/>
              <a:p>
                <a:pPr>
                  <a:defRPr sz="1200" b="1"/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HPR!$B$32:$B$34</c:f>
              <c:strCache>
                <c:ptCount val="3"/>
                <c:pt idx="0">
                  <c:v>BEI-2</c:v>
                </c:pt>
                <c:pt idx="1">
                  <c:v>BEI-5</c:v>
                </c:pt>
                <c:pt idx="2">
                  <c:v>BEI-10</c:v>
                </c:pt>
              </c:strCache>
            </c:strRef>
          </c:cat>
          <c:val>
            <c:numRef>
              <c:f>HPR!$F$32:$F$34</c:f>
              <c:numCache>
                <c:formatCode>0.00%</c:formatCode>
                <c:ptCount val="3"/>
                <c:pt idx="0">
                  <c:v>-9.7889832944750802E-12</c:v>
                </c:pt>
                <c:pt idx="1">
                  <c:v>1.1808594518620402E-9</c:v>
                </c:pt>
                <c:pt idx="2">
                  <c:v>7.0875904530944261E-14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1"/>
        <c:axId val="388276736"/>
        <c:axId val="636254976"/>
      </c:barChart>
      <c:catAx>
        <c:axId val="388276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s-CL"/>
          </a:p>
        </c:txPr>
        <c:crossAx val="636254976"/>
        <c:crosses val="autoZero"/>
        <c:auto val="1"/>
        <c:lblAlgn val="ctr"/>
        <c:lblOffset val="100"/>
        <c:noMultiLvlLbl val="0"/>
      </c:catAx>
      <c:valAx>
        <c:axId val="636254976"/>
        <c:scaling>
          <c:orientation val="minMax"/>
          <c:max val="0.05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s-CL"/>
          </a:p>
        </c:txPr>
        <c:crossAx val="38827673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27531714785651795"/>
          <c:y val="0.92146944529460317"/>
          <c:w val="0.49371784776902888"/>
          <c:h val="7.4415291728109928E-2"/>
        </c:manualLayout>
      </c:layout>
      <c:overlay val="0"/>
      <c:txPr>
        <a:bodyPr/>
        <a:lstStyle/>
        <a:p>
          <a:pPr>
            <a:defRPr sz="1400"/>
          </a:pPr>
          <a:endParaRPr lang="es-CL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/>
      </a:pPr>
      <a:endParaRPr lang="es-CL"/>
    </a:p>
  </c:tx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Trayectoria de TPM</a:t>
            </a:r>
          </a:p>
        </c:rich>
      </c:tx>
      <c:layout>
        <c:manualLayout>
          <c:xMode val="edge"/>
          <c:yMode val="edge"/>
          <c:x val="0.40182070012332805"/>
          <c:y val="1.273296343718878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0221110907219525E-2"/>
          <c:y val="0.10773480662983426"/>
          <c:w val="0.89336857765295896"/>
          <c:h val="0.68940990845915473"/>
        </c:manualLayout>
      </c:layout>
      <c:scatterChart>
        <c:scatterStyle val="lineMarker"/>
        <c:varyColors val="0"/>
        <c:ser>
          <c:idx val="2"/>
          <c:order val="0"/>
          <c:tx>
            <c:v>E(TPM)</c:v>
          </c:tx>
          <c:spPr>
            <a:ln w="25400">
              <a:solidFill>
                <a:srgbClr val="045ABE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045ABE"/>
              </a:solidFill>
              <a:ln>
                <a:solidFill>
                  <a:srgbClr val="045ABE"/>
                </a:solidFill>
                <a:prstDash val="solid"/>
              </a:ln>
            </c:spPr>
          </c:marker>
          <c:xVal>
            <c:numRef>
              <c:f>HPR!$R$8:$R$29</c:f>
              <c:numCache>
                <c:formatCode>m/d/yyyy</c:formatCode>
                <c:ptCount val="22"/>
                <c:pt idx="0">
                  <c:v>42670</c:v>
                </c:pt>
                <c:pt idx="1">
                  <c:v>42691</c:v>
                </c:pt>
                <c:pt idx="2">
                  <c:v>42719</c:v>
                </c:pt>
                <c:pt idx="3">
                  <c:v>42750</c:v>
                </c:pt>
                <c:pt idx="4">
                  <c:v>42781</c:v>
                </c:pt>
                <c:pt idx="5">
                  <c:v>42809</c:v>
                </c:pt>
                <c:pt idx="6">
                  <c:v>42840</c:v>
                </c:pt>
                <c:pt idx="7">
                  <c:v>42870</c:v>
                </c:pt>
                <c:pt idx="8">
                  <c:v>42901</c:v>
                </c:pt>
                <c:pt idx="9">
                  <c:v>42931</c:v>
                </c:pt>
                <c:pt idx="10">
                  <c:v>43023</c:v>
                </c:pt>
                <c:pt idx="11">
                  <c:v>43115</c:v>
                </c:pt>
                <c:pt idx="12">
                  <c:v>43205</c:v>
                </c:pt>
                <c:pt idx="13">
                  <c:v>43570</c:v>
                </c:pt>
                <c:pt idx="14">
                  <c:v>43936</c:v>
                </c:pt>
                <c:pt idx="15">
                  <c:v>44301</c:v>
                </c:pt>
                <c:pt idx="16">
                  <c:v>44666</c:v>
                </c:pt>
                <c:pt idx="17">
                  <c:v>45031</c:v>
                </c:pt>
                <c:pt idx="18">
                  <c:v>45397</c:v>
                </c:pt>
                <c:pt idx="19">
                  <c:v>45762</c:v>
                </c:pt>
                <c:pt idx="20">
                  <c:v>46127</c:v>
                </c:pt>
                <c:pt idx="21">
                  <c:v>46492</c:v>
                </c:pt>
              </c:numCache>
            </c:numRef>
          </c:xVal>
          <c:yVal>
            <c:numRef>
              <c:f>HPR!$S$8:$S$29</c:f>
              <c:numCache>
                <c:formatCode>0.00</c:formatCode>
                <c:ptCount val="22"/>
                <c:pt idx="0">
                  <c:v>3.5000000000000004</c:v>
                </c:pt>
                <c:pt idx="1">
                  <c:v>3.5000000000000004</c:v>
                </c:pt>
                <c:pt idx="2">
                  <c:v>3.5000000000000004</c:v>
                </c:pt>
                <c:pt idx="3">
                  <c:v>3.5000000000000004</c:v>
                </c:pt>
                <c:pt idx="4">
                  <c:v>3.5000000000000004</c:v>
                </c:pt>
                <c:pt idx="5">
                  <c:v>3.4</c:v>
                </c:pt>
                <c:pt idx="6">
                  <c:v>3.3000000000000003</c:v>
                </c:pt>
                <c:pt idx="7">
                  <c:v>3.3000000000000003</c:v>
                </c:pt>
                <c:pt idx="8">
                  <c:v>3.3000000000000003</c:v>
                </c:pt>
                <c:pt idx="9">
                  <c:v>3.3000000000000003</c:v>
                </c:pt>
                <c:pt idx="10">
                  <c:v>3.3250000000000002</c:v>
                </c:pt>
                <c:pt idx="11">
                  <c:v>3.35</c:v>
                </c:pt>
                <c:pt idx="12">
                  <c:v>3.5750000000000002</c:v>
                </c:pt>
                <c:pt idx="13">
                  <c:v>3.9750000000000005</c:v>
                </c:pt>
                <c:pt idx="14">
                  <c:v>4.1749999999999998</c:v>
                </c:pt>
                <c:pt idx="15">
                  <c:v>4.1749999999999998</c:v>
                </c:pt>
                <c:pt idx="16">
                  <c:v>4.1749999999999998</c:v>
                </c:pt>
                <c:pt idx="17">
                  <c:v>4.1749999999999998</c:v>
                </c:pt>
                <c:pt idx="18">
                  <c:v>4.1749999999999998</c:v>
                </c:pt>
                <c:pt idx="19">
                  <c:v>4.1749999999999998</c:v>
                </c:pt>
                <c:pt idx="20">
                  <c:v>4.1749999999999998</c:v>
                </c:pt>
                <c:pt idx="21">
                  <c:v>4.1749999999999998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HPR!$U$16</c:f>
              <c:strCache>
                <c:ptCount val="1"/>
                <c:pt idx="0">
                  <c:v>Dove</c:v>
                </c:pt>
              </c:strCache>
            </c:strRef>
          </c:tx>
          <c:spPr>
            <a:ln>
              <a:solidFill>
                <a:srgbClr val="FF7C00"/>
              </a:solidFill>
            </a:ln>
          </c:spPr>
          <c:marker>
            <c:symbol val="circle"/>
            <c:size val="7"/>
            <c:spPr>
              <a:solidFill>
                <a:srgbClr val="FF7C00"/>
              </a:solidFill>
              <a:ln>
                <a:solidFill>
                  <a:srgbClr val="FF7C00"/>
                </a:solidFill>
              </a:ln>
            </c:spPr>
          </c:marker>
          <c:xVal>
            <c:numRef>
              <c:f>HPR!$U$25:$U$46</c:f>
              <c:numCache>
                <c:formatCode>m/d/yyyy</c:formatCode>
                <c:ptCount val="22"/>
                <c:pt idx="0">
                  <c:v>42670</c:v>
                </c:pt>
                <c:pt idx="1">
                  <c:v>42691</c:v>
                </c:pt>
                <c:pt idx="2">
                  <c:v>42719</c:v>
                </c:pt>
                <c:pt idx="3">
                  <c:v>42750</c:v>
                </c:pt>
                <c:pt idx="4">
                  <c:v>42781</c:v>
                </c:pt>
                <c:pt idx="5">
                  <c:v>42809</c:v>
                </c:pt>
                <c:pt idx="6">
                  <c:v>42840</c:v>
                </c:pt>
                <c:pt idx="7">
                  <c:v>42870</c:v>
                </c:pt>
                <c:pt idx="8">
                  <c:v>42901</c:v>
                </c:pt>
                <c:pt idx="9">
                  <c:v>42931</c:v>
                </c:pt>
                <c:pt idx="10">
                  <c:v>43023</c:v>
                </c:pt>
                <c:pt idx="11">
                  <c:v>43115</c:v>
                </c:pt>
                <c:pt idx="12">
                  <c:v>43205</c:v>
                </c:pt>
                <c:pt idx="13">
                  <c:v>43570</c:v>
                </c:pt>
                <c:pt idx="14">
                  <c:v>43936</c:v>
                </c:pt>
                <c:pt idx="15">
                  <c:v>44301</c:v>
                </c:pt>
                <c:pt idx="16">
                  <c:v>44666</c:v>
                </c:pt>
                <c:pt idx="17">
                  <c:v>45031</c:v>
                </c:pt>
                <c:pt idx="18">
                  <c:v>45397</c:v>
                </c:pt>
                <c:pt idx="19">
                  <c:v>45762</c:v>
                </c:pt>
                <c:pt idx="20">
                  <c:v>46127</c:v>
                </c:pt>
                <c:pt idx="21">
                  <c:v>46492</c:v>
                </c:pt>
              </c:numCache>
            </c:numRef>
          </c:xVal>
          <c:yVal>
            <c:numRef>
              <c:f>HPR!$V$25:$V$46</c:f>
              <c:numCache>
                <c:formatCode>General</c:formatCode>
                <c:ptCount val="22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3.25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3.5</c:v>
                </c:pt>
                <c:pt idx="13">
                  <c:v>3.5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HPR!$X$16</c:f>
              <c:strCache>
                <c:ptCount val="1"/>
                <c:pt idx="0">
                  <c:v>Base</c:v>
                </c:pt>
              </c:strCache>
            </c:strRef>
          </c:tx>
          <c:spPr>
            <a:ln>
              <a:solidFill>
                <a:srgbClr val="7F7F7F"/>
              </a:solidFill>
            </a:ln>
          </c:spPr>
          <c:marker>
            <c:symbol val="circle"/>
            <c:size val="7"/>
            <c:spPr>
              <a:solidFill>
                <a:srgbClr val="7F7F7F"/>
              </a:solidFill>
              <a:ln>
                <a:solidFill>
                  <a:srgbClr val="7F7F7F"/>
                </a:solidFill>
              </a:ln>
            </c:spPr>
          </c:marker>
          <c:xVal>
            <c:numRef>
              <c:f>HPR!$X$25:$X$46</c:f>
              <c:numCache>
                <c:formatCode>m/d/yyyy</c:formatCode>
                <c:ptCount val="22"/>
                <c:pt idx="0">
                  <c:v>42670</c:v>
                </c:pt>
                <c:pt idx="1">
                  <c:v>42691</c:v>
                </c:pt>
                <c:pt idx="2">
                  <c:v>42719</c:v>
                </c:pt>
                <c:pt idx="3">
                  <c:v>42750</c:v>
                </c:pt>
                <c:pt idx="4">
                  <c:v>42781</c:v>
                </c:pt>
                <c:pt idx="5">
                  <c:v>42809</c:v>
                </c:pt>
                <c:pt idx="6">
                  <c:v>42840</c:v>
                </c:pt>
                <c:pt idx="7">
                  <c:v>42870</c:v>
                </c:pt>
                <c:pt idx="8">
                  <c:v>42901</c:v>
                </c:pt>
                <c:pt idx="9">
                  <c:v>42931</c:v>
                </c:pt>
                <c:pt idx="10">
                  <c:v>43023</c:v>
                </c:pt>
                <c:pt idx="11">
                  <c:v>43115</c:v>
                </c:pt>
                <c:pt idx="12">
                  <c:v>43205</c:v>
                </c:pt>
                <c:pt idx="13">
                  <c:v>43570</c:v>
                </c:pt>
                <c:pt idx="14">
                  <c:v>43936</c:v>
                </c:pt>
                <c:pt idx="15">
                  <c:v>44301</c:v>
                </c:pt>
                <c:pt idx="16">
                  <c:v>44666</c:v>
                </c:pt>
                <c:pt idx="17">
                  <c:v>45031</c:v>
                </c:pt>
                <c:pt idx="18">
                  <c:v>45397</c:v>
                </c:pt>
                <c:pt idx="19">
                  <c:v>45762</c:v>
                </c:pt>
                <c:pt idx="20">
                  <c:v>46127</c:v>
                </c:pt>
                <c:pt idx="21">
                  <c:v>46492</c:v>
                </c:pt>
              </c:numCache>
            </c:numRef>
          </c:xVal>
          <c:yVal>
            <c:numRef>
              <c:f>HPR!$Y$25:$Y$46</c:f>
              <c:numCache>
                <c:formatCode>General</c:formatCode>
                <c:ptCount val="22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3.5</c:v>
                </c:pt>
                <c:pt idx="13">
                  <c:v>4.25</c:v>
                </c:pt>
                <c:pt idx="14">
                  <c:v>4.25</c:v>
                </c:pt>
                <c:pt idx="15">
                  <c:v>4.25</c:v>
                </c:pt>
                <c:pt idx="16">
                  <c:v>4.25</c:v>
                </c:pt>
                <c:pt idx="17">
                  <c:v>4.25</c:v>
                </c:pt>
                <c:pt idx="18">
                  <c:v>4.25</c:v>
                </c:pt>
                <c:pt idx="19">
                  <c:v>4.25</c:v>
                </c:pt>
                <c:pt idx="20">
                  <c:v>4.25</c:v>
                </c:pt>
                <c:pt idx="21">
                  <c:v>4.25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HPR!$AA$16</c:f>
              <c:strCache>
                <c:ptCount val="1"/>
                <c:pt idx="0">
                  <c:v>Hawk</c:v>
                </c:pt>
              </c:strCache>
            </c:strRef>
          </c:tx>
          <c:spPr>
            <a:ln>
              <a:solidFill>
                <a:srgbClr val="F9D019"/>
              </a:solidFill>
            </a:ln>
          </c:spPr>
          <c:marker>
            <c:symbol val="circle"/>
            <c:size val="7"/>
            <c:spPr>
              <a:solidFill>
                <a:srgbClr val="F9D019"/>
              </a:solidFill>
              <a:ln>
                <a:solidFill>
                  <a:srgbClr val="F9D019"/>
                </a:solidFill>
              </a:ln>
            </c:spPr>
          </c:marker>
          <c:xVal>
            <c:numRef>
              <c:f>HPR!$AA$25:$AA$46</c:f>
              <c:numCache>
                <c:formatCode>m/d/yyyy</c:formatCode>
                <c:ptCount val="22"/>
                <c:pt idx="0">
                  <c:v>42670</c:v>
                </c:pt>
                <c:pt idx="1">
                  <c:v>42691</c:v>
                </c:pt>
                <c:pt idx="2">
                  <c:v>42719</c:v>
                </c:pt>
                <c:pt idx="3">
                  <c:v>42750</c:v>
                </c:pt>
                <c:pt idx="4">
                  <c:v>42781</c:v>
                </c:pt>
                <c:pt idx="5">
                  <c:v>42809</c:v>
                </c:pt>
                <c:pt idx="6">
                  <c:v>42840</c:v>
                </c:pt>
                <c:pt idx="7">
                  <c:v>42870</c:v>
                </c:pt>
                <c:pt idx="8">
                  <c:v>42901</c:v>
                </c:pt>
                <c:pt idx="9">
                  <c:v>42931</c:v>
                </c:pt>
                <c:pt idx="10">
                  <c:v>43023</c:v>
                </c:pt>
                <c:pt idx="11">
                  <c:v>43115</c:v>
                </c:pt>
                <c:pt idx="12">
                  <c:v>43205</c:v>
                </c:pt>
                <c:pt idx="13">
                  <c:v>43570</c:v>
                </c:pt>
                <c:pt idx="14">
                  <c:v>43936</c:v>
                </c:pt>
                <c:pt idx="15">
                  <c:v>44301</c:v>
                </c:pt>
                <c:pt idx="16">
                  <c:v>44666</c:v>
                </c:pt>
                <c:pt idx="17">
                  <c:v>45031</c:v>
                </c:pt>
                <c:pt idx="18">
                  <c:v>45397</c:v>
                </c:pt>
                <c:pt idx="19">
                  <c:v>45762</c:v>
                </c:pt>
                <c:pt idx="20">
                  <c:v>46127</c:v>
                </c:pt>
                <c:pt idx="21">
                  <c:v>46492</c:v>
                </c:pt>
              </c:numCache>
            </c:numRef>
          </c:xVal>
          <c:yVal>
            <c:numRef>
              <c:f>HPR!$AB$25:$AB$46</c:f>
              <c:numCache>
                <c:formatCode>General</c:formatCode>
                <c:ptCount val="22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3.75</c:v>
                </c:pt>
                <c:pt idx="11">
                  <c:v>4</c:v>
                </c:pt>
                <c:pt idx="12">
                  <c:v>4.25</c:v>
                </c:pt>
                <c:pt idx="13">
                  <c:v>4.5</c:v>
                </c:pt>
                <c:pt idx="14">
                  <c:v>4.5</c:v>
                </c:pt>
                <c:pt idx="15">
                  <c:v>4.5</c:v>
                </c:pt>
                <c:pt idx="16">
                  <c:v>4.5</c:v>
                </c:pt>
                <c:pt idx="17">
                  <c:v>4.5</c:v>
                </c:pt>
                <c:pt idx="18">
                  <c:v>4.5</c:v>
                </c:pt>
                <c:pt idx="19">
                  <c:v>4.5</c:v>
                </c:pt>
                <c:pt idx="20">
                  <c:v>4.5</c:v>
                </c:pt>
                <c:pt idx="21">
                  <c:v>4.5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HPR!$AD$16</c:f>
              <c:strCache>
                <c:ptCount val="1"/>
                <c:pt idx="0">
                  <c:v>Extreme</c:v>
                </c:pt>
              </c:strCache>
            </c:strRef>
          </c:tx>
          <c:spPr>
            <a:ln>
              <a:solidFill>
                <a:srgbClr val="88B14B"/>
              </a:solidFill>
            </a:ln>
          </c:spPr>
          <c:marker>
            <c:symbol val="circle"/>
            <c:size val="7"/>
            <c:spPr>
              <a:solidFill>
                <a:srgbClr val="88B14B"/>
              </a:solidFill>
              <a:ln>
                <a:solidFill>
                  <a:srgbClr val="88B14B"/>
                </a:solidFill>
              </a:ln>
            </c:spPr>
          </c:marker>
          <c:xVal>
            <c:numRef>
              <c:f>HPR!$AD$25:$AD$46</c:f>
              <c:numCache>
                <c:formatCode>m/d/yyyy</c:formatCode>
                <c:ptCount val="22"/>
                <c:pt idx="0">
                  <c:v>42670</c:v>
                </c:pt>
                <c:pt idx="1">
                  <c:v>42691</c:v>
                </c:pt>
                <c:pt idx="2">
                  <c:v>42719</c:v>
                </c:pt>
                <c:pt idx="3">
                  <c:v>42750</c:v>
                </c:pt>
                <c:pt idx="4">
                  <c:v>42781</c:v>
                </c:pt>
                <c:pt idx="5">
                  <c:v>42809</c:v>
                </c:pt>
                <c:pt idx="6">
                  <c:v>42840</c:v>
                </c:pt>
                <c:pt idx="7">
                  <c:v>42870</c:v>
                </c:pt>
                <c:pt idx="8">
                  <c:v>42901</c:v>
                </c:pt>
                <c:pt idx="9">
                  <c:v>42931</c:v>
                </c:pt>
                <c:pt idx="10">
                  <c:v>43023</c:v>
                </c:pt>
                <c:pt idx="11">
                  <c:v>43115</c:v>
                </c:pt>
                <c:pt idx="12">
                  <c:v>43205</c:v>
                </c:pt>
                <c:pt idx="13">
                  <c:v>43570</c:v>
                </c:pt>
                <c:pt idx="14">
                  <c:v>43936</c:v>
                </c:pt>
                <c:pt idx="15">
                  <c:v>44301</c:v>
                </c:pt>
                <c:pt idx="16">
                  <c:v>44666</c:v>
                </c:pt>
                <c:pt idx="17">
                  <c:v>45031</c:v>
                </c:pt>
                <c:pt idx="18">
                  <c:v>45397</c:v>
                </c:pt>
                <c:pt idx="19">
                  <c:v>45762</c:v>
                </c:pt>
                <c:pt idx="20">
                  <c:v>46127</c:v>
                </c:pt>
                <c:pt idx="21">
                  <c:v>46492</c:v>
                </c:pt>
              </c:numCache>
            </c:numRef>
          </c:xVal>
          <c:yVal>
            <c:numRef>
              <c:f>HPR!$AE$25:$AE$46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371904"/>
        <c:axId val="433372480"/>
      </c:scatterChart>
      <c:valAx>
        <c:axId val="433371904"/>
        <c:scaling>
          <c:orientation val="minMax"/>
          <c:min val="4250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Años</a:t>
                </a:r>
              </a:p>
            </c:rich>
          </c:tx>
          <c:layout>
            <c:manualLayout>
              <c:xMode val="edge"/>
              <c:yMode val="edge"/>
              <c:x val="0.49154779748916932"/>
              <c:y val="0.91357291686401199"/>
            </c:manualLayout>
          </c:layout>
          <c:overlay val="0"/>
          <c:spPr>
            <a:noFill/>
            <a:ln w="25400">
              <a:noFill/>
            </a:ln>
          </c:spPr>
        </c:title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433372480"/>
        <c:crosses val="autoZero"/>
        <c:crossBetween val="midCat"/>
      </c:valAx>
      <c:valAx>
        <c:axId val="433372480"/>
        <c:scaling>
          <c:orientation val="minMax"/>
          <c:max val="5.5"/>
          <c:min val="2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#,##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433371904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5573449704329119"/>
          <c:y val="0.41000408061749755"/>
          <c:w val="0.10201612750213455"/>
          <c:h val="0.3634854000386888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000000000000044" r="0.75000000000000044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600"/>
              <a:t>BCP/BTP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Informe!$Y$35</c:f>
              <c:strCache>
                <c:ptCount val="1"/>
                <c:pt idx="0">
                  <c:v>Market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045ABE"/>
              </a:solidFill>
              <a:ln>
                <a:solidFill>
                  <a:srgbClr val="4F81BD">
                    <a:shade val="95000"/>
                    <a:satMod val="105000"/>
                  </a:srgbClr>
                </a:solidFill>
              </a:ln>
            </c:spPr>
          </c:marker>
          <c:cat>
            <c:numRef>
              <c:f>Informe!$W$36:$W$58</c:f>
              <c:numCache>
                <c:formatCode>m/d/yyyy</c:formatCode>
                <c:ptCount val="23"/>
                <c:pt idx="0">
                  <c:v>42736</c:v>
                </c:pt>
                <c:pt idx="1">
                  <c:v>42795</c:v>
                </c:pt>
                <c:pt idx="2">
                  <c:v>42887</c:v>
                </c:pt>
                <c:pt idx="3">
                  <c:v>43101</c:v>
                </c:pt>
                <c:pt idx="4">
                  <c:v>43160</c:v>
                </c:pt>
                <c:pt idx="5">
                  <c:v>43160</c:v>
                </c:pt>
                <c:pt idx="6">
                  <c:v>43221</c:v>
                </c:pt>
                <c:pt idx="7">
                  <c:v>43252</c:v>
                </c:pt>
                <c:pt idx="8">
                  <c:v>43466</c:v>
                </c:pt>
                <c:pt idx="9">
                  <c:v>43831</c:v>
                </c:pt>
                <c:pt idx="10">
                  <c:v>43922</c:v>
                </c:pt>
                <c:pt idx="11">
                  <c:v>43983</c:v>
                </c:pt>
                <c:pt idx="12">
                  <c:v>44228</c:v>
                </c:pt>
                <c:pt idx="13">
                  <c:v>44256</c:v>
                </c:pt>
                <c:pt idx="14">
                  <c:v>44562</c:v>
                </c:pt>
                <c:pt idx="15">
                  <c:v>44621</c:v>
                </c:pt>
                <c:pt idx="16">
                  <c:v>44986</c:v>
                </c:pt>
                <c:pt idx="17">
                  <c:v>45292</c:v>
                </c:pt>
                <c:pt idx="18">
                  <c:v>46082</c:v>
                </c:pt>
                <c:pt idx="19">
                  <c:v>48214</c:v>
                </c:pt>
                <c:pt idx="20">
                  <c:v>48945</c:v>
                </c:pt>
                <c:pt idx="21">
                  <c:v>49369</c:v>
                </c:pt>
                <c:pt idx="22">
                  <c:v>52232</c:v>
                </c:pt>
              </c:numCache>
            </c:numRef>
          </c:cat>
          <c:val>
            <c:numRef>
              <c:f>Informe!$Y$36:$Y$58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3.48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3.67</c:v>
                </c:pt>
                <c:pt idx="11">
                  <c:v>3.7</c:v>
                </c:pt>
                <c:pt idx="12">
                  <c:v>3.84</c:v>
                </c:pt>
                <c:pt idx="13">
                  <c:v>3.84</c:v>
                </c:pt>
                <c:pt idx="14">
                  <c:v>0</c:v>
                </c:pt>
                <c:pt idx="15">
                  <c:v>3.85</c:v>
                </c:pt>
                <c:pt idx="16">
                  <c:v>0</c:v>
                </c:pt>
                <c:pt idx="17">
                  <c:v>0</c:v>
                </c:pt>
                <c:pt idx="18">
                  <c:v>4.1900000000000004</c:v>
                </c:pt>
                <c:pt idx="19">
                  <c:v>0</c:v>
                </c:pt>
                <c:pt idx="20">
                  <c:v>0</c:v>
                </c:pt>
                <c:pt idx="21">
                  <c:v>4.45</c:v>
                </c:pt>
                <c:pt idx="22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Informe!$AA$35</c:f>
              <c:strCache>
                <c:ptCount val="1"/>
                <c:pt idx="0">
                  <c:v>Dove</c:v>
                </c:pt>
              </c:strCache>
            </c:strRef>
          </c:tx>
          <c:spPr>
            <a:ln>
              <a:solidFill>
                <a:srgbClr val="4F81BD">
                  <a:shade val="95000"/>
                  <a:satMod val="105000"/>
                  <a:alpha val="57000"/>
                </a:srgbClr>
              </a:solidFill>
            </a:ln>
            <a:effectLst>
              <a:outerShdw dist="50800" dir="5400000" sx="1000" sy="1000" algn="ctr" rotWithShape="0">
                <a:srgbClr val="000000"/>
              </a:outerShdw>
            </a:effectLst>
          </c:spPr>
          <c:marker>
            <c:symbol val="none"/>
          </c:marker>
          <c:cat>
            <c:numRef>
              <c:f>Informe!$W$36:$W$58</c:f>
              <c:numCache>
                <c:formatCode>m/d/yyyy</c:formatCode>
                <c:ptCount val="23"/>
                <c:pt idx="0">
                  <c:v>42736</c:v>
                </c:pt>
                <c:pt idx="1">
                  <c:v>42795</c:v>
                </c:pt>
                <c:pt idx="2">
                  <c:v>42887</c:v>
                </c:pt>
                <c:pt idx="3">
                  <c:v>43101</c:v>
                </c:pt>
                <c:pt idx="4">
                  <c:v>43160</c:v>
                </c:pt>
                <c:pt idx="5">
                  <c:v>43160</c:v>
                </c:pt>
                <c:pt idx="6">
                  <c:v>43221</c:v>
                </c:pt>
                <c:pt idx="7">
                  <c:v>43252</c:v>
                </c:pt>
                <c:pt idx="8">
                  <c:v>43466</c:v>
                </c:pt>
                <c:pt idx="9">
                  <c:v>43831</c:v>
                </c:pt>
                <c:pt idx="10">
                  <c:v>43922</c:v>
                </c:pt>
                <c:pt idx="11">
                  <c:v>43983</c:v>
                </c:pt>
                <c:pt idx="12">
                  <c:v>44228</c:v>
                </c:pt>
                <c:pt idx="13">
                  <c:v>44256</c:v>
                </c:pt>
                <c:pt idx="14">
                  <c:v>44562</c:v>
                </c:pt>
                <c:pt idx="15">
                  <c:v>44621</c:v>
                </c:pt>
                <c:pt idx="16">
                  <c:v>44986</c:v>
                </c:pt>
                <c:pt idx="17">
                  <c:v>45292</c:v>
                </c:pt>
                <c:pt idx="18">
                  <c:v>46082</c:v>
                </c:pt>
                <c:pt idx="19">
                  <c:v>48214</c:v>
                </c:pt>
                <c:pt idx="20">
                  <c:v>48945</c:v>
                </c:pt>
                <c:pt idx="21">
                  <c:v>49369</c:v>
                </c:pt>
                <c:pt idx="22">
                  <c:v>52232</c:v>
                </c:pt>
              </c:numCache>
            </c:numRef>
          </c:cat>
          <c:val>
            <c:numRef>
              <c:f>Informe!$AA$36:$AA$57</c:f>
              <c:numCache>
                <c:formatCode>0.00</c:formatCode>
                <c:ptCount val="22"/>
                <c:pt idx="0">
                  <c:v>3.6169386604233211</c:v>
                </c:pt>
                <c:pt idx="1">
                  <c:v>3.6168345350865314</c:v>
                </c:pt>
                <c:pt idx="2">
                  <c:v>3.4781232907369661</c:v>
                </c:pt>
                <c:pt idx="3">
                  <c:v>3.3108181245739101</c:v>
                </c:pt>
                <c:pt idx="4">
                  <c:v>3.3056311753592151</c:v>
                </c:pt>
                <c:pt idx="5">
                  <c:v>3.3056311753592151</c:v>
                </c:pt>
                <c:pt idx="6">
                  <c:v>3.3345294030873256</c:v>
                </c:pt>
                <c:pt idx="7">
                  <c:v>3.3526144133463491</c:v>
                </c:pt>
                <c:pt idx="8">
                  <c:v>3.43930559839667</c:v>
                </c:pt>
                <c:pt idx="9">
                  <c:v>3.5495163873725568</c:v>
                </c:pt>
                <c:pt idx="10">
                  <c:v>3.5908964877599781</c:v>
                </c:pt>
                <c:pt idx="11">
                  <c:v>3.6175160000805517</c:v>
                </c:pt>
                <c:pt idx="12">
                  <c:v>3.6997807433927754</c:v>
                </c:pt>
                <c:pt idx="13">
                  <c:v>3.7131662217622634</c:v>
                </c:pt>
                <c:pt idx="14">
                  <c:v>3.7827422433818287</c:v>
                </c:pt>
                <c:pt idx="15">
                  <c:v>3.7947761302942196</c:v>
                </c:pt>
                <c:pt idx="16">
                  <c:v>3.8564794496184938</c:v>
                </c:pt>
                <c:pt idx="17">
                  <c:v>3.8961846400579749</c:v>
                </c:pt>
                <c:pt idx="18">
                  <c:v>3.9789001755868871</c:v>
                </c:pt>
                <c:pt idx="19">
                  <c:v>4.0790281280927569</c:v>
                </c:pt>
                <c:pt idx="20">
                  <c:v>4.106228826287138</c:v>
                </c:pt>
                <c:pt idx="21">
                  <c:v>4.1287258536368725</c:v>
                </c:pt>
              </c:numCache>
            </c:numRef>
          </c:val>
          <c:smooth val="1"/>
        </c:ser>
        <c:ser>
          <c:idx val="5"/>
          <c:order val="2"/>
          <c:tx>
            <c:v>Base</c:v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Informe!$W$36:$W$58</c:f>
              <c:numCache>
                <c:formatCode>m/d/yyyy</c:formatCode>
                <c:ptCount val="23"/>
                <c:pt idx="0">
                  <c:v>42736</c:v>
                </c:pt>
                <c:pt idx="1">
                  <c:v>42795</c:v>
                </c:pt>
                <c:pt idx="2">
                  <c:v>42887</c:v>
                </c:pt>
                <c:pt idx="3">
                  <c:v>43101</c:v>
                </c:pt>
                <c:pt idx="4">
                  <c:v>43160</c:v>
                </c:pt>
                <c:pt idx="5">
                  <c:v>43160</c:v>
                </c:pt>
                <c:pt idx="6">
                  <c:v>43221</c:v>
                </c:pt>
                <c:pt idx="7">
                  <c:v>43252</c:v>
                </c:pt>
                <c:pt idx="8">
                  <c:v>43466</c:v>
                </c:pt>
                <c:pt idx="9">
                  <c:v>43831</c:v>
                </c:pt>
                <c:pt idx="10">
                  <c:v>43922</c:v>
                </c:pt>
                <c:pt idx="11">
                  <c:v>43983</c:v>
                </c:pt>
                <c:pt idx="12">
                  <c:v>44228</c:v>
                </c:pt>
                <c:pt idx="13">
                  <c:v>44256</c:v>
                </c:pt>
                <c:pt idx="14">
                  <c:v>44562</c:v>
                </c:pt>
                <c:pt idx="15">
                  <c:v>44621</c:v>
                </c:pt>
                <c:pt idx="16">
                  <c:v>44986</c:v>
                </c:pt>
                <c:pt idx="17">
                  <c:v>45292</c:v>
                </c:pt>
                <c:pt idx="18">
                  <c:v>46082</c:v>
                </c:pt>
                <c:pt idx="19">
                  <c:v>48214</c:v>
                </c:pt>
                <c:pt idx="20">
                  <c:v>48945</c:v>
                </c:pt>
                <c:pt idx="21">
                  <c:v>49369</c:v>
                </c:pt>
                <c:pt idx="22">
                  <c:v>52232</c:v>
                </c:pt>
              </c:numCache>
            </c:numRef>
          </c:cat>
          <c:val>
            <c:numRef>
              <c:f>Informe!$AB$36:$AB$59</c:f>
              <c:numCache>
                <c:formatCode>0.00</c:formatCode>
                <c:ptCount val="24"/>
                <c:pt idx="0">
                  <c:v>3.6169386604233211</c:v>
                </c:pt>
                <c:pt idx="1">
                  <c:v>3.6210358688097015</c:v>
                </c:pt>
                <c:pt idx="2">
                  <c:v>3.6273603283475042</c:v>
                </c:pt>
                <c:pt idx="3">
                  <c:v>3.6419530210773372</c:v>
                </c:pt>
                <c:pt idx="4">
                  <c:v>3.6459595757269381</c:v>
                </c:pt>
                <c:pt idx="5">
                  <c:v>3.6459595757269381</c:v>
                </c:pt>
                <c:pt idx="6">
                  <c:v>3.6510172398954648</c:v>
                </c:pt>
                <c:pt idx="7">
                  <c:v>3.6565351265817703</c:v>
                </c:pt>
                <c:pt idx="8">
                  <c:v>3.7506435212858964</c:v>
                </c:pt>
                <c:pt idx="9">
                  <c:v>3.9526036908795175</c:v>
                </c:pt>
                <c:pt idx="10">
                  <c:v>3.9918808557278611</c:v>
                </c:pt>
                <c:pt idx="11">
                  <c:v>4.0128084258761287</c:v>
                </c:pt>
                <c:pt idx="12">
                  <c:v>4.0755687027470415</c:v>
                </c:pt>
                <c:pt idx="13">
                  <c:v>4.0877304133427268</c:v>
                </c:pt>
                <c:pt idx="14">
                  <c:v>4.1411772748241438</c:v>
                </c:pt>
                <c:pt idx="15">
                  <c:v>4.1507605637989906</c:v>
                </c:pt>
                <c:pt idx="16">
                  <c:v>4.2000388180087871</c:v>
                </c:pt>
                <c:pt idx="17">
                  <c:v>4.2319619659019629</c:v>
                </c:pt>
                <c:pt idx="18">
                  <c:v>4.2998418771635434</c:v>
                </c:pt>
                <c:pt idx="19">
                  <c:v>4.3832013911370842</c:v>
                </c:pt>
                <c:pt idx="20">
                  <c:v>4.4063052875248516</c:v>
                </c:pt>
                <c:pt idx="21">
                  <c:v>4.4255472526379256</c:v>
                </c:pt>
                <c:pt idx="22">
                  <c:v>4.4957308256863877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Informe!$AC$35</c:f>
              <c:strCache>
                <c:ptCount val="1"/>
                <c:pt idx="0">
                  <c:v>Hawk</c:v>
                </c:pt>
              </c:strCache>
            </c:strRef>
          </c:tx>
          <c:spPr>
            <a:ln>
              <a:solidFill>
                <a:schemeClr val="accent2">
                  <a:alpha val="57000"/>
                </a:schemeClr>
              </a:solidFill>
            </a:ln>
          </c:spPr>
          <c:marker>
            <c:symbol val="none"/>
          </c:marker>
          <c:cat>
            <c:numRef>
              <c:f>Informe!$W$36:$W$58</c:f>
              <c:numCache>
                <c:formatCode>m/d/yyyy</c:formatCode>
                <c:ptCount val="23"/>
                <c:pt idx="0">
                  <c:v>42736</c:v>
                </c:pt>
                <c:pt idx="1">
                  <c:v>42795</c:v>
                </c:pt>
                <c:pt idx="2">
                  <c:v>42887</c:v>
                </c:pt>
                <c:pt idx="3">
                  <c:v>43101</c:v>
                </c:pt>
                <c:pt idx="4">
                  <c:v>43160</c:v>
                </c:pt>
                <c:pt idx="5">
                  <c:v>43160</c:v>
                </c:pt>
                <c:pt idx="6">
                  <c:v>43221</c:v>
                </c:pt>
                <c:pt idx="7">
                  <c:v>43252</c:v>
                </c:pt>
                <c:pt idx="8">
                  <c:v>43466</c:v>
                </c:pt>
                <c:pt idx="9">
                  <c:v>43831</c:v>
                </c:pt>
                <c:pt idx="10">
                  <c:v>43922</c:v>
                </c:pt>
                <c:pt idx="11">
                  <c:v>43983</c:v>
                </c:pt>
                <c:pt idx="12">
                  <c:v>44228</c:v>
                </c:pt>
                <c:pt idx="13">
                  <c:v>44256</c:v>
                </c:pt>
                <c:pt idx="14">
                  <c:v>44562</c:v>
                </c:pt>
                <c:pt idx="15">
                  <c:v>44621</c:v>
                </c:pt>
                <c:pt idx="16">
                  <c:v>44986</c:v>
                </c:pt>
                <c:pt idx="17">
                  <c:v>45292</c:v>
                </c:pt>
                <c:pt idx="18">
                  <c:v>46082</c:v>
                </c:pt>
                <c:pt idx="19">
                  <c:v>48214</c:v>
                </c:pt>
                <c:pt idx="20">
                  <c:v>48945</c:v>
                </c:pt>
                <c:pt idx="21">
                  <c:v>49369</c:v>
                </c:pt>
                <c:pt idx="22">
                  <c:v>52232</c:v>
                </c:pt>
              </c:numCache>
            </c:numRef>
          </c:cat>
          <c:val>
            <c:numRef>
              <c:f>Informe!$AC$36:$AC$57</c:f>
              <c:numCache>
                <c:formatCode>0.00</c:formatCode>
                <c:ptCount val="22"/>
                <c:pt idx="0">
                  <c:v>3.6169386604233211</c:v>
                </c:pt>
                <c:pt idx="1">
                  <c:v>3.6210358688097015</c:v>
                </c:pt>
                <c:pt idx="2">
                  <c:v>3.6273603283475042</c:v>
                </c:pt>
                <c:pt idx="3">
                  <c:v>3.7085816066804691</c:v>
                </c:pt>
                <c:pt idx="4">
                  <c:v>3.7710388130388859</c:v>
                </c:pt>
                <c:pt idx="5">
                  <c:v>3.7710388130388859</c:v>
                </c:pt>
                <c:pt idx="6">
                  <c:v>3.8401787016435893</c:v>
                </c:pt>
                <c:pt idx="7">
                  <c:v>3.8738096244251015</c:v>
                </c:pt>
                <c:pt idx="8">
                  <c:v>4.0576190658006066</c:v>
                </c:pt>
                <c:pt idx="9">
                  <c:v>4.2537538039180518</c:v>
                </c:pt>
                <c:pt idx="10">
                  <c:v>4.2918195797327208</c:v>
                </c:pt>
                <c:pt idx="11">
                  <c:v>4.3112540602021019</c:v>
                </c:pt>
                <c:pt idx="12">
                  <c:v>4.3683253913408615</c:v>
                </c:pt>
                <c:pt idx="13">
                  <c:v>4.3808110536049627</c:v>
                </c:pt>
                <c:pt idx="14">
                  <c:v>4.4295778404241206</c:v>
                </c:pt>
                <c:pt idx="15">
                  <c:v>4.4385305521027734</c:v>
                </c:pt>
                <c:pt idx="16">
                  <c:v>4.4846671662985296</c:v>
                </c:pt>
                <c:pt idx="17">
                  <c:v>4.5146212378212249</c:v>
                </c:pt>
                <c:pt idx="18">
                  <c:v>4.5789865938544834</c:v>
                </c:pt>
                <c:pt idx="19">
                  <c:v>4.6575364294052664</c:v>
                </c:pt>
                <c:pt idx="20">
                  <c:v>4.6794595991017358</c:v>
                </c:pt>
                <c:pt idx="21">
                  <c:v>4.6978950638251202</c:v>
                </c:pt>
              </c:numCache>
            </c:numRef>
          </c:val>
          <c:smooth val="1"/>
        </c:ser>
        <c:ser>
          <c:idx val="1"/>
          <c:order val="4"/>
          <c:tx>
            <c:strRef>
              <c:f>Informe!$X$35</c:f>
              <c:strCache>
                <c:ptCount val="1"/>
                <c:pt idx="0">
                  <c:v>Expected</c:v>
                </c:pt>
              </c:strCache>
            </c:strRef>
          </c:tx>
          <c:spPr>
            <a:ln w="25400">
              <a:solidFill>
                <a:srgbClr val="FF7C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FF7C00"/>
              </a:solidFill>
              <a:ln>
                <a:solidFill>
                  <a:srgbClr val="FF7C00"/>
                </a:solidFill>
              </a:ln>
            </c:spPr>
          </c:marker>
          <c:cat>
            <c:numRef>
              <c:f>Informe!$W$36:$W$58</c:f>
              <c:numCache>
                <c:formatCode>m/d/yyyy</c:formatCode>
                <c:ptCount val="23"/>
                <c:pt idx="0">
                  <c:v>42736</c:v>
                </c:pt>
                <c:pt idx="1">
                  <c:v>42795</c:v>
                </c:pt>
                <c:pt idx="2">
                  <c:v>42887</c:v>
                </c:pt>
                <c:pt idx="3">
                  <c:v>43101</c:v>
                </c:pt>
                <c:pt idx="4">
                  <c:v>43160</c:v>
                </c:pt>
                <c:pt idx="5">
                  <c:v>43160</c:v>
                </c:pt>
                <c:pt idx="6">
                  <c:v>43221</c:v>
                </c:pt>
                <c:pt idx="7">
                  <c:v>43252</c:v>
                </c:pt>
                <c:pt idx="8">
                  <c:v>43466</c:v>
                </c:pt>
                <c:pt idx="9">
                  <c:v>43831</c:v>
                </c:pt>
                <c:pt idx="10">
                  <c:v>43922</c:v>
                </c:pt>
                <c:pt idx="11">
                  <c:v>43983</c:v>
                </c:pt>
                <c:pt idx="12">
                  <c:v>44228</c:v>
                </c:pt>
                <c:pt idx="13">
                  <c:v>44256</c:v>
                </c:pt>
                <c:pt idx="14">
                  <c:v>44562</c:v>
                </c:pt>
                <c:pt idx="15">
                  <c:v>44621</c:v>
                </c:pt>
                <c:pt idx="16">
                  <c:v>44986</c:v>
                </c:pt>
                <c:pt idx="17">
                  <c:v>45292</c:v>
                </c:pt>
                <c:pt idx="18">
                  <c:v>46082</c:v>
                </c:pt>
                <c:pt idx="19">
                  <c:v>48214</c:v>
                </c:pt>
                <c:pt idx="20">
                  <c:v>48945</c:v>
                </c:pt>
                <c:pt idx="21">
                  <c:v>49369</c:v>
                </c:pt>
                <c:pt idx="22">
                  <c:v>52232</c:v>
                </c:pt>
              </c:numCache>
            </c:numRef>
          </c:cat>
          <c:val>
            <c:numRef>
              <c:f>Informe!$X$36:$X$57</c:f>
              <c:numCache>
                <c:formatCode>0.00</c:formatCode>
                <c:ptCount val="22"/>
                <c:pt idx="0">
                  <c:v>-1.5577421385410632E-12</c:v>
                </c:pt>
                <c:pt idx="1">
                  <c:v>-3.9276540055250067E-12</c:v>
                </c:pt>
                <c:pt idx="2">
                  <c:v>-1.3075232872328604E-11</c:v>
                </c:pt>
                <c:pt idx="3">
                  <c:v>-1.161960800065984E-10</c:v>
                </c:pt>
                <c:pt idx="4">
                  <c:v>-1.9136251749331777E-10</c:v>
                </c:pt>
                <c:pt idx="5">
                  <c:v>-1.9136251749331777E-10</c:v>
                </c:pt>
                <c:pt idx="6">
                  <c:v>-3.1013453895387295E-10</c:v>
                </c:pt>
                <c:pt idx="7">
                  <c:v>-3.8980185488386894E-10</c:v>
                </c:pt>
                <c:pt idx="8">
                  <c:v>-1.6014279901623539E-9</c:v>
                </c:pt>
                <c:pt idx="9">
                  <c:v>-1.0617418546242895E-8</c:v>
                </c:pt>
                <c:pt idx="10">
                  <c:v>-1.6506739105030983E-8</c:v>
                </c:pt>
                <c:pt idx="11">
                  <c:v>-2.1349087220398806E-8</c:v>
                </c:pt>
                <c:pt idx="12">
                  <c:v>-5.2269621731142885E-8</c:v>
                </c:pt>
                <c:pt idx="13">
                  <c:v>-6.086230572082893E-8</c:v>
                </c:pt>
                <c:pt idx="14">
                  <c:v>-1.5712462908675992E-7</c:v>
                </c:pt>
                <c:pt idx="15">
                  <c:v>-1.876091959727641E-7</c:v>
                </c:pt>
                <c:pt idx="16">
                  <c:v>-5.1118754367755065E-7</c:v>
                </c:pt>
                <c:pt idx="17">
                  <c:v>-1.0695635974484682E-6</c:v>
                </c:pt>
                <c:pt idx="18">
                  <c:v>-1.6981102006989992E-12</c:v>
                </c:pt>
                <c:pt idx="19">
                  <c:v>-8.6812937029757519E-10</c:v>
                </c:pt>
                <c:pt idx="20">
                  <c:v>-4.6224042525219982E-9</c:v>
                </c:pt>
                <c:pt idx="21">
                  <c:v>-1.4236104748006646E-8</c:v>
                </c:pt>
              </c:numCache>
            </c:numRef>
          </c:val>
          <c:smooth val="1"/>
        </c:ser>
        <c:ser>
          <c:idx val="4"/>
          <c:order val="5"/>
          <c:tx>
            <c:strRef>
              <c:f>Informe!$AD$35</c:f>
              <c:strCache>
                <c:ptCount val="1"/>
                <c:pt idx="0">
                  <c:v>Swap Eq</c:v>
                </c:pt>
              </c:strCache>
            </c:strRef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Informe!$W$36:$W$58</c:f>
              <c:numCache>
                <c:formatCode>m/d/yyyy</c:formatCode>
                <c:ptCount val="23"/>
                <c:pt idx="0">
                  <c:v>42736</c:v>
                </c:pt>
                <c:pt idx="1">
                  <c:v>42795</c:v>
                </c:pt>
                <c:pt idx="2">
                  <c:v>42887</c:v>
                </c:pt>
                <c:pt idx="3">
                  <c:v>43101</c:v>
                </c:pt>
                <c:pt idx="4">
                  <c:v>43160</c:v>
                </c:pt>
                <c:pt idx="5">
                  <c:v>43160</c:v>
                </c:pt>
                <c:pt idx="6">
                  <c:v>43221</c:v>
                </c:pt>
                <c:pt idx="7">
                  <c:v>43252</c:v>
                </c:pt>
                <c:pt idx="8">
                  <c:v>43466</c:v>
                </c:pt>
                <c:pt idx="9">
                  <c:v>43831</c:v>
                </c:pt>
                <c:pt idx="10">
                  <c:v>43922</c:v>
                </c:pt>
                <c:pt idx="11">
                  <c:v>43983</c:v>
                </c:pt>
                <c:pt idx="12">
                  <c:v>44228</c:v>
                </c:pt>
                <c:pt idx="13">
                  <c:v>44256</c:v>
                </c:pt>
                <c:pt idx="14">
                  <c:v>44562</c:v>
                </c:pt>
                <c:pt idx="15">
                  <c:v>44621</c:v>
                </c:pt>
                <c:pt idx="16">
                  <c:v>44986</c:v>
                </c:pt>
                <c:pt idx="17">
                  <c:v>45292</c:v>
                </c:pt>
                <c:pt idx="18">
                  <c:v>46082</c:v>
                </c:pt>
                <c:pt idx="19">
                  <c:v>48214</c:v>
                </c:pt>
                <c:pt idx="20">
                  <c:v>48945</c:v>
                </c:pt>
                <c:pt idx="21">
                  <c:v>49369</c:v>
                </c:pt>
                <c:pt idx="22">
                  <c:v>52232</c:v>
                </c:pt>
              </c:numCache>
            </c:numRef>
          </c:cat>
          <c:val>
            <c:numRef>
              <c:f>Informe!$AD$36:$AD$57</c:f>
              <c:numCache>
                <c:formatCode>0.00</c:formatCode>
                <c:ptCount val="22"/>
                <c:pt idx="0">
                  <c:v>3.5936326731886075</c:v>
                </c:pt>
                <c:pt idx="1">
                  <c:v>3.5485268977973119</c:v>
                </c:pt>
                <c:pt idx="2">
                  <c:v>3.4517233182795843</c:v>
                </c:pt>
                <c:pt idx="3">
                  <c:v>3.3554106943146405</c:v>
                </c:pt>
                <c:pt idx="4">
                  <c:v>3.3339220543477941</c:v>
                </c:pt>
                <c:pt idx="5">
                  <c:v>3.3339220543477941</c:v>
                </c:pt>
                <c:pt idx="6">
                  <c:v>3.311138942320242</c:v>
                </c:pt>
                <c:pt idx="7">
                  <c:v>3.3114071096607591</c:v>
                </c:pt>
                <c:pt idx="8">
                  <c:v>3.3279490982401838</c:v>
                </c:pt>
                <c:pt idx="9">
                  <c:v>3.4230517172743538</c:v>
                </c:pt>
                <c:pt idx="10">
                  <c:v>3.4546661657578026</c:v>
                </c:pt>
                <c:pt idx="11">
                  <c:v>3.4750020235707844</c:v>
                </c:pt>
                <c:pt idx="12">
                  <c:v>3.5558147360343191</c:v>
                </c:pt>
                <c:pt idx="13">
                  <c:v>3.5698611919377132</c:v>
                </c:pt>
                <c:pt idx="14">
                  <c:v>3.6662407395280932</c:v>
                </c:pt>
                <c:pt idx="15">
                  <c:v>3.6793816466637019</c:v>
                </c:pt>
                <c:pt idx="16">
                  <c:v>3.7758299039580385</c:v>
                </c:pt>
                <c:pt idx="17">
                  <c:v>3.8790756262227708</c:v>
                </c:pt>
                <c:pt idx="18">
                  <c:v>4.0837906725017667</c:v>
                </c:pt>
                <c:pt idx="19">
                  <c:v>4.269475567477552</c:v>
                </c:pt>
                <c:pt idx="20">
                  <c:v>4.3046167023130772</c:v>
                </c:pt>
                <c:pt idx="21">
                  <c:v>4.3363267649396953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278720"/>
        <c:axId val="460967872"/>
      </c:lineChart>
      <c:dateAx>
        <c:axId val="461278720"/>
        <c:scaling>
          <c:orientation val="minMax"/>
          <c:max val="49369"/>
        </c:scaling>
        <c:delete val="0"/>
        <c:axPos val="b"/>
        <c:numFmt formatCode="mm\/yy" sourceLinked="0"/>
        <c:majorTickMark val="none"/>
        <c:minorTickMark val="none"/>
        <c:tickLblPos val="nextTo"/>
        <c:txPr>
          <a:bodyPr rot="-48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L"/>
          </a:p>
        </c:txPr>
        <c:crossAx val="460967872"/>
        <c:crosses val="autoZero"/>
        <c:auto val="1"/>
        <c:lblOffset val="100"/>
        <c:baseTimeUnit val="days"/>
        <c:majorUnit val="6"/>
        <c:majorTimeUnit val="months"/>
      </c:dateAx>
      <c:valAx>
        <c:axId val="460967872"/>
        <c:scaling>
          <c:orientation val="minMax"/>
          <c:max val="4.75"/>
          <c:min val="3.2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numFmt formatCode="0.0_ ;\-0.0\ 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L"/>
          </a:p>
        </c:txPr>
        <c:crossAx val="46127872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/>
      <c:overlay val="0"/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L"/>
        </a:p>
      </c:txPr>
    </c:legend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L"/>
    </a:p>
  </c:txPr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600"/>
              <a:t>BCU/BTU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Informe!$Y$61</c:f>
              <c:strCache>
                <c:ptCount val="1"/>
                <c:pt idx="0">
                  <c:v>Market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045ABE"/>
              </a:solidFill>
              <a:ln>
                <a:solidFill>
                  <a:srgbClr val="4F81BD">
                    <a:shade val="95000"/>
                    <a:satMod val="105000"/>
                  </a:srgbClr>
                </a:solidFill>
              </a:ln>
            </c:spPr>
          </c:marker>
          <c:cat>
            <c:numRef>
              <c:f>Informe!$W$62:$W$102</c:f>
              <c:numCache>
                <c:formatCode>m/d/yyyy</c:formatCode>
                <c:ptCount val="41"/>
                <c:pt idx="0">
                  <c:v>42736</c:v>
                </c:pt>
                <c:pt idx="1">
                  <c:v>42795</c:v>
                </c:pt>
                <c:pt idx="2">
                  <c:v>42856</c:v>
                </c:pt>
                <c:pt idx="3">
                  <c:v>42917</c:v>
                </c:pt>
                <c:pt idx="4">
                  <c:v>42917</c:v>
                </c:pt>
                <c:pt idx="5">
                  <c:v>43101</c:v>
                </c:pt>
                <c:pt idx="6">
                  <c:v>43160</c:v>
                </c:pt>
                <c:pt idx="7">
                  <c:v>43282</c:v>
                </c:pt>
                <c:pt idx="8">
                  <c:v>43313</c:v>
                </c:pt>
                <c:pt idx="9">
                  <c:v>43374</c:v>
                </c:pt>
                <c:pt idx="10">
                  <c:v>43466</c:v>
                </c:pt>
                <c:pt idx="11">
                  <c:v>43586</c:v>
                </c:pt>
                <c:pt idx="12">
                  <c:v>43647</c:v>
                </c:pt>
                <c:pt idx="13">
                  <c:v>43831</c:v>
                </c:pt>
                <c:pt idx="14">
                  <c:v>44228</c:v>
                </c:pt>
                <c:pt idx="15">
                  <c:v>44256</c:v>
                </c:pt>
                <c:pt idx="16">
                  <c:v>44562</c:v>
                </c:pt>
                <c:pt idx="17">
                  <c:v>44621</c:v>
                </c:pt>
                <c:pt idx="18">
                  <c:v>44805</c:v>
                </c:pt>
                <c:pt idx="19">
                  <c:v>44986</c:v>
                </c:pt>
                <c:pt idx="20">
                  <c:v>45200</c:v>
                </c:pt>
                <c:pt idx="21">
                  <c:v>45292</c:v>
                </c:pt>
                <c:pt idx="22">
                  <c:v>45505</c:v>
                </c:pt>
                <c:pt idx="23">
                  <c:v>45901</c:v>
                </c:pt>
                <c:pt idx="24">
                  <c:v>46082</c:v>
                </c:pt>
                <c:pt idx="25">
                  <c:v>46447</c:v>
                </c:pt>
                <c:pt idx="26">
                  <c:v>46813</c:v>
                </c:pt>
                <c:pt idx="27">
                  <c:v>46874</c:v>
                </c:pt>
                <c:pt idx="28">
                  <c:v>47178</c:v>
                </c:pt>
                <c:pt idx="29">
                  <c:v>47484</c:v>
                </c:pt>
                <c:pt idx="30">
                  <c:v>47880</c:v>
                </c:pt>
                <c:pt idx="31">
                  <c:v>48214</c:v>
                </c:pt>
                <c:pt idx="32">
                  <c:v>48945</c:v>
                </c:pt>
                <c:pt idx="33">
                  <c:v>49369</c:v>
                </c:pt>
                <c:pt idx="34">
                  <c:v>50465</c:v>
                </c:pt>
                <c:pt idx="35">
                  <c:v>50830</c:v>
                </c:pt>
                <c:pt idx="36">
                  <c:v>51136</c:v>
                </c:pt>
                <c:pt idx="37">
                  <c:v>51533</c:v>
                </c:pt>
                <c:pt idx="38">
                  <c:v>51867</c:v>
                </c:pt>
                <c:pt idx="39">
                  <c:v>52597</c:v>
                </c:pt>
              </c:numCache>
            </c:numRef>
          </c:cat>
          <c:val>
            <c:numRef>
              <c:f>Informe!$Y$62:$Y$102</c:f>
              <c:numCache>
                <c:formatCode>0.00</c:formatCode>
                <c:ptCount val="41"/>
                <c:pt idx="0">
                  <c:v>-100</c:v>
                </c:pt>
                <c:pt idx="1">
                  <c:v>-100</c:v>
                </c:pt>
                <c:pt idx="2">
                  <c:v>1.42</c:v>
                </c:pt>
                <c:pt idx="3">
                  <c:v>1.4</c:v>
                </c:pt>
                <c:pt idx="4">
                  <c:v>1.41</c:v>
                </c:pt>
                <c:pt idx="5">
                  <c:v>-100</c:v>
                </c:pt>
                <c:pt idx="6">
                  <c:v>1.07</c:v>
                </c:pt>
                <c:pt idx="7">
                  <c:v>-100</c:v>
                </c:pt>
                <c:pt idx="8">
                  <c:v>1.1000000000000001</c:v>
                </c:pt>
                <c:pt idx="9">
                  <c:v>1.03</c:v>
                </c:pt>
                <c:pt idx="10">
                  <c:v>-100</c:v>
                </c:pt>
                <c:pt idx="11">
                  <c:v>-100</c:v>
                </c:pt>
                <c:pt idx="12">
                  <c:v>1.06</c:v>
                </c:pt>
                <c:pt idx="13">
                  <c:v>1.05</c:v>
                </c:pt>
                <c:pt idx="14">
                  <c:v>1.02</c:v>
                </c:pt>
                <c:pt idx="15">
                  <c:v>1.06</c:v>
                </c:pt>
                <c:pt idx="16">
                  <c:v>-100</c:v>
                </c:pt>
                <c:pt idx="17">
                  <c:v>1.03</c:v>
                </c:pt>
                <c:pt idx="18">
                  <c:v>-100</c:v>
                </c:pt>
                <c:pt idx="19">
                  <c:v>-100</c:v>
                </c:pt>
                <c:pt idx="20">
                  <c:v>-100</c:v>
                </c:pt>
                <c:pt idx="21">
                  <c:v>-100</c:v>
                </c:pt>
                <c:pt idx="22">
                  <c:v>1.25</c:v>
                </c:pt>
                <c:pt idx="23">
                  <c:v>-100</c:v>
                </c:pt>
                <c:pt idx="24">
                  <c:v>1.27</c:v>
                </c:pt>
                <c:pt idx="25">
                  <c:v>-100</c:v>
                </c:pt>
                <c:pt idx="26">
                  <c:v>-100</c:v>
                </c:pt>
                <c:pt idx="27">
                  <c:v>-100</c:v>
                </c:pt>
                <c:pt idx="28">
                  <c:v>-100</c:v>
                </c:pt>
                <c:pt idx="29">
                  <c:v>-100</c:v>
                </c:pt>
                <c:pt idx="30">
                  <c:v>-100</c:v>
                </c:pt>
                <c:pt idx="31">
                  <c:v>-100</c:v>
                </c:pt>
                <c:pt idx="32">
                  <c:v>-100</c:v>
                </c:pt>
                <c:pt idx="33">
                  <c:v>1.51</c:v>
                </c:pt>
                <c:pt idx="34">
                  <c:v>-100</c:v>
                </c:pt>
                <c:pt idx="35">
                  <c:v>-100</c:v>
                </c:pt>
                <c:pt idx="36">
                  <c:v>-100</c:v>
                </c:pt>
                <c:pt idx="37">
                  <c:v>-100</c:v>
                </c:pt>
                <c:pt idx="38">
                  <c:v>-100</c:v>
                </c:pt>
                <c:pt idx="39">
                  <c:v>1.63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Informe!$AA$61</c:f>
              <c:strCache>
                <c:ptCount val="1"/>
                <c:pt idx="0">
                  <c:v>Dove</c:v>
                </c:pt>
              </c:strCache>
            </c:strRef>
          </c:tx>
          <c:spPr>
            <a:ln>
              <a:solidFill>
                <a:schemeClr val="accent1">
                  <a:alpha val="57000"/>
                </a:schemeClr>
              </a:solidFill>
            </a:ln>
          </c:spPr>
          <c:marker>
            <c:symbol val="none"/>
          </c:marker>
          <c:cat>
            <c:numRef>
              <c:f>Informe!$W$62:$W$102</c:f>
              <c:numCache>
                <c:formatCode>m/d/yyyy</c:formatCode>
                <c:ptCount val="41"/>
                <c:pt idx="0">
                  <c:v>42736</c:v>
                </c:pt>
                <c:pt idx="1">
                  <c:v>42795</c:v>
                </c:pt>
                <c:pt idx="2">
                  <c:v>42856</c:v>
                </c:pt>
                <c:pt idx="3">
                  <c:v>42917</c:v>
                </c:pt>
                <c:pt idx="4">
                  <c:v>42917</c:v>
                </c:pt>
                <c:pt idx="5">
                  <c:v>43101</c:v>
                </c:pt>
                <c:pt idx="6">
                  <c:v>43160</c:v>
                </c:pt>
                <c:pt idx="7">
                  <c:v>43282</c:v>
                </c:pt>
                <c:pt idx="8">
                  <c:v>43313</c:v>
                </c:pt>
                <c:pt idx="9">
                  <c:v>43374</c:v>
                </c:pt>
                <c:pt idx="10">
                  <c:v>43466</c:v>
                </c:pt>
                <c:pt idx="11">
                  <c:v>43586</c:v>
                </c:pt>
                <c:pt idx="12">
                  <c:v>43647</c:v>
                </c:pt>
                <c:pt idx="13">
                  <c:v>43831</c:v>
                </c:pt>
                <c:pt idx="14">
                  <c:v>44228</c:v>
                </c:pt>
                <c:pt idx="15">
                  <c:v>44256</c:v>
                </c:pt>
                <c:pt idx="16">
                  <c:v>44562</c:v>
                </c:pt>
                <c:pt idx="17">
                  <c:v>44621</c:v>
                </c:pt>
                <c:pt idx="18">
                  <c:v>44805</c:v>
                </c:pt>
                <c:pt idx="19">
                  <c:v>44986</c:v>
                </c:pt>
                <c:pt idx="20">
                  <c:v>45200</c:v>
                </c:pt>
                <c:pt idx="21">
                  <c:v>45292</c:v>
                </c:pt>
                <c:pt idx="22">
                  <c:v>45505</c:v>
                </c:pt>
                <c:pt idx="23">
                  <c:v>45901</c:v>
                </c:pt>
                <c:pt idx="24">
                  <c:v>46082</c:v>
                </c:pt>
                <c:pt idx="25">
                  <c:v>46447</c:v>
                </c:pt>
                <c:pt idx="26">
                  <c:v>46813</c:v>
                </c:pt>
                <c:pt idx="27">
                  <c:v>46874</c:v>
                </c:pt>
                <c:pt idx="28">
                  <c:v>47178</c:v>
                </c:pt>
                <c:pt idx="29">
                  <c:v>47484</c:v>
                </c:pt>
                <c:pt idx="30">
                  <c:v>47880</c:v>
                </c:pt>
                <c:pt idx="31">
                  <c:v>48214</c:v>
                </c:pt>
                <c:pt idx="32">
                  <c:v>48945</c:v>
                </c:pt>
                <c:pt idx="33">
                  <c:v>49369</c:v>
                </c:pt>
                <c:pt idx="34">
                  <c:v>50465</c:v>
                </c:pt>
                <c:pt idx="35">
                  <c:v>50830</c:v>
                </c:pt>
                <c:pt idx="36">
                  <c:v>51136</c:v>
                </c:pt>
                <c:pt idx="37">
                  <c:v>51533</c:v>
                </c:pt>
                <c:pt idx="38">
                  <c:v>51867</c:v>
                </c:pt>
                <c:pt idx="39">
                  <c:v>52597</c:v>
                </c:pt>
              </c:numCache>
            </c:numRef>
          </c:cat>
          <c:val>
            <c:numRef>
              <c:f>Informe!$AA$62:$AA$102</c:f>
              <c:numCache>
                <c:formatCode>0.00</c:formatCode>
                <c:ptCount val="41"/>
                <c:pt idx="0">
                  <c:v>9.6883527783813331E-2</c:v>
                </c:pt>
                <c:pt idx="1">
                  <c:v>1.0766224619341835</c:v>
                </c:pt>
                <c:pt idx="2">
                  <c:v>0.92390965343669418</c:v>
                </c:pt>
                <c:pt idx="3">
                  <c:v>0.67426305383212404</c:v>
                </c:pt>
                <c:pt idx="4">
                  <c:v>0.67426305383212404</c:v>
                </c:pt>
                <c:pt idx="5">
                  <c:v>0.52873888105283606</c:v>
                </c:pt>
                <c:pt idx="6">
                  <c:v>0.68641222003990621</c:v>
                </c:pt>
                <c:pt idx="7">
                  <c:v>0.67859783139478302</c:v>
                </c:pt>
                <c:pt idx="8">
                  <c:v>0.68460252691494461</c:v>
                </c:pt>
                <c:pt idx="9">
                  <c:v>0.69360327813042133</c:v>
                </c:pt>
                <c:pt idx="10">
                  <c:v>0.69497728490546451</c:v>
                </c:pt>
                <c:pt idx="11">
                  <c:v>0.69575579431499557</c:v>
                </c:pt>
                <c:pt idx="12">
                  <c:v>0.70037937196876698</c:v>
                </c:pt>
                <c:pt idx="13">
                  <c:v>0.74303694782267005</c:v>
                </c:pt>
                <c:pt idx="14">
                  <c:v>0.86393246324243278</c:v>
                </c:pt>
                <c:pt idx="15">
                  <c:v>0.87163170532618839</c:v>
                </c:pt>
                <c:pt idx="16">
                  <c:v>0.92788166101251035</c:v>
                </c:pt>
                <c:pt idx="17">
                  <c:v>0.93764865898047689</c:v>
                </c:pt>
                <c:pt idx="18">
                  <c:v>0.95836308549694083</c:v>
                </c:pt>
                <c:pt idx="19">
                  <c:v>0.98634206072595121</c:v>
                </c:pt>
                <c:pt idx="20">
                  <c:v>1.0010858431802445</c:v>
                </c:pt>
                <c:pt idx="21">
                  <c:v>1.0135890240172998</c:v>
                </c:pt>
                <c:pt idx="22">
                  <c:v>1.0248091669598087</c:v>
                </c:pt>
                <c:pt idx="23">
                  <c:v>1.0593699302491115</c:v>
                </c:pt>
                <c:pt idx="24">
                  <c:v>1.0754334732537769</c:v>
                </c:pt>
                <c:pt idx="25">
                  <c:v>1.0869276790680149</c:v>
                </c:pt>
                <c:pt idx="26">
                  <c:v>1.1037839304884511</c:v>
                </c:pt>
                <c:pt idx="27">
                  <c:v>1.1061976261120241</c:v>
                </c:pt>
                <c:pt idx="28">
                  <c:v>1.118816845691935</c:v>
                </c:pt>
                <c:pt idx="29">
                  <c:v>1.1298607845176993</c:v>
                </c:pt>
                <c:pt idx="30">
                  <c:v>1.1439092695875472</c:v>
                </c:pt>
                <c:pt idx="31">
                  <c:v>1.1546511665633012</c:v>
                </c:pt>
                <c:pt idx="32">
                  <c:v>1.1782947123720267</c:v>
                </c:pt>
                <c:pt idx="33">
                  <c:v>1.1991889927944106</c:v>
                </c:pt>
                <c:pt idx="34">
                  <c:v>1.2259658110310547</c:v>
                </c:pt>
                <c:pt idx="35">
                  <c:v>1.2370084713106637</c:v>
                </c:pt>
                <c:pt idx="36">
                  <c:v>1.2458990755341395</c:v>
                </c:pt>
                <c:pt idx="37">
                  <c:v>1.257861524108828</c:v>
                </c:pt>
                <c:pt idx="38">
                  <c:v>1.2675194206312195</c:v>
                </c:pt>
                <c:pt idx="39">
                  <c:v>1.2886921589990166</c:v>
                </c:pt>
              </c:numCache>
            </c:numRef>
          </c:val>
          <c:smooth val="1"/>
        </c:ser>
        <c:ser>
          <c:idx val="4"/>
          <c:order val="2"/>
          <c:tx>
            <c:v>Base</c:v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Informe!$W$62:$W$102</c:f>
              <c:numCache>
                <c:formatCode>m/d/yyyy</c:formatCode>
                <c:ptCount val="41"/>
                <c:pt idx="0">
                  <c:v>42736</c:v>
                </c:pt>
                <c:pt idx="1">
                  <c:v>42795</c:v>
                </c:pt>
                <c:pt idx="2">
                  <c:v>42856</c:v>
                </c:pt>
                <c:pt idx="3">
                  <c:v>42917</c:v>
                </c:pt>
                <c:pt idx="4">
                  <c:v>42917</c:v>
                </c:pt>
                <c:pt idx="5">
                  <c:v>43101</c:v>
                </c:pt>
                <c:pt idx="6">
                  <c:v>43160</c:v>
                </c:pt>
                <c:pt idx="7">
                  <c:v>43282</c:v>
                </c:pt>
                <c:pt idx="8">
                  <c:v>43313</c:v>
                </c:pt>
                <c:pt idx="9">
                  <c:v>43374</c:v>
                </c:pt>
                <c:pt idx="10">
                  <c:v>43466</c:v>
                </c:pt>
                <c:pt idx="11">
                  <c:v>43586</c:v>
                </c:pt>
                <c:pt idx="12">
                  <c:v>43647</c:v>
                </c:pt>
                <c:pt idx="13">
                  <c:v>43831</c:v>
                </c:pt>
                <c:pt idx="14">
                  <c:v>44228</c:v>
                </c:pt>
                <c:pt idx="15">
                  <c:v>44256</c:v>
                </c:pt>
                <c:pt idx="16">
                  <c:v>44562</c:v>
                </c:pt>
                <c:pt idx="17">
                  <c:v>44621</c:v>
                </c:pt>
                <c:pt idx="18">
                  <c:v>44805</c:v>
                </c:pt>
                <c:pt idx="19">
                  <c:v>44986</c:v>
                </c:pt>
                <c:pt idx="20">
                  <c:v>45200</c:v>
                </c:pt>
                <c:pt idx="21">
                  <c:v>45292</c:v>
                </c:pt>
                <c:pt idx="22">
                  <c:v>45505</c:v>
                </c:pt>
                <c:pt idx="23">
                  <c:v>45901</c:v>
                </c:pt>
                <c:pt idx="24">
                  <c:v>46082</c:v>
                </c:pt>
                <c:pt idx="25">
                  <c:v>46447</c:v>
                </c:pt>
                <c:pt idx="26">
                  <c:v>46813</c:v>
                </c:pt>
                <c:pt idx="27">
                  <c:v>46874</c:v>
                </c:pt>
                <c:pt idx="28">
                  <c:v>47178</c:v>
                </c:pt>
                <c:pt idx="29">
                  <c:v>47484</c:v>
                </c:pt>
                <c:pt idx="30">
                  <c:v>47880</c:v>
                </c:pt>
                <c:pt idx="31">
                  <c:v>48214</c:v>
                </c:pt>
                <c:pt idx="32">
                  <c:v>48945</c:v>
                </c:pt>
                <c:pt idx="33">
                  <c:v>49369</c:v>
                </c:pt>
                <c:pt idx="34">
                  <c:v>50465</c:v>
                </c:pt>
                <c:pt idx="35">
                  <c:v>50830</c:v>
                </c:pt>
                <c:pt idx="36">
                  <c:v>51136</c:v>
                </c:pt>
                <c:pt idx="37">
                  <c:v>51533</c:v>
                </c:pt>
                <c:pt idx="38">
                  <c:v>51867</c:v>
                </c:pt>
                <c:pt idx="39">
                  <c:v>52597</c:v>
                </c:pt>
              </c:numCache>
            </c:numRef>
          </c:cat>
          <c:val>
            <c:numRef>
              <c:f>Informe!$AB$62:$AB$102</c:f>
              <c:numCache>
                <c:formatCode>0.00</c:formatCode>
                <c:ptCount val="41"/>
                <c:pt idx="0">
                  <c:v>-0.80913332991142317</c:v>
                </c:pt>
                <c:pt idx="1">
                  <c:v>0.13476834090109405</c:v>
                </c:pt>
                <c:pt idx="2">
                  <c:v>0.20698136860562191</c:v>
                </c:pt>
                <c:pt idx="3">
                  <c:v>0.13482960576848244</c:v>
                </c:pt>
                <c:pt idx="4">
                  <c:v>0.13482960576848244</c:v>
                </c:pt>
                <c:pt idx="5">
                  <c:v>0.22094929901276361</c:v>
                </c:pt>
                <c:pt idx="6">
                  <c:v>0.41835705352586106</c:v>
                </c:pt>
                <c:pt idx="7">
                  <c:v>0.46380296987844838</c:v>
                </c:pt>
                <c:pt idx="8">
                  <c:v>0.4840329806577412</c:v>
                </c:pt>
                <c:pt idx="9">
                  <c:v>0.52622898854714095</c:v>
                </c:pt>
                <c:pt idx="10">
                  <c:v>0.58563546632587538</c:v>
                </c:pt>
                <c:pt idx="11">
                  <c:v>0.67201640444534239</c:v>
                </c:pt>
                <c:pt idx="12">
                  <c:v>0.71377719297872744</c:v>
                </c:pt>
                <c:pt idx="13">
                  <c:v>0.81982382917644125</c:v>
                </c:pt>
                <c:pt idx="14">
                  <c:v>0.9646452676199605</c:v>
                </c:pt>
                <c:pt idx="15">
                  <c:v>0.97721406464676963</c:v>
                </c:pt>
                <c:pt idx="16">
                  <c:v>1.0377886384460895</c:v>
                </c:pt>
                <c:pt idx="17">
                  <c:v>1.0487400335396024</c:v>
                </c:pt>
                <c:pt idx="18">
                  <c:v>1.0690465708988921</c:v>
                </c:pt>
                <c:pt idx="19">
                  <c:v>1.1039283825426485</c:v>
                </c:pt>
                <c:pt idx="20">
                  <c:v>1.1189446423902982</c:v>
                </c:pt>
                <c:pt idx="21">
                  <c:v>1.1351502943824665</c:v>
                </c:pt>
                <c:pt idx="22">
                  <c:v>1.1460531316187621</c:v>
                </c:pt>
                <c:pt idx="23">
                  <c:v>1.1871423853657608</c:v>
                </c:pt>
                <c:pt idx="24">
                  <c:v>1.2063411751235069</c:v>
                </c:pt>
                <c:pt idx="25">
                  <c:v>1.2174904915622826</c:v>
                </c:pt>
                <c:pt idx="26">
                  <c:v>1.2361725046920453</c:v>
                </c:pt>
                <c:pt idx="27">
                  <c:v>1.2389684431834509</c:v>
                </c:pt>
                <c:pt idx="28">
                  <c:v>1.2527272656938815</c:v>
                </c:pt>
                <c:pt idx="29">
                  <c:v>1.2648887388056811</c:v>
                </c:pt>
                <c:pt idx="30">
                  <c:v>1.280128347610328</c:v>
                </c:pt>
                <c:pt idx="31">
                  <c:v>1.2918252212136028</c:v>
                </c:pt>
                <c:pt idx="32">
                  <c:v>1.3173917649422058</c:v>
                </c:pt>
                <c:pt idx="33">
                  <c:v>1.3405508211647303</c:v>
                </c:pt>
                <c:pt idx="34">
                  <c:v>1.3686792105973782</c:v>
                </c:pt>
                <c:pt idx="35">
                  <c:v>1.3805355599065579</c:v>
                </c:pt>
                <c:pt idx="36">
                  <c:v>1.3901122534103338</c:v>
                </c:pt>
                <c:pt idx="37">
                  <c:v>1.402907009195387</c:v>
                </c:pt>
                <c:pt idx="38">
                  <c:v>1.4132751483014339</c:v>
                </c:pt>
                <c:pt idx="39">
                  <c:v>1.4359191649043554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Informe!$AC$61</c:f>
              <c:strCache>
                <c:ptCount val="1"/>
                <c:pt idx="0">
                  <c:v>Hawk</c:v>
                </c:pt>
              </c:strCache>
            </c:strRef>
          </c:tx>
          <c:spPr>
            <a:ln>
              <a:solidFill>
                <a:schemeClr val="accent2">
                  <a:alpha val="57000"/>
                </a:schemeClr>
              </a:solidFill>
            </a:ln>
          </c:spPr>
          <c:marker>
            <c:symbol val="none"/>
          </c:marker>
          <c:cat>
            <c:numRef>
              <c:f>Informe!$W$62:$W$102</c:f>
              <c:numCache>
                <c:formatCode>m/d/yyyy</c:formatCode>
                <c:ptCount val="41"/>
                <c:pt idx="0">
                  <c:v>42736</c:v>
                </c:pt>
                <c:pt idx="1">
                  <c:v>42795</c:v>
                </c:pt>
                <c:pt idx="2">
                  <c:v>42856</c:v>
                </c:pt>
                <c:pt idx="3">
                  <c:v>42917</c:v>
                </c:pt>
                <c:pt idx="4">
                  <c:v>42917</c:v>
                </c:pt>
                <c:pt idx="5">
                  <c:v>43101</c:v>
                </c:pt>
                <c:pt idx="6">
                  <c:v>43160</c:v>
                </c:pt>
                <c:pt idx="7">
                  <c:v>43282</c:v>
                </c:pt>
                <c:pt idx="8">
                  <c:v>43313</c:v>
                </c:pt>
                <c:pt idx="9">
                  <c:v>43374</c:v>
                </c:pt>
                <c:pt idx="10">
                  <c:v>43466</c:v>
                </c:pt>
                <c:pt idx="11">
                  <c:v>43586</c:v>
                </c:pt>
                <c:pt idx="12">
                  <c:v>43647</c:v>
                </c:pt>
                <c:pt idx="13">
                  <c:v>43831</c:v>
                </c:pt>
                <c:pt idx="14">
                  <c:v>44228</c:v>
                </c:pt>
                <c:pt idx="15">
                  <c:v>44256</c:v>
                </c:pt>
                <c:pt idx="16">
                  <c:v>44562</c:v>
                </c:pt>
                <c:pt idx="17">
                  <c:v>44621</c:v>
                </c:pt>
                <c:pt idx="18">
                  <c:v>44805</c:v>
                </c:pt>
                <c:pt idx="19">
                  <c:v>44986</c:v>
                </c:pt>
                <c:pt idx="20">
                  <c:v>45200</c:v>
                </c:pt>
                <c:pt idx="21">
                  <c:v>45292</c:v>
                </c:pt>
                <c:pt idx="22">
                  <c:v>45505</c:v>
                </c:pt>
                <c:pt idx="23">
                  <c:v>45901</c:v>
                </c:pt>
                <c:pt idx="24">
                  <c:v>46082</c:v>
                </c:pt>
                <c:pt idx="25">
                  <c:v>46447</c:v>
                </c:pt>
                <c:pt idx="26">
                  <c:v>46813</c:v>
                </c:pt>
                <c:pt idx="27">
                  <c:v>46874</c:v>
                </c:pt>
                <c:pt idx="28">
                  <c:v>47178</c:v>
                </c:pt>
                <c:pt idx="29">
                  <c:v>47484</c:v>
                </c:pt>
                <c:pt idx="30">
                  <c:v>47880</c:v>
                </c:pt>
                <c:pt idx="31">
                  <c:v>48214</c:v>
                </c:pt>
                <c:pt idx="32">
                  <c:v>48945</c:v>
                </c:pt>
                <c:pt idx="33">
                  <c:v>49369</c:v>
                </c:pt>
                <c:pt idx="34">
                  <c:v>50465</c:v>
                </c:pt>
                <c:pt idx="35">
                  <c:v>50830</c:v>
                </c:pt>
                <c:pt idx="36">
                  <c:v>51136</c:v>
                </c:pt>
                <c:pt idx="37">
                  <c:v>51533</c:v>
                </c:pt>
                <c:pt idx="38">
                  <c:v>51867</c:v>
                </c:pt>
                <c:pt idx="39">
                  <c:v>52597</c:v>
                </c:pt>
              </c:numCache>
            </c:numRef>
          </c:cat>
          <c:val>
            <c:numRef>
              <c:f>Informe!$AC$62:$AC$102</c:f>
              <c:numCache>
                <c:formatCode>0.00</c:formatCode>
                <c:ptCount val="41"/>
                <c:pt idx="0">
                  <c:v>-1.4080767730769899</c:v>
                </c:pt>
                <c:pt idx="1">
                  <c:v>-0.51664947713925191</c:v>
                </c:pt>
                <c:pt idx="2">
                  <c:v>-0.39646248871737094</c:v>
                </c:pt>
                <c:pt idx="3">
                  <c:v>-0.44232384499936794</c:v>
                </c:pt>
                <c:pt idx="4">
                  <c:v>-0.44232384499936794</c:v>
                </c:pt>
                <c:pt idx="5">
                  <c:v>-0.25723357055801338</c:v>
                </c:pt>
                <c:pt idx="6">
                  <c:v>1.7606055048359617E-2</c:v>
                </c:pt>
                <c:pt idx="7">
                  <c:v>0.25781627291743225</c:v>
                </c:pt>
                <c:pt idx="8">
                  <c:v>0.3124584858800058</c:v>
                </c:pt>
                <c:pt idx="9">
                  <c:v>0.40872960431731342</c:v>
                </c:pt>
                <c:pt idx="10">
                  <c:v>0.52196948382449548</c:v>
                </c:pt>
                <c:pt idx="11">
                  <c:v>0.64402855288653027</c:v>
                </c:pt>
                <c:pt idx="12">
                  <c:v>0.69659925439943948</c:v>
                </c:pt>
                <c:pt idx="13">
                  <c:v>0.82891984925338447</c:v>
                </c:pt>
                <c:pt idx="14">
                  <c:v>1.0092801972386385</c:v>
                </c:pt>
                <c:pt idx="15">
                  <c:v>1.0272384831187606</c:v>
                </c:pt>
                <c:pt idx="16">
                  <c:v>1.1008484925657489</c:v>
                </c:pt>
                <c:pt idx="17">
                  <c:v>1.1143110021078564</c:v>
                </c:pt>
                <c:pt idx="18">
                  <c:v>1.1376581235649577</c:v>
                </c:pt>
                <c:pt idx="19">
                  <c:v>1.1826158468938066</c:v>
                </c:pt>
                <c:pt idx="20">
                  <c:v>1.2005255388282163</c:v>
                </c:pt>
                <c:pt idx="21">
                  <c:v>1.2219399346694115</c:v>
                </c:pt>
                <c:pt idx="22">
                  <c:v>1.2344467953671849</c:v>
                </c:pt>
                <c:pt idx="23">
                  <c:v>1.2862380418471961</c:v>
                </c:pt>
                <c:pt idx="24">
                  <c:v>1.3104572691536627</c:v>
                </c:pt>
                <c:pt idx="25">
                  <c:v>1.3228580573914712</c:v>
                </c:pt>
                <c:pt idx="26">
                  <c:v>1.3453092383504335</c:v>
                </c:pt>
                <c:pt idx="27">
                  <c:v>1.3487483119285761</c:v>
                </c:pt>
                <c:pt idx="28">
                  <c:v>1.3650100153492901</c:v>
                </c:pt>
                <c:pt idx="29">
                  <c:v>1.3794551636198797</c:v>
                </c:pt>
                <c:pt idx="30">
                  <c:v>1.3972066757352486</c:v>
                </c:pt>
                <c:pt idx="31">
                  <c:v>1.4108604112563878</c:v>
                </c:pt>
                <c:pt idx="32">
                  <c:v>1.4405111871489051</c:v>
                </c:pt>
                <c:pt idx="33">
                  <c:v>1.4678962440982553</c:v>
                </c:pt>
                <c:pt idx="34">
                  <c:v>1.4997325396494003</c:v>
                </c:pt>
                <c:pt idx="35">
                  <c:v>1.5134025250497045</c:v>
                </c:pt>
                <c:pt idx="36">
                  <c:v>1.5244673820745596</c:v>
                </c:pt>
                <c:pt idx="37">
                  <c:v>1.5391563604499769</c:v>
                </c:pt>
                <c:pt idx="38">
                  <c:v>1.5511069282363532</c:v>
                </c:pt>
                <c:pt idx="39">
                  <c:v>1.5771026099692285</c:v>
                </c:pt>
              </c:numCache>
            </c:numRef>
          </c:val>
          <c:smooth val="1"/>
        </c:ser>
        <c:ser>
          <c:idx val="1"/>
          <c:order val="4"/>
          <c:tx>
            <c:strRef>
              <c:f>Informe!$X$61</c:f>
              <c:strCache>
                <c:ptCount val="1"/>
                <c:pt idx="0">
                  <c:v>Expected</c:v>
                </c:pt>
              </c:strCache>
            </c:strRef>
          </c:tx>
          <c:spPr>
            <a:ln w="25400">
              <a:solidFill>
                <a:srgbClr val="FF7C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FF7C00"/>
              </a:solidFill>
              <a:ln>
                <a:solidFill>
                  <a:srgbClr val="FF7C00"/>
                </a:solidFill>
              </a:ln>
            </c:spPr>
          </c:marker>
          <c:cat>
            <c:numRef>
              <c:f>Informe!$W$62:$W$102</c:f>
              <c:numCache>
                <c:formatCode>m/d/yyyy</c:formatCode>
                <c:ptCount val="41"/>
                <c:pt idx="0">
                  <c:v>42736</c:v>
                </c:pt>
                <c:pt idx="1">
                  <c:v>42795</c:v>
                </c:pt>
                <c:pt idx="2">
                  <c:v>42856</c:v>
                </c:pt>
                <c:pt idx="3">
                  <c:v>42917</c:v>
                </c:pt>
                <c:pt idx="4">
                  <c:v>42917</c:v>
                </c:pt>
                <c:pt idx="5">
                  <c:v>43101</c:v>
                </c:pt>
                <c:pt idx="6">
                  <c:v>43160</c:v>
                </c:pt>
                <c:pt idx="7">
                  <c:v>43282</c:v>
                </c:pt>
                <c:pt idx="8">
                  <c:v>43313</c:v>
                </c:pt>
                <c:pt idx="9">
                  <c:v>43374</c:v>
                </c:pt>
                <c:pt idx="10">
                  <c:v>43466</c:v>
                </c:pt>
                <c:pt idx="11">
                  <c:v>43586</c:v>
                </c:pt>
                <c:pt idx="12">
                  <c:v>43647</c:v>
                </c:pt>
                <c:pt idx="13">
                  <c:v>43831</c:v>
                </c:pt>
                <c:pt idx="14">
                  <c:v>44228</c:v>
                </c:pt>
                <c:pt idx="15">
                  <c:v>44256</c:v>
                </c:pt>
                <c:pt idx="16">
                  <c:v>44562</c:v>
                </c:pt>
                <c:pt idx="17">
                  <c:v>44621</c:v>
                </c:pt>
                <c:pt idx="18">
                  <c:v>44805</c:v>
                </c:pt>
                <c:pt idx="19">
                  <c:v>44986</c:v>
                </c:pt>
                <c:pt idx="20">
                  <c:v>45200</c:v>
                </c:pt>
                <c:pt idx="21">
                  <c:v>45292</c:v>
                </c:pt>
                <c:pt idx="22">
                  <c:v>45505</c:v>
                </c:pt>
                <c:pt idx="23">
                  <c:v>45901</c:v>
                </c:pt>
                <c:pt idx="24">
                  <c:v>46082</c:v>
                </c:pt>
                <c:pt idx="25">
                  <c:v>46447</c:v>
                </c:pt>
                <c:pt idx="26">
                  <c:v>46813</c:v>
                </c:pt>
                <c:pt idx="27">
                  <c:v>46874</c:v>
                </c:pt>
                <c:pt idx="28">
                  <c:v>47178</c:v>
                </c:pt>
                <c:pt idx="29">
                  <c:v>47484</c:v>
                </c:pt>
                <c:pt idx="30">
                  <c:v>47880</c:v>
                </c:pt>
                <c:pt idx="31">
                  <c:v>48214</c:v>
                </c:pt>
                <c:pt idx="32">
                  <c:v>48945</c:v>
                </c:pt>
                <c:pt idx="33">
                  <c:v>49369</c:v>
                </c:pt>
                <c:pt idx="34">
                  <c:v>50465</c:v>
                </c:pt>
                <c:pt idx="35">
                  <c:v>50830</c:v>
                </c:pt>
                <c:pt idx="36">
                  <c:v>51136</c:v>
                </c:pt>
                <c:pt idx="37">
                  <c:v>51533</c:v>
                </c:pt>
                <c:pt idx="38">
                  <c:v>51867</c:v>
                </c:pt>
                <c:pt idx="39">
                  <c:v>52597</c:v>
                </c:pt>
              </c:numCache>
            </c:numRef>
          </c:cat>
          <c:val>
            <c:numRef>
              <c:f>Informe!$X$62:$X$102</c:f>
              <c:numCache>
                <c:formatCode>0.00</c:formatCode>
                <c:ptCount val="41"/>
                <c:pt idx="0">
                  <c:v>-1.6004510576246665E-12</c:v>
                </c:pt>
                <c:pt idx="1">
                  <c:v>-3.9134992413315719E-12</c:v>
                </c:pt>
                <c:pt idx="2">
                  <c:v>-8.9829688623027128E-12</c:v>
                </c:pt>
                <c:pt idx="3">
                  <c:v>-1.8719108904542876E-11</c:v>
                </c:pt>
                <c:pt idx="4">
                  <c:v>-1.8719108904542876E-11</c:v>
                </c:pt>
                <c:pt idx="5">
                  <c:v>-1.1856544886786492E-10</c:v>
                </c:pt>
                <c:pt idx="6">
                  <c:v>-1.9601466654775752E-10</c:v>
                </c:pt>
                <c:pt idx="7">
                  <c:v>-4.9995295880664314E-10</c:v>
                </c:pt>
                <c:pt idx="8">
                  <c:v>-6.2252966071484582E-10</c:v>
                </c:pt>
                <c:pt idx="9">
                  <c:v>-9.4168338328915607E-10</c:v>
                </c:pt>
                <c:pt idx="10">
                  <c:v>-1.6796341333839143E-9</c:v>
                </c:pt>
                <c:pt idx="11">
                  <c:v>-3.3564312585244831E-9</c:v>
                </c:pt>
                <c:pt idx="12">
                  <c:v>-4.6459912695457836E-9</c:v>
                </c:pt>
                <c:pt idx="13">
                  <c:v>-1.1453925758807965E-8</c:v>
                </c:pt>
                <c:pt idx="14">
                  <c:v>-5.8104596898462743E-8</c:v>
                </c:pt>
                <c:pt idx="15">
                  <c:v>-6.8234020879050575E-8</c:v>
                </c:pt>
                <c:pt idx="16">
                  <c:v>-1.7894825090703295E-7</c:v>
                </c:pt>
                <c:pt idx="17">
                  <c:v>-2.1453432783469922E-7</c:v>
                </c:pt>
                <c:pt idx="18">
                  <c:v>-3.3190810133859952E-7</c:v>
                </c:pt>
                <c:pt idx="19">
                  <c:v>-5.9957409350754054E-7</c:v>
                </c:pt>
                <c:pt idx="20">
                  <c:v>-9.3936194908283283E-7</c:v>
                </c:pt>
                <c:pt idx="21">
                  <c:v>-1.2805234316445868E-6</c:v>
                </c:pt>
                <c:pt idx="22">
                  <c:v>-1.8764808031208891E-6</c:v>
                </c:pt>
                <c:pt idx="23">
                  <c:v>-1.1328973622455889E-12</c:v>
                </c:pt>
                <c:pt idx="24">
                  <c:v>-2.9492700353778221E-12</c:v>
                </c:pt>
                <c:pt idx="25">
                  <c:v>-8.7857006537934252E-12</c:v>
                </c:pt>
                <c:pt idx="26">
                  <c:v>-3.1213531827040293E-11</c:v>
                </c:pt>
                <c:pt idx="27">
                  <c:v>-3.8196172160359426E-11</c:v>
                </c:pt>
                <c:pt idx="28">
                  <c:v>-1.0004680161309742E-10</c:v>
                </c:pt>
                <c:pt idx="29">
                  <c:v>-2.4859824144580394E-10</c:v>
                </c:pt>
                <c:pt idx="30">
                  <c:v>-7.4695279337331534E-10</c:v>
                </c:pt>
                <c:pt idx="31">
                  <c:v>-1.7789717045931137E-9</c:v>
                </c:pt>
                <c:pt idx="32">
                  <c:v>-1.0092232350874825E-8</c:v>
                </c:pt>
                <c:pt idx="33">
                  <c:v>-3.5887510469096752E-8</c:v>
                </c:pt>
                <c:pt idx="34">
                  <c:v>-2.1319125051693505E-7</c:v>
                </c:pt>
                <c:pt idx="35">
                  <c:v>-4.0574339038308531E-7</c:v>
                </c:pt>
                <c:pt idx="36">
                  <c:v>-6.804890566158156E-7</c:v>
                </c:pt>
                <c:pt idx="37">
                  <c:v>-1.294517587222422E-6</c:v>
                </c:pt>
                <c:pt idx="38">
                  <c:v>-2.1740206902782361E-6</c:v>
                </c:pt>
                <c:pt idx="39">
                  <c:v>-6.320013896075026E-6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Informe!$AL$61</c:f>
              <c:strCache>
                <c:ptCount val="1"/>
                <c:pt idx="0">
                  <c:v>Swap Eq</c:v>
                </c:pt>
              </c:strCache>
            </c:strRef>
          </c:tx>
          <c:spPr>
            <a:ln>
              <a:solidFill>
                <a:schemeClr val="bg1">
                  <a:lumMod val="50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Informe!$W$62:$W$102</c:f>
              <c:numCache>
                <c:formatCode>m/d/yyyy</c:formatCode>
                <c:ptCount val="41"/>
                <c:pt idx="0">
                  <c:v>42736</c:v>
                </c:pt>
                <c:pt idx="1">
                  <c:v>42795</c:v>
                </c:pt>
                <c:pt idx="2">
                  <c:v>42856</c:v>
                </c:pt>
                <c:pt idx="3">
                  <c:v>42917</c:v>
                </c:pt>
                <c:pt idx="4">
                  <c:v>42917</c:v>
                </c:pt>
                <c:pt idx="5">
                  <c:v>43101</c:v>
                </c:pt>
                <c:pt idx="6">
                  <c:v>43160</c:v>
                </c:pt>
                <c:pt idx="7">
                  <c:v>43282</c:v>
                </c:pt>
                <c:pt idx="8">
                  <c:v>43313</c:v>
                </c:pt>
                <c:pt idx="9">
                  <c:v>43374</c:v>
                </c:pt>
                <c:pt idx="10">
                  <c:v>43466</c:v>
                </c:pt>
                <c:pt idx="11">
                  <c:v>43586</c:v>
                </c:pt>
                <c:pt idx="12">
                  <c:v>43647</c:v>
                </c:pt>
                <c:pt idx="13">
                  <c:v>43831</c:v>
                </c:pt>
                <c:pt idx="14">
                  <c:v>44228</c:v>
                </c:pt>
                <c:pt idx="15">
                  <c:v>44256</c:v>
                </c:pt>
                <c:pt idx="16">
                  <c:v>44562</c:v>
                </c:pt>
                <c:pt idx="17">
                  <c:v>44621</c:v>
                </c:pt>
                <c:pt idx="18">
                  <c:v>44805</c:v>
                </c:pt>
                <c:pt idx="19">
                  <c:v>44986</c:v>
                </c:pt>
                <c:pt idx="20">
                  <c:v>45200</c:v>
                </c:pt>
                <c:pt idx="21">
                  <c:v>45292</c:v>
                </c:pt>
                <c:pt idx="22">
                  <c:v>45505</c:v>
                </c:pt>
                <c:pt idx="23">
                  <c:v>45901</c:v>
                </c:pt>
                <c:pt idx="24">
                  <c:v>46082</c:v>
                </c:pt>
                <c:pt idx="25">
                  <c:v>46447</c:v>
                </c:pt>
                <c:pt idx="26">
                  <c:v>46813</c:v>
                </c:pt>
                <c:pt idx="27">
                  <c:v>46874</c:v>
                </c:pt>
                <c:pt idx="28">
                  <c:v>47178</c:v>
                </c:pt>
                <c:pt idx="29">
                  <c:v>47484</c:v>
                </c:pt>
                <c:pt idx="30">
                  <c:v>47880</c:v>
                </c:pt>
                <c:pt idx="31">
                  <c:v>48214</c:v>
                </c:pt>
                <c:pt idx="32">
                  <c:v>48945</c:v>
                </c:pt>
                <c:pt idx="33">
                  <c:v>49369</c:v>
                </c:pt>
                <c:pt idx="34">
                  <c:v>50465</c:v>
                </c:pt>
                <c:pt idx="35">
                  <c:v>50830</c:v>
                </c:pt>
                <c:pt idx="36">
                  <c:v>51136</c:v>
                </c:pt>
                <c:pt idx="37">
                  <c:v>51533</c:v>
                </c:pt>
                <c:pt idx="38">
                  <c:v>51867</c:v>
                </c:pt>
                <c:pt idx="39">
                  <c:v>52597</c:v>
                </c:pt>
              </c:numCache>
            </c:numRef>
          </c:cat>
          <c:val>
            <c:numRef>
              <c:f>Informe!$AL$62:$AL$104</c:f>
              <c:numCache>
                <c:formatCode>0.00</c:formatCode>
                <c:ptCount val="43"/>
                <c:pt idx="0">
                  <c:v>1.49668891276391</c:v>
                </c:pt>
                <c:pt idx="1">
                  <c:v>1.5018551757271621</c:v>
                </c:pt>
                <c:pt idx="2">
                  <c:v>1.1867106859617425</c:v>
                </c:pt>
                <c:pt idx="3">
                  <c:v>0.97882519058687523</c:v>
                </c:pt>
                <c:pt idx="4">
                  <c:v>0.97882519058687523</c:v>
                </c:pt>
                <c:pt idx="5">
                  <c:v>0.62866164778925793</c:v>
                </c:pt>
                <c:pt idx="6">
                  <c:v>0.70309300147228593</c:v>
                </c:pt>
                <c:pt idx="7">
                  <c:v>0.70898893420648101</c:v>
                </c:pt>
                <c:pt idx="8">
                  <c:v>0.6730720942567272</c:v>
                </c:pt>
                <c:pt idx="9">
                  <c:v>0.60077836438528942</c:v>
                </c:pt>
                <c:pt idx="10">
                  <c:v>0.55982622033196994</c:v>
                </c:pt>
                <c:pt idx="11">
                  <c:v>0.55185996567284623</c:v>
                </c:pt>
                <c:pt idx="12">
                  <c:v>0.54894978482306001</c:v>
                </c:pt>
                <c:pt idx="13">
                  <c:v>0.55930427940948801</c:v>
                </c:pt>
                <c:pt idx="14">
                  <c:v>0.68074531152495099</c:v>
                </c:pt>
                <c:pt idx="15">
                  <c:v>0.69224123505963919</c:v>
                </c:pt>
                <c:pt idx="16">
                  <c:v>0.78873012433484357</c:v>
                </c:pt>
                <c:pt idx="17">
                  <c:v>0.80160411347993943</c:v>
                </c:pt>
                <c:pt idx="18">
                  <c:v>0.83405894289102467</c:v>
                </c:pt>
                <c:pt idx="19">
                  <c:v>0.88023439229105516</c:v>
                </c:pt>
                <c:pt idx="20">
                  <c:v>0.91837926270863224</c:v>
                </c:pt>
                <c:pt idx="21">
                  <c:v>0.94587050300737852</c:v>
                </c:pt>
                <c:pt idx="22">
                  <c:v>0.98213199311504362</c:v>
                </c:pt>
                <c:pt idx="23">
                  <c:v>1.0800226960097437</c:v>
                </c:pt>
                <c:pt idx="24">
                  <c:v>1.1241856469538327</c:v>
                </c:pt>
                <c:pt idx="25">
                  <c:v>1.1525171299091042</c:v>
                </c:pt>
                <c:pt idx="26">
                  <c:v>1.1632784417970299</c:v>
                </c:pt>
                <c:pt idx="27">
                  <c:v>1.164872918119797</c:v>
                </c:pt>
                <c:pt idx="28">
                  <c:v>1.1734946396771444</c:v>
                </c:pt>
                <c:pt idx="29">
                  <c:v>1.1816802797247099</c:v>
                </c:pt>
                <c:pt idx="30">
                  <c:v>1.1920565427833862</c:v>
                </c:pt>
                <c:pt idx="31">
                  <c:v>1.2011379580059851</c:v>
                </c:pt>
                <c:pt idx="32">
                  <c:v>1.227666296409867</c:v>
                </c:pt>
                <c:pt idx="33">
                  <c:v>1.2520201226078052</c:v>
                </c:pt>
                <c:pt idx="34">
                  <c:v>1.2804350365216131</c:v>
                </c:pt>
                <c:pt idx="35">
                  <c:v>1.2926823014261508</c:v>
                </c:pt>
                <c:pt idx="36">
                  <c:v>1.3028046674330114</c:v>
                </c:pt>
                <c:pt idx="37">
                  <c:v>1.3158772328306114</c:v>
                </c:pt>
                <c:pt idx="38">
                  <c:v>1.3266801676904936</c:v>
                </c:pt>
                <c:pt idx="39">
                  <c:v>1.3500067929084014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300224"/>
        <c:axId val="460968448"/>
      </c:lineChart>
      <c:dateAx>
        <c:axId val="461300224"/>
        <c:scaling>
          <c:orientation val="minMax"/>
          <c:max val="46082"/>
        </c:scaling>
        <c:delete val="0"/>
        <c:axPos val="b"/>
        <c:numFmt formatCode="mm\/yy" sourceLinked="0"/>
        <c:majorTickMark val="none"/>
        <c:minorTickMark val="none"/>
        <c:tickLblPos val="low"/>
        <c:txPr>
          <a:bodyPr rot="-48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L"/>
          </a:p>
        </c:txPr>
        <c:crossAx val="460968448"/>
        <c:crosses val="autoZero"/>
        <c:auto val="1"/>
        <c:lblOffset val="100"/>
        <c:baseTimeUnit val="days"/>
        <c:majorUnit val="6"/>
        <c:majorTimeUnit val="months"/>
      </c:dateAx>
      <c:valAx>
        <c:axId val="460968448"/>
        <c:scaling>
          <c:orientation val="minMax"/>
          <c:max val="1.6"/>
          <c:min val="-0.9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numFmt formatCode="0.0_ ;\-0.0\ 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L"/>
          </a:p>
        </c:txPr>
        <c:crossAx val="46130022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/>
      <c:overlay val="0"/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L"/>
        </a:p>
      </c:txPr>
    </c:legend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L"/>
    </a:p>
  </c:txPr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600"/>
              <a:t>Break-even Inflation</a:t>
            </a:r>
            <a:endParaRPr 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Informe!$Y$61</c:f>
              <c:strCache>
                <c:ptCount val="1"/>
                <c:pt idx="0">
                  <c:v>Market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045ABE"/>
              </a:solidFill>
              <a:ln>
                <a:solidFill>
                  <a:srgbClr val="4F81BD">
                    <a:shade val="95000"/>
                    <a:satMod val="105000"/>
                  </a:srgbClr>
                </a:solidFill>
              </a:ln>
            </c:spPr>
          </c:marker>
          <c:cat>
            <c:numRef>
              <c:f>Informe!$W$62:$W$102</c:f>
              <c:numCache>
                <c:formatCode>m/d/yyyy</c:formatCode>
                <c:ptCount val="41"/>
                <c:pt idx="0">
                  <c:v>42736</c:v>
                </c:pt>
                <c:pt idx="1">
                  <c:v>42795</c:v>
                </c:pt>
                <c:pt idx="2">
                  <c:v>42856</c:v>
                </c:pt>
                <c:pt idx="3">
                  <c:v>42917</c:v>
                </c:pt>
                <c:pt idx="4">
                  <c:v>42917</c:v>
                </c:pt>
                <c:pt idx="5">
                  <c:v>43101</c:v>
                </c:pt>
                <c:pt idx="6">
                  <c:v>43160</c:v>
                </c:pt>
                <c:pt idx="7">
                  <c:v>43282</c:v>
                </c:pt>
                <c:pt idx="8">
                  <c:v>43313</c:v>
                </c:pt>
                <c:pt idx="9">
                  <c:v>43374</c:v>
                </c:pt>
                <c:pt idx="10">
                  <c:v>43466</c:v>
                </c:pt>
                <c:pt idx="11">
                  <c:v>43586</c:v>
                </c:pt>
                <c:pt idx="12">
                  <c:v>43647</c:v>
                </c:pt>
                <c:pt idx="13">
                  <c:v>43831</c:v>
                </c:pt>
                <c:pt idx="14">
                  <c:v>44228</c:v>
                </c:pt>
                <c:pt idx="15">
                  <c:v>44256</c:v>
                </c:pt>
                <c:pt idx="16">
                  <c:v>44562</c:v>
                </c:pt>
                <c:pt idx="17">
                  <c:v>44621</c:v>
                </c:pt>
                <c:pt idx="18">
                  <c:v>44805</c:v>
                </c:pt>
                <c:pt idx="19">
                  <c:v>44986</c:v>
                </c:pt>
                <c:pt idx="20">
                  <c:v>45200</c:v>
                </c:pt>
                <c:pt idx="21">
                  <c:v>45292</c:v>
                </c:pt>
                <c:pt idx="22">
                  <c:v>45505</c:v>
                </c:pt>
                <c:pt idx="23">
                  <c:v>45901</c:v>
                </c:pt>
                <c:pt idx="24">
                  <c:v>46082</c:v>
                </c:pt>
                <c:pt idx="25">
                  <c:v>46447</c:v>
                </c:pt>
                <c:pt idx="26">
                  <c:v>46813</c:v>
                </c:pt>
                <c:pt idx="27">
                  <c:v>46874</c:v>
                </c:pt>
                <c:pt idx="28">
                  <c:v>47178</c:v>
                </c:pt>
                <c:pt idx="29">
                  <c:v>47484</c:v>
                </c:pt>
                <c:pt idx="30">
                  <c:v>47880</c:v>
                </c:pt>
                <c:pt idx="31">
                  <c:v>48214</c:v>
                </c:pt>
                <c:pt idx="32">
                  <c:v>48945</c:v>
                </c:pt>
                <c:pt idx="33">
                  <c:v>49369</c:v>
                </c:pt>
                <c:pt idx="34">
                  <c:v>50465</c:v>
                </c:pt>
                <c:pt idx="35">
                  <c:v>50830</c:v>
                </c:pt>
                <c:pt idx="36">
                  <c:v>51136</c:v>
                </c:pt>
                <c:pt idx="37">
                  <c:v>51533</c:v>
                </c:pt>
                <c:pt idx="38">
                  <c:v>51867</c:v>
                </c:pt>
                <c:pt idx="39">
                  <c:v>52597</c:v>
                </c:pt>
              </c:numCache>
            </c:numRef>
          </c:cat>
          <c:val>
            <c:numRef>
              <c:f>Informe!$AI$62:$AI$102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2.41</c:v>
                </c:pt>
                <c:pt idx="7">
                  <c:v>0</c:v>
                </c:pt>
                <c:pt idx="8">
                  <c:v>2.38</c:v>
                </c:pt>
                <c:pt idx="9">
                  <c:v>2.4500000000000002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2.62</c:v>
                </c:pt>
                <c:pt idx="14">
                  <c:v>2.82</c:v>
                </c:pt>
                <c:pt idx="15">
                  <c:v>2.78</c:v>
                </c:pt>
                <c:pt idx="16">
                  <c:v>0</c:v>
                </c:pt>
                <c:pt idx="17">
                  <c:v>2.8200000000000003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2.9200000000000004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Informe!$AA$61</c:f>
              <c:strCache>
                <c:ptCount val="1"/>
                <c:pt idx="0">
                  <c:v>Dove</c:v>
                </c:pt>
              </c:strCache>
            </c:strRef>
          </c:tx>
          <c:spPr>
            <a:ln>
              <a:solidFill>
                <a:schemeClr val="accent1">
                  <a:alpha val="57000"/>
                </a:schemeClr>
              </a:solidFill>
            </a:ln>
          </c:spPr>
          <c:marker>
            <c:symbol val="none"/>
          </c:marker>
          <c:cat>
            <c:numRef>
              <c:f>Informe!$W$62:$W$102</c:f>
              <c:numCache>
                <c:formatCode>m/d/yyyy</c:formatCode>
                <c:ptCount val="41"/>
                <c:pt idx="0">
                  <c:v>42736</c:v>
                </c:pt>
                <c:pt idx="1">
                  <c:v>42795</c:v>
                </c:pt>
                <c:pt idx="2">
                  <c:v>42856</c:v>
                </c:pt>
                <c:pt idx="3">
                  <c:v>42917</c:v>
                </c:pt>
                <c:pt idx="4">
                  <c:v>42917</c:v>
                </c:pt>
                <c:pt idx="5">
                  <c:v>43101</c:v>
                </c:pt>
                <c:pt idx="6">
                  <c:v>43160</c:v>
                </c:pt>
                <c:pt idx="7">
                  <c:v>43282</c:v>
                </c:pt>
                <c:pt idx="8">
                  <c:v>43313</c:v>
                </c:pt>
                <c:pt idx="9">
                  <c:v>43374</c:v>
                </c:pt>
                <c:pt idx="10">
                  <c:v>43466</c:v>
                </c:pt>
                <c:pt idx="11">
                  <c:v>43586</c:v>
                </c:pt>
                <c:pt idx="12">
                  <c:v>43647</c:v>
                </c:pt>
                <c:pt idx="13">
                  <c:v>43831</c:v>
                </c:pt>
                <c:pt idx="14">
                  <c:v>44228</c:v>
                </c:pt>
                <c:pt idx="15">
                  <c:v>44256</c:v>
                </c:pt>
                <c:pt idx="16">
                  <c:v>44562</c:v>
                </c:pt>
                <c:pt idx="17">
                  <c:v>44621</c:v>
                </c:pt>
                <c:pt idx="18">
                  <c:v>44805</c:v>
                </c:pt>
                <c:pt idx="19">
                  <c:v>44986</c:v>
                </c:pt>
                <c:pt idx="20">
                  <c:v>45200</c:v>
                </c:pt>
                <c:pt idx="21">
                  <c:v>45292</c:v>
                </c:pt>
                <c:pt idx="22">
                  <c:v>45505</c:v>
                </c:pt>
                <c:pt idx="23">
                  <c:v>45901</c:v>
                </c:pt>
                <c:pt idx="24">
                  <c:v>46082</c:v>
                </c:pt>
                <c:pt idx="25">
                  <c:v>46447</c:v>
                </c:pt>
                <c:pt idx="26">
                  <c:v>46813</c:v>
                </c:pt>
                <c:pt idx="27">
                  <c:v>46874</c:v>
                </c:pt>
                <c:pt idx="28">
                  <c:v>47178</c:v>
                </c:pt>
                <c:pt idx="29">
                  <c:v>47484</c:v>
                </c:pt>
                <c:pt idx="30">
                  <c:v>47880</c:v>
                </c:pt>
                <c:pt idx="31">
                  <c:v>48214</c:v>
                </c:pt>
                <c:pt idx="32">
                  <c:v>48945</c:v>
                </c:pt>
                <c:pt idx="33">
                  <c:v>49369</c:v>
                </c:pt>
                <c:pt idx="34">
                  <c:v>50465</c:v>
                </c:pt>
                <c:pt idx="35">
                  <c:v>50830</c:v>
                </c:pt>
                <c:pt idx="36">
                  <c:v>51136</c:v>
                </c:pt>
                <c:pt idx="37">
                  <c:v>51533</c:v>
                </c:pt>
                <c:pt idx="38">
                  <c:v>51867</c:v>
                </c:pt>
                <c:pt idx="39">
                  <c:v>52597</c:v>
                </c:pt>
              </c:numCache>
            </c:numRef>
          </c:cat>
          <c:val>
            <c:numRef>
              <c:f>Informe!$AJ$62:$AJ$102</c:f>
              <c:numCache>
                <c:formatCode>0.00</c:formatCode>
                <c:ptCount val="41"/>
                <c:pt idx="0">
                  <c:v>3.5200551326395049</c:v>
                </c:pt>
                <c:pt idx="1">
                  <c:v>2.540212073152353</c:v>
                </c:pt>
                <c:pt idx="2">
                  <c:v>2.6133131150573301</c:v>
                </c:pt>
                <c:pt idx="3">
                  <c:v>2.76077131014359</c:v>
                </c:pt>
                <c:pt idx="4">
                  <c:v>2.76077131014359</c:v>
                </c:pt>
                <c:pt idx="5">
                  <c:v>2.7803421203104404</c:v>
                </c:pt>
                <c:pt idx="6">
                  <c:v>2.6174270534918103</c:v>
                </c:pt>
                <c:pt idx="7">
                  <c:v>2.6897351067302426</c:v>
                </c:pt>
                <c:pt idx="8">
                  <c:v>2.6992102304684527</c:v>
                </c:pt>
                <c:pt idx="9">
                  <c:v>2.7173428268824025</c:v>
                </c:pt>
                <c:pt idx="10">
                  <c:v>2.7459409652916706</c:v>
                </c:pt>
                <c:pt idx="11">
                  <c:v>2.7754452699336509</c:v>
                </c:pt>
                <c:pt idx="12">
                  <c:v>2.7873250243697667</c:v>
                </c:pt>
                <c:pt idx="13">
                  <c:v>2.8112651405516456</c:v>
                </c:pt>
                <c:pt idx="14">
                  <c:v>2.846207661095236</c:v>
                </c:pt>
                <c:pt idx="15">
                  <c:v>2.8529373215915825</c:v>
                </c:pt>
                <c:pt idx="16">
                  <c:v>2.8682084223732827</c:v>
                </c:pt>
                <c:pt idx="17">
                  <c:v>2.8708846609893097</c:v>
                </c:pt>
                <c:pt idx="18">
                  <c:v>2.8745827630507681</c:v>
                </c:pt>
                <c:pt idx="19">
                  <c:v>2.8860554991215333</c:v>
                </c:pt>
                <c:pt idx="20">
                  <c:v>2.8921483631839404</c:v>
                </c:pt>
                <c:pt idx="21">
                  <c:v>2.8998848761715217</c:v>
                </c:pt>
                <c:pt idx="22">
                  <c:v>2.9030842315086751</c:v>
                </c:pt>
                <c:pt idx="23">
                  <c:v>2.9183869232181605</c:v>
                </c:pt>
                <c:pt idx="24">
                  <c:v>2.9261319531836767</c:v>
                </c:pt>
                <c:pt idx="25">
                  <c:v>2.9281148801667718</c:v>
                </c:pt>
                <c:pt idx="26">
                  <c:v>2.9337501075906327</c:v>
                </c:pt>
                <c:pt idx="27">
                  <c:v>2.9348663548882232</c:v>
                </c:pt>
                <c:pt idx="28">
                  <c:v>2.9383249022152924</c:v>
                </c:pt>
                <c:pt idx="29">
                  <c:v>2.9419929614792268</c:v>
                </c:pt>
                <c:pt idx="30">
                  <c:v>2.9451097574479639</c:v>
                </c:pt>
                <c:pt idx="31">
                  <c:v>2.9479173730351329</c:v>
                </c:pt>
                <c:pt idx="32">
                  <c:v>2.9530311925171526</c:v>
                </c:pt>
                <c:pt idx="33">
                  <c:v>2.96049085479771</c:v>
                </c:pt>
                <c:pt idx="34">
                  <c:v>2.9615861835416486</c:v>
                </c:pt>
                <c:pt idx="35">
                  <c:v>2.9633535763715591</c:v>
                </c:pt>
                <c:pt idx="36">
                  <c:v>2.9649819191154041</c:v>
                </c:pt>
                <c:pt idx="37">
                  <c:v>2.9664140632438492</c:v>
                </c:pt>
                <c:pt idx="38">
                  <c:v>2.9677978625086352</c:v>
                </c:pt>
                <c:pt idx="39">
                  <c:v>2.9699997425302209</c:v>
                </c:pt>
              </c:numCache>
            </c:numRef>
          </c:val>
          <c:smooth val="1"/>
        </c:ser>
        <c:ser>
          <c:idx val="3"/>
          <c:order val="2"/>
          <c:tx>
            <c:strRef>
              <c:f>Informe!$AC$61</c:f>
              <c:strCache>
                <c:ptCount val="1"/>
                <c:pt idx="0">
                  <c:v>Hawk</c:v>
                </c:pt>
              </c:strCache>
            </c:strRef>
          </c:tx>
          <c:spPr>
            <a:ln>
              <a:solidFill>
                <a:schemeClr val="accent2">
                  <a:alpha val="57000"/>
                </a:schemeClr>
              </a:solidFill>
            </a:ln>
          </c:spPr>
          <c:marker>
            <c:symbol val="none"/>
          </c:marker>
          <c:cat>
            <c:numRef>
              <c:f>Informe!$W$62:$W$102</c:f>
              <c:numCache>
                <c:formatCode>m/d/yyyy</c:formatCode>
                <c:ptCount val="41"/>
                <c:pt idx="0">
                  <c:v>42736</c:v>
                </c:pt>
                <c:pt idx="1">
                  <c:v>42795</c:v>
                </c:pt>
                <c:pt idx="2">
                  <c:v>42856</c:v>
                </c:pt>
                <c:pt idx="3">
                  <c:v>42917</c:v>
                </c:pt>
                <c:pt idx="4">
                  <c:v>42917</c:v>
                </c:pt>
                <c:pt idx="5">
                  <c:v>43101</c:v>
                </c:pt>
                <c:pt idx="6">
                  <c:v>43160</c:v>
                </c:pt>
                <c:pt idx="7">
                  <c:v>43282</c:v>
                </c:pt>
                <c:pt idx="8">
                  <c:v>43313</c:v>
                </c:pt>
                <c:pt idx="9">
                  <c:v>43374</c:v>
                </c:pt>
                <c:pt idx="10">
                  <c:v>43466</c:v>
                </c:pt>
                <c:pt idx="11">
                  <c:v>43586</c:v>
                </c:pt>
                <c:pt idx="12">
                  <c:v>43647</c:v>
                </c:pt>
                <c:pt idx="13">
                  <c:v>43831</c:v>
                </c:pt>
                <c:pt idx="14">
                  <c:v>44228</c:v>
                </c:pt>
                <c:pt idx="15">
                  <c:v>44256</c:v>
                </c:pt>
                <c:pt idx="16">
                  <c:v>44562</c:v>
                </c:pt>
                <c:pt idx="17">
                  <c:v>44621</c:v>
                </c:pt>
                <c:pt idx="18">
                  <c:v>44805</c:v>
                </c:pt>
                <c:pt idx="19">
                  <c:v>44986</c:v>
                </c:pt>
                <c:pt idx="20">
                  <c:v>45200</c:v>
                </c:pt>
                <c:pt idx="21">
                  <c:v>45292</c:v>
                </c:pt>
                <c:pt idx="22">
                  <c:v>45505</c:v>
                </c:pt>
                <c:pt idx="23">
                  <c:v>45901</c:v>
                </c:pt>
                <c:pt idx="24">
                  <c:v>46082</c:v>
                </c:pt>
                <c:pt idx="25">
                  <c:v>46447</c:v>
                </c:pt>
                <c:pt idx="26">
                  <c:v>46813</c:v>
                </c:pt>
                <c:pt idx="27">
                  <c:v>46874</c:v>
                </c:pt>
                <c:pt idx="28">
                  <c:v>47178</c:v>
                </c:pt>
                <c:pt idx="29">
                  <c:v>47484</c:v>
                </c:pt>
                <c:pt idx="30">
                  <c:v>47880</c:v>
                </c:pt>
                <c:pt idx="31">
                  <c:v>48214</c:v>
                </c:pt>
                <c:pt idx="32">
                  <c:v>48945</c:v>
                </c:pt>
                <c:pt idx="33">
                  <c:v>49369</c:v>
                </c:pt>
                <c:pt idx="34">
                  <c:v>50465</c:v>
                </c:pt>
                <c:pt idx="35">
                  <c:v>50830</c:v>
                </c:pt>
                <c:pt idx="36">
                  <c:v>51136</c:v>
                </c:pt>
                <c:pt idx="37">
                  <c:v>51533</c:v>
                </c:pt>
                <c:pt idx="38">
                  <c:v>51867</c:v>
                </c:pt>
                <c:pt idx="39">
                  <c:v>52597</c:v>
                </c:pt>
              </c:numCache>
            </c:numRef>
          </c:cat>
          <c:val>
            <c:numRef>
              <c:f>Informe!$AK$62:$AK$102</c:f>
              <c:numCache>
                <c:formatCode>0.00</c:formatCode>
                <c:ptCount val="41"/>
                <c:pt idx="0">
                  <c:v>5.0250154335003074</c:v>
                </c:pt>
                <c:pt idx="1">
                  <c:v>4.1376853459489329</c:v>
                </c:pt>
                <c:pt idx="2">
                  <c:v>4.0217264516658844</c:v>
                </c:pt>
                <c:pt idx="3">
                  <c:v>4.0717799222600286</c:v>
                </c:pt>
                <c:pt idx="4">
                  <c:v>4.0717799222600286</c:v>
                </c:pt>
                <c:pt idx="5">
                  <c:v>3.9666884703282599</c:v>
                </c:pt>
                <c:pt idx="6">
                  <c:v>3.755259227540432</c:v>
                </c:pt>
                <c:pt idx="7">
                  <c:v>3.6506094429716907</c:v>
                </c:pt>
                <c:pt idx="8">
                  <c:v>3.6262791085678923</c:v>
                </c:pt>
                <c:pt idx="9">
                  <c:v>3.5852654220893383</c:v>
                </c:pt>
                <c:pt idx="10">
                  <c:v>3.542570156171303</c:v>
                </c:pt>
                <c:pt idx="11">
                  <c:v>3.5006807712986823</c:v>
                </c:pt>
                <c:pt idx="12">
                  <c:v>3.483334439518539</c:v>
                </c:pt>
                <c:pt idx="13">
                  <c:v>3.4357386007310375</c:v>
                </c:pt>
                <c:pt idx="14">
                  <c:v>3.3722359774600417</c:v>
                </c:pt>
                <c:pt idx="15">
                  <c:v>3.3678311385337265</c:v>
                </c:pt>
                <c:pt idx="16">
                  <c:v>3.3431037812148858</c:v>
                </c:pt>
                <c:pt idx="17">
                  <c:v>3.3387582270577023</c:v>
                </c:pt>
                <c:pt idx="18">
                  <c:v>3.3305697473140841</c:v>
                </c:pt>
                <c:pt idx="19">
                  <c:v>3.317524099124876</c:v>
                </c:pt>
                <c:pt idx="20">
                  <c:v>3.3133575354812805</c:v>
                </c:pt>
                <c:pt idx="21">
                  <c:v>3.3087930963329595</c:v>
                </c:pt>
                <c:pt idx="22">
                  <c:v>3.3055649720220384</c:v>
                </c:pt>
                <c:pt idx="23">
                  <c:v>3.2934691418756357</c:v>
                </c:pt>
                <c:pt idx="24">
                  <c:v>3.2885510606624679</c:v>
                </c:pt>
                <c:pt idx="25">
                  <c:v>3.2852369351479682</c:v>
                </c:pt>
                <c:pt idx="26">
                  <c:v>3.2803591043656568</c:v>
                </c:pt>
                <c:pt idx="27">
                  <c:v>3.2797195014507095</c:v>
                </c:pt>
                <c:pt idx="28">
                  <c:v>3.2761522937912839</c:v>
                </c:pt>
                <c:pt idx="29">
                  <c:v>3.2734472709270017</c:v>
                </c:pt>
                <c:pt idx="30">
                  <c:v>3.2695281893609858</c:v>
                </c:pt>
                <c:pt idx="31">
                  <c:v>3.2668488595585563</c:v>
                </c:pt>
                <c:pt idx="32">
                  <c:v>3.2604366328332679</c:v>
                </c:pt>
                <c:pt idx="33">
                  <c:v>3.2565915940646537</c:v>
                </c:pt>
                <c:pt idx="34">
                  <c:v>3.2464050163248857</c:v>
                </c:pt>
                <c:pt idx="35">
                  <c:v>3.2429762313694219</c:v>
                </c:pt>
                <c:pt idx="36">
                  <c:v>3.2403032228144624</c:v>
                </c:pt>
                <c:pt idx="37">
                  <c:v>3.2362750701818639</c:v>
                </c:pt>
                <c:pt idx="38">
                  <c:v>3.2331033083683476</c:v>
                </c:pt>
                <c:pt idx="39">
                  <c:v>3.2256021351499453</c:v>
                </c:pt>
              </c:numCache>
            </c:numRef>
          </c:val>
          <c:smooth val="1"/>
        </c:ser>
        <c:ser>
          <c:idx val="1"/>
          <c:order val="3"/>
          <c:tx>
            <c:strRef>
              <c:f>Informe!$X$61</c:f>
              <c:strCache>
                <c:ptCount val="1"/>
                <c:pt idx="0">
                  <c:v>Expected</c:v>
                </c:pt>
              </c:strCache>
            </c:strRef>
          </c:tx>
          <c:spPr>
            <a:ln w="25400">
              <a:solidFill>
                <a:srgbClr val="FF7C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FF7C00"/>
              </a:solidFill>
              <a:ln>
                <a:solidFill>
                  <a:srgbClr val="FF7C00"/>
                </a:solidFill>
              </a:ln>
            </c:spPr>
          </c:marker>
          <c:cat>
            <c:numRef>
              <c:f>Informe!$W$62:$W$102</c:f>
              <c:numCache>
                <c:formatCode>m/d/yyyy</c:formatCode>
                <c:ptCount val="41"/>
                <c:pt idx="0">
                  <c:v>42736</c:v>
                </c:pt>
                <c:pt idx="1">
                  <c:v>42795</c:v>
                </c:pt>
                <c:pt idx="2">
                  <c:v>42856</c:v>
                </c:pt>
                <c:pt idx="3">
                  <c:v>42917</c:v>
                </c:pt>
                <c:pt idx="4">
                  <c:v>42917</c:v>
                </c:pt>
                <c:pt idx="5">
                  <c:v>43101</c:v>
                </c:pt>
                <c:pt idx="6">
                  <c:v>43160</c:v>
                </c:pt>
                <c:pt idx="7">
                  <c:v>43282</c:v>
                </c:pt>
                <c:pt idx="8">
                  <c:v>43313</c:v>
                </c:pt>
                <c:pt idx="9">
                  <c:v>43374</c:v>
                </c:pt>
                <c:pt idx="10">
                  <c:v>43466</c:v>
                </c:pt>
                <c:pt idx="11">
                  <c:v>43586</c:v>
                </c:pt>
                <c:pt idx="12">
                  <c:v>43647</c:v>
                </c:pt>
                <c:pt idx="13">
                  <c:v>43831</c:v>
                </c:pt>
                <c:pt idx="14">
                  <c:v>44228</c:v>
                </c:pt>
                <c:pt idx="15">
                  <c:v>44256</c:v>
                </c:pt>
                <c:pt idx="16">
                  <c:v>44562</c:v>
                </c:pt>
                <c:pt idx="17">
                  <c:v>44621</c:v>
                </c:pt>
                <c:pt idx="18">
                  <c:v>44805</c:v>
                </c:pt>
                <c:pt idx="19">
                  <c:v>44986</c:v>
                </c:pt>
                <c:pt idx="20">
                  <c:v>45200</c:v>
                </c:pt>
                <c:pt idx="21">
                  <c:v>45292</c:v>
                </c:pt>
                <c:pt idx="22">
                  <c:v>45505</c:v>
                </c:pt>
                <c:pt idx="23">
                  <c:v>45901</c:v>
                </c:pt>
                <c:pt idx="24">
                  <c:v>46082</c:v>
                </c:pt>
                <c:pt idx="25">
                  <c:v>46447</c:v>
                </c:pt>
                <c:pt idx="26">
                  <c:v>46813</c:v>
                </c:pt>
                <c:pt idx="27">
                  <c:v>46874</c:v>
                </c:pt>
                <c:pt idx="28">
                  <c:v>47178</c:v>
                </c:pt>
                <c:pt idx="29">
                  <c:v>47484</c:v>
                </c:pt>
                <c:pt idx="30">
                  <c:v>47880</c:v>
                </c:pt>
                <c:pt idx="31">
                  <c:v>48214</c:v>
                </c:pt>
                <c:pt idx="32">
                  <c:v>48945</c:v>
                </c:pt>
                <c:pt idx="33">
                  <c:v>49369</c:v>
                </c:pt>
                <c:pt idx="34">
                  <c:v>50465</c:v>
                </c:pt>
                <c:pt idx="35">
                  <c:v>50830</c:v>
                </c:pt>
                <c:pt idx="36">
                  <c:v>51136</c:v>
                </c:pt>
                <c:pt idx="37">
                  <c:v>51533</c:v>
                </c:pt>
                <c:pt idx="38">
                  <c:v>51867</c:v>
                </c:pt>
                <c:pt idx="39">
                  <c:v>52597</c:v>
                </c:pt>
              </c:numCache>
            </c:numRef>
          </c:cat>
          <c:val>
            <c:numRef>
              <c:f>Informe!$AH$62:$AH$102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301248"/>
        <c:axId val="433369600"/>
      </c:lineChart>
      <c:dateAx>
        <c:axId val="461301248"/>
        <c:scaling>
          <c:orientation val="minMax"/>
          <c:max val="46082"/>
        </c:scaling>
        <c:delete val="0"/>
        <c:axPos val="b"/>
        <c:numFmt formatCode="mm\/yy" sourceLinked="0"/>
        <c:majorTickMark val="none"/>
        <c:minorTickMark val="none"/>
        <c:tickLblPos val="nextTo"/>
        <c:txPr>
          <a:bodyPr rot="-48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L"/>
          </a:p>
        </c:txPr>
        <c:crossAx val="433369600"/>
        <c:crosses val="autoZero"/>
        <c:auto val="1"/>
        <c:lblOffset val="100"/>
        <c:baseTimeUnit val="days"/>
        <c:majorUnit val="6"/>
        <c:majorTimeUnit val="months"/>
      </c:dateAx>
      <c:valAx>
        <c:axId val="433369600"/>
        <c:scaling>
          <c:orientation val="minMax"/>
          <c:max val="4.5999999999999996"/>
          <c:min val="2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numFmt formatCode="0.0_ ;\-0.0\ 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L"/>
          </a:p>
        </c:txPr>
        <c:crossAx val="46130124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L"/>
        </a:p>
      </c:txPr>
    </c:legend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L"/>
    </a:p>
  </c:txPr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Swap BEI 2YR Estimation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Informe2!$H$36</c:f>
              <c:strCache>
                <c:ptCount val="1"/>
                <c:pt idx="0">
                  <c:v>Estimation</c:v>
                </c:pt>
              </c:strCache>
            </c:strRef>
          </c:tx>
          <c:spPr>
            <a:ln w="38100" cap="flat" cmpd="sng" algn="ctr">
              <a:solidFill>
                <a:schemeClr val="accent6"/>
              </a:solidFill>
              <a:prstDash val="solid"/>
            </a:ln>
            <a:effectLst/>
          </c:spPr>
          <c:marker>
            <c:spPr>
              <a:solidFill>
                <a:schemeClr val="lt1"/>
              </a:solidFill>
              <a:ln w="25400" cap="flat" cmpd="sng" algn="ctr">
                <a:solidFill>
                  <a:schemeClr val="accent6"/>
                </a:solidFill>
                <a:prstDash val="solid"/>
              </a:ln>
              <a:effectLst/>
            </c:spPr>
          </c:marker>
          <c:cat>
            <c:numRef>
              <c:f>Informe2!$D$37:$D$42</c:f>
              <c:numCache>
                <c:formatCode>m/d/yyyy</c:formatCode>
                <c:ptCount val="6"/>
                <c:pt idx="0">
                  <c:v>42670</c:v>
                </c:pt>
                <c:pt idx="1">
                  <c:v>42701</c:v>
                </c:pt>
                <c:pt idx="2">
                  <c:v>42731</c:v>
                </c:pt>
                <c:pt idx="3">
                  <c:v>42762</c:v>
                </c:pt>
                <c:pt idx="4">
                  <c:v>42793</c:v>
                </c:pt>
                <c:pt idx="5">
                  <c:v>42821</c:v>
                </c:pt>
              </c:numCache>
            </c:numRef>
          </c:cat>
          <c:val>
            <c:numRef>
              <c:f>Informe2!$H$37:$H$42</c:f>
              <c:numCache>
                <c:formatCode>0.00</c:formatCode>
                <c:ptCount val="6"/>
                <c:pt idx="0">
                  <c:v>2.8795746942926157</c:v>
                </c:pt>
                <c:pt idx="1">
                  <c:v>2.7631166579315538</c:v>
                </c:pt>
                <c:pt idx="2">
                  <c:v>2.8011088473882975</c:v>
                </c:pt>
                <c:pt idx="3">
                  <c:v>2.8189259878502697</c:v>
                </c:pt>
                <c:pt idx="4">
                  <c:v>2.8339283553428691</c:v>
                </c:pt>
                <c:pt idx="5">
                  <c:v>2.9016044555403768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Informe2!$G$36</c:f>
              <c:strCache>
                <c:ptCount val="1"/>
                <c:pt idx="0">
                  <c:v>Market</c:v>
                </c:pt>
              </c:strCache>
            </c:strRef>
          </c:tx>
          <c:spPr>
            <a:ln w="38100" cap="flat" cmpd="sng" algn="ctr">
              <a:solidFill>
                <a:schemeClr val="accent1"/>
              </a:solidFill>
              <a:prstDash val="solid"/>
            </a:ln>
            <a:effectLst/>
          </c:spPr>
          <c:marker>
            <c:spPr>
              <a:solidFill>
                <a:schemeClr val="lt1"/>
              </a:solidFill>
              <a:ln w="25400" cap="flat" cmpd="sng" algn="ctr">
                <a:solidFill>
                  <a:schemeClr val="accent1"/>
                </a:solidFill>
                <a:prstDash val="solid"/>
              </a:ln>
              <a:effectLst/>
            </c:spPr>
          </c:marker>
          <c:cat>
            <c:numRef>
              <c:f>Informe2!$D$37:$D$42</c:f>
              <c:numCache>
                <c:formatCode>m/d/yyyy</c:formatCode>
                <c:ptCount val="6"/>
                <c:pt idx="0">
                  <c:v>42670</c:v>
                </c:pt>
                <c:pt idx="1">
                  <c:v>42701</c:v>
                </c:pt>
                <c:pt idx="2">
                  <c:v>42731</c:v>
                </c:pt>
                <c:pt idx="3">
                  <c:v>42762</c:v>
                </c:pt>
                <c:pt idx="4">
                  <c:v>42793</c:v>
                </c:pt>
                <c:pt idx="5">
                  <c:v>42821</c:v>
                </c:pt>
              </c:numCache>
            </c:numRef>
          </c:cat>
          <c:val>
            <c:numRef>
              <c:f>Informe2!$G$37:$G$42</c:f>
              <c:numCache>
                <c:formatCode>0.00</c:formatCode>
                <c:ptCount val="6"/>
                <c:pt idx="0">
                  <c:v>2.6900000000000004</c:v>
                </c:pt>
                <c:pt idx="1">
                  <c:v>2.694082806046679</c:v>
                </c:pt>
                <c:pt idx="2">
                  <c:v>2.754622364425658</c:v>
                </c:pt>
                <c:pt idx="3">
                  <c:v>2.8920986150121784</c:v>
                </c:pt>
                <c:pt idx="4">
                  <c:v>3.0169335602502168</c:v>
                </c:pt>
                <c:pt idx="5">
                  <c:v>3.119744675760098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509440"/>
        <c:axId val="460970752"/>
      </c:lineChart>
      <c:dateAx>
        <c:axId val="64050944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s-CL"/>
          </a:p>
        </c:txPr>
        <c:crossAx val="460970752"/>
        <c:crosses val="autoZero"/>
        <c:auto val="1"/>
        <c:lblOffset val="100"/>
        <c:baseTimeUnit val="months"/>
      </c:dateAx>
      <c:valAx>
        <c:axId val="460970752"/>
        <c:scaling>
          <c:orientation val="minMax"/>
          <c:min val="2.4499999999999997"/>
        </c:scaling>
        <c:delete val="0"/>
        <c:axPos val="l"/>
        <c:majorGridlines>
          <c:spPr>
            <a:ln w="6350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dash"/>
            </a:ln>
          </c:spPr>
        </c:majorGridlines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s-CL"/>
          </a:p>
        </c:txPr>
        <c:crossAx val="6405094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Swap BEI 5YR Estimation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Informe2!$H$62</c:f>
              <c:strCache>
                <c:ptCount val="1"/>
                <c:pt idx="0">
                  <c:v>Estimation</c:v>
                </c:pt>
              </c:strCache>
            </c:strRef>
          </c:tx>
          <c:spPr>
            <a:ln w="38100" cap="flat" cmpd="sng" algn="ctr">
              <a:solidFill>
                <a:schemeClr val="accent6"/>
              </a:solidFill>
              <a:prstDash val="solid"/>
            </a:ln>
            <a:effectLst/>
          </c:spPr>
          <c:marker>
            <c:spPr>
              <a:solidFill>
                <a:schemeClr val="lt1"/>
              </a:solidFill>
              <a:ln w="25400" cap="flat" cmpd="sng" algn="ctr">
                <a:solidFill>
                  <a:schemeClr val="accent6"/>
                </a:solidFill>
                <a:prstDash val="solid"/>
              </a:ln>
              <a:effectLst/>
            </c:spPr>
          </c:marker>
          <c:cat>
            <c:numRef>
              <c:f>Informe2!$D$63:$D$68</c:f>
              <c:numCache>
                <c:formatCode>m/d/yyyy</c:formatCode>
                <c:ptCount val="6"/>
                <c:pt idx="0">
                  <c:v>42670</c:v>
                </c:pt>
                <c:pt idx="1">
                  <c:v>42701</c:v>
                </c:pt>
                <c:pt idx="2">
                  <c:v>42731</c:v>
                </c:pt>
                <c:pt idx="3">
                  <c:v>42762</c:v>
                </c:pt>
                <c:pt idx="4">
                  <c:v>42793</c:v>
                </c:pt>
                <c:pt idx="5">
                  <c:v>42821</c:v>
                </c:pt>
              </c:numCache>
            </c:numRef>
          </c:cat>
          <c:val>
            <c:numRef>
              <c:f>Informe2!$H$63:$H$68</c:f>
              <c:numCache>
                <c:formatCode>0.00</c:formatCode>
                <c:ptCount val="6"/>
                <c:pt idx="0">
                  <c:v>3.014646963883703</c:v>
                </c:pt>
                <c:pt idx="1">
                  <c:v>2.9853708531096079</c:v>
                </c:pt>
                <c:pt idx="2">
                  <c:v>2.999641514420897</c:v>
                </c:pt>
                <c:pt idx="3">
                  <c:v>2.9375851551003098</c:v>
                </c:pt>
                <c:pt idx="4">
                  <c:v>2.9251377914325007</c:v>
                </c:pt>
                <c:pt idx="5">
                  <c:v>2.9360567237960224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Informe2!$G$62</c:f>
              <c:strCache>
                <c:ptCount val="1"/>
                <c:pt idx="0">
                  <c:v>Market</c:v>
                </c:pt>
              </c:strCache>
            </c:strRef>
          </c:tx>
          <c:spPr>
            <a:ln w="38100" cap="flat" cmpd="sng" algn="ctr">
              <a:solidFill>
                <a:schemeClr val="accent1"/>
              </a:solidFill>
              <a:prstDash val="solid"/>
            </a:ln>
            <a:effectLst/>
          </c:spPr>
          <c:marker>
            <c:spPr>
              <a:solidFill>
                <a:schemeClr val="lt1"/>
              </a:solidFill>
              <a:ln w="25400" cap="flat" cmpd="sng" algn="ctr">
                <a:solidFill>
                  <a:schemeClr val="accent1"/>
                </a:solidFill>
                <a:prstDash val="solid"/>
              </a:ln>
              <a:effectLst/>
            </c:spPr>
          </c:marker>
          <c:cat>
            <c:numRef>
              <c:f>Informe2!$D$63:$D$68</c:f>
              <c:numCache>
                <c:formatCode>m/d/yyyy</c:formatCode>
                <c:ptCount val="6"/>
                <c:pt idx="0">
                  <c:v>42670</c:v>
                </c:pt>
                <c:pt idx="1">
                  <c:v>42701</c:v>
                </c:pt>
                <c:pt idx="2">
                  <c:v>42731</c:v>
                </c:pt>
                <c:pt idx="3">
                  <c:v>42762</c:v>
                </c:pt>
                <c:pt idx="4">
                  <c:v>42793</c:v>
                </c:pt>
                <c:pt idx="5">
                  <c:v>42821</c:v>
                </c:pt>
              </c:numCache>
            </c:numRef>
          </c:cat>
          <c:val>
            <c:numRef>
              <c:f>Informe2!$G$63:$G$68</c:f>
              <c:numCache>
                <c:formatCode>0.00</c:formatCode>
                <c:ptCount val="6"/>
                <c:pt idx="0">
                  <c:v>2.81</c:v>
                </c:pt>
                <c:pt idx="1">
                  <c:v>2.800716203750298</c:v>
                </c:pt>
                <c:pt idx="2">
                  <c:v>2.8136563770850276</c:v>
                </c:pt>
                <c:pt idx="3">
                  <c:v>2.8546328968978791</c:v>
                </c:pt>
                <c:pt idx="4">
                  <c:v>2.8889394116018536</c:v>
                </c:pt>
                <c:pt idx="5">
                  <c:v>2.9136214563733378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509952"/>
        <c:axId val="59270272"/>
      </c:lineChart>
      <c:dateAx>
        <c:axId val="640509952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s-CL"/>
          </a:p>
        </c:txPr>
        <c:crossAx val="59270272"/>
        <c:crosses val="autoZero"/>
        <c:auto val="1"/>
        <c:lblOffset val="100"/>
        <c:baseTimeUnit val="months"/>
      </c:dateAx>
      <c:valAx>
        <c:axId val="59270272"/>
        <c:scaling>
          <c:orientation val="minMax"/>
        </c:scaling>
        <c:delete val="0"/>
        <c:axPos val="l"/>
        <c:majorGridlines>
          <c:spPr>
            <a:ln w="6350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dash"/>
            </a:ln>
          </c:spPr>
        </c:majorGridlines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s-CL"/>
          </a:p>
        </c:txPr>
        <c:crossAx val="6405099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Market Forward CPI</a:t>
            </a:r>
          </a:p>
        </c:rich>
      </c:tx>
      <c:layout>
        <c:manualLayout>
          <c:xMode val="edge"/>
          <c:yMode val="edge"/>
          <c:x val="0.12421856099048795"/>
          <c:y val="4.9213072425548655E-2"/>
        </c:manualLayout>
      </c:layout>
      <c:overlay val="1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Informe2!$C$8</c:f>
              <c:strCache>
                <c:ptCount val="1"/>
                <c:pt idx="0">
                  <c:v>Implied CPI
(Market)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txPr>
              <a:bodyPr/>
              <a:lstStyle/>
              <a:p>
                <a:pPr>
                  <a:defRPr sz="1000"/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Informe2!$B$9:$B$25</c:f>
              <c:numCache>
                <c:formatCode>mmm\-yy</c:formatCode>
                <c:ptCount val="17"/>
                <c:pt idx="0">
                  <c:v>42644</c:v>
                </c:pt>
                <c:pt idx="1">
                  <c:v>42675</c:v>
                </c:pt>
                <c:pt idx="2">
                  <c:v>42705</c:v>
                </c:pt>
                <c:pt idx="3">
                  <c:v>42736</c:v>
                </c:pt>
                <c:pt idx="4">
                  <c:v>42767</c:v>
                </c:pt>
                <c:pt idx="5">
                  <c:v>42795</c:v>
                </c:pt>
                <c:pt idx="6">
                  <c:v>42826</c:v>
                </c:pt>
                <c:pt idx="7">
                  <c:v>42856</c:v>
                </c:pt>
                <c:pt idx="8">
                  <c:v>42887</c:v>
                </c:pt>
                <c:pt idx="9">
                  <c:v>42917</c:v>
                </c:pt>
                <c:pt idx="10">
                  <c:v>42948</c:v>
                </c:pt>
                <c:pt idx="11">
                  <c:v>42979</c:v>
                </c:pt>
                <c:pt idx="12">
                  <c:v>43009</c:v>
                </c:pt>
                <c:pt idx="13">
                  <c:v>43040</c:v>
                </c:pt>
                <c:pt idx="14">
                  <c:v>43070</c:v>
                </c:pt>
                <c:pt idx="15">
                  <c:v>43101</c:v>
                </c:pt>
                <c:pt idx="16">
                  <c:v>43132</c:v>
                </c:pt>
              </c:numCache>
            </c:numRef>
          </c:cat>
          <c:val>
            <c:numRef>
              <c:f>Informe2!$C$9:$C$25</c:f>
              <c:numCache>
                <c:formatCode>0.00%</c:formatCode>
                <c:ptCount val="17"/>
                <c:pt idx="0">
                  <c:v>3.510708135519014E-3</c:v>
                </c:pt>
                <c:pt idx="1">
                  <c:v>3.7923319048882576E-4</c:v>
                </c:pt>
                <c:pt idx="2">
                  <c:v>4.5490731263497786E-4</c:v>
                </c:pt>
                <c:pt idx="3">
                  <c:v>1.0609677541586482E-3</c:v>
                </c:pt>
                <c:pt idx="4">
                  <c:v>1.4567003326859673E-3</c:v>
                </c:pt>
                <c:pt idx="5">
                  <c:v>4.8574320657637227E-3</c:v>
                </c:pt>
                <c:pt idx="6">
                  <c:v>2.3696682464455776E-3</c:v>
                </c:pt>
                <c:pt idx="7">
                  <c:v>2.2918717672695266E-3</c:v>
                </c:pt>
                <c:pt idx="8">
                  <c:v>2.4681288458374695E-3</c:v>
                </c:pt>
                <c:pt idx="9">
                  <c:v>2.4313770134691826E-3</c:v>
                </c:pt>
                <c:pt idx="10">
                  <c:v>2.2313811864771438E-3</c:v>
                </c:pt>
                <c:pt idx="11">
                  <c:v>4.9814037148196988E-3</c:v>
                </c:pt>
                <c:pt idx="12">
                  <c:v>2.457333396104433E-3</c:v>
                </c:pt>
                <c:pt idx="13">
                  <c:v>1.0540398573559706E-3</c:v>
                </c:pt>
                <c:pt idx="14">
                  <c:v>5.5289347585696369E-4</c:v>
                </c:pt>
                <c:pt idx="15">
                  <c:v>1.1788543009763064E-3</c:v>
                </c:pt>
                <c:pt idx="16">
                  <c:v>1.5086286197887322E-3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0510464"/>
        <c:axId val="59272576"/>
      </c:barChart>
      <c:dateAx>
        <c:axId val="64051046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txPr>
          <a:bodyPr/>
          <a:lstStyle/>
          <a:p>
            <a:pPr>
              <a:defRPr sz="900"/>
            </a:pPr>
            <a:endParaRPr lang="es-CL"/>
          </a:p>
        </c:txPr>
        <c:crossAx val="59272576"/>
        <c:crosses val="autoZero"/>
        <c:auto val="1"/>
        <c:lblOffset val="100"/>
        <c:baseTimeUnit val="months"/>
      </c:dateAx>
      <c:valAx>
        <c:axId val="59272576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s-CL"/>
          </a:p>
        </c:txPr>
        <c:crossAx val="640510464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Spot and Forward</a:t>
            </a:r>
            <a:r>
              <a:rPr lang="en-US" sz="1200" baseline="0"/>
              <a:t> 5YR BEI: Swap and Bench</a:t>
            </a:r>
            <a:endParaRPr lang="en-US" sz="12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Informe2!$X$92</c:f>
              <c:strCache>
                <c:ptCount val="1"/>
                <c:pt idx="0">
                  <c:v>BEI 5YR Bench</c:v>
                </c:pt>
              </c:strCache>
            </c:strRef>
          </c:tx>
          <c:spPr>
            <a:ln w="38100" cap="flat" cmpd="sng" algn="ctr">
              <a:solidFill>
                <a:schemeClr val="accent3"/>
              </a:solidFill>
              <a:prstDash val="solid"/>
            </a:ln>
            <a:effectLst/>
          </c:spPr>
          <c:marker>
            <c:spPr>
              <a:solidFill>
                <a:schemeClr val="lt1"/>
              </a:solidFill>
              <a:ln w="25400" cap="flat" cmpd="sng" algn="ctr">
                <a:solidFill>
                  <a:schemeClr val="accent3"/>
                </a:solidFill>
                <a:prstDash val="solid"/>
              </a:ln>
              <a:effectLst/>
            </c:spPr>
          </c:marker>
          <c:cat>
            <c:numRef>
              <c:f>Informe2!$W$93:$W$95</c:f>
              <c:numCache>
                <c:formatCode>m/d/yyyy</c:formatCode>
                <c:ptCount val="3"/>
                <c:pt idx="0">
                  <c:v>42670</c:v>
                </c:pt>
                <c:pt idx="1">
                  <c:v>42683</c:v>
                </c:pt>
                <c:pt idx="2">
                  <c:v>42713</c:v>
                </c:pt>
              </c:numCache>
            </c:numRef>
          </c:cat>
          <c:val>
            <c:numRef>
              <c:f>Informe2!$X$93:$X$95</c:f>
              <c:numCache>
                <c:formatCode>0.000</c:formatCode>
                <c:ptCount val="3"/>
                <c:pt idx="0" formatCode="General">
                  <c:v>2.74</c:v>
                </c:pt>
                <c:pt idx="1">
                  <c:v>2.7418943194847687</c:v>
                </c:pt>
                <c:pt idx="2">
                  <c:v>2.7200202708441141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Informe2!$Y$92</c:f>
              <c:strCache>
                <c:ptCount val="1"/>
                <c:pt idx="0">
                  <c:v>5YR Swap BEI</c:v>
                </c:pt>
              </c:strCache>
            </c:strRef>
          </c:tx>
          <c:spPr>
            <a:ln w="38100" cap="flat" cmpd="sng" algn="ctr">
              <a:solidFill>
                <a:schemeClr val="accent1"/>
              </a:solidFill>
              <a:prstDash val="solid"/>
            </a:ln>
            <a:effectLst/>
          </c:spPr>
          <c:marker>
            <c:spPr>
              <a:solidFill>
                <a:schemeClr val="lt1"/>
              </a:solidFill>
              <a:ln w="25400" cap="flat" cmpd="sng" algn="ctr">
                <a:solidFill>
                  <a:schemeClr val="accent1"/>
                </a:solidFill>
                <a:prstDash val="solid"/>
              </a:ln>
              <a:effectLst/>
            </c:spPr>
          </c:marker>
          <c:cat>
            <c:numRef>
              <c:f>Informe2!$W$93:$W$95</c:f>
              <c:numCache>
                <c:formatCode>m/d/yyyy</c:formatCode>
                <c:ptCount val="3"/>
                <c:pt idx="0">
                  <c:v>42670</c:v>
                </c:pt>
                <c:pt idx="1">
                  <c:v>42683</c:v>
                </c:pt>
                <c:pt idx="2">
                  <c:v>42713</c:v>
                </c:pt>
              </c:numCache>
            </c:numRef>
          </c:cat>
          <c:val>
            <c:numRef>
              <c:f>Informe2!$Y$93:$Y$95</c:f>
              <c:numCache>
                <c:formatCode>0.000</c:formatCode>
                <c:ptCount val="3"/>
                <c:pt idx="0" formatCode="General">
                  <c:v>2.81</c:v>
                </c:pt>
                <c:pt idx="1">
                  <c:v>2.8123448109584563</c:v>
                </c:pt>
                <c:pt idx="2">
                  <c:v>2.792065420406165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510976"/>
        <c:axId val="59274304"/>
      </c:lineChart>
      <c:catAx>
        <c:axId val="64051097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s-CL"/>
          </a:p>
        </c:txPr>
        <c:crossAx val="59274304"/>
        <c:crosses val="autoZero"/>
        <c:auto val="0"/>
        <c:lblAlgn val="ctr"/>
        <c:lblOffset val="100"/>
        <c:noMultiLvlLbl val="0"/>
      </c:catAx>
      <c:valAx>
        <c:axId val="59274304"/>
        <c:scaling>
          <c:orientation val="minMax"/>
          <c:min val="2.5"/>
        </c:scaling>
        <c:delete val="0"/>
        <c:axPos val="l"/>
        <c:majorGridlines>
          <c:spPr>
            <a:ln w="6350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dash"/>
            </a:ln>
          </c:spPr>
        </c:majorGridlines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s-CL"/>
          </a:p>
        </c:txPr>
        <c:crossAx val="640510976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900"/>
          </a:pPr>
          <a:endParaRPr lang="es-CL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Spot and Forward</a:t>
            </a:r>
            <a:r>
              <a:rPr lang="en-US" sz="1200" baseline="0"/>
              <a:t> 5YR UF rates: Swap and Bench</a:t>
            </a:r>
            <a:endParaRPr lang="en-US" sz="12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Informe2!$Z$92</c:f>
              <c:strCache>
                <c:ptCount val="1"/>
                <c:pt idx="0">
                  <c:v>UF-05 Bench</c:v>
                </c:pt>
              </c:strCache>
            </c:strRef>
          </c:tx>
          <c:spPr>
            <a:ln w="38100" cap="flat" cmpd="sng" algn="ctr">
              <a:solidFill>
                <a:schemeClr val="accent3"/>
              </a:solidFill>
              <a:prstDash val="solid"/>
            </a:ln>
            <a:effectLst/>
          </c:spPr>
          <c:marker>
            <c:spPr>
              <a:solidFill>
                <a:schemeClr val="lt1"/>
              </a:solidFill>
              <a:ln w="25400" cap="flat" cmpd="sng" algn="ctr">
                <a:solidFill>
                  <a:schemeClr val="accent3"/>
                </a:solidFill>
                <a:prstDash val="solid"/>
              </a:ln>
              <a:effectLst/>
            </c:spPr>
          </c:marker>
          <c:cat>
            <c:numRef>
              <c:f>Informe2!$W$93:$W$95</c:f>
              <c:numCache>
                <c:formatCode>m/d/yyyy</c:formatCode>
                <c:ptCount val="3"/>
                <c:pt idx="0">
                  <c:v>42670</c:v>
                </c:pt>
                <c:pt idx="1">
                  <c:v>42683</c:v>
                </c:pt>
                <c:pt idx="2">
                  <c:v>42713</c:v>
                </c:pt>
              </c:numCache>
            </c:numRef>
          </c:cat>
          <c:val>
            <c:numRef>
              <c:f>Informe2!$Z$93:$Z$95</c:f>
              <c:numCache>
                <c:formatCode>0.000</c:formatCode>
                <c:ptCount val="3"/>
                <c:pt idx="0" formatCode="General">
                  <c:v>1.07</c:v>
                </c:pt>
                <c:pt idx="1">
                  <c:v>1.0702916440241972</c:v>
                </c:pt>
                <c:pt idx="2">
                  <c:v>1.0974534312664284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Informe2!$AA$92</c:f>
              <c:strCache>
                <c:ptCount val="1"/>
                <c:pt idx="0">
                  <c:v>5YR Swap Cam/UF</c:v>
                </c:pt>
              </c:strCache>
            </c:strRef>
          </c:tx>
          <c:spPr>
            <a:ln w="38100" cap="flat" cmpd="sng" algn="ctr">
              <a:solidFill>
                <a:schemeClr val="accent1"/>
              </a:solidFill>
              <a:prstDash val="solid"/>
            </a:ln>
            <a:effectLst/>
          </c:spPr>
          <c:marker>
            <c:spPr>
              <a:solidFill>
                <a:schemeClr val="lt1"/>
              </a:solidFill>
              <a:ln w="25400" cap="flat" cmpd="sng" algn="ctr">
                <a:solidFill>
                  <a:schemeClr val="accent1"/>
                </a:solidFill>
                <a:prstDash val="solid"/>
              </a:ln>
              <a:effectLst/>
            </c:spPr>
          </c:marker>
          <c:cat>
            <c:numRef>
              <c:f>Informe2!$W$93:$W$95</c:f>
              <c:numCache>
                <c:formatCode>m/d/yyyy</c:formatCode>
                <c:ptCount val="3"/>
                <c:pt idx="0">
                  <c:v>42670</c:v>
                </c:pt>
                <c:pt idx="1">
                  <c:v>42683</c:v>
                </c:pt>
                <c:pt idx="2">
                  <c:v>42713</c:v>
                </c:pt>
              </c:numCache>
            </c:numRef>
          </c:cat>
          <c:val>
            <c:numRef>
              <c:f>Informe2!$AA$93:$AA$95</c:f>
              <c:numCache>
                <c:formatCode>0.000</c:formatCode>
                <c:ptCount val="3"/>
                <c:pt idx="0" formatCode="General">
                  <c:v>0.77</c:v>
                </c:pt>
                <c:pt idx="1">
                  <c:v>0.76814342991543949</c:v>
                </c:pt>
                <c:pt idx="2">
                  <c:v>0.7897801434758307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224128"/>
        <c:axId val="59276608"/>
      </c:lineChart>
      <c:catAx>
        <c:axId val="386224128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s-CL"/>
          </a:p>
        </c:txPr>
        <c:crossAx val="59276608"/>
        <c:crosses val="autoZero"/>
        <c:auto val="0"/>
        <c:lblAlgn val="ctr"/>
        <c:lblOffset val="100"/>
        <c:noMultiLvlLbl val="0"/>
      </c:catAx>
      <c:valAx>
        <c:axId val="59276608"/>
        <c:scaling>
          <c:orientation val="minMax"/>
          <c:max val="1.3"/>
          <c:min val="0.70000000000000007"/>
        </c:scaling>
        <c:delete val="0"/>
        <c:axPos val="l"/>
        <c:majorGridlines>
          <c:spPr>
            <a:ln w="6350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dash"/>
            </a:ln>
          </c:spPr>
        </c:majorGridlines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s-CL"/>
          </a:p>
        </c:txPr>
        <c:crossAx val="386224128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900"/>
          </a:pPr>
          <a:endParaRPr lang="es-CL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Inflation_FWD!$S$4</c:f>
              <c:strCache>
                <c:ptCount val="1"/>
                <c:pt idx="0">
                  <c:v>Realized CPI YoY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dLbls>
            <c:txPr>
              <a:bodyPr rot="-5400000" vert="horz"/>
              <a:lstStyle/>
              <a:p>
                <a:pPr>
                  <a:defRPr sz="900" b="1"/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Inflation_FWD!$O$29:$O$64</c:f>
              <c:numCache>
                <c:formatCode>m/d/yyyy</c:formatCode>
                <c:ptCount val="36"/>
                <c:pt idx="0">
                  <c:v>42035</c:v>
                </c:pt>
                <c:pt idx="1">
                  <c:v>42063</c:v>
                </c:pt>
                <c:pt idx="2">
                  <c:v>42094</c:v>
                </c:pt>
                <c:pt idx="3">
                  <c:v>42124</c:v>
                </c:pt>
                <c:pt idx="4">
                  <c:v>42155</c:v>
                </c:pt>
                <c:pt idx="5">
                  <c:v>42185</c:v>
                </c:pt>
                <c:pt idx="6">
                  <c:v>42216</c:v>
                </c:pt>
                <c:pt idx="7">
                  <c:v>42247</c:v>
                </c:pt>
                <c:pt idx="8">
                  <c:v>42277</c:v>
                </c:pt>
                <c:pt idx="9">
                  <c:v>42308</c:v>
                </c:pt>
                <c:pt idx="10">
                  <c:v>42338</c:v>
                </c:pt>
                <c:pt idx="11">
                  <c:v>42369</c:v>
                </c:pt>
                <c:pt idx="12">
                  <c:v>42400</c:v>
                </c:pt>
                <c:pt idx="13">
                  <c:v>42429</c:v>
                </c:pt>
                <c:pt idx="14">
                  <c:v>42460</c:v>
                </c:pt>
                <c:pt idx="15">
                  <c:v>42490</c:v>
                </c:pt>
                <c:pt idx="16">
                  <c:v>42521</c:v>
                </c:pt>
                <c:pt idx="17">
                  <c:v>42551</c:v>
                </c:pt>
                <c:pt idx="18">
                  <c:v>42582</c:v>
                </c:pt>
                <c:pt idx="19">
                  <c:v>42613</c:v>
                </c:pt>
                <c:pt idx="20">
                  <c:v>42643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Inflation_FWD!$S$29:$S$64</c:f>
              <c:numCache>
                <c:formatCode>0.0%</c:formatCode>
                <c:ptCount val="36"/>
                <c:pt idx="0">
                  <c:v>4.5403496200224547E-2</c:v>
                </c:pt>
                <c:pt idx="1">
                  <c:v>4.4000788617439834E-2</c:v>
                </c:pt>
                <c:pt idx="2">
                  <c:v>4.1841330222631479E-2</c:v>
                </c:pt>
                <c:pt idx="3">
                  <c:v>4.1371124053547037E-2</c:v>
                </c:pt>
                <c:pt idx="4">
                  <c:v>3.9696700268336604E-2</c:v>
                </c:pt>
                <c:pt idx="5">
                  <c:v>4.4191854836804323E-2</c:v>
                </c:pt>
                <c:pt idx="6">
                  <c:v>4.6171685932577144E-2</c:v>
                </c:pt>
                <c:pt idx="7">
                  <c:v>4.9842565291234431E-2</c:v>
                </c:pt>
                <c:pt idx="8">
                  <c:v>4.6452475212254374E-2</c:v>
                </c:pt>
                <c:pt idx="9">
                  <c:v>3.9890397008126799E-2</c:v>
                </c:pt>
                <c:pt idx="10">
                  <c:v>3.9364980833350049E-2</c:v>
                </c:pt>
                <c:pt idx="11">
                  <c:v>4.3789840573413175E-2</c:v>
                </c:pt>
                <c:pt idx="12">
                  <c:v>4.788471764747948E-2</c:v>
                </c:pt>
                <c:pt idx="13">
                  <c:v>4.7116213120337314E-2</c:v>
                </c:pt>
                <c:pt idx="14">
                  <c:v>4.4518704694703537E-2</c:v>
                </c:pt>
                <c:pt idx="15">
                  <c:v>4.1926353657930848E-2</c:v>
                </c:pt>
                <c:pt idx="16">
                  <c:v>4.2433155618168739E-2</c:v>
                </c:pt>
                <c:pt idx="17">
                  <c:v>4.2073549174450831E-2</c:v>
                </c:pt>
                <c:pt idx="18">
                  <c:v>4.0198016208895737E-2</c:v>
                </c:pt>
                <c:pt idx="19">
                  <c:v>3.3711137310435069E-2</c:v>
                </c:pt>
                <c:pt idx="20">
                  <c:v>3.0955340700440814E-2</c:v>
                </c:pt>
                <c:pt idx="21" formatCode="0.00%">
                  <c:v>0</c:v>
                </c:pt>
                <c:pt idx="22" formatCode="0.00%">
                  <c:v>0</c:v>
                </c:pt>
                <c:pt idx="23" formatCode="0.00%">
                  <c:v>0</c:v>
                </c:pt>
                <c:pt idx="24" formatCode="0.00%">
                  <c:v>0</c:v>
                </c:pt>
                <c:pt idx="25" formatCode="0.00%">
                  <c:v>0</c:v>
                </c:pt>
                <c:pt idx="26" formatCode="0.00%">
                  <c:v>0</c:v>
                </c:pt>
                <c:pt idx="27" formatCode="0.00%">
                  <c:v>0</c:v>
                </c:pt>
                <c:pt idx="28" formatCode="0.00%">
                  <c:v>0</c:v>
                </c:pt>
                <c:pt idx="29" formatCode="0.00%">
                  <c:v>0</c:v>
                </c:pt>
                <c:pt idx="30" formatCode="0.00%">
                  <c:v>0</c:v>
                </c:pt>
                <c:pt idx="31" formatCode="0.00%">
                  <c:v>0</c:v>
                </c:pt>
                <c:pt idx="32" formatCode="0.00%">
                  <c:v>0</c:v>
                </c:pt>
                <c:pt idx="33" formatCode="0.00%">
                  <c:v>0</c:v>
                </c:pt>
                <c:pt idx="34" formatCode="0.00%">
                  <c:v>0</c:v>
                </c:pt>
                <c:pt idx="35" formatCode="0.00%">
                  <c:v>0</c:v>
                </c:pt>
              </c:numCache>
            </c:numRef>
          </c:val>
        </c:ser>
        <c:ser>
          <c:idx val="1"/>
          <c:order val="1"/>
          <c:tx>
            <c:strRef>
              <c:f>Inflation_FWD!$T$4</c:f>
              <c:strCache>
                <c:ptCount val="1"/>
                <c:pt idx="0">
                  <c:v>Market Fwd CPI YoY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txPr>
              <a:bodyPr rot="-5400000" vert="horz"/>
              <a:lstStyle/>
              <a:p>
                <a:pPr>
                  <a:defRPr sz="900" b="1"/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Inflation_FWD!$O$29:$O$64</c:f>
              <c:numCache>
                <c:formatCode>m/d/yyyy</c:formatCode>
                <c:ptCount val="36"/>
                <c:pt idx="0">
                  <c:v>42035</c:v>
                </c:pt>
                <c:pt idx="1">
                  <c:v>42063</c:v>
                </c:pt>
                <c:pt idx="2">
                  <c:v>42094</c:v>
                </c:pt>
                <c:pt idx="3">
                  <c:v>42124</c:v>
                </c:pt>
                <c:pt idx="4">
                  <c:v>42155</c:v>
                </c:pt>
                <c:pt idx="5">
                  <c:v>42185</c:v>
                </c:pt>
                <c:pt idx="6">
                  <c:v>42216</c:v>
                </c:pt>
                <c:pt idx="7">
                  <c:v>42247</c:v>
                </c:pt>
                <c:pt idx="8">
                  <c:v>42277</c:v>
                </c:pt>
                <c:pt idx="9">
                  <c:v>42308</c:v>
                </c:pt>
                <c:pt idx="10">
                  <c:v>42338</c:v>
                </c:pt>
                <c:pt idx="11">
                  <c:v>42369</c:v>
                </c:pt>
                <c:pt idx="12">
                  <c:v>42400</c:v>
                </c:pt>
                <c:pt idx="13">
                  <c:v>42429</c:v>
                </c:pt>
                <c:pt idx="14">
                  <c:v>42460</c:v>
                </c:pt>
                <c:pt idx="15">
                  <c:v>42490</c:v>
                </c:pt>
                <c:pt idx="16">
                  <c:v>42521</c:v>
                </c:pt>
                <c:pt idx="17">
                  <c:v>42551</c:v>
                </c:pt>
                <c:pt idx="18">
                  <c:v>42582</c:v>
                </c:pt>
                <c:pt idx="19">
                  <c:v>42613</c:v>
                </c:pt>
                <c:pt idx="20">
                  <c:v>42643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</c:numCache>
            </c:numRef>
          </c:cat>
          <c:val>
            <c:numRef>
              <c:f>Inflation_FWD!$T$29:$T$64</c:f>
              <c:numCache>
                <c:formatCode>0.00%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0.0%">
                  <c:v>0</c:v>
                </c:pt>
                <c:pt idx="20" formatCode="0.0%">
                  <c:v>0</c:v>
                </c:pt>
                <c:pt idx="21" formatCode="0.0%">
                  <c:v>3.0377036596707097E-2</c:v>
                </c:pt>
                <c:pt idx="22" formatCode="0.0%">
                  <c:v>3.1035079906489793E-2</c:v>
                </c:pt>
                <c:pt idx="23" formatCode="0.0%">
                  <c:v>3.1391803912976357E-2</c:v>
                </c:pt>
                <c:pt idx="24" formatCode="0.0%">
                  <c:v>2.7655793255365158E-2</c:v>
                </c:pt>
                <c:pt idx="25" formatCode="0.0%">
                  <c:v>2.6299965318648866E-2</c:v>
                </c:pt>
                <c:pt idx="26" formatCode="0.0%">
                  <c:v>2.7385435922983037E-2</c:v>
                </c:pt>
                <c:pt idx="27" formatCode="0.0%">
                  <c:v>2.6477786382343771E-2</c:v>
                </c:pt>
                <c:pt idx="28" formatCode="0.0%">
                  <c:v>2.6519442619676203E-2</c:v>
                </c:pt>
                <c:pt idx="29" formatCode="0.0%">
                  <c:v>2.4448827017144126E-2</c:v>
                </c:pt>
                <c:pt idx="30" formatCode="0.0%">
                  <c:v>2.4458021909046668E-2</c:v>
                </c:pt>
                <c:pt idx="31" formatCode="0.0%">
                  <c:v>2.6249236573862911E-2</c:v>
                </c:pt>
                <c:pt idx="32" formatCode="0.0%">
                  <c:v>2.8856308333412795E-2</c:v>
                </c:pt>
                <c:pt idx="33" formatCode="0.0%">
                  <c:v>2.7776328581428533E-2</c:v>
                </c:pt>
                <c:pt idx="34" formatCode="0.0%">
                  <c:v>2.8469615982410712E-2</c:v>
                </c:pt>
                <c:pt idx="35" formatCode="0.0%">
                  <c:v>2.8570345951271614E-2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1"/>
        <c:overlap val="100"/>
        <c:axId val="386225664"/>
        <c:axId val="59147968"/>
      </c:barChart>
      <c:dateAx>
        <c:axId val="38622566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s-CL"/>
          </a:p>
        </c:txPr>
        <c:crossAx val="59147968"/>
        <c:crosses val="autoZero"/>
        <c:auto val="1"/>
        <c:lblOffset val="100"/>
        <c:baseTimeUnit val="months"/>
      </c:dateAx>
      <c:valAx>
        <c:axId val="59147968"/>
        <c:scaling>
          <c:orientation val="minMax"/>
          <c:min val="1.5000000000000003E-2"/>
        </c:scaling>
        <c:delete val="0"/>
        <c:axPos val="l"/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s-CL"/>
          </a:p>
        </c:txPr>
        <c:crossAx val="386225664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8070624646495459"/>
          <c:y val="0.10284896730645728"/>
          <c:w val="0.16065343526974382"/>
          <c:h val="0.19926075356282943"/>
        </c:manualLayout>
      </c:layout>
      <c:overlay val="1"/>
      <c:txPr>
        <a:bodyPr/>
        <a:lstStyle/>
        <a:p>
          <a:pPr>
            <a:defRPr sz="1000"/>
          </a:pPr>
          <a:endParaRPr lang="es-CL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Zero swap curves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v>CLP/Cam zero</c:v>
          </c:tx>
          <c:spPr>
            <a:ln>
              <a:solidFill>
                <a:srgbClr val="88B14B"/>
              </a:solidFill>
            </a:ln>
          </c:spPr>
          <c:marker>
            <c:symbol val="none"/>
          </c:marker>
          <c:xVal>
            <c:numRef>
              <c:f>Informe3!$B$31:$B$44</c:f>
              <c:numCache>
                <c:formatCode>#,##0.00\ "YR"</c:formatCode>
                <c:ptCount val="14"/>
                <c:pt idx="0">
                  <c:v>8.3333333333333329E-2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 formatCode="#\ &quot;YR&quot;">
                  <c:v>1</c:v>
                </c:pt>
                <c:pt idx="5" formatCode="#\ &quot;YR&quot;">
                  <c:v>2</c:v>
                </c:pt>
                <c:pt idx="6" formatCode="#\ &quot;YR&quot;">
                  <c:v>3</c:v>
                </c:pt>
                <c:pt idx="7" formatCode="#\ &quot;YR&quot;">
                  <c:v>4</c:v>
                </c:pt>
                <c:pt idx="8" formatCode="#\ &quot;YR&quot;">
                  <c:v>5</c:v>
                </c:pt>
                <c:pt idx="9" formatCode="#\ &quot;YR&quot;">
                  <c:v>6</c:v>
                </c:pt>
                <c:pt idx="10" formatCode="#\ &quot;YR&quot;">
                  <c:v>7</c:v>
                </c:pt>
                <c:pt idx="11" formatCode="#\ &quot;YR&quot;">
                  <c:v>8</c:v>
                </c:pt>
                <c:pt idx="12" formatCode="#\ &quot;YR&quot;">
                  <c:v>9</c:v>
                </c:pt>
                <c:pt idx="13" formatCode="#\ &quot;YR&quot;">
                  <c:v>10</c:v>
                </c:pt>
              </c:numCache>
            </c:numRef>
          </c:xVal>
          <c:yVal>
            <c:numRef>
              <c:f>Informe3!$C$31:$C$44</c:f>
              <c:numCache>
                <c:formatCode>_(* #,##0.00_);_(* \(#,##0.00\);_(* "-"??_);_(@_)</c:formatCode>
                <c:ptCount val="14"/>
                <c:pt idx="0">
                  <c:v>3.5536515533478981</c:v>
                </c:pt>
                <c:pt idx="1">
                  <c:v>3.5365228816704812</c:v>
                </c:pt>
                <c:pt idx="2">
                  <c:v>3.4228573530611355</c:v>
                </c:pt>
                <c:pt idx="3">
                  <c:v>3.3750678491129107</c:v>
                </c:pt>
                <c:pt idx="4">
                  <c:v>3.3312144726635551</c:v>
                </c:pt>
                <c:pt idx="5">
                  <c:v>3.2641912382246985</c:v>
                </c:pt>
                <c:pt idx="6">
                  <c:v>3.3581755452339115</c:v>
                </c:pt>
                <c:pt idx="7">
                  <c:v>3.4856117308895178</c:v>
                </c:pt>
                <c:pt idx="8">
                  <c:v>3.626455882813441</c:v>
                </c:pt>
                <c:pt idx="9">
                  <c:v>3.7145758199376178</c:v>
                </c:pt>
                <c:pt idx="10">
                  <c:v>3.8600824748217901</c:v>
                </c:pt>
                <c:pt idx="11">
                  <c:v>3.9743348359620723</c:v>
                </c:pt>
                <c:pt idx="12">
                  <c:v>4.0669467268546367</c:v>
                </c:pt>
                <c:pt idx="13">
                  <c:v>4.1490478558846018</c:v>
                </c:pt>
              </c:numCache>
            </c:numRef>
          </c:yVal>
          <c:smooth val="0"/>
        </c:ser>
        <c:ser>
          <c:idx val="1"/>
          <c:order val="2"/>
          <c:tx>
            <c:v>UF/Cam zero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Informe3!$B$48:$B$61</c:f>
              <c:numCache>
                <c:formatCode>#,##0.00\ "YR"</c:formatCode>
                <c:ptCount val="14"/>
                <c:pt idx="0">
                  <c:v>8.3333333333333329E-2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 formatCode="#\ &quot;YR&quot;">
                  <c:v>1</c:v>
                </c:pt>
                <c:pt idx="5" formatCode="#\ &quot;YR&quot;">
                  <c:v>2</c:v>
                </c:pt>
                <c:pt idx="6" formatCode="#\ &quot;YR&quot;">
                  <c:v>3</c:v>
                </c:pt>
                <c:pt idx="7" formatCode="#\ &quot;YR&quot;">
                  <c:v>4</c:v>
                </c:pt>
                <c:pt idx="8" formatCode="#\ &quot;YR&quot;">
                  <c:v>5</c:v>
                </c:pt>
                <c:pt idx="9" formatCode="#\ &quot;YR&quot;">
                  <c:v>6</c:v>
                </c:pt>
                <c:pt idx="10" formatCode="#\ &quot;YR&quot;">
                  <c:v>7</c:v>
                </c:pt>
                <c:pt idx="11" formatCode="#\ &quot;YR&quot;">
                  <c:v>8</c:v>
                </c:pt>
                <c:pt idx="12" formatCode="#\ &quot;YR&quot;">
                  <c:v>9</c:v>
                </c:pt>
                <c:pt idx="13" formatCode="#\ &quot;YR&quot;">
                  <c:v>10</c:v>
                </c:pt>
              </c:numCache>
            </c:numRef>
          </c:xVal>
          <c:yVal>
            <c:numRef>
              <c:f>Informe3!$C$48:$C$61</c:f>
              <c:numCache>
                <c:formatCode>_(* #,##0.00_);_(* \(#,##0.00\);_(* "-"??_);_(@_)</c:formatCode>
                <c:ptCount val="14"/>
                <c:pt idx="0">
                  <c:v>0.10335073274325701</c:v>
                </c:pt>
                <c:pt idx="1">
                  <c:v>1.5186203501574536</c:v>
                </c:pt>
                <c:pt idx="2">
                  <c:v>1.2436050659062503</c:v>
                </c:pt>
                <c:pt idx="3">
                  <c:v>0.8652908216391797</c:v>
                </c:pt>
                <c:pt idx="4">
                  <c:v>0.58651485050875696</c:v>
                </c:pt>
                <c:pt idx="5">
                  <c:v>0.55739482452472455</c:v>
                </c:pt>
                <c:pt idx="6">
                  <c:v>0.53032113623030663</c:v>
                </c:pt>
                <c:pt idx="7">
                  <c:v>0.63934817872374916</c:v>
                </c:pt>
                <c:pt idx="8">
                  <c:v>0.7714781989269146</c:v>
                </c:pt>
                <c:pt idx="9">
                  <c:v>0.85436470024600586</c:v>
                </c:pt>
                <c:pt idx="10">
                  <c:v>0.93681425816747832</c:v>
                </c:pt>
                <c:pt idx="11">
                  <c:v>1.0196637434979754</c:v>
                </c:pt>
                <c:pt idx="12">
                  <c:v>1.1034588290519933</c:v>
                </c:pt>
                <c:pt idx="13">
                  <c:v>1.1670146153863614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153728"/>
        <c:axId val="388775936"/>
      </c:scatterChart>
      <c:scatterChart>
        <c:scatterStyle val="lineMarker"/>
        <c:varyColors val="0"/>
        <c:ser>
          <c:idx val="2"/>
          <c:order val="0"/>
          <c:tx>
            <c:strRef>
              <c:f>Informe3!$C$105</c:f>
              <c:strCache>
                <c:ptCount val="1"/>
                <c:pt idx="0">
                  <c:v>Inlfation Target (right)</c:v>
                </c:pt>
              </c:strCache>
            </c:strRef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Informe3!$B$106:$B$119</c:f>
              <c:numCache>
                <c:formatCode>#,##0.00\ "YR"</c:formatCode>
                <c:ptCount val="14"/>
                <c:pt idx="0">
                  <c:v>8.3333333333333329E-2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 formatCode="#\ &quot;YR&quot;">
                  <c:v>1</c:v>
                </c:pt>
                <c:pt idx="5" formatCode="#\ &quot;YR&quot;">
                  <c:v>2</c:v>
                </c:pt>
                <c:pt idx="6" formatCode="#\ &quot;YR&quot;">
                  <c:v>3</c:v>
                </c:pt>
                <c:pt idx="7" formatCode="#\ &quot;YR&quot;">
                  <c:v>4</c:v>
                </c:pt>
                <c:pt idx="8" formatCode="#\ &quot;YR&quot;">
                  <c:v>5</c:v>
                </c:pt>
                <c:pt idx="9" formatCode="#\ &quot;YR&quot;">
                  <c:v>6</c:v>
                </c:pt>
                <c:pt idx="10" formatCode="#\ &quot;YR&quot;">
                  <c:v>7</c:v>
                </c:pt>
                <c:pt idx="11" formatCode="#\ &quot;YR&quot;">
                  <c:v>8</c:v>
                </c:pt>
                <c:pt idx="12" formatCode="#\ &quot;YR&quot;">
                  <c:v>9</c:v>
                </c:pt>
                <c:pt idx="13" formatCode="#\ &quot;YR&quot;">
                  <c:v>10</c:v>
                </c:pt>
              </c:numCache>
            </c:numRef>
          </c:xVal>
          <c:yVal>
            <c:numRef>
              <c:f>Informe3!$C$106:$C$119</c:f>
              <c:numCache>
                <c:formatCode>General</c:formatCode>
                <c:ptCount val="1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</c:numCache>
            </c:numRef>
          </c:yVal>
          <c:smooth val="0"/>
        </c:ser>
        <c:ser>
          <c:idx val="3"/>
          <c:order val="3"/>
          <c:tx>
            <c:v>BEI (right)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Informe3!$B$65:$B$78</c:f>
              <c:numCache>
                <c:formatCode>#,##0.00\ "YR"</c:formatCode>
                <c:ptCount val="14"/>
                <c:pt idx="0">
                  <c:v>8.3333333333333329E-2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 formatCode="#\ &quot;YR&quot;">
                  <c:v>1</c:v>
                </c:pt>
                <c:pt idx="5" formatCode="#\ &quot;YR&quot;">
                  <c:v>2</c:v>
                </c:pt>
                <c:pt idx="6" formatCode="#\ &quot;YR&quot;">
                  <c:v>3</c:v>
                </c:pt>
                <c:pt idx="7" formatCode="#\ &quot;YR&quot;">
                  <c:v>4</c:v>
                </c:pt>
                <c:pt idx="8" formatCode="#\ &quot;YR&quot;">
                  <c:v>5</c:v>
                </c:pt>
                <c:pt idx="9" formatCode="#\ &quot;YR&quot;">
                  <c:v>6</c:v>
                </c:pt>
                <c:pt idx="10" formatCode="#\ &quot;YR&quot;">
                  <c:v>7</c:v>
                </c:pt>
                <c:pt idx="11" formatCode="#\ &quot;YR&quot;">
                  <c:v>8</c:v>
                </c:pt>
                <c:pt idx="12" formatCode="#\ &quot;YR&quot;">
                  <c:v>9</c:v>
                </c:pt>
                <c:pt idx="13" formatCode="#\ &quot;YR&quot;">
                  <c:v>10</c:v>
                </c:pt>
              </c:numCache>
            </c:numRef>
          </c:xVal>
          <c:yVal>
            <c:numRef>
              <c:f>Informe3!$C$65:$C$78</c:f>
              <c:numCache>
                <c:formatCode>_(* #,##0.00_);_(* \(#,##0.00\);_(* "-"??_);_(@_)</c:formatCode>
                <c:ptCount val="14"/>
                <c:pt idx="0">
                  <c:v>3.450300820604641</c:v>
                </c:pt>
                <c:pt idx="1">
                  <c:v>2.0179025315130277</c:v>
                </c:pt>
                <c:pt idx="2">
                  <c:v>2.1792522871548852</c:v>
                </c:pt>
                <c:pt idx="3">
                  <c:v>2.509777027473731</c:v>
                </c:pt>
                <c:pt idx="4">
                  <c:v>2.7446996221547981</c:v>
                </c:pt>
                <c:pt idx="5">
                  <c:v>2.706796413699974</c:v>
                </c:pt>
                <c:pt idx="6">
                  <c:v>2.8278544090036046</c:v>
                </c:pt>
                <c:pt idx="7">
                  <c:v>2.8462635521657687</c:v>
                </c:pt>
                <c:pt idx="8">
                  <c:v>2.8549776838865264</c:v>
                </c:pt>
                <c:pt idx="9">
                  <c:v>2.8602111196916118</c:v>
                </c:pt>
                <c:pt idx="10">
                  <c:v>2.9232682166543116</c:v>
                </c:pt>
                <c:pt idx="11">
                  <c:v>2.9546710924640971</c:v>
                </c:pt>
                <c:pt idx="12">
                  <c:v>2.9634878978026435</c:v>
                </c:pt>
                <c:pt idx="13">
                  <c:v>2.9820332404982404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777088"/>
        <c:axId val="388776512"/>
      </c:scatterChart>
      <c:valAx>
        <c:axId val="59153728"/>
        <c:scaling>
          <c:orientation val="minMax"/>
          <c:max val="10"/>
          <c:min val="0.1"/>
        </c:scaling>
        <c:delete val="0"/>
        <c:axPos val="b"/>
        <c:numFmt formatCode="#\ &quot;YR&quot;" sourceLinked="0"/>
        <c:majorTickMark val="out"/>
        <c:minorTickMark val="none"/>
        <c:tickLblPos val="low"/>
        <c:crossAx val="388775936"/>
        <c:crosses val="autoZero"/>
        <c:crossBetween val="midCat"/>
      </c:valAx>
      <c:valAx>
        <c:axId val="388775936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_-* #,##0.0_-;\-* #,##0.0_-;_-* &quot;-&quot;?_-;_-@_-" sourceLinked="0"/>
        <c:majorTickMark val="out"/>
        <c:minorTickMark val="none"/>
        <c:tickLblPos val="nextTo"/>
        <c:crossAx val="59153728"/>
        <c:crosses val="autoZero"/>
        <c:crossBetween val="midCat"/>
      </c:valAx>
      <c:valAx>
        <c:axId val="388776512"/>
        <c:scaling>
          <c:orientation val="minMax"/>
        </c:scaling>
        <c:delete val="0"/>
        <c:axPos val="r"/>
        <c:numFmt formatCode="#,##0.0" sourceLinked="0"/>
        <c:majorTickMark val="out"/>
        <c:minorTickMark val="none"/>
        <c:tickLblPos val="nextTo"/>
        <c:crossAx val="388777088"/>
        <c:crosses val="max"/>
        <c:crossBetween val="midCat"/>
      </c:valAx>
      <c:valAx>
        <c:axId val="388777088"/>
        <c:scaling>
          <c:orientation val="minMax"/>
        </c:scaling>
        <c:delete val="1"/>
        <c:axPos val="b"/>
        <c:numFmt formatCode="#,##0.00\ &quot;YR&quot;" sourceLinked="1"/>
        <c:majorTickMark val="out"/>
        <c:minorTickMark val="none"/>
        <c:tickLblPos val="nextTo"/>
        <c:crossAx val="38877651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Zero</a:t>
            </a:r>
            <a:r>
              <a:rPr lang="en-US" sz="1400" baseline="0"/>
              <a:t> curves: Market - Estimated</a:t>
            </a:r>
            <a:endParaRPr lang="en-US" sz="14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CLP/Cam Mkt-Est Diff</c:v>
          </c:tx>
          <c:spPr>
            <a:ln>
              <a:solidFill>
                <a:srgbClr val="88B14B"/>
              </a:solidFill>
            </a:ln>
          </c:spPr>
          <c:marker>
            <c:symbol val="none"/>
          </c:marker>
          <c:xVal>
            <c:numRef>
              <c:f>Informe3!$N$31:$N$44</c:f>
              <c:numCache>
                <c:formatCode>#,##0.00\ "YR"</c:formatCode>
                <c:ptCount val="14"/>
                <c:pt idx="0">
                  <c:v>8.3333333333333329E-2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 formatCode="#\ &quot;YR&quot;">
                  <c:v>1</c:v>
                </c:pt>
                <c:pt idx="5" formatCode="#\ &quot;YR&quot;">
                  <c:v>2</c:v>
                </c:pt>
                <c:pt idx="6" formatCode="#\ &quot;YR&quot;">
                  <c:v>3</c:v>
                </c:pt>
                <c:pt idx="7" formatCode="#\ &quot;YR&quot;">
                  <c:v>4</c:v>
                </c:pt>
                <c:pt idx="8" formatCode="#\ &quot;YR&quot;">
                  <c:v>5</c:v>
                </c:pt>
                <c:pt idx="9" formatCode="#\ &quot;YR&quot;">
                  <c:v>6</c:v>
                </c:pt>
                <c:pt idx="10" formatCode="#\ &quot;YR&quot;">
                  <c:v>7</c:v>
                </c:pt>
                <c:pt idx="11" formatCode="#\ &quot;YR&quot;">
                  <c:v>8</c:v>
                </c:pt>
                <c:pt idx="12" formatCode="#\ &quot;YR&quot;">
                  <c:v>9</c:v>
                </c:pt>
                <c:pt idx="13" formatCode="#\ &quot;YR&quot;">
                  <c:v>10</c:v>
                </c:pt>
              </c:numCache>
            </c:numRef>
          </c:xVal>
          <c:yVal>
            <c:numRef>
              <c:f>Informe3!$O$31:$O$44</c:f>
              <c:numCache>
                <c:formatCode>_(* #,##0.00_);_(* \(#,##0.00\);_(* "-"??_);_(@_)</c:formatCode>
                <c:ptCount val="14"/>
                <c:pt idx="0">
                  <c:v>-8.1431389960022749E-3</c:v>
                </c:pt>
                <c:pt idx="1">
                  <c:v>-2.5271810673066053E-2</c:v>
                </c:pt>
                <c:pt idx="2">
                  <c:v>-0.10566384459488498</c:v>
                </c:pt>
                <c:pt idx="3">
                  <c:v>-9.5723298641602117E-2</c:v>
                </c:pt>
                <c:pt idx="4">
                  <c:v>-0.11160855382229773</c:v>
                </c:pt>
                <c:pt idx="5">
                  <c:v>-0.26572953374927533</c:v>
                </c:pt>
                <c:pt idx="6">
                  <c:v>-0.34131261685789971</c:v>
                </c:pt>
                <c:pt idx="7">
                  <c:v>-0.34880474757937519</c:v>
                </c:pt>
                <c:pt idx="8">
                  <c:v>-0.29352945664466468</c:v>
                </c:pt>
                <c:pt idx="9">
                  <c:v>-0.2625472077893316</c:v>
                </c:pt>
                <c:pt idx="10">
                  <c:v>-0.15783111112745907</c:v>
                </c:pt>
                <c:pt idx="11">
                  <c:v>-7.4223189508867637E-2</c:v>
                </c:pt>
                <c:pt idx="12">
                  <c:v>-5.4364512115627761E-3</c:v>
                </c:pt>
                <c:pt idx="13">
                  <c:v>5.7602203808309937E-2</c:v>
                </c:pt>
              </c:numCache>
            </c:numRef>
          </c:yVal>
          <c:smooth val="0"/>
        </c:ser>
        <c:ser>
          <c:idx val="1"/>
          <c:order val="1"/>
          <c:tx>
            <c:v>UF/Cam Mkt-Est Diff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Informe3!$N$48:$N$61</c:f>
              <c:numCache>
                <c:formatCode>#,##0.00\ "YR"</c:formatCode>
                <c:ptCount val="14"/>
                <c:pt idx="0">
                  <c:v>8.3333333333333329E-2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 formatCode="#\ &quot;YR&quot;">
                  <c:v>1</c:v>
                </c:pt>
                <c:pt idx="5" formatCode="#\ &quot;YR&quot;">
                  <c:v>2</c:v>
                </c:pt>
                <c:pt idx="6" formatCode="#\ &quot;YR&quot;">
                  <c:v>3</c:v>
                </c:pt>
                <c:pt idx="7" formatCode="#\ &quot;YR&quot;">
                  <c:v>4</c:v>
                </c:pt>
                <c:pt idx="8" formatCode="#\ &quot;YR&quot;">
                  <c:v>5</c:v>
                </c:pt>
                <c:pt idx="9" formatCode="#\ &quot;YR&quot;">
                  <c:v>6</c:v>
                </c:pt>
                <c:pt idx="10" formatCode="#\ &quot;YR&quot;">
                  <c:v>7</c:v>
                </c:pt>
                <c:pt idx="11" formatCode="#\ &quot;YR&quot;">
                  <c:v>8</c:v>
                </c:pt>
                <c:pt idx="12" formatCode="#\ &quot;YR&quot;">
                  <c:v>9</c:v>
                </c:pt>
                <c:pt idx="13" formatCode="#\ &quot;YR&quot;">
                  <c:v>10</c:v>
                </c:pt>
              </c:numCache>
            </c:numRef>
          </c:xVal>
          <c:yVal>
            <c:numRef>
              <c:f>Informe3!$O$48:$O$61</c:f>
              <c:numCache>
                <c:formatCode>_(* #,##0.00_);_(* \(#,##0.00\);_(* "-"??_);_(@_)</c:formatCode>
                <c:ptCount val="14"/>
                <c:pt idx="0">
                  <c:v>1.0383250229330621</c:v>
                </c:pt>
                <c:pt idx="1">
                  <c:v>1.5471528870480489</c:v>
                </c:pt>
                <c:pt idx="2">
                  <c:v>0.81633462746522945</c:v>
                </c:pt>
                <c:pt idx="3">
                  <c:v>0.53835675547023509</c:v>
                </c:pt>
                <c:pt idx="4">
                  <c:v>0.36209811567177175</c:v>
                </c:pt>
                <c:pt idx="5">
                  <c:v>2.0491887071914738E-2</c:v>
                </c:pt>
                <c:pt idx="6">
                  <c:v>-0.17389142398869983</c:v>
                </c:pt>
                <c:pt idx="7">
                  <c:v>-0.19919770408792048</c:v>
                </c:pt>
                <c:pt idx="8">
                  <c:v>-0.15060407117439545</c:v>
                </c:pt>
                <c:pt idx="9">
                  <c:v>-0.12346833830841974</c:v>
                </c:pt>
                <c:pt idx="10">
                  <c:v>-7.5444840240818767E-2</c:v>
                </c:pt>
                <c:pt idx="11">
                  <c:v>-1.8035662226404181E-2</c:v>
                </c:pt>
                <c:pt idx="12">
                  <c:v>4.5985568231255769E-2</c:v>
                </c:pt>
                <c:pt idx="13">
                  <c:v>9.3720792553213972E-2</c:v>
                </c:pt>
              </c:numCache>
            </c:numRef>
          </c:yVal>
          <c:smooth val="0"/>
        </c:ser>
        <c:ser>
          <c:idx val="3"/>
          <c:order val="2"/>
          <c:tx>
            <c:v>BEI Mkt-Est Diff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Informe3!$N$65:$N$78</c:f>
              <c:numCache>
                <c:formatCode>#,##0.00\ "YR"</c:formatCode>
                <c:ptCount val="14"/>
                <c:pt idx="0">
                  <c:v>8.3333333333333329E-2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 formatCode="#\ &quot;YR&quot;">
                  <c:v>1</c:v>
                </c:pt>
                <c:pt idx="5" formatCode="#\ &quot;YR&quot;">
                  <c:v>2</c:v>
                </c:pt>
                <c:pt idx="6" formatCode="#\ &quot;YR&quot;">
                  <c:v>3</c:v>
                </c:pt>
                <c:pt idx="7" formatCode="#\ &quot;YR&quot;">
                  <c:v>4</c:v>
                </c:pt>
                <c:pt idx="8" formatCode="#\ &quot;YR&quot;">
                  <c:v>5</c:v>
                </c:pt>
                <c:pt idx="9" formatCode="#\ &quot;YR&quot;">
                  <c:v>6</c:v>
                </c:pt>
                <c:pt idx="10" formatCode="#\ &quot;YR&quot;">
                  <c:v>7</c:v>
                </c:pt>
                <c:pt idx="11" formatCode="#\ &quot;YR&quot;">
                  <c:v>8</c:v>
                </c:pt>
                <c:pt idx="12" formatCode="#\ &quot;YR&quot;">
                  <c:v>9</c:v>
                </c:pt>
                <c:pt idx="13" formatCode="#\ &quot;YR&quot;">
                  <c:v>10</c:v>
                </c:pt>
              </c:numCache>
            </c:numRef>
          </c:xVal>
          <c:yVal>
            <c:numRef>
              <c:f>Informe3!$O$65:$O$78</c:f>
              <c:numCache>
                <c:formatCode>_(* #,##0.00_);_(* \(#,##0.00\);_(* "-"??_);_(@_)</c:formatCode>
                <c:ptCount val="14"/>
                <c:pt idx="0">
                  <c:v>-1.0464681619290643</c:v>
                </c:pt>
                <c:pt idx="1">
                  <c:v>-1.5724246977211149</c:v>
                </c:pt>
                <c:pt idx="2">
                  <c:v>-0.92199847206011443</c:v>
                </c:pt>
                <c:pt idx="3">
                  <c:v>-0.63408005411183721</c:v>
                </c:pt>
                <c:pt idx="4">
                  <c:v>-0.47370666949406948</c:v>
                </c:pt>
                <c:pt idx="5">
                  <c:v>-0.28622142082119018</c:v>
                </c:pt>
                <c:pt idx="6">
                  <c:v>-0.16742119286920021</c:v>
                </c:pt>
                <c:pt idx="7">
                  <c:v>-0.14960704349145448</c:v>
                </c:pt>
                <c:pt idx="8">
                  <c:v>-0.14292538547026945</c:v>
                </c:pt>
                <c:pt idx="9">
                  <c:v>-0.13907886948091175</c:v>
                </c:pt>
                <c:pt idx="10">
                  <c:v>-8.2386270886640744E-2</c:v>
                </c:pt>
                <c:pt idx="11">
                  <c:v>-5.6187527282463456E-2</c:v>
                </c:pt>
                <c:pt idx="12">
                  <c:v>-5.1422019442818545E-2</c:v>
                </c:pt>
                <c:pt idx="13">
                  <c:v>-3.6118588744904034E-2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779392"/>
        <c:axId val="388779968"/>
      </c:scatterChart>
      <c:valAx>
        <c:axId val="388779392"/>
        <c:scaling>
          <c:orientation val="minMax"/>
          <c:max val="10"/>
          <c:min val="0.1"/>
        </c:scaling>
        <c:delete val="0"/>
        <c:axPos val="b"/>
        <c:numFmt formatCode="#\ &quot;YR&quot;" sourceLinked="0"/>
        <c:majorTickMark val="out"/>
        <c:minorTickMark val="none"/>
        <c:tickLblPos val="low"/>
        <c:crossAx val="388779968"/>
        <c:crosses val="autoZero"/>
        <c:crossBetween val="midCat"/>
      </c:valAx>
      <c:valAx>
        <c:axId val="388779968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_-* #,##0.0_-;\-* #,##0.0_-;_-* &quot;-&quot;?_-;_-@_-" sourceLinked="0"/>
        <c:majorTickMark val="out"/>
        <c:minorTickMark val="none"/>
        <c:tickLblPos val="nextTo"/>
        <c:crossAx val="38877939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967279573451261E-2"/>
          <c:y val="3.2642457418981294E-2"/>
          <c:w val="0.91503534983242685"/>
          <c:h val="0.74375710281695784"/>
        </c:manualLayout>
      </c:layout>
      <c:lineChart>
        <c:grouping val="standard"/>
        <c:varyColors val="0"/>
        <c:ser>
          <c:idx val="5"/>
          <c:order val="0"/>
          <c:tx>
            <c:strRef>
              <c:f>SimulaSwapCL!$Q$31</c:f>
              <c:strCache>
                <c:ptCount val="1"/>
                <c:pt idx="0">
                  <c:v>0/0/0/0/0/0/0/0/0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noFill/>
              <a:ln w="15875">
                <a:solidFill>
                  <a:schemeClr val="tx2">
                    <a:lumMod val="75000"/>
                  </a:schemeClr>
                </a:solidFill>
              </a:ln>
            </c:spPr>
          </c:marker>
          <c:cat>
            <c:strRef>
              <c:f>SimulaSwapCL!$R$30:$W$30</c:f>
              <c:strCache>
                <c:ptCount val="6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</c:strCache>
            </c:strRef>
          </c:cat>
          <c:val>
            <c:numRef>
              <c:f>SimulaSwapCL!$R$31:$W$31</c:f>
              <c:numCache>
                <c:formatCode>0.00</c:formatCode>
                <c:ptCount val="6"/>
                <c:pt idx="0">
                  <c:v>3.5165561564101071</c:v>
                </c:pt>
                <c:pt idx="1">
                  <c:v>3.5318375811638134</c:v>
                </c:pt>
                <c:pt idx="2">
                  <c:v>3.5477273048621787</c:v>
                </c:pt>
                <c:pt idx="3">
                  <c:v>3.5637122100997911</c:v>
                </c:pt>
                <c:pt idx="4">
                  <c:v>3.6765983126052393</c:v>
                </c:pt>
                <c:pt idx="5">
                  <c:v>3.7127397720755795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SimulaSwapCL!$Q$32</c:f>
              <c:strCache>
                <c:ptCount val="1"/>
                <c:pt idx="0">
                  <c:v>0/0/0/0/0/0/0/0/-25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noFill/>
              <a:ln w="15875"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SimulaSwapCL!$R$30:$W$30</c:f>
              <c:strCache>
                <c:ptCount val="6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</c:strCache>
            </c:strRef>
          </c:cat>
          <c:val>
            <c:numRef>
              <c:f>SimulaSwapCL!$R$32:$W$32</c:f>
              <c:numCache>
                <c:formatCode>0.00</c:formatCode>
                <c:ptCount val="6"/>
                <c:pt idx="0">
                  <c:v>3.5165561564101071</c:v>
                </c:pt>
                <c:pt idx="1">
                  <c:v>3.5318375811638134</c:v>
                </c:pt>
                <c:pt idx="2">
                  <c:v>3.5299964919259108</c:v>
                </c:pt>
                <c:pt idx="3">
                  <c:v>3.4512546580237502</c:v>
                </c:pt>
                <c:pt idx="4">
                  <c:v>3.3456994863567679</c:v>
                </c:pt>
                <c:pt idx="5">
                  <c:v>3.2226328043559516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SimulaSwapCL!$Q$33</c:f>
              <c:strCache>
                <c:ptCount val="1"/>
                <c:pt idx="0">
                  <c:v>0/0/0/-25/0/-25/0/0/0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noFill/>
              <a:ln w="15875">
                <a:solidFill>
                  <a:schemeClr val="accent4">
                    <a:lumMod val="75000"/>
                  </a:schemeClr>
                </a:solidFill>
              </a:ln>
            </c:spPr>
          </c:marker>
          <c:cat>
            <c:strRef>
              <c:f>SimulaSwapCL!$R$30:$W$30</c:f>
              <c:strCache>
                <c:ptCount val="6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</c:strCache>
            </c:strRef>
          </c:cat>
          <c:val>
            <c:numRef>
              <c:f>SimulaSwapCL!$R$33:$W$33</c:f>
              <c:numCache>
                <c:formatCode>0.00</c:formatCode>
                <c:ptCount val="6"/>
                <c:pt idx="0">
                  <c:v>3.5165561564101071</c:v>
                </c:pt>
                <c:pt idx="1">
                  <c:v>3.4021643616047235</c:v>
                </c:pt>
                <c:pt idx="2">
                  <c:v>3.2900151422416712</c:v>
                </c:pt>
                <c:pt idx="3">
                  <c:v>3.239721451079784</c:v>
                </c:pt>
                <c:pt idx="4">
                  <c:v>3.2015005145031439</c:v>
                </c:pt>
                <c:pt idx="5">
                  <c:v>3.1180492455418207</c:v>
                </c:pt>
              </c:numCache>
            </c:numRef>
          </c:val>
          <c:smooth val="0"/>
        </c:ser>
        <c:ser>
          <c:idx val="2"/>
          <c:order val="3"/>
          <c:tx>
            <c:strRef>
              <c:f>SimulaSwapCL!$Q$34</c:f>
              <c:strCache>
                <c:ptCount val="1"/>
                <c:pt idx="0">
                  <c:v>0/0/-25/0/-25/0/0/0/0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noFill/>
              <a:ln w="15875">
                <a:solidFill>
                  <a:schemeClr val="accent1">
                    <a:lumMod val="75000"/>
                  </a:schemeClr>
                </a:solidFill>
              </a:ln>
            </c:spPr>
          </c:marker>
          <c:cat>
            <c:strRef>
              <c:f>SimulaSwapCL!$R$30:$W$30</c:f>
              <c:strCache>
                <c:ptCount val="6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</c:strCache>
            </c:strRef>
          </c:cat>
          <c:val>
            <c:numRef>
              <c:f>SimulaSwapCL!$R$34:$W$34</c:f>
              <c:numCache>
                <c:formatCode>0.00</c:formatCode>
                <c:ptCount val="6"/>
                <c:pt idx="0">
                  <c:v>3.4702052594451884</c:v>
                </c:pt>
                <c:pt idx="1">
                  <c:v>3.3173169780789338</c:v>
                </c:pt>
                <c:pt idx="2">
                  <c:v>3.2328977814969475</c:v>
                </c:pt>
                <c:pt idx="3">
                  <c:v>3.1964922544585526</c:v>
                </c:pt>
                <c:pt idx="4">
                  <c:v>3.1720318282533739</c:v>
                </c:pt>
                <c:pt idx="5">
                  <c:v>3.0966559338088562</c:v>
                </c:pt>
              </c:numCache>
            </c:numRef>
          </c:val>
          <c:smooth val="0"/>
        </c:ser>
        <c:ser>
          <c:idx val="3"/>
          <c:order val="4"/>
          <c:tx>
            <c:strRef>
              <c:f>SimulaSwapCL!$Q$35</c:f>
              <c:strCache>
                <c:ptCount val="1"/>
                <c:pt idx="0">
                  <c:v>0/0/0/0/0/0/0/0/0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</c:spPr>
          </c:marker>
          <c:cat>
            <c:strRef>
              <c:f>SimulaSwapCL!$R$30:$W$30</c:f>
              <c:strCache>
                <c:ptCount val="6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</c:strCache>
            </c:strRef>
          </c:cat>
          <c:val>
            <c:numRef>
              <c:f>SimulaSwapCL!$R$35:$W$35</c:f>
              <c:numCache>
                <c:formatCode>0.00</c:formatCode>
                <c:ptCount val="6"/>
                <c:pt idx="0">
                  <c:v>3.5165561564101071</c:v>
                </c:pt>
                <c:pt idx="1">
                  <c:v>3.5318375811638134</c:v>
                </c:pt>
                <c:pt idx="2">
                  <c:v>3.5477273048621787</c:v>
                </c:pt>
                <c:pt idx="3">
                  <c:v>3.5637122100997911</c:v>
                </c:pt>
                <c:pt idx="4">
                  <c:v>3.5954412085672631</c:v>
                </c:pt>
                <c:pt idx="5">
                  <c:v>3.5306325111486903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SimulaSwapCL!$Q$36</c:f>
              <c:strCache>
                <c:ptCount val="1"/>
                <c:pt idx="0">
                  <c:v>0/0/0/0/0/-25/0/-25/0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noFill/>
              <a:ln w="15875">
                <a:solidFill>
                  <a:schemeClr val="bg2">
                    <a:lumMod val="25000"/>
                  </a:schemeClr>
                </a:solidFill>
              </a:ln>
            </c:spPr>
          </c:marker>
          <c:cat>
            <c:strRef>
              <c:f>SimulaSwapCL!$R$30:$W$30</c:f>
              <c:strCache>
                <c:ptCount val="6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</c:strCache>
            </c:strRef>
          </c:cat>
          <c:val>
            <c:numRef>
              <c:f>SimulaSwapCL!$R$36:$W$36</c:f>
              <c:numCache>
                <c:formatCode>0.00</c:formatCode>
                <c:ptCount val="6"/>
                <c:pt idx="0">
                  <c:v>3.5165561564101071</c:v>
                </c:pt>
                <c:pt idx="1">
                  <c:v>3.5073862653760388</c:v>
                </c:pt>
                <c:pt idx="2">
                  <c:v>3.4006347585216266</c:v>
                </c:pt>
                <c:pt idx="3">
                  <c:v>3.3234437568723201</c:v>
                </c:pt>
                <c:pt idx="4">
                  <c:v>3.2585727377768015</c:v>
                </c:pt>
                <c:pt idx="5">
                  <c:v>3.1594620495097647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SimulaSwapCL!$Q$37</c:f>
              <c:strCache>
                <c:ptCount val="1"/>
                <c:pt idx="0">
                  <c:v>0/0/0/0/0/0/0/0/0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noFill/>
              <a:ln w="15875">
                <a:solidFill>
                  <a:schemeClr val="tx2">
                    <a:lumMod val="75000"/>
                  </a:schemeClr>
                </a:solidFill>
              </a:ln>
            </c:spPr>
          </c:marker>
          <c:val>
            <c:numRef>
              <c:f>SimulaSwapCL!$R$37:$W$37</c:f>
              <c:numCache>
                <c:formatCode>0.00</c:formatCode>
                <c:ptCount val="6"/>
                <c:pt idx="0">
                  <c:v>3.5165561564101071</c:v>
                </c:pt>
                <c:pt idx="1">
                  <c:v>3.5318375811638134</c:v>
                </c:pt>
                <c:pt idx="2">
                  <c:v>3.5477273048621787</c:v>
                </c:pt>
                <c:pt idx="3">
                  <c:v>3.5501307138837701</c:v>
                </c:pt>
                <c:pt idx="4">
                  <c:v>3.4329370155806291</c:v>
                </c:pt>
                <c:pt idx="5">
                  <c:v>3.2858231682842742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SimulaSwapCL!$Q$38</c:f>
              <c:strCache>
                <c:ptCount val="1"/>
                <c:pt idx="0">
                  <c:v>0/0/0/0/0/0/0/0/0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noFill/>
              <a:ln w="15875">
                <a:solidFill>
                  <a:schemeClr val="accent1">
                    <a:lumMod val="75000"/>
                  </a:schemeClr>
                </a:solidFill>
              </a:ln>
            </c:spPr>
          </c:marker>
          <c:val>
            <c:numRef>
              <c:f>SimulaSwapCL!$R$38:$W$38</c:f>
              <c:numCache>
                <c:formatCode>0.00</c:formatCode>
                <c:ptCount val="6"/>
                <c:pt idx="0">
                  <c:v>3.5165561564101071</c:v>
                </c:pt>
                <c:pt idx="1">
                  <c:v>3.5318375811638134</c:v>
                </c:pt>
                <c:pt idx="2">
                  <c:v>3.5477273048621787</c:v>
                </c:pt>
                <c:pt idx="3">
                  <c:v>3.5637122100997911</c:v>
                </c:pt>
                <c:pt idx="4">
                  <c:v>3.5717126230014391</c:v>
                </c:pt>
                <c:pt idx="5">
                  <c:v>3.3901474392692421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SimulaSwapCL!$Q$39</c:f>
              <c:strCache>
                <c:ptCount val="1"/>
                <c:pt idx="0">
                  <c:v>0/0/0/-25/0/-25/0/-25/0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noFill/>
              <a:ln w="15875">
                <a:solidFill>
                  <a:schemeClr val="accent2">
                    <a:lumMod val="75000"/>
                  </a:schemeClr>
                </a:solidFill>
              </a:ln>
            </c:spPr>
          </c:marker>
          <c:val>
            <c:numRef>
              <c:f>SimulaSwapCL!$R$39:$W$39</c:f>
              <c:numCache>
                <c:formatCode>0.00</c:formatCode>
                <c:ptCount val="6"/>
                <c:pt idx="0">
                  <c:v>3.5165561564101071</c:v>
                </c:pt>
                <c:pt idx="1">
                  <c:v>3.4021643616047235</c:v>
                </c:pt>
                <c:pt idx="2">
                  <c:v>3.244684244067392</c:v>
                </c:pt>
                <c:pt idx="3">
                  <c:v>3.1411500069556313</c:v>
                </c:pt>
                <c:pt idx="4">
                  <c:v>3.048289805822098</c:v>
                </c:pt>
                <c:pt idx="5">
                  <c:v>2.9432695560344779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SimulaSwapCL!$Q$40</c:f>
              <c:strCache>
                <c:ptCount val="1"/>
                <c:pt idx="0">
                  <c:v>0/0/0/0/-25/0/-25/0/0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noFill/>
              <a:ln w="15875">
                <a:solidFill>
                  <a:schemeClr val="bg1">
                    <a:lumMod val="65000"/>
                  </a:schemeClr>
                </a:solidFill>
              </a:ln>
            </c:spPr>
          </c:marker>
          <c:val>
            <c:numRef>
              <c:f>SimulaSwapCL!$R$40:$W$40</c:f>
              <c:numCache>
                <c:formatCode>0.00</c:formatCode>
                <c:ptCount val="6"/>
                <c:pt idx="0">
                  <c:v>3.5165561564101071</c:v>
                </c:pt>
                <c:pt idx="1">
                  <c:v>3.464935507500972</c:v>
                </c:pt>
                <c:pt idx="2">
                  <c:v>3.3434697844357557</c:v>
                </c:pt>
                <c:pt idx="3">
                  <c:v>3.2457117361277406</c:v>
                </c:pt>
                <c:pt idx="4">
                  <c:v>3.0389776141813116</c:v>
                </c:pt>
                <c:pt idx="5">
                  <c:v>2.873044523591517</c:v>
                </c:pt>
              </c:numCache>
            </c:numRef>
          </c:val>
          <c:smooth val="0"/>
        </c:ser>
        <c:ser>
          <c:idx val="10"/>
          <c:order val="10"/>
          <c:tx>
            <c:v>Market</c:v>
          </c:tx>
          <c:spPr>
            <a:ln w="28575">
              <a:solidFill>
                <a:schemeClr val="bg1">
                  <a:lumMod val="65000"/>
                </a:schemeClr>
              </a:solidFill>
              <a:prstDash val="sysDot"/>
            </a:ln>
          </c:spPr>
          <c:marker>
            <c:symbol val="diamond"/>
            <c:size val="7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val>
            <c:numRef>
              <c:f>SimulaSwapCL!$B$40:$B$45</c:f>
              <c:numCache>
                <c:formatCode>General</c:formatCode>
                <c:ptCount val="6"/>
                <c:pt idx="0">
                  <c:v>3.49</c:v>
                </c:pt>
                <c:pt idx="1">
                  <c:v>3.39</c:v>
                </c:pt>
                <c:pt idx="2">
                  <c:v>3.36</c:v>
                </c:pt>
                <c:pt idx="3">
                  <c:v>3.33</c:v>
                </c:pt>
                <c:pt idx="4">
                  <c:v>3.29</c:v>
                </c:pt>
                <c:pt idx="5">
                  <c:v>3.24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226688"/>
        <c:axId val="388782272"/>
      </c:lineChart>
      <c:catAx>
        <c:axId val="386226688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crossAx val="388782272"/>
        <c:crosses val="autoZero"/>
        <c:auto val="1"/>
        <c:lblAlgn val="ctr"/>
        <c:lblOffset val="100"/>
        <c:noMultiLvlLbl val="0"/>
      </c:catAx>
      <c:valAx>
        <c:axId val="388782272"/>
        <c:scaling>
          <c:orientation val="minMax"/>
          <c:min val="2.7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minorGridlines>
          <c:spPr>
            <a:ln>
              <a:noFill/>
            </a:ln>
          </c:spPr>
        </c:minorGridlines>
        <c:numFmt formatCode="0.00" sourceLinked="1"/>
        <c:majorTickMark val="none"/>
        <c:minorTickMark val="none"/>
        <c:tickLblPos val="nextTo"/>
        <c:txPr>
          <a:bodyPr/>
          <a:lstStyle/>
          <a:p>
            <a:pPr>
              <a:defRPr sz="1050"/>
            </a:pPr>
            <a:endParaRPr lang="es-CL"/>
          </a:p>
        </c:txPr>
        <c:crossAx val="3862266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5318569341073358E-2"/>
          <c:y val="0.85643032242187855"/>
          <c:w val="0.95417778535306397"/>
          <c:h val="0.12592911038527044"/>
        </c:manualLayout>
      </c:layout>
      <c:overlay val="0"/>
      <c:txPr>
        <a:bodyPr/>
        <a:lstStyle/>
        <a:p>
          <a:pPr>
            <a:defRPr sz="800"/>
          </a:pPr>
          <a:endParaRPr lang="es-CL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900"/>
              <a:t>Swap CLP/Cam 10D</a:t>
            </a:r>
            <a:r>
              <a:rPr lang="en-US" sz="900" baseline="0"/>
              <a:t> Carry &amp; Roll</a:t>
            </a:r>
            <a:endParaRPr lang="en-US" sz="900"/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Informe4!$C$6</c:f>
              <c:strCache>
                <c:ptCount val="1"/>
                <c:pt idx="0">
                  <c:v>Carry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cat>
            <c:numRef>
              <c:f>Informe4!$B$8:$B$20</c:f>
              <c:numCache>
                <c:formatCode>#,##0.00\ "YR"</c:formatCode>
                <c:ptCount val="13"/>
                <c:pt idx="0">
                  <c:v>0.5</c:v>
                </c:pt>
                <c:pt idx="1">
                  <c:v>0.75</c:v>
                </c:pt>
                <c:pt idx="2" formatCode="#\ &quot;YR&quot;">
                  <c:v>1</c:v>
                </c:pt>
                <c:pt idx="3">
                  <c:v>1.5</c:v>
                </c:pt>
                <c:pt idx="4" formatCode="#\ &quot;YR&quot;">
                  <c:v>2</c:v>
                </c:pt>
                <c:pt idx="5" formatCode="#\ &quot;YR&quot;">
                  <c:v>3</c:v>
                </c:pt>
                <c:pt idx="6" formatCode="#\ &quot;YR&quot;">
                  <c:v>4</c:v>
                </c:pt>
                <c:pt idx="7" formatCode="#\ &quot;YR&quot;">
                  <c:v>5</c:v>
                </c:pt>
                <c:pt idx="8" formatCode="#\ &quot;YR&quot;">
                  <c:v>6</c:v>
                </c:pt>
                <c:pt idx="9" formatCode="#\ &quot;YR&quot;">
                  <c:v>7</c:v>
                </c:pt>
                <c:pt idx="10" formatCode="#\ &quot;YR&quot;">
                  <c:v>8</c:v>
                </c:pt>
                <c:pt idx="11" formatCode="#\ &quot;YR&quot;">
                  <c:v>9</c:v>
                </c:pt>
                <c:pt idx="12" formatCode="#\ &quot;YR&quot;">
                  <c:v>10</c:v>
                </c:pt>
              </c:numCache>
            </c:numRef>
          </c:cat>
          <c:val>
            <c:numRef>
              <c:f>Informe4!$E$8:$E$20</c:f>
              <c:numCache>
                <c:formatCode>0.00</c:formatCode>
                <c:ptCount val="13"/>
                <c:pt idx="0">
                  <c:v>-0.79023228826562431</c:v>
                </c:pt>
                <c:pt idx="1">
                  <c:v>-0.69774232085975108</c:v>
                </c:pt>
                <c:pt idx="2">
                  <c:v>-0.64167514760771205</c:v>
                </c:pt>
                <c:pt idx="3">
                  <c:v>-0.54994258642970806</c:v>
                </c:pt>
                <c:pt idx="4">
                  <c:v>-0.40923562117689549</c:v>
                </c:pt>
                <c:pt idx="5">
                  <c:v>-0.18515649709573978</c:v>
                </c:pt>
                <c:pt idx="6">
                  <c:v>-5.0778896522318817E-2</c:v>
                </c:pt>
                <c:pt idx="7">
                  <c:v>3.7030458698161794E-2</c:v>
                </c:pt>
                <c:pt idx="8">
                  <c:v>7.1295983023800247E-2</c:v>
                </c:pt>
                <c:pt idx="9">
                  <c:v>0.11837059162198571</c:v>
                </c:pt>
                <c:pt idx="10">
                  <c:v>0.1429212620391862</c:v>
                </c:pt>
                <c:pt idx="11">
                  <c:v>0.15539706448963742</c:v>
                </c:pt>
                <c:pt idx="12">
                  <c:v>0.16248934291533956</c:v>
                </c:pt>
              </c:numCache>
            </c:numRef>
          </c:val>
        </c:ser>
        <c:ser>
          <c:idx val="1"/>
          <c:order val="1"/>
          <c:tx>
            <c:strRef>
              <c:f>Informe4!$J$6</c:f>
              <c:strCache>
                <c:ptCount val="1"/>
                <c:pt idx="0">
                  <c:v>Roll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cat>
            <c:numRef>
              <c:f>Informe4!$B$8:$B$20</c:f>
              <c:numCache>
                <c:formatCode>#,##0.00\ "YR"</c:formatCode>
                <c:ptCount val="13"/>
                <c:pt idx="0">
                  <c:v>0.5</c:v>
                </c:pt>
                <c:pt idx="1">
                  <c:v>0.75</c:v>
                </c:pt>
                <c:pt idx="2" formatCode="#\ &quot;YR&quot;">
                  <c:v>1</c:v>
                </c:pt>
                <c:pt idx="3">
                  <c:v>1.5</c:v>
                </c:pt>
                <c:pt idx="4" formatCode="#\ &quot;YR&quot;">
                  <c:v>2</c:v>
                </c:pt>
                <c:pt idx="5" formatCode="#\ &quot;YR&quot;">
                  <c:v>3</c:v>
                </c:pt>
                <c:pt idx="6" formatCode="#\ &quot;YR&quot;">
                  <c:v>4</c:v>
                </c:pt>
                <c:pt idx="7" formatCode="#\ &quot;YR&quot;">
                  <c:v>5</c:v>
                </c:pt>
                <c:pt idx="8" formatCode="#\ &quot;YR&quot;">
                  <c:v>6</c:v>
                </c:pt>
                <c:pt idx="9" formatCode="#\ &quot;YR&quot;">
                  <c:v>7</c:v>
                </c:pt>
                <c:pt idx="10" formatCode="#\ &quot;YR&quot;">
                  <c:v>8</c:v>
                </c:pt>
                <c:pt idx="11" formatCode="#\ &quot;YR&quot;">
                  <c:v>9</c:v>
                </c:pt>
                <c:pt idx="12" formatCode="#\ &quot;YR&quot;">
                  <c:v>10</c:v>
                </c:pt>
              </c:numCache>
            </c:numRef>
          </c:cat>
          <c:val>
            <c:numRef>
              <c:f>Informe4!$L$8:$L$20</c:f>
              <c:numCache>
                <c:formatCode>0.00</c:formatCode>
                <c:ptCount val="13"/>
                <c:pt idx="0">
                  <c:v>-1.314116980410418</c:v>
                </c:pt>
                <c:pt idx="1">
                  <c:v>-0.48888547156988871</c:v>
                </c:pt>
                <c:pt idx="2">
                  <c:v>-0.48149940804074198</c:v>
                </c:pt>
                <c:pt idx="3">
                  <c:v>-0.36770325800290493</c:v>
                </c:pt>
                <c:pt idx="4">
                  <c:v>1.3595796111909308E-2</c:v>
                </c:pt>
                <c:pt idx="5">
                  <c:v>0.26156749925498879</c:v>
                </c:pt>
                <c:pt idx="6">
                  <c:v>0.35060384584979509</c:v>
                </c:pt>
                <c:pt idx="7">
                  <c:v>0.38656403632115754</c:v>
                </c:pt>
                <c:pt idx="8">
                  <c:v>0.23858656108917131</c:v>
                </c:pt>
                <c:pt idx="9">
                  <c:v>0.40177806971102292</c:v>
                </c:pt>
                <c:pt idx="10">
                  <c:v>0.31128467779972802</c:v>
                </c:pt>
                <c:pt idx="11">
                  <c:v>0.25244149431413732</c:v>
                </c:pt>
                <c:pt idx="12">
                  <c:v>0.22431819909094486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87822592"/>
        <c:axId val="59680448"/>
      </c:barChart>
      <c:catAx>
        <c:axId val="387822592"/>
        <c:scaling>
          <c:orientation val="minMax"/>
        </c:scaling>
        <c:delete val="0"/>
        <c:axPos val="b"/>
        <c:numFmt formatCode="#,##0.00\ &quot;YR&quot;" sourceLinked="1"/>
        <c:majorTickMark val="out"/>
        <c:minorTickMark val="none"/>
        <c:tickLblPos val="low"/>
        <c:txPr>
          <a:bodyPr/>
          <a:lstStyle/>
          <a:p>
            <a:pPr>
              <a:defRPr sz="600"/>
            </a:pPr>
            <a:endParaRPr lang="es-CL"/>
          </a:p>
        </c:txPr>
        <c:crossAx val="59680448"/>
        <c:crosses val="autoZero"/>
        <c:auto val="1"/>
        <c:lblAlgn val="ctr"/>
        <c:lblOffset val="100"/>
        <c:noMultiLvlLbl val="0"/>
      </c:catAx>
      <c:valAx>
        <c:axId val="59680448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s-CL"/>
          </a:p>
        </c:txPr>
        <c:crossAx val="387822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4899499589276484"/>
          <c:y val="0.10803569360703449"/>
          <c:w val="0.11644062284250345"/>
          <c:h val="0.25853202487439153"/>
        </c:manualLayout>
      </c:layout>
      <c:overlay val="1"/>
      <c:txPr>
        <a:bodyPr/>
        <a:lstStyle/>
        <a:p>
          <a:pPr>
            <a:defRPr sz="900"/>
          </a:pPr>
          <a:endParaRPr lang="es-CL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900"/>
              <a:t>Swap CLP/Cam 1MO</a:t>
            </a:r>
            <a:r>
              <a:rPr lang="en-US" sz="900" baseline="0"/>
              <a:t> Carry &amp; Roll</a:t>
            </a:r>
            <a:endParaRPr lang="en-US" sz="9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7927490392433402E-2"/>
          <c:y val="0.22990755438913626"/>
          <c:w val="0.87400736343958518"/>
          <c:h val="0.639241856016676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Informe4!$C$6</c:f>
              <c:strCache>
                <c:ptCount val="1"/>
                <c:pt idx="0">
                  <c:v>Carry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cat>
            <c:numRef>
              <c:f>Informe4!$B$8:$B$20</c:f>
              <c:numCache>
                <c:formatCode>#,##0.00\ "YR"</c:formatCode>
                <c:ptCount val="13"/>
                <c:pt idx="0">
                  <c:v>0.5</c:v>
                </c:pt>
                <c:pt idx="1">
                  <c:v>0.75</c:v>
                </c:pt>
                <c:pt idx="2" formatCode="#\ &quot;YR&quot;">
                  <c:v>1</c:v>
                </c:pt>
                <c:pt idx="3">
                  <c:v>1.5</c:v>
                </c:pt>
                <c:pt idx="4" formatCode="#\ &quot;YR&quot;">
                  <c:v>2</c:v>
                </c:pt>
                <c:pt idx="5" formatCode="#\ &quot;YR&quot;">
                  <c:v>3</c:v>
                </c:pt>
                <c:pt idx="6" formatCode="#\ &quot;YR&quot;">
                  <c:v>4</c:v>
                </c:pt>
                <c:pt idx="7" formatCode="#\ &quot;YR&quot;">
                  <c:v>5</c:v>
                </c:pt>
                <c:pt idx="8" formatCode="#\ &quot;YR&quot;">
                  <c:v>6</c:v>
                </c:pt>
                <c:pt idx="9" formatCode="#\ &quot;YR&quot;">
                  <c:v>7</c:v>
                </c:pt>
                <c:pt idx="10" formatCode="#\ &quot;YR&quot;">
                  <c:v>8</c:v>
                </c:pt>
                <c:pt idx="11" formatCode="#\ &quot;YR&quot;">
                  <c:v>9</c:v>
                </c:pt>
                <c:pt idx="12" formatCode="#\ &quot;YR&quot;">
                  <c:v>10</c:v>
                </c:pt>
              </c:numCache>
            </c:numRef>
          </c:cat>
          <c:val>
            <c:numRef>
              <c:f>Informe4!$G$8:$G$20</c:f>
              <c:numCache>
                <c:formatCode>0.00</c:formatCode>
                <c:ptCount val="13"/>
                <c:pt idx="0">
                  <c:v>-2.5710554225398141</c:v>
                </c:pt>
                <c:pt idx="1">
                  <c:v>-2.1958237055163199</c:v>
                </c:pt>
                <c:pt idx="2">
                  <c:v>-1.9896413293560844</c:v>
                </c:pt>
                <c:pt idx="3">
                  <c:v>-1.6810339108697114</c:v>
                </c:pt>
                <c:pt idx="4">
                  <c:v>-1.238734458632651</c:v>
                </c:pt>
                <c:pt idx="5">
                  <c:v>-0.55010196323159732</c:v>
                </c:pt>
                <c:pt idx="6">
                  <c:v>-0.14269299834084315</c:v>
                </c:pt>
                <c:pt idx="7">
                  <c:v>0.12172202353042394</c:v>
                </c:pt>
                <c:pt idx="8">
                  <c:v>0.2236819141219204</c:v>
                </c:pt>
                <c:pt idx="9">
                  <c:v>0.36462089048514557</c:v>
                </c:pt>
                <c:pt idx="10">
                  <c:v>0.43759048878722062</c:v>
                </c:pt>
                <c:pt idx="11">
                  <c:v>0.47426447341347711</c:v>
                </c:pt>
                <c:pt idx="12">
                  <c:v>0.49484989566144222</c:v>
                </c:pt>
              </c:numCache>
            </c:numRef>
          </c:val>
        </c:ser>
        <c:ser>
          <c:idx val="1"/>
          <c:order val="1"/>
          <c:tx>
            <c:strRef>
              <c:f>Informe4!$J$6</c:f>
              <c:strCache>
                <c:ptCount val="1"/>
                <c:pt idx="0">
                  <c:v>Roll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cat>
            <c:numRef>
              <c:f>Informe4!$B$8:$B$20</c:f>
              <c:numCache>
                <c:formatCode>#,##0.00\ "YR"</c:formatCode>
                <c:ptCount val="13"/>
                <c:pt idx="0">
                  <c:v>0.5</c:v>
                </c:pt>
                <c:pt idx="1">
                  <c:v>0.75</c:v>
                </c:pt>
                <c:pt idx="2" formatCode="#\ &quot;YR&quot;">
                  <c:v>1</c:v>
                </c:pt>
                <c:pt idx="3">
                  <c:v>1.5</c:v>
                </c:pt>
                <c:pt idx="4" formatCode="#\ &quot;YR&quot;">
                  <c:v>2</c:v>
                </c:pt>
                <c:pt idx="5" formatCode="#\ &quot;YR&quot;">
                  <c:v>3</c:v>
                </c:pt>
                <c:pt idx="6" formatCode="#\ &quot;YR&quot;">
                  <c:v>4</c:v>
                </c:pt>
                <c:pt idx="7" formatCode="#\ &quot;YR&quot;">
                  <c:v>5</c:v>
                </c:pt>
                <c:pt idx="8" formatCode="#\ &quot;YR&quot;">
                  <c:v>6</c:v>
                </c:pt>
                <c:pt idx="9" formatCode="#\ &quot;YR&quot;">
                  <c:v>7</c:v>
                </c:pt>
                <c:pt idx="10" formatCode="#\ &quot;YR&quot;">
                  <c:v>8</c:v>
                </c:pt>
                <c:pt idx="11" formatCode="#\ &quot;YR&quot;">
                  <c:v>9</c:v>
                </c:pt>
                <c:pt idx="12" formatCode="#\ &quot;YR&quot;">
                  <c:v>10</c:v>
                </c:pt>
              </c:numCache>
            </c:numRef>
          </c:cat>
          <c:val>
            <c:numRef>
              <c:f>Informe4!$N$8:$N$20</c:f>
              <c:numCache>
                <c:formatCode>0.00</c:formatCode>
                <c:ptCount val="13"/>
                <c:pt idx="0">
                  <c:v>-3.9423509412313429</c:v>
                </c:pt>
                <c:pt idx="1">
                  <c:v>-1.4666564147097549</c:v>
                </c:pt>
                <c:pt idx="2">
                  <c:v>-1.4444982241222704</c:v>
                </c:pt>
                <c:pt idx="3">
                  <c:v>-1.1031097740087592</c:v>
                </c:pt>
                <c:pt idx="4">
                  <c:v>4.0787388335683517E-2</c:v>
                </c:pt>
                <c:pt idx="5">
                  <c:v>0.78470249776496637</c:v>
                </c:pt>
                <c:pt idx="6">
                  <c:v>1.0518115375493853</c:v>
                </c:pt>
                <c:pt idx="7">
                  <c:v>1.1596921089634726</c:v>
                </c:pt>
                <c:pt idx="8">
                  <c:v>0.71575968326755834</c:v>
                </c:pt>
                <c:pt idx="9">
                  <c:v>1.2053342091330688</c:v>
                </c:pt>
                <c:pt idx="10">
                  <c:v>0.93385403339922846</c:v>
                </c:pt>
                <c:pt idx="11">
                  <c:v>0.75732448294250077</c:v>
                </c:pt>
                <c:pt idx="12">
                  <c:v>0.67295459727274576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87824640"/>
        <c:axId val="59682752"/>
      </c:barChart>
      <c:catAx>
        <c:axId val="387824640"/>
        <c:scaling>
          <c:orientation val="minMax"/>
        </c:scaling>
        <c:delete val="0"/>
        <c:axPos val="b"/>
        <c:numFmt formatCode="#,##0.00\ &quot;YR&quot;" sourceLinked="1"/>
        <c:majorTickMark val="out"/>
        <c:minorTickMark val="none"/>
        <c:tickLblPos val="low"/>
        <c:txPr>
          <a:bodyPr/>
          <a:lstStyle/>
          <a:p>
            <a:pPr>
              <a:defRPr sz="600"/>
            </a:pPr>
            <a:endParaRPr lang="es-CL"/>
          </a:p>
        </c:txPr>
        <c:crossAx val="59682752"/>
        <c:crosses val="autoZero"/>
        <c:auto val="1"/>
        <c:lblAlgn val="ctr"/>
        <c:lblOffset val="100"/>
        <c:noMultiLvlLbl val="0"/>
      </c:catAx>
      <c:valAx>
        <c:axId val="59682752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s-CL"/>
          </a:p>
        </c:txPr>
        <c:crossAx val="387824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4899499589276484"/>
          <c:y val="0.10803569360703449"/>
          <c:w val="0.1217833070081856"/>
          <c:h val="0.22910906129683503"/>
        </c:manualLayout>
      </c:layout>
      <c:overlay val="1"/>
      <c:txPr>
        <a:bodyPr/>
        <a:lstStyle/>
        <a:p>
          <a:pPr>
            <a:defRPr sz="900"/>
          </a:pPr>
          <a:endParaRPr lang="es-CL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900"/>
              <a:t>Swap CLP/Cam 2MO</a:t>
            </a:r>
            <a:r>
              <a:rPr lang="en-US" sz="900" baseline="0"/>
              <a:t> Carry &amp; Roll</a:t>
            </a:r>
            <a:endParaRPr lang="en-US" sz="900"/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Informe4!$C$6</c:f>
              <c:strCache>
                <c:ptCount val="1"/>
                <c:pt idx="0">
                  <c:v>Carry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cat>
            <c:numRef>
              <c:f>Informe4!$B$8:$B$20</c:f>
              <c:numCache>
                <c:formatCode>#,##0.00\ "YR"</c:formatCode>
                <c:ptCount val="13"/>
                <c:pt idx="0">
                  <c:v>0.5</c:v>
                </c:pt>
                <c:pt idx="1">
                  <c:v>0.75</c:v>
                </c:pt>
                <c:pt idx="2" formatCode="#\ &quot;YR&quot;">
                  <c:v>1</c:v>
                </c:pt>
                <c:pt idx="3">
                  <c:v>1.5</c:v>
                </c:pt>
                <c:pt idx="4" formatCode="#\ &quot;YR&quot;">
                  <c:v>2</c:v>
                </c:pt>
                <c:pt idx="5" formatCode="#\ &quot;YR&quot;">
                  <c:v>3</c:v>
                </c:pt>
                <c:pt idx="6" formatCode="#\ &quot;YR&quot;">
                  <c:v>4</c:v>
                </c:pt>
                <c:pt idx="7" formatCode="#\ &quot;YR&quot;">
                  <c:v>5</c:v>
                </c:pt>
                <c:pt idx="8" formatCode="#\ &quot;YR&quot;">
                  <c:v>6</c:v>
                </c:pt>
                <c:pt idx="9" formatCode="#\ &quot;YR&quot;">
                  <c:v>7</c:v>
                </c:pt>
                <c:pt idx="10" formatCode="#\ &quot;YR&quot;">
                  <c:v>8</c:v>
                </c:pt>
                <c:pt idx="11" formatCode="#\ &quot;YR&quot;">
                  <c:v>9</c:v>
                </c:pt>
                <c:pt idx="12" formatCode="#\ &quot;YR&quot;">
                  <c:v>10</c:v>
                </c:pt>
              </c:numCache>
            </c:numRef>
          </c:cat>
          <c:val>
            <c:numRef>
              <c:f>Informe4!$H$8:$H$20</c:f>
              <c:numCache>
                <c:formatCode>0.00</c:formatCode>
                <c:ptCount val="13"/>
                <c:pt idx="0">
                  <c:v>-5.9883681425086266</c:v>
                </c:pt>
                <c:pt idx="1">
                  <c:v>-4.7713862585340383</c:v>
                </c:pt>
                <c:pt idx="2">
                  <c:v>-4.2048850155416151</c:v>
                </c:pt>
                <c:pt idx="3">
                  <c:v>-3.4652806004609182</c:v>
                </c:pt>
                <c:pt idx="4">
                  <c:v>-2.5130193608988716</c:v>
                </c:pt>
                <c:pt idx="5">
                  <c:v>-1.0833230304520214</c:v>
                </c:pt>
                <c:pt idx="6">
                  <c:v>-0.25541993541016161</c:v>
                </c:pt>
                <c:pt idx="7">
                  <c:v>0.27624204558582832</c:v>
                </c:pt>
                <c:pt idx="8">
                  <c:v>0.47743806635280883</c:v>
                </c:pt>
                <c:pt idx="9">
                  <c:v>0.75834368641789496</c:v>
                </c:pt>
                <c:pt idx="10">
                  <c:v>0.90212683331380994</c:v>
                </c:pt>
                <c:pt idx="11">
                  <c:v>0.97312692002970991</c:v>
                </c:pt>
                <c:pt idx="12">
                  <c:v>1.0121562628507164</c:v>
                </c:pt>
              </c:numCache>
            </c:numRef>
          </c:val>
        </c:ser>
        <c:ser>
          <c:idx val="1"/>
          <c:order val="1"/>
          <c:tx>
            <c:strRef>
              <c:f>Informe4!$J$6</c:f>
              <c:strCache>
                <c:ptCount val="1"/>
                <c:pt idx="0">
                  <c:v>Roll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cat>
            <c:numRef>
              <c:f>Informe4!$B$8:$B$20</c:f>
              <c:numCache>
                <c:formatCode>#,##0.00\ "YR"</c:formatCode>
                <c:ptCount val="13"/>
                <c:pt idx="0">
                  <c:v>0.5</c:v>
                </c:pt>
                <c:pt idx="1">
                  <c:v>0.75</c:v>
                </c:pt>
                <c:pt idx="2" formatCode="#\ &quot;YR&quot;">
                  <c:v>1</c:v>
                </c:pt>
                <c:pt idx="3">
                  <c:v>1.5</c:v>
                </c:pt>
                <c:pt idx="4" formatCode="#\ &quot;YR&quot;">
                  <c:v>2</c:v>
                </c:pt>
                <c:pt idx="5" formatCode="#\ &quot;YR&quot;">
                  <c:v>3</c:v>
                </c:pt>
                <c:pt idx="6" formatCode="#\ &quot;YR&quot;">
                  <c:v>4</c:v>
                </c:pt>
                <c:pt idx="7" formatCode="#\ &quot;YR&quot;">
                  <c:v>5</c:v>
                </c:pt>
                <c:pt idx="8" formatCode="#\ &quot;YR&quot;">
                  <c:v>6</c:v>
                </c:pt>
                <c:pt idx="9" formatCode="#\ &quot;YR&quot;">
                  <c:v>7</c:v>
                </c:pt>
                <c:pt idx="10" formatCode="#\ &quot;YR&quot;">
                  <c:v>8</c:v>
                </c:pt>
                <c:pt idx="11" formatCode="#\ &quot;YR&quot;">
                  <c:v>9</c:v>
                </c:pt>
                <c:pt idx="12" formatCode="#\ &quot;YR&quot;">
                  <c:v>10</c:v>
                </c:pt>
              </c:numCache>
            </c:numRef>
          </c:cat>
          <c:val>
            <c:numRef>
              <c:f>Informe4!$O$8:$O$20</c:f>
              <c:numCache>
                <c:formatCode>0.00</c:formatCode>
                <c:ptCount val="13"/>
                <c:pt idx="0">
                  <c:v>-7.8847018824626858</c:v>
                </c:pt>
                <c:pt idx="1">
                  <c:v>-2.9333128294195099</c:v>
                </c:pt>
                <c:pt idx="2">
                  <c:v>-2.8889964482445851</c:v>
                </c:pt>
                <c:pt idx="3">
                  <c:v>-2.2062195480175184</c:v>
                </c:pt>
                <c:pt idx="4">
                  <c:v>8.1574776671322624E-2</c:v>
                </c:pt>
                <c:pt idx="5">
                  <c:v>1.5694049955299327</c:v>
                </c:pt>
                <c:pt idx="6">
                  <c:v>2.1036230750987706</c:v>
                </c:pt>
                <c:pt idx="7">
                  <c:v>2.3193842179269453</c:v>
                </c:pt>
                <c:pt idx="8">
                  <c:v>1.4315193665351167</c:v>
                </c:pt>
                <c:pt idx="9">
                  <c:v>2.4106684182661819</c:v>
                </c:pt>
                <c:pt idx="10">
                  <c:v>1.8677080667984125</c:v>
                </c:pt>
                <c:pt idx="11">
                  <c:v>1.5146489658850903</c:v>
                </c:pt>
                <c:pt idx="12">
                  <c:v>1.3459091945454027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87825152"/>
        <c:axId val="59685056"/>
      </c:barChart>
      <c:catAx>
        <c:axId val="387825152"/>
        <c:scaling>
          <c:orientation val="minMax"/>
        </c:scaling>
        <c:delete val="0"/>
        <c:axPos val="b"/>
        <c:numFmt formatCode="#,##0.00\ &quot;YR&quot;" sourceLinked="1"/>
        <c:majorTickMark val="out"/>
        <c:minorTickMark val="none"/>
        <c:tickLblPos val="low"/>
        <c:txPr>
          <a:bodyPr/>
          <a:lstStyle/>
          <a:p>
            <a:pPr>
              <a:defRPr sz="600"/>
            </a:pPr>
            <a:endParaRPr lang="es-CL"/>
          </a:p>
        </c:txPr>
        <c:crossAx val="59685056"/>
        <c:crosses val="autoZero"/>
        <c:auto val="1"/>
        <c:lblAlgn val="ctr"/>
        <c:lblOffset val="100"/>
        <c:noMultiLvlLbl val="0"/>
      </c:catAx>
      <c:valAx>
        <c:axId val="59685056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s-CL"/>
          </a:p>
        </c:txPr>
        <c:crossAx val="3878251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4899499589276484"/>
          <c:y val="0.10803569360703449"/>
          <c:w val="0.1217833070081856"/>
          <c:h val="0.22910906129683503"/>
        </c:manualLayout>
      </c:layout>
      <c:overlay val="1"/>
      <c:txPr>
        <a:bodyPr/>
        <a:lstStyle/>
        <a:p>
          <a:pPr>
            <a:defRPr sz="900"/>
          </a:pPr>
          <a:endParaRPr lang="es-CL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900"/>
              <a:t>Swap CLP/Cam 10D</a:t>
            </a:r>
            <a:r>
              <a:rPr lang="en-US" sz="900" baseline="0"/>
              <a:t> Carry &amp; Roll</a:t>
            </a:r>
            <a:endParaRPr lang="en-US" sz="900"/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Informe4!$C$6</c:f>
              <c:strCache>
                <c:ptCount val="1"/>
                <c:pt idx="0">
                  <c:v>Carry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cat>
            <c:numRef>
              <c:f>Informe4!$B$34:$B$46</c:f>
              <c:numCache>
                <c:formatCode>#,##0.00\ "YR"</c:formatCode>
                <c:ptCount val="13"/>
                <c:pt idx="0">
                  <c:v>0.5</c:v>
                </c:pt>
                <c:pt idx="1">
                  <c:v>0.75</c:v>
                </c:pt>
                <c:pt idx="2" formatCode="#\ &quot;YR&quot;">
                  <c:v>1</c:v>
                </c:pt>
                <c:pt idx="3">
                  <c:v>1.5</c:v>
                </c:pt>
                <c:pt idx="4" formatCode="#\ &quot;YR&quot;">
                  <c:v>2</c:v>
                </c:pt>
                <c:pt idx="5" formatCode="#\ &quot;YR&quot;">
                  <c:v>3</c:v>
                </c:pt>
                <c:pt idx="6" formatCode="#\ &quot;YR&quot;">
                  <c:v>4</c:v>
                </c:pt>
                <c:pt idx="7" formatCode="#\ &quot;YR&quot;">
                  <c:v>5</c:v>
                </c:pt>
                <c:pt idx="8" formatCode="#\ &quot;YR&quot;">
                  <c:v>6</c:v>
                </c:pt>
                <c:pt idx="9" formatCode="#\ &quot;YR&quot;">
                  <c:v>7</c:v>
                </c:pt>
                <c:pt idx="10" formatCode="#\ &quot;YR&quot;">
                  <c:v>8</c:v>
                </c:pt>
                <c:pt idx="11" formatCode="#\ &quot;YR&quot;">
                  <c:v>9</c:v>
                </c:pt>
                <c:pt idx="12" formatCode="#\ &quot;YR&quot;">
                  <c:v>10</c:v>
                </c:pt>
              </c:numCache>
            </c:numRef>
          </c:cat>
          <c:val>
            <c:numRef>
              <c:f>Informe4!$E$34:$E$46</c:f>
              <c:numCache>
                <c:formatCode>0.00</c:formatCode>
                <c:ptCount val="13"/>
                <c:pt idx="0">
                  <c:v>-0.37316524723654482</c:v>
                </c:pt>
                <c:pt idx="1">
                  <c:v>-0.50392500950982022</c:v>
                </c:pt>
                <c:pt idx="2">
                  <c:v>-0.62385083795194229</c:v>
                </c:pt>
                <c:pt idx="3">
                  <c:v>-0.80963769668818131</c:v>
                </c:pt>
                <c:pt idx="4">
                  <c:v>-0.80710358620998834</c:v>
                </c:pt>
                <c:pt idx="5">
                  <c:v>-0.55032625525678214</c:v>
                </c:pt>
                <c:pt idx="6">
                  <c:v>-0.20170506118587753</c:v>
                </c:pt>
                <c:pt idx="7">
                  <c:v>0.18412366963808227</c:v>
                </c:pt>
                <c:pt idx="8">
                  <c:v>0.42579545416991815</c:v>
                </c:pt>
                <c:pt idx="9">
                  <c:v>0.82530606936440043</c:v>
                </c:pt>
                <c:pt idx="10">
                  <c:v>1.1394000612568456</c:v>
                </c:pt>
                <c:pt idx="11">
                  <c:v>1.3942569952820245</c:v>
                </c:pt>
                <c:pt idx="12">
                  <c:v>1.620379836294636</c:v>
                </c:pt>
              </c:numCache>
            </c:numRef>
          </c:val>
        </c:ser>
        <c:ser>
          <c:idx val="1"/>
          <c:order val="1"/>
          <c:tx>
            <c:strRef>
              <c:f>Informe4!$J$6</c:f>
              <c:strCache>
                <c:ptCount val="1"/>
                <c:pt idx="0">
                  <c:v>Roll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cat>
            <c:numRef>
              <c:f>Informe4!$B$34:$B$46</c:f>
              <c:numCache>
                <c:formatCode>#,##0.00\ "YR"</c:formatCode>
                <c:ptCount val="13"/>
                <c:pt idx="0">
                  <c:v>0.5</c:v>
                </c:pt>
                <c:pt idx="1">
                  <c:v>0.75</c:v>
                </c:pt>
                <c:pt idx="2" formatCode="#\ &quot;YR&quot;">
                  <c:v>1</c:v>
                </c:pt>
                <c:pt idx="3">
                  <c:v>1.5</c:v>
                </c:pt>
                <c:pt idx="4" formatCode="#\ &quot;YR&quot;">
                  <c:v>2</c:v>
                </c:pt>
                <c:pt idx="5" formatCode="#\ &quot;YR&quot;">
                  <c:v>3</c:v>
                </c:pt>
                <c:pt idx="6" formatCode="#\ &quot;YR&quot;">
                  <c:v>4</c:v>
                </c:pt>
                <c:pt idx="7" formatCode="#\ &quot;YR&quot;">
                  <c:v>5</c:v>
                </c:pt>
                <c:pt idx="8" formatCode="#\ &quot;YR&quot;">
                  <c:v>6</c:v>
                </c:pt>
                <c:pt idx="9" formatCode="#\ &quot;YR&quot;">
                  <c:v>7</c:v>
                </c:pt>
                <c:pt idx="10" formatCode="#\ &quot;YR&quot;">
                  <c:v>8</c:v>
                </c:pt>
                <c:pt idx="11" formatCode="#\ &quot;YR&quot;">
                  <c:v>9</c:v>
                </c:pt>
                <c:pt idx="12" formatCode="#\ &quot;YR&quot;">
                  <c:v>10</c:v>
                </c:pt>
              </c:numCache>
            </c:numRef>
          </c:cat>
          <c:val>
            <c:numRef>
              <c:f>Informe4!$L$34:$L$46</c:f>
              <c:numCache>
                <c:formatCode>0.00</c:formatCode>
                <c:ptCount val="13"/>
                <c:pt idx="0">
                  <c:v>-0.62055524074936408</c:v>
                </c:pt>
                <c:pt idx="1">
                  <c:v>-0.35308395168936407</c:v>
                </c:pt>
                <c:pt idx="2">
                  <c:v>-0.46812442448405472</c:v>
                </c:pt>
                <c:pt idx="3">
                  <c:v>-0.54134090761538789</c:v>
                </c:pt>
                <c:pt idx="4">
                  <c:v>2.6813931220710026E-2</c:v>
                </c:pt>
                <c:pt idx="5">
                  <c:v>0.77743673389677226</c:v>
                </c:pt>
                <c:pt idx="6">
                  <c:v>1.3926763876811306</c:v>
                </c:pt>
                <c:pt idx="7">
                  <c:v>1.9220822917079778</c:v>
                </c:pt>
                <c:pt idx="8">
                  <c:v>1.4248919620603286</c:v>
                </c:pt>
                <c:pt idx="9">
                  <c:v>2.8012859860407433</c:v>
                </c:pt>
                <c:pt idx="10">
                  <c:v>2.4816306257922762</c:v>
                </c:pt>
                <c:pt idx="11">
                  <c:v>2.2649611850962872</c:v>
                </c:pt>
                <c:pt idx="12">
                  <c:v>2.236950929823589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0594560"/>
        <c:axId val="59425344"/>
      </c:barChart>
      <c:catAx>
        <c:axId val="390594560"/>
        <c:scaling>
          <c:orientation val="minMax"/>
        </c:scaling>
        <c:delete val="0"/>
        <c:axPos val="b"/>
        <c:numFmt formatCode="#,##0.00\ &quot;YR&quot;" sourceLinked="1"/>
        <c:majorTickMark val="out"/>
        <c:minorTickMark val="none"/>
        <c:tickLblPos val="low"/>
        <c:txPr>
          <a:bodyPr/>
          <a:lstStyle/>
          <a:p>
            <a:pPr>
              <a:defRPr sz="600"/>
            </a:pPr>
            <a:endParaRPr lang="es-CL"/>
          </a:p>
        </c:txPr>
        <c:crossAx val="59425344"/>
        <c:crosses val="autoZero"/>
        <c:auto val="1"/>
        <c:lblAlgn val="ctr"/>
        <c:lblOffset val="100"/>
        <c:noMultiLvlLbl val="0"/>
      </c:catAx>
      <c:valAx>
        <c:axId val="59425344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s-CL"/>
          </a:p>
        </c:txPr>
        <c:crossAx val="3905945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9.1237884960868432E-2"/>
          <c:y val="0.11497134768288414"/>
          <c:w val="0.12231918915399197"/>
          <c:h val="0.23408339618293134"/>
        </c:manualLayout>
      </c:layout>
      <c:overlay val="1"/>
      <c:txPr>
        <a:bodyPr/>
        <a:lstStyle/>
        <a:p>
          <a:pPr>
            <a:defRPr sz="900"/>
          </a:pPr>
          <a:endParaRPr lang="es-CL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900"/>
              <a:t>Swap CLP/Cam 1MO</a:t>
            </a:r>
            <a:r>
              <a:rPr lang="en-US" sz="900" baseline="0"/>
              <a:t> Carry &amp; Roll</a:t>
            </a:r>
            <a:endParaRPr lang="en-US" sz="900"/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Informe4!$C$6</c:f>
              <c:strCache>
                <c:ptCount val="1"/>
                <c:pt idx="0">
                  <c:v>Carry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cat>
            <c:numRef>
              <c:f>Informe4!$B$34:$B$46</c:f>
              <c:numCache>
                <c:formatCode>#,##0.00\ "YR"</c:formatCode>
                <c:ptCount val="13"/>
                <c:pt idx="0">
                  <c:v>0.5</c:v>
                </c:pt>
                <c:pt idx="1">
                  <c:v>0.75</c:v>
                </c:pt>
                <c:pt idx="2" formatCode="#\ &quot;YR&quot;">
                  <c:v>1</c:v>
                </c:pt>
                <c:pt idx="3">
                  <c:v>1.5</c:v>
                </c:pt>
                <c:pt idx="4" formatCode="#\ &quot;YR&quot;">
                  <c:v>2</c:v>
                </c:pt>
                <c:pt idx="5" formatCode="#\ &quot;YR&quot;">
                  <c:v>3</c:v>
                </c:pt>
                <c:pt idx="6" formatCode="#\ &quot;YR&quot;">
                  <c:v>4</c:v>
                </c:pt>
                <c:pt idx="7" formatCode="#\ &quot;YR&quot;">
                  <c:v>5</c:v>
                </c:pt>
                <c:pt idx="8" formatCode="#\ &quot;YR&quot;">
                  <c:v>6</c:v>
                </c:pt>
                <c:pt idx="9" formatCode="#\ &quot;YR&quot;">
                  <c:v>7</c:v>
                </c:pt>
                <c:pt idx="10" formatCode="#\ &quot;YR&quot;">
                  <c:v>8</c:v>
                </c:pt>
                <c:pt idx="11" formatCode="#\ &quot;YR&quot;">
                  <c:v>9</c:v>
                </c:pt>
                <c:pt idx="12" formatCode="#\ &quot;YR&quot;">
                  <c:v>10</c:v>
                </c:pt>
              </c:numCache>
            </c:numRef>
          </c:cat>
          <c:val>
            <c:numRef>
              <c:f>Informe4!$G$34:$G$46</c:f>
              <c:numCache>
                <c:formatCode>0.00</c:formatCode>
                <c:ptCount val="13"/>
                <c:pt idx="0">
                  <c:v>-1.0712730927249225</c:v>
                </c:pt>
                <c:pt idx="1">
                  <c:v>-1.4638824703442133</c:v>
                </c:pt>
                <c:pt idx="2">
                  <c:v>-1.8238378852430772</c:v>
                </c:pt>
                <c:pt idx="3">
                  <c:v>-2.3814647070654247</c:v>
                </c:pt>
                <c:pt idx="4">
                  <c:v>-2.3742410457125813</c:v>
                </c:pt>
                <c:pt idx="5">
                  <c:v>-1.6044640594254922</c:v>
                </c:pt>
                <c:pt idx="6">
                  <c:v>-0.55888091016830233</c:v>
                </c:pt>
                <c:pt idx="7">
                  <c:v>0.59846661569125104</c:v>
                </c:pt>
                <c:pt idx="8">
                  <c:v>1.3234513252213624</c:v>
                </c:pt>
                <c:pt idx="9">
                  <c:v>2.5219611591889235</c:v>
                </c:pt>
                <c:pt idx="10">
                  <c:v>3.4642580362321636</c:v>
                </c:pt>
                <c:pt idx="11">
                  <c:v>4.2288582212701709</c:v>
                </c:pt>
                <c:pt idx="12">
                  <c:v>4.9072614653093014</c:v>
                </c:pt>
              </c:numCache>
            </c:numRef>
          </c:val>
        </c:ser>
        <c:ser>
          <c:idx val="1"/>
          <c:order val="1"/>
          <c:tx>
            <c:strRef>
              <c:f>Informe4!$J$6</c:f>
              <c:strCache>
                <c:ptCount val="1"/>
                <c:pt idx="0">
                  <c:v>Roll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cat>
            <c:numRef>
              <c:f>Informe4!$B$34:$B$46</c:f>
              <c:numCache>
                <c:formatCode>#,##0.00\ "YR"</c:formatCode>
                <c:ptCount val="13"/>
                <c:pt idx="0">
                  <c:v>0.5</c:v>
                </c:pt>
                <c:pt idx="1">
                  <c:v>0.75</c:v>
                </c:pt>
                <c:pt idx="2" formatCode="#\ &quot;YR&quot;">
                  <c:v>1</c:v>
                </c:pt>
                <c:pt idx="3">
                  <c:v>1.5</c:v>
                </c:pt>
                <c:pt idx="4" formatCode="#\ &quot;YR&quot;">
                  <c:v>2</c:v>
                </c:pt>
                <c:pt idx="5" formatCode="#\ &quot;YR&quot;">
                  <c:v>3</c:v>
                </c:pt>
                <c:pt idx="6" formatCode="#\ &quot;YR&quot;">
                  <c:v>4</c:v>
                </c:pt>
                <c:pt idx="7" formatCode="#\ &quot;YR&quot;">
                  <c:v>5</c:v>
                </c:pt>
                <c:pt idx="8" formatCode="#\ &quot;YR&quot;">
                  <c:v>6</c:v>
                </c:pt>
                <c:pt idx="9" formatCode="#\ &quot;YR&quot;">
                  <c:v>7</c:v>
                </c:pt>
                <c:pt idx="10" formatCode="#\ &quot;YR&quot;">
                  <c:v>8</c:v>
                </c:pt>
                <c:pt idx="11" formatCode="#\ &quot;YR&quot;">
                  <c:v>9</c:v>
                </c:pt>
                <c:pt idx="12" formatCode="#\ &quot;YR&quot;">
                  <c:v>10</c:v>
                </c:pt>
              </c:numCache>
            </c:numRef>
          </c:cat>
          <c:val>
            <c:numRef>
              <c:f>Informe4!$N$34:$N$46</c:f>
              <c:numCache>
                <c:formatCode>0.00</c:formatCode>
                <c:ptCount val="13"/>
                <c:pt idx="0">
                  <c:v>-1.6426462255130596</c:v>
                </c:pt>
                <c:pt idx="1">
                  <c:v>-0.97777094313983659</c:v>
                </c:pt>
                <c:pt idx="2">
                  <c:v>-1.3241233721120811</c:v>
                </c:pt>
                <c:pt idx="3">
                  <c:v>-1.562738846512409</c:v>
                </c:pt>
                <c:pt idx="4">
                  <c:v>7.8175827643393411E-2</c:v>
                </c:pt>
                <c:pt idx="5">
                  <c:v>2.2887156184811519</c:v>
                </c:pt>
                <c:pt idx="6">
                  <c:v>4.1195951887350919</c:v>
                </c:pt>
                <c:pt idx="7">
                  <c:v>5.7018195357370738</c:v>
                </c:pt>
                <c:pt idx="8">
                  <c:v>4.2349114593330537</c:v>
                </c:pt>
                <c:pt idx="9">
                  <c:v>8.3368949465037261</c:v>
                </c:pt>
                <c:pt idx="10">
                  <c:v>7.3930110977438925</c:v>
                </c:pt>
                <c:pt idx="11">
                  <c:v>6.7528099729039646</c:v>
                </c:pt>
                <c:pt idx="12">
                  <c:v>6.6734664229547285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0595072"/>
        <c:axId val="59427648"/>
      </c:barChart>
      <c:catAx>
        <c:axId val="390595072"/>
        <c:scaling>
          <c:orientation val="minMax"/>
        </c:scaling>
        <c:delete val="0"/>
        <c:axPos val="b"/>
        <c:numFmt formatCode="#,##0.00\ &quot;YR&quot;" sourceLinked="1"/>
        <c:majorTickMark val="out"/>
        <c:minorTickMark val="none"/>
        <c:tickLblPos val="low"/>
        <c:txPr>
          <a:bodyPr/>
          <a:lstStyle/>
          <a:p>
            <a:pPr>
              <a:defRPr sz="600"/>
            </a:pPr>
            <a:endParaRPr lang="es-CL"/>
          </a:p>
        </c:txPr>
        <c:crossAx val="59427648"/>
        <c:crosses val="autoZero"/>
        <c:auto val="1"/>
        <c:lblAlgn val="ctr"/>
        <c:lblOffset val="100"/>
        <c:noMultiLvlLbl val="0"/>
      </c:catAx>
      <c:valAx>
        <c:axId val="59427648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s-CL"/>
          </a:p>
        </c:txPr>
        <c:crossAx val="3905950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9.1152537422098653E-2"/>
          <c:y val="0.10803559189576051"/>
          <c:w val="0.1217833070081856"/>
          <c:h val="0.22910906129683503"/>
        </c:manualLayout>
      </c:layout>
      <c:overlay val="1"/>
      <c:txPr>
        <a:bodyPr/>
        <a:lstStyle/>
        <a:p>
          <a:pPr>
            <a:defRPr sz="900"/>
          </a:pPr>
          <a:endParaRPr lang="es-CL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900"/>
              <a:t>Swap CLP/Cam 2MO</a:t>
            </a:r>
            <a:r>
              <a:rPr lang="en-US" sz="900" baseline="0"/>
              <a:t> Carry &amp; Roll</a:t>
            </a:r>
            <a:endParaRPr lang="en-US" sz="900"/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Informe4!$C$6</c:f>
              <c:strCache>
                <c:ptCount val="1"/>
                <c:pt idx="0">
                  <c:v>Carry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cat>
            <c:numRef>
              <c:f>Informe4!$B$34:$B$46</c:f>
              <c:numCache>
                <c:formatCode>#,##0.00\ "YR"</c:formatCode>
                <c:ptCount val="13"/>
                <c:pt idx="0">
                  <c:v>0.5</c:v>
                </c:pt>
                <c:pt idx="1">
                  <c:v>0.75</c:v>
                </c:pt>
                <c:pt idx="2" formatCode="#\ &quot;YR&quot;">
                  <c:v>1</c:v>
                </c:pt>
                <c:pt idx="3">
                  <c:v>1.5</c:v>
                </c:pt>
                <c:pt idx="4" formatCode="#\ &quot;YR&quot;">
                  <c:v>2</c:v>
                </c:pt>
                <c:pt idx="5" formatCode="#\ &quot;YR&quot;">
                  <c:v>3</c:v>
                </c:pt>
                <c:pt idx="6" formatCode="#\ &quot;YR&quot;">
                  <c:v>4</c:v>
                </c:pt>
                <c:pt idx="7" formatCode="#\ &quot;YR&quot;">
                  <c:v>5</c:v>
                </c:pt>
                <c:pt idx="8" formatCode="#\ &quot;YR&quot;">
                  <c:v>6</c:v>
                </c:pt>
                <c:pt idx="9" formatCode="#\ &quot;YR&quot;">
                  <c:v>7</c:v>
                </c:pt>
                <c:pt idx="10" formatCode="#\ &quot;YR&quot;">
                  <c:v>8</c:v>
                </c:pt>
                <c:pt idx="11" formatCode="#\ &quot;YR&quot;">
                  <c:v>9</c:v>
                </c:pt>
                <c:pt idx="12" formatCode="#\ &quot;YR&quot;">
                  <c:v>10</c:v>
                </c:pt>
              </c:numCache>
            </c:numRef>
          </c:cat>
          <c:val>
            <c:numRef>
              <c:f>Informe4!$H$34:$H$46</c:f>
              <c:numCache>
                <c:formatCode>0.00</c:formatCode>
                <c:ptCount val="13"/>
                <c:pt idx="0">
                  <c:v>-1.9961227141695423</c:v>
                </c:pt>
                <c:pt idx="1">
                  <c:v>-2.7833086508115223</c:v>
                </c:pt>
                <c:pt idx="2">
                  <c:v>-3.5040708462846792</c:v>
                </c:pt>
                <c:pt idx="3">
                  <c:v>-4.620374133947891</c:v>
                </c:pt>
                <c:pt idx="4">
                  <c:v>-4.6072021616479306</c:v>
                </c:pt>
                <c:pt idx="5">
                  <c:v>-3.0694152529473939</c:v>
                </c:pt>
                <c:pt idx="6">
                  <c:v>-0.97910975240561959</c:v>
                </c:pt>
                <c:pt idx="7">
                  <c:v>1.3351698869981701</c:v>
                </c:pt>
                <c:pt idx="8">
                  <c:v>2.7850553870580512</c:v>
                </c:pt>
                <c:pt idx="9">
                  <c:v>5.1820151905222822</c:v>
                </c:pt>
                <c:pt idx="10">
                  <c:v>7.0666601942915106</c:v>
                </c:pt>
                <c:pt idx="11">
                  <c:v>8.5959544602624387</c:v>
                </c:pt>
                <c:pt idx="12">
                  <c:v>9.9528699180320448</c:v>
                </c:pt>
              </c:numCache>
            </c:numRef>
          </c:val>
        </c:ser>
        <c:ser>
          <c:idx val="1"/>
          <c:order val="1"/>
          <c:tx>
            <c:strRef>
              <c:f>Informe4!$J$6</c:f>
              <c:strCache>
                <c:ptCount val="1"/>
                <c:pt idx="0">
                  <c:v>Roll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cat>
            <c:numRef>
              <c:f>Informe4!$B$34:$B$46</c:f>
              <c:numCache>
                <c:formatCode>#,##0.00\ "YR"</c:formatCode>
                <c:ptCount val="13"/>
                <c:pt idx="0">
                  <c:v>0.5</c:v>
                </c:pt>
                <c:pt idx="1">
                  <c:v>0.75</c:v>
                </c:pt>
                <c:pt idx="2" formatCode="#\ &quot;YR&quot;">
                  <c:v>1</c:v>
                </c:pt>
                <c:pt idx="3">
                  <c:v>1.5</c:v>
                </c:pt>
                <c:pt idx="4" formatCode="#\ &quot;YR&quot;">
                  <c:v>2</c:v>
                </c:pt>
                <c:pt idx="5" formatCode="#\ &quot;YR&quot;">
                  <c:v>3</c:v>
                </c:pt>
                <c:pt idx="6" formatCode="#\ &quot;YR&quot;">
                  <c:v>4</c:v>
                </c:pt>
                <c:pt idx="7" formatCode="#\ &quot;YR&quot;">
                  <c:v>5</c:v>
                </c:pt>
                <c:pt idx="8" formatCode="#\ &quot;YR&quot;">
                  <c:v>6</c:v>
                </c:pt>
                <c:pt idx="9" formatCode="#\ &quot;YR&quot;">
                  <c:v>7</c:v>
                </c:pt>
                <c:pt idx="10" formatCode="#\ &quot;YR&quot;">
                  <c:v>8</c:v>
                </c:pt>
                <c:pt idx="11" formatCode="#\ &quot;YR&quot;">
                  <c:v>9</c:v>
                </c:pt>
                <c:pt idx="12" formatCode="#\ &quot;YR&quot;">
                  <c:v>10</c:v>
                </c:pt>
              </c:numCache>
            </c:numRef>
          </c:cat>
          <c:val>
            <c:numRef>
              <c:f>Informe4!$O$34:$O$46</c:f>
              <c:numCache>
                <c:formatCode>0.00</c:formatCode>
                <c:ptCount val="13"/>
                <c:pt idx="0">
                  <c:v>-2.6282339608208956</c:v>
                </c:pt>
                <c:pt idx="1">
                  <c:v>-1.7110991504947142</c:v>
                </c:pt>
                <c:pt idx="2">
                  <c:v>-2.4074970402038209</c:v>
                </c:pt>
                <c:pt idx="3">
                  <c:v>-2.9416260640233576</c:v>
                </c:pt>
                <c:pt idx="4">
                  <c:v>0.14955375723075814</c:v>
                </c:pt>
                <c:pt idx="5">
                  <c:v>4.4466474873348094</c:v>
                </c:pt>
                <c:pt idx="6">
                  <c:v>8.0638884545452871</c:v>
                </c:pt>
                <c:pt idx="7">
                  <c:v>11.210357053313569</c:v>
                </c:pt>
                <c:pt idx="8">
                  <c:v>8.3505296381215128</c:v>
                </c:pt>
                <c:pt idx="9">
                  <c:v>16.472900858152244</c:v>
                </c:pt>
                <c:pt idx="10">
                  <c:v>14.630379856587565</c:v>
                </c:pt>
                <c:pt idx="11">
                  <c:v>13.379399198651633</c:v>
                </c:pt>
                <c:pt idx="12">
                  <c:v>13.234773746363127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0595584"/>
        <c:axId val="59429952"/>
      </c:barChart>
      <c:catAx>
        <c:axId val="390595584"/>
        <c:scaling>
          <c:orientation val="minMax"/>
        </c:scaling>
        <c:delete val="0"/>
        <c:axPos val="b"/>
        <c:numFmt formatCode="#,##0.00\ &quot;YR&quot;" sourceLinked="1"/>
        <c:majorTickMark val="out"/>
        <c:minorTickMark val="none"/>
        <c:tickLblPos val="low"/>
        <c:txPr>
          <a:bodyPr/>
          <a:lstStyle/>
          <a:p>
            <a:pPr>
              <a:defRPr sz="600"/>
            </a:pPr>
            <a:endParaRPr lang="es-CL"/>
          </a:p>
        </c:txPr>
        <c:crossAx val="59429952"/>
        <c:crosses val="autoZero"/>
        <c:auto val="1"/>
        <c:lblAlgn val="ctr"/>
        <c:lblOffset val="100"/>
        <c:noMultiLvlLbl val="0"/>
      </c:catAx>
      <c:valAx>
        <c:axId val="59429952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s-CL"/>
          </a:p>
        </c:txPr>
        <c:crossAx val="3905955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9.6715399200414484E-2"/>
          <c:y val="0.10110397060444928"/>
          <c:w val="0.1217833070081856"/>
          <c:h val="0.22910906129683503"/>
        </c:manualLayout>
      </c:layout>
      <c:overlay val="1"/>
      <c:txPr>
        <a:bodyPr/>
        <a:lstStyle/>
        <a:p>
          <a:pPr>
            <a:defRPr sz="900"/>
          </a:pPr>
          <a:endParaRPr lang="es-CL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900"/>
              <a:t>Swap UF/Cam 10D</a:t>
            </a:r>
            <a:r>
              <a:rPr lang="en-US" sz="900" baseline="0"/>
              <a:t> Carry &amp; Roll</a:t>
            </a:r>
            <a:endParaRPr lang="en-US" sz="900"/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Informe4!$C$6</c:f>
              <c:strCache>
                <c:ptCount val="1"/>
                <c:pt idx="0">
                  <c:v>Carry</c:v>
                </c:pt>
              </c:strCache>
            </c:strRef>
          </c:tx>
          <c:invertIfNegative val="0"/>
          <c:cat>
            <c:numRef>
              <c:f>Informe4!$B$60:$B$72</c:f>
              <c:numCache>
                <c:formatCode>#,##0.00\ "YR"</c:formatCode>
                <c:ptCount val="13"/>
                <c:pt idx="0">
                  <c:v>0.5</c:v>
                </c:pt>
                <c:pt idx="1">
                  <c:v>0.75</c:v>
                </c:pt>
                <c:pt idx="2" formatCode="#\ &quot;YR&quot;">
                  <c:v>1</c:v>
                </c:pt>
                <c:pt idx="3">
                  <c:v>1.5</c:v>
                </c:pt>
                <c:pt idx="4" formatCode="#\ &quot;YR&quot;">
                  <c:v>2</c:v>
                </c:pt>
                <c:pt idx="5" formatCode="#\ &quot;YR&quot;">
                  <c:v>3</c:v>
                </c:pt>
                <c:pt idx="6" formatCode="#\ &quot;YR&quot;">
                  <c:v>4</c:v>
                </c:pt>
                <c:pt idx="7" formatCode="#\ &quot;YR&quot;">
                  <c:v>5</c:v>
                </c:pt>
                <c:pt idx="8" formatCode="#\ &quot;YR&quot;">
                  <c:v>6</c:v>
                </c:pt>
                <c:pt idx="9" formatCode="#\ &quot;YR&quot;">
                  <c:v>7</c:v>
                </c:pt>
                <c:pt idx="10" formatCode="#\ &quot;YR&quot;">
                  <c:v>8</c:v>
                </c:pt>
                <c:pt idx="11" formatCode="#\ &quot;YR&quot;">
                  <c:v>9</c:v>
                </c:pt>
                <c:pt idx="12" formatCode="#\ &quot;YR&quot;">
                  <c:v>10</c:v>
                </c:pt>
              </c:numCache>
            </c:numRef>
          </c:cat>
          <c:val>
            <c:numRef>
              <c:f>Informe4!$E$60:$E$72</c:f>
              <c:numCache>
                <c:formatCode>0.00</c:formatCode>
                <c:ptCount val="13"/>
                <c:pt idx="0">
                  <c:v>0.34680816770271683</c:v>
                </c:pt>
                <c:pt idx="1">
                  <c:v>-1.2056405460540986</c:v>
                </c:pt>
                <c:pt idx="2">
                  <c:v>-1.6773760350985434</c:v>
                </c:pt>
                <c:pt idx="3">
                  <c:v>-0.77548008913822519</c:v>
                </c:pt>
                <c:pt idx="4">
                  <c:v>-0.86727031308947433</c:v>
                </c:pt>
                <c:pt idx="5">
                  <c:v>-0.60031707096024345</c:v>
                </c:pt>
                <c:pt idx="6">
                  <c:v>-0.37446458094074764</c:v>
                </c:pt>
                <c:pt idx="7">
                  <c:v>-0.22670814486178692</c:v>
                </c:pt>
                <c:pt idx="8">
                  <c:v>-0.15086941370684448</c:v>
                </c:pt>
                <c:pt idx="9">
                  <c:v>-9.69281825496493E-2</c:v>
                </c:pt>
                <c:pt idx="10">
                  <c:v>-5.6358059427874529E-2</c:v>
                </c:pt>
                <c:pt idx="11">
                  <c:v>-2.4521686164757917E-2</c:v>
                </c:pt>
                <c:pt idx="12">
                  <c:v>-4.6108079829743076E-3</c:v>
                </c:pt>
              </c:numCache>
            </c:numRef>
          </c:val>
        </c:ser>
        <c:ser>
          <c:idx val="1"/>
          <c:order val="1"/>
          <c:tx>
            <c:strRef>
              <c:f>Informe4!$J$6</c:f>
              <c:strCache>
                <c:ptCount val="1"/>
                <c:pt idx="0">
                  <c:v>Roll</c:v>
                </c:pt>
              </c:strCache>
            </c:strRef>
          </c:tx>
          <c:invertIfNegative val="0"/>
          <c:cat>
            <c:numRef>
              <c:f>Informe4!$B$60:$B$72</c:f>
              <c:numCache>
                <c:formatCode>#,##0.00\ "YR"</c:formatCode>
                <c:ptCount val="13"/>
                <c:pt idx="0">
                  <c:v>0.5</c:v>
                </c:pt>
                <c:pt idx="1">
                  <c:v>0.75</c:v>
                </c:pt>
                <c:pt idx="2" formatCode="#\ &quot;YR&quot;">
                  <c:v>1</c:v>
                </c:pt>
                <c:pt idx="3">
                  <c:v>1.5</c:v>
                </c:pt>
                <c:pt idx="4" formatCode="#\ &quot;YR&quot;">
                  <c:v>2</c:v>
                </c:pt>
                <c:pt idx="5" formatCode="#\ &quot;YR&quot;">
                  <c:v>3</c:v>
                </c:pt>
                <c:pt idx="6" formatCode="#\ &quot;YR&quot;">
                  <c:v>4</c:v>
                </c:pt>
                <c:pt idx="7" formatCode="#\ &quot;YR&quot;">
                  <c:v>5</c:v>
                </c:pt>
                <c:pt idx="8" formatCode="#\ &quot;YR&quot;">
                  <c:v>6</c:v>
                </c:pt>
                <c:pt idx="9" formatCode="#\ &quot;YR&quot;">
                  <c:v>7</c:v>
                </c:pt>
                <c:pt idx="10" formatCode="#\ &quot;YR&quot;">
                  <c:v>8</c:v>
                </c:pt>
                <c:pt idx="11" formatCode="#\ &quot;YR&quot;">
                  <c:v>9</c:v>
                </c:pt>
                <c:pt idx="12" formatCode="#\ &quot;YR&quot;">
                  <c:v>10</c:v>
                </c:pt>
              </c:numCache>
            </c:numRef>
          </c:cat>
          <c:val>
            <c:numRef>
              <c:f>Informe4!$L$60:$L$72</c:f>
              <c:numCache>
                <c:formatCode>0.00</c:formatCode>
                <c:ptCount val="13"/>
                <c:pt idx="0">
                  <c:v>-21.31702066751884</c:v>
                </c:pt>
                <c:pt idx="1">
                  <c:v>-1.9981018390322625</c:v>
                </c:pt>
                <c:pt idx="2">
                  <c:v>-8.4237344921966884</c:v>
                </c:pt>
                <c:pt idx="3">
                  <c:v>0.58196157017511574</c:v>
                </c:pt>
                <c:pt idx="4">
                  <c:v>-1.1855754933975726</c:v>
                </c:pt>
                <c:pt idx="5">
                  <c:v>-5.559954132041689E-2</c:v>
                </c:pt>
                <c:pt idx="6">
                  <c:v>0.30462573744112209</c:v>
                </c:pt>
                <c:pt idx="7">
                  <c:v>0.36312189955608476</c:v>
                </c:pt>
                <c:pt idx="8">
                  <c:v>0.22442639112345564</c:v>
                </c:pt>
                <c:pt idx="9">
                  <c:v>0.22591780218884638</c:v>
                </c:pt>
                <c:pt idx="10">
                  <c:v>0.22700575618763708</c:v>
                </c:pt>
                <c:pt idx="11">
                  <c:v>0.22963316387820676</c:v>
                </c:pt>
                <c:pt idx="12">
                  <c:v>0.17288157149395467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0596096"/>
        <c:axId val="59432256"/>
      </c:barChart>
      <c:catAx>
        <c:axId val="390596096"/>
        <c:scaling>
          <c:orientation val="minMax"/>
        </c:scaling>
        <c:delete val="0"/>
        <c:axPos val="b"/>
        <c:numFmt formatCode="#,##0.00\ &quot;YR&quot;" sourceLinked="1"/>
        <c:majorTickMark val="out"/>
        <c:minorTickMark val="none"/>
        <c:tickLblPos val="low"/>
        <c:txPr>
          <a:bodyPr/>
          <a:lstStyle/>
          <a:p>
            <a:pPr>
              <a:defRPr sz="600"/>
            </a:pPr>
            <a:endParaRPr lang="es-CL"/>
          </a:p>
        </c:txPr>
        <c:crossAx val="59432256"/>
        <c:crosses val="autoZero"/>
        <c:auto val="1"/>
        <c:lblAlgn val="ctr"/>
        <c:lblOffset val="100"/>
        <c:noMultiLvlLbl val="0"/>
      </c:catAx>
      <c:valAx>
        <c:axId val="59432256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s-CL"/>
          </a:p>
        </c:txPr>
        <c:crossAx val="3905960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4899499589276484"/>
          <c:y val="0.10803569360703449"/>
          <c:w val="0.12231918915399197"/>
          <c:h val="0.25197818761566371"/>
        </c:manualLayout>
      </c:layout>
      <c:overlay val="1"/>
      <c:txPr>
        <a:bodyPr/>
        <a:lstStyle/>
        <a:p>
          <a:pPr>
            <a:defRPr sz="900"/>
          </a:pPr>
          <a:endParaRPr lang="es-CL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900"/>
              <a:t>Swap UF/Cam 1MO</a:t>
            </a:r>
            <a:r>
              <a:rPr lang="en-US" sz="900" baseline="0"/>
              <a:t> Carry &amp; Roll</a:t>
            </a:r>
            <a:endParaRPr lang="en-US" sz="900"/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Informe4!$C$6</c:f>
              <c:strCache>
                <c:ptCount val="1"/>
                <c:pt idx="0">
                  <c:v>Carry</c:v>
                </c:pt>
              </c:strCache>
            </c:strRef>
          </c:tx>
          <c:invertIfNegative val="0"/>
          <c:cat>
            <c:numRef>
              <c:f>Informe4!$B$60:$B$72</c:f>
              <c:numCache>
                <c:formatCode>#,##0.00\ "YR"</c:formatCode>
                <c:ptCount val="13"/>
                <c:pt idx="0">
                  <c:v>0.5</c:v>
                </c:pt>
                <c:pt idx="1">
                  <c:v>0.75</c:v>
                </c:pt>
                <c:pt idx="2" formatCode="#\ &quot;YR&quot;">
                  <c:v>1</c:v>
                </c:pt>
                <c:pt idx="3">
                  <c:v>1.5</c:v>
                </c:pt>
                <c:pt idx="4" formatCode="#\ &quot;YR&quot;">
                  <c:v>2</c:v>
                </c:pt>
                <c:pt idx="5" formatCode="#\ &quot;YR&quot;">
                  <c:v>3</c:v>
                </c:pt>
                <c:pt idx="6" formatCode="#\ &quot;YR&quot;">
                  <c:v>4</c:v>
                </c:pt>
                <c:pt idx="7" formatCode="#\ &quot;YR&quot;">
                  <c:v>5</c:v>
                </c:pt>
                <c:pt idx="8" formatCode="#\ &quot;YR&quot;">
                  <c:v>6</c:v>
                </c:pt>
                <c:pt idx="9" formatCode="#\ &quot;YR&quot;">
                  <c:v>7</c:v>
                </c:pt>
                <c:pt idx="10" formatCode="#\ &quot;YR&quot;">
                  <c:v>8</c:v>
                </c:pt>
                <c:pt idx="11" formatCode="#\ &quot;YR&quot;">
                  <c:v>9</c:v>
                </c:pt>
                <c:pt idx="12" formatCode="#\ &quot;YR&quot;">
                  <c:v>10</c:v>
                </c:pt>
              </c:numCache>
            </c:numRef>
          </c:cat>
          <c:val>
            <c:numRef>
              <c:f>Informe4!$G$60:$G$72</c:f>
              <c:numCache>
                <c:formatCode>0.00</c:formatCode>
                <c:ptCount val="13"/>
                <c:pt idx="0">
                  <c:v>22.583655413507266</c:v>
                </c:pt>
                <c:pt idx="1">
                  <c:v>9.4177172897986772</c:v>
                </c:pt>
                <c:pt idx="2">
                  <c:v>4.3382034146621784</c:v>
                </c:pt>
                <c:pt idx="3">
                  <c:v>3.855449091548524</c:v>
                </c:pt>
                <c:pt idx="4">
                  <c:v>1.9504988052278516</c:v>
                </c:pt>
                <c:pt idx="5">
                  <c:v>1.2053671555210643</c:v>
                </c:pt>
                <c:pt idx="6">
                  <c:v>1.1275384205870598</c:v>
                </c:pt>
                <c:pt idx="7">
                  <c:v>1.1204280587958859</c:v>
                </c:pt>
                <c:pt idx="8">
                  <c:v>1.047032327505415</c:v>
                </c:pt>
                <c:pt idx="9">
                  <c:v>0.99441372170165909</c:v>
                </c:pt>
                <c:pt idx="10">
                  <c:v>0.95557538567965228</c:v>
                </c:pt>
                <c:pt idx="11">
                  <c:v>0.92639032747940941</c:v>
                </c:pt>
                <c:pt idx="12">
                  <c:v>0.88619491963948249</c:v>
                </c:pt>
              </c:numCache>
            </c:numRef>
          </c:val>
        </c:ser>
        <c:ser>
          <c:idx val="1"/>
          <c:order val="1"/>
          <c:tx>
            <c:strRef>
              <c:f>Informe4!$J$6</c:f>
              <c:strCache>
                <c:ptCount val="1"/>
                <c:pt idx="0">
                  <c:v>Roll</c:v>
                </c:pt>
              </c:strCache>
            </c:strRef>
          </c:tx>
          <c:invertIfNegative val="0"/>
          <c:cat>
            <c:numRef>
              <c:f>Informe4!$B$60:$B$72</c:f>
              <c:numCache>
                <c:formatCode>#,##0.00\ "YR"</c:formatCode>
                <c:ptCount val="13"/>
                <c:pt idx="0">
                  <c:v>0.5</c:v>
                </c:pt>
                <c:pt idx="1">
                  <c:v>0.75</c:v>
                </c:pt>
                <c:pt idx="2" formatCode="#\ &quot;YR&quot;">
                  <c:v>1</c:v>
                </c:pt>
                <c:pt idx="3">
                  <c:v>1.5</c:v>
                </c:pt>
                <c:pt idx="4" formatCode="#\ &quot;YR&quot;">
                  <c:v>2</c:v>
                </c:pt>
                <c:pt idx="5" formatCode="#\ &quot;YR&quot;">
                  <c:v>3</c:v>
                </c:pt>
                <c:pt idx="6" formatCode="#\ &quot;YR&quot;">
                  <c:v>4</c:v>
                </c:pt>
                <c:pt idx="7" formatCode="#\ &quot;YR&quot;">
                  <c:v>5</c:v>
                </c:pt>
                <c:pt idx="8" formatCode="#\ &quot;YR&quot;">
                  <c:v>6</c:v>
                </c:pt>
                <c:pt idx="9" formatCode="#\ &quot;YR&quot;">
                  <c:v>7</c:v>
                </c:pt>
                <c:pt idx="10" formatCode="#\ &quot;YR&quot;">
                  <c:v>8</c:v>
                </c:pt>
                <c:pt idx="11" formatCode="#\ &quot;YR&quot;">
                  <c:v>9</c:v>
                </c:pt>
                <c:pt idx="12" formatCode="#\ &quot;YR&quot;">
                  <c:v>10</c:v>
                </c:pt>
              </c:numCache>
            </c:numRef>
          </c:cat>
          <c:val>
            <c:numRef>
              <c:f>Informe4!$N$60:$N$72</c:f>
              <c:numCache>
                <c:formatCode>0.00</c:formatCode>
                <c:ptCount val="13"/>
                <c:pt idx="0">
                  <c:v>-48.640644829693883</c:v>
                </c:pt>
                <c:pt idx="1">
                  <c:v>-5.9619394700374251</c:v>
                </c:pt>
                <c:pt idx="2">
                  <c:v>-19.023920874566834</c:v>
                </c:pt>
                <c:pt idx="3">
                  <c:v>1.7458847105253583</c:v>
                </c:pt>
                <c:pt idx="4">
                  <c:v>-3.5567264801927068</c:v>
                </c:pt>
                <c:pt idx="5">
                  <c:v>-0.16679862396127287</c:v>
                </c:pt>
                <c:pt idx="6">
                  <c:v>0.91387721232337737</c:v>
                </c:pt>
                <c:pt idx="7">
                  <c:v>1.0893656986682432</c:v>
                </c:pt>
                <c:pt idx="8">
                  <c:v>0.67327917337037801</c:v>
                </c:pt>
                <c:pt idx="9">
                  <c:v>0.67775340656655025</c:v>
                </c:pt>
                <c:pt idx="10">
                  <c:v>0.68101726856291123</c:v>
                </c:pt>
                <c:pt idx="11">
                  <c:v>0.68889949163459807</c:v>
                </c:pt>
                <c:pt idx="12">
                  <c:v>0.5186447144818862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0596608"/>
        <c:axId val="59549376"/>
      </c:barChart>
      <c:catAx>
        <c:axId val="390596608"/>
        <c:scaling>
          <c:orientation val="minMax"/>
        </c:scaling>
        <c:delete val="0"/>
        <c:axPos val="b"/>
        <c:numFmt formatCode="#,##0.00\ &quot;YR&quot;" sourceLinked="1"/>
        <c:majorTickMark val="out"/>
        <c:minorTickMark val="none"/>
        <c:tickLblPos val="low"/>
        <c:txPr>
          <a:bodyPr/>
          <a:lstStyle/>
          <a:p>
            <a:pPr>
              <a:defRPr sz="600"/>
            </a:pPr>
            <a:endParaRPr lang="es-CL"/>
          </a:p>
        </c:txPr>
        <c:crossAx val="59549376"/>
        <c:crosses val="autoZero"/>
        <c:auto val="1"/>
        <c:lblAlgn val="ctr"/>
        <c:lblOffset val="100"/>
        <c:noMultiLvlLbl val="0"/>
      </c:catAx>
      <c:valAx>
        <c:axId val="59549376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s-CL"/>
          </a:p>
        </c:txPr>
        <c:crossAx val="3905966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4899499589276484"/>
          <c:y val="0.10803569360703449"/>
          <c:w val="0.1217833070081856"/>
          <c:h val="0.22910906129683503"/>
        </c:manualLayout>
      </c:layout>
      <c:overlay val="1"/>
      <c:txPr>
        <a:bodyPr/>
        <a:lstStyle/>
        <a:p>
          <a:pPr>
            <a:defRPr sz="900"/>
          </a:pPr>
          <a:endParaRPr lang="es-CL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900"/>
              <a:t>Swap UF/Cam 2MO</a:t>
            </a:r>
            <a:r>
              <a:rPr lang="en-US" sz="900" baseline="0"/>
              <a:t> Carry &amp; Roll</a:t>
            </a:r>
            <a:endParaRPr lang="en-US" sz="900"/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Informe4!$C$6</c:f>
              <c:strCache>
                <c:ptCount val="1"/>
                <c:pt idx="0">
                  <c:v>Carry</c:v>
                </c:pt>
              </c:strCache>
            </c:strRef>
          </c:tx>
          <c:invertIfNegative val="0"/>
          <c:cat>
            <c:numRef>
              <c:f>Informe4!$B$60:$B$72</c:f>
              <c:numCache>
                <c:formatCode>#,##0.00\ "YR"</c:formatCode>
                <c:ptCount val="13"/>
                <c:pt idx="0">
                  <c:v>0.5</c:v>
                </c:pt>
                <c:pt idx="1">
                  <c:v>0.75</c:v>
                </c:pt>
                <c:pt idx="2" formatCode="#\ &quot;YR&quot;">
                  <c:v>1</c:v>
                </c:pt>
                <c:pt idx="3">
                  <c:v>1.5</c:v>
                </c:pt>
                <c:pt idx="4" formatCode="#\ &quot;YR&quot;">
                  <c:v>2</c:v>
                </c:pt>
                <c:pt idx="5" formatCode="#\ &quot;YR&quot;">
                  <c:v>3</c:v>
                </c:pt>
                <c:pt idx="6" formatCode="#\ &quot;YR&quot;">
                  <c:v>4</c:v>
                </c:pt>
                <c:pt idx="7" formatCode="#\ &quot;YR&quot;">
                  <c:v>5</c:v>
                </c:pt>
                <c:pt idx="8" formatCode="#\ &quot;YR&quot;">
                  <c:v>6</c:v>
                </c:pt>
                <c:pt idx="9" formatCode="#\ &quot;YR&quot;">
                  <c:v>7</c:v>
                </c:pt>
                <c:pt idx="10" formatCode="#\ &quot;YR&quot;">
                  <c:v>8</c:v>
                </c:pt>
                <c:pt idx="11" formatCode="#\ &quot;YR&quot;">
                  <c:v>9</c:v>
                </c:pt>
                <c:pt idx="12" formatCode="#\ &quot;YR&quot;">
                  <c:v>10</c:v>
                </c:pt>
              </c:numCache>
            </c:numRef>
          </c:cat>
          <c:val>
            <c:numRef>
              <c:f>Informe4!$H$60:$H$72</c:f>
              <c:numCache>
                <c:formatCode>0.00</c:formatCode>
                <c:ptCount val="13"/>
                <c:pt idx="0">
                  <c:v>23.948927990588011</c:v>
                </c:pt>
                <c:pt idx="1">
                  <c:v>3.0586649863235671</c:v>
                </c:pt>
                <c:pt idx="2">
                  <c:v>-3.3386536018742419</c:v>
                </c:pt>
                <c:pt idx="3">
                  <c:v>0.11936888859228612</c:v>
                </c:pt>
                <c:pt idx="4">
                  <c:v>-1.7802280664079295</c:v>
                </c:pt>
                <c:pt idx="5">
                  <c:v>-1.3090524415317217</c:v>
                </c:pt>
                <c:pt idx="6">
                  <c:v>-0.50135188404758502</c:v>
                </c:pt>
                <c:pt idx="7">
                  <c:v>5.1257157673534337E-2</c:v>
                </c:pt>
                <c:pt idx="8">
                  <c:v>0.27609135858158718</c:v>
                </c:pt>
                <c:pt idx="9">
                  <c:v>0.43425655486599712</c:v>
                </c:pt>
                <c:pt idx="10">
                  <c:v>0.55303505472921177</c:v>
                </c:pt>
                <c:pt idx="11">
                  <c:v>0.64682003776537211</c:v>
                </c:pt>
                <c:pt idx="12">
                  <c:v>0.68768178567735205</c:v>
                </c:pt>
              </c:numCache>
            </c:numRef>
          </c:val>
        </c:ser>
        <c:ser>
          <c:idx val="1"/>
          <c:order val="1"/>
          <c:tx>
            <c:strRef>
              <c:f>Informe4!$J$6</c:f>
              <c:strCache>
                <c:ptCount val="1"/>
                <c:pt idx="0">
                  <c:v>Roll</c:v>
                </c:pt>
              </c:strCache>
            </c:strRef>
          </c:tx>
          <c:invertIfNegative val="0"/>
          <c:cat>
            <c:numRef>
              <c:f>Informe4!$B$60:$B$72</c:f>
              <c:numCache>
                <c:formatCode>#,##0.00\ "YR"</c:formatCode>
                <c:ptCount val="13"/>
                <c:pt idx="0">
                  <c:v>0.5</c:v>
                </c:pt>
                <c:pt idx="1">
                  <c:v>0.75</c:v>
                </c:pt>
                <c:pt idx="2" formatCode="#\ &quot;YR&quot;">
                  <c:v>1</c:v>
                </c:pt>
                <c:pt idx="3">
                  <c:v>1.5</c:v>
                </c:pt>
                <c:pt idx="4" formatCode="#\ &quot;YR&quot;">
                  <c:v>2</c:v>
                </c:pt>
                <c:pt idx="5" formatCode="#\ &quot;YR&quot;">
                  <c:v>3</c:v>
                </c:pt>
                <c:pt idx="6" formatCode="#\ &quot;YR&quot;">
                  <c:v>4</c:v>
                </c:pt>
                <c:pt idx="7" formatCode="#\ &quot;YR&quot;">
                  <c:v>5</c:v>
                </c:pt>
                <c:pt idx="8" formatCode="#\ &quot;YR&quot;">
                  <c:v>6</c:v>
                </c:pt>
                <c:pt idx="9" formatCode="#\ &quot;YR&quot;">
                  <c:v>7</c:v>
                </c:pt>
                <c:pt idx="10" formatCode="#\ &quot;YR&quot;">
                  <c:v>8</c:v>
                </c:pt>
                <c:pt idx="11" formatCode="#\ &quot;YR&quot;">
                  <c:v>9</c:v>
                </c:pt>
                <c:pt idx="12" formatCode="#\ &quot;YR&quot;">
                  <c:v>10</c:v>
                </c:pt>
              </c:numCache>
            </c:numRef>
          </c:cat>
          <c:val>
            <c:numRef>
              <c:f>Informe4!$O$60:$O$72</c:f>
              <c:numCache>
                <c:formatCode>0.00</c:formatCode>
                <c:ptCount val="13"/>
                <c:pt idx="0">
                  <c:v>-49.811409975418776</c:v>
                </c:pt>
                <c:pt idx="1">
                  <c:v>-12.136496152212128</c:v>
                </c:pt>
                <c:pt idx="2">
                  <c:v>-22.56039534659471</c:v>
                </c:pt>
                <c:pt idx="3">
                  <c:v>4.6949661729139063</c:v>
                </c:pt>
                <c:pt idx="4">
                  <c:v>-7.113452960385402</c:v>
                </c:pt>
                <c:pt idx="5">
                  <c:v>-0.33359724792254575</c:v>
                </c:pt>
                <c:pt idx="6">
                  <c:v>1.8277544246467659</c:v>
                </c:pt>
                <c:pt idx="7">
                  <c:v>2.1787313973364975</c:v>
                </c:pt>
                <c:pt idx="8">
                  <c:v>1.346558346740756</c:v>
                </c:pt>
                <c:pt idx="9">
                  <c:v>1.3555068131331005</c:v>
                </c:pt>
                <c:pt idx="10">
                  <c:v>1.3620345371258447</c:v>
                </c:pt>
                <c:pt idx="11">
                  <c:v>1.3777989832691961</c:v>
                </c:pt>
                <c:pt idx="12">
                  <c:v>1.0372894289637502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0597120"/>
        <c:axId val="59551680"/>
      </c:barChart>
      <c:catAx>
        <c:axId val="390597120"/>
        <c:scaling>
          <c:orientation val="minMax"/>
        </c:scaling>
        <c:delete val="0"/>
        <c:axPos val="b"/>
        <c:numFmt formatCode="#,##0.00\ &quot;YR&quot;" sourceLinked="1"/>
        <c:majorTickMark val="out"/>
        <c:minorTickMark val="none"/>
        <c:tickLblPos val="low"/>
        <c:txPr>
          <a:bodyPr/>
          <a:lstStyle/>
          <a:p>
            <a:pPr>
              <a:defRPr sz="600"/>
            </a:pPr>
            <a:endParaRPr lang="es-CL"/>
          </a:p>
        </c:txPr>
        <c:crossAx val="59551680"/>
        <c:crosses val="autoZero"/>
        <c:auto val="1"/>
        <c:lblAlgn val="ctr"/>
        <c:lblOffset val="100"/>
        <c:noMultiLvlLbl val="0"/>
      </c:catAx>
      <c:valAx>
        <c:axId val="59551680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s-CL"/>
          </a:p>
        </c:txPr>
        <c:crossAx val="3905971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4899499589276484"/>
          <c:y val="0.10803569360703449"/>
          <c:w val="0.1217833070081856"/>
          <c:h val="0.22910906129683503"/>
        </c:manualLayout>
      </c:layout>
      <c:overlay val="1"/>
      <c:txPr>
        <a:bodyPr/>
        <a:lstStyle/>
        <a:p>
          <a:pPr>
            <a:defRPr sz="900"/>
          </a:pPr>
          <a:endParaRPr lang="es-CL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900"/>
              <a:t>Swap UF/Cam 10D</a:t>
            </a:r>
            <a:r>
              <a:rPr lang="en-US" sz="900" baseline="0"/>
              <a:t> Carry &amp; Roll</a:t>
            </a:r>
            <a:endParaRPr lang="en-US" sz="900"/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Informe4!$C$6</c:f>
              <c:strCache>
                <c:ptCount val="1"/>
                <c:pt idx="0">
                  <c:v>Carry</c:v>
                </c:pt>
              </c:strCache>
            </c:strRef>
          </c:tx>
          <c:invertIfNegative val="0"/>
          <c:cat>
            <c:numRef>
              <c:f>Informe4!$B$86:$B$98</c:f>
              <c:numCache>
                <c:formatCode>#,##0.00\ "YR"</c:formatCode>
                <c:ptCount val="13"/>
                <c:pt idx="0">
                  <c:v>0.5</c:v>
                </c:pt>
                <c:pt idx="1">
                  <c:v>0.75</c:v>
                </c:pt>
                <c:pt idx="2" formatCode="#\ &quot;YR&quot;">
                  <c:v>1</c:v>
                </c:pt>
                <c:pt idx="3">
                  <c:v>1.5</c:v>
                </c:pt>
                <c:pt idx="4" formatCode="#\ &quot;YR&quot;">
                  <c:v>2</c:v>
                </c:pt>
                <c:pt idx="5" formatCode="#\ &quot;YR&quot;">
                  <c:v>3</c:v>
                </c:pt>
                <c:pt idx="6" formatCode="#\ &quot;YR&quot;">
                  <c:v>4</c:v>
                </c:pt>
                <c:pt idx="7" formatCode="#\ &quot;YR&quot;">
                  <c:v>5</c:v>
                </c:pt>
                <c:pt idx="8" formatCode="#\ &quot;YR&quot;">
                  <c:v>6</c:v>
                </c:pt>
                <c:pt idx="9" formatCode="#\ &quot;YR&quot;">
                  <c:v>7</c:v>
                </c:pt>
                <c:pt idx="10" formatCode="#\ &quot;YR&quot;">
                  <c:v>8</c:v>
                </c:pt>
                <c:pt idx="11" formatCode="#\ &quot;YR&quot;">
                  <c:v>9</c:v>
                </c:pt>
                <c:pt idx="12" formatCode="#\ &quot;YR&quot;">
                  <c:v>10</c:v>
                </c:pt>
              </c:numCache>
            </c:numRef>
          </c:cat>
          <c:val>
            <c:numRef>
              <c:f>Informe4!$E$86:$E$98</c:f>
              <c:numCache>
                <c:formatCode>0.00</c:formatCode>
                <c:ptCount val="13"/>
                <c:pt idx="0">
                  <c:v>0.16377052363739406</c:v>
                </c:pt>
                <c:pt idx="1">
                  <c:v>-0.87074039437240458</c:v>
                </c:pt>
                <c:pt idx="2">
                  <c:v>-1.6307822563458061</c:v>
                </c:pt>
                <c:pt idx="3">
                  <c:v>-1.141679020120165</c:v>
                </c:pt>
                <c:pt idx="4">
                  <c:v>-1.7104497841486856</c:v>
                </c:pt>
                <c:pt idx="5">
                  <c:v>-1.7842757386873902</c:v>
                </c:pt>
                <c:pt idx="6">
                  <c:v>-1.4874565298479698</c:v>
                </c:pt>
                <c:pt idx="7">
                  <c:v>-1.1272432758405517</c:v>
                </c:pt>
                <c:pt idx="8">
                  <c:v>-0.90102566519365457</c:v>
                </c:pt>
                <c:pt idx="9">
                  <c:v>-0.67580482833227706</c:v>
                </c:pt>
                <c:pt idx="10">
                  <c:v>-0.44929897377222194</c:v>
                </c:pt>
                <c:pt idx="11">
                  <c:v>-0.22001401753380018</c:v>
                </c:pt>
                <c:pt idx="12">
                  <c:v>-4.5980001830216007E-2</c:v>
                </c:pt>
              </c:numCache>
            </c:numRef>
          </c:val>
        </c:ser>
        <c:ser>
          <c:idx val="1"/>
          <c:order val="1"/>
          <c:tx>
            <c:strRef>
              <c:f>Informe4!$J$6</c:f>
              <c:strCache>
                <c:ptCount val="1"/>
                <c:pt idx="0">
                  <c:v>Roll</c:v>
                </c:pt>
              </c:strCache>
            </c:strRef>
          </c:tx>
          <c:invertIfNegative val="0"/>
          <c:cat>
            <c:numRef>
              <c:f>Informe4!$B$86:$B$98</c:f>
              <c:numCache>
                <c:formatCode>#,##0.00\ "YR"</c:formatCode>
                <c:ptCount val="13"/>
                <c:pt idx="0">
                  <c:v>0.5</c:v>
                </c:pt>
                <c:pt idx="1">
                  <c:v>0.75</c:v>
                </c:pt>
                <c:pt idx="2" formatCode="#\ &quot;YR&quot;">
                  <c:v>1</c:v>
                </c:pt>
                <c:pt idx="3">
                  <c:v>1.5</c:v>
                </c:pt>
                <c:pt idx="4" formatCode="#\ &quot;YR&quot;">
                  <c:v>2</c:v>
                </c:pt>
                <c:pt idx="5" formatCode="#\ &quot;YR&quot;">
                  <c:v>3</c:v>
                </c:pt>
                <c:pt idx="6" formatCode="#\ &quot;YR&quot;">
                  <c:v>4</c:v>
                </c:pt>
                <c:pt idx="7" formatCode="#\ &quot;YR&quot;">
                  <c:v>5</c:v>
                </c:pt>
                <c:pt idx="8" formatCode="#\ &quot;YR&quot;">
                  <c:v>6</c:v>
                </c:pt>
                <c:pt idx="9" formatCode="#\ &quot;YR&quot;">
                  <c:v>7</c:v>
                </c:pt>
                <c:pt idx="10" formatCode="#\ &quot;YR&quot;">
                  <c:v>8</c:v>
                </c:pt>
                <c:pt idx="11" formatCode="#\ &quot;YR&quot;">
                  <c:v>9</c:v>
                </c:pt>
                <c:pt idx="12" formatCode="#\ &quot;YR&quot;">
                  <c:v>10</c:v>
                </c:pt>
              </c:numCache>
            </c:numRef>
          </c:cat>
          <c:val>
            <c:numRef>
              <c:f>Informe4!$L$86:$L$98</c:f>
              <c:numCache>
                <c:formatCode>0.00</c:formatCode>
                <c:ptCount val="13"/>
                <c:pt idx="0">
                  <c:v>-10.066370870772785</c:v>
                </c:pt>
                <c:pt idx="1">
                  <c:v>-1.4430735504121894</c:v>
                </c:pt>
                <c:pt idx="2">
                  <c:v>-8.1897418674134475</c:v>
                </c:pt>
                <c:pt idx="3">
                  <c:v>0.85677675609114268</c:v>
                </c:pt>
                <c:pt idx="4">
                  <c:v>-2.3382183342007683</c:v>
                </c:pt>
                <c:pt idx="5">
                  <c:v>-0.16525419225790577</c:v>
                </c:pt>
                <c:pt idx="6">
                  <c:v>1.2100411237244573</c:v>
                </c:pt>
                <c:pt idx="7">
                  <c:v>1.8055227783483103</c:v>
                </c:pt>
                <c:pt idx="8">
                  <c:v>1.3403242803206379</c:v>
                </c:pt>
                <c:pt idx="9">
                  <c:v>1.575149120816679</c:v>
                </c:pt>
                <c:pt idx="10">
                  <c:v>1.80974033405144</c:v>
                </c:pt>
                <c:pt idx="11">
                  <c:v>2.0603197759072436</c:v>
                </c:pt>
                <c:pt idx="12">
                  <c:v>1.7240134490647145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0597632"/>
        <c:axId val="59553984"/>
      </c:barChart>
      <c:catAx>
        <c:axId val="390597632"/>
        <c:scaling>
          <c:orientation val="minMax"/>
        </c:scaling>
        <c:delete val="0"/>
        <c:axPos val="b"/>
        <c:numFmt formatCode="#,##0.00\ &quot;YR&quot;" sourceLinked="1"/>
        <c:majorTickMark val="out"/>
        <c:minorTickMark val="none"/>
        <c:tickLblPos val="low"/>
        <c:txPr>
          <a:bodyPr/>
          <a:lstStyle/>
          <a:p>
            <a:pPr>
              <a:defRPr sz="600"/>
            </a:pPr>
            <a:endParaRPr lang="es-CL"/>
          </a:p>
        </c:txPr>
        <c:crossAx val="59553984"/>
        <c:crosses val="autoZero"/>
        <c:auto val="1"/>
        <c:lblAlgn val="ctr"/>
        <c:lblOffset val="100"/>
        <c:noMultiLvlLbl val="0"/>
      </c:catAx>
      <c:valAx>
        <c:axId val="59553984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s-CL"/>
          </a:p>
        </c:txPr>
        <c:crossAx val="3905976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2237858261057674"/>
          <c:y val="0.10056952991442943"/>
          <c:w val="0.12231918915399197"/>
          <c:h val="0.25197818761566371"/>
        </c:manualLayout>
      </c:layout>
      <c:overlay val="1"/>
      <c:txPr>
        <a:bodyPr/>
        <a:lstStyle/>
        <a:p>
          <a:pPr>
            <a:defRPr sz="900"/>
          </a:pPr>
          <a:endParaRPr lang="es-CL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900"/>
              <a:t>Swap UF/Cam 1MO</a:t>
            </a:r>
            <a:r>
              <a:rPr lang="en-US" sz="900" baseline="0"/>
              <a:t> Carry &amp; Roll</a:t>
            </a:r>
            <a:endParaRPr lang="en-US" sz="900"/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Informe4!$C$6</c:f>
              <c:strCache>
                <c:ptCount val="1"/>
                <c:pt idx="0">
                  <c:v>Carry</c:v>
                </c:pt>
              </c:strCache>
            </c:strRef>
          </c:tx>
          <c:invertIfNegative val="0"/>
          <c:cat>
            <c:numRef>
              <c:f>Informe4!$B$86:$B$98</c:f>
              <c:numCache>
                <c:formatCode>#,##0.00\ "YR"</c:formatCode>
                <c:ptCount val="13"/>
                <c:pt idx="0">
                  <c:v>0.5</c:v>
                </c:pt>
                <c:pt idx="1">
                  <c:v>0.75</c:v>
                </c:pt>
                <c:pt idx="2" formatCode="#\ &quot;YR&quot;">
                  <c:v>1</c:v>
                </c:pt>
                <c:pt idx="3">
                  <c:v>1.5</c:v>
                </c:pt>
                <c:pt idx="4" formatCode="#\ &quot;YR&quot;">
                  <c:v>2</c:v>
                </c:pt>
                <c:pt idx="5" formatCode="#\ &quot;YR&quot;">
                  <c:v>3</c:v>
                </c:pt>
                <c:pt idx="6" formatCode="#\ &quot;YR&quot;">
                  <c:v>4</c:v>
                </c:pt>
                <c:pt idx="7" formatCode="#\ &quot;YR&quot;">
                  <c:v>5</c:v>
                </c:pt>
                <c:pt idx="8" formatCode="#\ &quot;YR&quot;">
                  <c:v>6</c:v>
                </c:pt>
                <c:pt idx="9" formatCode="#\ &quot;YR&quot;">
                  <c:v>7</c:v>
                </c:pt>
                <c:pt idx="10" formatCode="#\ &quot;YR&quot;">
                  <c:v>8</c:v>
                </c:pt>
                <c:pt idx="11" formatCode="#\ &quot;YR&quot;">
                  <c:v>9</c:v>
                </c:pt>
                <c:pt idx="12" formatCode="#\ &quot;YR&quot;">
                  <c:v>10</c:v>
                </c:pt>
              </c:numCache>
            </c:numRef>
          </c:cat>
          <c:val>
            <c:numRef>
              <c:f>Informe4!$G$86:$G$98</c:f>
              <c:numCache>
                <c:formatCode>0.00</c:formatCode>
                <c:ptCount val="13"/>
                <c:pt idx="0">
                  <c:v>9.4098564222946948</c:v>
                </c:pt>
                <c:pt idx="1">
                  <c:v>6.2784781931991178</c:v>
                </c:pt>
                <c:pt idx="2">
                  <c:v>3.9766864634403301</c:v>
                </c:pt>
                <c:pt idx="3">
                  <c:v>5.4618862130270758</c:v>
                </c:pt>
                <c:pt idx="4">
                  <c:v>3.7384560433533824</c:v>
                </c:pt>
                <c:pt idx="5">
                  <c:v>3.5156542036031042</c:v>
                </c:pt>
                <c:pt idx="6">
                  <c:v>4.4161921472993173</c:v>
                </c:pt>
                <c:pt idx="7">
                  <c:v>5.5087712890797729</c:v>
                </c:pt>
                <c:pt idx="8">
                  <c:v>6.1949412710737057</c:v>
                </c:pt>
                <c:pt idx="9">
                  <c:v>6.8780282417698091</c:v>
                </c:pt>
                <c:pt idx="10">
                  <c:v>7.5649718032972473</c:v>
                </c:pt>
                <c:pt idx="11">
                  <c:v>8.2603137533580675</c:v>
                </c:pt>
                <c:pt idx="12">
                  <c:v>8.7880996197582011</c:v>
                </c:pt>
              </c:numCache>
            </c:numRef>
          </c:val>
        </c:ser>
        <c:ser>
          <c:idx val="1"/>
          <c:order val="1"/>
          <c:tx>
            <c:strRef>
              <c:f>Informe4!$J$6</c:f>
              <c:strCache>
                <c:ptCount val="1"/>
                <c:pt idx="0">
                  <c:v>Roll</c:v>
                </c:pt>
              </c:strCache>
            </c:strRef>
          </c:tx>
          <c:invertIfNegative val="0"/>
          <c:cat>
            <c:numRef>
              <c:f>Informe4!$B$86:$B$98</c:f>
              <c:numCache>
                <c:formatCode>#,##0.00\ "YR"</c:formatCode>
                <c:ptCount val="13"/>
                <c:pt idx="0">
                  <c:v>0.5</c:v>
                </c:pt>
                <c:pt idx="1">
                  <c:v>0.75</c:v>
                </c:pt>
                <c:pt idx="2" formatCode="#\ &quot;YR&quot;">
                  <c:v>1</c:v>
                </c:pt>
                <c:pt idx="3">
                  <c:v>1.5</c:v>
                </c:pt>
                <c:pt idx="4" formatCode="#\ &quot;YR&quot;">
                  <c:v>2</c:v>
                </c:pt>
                <c:pt idx="5" formatCode="#\ &quot;YR&quot;">
                  <c:v>3</c:v>
                </c:pt>
                <c:pt idx="6" formatCode="#\ &quot;YR&quot;">
                  <c:v>4</c:v>
                </c:pt>
                <c:pt idx="7" formatCode="#\ &quot;YR&quot;">
                  <c:v>5</c:v>
                </c:pt>
                <c:pt idx="8" formatCode="#\ &quot;YR&quot;">
                  <c:v>6</c:v>
                </c:pt>
                <c:pt idx="9" formatCode="#\ &quot;YR&quot;">
                  <c:v>7</c:v>
                </c:pt>
                <c:pt idx="10" formatCode="#\ &quot;YR&quot;">
                  <c:v>8</c:v>
                </c:pt>
                <c:pt idx="11" formatCode="#\ &quot;YR&quot;">
                  <c:v>9</c:v>
                </c:pt>
                <c:pt idx="12" formatCode="#\ &quot;YR&quot;">
                  <c:v>10</c:v>
                </c:pt>
              </c:numCache>
            </c:numRef>
          </c:cat>
          <c:val>
            <c:numRef>
              <c:f>Informe4!$N$86:$N$98</c:f>
              <c:numCache>
                <c:formatCode>0.00</c:formatCode>
                <c:ptCount val="13"/>
                <c:pt idx="0">
                  <c:v>-20.266935345705786</c:v>
                </c:pt>
                <c:pt idx="1">
                  <c:v>-3.9746263133582831</c:v>
                </c:pt>
                <c:pt idx="2">
                  <c:v>-17.438594135019596</c:v>
                </c:pt>
                <c:pt idx="3">
                  <c:v>2.4733366732442579</c:v>
                </c:pt>
                <c:pt idx="4">
                  <c:v>-6.8170590870360215</c:v>
                </c:pt>
                <c:pt idx="5">
                  <c:v>-0.48649598655371251</c:v>
                </c:pt>
                <c:pt idx="6">
                  <c:v>3.5793524149332279</c:v>
                </c:pt>
                <c:pt idx="7">
                  <c:v>5.3560480184521957</c:v>
                </c:pt>
                <c:pt idx="8">
                  <c:v>3.9835684424414035</c:v>
                </c:pt>
                <c:pt idx="9">
                  <c:v>4.6877943954186394</c:v>
                </c:pt>
                <c:pt idx="10">
                  <c:v>5.3913867094563805</c:v>
                </c:pt>
                <c:pt idx="11">
                  <c:v>6.1426871337418323</c:v>
                </c:pt>
                <c:pt idx="12">
                  <c:v>5.1432267519453712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0598144"/>
        <c:axId val="59974208"/>
      </c:barChart>
      <c:catAx>
        <c:axId val="390598144"/>
        <c:scaling>
          <c:orientation val="minMax"/>
        </c:scaling>
        <c:delete val="0"/>
        <c:axPos val="b"/>
        <c:numFmt formatCode="#,##0.00\ &quot;YR&quot;" sourceLinked="1"/>
        <c:majorTickMark val="out"/>
        <c:minorTickMark val="none"/>
        <c:tickLblPos val="low"/>
        <c:txPr>
          <a:bodyPr/>
          <a:lstStyle/>
          <a:p>
            <a:pPr>
              <a:defRPr sz="600"/>
            </a:pPr>
            <a:endParaRPr lang="es-CL"/>
          </a:p>
        </c:txPr>
        <c:crossAx val="59974208"/>
        <c:crosses val="autoZero"/>
        <c:auto val="1"/>
        <c:lblAlgn val="ctr"/>
        <c:lblOffset val="100"/>
        <c:noMultiLvlLbl val="0"/>
      </c:catAx>
      <c:valAx>
        <c:axId val="59974208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s-CL"/>
          </a:p>
        </c:txPr>
        <c:crossAx val="3905981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9.1152537422098653E-2"/>
          <c:y val="0.13029555369504928"/>
          <c:w val="0.1217833070081856"/>
          <c:h val="0.22910906129683503"/>
        </c:manualLayout>
      </c:layout>
      <c:overlay val="1"/>
      <c:txPr>
        <a:bodyPr/>
        <a:lstStyle/>
        <a:p>
          <a:pPr>
            <a:defRPr sz="900"/>
          </a:pPr>
          <a:endParaRPr lang="es-CL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900"/>
              <a:t>Swap UF/Cam 2MO</a:t>
            </a:r>
            <a:r>
              <a:rPr lang="en-US" sz="900" baseline="0"/>
              <a:t> Carry &amp; Roll</a:t>
            </a:r>
            <a:endParaRPr lang="en-US" sz="900"/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Informe4!$C$6</c:f>
              <c:strCache>
                <c:ptCount val="1"/>
                <c:pt idx="0">
                  <c:v>Carry</c:v>
                </c:pt>
              </c:strCache>
            </c:strRef>
          </c:tx>
          <c:invertIfNegative val="0"/>
          <c:cat>
            <c:numRef>
              <c:f>Informe4!$B$86:$B$98</c:f>
              <c:numCache>
                <c:formatCode>#,##0.00\ "YR"</c:formatCode>
                <c:ptCount val="13"/>
                <c:pt idx="0">
                  <c:v>0.5</c:v>
                </c:pt>
                <c:pt idx="1">
                  <c:v>0.75</c:v>
                </c:pt>
                <c:pt idx="2" formatCode="#\ &quot;YR&quot;">
                  <c:v>1</c:v>
                </c:pt>
                <c:pt idx="3">
                  <c:v>1.5</c:v>
                </c:pt>
                <c:pt idx="4" formatCode="#\ &quot;YR&quot;">
                  <c:v>2</c:v>
                </c:pt>
                <c:pt idx="5" formatCode="#\ &quot;YR&quot;">
                  <c:v>3</c:v>
                </c:pt>
                <c:pt idx="6" formatCode="#\ &quot;YR&quot;">
                  <c:v>4</c:v>
                </c:pt>
                <c:pt idx="7" formatCode="#\ &quot;YR&quot;">
                  <c:v>5</c:v>
                </c:pt>
                <c:pt idx="8" formatCode="#\ &quot;YR&quot;">
                  <c:v>6</c:v>
                </c:pt>
                <c:pt idx="9" formatCode="#\ &quot;YR&quot;">
                  <c:v>7</c:v>
                </c:pt>
                <c:pt idx="10" formatCode="#\ &quot;YR&quot;">
                  <c:v>8</c:v>
                </c:pt>
                <c:pt idx="11" formatCode="#\ &quot;YR&quot;">
                  <c:v>9</c:v>
                </c:pt>
                <c:pt idx="12" formatCode="#\ &quot;YR&quot;">
                  <c:v>10</c:v>
                </c:pt>
              </c:numCache>
            </c:numRef>
          </c:cat>
          <c:val>
            <c:numRef>
              <c:f>Informe4!$H$86:$H$98</c:f>
              <c:numCache>
                <c:formatCode>0.00</c:formatCode>
                <c:ptCount val="13"/>
                <c:pt idx="0">
                  <c:v>7.9829759968626712</c:v>
                </c:pt>
                <c:pt idx="1">
                  <c:v>1.7842212420220809</c:v>
                </c:pt>
                <c:pt idx="2">
                  <c:v>-2.7822113348952016</c:v>
                </c:pt>
                <c:pt idx="3">
                  <c:v>0.15915851812304815</c:v>
                </c:pt>
                <c:pt idx="4">
                  <c:v>-3.2637514550812039</c:v>
                </c:pt>
                <c:pt idx="5">
                  <c:v>-3.7089819176732117</c:v>
                </c:pt>
                <c:pt idx="6">
                  <c:v>-1.9218488888490759</c:v>
                </c:pt>
                <c:pt idx="7">
                  <c:v>0.24774292875541595</c:v>
                </c:pt>
                <c:pt idx="8">
                  <c:v>1.6105329250592584</c:v>
                </c:pt>
                <c:pt idx="9">
                  <c:v>2.9674197915843137</c:v>
                </c:pt>
                <c:pt idx="10">
                  <c:v>4.3321079287121584</c:v>
                </c:pt>
                <c:pt idx="11">
                  <c:v>5.7135770002607877</c:v>
                </c:pt>
                <c:pt idx="12">
                  <c:v>6.7622042258272952</c:v>
                </c:pt>
              </c:numCache>
            </c:numRef>
          </c:val>
        </c:ser>
        <c:ser>
          <c:idx val="1"/>
          <c:order val="1"/>
          <c:tx>
            <c:strRef>
              <c:f>Informe4!$J$6</c:f>
              <c:strCache>
                <c:ptCount val="1"/>
                <c:pt idx="0">
                  <c:v>Roll</c:v>
                </c:pt>
              </c:strCache>
            </c:strRef>
          </c:tx>
          <c:invertIfNegative val="0"/>
          <c:cat>
            <c:numRef>
              <c:f>Informe4!$B$86:$B$98</c:f>
              <c:numCache>
                <c:formatCode>#,##0.00\ "YR"</c:formatCode>
                <c:ptCount val="13"/>
                <c:pt idx="0">
                  <c:v>0.5</c:v>
                </c:pt>
                <c:pt idx="1">
                  <c:v>0.75</c:v>
                </c:pt>
                <c:pt idx="2" formatCode="#\ &quot;YR&quot;">
                  <c:v>1</c:v>
                </c:pt>
                <c:pt idx="3">
                  <c:v>1.5</c:v>
                </c:pt>
                <c:pt idx="4" formatCode="#\ &quot;YR&quot;">
                  <c:v>2</c:v>
                </c:pt>
                <c:pt idx="5" formatCode="#\ &quot;YR&quot;">
                  <c:v>3</c:v>
                </c:pt>
                <c:pt idx="6" formatCode="#\ &quot;YR&quot;">
                  <c:v>4</c:v>
                </c:pt>
                <c:pt idx="7" formatCode="#\ &quot;YR&quot;">
                  <c:v>5</c:v>
                </c:pt>
                <c:pt idx="8" formatCode="#\ &quot;YR&quot;">
                  <c:v>6</c:v>
                </c:pt>
                <c:pt idx="9" formatCode="#\ &quot;YR&quot;">
                  <c:v>7</c:v>
                </c:pt>
                <c:pt idx="10" formatCode="#\ &quot;YR&quot;">
                  <c:v>8</c:v>
                </c:pt>
                <c:pt idx="11" formatCode="#\ &quot;YR&quot;">
                  <c:v>9</c:v>
                </c:pt>
                <c:pt idx="12" formatCode="#\ &quot;YR&quot;">
                  <c:v>10</c:v>
                </c:pt>
              </c:numCache>
            </c:numRef>
          </c:cat>
          <c:val>
            <c:numRef>
              <c:f>Informe4!$O$86:$O$98</c:f>
              <c:numCache>
                <c:formatCode>0.00</c:formatCode>
                <c:ptCount val="13"/>
                <c:pt idx="0">
                  <c:v>-16.603803325139594</c:v>
                </c:pt>
                <c:pt idx="1">
                  <c:v>-7.0796227554570752</c:v>
                </c:pt>
                <c:pt idx="2">
                  <c:v>-18.800329455495593</c:v>
                </c:pt>
                <c:pt idx="3">
                  <c:v>6.2599548972185417</c:v>
                </c:pt>
                <c:pt idx="4">
                  <c:v>-13.041330427373236</c:v>
                </c:pt>
                <c:pt idx="5">
                  <c:v>-0.94519220244721303</c:v>
                </c:pt>
                <c:pt idx="6">
                  <c:v>7.006391961145936</c:v>
                </c:pt>
                <c:pt idx="7">
                  <c:v>10.530535087126404</c:v>
                </c:pt>
                <c:pt idx="8">
                  <c:v>7.8549236893210761</c:v>
                </c:pt>
                <c:pt idx="9">
                  <c:v>9.2626298897428523</c:v>
                </c:pt>
                <c:pt idx="10">
                  <c:v>10.669270540819117</c:v>
                </c:pt>
                <c:pt idx="11">
                  <c:v>12.170557685544567</c:v>
                </c:pt>
                <c:pt idx="12">
                  <c:v>10.200012718143544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86227712"/>
        <c:axId val="59976512"/>
      </c:barChart>
      <c:catAx>
        <c:axId val="386227712"/>
        <c:scaling>
          <c:orientation val="minMax"/>
        </c:scaling>
        <c:delete val="0"/>
        <c:axPos val="b"/>
        <c:numFmt formatCode="#,##0.00\ &quot;YR&quot;" sourceLinked="1"/>
        <c:majorTickMark val="out"/>
        <c:minorTickMark val="none"/>
        <c:tickLblPos val="low"/>
        <c:txPr>
          <a:bodyPr/>
          <a:lstStyle/>
          <a:p>
            <a:pPr>
              <a:defRPr sz="600"/>
            </a:pPr>
            <a:endParaRPr lang="es-CL"/>
          </a:p>
        </c:txPr>
        <c:crossAx val="59976512"/>
        <c:crosses val="autoZero"/>
        <c:auto val="1"/>
        <c:lblAlgn val="ctr"/>
        <c:lblOffset val="100"/>
        <c:noMultiLvlLbl val="0"/>
      </c:catAx>
      <c:valAx>
        <c:axId val="59976512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s-CL"/>
          </a:p>
        </c:txPr>
        <c:crossAx val="3862277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1058230637238979"/>
          <c:y val="0.11540913440101071"/>
          <c:w val="0.1217833070081856"/>
          <c:h val="0.22910906129683503"/>
        </c:manualLayout>
      </c:layout>
      <c:overlay val="1"/>
      <c:txPr>
        <a:bodyPr/>
        <a:lstStyle/>
        <a:p>
          <a:pPr>
            <a:defRPr sz="900"/>
          </a:pPr>
          <a:endParaRPr lang="es-CL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Swap CLP/Cam 10D</a:t>
            </a:r>
            <a:r>
              <a:rPr lang="en-US" sz="1000" baseline="0"/>
              <a:t> Carry &amp; Roll</a:t>
            </a:r>
            <a:endParaRPr lang="en-US" sz="1000"/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Informe5!$C$7</c:f>
              <c:strCache>
                <c:ptCount val="1"/>
                <c:pt idx="0">
                  <c:v>Carry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cat>
            <c:strRef>
              <c:f>Informe5!$B$9:$B$12</c:f>
              <c:strCache>
                <c:ptCount val="4"/>
                <c:pt idx="0">
                  <c:v>2s/10s</c:v>
                </c:pt>
                <c:pt idx="1">
                  <c:v>2s/5s</c:v>
                </c:pt>
                <c:pt idx="2">
                  <c:v>5s/10s</c:v>
                </c:pt>
                <c:pt idx="3">
                  <c:v>2s/5s/10s</c:v>
                </c:pt>
              </c:strCache>
            </c:strRef>
          </c:cat>
          <c:val>
            <c:numRef>
              <c:f>Informe5!$E$9:$E$12</c:f>
              <c:numCache>
                <c:formatCode>0.00</c:formatCode>
                <c:ptCount val="4"/>
                <c:pt idx="0">
                  <c:v>0.57172496409223506</c:v>
                </c:pt>
                <c:pt idx="1">
                  <c:v>0.44626607987505729</c:v>
                </c:pt>
                <c:pt idx="2">
                  <c:v>0.12545888421717777</c:v>
                </c:pt>
                <c:pt idx="3">
                  <c:v>0.16040359782893976</c:v>
                </c:pt>
              </c:numCache>
            </c:numRef>
          </c:val>
        </c:ser>
        <c:ser>
          <c:idx val="1"/>
          <c:order val="1"/>
          <c:tx>
            <c:strRef>
              <c:f>Informe5!$J$7</c:f>
              <c:strCache>
                <c:ptCount val="1"/>
                <c:pt idx="0">
                  <c:v>Roll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cat>
            <c:strRef>
              <c:f>Informe5!$B$9:$B$12</c:f>
              <c:strCache>
                <c:ptCount val="4"/>
                <c:pt idx="0">
                  <c:v>2s/10s</c:v>
                </c:pt>
                <c:pt idx="1">
                  <c:v>2s/5s</c:v>
                </c:pt>
                <c:pt idx="2">
                  <c:v>5s/10s</c:v>
                </c:pt>
                <c:pt idx="3">
                  <c:v>2s/5s/10s</c:v>
                </c:pt>
              </c:strCache>
            </c:strRef>
          </c:cat>
          <c:val>
            <c:numRef>
              <c:f>Informe5!$L$9:$L$12</c:f>
              <c:numCache>
                <c:formatCode>0.00</c:formatCode>
                <c:ptCount val="4"/>
                <c:pt idx="0">
                  <c:v>0.21072240297903555</c:v>
                </c:pt>
                <c:pt idx="1">
                  <c:v>0.37296824020924824</c:v>
                </c:pt>
                <c:pt idx="2">
                  <c:v>-0.16224583723021269</c:v>
                </c:pt>
                <c:pt idx="3">
                  <c:v>0.26760703871973046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87823104"/>
        <c:axId val="59979968"/>
      </c:barChart>
      <c:catAx>
        <c:axId val="387823104"/>
        <c:scaling>
          <c:orientation val="minMax"/>
        </c:scaling>
        <c:delete val="0"/>
        <c:axPos val="b"/>
        <c:numFmt formatCode="#,##0.00\ &quot;YR&quot;" sourceLinked="1"/>
        <c:majorTickMark val="out"/>
        <c:minorTickMark val="none"/>
        <c:tickLblPos val="low"/>
        <c:txPr>
          <a:bodyPr/>
          <a:lstStyle/>
          <a:p>
            <a:pPr>
              <a:defRPr sz="1000"/>
            </a:pPr>
            <a:endParaRPr lang="es-CL"/>
          </a:p>
        </c:txPr>
        <c:crossAx val="59979968"/>
        <c:crosses val="autoZero"/>
        <c:auto val="1"/>
        <c:lblAlgn val="ctr"/>
        <c:lblOffset val="100"/>
        <c:noMultiLvlLbl val="0"/>
      </c:catAx>
      <c:valAx>
        <c:axId val="59979968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s-CL"/>
          </a:p>
        </c:txPr>
        <c:crossAx val="3878231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Swap CLP/Cam 1MO</a:t>
            </a:r>
            <a:r>
              <a:rPr lang="en-US" sz="1000" baseline="0"/>
              <a:t> Carry &amp; Roll</a:t>
            </a:r>
            <a:endParaRPr lang="en-US" sz="1000"/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Informe5!$C$7</c:f>
              <c:strCache>
                <c:ptCount val="1"/>
                <c:pt idx="0">
                  <c:v>Carry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cat>
            <c:strRef>
              <c:f>Informe5!$B$9:$B$12</c:f>
              <c:strCache>
                <c:ptCount val="4"/>
                <c:pt idx="0">
                  <c:v>2s/10s</c:v>
                </c:pt>
                <c:pt idx="1">
                  <c:v>2s/5s</c:v>
                </c:pt>
                <c:pt idx="2">
                  <c:v>5s/10s</c:v>
                </c:pt>
                <c:pt idx="3">
                  <c:v>2s/5s/10s</c:v>
                </c:pt>
              </c:strCache>
            </c:strRef>
          </c:cat>
          <c:val>
            <c:numRef>
              <c:f>Informe5!$G$9:$G$12</c:f>
              <c:numCache>
                <c:formatCode>0.00</c:formatCode>
                <c:ptCount val="4"/>
                <c:pt idx="0">
                  <c:v>1.7335843542940932</c:v>
                </c:pt>
                <c:pt idx="1">
                  <c:v>1.3604564821630749</c:v>
                </c:pt>
                <c:pt idx="2">
                  <c:v>0.37312787213101828</c:v>
                </c:pt>
                <c:pt idx="3">
                  <c:v>0.49366430501602832</c:v>
                </c:pt>
              </c:numCache>
            </c:numRef>
          </c:val>
        </c:ser>
        <c:ser>
          <c:idx val="1"/>
          <c:order val="1"/>
          <c:tx>
            <c:strRef>
              <c:f>Informe5!$J$7</c:f>
              <c:strCache>
                <c:ptCount val="1"/>
                <c:pt idx="0">
                  <c:v>Roll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cat>
            <c:strRef>
              <c:f>Informe5!$B$9:$B$12</c:f>
              <c:strCache>
                <c:ptCount val="4"/>
                <c:pt idx="0">
                  <c:v>2s/10s</c:v>
                </c:pt>
                <c:pt idx="1">
                  <c:v>2s/5s</c:v>
                </c:pt>
                <c:pt idx="2">
                  <c:v>5s/10s</c:v>
                </c:pt>
                <c:pt idx="3">
                  <c:v>2s/5s/10s</c:v>
                </c:pt>
              </c:strCache>
            </c:strRef>
          </c:cat>
          <c:val>
            <c:numRef>
              <c:f>Informe5!$N$9:$N$12</c:f>
              <c:numCache>
                <c:formatCode>0.00</c:formatCode>
                <c:ptCount val="4"/>
                <c:pt idx="0">
                  <c:v>0.63216720893706224</c:v>
                </c:pt>
                <c:pt idx="1">
                  <c:v>1.1189047206277891</c:v>
                </c:pt>
                <c:pt idx="2">
                  <c:v>-0.48673751169072688</c:v>
                </c:pt>
                <c:pt idx="3">
                  <c:v>0.802821116159258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2996864"/>
        <c:axId val="59703872"/>
      </c:barChart>
      <c:catAx>
        <c:axId val="392996864"/>
        <c:scaling>
          <c:orientation val="minMax"/>
        </c:scaling>
        <c:delete val="0"/>
        <c:axPos val="b"/>
        <c:numFmt formatCode="#,##0.00\ &quot;YR&quot;" sourceLinked="1"/>
        <c:majorTickMark val="out"/>
        <c:minorTickMark val="none"/>
        <c:tickLblPos val="low"/>
        <c:txPr>
          <a:bodyPr/>
          <a:lstStyle/>
          <a:p>
            <a:pPr>
              <a:defRPr sz="1000"/>
            </a:pPr>
            <a:endParaRPr lang="es-CL"/>
          </a:p>
        </c:txPr>
        <c:crossAx val="59703872"/>
        <c:crosses val="autoZero"/>
        <c:auto val="1"/>
        <c:lblAlgn val="ctr"/>
        <c:lblOffset val="100"/>
        <c:noMultiLvlLbl val="0"/>
      </c:catAx>
      <c:valAx>
        <c:axId val="59703872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s-CL"/>
          </a:p>
        </c:txPr>
        <c:crossAx val="392996864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sz="900"/>
          </a:pPr>
          <a:endParaRPr lang="es-CL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Swap CLP/Cam 2MO</a:t>
            </a:r>
            <a:r>
              <a:rPr lang="en-US" sz="1000" baseline="0"/>
              <a:t> Carry &amp; Roll</a:t>
            </a:r>
            <a:endParaRPr lang="en-US" sz="1000"/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Informe5!$C$7</c:f>
              <c:strCache>
                <c:ptCount val="1"/>
                <c:pt idx="0">
                  <c:v>Carry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cat>
            <c:strRef>
              <c:f>Informe5!$B$9:$B$12</c:f>
              <c:strCache>
                <c:ptCount val="4"/>
                <c:pt idx="0">
                  <c:v>2s/10s</c:v>
                </c:pt>
                <c:pt idx="1">
                  <c:v>2s/5s</c:v>
                </c:pt>
                <c:pt idx="2">
                  <c:v>5s/10s</c:v>
                </c:pt>
                <c:pt idx="3">
                  <c:v>2s/5s/10s</c:v>
                </c:pt>
              </c:strCache>
            </c:strRef>
          </c:cat>
          <c:val>
            <c:numRef>
              <c:f>Informe5!$H$9:$H$12</c:f>
              <c:numCache>
                <c:formatCode>0.00</c:formatCode>
                <c:ptCount val="4"/>
                <c:pt idx="0">
                  <c:v>3.5251756237495879</c:v>
                </c:pt>
                <c:pt idx="1">
                  <c:v>2.7892614064846999</c:v>
                </c:pt>
                <c:pt idx="2">
                  <c:v>0.73591421726488804</c:v>
                </c:pt>
                <c:pt idx="3">
                  <c:v>1.0266735946099059</c:v>
                </c:pt>
              </c:numCache>
            </c:numRef>
          </c:val>
        </c:ser>
        <c:ser>
          <c:idx val="1"/>
          <c:order val="1"/>
          <c:tx>
            <c:strRef>
              <c:f>Informe5!$J$7</c:f>
              <c:strCache>
                <c:ptCount val="1"/>
                <c:pt idx="0">
                  <c:v>Roll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cat>
            <c:strRef>
              <c:f>Informe5!$B$9:$B$12</c:f>
              <c:strCache>
                <c:ptCount val="4"/>
                <c:pt idx="0">
                  <c:v>2s/10s</c:v>
                </c:pt>
                <c:pt idx="1">
                  <c:v>2s/5s</c:v>
                </c:pt>
                <c:pt idx="2">
                  <c:v>5s/10s</c:v>
                </c:pt>
                <c:pt idx="3">
                  <c:v>2s/5s/10s</c:v>
                </c:pt>
              </c:strCache>
            </c:strRef>
          </c:cat>
          <c:val>
            <c:numRef>
              <c:f>Informe5!$O$9:$O$12</c:f>
              <c:numCache>
                <c:formatCode>0.00</c:formatCode>
                <c:ptCount val="4"/>
                <c:pt idx="0">
                  <c:v>1.2643344178740801</c:v>
                </c:pt>
                <c:pt idx="1">
                  <c:v>2.2378094412556226</c:v>
                </c:pt>
                <c:pt idx="2">
                  <c:v>-0.97347502338154257</c:v>
                </c:pt>
                <c:pt idx="3">
                  <c:v>1.6056422323185826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2997376"/>
        <c:axId val="59706176"/>
      </c:barChart>
      <c:catAx>
        <c:axId val="392997376"/>
        <c:scaling>
          <c:orientation val="minMax"/>
        </c:scaling>
        <c:delete val="0"/>
        <c:axPos val="b"/>
        <c:numFmt formatCode="#,##0.00\ &quot;YR&quot;" sourceLinked="1"/>
        <c:majorTickMark val="out"/>
        <c:minorTickMark val="none"/>
        <c:tickLblPos val="low"/>
        <c:txPr>
          <a:bodyPr/>
          <a:lstStyle/>
          <a:p>
            <a:pPr>
              <a:defRPr sz="1000"/>
            </a:pPr>
            <a:endParaRPr lang="es-CL"/>
          </a:p>
        </c:txPr>
        <c:crossAx val="59706176"/>
        <c:crosses val="autoZero"/>
        <c:auto val="1"/>
        <c:lblAlgn val="ctr"/>
        <c:lblOffset val="100"/>
        <c:noMultiLvlLbl val="0"/>
      </c:catAx>
      <c:valAx>
        <c:axId val="59706176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s-CL"/>
          </a:p>
        </c:txPr>
        <c:crossAx val="392997376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sz="900"/>
          </a:pPr>
          <a:endParaRPr lang="es-CL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Swap UF/Cam 10D</a:t>
            </a:r>
            <a:r>
              <a:rPr lang="en-US" sz="1000" baseline="0"/>
              <a:t> Carry &amp; Roll</a:t>
            </a:r>
            <a:endParaRPr lang="en-US" sz="1000"/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Informe5!$C$7</c:f>
              <c:strCache>
                <c:ptCount val="1"/>
                <c:pt idx="0">
                  <c:v>Carry</c:v>
                </c:pt>
              </c:strCache>
            </c:strRef>
          </c:tx>
          <c:invertIfNegative val="0"/>
          <c:cat>
            <c:strRef>
              <c:f>Informe5!$B$46:$B$49</c:f>
              <c:strCache>
                <c:ptCount val="4"/>
                <c:pt idx="0">
                  <c:v>2s/10s</c:v>
                </c:pt>
                <c:pt idx="1">
                  <c:v>2s/5s</c:v>
                </c:pt>
                <c:pt idx="2">
                  <c:v>5s/10s</c:v>
                </c:pt>
                <c:pt idx="3">
                  <c:v>2s/5s/10s</c:v>
                </c:pt>
              </c:strCache>
            </c:strRef>
          </c:cat>
          <c:val>
            <c:numRef>
              <c:f>Informe5!$E$46:$E$49</c:f>
              <c:numCache>
                <c:formatCode>0.00</c:formatCode>
                <c:ptCount val="4"/>
                <c:pt idx="0">
                  <c:v>0.86265950510650002</c:v>
                </c:pt>
                <c:pt idx="1">
                  <c:v>0.64056216822768741</c:v>
                </c:pt>
                <c:pt idx="2">
                  <c:v>0.22209733687881261</c:v>
                </c:pt>
                <c:pt idx="3">
                  <c:v>0.2092324156744374</c:v>
                </c:pt>
              </c:numCache>
            </c:numRef>
          </c:val>
        </c:ser>
        <c:ser>
          <c:idx val="1"/>
          <c:order val="1"/>
          <c:tx>
            <c:strRef>
              <c:f>Informe5!$J$7</c:f>
              <c:strCache>
                <c:ptCount val="1"/>
                <c:pt idx="0">
                  <c:v>Roll</c:v>
                </c:pt>
              </c:strCache>
            </c:strRef>
          </c:tx>
          <c:invertIfNegative val="0"/>
          <c:cat>
            <c:strRef>
              <c:f>Informe5!$B$46:$B$49</c:f>
              <c:strCache>
                <c:ptCount val="4"/>
                <c:pt idx="0">
                  <c:v>2s/10s</c:v>
                </c:pt>
                <c:pt idx="1">
                  <c:v>2s/5s</c:v>
                </c:pt>
                <c:pt idx="2">
                  <c:v>5s/10s</c:v>
                </c:pt>
                <c:pt idx="3">
                  <c:v>2s/5s/10s</c:v>
                </c:pt>
              </c:strCache>
            </c:strRef>
          </c:cat>
          <c:val>
            <c:numRef>
              <c:f>Informe5!$L$46:$L$49</c:f>
              <c:numCache>
                <c:formatCode>0.00</c:formatCode>
                <c:ptCount val="4"/>
                <c:pt idx="0">
                  <c:v>1.3584570648915273</c:v>
                </c:pt>
                <c:pt idx="1">
                  <c:v>1.5486973929536574</c:v>
                </c:pt>
                <c:pt idx="2">
                  <c:v>-0.19024032806213009</c:v>
                </c:pt>
                <c:pt idx="3">
                  <c:v>0.86946886050789374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2998400"/>
        <c:axId val="59708480"/>
      </c:barChart>
      <c:catAx>
        <c:axId val="392998400"/>
        <c:scaling>
          <c:orientation val="minMax"/>
        </c:scaling>
        <c:delete val="0"/>
        <c:axPos val="b"/>
        <c:numFmt formatCode="#,##0.00\ &quot;YR&quot;" sourceLinked="1"/>
        <c:majorTickMark val="out"/>
        <c:minorTickMark val="none"/>
        <c:tickLblPos val="low"/>
        <c:txPr>
          <a:bodyPr/>
          <a:lstStyle/>
          <a:p>
            <a:pPr>
              <a:defRPr sz="1000"/>
            </a:pPr>
            <a:endParaRPr lang="es-CL"/>
          </a:p>
        </c:txPr>
        <c:crossAx val="59708480"/>
        <c:crosses val="autoZero"/>
        <c:auto val="1"/>
        <c:lblAlgn val="ctr"/>
        <c:lblOffset val="100"/>
        <c:noMultiLvlLbl val="0"/>
      </c:catAx>
      <c:valAx>
        <c:axId val="59708480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s-CL"/>
          </a:p>
        </c:txPr>
        <c:crossAx val="392998400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sz="900"/>
          </a:pPr>
          <a:endParaRPr lang="es-CL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Swap UF/Cam 1MO</a:t>
            </a:r>
            <a:r>
              <a:rPr lang="en-US" sz="1000" baseline="0"/>
              <a:t> Carry &amp; Roll</a:t>
            </a:r>
            <a:endParaRPr lang="en-US" sz="1000"/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Informe5!$C$7</c:f>
              <c:strCache>
                <c:ptCount val="1"/>
                <c:pt idx="0">
                  <c:v>Carry</c:v>
                </c:pt>
              </c:strCache>
            </c:strRef>
          </c:tx>
          <c:invertIfNegative val="0"/>
          <c:cat>
            <c:strRef>
              <c:f>Informe5!$B$46:$B$49</c:f>
              <c:strCache>
                <c:ptCount val="4"/>
                <c:pt idx="0">
                  <c:v>2s/10s</c:v>
                </c:pt>
                <c:pt idx="1">
                  <c:v>2s/5s</c:v>
                </c:pt>
                <c:pt idx="2">
                  <c:v>5s/10s</c:v>
                </c:pt>
                <c:pt idx="3">
                  <c:v>2s/5s/10s</c:v>
                </c:pt>
              </c:strCache>
            </c:strRef>
          </c:cat>
          <c:val>
            <c:numRef>
              <c:f>Informe5!$G$46:$G$49</c:f>
              <c:numCache>
                <c:formatCode>0.00</c:formatCode>
                <c:ptCount val="4"/>
                <c:pt idx="0">
                  <c:v>-1.0643038855883691</c:v>
                </c:pt>
                <c:pt idx="1">
                  <c:v>-0.83007074643196566</c:v>
                </c:pt>
                <c:pt idx="2">
                  <c:v>-0.23423313915640342</c:v>
                </c:pt>
                <c:pt idx="3">
                  <c:v>-0.29791880363778112</c:v>
                </c:pt>
              </c:numCache>
            </c:numRef>
          </c:val>
        </c:ser>
        <c:ser>
          <c:idx val="1"/>
          <c:order val="1"/>
          <c:tx>
            <c:strRef>
              <c:f>Informe5!$J$7</c:f>
              <c:strCache>
                <c:ptCount val="1"/>
                <c:pt idx="0">
                  <c:v>Roll</c:v>
                </c:pt>
              </c:strCache>
            </c:strRef>
          </c:tx>
          <c:invertIfNegative val="0"/>
          <c:cat>
            <c:strRef>
              <c:f>Informe5!$B$46:$B$49</c:f>
              <c:strCache>
                <c:ptCount val="4"/>
                <c:pt idx="0">
                  <c:v>2s/10s</c:v>
                </c:pt>
                <c:pt idx="1">
                  <c:v>2s/5s</c:v>
                </c:pt>
                <c:pt idx="2">
                  <c:v>5s/10s</c:v>
                </c:pt>
                <c:pt idx="3">
                  <c:v>2s/5s/10s</c:v>
                </c:pt>
              </c:strCache>
            </c:strRef>
          </c:cat>
          <c:val>
            <c:numRef>
              <c:f>Informe5!$N$46:$N$49</c:f>
              <c:numCache>
                <c:formatCode>0.00</c:formatCode>
                <c:ptCount val="4"/>
                <c:pt idx="0">
                  <c:v>4.0753711946745934</c:v>
                </c:pt>
                <c:pt idx="1">
                  <c:v>4.6460921788609504</c:v>
                </c:pt>
                <c:pt idx="2">
                  <c:v>-0.57072098418635697</c:v>
                </c:pt>
                <c:pt idx="3">
                  <c:v>2.6084065815236537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35666944"/>
        <c:axId val="59710784"/>
      </c:barChart>
      <c:catAx>
        <c:axId val="435666944"/>
        <c:scaling>
          <c:orientation val="minMax"/>
        </c:scaling>
        <c:delete val="0"/>
        <c:axPos val="b"/>
        <c:numFmt formatCode="#,##0.00\ &quot;YR&quot;" sourceLinked="1"/>
        <c:majorTickMark val="out"/>
        <c:minorTickMark val="none"/>
        <c:tickLblPos val="low"/>
        <c:txPr>
          <a:bodyPr/>
          <a:lstStyle/>
          <a:p>
            <a:pPr>
              <a:defRPr sz="1000"/>
            </a:pPr>
            <a:endParaRPr lang="es-CL"/>
          </a:p>
        </c:txPr>
        <c:crossAx val="59710784"/>
        <c:crosses val="autoZero"/>
        <c:auto val="1"/>
        <c:lblAlgn val="ctr"/>
        <c:lblOffset val="100"/>
        <c:noMultiLvlLbl val="0"/>
      </c:catAx>
      <c:valAx>
        <c:axId val="59710784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s-CL"/>
          </a:p>
        </c:txPr>
        <c:crossAx val="435666944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sz="900"/>
          </a:pPr>
          <a:endParaRPr lang="es-CL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Swap UF/Cam 2MO</a:t>
            </a:r>
            <a:r>
              <a:rPr lang="en-US" sz="1000" baseline="0"/>
              <a:t> Carry &amp; Roll</a:t>
            </a:r>
            <a:endParaRPr lang="en-US" sz="1000"/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Informe5!$C$7</c:f>
              <c:strCache>
                <c:ptCount val="1"/>
                <c:pt idx="0">
                  <c:v>Carry</c:v>
                </c:pt>
              </c:strCache>
            </c:strRef>
          </c:tx>
          <c:invertIfNegative val="0"/>
          <c:cat>
            <c:strRef>
              <c:f>Informe5!$B$46:$B$49</c:f>
              <c:strCache>
                <c:ptCount val="4"/>
                <c:pt idx="0">
                  <c:v>2s/10s</c:v>
                </c:pt>
                <c:pt idx="1">
                  <c:v>2s/5s</c:v>
                </c:pt>
                <c:pt idx="2">
                  <c:v>5s/10s</c:v>
                </c:pt>
                <c:pt idx="3">
                  <c:v>2s/5s/10s</c:v>
                </c:pt>
              </c:strCache>
            </c:strRef>
          </c:cat>
          <c:val>
            <c:numRef>
              <c:f>Informe5!$H$46:$H$49</c:f>
              <c:numCache>
                <c:formatCode>0.00</c:formatCode>
                <c:ptCount val="4"/>
                <c:pt idx="0">
                  <c:v>2.4679098520852816</c:v>
                </c:pt>
                <c:pt idx="1">
                  <c:v>1.8314852240814639</c:v>
                </c:pt>
                <c:pt idx="2">
                  <c:v>0.63642462800381772</c:v>
                </c:pt>
                <c:pt idx="3">
                  <c:v>0.59753029803882307</c:v>
                </c:pt>
              </c:numCache>
            </c:numRef>
          </c:val>
        </c:ser>
        <c:ser>
          <c:idx val="1"/>
          <c:order val="1"/>
          <c:tx>
            <c:strRef>
              <c:f>Informe5!$J$7</c:f>
              <c:strCache>
                <c:ptCount val="1"/>
                <c:pt idx="0">
                  <c:v>Roll</c:v>
                </c:pt>
              </c:strCache>
            </c:strRef>
          </c:tx>
          <c:invertIfNegative val="0"/>
          <c:cat>
            <c:strRef>
              <c:f>Informe5!$B$46:$B$49</c:f>
              <c:strCache>
                <c:ptCount val="4"/>
                <c:pt idx="0">
                  <c:v>2s/10s</c:v>
                </c:pt>
                <c:pt idx="1">
                  <c:v>2s/5s</c:v>
                </c:pt>
                <c:pt idx="2">
                  <c:v>5s/10s</c:v>
                </c:pt>
                <c:pt idx="3">
                  <c:v>2s/5s/10s</c:v>
                </c:pt>
              </c:strCache>
            </c:strRef>
          </c:cat>
          <c:val>
            <c:numRef>
              <c:f>Informe5!$O$46:$O$49</c:f>
              <c:numCache>
                <c:formatCode>0.00</c:formatCode>
                <c:ptCount val="4"/>
                <c:pt idx="0">
                  <c:v>8.1507423893491513</c:v>
                </c:pt>
                <c:pt idx="1">
                  <c:v>9.292184357721899</c:v>
                </c:pt>
                <c:pt idx="2">
                  <c:v>-1.1414419683727473</c:v>
                </c:pt>
                <c:pt idx="3">
                  <c:v>5.2168131630473233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35667456"/>
        <c:axId val="62270272"/>
      </c:barChart>
      <c:catAx>
        <c:axId val="435667456"/>
        <c:scaling>
          <c:orientation val="minMax"/>
        </c:scaling>
        <c:delete val="0"/>
        <c:axPos val="b"/>
        <c:numFmt formatCode="#,##0.00\ &quot;YR&quot;" sourceLinked="1"/>
        <c:majorTickMark val="out"/>
        <c:minorTickMark val="none"/>
        <c:tickLblPos val="low"/>
        <c:txPr>
          <a:bodyPr/>
          <a:lstStyle/>
          <a:p>
            <a:pPr>
              <a:defRPr sz="1000"/>
            </a:pPr>
            <a:endParaRPr lang="es-CL"/>
          </a:p>
        </c:txPr>
        <c:crossAx val="62270272"/>
        <c:crosses val="autoZero"/>
        <c:auto val="1"/>
        <c:lblAlgn val="ctr"/>
        <c:lblOffset val="100"/>
        <c:noMultiLvlLbl val="0"/>
      </c:catAx>
      <c:valAx>
        <c:axId val="62270272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s-CL"/>
          </a:p>
        </c:txPr>
        <c:crossAx val="435667456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sz="900"/>
          </a:pPr>
          <a:endParaRPr lang="es-CL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388888888888898E-2"/>
          <c:y val="6.5289442986293383E-2"/>
          <c:w val="0.73058280982909485"/>
          <c:h val="0.8326195683872849"/>
        </c:manualLayout>
      </c:layout>
      <c:scatterChart>
        <c:scatterStyle val="lineMarker"/>
        <c:varyColors val="0"/>
        <c:ser>
          <c:idx val="2"/>
          <c:order val="2"/>
          <c:tx>
            <c:strRef>
              <c:f>Informe5!$AO$5</c:f>
              <c:strCache>
                <c:ptCount val="1"/>
                <c:pt idx="0">
                  <c:v>2s/5s/10s</c:v>
                </c:pt>
              </c:strCache>
            </c:strRef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Informe5!$AE$6:$AE$267</c:f>
              <c:numCache>
                <c:formatCode>m/d/yyyy</c:formatCode>
                <c:ptCount val="262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42618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  <c:pt idx="66">
                  <c:v>42578</c:v>
                </c:pt>
                <c:pt idx="67">
                  <c:v>42577</c:v>
                </c:pt>
                <c:pt idx="68">
                  <c:v>42576</c:v>
                </c:pt>
                <c:pt idx="69">
                  <c:v>42573</c:v>
                </c:pt>
                <c:pt idx="70">
                  <c:v>42572</c:v>
                </c:pt>
                <c:pt idx="71">
                  <c:v>42571</c:v>
                </c:pt>
                <c:pt idx="72">
                  <c:v>42570</c:v>
                </c:pt>
                <c:pt idx="73">
                  <c:v>42569</c:v>
                </c:pt>
                <c:pt idx="74">
                  <c:v>42566</c:v>
                </c:pt>
                <c:pt idx="75">
                  <c:v>42565</c:v>
                </c:pt>
                <c:pt idx="76">
                  <c:v>42564</c:v>
                </c:pt>
                <c:pt idx="77">
                  <c:v>42563</c:v>
                </c:pt>
                <c:pt idx="78">
                  <c:v>42562</c:v>
                </c:pt>
                <c:pt idx="79">
                  <c:v>42559</c:v>
                </c:pt>
                <c:pt idx="80">
                  <c:v>42558</c:v>
                </c:pt>
                <c:pt idx="81">
                  <c:v>42557</c:v>
                </c:pt>
                <c:pt idx="82">
                  <c:v>42556</c:v>
                </c:pt>
                <c:pt idx="83">
                  <c:v>42555</c:v>
                </c:pt>
                <c:pt idx="84">
                  <c:v>42552</c:v>
                </c:pt>
                <c:pt idx="85">
                  <c:v>42551</c:v>
                </c:pt>
                <c:pt idx="86">
                  <c:v>42550</c:v>
                </c:pt>
                <c:pt idx="87">
                  <c:v>42549</c:v>
                </c:pt>
                <c:pt idx="88">
                  <c:v>42548</c:v>
                </c:pt>
                <c:pt idx="89">
                  <c:v>42545</c:v>
                </c:pt>
                <c:pt idx="90">
                  <c:v>42544</c:v>
                </c:pt>
                <c:pt idx="91">
                  <c:v>42543</c:v>
                </c:pt>
                <c:pt idx="92">
                  <c:v>42542</c:v>
                </c:pt>
                <c:pt idx="93">
                  <c:v>42541</c:v>
                </c:pt>
                <c:pt idx="94">
                  <c:v>42538</c:v>
                </c:pt>
                <c:pt idx="95">
                  <c:v>42537</c:v>
                </c:pt>
                <c:pt idx="96">
                  <c:v>42536</c:v>
                </c:pt>
                <c:pt idx="97">
                  <c:v>42535</c:v>
                </c:pt>
                <c:pt idx="98">
                  <c:v>42534</c:v>
                </c:pt>
                <c:pt idx="99">
                  <c:v>42531</c:v>
                </c:pt>
                <c:pt idx="100">
                  <c:v>42530</c:v>
                </c:pt>
                <c:pt idx="101">
                  <c:v>42529</c:v>
                </c:pt>
                <c:pt idx="102">
                  <c:v>42528</c:v>
                </c:pt>
                <c:pt idx="103">
                  <c:v>42527</c:v>
                </c:pt>
                <c:pt idx="104">
                  <c:v>42524</c:v>
                </c:pt>
                <c:pt idx="105">
                  <c:v>42523</c:v>
                </c:pt>
                <c:pt idx="106">
                  <c:v>42522</c:v>
                </c:pt>
                <c:pt idx="107">
                  <c:v>42521</c:v>
                </c:pt>
                <c:pt idx="108">
                  <c:v>42520</c:v>
                </c:pt>
                <c:pt idx="109">
                  <c:v>42517</c:v>
                </c:pt>
                <c:pt idx="110">
                  <c:v>42516</c:v>
                </c:pt>
                <c:pt idx="111">
                  <c:v>42515</c:v>
                </c:pt>
                <c:pt idx="112">
                  <c:v>42514</c:v>
                </c:pt>
                <c:pt idx="113">
                  <c:v>42513</c:v>
                </c:pt>
                <c:pt idx="114">
                  <c:v>42510</c:v>
                </c:pt>
                <c:pt idx="115">
                  <c:v>42509</c:v>
                </c:pt>
                <c:pt idx="116">
                  <c:v>42508</c:v>
                </c:pt>
                <c:pt idx="117">
                  <c:v>42507</c:v>
                </c:pt>
                <c:pt idx="118">
                  <c:v>42506</c:v>
                </c:pt>
                <c:pt idx="119">
                  <c:v>42503</c:v>
                </c:pt>
                <c:pt idx="120">
                  <c:v>42502</c:v>
                </c:pt>
                <c:pt idx="121">
                  <c:v>42501</c:v>
                </c:pt>
                <c:pt idx="122">
                  <c:v>42500</c:v>
                </c:pt>
                <c:pt idx="123">
                  <c:v>42499</c:v>
                </c:pt>
                <c:pt idx="124">
                  <c:v>42496</c:v>
                </c:pt>
                <c:pt idx="125">
                  <c:v>42495</c:v>
                </c:pt>
                <c:pt idx="126">
                  <c:v>42494</c:v>
                </c:pt>
                <c:pt idx="127">
                  <c:v>42493</c:v>
                </c:pt>
                <c:pt idx="128">
                  <c:v>42492</c:v>
                </c:pt>
                <c:pt idx="129">
                  <c:v>42489</c:v>
                </c:pt>
                <c:pt idx="130">
                  <c:v>42488</c:v>
                </c:pt>
                <c:pt idx="131">
                  <c:v>42487</c:v>
                </c:pt>
                <c:pt idx="132">
                  <c:v>42486</c:v>
                </c:pt>
                <c:pt idx="133">
                  <c:v>42485</c:v>
                </c:pt>
                <c:pt idx="134">
                  <c:v>42482</c:v>
                </c:pt>
                <c:pt idx="135">
                  <c:v>42481</c:v>
                </c:pt>
                <c:pt idx="136">
                  <c:v>42480</c:v>
                </c:pt>
                <c:pt idx="137">
                  <c:v>42479</c:v>
                </c:pt>
                <c:pt idx="138">
                  <c:v>42478</c:v>
                </c:pt>
                <c:pt idx="139">
                  <c:v>42475</c:v>
                </c:pt>
                <c:pt idx="140">
                  <c:v>42474</c:v>
                </c:pt>
                <c:pt idx="141">
                  <c:v>42473</c:v>
                </c:pt>
                <c:pt idx="142">
                  <c:v>42472</c:v>
                </c:pt>
                <c:pt idx="143">
                  <c:v>42471</c:v>
                </c:pt>
                <c:pt idx="144">
                  <c:v>42468</c:v>
                </c:pt>
                <c:pt idx="145">
                  <c:v>42467</c:v>
                </c:pt>
                <c:pt idx="146">
                  <c:v>42466</c:v>
                </c:pt>
                <c:pt idx="147">
                  <c:v>42465</c:v>
                </c:pt>
                <c:pt idx="148">
                  <c:v>42464</c:v>
                </c:pt>
                <c:pt idx="149">
                  <c:v>42461</c:v>
                </c:pt>
                <c:pt idx="150">
                  <c:v>42460</c:v>
                </c:pt>
                <c:pt idx="151">
                  <c:v>42459</c:v>
                </c:pt>
                <c:pt idx="152">
                  <c:v>42458</c:v>
                </c:pt>
                <c:pt idx="153">
                  <c:v>42457</c:v>
                </c:pt>
                <c:pt idx="154">
                  <c:v>42454</c:v>
                </c:pt>
                <c:pt idx="155">
                  <c:v>42453</c:v>
                </c:pt>
                <c:pt idx="156">
                  <c:v>42452</c:v>
                </c:pt>
                <c:pt idx="157">
                  <c:v>42451</c:v>
                </c:pt>
                <c:pt idx="158">
                  <c:v>42450</c:v>
                </c:pt>
                <c:pt idx="159">
                  <c:v>42447</c:v>
                </c:pt>
                <c:pt idx="160">
                  <c:v>42446</c:v>
                </c:pt>
                <c:pt idx="161">
                  <c:v>42445</c:v>
                </c:pt>
                <c:pt idx="162">
                  <c:v>42444</c:v>
                </c:pt>
                <c:pt idx="163">
                  <c:v>42443</c:v>
                </c:pt>
                <c:pt idx="164">
                  <c:v>42440</c:v>
                </c:pt>
                <c:pt idx="165">
                  <c:v>42439</c:v>
                </c:pt>
                <c:pt idx="166">
                  <c:v>42438</c:v>
                </c:pt>
                <c:pt idx="167">
                  <c:v>42437</c:v>
                </c:pt>
                <c:pt idx="168">
                  <c:v>42436</c:v>
                </c:pt>
                <c:pt idx="169">
                  <c:v>42433</c:v>
                </c:pt>
                <c:pt idx="170">
                  <c:v>42432</c:v>
                </c:pt>
                <c:pt idx="171">
                  <c:v>42431</c:v>
                </c:pt>
                <c:pt idx="172">
                  <c:v>42430</c:v>
                </c:pt>
                <c:pt idx="173">
                  <c:v>42429</c:v>
                </c:pt>
                <c:pt idx="174">
                  <c:v>42426</c:v>
                </c:pt>
                <c:pt idx="175">
                  <c:v>42425</c:v>
                </c:pt>
                <c:pt idx="176">
                  <c:v>42424</c:v>
                </c:pt>
                <c:pt idx="177">
                  <c:v>42423</c:v>
                </c:pt>
                <c:pt idx="178">
                  <c:v>42422</c:v>
                </c:pt>
                <c:pt idx="179">
                  <c:v>42419</c:v>
                </c:pt>
                <c:pt idx="180">
                  <c:v>42418</c:v>
                </c:pt>
                <c:pt idx="181">
                  <c:v>42417</c:v>
                </c:pt>
                <c:pt idx="182">
                  <c:v>42416</c:v>
                </c:pt>
                <c:pt idx="183">
                  <c:v>42415</c:v>
                </c:pt>
                <c:pt idx="184">
                  <c:v>42412</c:v>
                </c:pt>
                <c:pt idx="185">
                  <c:v>42411</c:v>
                </c:pt>
                <c:pt idx="186">
                  <c:v>42410</c:v>
                </c:pt>
                <c:pt idx="187">
                  <c:v>42409</c:v>
                </c:pt>
                <c:pt idx="188">
                  <c:v>42408</c:v>
                </c:pt>
                <c:pt idx="189">
                  <c:v>42405</c:v>
                </c:pt>
                <c:pt idx="190">
                  <c:v>42404</c:v>
                </c:pt>
                <c:pt idx="191">
                  <c:v>42403</c:v>
                </c:pt>
                <c:pt idx="192">
                  <c:v>42402</c:v>
                </c:pt>
                <c:pt idx="193">
                  <c:v>42401</c:v>
                </c:pt>
                <c:pt idx="194">
                  <c:v>42398</c:v>
                </c:pt>
                <c:pt idx="195">
                  <c:v>42397</c:v>
                </c:pt>
                <c:pt idx="196">
                  <c:v>42396</c:v>
                </c:pt>
                <c:pt idx="197">
                  <c:v>42395</c:v>
                </c:pt>
                <c:pt idx="198">
                  <c:v>42394</c:v>
                </c:pt>
                <c:pt idx="199">
                  <c:v>42391</c:v>
                </c:pt>
                <c:pt idx="200">
                  <c:v>42390</c:v>
                </c:pt>
                <c:pt idx="201">
                  <c:v>42389</c:v>
                </c:pt>
                <c:pt idx="202">
                  <c:v>42388</c:v>
                </c:pt>
                <c:pt idx="203">
                  <c:v>42387</c:v>
                </c:pt>
                <c:pt idx="204">
                  <c:v>42384</c:v>
                </c:pt>
                <c:pt idx="205">
                  <c:v>42383</c:v>
                </c:pt>
                <c:pt idx="206">
                  <c:v>42382</c:v>
                </c:pt>
                <c:pt idx="207">
                  <c:v>42381</c:v>
                </c:pt>
                <c:pt idx="208">
                  <c:v>42380</c:v>
                </c:pt>
                <c:pt idx="209">
                  <c:v>42377</c:v>
                </c:pt>
                <c:pt idx="210">
                  <c:v>42376</c:v>
                </c:pt>
                <c:pt idx="211">
                  <c:v>42375</c:v>
                </c:pt>
                <c:pt idx="212">
                  <c:v>42374</c:v>
                </c:pt>
                <c:pt idx="213">
                  <c:v>42373</c:v>
                </c:pt>
                <c:pt idx="214">
                  <c:v>42370</c:v>
                </c:pt>
                <c:pt idx="215">
                  <c:v>42369</c:v>
                </c:pt>
                <c:pt idx="216">
                  <c:v>42368</c:v>
                </c:pt>
                <c:pt idx="217">
                  <c:v>42367</c:v>
                </c:pt>
                <c:pt idx="218">
                  <c:v>42366</c:v>
                </c:pt>
                <c:pt idx="219">
                  <c:v>42363</c:v>
                </c:pt>
                <c:pt idx="220">
                  <c:v>42362</c:v>
                </c:pt>
                <c:pt idx="221">
                  <c:v>42361</c:v>
                </c:pt>
                <c:pt idx="222">
                  <c:v>42360</c:v>
                </c:pt>
                <c:pt idx="223">
                  <c:v>42359</c:v>
                </c:pt>
                <c:pt idx="224">
                  <c:v>42356</c:v>
                </c:pt>
                <c:pt idx="225">
                  <c:v>42355</c:v>
                </c:pt>
                <c:pt idx="226">
                  <c:v>42354</c:v>
                </c:pt>
                <c:pt idx="227">
                  <c:v>42353</c:v>
                </c:pt>
                <c:pt idx="228">
                  <c:v>42352</c:v>
                </c:pt>
                <c:pt idx="229">
                  <c:v>42349</c:v>
                </c:pt>
                <c:pt idx="230">
                  <c:v>42348</c:v>
                </c:pt>
                <c:pt idx="231">
                  <c:v>42347</c:v>
                </c:pt>
                <c:pt idx="232">
                  <c:v>42346</c:v>
                </c:pt>
                <c:pt idx="233">
                  <c:v>42345</c:v>
                </c:pt>
                <c:pt idx="234">
                  <c:v>42342</c:v>
                </c:pt>
                <c:pt idx="235">
                  <c:v>42341</c:v>
                </c:pt>
                <c:pt idx="236">
                  <c:v>42340</c:v>
                </c:pt>
                <c:pt idx="237">
                  <c:v>42339</c:v>
                </c:pt>
                <c:pt idx="238">
                  <c:v>42338</c:v>
                </c:pt>
                <c:pt idx="239">
                  <c:v>42335</c:v>
                </c:pt>
                <c:pt idx="240">
                  <c:v>42334</c:v>
                </c:pt>
                <c:pt idx="241">
                  <c:v>42333</c:v>
                </c:pt>
                <c:pt idx="242">
                  <c:v>42332</c:v>
                </c:pt>
                <c:pt idx="243">
                  <c:v>42331</c:v>
                </c:pt>
                <c:pt idx="244">
                  <c:v>42328</c:v>
                </c:pt>
                <c:pt idx="245">
                  <c:v>42327</c:v>
                </c:pt>
                <c:pt idx="246">
                  <c:v>42326</c:v>
                </c:pt>
                <c:pt idx="247">
                  <c:v>42325</c:v>
                </c:pt>
                <c:pt idx="248">
                  <c:v>42324</c:v>
                </c:pt>
                <c:pt idx="249">
                  <c:v>42321</c:v>
                </c:pt>
                <c:pt idx="250">
                  <c:v>42320</c:v>
                </c:pt>
                <c:pt idx="251">
                  <c:v>42319</c:v>
                </c:pt>
                <c:pt idx="252">
                  <c:v>42318</c:v>
                </c:pt>
                <c:pt idx="253">
                  <c:v>42317</c:v>
                </c:pt>
                <c:pt idx="254">
                  <c:v>42314</c:v>
                </c:pt>
                <c:pt idx="255">
                  <c:v>42313</c:v>
                </c:pt>
                <c:pt idx="256">
                  <c:v>42312</c:v>
                </c:pt>
                <c:pt idx="257">
                  <c:v>42311</c:v>
                </c:pt>
                <c:pt idx="258">
                  <c:v>42310</c:v>
                </c:pt>
                <c:pt idx="259">
                  <c:v>42307</c:v>
                </c:pt>
                <c:pt idx="260">
                  <c:v>42306</c:v>
                </c:pt>
                <c:pt idx="261">
                  <c:v>42305</c:v>
                </c:pt>
              </c:numCache>
            </c:numRef>
          </c:xVal>
          <c:yVal>
            <c:numRef>
              <c:f>Informe5!$AO$6:$AO$267</c:f>
              <c:numCache>
                <c:formatCode>General</c:formatCode>
                <c:ptCount val="262"/>
                <c:pt idx="0">
                  <c:v>-6.0000000000000053E-2</c:v>
                </c:pt>
                <c:pt idx="1">
                  <c:v>-6.999999999999984E-2</c:v>
                </c:pt>
                <c:pt idx="2">
                  <c:v>-6.4999999999999947E-2</c:v>
                </c:pt>
                <c:pt idx="3">
                  <c:v>-7.50000000000004E-2</c:v>
                </c:pt>
                <c:pt idx="4">
                  <c:v>-7.9999999999999849E-2</c:v>
                </c:pt>
                <c:pt idx="5">
                  <c:v>-7.4999999999999956E-2</c:v>
                </c:pt>
                <c:pt idx="6">
                  <c:v>-7.5000000000000178E-2</c:v>
                </c:pt>
                <c:pt idx="7">
                  <c:v>-0.10499999999999998</c:v>
                </c:pt>
                <c:pt idx="8">
                  <c:v>-8.4999999999999964E-2</c:v>
                </c:pt>
                <c:pt idx="9">
                  <c:v>-9.000000000000008E-2</c:v>
                </c:pt>
                <c:pt idx="10">
                  <c:v>-9.000000000000008E-2</c:v>
                </c:pt>
                <c:pt idx="11">
                  <c:v>-8.0000000000000293E-2</c:v>
                </c:pt>
                <c:pt idx="12">
                  <c:v>-7.5000000000000178E-2</c:v>
                </c:pt>
                <c:pt idx="13">
                  <c:v>-0.10499999999999976</c:v>
                </c:pt>
                <c:pt idx="14">
                  <c:v>-0.10499999999999998</c:v>
                </c:pt>
                <c:pt idx="15">
                  <c:v>-6.9999999999999618E-2</c:v>
                </c:pt>
                <c:pt idx="16">
                  <c:v>-8.4999999999999742E-2</c:v>
                </c:pt>
                <c:pt idx="17">
                  <c:v>-7.5000000000000178E-2</c:v>
                </c:pt>
                <c:pt idx="18">
                  <c:v>-7.0000000000000284E-2</c:v>
                </c:pt>
                <c:pt idx="19">
                  <c:v>-6.9999999999999618E-2</c:v>
                </c:pt>
                <c:pt idx="20">
                  <c:v>-6.0000000000000053E-2</c:v>
                </c:pt>
                <c:pt idx="21">
                  <c:v>-7.9999999999999849E-2</c:v>
                </c:pt>
                <c:pt idx="22">
                  <c:v>-7.4999999999999956E-2</c:v>
                </c:pt>
                <c:pt idx="23">
                  <c:v>-5.4999999999999938E-2</c:v>
                </c:pt>
                <c:pt idx="24">
                  <c:v>-7.4999999999999956E-2</c:v>
                </c:pt>
                <c:pt idx="25">
                  <c:v>-7.9999999999999849E-2</c:v>
                </c:pt>
                <c:pt idx="26">
                  <c:v>-7.5000000000000178E-2</c:v>
                </c:pt>
                <c:pt idx="27">
                  <c:v>-8.5000000000000187E-2</c:v>
                </c:pt>
                <c:pt idx="28">
                  <c:v>-8.0000000000000071E-2</c:v>
                </c:pt>
                <c:pt idx="29">
                  <c:v>-0.10499999999999976</c:v>
                </c:pt>
                <c:pt idx="30">
                  <c:v>-8.4999999999999964E-2</c:v>
                </c:pt>
                <c:pt idx="31">
                  <c:v>-0.10499999999999998</c:v>
                </c:pt>
                <c:pt idx="32">
                  <c:v>-0.11499999999999999</c:v>
                </c:pt>
                <c:pt idx="33">
                  <c:v>-0.11999999999999988</c:v>
                </c:pt>
                <c:pt idx="34">
                  <c:v>-0.11500000000000021</c:v>
                </c:pt>
                <c:pt idx="35">
                  <c:v>-9.4999999999999751E-2</c:v>
                </c:pt>
                <c:pt idx="36">
                  <c:v>-6.5000000000000169E-2</c:v>
                </c:pt>
                <c:pt idx="37">
                  <c:v>-6.0000000000000053E-2</c:v>
                </c:pt>
                <c:pt idx="38">
                  <c:v>-5.9999999999999831E-2</c:v>
                </c:pt>
                <c:pt idx="39">
                  <c:v>-4.9999999999999822E-2</c:v>
                </c:pt>
                <c:pt idx="40">
                  <c:v>-6.4999999999999725E-2</c:v>
                </c:pt>
                <c:pt idx="41">
                  <c:v>-6.0000000000000275E-2</c:v>
                </c:pt>
                <c:pt idx="42">
                  <c:v>-6.5000000000000169E-2</c:v>
                </c:pt>
                <c:pt idx="43">
                  <c:v>-6.5000000000000391E-2</c:v>
                </c:pt>
                <c:pt idx="44">
                  <c:v>-7.0000000000000284E-2</c:v>
                </c:pt>
                <c:pt idx="45">
                  <c:v>-7.5000000000000178E-2</c:v>
                </c:pt>
                <c:pt idx="46">
                  <c:v>-7.9999999999999849E-2</c:v>
                </c:pt>
                <c:pt idx="47">
                  <c:v>-0.11499999999999999</c:v>
                </c:pt>
                <c:pt idx="48">
                  <c:v>-0.10999999999999988</c:v>
                </c:pt>
                <c:pt idx="49">
                  <c:v>-9.9999999999999867E-2</c:v>
                </c:pt>
                <c:pt idx="50">
                  <c:v>-8.4999999999999964E-2</c:v>
                </c:pt>
                <c:pt idx="51">
                  <c:v>-6.5000000000000169E-2</c:v>
                </c:pt>
                <c:pt idx="52">
                  <c:v>-7.0000000000000062E-2</c:v>
                </c:pt>
                <c:pt idx="53">
                  <c:v>-7.4999999999999956E-2</c:v>
                </c:pt>
                <c:pt idx="54">
                  <c:v>-7.4999999999999956E-2</c:v>
                </c:pt>
                <c:pt idx="55">
                  <c:v>-6.0000000000000053E-2</c:v>
                </c:pt>
                <c:pt idx="56">
                  <c:v>-7.5000000000000178E-2</c:v>
                </c:pt>
                <c:pt idx="57">
                  <c:v>-7.4999999999999956E-2</c:v>
                </c:pt>
                <c:pt idx="58">
                  <c:v>-6.4999999999999725E-2</c:v>
                </c:pt>
                <c:pt idx="59">
                  <c:v>-6.0000000000000053E-2</c:v>
                </c:pt>
                <c:pt idx="60">
                  <c:v>-0.1050000000000002</c:v>
                </c:pt>
                <c:pt idx="61">
                  <c:v>-8.0000000000000071E-2</c:v>
                </c:pt>
                <c:pt idx="62">
                  <c:v>-6.999999999999984E-2</c:v>
                </c:pt>
                <c:pt idx="63">
                  <c:v>-3.9999999999999813E-2</c:v>
                </c:pt>
                <c:pt idx="64">
                  <c:v>-6.0000000000000053E-2</c:v>
                </c:pt>
                <c:pt idx="65">
                  <c:v>-2.5000000000000133E-2</c:v>
                </c:pt>
                <c:pt idx="66">
                  <c:v>-2.5000000000000133E-2</c:v>
                </c:pt>
                <c:pt idx="67">
                  <c:v>-2.9999999999999805E-2</c:v>
                </c:pt>
                <c:pt idx="68">
                  <c:v>-2.4999999999999911E-2</c:v>
                </c:pt>
                <c:pt idx="69">
                  <c:v>-5.4999999999999938E-2</c:v>
                </c:pt>
                <c:pt idx="70">
                  <c:v>-9.5000000000000195E-2</c:v>
                </c:pt>
                <c:pt idx="71">
                  <c:v>-6.0000000000000053E-2</c:v>
                </c:pt>
                <c:pt idx="72">
                  <c:v>-6.4999999999999947E-2</c:v>
                </c:pt>
                <c:pt idx="73">
                  <c:v>-6.0000000000000053E-2</c:v>
                </c:pt>
                <c:pt idx="74">
                  <c:v>-5.0000000000000266E-2</c:v>
                </c:pt>
                <c:pt idx="75">
                  <c:v>-7.0000000000000284E-2</c:v>
                </c:pt>
                <c:pt idx="76">
                  <c:v>-6.0000000000000053E-2</c:v>
                </c:pt>
                <c:pt idx="77">
                  <c:v>-5.4999999999999716E-2</c:v>
                </c:pt>
                <c:pt idx="78">
                  <c:v>-7.9999999999999849E-2</c:v>
                </c:pt>
                <c:pt idx="79">
                  <c:v>-8.5000000000000187E-2</c:v>
                </c:pt>
                <c:pt idx="80">
                  <c:v>-9.4999999999999751E-2</c:v>
                </c:pt>
                <c:pt idx="81">
                  <c:v>-7.0000000000000062E-2</c:v>
                </c:pt>
                <c:pt idx="82">
                  <c:v>-8.4999999999999964E-2</c:v>
                </c:pt>
                <c:pt idx="83">
                  <c:v>-9.4999999999999973E-2</c:v>
                </c:pt>
                <c:pt idx="84">
                  <c:v>-6.4999999999999725E-2</c:v>
                </c:pt>
                <c:pt idx="85">
                  <c:v>-6.4999999999999725E-2</c:v>
                </c:pt>
                <c:pt idx="86">
                  <c:v>-4.4999999999999929E-2</c:v>
                </c:pt>
                <c:pt idx="87">
                  <c:v>-7.0000000000000062E-2</c:v>
                </c:pt>
                <c:pt idx="88">
                  <c:v>-4.5000000000000373E-2</c:v>
                </c:pt>
                <c:pt idx="89">
                  <c:v>-4.0000000000000258E-2</c:v>
                </c:pt>
                <c:pt idx="90">
                  <c:v>-4.5000000000000151E-2</c:v>
                </c:pt>
                <c:pt idx="91">
                  <c:v>-3.499999999999992E-2</c:v>
                </c:pt>
                <c:pt idx="92">
                  <c:v>-4.5000000000000151E-2</c:v>
                </c:pt>
                <c:pt idx="93">
                  <c:v>-3.0000000000000471E-2</c:v>
                </c:pt>
                <c:pt idx="94">
                  <c:v>-4.0000000000000036E-2</c:v>
                </c:pt>
                <c:pt idx="95">
                  <c:v>-3.0000000000000249E-2</c:v>
                </c:pt>
                <c:pt idx="96">
                  <c:v>-3.0000000000000027E-2</c:v>
                </c:pt>
                <c:pt idx="97">
                  <c:v>-3.4999999999999476E-2</c:v>
                </c:pt>
                <c:pt idx="98">
                  <c:v>-4.0000000000000258E-2</c:v>
                </c:pt>
                <c:pt idx="99">
                  <c:v>-2.4999999999999911E-2</c:v>
                </c:pt>
                <c:pt idx="100">
                  <c:v>-2.0000000000000018E-2</c:v>
                </c:pt>
                <c:pt idx="101">
                  <c:v>5.0000000000003375E-3</c:v>
                </c:pt>
                <c:pt idx="102">
                  <c:v>-1.499999999999968E-2</c:v>
                </c:pt>
                <c:pt idx="103">
                  <c:v>-6.0000000000000053E-2</c:v>
                </c:pt>
                <c:pt idx="104">
                  <c:v>-2.0000000000000462E-2</c:v>
                </c:pt>
                <c:pt idx="105">
                  <c:v>-2.9999999999999583E-2</c:v>
                </c:pt>
                <c:pt idx="106">
                  <c:v>-2.5000000000000355E-2</c:v>
                </c:pt>
                <c:pt idx="107">
                  <c:v>-1.5000000000000124E-2</c:v>
                </c:pt>
                <c:pt idx="108">
                  <c:v>-2.0000000000000018E-2</c:v>
                </c:pt>
                <c:pt idx="109">
                  <c:v>-1.4999999999999458E-2</c:v>
                </c:pt>
                <c:pt idx="110">
                  <c:v>-2.0000000000000018E-2</c:v>
                </c:pt>
                <c:pt idx="111">
                  <c:v>-1.9999999999999352E-2</c:v>
                </c:pt>
                <c:pt idx="112">
                  <c:v>-2.5000000000000133E-2</c:v>
                </c:pt>
                <c:pt idx="113">
                  <c:v>-3.9999999999999591E-2</c:v>
                </c:pt>
                <c:pt idx="114">
                  <c:v>-3.9999999999999813E-2</c:v>
                </c:pt>
                <c:pt idx="115">
                  <c:v>-3.0000000000000027E-2</c:v>
                </c:pt>
                <c:pt idx="116">
                  <c:v>-4.0000000000000036E-2</c:v>
                </c:pt>
                <c:pt idx="117">
                  <c:v>-7.0000000000000062E-2</c:v>
                </c:pt>
                <c:pt idx="118">
                  <c:v>-4.9999999999999822E-2</c:v>
                </c:pt>
                <c:pt idx="119">
                  <c:v>-4.5000000000000151E-2</c:v>
                </c:pt>
                <c:pt idx="120">
                  <c:v>-3.5000000000000142E-2</c:v>
                </c:pt>
                <c:pt idx="121">
                  <c:v>-4.9999999999999822E-2</c:v>
                </c:pt>
                <c:pt idx="122">
                  <c:v>-5.5000000000000604E-2</c:v>
                </c:pt>
                <c:pt idx="123">
                  <c:v>-4.5000000000000373E-2</c:v>
                </c:pt>
                <c:pt idx="124">
                  <c:v>-3.9999999999999813E-2</c:v>
                </c:pt>
                <c:pt idx="125">
                  <c:v>-4.4999999999999929E-2</c:v>
                </c:pt>
                <c:pt idx="126">
                  <c:v>-4.5000000000000373E-2</c:v>
                </c:pt>
                <c:pt idx="127">
                  <c:v>-4.0000000000000036E-2</c:v>
                </c:pt>
                <c:pt idx="128">
                  <c:v>-3.0000000000000693E-2</c:v>
                </c:pt>
                <c:pt idx="129">
                  <c:v>-3.0000000000000693E-2</c:v>
                </c:pt>
                <c:pt idx="130">
                  <c:v>-2.4999999999999911E-2</c:v>
                </c:pt>
                <c:pt idx="131">
                  <c:v>-1.0000000000000231E-2</c:v>
                </c:pt>
                <c:pt idx="132">
                  <c:v>-9.9999999999993427E-3</c:v>
                </c:pt>
                <c:pt idx="133">
                  <c:v>-1.499999999999968E-2</c:v>
                </c:pt>
                <c:pt idx="134">
                  <c:v>-1.499999999999968E-2</c:v>
                </c:pt>
                <c:pt idx="135">
                  <c:v>-2.4999999999999911E-2</c:v>
                </c:pt>
                <c:pt idx="136">
                  <c:v>4.4408920985006262E-16</c:v>
                </c:pt>
                <c:pt idx="137">
                  <c:v>-4.4408920985006262E-16</c:v>
                </c:pt>
                <c:pt idx="138">
                  <c:v>1.0000000000000009E-2</c:v>
                </c:pt>
                <c:pt idx="139">
                  <c:v>1.4999999999999902E-2</c:v>
                </c:pt>
                <c:pt idx="140">
                  <c:v>-6.5000000000000391E-2</c:v>
                </c:pt>
                <c:pt idx="141">
                  <c:v>1.0000000000000231E-2</c:v>
                </c:pt>
                <c:pt idx="142">
                  <c:v>-1.0000000000000453E-2</c:v>
                </c:pt>
                <c:pt idx="143">
                  <c:v>-1.4999999999999902E-2</c:v>
                </c:pt>
                <c:pt idx="144">
                  <c:v>-4.4999999999999929E-2</c:v>
                </c:pt>
                <c:pt idx="145">
                  <c:v>-3.4999999999999698E-2</c:v>
                </c:pt>
                <c:pt idx="146">
                  <c:v>-3.499999999999992E-2</c:v>
                </c:pt>
                <c:pt idx="147">
                  <c:v>-2.5000000000000355E-2</c:v>
                </c:pt>
                <c:pt idx="148">
                  <c:v>-3.9999999999999813E-2</c:v>
                </c:pt>
                <c:pt idx="149">
                  <c:v>-3.0000000000000249E-2</c:v>
                </c:pt>
                <c:pt idx="150">
                  <c:v>-1.9999999999999574E-2</c:v>
                </c:pt>
                <c:pt idx="151">
                  <c:v>-2.5000000000000577E-2</c:v>
                </c:pt>
                <c:pt idx="152">
                  <c:v>-1.499999999999968E-2</c:v>
                </c:pt>
                <c:pt idx="153">
                  <c:v>4.9999999999996714E-3</c:v>
                </c:pt>
                <c:pt idx="154">
                  <c:v>4.9999999999996714E-3</c:v>
                </c:pt>
                <c:pt idx="155">
                  <c:v>2.0000000000000018E-2</c:v>
                </c:pt>
                <c:pt idx="156">
                  <c:v>1.5000000000000124E-2</c:v>
                </c:pt>
                <c:pt idx="157">
                  <c:v>1.5000000000000346E-2</c:v>
                </c:pt>
                <c:pt idx="158">
                  <c:v>2.4999999999999911E-2</c:v>
                </c:pt>
                <c:pt idx="159">
                  <c:v>2.000000000000024E-2</c:v>
                </c:pt>
                <c:pt idx="160">
                  <c:v>-3.0000000000000027E-2</c:v>
                </c:pt>
                <c:pt idx="161">
                  <c:v>5.0000000000003375E-3</c:v>
                </c:pt>
                <c:pt idx="162">
                  <c:v>9.9999999999995648E-3</c:v>
                </c:pt>
                <c:pt idx="163">
                  <c:v>4.9999999999996714E-3</c:v>
                </c:pt>
                <c:pt idx="164">
                  <c:v>-4.9999999999998934E-3</c:v>
                </c:pt>
                <c:pt idx="165">
                  <c:v>-4.9999999999996714E-3</c:v>
                </c:pt>
                <c:pt idx="166">
                  <c:v>5.0000000000001155E-3</c:v>
                </c:pt>
                <c:pt idx="167">
                  <c:v>0</c:v>
                </c:pt>
                <c:pt idx="168">
                  <c:v>-2.4999999999999689E-2</c:v>
                </c:pt>
                <c:pt idx="169">
                  <c:v>-4.000000000000048E-2</c:v>
                </c:pt>
                <c:pt idx="170">
                  <c:v>-3.5000000000000364E-2</c:v>
                </c:pt>
                <c:pt idx="171">
                  <c:v>-3.9999999999999591E-2</c:v>
                </c:pt>
                <c:pt idx="172">
                  <c:v>-3.0000000000000027E-2</c:v>
                </c:pt>
                <c:pt idx="173">
                  <c:v>-5.500000000000016E-2</c:v>
                </c:pt>
                <c:pt idx="174">
                  <c:v>-5.4999999999999494E-2</c:v>
                </c:pt>
                <c:pt idx="175">
                  <c:v>-5.9999999999999831E-2</c:v>
                </c:pt>
                <c:pt idx="176">
                  <c:v>-5.4999999999999494E-2</c:v>
                </c:pt>
                <c:pt idx="177">
                  <c:v>-6.0000000000000053E-2</c:v>
                </c:pt>
                <c:pt idx="178">
                  <c:v>-7.0000000000000506E-2</c:v>
                </c:pt>
                <c:pt idx="179">
                  <c:v>-6.4999999999999725E-2</c:v>
                </c:pt>
                <c:pt idx="180">
                  <c:v>-5.9999999999999831E-2</c:v>
                </c:pt>
                <c:pt idx="181">
                  <c:v>-7.0000000000000506E-2</c:v>
                </c:pt>
                <c:pt idx="182">
                  <c:v>-6.0000000000000053E-2</c:v>
                </c:pt>
                <c:pt idx="183">
                  <c:v>-5.9999999999999831E-2</c:v>
                </c:pt>
                <c:pt idx="184">
                  <c:v>-5.500000000000016E-2</c:v>
                </c:pt>
                <c:pt idx="185">
                  <c:v>-5.4999999999999716E-2</c:v>
                </c:pt>
                <c:pt idx="186">
                  <c:v>-2.9999999999999805E-2</c:v>
                </c:pt>
                <c:pt idx="187">
                  <c:v>-5.500000000000016E-2</c:v>
                </c:pt>
                <c:pt idx="188">
                  <c:v>-4.5000000000000151E-2</c:v>
                </c:pt>
                <c:pt idx="189">
                  <c:v>-5.0000000000000488E-2</c:v>
                </c:pt>
                <c:pt idx="190">
                  <c:v>-3.9999999999999813E-2</c:v>
                </c:pt>
                <c:pt idx="191">
                  <c:v>-3.5000000000000142E-2</c:v>
                </c:pt>
                <c:pt idx="192">
                  <c:v>-5.4999999999999716E-2</c:v>
                </c:pt>
                <c:pt idx="193">
                  <c:v>-3.0000000000000471E-2</c:v>
                </c:pt>
                <c:pt idx="194">
                  <c:v>-2.4999999999999689E-2</c:v>
                </c:pt>
                <c:pt idx="195">
                  <c:v>-1.9999999999999574E-2</c:v>
                </c:pt>
                <c:pt idx="196">
                  <c:v>-2.9999999999999583E-2</c:v>
                </c:pt>
                <c:pt idx="197">
                  <c:v>-4.4999999999999929E-2</c:v>
                </c:pt>
                <c:pt idx="198">
                  <c:v>-4.0000000000000258E-2</c:v>
                </c:pt>
                <c:pt idx="199">
                  <c:v>-3.5000000000000142E-2</c:v>
                </c:pt>
                <c:pt idx="200">
                  <c:v>-3.5000000000000364E-2</c:v>
                </c:pt>
                <c:pt idx="201">
                  <c:v>-3.0000000000000471E-2</c:v>
                </c:pt>
                <c:pt idx="202">
                  <c:v>-4.0000000000000036E-2</c:v>
                </c:pt>
                <c:pt idx="203">
                  <c:v>-2.4999999999999689E-2</c:v>
                </c:pt>
                <c:pt idx="204">
                  <c:v>-2.4999999999999911E-2</c:v>
                </c:pt>
                <c:pt idx="205">
                  <c:v>-9.9999999999997868E-3</c:v>
                </c:pt>
                <c:pt idx="206">
                  <c:v>-1.5000000000000346E-2</c:v>
                </c:pt>
                <c:pt idx="207">
                  <c:v>-1.9999999999999574E-2</c:v>
                </c:pt>
                <c:pt idx="208">
                  <c:v>-1.9999999999999574E-2</c:v>
                </c:pt>
                <c:pt idx="209">
                  <c:v>-2.0000000000000018E-2</c:v>
                </c:pt>
                <c:pt idx="210">
                  <c:v>-1.499999999999968E-2</c:v>
                </c:pt>
                <c:pt idx="211">
                  <c:v>-5.0000000000003375E-3</c:v>
                </c:pt>
                <c:pt idx="212">
                  <c:v>-9.9999999999997868E-3</c:v>
                </c:pt>
                <c:pt idx="213">
                  <c:v>-1.9999999999999574E-2</c:v>
                </c:pt>
                <c:pt idx="214">
                  <c:v>-1.9999999999999574E-2</c:v>
                </c:pt>
                <c:pt idx="215">
                  <c:v>-1.9999999999999574E-2</c:v>
                </c:pt>
                <c:pt idx="216">
                  <c:v>-2.0000000000000462E-2</c:v>
                </c:pt>
                <c:pt idx="217">
                  <c:v>-1.9999999999999574E-2</c:v>
                </c:pt>
                <c:pt idx="218">
                  <c:v>-1.4999999999999902E-2</c:v>
                </c:pt>
                <c:pt idx="219">
                  <c:v>-1.4999999999999902E-2</c:v>
                </c:pt>
                <c:pt idx="220">
                  <c:v>-2.4999999999999689E-2</c:v>
                </c:pt>
                <c:pt idx="221">
                  <c:v>-2.0000000000000018E-2</c:v>
                </c:pt>
                <c:pt idx="222">
                  <c:v>-9.9999999999993427E-3</c:v>
                </c:pt>
                <c:pt idx="223">
                  <c:v>-5.0000000000003375E-3</c:v>
                </c:pt>
                <c:pt idx="224">
                  <c:v>-3.0000000000000249E-2</c:v>
                </c:pt>
                <c:pt idx="225">
                  <c:v>4.4999999999999929E-2</c:v>
                </c:pt>
                <c:pt idx="226">
                  <c:v>-4.9999999999998934E-3</c:v>
                </c:pt>
                <c:pt idx="227">
                  <c:v>4.9999999999994493E-3</c:v>
                </c:pt>
                <c:pt idx="228">
                  <c:v>1.0000000000000231E-2</c:v>
                </c:pt>
                <c:pt idx="229">
                  <c:v>-9.9999999999997868E-3</c:v>
                </c:pt>
                <c:pt idx="230">
                  <c:v>0</c:v>
                </c:pt>
                <c:pt idx="231">
                  <c:v>-4.4408920985006262E-16</c:v>
                </c:pt>
                <c:pt idx="232">
                  <c:v>-4.4408920985006262E-16</c:v>
                </c:pt>
                <c:pt idx="233">
                  <c:v>-1.9999999999999796E-2</c:v>
                </c:pt>
                <c:pt idx="234">
                  <c:v>-3.0000000000000249E-2</c:v>
                </c:pt>
                <c:pt idx="235">
                  <c:v>-2.0000000000000018E-2</c:v>
                </c:pt>
                <c:pt idx="236">
                  <c:v>-1.5000000000000568E-2</c:v>
                </c:pt>
                <c:pt idx="237">
                  <c:v>-5.0000000000000488E-2</c:v>
                </c:pt>
                <c:pt idx="238">
                  <c:v>-3.0000000000000471E-2</c:v>
                </c:pt>
                <c:pt idx="239">
                  <c:v>-2.0000000000000462E-2</c:v>
                </c:pt>
                <c:pt idx="240">
                  <c:v>-1.4999999999999902E-2</c:v>
                </c:pt>
                <c:pt idx="241">
                  <c:v>2.2204460492503131E-16</c:v>
                </c:pt>
                <c:pt idx="242">
                  <c:v>-1.0000000000000009E-2</c:v>
                </c:pt>
                <c:pt idx="243">
                  <c:v>0</c:v>
                </c:pt>
                <c:pt idx="244">
                  <c:v>4.9999999999998934E-3</c:v>
                </c:pt>
                <c:pt idx="245">
                  <c:v>9.9999999999997868E-3</c:v>
                </c:pt>
                <c:pt idx="246">
                  <c:v>2.5000000000000355E-2</c:v>
                </c:pt>
                <c:pt idx="247">
                  <c:v>4.5000000000000151E-2</c:v>
                </c:pt>
                <c:pt idx="248">
                  <c:v>4.0000000000000036E-2</c:v>
                </c:pt>
                <c:pt idx="249">
                  <c:v>4.4999999999999929E-2</c:v>
                </c:pt>
                <c:pt idx="250">
                  <c:v>4.4999999999999929E-2</c:v>
                </c:pt>
                <c:pt idx="251">
                  <c:v>2.0000000000000018E-2</c:v>
                </c:pt>
                <c:pt idx="252">
                  <c:v>4.000000000000048E-2</c:v>
                </c:pt>
                <c:pt idx="253">
                  <c:v>5.0000000000000044E-2</c:v>
                </c:pt>
                <c:pt idx="254">
                  <c:v>4.5000000000000151E-2</c:v>
                </c:pt>
                <c:pt idx="255">
                  <c:v>2.0000000000000462E-2</c:v>
                </c:pt>
                <c:pt idx="256">
                  <c:v>2.4999999999999689E-2</c:v>
                </c:pt>
                <c:pt idx="257">
                  <c:v>5.0000000000001155E-3</c:v>
                </c:pt>
                <c:pt idx="258">
                  <c:v>-2.2204460492503131E-16</c:v>
                </c:pt>
                <c:pt idx="259">
                  <c:v>-4.000000000000048E-2</c:v>
                </c:pt>
                <c:pt idx="260">
                  <c:v>-5.0000000000000266E-2</c:v>
                </c:pt>
                <c:pt idx="261">
                  <c:v>-6.0000000000000053E-2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Informe5!$AM$5</c:f>
              <c:strCache>
                <c:ptCount val="1"/>
                <c:pt idx="0">
                  <c:v>2s/5s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Informe5!$AE$6:$AE$267</c:f>
              <c:numCache>
                <c:formatCode>m/d/yyyy</c:formatCode>
                <c:ptCount val="262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42618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  <c:pt idx="66">
                  <c:v>42578</c:v>
                </c:pt>
                <c:pt idx="67">
                  <c:v>42577</c:v>
                </c:pt>
                <c:pt idx="68">
                  <c:v>42576</c:v>
                </c:pt>
                <c:pt idx="69">
                  <c:v>42573</c:v>
                </c:pt>
                <c:pt idx="70">
                  <c:v>42572</c:v>
                </c:pt>
                <c:pt idx="71">
                  <c:v>42571</c:v>
                </c:pt>
                <c:pt idx="72">
                  <c:v>42570</c:v>
                </c:pt>
                <c:pt idx="73">
                  <c:v>42569</c:v>
                </c:pt>
                <c:pt idx="74">
                  <c:v>42566</c:v>
                </c:pt>
                <c:pt idx="75">
                  <c:v>42565</c:v>
                </c:pt>
                <c:pt idx="76">
                  <c:v>42564</c:v>
                </c:pt>
                <c:pt idx="77">
                  <c:v>42563</c:v>
                </c:pt>
                <c:pt idx="78">
                  <c:v>42562</c:v>
                </c:pt>
                <c:pt idx="79">
                  <c:v>42559</c:v>
                </c:pt>
                <c:pt idx="80">
                  <c:v>42558</c:v>
                </c:pt>
                <c:pt idx="81">
                  <c:v>42557</c:v>
                </c:pt>
                <c:pt idx="82">
                  <c:v>42556</c:v>
                </c:pt>
                <c:pt idx="83">
                  <c:v>42555</c:v>
                </c:pt>
                <c:pt idx="84">
                  <c:v>42552</c:v>
                </c:pt>
                <c:pt idx="85">
                  <c:v>42551</c:v>
                </c:pt>
                <c:pt idx="86">
                  <c:v>42550</c:v>
                </c:pt>
                <c:pt idx="87">
                  <c:v>42549</c:v>
                </c:pt>
                <c:pt idx="88">
                  <c:v>42548</c:v>
                </c:pt>
                <c:pt idx="89">
                  <c:v>42545</c:v>
                </c:pt>
                <c:pt idx="90">
                  <c:v>42544</c:v>
                </c:pt>
                <c:pt idx="91">
                  <c:v>42543</c:v>
                </c:pt>
                <c:pt idx="92">
                  <c:v>42542</c:v>
                </c:pt>
                <c:pt idx="93">
                  <c:v>42541</c:v>
                </c:pt>
                <c:pt idx="94">
                  <c:v>42538</c:v>
                </c:pt>
                <c:pt idx="95">
                  <c:v>42537</c:v>
                </c:pt>
                <c:pt idx="96">
                  <c:v>42536</c:v>
                </c:pt>
                <c:pt idx="97">
                  <c:v>42535</c:v>
                </c:pt>
                <c:pt idx="98">
                  <c:v>42534</c:v>
                </c:pt>
                <c:pt idx="99">
                  <c:v>42531</c:v>
                </c:pt>
                <c:pt idx="100">
                  <c:v>42530</c:v>
                </c:pt>
                <c:pt idx="101">
                  <c:v>42529</c:v>
                </c:pt>
                <c:pt idx="102">
                  <c:v>42528</c:v>
                </c:pt>
                <c:pt idx="103">
                  <c:v>42527</c:v>
                </c:pt>
                <c:pt idx="104">
                  <c:v>42524</c:v>
                </c:pt>
                <c:pt idx="105">
                  <c:v>42523</c:v>
                </c:pt>
                <c:pt idx="106">
                  <c:v>42522</c:v>
                </c:pt>
                <c:pt idx="107">
                  <c:v>42521</c:v>
                </c:pt>
                <c:pt idx="108">
                  <c:v>42520</c:v>
                </c:pt>
                <c:pt idx="109">
                  <c:v>42517</c:v>
                </c:pt>
                <c:pt idx="110">
                  <c:v>42516</c:v>
                </c:pt>
                <c:pt idx="111">
                  <c:v>42515</c:v>
                </c:pt>
                <c:pt idx="112">
                  <c:v>42514</c:v>
                </c:pt>
                <c:pt idx="113">
                  <c:v>42513</c:v>
                </c:pt>
                <c:pt idx="114">
                  <c:v>42510</c:v>
                </c:pt>
                <c:pt idx="115">
                  <c:v>42509</c:v>
                </c:pt>
                <c:pt idx="116">
                  <c:v>42508</c:v>
                </c:pt>
                <c:pt idx="117">
                  <c:v>42507</c:v>
                </c:pt>
                <c:pt idx="118">
                  <c:v>42506</c:v>
                </c:pt>
                <c:pt idx="119">
                  <c:v>42503</c:v>
                </c:pt>
                <c:pt idx="120">
                  <c:v>42502</c:v>
                </c:pt>
                <c:pt idx="121">
                  <c:v>42501</c:v>
                </c:pt>
                <c:pt idx="122">
                  <c:v>42500</c:v>
                </c:pt>
                <c:pt idx="123">
                  <c:v>42499</c:v>
                </c:pt>
                <c:pt idx="124">
                  <c:v>42496</c:v>
                </c:pt>
                <c:pt idx="125">
                  <c:v>42495</c:v>
                </c:pt>
                <c:pt idx="126">
                  <c:v>42494</c:v>
                </c:pt>
                <c:pt idx="127">
                  <c:v>42493</c:v>
                </c:pt>
                <c:pt idx="128">
                  <c:v>42492</c:v>
                </c:pt>
                <c:pt idx="129">
                  <c:v>42489</c:v>
                </c:pt>
                <c:pt idx="130">
                  <c:v>42488</c:v>
                </c:pt>
                <c:pt idx="131">
                  <c:v>42487</c:v>
                </c:pt>
                <c:pt idx="132">
                  <c:v>42486</c:v>
                </c:pt>
                <c:pt idx="133">
                  <c:v>42485</c:v>
                </c:pt>
                <c:pt idx="134">
                  <c:v>42482</c:v>
                </c:pt>
                <c:pt idx="135">
                  <c:v>42481</c:v>
                </c:pt>
                <c:pt idx="136">
                  <c:v>42480</c:v>
                </c:pt>
                <c:pt idx="137">
                  <c:v>42479</c:v>
                </c:pt>
                <c:pt idx="138">
                  <c:v>42478</c:v>
                </c:pt>
                <c:pt idx="139">
                  <c:v>42475</c:v>
                </c:pt>
                <c:pt idx="140">
                  <c:v>42474</c:v>
                </c:pt>
                <c:pt idx="141">
                  <c:v>42473</c:v>
                </c:pt>
                <c:pt idx="142">
                  <c:v>42472</c:v>
                </c:pt>
                <c:pt idx="143">
                  <c:v>42471</c:v>
                </c:pt>
                <c:pt idx="144">
                  <c:v>42468</c:v>
                </c:pt>
                <c:pt idx="145">
                  <c:v>42467</c:v>
                </c:pt>
                <c:pt idx="146">
                  <c:v>42466</c:v>
                </c:pt>
                <c:pt idx="147">
                  <c:v>42465</c:v>
                </c:pt>
                <c:pt idx="148">
                  <c:v>42464</c:v>
                </c:pt>
                <c:pt idx="149">
                  <c:v>42461</c:v>
                </c:pt>
                <c:pt idx="150">
                  <c:v>42460</c:v>
                </c:pt>
                <c:pt idx="151">
                  <c:v>42459</c:v>
                </c:pt>
                <c:pt idx="152">
                  <c:v>42458</c:v>
                </c:pt>
                <c:pt idx="153">
                  <c:v>42457</c:v>
                </c:pt>
                <c:pt idx="154">
                  <c:v>42454</c:v>
                </c:pt>
                <c:pt idx="155">
                  <c:v>42453</c:v>
                </c:pt>
                <c:pt idx="156">
                  <c:v>42452</c:v>
                </c:pt>
                <c:pt idx="157">
                  <c:v>42451</c:v>
                </c:pt>
                <c:pt idx="158">
                  <c:v>42450</c:v>
                </c:pt>
                <c:pt idx="159">
                  <c:v>42447</c:v>
                </c:pt>
                <c:pt idx="160">
                  <c:v>42446</c:v>
                </c:pt>
                <c:pt idx="161">
                  <c:v>42445</c:v>
                </c:pt>
                <c:pt idx="162">
                  <c:v>42444</c:v>
                </c:pt>
                <c:pt idx="163">
                  <c:v>42443</c:v>
                </c:pt>
                <c:pt idx="164">
                  <c:v>42440</c:v>
                </c:pt>
                <c:pt idx="165">
                  <c:v>42439</c:v>
                </c:pt>
                <c:pt idx="166">
                  <c:v>42438</c:v>
                </c:pt>
                <c:pt idx="167">
                  <c:v>42437</c:v>
                </c:pt>
                <c:pt idx="168">
                  <c:v>42436</c:v>
                </c:pt>
                <c:pt idx="169">
                  <c:v>42433</c:v>
                </c:pt>
                <c:pt idx="170">
                  <c:v>42432</c:v>
                </c:pt>
                <c:pt idx="171">
                  <c:v>42431</c:v>
                </c:pt>
                <c:pt idx="172">
                  <c:v>42430</c:v>
                </c:pt>
                <c:pt idx="173">
                  <c:v>42429</c:v>
                </c:pt>
                <c:pt idx="174">
                  <c:v>42426</c:v>
                </c:pt>
                <c:pt idx="175">
                  <c:v>42425</c:v>
                </c:pt>
                <c:pt idx="176">
                  <c:v>42424</c:v>
                </c:pt>
                <c:pt idx="177">
                  <c:v>42423</c:v>
                </c:pt>
                <c:pt idx="178">
                  <c:v>42422</c:v>
                </c:pt>
                <c:pt idx="179">
                  <c:v>42419</c:v>
                </c:pt>
                <c:pt idx="180">
                  <c:v>42418</c:v>
                </c:pt>
                <c:pt idx="181">
                  <c:v>42417</c:v>
                </c:pt>
                <c:pt idx="182">
                  <c:v>42416</c:v>
                </c:pt>
                <c:pt idx="183">
                  <c:v>42415</c:v>
                </c:pt>
                <c:pt idx="184">
                  <c:v>42412</c:v>
                </c:pt>
                <c:pt idx="185">
                  <c:v>42411</c:v>
                </c:pt>
                <c:pt idx="186">
                  <c:v>42410</c:v>
                </c:pt>
                <c:pt idx="187">
                  <c:v>42409</c:v>
                </c:pt>
                <c:pt idx="188">
                  <c:v>42408</c:v>
                </c:pt>
                <c:pt idx="189">
                  <c:v>42405</c:v>
                </c:pt>
                <c:pt idx="190">
                  <c:v>42404</c:v>
                </c:pt>
                <c:pt idx="191">
                  <c:v>42403</c:v>
                </c:pt>
                <c:pt idx="192">
                  <c:v>42402</c:v>
                </c:pt>
                <c:pt idx="193">
                  <c:v>42401</c:v>
                </c:pt>
                <c:pt idx="194">
                  <c:v>42398</c:v>
                </c:pt>
                <c:pt idx="195">
                  <c:v>42397</c:v>
                </c:pt>
                <c:pt idx="196">
                  <c:v>42396</c:v>
                </c:pt>
                <c:pt idx="197">
                  <c:v>42395</c:v>
                </c:pt>
                <c:pt idx="198">
                  <c:v>42394</c:v>
                </c:pt>
                <c:pt idx="199">
                  <c:v>42391</c:v>
                </c:pt>
                <c:pt idx="200">
                  <c:v>42390</c:v>
                </c:pt>
                <c:pt idx="201">
                  <c:v>42389</c:v>
                </c:pt>
                <c:pt idx="202">
                  <c:v>42388</c:v>
                </c:pt>
                <c:pt idx="203">
                  <c:v>42387</c:v>
                </c:pt>
                <c:pt idx="204">
                  <c:v>42384</c:v>
                </c:pt>
                <c:pt idx="205">
                  <c:v>42383</c:v>
                </c:pt>
                <c:pt idx="206">
                  <c:v>42382</c:v>
                </c:pt>
                <c:pt idx="207">
                  <c:v>42381</c:v>
                </c:pt>
                <c:pt idx="208">
                  <c:v>42380</c:v>
                </c:pt>
                <c:pt idx="209">
                  <c:v>42377</c:v>
                </c:pt>
                <c:pt idx="210">
                  <c:v>42376</c:v>
                </c:pt>
                <c:pt idx="211">
                  <c:v>42375</c:v>
                </c:pt>
                <c:pt idx="212">
                  <c:v>42374</c:v>
                </c:pt>
                <c:pt idx="213">
                  <c:v>42373</c:v>
                </c:pt>
                <c:pt idx="214">
                  <c:v>42370</c:v>
                </c:pt>
                <c:pt idx="215">
                  <c:v>42369</c:v>
                </c:pt>
                <c:pt idx="216">
                  <c:v>42368</c:v>
                </c:pt>
                <c:pt idx="217">
                  <c:v>42367</c:v>
                </c:pt>
                <c:pt idx="218">
                  <c:v>42366</c:v>
                </c:pt>
                <c:pt idx="219">
                  <c:v>42363</c:v>
                </c:pt>
                <c:pt idx="220">
                  <c:v>42362</c:v>
                </c:pt>
                <c:pt idx="221">
                  <c:v>42361</c:v>
                </c:pt>
                <c:pt idx="222">
                  <c:v>42360</c:v>
                </c:pt>
                <c:pt idx="223">
                  <c:v>42359</c:v>
                </c:pt>
                <c:pt idx="224">
                  <c:v>42356</c:v>
                </c:pt>
                <c:pt idx="225">
                  <c:v>42355</c:v>
                </c:pt>
                <c:pt idx="226">
                  <c:v>42354</c:v>
                </c:pt>
                <c:pt idx="227">
                  <c:v>42353</c:v>
                </c:pt>
                <c:pt idx="228">
                  <c:v>42352</c:v>
                </c:pt>
                <c:pt idx="229">
                  <c:v>42349</c:v>
                </c:pt>
                <c:pt idx="230">
                  <c:v>42348</c:v>
                </c:pt>
                <c:pt idx="231">
                  <c:v>42347</c:v>
                </c:pt>
                <c:pt idx="232">
                  <c:v>42346</c:v>
                </c:pt>
                <c:pt idx="233">
                  <c:v>42345</c:v>
                </c:pt>
                <c:pt idx="234">
                  <c:v>42342</c:v>
                </c:pt>
                <c:pt idx="235">
                  <c:v>42341</c:v>
                </c:pt>
                <c:pt idx="236">
                  <c:v>42340</c:v>
                </c:pt>
                <c:pt idx="237">
                  <c:v>42339</c:v>
                </c:pt>
                <c:pt idx="238">
                  <c:v>42338</c:v>
                </c:pt>
                <c:pt idx="239">
                  <c:v>42335</c:v>
                </c:pt>
                <c:pt idx="240">
                  <c:v>42334</c:v>
                </c:pt>
                <c:pt idx="241">
                  <c:v>42333</c:v>
                </c:pt>
                <c:pt idx="242">
                  <c:v>42332</c:v>
                </c:pt>
                <c:pt idx="243">
                  <c:v>42331</c:v>
                </c:pt>
                <c:pt idx="244">
                  <c:v>42328</c:v>
                </c:pt>
                <c:pt idx="245">
                  <c:v>42327</c:v>
                </c:pt>
                <c:pt idx="246">
                  <c:v>42326</c:v>
                </c:pt>
                <c:pt idx="247">
                  <c:v>42325</c:v>
                </c:pt>
                <c:pt idx="248">
                  <c:v>42324</c:v>
                </c:pt>
                <c:pt idx="249">
                  <c:v>42321</c:v>
                </c:pt>
                <c:pt idx="250">
                  <c:v>42320</c:v>
                </c:pt>
                <c:pt idx="251">
                  <c:v>42319</c:v>
                </c:pt>
                <c:pt idx="252">
                  <c:v>42318</c:v>
                </c:pt>
                <c:pt idx="253">
                  <c:v>42317</c:v>
                </c:pt>
                <c:pt idx="254">
                  <c:v>42314</c:v>
                </c:pt>
                <c:pt idx="255">
                  <c:v>42313</c:v>
                </c:pt>
                <c:pt idx="256">
                  <c:v>42312</c:v>
                </c:pt>
                <c:pt idx="257">
                  <c:v>42311</c:v>
                </c:pt>
                <c:pt idx="258">
                  <c:v>42310</c:v>
                </c:pt>
                <c:pt idx="259">
                  <c:v>42307</c:v>
                </c:pt>
                <c:pt idx="260">
                  <c:v>42306</c:v>
                </c:pt>
                <c:pt idx="261">
                  <c:v>42305</c:v>
                </c:pt>
              </c:numCache>
            </c:numRef>
          </c:xVal>
          <c:yVal>
            <c:numRef>
              <c:f>Informe5!$AM$6:$AM$267</c:f>
              <c:numCache>
                <c:formatCode>General</c:formatCode>
                <c:ptCount val="262"/>
                <c:pt idx="0">
                  <c:v>0.33999999999999986</c:v>
                </c:pt>
                <c:pt idx="1">
                  <c:v>0.31999999999999984</c:v>
                </c:pt>
                <c:pt idx="2">
                  <c:v>0.33999999999999986</c:v>
                </c:pt>
                <c:pt idx="3">
                  <c:v>0.32999999999999963</c:v>
                </c:pt>
                <c:pt idx="4">
                  <c:v>0.31000000000000005</c:v>
                </c:pt>
                <c:pt idx="5">
                  <c:v>0.33000000000000007</c:v>
                </c:pt>
                <c:pt idx="6">
                  <c:v>0.33999999999999986</c:v>
                </c:pt>
                <c:pt idx="7">
                  <c:v>0.31999999999999984</c:v>
                </c:pt>
                <c:pt idx="8">
                  <c:v>0.33999999999999986</c:v>
                </c:pt>
                <c:pt idx="9">
                  <c:v>0.33000000000000007</c:v>
                </c:pt>
                <c:pt idx="10">
                  <c:v>0.31999999999999984</c:v>
                </c:pt>
                <c:pt idx="11">
                  <c:v>0.32999999999999963</c:v>
                </c:pt>
                <c:pt idx="12">
                  <c:v>0.33999999999999986</c:v>
                </c:pt>
                <c:pt idx="13">
                  <c:v>0.29000000000000004</c:v>
                </c:pt>
                <c:pt idx="14">
                  <c:v>0.30000000000000027</c:v>
                </c:pt>
                <c:pt idx="15">
                  <c:v>0.32000000000000028</c:v>
                </c:pt>
                <c:pt idx="16">
                  <c:v>0.30000000000000027</c:v>
                </c:pt>
                <c:pt idx="17">
                  <c:v>0.29999999999999982</c:v>
                </c:pt>
                <c:pt idx="18">
                  <c:v>0.29999999999999982</c:v>
                </c:pt>
                <c:pt idx="19">
                  <c:v>0.30000000000000027</c:v>
                </c:pt>
                <c:pt idx="20">
                  <c:v>0.29999999999999982</c:v>
                </c:pt>
                <c:pt idx="21">
                  <c:v>0.29000000000000004</c:v>
                </c:pt>
                <c:pt idx="22">
                  <c:v>0.30000000000000027</c:v>
                </c:pt>
                <c:pt idx="23">
                  <c:v>0.30000000000000027</c:v>
                </c:pt>
                <c:pt idx="24">
                  <c:v>0.30000000000000027</c:v>
                </c:pt>
                <c:pt idx="25">
                  <c:v>0.30000000000000027</c:v>
                </c:pt>
                <c:pt idx="26">
                  <c:v>0.31000000000000005</c:v>
                </c:pt>
                <c:pt idx="27">
                  <c:v>0.29999999999999982</c:v>
                </c:pt>
                <c:pt idx="28">
                  <c:v>0.29999999999999982</c:v>
                </c:pt>
                <c:pt idx="29">
                  <c:v>0.28000000000000025</c:v>
                </c:pt>
                <c:pt idx="30">
                  <c:v>0.29000000000000004</c:v>
                </c:pt>
                <c:pt idx="31">
                  <c:v>0.28000000000000025</c:v>
                </c:pt>
                <c:pt idx="32">
                  <c:v>0.27</c:v>
                </c:pt>
                <c:pt idx="33">
                  <c:v>0.26000000000000023</c:v>
                </c:pt>
                <c:pt idx="34">
                  <c:v>0.25</c:v>
                </c:pt>
                <c:pt idx="35">
                  <c:v>0.27</c:v>
                </c:pt>
                <c:pt idx="36">
                  <c:v>0.29999999999999982</c:v>
                </c:pt>
                <c:pt idx="37">
                  <c:v>0.31000000000000005</c:v>
                </c:pt>
                <c:pt idx="38">
                  <c:v>0.31000000000000005</c:v>
                </c:pt>
                <c:pt idx="39">
                  <c:v>0.32000000000000028</c:v>
                </c:pt>
                <c:pt idx="40">
                  <c:v>0.30000000000000027</c:v>
                </c:pt>
                <c:pt idx="41">
                  <c:v>0.29999999999999982</c:v>
                </c:pt>
                <c:pt idx="42">
                  <c:v>0.29999999999999982</c:v>
                </c:pt>
                <c:pt idx="43">
                  <c:v>0.30999999999999961</c:v>
                </c:pt>
                <c:pt idx="44">
                  <c:v>0.29999999999999982</c:v>
                </c:pt>
                <c:pt idx="45">
                  <c:v>0.29999999999999982</c:v>
                </c:pt>
                <c:pt idx="46">
                  <c:v>0.30000000000000027</c:v>
                </c:pt>
                <c:pt idx="47">
                  <c:v>0.26000000000000023</c:v>
                </c:pt>
                <c:pt idx="48">
                  <c:v>0.27</c:v>
                </c:pt>
                <c:pt idx="49">
                  <c:v>0.30000000000000027</c:v>
                </c:pt>
                <c:pt idx="50">
                  <c:v>0.32000000000000028</c:v>
                </c:pt>
                <c:pt idx="51">
                  <c:v>0.33999999999999986</c:v>
                </c:pt>
                <c:pt idx="52">
                  <c:v>0.33999999999999986</c:v>
                </c:pt>
                <c:pt idx="53">
                  <c:v>0.33000000000000007</c:v>
                </c:pt>
                <c:pt idx="54">
                  <c:v>0.33000000000000007</c:v>
                </c:pt>
                <c:pt idx="55">
                  <c:v>0.33000000000000007</c:v>
                </c:pt>
                <c:pt idx="56">
                  <c:v>0.31000000000000005</c:v>
                </c:pt>
                <c:pt idx="57">
                  <c:v>0.30000000000000027</c:v>
                </c:pt>
                <c:pt idx="58">
                  <c:v>0.30000000000000027</c:v>
                </c:pt>
                <c:pt idx="59">
                  <c:v>0.29999999999999982</c:v>
                </c:pt>
                <c:pt idx="60">
                  <c:v>0.27</c:v>
                </c:pt>
                <c:pt idx="61">
                  <c:v>0.29000000000000004</c:v>
                </c:pt>
                <c:pt idx="62">
                  <c:v>0.29000000000000004</c:v>
                </c:pt>
                <c:pt idx="63">
                  <c:v>0.33000000000000007</c:v>
                </c:pt>
                <c:pt idx="64">
                  <c:v>0.29000000000000004</c:v>
                </c:pt>
                <c:pt idx="65">
                  <c:v>0.33999999999999986</c:v>
                </c:pt>
                <c:pt idx="66">
                  <c:v>0.35000000000000009</c:v>
                </c:pt>
                <c:pt idx="67">
                  <c:v>0.35000000000000009</c:v>
                </c:pt>
                <c:pt idx="68">
                  <c:v>0.35999999999999988</c:v>
                </c:pt>
                <c:pt idx="69">
                  <c:v>0.33000000000000007</c:v>
                </c:pt>
                <c:pt idx="70">
                  <c:v>0.26999999999999957</c:v>
                </c:pt>
                <c:pt idx="71">
                  <c:v>0.29999999999999982</c:v>
                </c:pt>
                <c:pt idx="72">
                  <c:v>0.29999999999999982</c:v>
                </c:pt>
                <c:pt idx="73">
                  <c:v>0.31000000000000005</c:v>
                </c:pt>
                <c:pt idx="74">
                  <c:v>0.31999999999999984</c:v>
                </c:pt>
                <c:pt idx="75">
                  <c:v>0.29999999999999982</c:v>
                </c:pt>
                <c:pt idx="76">
                  <c:v>0.31999999999999984</c:v>
                </c:pt>
                <c:pt idx="77">
                  <c:v>0.31000000000000005</c:v>
                </c:pt>
                <c:pt idx="78">
                  <c:v>0.29000000000000004</c:v>
                </c:pt>
                <c:pt idx="79">
                  <c:v>0.2799999999999998</c:v>
                </c:pt>
                <c:pt idx="80">
                  <c:v>0.27</c:v>
                </c:pt>
                <c:pt idx="81">
                  <c:v>0.29999999999999982</c:v>
                </c:pt>
                <c:pt idx="82">
                  <c:v>0.28000000000000025</c:v>
                </c:pt>
                <c:pt idx="83">
                  <c:v>0.29000000000000004</c:v>
                </c:pt>
                <c:pt idx="84">
                  <c:v>0.31000000000000005</c:v>
                </c:pt>
                <c:pt idx="85">
                  <c:v>0.32000000000000028</c:v>
                </c:pt>
                <c:pt idx="86">
                  <c:v>0.35000000000000009</c:v>
                </c:pt>
                <c:pt idx="87">
                  <c:v>0.33000000000000007</c:v>
                </c:pt>
                <c:pt idx="88">
                  <c:v>0.35999999999999943</c:v>
                </c:pt>
                <c:pt idx="89">
                  <c:v>0.36999999999999966</c:v>
                </c:pt>
                <c:pt idx="90">
                  <c:v>0.36999999999999966</c:v>
                </c:pt>
                <c:pt idx="91">
                  <c:v>0.39000000000000012</c:v>
                </c:pt>
                <c:pt idx="92">
                  <c:v>0.36999999999999966</c:v>
                </c:pt>
                <c:pt idx="93">
                  <c:v>0.36999999999999966</c:v>
                </c:pt>
                <c:pt idx="94">
                  <c:v>0.37000000000000011</c:v>
                </c:pt>
                <c:pt idx="95">
                  <c:v>0.37999999999999989</c:v>
                </c:pt>
                <c:pt idx="96">
                  <c:v>0.39000000000000012</c:v>
                </c:pt>
                <c:pt idx="97">
                  <c:v>0.38000000000000034</c:v>
                </c:pt>
                <c:pt idx="98">
                  <c:v>0.36999999999999966</c:v>
                </c:pt>
                <c:pt idx="99">
                  <c:v>0.36000000000000032</c:v>
                </c:pt>
                <c:pt idx="100">
                  <c:v>0.37999999999999989</c:v>
                </c:pt>
                <c:pt idx="101">
                  <c:v>0.41000000000000014</c:v>
                </c:pt>
                <c:pt idx="102">
                  <c:v>0.39000000000000057</c:v>
                </c:pt>
                <c:pt idx="103">
                  <c:v>0.33999999999999986</c:v>
                </c:pt>
                <c:pt idx="104">
                  <c:v>0.38999999999999968</c:v>
                </c:pt>
                <c:pt idx="105">
                  <c:v>0.38000000000000034</c:v>
                </c:pt>
                <c:pt idx="106">
                  <c:v>0.37999999999999989</c:v>
                </c:pt>
                <c:pt idx="107">
                  <c:v>0.37999999999999989</c:v>
                </c:pt>
                <c:pt idx="108">
                  <c:v>0.37000000000000011</c:v>
                </c:pt>
                <c:pt idx="109">
                  <c:v>0.38000000000000034</c:v>
                </c:pt>
                <c:pt idx="110">
                  <c:v>0.37000000000000011</c:v>
                </c:pt>
                <c:pt idx="111">
                  <c:v>0.37000000000000055</c:v>
                </c:pt>
                <c:pt idx="112">
                  <c:v>0.35999999999999988</c:v>
                </c:pt>
                <c:pt idx="113">
                  <c:v>0.36000000000000032</c:v>
                </c:pt>
                <c:pt idx="114">
                  <c:v>0.35000000000000009</c:v>
                </c:pt>
                <c:pt idx="115">
                  <c:v>0.35999999999999988</c:v>
                </c:pt>
                <c:pt idx="116">
                  <c:v>0.34999999999999964</c:v>
                </c:pt>
                <c:pt idx="117">
                  <c:v>0.31999999999999984</c:v>
                </c:pt>
                <c:pt idx="118">
                  <c:v>0.33000000000000007</c:v>
                </c:pt>
                <c:pt idx="119">
                  <c:v>0.32999999999999963</c:v>
                </c:pt>
                <c:pt idx="120">
                  <c:v>0.33000000000000007</c:v>
                </c:pt>
                <c:pt idx="121">
                  <c:v>0.32000000000000028</c:v>
                </c:pt>
                <c:pt idx="122">
                  <c:v>0.3199999999999994</c:v>
                </c:pt>
                <c:pt idx="123">
                  <c:v>0.33999999999999986</c:v>
                </c:pt>
                <c:pt idx="124">
                  <c:v>0.35000000000000009</c:v>
                </c:pt>
                <c:pt idx="125">
                  <c:v>0.33999999999999986</c:v>
                </c:pt>
                <c:pt idx="126">
                  <c:v>0.33999999999999986</c:v>
                </c:pt>
                <c:pt idx="127">
                  <c:v>0.33999999999999986</c:v>
                </c:pt>
                <c:pt idx="128">
                  <c:v>0.35999999999999943</c:v>
                </c:pt>
                <c:pt idx="129">
                  <c:v>0.35999999999999943</c:v>
                </c:pt>
                <c:pt idx="130">
                  <c:v>0.36000000000000032</c:v>
                </c:pt>
                <c:pt idx="131">
                  <c:v>0.37999999999999989</c:v>
                </c:pt>
                <c:pt idx="132">
                  <c:v>0.39000000000000057</c:v>
                </c:pt>
                <c:pt idx="133">
                  <c:v>0.37000000000000011</c:v>
                </c:pt>
                <c:pt idx="134">
                  <c:v>0.37000000000000011</c:v>
                </c:pt>
                <c:pt idx="135">
                  <c:v>0.37000000000000011</c:v>
                </c:pt>
                <c:pt idx="136">
                  <c:v>0.40000000000000036</c:v>
                </c:pt>
                <c:pt idx="137">
                  <c:v>0.39999999999999947</c:v>
                </c:pt>
                <c:pt idx="138">
                  <c:v>0.39000000000000012</c:v>
                </c:pt>
                <c:pt idx="139">
                  <c:v>0.39000000000000012</c:v>
                </c:pt>
                <c:pt idx="140">
                  <c:v>0.25999999999999979</c:v>
                </c:pt>
                <c:pt idx="141">
                  <c:v>0.40000000000000036</c:v>
                </c:pt>
                <c:pt idx="142">
                  <c:v>0.36999999999999966</c:v>
                </c:pt>
                <c:pt idx="143">
                  <c:v>0.38000000000000034</c:v>
                </c:pt>
                <c:pt idx="144">
                  <c:v>0.33999999999999986</c:v>
                </c:pt>
                <c:pt idx="145">
                  <c:v>0.35000000000000053</c:v>
                </c:pt>
                <c:pt idx="146">
                  <c:v>0.3400000000000003</c:v>
                </c:pt>
                <c:pt idx="147">
                  <c:v>0.34999999999999964</c:v>
                </c:pt>
                <c:pt idx="148">
                  <c:v>0.3400000000000003</c:v>
                </c:pt>
                <c:pt idx="149">
                  <c:v>0.33999999999999986</c:v>
                </c:pt>
                <c:pt idx="150">
                  <c:v>0.35000000000000053</c:v>
                </c:pt>
                <c:pt idx="151">
                  <c:v>0.32999999999999963</c:v>
                </c:pt>
                <c:pt idx="152">
                  <c:v>0.35000000000000053</c:v>
                </c:pt>
                <c:pt idx="153">
                  <c:v>0.35999999999999988</c:v>
                </c:pt>
                <c:pt idx="154">
                  <c:v>0.35999999999999988</c:v>
                </c:pt>
                <c:pt idx="155">
                  <c:v>0.37000000000000011</c:v>
                </c:pt>
                <c:pt idx="156">
                  <c:v>0.36000000000000032</c:v>
                </c:pt>
                <c:pt idx="157">
                  <c:v>0.37000000000000055</c:v>
                </c:pt>
                <c:pt idx="158">
                  <c:v>0.37000000000000011</c:v>
                </c:pt>
                <c:pt idx="159">
                  <c:v>0.37000000000000055</c:v>
                </c:pt>
                <c:pt idx="160">
                  <c:v>0.31000000000000005</c:v>
                </c:pt>
                <c:pt idx="161">
                  <c:v>0.33000000000000007</c:v>
                </c:pt>
                <c:pt idx="162">
                  <c:v>0.32999999999999963</c:v>
                </c:pt>
                <c:pt idx="163">
                  <c:v>0.32999999999999963</c:v>
                </c:pt>
                <c:pt idx="164">
                  <c:v>0.33000000000000007</c:v>
                </c:pt>
                <c:pt idx="165">
                  <c:v>0.33000000000000052</c:v>
                </c:pt>
                <c:pt idx="166">
                  <c:v>0.35000000000000009</c:v>
                </c:pt>
                <c:pt idx="167">
                  <c:v>0.33999999999999986</c:v>
                </c:pt>
                <c:pt idx="168">
                  <c:v>0.33000000000000052</c:v>
                </c:pt>
                <c:pt idx="169">
                  <c:v>0.3199999999999994</c:v>
                </c:pt>
                <c:pt idx="170">
                  <c:v>0.32999999999999963</c:v>
                </c:pt>
                <c:pt idx="171">
                  <c:v>0.3100000000000005</c:v>
                </c:pt>
                <c:pt idx="172">
                  <c:v>0.31999999999999984</c:v>
                </c:pt>
                <c:pt idx="173">
                  <c:v>0.29999999999999982</c:v>
                </c:pt>
                <c:pt idx="174">
                  <c:v>0.30000000000000027</c:v>
                </c:pt>
                <c:pt idx="175">
                  <c:v>0.29000000000000048</c:v>
                </c:pt>
                <c:pt idx="176">
                  <c:v>0.29000000000000048</c:v>
                </c:pt>
                <c:pt idx="177">
                  <c:v>0.29000000000000004</c:v>
                </c:pt>
                <c:pt idx="178">
                  <c:v>0.28999999999999959</c:v>
                </c:pt>
                <c:pt idx="179">
                  <c:v>0.29000000000000048</c:v>
                </c:pt>
                <c:pt idx="180">
                  <c:v>0.30000000000000027</c:v>
                </c:pt>
                <c:pt idx="181">
                  <c:v>0.28999999999999959</c:v>
                </c:pt>
                <c:pt idx="182">
                  <c:v>0.29999999999999982</c:v>
                </c:pt>
                <c:pt idx="183">
                  <c:v>0.30000000000000027</c:v>
                </c:pt>
                <c:pt idx="184">
                  <c:v>0.29999999999999982</c:v>
                </c:pt>
                <c:pt idx="185">
                  <c:v>0.28000000000000025</c:v>
                </c:pt>
                <c:pt idx="186">
                  <c:v>0.32000000000000028</c:v>
                </c:pt>
                <c:pt idx="187">
                  <c:v>0.29999999999999982</c:v>
                </c:pt>
                <c:pt idx="188">
                  <c:v>0.31000000000000005</c:v>
                </c:pt>
                <c:pt idx="189">
                  <c:v>0.32999999999999963</c:v>
                </c:pt>
                <c:pt idx="190">
                  <c:v>0.3400000000000003</c:v>
                </c:pt>
                <c:pt idx="191">
                  <c:v>0.33000000000000007</c:v>
                </c:pt>
                <c:pt idx="192">
                  <c:v>0.3100000000000005</c:v>
                </c:pt>
                <c:pt idx="193">
                  <c:v>0.32999999999999963</c:v>
                </c:pt>
                <c:pt idx="194">
                  <c:v>0.35000000000000009</c:v>
                </c:pt>
                <c:pt idx="195">
                  <c:v>0.36000000000000032</c:v>
                </c:pt>
                <c:pt idx="196">
                  <c:v>0.3400000000000003</c:v>
                </c:pt>
                <c:pt idx="197">
                  <c:v>0.33000000000000007</c:v>
                </c:pt>
                <c:pt idx="198">
                  <c:v>0.33999999999999941</c:v>
                </c:pt>
                <c:pt idx="199">
                  <c:v>0.33999999999999986</c:v>
                </c:pt>
                <c:pt idx="200">
                  <c:v>0.33999999999999941</c:v>
                </c:pt>
                <c:pt idx="201">
                  <c:v>0.32999999999999963</c:v>
                </c:pt>
                <c:pt idx="202">
                  <c:v>0.33000000000000007</c:v>
                </c:pt>
                <c:pt idx="203">
                  <c:v>0.3400000000000003</c:v>
                </c:pt>
                <c:pt idx="204">
                  <c:v>0.33999999999999986</c:v>
                </c:pt>
                <c:pt idx="205">
                  <c:v>0.36000000000000032</c:v>
                </c:pt>
                <c:pt idx="206">
                  <c:v>0.35999999999999988</c:v>
                </c:pt>
                <c:pt idx="207">
                  <c:v>0.34000000000000075</c:v>
                </c:pt>
                <c:pt idx="208">
                  <c:v>0.34000000000000075</c:v>
                </c:pt>
                <c:pt idx="209">
                  <c:v>0.34999999999999964</c:v>
                </c:pt>
                <c:pt idx="210">
                  <c:v>0.35000000000000053</c:v>
                </c:pt>
                <c:pt idx="211">
                  <c:v>0.35999999999999943</c:v>
                </c:pt>
                <c:pt idx="212">
                  <c:v>0.37000000000000011</c:v>
                </c:pt>
                <c:pt idx="213">
                  <c:v>0.35000000000000053</c:v>
                </c:pt>
                <c:pt idx="214">
                  <c:v>0.35000000000000053</c:v>
                </c:pt>
                <c:pt idx="215">
                  <c:v>0.35000000000000053</c:v>
                </c:pt>
                <c:pt idx="216">
                  <c:v>0.34999999999999964</c:v>
                </c:pt>
                <c:pt idx="217">
                  <c:v>0.35000000000000053</c:v>
                </c:pt>
                <c:pt idx="218">
                  <c:v>0.35000000000000009</c:v>
                </c:pt>
                <c:pt idx="219">
                  <c:v>0.35000000000000009</c:v>
                </c:pt>
                <c:pt idx="220">
                  <c:v>0.3400000000000003</c:v>
                </c:pt>
                <c:pt idx="221">
                  <c:v>0.33000000000000007</c:v>
                </c:pt>
                <c:pt idx="222">
                  <c:v>0.35000000000000053</c:v>
                </c:pt>
                <c:pt idx="223">
                  <c:v>0.34999999999999964</c:v>
                </c:pt>
                <c:pt idx="224">
                  <c:v>0.33999999999999986</c:v>
                </c:pt>
                <c:pt idx="225">
                  <c:v>0.49000000000000021</c:v>
                </c:pt>
                <c:pt idx="226">
                  <c:v>0.40000000000000036</c:v>
                </c:pt>
                <c:pt idx="227">
                  <c:v>0.39999999999999947</c:v>
                </c:pt>
                <c:pt idx="228">
                  <c:v>0.40000000000000036</c:v>
                </c:pt>
                <c:pt idx="229">
                  <c:v>0.41000000000000014</c:v>
                </c:pt>
                <c:pt idx="230">
                  <c:v>0.41000000000000014</c:v>
                </c:pt>
                <c:pt idx="231">
                  <c:v>0.41999999999999993</c:v>
                </c:pt>
                <c:pt idx="232">
                  <c:v>0.41999999999999993</c:v>
                </c:pt>
                <c:pt idx="233">
                  <c:v>0.38000000000000034</c:v>
                </c:pt>
                <c:pt idx="234">
                  <c:v>0.37999999999999989</c:v>
                </c:pt>
                <c:pt idx="235">
                  <c:v>0.38999999999999968</c:v>
                </c:pt>
                <c:pt idx="236">
                  <c:v>0.38999999999999968</c:v>
                </c:pt>
                <c:pt idx="237">
                  <c:v>0.36999999999999966</c:v>
                </c:pt>
                <c:pt idx="238">
                  <c:v>0.37999999999999945</c:v>
                </c:pt>
                <c:pt idx="239">
                  <c:v>0.38999999999999968</c:v>
                </c:pt>
                <c:pt idx="240">
                  <c:v>0.39000000000000012</c:v>
                </c:pt>
                <c:pt idx="241">
                  <c:v>0.39000000000000012</c:v>
                </c:pt>
                <c:pt idx="242">
                  <c:v>0.39000000000000012</c:v>
                </c:pt>
                <c:pt idx="243">
                  <c:v>0.41000000000000014</c:v>
                </c:pt>
                <c:pt idx="244">
                  <c:v>0.41999999999999993</c:v>
                </c:pt>
                <c:pt idx="245">
                  <c:v>0.42999999999999972</c:v>
                </c:pt>
                <c:pt idx="246">
                  <c:v>0.45000000000000018</c:v>
                </c:pt>
                <c:pt idx="247">
                  <c:v>0.4700000000000002</c:v>
                </c:pt>
                <c:pt idx="248">
                  <c:v>0.45999999999999996</c:v>
                </c:pt>
                <c:pt idx="249">
                  <c:v>0.45999999999999996</c:v>
                </c:pt>
                <c:pt idx="250">
                  <c:v>0.45999999999999996</c:v>
                </c:pt>
                <c:pt idx="251">
                  <c:v>0.45000000000000018</c:v>
                </c:pt>
                <c:pt idx="252">
                  <c:v>0.48000000000000043</c:v>
                </c:pt>
                <c:pt idx="253">
                  <c:v>0.48</c:v>
                </c:pt>
                <c:pt idx="254">
                  <c:v>0.4700000000000002</c:v>
                </c:pt>
                <c:pt idx="255">
                  <c:v>0.44000000000000039</c:v>
                </c:pt>
                <c:pt idx="256">
                  <c:v>0.44999999999999973</c:v>
                </c:pt>
                <c:pt idx="257">
                  <c:v>0.42000000000000037</c:v>
                </c:pt>
                <c:pt idx="258">
                  <c:v>0.4099999999999997</c:v>
                </c:pt>
                <c:pt idx="259">
                  <c:v>0.35999999999999943</c:v>
                </c:pt>
                <c:pt idx="260">
                  <c:v>0.34999999999999964</c:v>
                </c:pt>
                <c:pt idx="261">
                  <c:v>0.33000000000000007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Informe5!$AN$5</c:f>
              <c:strCache>
                <c:ptCount val="1"/>
                <c:pt idx="0">
                  <c:v>5s/10s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Informe5!$AE$6:$AE$267</c:f>
              <c:numCache>
                <c:formatCode>m/d/yyyy</c:formatCode>
                <c:ptCount val="262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42618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  <c:pt idx="66">
                  <c:v>42578</c:v>
                </c:pt>
                <c:pt idx="67">
                  <c:v>42577</c:v>
                </c:pt>
                <c:pt idx="68">
                  <c:v>42576</c:v>
                </c:pt>
                <c:pt idx="69">
                  <c:v>42573</c:v>
                </c:pt>
                <c:pt idx="70">
                  <c:v>42572</c:v>
                </c:pt>
                <c:pt idx="71">
                  <c:v>42571</c:v>
                </c:pt>
                <c:pt idx="72">
                  <c:v>42570</c:v>
                </c:pt>
                <c:pt idx="73">
                  <c:v>42569</c:v>
                </c:pt>
                <c:pt idx="74">
                  <c:v>42566</c:v>
                </c:pt>
                <c:pt idx="75">
                  <c:v>42565</c:v>
                </c:pt>
                <c:pt idx="76">
                  <c:v>42564</c:v>
                </c:pt>
                <c:pt idx="77">
                  <c:v>42563</c:v>
                </c:pt>
                <c:pt idx="78">
                  <c:v>42562</c:v>
                </c:pt>
                <c:pt idx="79">
                  <c:v>42559</c:v>
                </c:pt>
                <c:pt idx="80">
                  <c:v>42558</c:v>
                </c:pt>
                <c:pt idx="81">
                  <c:v>42557</c:v>
                </c:pt>
                <c:pt idx="82">
                  <c:v>42556</c:v>
                </c:pt>
                <c:pt idx="83">
                  <c:v>42555</c:v>
                </c:pt>
                <c:pt idx="84">
                  <c:v>42552</c:v>
                </c:pt>
                <c:pt idx="85">
                  <c:v>42551</c:v>
                </c:pt>
                <c:pt idx="86">
                  <c:v>42550</c:v>
                </c:pt>
                <c:pt idx="87">
                  <c:v>42549</c:v>
                </c:pt>
                <c:pt idx="88">
                  <c:v>42548</c:v>
                </c:pt>
                <c:pt idx="89">
                  <c:v>42545</c:v>
                </c:pt>
                <c:pt idx="90">
                  <c:v>42544</c:v>
                </c:pt>
                <c:pt idx="91">
                  <c:v>42543</c:v>
                </c:pt>
                <c:pt idx="92">
                  <c:v>42542</c:v>
                </c:pt>
                <c:pt idx="93">
                  <c:v>42541</c:v>
                </c:pt>
                <c:pt idx="94">
                  <c:v>42538</c:v>
                </c:pt>
                <c:pt idx="95">
                  <c:v>42537</c:v>
                </c:pt>
                <c:pt idx="96">
                  <c:v>42536</c:v>
                </c:pt>
                <c:pt idx="97">
                  <c:v>42535</c:v>
                </c:pt>
                <c:pt idx="98">
                  <c:v>42534</c:v>
                </c:pt>
                <c:pt idx="99">
                  <c:v>42531</c:v>
                </c:pt>
                <c:pt idx="100">
                  <c:v>42530</c:v>
                </c:pt>
                <c:pt idx="101">
                  <c:v>42529</c:v>
                </c:pt>
                <c:pt idx="102">
                  <c:v>42528</c:v>
                </c:pt>
                <c:pt idx="103">
                  <c:v>42527</c:v>
                </c:pt>
                <c:pt idx="104">
                  <c:v>42524</c:v>
                </c:pt>
                <c:pt idx="105">
                  <c:v>42523</c:v>
                </c:pt>
                <c:pt idx="106">
                  <c:v>42522</c:v>
                </c:pt>
                <c:pt idx="107">
                  <c:v>42521</c:v>
                </c:pt>
                <c:pt idx="108">
                  <c:v>42520</c:v>
                </c:pt>
                <c:pt idx="109">
                  <c:v>42517</c:v>
                </c:pt>
                <c:pt idx="110">
                  <c:v>42516</c:v>
                </c:pt>
                <c:pt idx="111">
                  <c:v>42515</c:v>
                </c:pt>
                <c:pt idx="112">
                  <c:v>42514</c:v>
                </c:pt>
                <c:pt idx="113">
                  <c:v>42513</c:v>
                </c:pt>
                <c:pt idx="114">
                  <c:v>42510</c:v>
                </c:pt>
                <c:pt idx="115">
                  <c:v>42509</c:v>
                </c:pt>
                <c:pt idx="116">
                  <c:v>42508</c:v>
                </c:pt>
                <c:pt idx="117">
                  <c:v>42507</c:v>
                </c:pt>
                <c:pt idx="118">
                  <c:v>42506</c:v>
                </c:pt>
                <c:pt idx="119">
                  <c:v>42503</c:v>
                </c:pt>
                <c:pt idx="120">
                  <c:v>42502</c:v>
                </c:pt>
                <c:pt idx="121">
                  <c:v>42501</c:v>
                </c:pt>
                <c:pt idx="122">
                  <c:v>42500</c:v>
                </c:pt>
                <c:pt idx="123">
                  <c:v>42499</c:v>
                </c:pt>
                <c:pt idx="124">
                  <c:v>42496</c:v>
                </c:pt>
                <c:pt idx="125">
                  <c:v>42495</c:v>
                </c:pt>
                <c:pt idx="126">
                  <c:v>42494</c:v>
                </c:pt>
                <c:pt idx="127">
                  <c:v>42493</c:v>
                </c:pt>
                <c:pt idx="128">
                  <c:v>42492</c:v>
                </c:pt>
                <c:pt idx="129">
                  <c:v>42489</c:v>
                </c:pt>
                <c:pt idx="130">
                  <c:v>42488</c:v>
                </c:pt>
                <c:pt idx="131">
                  <c:v>42487</c:v>
                </c:pt>
                <c:pt idx="132">
                  <c:v>42486</c:v>
                </c:pt>
                <c:pt idx="133">
                  <c:v>42485</c:v>
                </c:pt>
                <c:pt idx="134">
                  <c:v>42482</c:v>
                </c:pt>
                <c:pt idx="135">
                  <c:v>42481</c:v>
                </c:pt>
                <c:pt idx="136">
                  <c:v>42480</c:v>
                </c:pt>
                <c:pt idx="137">
                  <c:v>42479</c:v>
                </c:pt>
                <c:pt idx="138">
                  <c:v>42478</c:v>
                </c:pt>
                <c:pt idx="139">
                  <c:v>42475</c:v>
                </c:pt>
                <c:pt idx="140">
                  <c:v>42474</c:v>
                </c:pt>
                <c:pt idx="141">
                  <c:v>42473</c:v>
                </c:pt>
                <c:pt idx="142">
                  <c:v>42472</c:v>
                </c:pt>
                <c:pt idx="143">
                  <c:v>42471</c:v>
                </c:pt>
                <c:pt idx="144">
                  <c:v>42468</c:v>
                </c:pt>
                <c:pt idx="145">
                  <c:v>42467</c:v>
                </c:pt>
                <c:pt idx="146">
                  <c:v>42466</c:v>
                </c:pt>
                <c:pt idx="147">
                  <c:v>42465</c:v>
                </c:pt>
                <c:pt idx="148">
                  <c:v>42464</c:v>
                </c:pt>
                <c:pt idx="149">
                  <c:v>42461</c:v>
                </c:pt>
                <c:pt idx="150">
                  <c:v>42460</c:v>
                </c:pt>
                <c:pt idx="151">
                  <c:v>42459</c:v>
                </c:pt>
                <c:pt idx="152">
                  <c:v>42458</c:v>
                </c:pt>
                <c:pt idx="153">
                  <c:v>42457</c:v>
                </c:pt>
                <c:pt idx="154">
                  <c:v>42454</c:v>
                </c:pt>
                <c:pt idx="155">
                  <c:v>42453</c:v>
                </c:pt>
                <c:pt idx="156">
                  <c:v>42452</c:v>
                </c:pt>
                <c:pt idx="157">
                  <c:v>42451</c:v>
                </c:pt>
                <c:pt idx="158">
                  <c:v>42450</c:v>
                </c:pt>
                <c:pt idx="159">
                  <c:v>42447</c:v>
                </c:pt>
                <c:pt idx="160">
                  <c:v>42446</c:v>
                </c:pt>
                <c:pt idx="161">
                  <c:v>42445</c:v>
                </c:pt>
                <c:pt idx="162">
                  <c:v>42444</c:v>
                </c:pt>
                <c:pt idx="163">
                  <c:v>42443</c:v>
                </c:pt>
                <c:pt idx="164">
                  <c:v>42440</c:v>
                </c:pt>
                <c:pt idx="165">
                  <c:v>42439</c:v>
                </c:pt>
                <c:pt idx="166">
                  <c:v>42438</c:v>
                </c:pt>
                <c:pt idx="167">
                  <c:v>42437</c:v>
                </c:pt>
                <c:pt idx="168">
                  <c:v>42436</c:v>
                </c:pt>
                <c:pt idx="169">
                  <c:v>42433</c:v>
                </c:pt>
                <c:pt idx="170">
                  <c:v>42432</c:v>
                </c:pt>
                <c:pt idx="171">
                  <c:v>42431</c:v>
                </c:pt>
                <c:pt idx="172">
                  <c:v>42430</c:v>
                </c:pt>
                <c:pt idx="173">
                  <c:v>42429</c:v>
                </c:pt>
                <c:pt idx="174">
                  <c:v>42426</c:v>
                </c:pt>
                <c:pt idx="175">
                  <c:v>42425</c:v>
                </c:pt>
                <c:pt idx="176">
                  <c:v>42424</c:v>
                </c:pt>
                <c:pt idx="177">
                  <c:v>42423</c:v>
                </c:pt>
                <c:pt idx="178">
                  <c:v>42422</c:v>
                </c:pt>
                <c:pt idx="179">
                  <c:v>42419</c:v>
                </c:pt>
                <c:pt idx="180">
                  <c:v>42418</c:v>
                </c:pt>
                <c:pt idx="181">
                  <c:v>42417</c:v>
                </c:pt>
                <c:pt idx="182">
                  <c:v>42416</c:v>
                </c:pt>
                <c:pt idx="183">
                  <c:v>42415</c:v>
                </c:pt>
                <c:pt idx="184">
                  <c:v>42412</c:v>
                </c:pt>
                <c:pt idx="185">
                  <c:v>42411</c:v>
                </c:pt>
                <c:pt idx="186">
                  <c:v>42410</c:v>
                </c:pt>
                <c:pt idx="187">
                  <c:v>42409</c:v>
                </c:pt>
                <c:pt idx="188">
                  <c:v>42408</c:v>
                </c:pt>
                <c:pt idx="189">
                  <c:v>42405</c:v>
                </c:pt>
                <c:pt idx="190">
                  <c:v>42404</c:v>
                </c:pt>
                <c:pt idx="191">
                  <c:v>42403</c:v>
                </c:pt>
                <c:pt idx="192">
                  <c:v>42402</c:v>
                </c:pt>
                <c:pt idx="193">
                  <c:v>42401</c:v>
                </c:pt>
                <c:pt idx="194">
                  <c:v>42398</c:v>
                </c:pt>
                <c:pt idx="195">
                  <c:v>42397</c:v>
                </c:pt>
                <c:pt idx="196">
                  <c:v>42396</c:v>
                </c:pt>
                <c:pt idx="197">
                  <c:v>42395</c:v>
                </c:pt>
                <c:pt idx="198">
                  <c:v>42394</c:v>
                </c:pt>
                <c:pt idx="199">
                  <c:v>42391</c:v>
                </c:pt>
                <c:pt idx="200">
                  <c:v>42390</c:v>
                </c:pt>
                <c:pt idx="201">
                  <c:v>42389</c:v>
                </c:pt>
                <c:pt idx="202">
                  <c:v>42388</c:v>
                </c:pt>
                <c:pt idx="203">
                  <c:v>42387</c:v>
                </c:pt>
                <c:pt idx="204">
                  <c:v>42384</c:v>
                </c:pt>
                <c:pt idx="205">
                  <c:v>42383</c:v>
                </c:pt>
                <c:pt idx="206">
                  <c:v>42382</c:v>
                </c:pt>
                <c:pt idx="207">
                  <c:v>42381</c:v>
                </c:pt>
                <c:pt idx="208">
                  <c:v>42380</c:v>
                </c:pt>
                <c:pt idx="209">
                  <c:v>42377</c:v>
                </c:pt>
                <c:pt idx="210">
                  <c:v>42376</c:v>
                </c:pt>
                <c:pt idx="211">
                  <c:v>42375</c:v>
                </c:pt>
                <c:pt idx="212">
                  <c:v>42374</c:v>
                </c:pt>
                <c:pt idx="213">
                  <c:v>42373</c:v>
                </c:pt>
                <c:pt idx="214">
                  <c:v>42370</c:v>
                </c:pt>
                <c:pt idx="215">
                  <c:v>42369</c:v>
                </c:pt>
                <c:pt idx="216">
                  <c:v>42368</c:v>
                </c:pt>
                <c:pt idx="217">
                  <c:v>42367</c:v>
                </c:pt>
                <c:pt idx="218">
                  <c:v>42366</c:v>
                </c:pt>
                <c:pt idx="219">
                  <c:v>42363</c:v>
                </c:pt>
                <c:pt idx="220">
                  <c:v>42362</c:v>
                </c:pt>
                <c:pt idx="221">
                  <c:v>42361</c:v>
                </c:pt>
                <c:pt idx="222">
                  <c:v>42360</c:v>
                </c:pt>
                <c:pt idx="223">
                  <c:v>42359</c:v>
                </c:pt>
                <c:pt idx="224">
                  <c:v>42356</c:v>
                </c:pt>
                <c:pt idx="225">
                  <c:v>42355</c:v>
                </c:pt>
                <c:pt idx="226">
                  <c:v>42354</c:v>
                </c:pt>
                <c:pt idx="227">
                  <c:v>42353</c:v>
                </c:pt>
                <c:pt idx="228">
                  <c:v>42352</c:v>
                </c:pt>
                <c:pt idx="229">
                  <c:v>42349</c:v>
                </c:pt>
                <c:pt idx="230">
                  <c:v>42348</c:v>
                </c:pt>
                <c:pt idx="231">
                  <c:v>42347</c:v>
                </c:pt>
                <c:pt idx="232">
                  <c:v>42346</c:v>
                </c:pt>
                <c:pt idx="233">
                  <c:v>42345</c:v>
                </c:pt>
                <c:pt idx="234">
                  <c:v>42342</c:v>
                </c:pt>
                <c:pt idx="235">
                  <c:v>42341</c:v>
                </c:pt>
                <c:pt idx="236">
                  <c:v>42340</c:v>
                </c:pt>
                <c:pt idx="237">
                  <c:v>42339</c:v>
                </c:pt>
                <c:pt idx="238">
                  <c:v>42338</c:v>
                </c:pt>
                <c:pt idx="239">
                  <c:v>42335</c:v>
                </c:pt>
                <c:pt idx="240">
                  <c:v>42334</c:v>
                </c:pt>
                <c:pt idx="241">
                  <c:v>42333</c:v>
                </c:pt>
                <c:pt idx="242">
                  <c:v>42332</c:v>
                </c:pt>
                <c:pt idx="243">
                  <c:v>42331</c:v>
                </c:pt>
                <c:pt idx="244">
                  <c:v>42328</c:v>
                </c:pt>
                <c:pt idx="245">
                  <c:v>42327</c:v>
                </c:pt>
                <c:pt idx="246">
                  <c:v>42326</c:v>
                </c:pt>
                <c:pt idx="247">
                  <c:v>42325</c:v>
                </c:pt>
                <c:pt idx="248">
                  <c:v>42324</c:v>
                </c:pt>
                <c:pt idx="249">
                  <c:v>42321</c:v>
                </c:pt>
                <c:pt idx="250">
                  <c:v>42320</c:v>
                </c:pt>
                <c:pt idx="251">
                  <c:v>42319</c:v>
                </c:pt>
                <c:pt idx="252">
                  <c:v>42318</c:v>
                </c:pt>
                <c:pt idx="253">
                  <c:v>42317</c:v>
                </c:pt>
                <c:pt idx="254">
                  <c:v>42314</c:v>
                </c:pt>
                <c:pt idx="255">
                  <c:v>42313</c:v>
                </c:pt>
                <c:pt idx="256">
                  <c:v>42312</c:v>
                </c:pt>
                <c:pt idx="257">
                  <c:v>42311</c:v>
                </c:pt>
                <c:pt idx="258">
                  <c:v>42310</c:v>
                </c:pt>
                <c:pt idx="259">
                  <c:v>42307</c:v>
                </c:pt>
                <c:pt idx="260">
                  <c:v>42306</c:v>
                </c:pt>
                <c:pt idx="261">
                  <c:v>42305</c:v>
                </c:pt>
              </c:numCache>
            </c:numRef>
          </c:xVal>
          <c:yVal>
            <c:numRef>
              <c:f>Informe5!$AN$6:$AN$267</c:f>
              <c:numCache>
                <c:formatCode>General</c:formatCode>
                <c:ptCount val="262"/>
                <c:pt idx="0">
                  <c:v>0.45999999999999996</c:v>
                </c:pt>
                <c:pt idx="1">
                  <c:v>0.45999999999999952</c:v>
                </c:pt>
                <c:pt idx="2">
                  <c:v>0.46999999999999975</c:v>
                </c:pt>
                <c:pt idx="3">
                  <c:v>0.48000000000000043</c:v>
                </c:pt>
                <c:pt idx="4">
                  <c:v>0.46999999999999975</c:v>
                </c:pt>
                <c:pt idx="5">
                  <c:v>0.48</c:v>
                </c:pt>
                <c:pt idx="6">
                  <c:v>0.49000000000000021</c:v>
                </c:pt>
                <c:pt idx="7">
                  <c:v>0.5299999999999998</c:v>
                </c:pt>
                <c:pt idx="8">
                  <c:v>0.50999999999999979</c:v>
                </c:pt>
                <c:pt idx="9">
                  <c:v>0.51000000000000023</c:v>
                </c:pt>
                <c:pt idx="10">
                  <c:v>0.5</c:v>
                </c:pt>
                <c:pt idx="11">
                  <c:v>0.49000000000000021</c:v>
                </c:pt>
                <c:pt idx="12">
                  <c:v>0.49000000000000021</c:v>
                </c:pt>
                <c:pt idx="13">
                  <c:v>0.49999999999999956</c:v>
                </c:pt>
                <c:pt idx="14">
                  <c:v>0.51000000000000023</c:v>
                </c:pt>
                <c:pt idx="15">
                  <c:v>0.45999999999999952</c:v>
                </c:pt>
                <c:pt idx="16">
                  <c:v>0.46999999999999975</c:v>
                </c:pt>
                <c:pt idx="17">
                  <c:v>0.45000000000000018</c:v>
                </c:pt>
                <c:pt idx="18">
                  <c:v>0.44000000000000039</c:v>
                </c:pt>
                <c:pt idx="19">
                  <c:v>0.4399999999999995</c:v>
                </c:pt>
                <c:pt idx="20">
                  <c:v>0.41999999999999993</c:v>
                </c:pt>
                <c:pt idx="21">
                  <c:v>0.44999999999999973</c:v>
                </c:pt>
                <c:pt idx="22">
                  <c:v>0.45000000000000018</c:v>
                </c:pt>
                <c:pt idx="23">
                  <c:v>0.41000000000000014</c:v>
                </c:pt>
                <c:pt idx="24">
                  <c:v>0.45000000000000018</c:v>
                </c:pt>
                <c:pt idx="25">
                  <c:v>0.45999999999999996</c:v>
                </c:pt>
                <c:pt idx="26">
                  <c:v>0.46000000000000041</c:v>
                </c:pt>
                <c:pt idx="27">
                  <c:v>0.4700000000000002</c:v>
                </c:pt>
                <c:pt idx="28">
                  <c:v>0.45999999999999996</c:v>
                </c:pt>
                <c:pt idx="29">
                  <c:v>0.48999999999999977</c:v>
                </c:pt>
                <c:pt idx="30">
                  <c:v>0.45999999999999996</c:v>
                </c:pt>
                <c:pt idx="31">
                  <c:v>0.49000000000000021</c:v>
                </c:pt>
                <c:pt idx="32">
                  <c:v>0.5</c:v>
                </c:pt>
                <c:pt idx="33">
                  <c:v>0.5</c:v>
                </c:pt>
                <c:pt idx="34">
                  <c:v>0.48000000000000043</c:v>
                </c:pt>
                <c:pt idx="35">
                  <c:v>0.45999999999999952</c:v>
                </c:pt>
                <c:pt idx="36">
                  <c:v>0.43000000000000016</c:v>
                </c:pt>
                <c:pt idx="37">
                  <c:v>0.43000000000000016</c:v>
                </c:pt>
                <c:pt idx="38">
                  <c:v>0.42999999999999972</c:v>
                </c:pt>
                <c:pt idx="39">
                  <c:v>0.41999999999999993</c:v>
                </c:pt>
                <c:pt idx="40">
                  <c:v>0.42999999999999972</c:v>
                </c:pt>
                <c:pt idx="41">
                  <c:v>0.42000000000000037</c:v>
                </c:pt>
                <c:pt idx="42">
                  <c:v>0.43000000000000016</c:v>
                </c:pt>
                <c:pt idx="43">
                  <c:v>0.44000000000000039</c:v>
                </c:pt>
                <c:pt idx="44">
                  <c:v>0.44000000000000039</c:v>
                </c:pt>
                <c:pt idx="45">
                  <c:v>0.45000000000000018</c:v>
                </c:pt>
                <c:pt idx="46">
                  <c:v>0.45999999999999996</c:v>
                </c:pt>
                <c:pt idx="47">
                  <c:v>0.49000000000000021</c:v>
                </c:pt>
                <c:pt idx="48">
                  <c:v>0.48999999999999977</c:v>
                </c:pt>
                <c:pt idx="49">
                  <c:v>0.5</c:v>
                </c:pt>
                <c:pt idx="50">
                  <c:v>0.49000000000000021</c:v>
                </c:pt>
                <c:pt idx="51">
                  <c:v>0.4700000000000002</c:v>
                </c:pt>
                <c:pt idx="52">
                  <c:v>0.48</c:v>
                </c:pt>
                <c:pt idx="53">
                  <c:v>0.48</c:v>
                </c:pt>
                <c:pt idx="54">
                  <c:v>0.48</c:v>
                </c:pt>
                <c:pt idx="55">
                  <c:v>0.45000000000000018</c:v>
                </c:pt>
                <c:pt idx="56">
                  <c:v>0.46000000000000041</c:v>
                </c:pt>
                <c:pt idx="57">
                  <c:v>0.45000000000000018</c:v>
                </c:pt>
                <c:pt idx="58">
                  <c:v>0.42999999999999972</c:v>
                </c:pt>
                <c:pt idx="59">
                  <c:v>0.41999999999999993</c:v>
                </c:pt>
                <c:pt idx="60">
                  <c:v>0.48000000000000043</c:v>
                </c:pt>
                <c:pt idx="61">
                  <c:v>0.45000000000000018</c:v>
                </c:pt>
                <c:pt idx="62">
                  <c:v>0.42999999999999972</c:v>
                </c:pt>
                <c:pt idx="63">
                  <c:v>0.4099999999999997</c:v>
                </c:pt>
                <c:pt idx="64">
                  <c:v>0.41000000000000014</c:v>
                </c:pt>
                <c:pt idx="65">
                  <c:v>0.39000000000000012</c:v>
                </c:pt>
                <c:pt idx="66">
                  <c:v>0.40000000000000036</c:v>
                </c:pt>
                <c:pt idx="67">
                  <c:v>0.4099999999999997</c:v>
                </c:pt>
                <c:pt idx="68">
                  <c:v>0.4099999999999997</c:v>
                </c:pt>
                <c:pt idx="69">
                  <c:v>0.43999999999999995</c:v>
                </c:pt>
                <c:pt idx="70">
                  <c:v>0.45999999999999996</c:v>
                </c:pt>
                <c:pt idx="71">
                  <c:v>0.41999999999999993</c:v>
                </c:pt>
                <c:pt idx="72">
                  <c:v>0.42999999999999972</c:v>
                </c:pt>
                <c:pt idx="73">
                  <c:v>0.43000000000000016</c:v>
                </c:pt>
                <c:pt idx="74">
                  <c:v>0.42000000000000037</c:v>
                </c:pt>
                <c:pt idx="75">
                  <c:v>0.44000000000000039</c:v>
                </c:pt>
                <c:pt idx="76">
                  <c:v>0.43999999999999995</c:v>
                </c:pt>
                <c:pt idx="77">
                  <c:v>0.41999999999999948</c:v>
                </c:pt>
                <c:pt idx="78">
                  <c:v>0.44999999999999973</c:v>
                </c:pt>
                <c:pt idx="79">
                  <c:v>0.45000000000000018</c:v>
                </c:pt>
                <c:pt idx="80">
                  <c:v>0.45999999999999952</c:v>
                </c:pt>
                <c:pt idx="81">
                  <c:v>0.43999999999999995</c:v>
                </c:pt>
                <c:pt idx="82">
                  <c:v>0.45000000000000018</c:v>
                </c:pt>
                <c:pt idx="83">
                  <c:v>0.48</c:v>
                </c:pt>
                <c:pt idx="84">
                  <c:v>0.4399999999999995</c:v>
                </c:pt>
                <c:pt idx="85">
                  <c:v>0.44999999999999973</c:v>
                </c:pt>
                <c:pt idx="86">
                  <c:v>0.43999999999999995</c:v>
                </c:pt>
                <c:pt idx="87">
                  <c:v>0.4700000000000002</c:v>
                </c:pt>
                <c:pt idx="88">
                  <c:v>0.45000000000000018</c:v>
                </c:pt>
                <c:pt idx="89">
                  <c:v>0.45000000000000018</c:v>
                </c:pt>
                <c:pt idx="90">
                  <c:v>0.45999999999999996</c:v>
                </c:pt>
                <c:pt idx="91">
                  <c:v>0.45999999999999996</c:v>
                </c:pt>
                <c:pt idx="92">
                  <c:v>0.45999999999999996</c:v>
                </c:pt>
                <c:pt idx="93">
                  <c:v>0.4300000000000006</c:v>
                </c:pt>
                <c:pt idx="94">
                  <c:v>0.45000000000000018</c:v>
                </c:pt>
                <c:pt idx="95">
                  <c:v>0.44000000000000039</c:v>
                </c:pt>
                <c:pt idx="96">
                  <c:v>0.45000000000000018</c:v>
                </c:pt>
                <c:pt idx="97">
                  <c:v>0.44999999999999929</c:v>
                </c:pt>
                <c:pt idx="98">
                  <c:v>0.45000000000000018</c:v>
                </c:pt>
                <c:pt idx="99">
                  <c:v>0.41000000000000014</c:v>
                </c:pt>
                <c:pt idx="100">
                  <c:v>0.41999999999999993</c:v>
                </c:pt>
                <c:pt idx="101">
                  <c:v>0.39999999999999947</c:v>
                </c:pt>
                <c:pt idx="102">
                  <c:v>0.41999999999999993</c:v>
                </c:pt>
                <c:pt idx="103">
                  <c:v>0.45999999999999996</c:v>
                </c:pt>
                <c:pt idx="104">
                  <c:v>0.4300000000000006</c:v>
                </c:pt>
                <c:pt idx="105">
                  <c:v>0.4399999999999995</c:v>
                </c:pt>
                <c:pt idx="106">
                  <c:v>0.4300000000000006</c:v>
                </c:pt>
                <c:pt idx="107">
                  <c:v>0.41000000000000014</c:v>
                </c:pt>
                <c:pt idx="108">
                  <c:v>0.41000000000000014</c:v>
                </c:pt>
                <c:pt idx="109">
                  <c:v>0.40999999999999925</c:v>
                </c:pt>
                <c:pt idx="110">
                  <c:v>0.41000000000000014</c:v>
                </c:pt>
                <c:pt idx="111">
                  <c:v>0.40999999999999925</c:v>
                </c:pt>
                <c:pt idx="112">
                  <c:v>0.41000000000000014</c:v>
                </c:pt>
                <c:pt idx="113">
                  <c:v>0.4399999999999995</c:v>
                </c:pt>
                <c:pt idx="114">
                  <c:v>0.42999999999999972</c:v>
                </c:pt>
                <c:pt idx="115">
                  <c:v>0.41999999999999993</c:v>
                </c:pt>
                <c:pt idx="116">
                  <c:v>0.42999999999999972</c:v>
                </c:pt>
                <c:pt idx="117">
                  <c:v>0.45999999999999996</c:v>
                </c:pt>
                <c:pt idx="118">
                  <c:v>0.42999999999999972</c:v>
                </c:pt>
                <c:pt idx="119">
                  <c:v>0.41999999999999993</c:v>
                </c:pt>
                <c:pt idx="120">
                  <c:v>0.40000000000000036</c:v>
                </c:pt>
                <c:pt idx="121">
                  <c:v>0.41999999999999993</c:v>
                </c:pt>
                <c:pt idx="122">
                  <c:v>0.4300000000000006</c:v>
                </c:pt>
                <c:pt idx="123">
                  <c:v>0.4300000000000006</c:v>
                </c:pt>
                <c:pt idx="124">
                  <c:v>0.42999999999999972</c:v>
                </c:pt>
                <c:pt idx="125">
                  <c:v>0.42999999999999972</c:v>
                </c:pt>
                <c:pt idx="126">
                  <c:v>0.4300000000000006</c:v>
                </c:pt>
                <c:pt idx="127">
                  <c:v>0.41999999999999993</c:v>
                </c:pt>
                <c:pt idx="128">
                  <c:v>0.42000000000000082</c:v>
                </c:pt>
                <c:pt idx="129">
                  <c:v>0.42000000000000082</c:v>
                </c:pt>
                <c:pt idx="130">
                  <c:v>0.41000000000000014</c:v>
                </c:pt>
                <c:pt idx="131">
                  <c:v>0.40000000000000036</c:v>
                </c:pt>
                <c:pt idx="132">
                  <c:v>0.40999999999999925</c:v>
                </c:pt>
                <c:pt idx="133">
                  <c:v>0.39999999999999947</c:v>
                </c:pt>
                <c:pt idx="134">
                  <c:v>0.39999999999999947</c:v>
                </c:pt>
                <c:pt idx="135">
                  <c:v>0.41999999999999993</c:v>
                </c:pt>
                <c:pt idx="136">
                  <c:v>0.39999999999999947</c:v>
                </c:pt>
                <c:pt idx="137">
                  <c:v>0.40000000000000036</c:v>
                </c:pt>
                <c:pt idx="138">
                  <c:v>0.37000000000000011</c:v>
                </c:pt>
                <c:pt idx="139">
                  <c:v>0.36000000000000032</c:v>
                </c:pt>
                <c:pt idx="140">
                  <c:v>0.39000000000000057</c:v>
                </c:pt>
                <c:pt idx="141">
                  <c:v>0.37999999999999989</c:v>
                </c:pt>
                <c:pt idx="142">
                  <c:v>0.39000000000000057</c:v>
                </c:pt>
                <c:pt idx="143">
                  <c:v>0.41000000000000014</c:v>
                </c:pt>
                <c:pt idx="144">
                  <c:v>0.42999999999999972</c:v>
                </c:pt>
                <c:pt idx="145">
                  <c:v>0.41999999999999993</c:v>
                </c:pt>
                <c:pt idx="146">
                  <c:v>0.41000000000000014</c:v>
                </c:pt>
                <c:pt idx="147">
                  <c:v>0.40000000000000036</c:v>
                </c:pt>
                <c:pt idx="148">
                  <c:v>0.41999999999999993</c:v>
                </c:pt>
                <c:pt idx="149">
                  <c:v>0.40000000000000036</c:v>
                </c:pt>
                <c:pt idx="150">
                  <c:v>0.38999999999999968</c:v>
                </c:pt>
                <c:pt idx="151">
                  <c:v>0.38000000000000078</c:v>
                </c:pt>
                <c:pt idx="152">
                  <c:v>0.37999999999999989</c:v>
                </c:pt>
                <c:pt idx="153">
                  <c:v>0.35000000000000053</c:v>
                </c:pt>
                <c:pt idx="154">
                  <c:v>0.35000000000000053</c:v>
                </c:pt>
                <c:pt idx="155">
                  <c:v>0.33000000000000007</c:v>
                </c:pt>
                <c:pt idx="156">
                  <c:v>0.33000000000000007</c:v>
                </c:pt>
                <c:pt idx="157">
                  <c:v>0.33999999999999986</c:v>
                </c:pt>
                <c:pt idx="158">
                  <c:v>0.32000000000000028</c:v>
                </c:pt>
                <c:pt idx="159">
                  <c:v>0.33000000000000007</c:v>
                </c:pt>
                <c:pt idx="160">
                  <c:v>0.37000000000000011</c:v>
                </c:pt>
                <c:pt idx="161">
                  <c:v>0.3199999999999994</c:v>
                </c:pt>
                <c:pt idx="162">
                  <c:v>0.3100000000000005</c:v>
                </c:pt>
                <c:pt idx="163">
                  <c:v>0.32000000000000028</c:v>
                </c:pt>
                <c:pt idx="164">
                  <c:v>0.33999999999999986</c:v>
                </c:pt>
                <c:pt idx="165">
                  <c:v>0.33999999999999986</c:v>
                </c:pt>
                <c:pt idx="166">
                  <c:v>0.33999999999999986</c:v>
                </c:pt>
                <c:pt idx="167">
                  <c:v>0.33999999999999986</c:v>
                </c:pt>
                <c:pt idx="168">
                  <c:v>0.37999999999999989</c:v>
                </c:pt>
                <c:pt idx="169">
                  <c:v>0.40000000000000036</c:v>
                </c:pt>
                <c:pt idx="170">
                  <c:v>0.40000000000000036</c:v>
                </c:pt>
                <c:pt idx="171">
                  <c:v>0.38999999999999968</c:v>
                </c:pt>
                <c:pt idx="172">
                  <c:v>0.37999999999999989</c:v>
                </c:pt>
                <c:pt idx="173">
                  <c:v>0.41000000000000014</c:v>
                </c:pt>
                <c:pt idx="174">
                  <c:v>0.40999999999999925</c:v>
                </c:pt>
                <c:pt idx="175">
                  <c:v>0.41000000000000014</c:v>
                </c:pt>
                <c:pt idx="176">
                  <c:v>0.39999999999999947</c:v>
                </c:pt>
                <c:pt idx="177">
                  <c:v>0.41000000000000014</c:v>
                </c:pt>
                <c:pt idx="178">
                  <c:v>0.4300000000000006</c:v>
                </c:pt>
                <c:pt idx="179">
                  <c:v>0.41999999999999993</c:v>
                </c:pt>
                <c:pt idx="180">
                  <c:v>0.41999999999999993</c:v>
                </c:pt>
                <c:pt idx="181">
                  <c:v>0.4300000000000006</c:v>
                </c:pt>
                <c:pt idx="182">
                  <c:v>0.41999999999999993</c:v>
                </c:pt>
                <c:pt idx="183">
                  <c:v>0.41999999999999993</c:v>
                </c:pt>
                <c:pt idx="184">
                  <c:v>0.41000000000000014</c:v>
                </c:pt>
                <c:pt idx="185">
                  <c:v>0.38999999999999968</c:v>
                </c:pt>
                <c:pt idx="186">
                  <c:v>0.37999999999999989</c:v>
                </c:pt>
                <c:pt idx="187">
                  <c:v>0.41000000000000014</c:v>
                </c:pt>
                <c:pt idx="188">
                  <c:v>0.40000000000000036</c:v>
                </c:pt>
                <c:pt idx="189">
                  <c:v>0.4300000000000006</c:v>
                </c:pt>
                <c:pt idx="190">
                  <c:v>0.41999999999999993</c:v>
                </c:pt>
                <c:pt idx="191">
                  <c:v>0.40000000000000036</c:v>
                </c:pt>
                <c:pt idx="192">
                  <c:v>0.41999999999999993</c:v>
                </c:pt>
                <c:pt idx="193">
                  <c:v>0.39000000000000057</c:v>
                </c:pt>
                <c:pt idx="194">
                  <c:v>0.39999999999999947</c:v>
                </c:pt>
                <c:pt idx="195">
                  <c:v>0.39999999999999947</c:v>
                </c:pt>
                <c:pt idx="196">
                  <c:v>0.39999999999999947</c:v>
                </c:pt>
                <c:pt idx="197">
                  <c:v>0.41999999999999993</c:v>
                </c:pt>
                <c:pt idx="198">
                  <c:v>0.41999999999999993</c:v>
                </c:pt>
                <c:pt idx="199">
                  <c:v>0.41000000000000014</c:v>
                </c:pt>
                <c:pt idx="200">
                  <c:v>0.41000000000000014</c:v>
                </c:pt>
                <c:pt idx="201">
                  <c:v>0.39000000000000057</c:v>
                </c:pt>
                <c:pt idx="202">
                  <c:v>0.41000000000000014</c:v>
                </c:pt>
                <c:pt idx="203">
                  <c:v>0.38999999999999968</c:v>
                </c:pt>
                <c:pt idx="204">
                  <c:v>0.38999999999999968</c:v>
                </c:pt>
                <c:pt idx="205">
                  <c:v>0.37999999999999989</c:v>
                </c:pt>
                <c:pt idx="206">
                  <c:v>0.39000000000000057</c:v>
                </c:pt>
                <c:pt idx="207">
                  <c:v>0.37999999999999989</c:v>
                </c:pt>
                <c:pt idx="208">
                  <c:v>0.37999999999999989</c:v>
                </c:pt>
                <c:pt idx="209">
                  <c:v>0.38999999999999968</c:v>
                </c:pt>
                <c:pt idx="210">
                  <c:v>0.37999999999999989</c:v>
                </c:pt>
                <c:pt idx="211">
                  <c:v>0.37000000000000011</c:v>
                </c:pt>
                <c:pt idx="212">
                  <c:v>0.38999999999999968</c:v>
                </c:pt>
                <c:pt idx="213">
                  <c:v>0.38999999999999968</c:v>
                </c:pt>
                <c:pt idx="214">
                  <c:v>0.38999999999999968</c:v>
                </c:pt>
                <c:pt idx="215">
                  <c:v>0.38999999999999968</c:v>
                </c:pt>
                <c:pt idx="216">
                  <c:v>0.39000000000000057</c:v>
                </c:pt>
                <c:pt idx="217">
                  <c:v>0.38999999999999968</c:v>
                </c:pt>
                <c:pt idx="218">
                  <c:v>0.37999999999999989</c:v>
                </c:pt>
                <c:pt idx="219">
                  <c:v>0.37999999999999989</c:v>
                </c:pt>
                <c:pt idx="220">
                  <c:v>0.38999999999999968</c:v>
                </c:pt>
                <c:pt idx="221">
                  <c:v>0.37000000000000011</c:v>
                </c:pt>
                <c:pt idx="222">
                  <c:v>0.36999999999999922</c:v>
                </c:pt>
                <c:pt idx="223">
                  <c:v>0.36000000000000032</c:v>
                </c:pt>
                <c:pt idx="224">
                  <c:v>0.40000000000000036</c:v>
                </c:pt>
                <c:pt idx="225">
                  <c:v>0.40000000000000036</c:v>
                </c:pt>
                <c:pt idx="226">
                  <c:v>0.41000000000000014</c:v>
                </c:pt>
                <c:pt idx="227">
                  <c:v>0.39000000000000057</c:v>
                </c:pt>
                <c:pt idx="228">
                  <c:v>0.37999999999999989</c:v>
                </c:pt>
                <c:pt idx="229">
                  <c:v>0.42999999999999972</c:v>
                </c:pt>
                <c:pt idx="230">
                  <c:v>0.41000000000000014</c:v>
                </c:pt>
                <c:pt idx="231">
                  <c:v>0.42000000000000082</c:v>
                </c:pt>
                <c:pt idx="232">
                  <c:v>0.42000000000000082</c:v>
                </c:pt>
                <c:pt idx="233">
                  <c:v>0.41999999999999993</c:v>
                </c:pt>
                <c:pt idx="234">
                  <c:v>0.44000000000000039</c:v>
                </c:pt>
                <c:pt idx="235">
                  <c:v>0.42999999999999972</c:v>
                </c:pt>
                <c:pt idx="236">
                  <c:v>0.42000000000000082</c:v>
                </c:pt>
                <c:pt idx="237">
                  <c:v>0.47000000000000064</c:v>
                </c:pt>
                <c:pt idx="238">
                  <c:v>0.44000000000000039</c:v>
                </c:pt>
                <c:pt idx="239">
                  <c:v>0.4300000000000006</c:v>
                </c:pt>
                <c:pt idx="240">
                  <c:v>0.41999999999999993</c:v>
                </c:pt>
                <c:pt idx="241">
                  <c:v>0.38999999999999968</c:v>
                </c:pt>
                <c:pt idx="242">
                  <c:v>0.41000000000000014</c:v>
                </c:pt>
                <c:pt idx="243">
                  <c:v>0.41000000000000014</c:v>
                </c:pt>
                <c:pt idx="244">
                  <c:v>0.41000000000000014</c:v>
                </c:pt>
                <c:pt idx="245">
                  <c:v>0.41000000000000014</c:v>
                </c:pt>
                <c:pt idx="246">
                  <c:v>0.39999999999999947</c:v>
                </c:pt>
                <c:pt idx="247">
                  <c:v>0.37999999999999989</c:v>
                </c:pt>
                <c:pt idx="248">
                  <c:v>0.37999999999999989</c:v>
                </c:pt>
                <c:pt idx="249">
                  <c:v>0.37000000000000011</c:v>
                </c:pt>
                <c:pt idx="250">
                  <c:v>0.37000000000000011</c:v>
                </c:pt>
                <c:pt idx="251">
                  <c:v>0.41000000000000014</c:v>
                </c:pt>
                <c:pt idx="252">
                  <c:v>0.39999999999999947</c:v>
                </c:pt>
                <c:pt idx="253">
                  <c:v>0.37999999999999989</c:v>
                </c:pt>
                <c:pt idx="254">
                  <c:v>0.37999999999999989</c:v>
                </c:pt>
                <c:pt idx="255">
                  <c:v>0.39999999999999947</c:v>
                </c:pt>
                <c:pt idx="256">
                  <c:v>0.40000000000000036</c:v>
                </c:pt>
                <c:pt idx="257">
                  <c:v>0.41000000000000014</c:v>
                </c:pt>
                <c:pt idx="258">
                  <c:v>0.41000000000000014</c:v>
                </c:pt>
                <c:pt idx="259">
                  <c:v>0.44000000000000039</c:v>
                </c:pt>
                <c:pt idx="260">
                  <c:v>0.45000000000000018</c:v>
                </c:pt>
                <c:pt idx="261">
                  <c:v>0.45000000000000018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Informe5!$AL$5</c:f>
              <c:strCache>
                <c:ptCount val="1"/>
                <c:pt idx="0">
                  <c:v>2s/10s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Informe5!$AE$6:$AE$267</c:f>
              <c:numCache>
                <c:formatCode>m/d/yyyy</c:formatCode>
                <c:ptCount val="262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42618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  <c:pt idx="66">
                  <c:v>42578</c:v>
                </c:pt>
                <c:pt idx="67">
                  <c:v>42577</c:v>
                </c:pt>
                <c:pt idx="68">
                  <c:v>42576</c:v>
                </c:pt>
                <c:pt idx="69">
                  <c:v>42573</c:v>
                </c:pt>
                <c:pt idx="70">
                  <c:v>42572</c:v>
                </c:pt>
                <c:pt idx="71">
                  <c:v>42571</c:v>
                </c:pt>
                <c:pt idx="72">
                  <c:v>42570</c:v>
                </c:pt>
                <c:pt idx="73">
                  <c:v>42569</c:v>
                </c:pt>
                <c:pt idx="74">
                  <c:v>42566</c:v>
                </c:pt>
                <c:pt idx="75">
                  <c:v>42565</c:v>
                </c:pt>
                <c:pt idx="76">
                  <c:v>42564</c:v>
                </c:pt>
                <c:pt idx="77">
                  <c:v>42563</c:v>
                </c:pt>
                <c:pt idx="78">
                  <c:v>42562</c:v>
                </c:pt>
                <c:pt idx="79">
                  <c:v>42559</c:v>
                </c:pt>
                <c:pt idx="80">
                  <c:v>42558</c:v>
                </c:pt>
                <c:pt idx="81">
                  <c:v>42557</c:v>
                </c:pt>
                <c:pt idx="82">
                  <c:v>42556</c:v>
                </c:pt>
                <c:pt idx="83">
                  <c:v>42555</c:v>
                </c:pt>
                <c:pt idx="84">
                  <c:v>42552</c:v>
                </c:pt>
                <c:pt idx="85">
                  <c:v>42551</c:v>
                </c:pt>
                <c:pt idx="86">
                  <c:v>42550</c:v>
                </c:pt>
                <c:pt idx="87">
                  <c:v>42549</c:v>
                </c:pt>
                <c:pt idx="88">
                  <c:v>42548</c:v>
                </c:pt>
                <c:pt idx="89">
                  <c:v>42545</c:v>
                </c:pt>
                <c:pt idx="90">
                  <c:v>42544</c:v>
                </c:pt>
                <c:pt idx="91">
                  <c:v>42543</c:v>
                </c:pt>
                <c:pt idx="92">
                  <c:v>42542</c:v>
                </c:pt>
                <c:pt idx="93">
                  <c:v>42541</c:v>
                </c:pt>
                <c:pt idx="94">
                  <c:v>42538</c:v>
                </c:pt>
                <c:pt idx="95">
                  <c:v>42537</c:v>
                </c:pt>
                <c:pt idx="96">
                  <c:v>42536</c:v>
                </c:pt>
                <c:pt idx="97">
                  <c:v>42535</c:v>
                </c:pt>
                <c:pt idx="98">
                  <c:v>42534</c:v>
                </c:pt>
                <c:pt idx="99">
                  <c:v>42531</c:v>
                </c:pt>
                <c:pt idx="100">
                  <c:v>42530</c:v>
                </c:pt>
                <c:pt idx="101">
                  <c:v>42529</c:v>
                </c:pt>
                <c:pt idx="102">
                  <c:v>42528</c:v>
                </c:pt>
                <c:pt idx="103">
                  <c:v>42527</c:v>
                </c:pt>
                <c:pt idx="104">
                  <c:v>42524</c:v>
                </c:pt>
                <c:pt idx="105">
                  <c:v>42523</c:v>
                </c:pt>
                <c:pt idx="106">
                  <c:v>42522</c:v>
                </c:pt>
                <c:pt idx="107">
                  <c:v>42521</c:v>
                </c:pt>
                <c:pt idx="108">
                  <c:v>42520</c:v>
                </c:pt>
                <c:pt idx="109">
                  <c:v>42517</c:v>
                </c:pt>
                <c:pt idx="110">
                  <c:v>42516</c:v>
                </c:pt>
                <c:pt idx="111">
                  <c:v>42515</c:v>
                </c:pt>
                <c:pt idx="112">
                  <c:v>42514</c:v>
                </c:pt>
                <c:pt idx="113">
                  <c:v>42513</c:v>
                </c:pt>
                <c:pt idx="114">
                  <c:v>42510</c:v>
                </c:pt>
                <c:pt idx="115">
                  <c:v>42509</c:v>
                </c:pt>
                <c:pt idx="116">
                  <c:v>42508</c:v>
                </c:pt>
                <c:pt idx="117">
                  <c:v>42507</c:v>
                </c:pt>
                <c:pt idx="118">
                  <c:v>42506</c:v>
                </c:pt>
                <c:pt idx="119">
                  <c:v>42503</c:v>
                </c:pt>
                <c:pt idx="120">
                  <c:v>42502</c:v>
                </c:pt>
                <c:pt idx="121">
                  <c:v>42501</c:v>
                </c:pt>
                <c:pt idx="122">
                  <c:v>42500</c:v>
                </c:pt>
                <c:pt idx="123">
                  <c:v>42499</c:v>
                </c:pt>
                <c:pt idx="124">
                  <c:v>42496</c:v>
                </c:pt>
                <c:pt idx="125">
                  <c:v>42495</c:v>
                </c:pt>
                <c:pt idx="126">
                  <c:v>42494</c:v>
                </c:pt>
                <c:pt idx="127">
                  <c:v>42493</c:v>
                </c:pt>
                <c:pt idx="128">
                  <c:v>42492</c:v>
                </c:pt>
                <c:pt idx="129">
                  <c:v>42489</c:v>
                </c:pt>
                <c:pt idx="130">
                  <c:v>42488</c:v>
                </c:pt>
                <c:pt idx="131">
                  <c:v>42487</c:v>
                </c:pt>
                <c:pt idx="132">
                  <c:v>42486</c:v>
                </c:pt>
                <c:pt idx="133">
                  <c:v>42485</c:v>
                </c:pt>
                <c:pt idx="134">
                  <c:v>42482</c:v>
                </c:pt>
                <c:pt idx="135">
                  <c:v>42481</c:v>
                </c:pt>
                <c:pt idx="136">
                  <c:v>42480</c:v>
                </c:pt>
                <c:pt idx="137">
                  <c:v>42479</c:v>
                </c:pt>
                <c:pt idx="138">
                  <c:v>42478</c:v>
                </c:pt>
                <c:pt idx="139">
                  <c:v>42475</c:v>
                </c:pt>
                <c:pt idx="140">
                  <c:v>42474</c:v>
                </c:pt>
                <c:pt idx="141">
                  <c:v>42473</c:v>
                </c:pt>
                <c:pt idx="142">
                  <c:v>42472</c:v>
                </c:pt>
                <c:pt idx="143">
                  <c:v>42471</c:v>
                </c:pt>
                <c:pt idx="144">
                  <c:v>42468</c:v>
                </c:pt>
                <c:pt idx="145">
                  <c:v>42467</c:v>
                </c:pt>
                <c:pt idx="146">
                  <c:v>42466</c:v>
                </c:pt>
                <c:pt idx="147">
                  <c:v>42465</c:v>
                </c:pt>
                <c:pt idx="148">
                  <c:v>42464</c:v>
                </c:pt>
                <c:pt idx="149">
                  <c:v>42461</c:v>
                </c:pt>
                <c:pt idx="150">
                  <c:v>42460</c:v>
                </c:pt>
                <c:pt idx="151">
                  <c:v>42459</c:v>
                </c:pt>
                <c:pt idx="152">
                  <c:v>42458</c:v>
                </c:pt>
                <c:pt idx="153">
                  <c:v>42457</c:v>
                </c:pt>
                <c:pt idx="154">
                  <c:v>42454</c:v>
                </c:pt>
                <c:pt idx="155">
                  <c:v>42453</c:v>
                </c:pt>
                <c:pt idx="156">
                  <c:v>42452</c:v>
                </c:pt>
                <c:pt idx="157">
                  <c:v>42451</c:v>
                </c:pt>
                <c:pt idx="158">
                  <c:v>42450</c:v>
                </c:pt>
                <c:pt idx="159">
                  <c:v>42447</c:v>
                </c:pt>
                <c:pt idx="160">
                  <c:v>42446</c:v>
                </c:pt>
                <c:pt idx="161">
                  <c:v>42445</c:v>
                </c:pt>
                <c:pt idx="162">
                  <c:v>42444</c:v>
                </c:pt>
                <c:pt idx="163">
                  <c:v>42443</c:v>
                </c:pt>
                <c:pt idx="164">
                  <c:v>42440</c:v>
                </c:pt>
                <c:pt idx="165">
                  <c:v>42439</c:v>
                </c:pt>
                <c:pt idx="166">
                  <c:v>42438</c:v>
                </c:pt>
                <c:pt idx="167">
                  <c:v>42437</c:v>
                </c:pt>
                <c:pt idx="168">
                  <c:v>42436</c:v>
                </c:pt>
                <c:pt idx="169">
                  <c:v>42433</c:v>
                </c:pt>
                <c:pt idx="170">
                  <c:v>42432</c:v>
                </c:pt>
                <c:pt idx="171">
                  <c:v>42431</c:v>
                </c:pt>
                <c:pt idx="172">
                  <c:v>42430</c:v>
                </c:pt>
                <c:pt idx="173">
                  <c:v>42429</c:v>
                </c:pt>
                <c:pt idx="174">
                  <c:v>42426</c:v>
                </c:pt>
                <c:pt idx="175">
                  <c:v>42425</c:v>
                </c:pt>
                <c:pt idx="176">
                  <c:v>42424</c:v>
                </c:pt>
                <c:pt idx="177">
                  <c:v>42423</c:v>
                </c:pt>
                <c:pt idx="178">
                  <c:v>42422</c:v>
                </c:pt>
                <c:pt idx="179">
                  <c:v>42419</c:v>
                </c:pt>
                <c:pt idx="180">
                  <c:v>42418</c:v>
                </c:pt>
                <c:pt idx="181">
                  <c:v>42417</c:v>
                </c:pt>
                <c:pt idx="182">
                  <c:v>42416</c:v>
                </c:pt>
                <c:pt idx="183">
                  <c:v>42415</c:v>
                </c:pt>
                <c:pt idx="184">
                  <c:v>42412</c:v>
                </c:pt>
                <c:pt idx="185">
                  <c:v>42411</c:v>
                </c:pt>
                <c:pt idx="186">
                  <c:v>42410</c:v>
                </c:pt>
                <c:pt idx="187">
                  <c:v>42409</c:v>
                </c:pt>
                <c:pt idx="188">
                  <c:v>42408</c:v>
                </c:pt>
                <c:pt idx="189">
                  <c:v>42405</c:v>
                </c:pt>
                <c:pt idx="190">
                  <c:v>42404</c:v>
                </c:pt>
                <c:pt idx="191">
                  <c:v>42403</c:v>
                </c:pt>
                <c:pt idx="192">
                  <c:v>42402</c:v>
                </c:pt>
                <c:pt idx="193">
                  <c:v>42401</c:v>
                </c:pt>
                <c:pt idx="194">
                  <c:v>42398</c:v>
                </c:pt>
                <c:pt idx="195">
                  <c:v>42397</c:v>
                </c:pt>
                <c:pt idx="196">
                  <c:v>42396</c:v>
                </c:pt>
                <c:pt idx="197">
                  <c:v>42395</c:v>
                </c:pt>
                <c:pt idx="198">
                  <c:v>42394</c:v>
                </c:pt>
                <c:pt idx="199">
                  <c:v>42391</c:v>
                </c:pt>
                <c:pt idx="200">
                  <c:v>42390</c:v>
                </c:pt>
                <c:pt idx="201">
                  <c:v>42389</c:v>
                </c:pt>
                <c:pt idx="202">
                  <c:v>42388</c:v>
                </c:pt>
                <c:pt idx="203">
                  <c:v>42387</c:v>
                </c:pt>
                <c:pt idx="204">
                  <c:v>42384</c:v>
                </c:pt>
                <c:pt idx="205">
                  <c:v>42383</c:v>
                </c:pt>
                <c:pt idx="206">
                  <c:v>42382</c:v>
                </c:pt>
                <c:pt idx="207">
                  <c:v>42381</c:v>
                </c:pt>
                <c:pt idx="208">
                  <c:v>42380</c:v>
                </c:pt>
                <c:pt idx="209">
                  <c:v>42377</c:v>
                </c:pt>
                <c:pt idx="210">
                  <c:v>42376</c:v>
                </c:pt>
                <c:pt idx="211">
                  <c:v>42375</c:v>
                </c:pt>
                <c:pt idx="212">
                  <c:v>42374</c:v>
                </c:pt>
                <c:pt idx="213">
                  <c:v>42373</c:v>
                </c:pt>
                <c:pt idx="214">
                  <c:v>42370</c:v>
                </c:pt>
                <c:pt idx="215">
                  <c:v>42369</c:v>
                </c:pt>
                <c:pt idx="216">
                  <c:v>42368</c:v>
                </c:pt>
                <c:pt idx="217">
                  <c:v>42367</c:v>
                </c:pt>
                <c:pt idx="218">
                  <c:v>42366</c:v>
                </c:pt>
                <c:pt idx="219">
                  <c:v>42363</c:v>
                </c:pt>
                <c:pt idx="220">
                  <c:v>42362</c:v>
                </c:pt>
                <c:pt idx="221">
                  <c:v>42361</c:v>
                </c:pt>
                <c:pt idx="222">
                  <c:v>42360</c:v>
                </c:pt>
                <c:pt idx="223">
                  <c:v>42359</c:v>
                </c:pt>
                <c:pt idx="224">
                  <c:v>42356</c:v>
                </c:pt>
                <c:pt idx="225">
                  <c:v>42355</c:v>
                </c:pt>
                <c:pt idx="226">
                  <c:v>42354</c:v>
                </c:pt>
                <c:pt idx="227">
                  <c:v>42353</c:v>
                </c:pt>
                <c:pt idx="228">
                  <c:v>42352</c:v>
                </c:pt>
                <c:pt idx="229">
                  <c:v>42349</c:v>
                </c:pt>
                <c:pt idx="230">
                  <c:v>42348</c:v>
                </c:pt>
                <c:pt idx="231">
                  <c:v>42347</c:v>
                </c:pt>
                <c:pt idx="232">
                  <c:v>42346</c:v>
                </c:pt>
                <c:pt idx="233">
                  <c:v>42345</c:v>
                </c:pt>
                <c:pt idx="234">
                  <c:v>42342</c:v>
                </c:pt>
                <c:pt idx="235">
                  <c:v>42341</c:v>
                </c:pt>
                <c:pt idx="236">
                  <c:v>42340</c:v>
                </c:pt>
                <c:pt idx="237">
                  <c:v>42339</c:v>
                </c:pt>
                <c:pt idx="238">
                  <c:v>42338</c:v>
                </c:pt>
                <c:pt idx="239">
                  <c:v>42335</c:v>
                </c:pt>
                <c:pt idx="240">
                  <c:v>42334</c:v>
                </c:pt>
                <c:pt idx="241">
                  <c:v>42333</c:v>
                </c:pt>
                <c:pt idx="242">
                  <c:v>42332</c:v>
                </c:pt>
                <c:pt idx="243">
                  <c:v>42331</c:v>
                </c:pt>
                <c:pt idx="244">
                  <c:v>42328</c:v>
                </c:pt>
                <c:pt idx="245">
                  <c:v>42327</c:v>
                </c:pt>
                <c:pt idx="246">
                  <c:v>42326</c:v>
                </c:pt>
                <c:pt idx="247">
                  <c:v>42325</c:v>
                </c:pt>
                <c:pt idx="248">
                  <c:v>42324</c:v>
                </c:pt>
                <c:pt idx="249">
                  <c:v>42321</c:v>
                </c:pt>
                <c:pt idx="250">
                  <c:v>42320</c:v>
                </c:pt>
                <c:pt idx="251">
                  <c:v>42319</c:v>
                </c:pt>
                <c:pt idx="252">
                  <c:v>42318</c:v>
                </c:pt>
                <c:pt idx="253">
                  <c:v>42317</c:v>
                </c:pt>
                <c:pt idx="254">
                  <c:v>42314</c:v>
                </c:pt>
                <c:pt idx="255">
                  <c:v>42313</c:v>
                </c:pt>
                <c:pt idx="256">
                  <c:v>42312</c:v>
                </c:pt>
                <c:pt idx="257">
                  <c:v>42311</c:v>
                </c:pt>
                <c:pt idx="258">
                  <c:v>42310</c:v>
                </c:pt>
                <c:pt idx="259">
                  <c:v>42307</c:v>
                </c:pt>
                <c:pt idx="260">
                  <c:v>42306</c:v>
                </c:pt>
                <c:pt idx="261">
                  <c:v>42305</c:v>
                </c:pt>
              </c:numCache>
            </c:numRef>
          </c:xVal>
          <c:yVal>
            <c:numRef>
              <c:f>Informe5!$AL$6:$AL$267</c:f>
              <c:numCache>
                <c:formatCode>General</c:formatCode>
                <c:ptCount val="262"/>
                <c:pt idx="0">
                  <c:v>0.79999999999999982</c:v>
                </c:pt>
                <c:pt idx="1">
                  <c:v>0.77999999999999936</c:v>
                </c:pt>
                <c:pt idx="2">
                  <c:v>0.80999999999999961</c:v>
                </c:pt>
                <c:pt idx="3">
                  <c:v>0.81</c:v>
                </c:pt>
                <c:pt idx="4">
                  <c:v>0.7799999999999998</c:v>
                </c:pt>
                <c:pt idx="5">
                  <c:v>0.81</c:v>
                </c:pt>
                <c:pt idx="6">
                  <c:v>0.83000000000000007</c:v>
                </c:pt>
                <c:pt idx="7">
                  <c:v>0.84999999999999964</c:v>
                </c:pt>
                <c:pt idx="8">
                  <c:v>0.84999999999999964</c:v>
                </c:pt>
                <c:pt idx="9">
                  <c:v>0.8400000000000003</c:v>
                </c:pt>
                <c:pt idx="10">
                  <c:v>0.81999999999999984</c:v>
                </c:pt>
                <c:pt idx="11">
                  <c:v>0.81999999999999984</c:v>
                </c:pt>
                <c:pt idx="12">
                  <c:v>0.83000000000000007</c:v>
                </c:pt>
                <c:pt idx="13">
                  <c:v>0.78999999999999959</c:v>
                </c:pt>
                <c:pt idx="14">
                  <c:v>0.8100000000000005</c:v>
                </c:pt>
                <c:pt idx="15">
                  <c:v>0.7799999999999998</c:v>
                </c:pt>
                <c:pt idx="16">
                  <c:v>0.77</c:v>
                </c:pt>
                <c:pt idx="17">
                  <c:v>0.75</c:v>
                </c:pt>
                <c:pt idx="18">
                  <c:v>0.74000000000000021</c:v>
                </c:pt>
                <c:pt idx="19">
                  <c:v>0.73999999999999977</c:v>
                </c:pt>
                <c:pt idx="20">
                  <c:v>0.71999999999999975</c:v>
                </c:pt>
                <c:pt idx="21">
                  <c:v>0.73999999999999977</c:v>
                </c:pt>
                <c:pt idx="22">
                  <c:v>0.75000000000000044</c:v>
                </c:pt>
                <c:pt idx="23">
                  <c:v>0.71000000000000041</c:v>
                </c:pt>
                <c:pt idx="24">
                  <c:v>0.75000000000000044</c:v>
                </c:pt>
                <c:pt idx="25">
                  <c:v>0.76000000000000023</c:v>
                </c:pt>
                <c:pt idx="26">
                  <c:v>0.77000000000000046</c:v>
                </c:pt>
                <c:pt idx="27">
                  <c:v>0.77</c:v>
                </c:pt>
                <c:pt idx="28">
                  <c:v>0.75999999999999979</c:v>
                </c:pt>
                <c:pt idx="29">
                  <c:v>0.77</c:v>
                </c:pt>
                <c:pt idx="30">
                  <c:v>0.75</c:v>
                </c:pt>
                <c:pt idx="31">
                  <c:v>0.77000000000000046</c:v>
                </c:pt>
                <c:pt idx="32">
                  <c:v>0.77</c:v>
                </c:pt>
                <c:pt idx="33">
                  <c:v>0.76000000000000023</c:v>
                </c:pt>
                <c:pt idx="34">
                  <c:v>0.73000000000000043</c:v>
                </c:pt>
                <c:pt idx="35">
                  <c:v>0.72999999999999954</c:v>
                </c:pt>
                <c:pt idx="36">
                  <c:v>0.73</c:v>
                </c:pt>
                <c:pt idx="37">
                  <c:v>0.74000000000000021</c:v>
                </c:pt>
                <c:pt idx="38">
                  <c:v>0.73999999999999977</c:v>
                </c:pt>
                <c:pt idx="39">
                  <c:v>0.74000000000000021</c:v>
                </c:pt>
                <c:pt idx="40">
                  <c:v>0.73</c:v>
                </c:pt>
                <c:pt idx="41">
                  <c:v>0.7200000000000002</c:v>
                </c:pt>
                <c:pt idx="42">
                  <c:v>0.73</c:v>
                </c:pt>
                <c:pt idx="43">
                  <c:v>0.75</c:v>
                </c:pt>
                <c:pt idx="44">
                  <c:v>0.74000000000000021</c:v>
                </c:pt>
                <c:pt idx="45">
                  <c:v>0.75</c:v>
                </c:pt>
                <c:pt idx="46">
                  <c:v>0.76000000000000023</c:v>
                </c:pt>
                <c:pt idx="47">
                  <c:v>0.75000000000000044</c:v>
                </c:pt>
                <c:pt idx="48">
                  <c:v>0.75999999999999979</c:v>
                </c:pt>
                <c:pt idx="49">
                  <c:v>0.80000000000000027</c:v>
                </c:pt>
                <c:pt idx="50">
                  <c:v>0.8100000000000005</c:v>
                </c:pt>
                <c:pt idx="51">
                  <c:v>0.81</c:v>
                </c:pt>
                <c:pt idx="52">
                  <c:v>0.81999999999999984</c:v>
                </c:pt>
                <c:pt idx="53">
                  <c:v>0.81</c:v>
                </c:pt>
                <c:pt idx="54">
                  <c:v>0.81</c:v>
                </c:pt>
                <c:pt idx="55">
                  <c:v>0.78000000000000025</c:v>
                </c:pt>
                <c:pt idx="56">
                  <c:v>0.77000000000000046</c:v>
                </c:pt>
                <c:pt idx="57">
                  <c:v>0.75000000000000044</c:v>
                </c:pt>
                <c:pt idx="58">
                  <c:v>0.73</c:v>
                </c:pt>
                <c:pt idx="59">
                  <c:v>0.71999999999999975</c:v>
                </c:pt>
                <c:pt idx="60">
                  <c:v>0.75000000000000044</c:v>
                </c:pt>
                <c:pt idx="61">
                  <c:v>0.74000000000000021</c:v>
                </c:pt>
                <c:pt idx="62">
                  <c:v>0.71999999999999975</c:v>
                </c:pt>
                <c:pt idx="63">
                  <c:v>0.73999999999999977</c:v>
                </c:pt>
                <c:pt idx="64">
                  <c:v>0.70000000000000018</c:v>
                </c:pt>
                <c:pt idx="65">
                  <c:v>0.73</c:v>
                </c:pt>
                <c:pt idx="66">
                  <c:v>0.75000000000000044</c:v>
                </c:pt>
                <c:pt idx="67">
                  <c:v>0.75999999999999979</c:v>
                </c:pt>
                <c:pt idx="68">
                  <c:v>0.76999999999999957</c:v>
                </c:pt>
                <c:pt idx="69">
                  <c:v>0.77</c:v>
                </c:pt>
                <c:pt idx="70">
                  <c:v>0.72999999999999954</c:v>
                </c:pt>
                <c:pt idx="71">
                  <c:v>0.71999999999999975</c:v>
                </c:pt>
                <c:pt idx="72">
                  <c:v>0.72999999999999954</c:v>
                </c:pt>
                <c:pt idx="73">
                  <c:v>0.74000000000000021</c:v>
                </c:pt>
                <c:pt idx="74">
                  <c:v>0.74000000000000021</c:v>
                </c:pt>
                <c:pt idx="75">
                  <c:v>0.74000000000000021</c:v>
                </c:pt>
                <c:pt idx="76">
                  <c:v>0.75999999999999979</c:v>
                </c:pt>
                <c:pt idx="77">
                  <c:v>0.72999999999999954</c:v>
                </c:pt>
                <c:pt idx="78">
                  <c:v>0.73999999999999977</c:v>
                </c:pt>
                <c:pt idx="79">
                  <c:v>0.73</c:v>
                </c:pt>
                <c:pt idx="80">
                  <c:v>0.72999999999999954</c:v>
                </c:pt>
                <c:pt idx="81">
                  <c:v>0.73999999999999977</c:v>
                </c:pt>
                <c:pt idx="82">
                  <c:v>0.73000000000000043</c:v>
                </c:pt>
                <c:pt idx="83">
                  <c:v>0.77</c:v>
                </c:pt>
                <c:pt idx="84">
                  <c:v>0.74999999999999956</c:v>
                </c:pt>
                <c:pt idx="85">
                  <c:v>0.77</c:v>
                </c:pt>
                <c:pt idx="86">
                  <c:v>0.79</c:v>
                </c:pt>
                <c:pt idx="87">
                  <c:v>0.80000000000000027</c:v>
                </c:pt>
                <c:pt idx="88">
                  <c:v>0.80999999999999961</c:v>
                </c:pt>
                <c:pt idx="89">
                  <c:v>0.81999999999999984</c:v>
                </c:pt>
                <c:pt idx="90">
                  <c:v>0.82999999999999963</c:v>
                </c:pt>
                <c:pt idx="91">
                  <c:v>0.85000000000000009</c:v>
                </c:pt>
                <c:pt idx="92">
                  <c:v>0.82999999999999963</c:v>
                </c:pt>
                <c:pt idx="93">
                  <c:v>0.80000000000000027</c:v>
                </c:pt>
                <c:pt idx="94">
                  <c:v>0.82000000000000028</c:v>
                </c:pt>
                <c:pt idx="95">
                  <c:v>0.82000000000000028</c:v>
                </c:pt>
                <c:pt idx="96">
                  <c:v>0.8400000000000003</c:v>
                </c:pt>
                <c:pt idx="97">
                  <c:v>0.82999999999999963</c:v>
                </c:pt>
                <c:pt idx="98">
                  <c:v>0.81999999999999984</c:v>
                </c:pt>
                <c:pt idx="99">
                  <c:v>0.77000000000000046</c:v>
                </c:pt>
                <c:pt idx="100">
                  <c:v>0.79999999999999982</c:v>
                </c:pt>
                <c:pt idx="101">
                  <c:v>0.80999999999999961</c:v>
                </c:pt>
                <c:pt idx="102">
                  <c:v>0.8100000000000005</c:v>
                </c:pt>
                <c:pt idx="103">
                  <c:v>0.79999999999999982</c:v>
                </c:pt>
                <c:pt idx="104">
                  <c:v>0.82000000000000028</c:v>
                </c:pt>
                <c:pt idx="105">
                  <c:v>0.81999999999999984</c:v>
                </c:pt>
                <c:pt idx="106">
                  <c:v>0.8100000000000005</c:v>
                </c:pt>
                <c:pt idx="107">
                  <c:v>0.79</c:v>
                </c:pt>
                <c:pt idx="108">
                  <c:v>0.78000000000000025</c:v>
                </c:pt>
                <c:pt idx="109">
                  <c:v>0.78999999999999959</c:v>
                </c:pt>
                <c:pt idx="110">
                  <c:v>0.78000000000000025</c:v>
                </c:pt>
                <c:pt idx="111">
                  <c:v>0.7799999999999998</c:v>
                </c:pt>
                <c:pt idx="112">
                  <c:v>0.77</c:v>
                </c:pt>
                <c:pt idx="113">
                  <c:v>0.79999999999999982</c:v>
                </c:pt>
                <c:pt idx="114">
                  <c:v>0.7799999999999998</c:v>
                </c:pt>
                <c:pt idx="115">
                  <c:v>0.7799999999999998</c:v>
                </c:pt>
                <c:pt idx="116">
                  <c:v>0.77999999999999936</c:v>
                </c:pt>
                <c:pt idx="117">
                  <c:v>0.7799999999999998</c:v>
                </c:pt>
                <c:pt idx="118">
                  <c:v>0.75999999999999979</c:v>
                </c:pt>
                <c:pt idx="119">
                  <c:v>0.74999999999999956</c:v>
                </c:pt>
                <c:pt idx="120">
                  <c:v>0.73000000000000043</c:v>
                </c:pt>
                <c:pt idx="121">
                  <c:v>0.74000000000000021</c:v>
                </c:pt>
                <c:pt idx="122">
                  <c:v>0.75</c:v>
                </c:pt>
                <c:pt idx="123">
                  <c:v>0.77000000000000046</c:v>
                </c:pt>
                <c:pt idx="124">
                  <c:v>0.7799999999999998</c:v>
                </c:pt>
                <c:pt idx="125">
                  <c:v>0.76999999999999957</c:v>
                </c:pt>
                <c:pt idx="126">
                  <c:v>0.77000000000000046</c:v>
                </c:pt>
                <c:pt idx="127">
                  <c:v>0.75999999999999979</c:v>
                </c:pt>
                <c:pt idx="128">
                  <c:v>0.78000000000000025</c:v>
                </c:pt>
                <c:pt idx="129">
                  <c:v>0.78000000000000025</c:v>
                </c:pt>
                <c:pt idx="130">
                  <c:v>0.77000000000000046</c:v>
                </c:pt>
                <c:pt idx="131">
                  <c:v>0.78000000000000025</c:v>
                </c:pt>
                <c:pt idx="132">
                  <c:v>0.79999999999999982</c:v>
                </c:pt>
                <c:pt idx="133">
                  <c:v>0.76999999999999957</c:v>
                </c:pt>
                <c:pt idx="134">
                  <c:v>0.76999999999999957</c:v>
                </c:pt>
                <c:pt idx="135">
                  <c:v>0.79</c:v>
                </c:pt>
                <c:pt idx="136">
                  <c:v>0.79999999999999982</c:v>
                </c:pt>
                <c:pt idx="137">
                  <c:v>0.79999999999999982</c:v>
                </c:pt>
                <c:pt idx="138">
                  <c:v>0.76000000000000023</c:v>
                </c:pt>
                <c:pt idx="139">
                  <c:v>0.75000000000000044</c:v>
                </c:pt>
                <c:pt idx="140">
                  <c:v>0.65000000000000036</c:v>
                </c:pt>
                <c:pt idx="141">
                  <c:v>0.78000000000000025</c:v>
                </c:pt>
                <c:pt idx="142">
                  <c:v>0.76000000000000023</c:v>
                </c:pt>
                <c:pt idx="143">
                  <c:v>0.79000000000000048</c:v>
                </c:pt>
                <c:pt idx="144">
                  <c:v>0.76999999999999957</c:v>
                </c:pt>
                <c:pt idx="145">
                  <c:v>0.77000000000000046</c:v>
                </c:pt>
                <c:pt idx="146">
                  <c:v>0.75000000000000044</c:v>
                </c:pt>
                <c:pt idx="147">
                  <c:v>0.75</c:v>
                </c:pt>
                <c:pt idx="148">
                  <c:v>0.76000000000000023</c:v>
                </c:pt>
                <c:pt idx="149">
                  <c:v>0.74000000000000021</c:v>
                </c:pt>
                <c:pt idx="150">
                  <c:v>0.74000000000000021</c:v>
                </c:pt>
                <c:pt idx="151">
                  <c:v>0.71000000000000041</c:v>
                </c:pt>
                <c:pt idx="152">
                  <c:v>0.73000000000000043</c:v>
                </c:pt>
                <c:pt idx="153">
                  <c:v>0.71000000000000041</c:v>
                </c:pt>
                <c:pt idx="154">
                  <c:v>0.71000000000000041</c:v>
                </c:pt>
                <c:pt idx="155">
                  <c:v>0.70000000000000018</c:v>
                </c:pt>
                <c:pt idx="156">
                  <c:v>0.69000000000000039</c:v>
                </c:pt>
                <c:pt idx="157">
                  <c:v>0.71000000000000041</c:v>
                </c:pt>
                <c:pt idx="158">
                  <c:v>0.69000000000000039</c:v>
                </c:pt>
                <c:pt idx="159">
                  <c:v>0.70000000000000062</c:v>
                </c:pt>
                <c:pt idx="160">
                  <c:v>0.68000000000000016</c:v>
                </c:pt>
                <c:pt idx="161">
                  <c:v>0.64999999999999947</c:v>
                </c:pt>
                <c:pt idx="162">
                  <c:v>0.64000000000000012</c:v>
                </c:pt>
                <c:pt idx="163">
                  <c:v>0.64999999999999991</c:v>
                </c:pt>
                <c:pt idx="164">
                  <c:v>0.66999999999999993</c:v>
                </c:pt>
                <c:pt idx="165">
                  <c:v>0.67000000000000037</c:v>
                </c:pt>
                <c:pt idx="166">
                  <c:v>0.69</c:v>
                </c:pt>
                <c:pt idx="167">
                  <c:v>0.67999999999999972</c:v>
                </c:pt>
                <c:pt idx="168">
                  <c:v>0.71000000000000041</c:v>
                </c:pt>
                <c:pt idx="169">
                  <c:v>0.71999999999999975</c:v>
                </c:pt>
                <c:pt idx="170">
                  <c:v>0.73</c:v>
                </c:pt>
                <c:pt idx="171">
                  <c:v>0.70000000000000018</c:v>
                </c:pt>
                <c:pt idx="172">
                  <c:v>0.69999999999999973</c:v>
                </c:pt>
                <c:pt idx="173">
                  <c:v>0.71</c:v>
                </c:pt>
                <c:pt idx="174">
                  <c:v>0.70999999999999952</c:v>
                </c:pt>
                <c:pt idx="175">
                  <c:v>0.70000000000000062</c:v>
                </c:pt>
                <c:pt idx="176">
                  <c:v>0.69</c:v>
                </c:pt>
                <c:pt idx="177">
                  <c:v>0.70000000000000018</c:v>
                </c:pt>
                <c:pt idx="178">
                  <c:v>0.7200000000000002</c:v>
                </c:pt>
                <c:pt idx="179">
                  <c:v>0.71000000000000041</c:v>
                </c:pt>
                <c:pt idx="180">
                  <c:v>0.7200000000000002</c:v>
                </c:pt>
                <c:pt idx="181">
                  <c:v>0.7200000000000002</c:v>
                </c:pt>
                <c:pt idx="182">
                  <c:v>0.71999999999999975</c:v>
                </c:pt>
                <c:pt idx="183">
                  <c:v>0.7200000000000002</c:v>
                </c:pt>
                <c:pt idx="184">
                  <c:v>0.71</c:v>
                </c:pt>
                <c:pt idx="185">
                  <c:v>0.66999999999999993</c:v>
                </c:pt>
                <c:pt idx="186">
                  <c:v>0.70000000000000018</c:v>
                </c:pt>
                <c:pt idx="187">
                  <c:v>0.71</c:v>
                </c:pt>
                <c:pt idx="188">
                  <c:v>0.71000000000000041</c:v>
                </c:pt>
                <c:pt idx="189">
                  <c:v>0.76000000000000023</c:v>
                </c:pt>
                <c:pt idx="190">
                  <c:v>0.76000000000000023</c:v>
                </c:pt>
                <c:pt idx="191">
                  <c:v>0.73000000000000043</c:v>
                </c:pt>
                <c:pt idx="192">
                  <c:v>0.73000000000000043</c:v>
                </c:pt>
                <c:pt idx="193">
                  <c:v>0.7200000000000002</c:v>
                </c:pt>
                <c:pt idx="194">
                  <c:v>0.74999999999999956</c:v>
                </c:pt>
                <c:pt idx="195">
                  <c:v>0.75999999999999979</c:v>
                </c:pt>
                <c:pt idx="196">
                  <c:v>0.73999999999999977</c:v>
                </c:pt>
                <c:pt idx="197">
                  <c:v>0.75</c:v>
                </c:pt>
                <c:pt idx="198">
                  <c:v>0.75999999999999934</c:v>
                </c:pt>
                <c:pt idx="199">
                  <c:v>0.75</c:v>
                </c:pt>
                <c:pt idx="200">
                  <c:v>0.74999999999999956</c:v>
                </c:pt>
                <c:pt idx="201">
                  <c:v>0.7200000000000002</c:v>
                </c:pt>
                <c:pt idx="202">
                  <c:v>0.74000000000000021</c:v>
                </c:pt>
                <c:pt idx="203">
                  <c:v>0.73</c:v>
                </c:pt>
                <c:pt idx="204">
                  <c:v>0.72999999999999954</c:v>
                </c:pt>
                <c:pt idx="205">
                  <c:v>0.74000000000000021</c:v>
                </c:pt>
                <c:pt idx="206">
                  <c:v>0.75000000000000044</c:v>
                </c:pt>
                <c:pt idx="207">
                  <c:v>0.72000000000000064</c:v>
                </c:pt>
                <c:pt idx="208">
                  <c:v>0.72000000000000064</c:v>
                </c:pt>
                <c:pt idx="209">
                  <c:v>0.73999999999999932</c:v>
                </c:pt>
                <c:pt idx="210">
                  <c:v>0.73000000000000043</c:v>
                </c:pt>
                <c:pt idx="211">
                  <c:v>0.72999999999999954</c:v>
                </c:pt>
                <c:pt idx="212">
                  <c:v>0.75999999999999979</c:v>
                </c:pt>
                <c:pt idx="213">
                  <c:v>0.74000000000000021</c:v>
                </c:pt>
                <c:pt idx="214">
                  <c:v>0.74000000000000021</c:v>
                </c:pt>
                <c:pt idx="215">
                  <c:v>0.74000000000000021</c:v>
                </c:pt>
                <c:pt idx="216">
                  <c:v>0.74000000000000021</c:v>
                </c:pt>
                <c:pt idx="217">
                  <c:v>0.74000000000000021</c:v>
                </c:pt>
                <c:pt idx="218">
                  <c:v>0.73</c:v>
                </c:pt>
                <c:pt idx="219">
                  <c:v>0.73</c:v>
                </c:pt>
                <c:pt idx="220">
                  <c:v>0.73</c:v>
                </c:pt>
                <c:pt idx="221">
                  <c:v>0.70000000000000018</c:v>
                </c:pt>
                <c:pt idx="222">
                  <c:v>0.71999999999999975</c:v>
                </c:pt>
                <c:pt idx="223">
                  <c:v>0.71</c:v>
                </c:pt>
                <c:pt idx="224">
                  <c:v>0.74000000000000021</c:v>
                </c:pt>
                <c:pt idx="225">
                  <c:v>0.89000000000000057</c:v>
                </c:pt>
                <c:pt idx="226">
                  <c:v>0.8100000000000005</c:v>
                </c:pt>
                <c:pt idx="227">
                  <c:v>0.79</c:v>
                </c:pt>
                <c:pt idx="228">
                  <c:v>0.78000000000000025</c:v>
                </c:pt>
                <c:pt idx="229">
                  <c:v>0.83999999999999986</c:v>
                </c:pt>
                <c:pt idx="230">
                  <c:v>0.82000000000000028</c:v>
                </c:pt>
                <c:pt idx="231">
                  <c:v>0.84000000000000075</c:v>
                </c:pt>
                <c:pt idx="232">
                  <c:v>0.84000000000000075</c:v>
                </c:pt>
                <c:pt idx="233">
                  <c:v>0.80000000000000027</c:v>
                </c:pt>
                <c:pt idx="234">
                  <c:v>0.82000000000000028</c:v>
                </c:pt>
                <c:pt idx="235">
                  <c:v>0.8199999999999994</c:v>
                </c:pt>
                <c:pt idx="236">
                  <c:v>0.8100000000000005</c:v>
                </c:pt>
                <c:pt idx="237">
                  <c:v>0.8400000000000003</c:v>
                </c:pt>
                <c:pt idx="238">
                  <c:v>0.81999999999999984</c:v>
                </c:pt>
                <c:pt idx="239">
                  <c:v>0.82000000000000028</c:v>
                </c:pt>
                <c:pt idx="240">
                  <c:v>0.81</c:v>
                </c:pt>
                <c:pt idx="241">
                  <c:v>0.7799999999999998</c:v>
                </c:pt>
                <c:pt idx="242">
                  <c:v>0.80000000000000027</c:v>
                </c:pt>
                <c:pt idx="243">
                  <c:v>0.82000000000000028</c:v>
                </c:pt>
                <c:pt idx="244">
                  <c:v>0.83000000000000007</c:v>
                </c:pt>
                <c:pt idx="245">
                  <c:v>0.83999999999999986</c:v>
                </c:pt>
                <c:pt idx="246">
                  <c:v>0.84999999999999964</c:v>
                </c:pt>
                <c:pt idx="247">
                  <c:v>0.85000000000000009</c:v>
                </c:pt>
                <c:pt idx="248">
                  <c:v>0.83999999999999986</c:v>
                </c:pt>
                <c:pt idx="249">
                  <c:v>0.83000000000000007</c:v>
                </c:pt>
                <c:pt idx="250">
                  <c:v>0.83000000000000007</c:v>
                </c:pt>
                <c:pt idx="251">
                  <c:v>0.86000000000000032</c:v>
                </c:pt>
                <c:pt idx="252">
                  <c:v>0.87999999999999989</c:v>
                </c:pt>
                <c:pt idx="253">
                  <c:v>0.85999999999999988</c:v>
                </c:pt>
                <c:pt idx="254">
                  <c:v>0.85000000000000009</c:v>
                </c:pt>
                <c:pt idx="255">
                  <c:v>0.83999999999999986</c:v>
                </c:pt>
                <c:pt idx="256">
                  <c:v>0.85000000000000009</c:v>
                </c:pt>
                <c:pt idx="257">
                  <c:v>0.83000000000000052</c:v>
                </c:pt>
                <c:pt idx="258">
                  <c:v>0.81999999999999984</c:v>
                </c:pt>
                <c:pt idx="259">
                  <c:v>0.79999999999999982</c:v>
                </c:pt>
                <c:pt idx="260">
                  <c:v>0.79999999999999982</c:v>
                </c:pt>
                <c:pt idx="261">
                  <c:v>0.78000000000000025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72576"/>
        <c:axId val="62273152"/>
      </c:scatterChart>
      <c:valAx>
        <c:axId val="62272576"/>
        <c:scaling>
          <c:orientation val="minMax"/>
        </c:scaling>
        <c:delete val="0"/>
        <c:axPos val="b"/>
        <c:numFmt formatCode="mm/yyyy" sourceLinked="0"/>
        <c:majorTickMark val="out"/>
        <c:minorTickMark val="none"/>
        <c:tickLblPos val="low"/>
        <c:crossAx val="62273152"/>
        <c:crosses val="autoZero"/>
        <c:crossBetween val="midCat"/>
      </c:valAx>
      <c:valAx>
        <c:axId val="62273152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General" sourceLinked="1"/>
        <c:majorTickMark val="out"/>
        <c:minorTickMark val="none"/>
        <c:tickLblPos val="nextTo"/>
        <c:crossAx val="622725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388888888888898E-2"/>
          <c:y val="6.5289442986293383E-2"/>
          <c:w val="0.73058280982909485"/>
          <c:h val="0.8326195683872849"/>
        </c:manualLayout>
      </c:layout>
      <c:scatterChart>
        <c:scatterStyle val="lineMarker"/>
        <c:varyColors val="0"/>
        <c:ser>
          <c:idx val="0"/>
          <c:order val="0"/>
          <c:tx>
            <c:strRef>
              <c:f>Informe5!$AS$5</c:f>
              <c:strCache>
                <c:ptCount val="1"/>
                <c:pt idx="0">
                  <c:v>2s/5s/10s</c:v>
                </c:pt>
              </c:strCache>
            </c:strRef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Informe5!$AE$6:$AE$267</c:f>
              <c:numCache>
                <c:formatCode>m/d/yyyy</c:formatCode>
                <c:ptCount val="262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42618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  <c:pt idx="66">
                  <c:v>42578</c:v>
                </c:pt>
                <c:pt idx="67">
                  <c:v>42577</c:v>
                </c:pt>
                <c:pt idx="68">
                  <c:v>42576</c:v>
                </c:pt>
                <c:pt idx="69">
                  <c:v>42573</c:v>
                </c:pt>
                <c:pt idx="70">
                  <c:v>42572</c:v>
                </c:pt>
                <c:pt idx="71">
                  <c:v>42571</c:v>
                </c:pt>
                <c:pt idx="72">
                  <c:v>42570</c:v>
                </c:pt>
                <c:pt idx="73">
                  <c:v>42569</c:v>
                </c:pt>
                <c:pt idx="74">
                  <c:v>42566</c:v>
                </c:pt>
                <c:pt idx="75">
                  <c:v>42565</c:v>
                </c:pt>
                <c:pt idx="76">
                  <c:v>42564</c:v>
                </c:pt>
                <c:pt idx="77">
                  <c:v>42563</c:v>
                </c:pt>
                <c:pt idx="78">
                  <c:v>42562</c:v>
                </c:pt>
                <c:pt idx="79">
                  <c:v>42559</c:v>
                </c:pt>
                <c:pt idx="80">
                  <c:v>42558</c:v>
                </c:pt>
                <c:pt idx="81">
                  <c:v>42557</c:v>
                </c:pt>
                <c:pt idx="82">
                  <c:v>42556</c:v>
                </c:pt>
                <c:pt idx="83">
                  <c:v>42555</c:v>
                </c:pt>
                <c:pt idx="84">
                  <c:v>42552</c:v>
                </c:pt>
                <c:pt idx="85">
                  <c:v>42551</c:v>
                </c:pt>
                <c:pt idx="86">
                  <c:v>42550</c:v>
                </c:pt>
                <c:pt idx="87">
                  <c:v>42549</c:v>
                </c:pt>
                <c:pt idx="88">
                  <c:v>42548</c:v>
                </c:pt>
                <c:pt idx="89">
                  <c:v>42545</c:v>
                </c:pt>
                <c:pt idx="90">
                  <c:v>42544</c:v>
                </c:pt>
                <c:pt idx="91">
                  <c:v>42543</c:v>
                </c:pt>
                <c:pt idx="92">
                  <c:v>42542</c:v>
                </c:pt>
                <c:pt idx="93">
                  <c:v>42541</c:v>
                </c:pt>
                <c:pt idx="94">
                  <c:v>42538</c:v>
                </c:pt>
                <c:pt idx="95">
                  <c:v>42537</c:v>
                </c:pt>
                <c:pt idx="96">
                  <c:v>42536</c:v>
                </c:pt>
                <c:pt idx="97">
                  <c:v>42535</c:v>
                </c:pt>
                <c:pt idx="98">
                  <c:v>42534</c:v>
                </c:pt>
                <c:pt idx="99">
                  <c:v>42531</c:v>
                </c:pt>
                <c:pt idx="100">
                  <c:v>42530</c:v>
                </c:pt>
                <c:pt idx="101">
                  <c:v>42529</c:v>
                </c:pt>
                <c:pt idx="102">
                  <c:v>42528</c:v>
                </c:pt>
                <c:pt idx="103">
                  <c:v>42527</c:v>
                </c:pt>
                <c:pt idx="104">
                  <c:v>42524</c:v>
                </c:pt>
                <c:pt idx="105">
                  <c:v>42523</c:v>
                </c:pt>
                <c:pt idx="106">
                  <c:v>42522</c:v>
                </c:pt>
                <c:pt idx="107">
                  <c:v>42521</c:v>
                </c:pt>
                <c:pt idx="108">
                  <c:v>42520</c:v>
                </c:pt>
                <c:pt idx="109">
                  <c:v>42517</c:v>
                </c:pt>
                <c:pt idx="110">
                  <c:v>42516</c:v>
                </c:pt>
                <c:pt idx="111">
                  <c:v>42515</c:v>
                </c:pt>
                <c:pt idx="112">
                  <c:v>42514</c:v>
                </c:pt>
                <c:pt idx="113">
                  <c:v>42513</c:v>
                </c:pt>
                <c:pt idx="114">
                  <c:v>42510</c:v>
                </c:pt>
                <c:pt idx="115">
                  <c:v>42509</c:v>
                </c:pt>
                <c:pt idx="116">
                  <c:v>42508</c:v>
                </c:pt>
                <c:pt idx="117">
                  <c:v>42507</c:v>
                </c:pt>
                <c:pt idx="118">
                  <c:v>42506</c:v>
                </c:pt>
                <c:pt idx="119">
                  <c:v>42503</c:v>
                </c:pt>
                <c:pt idx="120">
                  <c:v>42502</c:v>
                </c:pt>
                <c:pt idx="121">
                  <c:v>42501</c:v>
                </c:pt>
                <c:pt idx="122">
                  <c:v>42500</c:v>
                </c:pt>
                <c:pt idx="123">
                  <c:v>42499</c:v>
                </c:pt>
                <c:pt idx="124">
                  <c:v>42496</c:v>
                </c:pt>
                <c:pt idx="125">
                  <c:v>42495</c:v>
                </c:pt>
                <c:pt idx="126">
                  <c:v>42494</c:v>
                </c:pt>
                <c:pt idx="127">
                  <c:v>42493</c:v>
                </c:pt>
                <c:pt idx="128">
                  <c:v>42492</c:v>
                </c:pt>
                <c:pt idx="129">
                  <c:v>42489</c:v>
                </c:pt>
                <c:pt idx="130">
                  <c:v>42488</c:v>
                </c:pt>
                <c:pt idx="131">
                  <c:v>42487</c:v>
                </c:pt>
                <c:pt idx="132">
                  <c:v>42486</c:v>
                </c:pt>
                <c:pt idx="133">
                  <c:v>42485</c:v>
                </c:pt>
                <c:pt idx="134">
                  <c:v>42482</c:v>
                </c:pt>
                <c:pt idx="135">
                  <c:v>42481</c:v>
                </c:pt>
                <c:pt idx="136">
                  <c:v>42480</c:v>
                </c:pt>
                <c:pt idx="137">
                  <c:v>42479</c:v>
                </c:pt>
                <c:pt idx="138">
                  <c:v>42478</c:v>
                </c:pt>
                <c:pt idx="139">
                  <c:v>42475</c:v>
                </c:pt>
                <c:pt idx="140">
                  <c:v>42474</c:v>
                </c:pt>
                <c:pt idx="141">
                  <c:v>42473</c:v>
                </c:pt>
                <c:pt idx="142">
                  <c:v>42472</c:v>
                </c:pt>
                <c:pt idx="143">
                  <c:v>42471</c:v>
                </c:pt>
                <c:pt idx="144">
                  <c:v>42468</c:v>
                </c:pt>
                <c:pt idx="145">
                  <c:v>42467</c:v>
                </c:pt>
                <c:pt idx="146">
                  <c:v>42466</c:v>
                </c:pt>
                <c:pt idx="147">
                  <c:v>42465</c:v>
                </c:pt>
                <c:pt idx="148">
                  <c:v>42464</c:v>
                </c:pt>
                <c:pt idx="149">
                  <c:v>42461</c:v>
                </c:pt>
                <c:pt idx="150">
                  <c:v>42460</c:v>
                </c:pt>
                <c:pt idx="151">
                  <c:v>42459</c:v>
                </c:pt>
                <c:pt idx="152">
                  <c:v>42458</c:v>
                </c:pt>
                <c:pt idx="153">
                  <c:v>42457</c:v>
                </c:pt>
                <c:pt idx="154">
                  <c:v>42454</c:v>
                </c:pt>
                <c:pt idx="155">
                  <c:v>42453</c:v>
                </c:pt>
                <c:pt idx="156">
                  <c:v>42452</c:v>
                </c:pt>
                <c:pt idx="157">
                  <c:v>42451</c:v>
                </c:pt>
                <c:pt idx="158">
                  <c:v>42450</c:v>
                </c:pt>
                <c:pt idx="159">
                  <c:v>42447</c:v>
                </c:pt>
                <c:pt idx="160">
                  <c:v>42446</c:v>
                </c:pt>
                <c:pt idx="161">
                  <c:v>42445</c:v>
                </c:pt>
                <c:pt idx="162">
                  <c:v>42444</c:v>
                </c:pt>
                <c:pt idx="163">
                  <c:v>42443</c:v>
                </c:pt>
                <c:pt idx="164">
                  <c:v>42440</c:v>
                </c:pt>
                <c:pt idx="165">
                  <c:v>42439</c:v>
                </c:pt>
                <c:pt idx="166">
                  <c:v>42438</c:v>
                </c:pt>
                <c:pt idx="167">
                  <c:v>42437</c:v>
                </c:pt>
                <c:pt idx="168">
                  <c:v>42436</c:v>
                </c:pt>
                <c:pt idx="169">
                  <c:v>42433</c:v>
                </c:pt>
                <c:pt idx="170">
                  <c:v>42432</c:v>
                </c:pt>
                <c:pt idx="171">
                  <c:v>42431</c:v>
                </c:pt>
                <c:pt idx="172">
                  <c:v>42430</c:v>
                </c:pt>
                <c:pt idx="173">
                  <c:v>42429</c:v>
                </c:pt>
                <c:pt idx="174">
                  <c:v>42426</c:v>
                </c:pt>
                <c:pt idx="175">
                  <c:v>42425</c:v>
                </c:pt>
                <c:pt idx="176">
                  <c:v>42424</c:v>
                </c:pt>
                <c:pt idx="177">
                  <c:v>42423</c:v>
                </c:pt>
                <c:pt idx="178">
                  <c:v>42422</c:v>
                </c:pt>
                <c:pt idx="179">
                  <c:v>42419</c:v>
                </c:pt>
                <c:pt idx="180">
                  <c:v>42418</c:v>
                </c:pt>
                <c:pt idx="181">
                  <c:v>42417</c:v>
                </c:pt>
                <c:pt idx="182">
                  <c:v>42416</c:v>
                </c:pt>
                <c:pt idx="183">
                  <c:v>42415</c:v>
                </c:pt>
                <c:pt idx="184">
                  <c:v>42412</c:v>
                </c:pt>
                <c:pt idx="185">
                  <c:v>42411</c:v>
                </c:pt>
                <c:pt idx="186">
                  <c:v>42410</c:v>
                </c:pt>
                <c:pt idx="187">
                  <c:v>42409</c:v>
                </c:pt>
                <c:pt idx="188">
                  <c:v>42408</c:v>
                </c:pt>
                <c:pt idx="189">
                  <c:v>42405</c:v>
                </c:pt>
                <c:pt idx="190">
                  <c:v>42404</c:v>
                </c:pt>
                <c:pt idx="191">
                  <c:v>42403</c:v>
                </c:pt>
                <c:pt idx="192">
                  <c:v>42402</c:v>
                </c:pt>
                <c:pt idx="193">
                  <c:v>42401</c:v>
                </c:pt>
                <c:pt idx="194">
                  <c:v>42398</c:v>
                </c:pt>
                <c:pt idx="195">
                  <c:v>42397</c:v>
                </c:pt>
                <c:pt idx="196">
                  <c:v>42396</c:v>
                </c:pt>
                <c:pt idx="197">
                  <c:v>42395</c:v>
                </c:pt>
                <c:pt idx="198">
                  <c:v>42394</c:v>
                </c:pt>
                <c:pt idx="199">
                  <c:v>42391</c:v>
                </c:pt>
                <c:pt idx="200">
                  <c:v>42390</c:v>
                </c:pt>
                <c:pt idx="201">
                  <c:v>42389</c:v>
                </c:pt>
                <c:pt idx="202">
                  <c:v>42388</c:v>
                </c:pt>
                <c:pt idx="203">
                  <c:v>42387</c:v>
                </c:pt>
                <c:pt idx="204">
                  <c:v>42384</c:v>
                </c:pt>
                <c:pt idx="205">
                  <c:v>42383</c:v>
                </c:pt>
                <c:pt idx="206">
                  <c:v>42382</c:v>
                </c:pt>
                <c:pt idx="207">
                  <c:v>42381</c:v>
                </c:pt>
                <c:pt idx="208">
                  <c:v>42380</c:v>
                </c:pt>
                <c:pt idx="209">
                  <c:v>42377</c:v>
                </c:pt>
                <c:pt idx="210">
                  <c:v>42376</c:v>
                </c:pt>
                <c:pt idx="211">
                  <c:v>42375</c:v>
                </c:pt>
                <c:pt idx="212">
                  <c:v>42374</c:v>
                </c:pt>
                <c:pt idx="213">
                  <c:v>42373</c:v>
                </c:pt>
                <c:pt idx="214">
                  <c:v>42370</c:v>
                </c:pt>
                <c:pt idx="215">
                  <c:v>42369</c:v>
                </c:pt>
                <c:pt idx="216">
                  <c:v>42368</c:v>
                </c:pt>
                <c:pt idx="217">
                  <c:v>42367</c:v>
                </c:pt>
                <c:pt idx="218">
                  <c:v>42366</c:v>
                </c:pt>
                <c:pt idx="219">
                  <c:v>42363</c:v>
                </c:pt>
                <c:pt idx="220">
                  <c:v>42362</c:v>
                </c:pt>
                <c:pt idx="221">
                  <c:v>42361</c:v>
                </c:pt>
                <c:pt idx="222">
                  <c:v>42360</c:v>
                </c:pt>
                <c:pt idx="223">
                  <c:v>42359</c:v>
                </c:pt>
                <c:pt idx="224">
                  <c:v>42356</c:v>
                </c:pt>
                <c:pt idx="225">
                  <c:v>42355</c:v>
                </c:pt>
                <c:pt idx="226">
                  <c:v>42354</c:v>
                </c:pt>
                <c:pt idx="227">
                  <c:v>42353</c:v>
                </c:pt>
                <c:pt idx="228">
                  <c:v>42352</c:v>
                </c:pt>
                <c:pt idx="229">
                  <c:v>42349</c:v>
                </c:pt>
                <c:pt idx="230">
                  <c:v>42348</c:v>
                </c:pt>
                <c:pt idx="231">
                  <c:v>42347</c:v>
                </c:pt>
                <c:pt idx="232">
                  <c:v>42346</c:v>
                </c:pt>
                <c:pt idx="233">
                  <c:v>42345</c:v>
                </c:pt>
                <c:pt idx="234">
                  <c:v>42342</c:v>
                </c:pt>
                <c:pt idx="235">
                  <c:v>42341</c:v>
                </c:pt>
                <c:pt idx="236">
                  <c:v>42340</c:v>
                </c:pt>
                <c:pt idx="237">
                  <c:v>42339</c:v>
                </c:pt>
                <c:pt idx="238">
                  <c:v>42338</c:v>
                </c:pt>
                <c:pt idx="239">
                  <c:v>42335</c:v>
                </c:pt>
                <c:pt idx="240">
                  <c:v>42334</c:v>
                </c:pt>
                <c:pt idx="241">
                  <c:v>42333</c:v>
                </c:pt>
                <c:pt idx="242">
                  <c:v>42332</c:v>
                </c:pt>
                <c:pt idx="243">
                  <c:v>42331</c:v>
                </c:pt>
                <c:pt idx="244">
                  <c:v>42328</c:v>
                </c:pt>
                <c:pt idx="245">
                  <c:v>42327</c:v>
                </c:pt>
                <c:pt idx="246">
                  <c:v>42326</c:v>
                </c:pt>
                <c:pt idx="247">
                  <c:v>42325</c:v>
                </c:pt>
                <c:pt idx="248">
                  <c:v>42324</c:v>
                </c:pt>
                <c:pt idx="249">
                  <c:v>42321</c:v>
                </c:pt>
                <c:pt idx="250">
                  <c:v>42320</c:v>
                </c:pt>
                <c:pt idx="251">
                  <c:v>42319</c:v>
                </c:pt>
                <c:pt idx="252">
                  <c:v>42318</c:v>
                </c:pt>
                <c:pt idx="253">
                  <c:v>42317</c:v>
                </c:pt>
                <c:pt idx="254">
                  <c:v>42314</c:v>
                </c:pt>
                <c:pt idx="255">
                  <c:v>42313</c:v>
                </c:pt>
                <c:pt idx="256">
                  <c:v>42312</c:v>
                </c:pt>
                <c:pt idx="257">
                  <c:v>42311</c:v>
                </c:pt>
                <c:pt idx="258">
                  <c:v>42310</c:v>
                </c:pt>
                <c:pt idx="259">
                  <c:v>42307</c:v>
                </c:pt>
                <c:pt idx="260">
                  <c:v>42306</c:v>
                </c:pt>
                <c:pt idx="261">
                  <c:v>42305</c:v>
                </c:pt>
              </c:numCache>
            </c:numRef>
          </c:xVal>
          <c:yVal>
            <c:numRef>
              <c:f>Informe5!$AS$6:$AS$267</c:f>
              <c:numCache>
                <c:formatCode>General</c:formatCode>
                <c:ptCount val="262"/>
                <c:pt idx="0">
                  <c:v>-7.999999999999996E-2</c:v>
                </c:pt>
                <c:pt idx="1">
                  <c:v>-8.4999999999999964E-2</c:v>
                </c:pt>
                <c:pt idx="2">
                  <c:v>-9.000000000000008E-2</c:v>
                </c:pt>
                <c:pt idx="3">
                  <c:v>-6.9999999999999951E-2</c:v>
                </c:pt>
                <c:pt idx="4">
                  <c:v>-8.4999999999999964E-2</c:v>
                </c:pt>
                <c:pt idx="5">
                  <c:v>-9.4999999999999973E-2</c:v>
                </c:pt>
                <c:pt idx="6">
                  <c:v>-7.999999999999996E-2</c:v>
                </c:pt>
                <c:pt idx="7">
                  <c:v>-7.4999999999999956E-2</c:v>
                </c:pt>
                <c:pt idx="8">
                  <c:v>-6.4999999999999947E-2</c:v>
                </c:pt>
                <c:pt idx="9">
                  <c:v>-6.9999999999999951E-2</c:v>
                </c:pt>
                <c:pt idx="10">
                  <c:v>-5.4999999999999938E-2</c:v>
                </c:pt>
                <c:pt idx="11">
                  <c:v>-5.9999999999999942E-2</c:v>
                </c:pt>
                <c:pt idx="12">
                  <c:v>-3.9999999999999925E-2</c:v>
                </c:pt>
                <c:pt idx="13">
                  <c:v>-3.9999999999999925E-2</c:v>
                </c:pt>
                <c:pt idx="14">
                  <c:v>-5.9999999999999942E-2</c:v>
                </c:pt>
                <c:pt idx="15">
                  <c:v>-1.4999999999999902E-2</c:v>
                </c:pt>
                <c:pt idx="16">
                  <c:v>-3.9999999999999925E-2</c:v>
                </c:pt>
                <c:pt idx="17">
                  <c:v>-2.9999999999999943E-2</c:v>
                </c:pt>
                <c:pt idx="18">
                  <c:v>-4.4999999999999957E-2</c:v>
                </c:pt>
                <c:pt idx="19">
                  <c:v>-4.9999999999999933E-2</c:v>
                </c:pt>
                <c:pt idx="20">
                  <c:v>-2.5000000000000022E-2</c:v>
                </c:pt>
                <c:pt idx="21">
                  <c:v>-4.5000000000000068E-2</c:v>
                </c:pt>
                <c:pt idx="22">
                  <c:v>-1.0000000000000037E-2</c:v>
                </c:pt>
                <c:pt idx="23">
                  <c:v>0</c:v>
                </c:pt>
                <c:pt idx="24">
                  <c:v>-2.4999999999999911E-2</c:v>
                </c:pt>
                <c:pt idx="25">
                  <c:v>-1.0000000000000009E-2</c:v>
                </c:pt>
                <c:pt idx="26">
                  <c:v>-2.0000000000000018E-2</c:v>
                </c:pt>
                <c:pt idx="27">
                  <c:v>5.5511151231257827E-17</c:v>
                </c:pt>
                <c:pt idx="28">
                  <c:v>5.5511151231257827E-17</c:v>
                </c:pt>
                <c:pt idx="29">
                  <c:v>1.5000000000000069E-2</c:v>
                </c:pt>
                <c:pt idx="30">
                  <c:v>1.9999999999999962E-2</c:v>
                </c:pt>
                <c:pt idx="31">
                  <c:v>2.4999999999999967E-2</c:v>
                </c:pt>
                <c:pt idx="32">
                  <c:v>1.4999999999999958E-2</c:v>
                </c:pt>
                <c:pt idx="33">
                  <c:v>1.5000000000000069E-2</c:v>
                </c:pt>
                <c:pt idx="34">
                  <c:v>1.0000000000000064E-2</c:v>
                </c:pt>
                <c:pt idx="35">
                  <c:v>2.0000000000000073E-2</c:v>
                </c:pt>
                <c:pt idx="36">
                  <c:v>5.00000000000006E-3</c:v>
                </c:pt>
                <c:pt idx="37">
                  <c:v>5.5511151231257827E-17</c:v>
                </c:pt>
                <c:pt idx="38">
                  <c:v>5.5511151231257827E-17</c:v>
                </c:pt>
                <c:pt idx="39">
                  <c:v>1.4999999999999958E-2</c:v>
                </c:pt>
                <c:pt idx="40">
                  <c:v>-5.00000000000006E-3</c:v>
                </c:pt>
                <c:pt idx="41">
                  <c:v>-5.5511151231257827E-17</c:v>
                </c:pt>
                <c:pt idx="42">
                  <c:v>-5.5511151231257827E-17</c:v>
                </c:pt>
                <c:pt idx="43">
                  <c:v>4.9999999999999489E-3</c:v>
                </c:pt>
                <c:pt idx="44">
                  <c:v>-5.5511151231257827E-17</c:v>
                </c:pt>
                <c:pt idx="45">
                  <c:v>1.4999999999999958E-2</c:v>
                </c:pt>
                <c:pt idx="46">
                  <c:v>9.9999999999999534E-3</c:v>
                </c:pt>
                <c:pt idx="47">
                  <c:v>1.9999999999999962E-2</c:v>
                </c:pt>
                <c:pt idx="48">
                  <c:v>1.9999999999999962E-2</c:v>
                </c:pt>
                <c:pt idx="49">
                  <c:v>1.9999999999999962E-2</c:v>
                </c:pt>
                <c:pt idx="50">
                  <c:v>1.9999999999999962E-2</c:v>
                </c:pt>
                <c:pt idx="51">
                  <c:v>1.5000000000000069E-2</c:v>
                </c:pt>
                <c:pt idx="52">
                  <c:v>1.0000000000000064E-2</c:v>
                </c:pt>
                <c:pt idx="53">
                  <c:v>1.0000000000000064E-2</c:v>
                </c:pt>
                <c:pt idx="54">
                  <c:v>5.5511151231257827E-17</c:v>
                </c:pt>
                <c:pt idx="55">
                  <c:v>5.5511151231257827E-17</c:v>
                </c:pt>
                <c:pt idx="56">
                  <c:v>4.9999999999999489E-3</c:v>
                </c:pt>
                <c:pt idx="57">
                  <c:v>-1.5000000000000013E-2</c:v>
                </c:pt>
                <c:pt idx="58">
                  <c:v>-2.5000000000000022E-2</c:v>
                </c:pt>
                <c:pt idx="59">
                  <c:v>-2.5000000000000022E-2</c:v>
                </c:pt>
                <c:pt idx="60">
                  <c:v>-3.0000000000000027E-2</c:v>
                </c:pt>
                <c:pt idx="61">
                  <c:v>-2.5000000000000022E-2</c:v>
                </c:pt>
                <c:pt idx="62">
                  <c:v>1.1102230246251565E-16</c:v>
                </c:pt>
                <c:pt idx="63">
                  <c:v>5.0000000000000044E-3</c:v>
                </c:pt>
                <c:pt idx="64">
                  <c:v>0</c:v>
                </c:pt>
                <c:pt idx="65">
                  <c:v>9.9999999999999534E-3</c:v>
                </c:pt>
                <c:pt idx="66">
                  <c:v>1.4999999999999902E-2</c:v>
                </c:pt>
                <c:pt idx="67">
                  <c:v>1.1102230246251565E-16</c:v>
                </c:pt>
                <c:pt idx="68">
                  <c:v>-1.4999999999999902E-2</c:v>
                </c:pt>
                <c:pt idx="69">
                  <c:v>-1.9999999999999907E-2</c:v>
                </c:pt>
                <c:pt idx="70">
                  <c:v>-2.9999999999999916E-2</c:v>
                </c:pt>
                <c:pt idx="71">
                  <c:v>-9.9999999999998979E-3</c:v>
                </c:pt>
                <c:pt idx="72">
                  <c:v>-3.499999999999992E-2</c:v>
                </c:pt>
                <c:pt idx="73">
                  <c:v>-4.9999999999999933E-2</c:v>
                </c:pt>
                <c:pt idx="74">
                  <c:v>-1.4999999999999902E-2</c:v>
                </c:pt>
                <c:pt idx="75">
                  <c:v>-2.0000000000000018E-2</c:v>
                </c:pt>
                <c:pt idx="76">
                  <c:v>-2.5000000000000022E-2</c:v>
                </c:pt>
                <c:pt idx="77">
                  <c:v>-9.9999999999998979E-3</c:v>
                </c:pt>
                <c:pt idx="78">
                  <c:v>5.0000000000000044E-3</c:v>
                </c:pt>
                <c:pt idx="79">
                  <c:v>1.0000000000000009E-2</c:v>
                </c:pt>
                <c:pt idx="80">
                  <c:v>2.5000000000000022E-2</c:v>
                </c:pt>
                <c:pt idx="81">
                  <c:v>1.5000000000000013E-2</c:v>
                </c:pt>
                <c:pt idx="82">
                  <c:v>1.0000000000000009E-2</c:v>
                </c:pt>
                <c:pt idx="83">
                  <c:v>4.9999999999999489E-3</c:v>
                </c:pt>
                <c:pt idx="84">
                  <c:v>1.1102230246251565E-16</c:v>
                </c:pt>
                <c:pt idx="85">
                  <c:v>-1.9999999999999907E-2</c:v>
                </c:pt>
                <c:pt idx="86">
                  <c:v>-9.9999999999998979E-3</c:v>
                </c:pt>
                <c:pt idx="87">
                  <c:v>-4.9999999999998934E-3</c:v>
                </c:pt>
                <c:pt idx="88">
                  <c:v>-4.9999999999998934E-3</c:v>
                </c:pt>
                <c:pt idx="89">
                  <c:v>2.4999999999999911E-2</c:v>
                </c:pt>
                <c:pt idx="90">
                  <c:v>1.5000000000000124E-2</c:v>
                </c:pt>
                <c:pt idx="91">
                  <c:v>5.0000000000001155E-3</c:v>
                </c:pt>
                <c:pt idx="92">
                  <c:v>9.9999999999998979E-3</c:v>
                </c:pt>
                <c:pt idx="93">
                  <c:v>-2.9999999999999916E-2</c:v>
                </c:pt>
                <c:pt idx="94">
                  <c:v>-1.4999999999999958E-2</c:v>
                </c:pt>
                <c:pt idx="95">
                  <c:v>-4.9999999999998379E-3</c:v>
                </c:pt>
                <c:pt idx="96">
                  <c:v>-1.4999999999999791E-2</c:v>
                </c:pt>
                <c:pt idx="97">
                  <c:v>2.2204460492503131E-16</c:v>
                </c:pt>
                <c:pt idx="98">
                  <c:v>-1.1102230246251565E-16</c:v>
                </c:pt>
                <c:pt idx="99">
                  <c:v>-4.9999999999998934E-3</c:v>
                </c:pt>
                <c:pt idx="100">
                  <c:v>-9.9999999999998979E-3</c:v>
                </c:pt>
                <c:pt idx="101">
                  <c:v>4.9999999999998934E-3</c:v>
                </c:pt>
                <c:pt idx="102">
                  <c:v>9.9999999999998979E-3</c:v>
                </c:pt>
                <c:pt idx="103">
                  <c:v>-4.9999999999998934E-3</c:v>
                </c:pt>
                <c:pt idx="104">
                  <c:v>-1.1102230246251565E-16</c:v>
                </c:pt>
                <c:pt idx="105">
                  <c:v>1.5000000000000013E-2</c:v>
                </c:pt>
                <c:pt idx="106">
                  <c:v>9.9999999999998979E-3</c:v>
                </c:pt>
                <c:pt idx="107">
                  <c:v>1.4999999999999902E-2</c:v>
                </c:pt>
                <c:pt idx="108">
                  <c:v>2.4999999999999911E-2</c:v>
                </c:pt>
                <c:pt idx="109">
                  <c:v>3.9999999999999925E-2</c:v>
                </c:pt>
                <c:pt idx="110">
                  <c:v>3.9999999999999925E-2</c:v>
                </c:pt>
                <c:pt idx="111">
                  <c:v>2.9999999999999916E-2</c:v>
                </c:pt>
                <c:pt idx="112">
                  <c:v>3.499999999999992E-2</c:v>
                </c:pt>
                <c:pt idx="113">
                  <c:v>4.4999999999999929E-2</c:v>
                </c:pt>
                <c:pt idx="114">
                  <c:v>2.4999999999999911E-2</c:v>
                </c:pt>
                <c:pt idx="115">
                  <c:v>3.499999999999992E-2</c:v>
                </c:pt>
                <c:pt idx="116">
                  <c:v>2.9999999999999916E-2</c:v>
                </c:pt>
                <c:pt idx="117">
                  <c:v>2.9999999999999916E-2</c:v>
                </c:pt>
                <c:pt idx="118">
                  <c:v>3.9999999999999925E-2</c:v>
                </c:pt>
                <c:pt idx="119">
                  <c:v>3.499999999999992E-2</c:v>
                </c:pt>
                <c:pt idx="120">
                  <c:v>2.4999999999999911E-2</c:v>
                </c:pt>
                <c:pt idx="121">
                  <c:v>1.4999999999999902E-2</c:v>
                </c:pt>
                <c:pt idx="122">
                  <c:v>5.0000000000001155E-3</c:v>
                </c:pt>
                <c:pt idx="123">
                  <c:v>9.9999999999998979E-3</c:v>
                </c:pt>
                <c:pt idx="124">
                  <c:v>4.9999999999998934E-3</c:v>
                </c:pt>
                <c:pt idx="125">
                  <c:v>4.9999999999999489E-3</c:v>
                </c:pt>
                <c:pt idx="126">
                  <c:v>1.4999999999999958E-2</c:v>
                </c:pt>
                <c:pt idx="127">
                  <c:v>1.9999999999999962E-2</c:v>
                </c:pt>
                <c:pt idx="128">
                  <c:v>2.4999999999999967E-2</c:v>
                </c:pt>
                <c:pt idx="129">
                  <c:v>-5.00000000000006E-3</c:v>
                </c:pt>
                <c:pt idx="130">
                  <c:v>1.9999999999999962E-2</c:v>
                </c:pt>
                <c:pt idx="131">
                  <c:v>3.0000000000000082E-2</c:v>
                </c:pt>
                <c:pt idx="132">
                  <c:v>5.4999999999999993E-2</c:v>
                </c:pt>
                <c:pt idx="133">
                  <c:v>2.9999999999999971E-2</c:v>
                </c:pt>
                <c:pt idx="134">
                  <c:v>3.4999999999999976E-2</c:v>
                </c:pt>
                <c:pt idx="135">
                  <c:v>3.4999999999999976E-2</c:v>
                </c:pt>
                <c:pt idx="136">
                  <c:v>3.999999999999998E-2</c:v>
                </c:pt>
                <c:pt idx="137">
                  <c:v>5.9999999999999942E-2</c:v>
                </c:pt>
                <c:pt idx="138">
                  <c:v>4.5000000000000151E-2</c:v>
                </c:pt>
                <c:pt idx="139">
                  <c:v>6.9999999999999951E-2</c:v>
                </c:pt>
                <c:pt idx="140">
                  <c:v>1.9999999999999962E-2</c:v>
                </c:pt>
                <c:pt idx="141">
                  <c:v>4.9999999999999933E-2</c:v>
                </c:pt>
                <c:pt idx="142">
                  <c:v>4.9999999999999933E-2</c:v>
                </c:pt>
                <c:pt idx="143">
                  <c:v>3.9999999999999925E-2</c:v>
                </c:pt>
                <c:pt idx="144">
                  <c:v>2.0000000000000184E-2</c:v>
                </c:pt>
                <c:pt idx="145">
                  <c:v>2.5000000000000133E-2</c:v>
                </c:pt>
                <c:pt idx="146">
                  <c:v>2.9999999999999916E-2</c:v>
                </c:pt>
                <c:pt idx="147">
                  <c:v>2.9999999999999916E-2</c:v>
                </c:pt>
                <c:pt idx="148">
                  <c:v>1.4999999999999902E-2</c:v>
                </c:pt>
                <c:pt idx="149">
                  <c:v>1.9999999999999962E-2</c:v>
                </c:pt>
                <c:pt idx="150">
                  <c:v>4.4999999999999929E-2</c:v>
                </c:pt>
                <c:pt idx="151">
                  <c:v>5.4999999999999938E-2</c:v>
                </c:pt>
                <c:pt idx="152">
                  <c:v>3.4999999999999976E-2</c:v>
                </c:pt>
                <c:pt idx="153">
                  <c:v>3.9999999999999925E-2</c:v>
                </c:pt>
                <c:pt idx="154">
                  <c:v>3.9999999999999925E-2</c:v>
                </c:pt>
                <c:pt idx="155">
                  <c:v>5.4999999999999938E-2</c:v>
                </c:pt>
                <c:pt idx="156">
                  <c:v>7.4999999999999956E-2</c:v>
                </c:pt>
                <c:pt idx="157">
                  <c:v>6.4999999999999947E-2</c:v>
                </c:pt>
                <c:pt idx="158">
                  <c:v>6.5000000000000169E-2</c:v>
                </c:pt>
                <c:pt idx="159">
                  <c:v>7.0000000000000173E-2</c:v>
                </c:pt>
                <c:pt idx="160">
                  <c:v>7.4999999999999956E-2</c:v>
                </c:pt>
                <c:pt idx="161">
                  <c:v>5.9999999999999942E-2</c:v>
                </c:pt>
                <c:pt idx="162">
                  <c:v>6.4999999999999947E-2</c:v>
                </c:pt>
                <c:pt idx="163">
                  <c:v>3.9999999999999925E-2</c:v>
                </c:pt>
                <c:pt idx="164">
                  <c:v>3.499999999999992E-2</c:v>
                </c:pt>
                <c:pt idx="165">
                  <c:v>4.4999999999999929E-2</c:v>
                </c:pt>
                <c:pt idx="166">
                  <c:v>5.9999999999999942E-2</c:v>
                </c:pt>
                <c:pt idx="167">
                  <c:v>4.9999999999999933E-2</c:v>
                </c:pt>
                <c:pt idx="168">
                  <c:v>6.9999999999999951E-2</c:v>
                </c:pt>
                <c:pt idx="169">
                  <c:v>5.9999999999999942E-2</c:v>
                </c:pt>
                <c:pt idx="170">
                  <c:v>6.9999999999999951E-2</c:v>
                </c:pt>
                <c:pt idx="171">
                  <c:v>6.9999999999999896E-2</c:v>
                </c:pt>
                <c:pt idx="172">
                  <c:v>6.5000000000000113E-2</c:v>
                </c:pt>
                <c:pt idx="173">
                  <c:v>6.0000000000000109E-2</c:v>
                </c:pt>
                <c:pt idx="174">
                  <c:v>9.9999999999999922E-2</c:v>
                </c:pt>
                <c:pt idx="175">
                  <c:v>8.4999999999999964E-2</c:v>
                </c:pt>
                <c:pt idx="176">
                  <c:v>7.999999999999996E-2</c:v>
                </c:pt>
                <c:pt idx="177">
                  <c:v>0.10499999999999998</c:v>
                </c:pt>
                <c:pt idx="178">
                  <c:v>8.5000000000000075E-2</c:v>
                </c:pt>
                <c:pt idx="179">
                  <c:v>9.4999999999999973E-2</c:v>
                </c:pt>
                <c:pt idx="180">
                  <c:v>8.9999999999999969E-2</c:v>
                </c:pt>
                <c:pt idx="181">
                  <c:v>8.5000000000000075E-2</c:v>
                </c:pt>
                <c:pt idx="182">
                  <c:v>8.4999999999999964E-2</c:v>
                </c:pt>
                <c:pt idx="183">
                  <c:v>8.5000000000000075E-2</c:v>
                </c:pt>
                <c:pt idx="184">
                  <c:v>0.14000000000000001</c:v>
                </c:pt>
                <c:pt idx="185">
                  <c:v>0.1100000000000001</c:v>
                </c:pt>
                <c:pt idx="186">
                  <c:v>9.5000000000000084E-2</c:v>
                </c:pt>
                <c:pt idx="187">
                  <c:v>9.9999999999999978E-2</c:v>
                </c:pt>
                <c:pt idx="188">
                  <c:v>7.0000000000000062E-2</c:v>
                </c:pt>
                <c:pt idx="189">
                  <c:v>7.5000000000000122E-2</c:v>
                </c:pt>
                <c:pt idx="190">
                  <c:v>0.10000000000000009</c:v>
                </c:pt>
                <c:pt idx="191">
                  <c:v>0.10499999999999998</c:v>
                </c:pt>
                <c:pt idx="192">
                  <c:v>0.10999999999999999</c:v>
                </c:pt>
                <c:pt idx="193">
                  <c:v>0.10500000000000009</c:v>
                </c:pt>
                <c:pt idx="194">
                  <c:v>0.10999999999999999</c:v>
                </c:pt>
                <c:pt idx="195">
                  <c:v>8.5000000000000075E-2</c:v>
                </c:pt>
                <c:pt idx="196">
                  <c:v>0.1150000000000001</c:v>
                </c:pt>
                <c:pt idx="197">
                  <c:v>0.12500000000000011</c:v>
                </c:pt>
                <c:pt idx="198">
                  <c:v>0.12</c:v>
                </c:pt>
                <c:pt idx="199">
                  <c:v>8.4999999999999964E-2</c:v>
                </c:pt>
                <c:pt idx="200">
                  <c:v>6.9999999999999951E-2</c:v>
                </c:pt>
                <c:pt idx="201">
                  <c:v>8.5000000000000075E-2</c:v>
                </c:pt>
                <c:pt idx="202">
                  <c:v>8.9999999999999969E-2</c:v>
                </c:pt>
                <c:pt idx="203">
                  <c:v>8.9999999999999969E-2</c:v>
                </c:pt>
                <c:pt idx="204">
                  <c:v>0.10999999999999999</c:v>
                </c:pt>
                <c:pt idx="205">
                  <c:v>0.11000000000000015</c:v>
                </c:pt>
                <c:pt idx="206">
                  <c:v>0.11499999999999994</c:v>
                </c:pt>
                <c:pt idx="207">
                  <c:v>0.11499999999999994</c:v>
                </c:pt>
                <c:pt idx="208">
                  <c:v>0.11499999999999994</c:v>
                </c:pt>
                <c:pt idx="209">
                  <c:v>0.11999999999999994</c:v>
                </c:pt>
                <c:pt idx="210">
                  <c:v>0.11999999999999994</c:v>
                </c:pt>
                <c:pt idx="211">
                  <c:v>0.11499999999999994</c:v>
                </c:pt>
                <c:pt idx="212">
                  <c:v>0.14499999999999996</c:v>
                </c:pt>
                <c:pt idx="213">
                  <c:v>0.15499999999999997</c:v>
                </c:pt>
                <c:pt idx="214">
                  <c:v>0.15499999999999997</c:v>
                </c:pt>
                <c:pt idx="215">
                  <c:v>0.15499999999999997</c:v>
                </c:pt>
                <c:pt idx="216">
                  <c:v>0.15999999999999998</c:v>
                </c:pt>
                <c:pt idx="217">
                  <c:v>0.12999999999999995</c:v>
                </c:pt>
                <c:pt idx="218">
                  <c:v>0.11999999999999994</c:v>
                </c:pt>
                <c:pt idx="219">
                  <c:v>0.11999999999999994</c:v>
                </c:pt>
                <c:pt idx="220">
                  <c:v>0.10499999999999982</c:v>
                </c:pt>
                <c:pt idx="221">
                  <c:v>9.9999999999999811E-2</c:v>
                </c:pt>
                <c:pt idx="222">
                  <c:v>0.11499999999999999</c:v>
                </c:pt>
                <c:pt idx="223">
                  <c:v>0.10499999999999987</c:v>
                </c:pt>
                <c:pt idx="224">
                  <c:v>0.12499999999999989</c:v>
                </c:pt>
                <c:pt idx="225">
                  <c:v>0.14999999999999991</c:v>
                </c:pt>
                <c:pt idx="226">
                  <c:v>0.13500000000000001</c:v>
                </c:pt>
                <c:pt idx="227">
                  <c:v>0.13500000000000001</c:v>
                </c:pt>
                <c:pt idx="228">
                  <c:v>0.15500000000000003</c:v>
                </c:pt>
                <c:pt idx="229">
                  <c:v>0.11499999999999977</c:v>
                </c:pt>
                <c:pt idx="230">
                  <c:v>0.15000000000000002</c:v>
                </c:pt>
                <c:pt idx="231">
                  <c:v>0.15999999999999998</c:v>
                </c:pt>
                <c:pt idx="232">
                  <c:v>0.15999999999999998</c:v>
                </c:pt>
                <c:pt idx="233">
                  <c:v>0.16999999999999998</c:v>
                </c:pt>
                <c:pt idx="234">
                  <c:v>0.14999999999999997</c:v>
                </c:pt>
                <c:pt idx="235">
                  <c:v>0.13999999999999996</c:v>
                </c:pt>
                <c:pt idx="236">
                  <c:v>0.12499999999999978</c:v>
                </c:pt>
                <c:pt idx="237">
                  <c:v>0.1349999999999999</c:v>
                </c:pt>
                <c:pt idx="238">
                  <c:v>0.15499999999999992</c:v>
                </c:pt>
                <c:pt idx="239">
                  <c:v>0.15999999999999998</c:v>
                </c:pt>
                <c:pt idx="240">
                  <c:v>0.13000000000000006</c:v>
                </c:pt>
                <c:pt idx="241">
                  <c:v>0.12500000000000006</c:v>
                </c:pt>
                <c:pt idx="242">
                  <c:v>9.5000000000000029E-2</c:v>
                </c:pt>
                <c:pt idx="243">
                  <c:v>8.0000000000000016E-2</c:v>
                </c:pt>
                <c:pt idx="244">
                  <c:v>6.0000000000000053E-2</c:v>
                </c:pt>
                <c:pt idx="245">
                  <c:v>6.5000000000000058E-2</c:v>
                </c:pt>
                <c:pt idx="246">
                  <c:v>5.5000000000000049E-2</c:v>
                </c:pt>
                <c:pt idx="247">
                  <c:v>3.5000000000000031E-2</c:v>
                </c:pt>
                <c:pt idx="248">
                  <c:v>4.500000000000004E-2</c:v>
                </c:pt>
                <c:pt idx="249">
                  <c:v>3.5000000000000087E-2</c:v>
                </c:pt>
                <c:pt idx="250">
                  <c:v>7.9999999999999905E-2</c:v>
                </c:pt>
                <c:pt idx="251">
                  <c:v>6.9999999999999896E-2</c:v>
                </c:pt>
                <c:pt idx="252">
                  <c:v>8.4999999999999909E-2</c:v>
                </c:pt>
                <c:pt idx="253">
                  <c:v>7.49999999999999E-2</c:v>
                </c:pt>
                <c:pt idx="254">
                  <c:v>6.4999999999999891E-2</c:v>
                </c:pt>
                <c:pt idx="255">
                  <c:v>3.5000000000000087E-2</c:v>
                </c:pt>
                <c:pt idx="256">
                  <c:v>4.4999999999999873E-2</c:v>
                </c:pt>
                <c:pt idx="257">
                  <c:v>3.9999999999999869E-2</c:v>
                </c:pt>
                <c:pt idx="258">
                  <c:v>2.999999999999986E-2</c:v>
                </c:pt>
                <c:pt idx="259">
                  <c:v>1.0000000000000009E-2</c:v>
                </c:pt>
                <c:pt idx="260">
                  <c:v>9.9999999999998979E-3</c:v>
                </c:pt>
                <c:pt idx="261">
                  <c:v>3.5000000000000087E-2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Informe5!$AQ$5</c:f>
              <c:strCache>
                <c:ptCount val="1"/>
                <c:pt idx="0">
                  <c:v>2s/5s</c:v>
                </c:pt>
              </c:strCache>
            </c:strRef>
          </c:tx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Informe5!$AE$6:$AE$267</c:f>
              <c:numCache>
                <c:formatCode>m/d/yyyy</c:formatCode>
                <c:ptCount val="262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42618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  <c:pt idx="66">
                  <c:v>42578</c:v>
                </c:pt>
                <c:pt idx="67">
                  <c:v>42577</c:v>
                </c:pt>
                <c:pt idx="68">
                  <c:v>42576</c:v>
                </c:pt>
                <c:pt idx="69">
                  <c:v>42573</c:v>
                </c:pt>
                <c:pt idx="70">
                  <c:v>42572</c:v>
                </c:pt>
                <c:pt idx="71">
                  <c:v>42571</c:v>
                </c:pt>
                <c:pt idx="72">
                  <c:v>42570</c:v>
                </c:pt>
                <c:pt idx="73">
                  <c:v>42569</c:v>
                </c:pt>
                <c:pt idx="74">
                  <c:v>42566</c:v>
                </c:pt>
                <c:pt idx="75">
                  <c:v>42565</c:v>
                </c:pt>
                <c:pt idx="76">
                  <c:v>42564</c:v>
                </c:pt>
                <c:pt idx="77">
                  <c:v>42563</c:v>
                </c:pt>
                <c:pt idx="78">
                  <c:v>42562</c:v>
                </c:pt>
                <c:pt idx="79">
                  <c:v>42559</c:v>
                </c:pt>
                <c:pt idx="80">
                  <c:v>42558</c:v>
                </c:pt>
                <c:pt idx="81">
                  <c:v>42557</c:v>
                </c:pt>
                <c:pt idx="82">
                  <c:v>42556</c:v>
                </c:pt>
                <c:pt idx="83">
                  <c:v>42555</c:v>
                </c:pt>
                <c:pt idx="84">
                  <c:v>42552</c:v>
                </c:pt>
                <c:pt idx="85">
                  <c:v>42551</c:v>
                </c:pt>
                <c:pt idx="86">
                  <c:v>42550</c:v>
                </c:pt>
                <c:pt idx="87">
                  <c:v>42549</c:v>
                </c:pt>
                <c:pt idx="88">
                  <c:v>42548</c:v>
                </c:pt>
                <c:pt idx="89">
                  <c:v>42545</c:v>
                </c:pt>
                <c:pt idx="90">
                  <c:v>42544</c:v>
                </c:pt>
                <c:pt idx="91">
                  <c:v>42543</c:v>
                </c:pt>
                <c:pt idx="92">
                  <c:v>42542</c:v>
                </c:pt>
                <c:pt idx="93">
                  <c:v>42541</c:v>
                </c:pt>
                <c:pt idx="94">
                  <c:v>42538</c:v>
                </c:pt>
                <c:pt idx="95">
                  <c:v>42537</c:v>
                </c:pt>
                <c:pt idx="96">
                  <c:v>42536</c:v>
                </c:pt>
                <c:pt idx="97">
                  <c:v>42535</c:v>
                </c:pt>
                <c:pt idx="98">
                  <c:v>42534</c:v>
                </c:pt>
                <c:pt idx="99">
                  <c:v>42531</c:v>
                </c:pt>
                <c:pt idx="100">
                  <c:v>42530</c:v>
                </c:pt>
                <c:pt idx="101">
                  <c:v>42529</c:v>
                </c:pt>
                <c:pt idx="102">
                  <c:v>42528</c:v>
                </c:pt>
                <c:pt idx="103">
                  <c:v>42527</c:v>
                </c:pt>
                <c:pt idx="104">
                  <c:v>42524</c:v>
                </c:pt>
                <c:pt idx="105">
                  <c:v>42523</c:v>
                </c:pt>
                <c:pt idx="106">
                  <c:v>42522</c:v>
                </c:pt>
                <c:pt idx="107">
                  <c:v>42521</c:v>
                </c:pt>
                <c:pt idx="108">
                  <c:v>42520</c:v>
                </c:pt>
                <c:pt idx="109">
                  <c:v>42517</c:v>
                </c:pt>
                <c:pt idx="110">
                  <c:v>42516</c:v>
                </c:pt>
                <c:pt idx="111">
                  <c:v>42515</c:v>
                </c:pt>
                <c:pt idx="112">
                  <c:v>42514</c:v>
                </c:pt>
                <c:pt idx="113">
                  <c:v>42513</c:v>
                </c:pt>
                <c:pt idx="114">
                  <c:v>42510</c:v>
                </c:pt>
                <c:pt idx="115">
                  <c:v>42509</c:v>
                </c:pt>
                <c:pt idx="116">
                  <c:v>42508</c:v>
                </c:pt>
                <c:pt idx="117">
                  <c:v>42507</c:v>
                </c:pt>
                <c:pt idx="118">
                  <c:v>42506</c:v>
                </c:pt>
                <c:pt idx="119">
                  <c:v>42503</c:v>
                </c:pt>
                <c:pt idx="120">
                  <c:v>42502</c:v>
                </c:pt>
                <c:pt idx="121">
                  <c:v>42501</c:v>
                </c:pt>
                <c:pt idx="122">
                  <c:v>42500</c:v>
                </c:pt>
                <c:pt idx="123">
                  <c:v>42499</c:v>
                </c:pt>
                <c:pt idx="124">
                  <c:v>42496</c:v>
                </c:pt>
                <c:pt idx="125">
                  <c:v>42495</c:v>
                </c:pt>
                <c:pt idx="126">
                  <c:v>42494</c:v>
                </c:pt>
                <c:pt idx="127">
                  <c:v>42493</c:v>
                </c:pt>
                <c:pt idx="128">
                  <c:v>42492</c:v>
                </c:pt>
                <c:pt idx="129">
                  <c:v>42489</c:v>
                </c:pt>
                <c:pt idx="130">
                  <c:v>42488</c:v>
                </c:pt>
                <c:pt idx="131">
                  <c:v>42487</c:v>
                </c:pt>
                <c:pt idx="132">
                  <c:v>42486</c:v>
                </c:pt>
                <c:pt idx="133">
                  <c:v>42485</c:v>
                </c:pt>
                <c:pt idx="134">
                  <c:v>42482</c:v>
                </c:pt>
                <c:pt idx="135">
                  <c:v>42481</c:v>
                </c:pt>
                <c:pt idx="136">
                  <c:v>42480</c:v>
                </c:pt>
                <c:pt idx="137">
                  <c:v>42479</c:v>
                </c:pt>
                <c:pt idx="138">
                  <c:v>42478</c:v>
                </c:pt>
                <c:pt idx="139">
                  <c:v>42475</c:v>
                </c:pt>
                <c:pt idx="140">
                  <c:v>42474</c:v>
                </c:pt>
                <c:pt idx="141">
                  <c:v>42473</c:v>
                </c:pt>
                <c:pt idx="142">
                  <c:v>42472</c:v>
                </c:pt>
                <c:pt idx="143">
                  <c:v>42471</c:v>
                </c:pt>
                <c:pt idx="144">
                  <c:v>42468</c:v>
                </c:pt>
                <c:pt idx="145">
                  <c:v>42467</c:v>
                </c:pt>
                <c:pt idx="146">
                  <c:v>42466</c:v>
                </c:pt>
                <c:pt idx="147">
                  <c:v>42465</c:v>
                </c:pt>
                <c:pt idx="148">
                  <c:v>42464</c:v>
                </c:pt>
                <c:pt idx="149">
                  <c:v>42461</c:v>
                </c:pt>
                <c:pt idx="150">
                  <c:v>42460</c:v>
                </c:pt>
                <c:pt idx="151">
                  <c:v>42459</c:v>
                </c:pt>
                <c:pt idx="152">
                  <c:v>42458</c:v>
                </c:pt>
                <c:pt idx="153">
                  <c:v>42457</c:v>
                </c:pt>
                <c:pt idx="154">
                  <c:v>42454</c:v>
                </c:pt>
                <c:pt idx="155">
                  <c:v>42453</c:v>
                </c:pt>
                <c:pt idx="156">
                  <c:v>42452</c:v>
                </c:pt>
                <c:pt idx="157">
                  <c:v>42451</c:v>
                </c:pt>
                <c:pt idx="158">
                  <c:v>42450</c:v>
                </c:pt>
                <c:pt idx="159">
                  <c:v>42447</c:v>
                </c:pt>
                <c:pt idx="160">
                  <c:v>42446</c:v>
                </c:pt>
                <c:pt idx="161">
                  <c:v>42445</c:v>
                </c:pt>
                <c:pt idx="162">
                  <c:v>42444</c:v>
                </c:pt>
                <c:pt idx="163">
                  <c:v>42443</c:v>
                </c:pt>
                <c:pt idx="164">
                  <c:v>42440</c:v>
                </c:pt>
                <c:pt idx="165">
                  <c:v>42439</c:v>
                </c:pt>
                <c:pt idx="166">
                  <c:v>42438</c:v>
                </c:pt>
                <c:pt idx="167">
                  <c:v>42437</c:v>
                </c:pt>
                <c:pt idx="168">
                  <c:v>42436</c:v>
                </c:pt>
                <c:pt idx="169">
                  <c:v>42433</c:v>
                </c:pt>
                <c:pt idx="170">
                  <c:v>42432</c:v>
                </c:pt>
                <c:pt idx="171">
                  <c:v>42431</c:v>
                </c:pt>
                <c:pt idx="172">
                  <c:v>42430</c:v>
                </c:pt>
                <c:pt idx="173">
                  <c:v>42429</c:v>
                </c:pt>
                <c:pt idx="174">
                  <c:v>42426</c:v>
                </c:pt>
                <c:pt idx="175">
                  <c:v>42425</c:v>
                </c:pt>
                <c:pt idx="176">
                  <c:v>42424</c:v>
                </c:pt>
                <c:pt idx="177">
                  <c:v>42423</c:v>
                </c:pt>
                <c:pt idx="178">
                  <c:v>42422</c:v>
                </c:pt>
                <c:pt idx="179">
                  <c:v>42419</c:v>
                </c:pt>
                <c:pt idx="180">
                  <c:v>42418</c:v>
                </c:pt>
                <c:pt idx="181">
                  <c:v>42417</c:v>
                </c:pt>
                <c:pt idx="182">
                  <c:v>42416</c:v>
                </c:pt>
                <c:pt idx="183">
                  <c:v>42415</c:v>
                </c:pt>
                <c:pt idx="184">
                  <c:v>42412</c:v>
                </c:pt>
                <c:pt idx="185">
                  <c:v>42411</c:v>
                </c:pt>
                <c:pt idx="186">
                  <c:v>42410</c:v>
                </c:pt>
                <c:pt idx="187">
                  <c:v>42409</c:v>
                </c:pt>
                <c:pt idx="188">
                  <c:v>42408</c:v>
                </c:pt>
                <c:pt idx="189">
                  <c:v>42405</c:v>
                </c:pt>
                <c:pt idx="190">
                  <c:v>42404</c:v>
                </c:pt>
                <c:pt idx="191">
                  <c:v>42403</c:v>
                </c:pt>
                <c:pt idx="192">
                  <c:v>42402</c:v>
                </c:pt>
                <c:pt idx="193">
                  <c:v>42401</c:v>
                </c:pt>
                <c:pt idx="194">
                  <c:v>42398</c:v>
                </c:pt>
                <c:pt idx="195">
                  <c:v>42397</c:v>
                </c:pt>
                <c:pt idx="196">
                  <c:v>42396</c:v>
                </c:pt>
                <c:pt idx="197">
                  <c:v>42395</c:v>
                </c:pt>
                <c:pt idx="198">
                  <c:v>42394</c:v>
                </c:pt>
                <c:pt idx="199">
                  <c:v>42391</c:v>
                </c:pt>
                <c:pt idx="200">
                  <c:v>42390</c:v>
                </c:pt>
                <c:pt idx="201">
                  <c:v>42389</c:v>
                </c:pt>
                <c:pt idx="202">
                  <c:v>42388</c:v>
                </c:pt>
                <c:pt idx="203">
                  <c:v>42387</c:v>
                </c:pt>
                <c:pt idx="204">
                  <c:v>42384</c:v>
                </c:pt>
                <c:pt idx="205">
                  <c:v>42383</c:v>
                </c:pt>
                <c:pt idx="206">
                  <c:v>42382</c:v>
                </c:pt>
                <c:pt idx="207">
                  <c:v>42381</c:v>
                </c:pt>
                <c:pt idx="208">
                  <c:v>42380</c:v>
                </c:pt>
                <c:pt idx="209">
                  <c:v>42377</c:v>
                </c:pt>
                <c:pt idx="210">
                  <c:v>42376</c:v>
                </c:pt>
                <c:pt idx="211">
                  <c:v>42375</c:v>
                </c:pt>
                <c:pt idx="212">
                  <c:v>42374</c:v>
                </c:pt>
                <c:pt idx="213">
                  <c:v>42373</c:v>
                </c:pt>
                <c:pt idx="214">
                  <c:v>42370</c:v>
                </c:pt>
                <c:pt idx="215">
                  <c:v>42369</c:v>
                </c:pt>
                <c:pt idx="216">
                  <c:v>42368</c:v>
                </c:pt>
                <c:pt idx="217">
                  <c:v>42367</c:v>
                </c:pt>
                <c:pt idx="218">
                  <c:v>42366</c:v>
                </c:pt>
                <c:pt idx="219">
                  <c:v>42363</c:v>
                </c:pt>
                <c:pt idx="220">
                  <c:v>42362</c:v>
                </c:pt>
                <c:pt idx="221">
                  <c:v>42361</c:v>
                </c:pt>
                <c:pt idx="222">
                  <c:v>42360</c:v>
                </c:pt>
                <c:pt idx="223">
                  <c:v>42359</c:v>
                </c:pt>
                <c:pt idx="224">
                  <c:v>42356</c:v>
                </c:pt>
                <c:pt idx="225">
                  <c:v>42355</c:v>
                </c:pt>
                <c:pt idx="226">
                  <c:v>42354</c:v>
                </c:pt>
                <c:pt idx="227">
                  <c:v>42353</c:v>
                </c:pt>
                <c:pt idx="228">
                  <c:v>42352</c:v>
                </c:pt>
                <c:pt idx="229">
                  <c:v>42349</c:v>
                </c:pt>
                <c:pt idx="230">
                  <c:v>42348</c:v>
                </c:pt>
                <c:pt idx="231">
                  <c:v>42347</c:v>
                </c:pt>
                <c:pt idx="232">
                  <c:v>42346</c:v>
                </c:pt>
                <c:pt idx="233">
                  <c:v>42345</c:v>
                </c:pt>
                <c:pt idx="234">
                  <c:v>42342</c:v>
                </c:pt>
                <c:pt idx="235">
                  <c:v>42341</c:v>
                </c:pt>
                <c:pt idx="236">
                  <c:v>42340</c:v>
                </c:pt>
                <c:pt idx="237">
                  <c:v>42339</c:v>
                </c:pt>
                <c:pt idx="238">
                  <c:v>42338</c:v>
                </c:pt>
                <c:pt idx="239">
                  <c:v>42335</c:v>
                </c:pt>
                <c:pt idx="240">
                  <c:v>42334</c:v>
                </c:pt>
                <c:pt idx="241">
                  <c:v>42333</c:v>
                </c:pt>
                <c:pt idx="242">
                  <c:v>42332</c:v>
                </c:pt>
                <c:pt idx="243">
                  <c:v>42331</c:v>
                </c:pt>
                <c:pt idx="244">
                  <c:v>42328</c:v>
                </c:pt>
                <c:pt idx="245">
                  <c:v>42327</c:v>
                </c:pt>
                <c:pt idx="246">
                  <c:v>42326</c:v>
                </c:pt>
                <c:pt idx="247">
                  <c:v>42325</c:v>
                </c:pt>
                <c:pt idx="248">
                  <c:v>42324</c:v>
                </c:pt>
                <c:pt idx="249">
                  <c:v>42321</c:v>
                </c:pt>
                <c:pt idx="250">
                  <c:v>42320</c:v>
                </c:pt>
                <c:pt idx="251">
                  <c:v>42319</c:v>
                </c:pt>
                <c:pt idx="252">
                  <c:v>42318</c:v>
                </c:pt>
                <c:pt idx="253">
                  <c:v>42317</c:v>
                </c:pt>
                <c:pt idx="254">
                  <c:v>42314</c:v>
                </c:pt>
                <c:pt idx="255">
                  <c:v>42313</c:v>
                </c:pt>
                <c:pt idx="256">
                  <c:v>42312</c:v>
                </c:pt>
                <c:pt idx="257">
                  <c:v>42311</c:v>
                </c:pt>
                <c:pt idx="258">
                  <c:v>42310</c:v>
                </c:pt>
                <c:pt idx="259">
                  <c:v>42307</c:v>
                </c:pt>
                <c:pt idx="260">
                  <c:v>42306</c:v>
                </c:pt>
                <c:pt idx="261">
                  <c:v>42305</c:v>
                </c:pt>
              </c:numCache>
            </c:numRef>
          </c:xVal>
          <c:yVal>
            <c:numRef>
              <c:f>Informe5!$AQ$6:$AQ$267</c:f>
              <c:numCache>
                <c:formatCode>General</c:formatCode>
                <c:ptCount val="262"/>
                <c:pt idx="0">
                  <c:v>0.21999999999999997</c:v>
                </c:pt>
                <c:pt idx="1">
                  <c:v>0.21999999999999997</c:v>
                </c:pt>
                <c:pt idx="2">
                  <c:v>0.20999999999999996</c:v>
                </c:pt>
                <c:pt idx="3">
                  <c:v>0.25</c:v>
                </c:pt>
                <c:pt idx="4">
                  <c:v>0.22999999999999998</c:v>
                </c:pt>
                <c:pt idx="5">
                  <c:v>0.20999999999999996</c:v>
                </c:pt>
                <c:pt idx="6">
                  <c:v>0.25</c:v>
                </c:pt>
                <c:pt idx="7">
                  <c:v>0.25</c:v>
                </c:pt>
                <c:pt idx="8">
                  <c:v>0.26</c:v>
                </c:pt>
                <c:pt idx="9">
                  <c:v>0.25</c:v>
                </c:pt>
                <c:pt idx="10">
                  <c:v>0.27</c:v>
                </c:pt>
                <c:pt idx="11">
                  <c:v>0.25</c:v>
                </c:pt>
                <c:pt idx="12">
                  <c:v>0.28000000000000003</c:v>
                </c:pt>
                <c:pt idx="13">
                  <c:v>0.28000000000000003</c:v>
                </c:pt>
                <c:pt idx="14">
                  <c:v>0.25</c:v>
                </c:pt>
                <c:pt idx="15">
                  <c:v>0.34000000000000008</c:v>
                </c:pt>
                <c:pt idx="16">
                  <c:v>0.31000000000000005</c:v>
                </c:pt>
                <c:pt idx="17">
                  <c:v>0.31</c:v>
                </c:pt>
                <c:pt idx="18">
                  <c:v>0.3</c:v>
                </c:pt>
                <c:pt idx="19">
                  <c:v>0.30000000000000004</c:v>
                </c:pt>
                <c:pt idx="20">
                  <c:v>0.30000000000000004</c:v>
                </c:pt>
                <c:pt idx="21">
                  <c:v>0.28999999999999998</c:v>
                </c:pt>
                <c:pt idx="22">
                  <c:v>0.32</c:v>
                </c:pt>
                <c:pt idx="23">
                  <c:v>0.33000000000000007</c:v>
                </c:pt>
                <c:pt idx="24">
                  <c:v>0.31000000000000005</c:v>
                </c:pt>
                <c:pt idx="25">
                  <c:v>0.31999999999999995</c:v>
                </c:pt>
                <c:pt idx="26">
                  <c:v>0.30999999999999994</c:v>
                </c:pt>
                <c:pt idx="27">
                  <c:v>0.32000000000000006</c:v>
                </c:pt>
                <c:pt idx="28">
                  <c:v>0.32000000000000006</c:v>
                </c:pt>
                <c:pt idx="29">
                  <c:v>0.33000000000000007</c:v>
                </c:pt>
                <c:pt idx="30">
                  <c:v>0.33999999999999997</c:v>
                </c:pt>
                <c:pt idx="31">
                  <c:v>0.32999999999999996</c:v>
                </c:pt>
                <c:pt idx="32">
                  <c:v>0.32999999999999996</c:v>
                </c:pt>
                <c:pt idx="33">
                  <c:v>0.32000000000000006</c:v>
                </c:pt>
                <c:pt idx="34">
                  <c:v>0.30000000000000004</c:v>
                </c:pt>
                <c:pt idx="35">
                  <c:v>0.31000000000000005</c:v>
                </c:pt>
                <c:pt idx="36">
                  <c:v>0.29000000000000004</c:v>
                </c:pt>
                <c:pt idx="37">
                  <c:v>0.31000000000000005</c:v>
                </c:pt>
                <c:pt idx="38">
                  <c:v>0.30000000000000004</c:v>
                </c:pt>
                <c:pt idx="39">
                  <c:v>0.31999999999999995</c:v>
                </c:pt>
                <c:pt idx="40">
                  <c:v>0.29999999999999993</c:v>
                </c:pt>
                <c:pt idx="41">
                  <c:v>0.30999999999999994</c:v>
                </c:pt>
                <c:pt idx="42">
                  <c:v>0.30999999999999994</c:v>
                </c:pt>
                <c:pt idx="43">
                  <c:v>0.31999999999999995</c:v>
                </c:pt>
                <c:pt idx="44">
                  <c:v>0.31999999999999995</c:v>
                </c:pt>
                <c:pt idx="45">
                  <c:v>0.32999999999999996</c:v>
                </c:pt>
                <c:pt idx="46">
                  <c:v>0.31999999999999995</c:v>
                </c:pt>
                <c:pt idx="47">
                  <c:v>0.33999999999999997</c:v>
                </c:pt>
                <c:pt idx="48">
                  <c:v>0.33999999999999997</c:v>
                </c:pt>
                <c:pt idx="49">
                  <c:v>0.35</c:v>
                </c:pt>
                <c:pt idx="50">
                  <c:v>0.33999999999999997</c:v>
                </c:pt>
                <c:pt idx="51">
                  <c:v>0.33000000000000007</c:v>
                </c:pt>
                <c:pt idx="52">
                  <c:v>0.32000000000000006</c:v>
                </c:pt>
                <c:pt idx="53">
                  <c:v>0.32000000000000006</c:v>
                </c:pt>
                <c:pt idx="54">
                  <c:v>0.30000000000000004</c:v>
                </c:pt>
                <c:pt idx="55">
                  <c:v>0.28000000000000003</c:v>
                </c:pt>
                <c:pt idx="56">
                  <c:v>0.27999999999999992</c:v>
                </c:pt>
                <c:pt idx="57">
                  <c:v>0.26</c:v>
                </c:pt>
                <c:pt idx="58">
                  <c:v>0.26</c:v>
                </c:pt>
                <c:pt idx="59">
                  <c:v>0.22999999999999998</c:v>
                </c:pt>
                <c:pt idx="60">
                  <c:v>0.22999999999999998</c:v>
                </c:pt>
                <c:pt idx="61">
                  <c:v>0.26</c:v>
                </c:pt>
                <c:pt idx="62">
                  <c:v>0.28000000000000003</c:v>
                </c:pt>
                <c:pt idx="63">
                  <c:v>0.27</c:v>
                </c:pt>
                <c:pt idx="64">
                  <c:v>0.26</c:v>
                </c:pt>
                <c:pt idx="65">
                  <c:v>0.28999999999999992</c:v>
                </c:pt>
                <c:pt idx="66">
                  <c:v>0.31999999999999984</c:v>
                </c:pt>
                <c:pt idx="67">
                  <c:v>0.34000000000000008</c:v>
                </c:pt>
                <c:pt idx="68">
                  <c:v>0.33000000000000007</c:v>
                </c:pt>
                <c:pt idx="69">
                  <c:v>0.32000000000000006</c:v>
                </c:pt>
                <c:pt idx="70">
                  <c:v>0.32000000000000006</c:v>
                </c:pt>
                <c:pt idx="71">
                  <c:v>0.33000000000000007</c:v>
                </c:pt>
                <c:pt idx="72">
                  <c:v>0.30000000000000004</c:v>
                </c:pt>
                <c:pt idx="73">
                  <c:v>0.28000000000000003</c:v>
                </c:pt>
                <c:pt idx="74">
                  <c:v>0.29000000000000004</c:v>
                </c:pt>
                <c:pt idx="75">
                  <c:v>0.29000000000000004</c:v>
                </c:pt>
                <c:pt idx="76">
                  <c:v>0.29000000000000004</c:v>
                </c:pt>
                <c:pt idx="77">
                  <c:v>0.30000000000000004</c:v>
                </c:pt>
                <c:pt idx="78">
                  <c:v>0.31000000000000005</c:v>
                </c:pt>
                <c:pt idx="79">
                  <c:v>0.32000000000000006</c:v>
                </c:pt>
                <c:pt idx="80">
                  <c:v>0.34000000000000008</c:v>
                </c:pt>
                <c:pt idx="81">
                  <c:v>0.34000000000000008</c:v>
                </c:pt>
                <c:pt idx="82">
                  <c:v>0.34000000000000008</c:v>
                </c:pt>
                <c:pt idx="83">
                  <c:v>0.33999999999999997</c:v>
                </c:pt>
                <c:pt idx="84">
                  <c:v>0.34000000000000008</c:v>
                </c:pt>
                <c:pt idx="85">
                  <c:v>0.33000000000000007</c:v>
                </c:pt>
                <c:pt idx="86">
                  <c:v>0.35000000000000009</c:v>
                </c:pt>
                <c:pt idx="87">
                  <c:v>0.37000000000000011</c:v>
                </c:pt>
                <c:pt idx="88">
                  <c:v>0.37000000000000011</c:v>
                </c:pt>
                <c:pt idx="89">
                  <c:v>0.41999999999999993</c:v>
                </c:pt>
                <c:pt idx="90">
                  <c:v>0.41000000000000014</c:v>
                </c:pt>
                <c:pt idx="91">
                  <c:v>0.42000000000000015</c:v>
                </c:pt>
                <c:pt idx="92">
                  <c:v>0.42999999999999994</c:v>
                </c:pt>
                <c:pt idx="93">
                  <c:v>0.39000000000000012</c:v>
                </c:pt>
                <c:pt idx="94">
                  <c:v>0.42000000000000004</c:v>
                </c:pt>
                <c:pt idx="95">
                  <c:v>0.44000000000000006</c:v>
                </c:pt>
                <c:pt idx="96">
                  <c:v>0.42000000000000015</c:v>
                </c:pt>
                <c:pt idx="97">
                  <c:v>0.43000000000000016</c:v>
                </c:pt>
                <c:pt idx="98">
                  <c:v>0.39999999999999991</c:v>
                </c:pt>
                <c:pt idx="99">
                  <c:v>0.40000000000000013</c:v>
                </c:pt>
                <c:pt idx="100">
                  <c:v>0.40000000000000013</c:v>
                </c:pt>
                <c:pt idx="101">
                  <c:v>0.40999999999999992</c:v>
                </c:pt>
                <c:pt idx="102">
                  <c:v>0.40999999999999992</c:v>
                </c:pt>
                <c:pt idx="103">
                  <c:v>0.40000000000000013</c:v>
                </c:pt>
                <c:pt idx="104">
                  <c:v>0.40999999999999992</c:v>
                </c:pt>
                <c:pt idx="105">
                  <c:v>0.42999999999999994</c:v>
                </c:pt>
                <c:pt idx="106">
                  <c:v>0.40999999999999992</c:v>
                </c:pt>
                <c:pt idx="107">
                  <c:v>0.41999999999999993</c:v>
                </c:pt>
                <c:pt idx="108">
                  <c:v>0.41999999999999993</c:v>
                </c:pt>
                <c:pt idx="109">
                  <c:v>0.42999999999999994</c:v>
                </c:pt>
                <c:pt idx="110">
                  <c:v>0.41999999999999993</c:v>
                </c:pt>
                <c:pt idx="111">
                  <c:v>0.41999999999999993</c:v>
                </c:pt>
                <c:pt idx="112">
                  <c:v>0.39999999999999991</c:v>
                </c:pt>
                <c:pt idx="113">
                  <c:v>0.39999999999999991</c:v>
                </c:pt>
                <c:pt idx="114">
                  <c:v>0.39999999999999991</c:v>
                </c:pt>
                <c:pt idx="115">
                  <c:v>0.40999999999999992</c:v>
                </c:pt>
                <c:pt idx="116">
                  <c:v>0.40999999999999992</c:v>
                </c:pt>
                <c:pt idx="117">
                  <c:v>0.41999999999999993</c:v>
                </c:pt>
                <c:pt idx="118">
                  <c:v>0.41999999999999993</c:v>
                </c:pt>
                <c:pt idx="119">
                  <c:v>0.40999999999999992</c:v>
                </c:pt>
                <c:pt idx="120">
                  <c:v>0.3899999999999999</c:v>
                </c:pt>
                <c:pt idx="121">
                  <c:v>0.35999999999999988</c:v>
                </c:pt>
                <c:pt idx="122">
                  <c:v>0.3600000000000001</c:v>
                </c:pt>
                <c:pt idx="123">
                  <c:v>0.35999999999999988</c:v>
                </c:pt>
                <c:pt idx="124">
                  <c:v>0.35999999999999988</c:v>
                </c:pt>
                <c:pt idx="125">
                  <c:v>0.33999999999999997</c:v>
                </c:pt>
                <c:pt idx="126">
                  <c:v>0.36</c:v>
                </c:pt>
                <c:pt idx="127">
                  <c:v>0.37</c:v>
                </c:pt>
                <c:pt idx="128">
                  <c:v>0.37</c:v>
                </c:pt>
                <c:pt idx="129">
                  <c:v>0.29999999999999993</c:v>
                </c:pt>
                <c:pt idx="130">
                  <c:v>0.33999999999999997</c:v>
                </c:pt>
                <c:pt idx="131">
                  <c:v>0.37</c:v>
                </c:pt>
                <c:pt idx="132">
                  <c:v>0.41000000000000003</c:v>
                </c:pt>
                <c:pt idx="133">
                  <c:v>0.37</c:v>
                </c:pt>
                <c:pt idx="134">
                  <c:v>0.36</c:v>
                </c:pt>
                <c:pt idx="135">
                  <c:v>0.36</c:v>
                </c:pt>
                <c:pt idx="136">
                  <c:v>0.35</c:v>
                </c:pt>
                <c:pt idx="137">
                  <c:v>0.37999999999999989</c:v>
                </c:pt>
                <c:pt idx="138">
                  <c:v>0.3600000000000001</c:v>
                </c:pt>
                <c:pt idx="139">
                  <c:v>0.3899999999999999</c:v>
                </c:pt>
                <c:pt idx="140">
                  <c:v>0.35</c:v>
                </c:pt>
                <c:pt idx="141">
                  <c:v>0.36999999999999988</c:v>
                </c:pt>
                <c:pt idx="142">
                  <c:v>0.37999999999999989</c:v>
                </c:pt>
                <c:pt idx="143">
                  <c:v>0.36999999999999988</c:v>
                </c:pt>
                <c:pt idx="144">
                  <c:v>0.32000000000000017</c:v>
                </c:pt>
                <c:pt idx="145">
                  <c:v>0.35000000000000009</c:v>
                </c:pt>
                <c:pt idx="146">
                  <c:v>0.35999999999999988</c:v>
                </c:pt>
                <c:pt idx="147">
                  <c:v>0.35999999999999988</c:v>
                </c:pt>
                <c:pt idx="148">
                  <c:v>0.34999999999999987</c:v>
                </c:pt>
                <c:pt idx="149">
                  <c:v>0.35</c:v>
                </c:pt>
                <c:pt idx="150">
                  <c:v>0.3899999999999999</c:v>
                </c:pt>
                <c:pt idx="151">
                  <c:v>0.3899999999999999</c:v>
                </c:pt>
                <c:pt idx="152">
                  <c:v>0.37</c:v>
                </c:pt>
                <c:pt idx="153">
                  <c:v>0.3899999999999999</c:v>
                </c:pt>
                <c:pt idx="154">
                  <c:v>0.3899999999999999</c:v>
                </c:pt>
                <c:pt idx="155">
                  <c:v>0.41999999999999993</c:v>
                </c:pt>
                <c:pt idx="156">
                  <c:v>0.43999999999999995</c:v>
                </c:pt>
                <c:pt idx="157">
                  <c:v>0.41999999999999993</c:v>
                </c:pt>
                <c:pt idx="158">
                  <c:v>0.41000000000000014</c:v>
                </c:pt>
                <c:pt idx="159">
                  <c:v>0.42000000000000015</c:v>
                </c:pt>
                <c:pt idx="160">
                  <c:v>0.43999999999999995</c:v>
                </c:pt>
                <c:pt idx="161">
                  <c:v>0.41999999999999993</c:v>
                </c:pt>
                <c:pt idx="162">
                  <c:v>0.42999999999999994</c:v>
                </c:pt>
                <c:pt idx="163">
                  <c:v>0.41999999999999993</c:v>
                </c:pt>
                <c:pt idx="164">
                  <c:v>0.40999999999999992</c:v>
                </c:pt>
                <c:pt idx="165">
                  <c:v>0.41999999999999993</c:v>
                </c:pt>
                <c:pt idx="166">
                  <c:v>0.43999999999999995</c:v>
                </c:pt>
                <c:pt idx="167">
                  <c:v>0.43999999999999995</c:v>
                </c:pt>
                <c:pt idx="168">
                  <c:v>0.45999999999999996</c:v>
                </c:pt>
                <c:pt idx="169">
                  <c:v>0.43999999999999995</c:v>
                </c:pt>
                <c:pt idx="170">
                  <c:v>0.47</c:v>
                </c:pt>
                <c:pt idx="171">
                  <c:v>0.46999999999999986</c:v>
                </c:pt>
                <c:pt idx="172">
                  <c:v>0.47000000000000008</c:v>
                </c:pt>
                <c:pt idx="173">
                  <c:v>0.47000000000000008</c:v>
                </c:pt>
                <c:pt idx="174">
                  <c:v>0.51999999999999991</c:v>
                </c:pt>
                <c:pt idx="175">
                  <c:v>0.5</c:v>
                </c:pt>
                <c:pt idx="176">
                  <c:v>0.5</c:v>
                </c:pt>
                <c:pt idx="177">
                  <c:v>0.55000000000000004</c:v>
                </c:pt>
                <c:pt idx="178">
                  <c:v>0.53</c:v>
                </c:pt>
                <c:pt idx="179">
                  <c:v>0.54</c:v>
                </c:pt>
                <c:pt idx="180">
                  <c:v>0.53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0.55000000000000004</c:v>
                </c:pt>
                <c:pt idx="185">
                  <c:v>0.52</c:v>
                </c:pt>
                <c:pt idx="186">
                  <c:v>0.49</c:v>
                </c:pt>
                <c:pt idx="187">
                  <c:v>0.49</c:v>
                </c:pt>
                <c:pt idx="188">
                  <c:v>0.45999999999999996</c:v>
                </c:pt>
                <c:pt idx="189">
                  <c:v>0.47000000000000008</c:v>
                </c:pt>
                <c:pt idx="190">
                  <c:v>0.51</c:v>
                </c:pt>
                <c:pt idx="191">
                  <c:v>0.54</c:v>
                </c:pt>
                <c:pt idx="192">
                  <c:v>0.56000000000000005</c:v>
                </c:pt>
                <c:pt idx="193">
                  <c:v>0.56000000000000005</c:v>
                </c:pt>
                <c:pt idx="194">
                  <c:v>0.59000000000000008</c:v>
                </c:pt>
                <c:pt idx="195">
                  <c:v>0.55000000000000004</c:v>
                </c:pt>
                <c:pt idx="196">
                  <c:v>0.57000000000000006</c:v>
                </c:pt>
                <c:pt idx="197">
                  <c:v>0.58000000000000007</c:v>
                </c:pt>
                <c:pt idx="198">
                  <c:v>0.56000000000000005</c:v>
                </c:pt>
                <c:pt idx="199">
                  <c:v>0.5</c:v>
                </c:pt>
                <c:pt idx="200">
                  <c:v>0.5</c:v>
                </c:pt>
                <c:pt idx="201">
                  <c:v>0.51</c:v>
                </c:pt>
                <c:pt idx="202">
                  <c:v>0.52</c:v>
                </c:pt>
                <c:pt idx="203">
                  <c:v>0.53</c:v>
                </c:pt>
                <c:pt idx="204">
                  <c:v>0.55000000000000004</c:v>
                </c:pt>
                <c:pt idx="205">
                  <c:v>0.54000000000000015</c:v>
                </c:pt>
                <c:pt idx="206">
                  <c:v>0.54999999999999993</c:v>
                </c:pt>
                <c:pt idx="207">
                  <c:v>0.55999999999999994</c:v>
                </c:pt>
                <c:pt idx="208">
                  <c:v>0.54999999999999993</c:v>
                </c:pt>
                <c:pt idx="209">
                  <c:v>0.55999999999999994</c:v>
                </c:pt>
                <c:pt idx="210">
                  <c:v>0.55999999999999994</c:v>
                </c:pt>
                <c:pt idx="211">
                  <c:v>0.53999999999999992</c:v>
                </c:pt>
                <c:pt idx="212">
                  <c:v>0.57999999999999996</c:v>
                </c:pt>
                <c:pt idx="213">
                  <c:v>0.57999999999999996</c:v>
                </c:pt>
                <c:pt idx="214">
                  <c:v>0.57999999999999996</c:v>
                </c:pt>
                <c:pt idx="215">
                  <c:v>0.57999999999999996</c:v>
                </c:pt>
                <c:pt idx="216">
                  <c:v>0.56999999999999995</c:v>
                </c:pt>
                <c:pt idx="217">
                  <c:v>0.53999999999999992</c:v>
                </c:pt>
                <c:pt idx="218">
                  <c:v>0.49999999999999989</c:v>
                </c:pt>
                <c:pt idx="219">
                  <c:v>0.49999999999999989</c:v>
                </c:pt>
                <c:pt idx="220">
                  <c:v>0.48999999999999988</c:v>
                </c:pt>
                <c:pt idx="221">
                  <c:v>0.47999999999999987</c:v>
                </c:pt>
                <c:pt idx="222">
                  <c:v>0.48</c:v>
                </c:pt>
                <c:pt idx="223">
                  <c:v>0.45999999999999996</c:v>
                </c:pt>
                <c:pt idx="224">
                  <c:v>0.48</c:v>
                </c:pt>
                <c:pt idx="225">
                  <c:v>0.60999999999999988</c:v>
                </c:pt>
                <c:pt idx="226">
                  <c:v>0.52</c:v>
                </c:pt>
                <c:pt idx="227">
                  <c:v>0.52</c:v>
                </c:pt>
                <c:pt idx="228">
                  <c:v>0.56000000000000005</c:v>
                </c:pt>
                <c:pt idx="229">
                  <c:v>0.54999999999999982</c:v>
                </c:pt>
                <c:pt idx="230">
                  <c:v>0.57000000000000006</c:v>
                </c:pt>
                <c:pt idx="231">
                  <c:v>0.57999999999999996</c:v>
                </c:pt>
                <c:pt idx="232">
                  <c:v>0.57999999999999996</c:v>
                </c:pt>
                <c:pt idx="233">
                  <c:v>0.63</c:v>
                </c:pt>
                <c:pt idx="234">
                  <c:v>0.6</c:v>
                </c:pt>
                <c:pt idx="235">
                  <c:v>0.59</c:v>
                </c:pt>
                <c:pt idx="236">
                  <c:v>0.56999999999999984</c:v>
                </c:pt>
                <c:pt idx="237">
                  <c:v>0.57999999999999985</c:v>
                </c:pt>
                <c:pt idx="238">
                  <c:v>0.64999999999999991</c:v>
                </c:pt>
                <c:pt idx="239">
                  <c:v>0.65</c:v>
                </c:pt>
                <c:pt idx="240">
                  <c:v>0.64</c:v>
                </c:pt>
                <c:pt idx="241">
                  <c:v>0.63</c:v>
                </c:pt>
                <c:pt idx="242">
                  <c:v>0.59</c:v>
                </c:pt>
                <c:pt idx="243">
                  <c:v>0.6</c:v>
                </c:pt>
                <c:pt idx="244">
                  <c:v>0.56000000000000005</c:v>
                </c:pt>
                <c:pt idx="245">
                  <c:v>0.56000000000000005</c:v>
                </c:pt>
                <c:pt idx="246">
                  <c:v>0.55000000000000004</c:v>
                </c:pt>
                <c:pt idx="247">
                  <c:v>0.51</c:v>
                </c:pt>
                <c:pt idx="248">
                  <c:v>0.52</c:v>
                </c:pt>
                <c:pt idx="249">
                  <c:v>0.45000000000000007</c:v>
                </c:pt>
                <c:pt idx="250">
                  <c:v>0.47999999999999987</c:v>
                </c:pt>
                <c:pt idx="251">
                  <c:v>0.47999999999999987</c:v>
                </c:pt>
                <c:pt idx="252">
                  <c:v>0.5099999999999999</c:v>
                </c:pt>
                <c:pt idx="253">
                  <c:v>0.51999999999999991</c:v>
                </c:pt>
                <c:pt idx="254">
                  <c:v>0.51999999999999991</c:v>
                </c:pt>
                <c:pt idx="255">
                  <c:v>0.46000000000000008</c:v>
                </c:pt>
                <c:pt idx="256">
                  <c:v>0.46999999999999986</c:v>
                </c:pt>
                <c:pt idx="257">
                  <c:v>0.45999999999999985</c:v>
                </c:pt>
                <c:pt idx="258">
                  <c:v>0.46999999999999986</c:v>
                </c:pt>
                <c:pt idx="259">
                  <c:v>0.43999999999999995</c:v>
                </c:pt>
                <c:pt idx="260">
                  <c:v>0.42999999999999994</c:v>
                </c:pt>
                <c:pt idx="261">
                  <c:v>0.46000000000000008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Informe5!$AR$5</c:f>
              <c:strCache>
                <c:ptCount val="1"/>
                <c:pt idx="0">
                  <c:v>5s/10s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Informe5!$AE$6:$AE$267</c:f>
              <c:numCache>
                <c:formatCode>m/d/yyyy</c:formatCode>
                <c:ptCount val="262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42618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  <c:pt idx="66">
                  <c:v>42578</c:v>
                </c:pt>
                <c:pt idx="67">
                  <c:v>42577</c:v>
                </c:pt>
                <c:pt idx="68">
                  <c:v>42576</c:v>
                </c:pt>
                <c:pt idx="69">
                  <c:v>42573</c:v>
                </c:pt>
                <c:pt idx="70">
                  <c:v>42572</c:v>
                </c:pt>
                <c:pt idx="71">
                  <c:v>42571</c:v>
                </c:pt>
                <c:pt idx="72">
                  <c:v>42570</c:v>
                </c:pt>
                <c:pt idx="73">
                  <c:v>42569</c:v>
                </c:pt>
                <c:pt idx="74">
                  <c:v>42566</c:v>
                </c:pt>
                <c:pt idx="75">
                  <c:v>42565</c:v>
                </c:pt>
                <c:pt idx="76">
                  <c:v>42564</c:v>
                </c:pt>
                <c:pt idx="77">
                  <c:v>42563</c:v>
                </c:pt>
                <c:pt idx="78">
                  <c:v>42562</c:v>
                </c:pt>
                <c:pt idx="79">
                  <c:v>42559</c:v>
                </c:pt>
                <c:pt idx="80">
                  <c:v>42558</c:v>
                </c:pt>
                <c:pt idx="81">
                  <c:v>42557</c:v>
                </c:pt>
                <c:pt idx="82">
                  <c:v>42556</c:v>
                </c:pt>
                <c:pt idx="83">
                  <c:v>42555</c:v>
                </c:pt>
                <c:pt idx="84">
                  <c:v>42552</c:v>
                </c:pt>
                <c:pt idx="85">
                  <c:v>42551</c:v>
                </c:pt>
                <c:pt idx="86">
                  <c:v>42550</c:v>
                </c:pt>
                <c:pt idx="87">
                  <c:v>42549</c:v>
                </c:pt>
                <c:pt idx="88">
                  <c:v>42548</c:v>
                </c:pt>
                <c:pt idx="89">
                  <c:v>42545</c:v>
                </c:pt>
                <c:pt idx="90">
                  <c:v>42544</c:v>
                </c:pt>
                <c:pt idx="91">
                  <c:v>42543</c:v>
                </c:pt>
                <c:pt idx="92">
                  <c:v>42542</c:v>
                </c:pt>
                <c:pt idx="93">
                  <c:v>42541</c:v>
                </c:pt>
                <c:pt idx="94">
                  <c:v>42538</c:v>
                </c:pt>
                <c:pt idx="95">
                  <c:v>42537</c:v>
                </c:pt>
                <c:pt idx="96">
                  <c:v>42536</c:v>
                </c:pt>
                <c:pt idx="97">
                  <c:v>42535</c:v>
                </c:pt>
                <c:pt idx="98">
                  <c:v>42534</c:v>
                </c:pt>
                <c:pt idx="99">
                  <c:v>42531</c:v>
                </c:pt>
                <c:pt idx="100">
                  <c:v>42530</c:v>
                </c:pt>
                <c:pt idx="101">
                  <c:v>42529</c:v>
                </c:pt>
                <c:pt idx="102">
                  <c:v>42528</c:v>
                </c:pt>
                <c:pt idx="103">
                  <c:v>42527</c:v>
                </c:pt>
                <c:pt idx="104">
                  <c:v>42524</c:v>
                </c:pt>
                <c:pt idx="105">
                  <c:v>42523</c:v>
                </c:pt>
                <c:pt idx="106">
                  <c:v>42522</c:v>
                </c:pt>
                <c:pt idx="107">
                  <c:v>42521</c:v>
                </c:pt>
                <c:pt idx="108">
                  <c:v>42520</c:v>
                </c:pt>
                <c:pt idx="109">
                  <c:v>42517</c:v>
                </c:pt>
                <c:pt idx="110">
                  <c:v>42516</c:v>
                </c:pt>
                <c:pt idx="111">
                  <c:v>42515</c:v>
                </c:pt>
                <c:pt idx="112">
                  <c:v>42514</c:v>
                </c:pt>
                <c:pt idx="113">
                  <c:v>42513</c:v>
                </c:pt>
                <c:pt idx="114">
                  <c:v>42510</c:v>
                </c:pt>
                <c:pt idx="115">
                  <c:v>42509</c:v>
                </c:pt>
                <c:pt idx="116">
                  <c:v>42508</c:v>
                </c:pt>
                <c:pt idx="117">
                  <c:v>42507</c:v>
                </c:pt>
                <c:pt idx="118">
                  <c:v>42506</c:v>
                </c:pt>
                <c:pt idx="119">
                  <c:v>42503</c:v>
                </c:pt>
                <c:pt idx="120">
                  <c:v>42502</c:v>
                </c:pt>
                <c:pt idx="121">
                  <c:v>42501</c:v>
                </c:pt>
                <c:pt idx="122">
                  <c:v>42500</c:v>
                </c:pt>
                <c:pt idx="123">
                  <c:v>42499</c:v>
                </c:pt>
                <c:pt idx="124">
                  <c:v>42496</c:v>
                </c:pt>
                <c:pt idx="125">
                  <c:v>42495</c:v>
                </c:pt>
                <c:pt idx="126">
                  <c:v>42494</c:v>
                </c:pt>
                <c:pt idx="127">
                  <c:v>42493</c:v>
                </c:pt>
                <c:pt idx="128">
                  <c:v>42492</c:v>
                </c:pt>
                <c:pt idx="129">
                  <c:v>42489</c:v>
                </c:pt>
                <c:pt idx="130">
                  <c:v>42488</c:v>
                </c:pt>
                <c:pt idx="131">
                  <c:v>42487</c:v>
                </c:pt>
                <c:pt idx="132">
                  <c:v>42486</c:v>
                </c:pt>
                <c:pt idx="133">
                  <c:v>42485</c:v>
                </c:pt>
                <c:pt idx="134">
                  <c:v>42482</c:v>
                </c:pt>
                <c:pt idx="135">
                  <c:v>42481</c:v>
                </c:pt>
                <c:pt idx="136">
                  <c:v>42480</c:v>
                </c:pt>
                <c:pt idx="137">
                  <c:v>42479</c:v>
                </c:pt>
                <c:pt idx="138">
                  <c:v>42478</c:v>
                </c:pt>
                <c:pt idx="139">
                  <c:v>42475</c:v>
                </c:pt>
                <c:pt idx="140">
                  <c:v>42474</c:v>
                </c:pt>
                <c:pt idx="141">
                  <c:v>42473</c:v>
                </c:pt>
                <c:pt idx="142">
                  <c:v>42472</c:v>
                </c:pt>
                <c:pt idx="143">
                  <c:v>42471</c:v>
                </c:pt>
                <c:pt idx="144">
                  <c:v>42468</c:v>
                </c:pt>
                <c:pt idx="145">
                  <c:v>42467</c:v>
                </c:pt>
                <c:pt idx="146">
                  <c:v>42466</c:v>
                </c:pt>
                <c:pt idx="147">
                  <c:v>42465</c:v>
                </c:pt>
                <c:pt idx="148">
                  <c:v>42464</c:v>
                </c:pt>
                <c:pt idx="149">
                  <c:v>42461</c:v>
                </c:pt>
                <c:pt idx="150">
                  <c:v>42460</c:v>
                </c:pt>
                <c:pt idx="151">
                  <c:v>42459</c:v>
                </c:pt>
                <c:pt idx="152">
                  <c:v>42458</c:v>
                </c:pt>
                <c:pt idx="153">
                  <c:v>42457</c:v>
                </c:pt>
                <c:pt idx="154">
                  <c:v>42454</c:v>
                </c:pt>
                <c:pt idx="155">
                  <c:v>42453</c:v>
                </c:pt>
                <c:pt idx="156">
                  <c:v>42452</c:v>
                </c:pt>
                <c:pt idx="157">
                  <c:v>42451</c:v>
                </c:pt>
                <c:pt idx="158">
                  <c:v>42450</c:v>
                </c:pt>
                <c:pt idx="159">
                  <c:v>42447</c:v>
                </c:pt>
                <c:pt idx="160">
                  <c:v>42446</c:v>
                </c:pt>
                <c:pt idx="161">
                  <c:v>42445</c:v>
                </c:pt>
                <c:pt idx="162">
                  <c:v>42444</c:v>
                </c:pt>
                <c:pt idx="163">
                  <c:v>42443</c:v>
                </c:pt>
                <c:pt idx="164">
                  <c:v>42440</c:v>
                </c:pt>
                <c:pt idx="165">
                  <c:v>42439</c:v>
                </c:pt>
                <c:pt idx="166">
                  <c:v>42438</c:v>
                </c:pt>
                <c:pt idx="167">
                  <c:v>42437</c:v>
                </c:pt>
                <c:pt idx="168">
                  <c:v>42436</c:v>
                </c:pt>
                <c:pt idx="169">
                  <c:v>42433</c:v>
                </c:pt>
                <c:pt idx="170">
                  <c:v>42432</c:v>
                </c:pt>
                <c:pt idx="171">
                  <c:v>42431</c:v>
                </c:pt>
                <c:pt idx="172">
                  <c:v>42430</c:v>
                </c:pt>
                <c:pt idx="173">
                  <c:v>42429</c:v>
                </c:pt>
                <c:pt idx="174">
                  <c:v>42426</c:v>
                </c:pt>
                <c:pt idx="175">
                  <c:v>42425</c:v>
                </c:pt>
                <c:pt idx="176">
                  <c:v>42424</c:v>
                </c:pt>
                <c:pt idx="177">
                  <c:v>42423</c:v>
                </c:pt>
                <c:pt idx="178">
                  <c:v>42422</c:v>
                </c:pt>
                <c:pt idx="179">
                  <c:v>42419</c:v>
                </c:pt>
                <c:pt idx="180">
                  <c:v>42418</c:v>
                </c:pt>
                <c:pt idx="181">
                  <c:v>42417</c:v>
                </c:pt>
                <c:pt idx="182">
                  <c:v>42416</c:v>
                </c:pt>
                <c:pt idx="183">
                  <c:v>42415</c:v>
                </c:pt>
                <c:pt idx="184">
                  <c:v>42412</c:v>
                </c:pt>
                <c:pt idx="185">
                  <c:v>42411</c:v>
                </c:pt>
                <c:pt idx="186">
                  <c:v>42410</c:v>
                </c:pt>
                <c:pt idx="187">
                  <c:v>42409</c:v>
                </c:pt>
                <c:pt idx="188">
                  <c:v>42408</c:v>
                </c:pt>
                <c:pt idx="189">
                  <c:v>42405</c:v>
                </c:pt>
                <c:pt idx="190">
                  <c:v>42404</c:v>
                </c:pt>
                <c:pt idx="191">
                  <c:v>42403</c:v>
                </c:pt>
                <c:pt idx="192">
                  <c:v>42402</c:v>
                </c:pt>
                <c:pt idx="193">
                  <c:v>42401</c:v>
                </c:pt>
                <c:pt idx="194">
                  <c:v>42398</c:v>
                </c:pt>
                <c:pt idx="195">
                  <c:v>42397</c:v>
                </c:pt>
                <c:pt idx="196">
                  <c:v>42396</c:v>
                </c:pt>
                <c:pt idx="197">
                  <c:v>42395</c:v>
                </c:pt>
                <c:pt idx="198">
                  <c:v>42394</c:v>
                </c:pt>
                <c:pt idx="199">
                  <c:v>42391</c:v>
                </c:pt>
                <c:pt idx="200">
                  <c:v>42390</c:v>
                </c:pt>
                <c:pt idx="201">
                  <c:v>42389</c:v>
                </c:pt>
                <c:pt idx="202">
                  <c:v>42388</c:v>
                </c:pt>
                <c:pt idx="203">
                  <c:v>42387</c:v>
                </c:pt>
                <c:pt idx="204">
                  <c:v>42384</c:v>
                </c:pt>
                <c:pt idx="205">
                  <c:v>42383</c:v>
                </c:pt>
                <c:pt idx="206">
                  <c:v>42382</c:v>
                </c:pt>
                <c:pt idx="207">
                  <c:v>42381</c:v>
                </c:pt>
                <c:pt idx="208">
                  <c:v>42380</c:v>
                </c:pt>
                <c:pt idx="209">
                  <c:v>42377</c:v>
                </c:pt>
                <c:pt idx="210">
                  <c:v>42376</c:v>
                </c:pt>
                <c:pt idx="211">
                  <c:v>42375</c:v>
                </c:pt>
                <c:pt idx="212">
                  <c:v>42374</c:v>
                </c:pt>
                <c:pt idx="213">
                  <c:v>42373</c:v>
                </c:pt>
                <c:pt idx="214">
                  <c:v>42370</c:v>
                </c:pt>
                <c:pt idx="215">
                  <c:v>42369</c:v>
                </c:pt>
                <c:pt idx="216">
                  <c:v>42368</c:v>
                </c:pt>
                <c:pt idx="217">
                  <c:v>42367</c:v>
                </c:pt>
                <c:pt idx="218">
                  <c:v>42366</c:v>
                </c:pt>
                <c:pt idx="219">
                  <c:v>42363</c:v>
                </c:pt>
                <c:pt idx="220">
                  <c:v>42362</c:v>
                </c:pt>
                <c:pt idx="221">
                  <c:v>42361</c:v>
                </c:pt>
                <c:pt idx="222">
                  <c:v>42360</c:v>
                </c:pt>
                <c:pt idx="223">
                  <c:v>42359</c:v>
                </c:pt>
                <c:pt idx="224">
                  <c:v>42356</c:v>
                </c:pt>
                <c:pt idx="225">
                  <c:v>42355</c:v>
                </c:pt>
                <c:pt idx="226">
                  <c:v>42354</c:v>
                </c:pt>
                <c:pt idx="227">
                  <c:v>42353</c:v>
                </c:pt>
                <c:pt idx="228">
                  <c:v>42352</c:v>
                </c:pt>
                <c:pt idx="229">
                  <c:v>42349</c:v>
                </c:pt>
                <c:pt idx="230">
                  <c:v>42348</c:v>
                </c:pt>
                <c:pt idx="231">
                  <c:v>42347</c:v>
                </c:pt>
                <c:pt idx="232">
                  <c:v>42346</c:v>
                </c:pt>
                <c:pt idx="233">
                  <c:v>42345</c:v>
                </c:pt>
                <c:pt idx="234">
                  <c:v>42342</c:v>
                </c:pt>
                <c:pt idx="235">
                  <c:v>42341</c:v>
                </c:pt>
                <c:pt idx="236">
                  <c:v>42340</c:v>
                </c:pt>
                <c:pt idx="237">
                  <c:v>42339</c:v>
                </c:pt>
                <c:pt idx="238">
                  <c:v>42338</c:v>
                </c:pt>
                <c:pt idx="239">
                  <c:v>42335</c:v>
                </c:pt>
                <c:pt idx="240">
                  <c:v>42334</c:v>
                </c:pt>
                <c:pt idx="241">
                  <c:v>42333</c:v>
                </c:pt>
                <c:pt idx="242">
                  <c:v>42332</c:v>
                </c:pt>
                <c:pt idx="243">
                  <c:v>42331</c:v>
                </c:pt>
                <c:pt idx="244">
                  <c:v>42328</c:v>
                </c:pt>
                <c:pt idx="245">
                  <c:v>42327</c:v>
                </c:pt>
                <c:pt idx="246">
                  <c:v>42326</c:v>
                </c:pt>
                <c:pt idx="247">
                  <c:v>42325</c:v>
                </c:pt>
                <c:pt idx="248">
                  <c:v>42324</c:v>
                </c:pt>
                <c:pt idx="249">
                  <c:v>42321</c:v>
                </c:pt>
                <c:pt idx="250">
                  <c:v>42320</c:v>
                </c:pt>
                <c:pt idx="251">
                  <c:v>42319</c:v>
                </c:pt>
                <c:pt idx="252">
                  <c:v>42318</c:v>
                </c:pt>
                <c:pt idx="253">
                  <c:v>42317</c:v>
                </c:pt>
                <c:pt idx="254">
                  <c:v>42314</c:v>
                </c:pt>
                <c:pt idx="255">
                  <c:v>42313</c:v>
                </c:pt>
                <c:pt idx="256">
                  <c:v>42312</c:v>
                </c:pt>
                <c:pt idx="257">
                  <c:v>42311</c:v>
                </c:pt>
                <c:pt idx="258">
                  <c:v>42310</c:v>
                </c:pt>
                <c:pt idx="259">
                  <c:v>42307</c:v>
                </c:pt>
                <c:pt idx="260">
                  <c:v>42306</c:v>
                </c:pt>
                <c:pt idx="261">
                  <c:v>42305</c:v>
                </c:pt>
              </c:numCache>
            </c:numRef>
          </c:xVal>
          <c:yVal>
            <c:numRef>
              <c:f>Informe5!$AR$6:$AR$267</c:f>
              <c:numCache>
                <c:formatCode>General</c:formatCode>
                <c:ptCount val="262"/>
                <c:pt idx="0">
                  <c:v>0.37999999999999989</c:v>
                </c:pt>
                <c:pt idx="1">
                  <c:v>0.3899999999999999</c:v>
                </c:pt>
                <c:pt idx="2">
                  <c:v>0.39000000000000012</c:v>
                </c:pt>
                <c:pt idx="3">
                  <c:v>0.3899999999999999</c:v>
                </c:pt>
                <c:pt idx="4">
                  <c:v>0.39999999999999991</c:v>
                </c:pt>
                <c:pt idx="5">
                  <c:v>0.39999999999999991</c:v>
                </c:pt>
                <c:pt idx="6">
                  <c:v>0.40999999999999992</c:v>
                </c:pt>
                <c:pt idx="7">
                  <c:v>0.39999999999999991</c:v>
                </c:pt>
                <c:pt idx="8">
                  <c:v>0.3899999999999999</c:v>
                </c:pt>
                <c:pt idx="9">
                  <c:v>0.3899999999999999</c:v>
                </c:pt>
                <c:pt idx="10">
                  <c:v>0.37999999999999989</c:v>
                </c:pt>
                <c:pt idx="11">
                  <c:v>0.36999999999999988</c:v>
                </c:pt>
                <c:pt idx="12">
                  <c:v>0.35999999999999988</c:v>
                </c:pt>
                <c:pt idx="13">
                  <c:v>0.35999999999999988</c:v>
                </c:pt>
                <c:pt idx="14">
                  <c:v>0.36999999999999988</c:v>
                </c:pt>
                <c:pt idx="15">
                  <c:v>0.36999999999999988</c:v>
                </c:pt>
                <c:pt idx="16">
                  <c:v>0.3899999999999999</c:v>
                </c:pt>
                <c:pt idx="17">
                  <c:v>0.36999999999999988</c:v>
                </c:pt>
                <c:pt idx="18">
                  <c:v>0.3899999999999999</c:v>
                </c:pt>
                <c:pt idx="19">
                  <c:v>0.39999999999999991</c:v>
                </c:pt>
                <c:pt idx="20">
                  <c:v>0.35000000000000009</c:v>
                </c:pt>
                <c:pt idx="21">
                  <c:v>0.38000000000000012</c:v>
                </c:pt>
                <c:pt idx="22">
                  <c:v>0.34000000000000008</c:v>
                </c:pt>
                <c:pt idx="23">
                  <c:v>0.33000000000000007</c:v>
                </c:pt>
                <c:pt idx="24">
                  <c:v>0.35999999999999988</c:v>
                </c:pt>
                <c:pt idx="25">
                  <c:v>0.33999999999999997</c:v>
                </c:pt>
                <c:pt idx="26">
                  <c:v>0.35</c:v>
                </c:pt>
                <c:pt idx="27">
                  <c:v>0.31999999999999995</c:v>
                </c:pt>
                <c:pt idx="28">
                  <c:v>0.31999999999999995</c:v>
                </c:pt>
                <c:pt idx="29">
                  <c:v>0.29999999999999993</c:v>
                </c:pt>
                <c:pt idx="30">
                  <c:v>0.30000000000000004</c:v>
                </c:pt>
                <c:pt idx="31">
                  <c:v>0.28000000000000003</c:v>
                </c:pt>
                <c:pt idx="32">
                  <c:v>0.30000000000000004</c:v>
                </c:pt>
                <c:pt idx="33">
                  <c:v>0.28999999999999992</c:v>
                </c:pt>
                <c:pt idx="34">
                  <c:v>0.27999999999999992</c:v>
                </c:pt>
                <c:pt idx="35">
                  <c:v>0.26999999999999991</c:v>
                </c:pt>
                <c:pt idx="36">
                  <c:v>0.27999999999999992</c:v>
                </c:pt>
                <c:pt idx="37">
                  <c:v>0.30999999999999994</c:v>
                </c:pt>
                <c:pt idx="38">
                  <c:v>0.29999999999999993</c:v>
                </c:pt>
                <c:pt idx="39">
                  <c:v>0.29000000000000004</c:v>
                </c:pt>
                <c:pt idx="40">
                  <c:v>0.31000000000000005</c:v>
                </c:pt>
                <c:pt idx="41">
                  <c:v>0.31000000000000005</c:v>
                </c:pt>
                <c:pt idx="42">
                  <c:v>0.31000000000000005</c:v>
                </c:pt>
                <c:pt idx="43">
                  <c:v>0.31000000000000005</c:v>
                </c:pt>
                <c:pt idx="44">
                  <c:v>0.32000000000000006</c:v>
                </c:pt>
                <c:pt idx="45">
                  <c:v>0.30000000000000004</c:v>
                </c:pt>
                <c:pt idx="46">
                  <c:v>0.30000000000000004</c:v>
                </c:pt>
                <c:pt idx="47">
                  <c:v>0.30000000000000004</c:v>
                </c:pt>
                <c:pt idx="48">
                  <c:v>0.30000000000000004</c:v>
                </c:pt>
                <c:pt idx="49">
                  <c:v>0.31000000000000005</c:v>
                </c:pt>
                <c:pt idx="50">
                  <c:v>0.30000000000000004</c:v>
                </c:pt>
                <c:pt idx="51">
                  <c:v>0.29999999999999993</c:v>
                </c:pt>
                <c:pt idx="52">
                  <c:v>0.29999999999999993</c:v>
                </c:pt>
                <c:pt idx="53">
                  <c:v>0.29999999999999993</c:v>
                </c:pt>
                <c:pt idx="54">
                  <c:v>0.29999999999999993</c:v>
                </c:pt>
                <c:pt idx="55">
                  <c:v>0.27999999999999992</c:v>
                </c:pt>
                <c:pt idx="56">
                  <c:v>0.27</c:v>
                </c:pt>
                <c:pt idx="57">
                  <c:v>0.29000000000000004</c:v>
                </c:pt>
                <c:pt idx="58">
                  <c:v>0.31000000000000005</c:v>
                </c:pt>
                <c:pt idx="59">
                  <c:v>0.28000000000000003</c:v>
                </c:pt>
                <c:pt idx="60">
                  <c:v>0.29000000000000004</c:v>
                </c:pt>
                <c:pt idx="61">
                  <c:v>0.31000000000000005</c:v>
                </c:pt>
                <c:pt idx="62">
                  <c:v>0.2799999999999998</c:v>
                </c:pt>
                <c:pt idx="63">
                  <c:v>0.26</c:v>
                </c:pt>
                <c:pt idx="64">
                  <c:v>0.26</c:v>
                </c:pt>
                <c:pt idx="65">
                  <c:v>0.27</c:v>
                </c:pt>
                <c:pt idx="66">
                  <c:v>0.29000000000000004</c:v>
                </c:pt>
                <c:pt idx="67">
                  <c:v>0.33999999999999986</c:v>
                </c:pt>
                <c:pt idx="68">
                  <c:v>0.35999999999999988</c:v>
                </c:pt>
                <c:pt idx="69">
                  <c:v>0.35999999999999988</c:v>
                </c:pt>
                <c:pt idx="70">
                  <c:v>0.37999999999999989</c:v>
                </c:pt>
                <c:pt idx="71">
                  <c:v>0.34999999999999987</c:v>
                </c:pt>
                <c:pt idx="72">
                  <c:v>0.36999999999999988</c:v>
                </c:pt>
                <c:pt idx="73">
                  <c:v>0.37999999999999989</c:v>
                </c:pt>
                <c:pt idx="74">
                  <c:v>0.31999999999999984</c:v>
                </c:pt>
                <c:pt idx="75">
                  <c:v>0.33000000000000007</c:v>
                </c:pt>
                <c:pt idx="76">
                  <c:v>0.34000000000000008</c:v>
                </c:pt>
                <c:pt idx="77">
                  <c:v>0.31999999999999984</c:v>
                </c:pt>
                <c:pt idx="78">
                  <c:v>0.30000000000000004</c:v>
                </c:pt>
                <c:pt idx="79">
                  <c:v>0.30000000000000004</c:v>
                </c:pt>
                <c:pt idx="80">
                  <c:v>0.29000000000000004</c:v>
                </c:pt>
                <c:pt idx="81">
                  <c:v>0.31000000000000005</c:v>
                </c:pt>
                <c:pt idx="82">
                  <c:v>0.32000000000000006</c:v>
                </c:pt>
                <c:pt idx="83">
                  <c:v>0.33000000000000007</c:v>
                </c:pt>
                <c:pt idx="84">
                  <c:v>0.33999999999999986</c:v>
                </c:pt>
                <c:pt idx="85">
                  <c:v>0.36999999999999988</c:v>
                </c:pt>
                <c:pt idx="86">
                  <c:v>0.36999999999999988</c:v>
                </c:pt>
                <c:pt idx="87">
                  <c:v>0.37999999999999989</c:v>
                </c:pt>
                <c:pt idx="88">
                  <c:v>0.37999999999999989</c:v>
                </c:pt>
                <c:pt idx="89">
                  <c:v>0.37000000000000011</c:v>
                </c:pt>
                <c:pt idx="90">
                  <c:v>0.37999999999999989</c:v>
                </c:pt>
                <c:pt idx="91">
                  <c:v>0.40999999999999992</c:v>
                </c:pt>
                <c:pt idx="92">
                  <c:v>0.41000000000000014</c:v>
                </c:pt>
                <c:pt idx="93">
                  <c:v>0.44999999999999996</c:v>
                </c:pt>
                <c:pt idx="94">
                  <c:v>0.44999999999999996</c:v>
                </c:pt>
                <c:pt idx="95">
                  <c:v>0.44999999999999973</c:v>
                </c:pt>
                <c:pt idx="96">
                  <c:v>0.44999999999999973</c:v>
                </c:pt>
                <c:pt idx="97">
                  <c:v>0.42999999999999972</c:v>
                </c:pt>
                <c:pt idx="98">
                  <c:v>0.40000000000000013</c:v>
                </c:pt>
                <c:pt idx="99">
                  <c:v>0.40999999999999992</c:v>
                </c:pt>
                <c:pt idx="100">
                  <c:v>0.41999999999999993</c:v>
                </c:pt>
                <c:pt idx="101">
                  <c:v>0.40000000000000013</c:v>
                </c:pt>
                <c:pt idx="102">
                  <c:v>0.39000000000000012</c:v>
                </c:pt>
                <c:pt idx="103">
                  <c:v>0.40999999999999992</c:v>
                </c:pt>
                <c:pt idx="104">
                  <c:v>0.41000000000000014</c:v>
                </c:pt>
                <c:pt idx="105">
                  <c:v>0.39999999999999991</c:v>
                </c:pt>
                <c:pt idx="106">
                  <c:v>0.39000000000000012</c:v>
                </c:pt>
                <c:pt idx="107">
                  <c:v>0.39000000000000012</c:v>
                </c:pt>
                <c:pt idx="108">
                  <c:v>0.37000000000000011</c:v>
                </c:pt>
                <c:pt idx="109">
                  <c:v>0.35000000000000009</c:v>
                </c:pt>
                <c:pt idx="110">
                  <c:v>0.34000000000000008</c:v>
                </c:pt>
                <c:pt idx="111">
                  <c:v>0.3600000000000001</c:v>
                </c:pt>
                <c:pt idx="112">
                  <c:v>0.33000000000000007</c:v>
                </c:pt>
                <c:pt idx="113">
                  <c:v>0.31000000000000005</c:v>
                </c:pt>
                <c:pt idx="114">
                  <c:v>0.35000000000000009</c:v>
                </c:pt>
                <c:pt idx="115">
                  <c:v>0.34000000000000008</c:v>
                </c:pt>
                <c:pt idx="116">
                  <c:v>0.35000000000000009</c:v>
                </c:pt>
                <c:pt idx="117">
                  <c:v>0.3600000000000001</c:v>
                </c:pt>
                <c:pt idx="118">
                  <c:v>0.34000000000000008</c:v>
                </c:pt>
                <c:pt idx="119">
                  <c:v>0.34000000000000008</c:v>
                </c:pt>
                <c:pt idx="120">
                  <c:v>0.34000000000000008</c:v>
                </c:pt>
                <c:pt idx="121">
                  <c:v>0.33000000000000007</c:v>
                </c:pt>
                <c:pt idx="122">
                  <c:v>0.34999999999999987</c:v>
                </c:pt>
                <c:pt idx="123">
                  <c:v>0.34000000000000008</c:v>
                </c:pt>
                <c:pt idx="124">
                  <c:v>0.35000000000000009</c:v>
                </c:pt>
                <c:pt idx="125">
                  <c:v>0.33000000000000007</c:v>
                </c:pt>
                <c:pt idx="126">
                  <c:v>0.33000000000000007</c:v>
                </c:pt>
                <c:pt idx="127">
                  <c:v>0.33000000000000007</c:v>
                </c:pt>
                <c:pt idx="128">
                  <c:v>0.32000000000000006</c:v>
                </c:pt>
                <c:pt idx="129">
                  <c:v>0.31000000000000005</c:v>
                </c:pt>
                <c:pt idx="130">
                  <c:v>0.30000000000000004</c:v>
                </c:pt>
                <c:pt idx="131">
                  <c:v>0.30999999999999983</c:v>
                </c:pt>
                <c:pt idx="132">
                  <c:v>0.30000000000000004</c:v>
                </c:pt>
                <c:pt idx="133">
                  <c:v>0.31000000000000005</c:v>
                </c:pt>
                <c:pt idx="134">
                  <c:v>0.29000000000000004</c:v>
                </c:pt>
                <c:pt idx="135">
                  <c:v>0.29000000000000004</c:v>
                </c:pt>
                <c:pt idx="136">
                  <c:v>0.27</c:v>
                </c:pt>
                <c:pt idx="137">
                  <c:v>0.26</c:v>
                </c:pt>
                <c:pt idx="138">
                  <c:v>0.2699999999999998</c:v>
                </c:pt>
                <c:pt idx="139">
                  <c:v>0.25</c:v>
                </c:pt>
                <c:pt idx="140">
                  <c:v>0.31000000000000005</c:v>
                </c:pt>
                <c:pt idx="141">
                  <c:v>0.27</c:v>
                </c:pt>
                <c:pt idx="142">
                  <c:v>0.28000000000000003</c:v>
                </c:pt>
                <c:pt idx="143">
                  <c:v>0.29000000000000004</c:v>
                </c:pt>
                <c:pt idx="144">
                  <c:v>0.2799999999999998</c:v>
                </c:pt>
                <c:pt idx="145">
                  <c:v>0.29999999999999982</c:v>
                </c:pt>
                <c:pt idx="146">
                  <c:v>0.30000000000000004</c:v>
                </c:pt>
                <c:pt idx="147">
                  <c:v>0.30000000000000004</c:v>
                </c:pt>
                <c:pt idx="148">
                  <c:v>0.32000000000000006</c:v>
                </c:pt>
                <c:pt idx="149">
                  <c:v>0.31000000000000005</c:v>
                </c:pt>
                <c:pt idx="150">
                  <c:v>0.30000000000000004</c:v>
                </c:pt>
                <c:pt idx="151">
                  <c:v>0.28000000000000003</c:v>
                </c:pt>
                <c:pt idx="152">
                  <c:v>0.30000000000000004</c:v>
                </c:pt>
                <c:pt idx="153">
                  <c:v>0.31000000000000005</c:v>
                </c:pt>
                <c:pt idx="154">
                  <c:v>0.31000000000000005</c:v>
                </c:pt>
                <c:pt idx="155">
                  <c:v>0.31000000000000005</c:v>
                </c:pt>
                <c:pt idx="156">
                  <c:v>0.29000000000000004</c:v>
                </c:pt>
                <c:pt idx="157">
                  <c:v>0.29000000000000004</c:v>
                </c:pt>
                <c:pt idx="158">
                  <c:v>0.2799999999999998</c:v>
                </c:pt>
                <c:pt idx="159">
                  <c:v>0.2799999999999998</c:v>
                </c:pt>
                <c:pt idx="160">
                  <c:v>0.29000000000000004</c:v>
                </c:pt>
                <c:pt idx="161">
                  <c:v>0.30000000000000004</c:v>
                </c:pt>
                <c:pt idx="162">
                  <c:v>0.30000000000000004</c:v>
                </c:pt>
                <c:pt idx="163">
                  <c:v>0.34000000000000008</c:v>
                </c:pt>
                <c:pt idx="164">
                  <c:v>0.34000000000000008</c:v>
                </c:pt>
                <c:pt idx="165">
                  <c:v>0.33000000000000007</c:v>
                </c:pt>
                <c:pt idx="166">
                  <c:v>0.32000000000000006</c:v>
                </c:pt>
                <c:pt idx="167">
                  <c:v>0.34000000000000008</c:v>
                </c:pt>
                <c:pt idx="168">
                  <c:v>0.32000000000000006</c:v>
                </c:pt>
                <c:pt idx="169">
                  <c:v>0.32000000000000006</c:v>
                </c:pt>
                <c:pt idx="170">
                  <c:v>0.33000000000000007</c:v>
                </c:pt>
                <c:pt idx="171">
                  <c:v>0.33000000000000007</c:v>
                </c:pt>
                <c:pt idx="172">
                  <c:v>0.33999999999999986</c:v>
                </c:pt>
                <c:pt idx="173">
                  <c:v>0.34999999999999987</c:v>
                </c:pt>
                <c:pt idx="174">
                  <c:v>0.32000000000000006</c:v>
                </c:pt>
                <c:pt idx="175">
                  <c:v>0.33000000000000007</c:v>
                </c:pt>
                <c:pt idx="176">
                  <c:v>0.34000000000000008</c:v>
                </c:pt>
                <c:pt idx="177">
                  <c:v>0.34000000000000008</c:v>
                </c:pt>
                <c:pt idx="178">
                  <c:v>0.35999999999999988</c:v>
                </c:pt>
                <c:pt idx="179">
                  <c:v>0.35000000000000009</c:v>
                </c:pt>
                <c:pt idx="180">
                  <c:v>0.35000000000000009</c:v>
                </c:pt>
                <c:pt idx="181">
                  <c:v>0.32999999999999985</c:v>
                </c:pt>
                <c:pt idx="182">
                  <c:v>0.33000000000000007</c:v>
                </c:pt>
                <c:pt idx="183">
                  <c:v>0.32999999999999985</c:v>
                </c:pt>
                <c:pt idx="184">
                  <c:v>0.27</c:v>
                </c:pt>
                <c:pt idx="185">
                  <c:v>0.29999999999999982</c:v>
                </c:pt>
                <c:pt idx="186">
                  <c:v>0.29999999999999982</c:v>
                </c:pt>
                <c:pt idx="187">
                  <c:v>0.29000000000000004</c:v>
                </c:pt>
                <c:pt idx="188">
                  <c:v>0.31999999999999984</c:v>
                </c:pt>
                <c:pt idx="189">
                  <c:v>0.31999999999999984</c:v>
                </c:pt>
                <c:pt idx="190">
                  <c:v>0.30999999999999983</c:v>
                </c:pt>
                <c:pt idx="191">
                  <c:v>0.33000000000000007</c:v>
                </c:pt>
                <c:pt idx="192">
                  <c:v>0.34000000000000008</c:v>
                </c:pt>
                <c:pt idx="193">
                  <c:v>0.34999999999999987</c:v>
                </c:pt>
                <c:pt idx="194">
                  <c:v>0.37000000000000011</c:v>
                </c:pt>
                <c:pt idx="195">
                  <c:v>0.37999999999999989</c:v>
                </c:pt>
                <c:pt idx="196">
                  <c:v>0.33999999999999986</c:v>
                </c:pt>
                <c:pt idx="197">
                  <c:v>0.32999999999999985</c:v>
                </c:pt>
                <c:pt idx="198">
                  <c:v>0.32000000000000006</c:v>
                </c:pt>
                <c:pt idx="199">
                  <c:v>0.33000000000000007</c:v>
                </c:pt>
                <c:pt idx="200">
                  <c:v>0.3600000000000001</c:v>
                </c:pt>
                <c:pt idx="201">
                  <c:v>0.33999999999999986</c:v>
                </c:pt>
                <c:pt idx="202">
                  <c:v>0.34000000000000008</c:v>
                </c:pt>
                <c:pt idx="203">
                  <c:v>0.35000000000000009</c:v>
                </c:pt>
                <c:pt idx="204">
                  <c:v>0.33000000000000007</c:v>
                </c:pt>
                <c:pt idx="205">
                  <c:v>0.31999999999999984</c:v>
                </c:pt>
                <c:pt idx="206">
                  <c:v>0.32000000000000006</c:v>
                </c:pt>
                <c:pt idx="207">
                  <c:v>0.33000000000000007</c:v>
                </c:pt>
                <c:pt idx="208">
                  <c:v>0.32000000000000006</c:v>
                </c:pt>
                <c:pt idx="209">
                  <c:v>0.32000000000000006</c:v>
                </c:pt>
                <c:pt idx="210">
                  <c:v>0.32000000000000006</c:v>
                </c:pt>
                <c:pt idx="211">
                  <c:v>0.31000000000000005</c:v>
                </c:pt>
                <c:pt idx="212">
                  <c:v>0.29000000000000004</c:v>
                </c:pt>
                <c:pt idx="213">
                  <c:v>0.27</c:v>
                </c:pt>
                <c:pt idx="214">
                  <c:v>0.27</c:v>
                </c:pt>
                <c:pt idx="215">
                  <c:v>0.27</c:v>
                </c:pt>
                <c:pt idx="216">
                  <c:v>0.25</c:v>
                </c:pt>
                <c:pt idx="217">
                  <c:v>0.28000000000000003</c:v>
                </c:pt>
                <c:pt idx="218">
                  <c:v>0.26</c:v>
                </c:pt>
                <c:pt idx="219">
                  <c:v>0.26</c:v>
                </c:pt>
                <c:pt idx="220">
                  <c:v>0.28000000000000025</c:v>
                </c:pt>
                <c:pt idx="221">
                  <c:v>0.28000000000000025</c:v>
                </c:pt>
                <c:pt idx="222">
                  <c:v>0.25</c:v>
                </c:pt>
                <c:pt idx="223">
                  <c:v>0.25000000000000022</c:v>
                </c:pt>
                <c:pt idx="224">
                  <c:v>0.2300000000000002</c:v>
                </c:pt>
                <c:pt idx="225">
                  <c:v>0.31000000000000005</c:v>
                </c:pt>
                <c:pt idx="226">
                  <c:v>0.25</c:v>
                </c:pt>
                <c:pt idx="227">
                  <c:v>0.25</c:v>
                </c:pt>
                <c:pt idx="228">
                  <c:v>0.25</c:v>
                </c:pt>
                <c:pt idx="229">
                  <c:v>0.32000000000000028</c:v>
                </c:pt>
                <c:pt idx="230">
                  <c:v>0.27</c:v>
                </c:pt>
                <c:pt idx="231">
                  <c:v>0.26</c:v>
                </c:pt>
                <c:pt idx="232">
                  <c:v>0.26</c:v>
                </c:pt>
                <c:pt idx="233">
                  <c:v>0.29000000000000004</c:v>
                </c:pt>
                <c:pt idx="234">
                  <c:v>0.30000000000000004</c:v>
                </c:pt>
                <c:pt idx="235">
                  <c:v>0.31000000000000005</c:v>
                </c:pt>
                <c:pt idx="236">
                  <c:v>0.32000000000000028</c:v>
                </c:pt>
                <c:pt idx="237">
                  <c:v>0.31000000000000005</c:v>
                </c:pt>
                <c:pt idx="238">
                  <c:v>0.34000000000000008</c:v>
                </c:pt>
                <c:pt idx="239">
                  <c:v>0.33000000000000007</c:v>
                </c:pt>
                <c:pt idx="240">
                  <c:v>0.37999999999999989</c:v>
                </c:pt>
                <c:pt idx="241">
                  <c:v>0.37999999999999989</c:v>
                </c:pt>
                <c:pt idx="242">
                  <c:v>0.39999999999999991</c:v>
                </c:pt>
                <c:pt idx="243">
                  <c:v>0.43999999999999995</c:v>
                </c:pt>
                <c:pt idx="244">
                  <c:v>0.43999999999999995</c:v>
                </c:pt>
                <c:pt idx="245">
                  <c:v>0.42999999999999994</c:v>
                </c:pt>
                <c:pt idx="246">
                  <c:v>0.43999999999999995</c:v>
                </c:pt>
                <c:pt idx="247">
                  <c:v>0.43999999999999995</c:v>
                </c:pt>
                <c:pt idx="248">
                  <c:v>0.42999999999999994</c:v>
                </c:pt>
                <c:pt idx="249">
                  <c:v>0.37999999999999989</c:v>
                </c:pt>
                <c:pt idx="250">
                  <c:v>0.32000000000000006</c:v>
                </c:pt>
                <c:pt idx="251">
                  <c:v>0.34000000000000008</c:v>
                </c:pt>
                <c:pt idx="252">
                  <c:v>0.34000000000000008</c:v>
                </c:pt>
                <c:pt idx="253">
                  <c:v>0.37000000000000011</c:v>
                </c:pt>
                <c:pt idx="254">
                  <c:v>0.39000000000000012</c:v>
                </c:pt>
                <c:pt idx="255">
                  <c:v>0.3899999999999999</c:v>
                </c:pt>
                <c:pt idx="256">
                  <c:v>0.38000000000000012</c:v>
                </c:pt>
                <c:pt idx="257">
                  <c:v>0.38000000000000012</c:v>
                </c:pt>
                <c:pt idx="258">
                  <c:v>0.41000000000000014</c:v>
                </c:pt>
                <c:pt idx="259">
                  <c:v>0.41999999999999993</c:v>
                </c:pt>
                <c:pt idx="260">
                  <c:v>0.41000000000000014</c:v>
                </c:pt>
                <c:pt idx="261">
                  <c:v>0.3899999999999999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Informe5!$AP$5</c:f>
              <c:strCache>
                <c:ptCount val="1"/>
                <c:pt idx="0">
                  <c:v>2s/10s</c:v>
                </c:pt>
              </c:strCache>
            </c:strRef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Informe5!$AE$6:$AE$267</c:f>
              <c:numCache>
                <c:formatCode>m/d/yyyy</c:formatCode>
                <c:ptCount val="262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42618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  <c:pt idx="66">
                  <c:v>42578</c:v>
                </c:pt>
                <c:pt idx="67">
                  <c:v>42577</c:v>
                </c:pt>
                <c:pt idx="68">
                  <c:v>42576</c:v>
                </c:pt>
                <c:pt idx="69">
                  <c:v>42573</c:v>
                </c:pt>
                <c:pt idx="70">
                  <c:v>42572</c:v>
                </c:pt>
                <c:pt idx="71">
                  <c:v>42571</c:v>
                </c:pt>
                <c:pt idx="72">
                  <c:v>42570</c:v>
                </c:pt>
                <c:pt idx="73">
                  <c:v>42569</c:v>
                </c:pt>
                <c:pt idx="74">
                  <c:v>42566</c:v>
                </c:pt>
                <c:pt idx="75">
                  <c:v>42565</c:v>
                </c:pt>
                <c:pt idx="76">
                  <c:v>42564</c:v>
                </c:pt>
                <c:pt idx="77">
                  <c:v>42563</c:v>
                </c:pt>
                <c:pt idx="78">
                  <c:v>42562</c:v>
                </c:pt>
                <c:pt idx="79">
                  <c:v>42559</c:v>
                </c:pt>
                <c:pt idx="80">
                  <c:v>42558</c:v>
                </c:pt>
                <c:pt idx="81">
                  <c:v>42557</c:v>
                </c:pt>
                <c:pt idx="82">
                  <c:v>42556</c:v>
                </c:pt>
                <c:pt idx="83">
                  <c:v>42555</c:v>
                </c:pt>
                <c:pt idx="84">
                  <c:v>42552</c:v>
                </c:pt>
                <c:pt idx="85">
                  <c:v>42551</c:v>
                </c:pt>
                <c:pt idx="86">
                  <c:v>42550</c:v>
                </c:pt>
                <c:pt idx="87">
                  <c:v>42549</c:v>
                </c:pt>
                <c:pt idx="88">
                  <c:v>42548</c:v>
                </c:pt>
                <c:pt idx="89">
                  <c:v>42545</c:v>
                </c:pt>
                <c:pt idx="90">
                  <c:v>42544</c:v>
                </c:pt>
                <c:pt idx="91">
                  <c:v>42543</c:v>
                </c:pt>
                <c:pt idx="92">
                  <c:v>42542</c:v>
                </c:pt>
                <c:pt idx="93">
                  <c:v>42541</c:v>
                </c:pt>
                <c:pt idx="94">
                  <c:v>42538</c:v>
                </c:pt>
                <c:pt idx="95">
                  <c:v>42537</c:v>
                </c:pt>
                <c:pt idx="96">
                  <c:v>42536</c:v>
                </c:pt>
                <c:pt idx="97">
                  <c:v>42535</c:v>
                </c:pt>
                <c:pt idx="98">
                  <c:v>42534</c:v>
                </c:pt>
                <c:pt idx="99">
                  <c:v>42531</c:v>
                </c:pt>
                <c:pt idx="100">
                  <c:v>42530</c:v>
                </c:pt>
                <c:pt idx="101">
                  <c:v>42529</c:v>
                </c:pt>
                <c:pt idx="102">
                  <c:v>42528</c:v>
                </c:pt>
                <c:pt idx="103">
                  <c:v>42527</c:v>
                </c:pt>
                <c:pt idx="104">
                  <c:v>42524</c:v>
                </c:pt>
                <c:pt idx="105">
                  <c:v>42523</c:v>
                </c:pt>
                <c:pt idx="106">
                  <c:v>42522</c:v>
                </c:pt>
                <c:pt idx="107">
                  <c:v>42521</c:v>
                </c:pt>
                <c:pt idx="108">
                  <c:v>42520</c:v>
                </c:pt>
                <c:pt idx="109">
                  <c:v>42517</c:v>
                </c:pt>
                <c:pt idx="110">
                  <c:v>42516</c:v>
                </c:pt>
                <c:pt idx="111">
                  <c:v>42515</c:v>
                </c:pt>
                <c:pt idx="112">
                  <c:v>42514</c:v>
                </c:pt>
                <c:pt idx="113">
                  <c:v>42513</c:v>
                </c:pt>
                <c:pt idx="114">
                  <c:v>42510</c:v>
                </c:pt>
                <c:pt idx="115">
                  <c:v>42509</c:v>
                </c:pt>
                <c:pt idx="116">
                  <c:v>42508</c:v>
                </c:pt>
                <c:pt idx="117">
                  <c:v>42507</c:v>
                </c:pt>
                <c:pt idx="118">
                  <c:v>42506</c:v>
                </c:pt>
                <c:pt idx="119">
                  <c:v>42503</c:v>
                </c:pt>
                <c:pt idx="120">
                  <c:v>42502</c:v>
                </c:pt>
                <c:pt idx="121">
                  <c:v>42501</c:v>
                </c:pt>
                <c:pt idx="122">
                  <c:v>42500</c:v>
                </c:pt>
                <c:pt idx="123">
                  <c:v>42499</c:v>
                </c:pt>
                <c:pt idx="124">
                  <c:v>42496</c:v>
                </c:pt>
                <c:pt idx="125">
                  <c:v>42495</c:v>
                </c:pt>
                <c:pt idx="126">
                  <c:v>42494</c:v>
                </c:pt>
                <c:pt idx="127">
                  <c:v>42493</c:v>
                </c:pt>
                <c:pt idx="128">
                  <c:v>42492</c:v>
                </c:pt>
                <c:pt idx="129">
                  <c:v>42489</c:v>
                </c:pt>
                <c:pt idx="130">
                  <c:v>42488</c:v>
                </c:pt>
                <c:pt idx="131">
                  <c:v>42487</c:v>
                </c:pt>
                <c:pt idx="132">
                  <c:v>42486</c:v>
                </c:pt>
                <c:pt idx="133">
                  <c:v>42485</c:v>
                </c:pt>
                <c:pt idx="134">
                  <c:v>42482</c:v>
                </c:pt>
                <c:pt idx="135">
                  <c:v>42481</c:v>
                </c:pt>
                <c:pt idx="136">
                  <c:v>42480</c:v>
                </c:pt>
                <c:pt idx="137">
                  <c:v>42479</c:v>
                </c:pt>
                <c:pt idx="138">
                  <c:v>42478</c:v>
                </c:pt>
                <c:pt idx="139">
                  <c:v>42475</c:v>
                </c:pt>
                <c:pt idx="140">
                  <c:v>42474</c:v>
                </c:pt>
                <c:pt idx="141">
                  <c:v>42473</c:v>
                </c:pt>
                <c:pt idx="142">
                  <c:v>42472</c:v>
                </c:pt>
                <c:pt idx="143">
                  <c:v>42471</c:v>
                </c:pt>
                <c:pt idx="144">
                  <c:v>42468</c:v>
                </c:pt>
                <c:pt idx="145">
                  <c:v>42467</c:v>
                </c:pt>
                <c:pt idx="146">
                  <c:v>42466</c:v>
                </c:pt>
                <c:pt idx="147">
                  <c:v>42465</c:v>
                </c:pt>
                <c:pt idx="148">
                  <c:v>42464</c:v>
                </c:pt>
                <c:pt idx="149">
                  <c:v>42461</c:v>
                </c:pt>
                <c:pt idx="150">
                  <c:v>42460</c:v>
                </c:pt>
                <c:pt idx="151">
                  <c:v>42459</c:v>
                </c:pt>
                <c:pt idx="152">
                  <c:v>42458</c:v>
                </c:pt>
                <c:pt idx="153">
                  <c:v>42457</c:v>
                </c:pt>
                <c:pt idx="154">
                  <c:v>42454</c:v>
                </c:pt>
                <c:pt idx="155">
                  <c:v>42453</c:v>
                </c:pt>
                <c:pt idx="156">
                  <c:v>42452</c:v>
                </c:pt>
                <c:pt idx="157">
                  <c:v>42451</c:v>
                </c:pt>
                <c:pt idx="158">
                  <c:v>42450</c:v>
                </c:pt>
                <c:pt idx="159">
                  <c:v>42447</c:v>
                </c:pt>
                <c:pt idx="160">
                  <c:v>42446</c:v>
                </c:pt>
                <c:pt idx="161">
                  <c:v>42445</c:v>
                </c:pt>
                <c:pt idx="162">
                  <c:v>42444</c:v>
                </c:pt>
                <c:pt idx="163">
                  <c:v>42443</c:v>
                </c:pt>
                <c:pt idx="164">
                  <c:v>42440</c:v>
                </c:pt>
                <c:pt idx="165">
                  <c:v>42439</c:v>
                </c:pt>
                <c:pt idx="166">
                  <c:v>42438</c:v>
                </c:pt>
                <c:pt idx="167">
                  <c:v>42437</c:v>
                </c:pt>
                <c:pt idx="168">
                  <c:v>42436</c:v>
                </c:pt>
                <c:pt idx="169">
                  <c:v>42433</c:v>
                </c:pt>
                <c:pt idx="170">
                  <c:v>42432</c:v>
                </c:pt>
                <c:pt idx="171">
                  <c:v>42431</c:v>
                </c:pt>
                <c:pt idx="172">
                  <c:v>42430</c:v>
                </c:pt>
                <c:pt idx="173">
                  <c:v>42429</c:v>
                </c:pt>
                <c:pt idx="174">
                  <c:v>42426</c:v>
                </c:pt>
                <c:pt idx="175">
                  <c:v>42425</c:v>
                </c:pt>
                <c:pt idx="176">
                  <c:v>42424</c:v>
                </c:pt>
                <c:pt idx="177">
                  <c:v>42423</c:v>
                </c:pt>
                <c:pt idx="178">
                  <c:v>42422</c:v>
                </c:pt>
                <c:pt idx="179">
                  <c:v>42419</c:v>
                </c:pt>
                <c:pt idx="180">
                  <c:v>42418</c:v>
                </c:pt>
                <c:pt idx="181">
                  <c:v>42417</c:v>
                </c:pt>
                <c:pt idx="182">
                  <c:v>42416</c:v>
                </c:pt>
                <c:pt idx="183">
                  <c:v>42415</c:v>
                </c:pt>
                <c:pt idx="184">
                  <c:v>42412</c:v>
                </c:pt>
                <c:pt idx="185">
                  <c:v>42411</c:v>
                </c:pt>
                <c:pt idx="186">
                  <c:v>42410</c:v>
                </c:pt>
                <c:pt idx="187">
                  <c:v>42409</c:v>
                </c:pt>
                <c:pt idx="188">
                  <c:v>42408</c:v>
                </c:pt>
                <c:pt idx="189">
                  <c:v>42405</c:v>
                </c:pt>
                <c:pt idx="190">
                  <c:v>42404</c:v>
                </c:pt>
                <c:pt idx="191">
                  <c:v>42403</c:v>
                </c:pt>
                <c:pt idx="192">
                  <c:v>42402</c:v>
                </c:pt>
                <c:pt idx="193">
                  <c:v>42401</c:v>
                </c:pt>
                <c:pt idx="194">
                  <c:v>42398</c:v>
                </c:pt>
                <c:pt idx="195">
                  <c:v>42397</c:v>
                </c:pt>
                <c:pt idx="196">
                  <c:v>42396</c:v>
                </c:pt>
                <c:pt idx="197">
                  <c:v>42395</c:v>
                </c:pt>
                <c:pt idx="198">
                  <c:v>42394</c:v>
                </c:pt>
                <c:pt idx="199">
                  <c:v>42391</c:v>
                </c:pt>
                <c:pt idx="200">
                  <c:v>42390</c:v>
                </c:pt>
                <c:pt idx="201">
                  <c:v>42389</c:v>
                </c:pt>
                <c:pt idx="202">
                  <c:v>42388</c:v>
                </c:pt>
                <c:pt idx="203">
                  <c:v>42387</c:v>
                </c:pt>
                <c:pt idx="204">
                  <c:v>42384</c:v>
                </c:pt>
                <c:pt idx="205">
                  <c:v>42383</c:v>
                </c:pt>
                <c:pt idx="206">
                  <c:v>42382</c:v>
                </c:pt>
                <c:pt idx="207">
                  <c:v>42381</c:v>
                </c:pt>
                <c:pt idx="208">
                  <c:v>42380</c:v>
                </c:pt>
                <c:pt idx="209">
                  <c:v>42377</c:v>
                </c:pt>
                <c:pt idx="210">
                  <c:v>42376</c:v>
                </c:pt>
                <c:pt idx="211">
                  <c:v>42375</c:v>
                </c:pt>
                <c:pt idx="212">
                  <c:v>42374</c:v>
                </c:pt>
                <c:pt idx="213">
                  <c:v>42373</c:v>
                </c:pt>
                <c:pt idx="214">
                  <c:v>42370</c:v>
                </c:pt>
                <c:pt idx="215">
                  <c:v>42369</c:v>
                </c:pt>
                <c:pt idx="216">
                  <c:v>42368</c:v>
                </c:pt>
                <c:pt idx="217">
                  <c:v>42367</c:v>
                </c:pt>
                <c:pt idx="218">
                  <c:v>42366</c:v>
                </c:pt>
                <c:pt idx="219">
                  <c:v>42363</c:v>
                </c:pt>
                <c:pt idx="220">
                  <c:v>42362</c:v>
                </c:pt>
                <c:pt idx="221">
                  <c:v>42361</c:v>
                </c:pt>
                <c:pt idx="222">
                  <c:v>42360</c:v>
                </c:pt>
                <c:pt idx="223">
                  <c:v>42359</c:v>
                </c:pt>
                <c:pt idx="224">
                  <c:v>42356</c:v>
                </c:pt>
                <c:pt idx="225">
                  <c:v>42355</c:v>
                </c:pt>
                <c:pt idx="226">
                  <c:v>42354</c:v>
                </c:pt>
                <c:pt idx="227">
                  <c:v>42353</c:v>
                </c:pt>
                <c:pt idx="228">
                  <c:v>42352</c:v>
                </c:pt>
                <c:pt idx="229">
                  <c:v>42349</c:v>
                </c:pt>
                <c:pt idx="230">
                  <c:v>42348</c:v>
                </c:pt>
                <c:pt idx="231">
                  <c:v>42347</c:v>
                </c:pt>
                <c:pt idx="232">
                  <c:v>42346</c:v>
                </c:pt>
                <c:pt idx="233">
                  <c:v>42345</c:v>
                </c:pt>
                <c:pt idx="234">
                  <c:v>42342</c:v>
                </c:pt>
                <c:pt idx="235">
                  <c:v>42341</c:v>
                </c:pt>
                <c:pt idx="236">
                  <c:v>42340</c:v>
                </c:pt>
                <c:pt idx="237">
                  <c:v>42339</c:v>
                </c:pt>
                <c:pt idx="238">
                  <c:v>42338</c:v>
                </c:pt>
                <c:pt idx="239">
                  <c:v>42335</c:v>
                </c:pt>
                <c:pt idx="240">
                  <c:v>42334</c:v>
                </c:pt>
                <c:pt idx="241">
                  <c:v>42333</c:v>
                </c:pt>
                <c:pt idx="242">
                  <c:v>42332</c:v>
                </c:pt>
                <c:pt idx="243">
                  <c:v>42331</c:v>
                </c:pt>
                <c:pt idx="244">
                  <c:v>42328</c:v>
                </c:pt>
                <c:pt idx="245">
                  <c:v>42327</c:v>
                </c:pt>
                <c:pt idx="246">
                  <c:v>42326</c:v>
                </c:pt>
                <c:pt idx="247">
                  <c:v>42325</c:v>
                </c:pt>
                <c:pt idx="248">
                  <c:v>42324</c:v>
                </c:pt>
                <c:pt idx="249">
                  <c:v>42321</c:v>
                </c:pt>
                <c:pt idx="250">
                  <c:v>42320</c:v>
                </c:pt>
                <c:pt idx="251">
                  <c:v>42319</c:v>
                </c:pt>
                <c:pt idx="252">
                  <c:v>42318</c:v>
                </c:pt>
                <c:pt idx="253">
                  <c:v>42317</c:v>
                </c:pt>
                <c:pt idx="254">
                  <c:v>42314</c:v>
                </c:pt>
                <c:pt idx="255">
                  <c:v>42313</c:v>
                </c:pt>
                <c:pt idx="256">
                  <c:v>42312</c:v>
                </c:pt>
                <c:pt idx="257">
                  <c:v>42311</c:v>
                </c:pt>
                <c:pt idx="258">
                  <c:v>42310</c:v>
                </c:pt>
                <c:pt idx="259">
                  <c:v>42307</c:v>
                </c:pt>
                <c:pt idx="260">
                  <c:v>42306</c:v>
                </c:pt>
                <c:pt idx="261">
                  <c:v>42305</c:v>
                </c:pt>
              </c:numCache>
            </c:numRef>
          </c:xVal>
          <c:yVal>
            <c:numRef>
              <c:f>Informe5!$AP$6:$AP$267</c:f>
              <c:numCache>
                <c:formatCode>General</c:formatCode>
                <c:ptCount val="262"/>
                <c:pt idx="0">
                  <c:v>0.59999999999999987</c:v>
                </c:pt>
                <c:pt idx="1">
                  <c:v>0.60999999999999988</c:v>
                </c:pt>
                <c:pt idx="2">
                  <c:v>0.60000000000000009</c:v>
                </c:pt>
                <c:pt idx="3">
                  <c:v>0.6399999999999999</c:v>
                </c:pt>
                <c:pt idx="4">
                  <c:v>0.62999999999999989</c:v>
                </c:pt>
                <c:pt idx="5">
                  <c:v>0.60999999999999988</c:v>
                </c:pt>
                <c:pt idx="6">
                  <c:v>0.65999999999999992</c:v>
                </c:pt>
                <c:pt idx="7">
                  <c:v>0.64999999999999991</c:v>
                </c:pt>
                <c:pt idx="8">
                  <c:v>0.64999999999999991</c:v>
                </c:pt>
                <c:pt idx="9">
                  <c:v>0.6399999999999999</c:v>
                </c:pt>
                <c:pt idx="10">
                  <c:v>0.64999999999999991</c:v>
                </c:pt>
                <c:pt idx="11">
                  <c:v>0.61999999999999988</c:v>
                </c:pt>
                <c:pt idx="12">
                  <c:v>0.6399999999999999</c:v>
                </c:pt>
                <c:pt idx="13">
                  <c:v>0.6399999999999999</c:v>
                </c:pt>
                <c:pt idx="14">
                  <c:v>0.61999999999999988</c:v>
                </c:pt>
                <c:pt idx="15">
                  <c:v>0.71</c:v>
                </c:pt>
                <c:pt idx="16">
                  <c:v>0.7</c:v>
                </c:pt>
                <c:pt idx="17">
                  <c:v>0.67999999999999994</c:v>
                </c:pt>
                <c:pt idx="18">
                  <c:v>0.69</c:v>
                </c:pt>
                <c:pt idx="19">
                  <c:v>0.7</c:v>
                </c:pt>
                <c:pt idx="20">
                  <c:v>0.65000000000000013</c:v>
                </c:pt>
                <c:pt idx="21">
                  <c:v>0.67000000000000015</c:v>
                </c:pt>
                <c:pt idx="22">
                  <c:v>0.66000000000000014</c:v>
                </c:pt>
                <c:pt idx="23">
                  <c:v>0.66000000000000014</c:v>
                </c:pt>
                <c:pt idx="24">
                  <c:v>0.66999999999999993</c:v>
                </c:pt>
                <c:pt idx="25">
                  <c:v>0.65999999999999992</c:v>
                </c:pt>
                <c:pt idx="26">
                  <c:v>0.65999999999999992</c:v>
                </c:pt>
                <c:pt idx="27">
                  <c:v>0.64</c:v>
                </c:pt>
                <c:pt idx="28">
                  <c:v>0.64</c:v>
                </c:pt>
                <c:pt idx="29">
                  <c:v>0.63</c:v>
                </c:pt>
                <c:pt idx="30">
                  <c:v>0.64</c:v>
                </c:pt>
                <c:pt idx="31">
                  <c:v>0.61</c:v>
                </c:pt>
                <c:pt idx="32">
                  <c:v>0.63</c:v>
                </c:pt>
                <c:pt idx="33">
                  <c:v>0.61</c:v>
                </c:pt>
                <c:pt idx="34">
                  <c:v>0.57999999999999996</c:v>
                </c:pt>
                <c:pt idx="35">
                  <c:v>0.57999999999999996</c:v>
                </c:pt>
                <c:pt idx="36">
                  <c:v>0.56999999999999995</c:v>
                </c:pt>
                <c:pt idx="37">
                  <c:v>0.62</c:v>
                </c:pt>
                <c:pt idx="38">
                  <c:v>0.6</c:v>
                </c:pt>
                <c:pt idx="39">
                  <c:v>0.61</c:v>
                </c:pt>
                <c:pt idx="40">
                  <c:v>0.61</c:v>
                </c:pt>
                <c:pt idx="41">
                  <c:v>0.62</c:v>
                </c:pt>
                <c:pt idx="42">
                  <c:v>0.62</c:v>
                </c:pt>
                <c:pt idx="43">
                  <c:v>0.63</c:v>
                </c:pt>
                <c:pt idx="44">
                  <c:v>0.64</c:v>
                </c:pt>
                <c:pt idx="45">
                  <c:v>0.63</c:v>
                </c:pt>
                <c:pt idx="46">
                  <c:v>0.62</c:v>
                </c:pt>
                <c:pt idx="47">
                  <c:v>0.64</c:v>
                </c:pt>
                <c:pt idx="48">
                  <c:v>0.64</c:v>
                </c:pt>
                <c:pt idx="49">
                  <c:v>0.66</c:v>
                </c:pt>
                <c:pt idx="50">
                  <c:v>0.64</c:v>
                </c:pt>
                <c:pt idx="51">
                  <c:v>0.63</c:v>
                </c:pt>
                <c:pt idx="52">
                  <c:v>0.62</c:v>
                </c:pt>
                <c:pt idx="53">
                  <c:v>0.62</c:v>
                </c:pt>
                <c:pt idx="54">
                  <c:v>0.6</c:v>
                </c:pt>
                <c:pt idx="55">
                  <c:v>0.55999999999999994</c:v>
                </c:pt>
                <c:pt idx="56">
                  <c:v>0.54999999999999993</c:v>
                </c:pt>
                <c:pt idx="57">
                  <c:v>0.55000000000000004</c:v>
                </c:pt>
                <c:pt idx="58">
                  <c:v>0.57000000000000006</c:v>
                </c:pt>
                <c:pt idx="59">
                  <c:v>0.51</c:v>
                </c:pt>
                <c:pt idx="60">
                  <c:v>0.52</c:v>
                </c:pt>
                <c:pt idx="61">
                  <c:v>0.57000000000000006</c:v>
                </c:pt>
                <c:pt idx="62">
                  <c:v>0.55999999999999983</c:v>
                </c:pt>
                <c:pt idx="63">
                  <c:v>0.53</c:v>
                </c:pt>
                <c:pt idx="64">
                  <c:v>0.52</c:v>
                </c:pt>
                <c:pt idx="65">
                  <c:v>0.55999999999999994</c:v>
                </c:pt>
                <c:pt idx="66">
                  <c:v>0.60999999999999988</c:v>
                </c:pt>
                <c:pt idx="67">
                  <c:v>0.67999999999999994</c:v>
                </c:pt>
                <c:pt idx="68">
                  <c:v>0.69</c:v>
                </c:pt>
                <c:pt idx="69">
                  <c:v>0.67999999999999994</c:v>
                </c:pt>
                <c:pt idx="70">
                  <c:v>0.7</c:v>
                </c:pt>
                <c:pt idx="71">
                  <c:v>0.67999999999999994</c:v>
                </c:pt>
                <c:pt idx="72">
                  <c:v>0.66999999999999993</c:v>
                </c:pt>
                <c:pt idx="73">
                  <c:v>0.65999999999999992</c:v>
                </c:pt>
                <c:pt idx="74">
                  <c:v>0.60999999999999988</c:v>
                </c:pt>
                <c:pt idx="75">
                  <c:v>0.62000000000000011</c:v>
                </c:pt>
                <c:pt idx="76">
                  <c:v>0.63000000000000012</c:v>
                </c:pt>
                <c:pt idx="77">
                  <c:v>0.61999999999999988</c:v>
                </c:pt>
                <c:pt idx="78">
                  <c:v>0.6100000000000001</c:v>
                </c:pt>
                <c:pt idx="79">
                  <c:v>0.62000000000000011</c:v>
                </c:pt>
                <c:pt idx="80">
                  <c:v>0.63000000000000012</c:v>
                </c:pt>
                <c:pt idx="81">
                  <c:v>0.65000000000000013</c:v>
                </c:pt>
                <c:pt idx="82">
                  <c:v>0.66000000000000014</c:v>
                </c:pt>
                <c:pt idx="83">
                  <c:v>0.67</c:v>
                </c:pt>
                <c:pt idx="84">
                  <c:v>0.67999999999999994</c:v>
                </c:pt>
                <c:pt idx="85">
                  <c:v>0.7</c:v>
                </c:pt>
                <c:pt idx="86">
                  <c:v>0.72</c:v>
                </c:pt>
                <c:pt idx="87">
                  <c:v>0.75</c:v>
                </c:pt>
                <c:pt idx="88">
                  <c:v>0.75</c:v>
                </c:pt>
                <c:pt idx="89">
                  <c:v>0.79</c:v>
                </c:pt>
                <c:pt idx="90">
                  <c:v>0.79</c:v>
                </c:pt>
                <c:pt idx="91">
                  <c:v>0.83000000000000007</c:v>
                </c:pt>
                <c:pt idx="92">
                  <c:v>0.84000000000000008</c:v>
                </c:pt>
                <c:pt idx="93">
                  <c:v>0.84000000000000008</c:v>
                </c:pt>
                <c:pt idx="94">
                  <c:v>0.87</c:v>
                </c:pt>
                <c:pt idx="95">
                  <c:v>0.88999999999999979</c:v>
                </c:pt>
                <c:pt idx="96">
                  <c:v>0.86999999999999988</c:v>
                </c:pt>
                <c:pt idx="97">
                  <c:v>0.85999999999999988</c:v>
                </c:pt>
                <c:pt idx="98">
                  <c:v>0.8</c:v>
                </c:pt>
                <c:pt idx="99">
                  <c:v>0.81</c:v>
                </c:pt>
                <c:pt idx="100">
                  <c:v>0.82000000000000006</c:v>
                </c:pt>
                <c:pt idx="101">
                  <c:v>0.81</c:v>
                </c:pt>
                <c:pt idx="102">
                  <c:v>0.8</c:v>
                </c:pt>
                <c:pt idx="103">
                  <c:v>0.81</c:v>
                </c:pt>
                <c:pt idx="104">
                  <c:v>0.82000000000000006</c:v>
                </c:pt>
                <c:pt idx="105">
                  <c:v>0.82999999999999985</c:v>
                </c:pt>
                <c:pt idx="106">
                  <c:v>0.8</c:v>
                </c:pt>
                <c:pt idx="107">
                  <c:v>0.81</c:v>
                </c:pt>
                <c:pt idx="108">
                  <c:v>0.79</c:v>
                </c:pt>
                <c:pt idx="109">
                  <c:v>0.78</c:v>
                </c:pt>
                <c:pt idx="110">
                  <c:v>0.76</c:v>
                </c:pt>
                <c:pt idx="111">
                  <c:v>0.78</c:v>
                </c:pt>
                <c:pt idx="112">
                  <c:v>0.73</c:v>
                </c:pt>
                <c:pt idx="113">
                  <c:v>0.71</c:v>
                </c:pt>
                <c:pt idx="114">
                  <c:v>0.75</c:v>
                </c:pt>
                <c:pt idx="115">
                  <c:v>0.75</c:v>
                </c:pt>
                <c:pt idx="116">
                  <c:v>0.76</c:v>
                </c:pt>
                <c:pt idx="117">
                  <c:v>0.78</c:v>
                </c:pt>
                <c:pt idx="118">
                  <c:v>0.76</c:v>
                </c:pt>
                <c:pt idx="119">
                  <c:v>0.75</c:v>
                </c:pt>
                <c:pt idx="120">
                  <c:v>0.73</c:v>
                </c:pt>
                <c:pt idx="121">
                  <c:v>0.69</c:v>
                </c:pt>
                <c:pt idx="122">
                  <c:v>0.71</c:v>
                </c:pt>
                <c:pt idx="123">
                  <c:v>0.7</c:v>
                </c:pt>
                <c:pt idx="124">
                  <c:v>0.71</c:v>
                </c:pt>
                <c:pt idx="125">
                  <c:v>0.67</c:v>
                </c:pt>
                <c:pt idx="126">
                  <c:v>0.69000000000000006</c:v>
                </c:pt>
                <c:pt idx="127">
                  <c:v>0.70000000000000007</c:v>
                </c:pt>
                <c:pt idx="128">
                  <c:v>0.69000000000000006</c:v>
                </c:pt>
                <c:pt idx="129">
                  <c:v>0.61</c:v>
                </c:pt>
                <c:pt idx="130">
                  <c:v>0.64</c:v>
                </c:pt>
                <c:pt idx="131">
                  <c:v>0.67999999999999983</c:v>
                </c:pt>
                <c:pt idx="132">
                  <c:v>0.71000000000000008</c:v>
                </c:pt>
                <c:pt idx="133">
                  <c:v>0.68</c:v>
                </c:pt>
                <c:pt idx="134">
                  <c:v>0.65</c:v>
                </c:pt>
                <c:pt idx="135">
                  <c:v>0.65</c:v>
                </c:pt>
                <c:pt idx="136">
                  <c:v>0.62</c:v>
                </c:pt>
                <c:pt idx="137">
                  <c:v>0.6399999999999999</c:v>
                </c:pt>
                <c:pt idx="138">
                  <c:v>0.62999999999999989</c:v>
                </c:pt>
                <c:pt idx="139">
                  <c:v>0.6399999999999999</c:v>
                </c:pt>
                <c:pt idx="140">
                  <c:v>0.66</c:v>
                </c:pt>
                <c:pt idx="141">
                  <c:v>0.6399999999999999</c:v>
                </c:pt>
                <c:pt idx="142">
                  <c:v>0.65999999999999992</c:v>
                </c:pt>
                <c:pt idx="143">
                  <c:v>0.65999999999999992</c:v>
                </c:pt>
                <c:pt idx="144">
                  <c:v>0.6</c:v>
                </c:pt>
                <c:pt idx="145">
                  <c:v>0.64999999999999991</c:v>
                </c:pt>
                <c:pt idx="146">
                  <c:v>0.65999999999999992</c:v>
                </c:pt>
                <c:pt idx="147">
                  <c:v>0.65999999999999992</c:v>
                </c:pt>
                <c:pt idx="148">
                  <c:v>0.66999999999999993</c:v>
                </c:pt>
                <c:pt idx="149">
                  <c:v>0.66</c:v>
                </c:pt>
                <c:pt idx="150">
                  <c:v>0.69</c:v>
                </c:pt>
                <c:pt idx="151">
                  <c:v>0.66999999999999993</c:v>
                </c:pt>
                <c:pt idx="152">
                  <c:v>0.67</c:v>
                </c:pt>
                <c:pt idx="153">
                  <c:v>0.7</c:v>
                </c:pt>
                <c:pt idx="154">
                  <c:v>0.7</c:v>
                </c:pt>
                <c:pt idx="155">
                  <c:v>0.73</c:v>
                </c:pt>
                <c:pt idx="156">
                  <c:v>0.73</c:v>
                </c:pt>
                <c:pt idx="157">
                  <c:v>0.71</c:v>
                </c:pt>
                <c:pt idx="158">
                  <c:v>0.69</c:v>
                </c:pt>
                <c:pt idx="159">
                  <c:v>0.7</c:v>
                </c:pt>
                <c:pt idx="160">
                  <c:v>0.73</c:v>
                </c:pt>
                <c:pt idx="161">
                  <c:v>0.72</c:v>
                </c:pt>
                <c:pt idx="162">
                  <c:v>0.73</c:v>
                </c:pt>
                <c:pt idx="163">
                  <c:v>0.76</c:v>
                </c:pt>
                <c:pt idx="164">
                  <c:v>0.75</c:v>
                </c:pt>
                <c:pt idx="165">
                  <c:v>0.75</c:v>
                </c:pt>
                <c:pt idx="166">
                  <c:v>0.76</c:v>
                </c:pt>
                <c:pt idx="167">
                  <c:v>0.78</c:v>
                </c:pt>
                <c:pt idx="168">
                  <c:v>0.78</c:v>
                </c:pt>
                <c:pt idx="169">
                  <c:v>0.76</c:v>
                </c:pt>
                <c:pt idx="170">
                  <c:v>0.8</c:v>
                </c:pt>
                <c:pt idx="171">
                  <c:v>0.79999999999999993</c:v>
                </c:pt>
                <c:pt idx="172">
                  <c:v>0.80999999999999994</c:v>
                </c:pt>
                <c:pt idx="173">
                  <c:v>0.82</c:v>
                </c:pt>
                <c:pt idx="174">
                  <c:v>0.84</c:v>
                </c:pt>
                <c:pt idx="175">
                  <c:v>0.83000000000000007</c:v>
                </c:pt>
                <c:pt idx="176">
                  <c:v>0.84000000000000008</c:v>
                </c:pt>
                <c:pt idx="177">
                  <c:v>0.89000000000000012</c:v>
                </c:pt>
                <c:pt idx="178">
                  <c:v>0.8899999999999999</c:v>
                </c:pt>
                <c:pt idx="179">
                  <c:v>0.89000000000000012</c:v>
                </c:pt>
                <c:pt idx="180">
                  <c:v>0.88000000000000012</c:v>
                </c:pt>
                <c:pt idx="181">
                  <c:v>0.82999999999999985</c:v>
                </c:pt>
                <c:pt idx="182">
                  <c:v>0.83000000000000007</c:v>
                </c:pt>
                <c:pt idx="183">
                  <c:v>0.82999999999999985</c:v>
                </c:pt>
                <c:pt idx="184">
                  <c:v>0.82000000000000006</c:v>
                </c:pt>
                <c:pt idx="185">
                  <c:v>0.81999999999999984</c:v>
                </c:pt>
                <c:pt idx="186">
                  <c:v>0.78999999999999981</c:v>
                </c:pt>
                <c:pt idx="187">
                  <c:v>0.78</c:v>
                </c:pt>
                <c:pt idx="188">
                  <c:v>0.7799999999999998</c:v>
                </c:pt>
                <c:pt idx="189">
                  <c:v>0.78999999999999992</c:v>
                </c:pt>
                <c:pt idx="190">
                  <c:v>0.81999999999999984</c:v>
                </c:pt>
                <c:pt idx="191">
                  <c:v>0.87000000000000011</c:v>
                </c:pt>
                <c:pt idx="192">
                  <c:v>0.90000000000000013</c:v>
                </c:pt>
                <c:pt idx="193">
                  <c:v>0.90999999999999992</c:v>
                </c:pt>
                <c:pt idx="194">
                  <c:v>0.96000000000000019</c:v>
                </c:pt>
                <c:pt idx="195">
                  <c:v>0.92999999999999994</c:v>
                </c:pt>
                <c:pt idx="196">
                  <c:v>0.90999999999999992</c:v>
                </c:pt>
                <c:pt idx="197">
                  <c:v>0.90999999999999992</c:v>
                </c:pt>
                <c:pt idx="198">
                  <c:v>0.88000000000000012</c:v>
                </c:pt>
                <c:pt idx="199">
                  <c:v>0.83000000000000007</c:v>
                </c:pt>
                <c:pt idx="200">
                  <c:v>0.8600000000000001</c:v>
                </c:pt>
                <c:pt idx="201">
                  <c:v>0.84999999999999987</c:v>
                </c:pt>
                <c:pt idx="202">
                  <c:v>0.8600000000000001</c:v>
                </c:pt>
                <c:pt idx="203">
                  <c:v>0.88000000000000012</c:v>
                </c:pt>
                <c:pt idx="204">
                  <c:v>0.88000000000000012</c:v>
                </c:pt>
                <c:pt idx="205">
                  <c:v>0.86</c:v>
                </c:pt>
                <c:pt idx="206">
                  <c:v>0.87</c:v>
                </c:pt>
                <c:pt idx="207">
                  <c:v>0.89</c:v>
                </c:pt>
                <c:pt idx="208">
                  <c:v>0.87</c:v>
                </c:pt>
                <c:pt idx="209">
                  <c:v>0.88</c:v>
                </c:pt>
                <c:pt idx="210">
                  <c:v>0.88</c:v>
                </c:pt>
                <c:pt idx="211">
                  <c:v>0.85</c:v>
                </c:pt>
                <c:pt idx="212">
                  <c:v>0.87</c:v>
                </c:pt>
                <c:pt idx="213">
                  <c:v>0.85</c:v>
                </c:pt>
                <c:pt idx="214">
                  <c:v>0.85</c:v>
                </c:pt>
                <c:pt idx="215">
                  <c:v>0.85</c:v>
                </c:pt>
                <c:pt idx="216">
                  <c:v>0.82</c:v>
                </c:pt>
                <c:pt idx="217">
                  <c:v>0.82</c:v>
                </c:pt>
                <c:pt idx="218">
                  <c:v>0.7599999999999999</c:v>
                </c:pt>
                <c:pt idx="219">
                  <c:v>0.7599999999999999</c:v>
                </c:pt>
                <c:pt idx="220">
                  <c:v>0.77000000000000013</c:v>
                </c:pt>
                <c:pt idx="221">
                  <c:v>0.76000000000000012</c:v>
                </c:pt>
                <c:pt idx="222">
                  <c:v>0.73</c:v>
                </c:pt>
                <c:pt idx="223">
                  <c:v>0.71000000000000019</c:v>
                </c:pt>
                <c:pt idx="224">
                  <c:v>0.71000000000000019</c:v>
                </c:pt>
                <c:pt idx="225">
                  <c:v>0.91999999999999993</c:v>
                </c:pt>
                <c:pt idx="226">
                  <c:v>0.77</c:v>
                </c:pt>
                <c:pt idx="227">
                  <c:v>0.77</c:v>
                </c:pt>
                <c:pt idx="228">
                  <c:v>0.81</c:v>
                </c:pt>
                <c:pt idx="229">
                  <c:v>0.87000000000000011</c:v>
                </c:pt>
                <c:pt idx="230">
                  <c:v>0.84000000000000008</c:v>
                </c:pt>
                <c:pt idx="231">
                  <c:v>0.84</c:v>
                </c:pt>
                <c:pt idx="232">
                  <c:v>0.84</c:v>
                </c:pt>
                <c:pt idx="233">
                  <c:v>0.92</c:v>
                </c:pt>
                <c:pt idx="234">
                  <c:v>0.9</c:v>
                </c:pt>
                <c:pt idx="235">
                  <c:v>0.9</c:v>
                </c:pt>
                <c:pt idx="236">
                  <c:v>0.89000000000000012</c:v>
                </c:pt>
                <c:pt idx="237">
                  <c:v>0.8899999999999999</c:v>
                </c:pt>
                <c:pt idx="238">
                  <c:v>0.99</c:v>
                </c:pt>
                <c:pt idx="239">
                  <c:v>0.98000000000000009</c:v>
                </c:pt>
                <c:pt idx="240">
                  <c:v>1.02</c:v>
                </c:pt>
                <c:pt idx="241">
                  <c:v>1.0099999999999998</c:v>
                </c:pt>
                <c:pt idx="242">
                  <c:v>0.98999999999999988</c:v>
                </c:pt>
                <c:pt idx="243">
                  <c:v>1.04</c:v>
                </c:pt>
                <c:pt idx="244">
                  <c:v>1</c:v>
                </c:pt>
                <c:pt idx="245">
                  <c:v>0.99</c:v>
                </c:pt>
                <c:pt idx="246">
                  <c:v>0.99</c:v>
                </c:pt>
                <c:pt idx="247">
                  <c:v>0.95</c:v>
                </c:pt>
                <c:pt idx="248">
                  <c:v>0.95</c:v>
                </c:pt>
                <c:pt idx="249">
                  <c:v>0.83</c:v>
                </c:pt>
                <c:pt idx="250">
                  <c:v>0.79999999999999993</c:v>
                </c:pt>
                <c:pt idx="251">
                  <c:v>0.82</c:v>
                </c:pt>
                <c:pt idx="252">
                  <c:v>0.85</c:v>
                </c:pt>
                <c:pt idx="253">
                  <c:v>0.89</c:v>
                </c:pt>
                <c:pt idx="254">
                  <c:v>0.91</c:v>
                </c:pt>
                <c:pt idx="255">
                  <c:v>0.85</c:v>
                </c:pt>
                <c:pt idx="256">
                  <c:v>0.85</c:v>
                </c:pt>
                <c:pt idx="257">
                  <c:v>0.84</c:v>
                </c:pt>
                <c:pt idx="258">
                  <c:v>0.88</c:v>
                </c:pt>
                <c:pt idx="259">
                  <c:v>0.85999999999999988</c:v>
                </c:pt>
                <c:pt idx="260">
                  <c:v>0.84000000000000008</c:v>
                </c:pt>
                <c:pt idx="261">
                  <c:v>0.85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41120"/>
        <c:axId val="62341696"/>
      </c:scatterChart>
      <c:valAx>
        <c:axId val="62341120"/>
        <c:scaling>
          <c:orientation val="minMax"/>
        </c:scaling>
        <c:delete val="0"/>
        <c:axPos val="b"/>
        <c:numFmt formatCode="mm/yyyy" sourceLinked="0"/>
        <c:majorTickMark val="out"/>
        <c:minorTickMark val="none"/>
        <c:tickLblPos val="low"/>
        <c:crossAx val="62341696"/>
        <c:crosses val="autoZero"/>
        <c:crossBetween val="midCat"/>
      </c:valAx>
      <c:valAx>
        <c:axId val="62341696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General" sourceLinked="1"/>
        <c:majorTickMark val="out"/>
        <c:minorTickMark val="none"/>
        <c:tickLblPos val="nextTo"/>
        <c:crossAx val="623411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388888888888898E-2"/>
          <c:y val="6.5289442986293383E-2"/>
          <c:w val="0.73058280982909485"/>
          <c:h val="0.8326195683872849"/>
        </c:manualLayout>
      </c:layout>
      <c:scatterChart>
        <c:scatterStyle val="lineMarker"/>
        <c:varyColors val="0"/>
        <c:ser>
          <c:idx val="1"/>
          <c:order val="1"/>
          <c:tx>
            <c:strRef>
              <c:f>Informe5!$AQ$5</c:f>
              <c:strCache>
                <c:ptCount val="1"/>
                <c:pt idx="0">
                  <c:v>2s/5s</c:v>
                </c:pt>
              </c:strCache>
            </c:strRef>
          </c:tx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Informe5!$AE$6:$AE$644</c:f>
              <c:numCache>
                <c:formatCode>m/d/yyyy</c:formatCode>
                <c:ptCount val="639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42618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  <c:pt idx="66">
                  <c:v>42578</c:v>
                </c:pt>
                <c:pt idx="67">
                  <c:v>42577</c:v>
                </c:pt>
                <c:pt idx="68">
                  <c:v>42576</c:v>
                </c:pt>
                <c:pt idx="69">
                  <c:v>42573</c:v>
                </c:pt>
                <c:pt idx="70">
                  <c:v>42572</c:v>
                </c:pt>
                <c:pt idx="71">
                  <c:v>42571</c:v>
                </c:pt>
                <c:pt idx="72">
                  <c:v>42570</c:v>
                </c:pt>
                <c:pt idx="73">
                  <c:v>42569</c:v>
                </c:pt>
                <c:pt idx="74">
                  <c:v>42566</c:v>
                </c:pt>
                <c:pt idx="75">
                  <c:v>42565</c:v>
                </c:pt>
                <c:pt idx="76">
                  <c:v>42564</c:v>
                </c:pt>
                <c:pt idx="77">
                  <c:v>42563</c:v>
                </c:pt>
                <c:pt idx="78">
                  <c:v>42562</c:v>
                </c:pt>
                <c:pt idx="79">
                  <c:v>42559</c:v>
                </c:pt>
                <c:pt idx="80">
                  <c:v>42558</c:v>
                </c:pt>
                <c:pt idx="81">
                  <c:v>42557</c:v>
                </c:pt>
                <c:pt idx="82">
                  <c:v>42556</c:v>
                </c:pt>
                <c:pt idx="83">
                  <c:v>42555</c:v>
                </c:pt>
                <c:pt idx="84">
                  <c:v>42552</c:v>
                </c:pt>
                <c:pt idx="85">
                  <c:v>42551</c:v>
                </c:pt>
                <c:pt idx="86">
                  <c:v>42550</c:v>
                </c:pt>
                <c:pt idx="87">
                  <c:v>42549</c:v>
                </c:pt>
                <c:pt idx="88">
                  <c:v>42548</c:v>
                </c:pt>
                <c:pt idx="89">
                  <c:v>42545</c:v>
                </c:pt>
                <c:pt idx="90">
                  <c:v>42544</c:v>
                </c:pt>
                <c:pt idx="91">
                  <c:v>42543</c:v>
                </c:pt>
                <c:pt idx="92">
                  <c:v>42542</c:v>
                </c:pt>
                <c:pt idx="93">
                  <c:v>42541</c:v>
                </c:pt>
                <c:pt idx="94">
                  <c:v>42538</c:v>
                </c:pt>
                <c:pt idx="95">
                  <c:v>42537</c:v>
                </c:pt>
                <c:pt idx="96">
                  <c:v>42536</c:v>
                </c:pt>
                <c:pt idx="97">
                  <c:v>42535</c:v>
                </c:pt>
                <c:pt idx="98">
                  <c:v>42534</c:v>
                </c:pt>
                <c:pt idx="99">
                  <c:v>42531</c:v>
                </c:pt>
                <c:pt idx="100">
                  <c:v>42530</c:v>
                </c:pt>
                <c:pt idx="101">
                  <c:v>42529</c:v>
                </c:pt>
                <c:pt idx="102">
                  <c:v>42528</c:v>
                </c:pt>
                <c:pt idx="103">
                  <c:v>42527</c:v>
                </c:pt>
                <c:pt idx="104">
                  <c:v>42524</c:v>
                </c:pt>
                <c:pt idx="105">
                  <c:v>42523</c:v>
                </c:pt>
                <c:pt idx="106">
                  <c:v>42522</c:v>
                </c:pt>
                <c:pt idx="107">
                  <c:v>42521</c:v>
                </c:pt>
                <c:pt idx="108">
                  <c:v>42520</c:v>
                </c:pt>
                <c:pt idx="109">
                  <c:v>42517</c:v>
                </c:pt>
                <c:pt idx="110">
                  <c:v>42516</c:v>
                </c:pt>
                <c:pt idx="111">
                  <c:v>42515</c:v>
                </c:pt>
                <c:pt idx="112">
                  <c:v>42514</c:v>
                </c:pt>
                <c:pt idx="113">
                  <c:v>42513</c:v>
                </c:pt>
                <c:pt idx="114">
                  <c:v>42510</c:v>
                </c:pt>
                <c:pt idx="115">
                  <c:v>42509</c:v>
                </c:pt>
                <c:pt idx="116">
                  <c:v>42508</c:v>
                </c:pt>
                <c:pt idx="117">
                  <c:v>42507</c:v>
                </c:pt>
                <c:pt idx="118">
                  <c:v>42506</c:v>
                </c:pt>
                <c:pt idx="119">
                  <c:v>42503</c:v>
                </c:pt>
                <c:pt idx="120">
                  <c:v>42502</c:v>
                </c:pt>
                <c:pt idx="121">
                  <c:v>42501</c:v>
                </c:pt>
                <c:pt idx="122">
                  <c:v>42500</c:v>
                </c:pt>
                <c:pt idx="123">
                  <c:v>42499</c:v>
                </c:pt>
                <c:pt idx="124">
                  <c:v>42496</c:v>
                </c:pt>
                <c:pt idx="125">
                  <c:v>42495</c:v>
                </c:pt>
                <c:pt idx="126">
                  <c:v>42494</c:v>
                </c:pt>
                <c:pt idx="127">
                  <c:v>42493</c:v>
                </c:pt>
                <c:pt idx="128">
                  <c:v>42492</c:v>
                </c:pt>
                <c:pt idx="129">
                  <c:v>42489</c:v>
                </c:pt>
                <c:pt idx="130">
                  <c:v>42488</c:v>
                </c:pt>
                <c:pt idx="131">
                  <c:v>42487</c:v>
                </c:pt>
                <c:pt idx="132">
                  <c:v>42486</c:v>
                </c:pt>
                <c:pt idx="133">
                  <c:v>42485</c:v>
                </c:pt>
                <c:pt idx="134">
                  <c:v>42482</c:v>
                </c:pt>
                <c:pt idx="135">
                  <c:v>42481</c:v>
                </c:pt>
                <c:pt idx="136">
                  <c:v>42480</c:v>
                </c:pt>
                <c:pt idx="137">
                  <c:v>42479</c:v>
                </c:pt>
                <c:pt idx="138">
                  <c:v>42478</c:v>
                </c:pt>
                <c:pt idx="139">
                  <c:v>42475</c:v>
                </c:pt>
                <c:pt idx="140">
                  <c:v>42474</c:v>
                </c:pt>
                <c:pt idx="141">
                  <c:v>42473</c:v>
                </c:pt>
                <c:pt idx="142">
                  <c:v>42472</c:v>
                </c:pt>
                <c:pt idx="143">
                  <c:v>42471</c:v>
                </c:pt>
                <c:pt idx="144">
                  <c:v>42468</c:v>
                </c:pt>
                <c:pt idx="145">
                  <c:v>42467</c:v>
                </c:pt>
                <c:pt idx="146">
                  <c:v>42466</c:v>
                </c:pt>
                <c:pt idx="147">
                  <c:v>42465</c:v>
                </c:pt>
                <c:pt idx="148">
                  <c:v>42464</c:v>
                </c:pt>
                <c:pt idx="149">
                  <c:v>42461</c:v>
                </c:pt>
                <c:pt idx="150">
                  <c:v>42460</c:v>
                </c:pt>
                <c:pt idx="151">
                  <c:v>42459</c:v>
                </c:pt>
                <c:pt idx="152">
                  <c:v>42458</c:v>
                </c:pt>
                <c:pt idx="153">
                  <c:v>42457</c:v>
                </c:pt>
                <c:pt idx="154">
                  <c:v>42454</c:v>
                </c:pt>
                <c:pt idx="155">
                  <c:v>42453</c:v>
                </c:pt>
                <c:pt idx="156">
                  <c:v>42452</c:v>
                </c:pt>
                <c:pt idx="157">
                  <c:v>42451</c:v>
                </c:pt>
                <c:pt idx="158">
                  <c:v>42450</c:v>
                </c:pt>
                <c:pt idx="159">
                  <c:v>42447</c:v>
                </c:pt>
                <c:pt idx="160">
                  <c:v>42446</c:v>
                </c:pt>
                <c:pt idx="161">
                  <c:v>42445</c:v>
                </c:pt>
                <c:pt idx="162">
                  <c:v>42444</c:v>
                </c:pt>
                <c:pt idx="163">
                  <c:v>42443</c:v>
                </c:pt>
                <c:pt idx="164">
                  <c:v>42440</c:v>
                </c:pt>
                <c:pt idx="165">
                  <c:v>42439</c:v>
                </c:pt>
                <c:pt idx="166">
                  <c:v>42438</c:v>
                </c:pt>
                <c:pt idx="167">
                  <c:v>42437</c:v>
                </c:pt>
                <c:pt idx="168">
                  <c:v>42436</c:v>
                </c:pt>
                <c:pt idx="169">
                  <c:v>42433</c:v>
                </c:pt>
                <c:pt idx="170">
                  <c:v>42432</c:v>
                </c:pt>
                <c:pt idx="171">
                  <c:v>42431</c:v>
                </c:pt>
                <c:pt idx="172">
                  <c:v>42430</c:v>
                </c:pt>
                <c:pt idx="173">
                  <c:v>42429</c:v>
                </c:pt>
                <c:pt idx="174">
                  <c:v>42426</c:v>
                </c:pt>
                <c:pt idx="175">
                  <c:v>42425</c:v>
                </c:pt>
                <c:pt idx="176">
                  <c:v>42424</c:v>
                </c:pt>
                <c:pt idx="177">
                  <c:v>42423</c:v>
                </c:pt>
                <c:pt idx="178">
                  <c:v>42422</c:v>
                </c:pt>
                <c:pt idx="179">
                  <c:v>42419</c:v>
                </c:pt>
                <c:pt idx="180">
                  <c:v>42418</c:v>
                </c:pt>
                <c:pt idx="181">
                  <c:v>42417</c:v>
                </c:pt>
                <c:pt idx="182">
                  <c:v>42416</c:v>
                </c:pt>
                <c:pt idx="183">
                  <c:v>42415</c:v>
                </c:pt>
                <c:pt idx="184">
                  <c:v>42412</c:v>
                </c:pt>
                <c:pt idx="185">
                  <c:v>42411</c:v>
                </c:pt>
                <c:pt idx="186">
                  <c:v>42410</c:v>
                </c:pt>
                <c:pt idx="187">
                  <c:v>42409</c:v>
                </c:pt>
                <c:pt idx="188">
                  <c:v>42408</c:v>
                </c:pt>
                <c:pt idx="189">
                  <c:v>42405</c:v>
                </c:pt>
                <c:pt idx="190">
                  <c:v>42404</c:v>
                </c:pt>
                <c:pt idx="191">
                  <c:v>42403</c:v>
                </c:pt>
                <c:pt idx="192">
                  <c:v>42402</c:v>
                </c:pt>
                <c:pt idx="193">
                  <c:v>42401</c:v>
                </c:pt>
                <c:pt idx="194">
                  <c:v>42398</c:v>
                </c:pt>
                <c:pt idx="195">
                  <c:v>42397</c:v>
                </c:pt>
                <c:pt idx="196">
                  <c:v>42396</c:v>
                </c:pt>
                <c:pt idx="197">
                  <c:v>42395</c:v>
                </c:pt>
                <c:pt idx="198">
                  <c:v>42394</c:v>
                </c:pt>
                <c:pt idx="199">
                  <c:v>42391</c:v>
                </c:pt>
                <c:pt idx="200">
                  <c:v>42390</c:v>
                </c:pt>
                <c:pt idx="201">
                  <c:v>42389</c:v>
                </c:pt>
                <c:pt idx="202">
                  <c:v>42388</c:v>
                </c:pt>
                <c:pt idx="203">
                  <c:v>42387</c:v>
                </c:pt>
                <c:pt idx="204">
                  <c:v>42384</c:v>
                </c:pt>
                <c:pt idx="205">
                  <c:v>42383</c:v>
                </c:pt>
                <c:pt idx="206">
                  <c:v>42382</c:v>
                </c:pt>
                <c:pt idx="207">
                  <c:v>42381</c:v>
                </c:pt>
                <c:pt idx="208">
                  <c:v>42380</c:v>
                </c:pt>
                <c:pt idx="209">
                  <c:v>42377</c:v>
                </c:pt>
                <c:pt idx="210">
                  <c:v>42376</c:v>
                </c:pt>
                <c:pt idx="211">
                  <c:v>42375</c:v>
                </c:pt>
                <c:pt idx="212">
                  <c:v>42374</c:v>
                </c:pt>
                <c:pt idx="213">
                  <c:v>42373</c:v>
                </c:pt>
                <c:pt idx="214">
                  <c:v>42370</c:v>
                </c:pt>
                <c:pt idx="215">
                  <c:v>42369</c:v>
                </c:pt>
                <c:pt idx="216">
                  <c:v>42368</c:v>
                </c:pt>
                <c:pt idx="217">
                  <c:v>42367</c:v>
                </c:pt>
                <c:pt idx="218">
                  <c:v>42366</c:v>
                </c:pt>
                <c:pt idx="219">
                  <c:v>42363</c:v>
                </c:pt>
                <c:pt idx="220">
                  <c:v>42362</c:v>
                </c:pt>
                <c:pt idx="221">
                  <c:v>42361</c:v>
                </c:pt>
                <c:pt idx="222">
                  <c:v>42360</c:v>
                </c:pt>
                <c:pt idx="223">
                  <c:v>42359</c:v>
                </c:pt>
                <c:pt idx="224">
                  <c:v>42356</c:v>
                </c:pt>
                <c:pt idx="225">
                  <c:v>42355</c:v>
                </c:pt>
                <c:pt idx="226">
                  <c:v>42354</c:v>
                </c:pt>
                <c:pt idx="227">
                  <c:v>42353</c:v>
                </c:pt>
                <c:pt idx="228">
                  <c:v>42352</c:v>
                </c:pt>
                <c:pt idx="229">
                  <c:v>42349</c:v>
                </c:pt>
                <c:pt idx="230">
                  <c:v>42348</c:v>
                </c:pt>
                <c:pt idx="231">
                  <c:v>42347</c:v>
                </c:pt>
                <c:pt idx="232">
                  <c:v>42346</c:v>
                </c:pt>
                <c:pt idx="233">
                  <c:v>42345</c:v>
                </c:pt>
                <c:pt idx="234">
                  <c:v>42342</c:v>
                </c:pt>
                <c:pt idx="235">
                  <c:v>42341</c:v>
                </c:pt>
                <c:pt idx="236">
                  <c:v>42340</c:v>
                </c:pt>
                <c:pt idx="237">
                  <c:v>42339</c:v>
                </c:pt>
                <c:pt idx="238">
                  <c:v>42338</c:v>
                </c:pt>
                <c:pt idx="239">
                  <c:v>42335</c:v>
                </c:pt>
                <c:pt idx="240">
                  <c:v>42334</c:v>
                </c:pt>
                <c:pt idx="241">
                  <c:v>42333</c:v>
                </c:pt>
                <c:pt idx="242">
                  <c:v>42332</c:v>
                </c:pt>
                <c:pt idx="243">
                  <c:v>42331</c:v>
                </c:pt>
                <c:pt idx="244">
                  <c:v>42328</c:v>
                </c:pt>
                <c:pt idx="245">
                  <c:v>42327</c:v>
                </c:pt>
                <c:pt idx="246">
                  <c:v>42326</c:v>
                </c:pt>
                <c:pt idx="247">
                  <c:v>42325</c:v>
                </c:pt>
                <c:pt idx="248">
                  <c:v>42324</c:v>
                </c:pt>
                <c:pt idx="249">
                  <c:v>42321</c:v>
                </c:pt>
                <c:pt idx="250">
                  <c:v>42320</c:v>
                </c:pt>
                <c:pt idx="251">
                  <c:v>42319</c:v>
                </c:pt>
                <c:pt idx="252">
                  <c:v>42318</c:v>
                </c:pt>
                <c:pt idx="253">
                  <c:v>42317</c:v>
                </c:pt>
                <c:pt idx="254">
                  <c:v>42314</c:v>
                </c:pt>
                <c:pt idx="255">
                  <c:v>42313</c:v>
                </c:pt>
                <c:pt idx="256">
                  <c:v>42312</c:v>
                </c:pt>
                <c:pt idx="257">
                  <c:v>42311</c:v>
                </c:pt>
                <c:pt idx="258">
                  <c:v>42310</c:v>
                </c:pt>
                <c:pt idx="259">
                  <c:v>42307</c:v>
                </c:pt>
                <c:pt idx="260">
                  <c:v>42306</c:v>
                </c:pt>
                <c:pt idx="261">
                  <c:v>42305</c:v>
                </c:pt>
                <c:pt idx="638">
                  <c:v>0</c:v>
                </c:pt>
              </c:numCache>
            </c:numRef>
          </c:xVal>
          <c:yVal>
            <c:numRef>
              <c:f>Informe5!$AQ$6:$AQ$644</c:f>
              <c:numCache>
                <c:formatCode>General</c:formatCode>
                <c:ptCount val="639"/>
                <c:pt idx="0">
                  <c:v>0.21999999999999997</c:v>
                </c:pt>
                <c:pt idx="1">
                  <c:v>0.21999999999999997</c:v>
                </c:pt>
                <c:pt idx="2">
                  <c:v>0.20999999999999996</c:v>
                </c:pt>
                <c:pt idx="3">
                  <c:v>0.25</c:v>
                </c:pt>
                <c:pt idx="4">
                  <c:v>0.22999999999999998</c:v>
                </c:pt>
                <c:pt idx="5">
                  <c:v>0.20999999999999996</c:v>
                </c:pt>
                <c:pt idx="6">
                  <c:v>0.25</c:v>
                </c:pt>
                <c:pt idx="7">
                  <c:v>0.25</c:v>
                </c:pt>
                <c:pt idx="8">
                  <c:v>0.26</c:v>
                </c:pt>
                <c:pt idx="9">
                  <c:v>0.25</c:v>
                </c:pt>
                <c:pt idx="10">
                  <c:v>0.27</c:v>
                </c:pt>
                <c:pt idx="11">
                  <c:v>0.25</c:v>
                </c:pt>
                <c:pt idx="12">
                  <c:v>0.28000000000000003</c:v>
                </c:pt>
                <c:pt idx="13">
                  <c:v>0.28000000000000003</c:v>
                </c:pt>
                <c:pt idx="14">
                  <c:v>0.25</c:v>
                </c:pt>
                <c:pt idx="15">
                  <c:v>0.34000000000000008</c:v>
                </c:pt>
                <c:pt idx="16">
                  <c:v>0.31000000000000005</c:v>
                </c:pt>
                <c:pt idx="17">
                  <c:v>0.31</c:v>
                </c:pt>
                <c:pt idx="18">
                  <c:v>0.3</c:v>
                </c:pt>
                <c:pt idx="19">
                  <c:v>0.30000000000000004</c:v>
                </c:pt>
                <c:pt idx="20">
                  <c:v>0.30000000000000004</c:v>
                </c:pt>
                <c:pt idx="21">
                  <c:v>0.28999999999999998</c:v>
                </c:pt>
                <c:pt idx="22">
                  <c:v>0.32</c:v>
                </c:pt>
                <c:pt idx="23">
                  <c:v>0.33000000000000007</c:v>
                </c:pt>
                <c:pt idx="24">
                  <c:v>0.31000000000000005</c:v>
                </c:pt>
                <c:pt idx="25">
                  <c:v>0.31999999999999995</c:v>
                </c:pt>
                <c:pt idx="26">
                  <c:v>0.30999999999999994</c:v>
                </c:pt>
                <c:pt idx="27">
                  <c:v>0.32000000000000006</c:v>
                </c:pt>
                <c:pt idx="28">
                  <c:v>0.32000000000000006</c:v>
                </c:pt>
                <c:pt idx="29">
                  <c:v>0.33000000000000007</c:v>
                </c:pt>
                <c:pt idx="30">
                  <c:v>0.33999999999999997</c:v>
                </c:pt>
                <c:pt idx="31">
                  <c:v>0.32999999999999996</c:v>
                </c:pt>
                <c:pt idx="32">
                  <c:v>0.32999999999999996</c:v>
                </c:pt>
                <c:pt idx="33">
                  <c:v>0.32000000000000006</c:v>
                </c:pt>
                <c:pt idx="34">
                  <c:v>0.30000000000000004</c:v>
                </c:pt>
                <c:pt idx="35">
                  <c:v>0.31000000000000005</c:v>
                </c:pt>
                <c:pt idx="36">
                  <c:v>0.29000000000000004</c:v>
                </c:pt>
                <c:pt idx="37">
                  <c:v>0.31000000000000005</c:v>
                </c:pt>
                <c:pt idx="38">
                  <c:v>0.30000000000000004</c:v>
                </c:pt>
                <c:pt idx="39">
                  <c:v>0.31999999999999995</c:v>
                </c:pt>
                <c:pt idx="40">
                  <c:v>0.29999999999999993</c:v>
                </c:pt>
                <c:pt idx="41">
                  <c:v>0.30999999999999994</c:v>
                </c:pt>
                <c:pt idx="42">
                  <c:v>0.30999999999999994</c:v>
                </c:pt>
                <c:pt idx="43">
                  <c:v>0.31999999999999995</c:v>
                </c:pt>
                <c:pt idx="44">
                  <c:v>0.31999999999999995</c:v>
                </c:pt>
                <c:pt idx="45">
                  <c:v>0.32999999999999996</c:v>
                </c:pt>
                <c:pt idx="46">
                  <c:v>0.31999999999999995</c:v>
                </c:pt>
                <c:pt idx="47">
                  <c:v>0.33999999999999997</c:v>
                </c:pt>
                <c:pt idx="48">
                  <c:v>0.33999999999999997</c:v>
                </c:pt>
                <c:pt idx="49">
                  <c:v>0.35</c:v>
                </c:pt>
                <c:pt idx="50">
                  <c:v>0.33999999999999997</c:v>
                </c:pt>
                <c:pt idx="51">
                  <c:v>0.33000000000000007</c:v>
                </c:pt>
                <c:pt idx="52">
                  <c:v>0.32000000000000006</c:v>
                </c:pt>
                <c:pt idx="53">
                  <c:v>0.32000000000000006</c:v>
                </c:pt>
                <c:pt idx="54">
                  <c:v>0.30000000000000004</c:v>
                </c:pt>
                <c:pt idx="55">
                  <c:v>0.28000000000000003</c:v>
                </c:pt>
                <c:pt idx="56">
                  <c:v>0.27999999999999992</c:v>
                </c:pt>
                <c:pt idx="57">
                  <c:v>0.26</c:v>
                </c:pt>
                <c:pt idx="58">
                  <c:v>0.26</c:v>
                </c:pt>
                <c:pt idx="59">
                  <c:v>0.22999999999999998</c:v>
                </c:pt>
                <c:pt idx="60">
                  <c:v>0.22999999999999998</c:v>
                </c:pt>
                <c:pt idx="61">
                  <c:v>0.26</c:v>
                </c:pt>
                <c:pt idx="62">
                  <c:v>0.28000000000000003</c:v>
                </c:pt>
                <c:pt idx="63">
                  <c:v>0.27</c:v>
                </c:pt>
                <c:pt idx="64">
                  <c:v>0.26</c:v>
                </c:pt>
                <c:pt idx="65">
                  <c:v>0.28999999999999992</c:v>
                </c:pt>
                <c:pt idx="66">
                  <c:v>0.31999999999999984</c:v>
                </c:pt>
                <c:pt idx="67">
                  <c:v>0.34000000000000008</c:v>
                </c:pt>
                <c:pt idx="68">
                  <c:v>0.33000000000000007</c:v>
                </c:pt>
                <c:pt idx="69">
                  <c:v>0.32000000000000006</c:v>
                </c:pt>
                <c:pt idx="70">
                  <c:v>0.32000000000000006</c:v>
                </c:pt>
                <c:pt idx="71">
                  <c:v>0.33000000000000007</c:v>
                </c:pt>
                <c:pt idx="72">
                  <c:v>0.30000000000000004</c:v>
                </c:pt>
                <c:pt idx="73">
                  <c:v>0.28000000000000003</c:v>
                </c:pt>
                <c:pt idx="74">
                  <c:v>0.29000000000000004</c:v>
                </c:pt>
                <c:pt idx="75">
                  <c:v>0.29000000000000004</c:v>
                </c:pt>
                <c:pt idx="76">
                  <c:v>0.29000000000000004</c:v>
                </c:pt>
                <c:pt idx="77">
                  <c:v>0.30000000000000004</c:v>
                </c:pt>
                <c:pt idx="78">
                  <c:v>0.31000000000000005</c:v>
                </c:pt>
                <c:pt idx="79">
                  <c:v>0.32000000000000006</c:v>
                </c:pt>
                <c:pt idx="80">
                  <c:v>0.34000000000000008</c:v>
                </c:pt>
                <c:pt idx="81">
                  <c:v>0.34000000000000008</c:v>
                </c:pt>
                <c:pt idx="82">
                  <c:v>0.34000000000000008</c:v>
                </c:pt>
                <c:pt idx="83">
                  <c:v>0.33999999999999997</c:v>
                </c:pt>
                <c:pt idx="84">
                  <c:v>0.34000000000000008</c:v>
                </c:pt>
                <c:pt idx="85">
                  <c:v>0.33000000000000007</c:v>
                </c:pt>
                <c:pt idx="86">
                  <c:v>0.35000000000000009</c:v>
                </c:pt>
                <c:pt idx="87">
                  <c:v>0.37000000000000011</c:v>
                </c:pt>
                <c:pt idx="88">
                  <c:v>0.37000000000000011</c:v>
                </c:pt>
                <c:pt idx="89">
                  <c:v>0.41999999999999993</c:v>
                </c:pt>
                <c:pt idx="90">
                  <c:v>0.41000000000000014</c:v>
                </c:pt>
                <c:pt idx="91">
                  <c:v>0.42000000000000015</c:v>
                </c:pt>
                <c:pt idx="92">
                  <c:v>0.42999999999999994</c:v>
                </c:pt>
                <c:pt idx="93">
                  <c:v>0.39000000000000012</c:v>
                </c:pt>
                <c:pt idx="94">
                  <c:v>0.42000000000000004</c:v>
                </c:pt>
                <c:pt idx="95">
                  <c:v>0.44000000000000006</c:v>
                </c:pt>
                <c:pt idx="96">
                  <c:v>0.42000000000000015</c:v>
                </c:pt>
                <c:pt idx="97">
                  <c:v>0.43000000000000016</c:v>
                </c:pt>
                <c:pt idx="98">
                  <c:v>0.39999999999999991</c:v>
                </c:pt>
                <c:pt idx="99">
                  <c:v>0.40000000000000013</c:v>
                </c:pt>
                <c:pt idx="100">
                  <c:v>0.40000000000000013</c:v>
                </c:pt>
                <c:pt idx="101">
                  <c:v>0.40999999999999992</c:v>
                </c:pt>
                <c:pt idx="102">
                  <c:v>0.40999999999999992</c:v>
                </c:pt>
                <c:pt idx="103">
                  <c:v>0.40000000000000013</c:v>
                </c:pt>
                <c:pt idx="104">
                  <c:v>0.40999999999999992</c:v>
                </c:pt>
                <c:pt idx="105">
                  <c:v>0.42999999999999994</c:v>
                </c:pt>
                <c:pt idx="106">
                  <c:v>0.40999999999999992</c:v>
                </c:pt>
                <c:pt idx="107">
                  <c:v>0.41999999999999993</c:v>
                </c:pt>
                <c:pt idx="108">
                  <c:v>0.41999999999999993</c:v>
                </c:pt>
                <c:pt idx="109">
                  <c:v>0.42999999999999994</c:v>
                </c:pt>
                <c:pt idx="110">
                  <c:v>0.41999999999999993</c:v>
                </c:pt>
                <c:pt idx="111">
                  <c:v>0.41999999999999993</c:v>
                </c:pt>
                <c:pt idx="112">
                  <c:v>0.39999999999999991</c:v>
                </c:pt>
                <c:pt idx="113">
                  <c:v>0.39999999999999991</c:v>
                </c:pt>
                <c:pt idx="114">
                  <c:v>0.39999999999999991</c:v>
                </c:pt>
                <c:pt idx="115">
                  <c:v>0.40999999999999992</c:v>
                </c:pt>
                <c:pt idx="116">
                  <c:v>0.40999999999999992</c:v>
                </c:pt>
                <c:pt idx="117">
                  <c:v>0.41999999999999993</c:v>
                </c:pt>
                <c:pt idx="118">
                  <c:v>0.41999999999999993</c:v>
                </c:pt>
                <c:pt idx="119">
                  <c:v>0.40999999999999992</c:v>
                </c:pt>
                <c:pt idx="120">
                  <c:v>0.3899999999999999</c:v>
                </c:pt>
                <c:pt idx="121">
                  <c:v>0.35999999999999988</c:v>
                </c:pt>
                <c:pt idx="122">
                  <c:v>0.3600000000000001</c:v>
                </c:pt>
                <c:pt idx="123">
                  <c:v>0.35999999999999988</c:v>
                </c:pt>
                <c:pt idx="124">
                  <c:v>0.35999999999999988</c:v>
                </c:pt>
                <c:pt idx="125">
                  <c:v>0.33999999999999997</c:v>
                </c:pt>
                <c:pt idx="126">
                  <c:v>0.36</c:v>
                </c:pt>
                <c:pt idx="127">
                  <c:v>0.37</c:v>
                </c:pt>
                <c:pt idx="128">
                  <c:v>0.37</c:v>
                </c:pt>
                <c:pt idx="129">
                  <c:v>0.29999999999999993</c:v>
                </c:pt>
                <c:pt idx="130">
                  <c:v>0.33999999999999997</c:v>
                </c:pt>
                <c:pt idx="131">
                  <c:v>0.37</c:v>
                </c:pt>
                <c:pt idx="132">
                  <c:v>0.41000000000000003</c:v>
                </c:pt>
                <c:pt idx="133">
                  <c:v>0.37</c:v>
                </c:pt>
                <c:pt idx="134">
                  <c:v>0.36</c:v>
                </c:pt>
                <c:pt idx="135">
                  <c:v>0.36</c:v>
                </c:pt>
                <c:pt idx="136">
                  <c:v>0.35</c:v>
                </c:pt>
                <c:pt idx="137">
                  <c:v>0.37999999999999989</c:v>
                </c:pt>
                <c:pt idx="138">
                  <c:v>0.3600000000000001</c:v>
                </c:pt>
                <c:pt idx="139">
                  <c:v>0.3899999999999999</c:v>
                </c:pt>
                <c:pt idx="140">
                  <c:v>0.35</c:v>
                </c:pt>
                <c:pt idx="141">
                  <c:v>0.36999999999999988</c:v>
                </c:pt>
                <c:pt idx="142">
                  <c:v>0.37999999999999989</c:v>
                </c:pt>
                <c:pt idx="143">
                  <c:v>0.36999999999999988</c:v>
                </c:pt>
                <c:pt idx="144">
                  <c:v>0.32000000000000017</c:v>
                </c:pt>
                <c:pt idx="145">
                  <c:v>0.35000000000000009</c:v>
                </c:pt>
                <c:pt idx="146">
                  <c:v>0.35999999999999988</c:v>
                </c:pt>
                <c:pt idx="147">
                  <c:v>0.35999999999999988</c:v>
                </c:pt>
                <c:pt idx="148">
                  <c:v>0.34999999999999987</c:v>
                </c:pt>
                <c:pt idx="149">
                  <c:v>0.35</c:v>
                </c:pt>
                <c:pt idx="150">
                  <c:v>0.3899999999999999</c:v>
                </c:pt>
                <c:pt idx="151">
                  <c:v>0.3899999999999999</c:v>
                </c:pt>
                <c:pt idx="152">
                  <c:v>0.37</c:v>
                </c:pt>
                <c:pt idx="153">
                  <c:v>0.3899999999999999</c:v>
                </c:pt>
                <c:pt idx="154">
                  <c:v>0.3899999999999999</c:v>
                </c:pt>
                <c:pt idx="155">
                  <c:v>0.41999999999999993</c:v>
                </c:pt>
                <c:pt idx="156">
                  <c:v>0.43999999999999995</c:v>
                </c:pt>
                <c:pt idx="157">
                  <c:v>0.41999999999999993</c:v>
                </c:pt>
                <c:pt idx="158">
                  <c:v>0.41000000000000014</c:v>
                </c:pt>
                <c:pt idx="159">
                  <c:v>0.42000000000000015</c:v>
                </c:pt>
                <c:pt idx="160">
                  <c:v>0.43999999999999995</c:v>
                </c:pt>
                <c:pt idx="161">
                  <c:v>0.41999999999999993</c:v>
                </c:pt>
                <c:pt idx="162">
                  <c:v>0.42999999999999994</c:v>
                </c:pt>
                <c:pt idx="163">
                  <c:v>0.41999999999999993</c:v>
                </c:pt>
                <c:pt idx="164">
                  <c:v>0.40999999999999992</c:v>
                </c:pt>
                <c:pt idx="165">
                  <c:v>0.41999999999999993</c:v>
                </c:pt>
                <c:pt idx="166">
                  <c:v>0.43999999999999995</c:v>
                </c:pt>
                <c:pt idx="167">
                  <c:v>0.43999999999999995</c:v>
                </c:pt>
                <c:pt idx="168">
                  <c:v>0.45999999999999996</c:v>
                </c:pt>
                <c:pt idx="169">
                  <c:v>0.43999999999999995</c:v>
                </c:pt>
                <c:pt idx="170">
                  <c:v>0.47</c:v>
                </c:pt>
                <c:pt idx="171">
                  <c:v>0.46999999999999986</c:v>
                </c:pt>
                <c:pt idx="172">
                  <c:v>0.47000000000000008</c:v>
                </c:pt>
                <c:pt idx="173">
                  <c:v>0.47000000000000008</c:v>
                </c:pt>
                <c:pt idx="174">
                  <c:v>0.51999999999999991</c:v>
                </c:pt>
                <c:pt idx="175">
                  <c:v>0.5</c:v>
                </c:pt>
                <c:pt idx="176">
                  <c:v>0.5</c:v>
                </c:pt>
                <c:pt idx="177">
                  <c:v>0.55000000000000004</c:v>
                </c:pt>
                <c:pt idx="178">
                  <c:v>0.53</c:v>
                </c:pt>
                <c:pt idx="179">
                  <c:v>0.54</c:v>
                </c:pt>
                <c:pt idx="180">
                  <c:v>0.53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0.55000000000000004</c:v>
                </c:pt>
                <c:pt idx="185">
                  <c:v>0.52</c:v>
                </c:pt>
                <c:pt idx="186">
                  <c:v>0.49</c:v>
                </c:pt>
                <c:pt idx="187">
                  <c:v>0.49</c:v>
                </c:pt>
                <c:pt idx="188">
                  <c:v>0.45999999999999996</c:v>
                </c:pt>
                <c:pt idx="189">
                  <c:v>0.47000000000000008</c:v>
                </c:pt>
                <c:pt idx="190">
                  <c:v>0.51</c:v>
                </c:pt>
                <c:pt idx="191">
                  <c:v>0.54</c:v>
                </c:pt>
                <c:pt idx="192">
                  <c:v>0.56000000000000005</c:v>
                </c:pt>
                <c:pt idx="193">
                  <c:v>0.56000000000000005</c:v>
                </c:pt>
                <c:pt idx="194">
                  <c:v>0.59000000000000008</c:v>
                </c:pt>
                <c:pt idx="195">
                  <c:v>0.55000000000000004</c:v>
                </c:pt>
                <c:pt idx="196">
                  <c:v>0.57000000000000006</c:v>
                </c:pt>
                <c:pt idx="197">
                  <c:v>0.58000000000000007</c:v>
                </c:pt>
                <c:pt idx="198">
                  <c:v>0.56000000000000005</c:v>
                </c:pt>
                <c:pt idx="199">
                  <c:v>0.5</c:v>
                </c:pt>
                <c:pt idx="200">
                  <c:v>0.5</c:v>
                </c:pt>
                <c:pt idx="201">
                  <c:v>0.51</c:v>
                </c:pt>
                <c:pt idx="202">
                  <c:v>0.52</c:v>
                </c:pt>
                <c:pt idx="203">
                  <c:v>0.53</c:v>
                </c:pt>
                <c:pt idx="204">
                  <c:v>0.55000000000000004</c:v>
                </c:pt>
                <c:pt idx="205">
                  <c:v>0.54000000000000015</c:v>
                </c:pt>
                <c:pt idx="206">
                  <c:v>0.54999999999999993</c:v>
                </c:pt>
                <c:pt idx="207">
                  <c:v>0.55999999999999994</c:v>
                </c:pt>
                <c:pt idx="208">
                  <c:v>0.54999999999999993</c:v>
                </c:pt>
                <c:pt idx="209">
                  <c:v>0.55999999999999994</c:v>
                </c:pt>
                <c:pt idx="210">
                  <c:v>0.55999999999999994</c:v>
                </c:pt>
                <c:pt idx="211">
                  <c:v>0.53999999999999992</c:v>
                </c:pt>
                <c:pt idx="212">
                  <c:v>0.57999999999999996</c:v>
                </c:pt>
                <c:pt idx="213">
                  <c:v>0.57999999999999996</c:v>
                </c:pt>
                <c:pt idx="214">
                  <c:v>0.57999999999999996</c:v>
                </c:pt>
                <c:pt idx="215">
                  <c:v>0.57999999999999996</c:v>
                </c:pt>
                <c:pt idx="216">
                  <c:v>0.56999999999999995</c:v>
                </c:pt>
                <c:pt idx="217">
                  <c:v>0.53999999999999992</c:v>
                </c:pt>
                <c:pt idx="218">
                  <c:v>0.49999999999999989</c:v>
                </c:pt>
                <c:pt idx="219">
                  <c:v>0.49999999999999989</c:v>
                </c:pt>
                <c:pt idx="220">
                  <c:v>0.48999999999999988</c:v>
                </c:pt>
                <c:pt idx="221">
                  <c:v>0.47999999999999987</c:v>
                </c:pt>
                <c:pt idx="222">
                  <c:v>0.48</c:v>
                </c:pt>
                <c:pt idx="223">
                  <c:v>0.45999999999999996</c:v>
                </c:pt>
                <c:pt idx="224">
                  <c:v>0.48</c:v>
                </c:pt>
                <c:pt idx="225">
                  <c:v>0.60999999999999988</c:v>
                </c:pt>
                <c:pt idx="226">
                  <c:v>0.52</c:v>
                </c:pt>
                <c:pt idx="227">
                  <c:v>0.52</c:v>
                </c:pt>
                <c:pt idx="228">
                  <c:v>0.56000000000000005</c:v>
                </c:pt>
                <c:pt idx="229">
                  <c:v>0.54999999999999982</c:v>
                </c:pt>
                <c:pt idx="230">
                  <c:v>0.57000000000000006</c:v>
                </c:pt>
                <c:pt idx="231">
                  <c:v>0.57999999999999996</c:v>
                </c:pt>
                <c:pt idx="232">
                  <c:v>0.57999999999999996</c:v>
                </c:pt>
                <c:pt idx="233">
                  <c:v>0.63</c:v>
                </c:pt>
                <c:pt idx="234">
                  <c:v>0.6</c:v>
                </c:pt>
                <c:pt idx="235">
                  <c:v>0.59</c:v>
                </c:pt>
                <c:pt idx="236">
                  <c:v>0.56999999999999984</c:v>
                </c:pt>
                <c:pt idx="237">
                  <c:v>0.57999999999999985</c:v>
                </c:pt>
                <c:pt idx="238">
                  <c:v>0.64999999999999991</c:v>
                </c:pt>
                <c:pt idx="239">
                  <c:v>0.65</c:v>
                </c:pt>
                <c:pt idx="240">
                  <c:v>0.64</c:v>
                </c:pt>
                <c:pt idx="241">
                  <c:v>0.63</c:v>
                </c:pt>
                <c:pt idx="242">
                  <c:v>0.59</c:v>
                </c:pt>
                <c:pt idx="243">
                  <c:v>0.6</c:v>
                </c:pt>
                <c:pt idx="244">
                  <c:v>0.56000000000000005</c:v>
                </c:pt>
                <c:pt idx="245">
                  <c:v>0.56000000000000005</c:v>
                </c:pt>
                <c:pt idx="246">
                  <c:v>0.55000000000000004</c:v>
                </c:pt>
                <c:pt idx="247">
                  <c:v>0.51</c:v>
                </c:pt>
                <c:pt idx="248">
                  <c:v>0.52</c:v>
                </c:pt>
                <c:pt idx="249">
                  <c:v>0.45000000000000007</c:v>
                </c:pt>
                <c:pt idx="250">
                  <c:v>0.47999999999999987</c:v>
                </c:pt>
                <c:pt idx="251">
                  <c:v>0.47999999999999987</c:v>
                </c:pt>
                <c:pt idx="252">
                  <c:v>0.5099999999999999</c:v>
                </c:pt>
                <c:pt idx="253">
                  <c:v>0.51999999999999991</c:v>
                </c:pt>
                <c:pt idx="254">
                  <c:v>0.51999999999999991</c:v>
                </c:pt>
                <c:pt idx="255">
                  <c:v>0.46000000000000008</c:v>
                </c:pt>
                <c:pt idx="256">
                  <c:v>0.46999999999999986</c:v>
                </c:pt>
                <c:pt idx="257">
                  <c:v>0.45999999999999985</c:v>
                </c:pt>
                <c:pt idx="258">
                  <c:v>0.46999999999999986</c:v>
                </c:pt>
                <c:pt idx="259">
                  <c:v>0.43999999999999995</c:v>
                </c:pt>
                <c:pt idx="260">
                  <c:v>0.42999999999999994</c:v>
                </c:pt>
                <c:pt idx="261">
                  <c:v>0.46000000000000008</c:v>
                </c:pt>
                <c:pt idx="638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44000"/>
        <c:axId val="62344576"/>
      </c:scatterChart>
      <c:scatterChart>
        <c:scatterStyle val="lineMarker"/>
        <c:varyColors val="0"/>
        <c:ser>
          <c:idx val="3"/>
          <c:order val="0"/>
          <c:tx>
            <c:strRef>
              <c:f>Informe5!$AT$5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Informe5!$AE$6:$AE$644</c:f>
              <c:numCache>
                <c:formatCode>m/d/yyyy</c:formatCode>
                <c:ptCount val="639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42618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  <c:pt idx="66">
                  <c:v>42578</c:v>
                </c:pt>
                <c:pt idx="67">
                  <c:v>42577</c:v>
                </c:pt>
                <c:pt idx="68">
                  <c:v>42576</c:v>
                </c:pt>
                <c:pt idx="69">
                  <c:v>42573</c:v>
                </c:pt>
                <c:pt idx="70">
                  <c:v>42572</c:v>
                </c:pt>
                <c:pt idx="71">
                  <c:v>42571</c:v>
                </c:pt>
                <c:pt idx="72">
                  <c:v>42570</c:v>
                </c:pt>
                <c:pt idx="73">
                  <c:v>42569</c:v>
                </c:pt>
                <c:pt idx="74">
                  <c:v>42566</c:v>
                </c:pt>
                <c:pt idx="75">
                  <c:v>42565</c:v>
                </c:pt>
                <c:pt idx="76">
                  <c:v>42564</c:v>
                </c:pt>
                <c:pt idx="77">
                  <c:v>42563</c:v>
                </c:pt>
                <c:pt idx="78">
                  <c:v>42562</c:v>
                </c:pt>
                <c:pt idx="79">
                  <c:v>42559</c:v>
                </c:pt>
                <c:pt idx="80">
                  <c:v>42558</c:v>
                </c:pt>
                <c:pt idx="81">
                  <c:v>42557</c:v>
                </c:pt>
                <c:pt idx="82">
                  <c:v>42556</c:v>
                </c:pt>
                <c:pt idx="83">
                  <c:v>42555</c:v>
                </c:pt>
                <c:pt idx="84">
                  <c:v>42552</c:v>
                </c:pt>
                <c:pt idx="85">
                  <c:v>42551</c:v>
                </c:pt>
                <c:pt idx="86">
                  <c:v>42550</c:v>
                </c:pt>
                <c:pt idx="87">
                  <c:v>42549</c:v>
                </c:pt>
                <c:pt idx="88">
                  <c:v>42548</c:v>
                </c:pt>
                <c:pt idx="89">
                  <c:v>42545</c:v>
                </c:pt>
                <c:pt idx="90">
                  <c:v>42544</c:v>
                </c:pt>
                <c:pt idx="91">
                  <c:v>42543</c:v>
                </c:pt>
                <c:pt idx="92">
                  <c:v>42542</c:v>
                </c:pt>
                <c:pt idx="93">
                  <c:v>42541</c:v>
                </c:pt>
                <c:pt idx="94">
                  <c:v>42538</c:v>
                </c:pt>
                <c:pt idx="95">
                  <c:v>42537</c:v>
                </c:pt>
                <c:pt idx="96">
                  <c:v>42536</c:v>
                </c:pt>
                <c:pt idx="97">
                  <c:v>42535</c:v>
                </c:pt>
                <c:pt idx="98">
                  <c:v>42534</c:v>
                </c:pt>
                <c:pt idx="99">
                  <c:v>42531</c:v>
                </c:pt>
                <c:pt idx="100">
                  <c:v>42530</c:v>
                </c:pt>
                <c:pt idx="101">
                  <c:v>42529</c:v>
                </c:pt>
                <c:pt idx="102">
                  <c:v>42528</c:v>
                </c:pt>
                <c:pt idx="103">
                  <c:v>42527</c:v>
                </c:pt>
                <c:pt idx="104">
                  <c:v>42524</c:v>
                </c:pt>
                <c:pt idx="105">
                  <c:v>42523</c:v>
                </c:pt>
                <c:pt idx="106">
                  <c:v>42522</c:v>
                </c:pt>
                <c:pt idx="107">
                  <c:v>42521</c:v>
                </c:pt>
                <c:pt idx="108">
                  <c:v>42520</c:v>
                </c:pt>
                <c:pt idx="109">
                  <c:v>42517</c:v>
                </c:pt>
                <c:pt idx="110">
                  <c:v>42516</c:v>
                </c:pt>
                <c:pt idx="111">
                  <c:v>42515</c:v>
                </c:pt>
                <c:pt idx="112">
                  <c:v>42514</c:v>
                </c:pt>
                <c:pt idx="113">
                  <c:v>42513</c:v>
                </c:pt>
                <c:pt idx="114">
                  <c:v>42510</c:v>
                </c:pt>
                <c:pt idx="115">
                  <c:v>42509</c:v>
                </c:pt>
                <c:pt idx="116">
                  <c:v>42508</c:v>
                </c:pt>
                <c:pt idx="117">
                  <c:v>42507</c:v>
                </c:pt>
                <c:pt idx="118">
                  <c:v>42506</c:v>
                </c:pt>
                <c:pt idx="119">
                  <c:v>42503</c:v>
                </c:pt>
                <c:pt idx="120">
                  <c:v>42502</c:v>
                </c:pt>
                <c:pt idx="121">
                  <c:v>42501</c:v>
                </c:pt>
                <c:pt idx="122">
                  <c:v>42500</c:v>
                </c:pt>
                <c:pt idx="123">
                  <c:v>42499</c:v>
                </c:pt>
                <c:pt idx="124">
                  <c:v>42496</c:v>
                </c:pt>
                <c:pt idx="125">
                  <c:v>42495</c:v>
                </c:pt>
                <c:pt idx="126">
                  <c:v>42494</c:v>
                </c:pt>
                <c:pt idx="127">
                  <c:v>42493</c:v>
                </c:pt>
                <c:pt idx="128">
                  <c:v>42492</c:v>
                </c:pt>
                <c:pt idx="129">
                  <c:v>42489</c:v>
                </c:pt>
                <c:pt idx="130">
                  <c:v>42488</c:v>
                </c:pt>
                <c:pt idx="131">
                  <c:v>42487</c:v>
                </c:pt>
                <c:pt idx="132">
                  <c:v>42486</c:v>
                </c:pt>
                <c:pt idx="133">
                  <c:v>42485</c:v>
                </c:pt>
                <c:pt idx="134">
                  <c:v>42482</c:v>
                </c:pt>
                <c:pt idx="135">
                  <c:v>42481</c:v>
                </c:pt>
                <c:pt idx="136">
                  <c:v>42480</c:v>
                </c:pt>
                <c:pt idx="137">
                  <c:v>42479</c:v>
                </c:pt>
                <c:pt idx="138">
                  <c:v>42478</c:v>
                </c:pt>
                <c:pt idx="139">
                  <c:v>42475</c:v>
                </c:pt>
                <c:pt idx="140">
                  <c:v>42474</c:v>
                </c:pt>
                <c:pt idx="141">
                  <c:v>42473</c:v>
                </c:pt>
                <c:pt idx="142">
                  <c:v>42472</c:v>
                </c:pt>
                <c:pt idx="143">
                  <c:v>42471</c:v>
                </c:pt>
                <c:pt idx="144">
                  <c:v>42468</c:v>
                </c:pt>
                <c:pt idx="145">
                  <c:v>42467</c:v>
                </c:pt>
                <c:pt idx="146">
                  <c:v>42466</c:v>
                </c:pt>
                <c:pt idx="147">
                  <c:v>42465</c:v>
                </c:pt>
                <c:pt idx="148">
                  <c:v>42464</c:v>
                </c:pt>
                <c:pt idx="149">
                  <c:v>42461</c:v>
                </c:pt>
                <c:pt idx="150">
                  <c:v>42460</c:v>
                </c:pt>
                <c:pt idx="151">
                  <c:v>42459</c:v>
                </c:pt>
                <c:pt idx="152">
                  <c:v>42458</c:v>
                </c:pt>
                <c:pt idx="153">
                  <c:v>42457</c:v>
                </c:pt>
                <c:pt idx="154">
                  <c:v>42454</c:v>
                </c:pt>
                <c:pt idx="155">
                  <c:v>42453</c:v>
                </c:pt>
                <c:pt idx="156">
                  <c:v>42452</c:v>
                </c:pt>
                <c:pt idx="157">
                  <c:v>42451</c:v>
                </c:pt>
                <c:pt idx="158">
                  <c:v>42450</c:v>
                </c:pt>
                <c:pt idx="159">
                  <c:v>42447</c:v>
                </c:pt>
                <c:pt idx="160">
                  <c:v>42446</c:v>
                </c:pt>
                <c:pt idx="161">
                  <c:v>42445</c:v>
                </c:pt>
                <c:pt idx="162">
                  <c:v>42444</c:v>
                </c:pt>
                <c:pt idx="163">
                  <c:v>42443</c:v>
                </c:pt>
                <c:pt idx="164">
                  <c:v>42440</c:v>
                </c:pt>
                <c:pt idx="165">
                  <c:v>42439</c:v>
                </c:pt>
                <c:pt idx="166">
                  <c:v>42438</c:v>
                </c:pt>
                <c:pt idx="167">
                  <c:v>42437</c:v>
                </c:pt>
                <c:pt idx="168">
                  <c:v>42436</c:v>
                </c:pt>
                <c:pt idx="169">
                  <c:v>42433</c:v>
                </c:pt>
                <c:pt idx="170">
                  <c:v>42432</c:v>
                </c:pt>
                <c:pt idx="171">
                  <c:v>42431</c:v>
                </c:pt>
                <c:pt idx="172">
                  <c:v>42430</c:v>
                </c:pt>
                <c:pt idx="173">
                  <c:v>42429</c:v>
                </c:pt>
                <c:pt idx="174">
                  <c:v>42426</c:v>
                </c:pt>
                <c:pt idx="175">
                  <c:v>42425</c:v>
                </c:pt>
                <c:pt idx="176">
                  <c:v>42424</c:v>
                </c:pt>
                <c:pt idx="177">
                  <c:v>42423</c:v>
                </c:pt>
                <c:pt idx="178">
                  <c:v>42422</c:v>
                </c:pt>
                <c:pt idx="179">
                  <c:v>42419</c:v>
                </c:pt>
                <c:pt idx="180">
                  <c:v>42418</c:v>
                </c:pt>
                <c:pt idx="181">
                  <c:v>42417</c:v>
                </c:pt>
                <c:pt idx="182">
                  <c:v>42416</c:v>
                </c:pt>
                <c:pt idx="183">
                  <c:v>42415</c:v>
                </c:pt>
                <c:pt idx="184">
                  <c:v>42412</c:v>
                </c:pt>
                <c:pt idx="185">
                  <c:v>42411</c:v>
                </c:pt>
                <c:pt idx="186">
                  <c:v>42410</c:v>
                </c:pt>
                <c:pt idx="187">
                  <c:v>42409</c:v>
                </c:pt>
                <c:pt idx="188">
                  <c:v>42408</c:v>
                </c:pt>
                <c:pt idx="189">
                  <c:v>42405</c:v>
                </c:pt>
                <c:pt idx="190">
                  <c:v>42404</c:v>
                </c:pt>
                <c:pt idx="191">
                  <c:v>42403</c:v>
                </c:pt>
                <c:pt idx="192">
                  <c:v>42402</c:v>
                </c:pt>
                <c:pt idx="193">
                  <c:v>42401</c:v>
                </c:pt>
                <c:pt idx="194">
                  <c:v>42398</c:v>
                </c:pt>
                <c:pt idx="195">
                  <c:v>42397</c:v>
                </c:pt>
                <c:pt idx="196">
                  <c:v>42396</c:v>
                </c:pt>
                <c:pt idx="197">
                  <c:v>42395</c:v>
                </c:pt>
                <c:pt idx="198">
                  <c:v>42394</c:v>
                </c:pt>
                <c:pt idx="199">
                  <c:v>42391</c:v>
                </c:pt>
                <c:pt idx="200">
                  <c:v>42390</c:v>
                </c:pt>
                <c:pt idx="201">
                  <c:v>42389</c:v>
                </c:pt>
                <c:pt idx="202">
                  <c:v>42388</c:v>
                </c:pt>
                <c:pt idx="203">
                  <c:v>42387</c:v>
                </c:pt>
                <c:pt idx="204">
                  <c:v>42384</c:v>
                </c:pt>
                <c:pt idx="205">
                  <c:v>42383</c:v>
                </c:pt>
                <c:pt idx="206">
                  <c:v>42382</c:v>
                </c:pt>
                <c:pt idx="207">
                  <c:v>42381</c:v>
                </c:pt>
                <c:pt idx="208">
                  <c:v>42380</c:v>
                </c:pt>
                <c:pt idx="209">
                  <c:v>42377</c:v>
                </c:pt>
                <c:pt idx="210">
                  <c:v>42376</c:v>
                </c:pt>
                <c:pt idx="211">
                  <c:v>42375</c:v>
                </c:pt>
                <c:pt idx="212">
                  <c:v>42374</c:v>
                </c:pt>
                <c:pt idx="213">
                  <c:v>42373</c:v>
                </c:pt>
                <c:pt idx="214">
                  <c:v>42370</c:v>
                </c:pt>
                <c:pt idx="215">
                  <c:v>42369</c:v>
                </c:pt>
                <c:pt idx="216">
                  <c:v>42368</c:v>
                </c:pt>
                <c:pt idx="217">
                  <c:v>42367</c:v>
                </c:pt>
                <c:pt idx="218">
                  <c:v>42366</c:v>
                </c:pt>
                <c:pt idx="219">
                  <c:v>42363</c:v>
                </c:pt>
                <c:pt idx="220">
                  <c:v>42362</c:v>
                </c:pt>
                <c:pt idx="221">
                  <c:v>42361</c:v>
                </c:pt>
                <c:pt idx="222">
                  <c:v>42360</c:v>
                </c:pt>
                <c:pt idx="223">
                  <c:v>42359</c:v>
                </c:pt>
                <c:pt idx="224">
                  <c:v>42356</c:v>
                </c:pt>
                <c:pt idx="225">
                  <c:v>42355</c:v>
                </c:pt>
                <c:pt idx="226">
                  <c:v>42354</c:v>
                </c:pt>
                <c:pt idx="227">
                  <c:v>42353</c:v>
                </c:pt>
                <c:pt idx="228">
                  <c:v>42352</c:v>
                </c:pt>
                <c:pt idx="229">
                  <c:v>42349</c:v>
                </c:pt>
                <c:pt idx="230">
                  <c:v>42348</c:v>
                </c:pt>
                <c:pt idx="231">
                  <c:v>42347</c:v>
                </c:pt>
                <c:pt idx="232">
                  <c:v>42346</c:v>
                </c:pt>
                <c:pt idx="233">
                  <c:v>42345</c:v>
                </c:pt>
                <c:pt idx="234">
                  <c:v>42342</c:v>
                </c:pt>
                <c:pt idx="235">
                  <c:v>42341</c:v>
                </c:pt>
                <c:pt idx="236">
                  <c:v>42340</c:v>
                </c:pt>
                <c:pt idx="237">
                  <c:v>42339</c:v>
                </c:pt>
                <c:pt idx="238">
                  <c:v>42338</c:v>
                </c:pt>
                <c:pt idx="239">
                  <c:v>42335</c:v>
                </c:pt>
                <c:pt idx="240">
                  <c:v>42334</c:v>
                </c:pt>
                <c:pt idx="241">
                  <c:v>42333</c:v>
                </c:pt>
                <c:pt idx="242">
                  <c:v>42332</c:v>
                </c:pt>
                <c:pt idx="243">
                  <c:v>42331</c:v>
                </c:pt>
                <c:pt idx="244">
                  <c:v>42328</c:v>
                </c:pt>
                <c:pt idx="245">
                  <c:v>42327</c:v>
                </c:pt>
                <c:pt idx="246">
                  <c:v>42326</c:v>
                </c:pt>
                <c:pt idx="247">
                  <c:v>42325</c:v>
                </c:pt>
                <c:pt idx="248">
                  <c:v>42324</c:v>
                </c:pt>
                <c:pt idx="249">
                  <c:v>42321</c:v>
                </c:pt>
                <c:pt idx="250">
                  <c:v>42320</c:v>
                </c:pt>
                <c:pt idx="251">
                  <c:v>42319</c:v>
                </c:pt>
                <c:pt idx="252">
                  <c:v>42318</c:v>
                </c:pt>
                <c:pt idx="253">
                  <c:v>42317</c:v>
                </c:pt>
                <c:pt idx="254">
                  <c:v>42314</c:v>
                </c:pt>
                <c:pt idx="255">
                  <c:v>42313</c:v>
                </c:pt>
                <c:pt idx="256">
                  <c:v>42312</c:v>
                </c:pt>
                <c:pt idx="257">
                  <c:v>42311</c:v>
                </c:pt>
                <c:pt idx="258">
                  <c:v>42310</c:v>
                </c:pt>
                <c:pt idx="259">
                  <c:v>42307</c:v>
                </c:pt>
                <c:pt idx="260">
                  <c:v>42306</c:v>
                </c:pt>
                <c:pt idx="261">
                  <c:v>42305</c:v>
                </c:pt>
                <c:pt idx="638">
                  <c:v>0</c:v>
                </c:pt>
              </c:numCache>
            </c:numRef>
          </c:xVal>
          <c:yVal>
            <c:numRef>
              <c:f>Informe5!$AT$6:$AT$644</c:f>
              <c:numCache>
                <c:formatCode>General</c:formatCode>
                <c:ptCount val="63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45728"/>
        <c:axId val="62345152"/>
      </c:scatterChart>
      <c:valAx>
        <c:axId val="62344000"/>
        <c:scaling>
          <c:orientation val="minMax"/>
        </c:scaling>
        <c:delete val="0"/>
        <c:axPos val="b"/>
        <c:numFmt formatCode="mm/yyyy" sourceLinked="0"/>
        <c:majorTickMark val="out"/>
        <c:minorTickMark val="none"/>
        <c:tickLblPos val="low"/>
        <c:crossAx val="62344576"/>
        <c:crosses val="autoZero"/>
        <c:crossBetween val="midCat"/>
      </c:valAx>
      <c:valAx>
        <c:axId val="62344576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General" sourceLinked="1"/>
        <c:majorTickMark val="out"/>
        <c:minorTickMark val="none"/>
        <c:tickLblPos val="nextTo"/>
        <c:crossAx val="62344000"/>
        <c:crosses val="autoZero"/>
        <c:crossBetween val="midCat"/>
      </c:valAx>
      <c:valAx>
        <c:axId val="623451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62345728"/>
        <c:crosses val="max"/>
        <c:crossBetween val="midCat"/>
      </c:valAx>
      <c:valAx>
        <c:axId val="623457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23451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967279573451261E-2"/>
          <c:y val="3.2642457418981294E-2"/>
          <c:w val="0.91503534983242685"/>
          <c:h val="0.74375710281695784"/>
        </c:manualLayout>
      </c:layout>
      <c:lineChart>
        <c:grouping val="standard"/>
        <c:varyColors val="0"/>
        <c:ser>
          <c:idx val="5"/>
          <c:order val="0"/>
          <c:tx>
            <c:strRef>
              <c:f>SimulaSwapCL!$Q$31</c:f>
              <c:strCache>
                <c:ptCount val="1"/>
                <c:pt idx="0">
                  <c:v>0/0/0/0/0/0/0/0/0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noFill/>
              <a:ln w="15875">
                <a:solidFill>
                  <a:schemeClr val="tx2">
                    <a:lumMod val="75000"/>
                  </a:schemeClr>
                </a:solidFill>
              </a:ln>
            </c:spPr>
          </c:marker>
          <c:cat>
            <c:strRef>
              <c:f>SimulaSwapCL!$R$30:$W$30</c:f>
              <c:strCache>
                <c:ptCount val="6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</c:strCache>
            </c:strRef>
          </c:cat>
          <c:val>
            <c:numRef>
              <c:f>SimulaSwapCL!$R$31:$W$31</c:f>
              <c:numCache>
                <c:formatCode>0.00</c:formatCode>
                <c:ptCount val="6"/>
                <c:pt idx="0">
                  <c:v>3.5165561564101071</c:v>
                </c:pt>
                <c:pt idx="1">
                  <c:v>3.5318375811638134</c:v>
                </c:pt>
                <c:pt idx="2">
                  <c:v>3.5477273048621787</c:v>
                </c:pt>
                <c:pt idx="3">
                  <c:v>3.5637122100997911</c:v>
                </c:pt>
                <c:pt idx="4">
                  <c:v>3.6765983126052393</c:v>
                </c:pt>
                <c:pt idx="5">
                  <c:v>3.7127397720755795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SimulaSwapCL!$Q$32</c:f>
              <c:strCache>
                <c:ptCount val="1"/>
                <c:pt idx="0">
                  <c:v>0/0/0/0/0/0/0/0/-25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noFill/>
              <a:ln w="15875"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SimulaSwapCL!$R$30:$W$30</c:f>
              <c:strCache>
                <c:ptCount val="6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</c:strCache>
            </c:strRef>
          </c:cat>
          <c:val>
            <c:numRef>
              <c:f>SimulaSwapCL!$R$32:$W$32</c:f>
              <c:numCache>
                <c:formatCode>0.00</c:formatCode>
                <c:ptCount val="6"/>
                <c:pt idx="0">
                  <c:v>3.5165561564101071</c:v>
                </c:pt>
                <c:pt idx="1">
                  <c:v>3.5318375811638134</c:v>
                </c:pt>
                <c:pt idx="2">
                  <c:v>3.5299964919259108</c:v>
                </c:pt>
                <c:pt idx="3">
                  <c:v>3.4512546580237502</c:v>
                </c:pt>
                <c:pt idx="4">
                  <c:v>3.3456994863567679</c:v>
                </c:pt>
                <c:pt idx="5">
                  <c:v>3.2226328043559516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SimulaSwapCL!$Q$33</c:f>
              <c:strCache>
                <c:ptCount val="1"/>
                <c:pt idx="0">
                  <c:v>0/0/0/-25/0/-25/0/0/0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noFill/>
              <a:ln w="15875">
                <a:solidFill>
                  <a:schemeClr val="accent4">
                    <a:lumMod val="75000"/>
                  </a:schemeClr>
                </a:solidFill>
              </a:ln>
            </c:spPr>
          </c:marker>
          <c:cat>
            <c:strRef>
              <c:f>SimulaSwapCL!$R$30:$W$30</c:f>
              <c:strCache>
                <c:ptCount val="6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</c:strCache>
            </c:strRef>
          </c:cat>
          <c:val>
            <c:numRef>
              <c:f>SimulaSwapCL!$R$33:$W$33</c:f>
              <c:numCache>
                <c:formatCode>0.00</c:formatCode>
                <c:ptCount val="6"/>
                <c:pt idx="0">
                  <c:v>3.5165561564101071</c:v>
                </c:pt>
                <c:pt idx="1">
                  <c:v>3.4021643616047235</c:v>
                </c:pt>
                <c:pt idx="2">
                  <c:v>3.2900151422416712</c:v>
                </c:pt>
                <c:pt idx="3">
                  <c:v>3.239721451079784</c:v>
                </c:pt>
                <c:pt idx="4">
                  <c:v>3.2015005145031439</c:v>
                </c:pt>
                <c:pt idx="5">
                  <c:v>3.1180492455418207</c:v>
                </c:pt>
              </c:numCache>
            </c:numRef>
          </c:val>
          <c:smooth val="0"/>
        </c:ser>
        <c:ser>
          <c:idx val="2"/>
          <c:order val="3"/>
          <c:tx>
            <c:strRef>
              <c:f>SimulaSwapCL!$Q$34</c:f>
              <c:strCache>
                <c:ptCount val="1"/>
                <c:pt idx="0">
                  <c:v>0/0/-25/0/-25/0/0/0/0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noFill/>
              <a:ln w="15875">
                <a:solidFill>
                  <a:schemeClr val="accent1">
                    <a:lumMod val="75000"/>
                  </a:schemeClr>
                </a:solidFill>
              </a:ln>
            </c:spPr>
          </c:marker>
          <c:cat>
            <c:strRef>
              <c:f>SimulaSwapCL!$R$30:$W$30</c:f>
              <c:strCache>
                <c:ptCount val="6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</c:strCache>
            </c:strRef>
          </c:cat>
          <c:val>
            <c:numRef>
              <c:f>SimulaSwapCL!$R$34:$W$34</c:f>
              <c:numCache>
                <c:formatCode>0.00</c:formatCode>
                <c:ptCount val="6"/>
                <c:pt idx="0">
                  <c:v>3.4702052594451884</c:v>
                </c:pt>
                <c:pt idx="1">
                  <c:v>3.3173169780789338</c:v>
                </c:pt>
                <c:pt idx="2">
                  <c:v>3.2328977814969475</c:v>
                </c:pt>
                <c:pt idx="3">
                  <c:v>3.1964922544585526</c:v>
                </c:pt>
                <c:pt idx="4">
                  <c:v>3.1720318282533739</c:v>
                </c:pt>
                <c:pt idx="5">
                  <c:v>3.0966559338088562</c:v>
                </c:pt>
              </c:numCache>
            </c:numRef>
          </c:val>
          <c:smooth val="0"/>
        </c:ser>
        <c:ser>
          <c:idx val="3"/>
          <c:order val="4"/>
          <c:tx>
            <c:strRef>
              <c:f>SimulaSwapCL!$Q$35</c:f>
              <c:strCache>
                <c:ptCount val="1"/>
                <c:pt idx="0">
                  <c:v>0/0/0/0/0/0/0/0/0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</c:spPr>
          </c:marker>
          <c:cat>
            <c:strRef>
              <c:f>SimulaSwapCL!$R$30:$W$30</c:f>
              <c:strCache>
                <c:ptCount val="6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</c:strCache>
            </c:strRef>
          </c:cat>
          <c:val>
            <c:numRef>
              <c:f>SimulaSwapCL!$R$35:$W$35</c:f>
              <c:numCache>
                <c:formatCode>0.00</c:formatCode>
                <c:ptCount val="6"/>
                <c:pt idx="0">
                  <c:v>3.5165561564101071</c:v>
                </c:pt>
                <c:pt idx="1">
                  <c:v>3.5318375811638134</c:v>
                </c:pt>
                <c:pt idx="2">
                  <c:v>3.5477273048621787</c:v>
                </c:pt>
                <c:pt idx="3">
                  <c:v>3.5637122100997911</c:v>
                </c:pt>
                <c:pt idx="4">
                  <c:v>3.5954412085672631</c:v>
                </c:pt>
                <c:pt idx="5">
                  <c:v>3.5306325111486903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SimulaSwapCL!$Q$36</c:f>
              <c:strCache>
                <c:ptCount val="1"/>
                <c:pt idx="0">
                  <c:v>0/0/0/0/0/-25/0/-25/0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noFill/>
              <a:ln w="15875">
                <a:solidFill>
                  <a:schemeClr val="bg2">
                    <a:lumMod val="25000"/>
                  </a:schemeClr>
                </a:solidFill>
              </a:ln>
            </c:spPr>
          </c:marker>
          <c:cat>
            <c:strRef>
              <c:f>SimulaSwapCL!$R$30:$W$30</c:f>
              <c:strCache>
                <c:ptCount val="6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</c:strCache>
            </c:strRef>
          </c:cat>
          <c:val>
            <c:numRef>
              <c:f>SimulaSwapCL!$R$36:$W$36</c:f>
              <c:numCache>
                <c:formatCode>0.00</c:formatCode>
                <c:ptCount val="6"/>
                <c:pt idx="0">
                  <c:v>3.5165561564101071</c:v>
                </c:pt>
                <c:pt idx="1">
                  <c:v>3.5073862653760388</c:v>
                </c:pt>
                <c:pt idx="2">
                  <c:v>3.4006347585216266</c:v>
                </c:pt>
                <c:pt idx="3">
                  <c:v>3.3234437568723201</c:v>
                </c:pt>
                <c:pt idx="4">
                  <c:v>3.2585727377768015</c:v>
                </c:pt>
                <c:pt idx="5">
                  <c:v>3.1594620495097647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SimulaSwapCL!$Q$37</c:f>
              <c:strCache>
                <c:ptCount val="1"/>
                <c:pt idx="0">
                  <c:v>0/0/0/0/0/0/0/0/0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noFill/>
              <a:ln w="15875">
                <a:solidFill>
                  <a:schemeClr val="tx2">
                    <a:lumMod val="75000"/>
                  </a:schemeClr>
                </a:solidFill>
              </a:ln>
            </c:spPr>
          </c:marker>
          <c:val>
            <c:numRef>
              <c:f>SimulaSwapCL!$R$37:$W$37</c:f>
              <c:numCache>
                <c:formatCode>0.00</c:formatCode>
                <c:ptCount val="6"/>
                <c:pt idx="0">
                  <c:v>3.5165561564101071</c:v>
                </c:pt>
                <c:pt idx="1">
                  <c:v>3.5318375811638134</c:v>
                </c:pt>
                <c:pt idx="2">
                  <c:v>3.5477273048621787</c:v>
                </c:pt>
                <c:pt idx="3">
                  <c:v>3.5501307138837701</c:v>
                </c:pt>
                <c:pt idx="4">
                  <c:v>3.4329370155806291</c:v>
                </c:pt>
                <c:pt idx="5">
                  <c:v>3.2858231682842742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SimulaSwapCL!$Q$38</c:f>
              <c:strCache>
                <c:ptCount val="1"/>
                <c:pt idx="0">
                  <c:v>0/0/0/0/0/0/0/0/0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noFill/>
              <a:ln w="15875">
                <a:solidFill>
                  <a:schemeClr val="accent1">
                    <a:lumMod val="75000"/>
                  </a:schemeClr>
                </a:solidFill>
              </a:ln>
            </c:spPr>
          </c:marker>
          <c:val>
            <c:numRef>
              <c:f>SimulaSwapCL!$R$38:$W$38</c:f>
              <c:numCache>
                <c:formatCode>0.00</c:formatCode>
                <c:ptCount val="6"/>
                <c:pt idx="0">
                  <c:v>3.5165561564101071</c:v>
                </c:pt>
                <c:pt idx="1">
                  <c:v>3.5318375811638134</c:v>
                </c:pt>
                <c:pt idx="2">
                  <c:v>3.5477273048621787</c:v>
                </c:pt>
                <c:pt idx="3">
                  <c:v>3.5637122100997911</c:v>
                </c:pt>
                <c:pt idx="4">
                  <c:v>3.5717126230014391</c:v>
                </c:pt>
                <c:pt idx="5">
                  <c:v>3.3901474392692421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SimulaSwapCL!$Q$39</c:f>
              <c:strCache>
                <c:ptCount val="1"/>
                <c:pt idx="0">
                  <c:v>0/0/0/-25/0/-25/0/-25/0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noFill/>
              <a:ln w="15875">
                <a:solidFill>
                  <a:schemeClr val="accent2">
                    <a:lumMod val="75000"/>
                  </a:schemeClr>
                </a:solidFill>
              </a:ln>
            </c:spPr>
          </c:marker>
          <c:val>
            <c:numRef>
              <c:f>SimulaSwapCL!$R$39:$W$39</c:f>
              <c:numCache>
                <c:formatCode>0.00</c:formatCode>
                <c:ptCount val="6"/>
                <c:pt idx="0">
                  <c:v>3.5165561564101071</c:v>
                </c:pt>
                <c:pt idx="1">
                  <c:v>3.4021643616047235</c:v>
                </c:pt>
                <c:pt idx="2">
                  <c:v>3.244684244067392</c:v>
                </c:pt>
                <c:pt idx="3">
                  <c:v>3.1411500069556313</c:v>
                </c:pt>
                <c:pt idx="4">
                  <c:v>3.048289805822098</c:v>
                </c:pt>
                <c:pt idx="5">
                  <c:v>2.9432695560344779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SimulaSwapCL!$Q$40</c:f>
              <c:strCache>
                <c:ptCount val="1"/>
                <c:pt idx="0">
                  <c:v>0/0/0/0/-25/0/-25/0/0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noFill/>
              <a:ln w="15875">
                <a:solidFill>
                  <a:schemeClr val="bg1">
                    <a:lumMod val="65000"/>
                  </a:schemeClr>
                </a:solidFill>
              </a:ln>
            </c:spPr>
          </c:marker>
          <c:val>
            <c:numRef>
              <c:f>SimulaSwapCL!$R$40:$W$40</c:f>
              <c:numCache>
                <c:formatCode>0.00</c:formatCode>
                <c:ptCount val="6"/>
                <c:pt idx="0">
                  <c:v>3.5165561564101071</c:v>
                </c:pt>
                <c:pt idx="1">
                  <c:v>3.464935507500972</c:v>
                </c:pt>
                <c:pt idx="2">
                  <c:v>3.3434697844357557</c:v>
                </c:pt>
                <c:pt idx="3">
                  <c:v>3.2457117361277406</c:v>
                </c:pt>
                <c:pt idx="4">
                  <c:v>3.0389776141813116</c:v>
                </c:pt>
                <c:pt idx="5">
                  <c:v>2.873044523591517</c:v>
                </c:pt>
              </c:numCache>
            </c:numRef>
          </c:val>
          <c:smooth val="0"/>
        </c:ser>
        <c:ser>
          <c:idx val="10"/>
          <c:order val="10"/>
          <c:tx>
            <c:v>Market</c:v>
          </c:tx>
          <c:spPr>
            <a:ln w="28575">
              <a:solidFill>
                <a:schemeClr val="bg1">
                  <a:lumMod val="65000"/>
                </a:schemeClr>
              </a:solidFill>
              <a:prstDash val="sysDot"/>
            </a:ln>
          </c:spPr>
          <c:marker>
            <c:symbol val="diamond"/>
            <c:size val="7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val>
            <c:numRef>
              <c:f>SimulaSwapCL!$B$40:$B$45</c:f>
              <c:numCache>
                <c:formatCode>General</c:formatCode>
                <c:ptCount val="6"/>
                <c:pt idx="0">
                  <c:v>3.49</c:v>
                </c:pt>
                <c:pt idx="1">
                  <c:v>3.39</c:v>
                </c:pt>
                <c:pt idx="2">
                  <c:v>3.36</c:v>
                </c:pt>
                <c:pt idx="3">
                  <c:v>3.33</c:v>
                </c:pt>
                <c:pt idx="4">
                  <c:v>3.29</c:v>
                </c:pt>
                <c:pt idx="5">
                  <c:v>3.24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670016"/>
        <c:axId val="451182592"/>
      </c:lineChart>
      <c:catAx>
        <c:axId val="435670016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txPr>
          <a:bodyPr/>
          <a:lstStyle/>
          <a:p>
            <a:pPr>
              <a:defRPr sz="1050"/>
            </a:pPr>
            <a:endParaRPr lang="es-CL"/>
          </a:p>
        </c:txPr>
        <c:crossAx val="451182592"/>
        <c:crosses val="autoZero"/>
        <c:auto val="1"/>
        <c:lblAlgn val="ctr"/>
        <c:lblOffset val="100"/>
        <c:noMultiLvlLbl val="0"/>
      </c:catAx>
      <c:valAx>
        <c:axId val="451182592"/>
        <c:scaling>
          <c:orientation val="minMax"/>
          <c:min val="3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minorGridlines>
          <c:spPr>
            <a:ln>
              <a:noFill/>
            </a:ln>
          </c:spPr>
        </c:minorGridlines>
        <c:numFmt formatCode="0.00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s-CL"/>
          </a:p>
        </c:txPr>
        <c:crossAx val="43567001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5318569341073358E-2"/>
          <c:y val="0.85643032242187855"/>
          <c:w val="0.95417778535306397"/>
          <c:h val="0.12592911038527044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Zero_swap_CL!$E$42</c:f>
              <c:strCache>
                <c:ptCount val="1"/>
                <c:pt idx="0">
                  <c:v>Swap BEI</c:v>
                </c:pt>
              </c:strCache>
            </c:strRef>
          </c:tx>
          <c:marker>
            <c:symbol val="none"/>
          </c:marker>
          <c:xVal>
            <c:numRef>
              <c:f>Zero_swap_CL!$D$43:$D$56</c:f>
              <c:numCache>
                <c:formatCode>General</c:formatCode>
                <c:ptCount val="14"/>
                <c:pt idx="0">
                  <c:v>98</c:v>
                </c:pt>
                <c:pt idx="1">
                  <c:v>187</c:v>
                </c:pt>
                <c:pt idx="2">
                  <c:v>279</c:v>
                </c:pt>
                <c:pt idx="3">
                  <c:v>371</c:v>
                </c:pt>
                <c:pt idx="4">
                  <c:v>552</c:v>
                </c:pt>
                <c:pt idx="5">
                  <c:v>736</c:v>
                </c:pt>
                <c:pt idx="6">
                  <c:v>1101</c:v>
                </c:pt>
                <c:pt idx="7">
                  <c:v>1467</c:v>
                </c:pt>
                <c:pt idx="8">
                  <c:v>1832</c:v>
                </c:pt>
                <c:pt idx="9">
                  <c:v>2197</c:v>
                </c:pt>
                <c:pt idx="10">
                  <c:v>2562</c:v>
                </c:pt>
                <c:pt idx="11">
                  <c:v>2928</c:v>
                </c:pt>
                <c:pt idx="12">
                  <c:v>3293</c:v>
                </c:pt>
                <c:pt idx="13">
                  <c:v>3658</c:v>
                </c:pt>
              </c:numCache>
            </c:numRef>
          </c:xVal>
          <c:yVal>
            <c:numRef>
              <c:f>Zero_swap_CL!$E$43:$E$56</c:f>
              <c:numCache>
                <c:formatCode>General</c:formatCode>
                <c:ptCount val="14"/>
                <c:pt idx="0">
                  <c:v>2.3100000000000005</c:v>
                </c:pt>
                <c:pt idx="1">
                  <c:v>1.6600000000000001</c:v>
                </c:pt>
                <c:pt idx="2">
                  <c:v>2.4699999999999998</c:v>
                </c:pt>
                <c:pt idx="3">
                  <c:v>2.56</c:v>
                </c:pt>
                <c:pt idx="4">
                  <c:v>2.52</c:v>
                </c:pt>
                <c:pt idx="5">
                  <c:v>2.6900000000000004</c:v>
                </c:pt>
                <c:pt idx="6">
                  <c:v>2.8</c:v>
                </c:pt>
                <c:pt idx="7">
                  <c:v>2.81</c:v>
                </c:pt>
                <c:pt idx="8">
                  <c:v>2.81</c:v>
                </c:pt>
                <c:pt idx="9">
                  <c:v>2.81</c:v>
                </c:pt>
                <c:pt idx="10">
                  <c:v>2.86</c:v>
                </c:pt>
                <c:pt idx="11">
                  <c:v>2.88</c:v>
                </c:pt>
                <c:pt idx="12">
                  <c:v>2.88</c:v>
                </c:pt>
                <c:pt idx="13">
                  <c:v>2.89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184896"/>
        <c:axId val="451185472"/>
      </c:scatterChart>
      <c:valAx>
        <c:axId val="451184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1185472"/>
        <c:crosses val="autoZero"/>
        <c:crossBetween val="midCat"/>
      </c:valAx>
      <c:valAx>
        <c:axId val="451185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1184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Zero_swap_CL!$E$42</c:f>
              <c:strCache>
                <c:ptCount val="1"/>
                <c:pt idx="0">
                  <c:v>Swap BEI</c:v>
                </c:pt>
              </c:strCache>
            </c:strRef>
          </c:tx>
          <c:marker>
            <c:symbol val="none"/>
          </c:marker>
          <c:xVal>
            <c:numRef>
              <c:f>Zero_swap_CL!$D$46:$D$56</c:f>
              <c:numCache>
                <c:formatCode>General</c:formatCode>
                <c:ptCount val="11"/>
                <c:pt idx="0">
                  <c:v>371</c:v>
                </c:pt>
                <c:pt idx="1">
                  <c:v>552</c:v>
                </c:pt>
                <c:pt idx="2">
                  <c:v>736</c:v>
                </c:pt>
                <c:pt idx="3">
                  <c:v>1101</c:v>
                </c:pt>
                <c:pt idx="4">
                  <c:v>1467</c:v>
                </c:pt>
                <c:pt idx="5">
                  <c:v>1832</c:v>
                </c:pt>
                <c:pt idx="6">
                  <c:v>2197</c:v>
                </c:pt>
                <c:pt idx="7">
                  <c:v>2562</c:v>
                </c:pt>
                <c:pt idx="8">
                  <c:v>2928</c:v>
                </c:pt>
                <c:pt idx="9">
                  <c:v>3293</c:v>
                </c:pt>
                <c:pt idx="10">
                  <c:v>3658</c:v>
                </c:pt>
              </c:numCache>
            </c:numRef>
          </c:xVal>
          <c:yVal>
            <c:numRef>
              <c:f>Zero_swap_CL!$E$46:$E$51</c:f>
              <c:numCache>
                <c:formatCode>General</c:formatCode>
                <c:ptCount val="6"/>
                <c:pt idx="0">
                  <c:v>2.56</c:v>
                </c:pt>
                <c:pt idx="1">
                  <c:v>2.52</c:v>
                </c:pt>
                <c:pt idx="2">
                  <c:v>2.6900000000000004</c:v>
                </c:pt>
                <c:pt idx="3">
                  <c:v>2.8</c:v>
                </c:pt>
                <c:pt idx="4">
                  <c:v>2.81</c:v>
                </c:pt>
                <c:pt idx="5">
                  <c:v>2.81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187200"/>
        <c:axId val="451187776"/>
      </c:scatterChart>
      <c:valAx>
        <c:axId val="451187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1187776"/>
        <c:crosses val="autoZero"/>
        <c:crossBetween val="midCat"/>
      </c:valAx>
      <c:valAx>
        <c:axId val="451187776"/>
        <c:scaling>
          <c:orientation val="minMax"/>
          <c:min val="2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118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Inflation_FWD!$S$4</c:f>
              <c:strCache>
                <c:ptCount val="1"/>
                <c:pt idx="0">
                  <c:v>Realized CPI YoY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Inflation_FWD!$O$26:$O$49</c:f>
              <c:numCache>
                <c:formatCode>m/d/yyyy</c:formatCode>
                <c:ptCount val="24"/>
                <c:pt idx="0">
                  <c:v>41943</c:v>
                </c:pt>
                <c:pt idx="1">
                  <c:v>41973</c:v>
                </c:pt>
                <c:pt idx="2">
                  <c:v>42004</c:v>
                </c:pt>
                <c:pt idx="3">
                  <c:v>42035</c:v>
                </c:pt>
                <c:pt idx="4">
                  <c:v>42063</c:v>
                </c:pt>
                <c:pt idx="5">
                  <c:v>42094</c:v>
                </c:pt>
                <c:pt idx="6">
                  <c:v>42124</c:v>
                </c:pt>
                <c:pt idx="7">
                  <c:v>42155</c:v>
                </c:pt>
                <c:pt idx="8">
                  <c:v>42185</c:v>
                </c:pt>
                <c:pt idx="9">
                  <c:v>42216</c:v>
                </c:pt>
                <c:pt idx="10">
                  <c:v>42247</c:v>
                </c:pt>
                <c:pt idx="11">
                  <c:v>42277</c:v>
                </c:pt>
                <c:pt idx="12">
                  <c:v>42308</c:v>
                </c:pt>
                <c:pt idx="13">
                  <c:v>42338</c:v>
                </c:pt>
                <c:pt idx="14">
                  <c:v>42369</c:v>
                </c:pt>
                <c:pt idx="15">
                  <c:v>42400</c:v>
                </c:pt>
                <c:pt idx="16">
                  <c:v>42429</c:v>
                </c:pt>
                <c:pt idx="17">
                  <c:v>42460</c:v>
                </c:pt>
                <c:pt idx="18">
                  <c:v>42490</c:v>
                </c:pt>
                <c:pt idx="19">
                  <c:v>42521</c:v>
                </c:pt>
                <c:pt idx="20">
                  <c:v>42551</c:v>
                </c:pt>
                <c:pt idx="21">
                  <c:v>42582</c:v>
                </c:pt>
                <c:pt idx="22">
                  <c:v>42613</c:v>
                </c:pt>
                <c:pt idx="23">
                  <c:v>42643</c:v>
                </c:pt>
              </c:numCache>
            </c:numRef>
          </c:cat>
          <c:val>
            <c:numRef>
              <c:f>Inflation_FWD!$S$26:$S$49</c:f>
              <c:numCache>
                <c:formatCode>0.0%</c:formatCode>
                <c:ptCount val="24"/>
                <c:pt idx="0">
                  <c:v>5.6829812540100555E-2</c:v>
                </c:pt>
                <c:pt idx="1">
                  <c:v>5.4507755941088032E-2</c:v>
                </c:pt>
                <c:pt idx="2">
                  <c:v>4.6465289195398052E-2</c:v>
                </c:pt>
                <c:pt idx="3">
                  <c:v>4.5403496200224547E-2</c:v>
                </c:pt>
                <c:pt idx="4">
                  <c:v>4.4000788617439834E-2</c:v>
                </c:pt>
                <c:pt idx="5">
                  <c:v>4.1841330222631479E-2</c:v>
                </c:pt>
                <c:pt idx="6">
                  <c:v>4.1371124053547037E-2</c:v>
                </c:pt>
                <c:pt idx="7">
                  <c:v>3.9696700268336604E-2</c:v>
                </c:pt>
                <c:pt idx="8">
                  <c:v>4.4191854836804323E-2</c:v>
                </c:pt>
                <c:pt idx="9">
                  <c:v>4.6171685932577144E-2</c:v>
                </c:pt>
                <c:pt idx="10">
                  <c:v>4.9842565291234431E-2</c:v>
                </c:pt>
                <c:pt idx="11">
                  <c:v>4.6452475212254374E-2</c:v>
                </c:pt>
                <c:pt idx="12">
                  <c:v>3.9890397008126799E-2</c:v>
                </c:pt>
                <c:pt idx="13">
                  <c:v>3.9364980833350049E-2</c:v>
                </c:pt>
                <c:pt idx="14">
                  <c:v>4.3789840573413175E-2</c:v>
                </c:pt>
                <c:pt idx="15">
                  <c:v>4.788471764747948E-2</c:v>
                </c:pt>
                <c:pt idx="16">
                  <c:v>4.7116213120337314E-2</c:v>
                </c:pt>
                <c:pt idx="17">
                  <c:v>4.4518704694703537E-2</c:v>
                </c:pt>
                <c:pt idx="18">
                  <c:v>4.1926353657930848E-2</c:v>
                </c:pt>
                <c:pt idx="19">
                  <c:v>4.2433155618168739E-2</c:v>
                </c:pt>
                <c:pt idx="20">
                  <c:v>4.2073549174450831E-2</c:v>
                </c:pt>
                <c:pt idx="21">
                  <c:v>4.0198016208895737E-2</c:v>
                </c:pt>
                <c:pt idx="22">
                  <c:v>3.3711137310435069E-2</c:v>
                </c:pt>
                <c:pt idx="23">
                  <c:v>3.0955340700440814E-2</c:v>
                </c:pt>
              </c:numCache>
            </c:numRef>
          </c:val>
        </c:ser>
        <c:ser>
          <c:idx val="3"/>
          <c:order val="2"/>
          <c:tx>
            <c:strRef>
              <c:f>Inflation_FWD!$T$4</c:f>
              <c:strCache>
                <c:ptCount val="1"/>
                <c:pt idx="0">
                  <c:v>Market Fwd CPI YoY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cat>
            <c:numRef>
              <c:f>Inflation_FWD!$O$26:$O$49</c:f>
              <c:numCache>
                <c:formatCode>m/d/yyyy</c:formatCode>
                <c:ptCount val="24"/>
                <c:pt idx="0">
                  <c:v>41943</c:v>
                </c:pt>
                <c:pt idx="1">
                  <c:v>41973</c:v>
                </c:pt>
                <c:pt idx="2">
                  <c:v>42004</c:v>
                </c:pt>
                <c:pt idx="3">
                  <c:v>42035</c:v>
                </c:pt>
                <c:pt idx="4">
                  <c:v>42063</c:v>
                </c:pt>
                <c:pt idx="5">
                  <c:v>42094</c:v>
                </c:pt>
                <c:pt idx="6">
                  <c:v>42124</c:v>
                </c:pt>
                <c:pt idx="7">
                  <c:v>42155</c:v>
                </c:pt>
                <c:pt idx="8">
                  <c:v>42185</c:v>
                </c:pt>
                <c:pt idx="9">
                  <c:v>42216</c:v>
                </c:pt>
                <c:pt idx="10">
                  <c:v>42247</c:v>
                </c:pt>
                <c:pt idx="11">
                  <c:v>42277</c:v>
                </c:pt>
                <c:pt idx="12">
                  <c:v>42308</c:v>
                </c:pt>
                <c:pt idx="13">
                  <c:v>42338</c:v>
                </c:pt>
                <c:pt idx="14">
                  <c:v>42369</c:v>
                </c:pt>
                <c:pt idx="15">
                  <c:v>42400</c:v>
                </c:pt>
                <c:pt idx="16">
                  <c:v>42429</c:v>
                </c:pt>
                <c:pt idx="17">
                  <c:v>42460</c:v>
                </c:pt>
                <c:pt idx="18">
                  <c:v>42490</c:v>
                </c:pt>
                <c:pt idx="19">
                  <c:v>42521</c:v>
                </c:pt>
                <c:pt idx="20">
                  <c:v>42551</c:v>
                </c:pt>
                <c:pt idx="21">
                  <c:v>42582</c:v>
                </c:pt>
                <c:pt idx="22">
                  <c:v>42613</c:v>
                </c:pt>
                <c:pt idx="23">
                  <c:v>42643</c:v>
                </c:pt>
              </c:numCache>
            </c:numRef>
          </c:cat>
          <c:val>
            <c:numRef>
              <c:f>Inflation_FWD!$T$26:$T$49</c:f>
              <c:numCache>
                <c:formatCode>0.00%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 formatCode="0.0%">
                  <c:v>0</c:v>
                </c:pt>
                <c:pt idx="23" formatCode="0.0%">
                  <c:v>0</c:v>
                </c:pt>
              </c:numCache>
            </c:numRef>
          </c:val>
        </c:ser>
        <c:ser>
          <c:idx val="1"/>
          <c:order val="0"/>
          <c:tx>
            <c:strRef>
              <c:f>Inflation_FWD!$W$25</c:f>
              <c:strCache>
                <c:ptCount val="1"/>
                <c:pt idx="0">
                  <c:v>Market Fwd CPI YoY 24/Aug</c:v>
                </c:pt>
              </c:strCache>
            </c:strRef>
          </c:tx>
          <c:spPr>
            <a:noFill/>
            <a:ln w="31750">
              <a:solidFill>
                <a:schemeClr val="accent2"/>
              </a:solidFill>
              <a:prstDash val="sysDash"/>
            </a:ln>
          </c:spPr>
          <c:invertIfNegative val="0"/>
          <c:cat>
            <c:numRef>
              <c:f>Inflation_FWD!$O$26:$O$49</c:f>
              <c:numCache>
                <c:formatCode>m/d/yyyy</c:formatCode>
                <c:ptCount val="24"/>
                <c:pt idx="0">
                  <c:v>41943</c:v>
                </c:pt>
                <c:pt idx="1">
                  <c:v>41973</c:v>
                </c:pt>
                <c:pt idx="2">
                  <c:v>42004</c:v>
                </c:pt>
                <c:pt idx="3">
                  <c:v>42035</c:v>
                </c:pt>
                <c:pt idx="4">
                  <c:v>42063</c:v>
                </c:pt>
                <c:pt idx="5">
                  <c:v>42094</c:v>
                </c:pt>
                <c:pt idx="6">
                  <c:v>42124</c:v>
                </c:pt>
                <c:pt idx="7">
                  <c:v>42155</c:v>
                </c:pt>
                <c:pt idx="8">
                  <c:v>42185</c:v>
                </c:pt>
                <c:pt idx="9">
                  <c:v>42216</c:v>
                </c:pt>
                <c:pt idx="10">
                  <c:v>42247</c:v>
                </c:pt>
                <c:pt idx="11">
                  <c:v>42277</c:v>
                </c:pt>
                <c:pt idx="12">
                  <c:v>42308</c:v>
                </c:pt>
                <c:pt idx="13">
                  <c:v>42338</c:v>
                </c:pt>
                <c:pt idx="14">
                  <c:v>42369</c:v>
                </c:pt>
                <c:pt idx="15">
                  <c:v>42400</c:v>
                </c:pt>
                <c:pt idx="16">
                  <c:v>42429</c:v>
                </c:pt>
                <c:pt idx="17">
                  <c:v>42460</c:v>
                </c:pt>
                <c:pt idx="18">
                  <c:v>42490</c:v>
                </c:pt>
                <c:pt idx="19">
                  <c:v>42521</c:v>
                </c:pt>
                <c:pt idx="20">
                  <c:v>42551</c:v>
                </c:pt>
                <c:pt idx="21">
                  <c:v>42582</c:v>
                </c:pt>
                <c:pt idx="22">
                  <c:v>42613</c:v>
                </c:pt>
                <c:pt idx="23">
                  <c:v>42643</c:v>
                </c:pt>
              </c:numCache>
            </c:numRef>
          </c:cat>
          <c:val>
            <c:numRef>
              <c:f>Inflation_FWD!$W$26:$W$49</c:f>
              <c:numCache>
                <c:formatCode>0.00%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4.65E-2</c:v>
                </c:pt>
                <c:pt idx="11">
                  <c:v>4.6100000000000002E-2</c:v>
                </c:pt>
                <c:pt idx="12">
                  <c:v>3.9399999999999998E-2</c:v>
                </c:pt>
                <c:pt idx="13">
                  <c:v>4.0399999999999998E-2</c:v>
                </c:pt>
                <c:pt idx="14">
                  <c:v>4.58E-2</c:v>
                </c:pt>
                <c:pt idx="15">
                  <c:v>4.9200000000000001E-2</c:v>
                </c:pt>
                <c:pt idx="16">
                  <c:v>4.6699999999999998E-2</c:v>
                </c:pt>
                <c:pt idx="17">
                  <c:v>4.5600000000000002E-2</c:v>
                </c:pt>
                <c:pt idx="18">
                  <c:v>4.1000000000000002E-2</c:v>
                </c:pt>
                <c:pt idx="19">
                  <c:v>4.0800000000000003E-2</c:v>
                </c:pt>
                <c:pt idx="20">
                  <c:v>3.7999999999999999E-2</c:v>
                </c:pt>
                <c:pt idx="21">
                  <c:v>3.5499999999999997E-2</c:v>
                </c:pt>
                <c:pt idx="22">
                  <c:v>3.3500000000000002E-2</c:v>
                </c:pt>
                <c:pt idx="23">
                  <c:v>3.1899999999999998E-2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1"/>
        <c:overlap val="100"/>
        <c:axId val="436127744"/>
        <c:axId val="59094656"/>
      </c:barChart>
      <c:dateAx>
        <c:axId val="43612774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s-CL"/>
          </a:p>
        </c:txPr>
        <c:crossAx val="59094656"/>
        <c:crosses val="autoZero"/>
        <c:auto val="1"/>
        <c:lblOffset val="100"/>
        <c:baseTimeUnit val="months"/>
      </c:dateAx>
      <c:valAx>
        <c:axId val="59094656"/>
        <c:scaling>
          <c:orientation val="minMax"/>
          <c:min val="1.5000000000000003E-2"/>
        </c:scaling>
        <c:delete val="0"/>
        <c:axPos val="l"/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s-CL"/>
          </a:p>
        </c:txPr>
        <c:crossAx val="436127744"/>
        <c:crosses val="autoZero"/>
        <c:crossBetween val="between"/>
      </c:valAx>
      <c:spPr>
        <a:noFill/>
      </c:spPr>
    </c:plotArea>
    <c:legend>
      <c:legendPos val="b"/>
      <c:layout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Inflation_FWD!$S$4</c:f>
              <c:strCache>
                <c:ptCount val="1"/>
                <c:pt idx="0">
                  <c:v>Realized CPI YoY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Inflation_FWD!$AA$26:$AA$45</c:f>
              <c:numCache>
                <c:formatCode>mmm\-yy</c:formatCode>
                <c:ptCount val="20"/>
                <c:pt idx="0">
                  <c:v>42522</c:v>
                </c:pt>
                <c:pt idx="1">
                  <c:v>42552</c:v>
                </c:pt>
                <c:pt idx="2">
                  <c:v>42583</c:v>
                </c:pt>
                <c:pt idx="3">
                  <c:v>42614</c:v>
                </c:pt>
                <c:pt idx="4">
                  <c:v>42644</c:v>
                </c:pt>
                <c:pt idx="5">
                  <c:v>42675</c:v>
                </c:pt>
                <c:pt idx="6">
                  <c:v>42705</c:v>
                </c:pt>
                <c:pt idx="7">
                  <c:v>42736</c:v>
                </c:pt>
                <c:pt idx="8">
                  <c:v>42767</c:v>
                </c:pt>
                <c:pt idx="9">
                  <c:v>42795</c:v>
                </c:pt>
                <c:pt idx="10">
                  <c:v>42826</c:v>
                </c:pt>
                <c:pt idx="11">
                  <c:v>42856</c:v>
                </c:pt>
                <c:pt idx="12">
                  <c:v>42887</c:v>
                </c:pt>
                <c:pt idx="13">
                  <c:v>42917</c:v>
                </c:pt>
                <c:pt idx="14">
                  <c:v>42948</c:v>
                </c:pt>
                <c:pt idx="15">
                  <c:v>42979</c:v>
                </c:pt>
                <c:pt idx="16">
                  <c:v>43009</c:v>
                </c:pt>
                <c:pt idx="17">
                  <c:v>43040</c:v>
                </c:pt>
                <c:pt idx="18">
                  <c:v>43070</c:v>
                </c:pt>
                <c:pt idx="19">
                  <c:v>43101</c:v>
                </c:pt>
              </c:numCache>
            </c:numRef>
          </c:cat>
          <c:val>
            <c:numRef>
              <c:f>Inflation_FWD!$AB$26:$AB$45</c:f>
              <c:numCache>
                <c:formatCode>0.00%</c:formatCode>
                <c:ptCount val="20"/>
                <c:pt idx="0">
                  <c:v>7.0000000000000001E-3</c:v>
                </c:pt>
                <c:pt idx="1">
                  <c:v>5.0000000000000001E-3</c:v>
                </c:pt>
                <c:pt idx="2">
                  <c:v>4.0000000000000001E-3</c:v>
                </c:pt>
                <c:pt idx="3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</c:numCache>
            </c:numRef>
          </c:val>
        </c:ser>
        <c:ser>
          <c:idx val="1"/>
          <c:order val="2"/>
          <c:tx>
            <c:strRef>
              <c:f>Inflation_FWD!$T$4</c:f>
              <c:strCache>
                <c:ptCount val="1"/>
                <c:pt idx="0">
                  <c:v>Market Fwd CPI YoY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cat>
            <c:numRef>
              <c:f>Inflation_FWD!$AA$26:$AA$45</c:f>
              <c:numCache>
                <c:formatCode>mmm\-yy</c:formatCode>
                <c:ptCount val="20"/>
                <c:pt idx="0">
                  <c:v>42522</c:v>
                </c:pt>
                <c:pt idx="1">
                  <c:v>42552</c:v>
                </c:pt>
                <c:pt idx="2">
                  <c:v>42583</c:v>
                </c:pt>
                <c:pt idx="3">
                  <c:v>42614</c:v>
                </c:pt>
                <c:pt idx="4">
                  <c:v>42644</c:v>
                </c:pt>
                <c:pt idx="5">
                  <c:v>42675</c:v>
                </c:pt>
                <c:pt idx="6">
                  <c:v>42705</c:v>
                </c:pt>
                <c:pt idx="7">
                  <c:v>42736</c:v>
                </c:pt>
                <c:pt idx="8">
                  <c:v>42767</c:v>
                </c:pt>
                <c:pt idx="9">
                  <c:v>42795</c:v>
                </c:pt>
                <c:pt idx="10">
                  <c:v>42826</c:v>
                </c:pt>
                <c:pt idx="11">
                  <c:v>42856</c:v>
                </c:pt>
                <c:pt idx="12">
                  <c:v>42887</c:v>
                </c:pt>
                <c:pt idx="13">
                  <c:v>42917</c:v>
                </c:pt>
                <c:pt idx="14">
                  <c:v>42948</c:v>
                </c:pt>
                <c:pt idx="15">
                  <c:v>42979</c:v>
                </c:pt>
                <c:pt idx="16">
                  <c:v>43009</c:v>
                </c:pt>
                <c:pt idx="17">
                  <c:v>43040</c:v>
                </c:pt>
                <c:pt idx="18">
                  <c:v>43070</c:v>
                </c:pt>
                <c:pt idx="19">
                  <c:v>43101</c:v>
                </c:pt>
              </c:numCache>
            </c:numRef>
          </c:cat>
          <c:val>
            <c:numRef>
              <c:f>Inflation_FWD!$AD$26:$AD$45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0.00%">
                  <c:v>3.510708135519014E-3</c:v>
                </c:pt>
                <c:pt idx="5" formatCode="0.00%">
                  <c:v>3.7923319048882576E-4</c:v>
                </c:pt>
                <c:pt idx="6" formatCode="0.00%">
                  <c:v>4.5490731263497786E-4</c:v>
                </c:pt>
                <c:pt idx="7" formatCode="0.00%">
                  <c:v>1.0609677541586482E-3</c:v>
                </c:pt>
                <c:pt idx="8" formatCode="0.00%">
                  <c:v>1.4567003326859673E-3</c:v>
                </c:pt>
                <c:pt idx="9" formatCode="0.00%">
                  <c:v>4.8574320657637227E-3</c:v>
                </c:pt>
                <c:pt idx="10" formatCode="0.00%">
                  <c:v>2.3696682464455776E-3</c:v>
                </c:pt>
                <c:pt idx="11" formatCode="0.00%">
                  <c:v>2.2918717672695266E-3</c:v>
                </c:pt>
                <c:pt idx="12" formatCode="0.00%">
                  <c:v>2.4681288458374695E-3</c:v>
                </c:pt>
                <c:pt idx="13" formatCode="0.00%">
                  <c:v>2.4313770134691826E-3</c:v>
                </c:pt>
                <c:pt idx="14" formatCode="0.00%">
                  <c:v>2.2313811864771438E-3</c:v>
                </c:pt>
                <c:pt idx="15" formatCode="0.00%">
                  <c:v>4.9814037148196988E-3</c:v>
                </c:pt>
                <c:pt idx="16" formatCode="0.00%">
                  <c:v>2.457333396104433E-3</c:v>
                </c:pt>
                <c:pt idx="17" formatCode="0.00%">
                  <c:v>1.0540398573559706E-3</c:v>
                </c:pt>
                <c:pt idx="18" formatCode="0.00%">
                  <c:v>5.5289347585696369E-4</c:v>
                </c:pt>
                <c:pt idx="19" formatCode="0.00%">
                  <c:v>1.1788543009763064E-3</c:v>
                </c:pt>
              </c:numCache>
            </c:numRef>
          </c:val>
        </c:ser>
        <c:ser>
          <c:idx val="3"/>
          <c:order val="0"/>
          <c:tx>
            <c:strRef>
              <c:f>Inflation_FWD!$AC$25</c:f>
              <c:strCache>
                <c:ptCount val="1"/>
                <c:pt idx="0">
                  <c:v>Expected Bloomberg 24/Aug</c:v>
                </c:pt>
              </c:strCache>
            </c:strRef>
          </c:tx>
          <c:spPr>
            <a:noFill/>
            <a:ln w="31750">
              <a:solidFill>
                <a:schemeClr val="accent2"/>
              </a:solidFill>
              <a:prstDash val="dash"/>
            </a:ln>
          </c:spPr>
          <c:invertIfNegative val="0"/>
          <c:cat>
            <c:numRef>
              <c:f>Inflation_FWD!$AA$26:$AA$45</c:f>
              <c:numCache>
                <c:formatCode>mmm\-yy</c:formatCode>
                <c:ptCount val="20"/>
                <c:pt idx="0">
                  <c:v>42522</c:v>
                </c:pt>
                <c:pt idx="1">
                  <c:v>42552</c:v>
                </c:pt>
                <c:pt idx="2">
                  <c:v>42583</c:v>
                </c:pt>
                <c:pt idx="3">
                  <c:v>42614</c:v>
                </c:pt>
                <c:pt idx="4">
                  <c:v>42644</c:v>
                </c:pt>
                <c:pt idx="5">
                  <c:v>42675</c:v>
                </c:pt>
                <c:pt idx="6">
                  <c:v>42705</c:v>
                </c:pt>
                <c:pt idx="7">
                  <c:v>42736</c:v>
                </c:pt>
                <c:pt idx="8">
                  <c:v>42767</c:v>
                </c:pt>
                <c:pt idx="9">
                  <c:v>42795</c:v>
                </c:pt>
                <c:pt idx="10">
                  <c:v>42826</c:v>
                </c:pt>
                <c:pt idx="11">
                  <c:v>42856</c:v>
                </c:pt>
                <c:pt idx="12">
                  <c:v>42887</c:v>
                </c:pt>
                <c:pt idx="13">
                  <c:v>42917</c:v>
                </c:pt>
                <c:pt idx="14">
                  <c:v>42948</c:v>
                </c:pt>
                <c:pt idx="15">
                  <c:v>42979</c:v>
                </c:pt>
                <c:pt idx="16">
                  <c:v>43009</c:v>
                </c:pt>
                <c:pt idx="17">
                  <c:v>43040</c:v>
                </c:pt>
                <c:pt idx="18">
                  <c:v>43070</c:v>
                </c:pt>
                <c:pt idx="19">
                  <c:v>43101</c:v>
                </c:pt>
              </c:numCache>
            </c:numRef>
          </c:cat>
          <c:val>
            <c:numRef>
              <c:f>Inflation_FWD!$AC$26:$AC$45</c:f>
              <c:numCache>
                <c:formatCode>0.00%</c:formatCode>
                <c:ptCount val="20"/>
                <c:pt idx="0">
                  <c:v>5.0000000000000001E-3</c:v>
                </c:pt>
                <c:pt idx="1">
                  <c:v>7.0000000000000001E-3</c:v>
                </c:pt>
                <c:pt idx="2">
                  <c:v>3.0000000000000001E-3</c:v>
                </c:pt>
                <c:pt idx="3">
                  <c:v>1E-3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1"/>
        <c:overlap val="100"/>
        <c:axId val="636546048"/>
        <c:axId val="59095808"/>
      </c:barChart>
      <c:dateAx>
        <c:axId val="63654604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s-CL"/>
          </a:p>
        </c:txPr>
        <c:crossAx val="59095808"/>
        <c:crosses val="autoZero"/>
        <c:auto val="1"/>
        <c:lblOffset val="100"/>
        <c:baseTimeUnit val="months"/>
      </c:dateAx>
      <c:valAx>
        <c:axId val="59095808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s-CL"/>
          </a:p>
        </c:txPr>
        <c:crossAx val="636546048"/>
        <c:crosses val="autoZero"/>
        <c:crossBetween val="between"/>
      </c:valAx>
      <c:spPr>
        <a:noFill/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image" Target="../media/image2.jpeg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5" Type="http://schemas.openxmlformats.org/officeDocument/2006/relationships/image" Target="../media/image4.emf"/><Relationship Id="rId4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image" Target="../media/image2.jpeg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5" Type="http://schemas.openxmlformats.org/officeDocument/2006/relationships/chart" Target="../charts/chart33.xml"/><Relationship Id="rId10" Type="http://schemas.openxmlformats.org/officeDocument/2006/relationships/image" Target="../media/image2.jpeg"/><Relationship Id="rId4" Type="http://schemas.openxmlformats.org/officeDocument/2006/relationships/chart" Target="../charts/chart32.xml"/><Relationship Id="rId9" Type="http://schemas.openxmlformats.org/officeDocument/2006/relationships/chart" Target="../charts/chart3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571873</xdr:colOff>
      <xdr:row>1</xdr:row>
      <xdr:rowOff>180414</xdr:rowOff>
    </xdr:from>
    <xdr:to>
      <xdr:col>15</xdr:col>
      <xdr:colOff>581398</xdr:colOff>
      <xdr:row>15</xdr:row>
      <xdr:rowOff>101723</xdr:rowOff>
    </xdr:to>
    <xdr:graphicFrame macro="">
      <xdr:nvGraphicFramePr>
        <xdr:cNvPr id="231285" name="6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610159</xdr:colOff>
      <xdr:row>15</xdr:row>
      <xdr:rowOff>51549</xdr:rowOff>
    </xdr:from>
    <xdr:to>
      <xdr:col>15</xdr:col>
      <xdr:colOff>619684</xdr:colOff>
      <xdr:row>29</xdr:row>
      <xdr:rowOff>19612</xdr:rowOff>
    </xdr:to>
    <xdr:graphicFrame macro="">
      <xdr:nvGraphicFramePr>
        <xdr:cNvPr id="231286" name="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552450</xdr:colOff>
      <xdr:row>28</xdr:row>
      <xdr:rowOff>104775</xdr:rowOff>
    </xdr:from>
    <xdr:to>
      <xdr:col>15</xdr:col>
      <xdr:colOff>552450</xdr:colOff>
      <xdr:row>42</xdr:row>
      <xdr:rowOff>85725</xdr:rowOff>
    </xdr:to>
    <xdr:graphicFrame macro="">
      <xdr:nvGraphicFramePr>
        <xdr:cNvPr id="231287" name="9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590550</xdr:colOff>
      <xdr:row>0</xdr:row>
      <xdr:rowOff>104774</xdr:rowOff>
    </xdr:from>
    <xdr:to>
      <xdr:col>30</xdr:col>
      <xdr:colOff>114300</xdr:colOff>
      <xdr:row>14</xdr:row>
      <xdr:rowOff>156882</xdr:rowOff>
    </xdr:to>
    <xdr:graphicFrame macro="">
      <xdr:nvGraphicFramePr>
        <xdr:cNvPr id="231288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428625</xdr:colOff>
          <xdr:row>4</xdr:row>
          <xdr:rowOff>9525</xdr:rowOff>
        </xdr:from>
        <xdr:to>
          <xdr:col>9</xdr:col>
          <xdr:colOff>304800</xdr:colOff>
          <xdr:row>5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Fechas RPM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2</xdr:row>
          <xdr:rowOff>38100</xdr:rowOff>
        </xdr:from>
        <xdr:to>
          <xdr:col>9</xdr:col>
          <xdr:colOff>314325</xdr:colOff>
          <xdr:row>3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PDF Informe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0</xdr:row>
          <xdr:rowOff>76200</xdr:rowOff>
        </xdr:from>
        <xdr:to>
          <xdr:col>9</xdr:col>
          <xdr:colOff>314325</xdr:colOff>
          <xdr:row>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Hacer PDF Informe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24848</xdr:colOff>
      <xdr:row>33</xdr:row>
      <xdr:rowOff>44824</xdr:rowOff>
    </xdr:from>
    <xdr:to>
      <xdr:col>20</xdr:col>
      <xdr:colOff>95250</xdr:colOff>
      <xdr:row>57</xdr:row>
      <xdr:rowOff>24848</xdr:rowOff>
    </xdr:to>
    <xdr:graphicFrame macro="">
      <xdr:nvGraphicFramePr>
        <xdr:cNvPr id="4" name="6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9525</xdr:colOff>
      <xdr:row>57</xdr:row>
      <xdr:rowOff>123825</xdr:rowOff>
    </xdr:from>
    <xdr:to>
      <xdr:col>20</xdr:col>
      <xdr:colOff>104776</xdr:colOff>
      <xdr:row>86</xdr:row>
      <xdr:rowOff>19050</xdr:rowOff>
    </xdr:to>
    <xdr:graphicFrame macro="">
      <xdr:nvGraphicFramePr>
        <xdr:cNvPr id="5" name="6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714376</xdr:colOff>
      <xdr:row>84</xdr:row>
      <xdr:rowOff>133350</xdr:rowOff>
    </xdr:from>
    <xdr:to>
      <xdr:col>20</xdr:col>
      <xdr:colOff>114301</xdr:colOff>
      <xdr:row>107</xdr:row>
      <xdr:rowOff>95249</xdr:rowOff>
    </xdr:to>
    <xdr:graphicFrame macro="">
      <xdr:nvGraphicFramePr>
        <xdr:cNvPr id="7" name="6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8282</xdr:colOff>
      <xdr:row>0</xdr:row>
      <xdr:rowOff>99391</xdr:rowOff>
    </xdr:from>
    <xdr:to>
      <xdr:col>6</xdr:col>
      <xdr:colOff>265043</xdr:colOff>
      <xdr:row>3</xdr:row>
      <xdr:rowOff>111523</xdr:rowOff>
    </xdr:to>
    <xdr:pic>
      <xdr:nvPicPr>
        <xdr:cNvPr id="11" name="Picture 10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747" b="23696"/>
        <a:stretch/>
      </xdr:blipFill>
      <xdr:spPr>
        <a:xfrm>
          <a:off x="8282" y="99391"/>
          <a:ext cx="3644348" cy="64161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191619</xdr:colOff>
      <xdr:row>27</xdr:row>
      <xdr:rowOff>66675</xdr:rowOff>
    </xdr:from>
    <xdr:to>
      <xdr:col>19</xdr:col>
      <xdr:colOff>352425</xdr:colOff>
      <xdr:row>42</xdr:row>
      <xdr:rowOff>123824</xdr:rowOff>
    </xdr:to>
    <xdr:graphicFrame macro="">
      <xdr:nvGraphicFramePr>
        <xdr:cNvPr id="3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314325</xdr:colOff>
      <xdr:row>53</xdr:row>
      <xdr:rowOff>28575</xdr:rowOff>
    </xdr:from>
    <xdr:to>
      <xdr:col>19</xdr:col>
      <xdr:colOff>533400</xdr:colOff>
      <xdr:row>69</xdr:row>
      <xdr:rowOff>1</xdr:rowOff>
    </xdr:to>
    <xdr:graphicFrame macro="">
      <xdr:nvGraphicFramePr>
        <xdr:cNvPr id="4" name="3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37345</xdr:colOff>
      <xdr:row>5</xdr:row>
      <xdr:rowOff>19050</xdr:rowOff>
    </xdr:from>
    <xdr:to>
      <xdr:col>19</xdr:col>
      <xdr:colOff>432352</xdr:colOff>
      <xdr:row>14</xdr:row>
      <xdr:rowOff>63363</xdr:rowOff>
    </xdr:to>
    <xdr:graphicFrame macro="">
      <xdr:nvGraphicFramePr>
        <xdr:cNvPr id="5" name="4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304801</xdr:colOff>
      <xdr:row>92</xdr:row>
      <xdr:rowOff>57150</xdr:rowOff>
    </xdr:from>
    <xdr:to>
      <xdr:col>10</xdr:col>
      <xdr:colOff>57150</xdr:colOff>
      <xdr:row>111</xdr:row>
      <xdr:rowOff>38099</xdr:rowOff>
    </xdr:to>
    <xdr:graphicFrame macro="">
      <xdr:nvGraphicFramePr>
        <xdr:cNvPr id="7" name="6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331307</xdr:colOff>
      <xdr:row>92</xdr:row>
      <xdr:rowOff>47625</xdr:rowOff>
    </xdr:from>
    <xdr:to>
      <xdr:col>19</xdr:col>
      <xdr:colOff>114301</xdr:colOff>
      <xdr:row>111</xdr:row>
      <xdr:rowOff>28575</xdr:rowOff>
    </xdr:to>
    <xdr:graphicFrame macro="">
      <xdr:nvGraphicFramePr>
        <xdr:cNvPr id="8" name="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38100</xdr:colOff>
      <xdr:row>13</xdr:row>
      <xdr:rowOff>114301</xdr:rowOff>
    </xdr:from>
    <xdr:to>
      <xdr:col>19</xdr:col>
      <xdr:colOff>476250</xdr:colOff>
      <xdr:row>28</xdr:row>
      <xdr:rowOff>95250</xdr:rowOff>
    </xdr:to>
    <xdr:graphicFrame macro="">
      <xdr:nvGraphicFramePr>
        <xdr:cNvPr id="1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133350</xdr:colOff>
      <xdr:row>0</xdr:row>
      <xdr:rowOff>142875</xdr:rowOff>
    </xdr:from>
    <xdr:to>
      <xdr:col>7</xdr:col>
      <xdr:colOff>62948</xdr:colOff>
      <xdr:row>3</xdr:row>
      <xdr:rowOff>327285</xdr:rowOff>
    </xdr:to>
    <xdr:pic>
      <xdr:nvPicPr>
        <xdr:cNvPr id="11" name="Picture 10"/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747" b="23696"/>
        <a:stretch/>
      </xdr:blipFill>
      <xdr:spPr>
        <a:xfrm>
          <a:off x="133350" y="142875"/>
          <a:ext cx="3644348" cy="64161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400050</xdr:colOff>
      <xdr:row>103</xdr:row>
      <xdr:rowOff>0</xdr:rowOff>
    </xdr:from>
    <xdr:to>
      <xdr:col>13</xdr:col>
      <xdr:colOff>581584</xdr:colOff>
      <xdr:row>120</xdr:row>
      <xdr:rowOff>31374</xdr:rowOff>
    </xdr:to>
    <xdr:graphicFrame macro="">
      <xdr:nvGraphicFramePr>
        <xdr:cNvPr id="24" name="23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304800</xdr:colOff>
      <xdr:row>102</xdr:row>
      <xdr:rowOff>104775</xdr:rowOff>
    </xdr:from>
    <xdr:to>
      <xdr:col>23</xdr:col>
      <xdr:colOff>198904</xdr:colOff>
      <xdr:row>118</xdr:row>
      <xdr:rowOff>28576</xdr:rowOff>
    </xdr:to>
    <xdr:graphicFrame macro="">
      <xdr:nvGraphicFramePr>
        <xdr:cNvPr id="26" name="25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9525</xdr:colOff>
      <xdr:row>4</xdr:row>
      <xdr:rowOff>133349</xdr:rowOff>
    </xdr:from>
    <xdr:to>
      <xdr:col>24</xdr:col>
      <xdr:colOff>68034</xdr:colOff>
      <xdr:row>26</xdr:row>
      <xdr:rowOff>161924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38100</xdr:colOff>
      <xdr:row>0</xdr:row>
      <xdr:rowOff>95250</xdr:rowOff>
    </xdr:from>
    <xdr:to>
      <xdr:col>7</xdr:col>
      <xdr:colOff>215348</xdr:colOff>
      <xdr:row>3</xdr:row>
      <xdr:rowOff>79635</xdr:rowOff>
    </xdr:to>
    <xdr:pic>
      <xdr:nvPicPr>
        <xdr:cNvPr id="10" name="Picture 9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747" b="23696"/>
        <a:stretch/>
      </xdr:blipFill>
      <xdr:spPr>
        <a:xfrm>
          <a:off x="38100" y="95250"/>
          <a:ext cx="3644348" cy="64161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134470</xdr:rowOff>
    </xdr:from>
    <xdr:to>
      <xdr:col>14</xdr:col>
      <xdr:colOff>438150</xdr:colOff>
      <xdr:row>24</xdr:row>
      <xdr:rowOff>80682</xdr:rowOff>
    </xdr:to>
    <xdr:pic>
      <xdr:nvPicPr>
        <xdr:cNvPr id="7" name="6 Imagen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75764"/>
          <a:ext cx="7385797" cy="30950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98562</xdr:colOff>
      <xdr:row>19</xdr:row>
      <xdr:rowOff>108698</xdr:rowOff>
    </xdr:from>
    <xdr:to>
      <xdr:col>8</xdr:col>
      <xdr:colOff>273325</xdr:colOff>
      <xdr:row>30</xdr:row>
      <xdr:rowOff>19050</xdr:rowOff>
    </xdr:to>
    <xdr:graphicFrame macro="">
      <xdr:nvGraphicFramePr>
        <xdr:cNvPr id="2" name="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207064</xdr:colOff>
      <xdr:row>19</xdr:row>
      <xdr:rowOff>107674</xdr:rowOff>
    </xdr:from>
    <xdr:to>
      <xdr:col>15</xdr:col>
      <xdr:colOff>448088</xdr:colOff>
      <xdr:row>30</xdr:row>
      <xdr:rowOff>28575</xdr:rowOff>
    </xdr:to>
    <xdr:graphicFrame macro="">
      <xdr:nvGraphicFramePr>
        <xdr:cNvPr id="14" name="13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323021</xdr:colOff>
      <xdr:row>19</xdr:row>
      <xdr:rowOff>115957</xdr:rowOff>
    </xdr:from>
    <xdr:to>
      <xdr:col>23</xdr:col>
      <xdr:colOff>100219</xdr:colOff>
      <xdr:row>30</xdr:row>
      <xdr:rowOff>47625</xdr:rowOff>
    </xdr:to>
    <xdr:graphicFrame macro="">
      <xdr:nvGraphicFramePr>
        <xdr:cNvPr id="15" name="14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98562</xdr:colOff>
      <xdr:row>45</xdr:row>
      <xdr:rowOff>108698</xdr:rowOff>
    </xdr:from>
    <xdr:to>
      <xdr:col>8</xdr:col>
      <xdr:colOff>273325</xdr:colOff>
      <xdr:row>56</xdr:row>
      <xdr:rowOff>0</xdr:rowOff>
    </xdr:to>
    <xdr:graphicFrame macro="">
      <xdr:nvGraphicFramePr>
        <xdr:cNvPr id="16" name="15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207064</xdr:colOff>
      <xdr:row>45</xdr:row>
      <xdr:rowOff>107676</xdr:rowOff>
    </xdr:from>
    <xdr:to>
      <xdr:col>15</xdr:col>
      <xdr:colOff>448088</xdr:colOff>
      <xdr:row>56</xdr:row>
      <xdr:rowOff>0</xdr:rowOff>
    </xdr:to>
    <xdr:graphicFrame macro="">
      <xdr:nvGraphicFramePr>
        <xdr:cNvPr id="17" name="16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323021</xdr:colOff>
      <xdr:row>45</xdr:row>
      <xdr:rowOff>115957</xdr:rowOff>
    </xdr:from>
    <xdr:to>
      <xdr:col>23</xdr:col>
      <xdr:colOff>100219</xdr:colOff>
      <xdr:row>56</xdr:row>
      <xdr:rowOff>0</xdr:rowOff>
    </xdr:to>
    <xdr:graphicFrame macro="">
      <xdr:nvGraphicFramePr>
        <xdr:cNvPr id="18" name="1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228600</xdr:colOff>
      <xdr:row>71</xdr:row>
      <xdr:rowOff>96274</xdr:rowOff>
    </xdr:from>
    <xdr:to>
      <xdr:col>8</xdr:col>
      <xdr:colOff>403363</xdr:colOff>
      <xdr:row>82</xdr:row>
      <xdr:rowOff>0</xdr:rowOff>
    </xdr:to>
    <xdr:graphicFrame macro="">
      <xdr:nvGraphicFramePr>
        <xdr:cNvPr id="19" name="1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337102</xdr:colOff>
      <xdr:row>71</xdr:row>
      <xdr:rowOff>95250</xdr:rowOff>
    </xdr:from>
    <xdr:to>
      <xdr:col>16</xdr:col>
      <xdr:colOff>92351</xdr:colOff>
      <xdr:row>82</xdr:row>
      <xdr:rowOff>0</xdr:rowOff>
    </xdr:to>
    <xdr:graphicFrame macro="">
      <xdr:nvGraphicFramePr>
        <xdr:cNvPr id="20" name="19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453059</xdr:colOff>
      <xdr:row>71</xdr:row>
      <xdr:rowOff>103533</xdr:rowOff>
    </xdr:from>
    <xdr:to>
      <xdr:col>23</xdr:col>
      <xdr:colOff>230257</xdr:colOff>
      <xdr:row>82</xdr:row>
      <xdr:rowOff>0</xdr:rowOff>
    </xdr:to>
    <xdr:graphicFrame macro="">
      <xdr:nvGraphicFramePr>
        <xdr:cNvPr id="21" name="20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228600</xdr:colOff>
      <xdr:row>97</xdr:row>
      <xdr:rowOff>96274</xdr:rowOff>
    </xdr:from>
    <xdr:to>
      <xdr:col>8</xdr:col>
      <xdr:colOff>403363</xdr:colOff>
      <xdr:row>108</xdr:row>
      <xdr:rowOff>6626</xdr:rowOff>
    </xdr:to>
    <xdr:graphicFrame macro="">
      <xdr:nvGraphicFramePr>
        <xdr:cNvPr id="22" name="2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337102</xdr:colOff>
      <xdr:row>97</xdr:row>
      <xdr:rowOff>95250</xdr:rowOff>
    </xdr:from>
    <xdr:to>
      <xdr:col>16</xdr:col>
      <xdr:colOff>92351</xdr:colOff>
      <xdr:row>108</xdr:row>
      <xdr:rowOff>16151</xdr:rowOff>
    </xdr:to>
    <xdr:graphicFrame macro="">
      <xdr:nvGraphicFramePr>
        <xdr:cNvPr id="23" name="2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453059</xdr:colOff>
      <xdr:row>97</xdr:row>
      <xdr:rowOff>103533</xdr:rowOff>
    </xdr:from>
    <xdr:to>
      <xdr:col>23</xdr:col>
      <xdr:colOff>230257</xdr:colOff>
      <xdr:row>108</xdr:row>
      <xdr:rowOff>35201</xdr:rowOff>
    </xdr:to>
    <xdr:graphicFrame macro="">
      <xdr:nvGraphicFramePr>
        <xdr:cNvPr id="24" name="23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133350</xdr:colOff>
      <xdr:row>1</xdr:row>
      <xdr:rowOff>9525</xdr:rowOff>
    </xdr:from>
    <xdr:to>
      <xdr:col>8</xdr:col>
      <xdr:colOff>43898</xdr:colOff>
      <xdr:row>3</xdr:row>
      <xdr:rowOff>51060</xdr:rowOff>
    </xdr:to>
    <xdr:pic>
      <xdr:nvPicPr>
        <xdr:cNvPr id="26" name="Picture 25"/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747" b="23696"/>
        <a:stretch/>
      </xdr:blipFill>
      <xdr:spPr>
        <a:xfrm>
          <a:off x="133350" y="171450"/>
          <a:ext cx="3644348" cy="6416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104774</xdr:colOff>
      <xdr:row>12</xdr:row>
      <xdr:rowOff>19050</xdr:rowOff>
    </xdr:from>
    <xdr:to>
      <xdr:col>8</xdr:col>
      <xdr:colOff>276225</xdr:colOff>
      <xdr:row>24</xdr:row>
      <xdr:rowOff>0</xdr:rowOff>
    </xdr:to>
    <xdr:graphicFrame macro="">
      <xdr:nvGraphicFramePr>
        <xdr:cNvPr id="2" name="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209550</xdr:colOff>
      <xdr:row>12</xdr:row>
      <xdr:rowOff>9525</xdr:rowOff>
    </xdr:from>
    <xdr:to>
      <xdr:col>15</xdr:col>
      <xdr:colOff>448088</xdr:colOff>
      <xdr:row>24</xdr:row>
      <xdr:rowOff>0</xdr:rowOff>
    </xdr:to>
    <xdr:graphicFrame macro="">
      <xdr:nvGraphicFramePr>
        <xdr:cNvPr id="4" name="3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333375</xdr:colOff>
      <xdr:row>12</xdr:row>
      <xdr:rowOff>9525</xdr:rowOff>
    </xdr:from>
    <xdr:to>
      <xdr:col>23</xdr:col>
      <xdr:colOff>100219</xdr:colOff>
      <xdr:row>24</xdr:row>
      <xdr:rowOff>0</xdr:rowOff>
    </xdr:to>
    <xdr:graphicFrame macro="">
      <xdr:nvGraphicFramePr>
        <xdr:cNvPr id="5" name="4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228600</xdr:colOff>
      <xdr:row>48</xdr:row>
      <xdr:rowOff>162949</xdr:rowOff>
    </xdr:from>
    <xdr:to>
      <xdr:col>8</xdr:col>
      <xdr:colOff>403363</xdr:colOff>
      <xdr:row>61</xdr:row>
      <xdr:rowOff>95251</xdr:rowOff>
    </xdr:to>
    <xdr:graphicFrame macro="">
      <xdr:nvGraphicFramePr>
        <xdr:cNvPr id="9" name="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337102</xdr:colOff>
      <xdr:row>49</xdr:row>
      <xdr:rowOff>47623</xdr:rowOff>
    </xdr:from>
    <xdr:to>
      <xdr:col>16</xdr:col>
      <xdr:colOff>92351</xdr:colOff>
      <xdr:row>61</xdr:row>
      <xdr:rowOff>104774</xdr:rowOff>
    </xdr:to>
    <xdr:graphicFrame macro="">
      <xdr:nvGraphicFramePr>
        <xdr:cNvPr id="10" name="9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434009</xdr:colOff>
      <xdr:row>48</xdr:row>
      <xdr:rowOff>160684</xdr:rowOff>
    </xdr:from>
    <xdr:to>
      <xdr:col>23</xdr:col>
      <xdr:colOff>211207</xdr:colOff>
      <xdr:row>61</xdr:row>
      <xdr:rowOff>123826</xdr:rowOff>
    </xdr:to>
    <xdr:graphicFrame macro="">
      <xdr:nvGraphicFramePr>
        <xdr:cNvPr id="11" name="10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459441</xdr:colOff>
      <xdr:row>24</xdr:row>
      <xdr:rowOff>44823</xdr:rowOff>
    </xdr:from>
    <xdr:to>
      <xdr:col>23</xdr:col>
      <xdr:colOff>56029</xdr:colOff>
      <xdr:row>40</xdr:row>
      <xdr:rowOff>67235</xdr:rowOff>
    </xdr:to>
    <xdr:graphicFrame macro="">
      <xdr:nvGraphicFramePr>
        <xdr:cNvPr id="16" name="15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392205</xdr:colOff>
      <xdr:row>62</xdr:row>
      <xdr:rowOff>44823</xdr:rowOff>
    </xdr:from>
    <xdr:to>
      <xdr:col>22</xdr:col>
      <xdr:colOff>470646</xdr:colOff>
      <xdr:row>78</xdr:row>
      <xdr:rowOff>67235</xdr:rowOff>
    </xdr:to>
    <xdr:graphicFrame macro="">
      <xdr:nvGraphicFramePr>
        <xdr:cNvPr id="19" name="1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0</xdr:colOff>
      <xdr:row>85</xdr:row>
      <xdr:rowOff>67236</xdr:rowOff>
    </xdr:from>
    <xdr:to>
      <xdr:col>26</xdr:col>
      <xdr:colOff>571500</xdr:colOff>
      <xdr:row>108</xdr:row>
      <xdr:rowOff>67236</xdr:rowOff>
    </xdr:to>
    <xdr:graphicFrame macro="">
      <xdr:nvGraphicFramePr>
        <xdr:cNvPr id="13" name="1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0</xdr:col>
      <xdr:colOff>100854</xdr:colOff>
      <xdr:row>1</xdr:row>
      <xdr:rowOff>33618</xdr:rowOff>
    </xdr:from>
    <xdr:to>
      <xdr:col>7</xdr:col>
      <xdr:colOff>428261</xdr:colOff>
      <xdr:row>3</xdr:row>
      <xdr:rowOff>148551</xdr:rowOff>
    </xdr:to>
    <xdr:pic>
      <xdr:nvPicPr>
        <xdr:cNvPr id="14" name="Picture 13"/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747" b="23696"/>
        <a:stretch/>
      </xdr:blipFill>
      <xdr:spPr>
        <a:xfrm>
          <a:off x="100854" y="190500"/>
          <a:ext cx="3644348" cy="64161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200025</xdr:colOff>
      <xdr:row>6</xdr:row>
      <xdr:rowOff>0</xdr:rowOff>
    </xdr:from>
    <xdr:to>
      <xdr:col>23</xdr:col>
      <xdr:colOff>100293</xdr:colOff>
      <xdr:row>31</xdr:row>
      <xdr:rowOff>147918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409574</xdr:colOff>
      <xdr:row>40</xdr:row>
      <xdr:rowOff>133350</xdr:rowOff>
    </xdr:from>
    <xdr:to>
      <xdr:col>13</xdr:col>
      <xdr:colOff>9524</xdr:colOff>
      <xdr:row>57</xdr:row>
      <xdr:rowOff>133349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104775</xdr:colOff>
      <xdr:row>40</xdr:row>
      <xdr:rowOff>142875</xdr:rowOff>
    </xdr:from>
    <xdr:to>
      <xdr:col>10</xdr:col>
      <xdr:colOff>304799</xdr:colOff>
      <xdr:row>57</xdr:row>
      <xdr:rowOff>123825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838200</xdr:colOff>
      <xdr:row>42</xdr:row>
      <xdr:rowOff>114299</xdr:rowOff>
    </xdr:from>
    <xdr:to>
      <xdr:col>11</xdr:col>
      <xdr:colOff>666750</xdr:colOff>
      <xdr:row>68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52</xdr:row>
      <xdr:rowOff>0</xdr:rowOff>
    </xdr:from>
    <xdr:to>
      <xdr:col>31</xdr:col>
      <xdr:colOff>695325</xdr:colOff>
      <xdr:row>78</xdr:row>
      <xdr:rowOff>0</xdr:rowOff>
    </xdr:to>
    <xdr:graphicFrame macro="">
      <xdr:nvGraphicFramePr>
        <xdr:cNvPr id="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goldbergerr\Desktop\CERCHA\Interpolacion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definedNames>
      <definedName name="CERCH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CR6000"/>
  <sheetViews>
    <sheetView showGridLines="0" zoomScale="70" zoomScaleNormal="70" workbookViewId="0">
      <selection activeCell="K1" sqref="K1"/>
    </sheetView>
  </sheetViews>
  <sheetFormatPr baseColWidth="10" defaultColWidth="11.42578125" defaultRowHeight="15"/>
  <cols>
    <col min="1" max="1" width="12.85546875" style="23" bestFit="1" customWidth="1"/>
    <col min="2" max="2" width="20.7109375" style="23" customWidth="1"/>
    <col min="3" max="3" width="11.85546875" style="23" customWidth="1"/>
    <col min="4" max="4" width="11.42578125" style="23" customWidth="1"/>
    <col min="5" max="5" width="12.140625" style="23" customWidth="1"/>
    <col min="6" max="6" width="13.28515625" style="23" customWidth="1"/>
    <col min="7" max="8" width="11.85546875" style="23" bestFit="1" customWidth="1"/>
    <col min="9" max="17" width="11.42578125" style="23"/>
    <col min="18" max="18" width="15.85546875" style="23" bestFit="1" customWidth="1"/>
    <col min="19" max="20" width="11.42578125" style="23"/>
    <col min="21" max="21" width="14.140625" style="23" bestFit="1" customWidth="1"/>
    <col min="22" max="23" width="11.42578125" style="23"/>
    <col min="24" max="24" width="14.140625" style="23" bestFit="1" customWidth="1"/>
    <col min="25" max="26" width="11.42578125" style="23"/>
    <col min="27" max="27" width="14.140625" style="23" bestFit="1" customWidth="1"/>
    <col min="28" max="33" width="11.42578125" style="23"/>
    <col min="34" max="34" width="16.140625" style="23" bestFit="1" customWidth="1"/>
    <col min="35" max="35" width="12.28515625" style="23" bestFit="1" customWidth="1"/>
    <col min="36" max="36" width="11.7109375" style="23" bestFit="1" customWidth="1"/>
    <col min="37" max="37" width="10.140625" style="23" bestFit="1" customWidth="1"/>
    <col min="38" max="38" width="12.85546875" style="23" bestFit="1" customWidth="1"/>
    <col min="39" max="39" width="14.140625" style="23" bestFit="1" customWidth="1"/>
    <col min="40" max="40" width="8.42578125" style="23" bestFit="1" customWidth="1"/>
    <col min="41" max="41" width="7" style="23" customWidth="1"/>
    <col min="42" max="42" width="7" style="23" bestFit="1" customWidth="1"/>
    <col min="43" max="44" width="11.42578125" style="23"/>
    <col min="45" max="45" width="13.42578125" style="23" bestFit="1" customWidth="1"/>
    <col min="46" max="46" width="11.42578125" style="23"/>
    <col min="47" max="47" width="13.42578125" style="23" bestFit="1" customWidth="1"/>
    <col min="48" max="48" width="11.85546875" style="23" bestFit="1" customWidth="1"/>
    <col min="49" max="49" width="7.5703125" style="23" bestFit="1" customWidth="1"/>
    <col min="50" max="51" width="12.5703125" style="23" bestFit="1" customWidth="1"/>
    <col min="52" max="52" width="11.28515625" style="23" bestFit="1" customWidth="1"/>
    <col min="53" max="53" width="13.7109375" style="23" bestFit="1" customWidth="1"/>
    <col min="54" max="54" width="6.140625" style="23" bestFit="1" customWidth="1"/>
    <col min="55" max="55" width="12.5703125" customWidth="1"/>
    <col min="56" max="56" width="12.85546875" customWidth="1"/>
    <col min="57" max="58" width="8.140625" style="23" hidden="1" customWidth="1"/>
    <col min="59" max="59" width="11.28515625" style="23" bestFit="1" customWidth="1"/>
    <col min="60" max="60" width="6.140625" style="23" bestFit="1" customWidth="1"/>
    <col min="61" max="61" width="10.5703125" style="23" bestFit="1" customWidth="1"/>
    <col min="62" max="62" width="11.28515625" style="23" bestFit="1" customWidth="1"/>
    <col min="63" max="63" width="8.5703125" style="23" hidden="1" customWidth="1"/>
    <col min="64" max="64" width="11.5703125" style="23" hidden="1" customWidth="1"/>
    <col min="65" max="65" width="11.28515625" style="23" bestFit="1" customWidth="1"/>
    <col min="66" max="66" width="9.5703125" style="23" bestFit="1" customWidth="1"/>
    <col min="67" max="67" width="7.28515625" style="23" customWidth="1"/>
    <col min="68" max="68" width="12.42578125" style="23" customWidth="1"/>
    <col min="69" max="69" width="13.42578125" style="23" bestFit="1" customWidth="1"/>
    <col min="70" max="70" width="7" style="23" bestFit="1" customWidth="1"/>
    <col min="71" max="71" width="7" style="23" customWidth="1"/>
    <col min="72" max="72" width="12.42578125" style="23" hidden="1" customWidth="1"/>
    <col min="73" max="73" width="16.42578125" style="23" hidden="1" customWidth="1"/>
    <col min="74" max="74" width="7.42578125" style="23" bestFit="1" customWidth="1"/>
    <col min="75" max="75" width="10.7109375" style="23" customWidth="1"/>
    <col min="76" max="76" width="10.7109375" style="23" hidden="1" customWidth="1"/>
    <col min="77" max="77" width="11.5703125" style="23" hidden="1" customWidth="1"/>
    <col min="78" max="78" width="11.7109375" style="23" bestFit="1" customWidth="1"/>
    <col min="79" max="79" width="7.5703125" style="23" bestFit="1" customWidth="1"/>
    <col min="80" max="80" width="7.7109375" style="23" bestFit="1" customWidth="1"/>
    <col min="81" max="81" width="8.28515625" style="50" bestFit="1" customWidth="1"/>
    <col min="82" max="82" width="16.28515625" style="23" bestFit="1" customWidth="1"/>
    <col min="83" max="83" width="13.85546875" style="23" bestFit="1" customWidth="1"/>
    <col min="84" max="84" width="11.5703125" style="23" bestFit="1" customWidth="1"/>
    <col min="85" max="85" width="13" style="23" bestFit="1" customWidth="1"/>
    <col min="86" max="86" width="13.140625" style="23" bestFit="1" customWidth="1"/>
    <col min="87" max="87" width="11.28515625" style="23" bestFit="1" customWidth="1"/>
    <col min="88" max="88" width="13" style="23" bestFit="1" customWidth="1"/>
    <col min="89" max="89" width="12.85546875" style="23" bestFit="1" customWidth="1"/>
    <col min="90" max="91" width="11.42578125" style="23"/>
    <col min="92" max="92" width="14.42578125" style="23" bestFit="1" customWidth="1"/>
    <col min="93" max="93" width="12.85546875" style="23" bestFit="1" customWidth="1"/>
    <col min="94" max="94" width="11.42578125" style="23"/>
    <col min="95" max="95" width="11.28515625" style="23" bestFit="1" customWidth="1"/>
    <col min="96" max="96" width="12.85546875" style="23" bestFit="1" customWidth="1"/>
    <col min="97" max="16384" width="11.42578125" style="23"/>
  </cols>
  <sheetData>
    <row r="1" spans="1:96" ht="15.75" thickBot="1">
      <c r="B1" s="140" t="s">
        <v>0</v>
      </c>
      <c r="C1" s="141">
        <f ca="1">+TODAY()</f>
        <v>42670</v>
      </c>
      <c r="D1" s="60" t="s">
        <v>26</v>
      </c>
      <c r="F1" s="140" t="s">
        <v>6</v>
      </c>
      <c r="G1" s="140" t="s">
        <v>11</v>
      </c>
      <c r="L1" s="423"/>
      <c r="R1" s="567" t="s">
        <v>33</v>
      </c>
      <c r="S1" s="567"/>
      <c r="AG1" s="279" t="s">
        <v>272</v>
      </c>
      <c r="AH1" s="112" t="s">
        <v>45</v>
      </c>
      <c r="AI1" s="5" t="s">
        <v>1</v>
      </c>
      <c r="AJ1" s="5" t="s">
        <v>3</v>
      </c>
      <c r="AK1" s="113" t="s">
        <v>38</v>
      </c>
      <c r="AS1" s="319" t="s">
        <v>307</v>
      </c>
      <c r="AT1" s="320">
        <v>2016</v>
      </c>
      <c r="AU1" s="178">
        <f ca="1">+$S$3/100-SUM($AX$26:$AX$37)</f>
        <v>4.6551513613571835E-3</v>
      </c>
      <c r="AW1" s="101" t="s">
        <v>94</v>
      </c>
      <c r="AX1" s="101" t="s">
        <v>134</v>
      </c>
      <c r="AY1" s="101" t="s">
        <v>135</v>
      </c>
      <c r="AZ1" s="101" t="s">
        <v>99</v>
      </c>
      <c r="BA1" s="101" t="s">
        <v>95</v>
      </c>
      <c r="BC1" s="70" t="s">
        <v>46</v>
      </c>
      <c r="BP1" s="70" t="s">
        <v>46</v>
      </c>
      <c r="BQ1" s="70"/>
      <c r="CC1" s="23"/>
      <c r="CI1" s="377" t="s">
        <v>371</v>
      </c>
      <c r="CJ1" s="23">
        <v>0.31</v>
      </c>
      <c r="CK1" s="23">
        <v>1</v>
      </c>
    </row>
    <row r="2" spans="1:96" ht="15.75" thickBot="1">
      <c r="B2" s="29" t="s">
        <v>164</v>
      </c>
      <c r="C2" s="212">
        <f>_xll.BDP("CHOVCHOV Index","PX_LAST")</f>
        <v>3.5</v>
      </c>
      <c r="D2" s="58">
        <f>+C3/12</f>
        <v>0.33333333333333331</v>
      </c>
      <c r="F2" s="138">
        <v>0</v>
      </c>
      <c r="G2" s="466">
        <v>0</v>
      </c>
      <c r="I2" s="55"/>
      <c r="R2" s="70" t="s">
        <v>34</v>
      </c>
      <c r="AH2" s="2">
        <v>0</v>
      </c>
      <c r="AI2" s="222">
        <f ca="1">+sumames($C$1,AH2)</f>
        <v>42670</v>
      </c>
      <c r="AJ2" s="15">
        <v>0</v>
      </c>
      <c r="AK2" s="93">
        <f>$C$2</f>
        <v>3.5</v>
      </c>
      <c r="AS2" s="319" t="s">
        <v>307</v>
      </c>
      <c r="AT2" s="320">
        <v>2017</v>
      </c>
      <c r="AU2" s="178">
        <f ca="1">+$S$4/100-SUM($AX$38:$AX$49)</f>
        <v>2.8680234375569671E-4</v>
      </c>
      <c r="AW2" s="174">
        <v>41640</v>
      </c>
      <c r="AX2" s="175">
        <f ca="1">IF(fechaHoy&gt;siguienteHabil(EDATE(AW2,1)+8,-1),VLOOKUP(EDATE(AW2,1)-1,Inflation_FWD!$L:$M,2,0)/100,IFERROR(VLOOKUP(AW2,Inflation_FWD!$H:$I,2,0),0.25%))</f>
        <v>2E-3</v>
      </c>
      <c r="AY2" s="175">
        <v>2E-3</v>
      </c>
      <c r="AZ2" s="100">
        <f>AW2+8</f>
        <v>41648</v>
      </c>
      <c r="BA2" s="102">
        <v>23336.59</v>
      </c>
      <c r="BB2" s="213"/>
      <c r="BC2" s="182" t="s">
        <v>47</v>
      </c>
      <c r="BD2" s="182" t="s">
        <v>48</v>
      </c>
      <c r="BE2" s="182" t="s">
        <v>159</v>
      </c>
      <c r="BF2" s="182" t="s">
        <v>160</v>
      </c>
      <c r="BG2" s="182" t="s">
        <v>161</v>
      </c>
      <c r="BH2" s="182" t="s">
        <v>130</v>
      </c>
      <c r="BI2" s="182" t="s">
        <v>139</v>
      </c>
      <c r="BJ2" s="182" t="s">
        <v>101</v>
      </c>
      <c r="BK2" s="182" t="s">
        <v>141</v>
      </c>
      <c r="BL2" s="182" t="s">
        <v>140</v>
      </c>
      <c r="BM2" s="182" t="s">
        <v>142</v>
      </c>
      <c r="BN2" s="182" t="s">
        <v>228</v>
      </c>
      <c r="BP2" s="182" t="s">
        <v>47</v>
      </c>
      <c r="BQ2" s="182" t="s">
        <v>48</v>
      </c>
      <c r="BR2" s="182" t="s">
        <v>161</v>
      </c>
      <c r="BS2" s="182" t="s">
        <v>130</v>
      </c>
      <c r="BT2" s="182" t="s">
        <v>137</v>
      </c>
      <c r="BU2" s="182" t="s">
        <v>136</v>
      </c>
      <c r="BV2" s="182" t="s">
        <v>139</v>
      </c>
      <c r="BW2" s="182" t="s">
        <v>101</v>
      </c>
      <c r="BX2" s="182" t="s">
        <v>141</v>
      </c>
      <c r="BY2" s="182" t="s">
        <v>140</v>
      </c>
      <c r="BZ2" s="182" t="s">
        <v>142</v>
      </c>
      <c r="CA2" s="182" t="s">
        <v>270</v>
      </c>
      <c r="CB2" s="182" t="s">
        <v>271</v>
      </c>
      <c r="CC2" s="182" t="s">
        <v>228</v>
      </c>
      <c r="CD2" s="248" t="s">
        <v>273</v>
      </c>
      <c r="CE2" s="288" t="s">
        <v>275</v>
      </c>
      <c r="CF2" s="182" t="str">
        <f>"Ret UF "&amp;CK1&amp;"MO"</f>
        <v>Ret UF 1MO</v>
      </c>
      <c r="CG2" s="182" t="str">
        <f>"Dif Devg "&amp;CK1&amp;"MO"</f>
        <v>Dif Devg 1MO</v>
      </c>
      <c r="CH2" s="182" t="s">
        <v>265</v>
      </c>
      <c r="CI2" s="283" t="s">
        <v>258</v>
      </c>
      <c r="CJ2" s="283" t="s">
        <v>269</v>
      </c>
      <c r="CK2" s="283" t="s">
        <v>265</v>
      </c>
      <c r="CL2" s="285" t="s">
        <v>274</v>
      </c>
      <c r="CN2" s="182" t="s">
        <v>47</v>
      </c>
      <c r="CO2" s="182" t="s">
        <v>48</v>
      </c>
      <c r="CQ2" s="182" t="s">
        <v>47</v>
      </c>
      <c r="CR2" s="182" t="s">
        <v>48</v>
      </c>
    </row>
    <row r="3" spans="1:96">
      <c r="B3" s="29" t="s">
        <v>15</v>
      </c>
      <c r="C3" s="83">
        <v>4</v>
      </c>
      <c r="F3" s="138">
        <f>2*360</f>
        <v>720</v>
      </c>
      <c r="G3" s="466">
        <f>0.15*$G$6/3</f>
        <v>4.9999999999999996E-2</v>
      </c>
      <c r="R3" s="529" t="s">
        <v>278</v>
      </c>
      <c r="S3" s="457">
        <f>+V20*$U$17+Y20*$X$17+AB20*$AA$17+AE20*$AD$17</f>
        <v>3.4000000000000004</v>
      </c>
      <c r="AH3" s="3">
        <v>1</v>
      </c>
      <c r="AI3" s="223">
        <f t="array" aca="1" ref="AI3" ca="1">IFERROR(MIN(IF(RPM!B:B&gt;=$AI$2,RPM!B:B)),sumames($AI$2,AH3))</f>
        <v>42691</v>
      </c>
      <c r="AJ3" s="15">
        <f ca="1">IF(AI2=AI3,1,AI3-$C$1)</f>
        <v>21</v>
      </c>
      <c r="AK3" s="94">
        <f t="shared" ref="AK3:AK23" si="0">S9</f>
        <v>3.5000000000000004</v>
      </c>
      <c r="AQ3" s="97"/>
      <c r="AW3" s="174">
        <v>41671</v>
      </c>
      <c r="AX3" s="175">
        <f ca="1">IF(fechaHoy&gt;siguienteHabil(EDATE(AW3,1)+8,-1),VLOOKUP(EDATE(AW3,1)-1,Inflation_FWD!$L:$M,2,0)/100,IFERROR(VLOOKUP(AW3,Inflation_FWD!$H:$I,2,0),0.25%))</f>
        <v>5.0000000000000001E-3</v>
      </c>
      <c r="AY3" s="175">
        <v>5.0000000000000001E-3</v>
      </c>
      <c r="AZ3" s="100">
        <f t="shared" ref="AZ3:AZ65" si="1">AW3+8</f>
        <v>41679</v>
      </c>
      <c r="BA3" s="102">
        <f>23476.61</f>
        <v>23476.61</v>
      </c>
      <c r="BB3" s="215"/>
      <c r="BC3" s="179" t="s">
        <v>163</v>
      </c>
      <c r="BD3" s="493" t="s">
        <v>85</v>
      </c>
      <c r="BE3" s="99" t="str">
        <f t="shared" ref="BE3:BE23" si="2">IF(BI3&lt;&gt;"N/A",RIGHT(BD3,3),"N/A")</f>
        <v>N/A</v>
      </c>
      <c r="BF3" s="99" t="str">
        <f t="shared" ref="BF3:BF23" si="3">IF(BI3&lt;&gt;"N/A",RIGHT(BD3,2),"N/A")</f>
        <v>N/A</v>
      </c>
      <c r="BG3" s="243">
        <f t="shared" ref="BG3:BG24" ca="1" si="4">+tirValorizador($C$1,BD3,$AR$31:$AS$156,"PG")</f>
        <v>-1.5577421385410632E-12</v>
      </c>
      <c r="BH3" s="270">
        <f ca="1">INDEX(PrecioDur(fechaHoy,BG3,DATE("20"&amp;RIGHT(BD3,2),MID(BD3,7,2),1),MID(BD3,4,3)/10,2,365),1,2)</f>
        <v>0.18082191780822202</v>
      </c>
      <c r="BI3" s="243" t="str">
        <f>IFERROR(IFERROR(VLOOKUP(BD3,TransaccionesRF!$B:$O,12,0),VLOOKUP(BD3,'TransaccionesRFt-1'!$B:$O,12,0)), "N/A")</f>
        <v>N/A</v>
      </c>
      <c r="BJ3" s="114" t="str">
        <f t="shared" ref="BJ3:BJ22" ca="1" si="5">IFERROR(BI3-BG3,"N/A")</f>
        <v>N/A</v>
      </c>
      <c r="BK3" s="114" t="str">
        <f>IFERROR(VLOOKUP(BD3,TransaccionesRF!$B:$O,12,0),"N/A")</f>
        <v>N/A</v>
      </c>
      <c r="BL3" s="114" t="str">
        <f>IFERROR(VLOOKUP(BD3,'TransaccionesRFt-1'!$B:$O,12,0),"N/A")</f>
        <v>N/A</v>
      </c>
      <c r="BM3" s="114" t="str">
        <f t="shared" ref="BM3:BM22" si="6">IFERROR(BK3-BL3,"N/A")</f>
        <v>N/A</v>
      </c>
      <c r="BN3" s="114">
        <f ca="1">+tirValorizador($C$1,$BD3,Zero_swap_CL!$L$2:$M$18,"PG")</f>
        <v>3.5936326731886075</v>
      </c>
      <c r="BP3" s="179" t="s">
        <v>163</v>
      </c>
      <c r="BQ3" s="268" t="s">
        <v>51</v>
      </c>
      <c r="BR3" s="243">
        <f ca="1">+tirValorizador($C$1,BQ3,$AT$31:$AU$156,"PG")</f>
        <v>-1.6004510576246665E-12</v>
      </c>
      <c r="BS3" s="270">
        <f ca="1">INDEX(PrecioDur(fechaHoy,BR3,DATE("20"&amp;RIGHT(BQ3,2),MID(BQ3,7,2),1),MID(BQ3,4,3)/10,2,365),1,2)</f>
        <v>0.18082191780822207</v>
      </c>
      <c r="BT3" s="243">
        <f t="shared" ref="BT3:BT39" ca="1" si="7">+tirValorizador($C$1,BQ3,$AR$31:$AS$156,"PG")</f>
        <v>-1.6004510576246665E-12</v>
      </c>
      <c r="BU3" s="243" t="str">
        <f t="shared" ref="BU3:BU42" si="8">IFERROR(VLOOKUP(RIGHT(BQ3,3),$BE:$BI,5,0),IFERROR(VLOOKUP(RIGHT(BQ3,2),$BF:$BI,4,0),"N/A"))</f>
        <v>N/A</v>
      </c>
      <c r="BV3" s="243" t="str">
        <f>IFERROR(IFERROR(VLOOKUP(BQ3,TransaccionesRF!$B:$O,12,0),VLOOKUP(BQ3,'TransaccionesRFt-1'!$B:$O,12,0)),"N/A")</f>
        <v>N/A</v>
      </c>
      <c r="BW3" s="114" t="str">
        <f t="shared" ref="BW3:BW34" ca="1" si="9">IFERROR(BV3-BR3,"N/A")</f>
        <v>N/A</v>
      </c>
      <c r="BX3" s="114" t="str">
        <f>IFERROR(VLOOKUP(BQ3,TransaccionesRF!$B:$O,12,0),"N/A")</f>
        <v>N/A</v>
      </c>
      <c r="BY3" s="114" t="str">
        <f>IFERROR(VLOOKUP(BQ3,'TransaccionesRFt-1'!$B:$O,12,0),"N/A")</f>
        <v>N/A</v>
      </c>
      <c r="BZ3" s="114" t="str">
        <f t="shared" ref="BZ3:BZ34" si="10">IFERROR(BX3-BY3,"N/A")</f>
        <v>N/A</v>
      </c>
      <c r="CA3" s="99" t="str">
        <f t="shared" ref="CA3:CA34" si="11">IFERROR(BU3-BV3,"N/A")</f>
        <v>N/A</v>
      </c>
      <c r="CB3" s="130">
        <f t="shared" ref="CB3:CB34" ca="1" si="12">IFERROR(BT3-BR3,"N/A")</f>
        <v>0</v>
      </c>
      <c r="CC3" s="130">
        <f ca="1">+tirValorizador($C$1,$BQ3,Zero_swap_CL!$L$23:$M$39,"PG")</f>
        <v>1.49668891276391</v>
      </c>
      <c r="CD3" s="130" t="str">
        <f t="shared" ref="CD3:CD39" ca="1" si="13">IFERROR(BS3*BW3,"N/A")</f>
        <v>N/A</v>
      </c>
      <c r="CE3" s="130"/>
      <c r="CF3" s="130">
        <f t="shared" ref="CF3:CF42" ca="1" si="14">(OFFSET($AM$31,31,0)/$AM$31-1)*100</f>
        <v>0.39794317481895991</v>
      </c>
      <c r="CG3" s="130" t="str">
        <f t="shared" ref="CG3:CG39" ca="1" si="15">IFERROR(BV3/12+CF3-BU3/12,"N/A")</f>
        <v>N/A</v>
      </c>
      <c r="CH3" s="130" t="str">
        <f t="shared" ref="CH3:CH39" ca="1" si="16">IFERROR(CG3/BS3,"N/A")</f>
        <v>N/A</v>
      </c>
      <c r="CI3" s="130">
        <f t="shared" ref="CI3:CI42" ca="1" si="17">(OFFSET($AM$31,30*$CK$1,0)/$AM$31-1)*100</f>
        <v>0.38104543359116505</v>
      </c>
      <c r="CJ3" s="130" t="str">
        <f t="shared" ref="CJ3:CJ42" ca="1" si="18">IFERROR(BV3/12*$CK$1+CI3-$CJ$1*$CK$1,"N/A")</f>
        <v>N/A</v>
      </c>
      <c r="CK3" s="130" t="str">
        <f t="shared" ref="CK3:CK39" ca="1" si="19">IFERROR(CJ3/BS3,"N/A")</f>
        <v>N/A</v>
      </c>
      <c r="CL3" s="130" t="str">
        <f t="shared" ref="CL3:CL39" ca="1" si="20">IFERROR(CD3+CJ3,"N/A")</f>
        <v>N/A</v>
      </c>
      <c r="CN3" s="179" t="str">
        <f t="shared" ref="CN3:CN26" si="21">BB3&amp;BC3</f>
        <v>N/A</v>
      </c>
      <c r="CO3" s="179" t="str">
        <f t="shared" ref="CO3:CO25" si="22">BD3</f>
        <v>BCP0600117</v>
      </c>
      <c r="CQ3" s="179" t="str">
        <f t="shared" ref="CQ3:CQ44" si="23">BO3&amp;BP3</f>
        <v>N/A</v>
      </c>
      <c r="CR3" s="247" t="str">
        <f t="shared" ref="CR3:CR44" si="24">BQ3</f>
        <v>BTU0300117</v>
      </c>
    </row>
    <row r="4" spans="1:96" ht="15.75" thickBot="1">
      <c r="A4" s="267"/>
      <c r="B4" s="137" t="s">
        <v>129</v>
      </c>
      <c r="C4" s="84">
        <f ca="1">(OFFSET($AM$31,C3*30+1,0)/$AM$31-1)*100</f>
        <v>1.0469515557028464</v>
      </c>
      <c r="F4" s="138">
        <f>5*360</f>
        <v>1800</v>
      </c>
      <c r="G4" s="466">
        <f>0.2*$G$6/3</f>
        <v>6.6666666666666666E-2</v>
      </c>
      <c r="H4" s="59"/>
      <c r="R4" s="530" t="s">
        <v>557</v>
      </c>
      <c r="S4" s="458">
        <f>+V21*$U$17+Y21*$X$17+AB21*$AA$17+AE21*$AD$17</f>
        <v>2.85</v>
      </c>
      <c r="AG4" s="280">
        <v>1</v>
      </c>
      <c r="AH4" s="3">
        <f>AH3+AG4</f>
        <v>2</v>
      </c>
      <c r="AI4" s="224">
        <f ca="1">IFERROR(VLOOKUP(DATE(YEAR(EDATE(AI3,AG4)),MONTH(EDATE(AI3,AG4)),1),RPM!A:B,2,0),sumames(AI3,AH4-AH3))</f>
        <v>42719</v>
      </c>
      <c r="AJ4" s="15">
        <f t="shared" ref="AJ4:AJ23" ca="1" si="25">+AI4-$C$1</f>
        <v>49</v>
      </c>
      <c r="AK4" s="94">
        <f t="shared" si="0"/>
        <v>3.5000000000000004</v>
      </c>
      <c r="AQ4" s="97"/>
      <c r="AT4" s="70" t="str">
        <f>"check " &amp; AT1</f>
        <v>check 2016</v>
      </c>
      <c r="AU4" s="70" t="str">
        <f ca="1">+IF(ROUND(SUM($AY$26:$AY$37)-SUM($AX$26:$AX$37)-$AU$1,4)=0,"ok","verificar")</f>
        <v>ok</v>
      </c>
      <c r="AW4" s="174">
        <v>41699</v>
      </c>
      <c r="AX4" s="175">
        <f ca="1">IF(fechaHoy&gt;siguienteHabil(EDATE(AW4,1)+8,-1),VLOOKUP(EDATE(AW4,1)-1,Inflation_FWD!$L:$M,2,0)/100,IFERROR(VLOOKUP(AW4,Inflation_FWD!$H:$I,2,0),0.25%))</f>
        <v>8.0000000000000002E-3</v>
      </c>
      <c r="AY4" s="175">
        <v>8.0000000000000002E-3</v>
      </c>
      <c r="AZ4" s="100">
        <f t="shared" si="1"/>
        <v>41707</v>
      </c>
      <c r="BA4" s="102">
        <f>BA3*(1+AY2)</f>
        <v>23523.56322</v>
      </c>
      <c r="BC4" s="179" t="s">
        <v>163</v>
      </c>
      <c r="BD4" s="179" t="s">
        <v>9</v>
      </c>
      <c r="BE4" s="99" t="str">
        <f t="shared" si="2"/>
        <v>N/A</v>
      </c>
      <c r="BF4" s="99" t="str">
        <f t="shared" si="3"/>
        <v>N/A</v>
      </c>
      <c r="BG4" s="243">
        <f t="shared" ca="1" si="4"/>
        <v>-3.9276540055250067E-12</v>
      </c>
      <c r="BH4" s="270">
        <f ca="1">INDEX(PrecioDur(fechaHoy,BG4,DATE("20"&amp;RIGHT(BD4,2),MID(BD4,7,2),1),MID(BD4,4,3)/10,2,365),1,2)</f>
        <v>0.342465753424671</v>
      </c>
      <c r="BI4" s="243" t="str">
        <f>IFERROR(IFERROR(VLOOKUP(BD4,TransaccionesRF!$B:$O,12,0),VLOOKUP(BD4,'TransaccionesRFt-1'!$B:$O,12,0)), "N/A")</f>
        <v>N/A</v>
      </c>
      <c r="BJ4" s="114" t="str">
        <f t="shared" ca="1" si="5"/>
        <v>N/A</v>
      </c>
      <c r="BK4" s="114" t="str">
        <f>IFERROR(VLOOKUP(BD4,TransaccionesRF!$B:$O,12,0),"N/A")</f>
        <v>N/A</v>
      </c>
      <c r="BL4" s="114" t="str">
        <f>IFERROR(VLOOKUP(BD4,'TransaccionesRFt-1'!$B:$O,12,0),"N/A")</f>
        <v>N/A</v>
      </c>
      <c r="BM4" s="114" t="str">
        <f t="shared" si="6"/>
        <v>N/A</v>
      </c>
      <c r="BN4" s="114">
        <f ca="1">+tirValorizador($C$1,$BD4,Zero_swap_CL!$L$2:$M$18,"PG")</f>
        <v>3.5485268977973119</v>
      </c>
      <c r="BP4" s="179" t="s">
        <v>163</v>
      </c>
      <c r="BQ4" s="268" t="s">
        <v>52</v>
      </c>
      <c r="BR4" s="243">
        <f t="shared" ref="BR4:BR39" ca="1" si="26">+tirValorizador($C$1,BQ4,$AT$31:$AU$156,"PG")</f>
        <v>-3.9134992413315719E-12</v>
      </c>
      <c r="BS4" s="270">
        <f ca="1">INDEX(PrecioDur(fechaHoy,BR4,DATE("20"&amp;RIGHT(BQ4,2),MID(BQ4,7,2),1),MID(BQ4,4,3)/10,2,365),1,2)</f>
        <v>0.34246575342467089</v>
      </c>
      <c r="BT4" s="243">
        <f t="shared" ca="1" si="7"/>
        <v>-3.9134992413315719E-12</v>
      </c>
      <c r="BU4" s="243" t="str">
        <f t="shared" si="8"/>
        <v>N/A</v>
      </c>
      <c r="BV4" s="243" t="str">
        <f>IFERROR(IFERROR(VLOOKUP(BQ4,TransaccionesRF!$B:$O,12,0),VLOOKUP(BQ4,'TransaccionesRFt-1'!$B:$O,12,0)),"N/A")</f>
        <v>N/A</v>
      </c>
      <c r="BW4" s="114" t="str">
        <f t="shared" ca="1" si="9"/>
        <v>N/A</v>
      </c>
      <c r="BX4" s="114" t="str">
        <f>IFERROR(VLOOKUP(BQ4,TransaccionesRF!$B:$O,12,0),"N/A")</f>
        <v>N/A</v>
      </c>
      <c r="BY4" s="114" t="str">
        <f>IFERROR(VLOOKUP(BQ4,'TransaccionesRFt-1'!$B:$O,12,0),"N/A")</f>
        <v>N/A</v>
      </c>
      <c r="BZ4" s="114" t="str">
        <f t="shared" si="10"/>
        <v>N/A</v>
      </c>
      <c r="CA4" s="99" t="str">
        <f t="shared" si="11"/>
        <v>N/A</v>
      </c>
      <c r="CB4" s="130">
        <f t="shared" ca="1" si="12"/>
        <v>0</v>
      </c>
      <c r="CC4" s="130">
        <f ca="1">+tirValorizador($C$1,$BQ4,Zero_swap_CL!$L$23:$M$39,"PG")</f>
        <v>1.5018551757271621</v>
      </c>
      <c r="CD4" s="130" t="str">
        <f t="shared" ca="1" si="13"/>
        <v>N/A</v>
      </c>
      <c r="CE4" s="130"/>
      <c r="CF4" s="130">
        <f t="shared" ca="1" si="14"/>
        <v>0.39794317481895991</v>
      </c>
      <c r="CG4" s="130" t="str">
        <f t="shared" ca="1" si="15"/>
        <v>N/A</v>
      </c>
      <c r="CH4" s="130" t="str">
        <f t="shared" ca="1" si="16"/>
        <v>N/A</v>
      </c>
      <c r="CI4" s="130">
        <f t="shared" ca="1" si="17"/>
        <v>0.38104543359116505</v>
      </c>
      <c r="CJ4" s="130" t="str">
        <f t="shared" ca="1" si="18"/>
        <v>N/A</v>
      </c>
      <c r="CK4" s="130" t="str">
        <f t="shared" ca="1" si="19"/>
        <v>N/A</v>
      </c>
      <c r="CL4" s="130" t="str">
        <f t="shared" ca="1" si="20"/>
        <v>N/A</v>
      </c>
      <c r="CN4" s="179" t="str">
        <f t="shared" si="21"/>
        <v>N/A</v>
      </c>
      <c r="CO4" s="179" t="str">
        <f t="shared" si="22"/>
        <v>BTP0600317</v>
      </c>
      <c r="CQ4" s="179" t="str">
        <f t="shared" si="23"/>
        <v>N/A</v>
      </c>
      <c r="CR4" s="247" t="str">
        <f t="shared" si="24"/>
        <v>BCU0300317</v>
      </c>
    </row>
    <row r="5" spans="1:96" ht="15.75" thickBot="1">
      <c r="B5" s="129"/>
      <c r="C5" s="60"/>
      <c r="D5" s="275"/>
      <c r="E5" s="60"/>
      <c r="F5" s="139">
        <f>10*360</f>
        <v>3600</v>
      </c>
      <c r="G5" s="467">
        <f>0.3*$G$6/3</f>
        <v>9.9999999999999992E-2</v>
      </c>
      <c r="H5" s="59"/>
      <c r="R5" s="531" t="s">
        <v>558</v>
      </c>
      <c r="S5" s="459">
        <f>+V22*$U$17+Y22*$X$17+AB22*$AA$17+AE22*$AD$17</f>
        <v>2.97</v>
      </c>
      <c r="AG5" s="280">
        <v>1</v>
      </c>
      <c r="AH5" s="3">
        <f t="shared" ref="AH5:AH14" si="27">AH4+AG5</f>
        <v>3</v>
      </c>
      <c r="AI5" s="224">
        <f ca="1">IFERROR(VLOOKUP(DATE(YEAR(EDATE(AI4,AG5)),MONTH(EDATE(AI4,AG5)),1),RPM!A:B,2,0),sumames(AI4,AH5-AH4))</f>
        <v>42750</v>
      </c>
      <c r="AJ5" s="15">
        <f t="shared" ca="1" si="25"/>
        <v>80</v>
      </c>
      <c r="AK5" s="94">
        <f t="shared" si="0"/>
        <v>3.5000000000000004</v>
      </c>
      <c r="AQ5" s="97"/>
      <c r="AT5" s="70" t="str">
        <f>"check " &amp; AT2</f>
        <v>check 2017</v>
      </c>
      <c r="AU5" s="70" t="str">
        <f ca="1">+IF(ROUND(SUM($AY$38:$AY$49)-SUM($AX$38:$AX$49)-$AU$2,5)=0,"ok","verificar")</f>
        <v>ok</v>
      </c>
      <c r="AW5" s="174">
        <v>41730</v>
      </c>
      <c r="AX5" s="175">
        <f ca="1">IF(fechaHoy&gt;siguienteHabil(EDATE(AW5,1)+8,-1),VLOOKUP(EDATE(AW5,1)-1,Inflation_FWD!$L:$M,2,0)/100,IFERROR(VLOOKUP(AW5,Inflation_FWD!$H:$I,2,0),0.25%))</f>
        <v>6.0000000000000001E-3</v>
      </c>
      <c r="AY5" s="175">
        <v>6.0000000000000001E-3</v>
      </c>
      <c r="AZ5" s="100">
        <f t="shared" si="1"/>
        <v>41738</v>
      </c>
      <c r="BA5" s="102">
        <f>BA4*(1+AY3)</f>
        <v>23641.181036099999</v>
      </c>
      <c r="BC5" s="179" t="s">
        <v>163</v>
      </c>
      <c r="BD5" s="183" t="s">
        <v>86</v>
      </c>
      <c r="BE5" s="99" t="str">
        <f t="shared" si="2"/>
        <v>N/A</v>
      </c>
      <c r="BF5" s="99" t="str">
        <f t="shared" si="3"/>
        <v>N/A</v>
      </c>
      <c r="BG5" s="243">
        <f t="shared" ca="1" si="4"/>
        <v>-1.3075232872328604E-11</v>
      </c>
      <c r="BH5" s="270">
        <f ca="1">INDEX(PrecioDur(fechaHoy,BG5,DATE("20"&amp;RIGHT(BD5,2),MID(BD5,7,2),1),MID(BD5,4,3)/10,2,365),1,2)</f>
        <v>0.58040837425699077</v>
      </c>
      <c r="BI5" s="243" t="str">
        <f>IFERROR(IFERROR(VLOOKUP(BD5,TransaccionesRF!$B:$O,12,0),VLOOKUP(BD5,'TransaccionesRFt-1'!$B:$O,12,0)), "N/A")</f>
        <v>N/A</v>
      </c>
      <c r="BJ5" s="114" t="str">
        <f t="shared" ca="1" si="5"/>
        <v>N/A</v>
      </c>
      <c r="BK5" s="114" t="str">
        <f>IFERROR(VLOOKUP(BD5,TransaccionesRF!$B:$O,12,0),"N/A")</f>
        <v>N/A</v>
      </c>
      <c r="BL5" s="114" t="str">
        <f>IFERROR(VLOOKUP(BD5,'TransaccionesRFt-1'!$B:$O,12,0),"N/A")</f>
        <v>N/A</v>
      </c>
      <c r="BM5" s="114" t="str">
        <f t="shared" si="6"/>
        <v>N/A</v>
      </c>
      <c r="BN5" s="114">
        <f ca="1">+tirValorizador($C$1,$BD5,Zero_swap_CL!$L$2:$M$18,"PG")</f>
        <v>3.4517233182795843</v>
      </c>
      <c r="BP5" s="179" t="s">
        <v>163</v>
      </c>
      <c r="BQ5" s="468" t="s">
        <v>53</v>
      </c>
      <c r="BR5" s="243">
        <f ca="1">+tirValorizador($C$1,BQ5,$AT$31:$AU$156,"PG")</f>
        <v>-8.9829688623027128E-12</v>
      </c>
      <c r="BS5" s="270">
        <f ca="1">INDEX(PrecioDur(fechaHoy,BR5,DATE("20"&amp;RIGHT(BQ5,2),MID(BQ5,7,2),1),MID(BQ5,4,3)/10,2,365),1,2)</f>
        <v>0.50236733608197126</v>
      </c>
      <c r="BT5" s="243">
        <f t="shared" ca="1" si="7"/>
        <v>-8.9829688623027128E-12</v>
      </c>
      <c r="BU5" s="243" t="str">
        <f t="shared" si="8"/>
        <v>N/A</v>
      </c>
      <c r="BV5" s="243">
        <f>IFERROR(IFERROR(VLOOKUP(BQ5,TransaccionesRF!$B:$O,12,0),VLOOKUP(BQ5,'TransaccionesRFt-1'!$B:$O,12,0)),"N/A")</f>
        <v>1.42</v>
      </c>
      <c r="BW5" s="114">
        <f t="shared" ca="1" si="9"/>
        <v>1.420000000008983</v>
      </c>
      <c r="BX5" s="114" t="str">
        <f>IFERROR(VLOOKUP(BQ5,TransaccionesRF!$B:$O,12,0),"N/A")</f>
        <v>N/A</v>
      </c>
      <c r="BY5" s="114">
        <f>IFERROR(VLOOKUP(BQ5,'TransaccionesRFt-1'!$B:$O,12,0),"N/A")</f>
        <v>1.42</v>
      </c>
      <c r="BZ5" s="114" t="str">
        <f t="shared" si="10"/>
        <v>N/A</v>
      </c>
      <c r="CA5" s="99" t="str">
        <f t="shared" si="11"/>
        <v>N/A</v>
      </c>
      <c r="CB5" s="130">
        <f t="shared" ca="1" si="12"/>
        <v>0</v>
      </c>
      <c r="CC5" s="130">
        <f ca="1">+tirValorizador($C$1,$BQ5,Zero_swap_CL!$L$23:$M$39,"PG")</f>
        <v>1.1867106859617425</v>
      </c>
      <c r="CD5" s="130">
        <f t="shared" ca="1" si="13"/>
        <v>0.71336161724091196</v>
      </c>
      <c r="CE5" s="130"/>
      <c r="CF5" s="130">
        <f t="shared" ca="1" si="14"/>
        <v>0.39794317481895991</v>
      </c>
      <c r="CG5" s="130" t="str">
        <f t="shared" ca="1" si="15"/>
        <v>N/A</v>
      </c>
      <c r="CH5" s="130" t="str">
        <f t="shared" ca="1" si="16"/>
        <v>N/A</v>
      </c>
      <c r="CI5" s="130">
        <f t="shared" ca="1" si="17"/>
        <v>0.38104543359116505</v>
      </c>
      <c r="CJ5" s="130">
        <f t="shared" ca="1" si="18"/>
        <v>0.1893787669244984</v>
      </c>
      <c r="CK5" s="130">
        <f t="shared" ca="1" si="19"/>
        <v>0.37697269173885434</v>
      </c>
      <c r="CL5" s="130">
        <f t="shared" ca="1" si="20"/>
        <v>0.90274038416541036</v>
      </c>
      <c r="CN5" s="179" t="str">
        <f t="shared" si="21"/>
        <v>N/A</v>
      </c>
      <c r="CO5" s="179" t="str">
        <f t="shared" si="22"/>
        <v>BCP0600617</v>
      </c>
      <c r="CQ5" s="179" t="str">
        <f t="shared" si="23"/>
        <v>N/A</v>
      </c>
      <c r="CR5" s="247" t="str">
        <f t="shared" si="24"/>
        <v>BCU0300517</v>
      </c>
    </row>
    <row r="6" spans="1:96" ht="15.75" thickBot="1">
      <c r="B6" s="59"/>
      <c r="C6" s="60"/>
      <c r="D6" s="60"/>
      <c r="E6" s="60"/>
      <c r="G6" s="542">
        <v>1</v>
      </c>
      <c r="AG6" s="280">
        <v>1</v>
      </c>
      <c r="AH6" s="3">
        <f t="shared" si="27"/>
        <v>4</v>
      </c>
      <c r="AI6" s="224">
        <f ca="1">IFERROR(VLOOKUP(DATE(YEAR(EDATE(AI5,AG6)),MONTH(EDATE(AI5,AG6)),1),RPM!A:B,2,0),sumames(AI5,AH6-AH5))</f>
        <v>42781</v>
      </c>
      <c r="AJ6" s="15">
        <f t="shared" ca="1" si="25"/>
        <v>111</v>
      </c>
      <c r="AK6" s="94">
        <f t="shared" si="0"/>
        <v>3.5000000000000004</v>
      </c>
      <c r="AQ6" s="97"/>
      <c r="AW6" s="174">
        <v>41760</v>
      </c>
      <c r="AX6" s="175">
        <f ca="1">IF(fechaHoy&gt;siguienteHabil(EDATE(AW6,1)+8,-1),VLOOKUP(EDATE(AW6,1)-1,Inflation_FWD!$L:$M,2,0)/100,IFERROR(VLOOKUP(AW6,Inflation_FWD!$H:$I,2,0),0.25%))</f>
        <v>3.0000000000000001E-3</v>
      </c>
      <c r="AY6" s="175">
        <v>3.0000000000000001E-3</v>
      </c>
      <c r="AZ6" s="100">
        <f t="shared" si="1"/>
        <v>41768</v>
      </c>
      <c r="BA6" s="102">
        <f t="shared" ref="BA6:BA69" si="28">BA5*(1+AY4)</f>
        <v>23830.3104843888</v>
      </c>
      <c r="BC6" s="179" t="s">
        <v>163</v>
      </c>
      <c r="BD6" s="179" t="s">
        <v>12</v>
      </c>
      <c r="BE6" s="99" t="str">
        <f t="shared" si="2"/>
        <v>N/A</v>
      </c>
      <c r="BF6" s="99" t="str">
        <f t="shared" si="3"/>
        <v>N/A</v>
      </c>
      <c r="BG6" s="243">
        <f t="shared" ca="1" si="4"/>
        <v>-1.161960800065984E-10</v>
      </c>
      <c r="BH6" s="270">
        <f ca="1">INDEX(PrecioDur(fechaHoy,BG6,DATE("20"&amp;RIGHT(BD6,2),MID(BD6,7,2),1),MID(BD6,4,3)/10,2,365),1,2)</f>
        <v>1.1394244061845971</v>
      </c>
      <c r="BI6" s="243" t="str">
        <f>IFERROR(IFERROR(VLOOKUP(BD6,TransaccionesRF!$B:$O,12,0),VLOOKUP(BD6,'TransaccionesRFt-1'!$B:$O,12,0)), "N/A")</f>
        <v>N/A</v>
      </c>
      <c r="BJ6" s="114" t="str">
        <f t="shared" ca="1" si="5"/>
        <v>N/A</v>
      </c>
      <c r="BK6" s="114" t="str">
        <f>IFERROR(VLOOKUP(BD6,TransaccionesRF!$B:$O,12,0),"N/A")</f>
        <v>N/A</v>
      </c>
      <c r="BL6" s="114" t="str">
        <f>IFERROR(VLOOKUP(BD6,'TransaccionesRFt-1'!$B:$O,12,0),"N/A")</f>
        <v>N/A</v>
      </c>
      <c r="BM6" s="114" t="str">
        <f t="shared" si="6"/>
        <v>N/A</v>
      </c>
      <c r="BN6" s="114">
        <f ca="1">+tirValorizador($C$1,$BD6,Zero_swap_CL!$L$2:$M$18,"PG")</f>
        <v>3.3554106943146405</v>
      </c>
      <c r="BP6" s="179" t="s">
        <v>163</v>
      </c>
      <c r="BQ6" s="277" t="s">
        <v>54</v>
      </c>
      <c r="BR6" s="243">
        <f t="shared" ca="1" si="26"/>
        <v>-1.8719108904542876E-11</v>
      </c>
      <c r="BS6" s="270">
        <f ca="1">INDEX(PrecioDur(fechaHoy,BR6,DATE("20"&amp;RIGHT(BQ6,2),MID(BQ6,7,2),1),MID(BQ6,4,3)/10,2,365),1,2)</f>
        <v>0.66949062375328461</v>
      </c>
      <c r="BT6" s="243">
        <f t="shared" ca="1" si="7"/>
        <v>-1.8719108904542876E-11</v>
      </c>
      <c r="BU6" s="243" t="str">
        <f t="shared" si="8"/>
        <v>N/A</v>
      </c>
      <c r="BV6" s="243">
        <f>IFERROR(IFERROR(VLOOKUP(BQ6,TransaccionesRF!$B:$O,12,0),VLOOKUP(BQ6,'TransaccionesRFt-1'!$B:$O,12,0)),"N/A")</f>
        <v>1.4</v>
      </c>
      <c r="BW6" s="114">
        <f t="shared" ca="1" si="9"/>
        <v>1.4000000000187189</v>
      </c>
      <c r="BX6" s="114">
        <f>IFERROR(VLOOKUP(BQ6,TransaccionesRF!$B:$O,12,0),"N/A")</f>
        <v>1.4</v>
      </c>
      <c r="BY6" s="114">
        <f>IFERROR(VLOOKUP(BQ6,'TransaccionesRFt-1'!$B:$O,12,0),"N/A")</f>
        <v>1.42</v>
      </c>
      <c r="BZ6" s="114">
        <f t="shared" si="10"/>
        <v>-2.0000000000000018E-2</v>
      </c>
      <c r="CA6" s="99" t="str">
        <f t="shared" si="11"/>
        <v>N/A</v>
      </c>
      <c r="CB6" s="130">
        <f t="shared" ca="1" si="12"/>
        <v>0</v>
      </c>
      <c r="CC6" s="130">
        <f ca="1">+tirValorizador($C$1,$BQ6,Zero_swap_CL!$L$23:$M$39,"PG")</f>
        <v>0.97882519058687523</v>
      </c>
      <c r="CD6" s="130">
        <f t="shared" ca="1" si="13"/>
        <v>0.93728687326713056</v>
      </c>
      <c r="CE6" s="130"/>
      <c r="CF6" s="130">
        <f t="shared" ca="1" si="14"/>
        <v>0.39794317481895991</v>
      </c>
      <c r="CG6" s="130" t="str">
        <f t="shared" ca="1" si="15"/>
        <v>N/A</v>
      </c>
      <c r="CH6" s="130" t="str">
        <f t="shared" ca="1" si="16"/>
        <v>N/A</v>
      </c>
      <c r="CI6" s="130">
        <f t="shared" ca="1" si="17"/>
        <v>0.38104543359116505</v>
      </c>
      <c r="CJ6" s="130">
        <f t="shared" ca="1" si="18"/>
        <v>0.18771210025783169</v>
      </c>
      <c r="CK6" s="130">
        <f t="shared" ca="1" si="19"/>
        <v>0.28038047673540811</v>
      </c>
      <c r="CL6" s="130">
        <f t="shared" ca="1" si="20"/>
        <v>1.1249989735249621</v>
      </c>
      <c r="CN6" s="179" t="str">
        <f t="shared" si="21"/>
        <v>N/A</v>
      </c>
      <c r="CO6" s="179" t="str">
        <f t="shared" si="22"/>
        <v>BTP0600118</v>
      </c>
      <c r="CQ6" s="179" t="str">
        <f t="shared" si="23"/>
        <v>N/A</v>
      </c>
      <c r="CR6" s="247" t="str">
        <f t="shared" si="24"/>
        <v>BTU0300717</v>
      </c>
    </row>
    <row r="7" spans="1:96" ht="15.75" thickBot="1">
      <c r="B7" s="66" t="s">
        <v>32</v>
      </c>
      <c r="C7" s="25" t="s">
        <v>16</v>
      </c>
      <c r="D7" s="25" t="s">
        <v>8</v>
      </c>
      <c r="E7" s="25" t="s">
        <v>17</v>
      </c>
      <c r="F7" s="157" t="s">
        <v>131</v>
      </c>
      <c r="G7" s="26" t="s">
        <v>18</v>
      </c>
      <c r="H7" s="27" t="s">
        <v>19</v>
      </c>
      <c r="I7" s="28" t="s">
        <v>20</v>
      </c>
      <c r="R7" s="70" t="s">
        <v>35</v>
      </c>
      <c r="AG7" s="280">
        <v>1</v>
      </c>
      <c r="AH7" s="3">
        <f t="shared" si="27"/>
        <v>5</v>
      </c>
      <c r="AI7" s="224">
        <f ca="1">IFERROR(VLOOKUP(DATE(YEAR(EDATE(AI6,AG7)),MONTH(EDATE(AI6,AG7)),1),RPM!A:B,2,0),sumames(AI6,AH7-AH6))</f>
        <v>42809</v>
      </c>
      <c r="AJ7" s="15">
        <f t="shared" ca="1" si="25"/>
        <v>139</v>
      </c>
      <c r="AK7" s="94">
        <f t="shared" si="0"/>
        <v>3.4</v>
      </c>
      <c r="AQ7" s="97"/>
      <c r="AW7" s="174">
        <v>41791</v>
      </c>
      <c r="AX7" s="175">
        <f ca="1">IF(fechaHoy&gt;siguienteHabil(EDATE(AW7,1)+8,-1),VLOOKUP(EDATE(AW7,1)-1,Inflation_FWD!$L:$M,2,0)/100,IFERROR(VLOOKUP(AW7,Inflation_FWD!$H:$I,2,0),0.25%))</f>
        <v>1E-3</v>
      </c>
      <c r="AY7" s="175">
        <v>1E-3</v>
      </c>
      <c r="AZ7" s="100">
        <f t="shared" si="1"/>
        <v>41799</v>
      </c>
      <c r="BA7" s="102">
        <f t="shared" si="28"/>
        <v>23973.292347295133</v>
      </c>
      <c r="BB7" s="215"/>
      <c r="BC7" s="179" t="s">
        <v>398</v>
      </c>
      <c r="BD7" s="179" t="s">
        <v>7</v>
      </c>
      <c r="BE7" s="99" t="str">
        <f t="shared" si="2"/>
        <v>N/A</v>
      </c>
      <c r="BF7" s="99" t="str">
        <f t="shared" si="3"/>
        <v>N/A</v>
      </c>
      <c r="BG7" s="243">
        <f t="shared" ca="1" si="4"/>
        <v>-1.9136251749331777E-10</v>
      </c>
      <c r="BH7" s="270">
        <f ca="1">INDEX(PrecioDur(fechaHoy,BG7,DATE("20"&amp;RIGHT(BD7,2),MID(BD7,7,2),1),MID(BD7,4,3)/10,2,365),1,2)</f>
        <v>1.3012944577127448</v>
      </c>
      <c r="BI7" s="243" t="str">
        <f>IFERROR(IFERROR(VLOOKUP(BD7,TransaccionesRF!$B:$O,12,0),VLOOKUP(BD7,'TransaccionesRFt-1'!$B:$O,12,0)), "N/A")</f>
        <v>N/A</v>
      </c>
      <c r="BJ7" s="114" t="str">
        <f t="shared" ca="1" si="5"/>
        <v>N/A</v>
      </c>
      <c r="BK7" s="114" t="str">
        <f>IFERROR(VLOOKUP(BD7,TransaccionesRF!$B:$O,12,0),"N/A")</f>
        <v>N/A</v>
      </c>
      <c r="BL7" s="114" t="str">
        <f>IFERROR(VLOOKUP(BD7,'TransaccionesRFt-1'!$B:$O,12,0),"N/A")</f>
        <v>N/A</v>
      </c>
      <c r="BM7" s="114" t="str">
        <f t="shared" si="6"/>
        <v>N/A</v>
      </c>
      <c r="BN7" s="114">
        <f ca="1">+tirValorizador($C$1,$BD7,Zero_swap_CL!$L$2:$M$18,"PG")</f>
        <v>3.3339220543477941</v>
      </c>
      <c r="BP7" s="179" t="s">
        <v>163</v>
      </c>
      <c r="BQ7" s="404" t="s">
        <v>55</v>
      </c>
      <c r="BR7" s="243">
        <f t="shared" ca="1" si="26"/>
        <v>-1.8719108904542876E-11</v>
      </c>
      <c r="BS7" s="270">
        <f ca="1">INDEX(PrecioDur(fechaHoy,BR7,DATE("20"&amp;RIGHT(BQ7,2),MID(BQ7,7,2),1),MID(BQ7,4,3)/10,2,365),1,2)</f>
        <v>0.66949062375328461</v>
      </c>
      <c r="BT7" s="243">
        <f t="shared" ca="1" si="7"/>
        <v>-1.8719108904542876E-11</v>
      </c>
      <c r="BU7" s="243" t="str">
        <f t="shared" si="8"/>
        <v>N/A</v>
      </c>
      <c r="BV7" s="243">
        <f>IFERROR(IFERROR(VLOOKUP(BQ7,TransaccionesRF!$B:$O,12,0),VLOOKUP(BQ7,'TransaccionesRFt-1'!$B:$O,12,0)),"N/A")</f>
        <v>1.41</v>
      </c>
      <c r="BW7" s="114">
        <f t="shared" ca="1" si="9"/>
        <v>1.4100000000187189</v>
      </c>
      <c r="BX7" s="114">
        <f>IFERROR(VLOOKUP(BQ7,TransaccionesRF!$B:$O,12,0),"N/A")</f>
        <v>1.41</v>
      </c>
      <c r="BY7" s="114">
        <f>IFERROR(VLOOKUP(BQ7,'TransaccionesRFt-1'!$B:$O,12,0),"N/A")</f>
        <v>1.42</v>
      </c>
      <c r="BZ7" s="114">
        <f t="shared" si="10"/>
        <v>-1.0000000000000009E-2</v>
      </c>
      <c r="CA7" s="99" t="str">
        <f t="shared" si="11"/>
        <v>N/A</v>
      </c>
      <c r="CB7" s="130">
        <f t="shared" ca="1" si="12"/>
        <v>0</v>
      </c>
      <c r="CC7" s="130">
        <f ca="1">+tirValorizador($C$1,$BQ7,Zero_swap_CL!$L$23:$M$39,"PG")</f>
        <v>0.97882519058687523</v>
      </c>
      <c r="CD7" s="130">
        <f t="shared" ca="1" si="13"/>
        <v>0.94398177950466344</v>
      </c>
      <c r="CE7" s="130">
        <f t="shared" ref="CE7:CE20" ca="1" si="29">IFERROR(BS7*(BV7-$BV$20),"N/A")</f>
        <v>0.2544064370262481</v>
      </c>
      <c r="CF7" s="130">
        <f t="shared" ca="1" si="14"/>
        <v>0.39794317481895991</v>
      </c>
      <c r="CG7" s="130" t="str">
        <f t="shared" ca="1" si="15"/>
        <v>N/A</v>
      </c>
      <c r="CH7" s="130" t="str">
        <f t="shared" ca="1" si="16"/>
        <v>N/A</v>
      </c>
      <c r="CI7" s="130">
        <f t="shared" ca="1" si="17"/>
        <v>0.38104543359116505</v>
      </c>
      <c r="CJ7" s="130">
        <f t="shared" ca="1" si="18"/>
        <v>0.18854543359116505</v>
      </c>
      <c r="CK7" s="130">
        <f t="shared" ca="1" si="19"/>
        <v>0.28162520415020231</v>
      </c>
      <c r="CL7" s="130">
        <f t="shared" ca="1" si="20"/>
        <v>1.1325272130958286</v>
      </c>
      <c r="CN7" s="179" t="str">
        <f t="shared" si="21"/>
        <v>PESO-02</v>
      </c>
      <c r="CO7" s="179" t="str">
        <f t="shared" si="22"/>
        <v>BTP0600318</v>
      </c>
      <c r="CQ7" s="179" t="str">
        <f t="shared" si="23"/>
        <v>N/A</v>
      </c>
      <c r="CR7" s="247" t="str">
        <f t="shared" si="24"/>
        <v>BCU0300717</v>
      </c>
    </row>
    <row r="8" spans="1:96">
      <c r="A8" s="23">
        <v>120</v>
      </c>
      <c r="B8" s="150" t="str">
        <f>"IF $ " &amp;A8</f>
        <v>IF $ 120</v>
      </c>
      <c r="C8" s="543">
        <v>0.31</v>
      </c>
      <c r="D8" s="164">
        <f>A8/360</f>
        <v>0.33333333333333331</v>
      </c>
      <c r="E8" s="160">
        <v>0.02</v>
      </c>
      <c r="F8" s="151" t="e">
        <f ca="1">100*((1+[1]!CERCHA($A8,$AR$31:$AS$55,"PG")/100)^($A8/365)-1)*30/$A8+E8</f>
        <v>#NAME?</v>
      </c>
      <c r="G8" s="545">
        <f>++C8%*($C$3)</f>
        <v>1.24E-2</v>
      </c>
      <c r="H8" s="131" t="e">
        <f ca="1">-MAX(D8-$D$2,0)*(F8*12-C8*12)/100</f>
        <v>#NAME?</v>
      </c>
      <c r="I8" s="153" t="e">
        <f t="shared" ref="I8:I13" ca="1" si="30">+H8+G8</f>
        <v>#NAME?</v>
      </c>
      <c r="L8" s="23">
        <v>2</v>
      </c>
      <c r="M8" s="23">
        <v>3</v>
      </c>
      <c r="N8" s="23">
        <v>4</v>
      </c>
      <c r="O8" s="23">
        <v>5</v>
      </c>
      <c r="R8" s="67">
        <f ca="1">AI2</f>
        <v>42670</v>
      </c>
      <c r="S8" s="90">
        <f>+V25*$U$17+Y25*$X$17+AB25*$AA$17+AE25*$AD$17</f>
        <v>3.5000000000000004</v>
      </c>
      <c r="AG8" s="280">
        <v>1</v>
      </c>
      <c r="AH8" s="3">
        <f t="shared" si="27"/>
        <v>6</v>
      </c>
      <c r="AI8" s="225">
        <f ca="1">IFERROR(VLOOKUP(DATE(YEAR(EDATE(AI7,AG8)),MONTH(EDATE(AI7,AG8)),1),RPM!A:B,2,0),sumames(AI7,AH8-AH7))</f>
        <v>42840</v>
      </c>
      <c r="AJ8" s="15">
        <f t="shared" ca="1" si="25"/>
        <v>170</v>
      </c>
      <c r="AK8" s="94">
        <f t="shared" si="0"/>
        <v>3.3000000000000003</v>
      </c>
      <c r="AQ8" s="97"/>
      <c r="AW8" s="174">
        <v>41821</v>
      </c>
      <c r="AX8" s="175">
        <f ca="1">IF(fechaHoy&gt;siguienteHabil(EDATE(AW8,1)+8,-1),VLOOKUP(EDATE(AW8,1)-1,Inflation_FWD!$L:$M,2,0)/100,IFERROR(VLOOKUP(AW8,Inflation_FWD!$H:$I,2,0),0.25%))</f>
        <v>2E-3</v>
      </c>
      <c r="AY8" s="175">
        <v>2E-3</v>
      </c>
      <c r="AZ8" s="100">
        <f t="shared" si="1"/>
        <v>41829</v>
      </c>
      <c r="BA8" s="102">
        <f t="shared" si="28"/>
        <v>24045.212224337018</v>
      </c>
      <c r="BB8" s="215"/>
      <c r="BC8" s="179" t="s">
        <v>398</v>
      </c>
      <c r="BD8" s="179" t="s">
        <v>87</v>
      </c>
      <c r="BE8" s="99" t="str">
        <f t="shared" si="2"/>
        <v>318</v>
      </c>
      <c r="BF8" s="99" t="str">
        <f t="shared" si="3"/>
        <v>18</v>
      </c>
      <c r="BG8" s="243">
        <f t="shared" ca="1" si="4"/>
        <v>-1.9136251749331777E-10</v>
      </c>
      <c r="BH8" s="270">
        <f ca="1">INDEX(PrecioDur(fechaHoy,BG8,DATE("20"&amp;RIGHT(BD8,2),MID(BD8,7,2),1),MID(BD8,4,3)/10,2,365),1,2)</f>
        <v>1.3012944577127448</v>
      </c>
      <c r="BI8" s="243">
        <f>IFERROR(IFERROR(VLOOKUP(BD8,TransaccionesRF!$B:$O,12,0),VLOOKUP(BD8,'TransaccionesRFt-1'!$B:$O,12,0)), "N/A")</f>
        <v>3.48</v>
      </c>
      <c r="BJ8" s="114">
        <f t="shared" ca="1" si="5"/>
        <v>3.4800000001913625</v>
      </c>
      <c r="BK8" s="114" t="str">
        <f>IFERROR(VLOOKUP(BD8,TransaccionesRF!$B:$O,12,0),"N/A")</f>
        <v>N/A</v>
      </c>
      <c r="BL8" s="114">
        <f>IFERROR(VLOOKUP(BD8,'TransaccionesRFt-1'!$B:$O,12,0),"N/A")</f>
        <v>3.48</v>
      </c>
      <c r="BM8" s="114" t="str">
        <f t="shared" si="6"/>
        <v>N/A</v>
      </c>
      <c r="BN8" s="114">
        <f ca="1">+tirValorizador($C$1,$BD8,Zero_swap_CL!$L$2:$M$18,"PG")</f>
        <v>3.3339220543477941</v>
      </c>
      <c r="BO8" s="214"/>
      <c r="BP8" s="179" t="s">
        <v>163</v>
      </c>
      <c r="BQ8" s="242" t="s">
        <v>57</v>
      </c>
      <c r="BR8" s="243">
        <f t="shared" ca="1" si="26"/>
        <v>-1.1856544886786492E-10</v>
      </c>
      <c r="BS8" s="270">
        <f ca="1">INDEX(PrecioDur(fechaHoy,BR8,DATE("20"&amp;RIGHT(BQ8,2),MID(BQ8,7,2),1),MID(BQ8,4,3)/10,2,365),1,2)</f>
        <v>1.1592318280147658</v>
      </c>
      <c r="BT8" s="243">
        <f t="shared" ca="1" si="7"/>
        <v>-1.1856544886786492E-10</v>
      </c>
      <c r="BU8" s="243">
        <f t="shared" si="8"/>
        <v>3.48</v>
      </c>
      <c r="BV8" s="243" t="str">
        <f>IFERROR(IFERROR(VLOOKUP(BQ8,TransaccionesRF!$B:$O,12,0),VLOOKUP(BQ8,'TransaccionesRFt-1'!$B:$O,12,0)),"N/A")</f>
        <v>N/A</v>
      </c>
      <c r="BW8" s="114" t="str">
        <f t="shared" ca="1" si="9"/>
        <v>N/A</v>
      </c>
      <c r="BX8" s="114" t="str">
        <f>IFERROR(VLOOKUP(BQ8,TransaccionesRF!$B:$O,12,0),"N/A")</f>
        <v>N/A</v>
      </c>
      <c r="BY8" s="114" t="str">
        <f>IFERROR(VLOOKUP(BQ8,'TransaccionesRFt-1'!$B:$O,12,0),"N/A")</f>
        <v>N/A</v>
      </c>
      <c r="BZ8" s="114" t="str">
        <f t="shared" si="10"/>
        <v>N/A</v>
      </c>
      <c r="CA8" s="99" t="str">
        <f t="shared" si="11"/>
        <v>N/A</v>
      </c>
      <c r="CB8" s="130">
        <f t="shared" ca="1" si="12"/>
        <v>0</v>
      </c>
      <c r="CC8" s="130">
        <f ca="1">+tirValorizador($C$1,$BQ8,Zero_swap_CL!$L$23:$M$39,"PG")</f>
        <v>0.62866164778925793</v>
      </c>
      <c r="CD8" s="130" t="str">
        <f t="shared" ca="1" si="13"/>
        <v>N/A</v>
      </c>
      <c r="CE8" s="130" t="str">
        <f t="shared" ca="1" si="29"/>
        <v>N/A</v>
      </c>
      <c r="CF8" s="130">
        <f t="shared" ca="1" si="14"/>
        <v>0.39794317481895991</v>
      </c>
      <c r="CG8" s="130" t="str">
        <f t="shared" ca="1" si="15"/>
        <v>N/A</v>
      </c>
      <c r="CH8" s="130" t="str">
        <f t="shared" ca="1" si="16"/>
        <v>N/A</v>
      </c>
      <c r="CI8" s="130">
        <f t="shared" ca="1" si="17"/>
        <v>0.38104543359116505</v>
      </c>
      <c r="CJ8" s="130" t="str">
        <f t="shared" ca="1" si="18"/>
        <v>N/A</v>
      </c>
      <c r="CK8" s="130" t="str">
        <f t="shared" ca="1" si="19"/>
        <v>N/A</v>
      </c>
      <c r="CL8" s="130" t="str">
        <f t="shared" ca="1" si="20"/>
        <v>N/A</v>
      </c>
      <c r="CN8" s="179" t="str">
        <f t="shared" si="21"/>
        <v>PESO-02</v>
      </c>
      <c r="CO8" s="179" t="str">
        <f t="shared" si="22"/>
        <v>BCP0600318</v>
      </c>
      <c r="CQ8" s="179" t="str">
        <f t="shared" si="23"/>
        <v>N/A</v>
      </c>
      <c r="CR8" s="247" t="str">
        <f t="shared" si="24"/>
        <v>BCU0300118</v>
      </c>
    </row>
    <row r="9" spans="1:96">
      <c r="A9" s="23">
        <v>360</v>
      </c>
      <c r="B9" s="35" t="str">
        <f>"IF $ " &amp;A9</f>
        <v>IF $ 360</v>
      </c>
      <c r="C9" s="136">
        <v>0.34</v>
      </c>
      <c r="D9" s="165">
        <f>A9/360</f>
        <v>1</v>
      </c>
      <c r="E9" s="36">
        <v>0.04</v>
      </c>
      <c r="F9" s="56" t="e">
        <f ca="1">100*((1+[1]!CERCHA($A9,$AR$31:$AS$55,"PG")/100)^($A9/365)-1)*30/$A9+E9</f>
        <v>#NAME?</v>
      </c>
      <c r="G9" s="37">
        <f>++C9%*($C$3)</f>
        <v>1.3600000000000001E-2</v>
      </c>
      <c r="H9" s="37" t="e">
        <f ca="1">-(D9-$D$2)*(F9*12-C9*12)/100</f>
        <v>#NAME?</v>
      </c>
      <c r="I9" s="34" t="e">
        <f t="shared" ca="1" si="30"/>
        <v>#NAME?</v>
      </c>
      <c r="L9" s="23" t="s">
        <v>30</v>
      </c>
      <c r="M9" s="23" t="s">
        <v>8</v>
      </c>
      <c r="N9" s="23" t="s">
        <v>17</v>
      </c>
      <c r="O9" s="23" t="s">
        <v>31</v>
      </c>
      <c r="R9" s="68">
        <f t="shared" ref="R9:R29" ca="1" si="31">AI3</f>
        <v>42691</v>
      </c>
      <c r="S9" s="91">
        <f t="shared" ref="S9:S29" si="32">+V26*$U$17+Y26*$X$17+AB26*$AA$17+AE26*$AD$17</f>
        <v>3.5000000000000004</v>
      </c>
      <c r="AG9" s="280">
        <v>1</v>
      </c>
      <c r="AH9" s="3">
        <f t="shared" si="27"/>
        <v>7</v>
      </c>
      <c r="AI9" s="224">
        <f ca="1">IFERROR(VLOOKUP(DATE(YEAR(EDATE(AI8,AG9)),MONTH(EDATE(AI8,AG9)),1),RPM!A:B,2,0),sumames(AI8,AH9-AH8))</f>
        <v>42870</v>
      </c>
      <c r="AJ9" s="15">
        <f t="shared" ca="1" si="25"/>
        <v>200</v>
      </c>
      <c r="AK9" s="94">
        <f t="shared" si="0"/>
        <v>3.3000000000000003</v>
      </c>
      <c r="AQ9" s="97"/>
      <c r="AW9" s="174">
        <v>41852</v>
      </c>
      <c r="AX9" s="175">
        <f ca="1">IF(fechaHoy&gt;siguienteHabil(EDATE(AW9,1)+8,-1),VLOOKUP(EDATE(AW9,1)-1,Inflation_FWD!$L:$M,2,0)/100,IFERROR(VLOOKUP(AW9,Inflation_FWD!$H:$I,2,0),0.25%))</f>
        <v>3.0000000000000001E-3</v>
      </c>
      <c r="AY9" s="175">
        <v>3.0000000000000001E-3</v>
      </c>
      <c r="AZ9" s="100">
        <f t="shared" si="1"/>
        <v>41860</v>
      </c>
      <c r="BA9" s="102">
        <f t="shared" si="28"/>
        <v>24069.257436561351</v>
      </c>
      <c r="BB9" s="213"/>
      <c r="BC9" s="179" t="s">
        <v>398</v>
      </c>
      <c r="BD9" s="227" t="s">
        <v>13</v>
      </c>
      <c r="BE9" s="99" t="str">
        <f t="shared" si="2"/>
        <v>N/A</v>
      </c>
      <c r="BF9" s="99" t="str">
        <f t="shared" si="3"/>
        <v>N/A</v>
      </c>
      <c r="BG9" s="243">
        <f t="shared" ca="1" si="4"/>
        <v>-3.1013453895387295E-10</v>
      </c>
      <c r="BH9" s="270">
        <f ca="1">INDEX(PrecioDur(fechaHoy,BG9,DATE("20"&amp;RIGHT(BD9,2),MID(BD9,7,2),1),MID(BD9,4,3)/10,2,365),1,2)</f>
        <v>1.4294520547992231</v>
      </c>
      <c r="BI9" s="243" t="str">
        <f>IFERROR(IFERROR(VLOOKUP(BD9,TransaccionesRF!$B:$O,12,0),VLOOKUP(BD9,'TransaccionesRFt-1'!$B:$O,12,0)), "N/A")</f>
        <v>N/A</v>
      </c>
      <c r="BJ9" s="114" t="str">
        <f t="shared" ca="1" si="5"/>
        <v>N/A</v>
      </c>
      <c r="BK9" s="114" t="str">
        <f>IFERROR(VLOOKUP(BD9,TransaccionesRF!$B:$O,12,0),"N/A")</f>
        <v>N/A</v>
      </c>
      <c r="BL9" s="114" t="str">
        <f>IFERROR(VLOOKUP(BD9,'TransaccionesRFt-1'!$B:$O,12,0),"N/A")</f>
        <v>N/A</v>
      </c>
      <c r="BM9" s="114" t="str">
        <f t="shared" si="6"/>
        <v>N/A</v>
      </c>
      <c r="BN9" s="114">
        <f ca="1">+tirValorizador($C$1,$BD9,Zero_swap_CL!$L$2:$M$18,"PG")</f>
        <v>3.311138942320242</v>
      </c>
      <c r="BP9" s="179" t="s">
        <v>49</v>
      </c>
      <c r="BQ9" s="330" t="s">
        <v>58</v>
      </c>
      <c r="BR9" s="243">
        <f t="shared" ca="1" si="26"/>
        <v>-1.9601466654775752E-10</v>
      </c>
      <c r="BS9" s="270">
        <f ca="1">INDEX(PrecioDur(fechaHoy,BR9,DATE("20"&amp;RIGHT(BQ9,2),MID(BQ9,7,2),1),MID(BQ9,4,3)/10,2,365),1,2)</f>
        <v>1.3209936422651913</v>
      </c>
      <c r="BT9" s="243">
        <f t="shared" ca="1" si="7"/>
        <v>-1.9601466654775752E-10</v>
      </c>
      <c r="BU9" s="243">
        <f t="shared" si="8"/>
        <v>3.48</v>
      </c>
      <c r="BV9" s="243">
        <f>IFERROR(IFERROR(VLOOKUP(BQ9,TransaccionesRF!$B:$O,12,0),VLOOKUP(BQ9,'TransaccionesRFt-1'!$B:$O,12,0)),"N/A")</f>
        <v>1.07</v>
      </c>
      <c r="BW9" s="114">
        <f t="shared" ca="1" si="9"/>
        <v>1.0700000001960148</v>
      </c>
      <c r="BX9" s="114">
        <f>IFERROR(VLOOKUP(BQ9,TransaccionesRF!$B:$O,12,0),"N/A")</f>
        <v>1.07</v>
      </c>
      <c r="BY9" s="114">
        <f>IFERROR(VLOOKUP(BQ9,'TransaccionesRFt-1'!$B:$O,12,0),"N/A")</f>
        <v>1.05</v>
      </c>
      <c r="BZ9" s="114">
        <f t="shared" si="10"/>
        <v>2.0000000000000018E-2</v>
      </c>
      <c r="CA9" s="99">
        <f t="shared" si="11"/>
        <v>2.41</v>
      </c>
      <c r="CB9" s="130">
        <f t="shared" ca="1" si="12"/>
        <v>0</v>
      </c>
      <c r="CC9" s="130">
        <f ca="1">+tirValorizador($C$1,$BQ9,Zero_swap_CL!$L$23:$M$39,"PG")</f>
        <v>0.70309300147228593</v>
      </c>
      <c r="CD9" s="130">
        <f t="shared" ca="1" si="13"/>
        <v>1.413463197482689</v>
      </c>
      <c r="CE9" s="130">
        <f t="shared" ca="1" si="29"/>
        <v>5.2839745690607703E-2</v>
      </c>
      <c r="CF9" s="130">
        <f t="shared" ca="1" si="14"/>
        <v>0.39794317481895991</v>
      </c>
      <c r="CG9" s="130">
        <f t="shared" ca="1" si="15"/>
        <v>0.1971098414856266</v>
      </c>
      <c r="CH9" s="130">
        <f t="shared" ca="1" si="16"/>
        <v>0.14921331577919625</v>
      </c>
      <c r="CI9" s="130">
        <f t="shared" ca="1" si="17"/>
        <v>0.38104543359116505</v>
      </c>
      <c r="CJ9" s="130">
        <f ca="1">IFERROR(BV9/12*$CK$1+CI9-$CJ$1*$CK$1,"N/A")</f>
        <v>0.16021210025783172</v>
      </c>
      <c r="CK9" s="130">
        <f t="shared" ca="1" si="19"/>
        <v>0.12128150744397673</v>
      </c>
      <c r="CL9" s="130">
        <f t="shared" ca="1" si="20"/>
        <v>1.5736752977405208</v>
      </c>
      <c r="CN9" s="179" t="str">
        <f t="shared" si="21"/>
        <v>PESO-02</v>
      </c>
      <c r="CO9" s="179" t="str">
        <f t="shared" si="22"/>
        <v>BCP0600518</v>
      </c>
      <c r="CQ9" s="179" t="str">
        <f t="shared" si="23"/>
        <v>UF-02</v>
      </c>
      <c r="CR9" s="247" t="str">
        <f t="shared" si="24"/>
        <v>BCU0300318</v>
      </c>
    </row>
    <row r="10" spans="1:96">
      <c r="A10" s="23">
        <v>120</v>
      </c>
      <c r="B10" s="30" t="str">
        <f>"IF UF " &amp;A10</f>
        <v>IF UF 120</v>
      </c>
      <c r="C10" s="136">
        <v>0.6</v>
      </c>
      <c r="D10" s="159">
        <f>A10/360</f>
        <v>0.33333333333333331</v>
      </c>
      <c r="E10" s="31">
        <v>0.25</v>
      </c>
      <c r="F10" s="57" t="e">
        <f ca="1">100*((1+[1]!CERCHA($A10,$AT$31:$AU$55,"PG")/100)^($A10/365)-1)*360/$A10+E10</f>
        <v>#NAME?</v>
      </c>
      <c r="G10" s="32">
        <f ca="1">++C10%*($C$3/12)+$C$4%</f>
        <v>1.2469515557028464E-2</v>
      </c>
      <c r="H10" s="37" t="e">
        <f ca="1">-MAX(D10-$D$2,0)*(F10-C10)*1/100</f>
        <v>#NAME?</v>
      </c>
      <c r="I10" s="39" t="e">
        <f t="shared" ca="1" si="30"/>
        <v>#NAME?</v>
      </c>
      <c r="K10" s="23" t="s">
        <v>29</v>
      </c>
      <c r="L10" s="61">
        <f t="shared" ref="L10:L23" si="33">VLOOKUP($K10,$B$8:$F$23,L$8,0)/100</f>
        <v>3.0999999999999999E-3</v>
      </c>
      <c r="M10" s="102">
        <f t="shared" ref="M10:M23" si="34">VLOOKUP($K10,$B$8:$F$23,M$8,0)</f>
        <v>0.33333333333333331</v>
      </c>
      <c r="N10" s="132">
        <f t="shared" ref="N10:N15" si="35">VLOOKUP($K10,$B$8:$F$15,N$8,0)</f>
        <v>0.02</v>
      </c>
      <c r="O10" s="61" t="e">
        <f t="shared" ref="O10:O23" ca="1" si="36">VLOOKUP($K10,$B$8:$F$23,O$8,0)/100</f>
        <v>#NAME?</v>
      </c>
      <c r="R10" s="68">
        <f t="shared" ca="1" si="31"/>
        <v>42719</v>
      </c>
      <c r="S10" s="91">
        <f t="shared" si="32"/>
        <v>3.5000000000000004</v>
      </c>
      <c r="AG10" s="280">
        <v>1</v>
      </c>
      <c r="AH10" s="3">
        <f t="shared" si="27"/>
        <v>8</v>
      </c>
      <c r="AI10" s="224">
        <f ca="1">IFERROR(VLOOKUP(DATE(YEAR(EDATE(AI9,AG10)),MONTH(EDATE(AI9,AG10)),1),RPM!A:B,2,0),sumames(AI9,AH10-AH9))</f>
        <v>42901</v>
      </c>
      <c r="AJ10" s="15">
        <f t="shared" ca="1" si="25"/>
        <v>231</v>
      </c>
      <c r="AK10" s="94">
        <f t="shared" si="0"/>
        <v>3.3000000000000003</v>
      </c>
      <c r="AQ10" s="97"/>
      <c r="AW10" s="174">
        <v>41883</v>
      </c>
      <c r="AX10" s="175">
        <f ca="1">IF(fechaHoy&gt;=siguienteHabil(EDATE(AW10,1)+8,-1),VLOOKUP(EDATE(AW10,1)-1,Inflation_FWD!$L:$M,2,0)/100,IFERROR(VLOOKUP(AW10,Inflation_FWD!$H:$I,2,0),0.25%))</f>
        <v>8.0000000000000002E-3</v>
      </c>
      <c r="AY10" s="175">
        <v>8.0000000000000002E-3</v>
      </c>
      <c r="AZ10" s="100">
        <f t="shared" si="1"/>
        <v>41891</v>
      </c>
      <c r="BA10" s="102">
        <f t="shared" si="28"/>
        <v>24117.395951434475</v>
      </c>
      <c r="BB10" s="213"/>
      <c r="BC10" s="179" t="s">
        <v>398</v>
      </c>
      <c r="BD10" s="404" t="s">
        <v>42</v>
      </c>
      <c r="BE10" s="99" t="str">
        <f t="shared" si="2"/>
        <v>N/A</v>
      </c>
      <c r="BF10" s="99" t="str">
        <f t="shared" si="3"/>
        <v>N/A</v>
      </c>
      <c r="BG10" s="243">
        <f t="shared" ca="1" si="4"/>
        <v>-3.8980185488386894E-10</v>
      </c>
      <c r="BH10" s="270">
        <f ca="1">INDEX(PrecioDur(fechaHoy,BG10,DATE("20"&amp;RIGHT(BD10,2),MID(BD10,7,2),1),MID(BD10,4,3)/10,2,365),1,2)</f>
        <v>1.5142367906128957</v>
      </c>
      <c r="BI10" s="243" t="str">
        <f>IFERROR(IFERROR(VLOOKUP(BD10,TransaccionesRF!$B:$O,12,0),VLOOKUP(BD10,'TransaccionesRFt-1'!$B:$O,12,0)), "N/A")</f>
        <v>N/A</v>
      </c>
      <c r="BJ10" s="114" t="str">
        <f t="shared" ca="1" si="5"/>
        <v>N/A</v>
      </c>
      <c r="BK10" s="114" t="str">
        <f>IFERROR(VLOOKUP(BD10,TransaccionesRF!$B:$O,12,0),"N/A")</f>
        <v>N/A</v>
      </c>
      <c r="BL10" s="114" t="str">
        <f>IFERROR(VLOOKUP(BD10,'TransaccionesRFt-1'!$B:$O,12,0),"N/A")</f>
        <v>N/A</v>
      </c>
      <c r="BM10" s="114" t="str">
        <f t="shared" si="6"/>
        <v>N/A</v>
      </c>
      <c r="BN10" s="114">
        <f ca="1">+tirValorizador($C$1,$BD10,Zero_swap_CL!$L$2:$M$18,"PG")</f>
        <v>3.3114071096607591</v>
      </c>
      <c r="BO10" s="214"/>
      <c r="BP10" s="179" t="s">
        <v>49</v>
      </c>
      <c r="BQ10" s="404" t="s">
        <v>59</v>
      </c>
      <c r="BR10" s="243">
        <f t="shared" ca="1" si="26"/>
        <v>-4.9995295880664314E-10</v>
      </c>
      <c r="BS10" s="270">
        <f ca="1">INDEX(PrecioDur(fechaHoy,BR10,DATE("20"&amp;RIGHT(BQ10,2),MID(BQ10,7,2),1),MID(BQ10,4,3)/10,2,365),1,2)</f>
        <v>1.6343758077106572</v>
      </c>
      <c r="BT10" s="243">
        <f t="shared" ca="1" si="7"/>
        <v>-4.9995295880664314E-10</v>
      </c>
      <c r="BU10" s="243">
        <f t="shared" si="8"/>
        <v>3.48</v>
      </c>
      <c r="BV10" s="243" t="str">
        <f>IFERROR(IFERROR(VLOOKUP(BQ10,TransaccionesRF!$B:$O,12,0),VLOOKUP(BQ10,'TransaccionesRFt-1'!$B:$O,12,0)),"N/A")</f>
        <v>N/A</v>
      </c>
      <c r="BW10" s="114" t="str">
        <f t="shared" ca="1" si="9"/>
        <v>N/A</v>
      </c>
      <c r="BX10" s="114" t="str">
        <f>IFERROR(VLOOKUP(BQ10,TransaccionesRF!$B:$O,12,0),"N/A")</f>
        <v>N/A</v>
      </c>
      <c r="BY10" s="114" t="str">
        <f>IFERROR(VLOOKUP(BQ10,'TransaccionesRFt-1'!$B:$O,12,0),"N/A")</f>
        <v>N/A</v>
      </c>
      <c r="BZ10" s="114" t="str">
        <f t="shared" si="10"/>
        <v>N/A</v>
      </c>
      <c r="CA10" s="99" t="str">
        <f t="shared" si="11"/>
        <v>N/A</v>
      </c>
      <c r="CB10" s="130">
        <f t="shared" ca="1" si="12"/>
        <v>0</v>
      </c>
      <c r="CC10" s="130">
        <f ca="1">+tirValorizador($C$1,$BQ10,Zero_swap_CL!$L$23:$M$39,"PG")</f>
        <v>0.70898893420648101</v>
      </c>
      <c r="CD10" s="130" t="str">
        <f t="shared" ca="1" si="13"/>
        <v>N/A</v>
      </c>
      <c r="CE10" s="130" t="str">
        <f t="shared" ca="1" si="29"/>
        <v>N/A</v>
      </c>
      <c r="CF10" s="130">
        <f t="shared" ca="1" si="14"/>
        <v>0.39794317481895991</v>
      </c>
      <c r="CG10" s="130" t="str">
        <f t="shared" ca="1" si="15"/>
        <v>N/A</v>
      </c>
      <c r="CH10" s="130" t="str">
        <f t="shared" ca="1" si="16"/>
        <v>N/A</v>
      </c>
      <c r="CI10" s="130">
        <f t="shared" ca="1" si="17"/>
        <v>0.38104543359116505</v>
      </c>
      <c r="CJ10" s="130" t="str">
        <f t="shared" ca="1" si="18"/>
        <v>N/A</v>
      </c>
      <c r="CK10" s="130" t="str">
        <f t="shared" ca="1" si="19"/>
        <v>N/A</v>
      </c>
      <c r="CL10" s="130" t="str">
        <f t="shared" ca="1" si="20"/>
        <v>N/A</v>
      </c>
      <c r="CN10" s="179" t="str">
        <f t="shared" si="21"/>
        <v>PESO-02</v>
      </c>
      <c r="CO10" s="179" t="str">
        <f t="shared" si="22"/>
        <v>BCP0600618</v>
      </c>
      <c r="CQ10" s="179" t="str">
        <f t="shared" si="23"/>
        <v>UF-02</v>
      </c>
      <c r="CR10" s="247" t="str">
        <f t="shared" si="24"/>
        <v>BCU0300718</v>
      </c>
    </row>
    <row r="11" spans="1:96">
      <c r="A11" s="23">
        <v>360</v>
      </c>
      <c r="B11" s="35" t="str">
        <f>"IF UF " &amp;A11</f>
        <v>IF UF 360</v>
      </c>
      <c r="C11" s="136">
        <v>1.55</v>
      </c>
      <c r="D11" s="165">
        <f>A11/360</f>
        <v>1</v>
      </c>
      <c r="E11" s="36">
        <v>0.5</v>
      </c>
      <c r="F11" s="56" t="e">
        <f ca="1">100*((1+[1]!CERCHA($A11,$AT$31:$AU$55,"PG")/100)^($A11/365)-1)*360/$A11+E11</f>
        <v>#NAME?</v>
      </c>
      <c r="G11" s="37">
        <f ca="1">++C11%*($C$3/12)+$C$4%</f>
        <v>1.563618222369513E-2</v>
      </c>
      <c r="H11" s="37" t="e">
        <f ca="1">-(D11-$D$2)*(F11-C11)*1/100</f>
        <v>#NAME?</v>
      </c>
      <c r="I11" s="34" t="e">
        <f t="shared" ca="1" si="30"/>
        <v>#NAME?</v>
      </c>
      <c r="K11" s="23" t="s">
        <v>27</v>
      </c>
      <c r="L11" s="61">
        <f t="shared" si="33"/>
        <v>3.4000000000000002E-3</v>
      </c>
      <c r="M11" s="102">
        <f t="shared" si="34"/>
        <v>1</v>
      </c>
      <c r="N11" s="132">
        <f t="shared" si="35"/>
        <v>0.04</v>
      </c>
      <c r="O11" s="61" t="e">
        <f t="shared" ca="1" si="36"/>
        <v>#NAME?</v>
      </c>
      <c r="R11" s="68">
        <f t="shared" ca="1" si="31"/>
        <v>42750</v>
      </c>
      <c r="S11" s="91">
        <f t="shared" si="32"/>
        <v>3.5000000000000004</v>
      </c>
      <c r="AG11" s="280">
        <v>1</v>
      </c>
      <c r="AH11" s="3">
        <f t="shared" si="27"/>
        <v>9</v>
      </c>
      <c r="AI11" s="224">
        <f ca="1">IFERROR(VLOOKUP(DATE(YEAR(EDATE(AI10,AG11)),MONTH(EDATE(AI10,AG11)),1),RPM!A:B,2,0),sumames(AI10,AH11-AH10))</f>
        <v>42931</v>
      </c>
      <c r="AJ11" s="15">
        <f t="shared" ca="1" si="25"/>
        <v>261</v>
      </c>
      <c r="AK11" s="94">
        <f t="shared" si="0"/>
        <v>3.3000000000000003</v>
      </c>
      <c r="AQ11" s="97"/>
      <c r="AW11" s="174">
        <v>41913</v>
      </c>
      <c r="AX11" s="175">
        <f ca="1">IF(fechaHoy&gt;=siguienteHabil(EDATE(AW11,1)+8,-1),VLOOKUP(EDATE(AW11,1)-1,Inflation_FWD!$L:$M,2,0)/100,IFERROR(VLOOKUP(AW11,Inflation_FWD!$H:$I,2,0),0.25%))</f>
        <v>0.01</v>
      </c>
      <c r="AY11" s="175">
        <v>0.01</v>
      </c>
      <c r="AZ11" s="100">
        <f t="shared" si="1"/>
        <v>41921</v>
      </c>
      <c r="BA11" s="102">
        <f t="shared" si="28"/>
        <v>24189.748139288775</v>
      </c>
      <c r="BB11" s="213" t="s">
        <v>173</v>
      </c>
      <c r="BC11" s="179" t="s">
        <v>398</v>
      </c>
      <c r="BD11" s="179" t="s">
        <v>88</v>
      </c>
      <c r="BE11" s="99" t="str">
        <f t="shared" si="2"/>
        <v>N/A</v>
      </c>
      <c r="BF11" s="99" t="str">
        <f t="shared" si="3"/>
        <v>N/A</v>
      </c>
      <c r="BG11" s="243">
        <f t="shared" ca="1" si="4"/>
        <v>-1.6014279901623539E-9</v>
      </c>
      <c r="BH11" s="270">
        <f ca="1">INDEX(PrecioDur(fechaHoy,BG11,DATE("20"&amp;RIGHT(BD11,2),MID(BD11,7,2),1),MID(BD11,4,3)/10,2,365),1,2)</f>
        <v>2.0501727218939472</v>
      </c>
      <c r="BI11" s="243" t="str">
        <f>IFERROR(IFERROR(VLOOKUP(BD11,TransaccionesRF!$B:$O,12,0),VLOOKUP(BD11,'TransaccionesRFt-1'!$B:$O,12,0)), "N/A")</f>
        <v>N/A</v>
      </c>
      <c r="BJ11" s="114" t="str">
        <f t="shared" ca="1" si="5"/>
        <v>N/A</v>
      </c>
      <c r="BK11" s="114" t="str">
        <f>IFERROR(VLOOKUP(BD11,TransaccionesRF!$B:$O,12,0),"N/A")</f>
        <v>N/A</v>
      </c>
      <c r="BL11" s="114" t="str">
        <f>IFERROR(VLOOKUP(BD11,'TransaccionesRFt-1'!$B:$O,12,0),"N/A")</f>
        <v>N/A</v>
      </c>
      <c r="BM11" s="114" t="str">
        <f t="shared" si="6"/>
        <v>N/A</v>
      </c>
      <c r="BN11" s="114">
        <f ca="1">+tirValorizador($C$1,$BD11,Zero_swap_CL!$L$2:$M$18,"PG")</f>
        <v>3.3279490982401838</v>
      </c>
      <c r="BO11" s="214" t="s">
        <v>173</v>
      </c>
      <c r="BP11" s="179" t="s">
        <v>49</v>
      </c>
      <c r="BQ11" s="322" t="s">
        <v>60</v>
      </c>
      <c r="BR11" s="243">
        <f t="shared" ca="1" si="26"/>
        <v>-6.2252966071484582E-10</v>
      </c>
      <c r="BS11" s="270">
        <f ca="1">INDEX(PrecioDur(fechaHoy,BR11,DATE("20"&amp;RIGHT(BQ11,2),MID(BQ11,7,2),1),MID(BQ11,4,3)/10,2,365),1,2)</f>
        <v>1.7193073145625624</v>
      </c>
      <c r="BT11" s="243">
        <f t="shared" ca="1" si="7"/>
        <v>-6.2252966071484582E-10</v>
      </c>
      <c r="BU11" s="243">
        <f t="shared" si="8"/>
        <v>3.48</v>
      </c>
      <c r="BV11" s="243">
        <f>IFERROR(IFERROR(VLOOKUP(BQ11,TransaccionesRF!$B:$O,12,0),VLOOKUP(BQ11,'TransaccionesRFt-1'!$B:$O,12,0)),"N/A")</f>
        <v>1.1000000000000001</v>
      </c>
      <c r="BW11" s="114">
        <f t="shared" ca="1" si="9"/>
        <v>1.1000000006225297</v>
      </c>
      <c r="BX11" s="114">
        <f>IFERROR(VLOOKUP(BQ11,TransaccionesRF!$B:$O,12,0),"N/A")</f>
        <v>1.1000000000000001</v>
      </c>
      <c r="BY11" s="114">
        <f>IFERROR(VLOOKUP(BQ11,'TransaccionesRFt-1'!$B:$O,12,0),"N/A")</f>
        <v>1.02</v>
      </c>
      <c r="BZ11" s="114">
        <f t="shared" si="10"/>
        <v>8.0000000000000071E-2</v>
      </c>
      <c r="CA11" s="99">
        <f t="shared" si="11"/>
        <v>2.38</v>
      </c>
      <c r="CB11" s="130">
        <f t="shared" ca="1" si="12"/>
        <v>0</v>
      </c>
      <c r="CC11" s="130">
        <f ca="1">+tirValorizador($C$1,$BQ11,Zero_swap_CL!$L$23:$M$39,"PG")</f>
        <v>0.6730720942567272</v>
      </c>
      <c r="CD11" s="130">
        <f t="shared" ca="1" si="13"/>
        <v>1.8912380470891383</v>
      </c>
      <c r="CE11" s="130">
        <f t="shared" ca="1" si="29"/>
        <v>0.12035151201937948</v>
      </c>
      <c r="CF11" s="130">
        <f t="shared" ca="1" si="14"/>
        <v>0.39794317481895991</v>
      </c>
      <c r="CG11" s="130">
        <f t="shared" ca="1" si="15"/>
        <v>0.1996098414856266</v>
      </c>
      <c r="CH11" s="130">
        <f t="shared" ca="1" si="16"/>
        <v>0.11609898928186244</v>
      </c>
      <c r="CI11" s="130">
        <f t="shared" ca="1" si="17"/>
        <v>0.38104543359116505</v>
      </c>
      <c r="CJ11" s="130">
        <f t="shared" ca="1" si="18"/>
        <v>0.16271210025783173</v>
      </c>
      <c r="CK11" s="130">
        <f t="shared" ca="1" si="19"/>
        <v>9.4638171361022816E-2</v>
      </c>
      <c r="CL11" s="130">
        <f t="shared" ca="1" si="20"/>
        <v>2.0539501473469701</v>
      </c>
      <c r="CN11" s="179" t="str">
        <f t="shared" si="21"/>
        <v>PuntaPESO-02</v>
      </c>
      <c r="CO11" s="179" t="str">
        <f t="shared" si="22"/>
        <v>BTP0600119</v>
      </c>
      <c r="CQ11" s="179" t="str">
        <f t="shared" si="23"/>
        <v>PuntaUF-02</v>
      </c>
      <c r="CR11" s="247" t="str">
        <f t="shared" si="24"/>
        <v>BCU0300818</v>
      </c>
    </row>
    <row r="12" spans="1:96">
      <c r="A12" s="135" t="s">
        <v>121</v>
      </c>
      <c r="B12" s="408" t="s">
        <v>398</v>
      </c>
      <c r="C12" s="136">
        <f>_xll.BDP(A12,"PX_LAST")</f>
        <v>3.52</v>
      </c>
      <c r="D12" s="159">
        <v>2</v>
      </c>
      <c r="E12" s="31"/>
      <c r="F12" s="57">
        <f ca="1">AVERAGEIFS($BG:$BG,$BC:$BC,$B12,$BB:$BB,"Punta")</f>
        <v>-1.6014279901623539E-9</v>
      </c>
      <c r="G12" s="32">
        <f>+C12%*($C$3/12)</f>
        <v>1.1733333333333333E-2</v>
      </c>
      <c r="H12" s="37">
        <f ca="1">-(D12-$D$2)*(F12-C12)*1/100</f>
        <v>5.8666666693357135E-2</v>
      </c>
      <c r="I12" s="39">
        <f t="shared" ca="1" si="30"/>
        <v>7.0400000026690474E-2</v>
      </c>
      <c r="K12" s="23" t="s">
        <v>28</v>
      </c>
      <c r="L12" s="61">
        <f t="shared" si="33"/>
        <v>1.55E-2</v>
      </c>
      <c r="M12" s="102">
        <f t="shared" si="34"/>
        <v>1</v>
      </c>
      <c r="N12" s="132">
        <f t="shared" si="35"/>
        <v>0.5</v>
      </c>
      <c r="O12" s="61" t="e">
        <f t="shared" ca="1" si="36"/>
        <v>#NAME?</v>
      </c>
      <c r="R12" s="68">
        <f t="shared" ca="1" si="31"/>
        <v>42781</v>
      </c>
      <c r="S12" s="91">
        <f t="shared" si="32"/>
        <v>3.5000000000000004</v>
      </c>
      <c r="AG12" s="280">
        <v>3</v>
      </c>
      <c r="AH12" s="3">
        <f t="shared" si="27"/>
        <v>12</v>
      </c>
      <c r="AI12" s="224">
        <f ca="1">IFERROR(VLOOKUP(DATE(YEAR(EDATE(AI11,AG12)),MONTH(EDATE(AI11,AG12)),1),RPM!A:B,2,0),sumames(AI11,AH12-AH11))</f>
        <v>43023</v>
      </c>
      <c r="AJ12" s="15">
        <f t="shared" ca="1" si="25"/>
        <v>353</v>
      </c>
      <c r="AK12" s="94">
        <f t="shared" si="0"/>
        <v>3.3250000000000002</v>
      </c>
      <c r="AQ12" s="97"/>
      <c r="AV12" s="100"/>
      <c r="AW12" s="174">
        <v>41944</v>
      </c>
      <c r="AX12" s="175">
        <f ca="1">IF(AND(fechaHoy&gt;=siguienteHabil(EDATE(AW12,1)+8,-1),fechaHoy&lt;&gt;DATE(2014,12,5)),VLOOKUP(EDATE(AW12,1)-1,Inflation_FWD!$L:$M,2,0)/100,IFERROR(VLOOKUP(AW12,Inflation_FWD!$H:$I,2,0),0.25%))</f>
        <v>0</v>
      </c>
      <c r="AY12" s="175">
        <f ca="1">+$AX12</f>
        <v>0</v>
      </c>
      <c r="AZ12" s="100">
        <f t="shared" si="1"/>
        <v>41952</v>
      </c>
      <c r="BA12" s="102">
        <f t="shared" si="28"/>
        <v>24383.266124403086</v>
      </c>
      <c r="BB12" s="213"/>
      <c r="BC12" s="179" t="s">
        <v>399</v>
      </c>
      <c r="BD12" s="246" t="s">
        <v>10</v>
      </c>
      <c r="BE12" s="99" t="str">
        <f t="shared" si="2"/>
        <v>N/A</v>
      </c>
      <c r="BF12" s="99" t="str">
        <f t="shared" si="3"/>
        <v>N/A</v>
      </c>
      <c r="BG12" s="243">
        <f t="shared" ca="1" si="4"/>
        <v>-1.0617418546242895E-8</v>
      </c>
      <c r="BH12" s="270">
        <f ca="1">INDEX(PrecioDur(fechaHoy,BG12,DATE("20"&amp;RIGHT(BD12,2),MID(BD12,7,2),1),MID(BD12,4,3)/10,2,365),1,2)</f>
        <v>2.9201856677464955</v>
      </c>
      <c r="BI12" s="243" t="str">
        <f>IFERROR(IFERROR(VLOOKUP(BD12,TransaccionesRF!$B:$O,12,0),VLOOKUP(BD12,'TransaccionesRFt-1'!$B:$O,12,0)), "N/A")</f>
        <v>N/A</v>
      </c>
      <c r="BJ12" s="114" t="str">
        <f t="shared" ca="1" si="5"/>
        <v>N/A</v>
      </c>
      <c r="BK12" s="114" t="str">
        <f>IFERROR(VLOOKUP(BD12,TransaccionesRF!$B:$O,12,0),"N/A")</f>
        <v>N/A</v>
      </c>
      <c r="BL12" s="114" t="str">
        <f>IFERROR(VLOOKUP(BD12,'TransaccionesRFt-1'!$B:$O,12,0),"N/A")</f>
        <v>N/A</v>
      </c>
      <c r="BM12" s="114" t="str">
        <f t="shared" si="6"/>
        <v>N/A</v>
      </c>
      <c r="BN12" s="114">
        <f ca="1">+tirValorizador($C$1,$BD12,Zero_swap_CL!$L$2:$M$18,"PG")</f>
        <v>3.4230517172743538</v>
      </c>
      <c r="BP12" s="180" t="s">
        <v>50</v>
      </c>
      <c r="BQ12" s="286" t="s">
        <v>61</v>
      </c>
      <c r="BR12" s="243">
        <f ca="1">+tirValorizador($C$1,BQ12,$AT$31:$AU$156,"PG")</f>
        <v>-9.4168338328915607E-10</v>
      </c>
      <c r="BS12" s="270">
        <f ca="1">INDEX(PrecioDur(fechaHoy,BR12,DATE("20"&amp;RIGHT(BQ12,2),MID(BQ12,7,2),1),MID(BQ12,4,3)/10,2,365),1,2)</f>
        <v>1.8862755234092696</v>
      </c>
      <c r="BT12" s="243">
        <f t="shared" ca="1" si="7"/>
        <v>-9.4168338328915607E-10</v>
      </c>
      <c r="BU12" s="243">
        <f t="shared" si="8"/>
        <v>3.48</v>
      </c>
      <c r="BV12" s="243">
        <f>IFERROR(IFERROR(VLOOKUP(BQ12,TransaccionesRF!$B:$O,12,0),VLOOKUP(BQ12,'TransaccionesRFt-1'!$B:$O,12,0)),"N/A")</f>
        <v>1.03</v>
      </c>
      <c r="BW12" s="114">
        <f t="shared" ca="1" si="9"/>
        <v>1.0300000009416834</v>
      </c>
      <c r="BX12" s="114" t="str">
        <f>IFERROR(VLOOKUP(BQ12,TransaccionesRF!$B:$O,12,0),"N/A")</f>
        <v>N/A</v>
      </c>
      <c r="BY12" s="114">
        <f>IFERROR(VLOOKUP(BQ12,'TransaccionesRFt-1'!$B:$O,12,0),"N/A")</f>
        <v>1.03</v>
      </c>
      <c r="BZ12" s="114" t="str">
        <f t="shared" si="10"/>
        <v>N/A</v>
      </c>
      <c r="CA12" s="99">
        <f t="shared" si="11"/>
        <v>2.4500000000000002</v>
      </c>
      <c r="CB12" s="130">
        <f t="shared" ca="1" si="12"/>
        <v>0</v>
      </c>
      <c r="CC12" s="130">
        <f ca="1">+tirValorizador($C$1,$BQ12,Zero_swap_CL!$L$23:$M$39,"PG")</f>
        <v>0.60077836438528942</v>
      </c>
      <c r="CD12" s="130">
        <f t="shared" ca="1" si="13"/>
        <v>1.9428637908878221</v>
      </c>
      <c r="CE12" s="130">
        <f t="shared" ca="1" si="29"/>
        <v>0</v>
      </c>
      <c r="CF12" s="130">
        <f t="shared" ca="1" si="14"/>
        <v>0.39794317481895991</v>
      </c>
      <c r="CG12" s="130">
        <f t="shared" ca="1" si="15"/>
        <v>0.19377650815229325</v>
      </c>
      <c r="CH12" s="130">
        <f t="shared" ca="1" si="16"/>
        <v>0.10272969444148861</v>
      </c>
      <c r="CI12" s="130">
        <f t="shared" ca="1" si="17"/>
        <v>0.38104543359116505</v>
      </c>
      <c r="CJ12" s="130">
        <f t="shared" ca="1" si="18"/>
        <v>0.15687876692449837</v>
      </c>
      <c r="CK12" s="130">
        <f t="shared" ca="1" si="19"/>
        <v>8.3168532368460377E-2</v>
      </c>
      <c r="CL12" s="130">
        <f t="shared" ca="1" si="20"/>
        <v>2.0997425578123203</v>
      </c>
      <c r="CN12" s="179" t="str">
        <f t="shared" si="21"/>
        <v>PESO-03</v>
      </c>
      <c r="CO12" s="179" t="str">
        <f t="shared" si="22"/>
        <v>BTP0600120</v>
      </c>
      <c r="CQ12" s="179" t="str">
        <f t="shared" si="23"/>
        <v>UF-03</v>
      </c>
      <c r="CR12" s="247" t="str">
        <f t="shared" si="24"/>
        <v>BCU0301018</v>
      </c>
    </row>
    <row r="13" spans="1:96">
      <c r="A13" s="135" t="s">
        <v>122</v>
      </c>
      <c r="B13" s="409" t="s">
        <v>401</v>
      </c>
      <c r="C13" s="136">
        <f>_xll.BDP(A13,"PX_LAST")</f>
        <v>3.81</v>
      </c>
      <c r="D13" s="165">
        <v>4.72</v>
      </c>
      <c r="E13" s="36"/>
      <c r="F13" s="56">
        <f ca="1">AVERAGEIFS($BG:$BG,$BC:$BC,$B13,$BB:$BB,"Punta")</f>
        <v>-6.086230572082893E-8</v>
      </c>
      <c r="G13" s="37">
        <f>+C13%*($C$3/12)</f>
        <v>1.2699999999999999E-2</v>
      </c>
      <c r="H13" s="37">
        <f ca="1">-(D13-$D$2)*(F13-C13)*1/100</f>
        <v>0.1671320026698265</v>
      </c>
      <c r="I13" s="34">
        <f t="shared" ca="1" si="30"/>
        <v>0.17983200266982649</v>
      </c>
      <c r="K13" s="410" t="s">
        <v>398</v>
      </c>
      <c r="L13" s="61">
        <f t="shared" si="33"/>
        <v>3.5200000000000002E-2</v>
      </c>
      <c r="M13" s="102">
        <f t="shared" si="34"/>
        <v>2</v>
      </c>
      <c r="N13" s="132">
        <f t="shared" si="35"/>
        <v>0</v>
      </c>
      <c r="O13" s="61">
        <f t="shared" ca="1" si="36"/>
        <v>-1.6014279901623539E-11</v>
      </c>
      <c r="R13" s="68">
        <f t="shared" ca="1" si="31"/>
        <v>42809</v>
      </c>
      <c r="S13" s="91">
        <f>+V30*$U$17+Y30*$X$17+AB30*$AA$17+AE30*$AD$17</f>
        <v>3.4</v>
      </c>
      <c r="AG13" s="280">
        <v>3</v>
      </c>
      <c r="AH13" s="3">
        <f t="shared" si="27"/>
        <v>15</v>
      </c>
      <c r="AI13" s="224">
        <f ca="1">IFERROR(VLOOKUP(DATE(YEAR(EDATE(AI12,AG13)),MONTH(EDATE(AI12,AG13)),1),RPM!A:B,2,0),sumames(AI12,AH13-AH12))</f>
        <v>43115</v>
      </c>
      <c r="AJ13" s="15">
        <f t="shared" ca="1" si="25"/>
        <v>445</v>
      </c>
      <c r="AK13" s="94">
        <f t="shared" si="0"/>
        <v>3.35</v>
      </c>
      <c r="AQ13" s="97"/>
      <c r="AW13" s="174">
        <v>41974</v>
      </c>
      <c r="AX13" s="175">
        <f ca="1">IF(fechaHoy&gt;=siguienteHabil(EDATE(AW13,1)+8,-1),VLOOKUP(EDATE(AW13,1)-1,Inflation_FWD!$L:$M,2,0)/100,IFERROR(VLOOKUP(AW13,Inflation_FWD!$H:$I,2,0),0.25%))</f>
        <v>-4.0000000000000001E-3</v>
      </c>
      <c r="AY13" s="175">
        <f ca="1">+$AX13</f>
        <v>-4.0000000000000001E-3</v>
      </c>
      <c r="AZ13" s="100">
        <f t="shared" si="1"/>
        <v>41982</v>
      </c>
      <c r="BA13" s="102">
        <f t="shared" si="28"/>
        <v>24627.098785647118</v>
      </c>
      <c r="BB13" s="213"/>
      <c r="BC13" s="179" t="s">
        <v>400</v>
      </c>
      <c r="BD13" s="218" t="s">
        <v>389</v>
      </c>
      <c r="BE13" s="99" t="str">
        <f t="shared" si="2"/>
        <v>420</v>
      </c>
      <c r="BF13" s="99" t="str">
        <f t="shared" si="3"/>
        <v>20</v>
      </c>
      <c r="BG13" s="243">
        <f t="shared" ca="1" si="4"/>
        <v>-1.6506739105030983E-8</v>
      </c>
      <c r="BH13" s="270">
        <f ca="1">INDEX(PrecioDur(fechaHoy,BG13,DATE("20"&amp;RIGHT(BD13,2),MID(BD13,7,2),1),MID(BD13,4,3)/10,2,365),1,2)</f>
        <v>3.2257936631331181</v>
      </c>
      <c r="BI13" s="243">
        <f>IFERROR(IFERROR(VLOOKUP(BD13,TransaccionesRF!$B:$O,12,0),VLOOKUP(BD13,'TransaccionesRFt-1'!$B:$O,12,0)), "N/A")</f>
        <v>3.67</v>
      </c>
      <c r="BJ13" s="114">
        <f t="shared" ca="1" si="5"/>
        <v>3.670000016506739</v>
      </c>
      <c r="BK13" s="114">
        <f>IFERROR(VLOOKUP(BD13,TransaccionesRF!$B:$O,12,0),"N/A")</f>
        <v>3.67</v>
      </c>
      <c r="BL13" s="114" t="str">
        <f>IFERROR(VLOOKUP(BD13,'TransaccionesRFt-1'!$B:$O,12,0),"N/A")</f>
        <v>N/A</v>
      </c>
      <c r="BM13" s="114" t="str">
        <f t="shared" si="6"/>
        <v>N/A</v>
      </c>
      <c r="BN13" s="114">
        <f ca="1">+tirValorizador($C$1,$BD13,Zero_swap_CL!$L$2:$M$18,"PG")</f>
        <v>3.4546661657578026</v>
      </c>
      <c r="BP13" s="180" t="s">
        <v>50</v>
      </c>
      <c r="BQ13" s="532" t="s">
        <v>63</v>
      </c>
      <c r="BR13" s="243">
        <f t="shared" ca="1" si="26"/>
        <v>-1.6796341333839143E-9</v>
      </c>
      <c r="BS13" s="270">
        <f ca="1">INDEX(PrecioDur(fechaHoy,BR13,DATE("20"&amp;RIGHT(BQ13,2),MID(BQ13,7,2),1),MID(BQ13,4,3)/10,2,365),1,2)</f>
        <v>2.1109397897790916</v>
      </c>
      <c r="BT13" s="243">
        <f t="shared" ca="1" si="7"/>
        <v>-1.6796341333839143E-9</v>
      </c>
      <c r="BU13" s="243" t="str">
        <f t="shared" si="8"/>
        <v>N/A</v>
      </c>
      <c r="BV13" s="243" t="str">
        <f>IFERROR(IFERROR(VLOOKUP(BQ13,TransaccionesRF!$B:$O,12,0),VLOOKUP(BQ13,'TransaccionesRFt-1'!$B:$O,12,0)),"N/A")</f>
        <v>N/A</v>
      </c>
      <c r="BW13" s="114" t="str">
        <f t="shared" ca="1" si="9"/>
        <v>N/A</v>
      </c>
      <c r="BX13" s="114" t="str">
        <f>IFERROR(VLOOKUP(BQ13,TransaccionesRF!$B:$O,12,0),"N/A")</f>
        <v>N/A</v>
      </c>
      <c r="BY13" s="114" t="str">
        <f>IFERROR(VLOOKUP(BQ13,'TransaccionesRFt-1'!$B:$O,12,0),"N/A")</f>
        <v>N/A</v>
      </c>
      <c r="BZ13" s="114" t="str">
        <f t="shared" si="10"/>
        <v>N/A</v>
      </c>
      <c r="CA13" s="99" t="str">
        <f t="shared" si="11"/>
        <v>N/A</v>
      </c>
      <c r="CB13" s="130">
        <f t="shared" ca="1" si="12"/>
        <v>0</v>
      </c>
      <c r="CC13" s="130">
        <f ca="1">+tirValorizador($C$1,$BQ13,Zero_swap_CL!$L$23:$M$39,"PG")</f>
        <v>0.55982622033196994</v>
      </c>
      <c r="CD13" s="130" t="str">
        <f t="shared" ca="1" si="13"/>
        <v>N/A</v>
      </c>
      <c r="CE13" s="130" t="str">
        <f t="shared" ca="1" si="29"/>
        <v>N/A</v>
      </c>
      <c r="CF13" s="130">
        <f t="shared" ca="1" si="14"/>
        <v>0.39794317481895991</v>
      </c>
      <c r="CG13" s="130" t="str">
        <f t="shared" ca="1" si="15"/>
        <v>N/A</v>
      </c>
      <c r="CH13" s="130" t="str">
        <f t="shared" ca="1" si="16"/>
        <v>N/A</v>
      </c>
      <c r="CI13" s="130">
        <f t="shared" ca="1" si="17"/>
        <v>0.38104543359116505</v>
      </c>
      <c r="CJ13" s="130" t="str">
        <f t="shared" ca="1" si="18"/>
        <v>N/A</v>
      </c>
      <c r="CK13" s="130" t="str">
        <f t="shared" ca="1" si="19"/>
        <v>N/A</v>
      </c>
      <c r="CL13" s="130" t="str">
        <f t="shared" ca="1" si="20"/>
        <v>N/A</v>
      </c>
      <c r="CN13" s="179" t="str">
        <f t="shared" si="21"/>
        <v>PESO-04</v>
      </c>
      <c r="CO13" s="179" t="str">
        <f t="shared" si="22"/>
        <v>BCP0450420</v>
      </c>
      <c r="CQ13" s="179" t="str">
        <f t="shared" si="23"/>
        <v>UF-03</v>
      </c>
      <c r="CR13" s="247" t="str">
        <f t="shared" si="24"/>
        <v>BTU0300119</v>
      </c>
    </row>
    <row r="14" spans="1:96" ht="15.75" thickBot="1">
      <c r="A14" s="135" t="s">
        <v>123</v>
      </c>
      <c r="B14" s="408" t="s">
        <v>402</v>
      </c>
      <c r="C14" s="136">
        <f>_xll.BDP(A14,"PX_LAST")</f>
        <v>3.9</v>
      </c>
      <c r="D14" s="159">
        <v>6.26</v>
      </c>
      <c r="E14" s="31"/>
      <c r="F14" s="57">
        <f ca="1">AVERAGEIFS($BG:$BG,$BC:$BC,$B14,$BB:$BB,"Punta")</f>
        <v>-5.1118754367755065E-7</v>
      </c>
      <c r="G14" s="32">
        <f>+C14%*($C$3/12)</f>
        <v>1.2999999999999999E-2</v>
      </c>
      <c r="H14" s="37">
        <f t="shared" ref="H14:H23" ca="1" si="37">-(D14-$D$2)*(F14-C14)*1/100</f>
        <v>0.23114003029638178</v>
      </c>
      <c r="I14" s="39">
        <f t="shared" ref="I14:I23" ca="1" si="38">+H14+G14</f>
        <v>0.24414003029638179</v>
      </c>
      <c r="K14" s="410" t="s">
        <v>401</v>
      </c>
      <c r="L14" s="61">
        <f t="shared" si="33"/>
        <v>3.8100000000000002E-2</v>
      </c>
      <c r="M14" s="102">
        <f t="shared" si="34"/>
        <v>4.72</v>
      </c>
      <c r="N14" s="132">
        <f t="shared" si="35"/>
        <v>0</v>
      </c>
      <c r="O14" s="61">
        <f t="shared" ca="1" si="36"/>
        <v>-6.0862305720828931E-10</v>
      </c>
      <c r="R14" s="68">
        <f t="shared" ca="1" si="31"/>
        <v>42840</v>
      </c>
      <c r="S14" s="91">
        <f t="shared" si="32"/>
        <v>3.3000000000000003</v>
      </c>
      <c r="AG14" s="280">
        <v>3</v>
      </c>
      <c r="AH14" s="3">
        <f t="shared" si="27"/>
        <v>18</v>
      </c>
      <c r="AI14" s="224">
        <f ca="1">IFERROR(VLOOKUP(DATE(YEAR(EDATE(AI13,AG14)),MONTH(EDATE(AI13,AG14)),1),RPM!A:B,2,0),sumames(AI13,AH14-AH13))</f>
        <v>43205</v>
      </c>
      <c r="AJ14" s="15">
        <f t="shared" ca="1" si="25"/>
        <v>535</v>
      </c>
      <c r="AK14" s="94">
        <f t="shared" si="0"/>
        <v>3.5750000000000002</v>
      </c>
      <c r="AQ14" s="97"/>
      <c r="AW14" s="103">
        <v>42005</v>
      </c>
      <c r="AX14" s="104">
        <f ca="1">IF(fechaHoy&gt;=siguienteHabil(EDATE(AW14,1)+8,-1),VLOOKUP(EDATE(AW14,1)-1,Inflation_FWD!$L:$M,2,0)/100,IFERROR(VLOOKUP(AW14,Inflation_FWD!$H:$I,2,0),0.25%))</f>
        <v>1E-3</v>
      </c>
      <c r="AY14" s="104">
        <f ca="1">AX14</f>
        <v>1E-3</v>
      </c>
      <c r="AZ14" s="100">
        <f t="shared" si="1"/>
        <v>42013</v>
      </c>
      <c r="BA14" s="102">
        <f t="shared" ca="1" si="28"/>
        <v>24627.098785647118</v>
      </c>
      <c r="BB14" s="213"/>
      <c r="BC14" s="179" t="s">
        <v>400</v>
      </c>
      <c r="BD14" s="456" t="s">
        <v>448</v>
      </c>
      <c r="BE14" s="99" t="str">
        <f t="shared" si="2"/>
        <v>620</v>
      </c>
      <c r="BF14" s="99" t="str">
        <f t="shared" si="3"/>
        <v>20</v>
      </c>
      <c r="BG14" s="243">
        <f t="shared" ca="1" si="4"/>
        <v>-2.1349087220398806E-8</v>
      </c>
      <c r="BH14" s="270">
        <f ca="1">INDEX(PrecioDur(fechaHoy,BG14,DATE("20"&amp;RIGHT(BD14,2),MID(BD14,7,2),1),MID(BD14,4,3)/10,2,365),1,2)</f>
        <v>3.330049919575333</v>
      </c>
      <c r="BI14" s="243">
        <f>IFERROR(IFERROR(VLOOKUP(BD14,TransaccionesRF!$B:$O,12,0),VLOOKUP(BD14,'TransaccionesRFt-1'!$B:$O,12,0)), "N/A")</f>
        <v>3.7</v>
      </c>
      <c r="BJ14" s="114">
        <f t="shared" ca="1" si="5"/>
        <v>3.7000000213490876</v>
      </c>
      <c r="BK14" s="114">
        <f>IFERROR(VLOOKUP(BD14,TransaccionesRF!$B:$O,12,0),"N/A")</f>
        <v>3.7</v>
      </c>
      <c r="BL14" s="114">
        <f>IFERROR(VLOOKUP(BD14,'TransaccionesRFt-1'!$B:$O,12,0),"N/A")</f>
        <v>3.68</v>
      </c>
      <c r="BM14" s="114">
        <f t="shared" si="6"/>
        <v>2.0000000000000018E-2</v>
      </c>
      <c r="BN14" s="114">
        <f ca="1">+tirValorizador($C$1,$BD14,Zero_swap_CL!$L$2:$M$18,"PG")</f>
        <v>3.4750020235707844</v>
      </c>
      <c r="BP14" s="180" t="s">
        <v>50</v>
      </c>
      <c r="BQ14" s="404" t="s">
        <v>64</v>
      </c>
      <c r="BR14" s="243">
        <f t="shared" ca="1" si="26"/>
        <v>-3.3564312585244831E-9</v>
      </c>
      <c r="BS14" s="270">
        <f ca="1">INDEX(PrecioDur(fechaHoy,BR14,DATE("20"&amp;RIGHT(BQ14,2),MID(BQ14,7,2),1),MID(BQ14,4,3)/10,2,365),1,2)</f>
        <v>2.4065476939412198</v>
      </c>
      <c r="BT14" s="243">
        <f t="shared" ca="1" si="7"/>
        <v>-3.3564312585244831E-9</v>
      </c>
      <c r="BU14" s="243" t="str">
        <f t="shared" si="8"/>
        <v>N/A</v>
      </c>
      <c r="BV14" s="243" t="str">
        <f>IFERROR(IFERROR(VLOOKUP(BQ14,TransaccionesRF!$B:$O,12,0),VLOOKUP(BQ14,'TransaccionesRFt-1'!$B:$O,12,0)),"N/A")</f>
        <v>N/A</v>
      </c>
      <c r="BW14" s="114" t="str">
        <f t="shared" ca="1" si="9"/>
        <v>N/A</v>
      </c>
      <c r="BX14" s="114" t="str">
        <f>IFERROR(VLOOKUP(BQ14,TransaccionesRF!$B:$O,12,0),"N/A")</f>
        <v>N/A</v>
      </c>
      <c r="BY14" s="114" t="str">
        <f>IFERROR(VLOOKUP(BQ14,'TransaccionesRFt-1'!$B:$O,12,0),"N/A")</f>
        <v>N/A</v>
      </c>
      <c r="BZ14" s="114" t="str">
        <f t="shared" si="10"/>
        <v>N/A</v>
      </c>
      <c r="CA14" s="99" t="str">
        <f t="shared" si="11"/>
        <v>N/A</v>
      </c>
      <c r="CB14" s="130">
        <f t="shared" ca="1" si="12"/>
        <v>0</v>
      </c>
      <c r="CC14" s="130">
        <f ca="1">+tirValorizador($C$1,$BQ14,Zero_swap_CL!$L$23:$M$39,"PG")</f>
        <v>0.55185996567284623</v>
      </c>
      <c r="CD14" s="130" t="str">
        <f t="shared" ca="1" si="13"/>
        <v>N/A</v>
      </c>
      <c r="CE14" s="130" t="str">
        <f t="shared" ca="1" si="29"/>
        <v>N/A</v>
      </c>
      <c r="CF14" s="130">
        <f t="shared" ca="1" si="14"/>
        <v>0.39794317481895991</v>
      </c>
      <c r="CG14" s="130" t="str">
        <f t="shared" ca="1" si="15"/>
        <v>N/A</v>
      </c>
      <c r="CH14" s="130" t="str">
        <f t="shared" ca="1" si="16"/>
        <v>N/A</v>
      </c>
      <c r="CI14" s="130">
        <f t="shared" ca="1" si="17"/>
        <v>0.38104543359116505</v>
      </c>
      <c r="CJ14" s="130" t="str">
        <f t="shared" ca="1" si="18"/>
        <v>N/A</v>
      </c>
      <c r="CK14" s="130" t="str">
        <f t="shared" ca="1" si="19"/>
        <v>N/A</v>
      </c>
      <c r="CL14" s="130" t="str">
        <f t="shared" ca="1" si="20"/>
        <v>N/A</v>
      </c>
      <c r="CN14" s="179" t="str">
        <f t="shared" si="21"/>
        <v>PESO-04</v>
      </c>
      <c r="CO14" s="179" t="str">
        <f t="shared" si="22"/>
        <v>BCP0450620</v>
      </c>
      <c r="CQ14" s="179" t="str">
        <f t="shared" si="23"/>
        <v>UF-03</v>
      </c>
      <c r="CR14" s="247" t="str">
        <f t="shared" si="24"/>
        <v>BCU0300519</v>
      </c>
    </row>
    <row r="15" spans="1:96">
      <c r="A15" s="135" t="s">
        <v>124</v>
      </c>
      <c r="B15" s="409" t="s">
        <v>403</v>
      </c>
      <c r="C15" s="136">
        <f>_xll.BDP(A15,"PX_LAST")</f>
        <v>4.1900000000000004</v>
      </c>
      <c r="D15" s="165">
        <v>7.34</v>
      </c>
      <c r="E15" s="36"/>
      <c r="F15" s="56">
        <f ca="1">AVERAGEIFS($BG:$BG,$BC:$BC,$B15,$BB:$BB,"Punta")</f>
        <v>-1.6981102006989992E-12</v>
      </c>
      <c r="G15" s="37">
        <f>+C15%*($C$3/12)</f>
        <v>1.3966666666666669E-2</v>
      </c>
      <c r="H15" s="37">
        <f t="shared" ca="1" si="37"/>
        <v>0.29357933333345237</v>
      </c>
      <c r="I15" s="34">
        <f t="shared" ca="1" si="38"/>
        <v>0.30754600000011906</v>
      </c>
      <c r="K15" s="410" t="s">
        <v>403</v>
      </c>
      <c r="L15" s="61">
        <f t="shared" si="33"/>
        <v>4.1900000000000007E-2</v>
      </c>
      <c r="M15" s="102">
        <f t="shared" si="34"/>
        <v>7.34</v>
      </c>
      <c r="N15" s="132">
        <f t="shared" si="35"/>
        <v>0</v>
      </c>
      <c r="O15" s="61">
        <f t="shared" ca="1" si="36"/>
        <v>-1.698110200698999E-14</v>
      </c>
      <c r="R15" s="68">
        <f t="shared" ca="1" si="31"/>
        <v>42870</v>
      </c>
      <c r="S15" s="91">
        <f t="shared" si="32"/>
        <v>3.3000000000000003</v>
      </c>
      <c r="AH15" s="21">
        <f t="shared" ref="AH15:AH23" ca="1" si="39">+AJ15/365</f>
        <v>2.4657534246575343</v>
      </c>
      <c r="AI15" s="455">
        <f ca="1">EDATE(AI14,12)</f>
        <v>43570</v>
      </c>
      <c r="AJ15" s="22">
        <f t="shared" ca="1" si="25"/>
        <v>900</v>
      </c>
      <c r="AK15" s="94">
        <f t="shared" si="0"/>
        <v>3.9750000000000005</v>
      </c>
      <c r="AQ15" s="97"/>
      <c r="AT15" s="100"/>
      <c r="AW15" s="103">
        <v>42036</v>
      </c>
      <c r="AX15" s="104">
        <f ca="1">IF(fechaHoy&gt;=siguienteHabil(EDATE(AW15,1)+8,-1),VLOOKUP(EDATE(AW15,1)-1,Inflation_FWD!$L:$M,2,0)/100,IFERROR(VLOOKUP(AW15,Inflation_FWD!$H:$I,2,0),0.25%))</f>
        <v>4.0000000000000001E-3</v>
      </c>
      <c r="AY15" s="104">
        <f ca="1">AX15</f>
        <v>4.0000000000000001E-3</v>
      </c>
      <c r="AZ15" s="100">
        <f t="shared" si="1"/>
        <v>42044</v>
      </c>
      <c r="BA15" s="102">
        <f t="shared" ca="1" si="28"/>
        <v>24528.590390504531</v>
      </c>
      <c r="BB15" s="215"/>
      <c r="BC15" s="179" t="s">
        <v>400</v>
      </c>
      <c r="BD15" s="493" t="s">
        <v>14</v>
      </c>
      <c r="BE15" s="99" t="str">
        <f t="shared" si="2"/>
        <v>221</v>
      </c>
      <c r="BF15" s="99" t="str">
        <f t="shared" si="3"/>
        <v>21</v>
      </c>
      <c r="BG15" s="243">
        <f t="shared" ca="1" si="4"/>
        <v>-5.2269621731142885E-8</v>
      </c>
      <c r="BH15" s="270">
        <f ca="1">INDEX(PrecioDur(fechaHoy,BG15,DATE("20"&amp;RIGHT(BD15,2),MID(BD15,7,2),1),MID(BD15,4,3)/10,2,365),1,2)</f>
        <v>3.8424549696469814</v>
      </c>
      <c r="BI15" s="243">
        <f>IFERROR(IFERROR(VLOOKUP(BD15,TransaccionesRF!$B:$O,12,0),VLOOKUP(BD15,'TransaccionesRFt-1'!$B:$O,12,0)), "N/A")</f>
        <v>3.84</v>
      </c>
      <c r="BJ15" s="114">
        <f t="shared" ca="1" si="5"/>
        <v>3.8400000522696214</v>
      </c>
      <c r="BK15" s="114">
        <f>IFERROR(VLOOKUP(BD15,TransaccionesRF!$B:$O,12,0),"N/A")</f>
        <v>3.84</v>
      </c>
      <c r="BL15" s="114">
        <f>IFERROR(VLOOKUP(BD15,'TransaccionesRFt-1'!$B:$O,12,0),"N/A")</f>
        <v>3.81</v>
      </c>
      <c r="BM15" s="114">
        <f t="shared" si="6"/>
        <v>2.9999999999999805E-2</v>
      </c>
      <c r="BN15" s="114">
        <f ca="1">+tirValorizador($C$1,$BD15,Zero_swap_CL!$L$2:$M$18,"PG")</f>
        <v>3.5558147360343191</v>
      </c>
      <c r="BP15" s="179" t="s">
        <v>50</v>
      </c>
      <c r="BQ15" s="493" t="s">
        <v>65</v>
      </c>
      <c r="BR15" s="243">
        <f t="shared" ca="1" si="26"/>
        <v>-4.6459912695457836E-9</v>
      </c>
      <c r="BS15" s="270">
        <f ca="1">INDEX(PrecioDur(fechaHoy,BR15,DATE("20"&amp;RIGHT(BQ15,2),MID(BQ15,7,2),1),MID(BQ15,4,3)/10,2,365),1,2)</f>
        <v>2.5736709816535468</v>
      </c>
      <c r="BT15" s="243">
        <f t="shared" ca="1" si="7"/>
        <v>-4.6459912695457836E-9</v>
      </c>
      <c r="BU15" s="243" t="str">
        <f t="shared" si="8"/>
        <v>N/A</v>
      </c>
      <c r="BV15" s="243">
        <f>IFERROR(IFERROR(VLOOKUP(BQ15,TransaccionesRF!$B:$O,12,0),VLOOKUP(BQ15,'TransaccionesRFt-1'!$B:$O,12,0)),"N/A")</f>
        <v>1.06</v>
      </c>
      <c r="BW15" s="114">
        <f t="shared" ca="1" si="9"/>
        <v>1.0600000046459914</v>
      </c>
      <c r="BX15" s="114">
        <f>IFERROR(VLOOKUP(BQ15,TransaccionesRF!$B:$O,12,0),"N/A")</f>
        <v>1.06</v>
      </c>
      <c r="BY15" s="114" t="str">
        <f>IFERROR(VLOOKUP(BQ15,'TransaccionesRFt-1'!$B:$O,12,0),"N/A")</f>
        <v>N/A</v>
      </c>
      <c r="BZ15" s="114" t="str">
        <f t="shared" si="10"/>
        <v>N/A</v>
      </c>
      <c r="CA15" s="99" t="str">
        <f t="shared" si="11"/>
        <v>N/A</v>
      </c>
      <c r="CB15" s="130">
        <f t="shared" ca="1" si="12"/>
        <v>0</v>
      </c>
      <c r="CC15" s="130">
        <f ca="1">+tirValorizador($C$1,$BQ15,Zero_swap_CL!$L$23:$M$39,"PG")</f>
        <v>0.54894978482306001</v>
      </c>
      <c r="CD15" s="130">
        <f t="shared" ca="1" si="13"/>
        <v>2.7280912525100129</v>
      </c>
      <c r="CE15" s="130">
        <f t="shared" ca="1" si="29"/>
        <v>7.7210129449606479E-2</v>
      </c>
      <c r="CF15" s="130">
        <f t="shared" ca="1" si="14"/>
        <v>0.39794317481895991</v>
      </c>
      <c r="CG15" s="130" t="str">
        <f t="shared" ca="1" si="15"/>
        <v>N/A</v>
      </c>
      <c r="CH15" s="130" t="str">
        <f t="shared" ca="1" si="16"/>
        <v>N/A</v>
      </c>
      <c r="CI15" s="130">
        <f t="shared" ca="1" si="17"/>
        <v>0.38104543359116505</v>
      </c>
      <c r="CJ15" s="130">
        <f t="shared" ca="1" si="18"/>
        <v>0.15937876692449837</v>
      </c>
      <c r="CK15" s="130">
        <f t="shared" ca="1" si="19"/>
        <v>6.1926628563103971E-2</v>
      </c>
      <c r="CL15" s="130">
        <f t="shared" ca="1" si="20"/>
        <v>2.8874700194345113</v>
      </c>
      <c r="CM15" s="115"/>
      <c r="CN15" s="179" t="str">
        <f t="shared" si="21"/>
        <v>PESO-04</v>
      </c>
      <c r="CO15" s="179" t="str">
        <f t="shared" si="22"/>
        <v>BCP0600221</v>
      </c>
      <c r="CP15" s="115"/>
      <c r="CQ15" s="179" t="str">
        <f t="shared" si="23"/>
        <v>UF-03</v>
      </c>
      <c r="CR15" s="247" t="str">
        <f t="shared" si="24"/>
        <v>BTU0300719</v>
      </c>
    </row>
    <row r="16" spans="1:96" s="115" customFormat="1" ht="19.5" thickBot="1">
      <c r="A16" s="135" t="s">
        <v>125</v>
      </c>
      <c r="B16" s="30" t="s">
        <v>49</v>
      </c>
      <c r="C16" s="136">
        <f>_xll.BDP(A16,"PX_LAST")</f>
        <v>1.08</v>
      </c>
      <c r="D16" s="159">
        <v>2</v>
      </c>
      <c r="E16" s="31"/>
      <c r="F16" s="57">
        <f ca="1">AVERAGEIFS($BR:$BR,$BP:$BP,$B16,$BO:$BO,"Punta")</f>
        <v>-6.2252966071484582E-10</v>
      </c>
      <c r="G16" s="32">
        <f ca="1">+C16%*($C$3/12)+$C$4/100</f>
        <v>1.4069515557028463E-2</v>
      </c>
      <c r="H16" s="37">
        <f ca="1">-(D16-$D$2)*(F16-C16)*1/100</f>
        <v>1.8000000010375494E-2</v>
      </c>
      <c r="I16" s="39">
        <f t="shared" ca="1" si="38"/>
        <v>3.2069515567403957E-2</v>
      </c>
      <c r="K16" s="115" t="s">
        <v>49</v>
      </c>
      <c r="L16" s="61">
        <f t="shared" si="33"/>
        <v>1.0800000000000001E-2</v>
      </c>
      <c r="M16" s="102">
        <f t="shared" si="34"/>
        <v>2</v>
      </c>
      <c r="N16" s="133">
        <f>+E13</f>
        <v>0</v>
      </c>
      <c r="O16" s="61">
        <f t="shared" ca="1" si="36"/>
        <v>-6.2252966071484583E-12</v>
      </c>
      <c r="R16" s="116">
        <f t="shared" ca="1" si="31"/>
        <v>42901</v>
      </c>
      <c r="S16" s="117">
        <f t="shared" si="32"/>
        <v>3.3000000000000003</v>
      </c>
      <c r="U16" s="564" t="s">
        <v>542</v>
      </c>
      <c r="V16" s="564"/>
      <c r="X16" s="564" t="s">
        <v>39</v>
      </c>
      <c r="Y16" s="564"/>
      <c r="AA16" s="564" t="s">
        <v>541</v>
      </c>
      <c r="AB16" s="564"/>
      <c r="AD16" s="564" t="s">
        <v>41</v>
      </c>
      <c r="AE16" s="564"/>
      <c r="AH16" s="118">
        <f t="shared" ca="1" si="39"/>
        <v>3.4684931506849317</v>
      </c>
      <c r="AI16" s="119">
        <f t="shared" ref="AI16:AI23" ca="1" si="40">EDATE(AI15,12)</f>
        <v>43936</v>
      </c>
      <c r="AJ16" s="120">
        <f t="shared" ca="1" si="25"/>
        <v>1266</v>
      </c>
      <c r="AK16" s="121">
        <f t="shared" si="0"/>
        <v>4.1749999999999998</v>
      </c>
      <c r="AQ16" s="122"/>
      <c r="AU16" s="125"/>
      <c r="AW16" s="123">
        <v>42064</v>
      </c>
      <c r="AX16" s="124">
        <f ca="1">IF(fechaHoy&gt;=siguienteHabil(EDATE(AW16,1)+8,-1),VLOOKUP(EDATE(AW16,1)-1,Inflation_FWD!$L:$M,2,0)/100,IFERROR(VLOOKUP(AW16,Inflation_FWD!$H:$I,2,0),0.25%))</f>
        <v>6.0000000000000001E-3</v>
      </c>
      <c r="AY16" s="104">
        <f ca="1">AX16</f>
        <v>6.0000000000000001E-3</v>
      </c>
      <c r="AZ16" s="125">
        <f t="shared" si="1"/>
        <v>42072</v>
      </c>
      <c r="BA16" s="102">
        <f t="shared" ca="1" si="28"/>
        <v>24553.118980895033</v>
      </c>
      <c r="BB16" s="215" t="s">
        <v>173</v>
      </c>
      <c r="BC16" s="179" t="s">
        <v>401</v>
      </c>
      <c r="BD16" s="558" t="s">
        <v>561</v>
      </c>
      <c r="BE16" s="99" t="str">
        <f t="shared" si="2"/>
        <v>321</v>
      </c>
      <c r="BF16" s="99" t="str">
        <f t="shared" si="3"/>
        <v>21</v>
      </c>
      <c r="BG16" s="243">
        <f t="shared" ca="1" si="4"/>
        <v>-6.086230572082893E-8</v>
      </c>
      <c r="BH16" s="270">
        <f ca="1">INDEX(PrecioDur(fechaHoy,BG16,DATE("20"&amp;RIGHT(BD16,2),MID(BD16,7,2),1),MID(BD16,4,3)/10,2,365),1,2)</f>
        <v>4.0084071456053554</v>
      </c>
      <c r="BI16" s="243">
        <f>IFERROR(IFERROR(VLOOKUP(BD16,TransaccionesRF!$B:$O,12,0),VLOOKUP(BD16,'TransaccionesRFt-1'!$B:$O,12,0)), "N/A")</f>
        <v>3.84</v>
      </c>
      <c r="BJ16" s="114">
        <f t="shared" ca="1" si="5"/>
        <v>3.8400000608623057</v>
      </c>
      <c r="BK16" s="114">
        <f>IFERROR(VLOOKUP(BD16,TransaccionesRF!$B:$O,12,0),"N/A")</f>
        <v>3.84</v>
      </c>
      <c r="BL16" s="114">
        <f>IFERROR(VLOOKUP(BD16,'TransaccionesRFt-1'!$B:$O,12,0),"N/A")</f>
        <v>3.81</v>
      </c>
      <c r="BM16" s="114">
        <f t="shared" si="6"/>
        <v>2.9999999999999805E-2</v>
      </c>
      <c r="BN16" s="114">
        <f ca="1">+tirValorizador($C$1,$BD16,Zero_swap_CL!$L$2:$M$18,"PG")</f>
        <v>3.5698611919377132</v>
      </c>
      <c r="BO16" s="23"/>
      <c r="BP16" s="179" t="s">
        <v>50</v>
      </c>
      <c r="BQ16" s="179" t="s">
        <v>66</v>
      </c>
      <c r="BR16" s="243">
        <f t="shared" ca="1" si="26"/>
        <v>-1.1453925758807965E-8</v>
      </c>
      <c r="BS16" s="270">
        <f ca="1">INDEX(PrecioDur(fechaHoy,BR16,DATE("20"&amp;RIGHT(BQ16,2),MID(BQ16,7,2),1),MID(BQ16,4,3)/10,2,365),1,2)</f>
        <v>3.0381206227079902</v>
      </c>
      <c r="BT16" s="243">
        <f t="shared" ca="1" si="7"/>
        <v>-1.1453925758807965E-8</v>
      </c>
      <c r="BU16" s="243">
        <f t="shared" si="8"/>
        <v>3.67</v>
      </c>
      <c r="BV16" s="243">
        <f>IFERROR(IFERROR(VLOOKUP(BQ16,TransaccionesRF!$B:$O,12,0),VLOOKUP(BQ16,'TransaccionesRFt-1'!$B:$O,12,0)),"N/A")</f>
        <v>1.05</v>
      </c>
      <c r="BW16" s="114">
        <f t="shared" ca="1" si="9"/>
        <v>1.0500000114539259</v>
      </c>
      <c r="BX16" s="114">
        <f>IFERROR(VLOOKUP(BQ16,TransaccionesRF!$B:$O,12,0),"N/A")</f>
        <v>1.05</v>
      </c>
      <c r="BY16" s="114">
        <f>IFERROR(VLOOKUP(BQ16,'TransaccionesRFt-1'!$B:$O,12,0),"N/A")</f>
        <v>1.03</v>
      </c>
      <c r="BZ16" s="114">
        <f t="shared" si="10"/>
        <v>2.0000000000000018E-2</v>
      </c>
      <c r="CA16" s="99">
        <f t="shared" si="11"/>
        <v>2.62</v>
      </c>
      <c r="CB16" s="130">
        <f t="shared" ca="1" si="12"/>
        <v>0</v>
      </c>
      <c r="CC16" s="130">
        <f ca="1">+tirValorizador($C$1,$BQ16,Zero_swap_CL!$L$23:$M$39,"PG")</f>
        <v>0.55930427940948801</v>
      </c>
      <c r="CD16" s="130">
        <f t="shared" ca="1" si="13"/>
        <v>3.1900266886417983</v>
      </c>
      <c r="CE16" s="130">
        <f t="shared" ca="1" si="29"/>
        <v>6.0762412454159857E-2</v>
      </c>
      <c r="CF16" s="130">
        <f t="shared" ca="1" si="14"/>
        <v>0.39794317481895991</v>
      </c>
      <c r="CG16" s="130">
        <f t="shared" ca="1" si="15"/>
        <v>0.17960984148562659</v>
      </c>
      <c r="CH16" s="130">
        <f t="shared" ca="1" si="16"/>
        <v>5.9118732858451692E-2</v>
      </c>
      <c r="CI16" s="130">
        <f t="shared" ca="1" si="17"/>
        <v>0.38104543359116505</v>
      </c>
      <c r="CJ16" s="130">
        <f t="shared" ca="1" si="18"/>
        <v>0.15854543359116507</v>
      </c>
      <c r="CK16" s="130">
        <f t="shared" ca="1" si="19"/>
        <v>5.2185364993786065E-2</v>
      </c>
      <c r="CL16" s="130">
        <f t="shared" ca="1" si="20"/>
        <v>3.3485721222329632</v>
      </c>
      <c r="CM16" s="23"/>
      <c r="CN16" s="179" t="str">
        <f t="shared" si="21"/>
        <v>PuntaPESO-05</v>
      </c>
      <c r="CO16" s="179" t="str">
        <f t="shared" si="22"/>
        <v>BTP0450321</v>
      </c>
      <c r="CP16" s="23"/>
      <c r="CQ16" s="179" t="str">
        <f t="shared" si="23"/>
        <v>UF-03</v>
      </c>
      <c r="CR16" s="247" t="str">
        <f t="shared" si="24"/>
        <v>BTU0300120</v>
      </c>
    </row>
    <row r="17" spans="1:96" ht="16.5" thickBot="1">
      <c r="A17" s="135" t="s">
        <v>126</v>
      </c>
      <c r="B17" s="35" t="s">
        <v>62</v>
      </c>
      <c r="C17" s="136">
        <f>_xll.BDP(A17,"PX_LAST")</f>
        <v>1.07</v>
      </c>
      <c r="D17" s="165">
        <v>4.72</v>
      </c>
      <c r="E17" s="36"/>
      <c r="F17" s="56">
        <f ca="1">AVERAGEIFS($BR:$BR,$BP:$BP,$B17,$BO:$BO,"Punta")</f>
        <v>-1.7894825090703295E-7</v>
      </c>
      <c r="G17" s="37">
        <f ca="1">+C17%*($C$3/12)+$C$4/100</f>
        <v>1.403618222369513E-2</v>
      </c>
      <c r="H17" s="37">
        <f t="shared" ca="1" si="37"/>
        <v>4.6937341183196611E-2</v>
      </c>
      <c r="I17" s="34">
        <f t="shared" ca="1" si="38"/>
        <v>6.0973523406891744E-2</v>
      </c>
      <c r="K17" s="23" t="s">
        <v>62</v>
      </c>
      <c r="L17" s="61">
        <f t="shared" si="33"/>
        <v>1.0700000000000001E-2</v>
      </c>
      <c r="M17" s="102">
        <f t="shared" si="34"/>
        <v>4.72</v>
      </c>
      <c r="N17" s="132">
        <f>+E14</f>
        <v>0</v>
      </c>
      <c r="O17" s="61">
        <f t="shared" ca="1" si="36"/>
        <v>-1.7894825090703296E-9</v>
      </c>
      <c r="R17" s="68">
        <f t="shared" ca="1" si="31"/>
        <v>42931</v>
      </c>
      <c r="S17" s="91">
        <f t="shared" si="32"/>
        <v>3.3000000000000003</v>
      </c>
      <c r="U17" s="565">
        <v>0.4</v>
      </c>
      <c r="V17" s="566"/>
      <c r="W17" s="79"/>
      <c r="X17" s="565">
        <v>0.5</v>
      </c>
      <c r="Y17" s="566"/>
      <c r="Z17" s="79"/>
      <c r="AA17" s="565">
        <v>0.1</v>
      </c>
      <c r="AB17" s="566"/>
      <c r="AD17" s="565">
        <v>0</v>
      </c>
      <c r="AE17" s="566"/>
      <c r="AH17" s="13">
        <f t="shared" ca="1" si="39"/>
        <v>4.4684931506849317</v>
      </c>
      <c r="AI17" s="20">
        <f t="shared" ca="1" si="40"/>
        <v>44301</v>
      </c>
      <c r="AJ17" s="16">
        <f t="shared" ca="1" si="25"/>
        <v>1631</v>
      </c>
      <c r="AK17" s="94">
        <f t="shared" si="0"/>
        <v>4.1749999999999998</v>
      </c>
      <c r="AQ17" s="97"/>
      <c r="AW17" s="103">
        <v>42095</v>
      </c>
      <c r="AX17" s="104">
        <f ca="1">IF(fechaHoy&gt;=siguienteHabil(EDATE(AW17,1)+8,-1),VLOOKUP(EDATE(AW17,1)-1,Inflation_FWD!$L:$M,2,0)/100,IFERROR(VLOOKUP(AW17,Inflation_FWD!$H:$I,2,0),0.25%))</f>
        <v>6.0000000000000001E-3</v>
      </c>
      <c r="AY17" s="104">
        <f t="shared" ref="AY17:AY25" ca="1" si="41">AX17</f>
        <v>6.0000000000000001E-3</v>
      </c>
      <c r="AZ17" s="100">
        <f t="shared" si="1"/>
        <v>42103</v>
      </c>
      <c r="BA17" s="102">
        <f t="shared" ca="1" si="28"/>
        <v>24651.331456818614</v>
      </c>
      <c r="BB17" s="215"/>
      <c r="BC17" s="179" t="s">
        <v>401</v>
      </c>
      <c r="BD17" s="179" t="s">
        <v>44</v>
      </c>
      <c r="BE17" s="99" t="str">
        <f t="shared" si="2"/>
        <v>N/A</v>
      </c>
      <c r="BF17" s="99" t="str">
        <f t="shared" si="3"/>
        <v>N/A</v>
      </c>
      <c r="BG17" s="243">
        <f t="shared" ca="1" si="4"/>
        <v>-1.5712462908675992E-7</v>
      </c>
      <c r="BH17" s="270">
        <f ca="1">INDEX(PrecioDur(fechaHoy,BG17,DATE("20"&amp;RIGHT(BD17,2),MID(BD17,7,2),1),MID(BD17,4,3)/10,2,365),1,2)</f>
        <v>4.5623648261319074</v>
      </c>
      <c r="BI17" s="243" t="str">
        <f>IFERROR(IFERROR(VLOOKUP(BD17,TransaccionesRF!$B:$O,12,0),VLOOKUP(BD17,'TransaccionesRFt-1'!$B:$O,12,0)), "N/A")</f>
        <v>N/A</v>
      </c>
      <c r="BJ17" s="114" t="str">
        <f t="shared" ca="1" si="5"/>
        <v>N/A</v>
      </c>
      <c r="BK17" s="114" t="str">
        <f>IFERROR(VLOOKUP(BD17,TransaccionesRF!$B:$O,12,0),"N/A")</f>
        <v>N/A</v>
      </c>
      <c r="BL17" s="114" t="str">
        <f>IFERROR(VLOOKUP(BD17,'TransaccionesRFt-1'!$B:$O,12,0),"N/A")</f>
        <v>N/A</v>
      </c>
      <c r="BM17" s="114" t="str">
        <f t="shared" si="6"/>
        <v>N/A</v>
      </c>
      <c r="BN17" s="114">
        <f ca="1">+tirValorizador($C$1,$BD17,Zero_swap_CL!$L$2:$M$18,"PG")</f>
        <v>3.6662407395280932</v>
      </c>
      <c r="BO17" s="115"/>
      <c r="BP17" s="179" t="s">
        <v>56</v>
      </c>
      <c r="BQ17" s="424" t="s">
        <v>68</v>
      </c>
      <c r="BR17" s="243">
        <f t="shared" ca="1" si="26"/>
        <v>-5.8104596898462743E-8</v>
      </c>
      <c r="BS17" s="270">
        <f ca="1">INDEX(PrecioDur(fechaHoy,BR17,DATE("20"&amp;RIGHT(BQ17,2),MID(BQ17,7,2),1),MID(BQ17,4,3)/10,2,365),1,2)</f>
        <v>4.0301369890029255</v>
      </c>
      <c r="BT17" s="243">
        <f t="shared" ca="1" si="7"/>
        <v>-5.8104596898462743E-8</v>
      </c>
      <c r="BU17" s="243">
        <f t="shared" si="8"/>
        <v>3.84</v>
      </c>
      <c r="BV17" s="243">
        <f>IFERROR(IFERROR(VLOOKUP(BQ17,TransaccionesRF!$B:$O,12,0),VLOOKUP(BQ17,'TransaccionesRFt-1'!$B:$O,12,0)),"N/A")</f>
        <v>1.02</v>
      </c>
      <c r="BW17" s="114">
        <f t="shared" ca="1" si="9"/>
        <v>1.0200000581045969</v>
      </c>
      <c r="BX17" s="114">
        <f>IFERROR(VLOOKUP(BQ17,TransaccionesRF!$B:$O,12,0),"N/A")</f>
        <v>1.02</v>
      </c>
      <c r="BY17" s="114">
        <f>IFERROR(VLOOKUP(BQ17,'TransaccionesRFt-1'!$B:$O,12,0),"N/A")</f>
        <v>1.02</v>
      </c>
      <c r="BZ17" s="114">
        <f t="shared" si="10"/>
        <v>0</v>
      </c>
      <c r="CA17" s="99">
        <f t="shared" si="11"/>
        <v>2.82</v>
      </c>
      <c r="CB17" s="130">
        <f t="shared" ca="1" si="12"/>
        <v>0</v>
      </c>
      <c r="CC17" s="130">
        <f ca="1">+tirValorizador($C$1,$BQ17,Zero_swap_CL!$L$23:$M$39,"PG")</f>
        <v>0.68074531152495099</v>
      </c>
      <c r="CD17" s="130">
        <f t="shared" ca="1" si="13"/>
        <v>4.1107399629524695</v>
      </c>
      <c r="CE17" s="130">
        <f t="shared" ca="1" si="29"/>
        <v>-4.030136989002929E-2</v>
      </c>
      <c r="CF17" s="130">
        <f t="shared" ca="1" si="14"/>
        <v>0.39794317481895991</v>
      </c>
      <c r="CG17" s="130">
        <f t="shared" ca="1" si="15"/>
        <v>0.16294317481895992</v>
      </c>
      <c r="CH17" s="130">
        <f t="shared" ca="1" si="16"/>
        <v>4.0431175233890206E-2</v>
      </c>
      <c r="CI17" s="130">
        <f t="shared" ca="1" si="17"/>
        <v>0.38104543359116505</v>
      </c>
      <c r="CJ17" s="130">
        <f t="shared" ca="1" si="18"/>
        <v>0.15604543359116507</v>
      </c>
      <c r="CK17" s="130">
        <f t="shared" ca="1" si="19"/>
        <v>3.8719635093538457E-2</v>
      </c>
      <c r="CL17" s="130">
        <f t="shared" ca="1" si="20"/>
        <v>4.2667853965436349</v>
      </c>
      <c r="CN17" s="179" t="str">
        <f t="shared" si="21"/>
        <v>PESO-05</v>
      </c>
      <c r="CO17" s="179" t="str">
        <f t="shared" si="22"/>
        <v>BTP0600122</v>
      </c>
      <c r="CQ17" s="179" t="str">
        <f t="shared" si="23"/>
        <v>UF-04</v>
      </c>
      <c r="CR17" s="247" t="str">
        <f t="shared" si="24"/>
        <v>BCU0300221</v>
      </c>
    </row>
    <row r="18" spans="1:96" ht="15.75" thickBot="1">
      <c r="A18" s="135" t="s">
        <v>127</v>
      </c>
      <c r="B18" s="30" t="s">
        <v>67</v>
      </c>
      <c r="C18" s="136">
        <f>_xll.BDP(A18,"PX_LAST")</f>
        <v>1.19</v>
      </c>
      <c r="D18" s="159">
        <v>6.26</v>
      </c>
      <c r="E18" s="31"/>
      <c r="F18" s="57">
        <f ca="1">AVERAGEIFS($BR:$BR,$BP:$BP,$B18,$BO:$BO,"Punta")</f>
        <v>-1.2805234316445868E-6</v>
      </c>
      <c r="G18" s="32">
        <f t="shared" ref="G18:G23" ca="1" si="42">+C18%*($C$3/12)+$C$4/100</f>
        <v>1.4436182223695131E-2</v>
      </c>
      <c r="H18" s="37">
        <f t="shared" ca="1" si="37"/>
        <v>7.0527409225688717E-2</v>
      </c>
      <c r="I18" s="39">
        <f t="shared" ca="1" si="38"/>
        <v>8.4963591449383841E-2</v>
      </c>
      <c r="K18" s="23" t="s">
        <v>67</v>
      </c>
      <c r="L18" s="61">
        <f t="shared" si="33"/>
        <v>1.1899999999999999E-2</v>
      </c>
      <c r="M18" s="102">
        <f t="shared" si="34"/>
        <v>6.26</v>
      </c>
      <c r="N18" s="134">
        <f>+E15</f>
        <v>0</v>
      </c>
      <c r="O18" s="61">
        <f t="shared" ca="1" si="36"/>
        <v>-1.2805234316445867E-8</v>
      </c>
      <c r="R18" s="68">
        <f t="shared" ca="1" si="31"/>
        <v>43023</v>
      </c>
      <c r="S18" s="91">
        <f t="shared" si="32"/>
        <v>3.3250000000000002</v>
      </c>
      <c r="U18" s="228"/>
      <c r="AH18" s="14">
        <f t="shared" ca="1" si="39"/>
        <v>5.4684931506849317</v>
      </c>
      <c r="AI18" s="80">
        <f t="shared" ca="1" si="40"/>
        <v>44666</v>
      </c>
      <c r="AJ18" s="17">
        <f t="shared" ca="1" si="25"/>
        <v>1996</v>
      </c>
      <c r="AK18" s="94">
        <f t="shared" si="0"/>
        <v>4.1749999999999998</v>
      </c>
      <c r="AQ18" s="97"/>
      <c r="AW18" s="103">
        <v>42125</v>
      </c>
      <c r="AX18" s="104">
        <f ca="1">IF(fechaHoy&gt;=siguienteHabil(EDATE(AW18,1)+8,-1),VLOOKUP(EDATE(AW18,1)-1,Inflation_FWD!$L:$M,2,0)/100,IFERROR(VLOOKUP(AW18,Inflation_FWD!$H:$I,2,0),0.25%))</f>
        <v>2E-3</v>
      </c>
      <c r="AY18" s="104">
        <f t="shared" ca="1" si="41"/>
        <v>2E-3</v>
      </c>
      <c r="AZ18" s="100">
        <f t="shared" si="1"/>
        <v>42133</v>
      </c>
      <c r="BA18" s="102">
        <f t="shared" ca="1" si="28"/>
        <v>24799.239445559528</v>
      </c>
      <c r="BB18" s="215"/>
      <c r="BC18" s="179" t="s">
        <v>402</v>
      </c>
      <c r="BD18" s="403" t="s">
        <v>89</v>
      </c>
      <c r="BE18" s="99" t="str">
        <f t="shared" si="2"/>
        <v>322</v>
      </c>
      <c r="BF18" s="99" t="str">
        <f t="shared" si="3"/>
        <v>22</v>
      </c>
      <c r="BG18" s="243">
        <f t="shared" ca="1" si="4"/>
        <v>-1.876091959727641E-7</v>
      </c>
      <c r="BH18" s="270">
        <f ca="1">INDEX(PrecioDur(fechaHoy,BG18,DATE("20"&amp;RIGHT(BD18,2),MID(BD18,7,2),1),MID(BD18,4,3)/10,2,365),1,2)</f>
        <v>4.7249974372863646</v>
      </c>
      <c r="BI18" s="243">
        <f>IFERROR(IFERROR(VLOOKUP(BD18,TransaccionesRF!$B:$O,12,0),VLOOKUP(BD18,'TransaccionesRFt-1'!$B:$O,12,0)), "N/A")</f>
        <v>3.85</v>
      </c>
      <c r="BJ18" s="114">
        <f t="shared" ca="1" si="5"/>
        <v>3.8500001876091963</v>
      </c>
      <c r="BK18" s="114">
        <f>IFERROR(VLOOKUP(BD18,TransaccionesRF!$B:$O,12,0),"N/A")</f>
        <v>3.85</v>
      </c>
      <c r="BL18" s="114">
        <f>IFERROR(VLOOKUP(BD18,'TransaccionesRFt-1'!$B:$O,12,0),"N/A")</f>
        <v>3.82</v>
      </c>
      <c r="BM18" s="114">
        <f t="shared" si="6"/>
        <v>3.0000000000000249E-2</v>
      </c>
      <c r="BN18" s="114">
        <f ca="1">+tirValorizador($C$1,$BD18,Zero_swap_CL!$L$2:$M$18,"PG")</f>
        <v>3.6793816466637019</v>
      </c>
      <c r="BO18" s="214"/>
      <c r="BP18" s="179" t="s">
        <v>62</v>
      </c>
      <c r="BQ18" s="493" t="s">
        <v>470</v>
      </c>
      <c r="BR18" s="243">
        <f t="shared" ca="1" si="26"/>
        <v>-6.8234020879050575E-8</v>
      </c>
      <c r="BS18" s="270">
        <f ca="1">INDEX(PrecioDur(fechaHoy,BR18,DATE("20"&amp;RIGHT(BQ18,2),MID(BQ18,7,2),1),MID(BQ18,4,3)/10,2,365),1,2)</f>
        <v>4.2187417823301763</v>
      </c>
      <c r="BT18" s="243">
        <f t="shared" ca="1" si="7"/>
        <v>-6.8234020879050575E-8</v>
      </c>
      <c r="BU18" s="243">
        <f t="shared" si="8"/>
        <v>3.84</v>
      </c>
      <c r="BV18" s="243">
        <f>IFERROR(IFERROR(VLOOKUP(BQ18,TransaccionesRF!$B:$O,12,0),VLOOKUP(BQ18,'TransaccionesRFt-1'!$B:$O,12,0)),"N/A")</f>
        <v>1.06</v>
      </c>
      <c r="BW18" s="114">
        <f t="shared" ca="1" si="9"/>
        <v>1.0600000682340209</v>
      </c>
      <c r="BX18" s="114">
        <f>IFERROR(VLOOKUP(BQ18,TransaccionesRF!$B:$O,12,0),"N/A")</f>
        <v>1.06</v>
      </c>
      <c r="BY18" s="114">
        <f>IFERROR(VLOOKUP(BQ18,'TransaccionesRFt-1'!$B:$O,12,0),"N/A")</f>
        <v>1.02</v>
      </c>
      <c r="BZ18" s="114">
        <f t="shared" si="10"/>
        <v>4.0000000000000036E-2</v>
      </c>
      <c r="CA18" s="99">
        <f t="shared" si="11"/>
        <v>2.78</v>
      </c>
      <c r="CB18" s="130">
        <f t="shared" ca="1" si="12"/>
        <v>0</v>
      </c>
      <c r="CC18" s="130">
        <f ca="1">+tirValorizador($C$1,$BQ18,Zero_swap_CL!$L$23:$M$39,"PG")</f>
        <v>0.69224123505963919</v>
      </c>
      <c r="CD18" s="130">
        <f t="shared" ca="1" si="13"/>
        <v>4.4718665771317019</v>
      </c>
      <c r="CE18" s="130">
        <f t="shared" ca="1" si="29"/>
        <v>0.12656225346990541</v>
      </c>
      <c r="CF18" s="130">
        <f t="shared" ca="1" si="14"/>
        <v>0.39794317481895991</v>
      </c>
      <c r="CG18" s="130">
        <f t="shared" ca="1" si="15"/>
        <v>0.16627650815229322</v>
      </c>
      <c r="CH18" s="130">
        <f t="shared" ca="1" si="16"/>
        <v>3.9413767595051101E-2</v>
      </c>
      <c r="CI18" s="130">
        <f t="shared" ca="1" si="17"/>
        <v>0.38104543359116505</v>
      </c>
      <c r="CJ18" s="130">
        <f t="shared" ca="1" si="18"/>
        <v>0.15937876692449837</v>
      </c>
      <c r="CK18" s="130">
        <f t="shared" ca="1" si="19"/>
        <v>3.7778744267317359E-2</v>
      </c>
      <c r="CL18" s="130">
        <f t="shared" ca="1" si="20"/>
        <v>4.6312453440562003</v>
      </c>
      <c r="CN18" s="179" t="str">
        <f t="shared" si="21"/>
        <v>PESO-07</v>
      </c>
      <c r="CO18" s="179" t="str">
        <f t="shared" si="22"/>
        <v>BCP0600322</v>
      </c>
      <c r="CQ18" s="179" t="str">
        <f t="shared" si="23"/>
        <v>UF-05</v>
      </c>
      <c r="CR18" s="247" t="str">
        <f t="shared" si="24"/>
        <v>BTU0150321</v>
      </c>
    </row>
    <row r="19" spans="1:96" ht="15.75" thickBot="1">
      <c r="A19" s="135" t="s">
        <v>128</v>
      </c>
      <c r="B19" s="35" t="s">
        <v>71</v>
      </c>
      <c r="C19" s="136">
        <f>_xll.BDP(A19,"PX_LAST")</f>
        <v>1.28</v>
      </c>
      <c r="D19" s="165">
        <v>7.34</v>
      </c>
      <c r="E19" s="36"/>
      <c r="F19" s="56">
        <f ca="1">AVERAGEIFS($BR:$BR,$BP:$BP,$B19,$BO:$BO,"Punta")</f>
        <v>-8.7857006537934252E-12</v>
      </c>
      <c r="G19" s="37">
        <f t="shared" ca="1" si="42"/>
        <v>1.4736182223695131E-2</v>
      </c>
      <c r="H19" s="37">
        <f t="shared" ca="1" si="37"/>
        <v>8.9685333333948916E-2</v>
      </c>
      <c r="I19" s="34">
        <f t="shared" ca="1" si="38"/>
        <v>0.10442151555764405</v>
      </c>
      <c r="K19" s="23" t="s">
        <v>71</v>
      </c>
      <c r="L19" s="61">
        <f t="shared" si="33"/>
        <v>1.2800000000000001E-2</v>
      </c>
      <c r="M19" s="102">
        <f t="shared" si="34"/>
        <v>7.34</v>
      </c>
      <c r="N19" s="59">
        <f>+E16</f>
        <v>0</v>
      </c>
      <c r="O19" s="61">
        <f t="shared" ca="1" si="36"/>
        <v>-8.7857006537934248E-14</v>
      </c>
      <c r="R19" s="68">
        <f t="shared" ca="1" si="31"/>
        <v>43115</v>
      </c>
      <c r="S19" s="91">
        <f t="shared" si="32"/>
        <v>3.35</v>
      </c>
      <c r="U19" s="70" t="s">
        <v>34</v>
      </c>
      <c r="X19" s="70" t="s">
        <v>34</v>
      </c>
      <c r="AA19" s="70" t="s">
        <v>34</v>
      </c>
      <c r="AD19" s="70" t="s">
        <v>34</v>
      </c>
      <c r="AH19" s="13">
        <f t="shared" ca="1" si="39"/>
        <v>6.4684931506849317</v>
      </c>
      <c r="AI19" s="20">
        <f t="shared" ca="1" si="40"/>
        <v>45031</v>
      </c>
      <c r="AJ19" s="16">
        <f t="shared" ca="1" si="25"/>
        <v>2361</v>
      </c>
      <c r="AK19" s="94">
        <f t="shared" si="0"/>
        <v>4.1749999999999998</v>
      </c>
      <c r="AQ19" s="97"/>
      <c r="AW19" s="103">
        <v>42156</v>
      </c>
      <c r="AX19" s="104">
        <f ca="1">IF(fechaHoy&gt;=siguienteHabil(EDATE(AW19,1)+8,-1),VLOOKUP(EDATE(AW19,1)-1,Inflation_FWD!$L:$M,2,0)/100,IFERROR(VLOOKUP(AW19,Inflation_FWD!$H:$I,2,0),0.25%))</f>
        <v>5.0000000000000001E-3</v>
      </c>
      <c r="AY19" s="104">
        <f t="shared" ca="1" si="41"/>
        <v>5.0000000000000001E-3</v>
      </c>
      <c r="AZ19" s="100">
        <f t="shared" si="1"/>
        <v>42164</v>
      </c>
      <c r="BA19" s="102">
        <f t="shared" ca="1" si="28"/>
        <v>24948.034882232885</v>
      </c>
      <c r="BB19" s="213" t="s">
        <v>173</v>
      </c>
      <c r="BC19" s="179" t="s">
        <v>402</v>
      </c>
      <c r="BD19" s="286" t="s">
        <v>43</v>
      </c>
      <c r="BE19" s="99" t="str">
        <f t="shared" si="2"/>
        <v>N/A</v>
      </c>
      <c r="BF19" s="99" t="str">
        <f t="shared" si="3"/>
        <v>N/A</v>
      </c>
      <c r="BG19" s="243">
        <f t="shared" ca="1" si="4"/>
        <v>-5.1118754367755065E-7</v>
      </c>
      <c r="BH19" s="270">
        <f ca="1">INDEX(PrecioDur(fechaHoy,BG19,DATE("20"&amp;RIGHT(BD19,2),MID(BD19,7,2),1),MID(BD19,4,3)/10,2,365),1,2)</f>
        <v>5.5036562955227328</v>
      </c>
      <c r="BI19" s="243" t="str">
        <f>IFERROR(IFERROR(VLOOKUP(BD19,TransaccionesRF!$B:$O,12,0),VLOOKUP(BD19,'TransaccionesRFt-1'!$B:$O,12,0)), "N/A")</f>
        <v>N/A</v>
      </c>
      <c r="BJ19" s="114" t="str">
        <f t="shared" ca="1" si="5"/>
        <v>N/A</v>
      </c>
      <c r="BK19" s="114" t="str">
        <f>IFERROR(VLOOKUP(BD19,TransaccionesRF!$B:$O,12,0),"N/A")</f>
        <v>N/A</v>
      </c>
      <c r="BL19" s="114" t="str">
        <f>IFERROR(VLOOKUP(BD19,'TransaccionesRFt-1'!$B:$O,12,0),"N/A")</f>
        <v>N/A</v>
      </c>
      <c r="BM19" s="114" t="str">
        <f t="shared" si="6"/>
        <v>N/A</v>
      </c>
      <c r="BN19" s="114">
        <f ca="1">+tirValorizador($C$1,$BD19,Zero_swap_CL!$L$2:$M$18,"PG")</f>
        <v>3.7758299039580385</v>
      </c>
      <c r="BO19" s="214" t="s">
        <v>173</v>
      </c>
      <c r="BP19" s="179" t="s">
        <v>62</v>
      </c>
      <c r="BQ19" s="179" t="s">
        <v>69</v>
      </c>
      <c r="BR19" s="243">
        <f t="shared" ca="1" si="26"/>
        <v>-1.7894825090703295E-7</v>
      </c>
      <c r="BS19" s="270">
        <f ca="1">INDEX(PrecioDur(fechaHoy,BR19,DATE("20"&amp;RIGHT(BQ19,2),MID(BQ19,7,2),1),MID(BQ19,4,3)/10,2,365),1,2)</f>
        <v>4.8289729073412273</v>
      </c>
      <c r="BT19" s="243">
        <f t="shared" ca="1" si="7"/>
        <v>-1.7894825090703295E-7</v>
      </c>
      <c r="BU19" s="243">
        <f t="shared" si="8"/>
        <v>3.85</v>
      </c>
      <c r="BV19" s="243" t="str">
        <f>IFERROR(IFERROR(VLOOKUP(BQ19,TransaccionesRF!$B:$O,12,0),VLOOKUP(BQ19,'TransaccionesRFt-1'!$B:$O,12,0)),"N/A")</f>
        <v>N/A</v>
      </c>
      <c r="BW19" s="114" t="str">
        <f t="shared" ca="1" si="9"/>
        <v>N/A</v>
      </c>
      <c r="BX19" s="114" t="str">
        <f>IFERROR(VLOOKUP(BQ19,TransaccionesRF!$B:$O,12,0),"N/A")</f>
        <v>N/A</v>
      </c>
      <c r="BY19" s="114" t="str">
        <f>IFERROR(VLOOKUP(BQ19,'TransaccionesRFt-1'!$B:$O,12,0),"N/A")</f>
        <v>N/A</v>
      </c>
      <c r="BZ19" s="114" t="str">
        <f t="shared" si="10"/>
        <v>N/A</v>
      </c>
      <c r="CA19" s="99" t="str">
        <f t="shared" si="11"/>
        <v>N/A</v>
      </c>
      <c r="CB19" s="130">
        <f t="shared" ca="1" si="12"/>
        <v>0</v>
      </c>
      <c r="CC19" s="130">
        <f ca="1">+tirValorizador($C$1,$BQ19,Zero_swap_CL!$L$23:$M$39,"PG")</f>
        <v>0.78873012433484357</v>
      </c>
      <c r="CD19" s="130" t="str">
        <f t="shared" ca="1" si="13"/>
        <v>N/A</v>
      </c>
      <c r="CE19" s="130" t="str">
        <f t="shared" ca="1" si="29"/>
        <v>N/A</v>
      </c>
      <c r="CF19" s="130">
        <f t="shared" ca="1" si="14"/>
        <v>0.39794317481895991</v>
      </c>
      <c r="CG19" s="130" t="str">
        <f t="shared" ca="1" si="15"/>
        <v>N/A</v>
      </c>
      <c r="CH19" s="130" t="str">
        <f t="shared" ca="1" si="16"/>
        <v>N/A</v>
      </c>
      <c r="CI19" s="130">
        <f t="shared" ca="1" si="17"/>
        <v>0.38104543359116505</v>
      </c>
      <c r="CJ19" s="130" t="str">
        <f t="shared" ca="1" si="18"/>
        <v>N/A</v>
      </c>
      <c r="CK19" s="130" t="str">
        <f t="shared" ca="1" si="19"/>
        <v>N/A</v>
      </c>
      <c r="CL19" s="130" t="str">
        <f t="shared" ca="1" si="20"/>
        <v>N/A</v>
      </c>
      <c r="CN19" s="179" t="str">
        <f t="shared" si="21"/>
        <v>PuntaPESO-07</v>
      </c>
      <c r="CO19" s="179" t="str">
        <f t="shared" si="22"/>
        <v>BCP0600323</v>
      </c>
      <c r="CQ19" s="179" t="str">
        <f t="shared" si="23"/>
        <v>PuntaUF-05</v>
      </c>
      <c r="CR19" s="247" t="str">
        <f t="shared" si="24"/>
        <v>BTU0300122</v>
      </c>
    </row>
    <row r="20" spans="1:96">
      <c r="B20" s="546" t="s">
        <v>565</v>
      </c>
      <c r="C20" s="543">
        <f>$C$16+E20/100</f>
        <v>2.0300000000000002</v>
      </c>
      <c r="D20" s="164">
        <f t="shared" ref="D20:D26" si="43">D16</f>
        <v>2</v>
      </c>
      <c r="E20" s="160">
        <v>95</v>
      </c>
      <c r="F20" s="151">
        <f ca="1">(E20/100)*$F$27+F16</f>
        <v>1.0164999993774704</v>
      </c>
      <c r="G20" s="545">
        <f t="shared" ca="1" si="42"/>
        <v>1.7236182223695131E-2</v>
      </c>
      <c r="H20" s="131">
        <f ca="1">-(D20-$D$2)*(F20-C20)*1/100</f>
        <v>1.6891666677042165E-2</v>
      </c>
      <c r="I20" s="153">
        <f t="shared" ca="1" si="38"/>
        <v>3.4127848900737293E-2</v>
      </c>
      <c r="K20" s="23" t="s">
        <v>117</v>
      </c>
      <c r="L20" s="61" t="e">
        <f t="shared" si="33"/>
        <v>#N/A</v>
      </c>
      <c r="M20" s="102" t="e">
        <f t="shared" si="34"/>
        <v>#N/A</v>
      </c>
      <c r="N20" s="59">
        <f>+E20</f>
        <v>95</v>
      </c>
      <c r="O20" s="61" t="e">
        <f t="shared" si="36"/>
        <v>#N/A</v>
      </c>
      <c r="R20" s="68">
        <f t="shared" ca="1" si="31"/>
        <v>43205</v>
      </c>
      <c r="S20" s="91">
        <f t="shared" si="32"/>
        <v>3.5750000000000002</v>
      </c>
      <c r="U20" s="291" t="str">
        <f>$R3</f>
        <v>Inf 2016</v>
      </c>
      <c r="V20" s="71">
        <v>3.2</v>
      </c>
      <c r="X20" s="87" t="str">
        <f>$R3</f>
        <v>Inf 2016</v>
      </c>
      <c r="Y20" s="71">
        <v>3.5</v>
      </c>
      <c r="AA20" s="87" t="str">
        <f>$R3</f>
        <v>Inf 2016</v>
      </c>
      <c r="AB20" s="71">
        <v>3.7</v>
      </c>
      <c r="AD20" s="87" t="str">
        <f>$R3</f>
        <v>Inf 2016</v>
      </c>
      <c r="AE20" s="71">
        <v>3.5</v>
      </c>
      <c r="AH20" s="13">
        <f t="shared" ca="1" si="39"/>
        <v>7.4712328767123291</v>
      </c>
      <c r="AI20" s="80">
        <f t="shared" ca="1" si="40"/>
        <v>45397</v>
      </c>
      <c r="AJ20" s="18">
        <f t="shared" ca="1" si="25"/>
        <v>2727</v>
      </c>
      <c r="AK20" s="94">
        <f t="shared" si="0"/>
        <v>4.1749999999999998</v>
      </c>
      <c r="AQ20" s="97"/>
      <c r="AW20" s="103">
        <v>42186</v>
      </c>
      <c r="AX20" s="104">
        <f ca="1">IF(fechaHoy&gt;=siguienteHabil(EDATE(AW20,1)+8,-1),VLOOKUP(EDATE(AW20,1)-1,Inflation_FWD!$L:$M,2,0)/100,IFERROR(VLOOKUP(AW20,Inflation_FWD!$H:$I,2,0),0.25%))</f>
        <v>4.0000000000000001E-3</v>
      </c>
      <c r="AY20" s="104">
        <f t="shared" ca="1" si="41"/>
        <v>4.0000000000000001E-3</v>
      </c>
      <c r="AZ20" s="100">
        <f t="shared" si="1"/>
        <v>42194</v>
      </c>
      <c r="BA20" s="102">
        <f t="shared" ca="1" si="28"/>
        <v>24997.93095199735</v>
      </c>
      <c r="BB20" s="214"/>
      <c r="BC20" s="179" t="s">
        <v>402</v>
      </c>
      <c r="BD20" s="277" t="s">
        <v>90</v>
      </c>
      <c r="BE20" s="99" t="str">
        <f t="shared" si="2"/>
        <v>N/A</v>
      </c>
      <c r="BF20" s="99" t="str">
        <f t="shared" si="3"/>
        <v>N/A</v>
      </c>
      <c r="BG20" s="243">
        <f t="shared" ca="1" si="4"/>
        <v>-1.0695635974484682E-6</v>
      </c>
      <c r="BH20" s="270">
        <f ca="1">INDEX(PrecioDur(fechaHoy,BG20,DATE("20"&amp;RIGHT(BD20,2),MID(BD20,7,2),1),MID(BD20,4,3)/10,2,365),1,2)</f>
        <v>6.096362886320958</v>
      </c>
      <c r="BI20" s="243" t="str">
        <f>IFERROR(IFERROR(VLOOKUP(BD20,TransaccionesRF!$B:$O,12,0),VLOOKUP(BD20,'TransaccionesRFt-1'!$B:$O,12,0)), "N/A")</f>
        <v>N/A</v>
      </c>
      <c r="BJ20" s="114" t="str">
        <f t="shared" ca="1" si="5"/>
        <v>N/A</v>
      </c>
      <c r="BK20" s="114" t="str">
        <f>IFERROR(VLOOKUP(BD20,TransaccionesRF!$B:$O,12,0),"N/A")</f>
        <v>N/A</v>
      </c>
      <c r="BL20" s="114" t="str">
        <f>IFERROR(VLOOKUP(BD20,'TransaccionesRFt-1'!$B:$O,12,0),"N/A")</f>
        <v>N/A</v>
      </c>
      <c r="BM20" s="114" t="str">
        <f t="shared" si="6"/>
        <v>N/A</v>
      </c>
      <c r="BN20" s="114">
        <f ca="1">+tirValorizador($C$1,$BD20,Zero_swap_CL!$L$2:$M$18,"PG")</f>
        <v>3.8790756262227708</v>
      </c>
      <c r="BO20" s="214"/>
      <c r="BP20" s="179" t="s">
        <v>67</v>
      </c>
      <c r="BQ20" s="247" t="s">
        <v>70</v>
      </c>
      <c r="BR20" s="243">
        <f t="shared" ca="1" si="26"/>
        <v>-2.1453432783469922E-7</v>
      </c>
      <c r="BS20" s="270">
        <f ca="1">INDEX(PrecioDur(fechaHoy,BR20,DATE("20"&amp;RIGHT(BQ20,2),MID(BQ20,7,2),1),MID(BQ20,4,3)/10,2,365),1,2)</f>
        <v>4.9911811524949323</v>
      </c>
      <c r="BT20" s="243">
        <f t="shared" ca="1" si="7"/>
        <v>-2.1453432783469922E-7</v>
      </c>
      <c r="BU20" s="243">
        <f t="shared" si="8"/>
        <v>3.85</v>
      </c>
      <c r="BV20" s="243">
        <f>IFERROR(IFERROR(VLOOKUP(BQ20,TransaccionesRF!$B:$O,12,0),VLOOKUP(BQ20,'TransaccionesRFt-1'!$B:$O,12,0)),"N/A")</f>
        <v>1.03</v>
      </c>
      <c r="BW20" s="114">
        <f t="shared" ca="1" si="9"/>
        <v>1.0300002145343279</v>
      </c>
      <c r="BX20" s="114" t="str">
        <f>IFERROR(VLOOKUP(BQ20,TransaccionesRF!$B:$O,12,0),"N/A")</f>
        <v>N/A</v>
      </c>
      <c r="BY20" s="114">
        <f>IFERROR(VLOOKUP(BQ20,'TransaccionesRFt-1'!$B:$O,12,0),"N/A")</f>
        <v>1.03</v>
      </c>
      <c r="BZ20" s="114" t="str">
        <f t="shared" si="10"/>
        <v>N/A</v>
      </c>
      <c r="CA20" s="99">
        <f t="shared" si="11"/>
        <v>2.8200000000000003</v>
      </c>
      <c r="CB20" s="130">
        <f t="shared" ca="1" si="12"/>
        <v>0</v>
      </c>
      <c r="CC20" s="130">
        <f ca="1">+tirValorizador($C$1,$BQ20,Zero_swap_CL!$L$23:$M$39,"PG")</f>
        <v>0.80160411347993943</v>
      </c>
      <c r="CD20" s="130">
        <f t="shared" ca="1" si="13"/>
        <v>5.1409176578494744</v>
      </c>
      <c r="CE20" s="130">
        <f t="shared" ca="1" si="29"/>
        <v>0</v>
      </c>
      <c r="CF20" s="130">
        <f t="shared" ca="1" si="14"/>
        <v>0.39794317481895991</v>
      </c>
      <c r="CG20" s="130">
        <f t="shared" ca="1" si="15"/>
        <v>0.16294317481895987</v>
      </c>
      <c r="CH20" s="130">
        <f t="shared" ca="1" si="16"/>
        <v>3.2646215362772353E-2</v>
      </c>
      <c r="CI20" s="130">
        <f t="shared" ca="1" si="17"/>
        <v>0.38104543359116505</v>
      </c>
      <c r="CJ20" s="130">
        <f t="shared" ca="1" si="18"/>
        <v>0.15687876692449837</v>
      </c>
      <c r="CK20" s="130">
        <f t="shared" ca="1" si="19"/>
        <v>3.1431190760543661E-2</v>
      </c>
      <c r="CL20" s="130">
        <f t="shared" ca="1" si="20"/>
        <v>5.2977964247739724</v>
      </c>
      <c r="CN20" s="179" t="str">
        <f t="shared" si="21"/>
        <v>PESO-07</v>
      </c>
      <c r="CO20" s="179" t="str">
        <f t="shared" si="22"/>
        <v>BTP0600124</v>
      </c>
      <c r="CQ20" s="179" t="str">
        <f t="shared" si="23"/>
        <v>UF-07</v>
      </c>
      <c r="CR20" s="247" t="str">
        <f t="shared" si="24"/>
        <v>BCU0300322</v>
      </c>
    </row>
    <row r="21" spans="1:96">
      <c r="B21" s="547" t="s">
        <v>566</v>
      </c>
      <c r="C21" s="136">
        <f>$C$17+E21/100</f>
        <v>2.12</v>
      </c>
      <c r="D21" s="165">
        <f t="shared" si="43"/>
        <v>4.72</v>
      </c>
      <c r="E21" s="36">
        <v>105</v>
      </c>
      <c r="F21" s="56">
        <f ca="1">(E21/100)*F27+F17</f>
        <v>1.1234998210517493</v>
      </c>
      <c r="G21" s="37">
        <f t="shared" ca="1" si="42"/>
        <v>1.7536182223695129E-2</v>
      </c>
      <c r="H21" s="37">
        <f t="shared" ca="1" si="37"/>
        <v>4.3713141183196608E-2</v>
      </c>
      <c r="I21" s="34">
        <f t="shared" ca="1" si="38"/>
        <v>6.1249323406891737E-2</v>
      </c>
      <c r="K21" s="23" t="s">
        <v>118</v>
      </c>
      <c r="L21" s="61" t="e">
        <f t="shared" si="33"/>
        <v>#N/A</v>
      </c>
      <c r="M21" s="102" t="e">
        <f t="shared" si="34"/>
        <v>#N/A</v>
      </c>
      <c r="N21" s="59">
        <f>+E21</f>
        <v>105</v>
      </c>
      <c r="O21" s="61" t="e">
        <f t="shared" si="36"/>
        <v>#N/A</v>
      </c>
      <c r="R21" s="68">
        <f t="shared" ca="1" si="31"/>
        <v>43570</v>
      </c>
      <c r="S21" s="91">
        <f t="shared" si="32"/>
        <v>3.9750000000000005</v>
      </c>
      <c r="U21" s="88" t="str">
        <f>$R4</f>
        <v>Inf 2017</v>
      </c>
      <c r="V21" s="72">
        <v>2.5</v>
      </c>
      <c r="X21" s="88" t="str">
        <f>$R4</f>
        <v>Inf 2017</v>
      </c>
      <c r="Y21" s="81">
        <v>3</v>
      </c>
      <c r="AA21" s="88" t="str">
        <f>$R4</f>
        <v>Inf 2017</v>
      </c>
      <c r="AB21" s="72">
        <v>3.5</v>
      </c>
      <c r="AD21" s="88" t="str">
        <f>$R4</f>
        <v>Inf 2017</v>
      </c>
      <c r="AE21" s="72">
        <v>3.5</v>
      </c>
      <c r="AH21" s="13">
        <f t="shared" ca="1" si="39"/>
        <v>8.4712328767123282</v>
      </c>
      <c r="AI21" s="20">
        <f t="shared" ca="1" si="40"/>
        <v>45762</v>
      </c>
      <c r="AJ21" s="16">
        <f t="shared" ca="1" si="25"/>
        <v>3092</v>
      </c>
      <c r="AK21" s="94">
        <f t="shared" si="0"/>
        <v>4.1749999999999998</v>
      </c>
      <c r="AQ21" s="97"/>
      <c r="AW21" s="103">
        <v>42217</v>
      </c>
      <c r="AX21" s="104">
        <f ca="1">IF(fechaHoy&gt;=siguienteHabil(EDATE(AW21,1)+8,-1),VLOOKUP(EDATE(AW21,1)-1,Inflation_FWD!$L:$M,2,0)/100,IFERROR(VLOOKUP(AW21,Inflation_FWD!$H:$I,2,0),0.25%))</f>
        <v>6.9999999999999993E-3</v>
      </c>
      <c r="AY21" s="104">
        <f t="shared" ca="1" si="41"/>
        <v>6.9999999999999993E-3</v>
      </c>
      <c r="AZ21" s="100">
        <f t="shared" si="1"/>
        <v>42225</v>
      </c>
      <c r="BA21" s="102">
        <f t="shared" ca="1" si="28"/>
        <v>25122.920606757336</v>
      </c>
      <c r="BB21" s="214" t="s">
        <v>173</v>
      </c>
      <c r="BC21" s="179" t="s">
        <v>403</v>
      </c>
      <c r="BD21" s="464" t="s">
        <v>397</v>
      </c>
      <c r="BE21" s="99" t="str">
        <f t="shared" si="2"/>
        <v>326</v>
      </c>
      <c r="BF21" s="99" t="str">
        <f t="shared" si="3"/>
        <v>26</v>
      </c>
      <c r="BG21" s="243">
        <f t="shared" ca="1" si="4"/>
        <v>-1.6981102006989992E-12</v>
      </c>
      <c r="BH21" s="270">
        <f ca="1">INDEX(PrecioDur(fechaHoy,BG21,DATE("20"&amp;RIGHT(BD21,2),MID(BD21,7,2),1),MID(BD21,4,3)/10,2,365),1,2)</f>
        <v>8.0000287887150723</v>
      </c>
      <c r="BI21" s="243">
        <f>IFERROR(IFERROR(VLOOKUP(BD21,TransaccionesRF!$B:$O,12,0),VLOOKUP(BD21,'TransaccionesRFt-1'!$B:$O,12,0)), "N/A")</f>
        <v>4.1900000000000004</v>
      </c>
      <c r="BJ21" s="114">
        <f t="shared" ca="1" si="5"/>
        <v>4.1900000000016986</v>
      </c>
      <c r="BK21" s="114">
        <f>IFERROR(VLOOKUP(BD21,TransaccionesRF!$B:$O,12,0),"N/A")</f>
        <v>4.1900000000000004</v>
      </c>
      <c r="BL21" s="114">
        <f>IFERROR(VLOOKUP(BD21,'TransaccionesRFt-1'!$B:$O,12,0),"N/A")</f>
        <v>4.18</v>
      </c>
      <c r="BM21" s="114">
        <f t="shared" si="6"/>
        <v>1.0000000000000675E-2</v>
      </c>
      <c r="BN21" s="114">
        <f ca="1">+tirValorizador($C$1,$BD21,Zero_swap_CL!$L$2:$M$18,"PG")</f>
        <v>4.0837906725017667</v>
      </c>
      <c r="BP21" s="179" t="s">
        <v>67</v>
      </c>
      <c r="BQ21" s="179" t="s">
        <v>72</v>
      </c>
      <c r="BR21" s="243">
        <f t="shared" ca="1" si="26"/>
        <v>-3.3190810133859952E-7</v>
      </c>
      <c r="BS21" s="270">
        <f ca="1">INDEX(PrecioDur(fechaHoy,BR21,DATE("20"&amp;RIGHT(BQ21,2),MID(BQ21,7,2),1),MID(BQ21,4,3)/10,2,365),1,2)</f>
        <v>5.213909402350958</v>
      </c>
      <c r="BT21" s="243">
        <f t="shared" ca="1" si="7"/>
        <v>-3.3190810133859952E-7</v>
      </c>
      <c r="BU21" s="243">
        <f t="shared" si="8"/>
        <v>3.85</v>
      </c>
      <c r="BV21" s="243" t="str">
        <f>IFERROR(IFERROR(VLOOKUP(BQ21,TransaccionesRF!$B:$O,12,0),VLOOKUP(BQ21,'TransaccionesRFt-1'!$B:$O,12,0)),"N/A")</f>
        <v>N/A</v>
      </c>
      <c r="BW21" s="114" t="str">
        <f t="shared" ca="1" si="9"/>
        <v>N/A</v>
      </c>
      <c r="BX21" s="114" t="str">
        <f>IFERROR(VLOOKUP(BQ21,TransaccionesRF!$B:$O,12,0),"N/A")</f>
        <v>N/A</v>
      </c>
      <c r="BY21" s="114" t="str">
        <f>IFERROR(VLOOKUP(BQ21,'TransaccionesRFt-1'!$B:$O,12,0),"N/A")</f>
        <v>N/A</v>
      </c>
      <c r="BZ21" s="114" t="str">
        <f t="shared" si="10"/>
        <v>N/A</v>
      </c>
      <c r="CA21" s="99" t="str">
        <f t="shared" si="11"/>
        <v>N/A</v>
      </c>
      <c r="CB21" s="130">
        <f t="shared" ca="1" si="12"/>
        <v>0</v>
      </c>
      <c r="CC21" s="130">
        <f ca="1">+tirValorizador($C$1,$BQ21,Zero_swap_CL!$L$23:$M$39,"PG")</f>
        <v>0.83405894289102467</v>
      </c>
      <c r="CD21" s="130" t="str">
        <f t="shared" ca="1" si="13"/>
        <v>N/A</v>
      </c>
      <c r="CE21" s="130"/>
      <c r="CF21" s="130">
        <f t="shared" ca="1" si="14"/>
        <v>0.39794317481895991</v>
      </c>
      <c r="CG21" s="130" t="str">
        <f t="shared" ca="1" si="15"/>
        <v>N/A</v>
      </c>
      <c r="CH21" s="130" t="str">
        <f t="shared" ca="1" si="16"/>
        <v>N/A</v>
      </c>
      <c r="CI21" s="130">
        <f t="shared" ca="1" si="17"/>
        <v>0.38104543359116505</v>
      </c>
      <c r="CJ21" s="130" t="str">
        <f t="shared" ca="1" si="18"/>
        <v>N/A</v>
      </c>
      <c r="CK21" s="130" t="str">
        <f t="shared" ca="1" si="19"/>
        <v>N/A</v>
      </c>
      <c r="CL21" s="130" t="str">
        <f t="shared" ca="1" si="20"/>
        <v>N/A</v>
      </c>
      <c r="CN21" s="179" t="str">
        <f t="shared" si="21"/>
        <v>PuntaPESO-10</v>
      </c>
      <c r="CO21" s="179" t="str">
        <f t="shared" si="22"/>
        <v>BTP0450326</v>
      </c>
      <c r="CQ21" s="179" t="str">
        <f t="shared" si="23"/>
        <v>UF-07</v>
      </c>
      <c r="CR21" s="247" t="str">
        <f t="shared" si="24"/>
        <v>BCU0500922</v>
      </c>
    </row>
    <row r="22" spans="1:96" ht="15.75" thickBot="1">
      <c r="B22" s="548" t="s">
        <v>567</v>
      </c>
      <c r="C22" s="136">
        <f>$C$18+E22/100</f>
        <v>2.34</v>
      </c>
      <c r="D22" s="159">
        <f t="shared" si="43"/>
        <v>6.26</v>
      </c>
      <c r="E22" s="31">
        <v>115</v>
      </c>
      <c r="F22" s="57">
        <f ca="1">(E22/100)*F27+F18</f>
        <v>1.2304987194765682</v>
      </c>
      <c r="G22" s="32">
        <f t="shared" ca="1" si="42"/>
        <v>1.8269515557028462E-2</v>
      </c>
      <c r="H22" s="37">
        <f t="shared" ca="1" si="37"/>
        <v>6.5756442559022049E-2</v>
      </c>
      <c r="I22" s="39">
        <f t="shared" ca="1" si="38"/>
        <v>8.4025958116050514E-2</v>
      </c>
      <c r="K22" s="23" t="s">
        <v>120</v>
      </c>
      <c r="L22" s="61" t="e">
        <f t="shared" si="33"/>
        <v>#N/A</v>
      </c>
      <c r="M22" s="102" t="e">
        <f t="shared" si="34"/>
        <v>#N/A</v>
      </c>
      <c r="N22" s="59">
        <f>+E22</f>
        <v>115</v>
      </c>
      <c r="O22" s="61" t="e">
        <f t="shared" si="36"/>
        <v>#N/A</v>
      </c>
      <c r="R22" s="68">
        <f t="shared" ca="1" si="31"/>
        <v>43936</v>
      </c>
      <c r="S22" s="91">
        <f t="shared" si="32"/>
        <v>4.1749999999999998</v>
      </c>
      <c r="U22" s="89" t="str">
        <f>$R5</f>
        <v>Inf 2018+</v>
      </c>
      <c r="V22" s="78">
        <v>2.9</v>
      </c>
      <c r="X22" s="89" t="str">
        <f>$R5</f>
        <v>Inf 2018+</v>
      </c>
      <c r="Y22" s="78">
        <v>3</v>
      </c>
      <c r="AA22" s="89" t="str">
        <f>$R5</f>
        <v>Inf 2018+</v>
      </c>
      <c r="AB22" s="78">
        <v>3.1</v>
      </c>
      <c r="AD22" s="89" t="str">
        <f>$R5</f>
        <v>Inf 2018+</v>
      </c>
      <c r="AE22" s="78">
        <v>3.2</v>
      </c>
      <c r="AH22" s="13">
        <f t="shared" ca="1" si="39"/>
        <v>9.4712328767123282</v>
      </c>
      <c r="AI22" s="80">
        <f t="shared" ca="1" si="40"/>
        <v>46127</v>
      </c>
      <c r="AJ22" s="18">
        <f t="shared" ca="1" si="25"/>
        <v>3457</v>
      </c>
      <c r="AK22" s="94">
        <f t="shared" si="0"/>
        <v>4.1749999999999998</v>
      </c>
      <c r="AQ22" s="97"/>
      <c r="AW22" s="103">
        <v>42248</v>
      </c>
      <c r="AX22" s="104">
        <f ca="1">IF(fechaHoy&gt;=siguienteHabil(EDATE(AW22,1)+8,-1),VLOOKUP(EDATE(AW22,1)-1,Inflation_FWD!$L:$M,2,0)/100,IFERROR(VLOOKUP(AW22,Inflation_FWD!$H:$I,2,0),0.25%))</f>
        <v>5.0000000000000001E-3</v>
      </c>
      <c r="AY22" s="104">
        <f t="shared" ca="1" si="41"/>
        <v>5.0000000000000001E-3</v>
      </c>
      <c r="AZ22" s="100">
        <f t="shared" si="1"/>
        <v>42256</v>
      </c>
      <c r="BA22" s="102">
        <f t="shared" ca="1" si="28"/>
        <v>25223.412289184365</v>
      </c>
      <c r="BB22" s="214"/>
      <c r="BC22" s="179" t="s">
        <v>403</v>
      </c>
      <c r="BD22" s="463" t="s">
        <v>91</v>
      </c>
      <c r="BE22" s="99" t="str">
        <f t="shared" si="2"/>
        <v>N/A</v>
      </c>
      <c r="BF22" s="99" t="str">
        <f t="shared" si="3"/>
        <v>N/A</v>
      </c>
      <c r="BG22" s="243">
        <f t="shared" ca="1" si="4"/>
        <v>-8.6812937029757519E-10</v>
      </c>
      <c r="BH22" s="270">
        <f ca="1">INDEX(PrecioDur(fechaHoy,BG22,DATE("20"&amp;RIGHT(BD22,2),MID(BD22,7,2),1),MID(BD22,4,3)/10,2,365),1,2)</f>
        <v>11.572176875883034</v>
      </c>
      <c r="BI22" s="243" t="str">
        <f>IFERROR(IFERROR(VLOOKUP(BD22,TransaccionesRF!$B:$O,12,0),VLOOKUP(BD22,'TransaccionesRFt-1'!$B:$O,12,0)), "N/A")</f>
        <v>N/A</v>
      </c>
      <c r="BJ22" s="114" t="str">
        <f t="shared" ca="1" si="5"/>
        <v>N/A</v>
      </c>
      <c r="BK22" s="114" t="str">
        <f>IFERROR(VLOOKUP(BD22,TransaccionesRF!$B:$O,12,0),"N/A")</f>
        <v>N/A</v>
      </c>
      <c r="BL22" s="114" t="str">
        <f>IFERROR(VLOOKUP(BD22,'TransaccionesRFt-1'!$B:$O,12,0),"N/A")</f>
        <v>N/A</v>
      </c>
      <c r="BM22" s="114" t="str">
        <f t="shared" si="6"/>
        <v>N/A</v>
      </c>
      <c r="BN22" s="114">
        <f ca="1">+tirValorizador($C$1,$BD22,Zero_swap_CL!$L$2:$M$18,"PG")</f>
        <v>4.269475567477552</v>
      </c>
      <c r="BP22" s="179" t="s">
        <v>67</v>
      </c>
      <c r="BQ22" s="247" t="s">
        <v>73</v>
      </c>
      <c r="BR22" s="243">
        <f t="shared" ca="1" si="26"/>
        <v>-5.9957409350754054E-7</v>
      </c>
      <c r="BS22" s="270">
        <f ca="1">INDEX(PrecioDur(fechaHoy,BR22,DATE("20"&amp;RIGHT(BQ22,2),MID(BQ22,7,2),1),MID(BQ22,4,3)/10,2,365),1,2)</f>
        <v>5.8557689460012741</v>
      </c>
      <c r="BT22" s="243">
        <f t="shared" ca="1" si="7"/>
        <v>-5.9957409350754054E-7</v>
      </c>
      <c r="BU22" s="243" t="str">
        <f t="shared" si="8"/>
        <v>N/A</v>
      </c>
      <c r="BV22" s="243" t="str">
        <f>IFERROR(IFERROR(VLOOKUP(BQ22,TransaccionesRF!$B:$O,12,0),VLOOKUP(BQ22,'TransaccionesRFt-1'!$B:$O,12,0)),"N/A")</f>
        <v>N/A</v>
      </c>
      <c r="BW22" s="114" t="str">
        <f t="shared" ca="1" si="9"/>
        <v>N/A</v>
      </c>
      <c r="BX22" s="114" t="str">
        <f>IFERROR(VLOOKUP(BQ22,TransaccionesRF!$B:$O,12,0),"N/A")</f>
        <v>N/A</v>
      </c>
      <c r="BY22" s="114" t="str">
        <f>IFERROR(VLOOKUP(BQ22,'TransaccionesRFt-1'!$B:$O,12,0),"N/A")</f>
        <v>N/A</v>
      </c>
      <c r="BZ22" s="114" t="str">
        <f t="shared" si="10"/>
        <v>N/A</v>
      </c>
      <c r="CA22" s="99" t="str">
        <f t="shared" si="11"/>
        <v>N/A</v>
      </c>
      <c r="CB22" s="130">
        <f t="shared" ca="1" si="12"/>
        <v>0</v>
      </c>
      <c r="CC22" s="130">
        <f ca="1">+tirValorizador($C$1,$BQ22,Zero_swap_CL!$L$23:$M$39,"PG")</f>
        <v>0.88023439229105516</v>
      </c>
      <c r="CD22" s="130" t="str">
        <f t="shared" ca="1" si="13"/>
        <v>N/A</v>
      </c>
      <c r="CE22" s="130"/>
      <c r="CF22" s="130">
        <f t="shared" ca="1" si="14"/>
        <v>0.39794317481895991</v>
      </c>
      <c r="CG22" s="130" t="str">
        <f t="shared" ca="1" si="15"/>
        <v>N/A</v>
      </c>
      <c r="CH22" s="130" t="str">
        <f t="shared" ca="1" si="16"/>
        <v>N/A</v>
      </c>
      <c r="CI22" s="130">
        <f t="shared" ca="1" si="17"/>
        <v>0.38104543359116505</v>
      </c>
      <c r="CJ22" s="130" t="str">
        <f t="shared" ca="1" si="18"/>
        <v>N/A</v>
      </c>
      <c r="CK22" s="130" t="str">
        <f t="shared" ca="1" si="19"/>
        <v>N/A</v>
      </c>
      <c r="CL22" s="130" t="str">
        <f t="shared" ca="1" si="20"/>
        <v>N/A</v>
      </c>
      <c r="CN22" s="179" t="str">
        <f t="shared" si="21"/>
        <v>PESO-10</v>
      </c>
      <c r="CO22" s="179" t="str">
        <f t="shared" si="22"/>
        <v>BTP0600132</v>
      </c>
      <c r="CQ22" s="179" t="str">
        <f t="shared" si="23"/>
        <v>UF-07</v>
      </c>
      <c r="CR22" s="247" t="str">
        <f t="shared" si="24"/>
        <v>BCU0300323</v>
      </c>
    </row>
    <row r="23" spans="1:96" ht="15.75" thickBot="1">
      <c r="B23" s="549" t="s">
        <v>568</v>
      </c>
      <c r="C23" s="544">
        <f>$C$19+E23/100</f>
        <v>2.5300000000000002</v>
      </c>
      <c r="D23" s="166">
        <f t="shared" si="43"/>
        <v>7.34</v>
      </c>
      <c r="E23" s="161">
        <v>125</v>
      </c>
      <c r="F23" s="162">
        <f ca="1">(E23/100)*F27+F19</f>
        <v>1.3374999999912145</v>
      </c>
      <c r="G23" s="155">
        <f t="shared" ca="1" si="42"/>
        <v>1.8902848890361798E-2</v>
      </c>
      <c r="H23" s="155">
        <f t="shared" ca="1" si="37"/>
        <v>8.3554500000615595E-2</v>
      </c>
      <c r="I23" s="163">
        <f t="shared" ca="1" si="38"/>
        <v>0.10245734889097739</v>
      </c>
      <c r="K23" s="23" t="s">
        <v>119</v>
      </c>
      <c r="L23" s="61" t="e">
        <f t="shared" si="33"/>
        <v>#N/A</v>
      </c>
      <c r="M23" s="102" t="e">
        <f t="shared" si="34"/>
        <v>#N/A</v>
      </c>
      <c r="N23" s="59">
        <f>+E23</f>
        <v>125</v>
      </c>
      <c r="O23" s="61" t="e">
        <f t="shared" si="36"/>
        <v>#N/A</v>
      </c>
      <c r="R23" s="68">
        <f t="shared" ca="1" si="31"/>
        <v>44301</v>
      </c>
      <c r="S23" s="91">
        <f t="shared" si="32"/>
        <v>4.1749999999999998</v>
      </c>
      <c r="AH23" s="14">
        <f t="shared" ca="1" si="39"/>
        <v>10.471232876712328</v>
      </c>
      <c r="AI23" s="95">
        <f t="shared" ca="1" si="40"/>
        <v>46492</v>
      </c>
      <c r="AJ23" s="19">
        <f t="shared" ca="1" si="25"/>
        <v>3822</v>
      </c>
      <c r="AK23" s="96">
        <f t="shared" si="0"/>
        <v>4.1749999999999998</v>
      </c>
      <c r="AQ23" s="97"/>
      <c r="AW23" s="103">
        <v>42278</v>
      </c>
      <c r="AX23" s="104">
        <f ca="1">IF(fechaHoy&gt;=siguienteHabil(EDATE(AW23,1)+8,-1),VLOOKUP(EDATE(AW23,1)-1,Inflation_FWD!$L:$M,2,0)/100,IFERROR(VLOOKUP(AW23,Inflation_FWD!$H:$I,2,0),0.25%))</f>
        <v>4.0000000000000001E-3</v>
      </c>
      <c r="AY23" s="104">
        <f t="shared" ca="1" si="41"/>
        <v>4.0000000000000001E-3</v>
      </c>
      <c r="AZ23" s="100">
        <f t="shared" si="1"/>
        <v>42286</v>
      </c>
      <c r="BA23" s="102">
        <f t="shared" ca="1" si="28"/>
        <v>25399.976175208652</v>
      </c>
      <c r="BC23" s="179" t="s">
        <v>404</v>
      </c>
      <c r="BD23" s="278" t="s">
        <v>92</v>
      </c>
      <c r="BE23" s="99" t="str">
        <f t="shared" si="2"/>
        <v>N/A</v>
      </c>
      <c r="BF23" s="99" t="str">
        <f t="shared" si="3"/>
        <v>N/A</v>
      </c>
      <c r="BG23" s="243">
        <f t="shared" ca="1" si="4"/>
        <v>-4.6224042525219982E-9</v>
      </c>
      <c r="BH23" s="270">
        <f ca="1">INDEX(PrecioDur(fechaHoy,BG23,DATE("20"&amp;RIGHT(BD23,2),MID(BD23,7,2),1),MID(BD23,4,3)/10,2,365),1,2)</f>
        <v>12.834052791876754</v>
      </c>
      <c r="BI23" s="243" t="str">
        <f>IFERROR(IFERROR(VLOOKUP(BD23,TransaccionesRF!$B:$O,12,0),VLOOKUP(BD23,'TransaccionesRFt-1'!$B:$O,12,0)), "N/A")</f>
        <v>N/A</v>
      </c>
      <c r="BJ23" s="114" t="str">
        <f ca="1">IFERROR(BI23-BG23,"N/A")</f>
        <v>N/A</v>
      </c>
      <c r="BK23" s="114" t="str">
        <f>IFERROR(VLOOKUP(BD23,TransaccionesRF!$B:$O,12,0),"N/A")</f>
        <v>N/A</v>
      </c>
      <c r="BL23" s="114" t="str">
        <f>IFERROR(VLOOKUP(BD23,'TransaccionesRFt-1'!$B:$O,12,0),"N/A")</f>
        <v>N/A</v>
      </c>
      <c r="BM23" s="114" t="str">
        <f>IFERROR(BK23-BL23,"N/A")</f>
        <v>N/A</v>
      </c>
      <c r="BN23" s="114">
        <f ca="1">+tirValorizador($C$1,$BD23,Zero_swap_CL!$L$2:$M$18,"PG")</f>
        <v>4.3046167023130772</v>
      </c>
      <c r="BO23" s="214"/>
      <c r="BP23" s="179" t="s">
        <v>67</v>
      </c>
      <c r="BQ23" s="179" t="s">
        <v>74</v>
      </c>
      <c r="BR23" s="243">
        <f t="shared" ca="1" si="26"/>
        <v>-9.3936194908283283E-7</v>
      </c>
      <c r="BS23" s="270">
        <f ca="1">INDEX(PrecioDur(fechaHoy,BR23,DATE("20"&amp;RIGHT(BQ23,2),MID(BQ23,7,2),1),MID(BQ23,4,3)/10,2,365),1,2)</f>
        <v>6.1525444883965834</v>
      </c>
      <c r="BT23" s="243">
        <f t="shared" ca="1" si="7"/>
        <v>-9.3936194908283283E-7</v>
      </c>
      <c r="BU23" s="243" t="str">
        <f t="shared" si="8"/>
        <v>N/A</v>
      </c>
      <c r="BV23" s="243" t="str">
        <f>IFERROR(IFERROR(VLOOKUP(BQ23,TransaccionesRF!$B:$O,12,0),VLOOKUP(BQ23,'TransaccionesRFt-1'!$B:$O,12,0)),"N/A")</f>
        <v>N/A</v>
      </c>
      <c r="BW23" s="114" t="str">
        <f t="shared" ca="1" si="9"/>
        <v>N/A</v>
      </c>
      <c r="BX23" s="114" t="str">
        <f>IFERROR(VLOOKUP(BQ23,TransaccionesRF!$B:$O,12,0),"N/A")</f>
        <v>N/A</v>
      </c>
      <c r="BY23" s="114" t="str">
        <f>IFERROR(VLOOKUP(BQ23,'TransaccionesRFt-1'!$B:$O,12,0),"N/A")</f>
        <v>N/A</v>
      </c>
      <c r="BZ23" s="114" t="str">
        <f t="shared" si="10"/>
        <v>N/A</v>
      </c>
      <c r="CA23" s="99" t="str">
        <f t="shared" si="11"/>
        <v>N/A</v>
      </c>
      <c r="CB23" s="130">
        <f t="shared" ca="1" si="12"/>
        <v>0</v>
      </c>
      <c r="CC23" s="130">
        <f ca="1">+tirValorizador($C$1,$BQ23,Zero_swap_CL!$L$23:$M$39,"PG")</f>
        <v>0.91837926270863224</v>
      </c>
      <c r="CD23" s="130" t="str">
        <f t="shared" ca="1" si="13"/>
        <v>N/A</v>
      </c>
      <c r="CE23" s="130"/>
      <c r="CF23" s="130">
        <f t="shared" ca="1" si="14"/>
        <v>0.39794317481895991</v>
      </c>
      <c r="CG23" s="130" t="str">
        <f t="shared" ca="1" si="15"/>
        <v>N/A</v>
      </c>
      <c r="CH23" s="130" t="str">
        <f t="shared" ca="1" si="16"/>
        <v>N/A</v>
      </c>
      <c r="CI23" s="130">
        <f t="shared" ca="1" si="17"/>
        <v>0.38104543359116505</v>
      </c>
      <c r="CJ23" s="130" t="str">
        <f t="shared" ca="1" si="18"/>
        <v>N/A</v>
      </c>
      <c r="CK23" s="130" t="str">
        <f t="shared" ca="1" si="19"/>
        <v>N/A</v>
      </c>
      <c r="CL23" s="130" t="str">
        <f t="shared" ca="1" si="20"/>
        <v>N/A</v>
      </c>
      <c r="CN23" s="179" t="str">
        <f t="shared" si="21"/>
        <v>PESO-20</v>
      </c>
      <c r="CO23" s="179" t="str">
        <f t="shared" si="22"/>
        <v>BTP0600134</v>
      </c>
      <c r="CQ23" s="179" t="str">
        <f t="shared" si="23"/>
        <v>UF-07</v>
      </c>
      <c r="CR23" s="247" t="str">
        <f t="shared" si="24"/>
        <v>BTU0451023</v>
      </c>
    </row>
    <row r="24" spans="1:96" ht="15.75" thickBot="1">
      <c r="B24" s="546" t="s">
        <v>564</v>
      </c>
      <c r="C24" s="543">
        <f>$C$16+E24/100</f>
        <v>2.2800000000000002</v>
      </c>
      <c r="D24" s="164">
        <f t="shared" si="43"/>
        <v>2</v>
      </c>
      <c r="E24" s="160">
        <v>120</v>
      </c>
      <c r="F24" s="151">
        <f ca="1">(E24/100)*$F$28+F16</f>
        <v>1.2839999993774704</v>
      </c>
      <c r="G24" s="545">
        <f ca="1">+C24%*($C$3/12)+$C$4/100</f>
        <v>1.8069515557028463E-2</v>
      </c>
      <c r="H24" s="131">
        <f ca="1">-(D24-$D$2)*(F24-C24)*1/100</f>
        <v>1.6600000010375496E-2</v>
      </c>
      <c r="I24" s="153">
        <f ca="1">+H24+G24</f>
        <v>3.4669515567403955E-2</v>
      </c>
      <c r="R24" s="68">
        <f t="shared" ca="1" si="31"/>
        <v>44666</v>
      </c>
      <c r="S24" s="91">
        <f t="shared" si="32"/>
        <v>4.1749999999999998</v>
      </c>
      <c r="U24" s="70" t="s">
        <v>38</v>
      </c>
      <c r="X24" s="70" t="s">
        <v>38</v>
      </c>
      <c r="AA24" s="70" t="s">
        <v>38</v>
      </c>
      <c r="AD24" s="70" t="s">
        <v>38</v>
      </c>
      <c r="AW24" s="103">
        <v>42309</v>
      </c>
      <c r="AX24" s="104">
        <f ca="1">IF(fechaHoy&gt;=siguienteHabil(EDATE(AW24,1)+8,-1),VLOOKUP(EDATE(AW24,1)-1,Inflation_FWD!$L:$M,2,0)/100,IFERROR(VLOOKUP(AW24,Inflation_FWD!$H:$I,2,0),0.25%))</f>
        <v>0</v>
      </c>
      <c r="AY24" s="104">
        <f t="shared" ca="1" si="41"/>
        <v>0</v>
      </c>
      <c r="AZ24" s="100">
        <f t="shared" si="1"/>
        <v>42317</v>
      </c>
      <c r="BA24" s="102">
        <f t="shared" ca="1" si="28"/>
        <v>25526.976056084692</v>
      </c>
      <c r="BC24" s="217" t="s">
        <v>404</v>
      </c>
      <c r="BD24" s="407" t="s">
        <v>449</v>
      </c>
      <c r="BE24" s="99"/>
      <c r="BF24" s="99"/>
      <c r="BG24" s="243">
        <f t="shared" ca="1" si="4"/>
        <v>-1.4236104748006646E-8</v>
      </c>
      <c r="BH24" s="270">
        <f ca="1">INDEX(PrecioDur(fechaHoy,BG24,DATE("20"&amp;RIGHT(BD24,2),MID(BD24,7,2),1),MID(BD24,4,3)/10,2,365),1,2)</f>
        <v>14.027148201101234</v>
      </c>
      <c r="BI24" s="243">
        <f>IFERROR(IFERROR(VLOOKUP(BD24,TransaccionesRF!$B:$O,12,0),VLOOKUP(BD24,'TransaccionesRFt-1'!$B:$O,12,0)), "N/A")</f>
        <v>4.45</v>
      </c>
      <c r="BJ24" s="114">
        <f ca="1">IFERROR(BI24-BG24,"N/A")</f>
        <v>4.4500000142361049</v>
      </c>
      <c r="BK24" s="114">
        <f>IFERROR(VLOOKUP(BD24,TransaccionesRF!$B:$O,12,0),"N/A")</f>
        <v>4.45</v>
      </c>
      <c r="BL24" s="114">
        <f>IFERROR(VLOOKUP(BD24,'TransaccionesRFt-1'!$B:$O,12,0),"N/A")</f>
        <v>4.46</v>
      </c>
      <c r="BM24" s="114">
        <f>IFERROR(BK24-BL24,"N/A")</f>
        <v>-9.9999999999997868E-3</v>
      </c>
      <c r="BN24" s="114">
        <f ca="1">+tirValorizador($C$1,$BD24,Zero_swap_CL!$L$2:$M$18,"PG")</f>
        <v>4.3363267649396953</v>
      </c>
      <c r="BO24" s="214" t="s">
        <v>173</v>
      </c>
      <c r="BP24" s="179" t="s">
        <v>67</v>
      </c>
      <c r="BQ24" s="556" t="s">
        <v>75</v>
      </c>
      <c r="BR24" s="243">
        <f t="shared" ca="1" si="26"/>
        <v>-1.2805234316445868E-6</v>
      </c>
      <c r="BS24" s="270">
        <f ca="1">INDEX(PrecioDur(fechaHoy,BR24,DATE("20"&amp;RIGHT(BQ24,2),MID(BQ24,7,2),1),MID(BQ24,4,3)/10,2,365),1,2)</f>
        <v>6.5401175351282337</v>
      </c>
      <c r="BT24" s="243">
        <f t="shared" ca="1" si="7"/>
        <v>-1.2805234316445868E-6</v>
      </c>
      <c r="BU24" s="243" t="str">
        <f t="shared" si="8"/>
        <v>N/A</v>
      </c>
      <c r="BV24" s="243" t="str">
        <f>IFERROR(IFERROR(VLOOKUP(BQ24,TransaccionesRF!$B:$O,12,0),VLOOKUP(BQ24,'TransaccionesRFt-1'!$B:$O,12,0)),"N/A")</f>
        <v>N/A</v>
      </c>
      <c r="BW24" s="114" t="str">
        <f t="shared" ca="1" si="9"/>
        <v>N/A</v>
      </c>
      <c r="BX24" s="114" t="str">
        <f>IFERROR(VLOOKUP(BQ24,TransaccionesRF!$B:$O,12,0),"N/A")</f>
        <v>N/A</v>
      </c>
      <c r="BY24" s="114" t="str">
        <f>IFERROR(VLOOKUP(BQ24,'TransaccionesRFt-1'!$B:$O,12,0),"N/A")</f>
        <v>N/A</v>
      </c>
      <c r="BZ24" s="114" t="str">
        <f t="shared" si="10"/>
        <v>N/A</v>
      </c>
      <c r="CA24" s="99" t="str">
        <f t="shared" si="11"/>
        <v>N/A</v>
      </c>
      <c r="CB24" s="130">
        <f t="shared" ca="1" si="12"/>
        <v>0</v>
      </c>
      <c r="CC24" s="130">
        <f ca="1">+tirValorizador($C$1,$BQ24,Zero_swap_CL!$L$23:$M$39,"PG")</f>
        <v>0.94587050300737852</v>
      </c>
      <c r="CD24" s="130" t="str">
        <f t="shared" ca="1" si="13"/>
        <v>N/A</v>
      </c>
      <c r="CE24" s="130"/>
      <c r="CF24" s="130">
        <f t="shared" ca="1" si="14"/>
        <v>0.39794317481895991</v>
      </c>
      <c r="CG24" s="130" t="str">
        <f t="shared" ca="1" si="15"/>
        <v>N/A</v>
      </c>
      <c r="CH24" s="130" t="str">
        <f t="shared" ca="1" si="16"/>
        <v>N/A</v>
      </c>
      <c r="CI24" s="130">
        <f t="shared" ca="1" si="17"/>
        <v>0.38104543359116505</v>
      </c>
      <c r="CJ24" s="130" t="str">
        <f t="shared" ca="1" si="18"/>
        <v>N/A</v>
      </c>
      <c r="CK24" s="130" t="str">
        <f t="shared" ca="1" si="19"/>
        <v>N/A</v>
      </c>
      <c r="CL24" s="130" t="str">
        <f t="shared" ca="1" si="20"/>
        <v>N/A</v>
      </c>
      <c r="CN24" s="179" t="str">
        <f t="shared" si="21"/>
        <v>PESO-20</v>
      </c>
      <c r="CO24" s="179" t="str">
        <f t="shared" si="22"/>
        <v>BTP0500335</v>
      </c>
      <c r="CQ24" s="179" t="str">
        <f t="shared" si="23"/>
        <v>PuntaUF-07</v>
      </c>
      <c r="CR24" s="247" t="str">
        <f t="shared" si="24"/>
        <v>BTU0300124</v>
      </c>
    </row>
    <row r="25" spans="1:96">
      <c r="B25" s="547" t="s">
        <v>563</v>
      </c>
      <c r="C25" s="136">
        <f>$C$17+E25/100</f>
        <v>2.52</v>
      </c>
      <c r="D25" s="165">
        <f t="shared" si="43"/>
        <v>4.72</v>
      </c>
      <c r="E25" s="36">
        <v>145</v>
      </c>
      <c r="F25" s="56">
        <f ca="1">(E25/100)*F28+F17</f>
        <v>1.5514998210517492</v>
      </c>
      <c r="G25" s="37">
        <f ca="1">+C25%*($C$3/12)+$C$4/100</f>
        <v>1.8869515557028461E-2</v>
      </c>
      <c r="H25" s="37">
        <f ca="1">-(D25-$D$2)*(F25-C25)*1/100</f>
        <v>4.2484874516529929E-2</v>
      </c>
      <c r="I25" s="34">
        <f ca="1">+H25+G25</f>
        <v>6.135439007355839E-2</v>
      </c>
      <c r="R25" s="68">
        <f t="shared" ca="1" si="31"/>
        <v>45031</v>
      </c>
      <c r="S25" s="91">
        <f t="shared" si="32"/>
        <v>4.1749999999999998</v>
      </c>
      <c r="U25" s="67">
        <f ca="1">+R8</f>
        <v>42670</v>
      </c>
      <c r="V25" s="73">
        <f>$C$2</f>
        <v>3.5</v>
      </c>
      <c r="X25" s="67">
        <f ca="1">+R8</f>
        <v>42670</v>
      </c>
      <c r="Y25" s="73">
        <f>$C$2</f>
        <v>3.5</v>
      </c>
      <c r="AA25" s="67">
        <f ca="1">+R8</f>
        <v>42670</v>
      </c>
      <c r="AB25" s="73">
        <f>$C$2</f>
        <v>3.5</v>
      </c>
      <c r="AD25" s="67">
        <f ca="1">+R8</f>
        <v>42670</v>
      </c>
      <c r="AE25" s="73">
        <v>0</v>
      </c>
      <c r="AW25" s="103">
        <v>42339</v>
      </c>
      <c r="AX25" s="104">
        <f ca="1">IF(fechaHoy&gt;=siguienteHabil(EDATE(AW25,1)+8,-1),VLOOKUP(EDATE(AW25,1)-1,Inflation_FWD!$L:$M,2,0)/100,IFERROR(VLOOKUP(AW25,Inflation_FWD!$H:$I,2,0),0.25%))</f>
        <v>0</v>
      </c>
      <c r="AY25" s="104">
        <f t="shared" ca="1" si="41"/>
        <v>0</v>
      </c>
      <c r="AZ25" s="100">
        <f t="shared" si="1"/>
        <v>42347</v>
      </c>
      <c r="BA25" s="102">
        <f t="shared" ca="1" si="28"/>
        <v>25629.083960309032</v>
      </c>
      <c r="BC25" s="217" t="s">
        <v>404</v>
      </c>
      <c r="BD25" s="181" t="s">
        <v>93</v>
      </c>
      <c r="BE25" s="99"/>
      <c r="BF25" s="99"/>
      <c r="BG25" s="243">
        <f ca="1">+tirValorizador($C$1,BD25,$AR$31:$AS$156,"PG")</f>
        <v>-1.3983729704142127E-6</v>
      </c>
      <c r="BH25" s="270">
        <f ca="1">INDEX(PrecioDur(fechaHoy,BG25,DATE("20"&amp;RIGHT(BD25,2),MID(BD25,7,2),1),MID(BD25,4,3)/10,2,365),1,2)</f>
        <v>18.210188021919119</v>
      </c>
      <c r="BI25" s="243" t="str">
        <f>IFERROR(IFERROR(VLOOKUP(BD25,TransaccionesRF!$B:$O,12,0),VLOOKUP(BD25,'TransaccionesRFt-1'!$B:$O,12,0)), "N/A")</f>
        <v>N/A</v>
      </c>
      <c r="BJ25" s="114" t="str">
        <f ca="1">IFERROR(BI25-BG25,"N/A")</f>
        <v>N/A</v>
      </c>
      <c r="BK25" s="114" t="str">
        <f>IFERROR(VLOOKUP(BD25,TransaccionesRF!$B:$O,12,0),"N/A")</f>
        <v>N/A</v>
      </c>
      <c r="BL25" s="114" t="str">
        <f>IFERROR(VLOOKUP(BD25,'TransaccionesRFt-1'!$B:$O,12,0),"N/A")</f>
        <v>N/A</v>
      </c>
      <c r="BM25" s="114" t="str">
        <f>IFERROR(BK25-BL25,"N/A")</f>
        <v>N/A</v>
      </c>
      <c r="BN25" s="114">
        <f ca="1">+tirValorizador($C$1,$BD25,Zero_swap_CL!$L$2:$M$18,"PG")</f>
        <v>4.4349758298336379</v>
      </c>
      <c r="BP25" s="179" t="s">
        <v>71</v>
      </c>
      <c r="BQ25" s="278" t="s">
        <v>178</v>
      </c>
      <c r="BR25" s="243">
        <f t="shared" ca="1" si="26"/>
        <v>-1.8764808031208891E-6</v>
      </c>
      <c r="BS25" s="270">
        <f ca="1">INDEX(PrecioDur(fechaHoy,BR25,DATE("20"&amp;RIGHT(BQ25,2),MID(BQ25,7,2),1),MID(BQ25,4,3)/10,2,365),1,2)</f>
        <v>6.7740231702875402</v>
      </c>
      <c r="BT25" s="243">
        <f t="shared" ca="1" si="7"/>
        <v>-1.8764808031208891E-6</v>
      </c>
      <c r="BU25" s="243" t="str">
        <f t="shared" si="8"/>
        <v>N/A</v>
      </c>
      <c r="BV25" s="243">
        <f>IFERROR(IFERROR(VLOOKUP(BQ25,TransaccionesRF!$B:$O,12,0),VLOOKUP(BQ25,'TransaccionesRFt-1'!$B:$O,12,0)),"N/A")</f>
        <v>1.25</v>
      </c>
      <c r="BW25" s="114">
        <f t="shared" ca="1" si="9"/>
        <v>1.2500018764808032</v>
      </c>
      <c r="BX25" s="114">
        <f>IFERROR(VLOOKUP(BQ25,TransaccionesRF!$B:$O,12,0),"N/A")</f>
        <v>1.25</v>
      </c>
      <c r="BY25" s="114" t="str">
        <f>IFERROR(VLOOKUP(BQ25,'TransaccionesRFt-1'!$B:$O,12,0),"N/A")</f>
        <v>N/A</v>
      </c>
      <c r="BZ25" s="114" t="str">
        <f t="shared" si="10"/>
        <v>N/A</v>
      </c>
      <c r="CA25" s="99" t="str">
        <f t="shared" si="11"/>
        <v>N/A</v>
      </c>
      <c r="CB25" s="130">
        <f t="shared" ca="1" si="12"/>
        <v>0</v>
      </c>
      <c r="CC25" s="130">
        <f ca="1">+tirValorizador($C$1,$BQ25,Zero_swap_CL!$L$23:$M$39,"PG")</f>
        <v>0.98213199311504362</v>
      </c>
      <c r="CD25" s="130">
        <f t="shared" ca="1" si="13"/>
        <v>8.4675416741838649</v>
      </c>
      <c r="CE25" s="130"/>
      <c r="CF25" s="130">
        <f t="shared" ca="1" si="14"/>
        <v>0.39794317481895991</v>
      </c>
      <c r="CG25" s="130" t="str">
        <f t="shared" ca="1" si="15"/>
        <v>N/A</v>
      </c>
      <c r="CH25" s="130" t="str">
        <f t="shared" ca="1" si="16"/>
        <v>N/A</v>
      </c>
      <c r="CI25" s="130">
        <f t="shared" ca="1" si="17"/>
        <v>0.38104543359116505</v>
      </c>
      <c r="CJ25" s="130">
        <f t="shared" ca="1" si="18"/>
        <v>0.17521210025783174</v>
      </c>
      <c r="CK25" s="130">
        <f t="shared" ca="1" si="19"/>
        <v>2.5865293910766831E-2</v>
      </c>
      <c r="CL25" s="130">
        <f t="shared" ca="1" si="20"/>
        <v>8.6427537744416973</v>
      </c>
      <c r="CN25" s="179" t="str">
        <f t="shared" si="21"/>
        <v>PESO-20</v>
      </c>
      <c r="CO25" s="179" t="str">
        <f t="shared" si="22"/>
        <v>BTP0600143</v>
      </c>
      <c r="CQ25" s="179" t="str">
        <f t="shared" si="23"/>
        <v>UF-10</v>
      </c>
      <c r="CR25" s="247" t="str">
        <f t="shared" si="24"/>
        <v>BTU0450824</v>
      </c>
    </row>
    <row r="26" spans="1:96" ht="15.75" thickBot="1">
      <c r="B26" s="549" t="s">
        <v>562</v>
      </c>
      <c r="C26" s="544">
        <f>$C$19+E26/100</f>
        <v>2.9299999999999997</v>
      </c>
      <c r="D26" s="166">
        <f t="shared" si="43"/>
        <v>6.26</v>
      </c>
      <c r="E26" s="161">
        <v>165</v>
      </c>
      <c r="F26" s="162">
        <f ca="1">(E26/100)*F28+F19</f>
        <v>1.7654999999912144</v>
      </c>
      <c r="G26" s="155">
        <f ca="1">+C26%*($C$3/12)+$C$4/100</f>
        <v>2.023618222369513E-2</v>
      </c>
      <c r="H26" s="155">
        <f ca="1">-(D26-$D$2)*(F26-C26)*1/100</f>
        <v>6.9016033333854004E-2</v>
      </c>
      <c r="I26" s="163">
        <f ca="1">+H26+G26</f>
        <v>8.9252215557549142E-2</v>
      </c>
      <c r="R26" s="68">
        <f t="shared" ca="1" si="31"/>
        <v>45397</v>
      </c>
      <c r="S26" s="91">
        <f t="shared" si="32"/>
        <v>4.1749999999999998</v>
      </c>
      <c r="U26" s="68">
        <f t="shared" ref="U26:U45" ca="1" si="44">+R9</f>
        <v>42691</v>
      </c>
      <c r="V26" s="74">
        <v>3.5</v>
      </c>
      <c r="X26" s="68">
        <f t="shared" ref="X26:X46" ca="1" si="45">+R9</f>
        <v>42691</v>
      </c>
      <c r="Y26" s="74">
        <v>3.5</v>
      </c>
      <c r="AA26" s="68">
        <f t="shared" ref="AA26:AA46" ca="1" si="46">+R9</f>
        <v>42691</v>
      </c>
      <c r="AB26" s="74">
        <v>3.5</v>
      </c>
      <c r="AD26" s="68">
        <f t="shared" ref="AD26:AD46" ca="1" si="47">+R9</f>
        <v>42691</v>
      </c>
      <c r="AE26" s="74">
        <v>0</v>
      </c>
      <c r="AW26" s="103">
        <v>42370</v>
      </c>
      <c r="AX26" s="104">
        <f ca="1">IF(fechaHoy&gt;=siguienteHabil(EDATE(AW26,1)+8,-1),VLOOKUP(EDATE(AW26,1)-1,Inflation_FWD!$L:$M,2,0)/100,IFERROR(VLOOKUP(AW26,Inflation_FWD!$H:$I,2,0),0.25%))</f>
        <v>5.0000000000000001E-3</v>
      </c>
      <c r="AY26" s="104">
        <f ca="1">+$AX26+IF(fechaHoy&gt;=siguienteHabil(EDATE(AW26,1)+8,-1),0,$AU$1/(12-COUNTIFS(Inflation_FWD!$N:$N,YEAR(HPR!AW26))))</f>
        <v>5.0000000000000001E-3</v>
      </c>
      <c r="AZ26" s="100">
        <f t="shared" si="1"/>
        <v>42378</v>
      </c>
      <c r="BA26" s="102">
        <f t="shared" ca="1" si="28"/>
        <v>25629.083960309032</v>
      </c>
      <c r="BB26" s="59"/>
      <c r="BC26" s="217"/>
      <c r="BD26" s="181"/>
      <c r="BG26" s="243"/>
      <c r="BH26" s="270"/>
      <c r="BI26" s="243"/>
      <c r="BJ26" s="114"/>
      <c r="BK26" s="114"/>
      <c r="BL26" s="114"/>
      <c r="BM26" s="114"/>
      <c r="BN26" s="114"/>
      <c r="BO26" s="214"/>
      <c r="BP26" s="179" t="s">
        <v>71</v>
      </c>
      <c r="BQ26" s="179" t="s">
        <v>179</v>
      </c>
      <c r="BR26" s="243">
        <f t="shared" ca="1" si="26"/>
        <v>-1.1328973622455889E-12</v>
      </c>
      <c r="BS26" s="270">
        <f ca="1">INDEX(PrecioDur(fechaHoy,BR26,DATE("20"&amp;RIGHT(BQ26,2),MID(BQ26,7,2),1),MID(BQ26,4,3)/10,2,365),1,2)</f>
        <v>8.0451721764615822</v>
      </c>
      <c r="BT26" s="243">
        <f t="shared" ca="1" si="7"/>
        <v>-1.1328973622455889E-12</v>
      </c>
      <c r="BU26" s="243" t="str">
        <f t="shared" si="8"/>
        <v>N/A</v>
      </c>
      <c r="BV26" s="243" t="str">
        <f>IFERROR(IFERROR(VLOOKUP(BQ26,TransaccionesRF!$B:$O,12,0),VLOOKUP(BQ26,'TransaccionesRFt-1'!$B:$O,12,0)),"N/A")</f>
        <v>N/A</v>
      </c>
      <c r="BW26" s="114" t="str">
        <f t="shared" ca="1" si="9"/>
        <v>N/A</v>
      </c>
      <c r="BX26" s="114" t="str">
        <f>IFERROR(VLOOKUP(BQ26,TransaccionesRF!$B:$O,12,0),"N/A")</f>
        <v>N/A</v>
      </c>
      <c r="BY26" s="114" t="str">
        <f>IFERROR(VLOOKUP(BQ26,'TransaccionesRFt-1'!$B:$O,12,0),"N/A")</f>
        <v>N/A</v>
      </c>
      <c r="BZ26" s="114" t="str">
        <f t="shared" si="10"/>
        <v>N/A</v>
      </c>
      <c r="CA26" s="99" t="str">
        <f t="shared" si="11"/>
        <v>N/A</v>
      </c>
      <c r="CB26" s="130">
        <f t="shared" ca="1" si="12"/>
        <v>0</v>
      </c>
      <c r="CC26" s="130">
        <f ca="1">+tirValorizador($C$1,$BQ26,Zero_swap_CL!$L$23:$M$39,"PG")</f>
        <v>1.0800226960097437</v>
      </c>
      <c r="CD26" s="130" t="str">
        <f t="shared" ca="1" si="13"/>
        <v>N/A</v>
      </c>
      <c r="CE26" s="130"/>
      <c r="CF26" s="130">
        <f t="shared" ca="1" si="14"/>
        <v>0.39794317481895991</v>
      </c>
      <c r="CG26" s="130" t="str">
        <f t="shared" ca="1" si="15"/>
        <v>N/A</v>
      </c>
      <c r="CH26" s="130" t="str">
        <f t="shared" ca="1" si="16"/>
        <v>N/A</v>
      </c>
      <c r="CI26" s="130">
        <f t="shared" ca="1" si="17"/>
        <v>0.38104543359116505</v>
      </c>
      <c r="CJ26" s="130" t="str">
        <f t="shared" ca="1" si="18"/>
        <v>N/A</v>
      </c>
      <c r="CK26" s="130" t="str">
        <f t="shared" ca="1" si="19"/>
        <v>N/A</v>
      </c>
      <c r="CL26" s="130" t="str">
        <f t="shared" ca="1" si="20"/>
        <v>N/A</v>
      </c>
      <c r="CN26" s="179" t="str">
        <f t="shared" si="21"/>
        <v/>
      </c>
      <c r="CO26" s="179">
        <f>BD26</f>
        <v>0</v>
      </c>
      <c r="CQ26" s="179" t="str">
        <f t="shared" si="23"/>
        <v>UF-10</v>
      </c>
      <c r="CR26" s="247" t="str">
        <f t="shared" si="24"/>
        <v>BTU0260925</v>
      </c>
    </row>
    <row r="27" spans="1:96">
      <c r="B27" s="30"/>
      <c r="C27" s="31"/>
      <c r="D27" s="31"/>
      <c r="E27" s="551" t="s">
        <v>570</v>
      </c>
      <c r="F27" s="77">
        <f>+S32</f>
        <v>1.07</v>
      </c>
      <c r="G27" s="32"/>
      <c r="H27" s="32"/>
      <c r="I27" s="33"/>
      <c r="R27" s="68">
        <f t="shared" ca="1" si="31"/>
        <v>45762</v>
      </c>
      <c r="S27" s="91">
        <f t="shared" si="32"/>
        <v>4.1749999999999998</v>
      </c>
      <c r="U27" s="68">
        <f t="shared" ca="1" si="44"/>
        <v>42719</v>
      </c>
      <c r="V27" s="74">
        <v>3.5</v>
      </c>
      <c r="X27" s="68">
        <f t="shared" ca="1" si="45"/>
        <v>42719</v>
      </c>
      <c r="Y27" s="74">
        <v>3.5</v>
      </c>
      <c r="AA27" s="68">
        <f t="shared" ca="1" si="46"/>
        <v>42719</v>
      </c>
      <c r="AB27" s="74">
        <v>3.5</v>
      </c>
      <c r="AD27" s="68">
        <f t="shared" ca="1" si="47"/>
        <v>42719</v>
      </c>
      <c r="AE27" s="74">
        <v>0</v>
      </c>
      <c r="AW27" s="294">
        <v>42401</v>
      </c>
      <c r="AX27" s="295">
        <f ca="1">IF(fechaHoy&gt;=siguienteHabil(EDATE(AW27,1)+8,-1),VLOOKUP(EDATE(AW27,1)-1,Inflation_FWD!$L:$M,2,0)/100,IFERROR(VLOOKUP(AW27,Inflation_FWD!$H:$I,2,0),0.25%))</f>
        <v>3.0000000000000001E-3</v>
      </c>
      <c r="AY27" s="295">
        <f ca="1">+$AX27+IF(fechaHoy&gt;=siguienteHabil(EDATE(AW27,1)+8,-1),0,$AU$1/(12-COUNTIFS(Inflation_FWD!$N:$N,YEAR(HPR!AW27))))</f>
        <v>3.0000000000000001E-3</v>
      </c>
      <c r="AZ27" s="100">
        <f t="shared" si="1"/>
        <v>42409</v>
      </c>
      <c r="BA27" s="102">
        <f t="shared" ca="1" si="28"/>
        <v>25629.083960309032</v>
      </c>
      <c r="BB27" s="226"/>
      <c r="BC27" s="23"/>
      <c r="BD27" s="472"/>
      <c r="BG27" s="59"/>
      <c r="BH27" s="59"/>
      <c r="BO27" s="214"/>
      <c r="BP27" s="179" t="s">
        <v>71</v>
      </c>
      <c r="BQ27" s="446" t="s">
        <v>444</v>
      </c>
      <c r="BR27" s="243">
        <f t="shared" ca="1" si="26"/>
        <v>-2.9492700353778221E-12</v>
      </c>
      <c r="BS27" s="270">
        <f ca="1">INDEX(PrecioDur(fechaHoy,BR27,DATE("20"&amp;RIGHT(BQ27,2),MID(BQ27,7,2),1),MID(BQ27,4,3)/10,2,365),1,2)</f>
        <v>8.7865591559009584</v>
      </c>
      <c r="BT27" s="243">
        <f t="shared" ca="1" si="7"/>
        <v>-2.9492700353778221E-12</v>
      </c>
      <c r="BU27" s="243">
        <f t="shared" si="8"/>
        <v>4.1900000000000004</v>
      </c>
      <c r="BV27" s="243">
        <f>IFERROR(IFERROR(VLOOKUP(BQ27,TransaccionesRF!$B:$O,12,0),VLOOKUP(BQ27,'TransaccionesRFt-1'!$B:$O,12,0)),"N/A")</f>
        <v>1.27</v>
      </c>
      <c r="BW27" s="114">
        <f t="shared" ca="1" si="9"/>
        <v>1.2700000000029492</v>
      </c>
      <c r="BX27" s="114">
        <f>IFERROR(VLOOKUP(BQ27,TransaccionesRF!$B:$O,12,0),"N/A")</f>
        <v>1.27</v>
      </c>
      <c r="BY27" s="114">
        <f>IFERROR(VLOOKUP(BQ27,'TransaccionesRFt-1'!$B:$O,12,0),"N/A")</f>
        <v>1.23</v>
      </c>
      <c r="BZ27" s="114">
        <f t="shared" si="10"/>
        <v>4.0000000000000036E-2</v>
      </c>
      <c r="CA27" s="99">
        <f t="shared" si="11"/>
        <v>2.9200000000000004</v>
      </c>
      <c r="CB27" s="130">
        <f t="shared" ca="1" si="12"/>
        <v>0</v>
      </c>
      <c r="CC27" s="130">
        <f ca="1">+tirValorizador($C$1,$BQ27,Zero_swap_CL!$L$23:$M$39,"PG")</f>
        <v>1.1241856469538327</v>
      </c>
      <c r="CD27" s="130">
        <f t="shared" ca="1" si="13"/>
        <v>11.158930128020131</v>
      </c>
      <c r="CE27" s="130"/>
      <c r="CF27" s="130">
        <f t="shared" ca="1" si="14"/>
        <v>0.39794317481895991</v>
      </c>
      <c r="CG27" s="130">
        <f t="shared" ca="1" si="15"/>
        <v>0.15460984148562656</v>
      </c>
      <c r="CH27" s="130">
        <f t="shared" ca="1" si="16"/>
        <v>1.7596176016386602E-2</v>
      </c>
      <c r="CI27" s="130">
        <f t="shared" ca="1" si="17"/>
        <v>0.38104543359116505</v>
      </c>
      <c r="CJ27" s="130">
        <f t="shared" ca="1" si="18"/>
        <v>0.17687876692449839</v>
      </c>
      <c r="CK27" s="130">
        <f t="shared" ca="1" si="19"/>
        <v>2.0130606735369046E-2</v>
      </c>
      <c r="CL27" s="130">
        <f t="shared" ca="1" si="20"/>
        <v>11.335808894944629</v>
      </c>
      <c r="CQ27" s="179" t="str">
        <f t="shared" si="23"/>
        <v>UF-10</v>
      </c>
      <c r="CR27" s="247" t="str">
        <f t="shared" si="24"/>
        <v>BTU0150326</v>
      </c>
    </row>
    <row r="28" spans="1:96">
      <c r="B28" s="35"/>
      <c r="C28" s="36"/>
      <c r="D28" s="36"/>
      <c r="E28" s="550" t="s">
        <v>569</v>
      </c>
      <c r="F28" s="77">
        <f>+S33</f>
        <v>1.07</v>
      </c>
      <c r="G28" s="37"/>
      <c r="H28" s="37"/>
      <c r="I28" s="38"/>
      <c r="R28" s="68">
        <f t="shared" ca="1" si="31"/>
        <v>46127</v>
      </c>
      <c r="S28" s="91">
        <f t="shared" si="32"/>
        <v>4.1749999999999998</v>
      </c>
      <c r="U28" s="68">
        <f t="shared" ca="1" si="44"/>
        <v>42750</v>
      </c>
      <c r="V28" s="74">
        <v>3.5</v>
      </c>
      <c r="X28" s="68">
        <f t="shared" ca="1" si="45"/>
        <v>42750</v>
      </c>
      <c r="Y28" s="74">
        <v>3.5</v>
      </c>
      <c r="AA28" s="68">
        <f t="shared" ca="1" si="46"/>
        <v>42750</v>
      </c>
      <c r="AB28" s="74">
        <v>3.5</v>
      </c>
      <c r="AD28" s="68">
        <f t="shared" ca="1" si="47"/>
        <v>42750</v>
      </c>
      <c r="AE28" s="74">
        <v>0</v>
      </c>
      <c r="AW28" s="294">
        <v>42430</v>
      </c>
      <c r="AX28" s="295">
        <f ca="1">IF(fechaHoy&gt;=siguienteHabil(EDATE(AW28,1)+8,-1),VLOOKUP(EDATE(AW28,1)-1,Inflation_FWD!$L:$M,2,0)/100,IFERROR(VLOOKUP(AW28,Inflation_FWD!$H:$I,2,0),0.25%))</f>
        <v>4.0000000000000001E-3</v>
      </c>
      <c r="AY28" s="295">
        <f ca="1">+$AX28+IF(fechaHoy&gt;=siguienteHabil(EDATE(AW28,1)+8,-1),0,$AU$1/(12-COUNTIFS(Inflation_FWD!$N:$N,YEAR(HPR!AW28))))</f>
        <v>4.0000000000000001E-3</v>
      </c>
      <c r="AZ28" s="100">
        <f t="shared" si="1"/>
        <v>42438</v>
      </c>
      <c r="BA28" s="102">
        <f t="shared" ca="1" si="28"/>
        <v>25757.229380110573</v>
      </c>
      <c r="BC28" s="23"/>
      <c r="BD28" s="23"/>
      <c r="BG28" s="100"/>
      <c r="BH28" s="245"/>
      <c r="BI28" s="245">
        <v>4.55</v>
      </c>
      <c r="BJ28" s="23">
        <f>+BJ29/12</f>
        <v>4.9166666666666657E-2</v>
      </c>
      <c r="BO28" s="214" t="s">
        <v>173</v>
      </c>
      <c r="BP28" s="179" t="s">
        <v>71</v>
      </c>
      <c r="BQ28" s="179" t="s">
        <v>177</v>
      </c>
      <c r="BR28" s="243">
        <f t="shared" ca="1" si="26"/>
        <v>-8.7857006537934252E-12</v>
      </c>
      <c r="BS28" s="270">
        <f ca="1">INDEX(PrecioDur(fechaHoy,BR28,DATE("20"&amp;RIGHT(BQ28,2),MID(BQ28,7,2),1),MID(BQ28,4,3)/10,2,365),1,2)</f>
        <v>9.1500703161636938</v>
      </c>
      <c r="BT28" s="243">
        <f t="shared" ca="1" si="7"/>
        <v>-8.7857006537934252E-12</v>
      </c>
      <c r="BU28" s="243" t="str">
        <f t="shared" si="8"/>
        <v>N/A</v>
      </c>
      <c r="BV28" s="243" t="str">
        <f>IFERROR(IFERROR(VLOOKUP(BQ28,TransaccionesRF!$B:$O,12,0),VLOOKUP(BQ28,'TransaccionesRFt-1'!$B:$O,12,0)),"N/A")</f>
        <v>N/A</v>
      </c>
      <c r="BW28" s="114" t="str">
        <f t="shared" ca="1" si="9"/>
        <v>N/A</v>
      </c>
      <c r="BX28" s="114" t="str">
        <f>IFERROR(VLOOKUP(BQ28,TransaccionesRF!$B:$O,12,0),"N/A")</f>
        <v>N/A</v>
      </c>
      <c r="BY28" s="114" t="str">
        <f>IFERROR(VLOOKUP(BQ28,'TransaccionesRFt-1'!$B:$O,12,0),"N/A")</f>
        <v>N/A</v>
      </c>
      <c r="BZ28" s="114" t="str">
        <f t="shared" si="10"/>
        <v>N/A</v>
      </c>
      <c r="CA28" s="99" t="str">
        <f t="shared" si="11"/>
        <v>N/A</v>
      </c>
      <c r="CB28" s="130">
        <f t="shared" ca="1" si="12"/>
        <v>0</v>
      </c>
      <c r="CC28" s="130">
        <f ca="1">+tirValorizador($C$1,$BQ28,Zero_swap_CL!$L$23:$M$39,"PG")</f>
        <v>1.1525171299091042</v>
      </c>
      <c r="CD28" s="130" t="str">
        <f t="shared" ca="1" si="13"/>
        <v>N/A</v>
      </c>
      <c r="CE28" s="130"/>
      <c r="CF28" s="130">
        <f t="shared" ca="1" si="14"/>
        <v>0.39794317481895991</v>
      </c>
      <c r="CG28" s="130" t="str">
        <f t="shared" ca="1" si="15"/>
        <v>N/A</v>
      </c>
      <c r="CH28" s="130" t="str">
        <f t="shared" ca="1" si="16"/>
        <v>N/A</v>
      </c>
      <c r="CI28" s="130">
        <f t="shared" ca="1" si="17"/>
        <v>0.38104543359116505</v>
      </c>
      <c r="CJ28" s="130" t="str">
        <f t="shared" ca="1" si="18"/>
        <v>N/A</v>
      </c>
      <c r="CK28" s="130" t="str">
        <f t="shared" ca="1" si="19"/>
        <v>N/A</v>
      </c>
      <c r="CL28" s="130" t="str">
        <f t="shared" ca="1" si="20"/>
        <v>N/A</v>
      </c>
      <c r="CQ28" s="179" t="str">
        <f t="shared" si="23"/>
        <v>PuntaUF-10</v>
      </c>
      <c r="CR28" s="247" t="str">
        <f t="shared" si="24"/>
        <v>BTU0300327</v>
      </c>
    </row>
    <row r="29" spans="1:96" ht="15.75" thickBot="1">
      <c r="B29" s="40"/>
      <c r="C29" s="41"/>
      <c r="D29" s="41"/>
      <c r="E29" s="41"/>
      <c r="F29" s="42"/>
      <c r="G29" s="43"/>
      <c r="H29" s="43"/>
      <c r="I29" s="44"/>
      <c r="R29" s="69">
        <f t="shared" ca="1" si="31"/>
        <v>46492</v>
      </c>
      <c r="S29" s="92">
        <f t="shared" si="32"/>
        <v>4.1749999999999998</v>
      </c>
      <c r="U29" s="68">
        <f t="shared" ca="1" si="44"/>
        <v>42781</v>
      </c>
      <c r="V29" s="74">
        <v>3.5</v>
      </c>
      <c r="X29" s="68">
        <f t="shared" ca="1" si="45"/>
        <v>42781</v>
      </c>
      <c r="Y29" s="74">
        <v>3.5</v>
      </c>
      <c r="AA29" s="68">
        <f t="shared" ca="1" si="46"/>
        <v>42781</v>
      </c>
      <c r="AB29" s="74">
        <v>3.5</v>
      </c>
      <c r="AD29" s="68">
        <f t="shared" ca="1" si="47"/>
        <v>42781</v>
      </c>
      <c r="AE29" s="74">
        <v>0</v>
      </c>
      <c r="AH29" s="1" t="s">
        <v>2</v>
      </c>
      <c r="AI29" s="1">
        <v>1</v>
      </c>
      <c r="AJ29" s="1"/>
      <c r="AK29" s="1"/>
      <c r="AL29" s="1"/>
      <c r="AM29" s="348">
        <f ca="1">CLFCLPt</f>
        <v>26254.74</v>
      </c>
      <c r="AN29" s="1"/>
      <c r="AO29" s="1"/>
      <c r="AP29" s="1"/>
      <c r="AQ29" s="1"/>
      <c r="AR29" s="1" t="s">
        <v>2</v>
      </c>
      <c r="AS29" s="1">
        <v>30</v>
      </c>
      <c r="AT29" s="1"/>
      <c r="AU29" s="1"/>
      <c r="AW29" s="294">
        <v>42461</v>
      </c>
      <c r="AX29" s="295">
        <f ca="1">IF(fechaHoy&gt;=siguienteHabil(EDATE(AW29,1)+8,-1),VLOOKUP(EDATE(AW29,1)-1,Inflation_FWD!$L:$M,2,0)/100,IFERROR(VLOOKUP(AW29,Inflation_FWD!$H:$I,2,0),0.25%))</f>
        <v>3.0000000000000001E-3</v>
      </c>
      <c r="AY29" s="295">
        <f ca="1">+$AX29+IF(fechaHoy&gt;=siguienteHabil(EDATE(AW29,1)+8,-1),0,$AU$1/(12-COUNTIFS(Inflation_FWD!$N:$N,YEAR(HPR!AW29))))</f>
        <v>3.0000000000000001E-3</v>
      </c>
      <c r="AZ29" s="100">
        <f t="shared" si="1"/>
        <v>42469</v>
      </c>
      <c r="BA29" s="102">
        <f t="shared" ca="1" si="28"/>
        <v>25834.501068250902</v>
      </c>
      <c r="BC29" s="23"/>
      <c r="BD29" s="245"/>
      <c r="BG29" s="100"/>
      <c r="BI29" s="23">
        <f>0.33*12</f>
        <v>3.96</v>
      </c>
      <c r="BJ29" s="245">
        <f>+BI28-BI29</f>
        <v>0.58999999999999986</v>
      </c>
      <c r="BM29" s="245"/>
      <c r="BO29" s="214"/>
      <c r="BP29" s="179" t="s">
        <v>163</v>
      </c>
      <c r="BQ29" s="221" t="s">
        <v>180</v>
      </c>
      <c r="BR29" s="243">
        <f t="shared" ca="1" si="26"/>
        <v>-3.1213531827040293E-11</v>
      </c>
      <c r="BS29" s="270">
        <f ca="1">INDEX(PrecioDur(fechaHoy,BR29,DATE("20"&amp;RIGHT(BQ29,2),MID(BQ29,7,2),1),MID(BQ29,4,3)/10,2,365),1,2)</f>
        <v>9.9391251209509353</v>
      </c>
      <c r="BT29" s="243">
        <f t="shared" ca="1" si="7"/>
        <v>-3.1213531827040293E-11</v>
      </c>
      <c r="BU29" s="243" t="str">
        <f t="shared" si="8"/>
        <v>N/A</v>
      </c>
      <c r="BV29" s="243" t="str">
        <f>IFERROR(IFERROR(VLOOKUP(BQ29,TransaccionesRF!$B:$O,12,0),VLOOKUP(BQ29,'TransaccionesRFt-1'!$B:$O,12,0)),"N/A")</f>
        <v>N/A</v>
      </c>
      <c r="BW29" s="114" t="str">
        <f t="shared" ca="1" si="9"/>
        <v>N/A</v>
      </c>
      <c r="BX29" s="114" t="str">
        <f>IFERROR(VLOOKUP(BQ29,TransaccionesRF!$B:$O,12,0),"N/A")</f>
        <v>N/A</v>
      </c>
      <c r="BY29" s="114" t="str">
        <f>IFERROR(VLOOKUP(BQ29,'TransaccionesRFt-1'!$B:$O,12,0),"N/A")</f>
        <v>N/A</v>
      </c>
      <c r="BZ29" s="114" t="str">
        <f t="shared" si="10"/>
        <v>N/A</v>
      </c>
      <c r="CA29" s="99" t="str">
        <f t="shared" si="11"/>
        <v>N/A</v>
      </c>
      <c r="CB29" s="130">
        <f t="shared" ca="1" si="12"/>
        <v>0</v>
      </c>
      <c r="CC29" s="130">
        <f ca="1">+tirValorizador($C$1,$BQ29,Zero_swap_CL!$L$23:$M$39,"PG")</f>
        <v>1.1632784417970299</v>
      </c>
      <c r="CD29" s="130" t="str">
        <f t="shared" ca="1" si="13"/>
        <v>N/A</v>
      </c>
      <c r="CE29" s="130"/>
      <c r="CF29" s="130">
        <f t="shared" ca="1" si="14"/>
        <v>0.39794317481895991</v>
      </c>
      <c r="CG29" s="130" t="str">
        <f t="shared" ca="1" si="15"/>
        <v>N/A</v>
      </c>
      <c r="CH29" s="130" t="str">
        <f t="shared" ca="1" si="16"/>
        <v>N/A</v>
      </c>
      <c r="CI29" s="130">
        <f t="shared" ca="1" si="17"/>
        <v>0.38104543359116505</v>
      </c>
      <c r="CJ29" s="130" t="str">
        <f t="shared" ca="1" si="18"/>
        <v>N/A</v>
      </c>
      <c r="CK29" s="130" t="str">
        <f t="shared" ca="1" si="19"/>
        <v>N/A</v>
      </c>
      <c r="CL29" s="130" t="str">
        <f t="shared" ca="1" si="20"/>
        <v>N/A</v>
      </c>
      <c r="CQ29" s="179" t="str">
        <f t="shared" si="23"/>
        <v>N/A</v>
      </c>
      <c r="CR29" s="247" t="str">
        <f t="shared" si="24"/>
        <v>BTU0300328</v>
      </c>
    </row>
    <row r="30" spans="1:96" ht="15.75" thickBot="1">
      <c r="U30" s="68">
        <f t="shared" ca="1" si="44"/>
        <v>42809</v>
      </c>
      <c r="V30" s="74">
        <v>3.25</v>
      </c>
      <c r="X30" s="68">
        <f t="shared" ca="1" si="45"/>
        <v>42809</v>
      </c>
      <c r="Y30" s="74">
        <v>3.5</v>
      </c>
      <c r="AA30" s="68">
        <f t="shared" ca="1" si="46"/>
        <v>42809</v>
      </c>
      <c r="AB30" s="74">
        <v>3.5</v>
      </c>
      <c r="AD30" s="68">
        <f t="shared" ca="1" si="47"/>
        <v>42809</v>
      </c>
      <c r="AE30" s="74">
        <v>0</v>
      </c>
      <c r="AH30" s="5" t="s">
        <v>3</v>
      </c>
      <c r="AI30" s="5" t="s">
        <v>1</v>
      </c>
      <c r="AJ30" s="5" t="s">
        <v>4</v>
      </c>
      <c r="AK30" s="9" t="s">
        <v>5</v>
      </c>
      <c r="AL30" s="105" t="s">
        <v>320</v>
      </c>
      <c r="AM30" s="9" t="s">
        <v>96</v>
      </c>
      <c r="AN30" s="105" t="s">
        <v>343</v>
      </c>
      <c r="AO30" s="142" t="s">
        <v>132</v>
      </c>
      <c r="AP30" s="105" t="s">
        <v>133</v>
      </c>
      <c r="AQ30" s="1"/>
      <c r="AR30" s="5" t="s">
        <v>6</v>
      </c>
      <c r="AS30" s="105" t="s">
        <v>97</v>
      </c>
      <c r="AT30" s="105" t="s">
        <v>6</v>
      </c>
      <c r="AU30" s="107" t="s">
        <v>98</v>
      </c>
      <c r="AW30" s="294">
        <v>42491</v>
      </c>
      <c r="AX30" s="295">
        <f ca="1">IF(fechaHoy&gt;=siguienteHabil(EDATE(AW30,1)+8,-1),VLOOKUP(EDATE(AW30,1)-1,Inflation_FWD!$L:$M,2,0)/100,IFERROR(VLOOKUP(AW30,Inflation_FWD!$H:$I,2,0),0.25%))</f>
        <v>2E-3</v>
      </c>
      <c r="AY30" s="295">
        <f ca="1">+$AX30+IF(fechaHoy&gt;=siguienteHabil(EDATE(AW30,1)+8,-1),0,$AU$1/(12-COUNTIFS(Inflation_FWD!$N:$N,YEAR(HPR!AW30))))</f>
        <v>2E-3</v>
      </c>
      <c r="AZ30" s="100">
        <f t="shared" si="1"/>
        <v>42499</v>
      </c>
      <c r="BA30" s="102">
        <f t="shared" ca="1" si="28"/>
        <v>25937.839072523904</v>
      </c>
      <c r="BC30" s="269"/>
      <c r="BD30" s="23"/>
      <c r="BG30" s="282"/>
      <c r="BI30" s="245"/>
      <c r="BM30" s="59"/>
      <c r="BP30" s="217" t="s">
        <v>163</v>
      </c>
      <c r="BQ30" s="268" t="s">
        <v>181</v>
      </c>
      <c r="BR30" s="243">
        <f t="shared" ca="1" si="26"/>
        <v>-3.8196172160359426E-11</v>
      </c>
      <c r="BS30" s="270">
        <f ca="1">INDEX(PrecioDur(fechaHoy,BR30,DATE("20"&amp;RIGHT(BQ30,2),MID(BQ30,7,2),1),MID(BQ30,4,3)/10,2,365),1,2)</f>
        <v>9.9949335213612382</v>
      </c>
      <c r="BT30" s="243">
        <f t="shared" ca="1" si="7"/>
        <v>-3.8196172160359426E-11</v>
      </c>
      <c r="BU30" s="243" t="str">
        <f t="shared" si="8"/>
        <v>N/A</v>
      </c>
      <c r="BV30" s="243" t="str">
        <f>IFERROR(IFERROR(VLOOKUP(BQ30,TransaccionesRF!$B:$O,12,0),VLOOKUP(BQ30,'TransaccionesRFt-1'!$B:$O,12,0)),"N/A")</f>
        <v>N/A</v>
      </c>
      <c r="BW30" s="114" t="str">
        <f t="shared" ca="1" si="9"/>
        <v>N/A</v>
      </c>
      <c r="BX30" s="114" t="str">
        <f>IFERROR(VLOOKUP(BQ30,TransaccionesRF!$B:$O,12,0),"N/A")</f>
        <v>N/A</v>
      </c>
      <c r="BY30" s="114" t="str">
        <f>IFERROR(VLOOKUP(BQ30,'TransaccionesRFt-1'!$B:$O,12,0),"N/A")</f>
        <v>N/A</v>
      </c>
      <c r="BZ30" s="114" t="str">
        <f t="shared" si="10"/>
        <v>N/A</v>
      </c>
      <c r="CA30" s="99" t="str">
        <f t="shared" si="11"/>
        <v>N/A</v>
      </c>
      <c r="CB30" s="130">
        <f t="shared" ca="1" si="12"/>
        <v>0</v>
      </c>
      <c r="CC30" s="130">
        <f ca="1">+tirValorizador($C$1,$BQ30,Zero_swap_CL!$L$23:$M$39,"PG")</f>
        <v>1.164872918119797</v>
      </c>
      <c r="CD30" s="130" t="str">
        <f t="shared" ca="1" si="13"/>
        <v>N/A</v>
      </c>
      <c r="CE30" s="130"/>
      <c r="CF30" s="130">
        <f t="shared" ca="1" si="14"/>
        <v>0.39794317481895991</v>
      </c>
      <c r="CG30" s="130" t="str">
        <f t="shared" ca="1" si="15"/>
        <v>N/A</v>
      </c>
      <c r="CH30" s="130" t="str">
        <f t="shared" ca="1" si="16"/>
        <v>N/A</v>
      </c>
      <c r="CI30" s="130">
        <f t="shared" ca="1" si="17"/>
        <v>0.38104543359116505</v>
      </c>
      <c r="CJ30" s="130" t="str">
        <f t="shared" ca="1" si="18"/>
        <v>N/A</v>
      </c>
      <c r="CK30" s="130" t="str">
        <f t="shared" ca="1" si="19"/>
        <v>N/A</v>
      </c>
      <c r="CL30" s="130" t="str">
        <f t="shared" ca="1" si="20"/>
        <v>N/A</v>
      </c>
      <c r="CQ30" s="179" t="str">
        <f t="shared" si="23"/>
        <v>N/A</v>
      </c>
      <c r="CR30" s="247" t="str">
        <f t="shared" si="24"/>
        <v>BCU0300528</v>
      </c>
    </row>
    <row r="31" spans="1:96" ht="15.75" thickBot="1">
      <c r="B31" s="45" t="s">
        <v>21</v>
      </c>
      <c r="C31" s="46"/>
      <c r="D31" s="46"/>
      <c r="E31" s="46"/>
      <c r="F31" s="46"/>
      <c r="G31" s="46"/>
      <c r="H31" s="46"/>
      <c r="I31" s="47"/>
      <c r="R31" s="70" t="s">
        <v>25</v>
      </c>
      <c r="U31" s="68">
        <f t="shared" ca="1" si="44"/>
        <v>42840</v>
      </c>
      <c r="V31" s="74">
        <v>3</v>
      </c>
      <c r="X31" s="68">
        <f t="shared" ca="1" si="45"/>
        <v>42840</v>
      </c>
      <c r="Y31" s="74">
        <v>3.5</v>
      </c>
      <c r="AA31" s="68">
        <f t="shared" ca="1" si="46"/>
        <v>42840</v>
      </c>
      <c r="AB31" s="74">
        <v>3.5</v>
      </c>
      <c r="AD31" s="68">
        <f t="shared" ca="1" si="47"/>
        <v>42840</v>
      </c>
      <c r="AE31" s="74">
        <v>0</v>
      </c>
      <c r="AH31" s="6">
        <v>1</v>
      </c>
      <c r="AI31" s="7">
        <f ca="1">+AH31+$C$1</f>
        <v>42671</v>
      </c>
      <c r="AJ31" s="210">
        <f ca="1">IF(AH31&lt;365,VLOOKUP(LOOKUP(AI31,$AI$2:$AI$23),$AI$2:$AK$23,3,0),Lin_Interp(AH31,$AJ$2:$AJ$23,$AK$2:$AK$23))</f>
        <v>3.5</v>
      </c>
      <c r="AK31" s="8">
        <f ca="1">+(1+AJ31/36000)</f>
        <v>1.0000972222222222</v>
      </c>
      <c r="AL31" s="98">
        <f ca="1">+(POWER(AK31,365/AH31)-1)*100</f>
        <v>3.6121470212073792</v>
      </c>
      <c r="AM31" s="106">
        <f ca="1">Geom_Interp(AI31,$AZ$2:$AZ$109,$BA$2:$BA$109)</f>
        <v>26256.432022014211</v>
      </c>
      <c r="AN31" s="10">
        <f t="shared" ref="AN31:AN94" ca="1" si="48">100*(((1+AL31/100)^(AH31/365)*$AM$29/AM31)^(365/AH31)-1)</f>
        <v>1.20340620745365</v>
      </c>
      <c r="AO31" s="311">
        <f t="shared" ref="AO31:AO94" ca="1" si="49">100*360/$AH31*((1+AN31/100)^($AH31/365)-1)</f>
        <v>1.1798555669102484</v>
      </c>
      <c r="AP31" s="312">
        <f t="shared" ref="AP31:AP94" ca="1" si="50">100*30/$AH31*((1+AL31/100)^($AH31/365)-1)</f>
        <v>0.29166666666657903</v>
      </c>
      <c r="AQ31" s="1"/>
      <c r="AR31" s="3">
        <f>AH31</f>
        <v>1</v>
      </c>
      <c r="AS31" s="11" t="e">
        <f t="shared" ref="AS31:AS62" ca="1" si="51">+VLOOKUP(AR31,$AH$31:$AL$10000,5,FALSE)+[1]!CERCHA(AR31,$F$2:$G$5,"PG")</f>
        <v>#NAME?</v>
      </c>
      <c r="AT31" s="110">
        <f>AR31</f>
        <v>1</v>
      </c>
      <c r="AU31" s="108" t="e">
        <f t="shared" ref="AU31:AU62" ca="1" si="52">+VLOOKUP(AR31,$AH$31:$AN$10000,7,FALSE)+[1]!CERCHA(AR31,$F$2:$G$5,"PG")</f>
        <v>#NAME?</v>
      </c>
      <c r="AW31" s="294">
        <v>42522</v>
      </c>
      <c r="AX31" s="295">
        <f ca="1">IF(fechaHoy&gt;=siguienteHabil(EDATE(AW31,1)+8,-1),VLOOKUP(EDATE(AW31,1)-1,Inflation_FWD!$L:$M,2,0)/100,IFERROR(VLOOKUP(AW31,Inflation_FWD!$H:$I,2,0),0.25%))</f>
        <v>4.0000000000000001E-3</v>
      </c>
      <c r="AY31" s="295">
        <f ca="1">+$AX31+IF(fechaHoy&gt;=siguienteHabil(EDATE(AW31,1)+8,-1),0,$AU$1/(12-COUNTIFS(Inflation_FWD!$N:$N,YEAR(HPR!AW31))))</f>
        <v>4.0000000000000001E-3</v>
      </c>
      <c r="AZ31" s="100">
        <f t="shared" si="1"/>
        <v>42530</v>
      </c>
      <c r="BA31" s="102">
        <f t="shared" ca="1" si="28"/>
        <v>26015.652589741472</v>
      </c>
      <c r="BC31" s="23"/>
      <c r="BD31" s="100"/>
      <c r="BG31" s="245"/>
      <c r="BJ31" s="100"/>
      <c r="BM31" s="59"/>
      <c r="BP31" s="217" t="s">
        <v>163</v>
      </c>
      <c r="BQ31" s="242" t="s">
        <v>182</v>
      </c>
      <c r="BR31" s="243">
        <f t="shared" ca="1" si="26"/>
        <v>-1.0004680161309742E-10</v>
      </c>
      <c r="BS31" s="270">
        <f ca="1">INDEX(PrecioDur(fechaHoy,BR31,DATE("20"&amp;RIGHT(BQ31,2),MID(BQ31,7,2),1),MID(BQ31,4,3)/10,2,365),1,2)</f>
        <v>10.71360398507746</v>
      </c>
      <c r="BT31" s="243">
        <f t="shared" ca="1" si="7"/>
        <v>-1.0004680161309742E-10</v>
      </c>
      <c r="BU31" s="243" t="str">
        <f t="shared" si="8"/>
        <v>N/A</v>
      </c>
      <c r="BV31" s="243" t="str">
        <f>IFERROR(IFERROR(VLOOKUP(BQ31,TransaccionesRF!$B:$O,12,0),VLOOKUP(BQ31,'TransaccionesRFt-1'!$B:$O,12,0)),"N/A")</f>
        <v>N/A</v>
      </c>
      <c r="BW31" s="114" t="str">
        <f t="shared" ca="1" si="9"/>
        <v>N/A</v>
      </c>
      <c r="BX31" s="114" t="str">
        <f>IFERROR(VLOOKUP(BQ31,TransaccionesRF!$B:$O,12,0),"N/A")</f>
        <v>N/A</v>
      </c>
      <c r="BY31" s="114" t="str">
        <f>IFERROR(VLOOKUP(BQ31,'TransaccionesRFt-1'!$B:$O,12,0),"N/A")</f>
        <v>N/A</v>
      </c>
      <c r="BZ31" s="114" t="str">
        <f t="shared" si="10"/>
        <v>N/A</v>
      </c>
      <c r="CA31" s="99" t="str">
        <f t="shared" si="11"/>
        <v>N/A</v>
      </c>
      <c r="CB31" s="130">
        <f t="shared" ca="1" si="12"/>
        <v>0</v>
      </c>
      <c r="CC31" s="130">
        <f ca="1">+tirValorizador($C$1,$BQ31,Zero_swap_CL!$L$23:$M$39,"PG")</f>
        <v>1.1734946396771444</v>
      </c>
      <c r="CD31" s="130" t="str">
        <f t="shared" ca="1" si="13"/>
        <v>N/A</v>
      </c>
      <c r="CE31" s="130"/>
      <c r="CF31" s="130">
        <f t="shared" ca="1" si="14"/>
        <v>0.39794317481895991</v>
      </c>
      <c r="CG31" s="130" t="str">
        <f t="shared" ca="1" si="15"/>
        <v>N/A</v>
      </c>
      <c r="CH31" s="130" t="str">
        <f t="shared" ca="1" si="16"/>
        <v>N/A</v>
      </c>
      <c r="CI31" s="130">
        <f t="shared" ca="1" si="17"/>
        <v>0.38104543359116505</v>
      </c>
      <c r="CJ31" s="130" t="str">
        <f t="shared" ca="1" si="18"/>
        <v>N/A</v>
      </c>
      <c r="CK31" s="130" t="str">
        <f t="shared" ca="1" si="19"/>
        <v>N/A</v>
      </c>
      <c r="CL31" s="130" t="str">
        <f t="shared" ca="1" si="20"/>
        <v>N/A</v>
      </c>
      <c r="CQ31" s="179" t="str">
        <f t="shared" si="23"/>
        <v>N/A</v>
      </c>
      <c r="CR31" s="247" t="str">
        <f t="shared" si="24"/>
        <v>BTU0300329</v>
      </c>
    </row>
    <row r="32" spans="1:96" ht="15.75" thickBot="1">
      <c r="B32" s="29" t="s">
        <v>22</v>
      </c>
      <c r="C32" s="62">
        <f>+(C12-C16)/100</f>
        <v>2.4399999999999998E-2</v>
      </c>
      <c r="D32" s="48">
        <f>+D12</f>
        <v>2</v>
      </c>
      <c r="E32" s="48"/>
      <c r="F32" s="62">
        <f ca="1">+(F12-F16)/100</f>
        <v>-9.7889832944750802E-12</v>
      </c>
      <c r="G32" s="48"/>
      <c r="H32" s="48"/>
      <c r="I32" s="49"/>
      <c r="R32" s="24" t="s">
        <v>36</v>
      </c>
      <c r="S32" s="82">
        <f>+V49*$U$17+Y49*$X$17+AB49*$AA$17+AE49*$AD$17</f>
        <v>1.07</v>
      </c>
      <c r="U32" s="68">
        <f t="shared" ca="1" si="44"/>
        <v>42870</v>
      </c>
      <c r="V32" s="74">
        <v>3</v>
      </c>
      <c r="X32" s="68">
        <f t="shared" ca="1" si="45"/>
        <v>42870</v>
      </c>
      <c r="Y32" s="74">
        <v>3.5</v>
      </c>
      <c r="AA32" s="68">
        <f t="shared" ca="1" si="46"/>
        <v>42870</v>
      </c>
      <c r="AB32" s="74">
        <v>3.5</v>
      </c>
      <c r="AD32" s="68">
        <f t="shared" ca="1" si="47"/>
        <v>42870</v>
      </c>
      <c r="AE32" s="74">
        <v>0</v>
      </c>
      <c r="AH32" s="6">
        <f t="shared" ref="AH32:AH95" si="53">$AI$29+AH31</f>
        <v>2</v>
      </c>
      <c r="AI32" s="7">
        <f ca="1">+AH32+$C$1</f>
        <v>42672</v>
      </c>
      <c r="AJ32" s="210">
        <f t="shared" ref="AJ32:AJ95" ca="1" si="54">IF(AH32&lt;365,VLOOKUP(LOOKUP(AI32,$AI$2:$AI$23),$AI$2:$AK$23,3,0),Lin_Interp(AH32,$AJ$2:$AJ$23,$AK$2:$AK$23))</f>
        <v>3.5</v>
      </c>
      <c r="AK32" s="8">
        <f ca="1">+(1+AJ32/36000)</f>
        <v>1.0000972222222222</v>
      </c>
      <c r="AL32" s="98">
        <f ca="1">100*(((1+AL31/100)^(AH31/365)*AK32)^(365/AH32)-1)</f>
        <v>3.6121470212073348</v>
      </c>
      <c r="AM32" s="106">
        <f t="shared" ref="AM32:AM94" ca="1" si="55">Geom_Interp(AI32,$AZ$2:$AZ$109,$BA$2:$BA$109)</f>
        <v>26258.124348198413</v>
      </c>
      <c r="AN32" s="10">
        <f t="shared" ca="1" si="48"/>
        <v>1.2032689589202228</v>
      </c>
      <c r="AO32" s="311">
        <f t="shared" ca="1" si="49"/>
        <v>1.1797411334515395</v>
      </c>
      <c r="AP32" s="312">
        <f t="shared" ca="1" si="50"/>
        <v>0.29168084490716062</v>
      </c>
      <c r="AQ32" s="1"/>
      <c r="AR32" s="3">
        <f>+AR31+$AS$29-1</f>
        <v>30</v>
      </c>
      <c r="AS32" s="11" t="e">
        <f t="shared" ca="1" si="51"/>
        <v>#NAME?</v>
      </c>
      <c r="AT32" s="110">
        <f t="shared" ref="AT32:AT95" si="56">AR32</f>
        <v>30</v>
      </c>
      <c r="AU32" s="108" t="e">
        <f t="shared" ca="1" si="52"/>
        <v>#NAME?</v>
      </c>
      <c r="AW32" s="294">
        <v>42552</v>
      </c>
      <c r="AX32" s="295">
        <f ca="1">IF(fechaHoy&gt;=siguienteHabil(EDATE(AW32,1)+8,-1),VLOOKUP(EDATE(AW32,1)-1,Inflation_FWD!$L:$M,2,0)/100,IFERROR(VLOOKUP(AW32,Inflation_FWD!$H:$I,2,0),0.25%))</f>
        <v>2E-3</v>
      </c>
      <c r="AY32" s="295">
        <f ca="1">+$AX32+IF(fechaHoy&gt;=siguienteHabil(EDATE(AW32,1)+8,-1),0,$AU$1/(12-COUNTIFS(Inflation_FWD!$N:$N,YEAR(HPR!AW32))))</f>
        <v>2E-3</v>
      </c>
      <c r="AZ32" s="100">
        <f t="shared" si="1"/>
        <v>42560</v>
      </c>
      <c r="BA32" s="102">
        <f t="shared" ca="1" si="28"/>
        <v>26067.683894920956</v>
      </c>
      <c r="BC32" s="23"/>
      <c r="BD32" s="23"/>
      <c r="BI32" s="245"/>
      <c r="BM32" s="59"/>
      <c r="BN32" s="245"/>
      <c r="BO32" s="245"/>
      <c r="BP32" s="217" t="s">
        <v>163</v>
      </c>
      <c r="BQ32" s="179" t="s">
        <v>172</v>
      </c>
      <c r="BR32" s="243">
        <f t="shared" ca="1" si="26"/>
        <v>-2.4859824144580394E-10</v>
      </c>
      <c r="BS32" s="270">
        <f ca="1">INDEX(PrecioDur(fechaHoy,BR32,DATE("20"&amp;RIGHT(BQ32,2),MID(BQ32,7,2),1),MID(BQ32,4,3)/10,2,365),1,2)</f>
        <v>11.313489007031787</v>
      </c>
      <c r="BT32" s="243">
        <f t="shared" ca="1" si="7"/>
        <v>-2.4859824144580394E-10</v>
      </c>
      <c r="BU32" s="243" t="str">
        <f t="shared" si="8"/>
        <v>N/A</v>
      </c>
      <c r="BV32" s="243" t="str">
        <f>IFERROR(IFERROR(VLOOKUP(BQ32,TransaccionesRF!$B:$O,12,0),VLOOKUP(BQ32,'TransaccionesRFt-1'!$B:$O,12,0)),"N/A")</f>
        <v>N/A</v>
      </c>
      <c r="BW32" s="114" t="str">
        <f t="shared" ca="1" si="9"/>
        <v>N/A</v>
      </c>
      <c r="BX32" s="114" t="str">
        <f>IFERROR(VLOOKUP(BQ32,TransaccionesRF!$B:$O,12,0),"N/A")</f>
        <v>N/A</v>
      </c>
      <c r="BY32" s="114" t="str">
        <f>IFERROR(VLOOKUP(BQ32,'TransaccionesRFt-1'!$B:$O,12,0),"N/A")</f>
        <v>N/A</v>
      </c>
      <c r="BZ32" s="114" t="str">
        <f t="shared" si="10"/>
        <v>N/A</v>
      </c>
      <c r="CA32" s="99" t="str">
        <f t="shared" si="11"/>
        <v>N/A</v>
      </c>
      <c r="CB32" s="130">
        <f t="shared" ca="1" si="12"/>
        <v>0</v>
      </c>
      <c r="CC32" s="130">
        <f ca="1">+tirValorizador($C$1,$BQ32,Zero_swap_CL!$L$23:$M$39,"PG")</f>
        <v>1.1816802797247099</v>
      </c>
      <c r="CD32" s="130" t="str">
        <f t="shared" ca="1" si="13"/>
        <v>N/A</v>
      </c>
      <c r="CE32" s="130"/>
      <c r="CF32" s="130">
        <f t="shared" ca="1" si="14"/>
        <v>0.39794317481895991</v>
      </c>
      <c r="CG32" s="130" t="str">
        <f t="shared" ca="1" si="15"/>
        <v>N/A</v>
      </c>
      <c r="CH32" s="130" t="str">
        <f t="shared" ca="1" si="16"/>
        <v>N/A</v>
      </c>
      <c r="CI32" s="130">
        <f t="shared" ca="1" si="17"/>
        <v>0.38104543359116505</v>
      </c>
      <c r="CJ32" s="130" t="str">
        <f t="shared" ca="1" si="18"/>
        <v>N/A</v>
      </c>
      <c r="CK32" s="130" t="str">
        <f t="shared" ca="1" si="19"/>
        <v>N/A</v>
      </c>
      <c r="CL32" s="130" t="str">
        <f t="shared" ca="1" si="20"/>
        <v>N/A</v>
      </c>
      <c r="CQ32" s="179" t="str">
        <f t="shared" si="23"/>
        <v>N/A</v>
      </c>
      <c r="CR32" s="247" t="str">
        <f t="shared" si="24"/>
        <v>BTU0300130</v>
      </c>
    </row>
    <row r="33" spans="2:96" ht="15.75" thickBot="1">
      <c r="B33" s="35" t="s">
        <v>23</v>
      </c>
      <c r="C33" s="63">
        <f>+(C13-C17)/100</f>
        <v>2.7400000000000001E-2</v>
      </c>
      <c r="D33" s="50">
        <f>+D13</f>
        <v>4.72</v>
      </c>
      <c r="E33" s="50"/>
      <c r="F33" s="63">
        <f ca="1">+(F13-F17)/100</f>
        <v>1.1808594518620402E-9</v>
      </c>
      <c r="G33" s="50"/>
      <c r="H33" s="50"/>
      <c r="I33" s="51"/>
      <c r="S33" s="82">
        <f>+V50*$U$17+Y50*$X$17+AB50*$AA$17+AE50*$AD$17</f>
        <v>1.07</v>
      </c>
      <c r="U33" s="68">
        <f t="shared" ca="1" si="44"/>
        <v>42901</v>
      </c>
      <c r="V33" s="74">
        <v>3</v>
      </c>
      <c r="X33" s="68">
        <f t="shared" ca="1" si="45"/>
        <v>42901</v>
      </c>
      <c r="Y33" s="74">
        <v>3.5</v>
      </c>
      <c r="AA33" s="68">
        <f t="shared" ca="1" si="46"/>
        <v>42901</v>
      </c>
      <c r="AB33" s="74">
        <v>3.5</v>
      </c>
      <c r="AD33" s="68">
        <f t="shared" ca="1" si="47"/>
        <v>42901</v>
      </c>
      <c r="AE33" s="74">
        <v>0</v>
      </c>
      <c r="AH33" s="6">
        <f t="shared" si="53"/>
        <v>3</v>
      </c>
      <c r="AI33" s="7">
        <f t="shared" ref="AI33:AI95" ca="1" si="57">+AH33+$C$1</f>
        <v>42673</v>
      </c>
      <c r="AJ33" s="210">
        <f t="shared" ca="1" si="54"/>
        <v>3.5</v>
      </c>
      <c r="AK33" s="8">
        <f t="shared" ref="AK33:AK96" ca="1" si="58">+(1+AJ33/36000)</f>
        <v>1.0000972222222222</v>
      </c>
      <c r="AL33" s="98">
        <f t="shared" ref="AL33:AL96" ca="1" si="59">100*(((1+AL32/100)^(AH32/365)*AK33)^(365/AH33)-1)</f>
        <v>3.6121470212091777</v>
      </c>
      <c r="AM33" s="106">
        <f ca="1">Geom_Interp(AI33,$AZ$2:$AZ$109,$BA$2:$BA$109)</f>
        <v>26259.816783459428</v>
      </c>
      <c r="AN33" s="10">
        <f t="shared" ca="1" si="48"/>
        <v>1.2032232094498108</v>
      </c>
      <c r="AO33" s="311">
        <f t="shared" ca="1" si="49"/>
        <v>1.179715872979159</v>
      </c>
      <c r="AP33" s="312">
        <f t="shared" ca="1" si="50"/>
        <v>0.29169502406700687</v>
      </c>
      <c r="AQ33" s="1"/>
      <c r="AR33" s="3">
        <f>+AR32+$AS$29</f>
        <v>60</v>
      </c>
      <c r="AS33" s="11" t="e">
        <f t="shared" ca="1" si="51"/>
        <v>#NAME?</v>
      </c>
      <c r="AT33" s="110">
        <f t="shared" si="56"/>
        <v>60</v>
      </c>
      <c r="AU33" s="108" t="e">
        <f t="shared" ca="1" si="52"/>
        <v>#NAME?</v>
      </c>
      <c r="AW33" s="294">
        <v>42583</v>
      </c>
      <c r="AX33" s="295">
        <f ca="1">IF(fechaHoy&gt;=siguienteHabil(EDATE(AW33,1)+8,-1),VLOOKUP(EDATE(AW33,1)-1,Inflation_FWD!$L:$M,2,0)/100,IFERROR(VLOOKUP(AW33,Inflation_FWD!$H:$I,2,0),0.25%))</f>
        <v>0</v>
      </c>
      <c r="AY33" s="295">
        <f ca="1">+$AX33+IF(fechaHoy&gt;=siguienteHabil(EDATE(AW33,1)+8,-1),0,$AU$1/(12-COUNTIFS(Inflation_FWD!$N:$N,YEAR(HPR!AW33))))</f>
        <v>0</v>
      </c>
      <c r="AZ33" s="100">
        <f t="shared" si="1"/>
        <v>42591</v>
      </c>
      <c r="BA33" s="102">
        <f ca="1">BA32*(1+AY31)</f>
        <v>26171.954630500641</v>
      </c>
      <c r="BC33" s="23"/>
      <c r="BD33" s="23"/>
      <c r="BI33" s="272"/>
      <c r="BN33" s="245"/>
      <c r="BP33" s="217" t="s">
        <v>163</v>
      </c>
      <c r="BQ33" s="247" t="s">
        <v>77</v>
      </c>
      <c r="BR33" s="243">
        <f t="shared" ca="1" si="26"/>
        <v>-7.4695279337331534E-10</v>
      </c>
      <c r="BS33" s="270">
        <f ca="1">INDEX(PrecioDur(fechaHoy,BR33,DATE("20"&amp;RIGHT(BQ33,2),MID(BQ33,7,2),1),MID(BQ33,4,3)/10,2,365),1,2)</f>
        <v>12.150131258859032</v>
      </c>
      <c r="BT33" s="243">
        <f t="shared" ca="1" si="7"/>
        <v>-7.4695279337331534E-10</v>
      </c>
      <c r="BU33" s="243" t="str">
        <f t="shared" si="8"/>
        <v>N/A</v>
      </c>
      <c r="BV33" s="243" t="str">
        <f>IFERROR(IFERROR(VLOOKUP(BQ33,TransaccionesRF!$B:$O,12,0),VLOOKUP(BQ33,'TransaccionesRFt-1'!$B:$O,12,0)),"N/A")</f>
        <v>N/A</v>
      </c>
      <c r="BW33" s="114" t="str">
        <f t="shared" ca="1" si="9"/>
        <v>N/A</v>
      </c>
      <c r="BX33" s="114" t="str">
        <f>IFERROR(VLOOKUP(BQ33,TransaccionesRF!$B:$O,12,0),"N/A")</f>
        <v>N/A</v>
      </c>
      <c r="BY33" s="114" t="str">
        <f>IFERROR(VLOOKUP(BQ33,'TransaccionesRFt-1'!$B:$O,12,0),"N/A")</f>
        <v>N/A</v>
      </c>
      <c r="BZ33" s="114" t="str">
        <f t="shared" si="10"/>
        <v>N/A</v>
      </c>
      <c r="CA33" s="99" t="str">
        <f t="shared" si="11"/>
        <v>N/A</v>
      </c>
      <c r="CB33" s="130">
        <f t="shared" ca="1" si="12"/>
        <v>0</v>
      </c>
      <c r="CC33" s="130">
        <f ca="1">+tirValorizador($C$1,$BQ33,Zero_swap_CL!$L$23:$M$39,"PG")</f>
        <v>1.1920565427833862</v>
      </c>
      <c r="CD33" s="130" t="str">
        <f t="shared" ca="1" si="13"/>
        <v>N/A</v>
      </c>
      <c r="CE33" s="130"/>
      <c r="CF33" s="130">
        <f t="shared" ca="1" si="14"/>
        <v>0.39794317481895991</v>
      </c>
      <c r="CG33" s="130" t="str">
        <f t="shared" ca="1" si="15"/>
        <v>N/A</v>
      </c>
      <c r="CH33" s="130" t="str">
        <f t="shared" ca="1" si="16"/>
        <v>N/A</v>
      </c>
      <c r="CI33" s="130">
        <f t="shared" ca="1" si="17"/>
        <v>0.38104543359116505</v>
      </c>
      <c r="CJ33" s="130" t="str">
        <f t="shared" ca="1" si="18"/>
        <v>N/A</v>
      </c>
      <c r="CK33" s="130" t="str">
        <f t="shared" ca="1" si="19"/>
        <v>N/A</v>
      </c>
      <c r="CL33" s="130" t="str">
        <f t="shared" ca="1" si="20"/>
        <v>N/A</v>
      </c>
      <c r="CQ33" s="179" t="str">
        <f t="shared" si="23"/>
        <v>N/A</v>
      </c>
      <c r="CR33" s="247" t="str">
        <f t="shared" si="24"/>
        <v>BCU0300231</v>
      </c>
    </row>
    <row r="34" spans="2:96" ht="15.75" thickBot="1">
      <c r="B34" s="52" t="s">
        <v>24</v>
      </c>
      <c r="C34" s="64">
        <f>+(C15-C19)/100</f>
        <v>2.9100000000000001E-2</v>
      </c>
      <c r="D34" s="53">
        <f>+D15</f>
        <v>7.34</v>
      </c>
      <c r="E34" s="53"/>
      <c r="F34" s="64">
        <f ca="1">+(F15-F19)/100</f>
        <v>7.0875904530944261E-14</v>
      </c>
      <c r="G34" s="53"/>
      <c r="H34" s="53"/>
      <c r="I34" s="54"/>
      <c r="U34" s="68">
        <f t="shared" ca="1" si="44"/>
        <v>42931</v>
      </c>
      <c r="V34" s="74">
        <v>3</v>
      </c>
      <c r="X34" s="68">
        <f t="shared" ca="1" si="45"/>
        <v>42931</v>
      </c>
      <c r="Y34" s="74">
        <v>3.5</v>
      </c>
      <c r="AA34" s="68">
        <f t="shared" ca="1" si="46"/>
        <v>42931</v>
      </c>
      <c r="AB34" s="74">
        <v>3.5</v>
      </c>
      <c r="AD34" s="68">
        <f t="shared" ca="1" si="47"/>
        <v>42931</v>
      </c>
      <c r="AE34" s="74">
        <v>0</v>
      </c>
      <c r="AH34" s="6">
        <f t="shared" si="53"/>
        <v>4</v>
      </c>
      <c r="AI34" s="7">
        <f t="shared" ca="1" si="57"/>
        <v>42674</v>
      </c>
      <c r="AJ34" s="210">
        <f t="shared" ca="1" si="54"/>
        <v>3.5</v>
      </c>
      <c r="AK34" s="8">
        <f t="shared" ca="1" si="58"/>
        <v>1.0000972222222222</v>
      </c>
      <c r="AL34" s="98">
        <f t="shared" ca="1" si="59"/>
        <v>3.6121470212097995</v>
      </c>
      <c r="AM34" s="106">
        <f t="shared" ca="1" si="55"/>
        <v>26261.509327804284</v>
      </c>
      <c r="AN34" s="10">
        <f t="shared" ca="1" si="48"/>
        <v>1.2032003347231646</v>
      </c>
      <c r="AO34" s="311">
        <f t="shared" ca="1" si="49"/>
        <v>1.1797129060711065</v>
      </c>
      <c r="AP34" s="312">
        <f t="shared" ca="1" si="50"/>
        <v>0.29170920414578472</v>
      </c>
      <c r="AQ34" s="1"/>
      <c r="AR34" s="3">
        <f t="shared" ref="AR34:AR97" si="60">+AR33+$AS$29</f>
        <v>90</v>
      </c>
      <c r="AS34" s="11" t="e">
        <f t="shared" ca="1" si="51"/>
        <v>#NAME?</v>
      </c>
      <c r="AT34" s="110">
        <f t="shared" si="56"/>
        <v>90</v>
      </c>
      <c r="AU34" s="108" t="e">
        <f t="shared" ca="1" si="52"/>
        <v>#NAME?</v>
      </c>
      <c r="AW34" s="294">
        <v>42614</v>
      </c>
      <c r="AX34" s="295">
        <f ca="1">IF(fechaHoy&gt;=siguienteHabil(EDATE(AW34,1)+8,-1),VLOOKUP(EDATE(AW34,1)-1,Inflation_FWD!$L:$M,2,0)/100,IFERROR(VLOOKUP(AW34,Inflation_FWD!$H:$I,2,0),0.25%))</f>
        <v>2E-3</v>
      </c>
      <c r="AY34" s="295">
        <f ca="1">+$AX34+IF(fechaHoy&gt;=siguienteHabil(EDATE(AW34,1)+8,-1),0,$AU$1/(12-COUNTIFS(Inflation_FWD!$N:$N,YEAR(HPR!AW34))))</f>
        <v>2E-3</v>
      </c>
      <c r="AZ34" s="100">
        <f t="shared" si="1"/>
        <v>42622</v>
      </c>
      <c r="BA34" s="102">
        <f ca="1">BA33*(1+AY32)</f>
        <v>26224.298539761643</v>
      </c>
      <c r="BC34" s="23"/>
      <c r="BD34" s="23"/>
      <c r="BP34" s="217" t="s">
        <v>163</v>
      </c>
      <c r="BQ34" s="424" t="s">
        <v>78</v>
      </c>
      <c r="BR34" s="243">
        <f t="shared" ca="1" si="26"/>
        <v>-1.7789717045931137E-9</v>
      </c>
      <c r="BS34" s="270">
        <f ca="1">INDEX(PrecioDur(fechaHoy,BR34,DATE("20"&amp;RIGHT(BQ34,2),MID(BQ34,7,2),1),MID(BQ34,4,3)/10,2,365),1,2)</f>
        <v>12.806601524705975</v>
      </c>
      <c r="BT34" s="243">
        <f t="shared" ca="1" si="7"/>
        <v>-1.7789717045931137E-9</v>
      </c>
      <c r="BU34" s="243" t="str">
        <f t="shared" si="8"/>
        <v>N/A</v>
      </c>
      <c r="BV34" s="243" t="str">
        <f>IFERROR(IFERROR(VLOOKUP(BQ34,TransaccionesRF!$B:$O,12,0),VLOOKUP(BQ34,'TransaccionesRFt-1'!$B:$O,12,0)),"N/A")</f>
        <v>N/A</v>
      </c>
      <c r="BW34" s="114" t="str">
        <f t="shared" ca="1" si="9"/>
        <v>N/A</v>
      </c>
      <c r="BX34" s="114" t="str">
        <f>IFERROR(VLOOKUP(BQ34,TransaccionesRF!$B:$O,12,0),"N/A")</f>
        <v>N/A</v>
      </c>
      <c r="BY34" s="114" t="str">
        <f>IFERROR(VLOOKUP(BQ34,'TransaccionesRFt-1'!$B:$O,12,0),"N/A")</f>
        <v>N/A</v>
      </c>
      <c r="BZ34" s="114" t="str">
        <f t="shared" si="10"/>
        <v>N/A</v>
      </c>
      <c r="CA34" s="99" t="str">
        <f t="shared" si="11"/>
        <v>N/A</v>
      </c>
      <c r="CB34" s="130">
        <f t="shared" ca="1" si="12"/>
        <v>0</v>
      </c>
      <c r="CC34" s="130">
        <f ca="1">+tirValorizador($C$1,$BQ34,Zero_swap_CL!$L$23:$M$39,"PG")</f>
        <v>1.2011379580059851</v>
      </c>
      <c r="CD34" s="130" t="str">
        <f t="shared" ca="1" si="13"/>
        <v>N/A</v>
      </c>
      <c r="CE34" s="130"/>
      <c r="CF34" s="130">
        <f t="shared" ca="1" si="14"/>
        <v>0.39794317481895991</v>
      </c>
      <c r="CG34" s="130" t="str">
        <f t="shared" ca="1" si="15"/>
        <v>N/A</v>
      </c>
      <c r="CH34" s="130" t="str">
        <f t="shared" ca="1" si="16"/>
        <v>N/A</v>
      </c>
      <c r="CI34" s="130">
        <f t="shared" ca="1" si="17"/>
        <v>0.38104543359116505</v>
      </c>
      <c r="CJ34" s="130" t="str">
        <f t="shared" ca="1" si="18"/>
        <v>N/A</v>
      </c>
      <c r="CK34" s="130" t="str">
        <f t="shared" ca="1" si="19"/>
        <v>N/A</v>
      </c>
      <c r="CL34" s="130" t="str">
        <f t="shared" ca="1" si="20"/>
        <v>N/A</v>
      </c>
      <c r="CQ34" s="179" t="str">
        <f t="shared" si="23"/>
        <v>N/A</v>
      </c>
      <c r="CR34" s="247" t="str">
        <f t="shared" si="24"/>
        <v>BTU0300132</v>
      </c>
    </row>
    <row r="35" spans="2:96">
      <c r="U35" s="68">
        <f t="shared" ca="1" si="44"/>
        <v>43023</v>
      </c>
      <c r="V35" s="74">
        <v>3</v>
      </c>
      <c r="X35" s="68">
        <f t="shared" ca="1" si="45"/>
        <v>43023</v>
      </c>
      <c r="Y35" s="74">
        <v>3.5</v>
      </c>
      <c r="AA35" s="68">
        <f t="shared" ca="1" si="46"/>
        <v>43023</v>
      </c>
      <c r="AB35" s="74">
        <v>3.75</v>
      </c>
      <c r="AD35" s="68">
        <f t="shared" ca="1" si="47"/>
        <v>43023</v>
      </c>
      <c r="AE35" s="74">
        <v>0</v>
      </c>
      <c r="AH35" s="6">
        <f t="shared" si="53"/>
        <v>5</v>
      </c>
      <c r="AI35" s="7">
        <f t="shared" ca="1" si="57"/>
        <v>42675</v>
      </c>
      <c r="AJ35" s="210">
        <f t="shared" ca="1" si="54"/>
        <v>3.5</v>
      </c>
      <c r="AK35" s="8">
        <f t="shared" ca="1" si="58"/>
        <v>1.0000972222222222</v>
      </c>
      <c r="AL35" s="98">
        <f t="shared" ca="1" si="59"/>
        <v>3.6121470212089557</v>
      </c>
      <c r="AM35" s="106">
        <f t="shared" ca="1" si="55"/>
        <v>26263.20198124001</v>
      </c>
      <c r="AN35" s="10">
        <f t="shared" ca="1" si="48"/>
        <v>1.2031866098893396</v>
      </c>
      <c r="AO35" s="311">
        <f t="shared" ca="1" si="49"/>
        <v>1.179718856841383</v>
      </c>
      <c r="AP35" s="312">
        <f t="shared" ca="1" si="50"/>
        <v>0.29172338514356078</v>
      </c>
      <c r="AQ35" s="1"/>
      <c r="AR35" s="3">
        <f t="shared" si="60"/>
        <v>120</v>
      </c>
      <c r="AS35" s="11" t="e">
        <f t="shared" ca="1" si="51"/>
        <v>#NAME?</v>
      </c>
      <c r="AT35" s="110">
        <f t="shared" si="56"/>
        <v>120</v>
      </c>
      <c r="AU35" s="108" t="e">
        <f t="shared" ca="1" si="52"/>
        <v>#NAME?</v>
      </c>
      <c r="AW35" s="294">
        <v>42644</v>
      </c>
      <c r="AX35" s="295">
        <f ca="1">IF(fechaHoy&gt;=siguienteHabil(EDATE(AW35,1)+8,-1),VLOOKUP(EDATE(AW35,1)-1,Inflation_FWD!$L:$M,2,0)/100,IFERROR(VLOOKUP(AW35,Inflation_FWD!$H:$I,2,0),0.25%))</f>
        <v>3.510708135519014E-3</v>
      </c>
      <c r="AY35" s="295">
        <f ca="1">+$AX35+IF(fechaHoy&gt;=siguienteHabil(EDATE(AW35,1)+8,-1),0,$AU$1/(12-COUNTIFS(Inflation_FWD!$N:$N,YEAR(HPR!AW35))))</f>
        <v>5.0624252559714087E-3</v>
      </c>
      <c r="AZ35" s="100">
        <f t="shared" si="1"/>
        <v>42652</v>
      </c>
      <c r="BA35" s="102">
        <f ca="1">BA34*(1+AY33)</f>
        <v>26224.298539761643</v>
      </c>
      <c r="BC35" s="23"/>
      <c r="BD35" s="23"/>
      <c r="BP35" s="217" t="s">
        <v>76</v>
      </c>
      <c r="BQ35" s="179" t="s">
        <v>79</v>
      </c>
      <c r="BR35" s="243">
        <f t="shared" ca="1" si="26"/>
        <v>-1.0092232350874825E-8</v>
      </c>
      <c r="BS35" s="270">
        <f ca="1">INDEX(PrecioDur(fechaHoy,BR35,DATE("20"&amp;RIGHT(BQ35,2),MID(BQ35,7,2),1),MID(BQ35,4,3)/10,2,365),1,2)</f>
        <v>14.262816083023587</v>
      </c>
      <c r="BT35" s="243">
        <f t="shared" ca="1" si="7"/>
        <v>-1.0092232350874825E-8</v>
      </c>
      <c r="BU35" s="243" t="str">
        <f t="shared" si="8"/>
        <v>N/A</v>
      </c>
      <c r="BV35" s="243" t="str">
        <f>IFERROR(IFERROR(VLOOKUP(BQ35,TransaccionesRF!$B:$O,12,0),VLOOKUP(BQ35,'TransaccionesRFt-1'!$B:$O,12,0)),"N/A")</f>
        <v>N/A</v>
      </c>
      <c r="BW35" s="114" t="str">
        <f t="shared" ref="BW35:BW42" ca="1" si="61">IFERROR(BV35-BR35,"N/A")</f>
        <v>N/A</v>
      </c>
      <c r="BX35" s="114" t="str">
        <f>IFERROR(VLOOKUP(BQ35,TransaccionesRF!$B:$O,12,0),"N/A")</f>
        <v>N/A</v>
      </c>
      <c r="BY35" s="114" t="str">
        <f>IFERROR(VLOOKUP(BQ35,'TransaccionesRFt-1'!$B:$O,12,0),"N/A")</f>
        <v>N/A</v>
      </c>
      <c r="BZ35" s="114" t="str">
        <f t="shared" ref="BZ35:BZ42" si="62">IFERROR(BX35-BY35,"N/A")</f>
        <v>N/A</v>
      </c>
      <c r="CA35" s="99" t="str">
        <f t="shared" ref="CA35:CA42" si="63">IFERROR(BU35-BV35,"N/A")</f>
        <v>N/A</v>
      </c>
      <c r="CB35" s="130">
        <f t="shared" ref="CB35:CB42" ca="1" si="64">IFERROR(BT35-BR35,"N/A")</f>
        <v>0</v>
      </c>
      <c r="CC35" s="130">
        <f ca="1">+tirValorizador($C$1,$BQ35,Zero_swap_CL!$L$23:$M$39,"PG")</f>
        <v>1.227666296409867</v>
      </c>
      <c r="CD35" s="130" t="str">
        <f t="shared" ca="1" si="13"/>
        <v>N/A</v>
      </c>
      <c r="CE35" s="130"/>
      <c r="CF35" s="130">
        <f t="shared" ca="1" si="14"/>
        <v>0.39794317481895991</v>
      </c>
      <c r="CG35" s="130" t="str">
        <f t="shared" ca="1" si="15"/>
        <v>N/A</v>
      </c>
      <c r="CH35" s="130" t="str">
        <f t="shared" ca="1" si="16"/>
        <v>N/A</v>
      </c>
      <c r="CI35" s="130">
        <f t="shared" ca="1" si="17"/>
        <v>0.38104543359116505</v>
      </c>
      <c r="CJ35" s="130" t="str">
        <f t="shared" ca="1" si="18"/>
        <v>N/A</v>
      </c>
      <c r="CK35" s="130" t="str">
        <f t="shared" ca="1" si="19"/>
        <v>N/A</v>
      </c>
      <c r="CL35" s="130" t="str">
        <f t="shared" ca="1" si="20"/>
        <v>N/A</v>
      </c>
      <c r="CQ35" s="179" t="str">
        <f t="shared" si="23"/>
        <v>UF-20</v>
      </c>
      <c r="CR35" s="247" t="str">
        <f t="shared" si="24"/>
        <v>BTU0300134</v>
      </c>
    </row>
    <row r="36" spans="2:96" ht="15.75" thickBot="1">
      <c r="U36" s="68">
        <f t="shared" ca="1" si="44"/>
        <v>43115</v>
      </c>
      <c r="V36" s="74">
        <v>3</v>
      </c>
      <c r="X36" s="68">
        <f t="shared" ca="1" si="45"/>
        <v>43115</v>
      </c>
      <c r="Y36" s="74">
        <v>3.5</v>
      </c>
      <c r="AA36" s="68">
        <f t="shared" ca="1" si="46"/>
        <v>43115</v>
      </c>
      <c r="AB36" s="74">
        <v>4</v>
      </c>
      <c r="AD36" s="68">
        <f t="shared" ca="1" si="47"/>
        <v>43115</v>
      </c>
      <c r="AE36" s="74">
        <v>0</v>
      </c>
      <c r="AH36" s="6">
        <f t="shared" si="53"/>
        <v>6</v>
      </c>
      <c r="AI36" s="7">
        <f t="shared" ca="1" si="57"/>
        <v>42676</v>
      </c>
      <c r="AJ36" s="210">
        <f t="shared" ca="1" si="54"/>
        <v>3.5</v>
      </c>
      <c r="AK36" s="8">
        <f t="shared" ca="1" si="58"/>
        <v>1.0000972222222222</v>
      </c>
      <c r="AL36" s="98">
        <f t="shared" ca="1" si="59"/>
        <v>3.6121470212096884</v>
      </c>
      <c r="AM36" s="106">
        <f t="shared" ca="1" si="55"/>
        <v>26264.894743773646</v>
      </c>
      <c r="AN36" s="10">
        <f t="shared" ca="1" si="48"/>
        <v>1.2031774600021805</v>
      </c>
      <c r="AO36" s="311">
        <f t="shared" ca="1" si="49"/>
        <v>1.1797292666626547</v>
      </c>
      <c r="AP36" s="312">
        <f t="shared" ca="1" si="50"/>
        <v>0.29173756706057929</v>
      </c>
      <c r="AQ36" s="1"/>
      <c r="AR36" s="3">
        <f t="shared" si="60"/>
        <v>150</v>
      </c>
      <c r="AS36" s="11" t="e">
        <f t="shared" ca="1" si="51"/>
        <v>#NAME?</v>
      </c>
      <c r="AT36" s="110">
        <f t="shared" si="56"/>
        <v>150</v>
      </c>
      <c r="AU36" s="108" t="e">
        <f t="shared" ca="1" si="52"/>
        <v>#NAME?</v>
      </c>
      <c r="AW36" s="294">
        <v>42675</v>
      </c>
      <c r="AX36" s="295">
        <f ca="1">IF(fechaHoy&gt;=siguienteHabil(EDATE(AW36,1)+8,-1),VLOOKUP(EDATE(AW36,1)-1,Inflation_FWD!$L:$M,2,0)/100,IFERROR(VLOOKUP(AW36,Inflation_FWD!$H:$I,2,0),0.25%))</f>
        <v>3.7923319048882576E-4</v>
      </c>
      <c r="AY36" s="295">
        <f ca="1">+$AX36+IF(fechaHoy&gt;=siguienteHabil(EDATE(AW36,1)+8,-1),0,$AU$1/(12-COUNTIFS(Inflation_FWD!$N:$N,YEAR(HPR!AW36))))</f>
        <v>1.9309503109412203E-3</v>
      </c>
      <c r="AZ36" s="100">
        <f t="shared" si="1"/>
        <v>42683</v>
      </c>
      <c r="BA36" s="102">
        <f t="shared" ca="1" si="28"/>
        <v>26276.747136841168</v>
      </c>
      <c r="BC36" s="23"/>
      <c r="BD36" s="23"/>
      <c r="BG36" s="422"/>
      <c r="BI36" s="492"/>
      <c r="BP36" s="217" t="s">
        <v>76</v>
      </c>
      <c r="BQ36" s="179" t="s">
        <v>450</v>
      </c>
      <c r="BR36" s="243">
        <f t="shared" ca="1" si="26"/>
        <v>-3.5887510469096752E-8</v>
      </c>
      <c r="BS36" s="270">
        <f ca="1">INDEX(PrecioDur(fechaHoy,BR36,DATE("20"&amp;RIGHT(BQ36,2),MID(BQ36,7,2),1),MID(BQ36,4,3)/10,2,365),1,2)</f>
        <v>15.921867827433388</v>
      </c>
      <c r="BT36" s="243">
        <f t="shared" ca="1" si="7"/>
        <v>-3.5887510469096752E-8</v>
      </c>
      <c r="BU36" s="243" t="str">
        <f t="shared" si="8"/>
        <v>N/A</v>
      </c>
      <c r="BV36" s="243">
        <f>IFERROR(IFERROR(VLOOKUP(BQ36,TransaccionesRF!$B:$O,12,0),VLOOKUP(BQ36,'TransaccionesRFt-1'!$B:$O,12,0)),"N/A")</f>
        <v>1.51</v>
      </c>
      <c r="BW36" s="114">
        <f t="shared" ca="1" si="61"/>
        <v>1.5100000358875105</v>
      </c>
      <c r="BX36" s="114" t="str">
        <f>IFERROR(VLOOKUP(BQ36,TransaccionesRF!$B:$O,12,0),"N/A")</f>
        <v>N/A</v>
      </c>
      <c r="BY36" s="114">
        <f>IFERROR(VLOOKUP(BQ36,'TransaccionesRFt-1'!$B:$O,12,0),"N/A")</f>
        <v>1.51</v>
      </c>
      <c r="BZ36" s="114" t="str">
        <f t="shared" si="62"/>
        <v>N/A</v>
      </c>
      <c r="CA36" s="99" t="str">
        <f t="shared" si="63"/>
        <v>N/A</v>
      </c>
      <c r="CB36" s="130">
        <f t="shared" ca="1" si="64"/>
        <v>0</v>
      </c>
      <c r="CC36" s="130">
        <f ca="1">+tirValorizador($C$1,$BQ36,Zero_swap_CL!$L$23:$M$39,"PG")</f>
        <v>1.2520201226078052</v>
      </c>
      <c r="CD36" s="130">
        <f t="shared" ca="1" si="13"/>
        <v>24.042020990820614</v>
      </c>
      <c r="CE36" s="130"/>
      <c r="CF36" s="130">
        <f t="shared" ca="1" si="14"/>
        <v>0.39794317481895991</v>
      </c>
      <c r="CG36" s="130" t="str">
        <f t="shared" ca="1" si="15"/>
        <v>N/A</v>
      </c>
      <c r="CH36" s="130" t="str">
        <f t="shared" ca="1" si="16"/>
        <v>N/A</v>
      </c>
      <c r="CI36" s="130">
        <f t="shared" ca="1" si="17"/>
        <v>0.38104543359116505</v>
      </c>
      <c r="CJ36" s="130">
        <f t="shared" ca="1" si="18"/>
        <v>0.19687876692449841</v>
      </c>
      <c r="CK36" s="130">
        <f t="shared" ca="1" si="19"/>
        <v>1.2365305946408885E-2</v>
      </c>
      <c r="CL36" s="130">
        <f t="shared" ca="1" si="20"/>
        <v>24.238899757745113</v>
      </c>
      <c r="CQ36" s="179" t="str">
        <f t="shared" si="23"/>
        <v>UF-20</v>
      </c>
      <c r="CR36" s="247" t="str">
        <f t="shared" si="24"/>
        <v>BTU0200335</v>
      </c>
    </row>
    <row r="37" spans="2:96" ht="15.75" thickBot="1">
      <c r="B37" s="143" t="s">
        <v>32</v>
      </c>
      <c r="C37" s="146" t="s">
        <v>16</v>
      </c>
      <c r="D37" s="144" t="s">
        <v>130</v>
      </c>
      <c r="E37" s="144" t="s">
        <v>131</v>
      </c>
      <c r="F37" s="144" t="str">
        <f>BN2</f>
        <v>Swap Eq</v>
      </c>
      <c r="G37" s="147" t="s">
        <v>18</v>
      </c>
      <c r="H37" s="148" t="s">
        <v>19</v>
      </c>
      <c r="I37" s="149" t="s">
        <v>20</v>
      </c>
      <c r="R37" s="85"/>
      <c r="U37" s="68">
        <f t="shared" ca="1" si="44"/>
        <v>43205</v>
      </c>
      <c r="V37" s="74">
        <v>3.5</v>
      </c>
      <c r="X37" s="68">
        <f t="shared" ca="1" si="45"/>
        <v>43205</v>
      </c>
      <c r="Y37" s="74">
        <v>3.5</v>
      </c>
      <c r="AA37" s="68">
        <f t="shared" ca="1" si="46"/>
        <v>43205</v>
      </c>
      <c r="AB37" s="74">
        <v>4.25</v>
      </c>
      <c r="AD37" s="68">
        <f t="shared" ca="1" si="47"/>
        <v>43205</v>
      </c>
      <c r="AE37" s="74">
        <v>0</v>
      </c>
      <c r="AH37" s="6">
        <f t="shared" si="53"/>
        <v>7</v>
      </c>
      <c r="AI37" s="7">
        <f t="shared" ca="1" si="57"/>
        <v>42677</v>
      </c>
      <c r="AJ37" s="210">
        <f t="shared" ca="1" si="54"/>
        <v>3.5</v>
      </c>
      <c r="AK37" s="8">
        <f t="shared" ca="1" si="58"/>
        <v>1.0000972222222222</v>
      </c>
      <c r="AL37" s="98">
        <f t="shared" ca="1" si="59"/>
        <v>3.6121470212092222</v>
      </c>
      <c r="AM37" s="106">
        <f t="shared" ca="1" si="55"/>
        <v>26266.58761541222</v>
      </c>
      <c r="AN37" s="10">
        <f t="shared" ca="1" si="48"/>
        <v>1.20317092436657</v>
      </c>
      <c r="AO37" s="311">
        <f t="shared" ca="1" si="49"/>
        <v>1.1797422246912097</v>
      </c>
      <c r="AP37" s="312">
        <f t="shared" ca="1" si="50"/>
        <v>0.29175174989675462</v>
      </c>
      <c r="AQ37" s="1"/>
      <c r="AR37" s="3">
        <f t="shared" si="60"/>
        <v>180</v>
      </c>
      <c r="AS37" s="11" t="e">
        <f t="shared" ca="1" si="51"/>
        <v>#NAME?</v>
      </c>
      <c r="AT37" s="110">
        <f t="shared" si="56"/>
        <v>180</v>
      </c>
      <c r="AU37" s="108" t="e">
        <f t="shared" ca="1" si="52"/>
        <v>#NAME?</v>
      </c>
      <c r="AW37" s="294">
        <v>42705</v>
      </c>
      <c r="AX37" s="295">
        <f ca="1">IF(fechaHoy&gt;=siguienteHabil(EDATE(AW37,1)+8,-1),VLOOKUP(EDATE(AW37,1)-1,Inflation_FWD!$L:$M,2,0)/100,IFERROR(VLOOKUP(AW37,Inflation_FWD!$H:$I,2,0),0.25%))</f>
        <v>4.5490731263497786E-4</v>
      </c>
      <c r="AY37" s="295">
        <f ca="1">+$AX37+IF(fechaHoy&gt;=siguienteHabil(EDATE(AW37,1)+8,-1),0,$AU$1/(12-COUNTIFS(Inflation_FWD!$N:$N,YEAR(HPR!AW37))))</f>
        <v>2.0066244330873726E-3</v>
      </c>
      <c r="AZ37" s="100">
        <f t="shared" si="1"/>
        <v>42713</v>
      </c>
      <c r="BA37" s="102">
        <f t="shared" ca="1" si="28"/>
        <v>26409.77120519149</v>
      </c>
      <c r="BC37" s="23"/>
      <c r="BD37" s="23"/>
      <c r="BP37" s="217" t="s">
        <v>76</v>
      </c>
      <c r="BQ37" s="179" t="s">
        <v>176</v>
      </c>
      <c r="BR37" s="243">
        <f t="shared" ca="1" si="26"/>
        <v>-2.1319125051693505E-7</v>
      </c>
      <c r="BS37" s="270">
        <f ca="1">INDEX(PrecioDur(fechaHoy,BR37,DATE("20"&amp;RIGHT(BQ37,2),MID(BQ37,7,2),1),MID(BQ37,4,3)/10,2,365),1,2)</f>
        <v>17.237182121139185</v>
      </c>
      <c r="BT37" s="243">
        <f t="shared" ca="1" si="7"/>
        <v>-2.1319125051693505E-7</v>
      </c>
      <c r="BU37" s="243" t="str">
        <f t="shared" si="8"/>
        <v>N/A</v>
      </c>
      <c r="BV37" s="243" t="str">
        <f>IFERROR(IFERROR(VLOOKUP(BQ37,TransaccionesRF!$B:$O,12,0),VLOOKUP(BQ37,'TransaccionesRFt-1'!$B:$O,12,0)),"N/A")</f>
        <v>N/A</v>
      </c>
      <c r="BW37" s="114" t="str">
        <f t="shared" ca="1" si="61"/>
        <v>N/A</v>
      </c>
      <c r="BX37" s="114" t="str">
        <f>IFERROR(VLOOKUP(BQ37,TransaccionesRF!$B:$O,12,0),"N/A")</f>
        <v>N/A</v>
      </c>
      <c r="BY37" s="114" t="str">
        <f>IFERROR(VLOOKUP(BQ37,'TransaccionesRFt-1'!$B:$O,12,0),"N/A")</f>
        <v>N/A</v>
      </c>
      <c r="BZ37" s="114" t="str">
        <f t="shared" si="62"/>
        <v>N/A</v>
      </c>
      <c r="CA37" s="99" t="str">
        <f t="shared" si="63"/>
        <v>N/A</v>
      </c>
      <c r="CB37" s="130">
        <f t="shared" ca="1" si="64"/>
        <v>0</v>
      </c>
      <c r="CC37" s="130">
        <f ca="1">+tirValorizador($C$1,$BQ37,Zero_swap_CL!$L$23:$M$39,"PG")</f>
        <v>1.2804350365216131</v>
      </c>
      <c r="CD37" s="130" t="str">
        <f t="shared" ca="1" si="13"/>
        <v>N/A</v>
      </c>
      <c r="CE37" s="130"/>
      <c r="CF37" s="130">
        <f t="shared" ca="1" si="14"/>
        <v>0.39794317481895991</v>
      </c>
      <c r="CG37" s="130" t="str">
        <f t="shared" ca="1" si="15"/>
        <v>N/A</v>
      </c>
      <c r="CH37" s="130" t="str">
        <f t="shared" ca="1" si="16"/>
        <v>N/A</v>
      </c>
      <c r="CI37" s="130">
        <f t="shared" ca="1" si="17"/>
        <v>0.38104543359116505</v>
      </c>
      <c r="CJ37" s="130" t="str">
        <f t="shared" ca="1" si="18"/>
        <v>N/A</v>
      </c>
      <c r="CK37" s="130" t="str">
        <f t="shared" ca="1" si="19"/>
        <v>N/A</v>
      </c>
      <c r="CL37" s="130" t="str">
        <f t="shared" ca="1" si="20"/>
        <v>N/A</v>
      </c>
      <c r="CQ37" s="179" t="str">
        <f t="shared" si="23"/>
        <v>UF-20</v>
      </c>
      <c r="CR37" s="247" t="str">
        <f t="shared" si="24"/>
        <v>BTU0300338</v>
      </c>
    </row>
    <row r="38" spans="2:96">
      <c r="B38" s="411" t="s">
        <v>398</v>
      </c>
      <c r="C38" s="151">
        <f t="shared" ref="C38:D41" si="65">C12</f>
        <v>3.52</v>
      </c>
      <c r="D38" s="151">
        <f t="shared" si="65"/>
        <v>2</v>
      </c>
      <c r="E38" s="151">
        <f ca="1">F12</f>
        <v>-1.6014279901623539E-9</v>
      </c>
      <c r="F38" s="151">
        <f ca="1">AVERAGEIFS($BN:$BN,$BC:$BC,$B38)</f>
        <v>3.3236678517833544</v>
      </c>
      <c r="G38" s="152">
        <f ca="1">AVERAGE(C38,F38)%*($C$3/12)</f>
        <v>1.1406113086305592E-2</v>
      </c>
      <c r="H38" s="131">
        <f ca="1">-(D38-$D$2)*(F38-C38)*1/100</f>
        <v>3.2722024702774265E-3</v>
      </c>
      <c r="I38" s="153">
        <f ca="1">+H38+G38</f>
        <v>1.4678315556583018E-2</v>
      </c>
      <c r="U38" s="68">
        <f t="shared" ca="1" si="44"/>
        <v>43570</v>
      </c>
      <c r="V38" s="74">
        <v>3.5</v>
      </c>
      <c r="X38" s="68">
        <f t="shared" ca="1" si="45"/>
        <v>43570</v>
      </c>
      <c r="Y38" s="74">
        <v>4.25</v>
      </c>
      <c r="AA38" s="68">
        <f t="shared" ca="1" si="46"/>
        <v>43570</v>
      </c>
      <c r="AB38" s="74">
        <v>4.5</v>
      </c>
      <c r="AD38" s="68">
        <f t="shared" ca="1" si="47"/>
        <v>43570</v>
      </c>
      <c r="AE38" s="74">
        <v>0</v>
      </c>
      <c r="AH38" s="6">
        <f t="shared" si="53"/>
        <v>8</v>
      </c>
      <c r="AI38" s="7">
        <f t="shared" ca="1" si="57"/>
        <v>42678</v>
      </c>
      <c r="AJ38" s="210">
        <f t="shared" ca="1" si="54"/>
        <v>3.5</v>
      </c>
      <c r="AK38" s="8">
        <f t="shared" ca="1" si="58"/>
        <v>1.0000972222222222</v>
      </c>
      <c r="AL38" s="98">
        <f t="shared" ca="1" si="59"/>
        <v>3.612147021209644</v>
      </c>
      <c r="AM38" s="106">
        <f t="shared" ca="1" si="55"/>
        <v>26268.280596162764</v>
      </c>
      <c r="AN38" s="10">
        <f t="shared" ca="1" si="48"/>
        <v>1.2031660226417662</v>
      </c>
      <c r="AO38" s="311">
        <f t="shared" ca="1" si="49"/>
        <v>1.1797567755111871</v>
      </c>
      <c r="AP38" s="312">
        <f t="shared" ca="1" si="50"/>
        <v>0.29176593365229375</v>
      </c>
      <c r="AQ38" s="1"/>
      <c r="AR38" s="3">
        <f t="shared" si="60"/>
        <v>210</v>
      </c>
      <c r="AS38" s="11" t="e">
        <f t="shared" ca="1" si="51"/>
        <v>#NAME?</v>
      </c>
      <c r="AT38" s="110">
        <f t="shared" si="56"/>
        <v>210</v>
      </c>
      <c r="AU38" s="108" t="e">
        <f t="shared" ca="1" si="52"/>
        <v>#NAME?</v>
      </c>
      <c r="AW38" s="174">
        <v>42736</v>
      </c>
      <c r="AX38" s="528">
        <f ca="1">IF(fechaHoy&gt;=siguienteHabil(EDATE(AW38,1)+8,-1),VLOOKUP(EDATE(AW38,1)-1,Inflation_FWD!$L:$M,2,0)/100,IFERROR(VLOOKUP(AW38,Inflation_FWD!$H:$I,2,0),0.25%))</f>
        <v>1.0609677541586482E-3</v>
      </c>
      <c r="AY38" s="528">
        <f t="shared" ref="AY38:AY49" ca="1" si="66">+$AX38+$AU$2/12</f>
        <v>1.0848679494716228E-3</v>
      </c>
      <c r="AZ38" s="100">
        <f t="shared" si="1"/>
        <v>42744</v>
      </c>
      <c r="BA38" s="102">
        <f t="shared" ca="1" si="28"/>
        <v>26460.767161112042</v>
      </c>
      <c r="BC38" s="23"/>
      <c r="BD38" s="23"/>
      <c r="BP38" s="217" t="s">
        <v>163</v>
      </c>
      <c r="BQ38" s="179" t="s">
        <v>183</v>
      </c>
      <c r="BR38" s="243">
        <f t="shared" ca="1" si="26"/>
        <v>-4.0574339038308531E-7</v>
      </c>
      <c r="BS38" s="270">
        <f ca="1">INDEX(PrecioDur(fechaHoy,BR38,DATE("20"&amp;RIGHT(BQ38,2),MID(BQ38,7,2),1),MID(BQ38,4,3)/10,2,365),1,2)</f>
        <v>17.92143963842279</v>
      </c>
      <c r="BT38" s="243">
        <f t="shared" ca="1" si="7"/>
        <v>-4.0574339038308531E-7</v>
      </c>
      <c r="BU38" s="243" t="str">
        <f t="shared" si="8"/>
        <v>N/A</v>
      </c>
      <c r="BV38" s="243" t="str">
        <f>IFERROR(IFERROR(VLOOKUP(BQ38,TransaccionesRF!$B:$O,12,0),VLOOKUP(BQ38,'TransaccionesRFt-1'!$B:$O,12,0)),"N/A")</f>
        <v>N/A</v>
      </c>
      <c r="BW38" s="114" t="str">
        <f t="shared" ca="1" si="61"/>
        <v>N/A</v>
      </c>
      <c r="BX38" s="114" t="str">
        <f>IFERROR(VLOOKUP(BQ38,TransaccionesRF!$B:$O,12,0),"N/A")</f>
        <v>N/A</v>
      </c>
      <c r="BY38" s="114" t="str">
        <f>IFERROR(VLOOKUP(BQ38,'TransaccionesRFt-1'!$B:$O,12,0),"N/A")</f>
        <v>N/A</v>
      </c>
      <c r="BZ38" s="114" t="str">
        <f t="shared" si="62"/>
        <v>N/A</v>
      </c>
      <c r="CA38" s="99" t="str">
        <f t="shared" si="63"/>
        <v>N/A</v>
      </c>
      <c r="CB38" s="130">
        <f t="shared" ca="1" si="64"/>
        <v>0</v>
      </c>
      <c r="CC38" s="130">
        <f ca="1">+tirValorizador($C$1,$BQ38,Zero_swap_CL!$L$23:$M$39,"PG")</f>
        <v>1.2926823014261508</v>
      </c>
      <c r="CD38" s="130" t="str">
        <f t="shared" ca="1" si="13"/>
        <v>N/A</v>
      </c>
      <c r="CE38" s="130"/>
      <c r="CF38" s="130">
        <f t="shared" ca="1" si="14"/>
        <v>0.39794317481895991</v>
      </c>
      <c r="CG38" s="130" t="str">
        <f t="shared" ca="1" si="15"/>
        <v>N/A</v>
      </c>
      <c r="CH38" s="130" t="str">
        <f t="shared" ca="1" si="16"/>
        <v>N/A</v>
      </c>
      <c r="CI38" s="130">
        <f t="shared" ca="1" si="17"/>
        <v>0.38104543359116505</v>
      </c>
      <c r="CJ38" s="130" t="str">
        <f t="shared" ca="1" si="18"/>
        <v>N/A</v>
      </c>
      <c r="CK38" s="130" t="str">
        <f t="shared" ca="1" si="19"/>
        <v>N/A</v>
      </c>
      <c r="CL38" s="130" t="str">
        <f t="shared" ca="1" si="20"/>
        <v>N/A</v>
      </c>
      <c r="CQ38" s="179" t="str">
        <f t="shared" si="23"/>
        <v>N/A</v>
      </c>
      <c r="CR38" s="247" t="str">
        <f t="shared" si="24"/>
        <v>BTU0300339</v>
      </c>
    </row>
    <row r="39" spans="2:96">
      <c r="B39" s="409" t="s">
        <v>401</v>
      </c>
      <c r="C39" s="56">
        <f t="shared" si="65"/>
        <v>3.81</v>
      </c>
      <c r="D39" s="56">
        <f t="shared" si="65"/>
        <v>4.72</v>
      </c>
      <c r="E39" s="56">
        <f ca="1">F13</f>
        <v>-6.086230572082893E-8</v>
      </c>
      <c r="F39" s="56">
        <f ca="1">AVERAGEIFS($BN:$BN,$BC:$BC,$B39)</f>
        <v>3.6180509657329032</v>
      </c>
      <c r="G39" s="65">
        <f ca="1">AVERAGE(C39,F39)%*($C$3/12)</f>
        <v>1.2380084942888172E-2</v>
      </c>
      <c r="H39" s="37">
        <f ca="1">-(D39-$D$2)*(F39-C39)*1/100</f>
        <v>8.4201643031833161E-3</v>
      </c>
      <c r="I39" s="39">
        <f ca="1">+H39+G39</f>
        <v>2.0800249246071489E-2</v>
      </c>
      <c r="R39" s="86"/>
      <c r="U39" s="68">
        <f t="shared" ca="1" si="44"/>
        <v>43936</v>
      </c>
      <c r="V39" s="74">
        <v>4</v>
      </c>
      <c r="X39" s="68">
        <f t="shared" ca="1" si="45"/>
        <v>43936</v>
      </c>
      <c r="Y39" s="74">
        <v>4.25</v>
      </c>
      <c r="AA39" s="68">
        <f t="shared" ca="1" si="46"/>
        <v>43936</v>
      </c>
      <c r="AB39" s="74">
        <v>4.5</v>
      </c>
      <c r="AD39" s="68">
        <f t="shared" ca="1" si="47"/>
        <v>43936</v>
      </c>
      <c r="AE39" s="74">
        <v>0</v>
      </c>
      <c r="AH39" s="6">
        <f t="shared" si="53"/>
        <v>9</v>
      </c>
      <c r="AI39" s="7">
        <f t="shared" ca="1" si="57"/>
        <v>42679</v>
      </c>
      <c r="AJ39" s="210">
        <f t="shared" ca="1" si="54"/>
        <v>3.5</v>
      </c>
      <c r="AK39" s="8">
        <f t="shared" ca="1" si="58"/>
        <v>1.0000972222222222</v>
      </c>
      <c r="AL39" s="98">
        <f t="shared" ca="1" si="59"/>
        <v>3.6121470212096662</v>
      </c>
      <c r="AM39" s="106">
        <f t="shared" ca="1" si="55"/>
        <v>26269.973686032306</v>
      </c>
      <c r="AN39" s="10">
        <f t="shared" ca="1" si="48"/>
        <v>1.2031622101884798</v>
      </c>
      <c r="AO39" s="311">
        <f t="shared" ca="1" si="49"/>
        <v>1.1797723883306688</v>
      </c>
      <c r="AP39" s="312">
        <f t="shared" ca="1" si="50"/>
        <v>0.29178011832716361</v>
      </c>
      <c r="AQ39" s="1"/>
      <c r="AR39" s="3">
        <f t="shared" si="60"/>
        <v>240</v>
      </c>
      <c r="AS39" s="11" t="e">
        <f t="shared" ca="1" si="51"/>
        <v>#NAME?</v>
      </c>
      <c r="AT39" s="110">
        <f t="shared" si="56"/>
        <v>240</v>
      </c>
      <c r="AU39" s="108" t="e">
        <f t="shared" ca="1" si="52"/>
        <v>#NAME?</v>
      </c>
      <c r="AW39" s="174">
        <v>42767</v>
      </c>
      <c r="AX39" s="528">
        <f ca="1">IF(fechaHoy&gt;=siguienteHabil(EDATE(AW39,1)+8,-1),VLOOKUP(EDATE(AW39,1)-1,Inflation_FWD!$L:$M,2,0)/100,IFERROR(VLOOKUP(AW39,Inflation_FWD!$H:$I,2,0),0.25%))</f>
        <v>1.4567003326859673E-3</v>
      </c>
      <c r="AY39" s="528">
        <f t="shared" ca="1" si="66"/>
        <v>1.480600527998942E-3</v>
      </c>
      <c r="AZ39" s="100">
        <f t="shared" si="1"/>
        <v>42775</v>
      </c>
      <c r="BA39" s="102">
        <f t="shared" ca="1" si="28"/>
        <v>26513.863983015766</v>
      </c>
      <c r="BC39" s="23"/>
      <c r="BD39" s="23"/>
      <c r="BP39" s="217" t="s">
        <v>163</v>
      </c>
      <c r="BQ39" s="179" t="s">
        <v>81</v>
      </c>
      <c r="BR39" s="243">
        <f t="shared" ca="1" si="26"/>
        <v>-6.804890566158156E-7</v>
      </c>
      <c r="BS39" s="270">
        <f ca="1">INDEX(PrecioDur(fechaHoy,BR39,DATE("20"&amp;RIGHT(BQ39,2),MID(BQ39,7,2),1),MID(BQ39,4,3)/10,2,365),1,2)</f>
        <v>18.435785634129292</v>
      </c>
      <c r="BT39" s="243">
        <f t="shared" ca="1" si="7"/>
        <v>-6.804890566158156E-7</v>
      </c>
      <c r="BU39" s="243" t="str">
        <f t="shared" si="8"/>
        <v>N/A</v>
      </c>
      <c r="BV39" s="243" t="str">
        <f>IFERROR(IFERROR(VLOOKUP(BQ39,TransaccionesRF!$B:$O,12,0),VLOOKUP(BQ39,'TransaccionesRFt-1'!$B:$O,12,0)),"N/A")</f>
        <v>N/A</v>
      </c>
      <c r="BW39" s="114" t="str">
        <f t="shared" ca="1" si="61"/>
        <v>N/A</v>
      </c>
      <c r="BX39" s="114" t="str">
        <f>IFERROR(VLOOKUP(BQ39,TransaccionesRF!$B:$O,12,0),"N/A")</f>
        <v>N/A</v>
      </c>
      <c r="BY39" s="114" t="str">
        <f>IFERROR(VLOOKUP(BQ39,'TransaccionesRFt-1'!$B:$O,12,0),"N/A")</f>
        <v>N/A</v>
      </c>
      <c r="BZ39" s="114" t="str">
        <f t="shared" si="62"/>
        <v>N/A</v>
      </c>
      <c r="CA39" s="99" t="str">
        <f t="shared" si="63"/>
        <v>N/A</v>
      </c>
      <c r="CB39" s="130">
        <f t="shared" ca="1" si="64"/>
        <v>0</v>
      </c>
      <c r="CC39" s="130">
        <f ca="1">+tirValorizador($C$1,$BQ39,Zero_swap_CL!$L$23:$M$39,"PG")</f>
        <v>1.3028046674330114</v>
      </c>
      <c r="CD39" s="130" t="str">
        <f t="shared" ca="1" si="13"/>
        <v>N/A</v>
      </c>
      <c r="CE39" s="130"/>
      <c r="CF39" s="130">
        <f t="shared" ca="1" si="14"/>
        <v>0.39794317481895991</v>
      </c>
      <c r="CG39" s="130" t="str">
        <f t="shared" ca="1" si="15"/>
        <v>N/A</v>
      </c>
      <c r="CH39" s="130" t="str">
        <f t="shared" ca="1" si="16"/>
        <v>N/A</v>
      </c>
      <c r="CI39" s="130">
        <f t="shared" ca="1" si="17"/>
        <v>0.38104543359116505</v>
      </c>
      <c r="CJ39" s="130" t="str">
        <f t="shared" ca="1" si="18"/>
        <v>N/A</v>
      </c>
      <c r="CK39" s="130" t="str">
        <f t="shared" ca="1" si="19"/>
        <v>N/A</v>
      </c>
      <c r="CL39" s="130" t="str">
        <f t="shared" ca="1" si="20"/>
        <v>N/A</v>
      </c>
      <c r="CQ39" s="179" t="str">
        <f t="shared" si="23"/>
        <v>N/A</v>
      </c>
      <c r="CR39" s="247" t="str">
        <f t="shared" si="24"/>
        <v>BTU0300140</v>
      </c>
    </row>
    <row r="40" spans="2:96">
      <c r="B40" s="408" t="s">
        <v>402</v>
      </c>
      <c r="C40" s="57">
        <f t="shared" si="65"/>
        <v>3.9</v>
      </c>
      <c r="D40" s="57">
        <f t="shared" si="65"/>
        <v>6.26</v>
      </c>
      <c r="E40" s="57">
        <f ca="1">F14</f>
        <v>-5.1118754367755065E-7</v>
      </c>
      <c r="F40" s="57">
        <f ca="1">AVERAGEIFS($BN:$BN,$BC:$BC,$B40)</f>
        <v>3.7780957256148375</v>
      </c>
      <c r="G40" s="65">
        <f ca="1">AVERAGE(C40,F40)%*($C$3/12)</f>
        <v>1.2796826209358063E-2</v>
      </c>
      <c r="H40" s="37">
        <f ca="1">-(D40-$D$2)*(F40-C40)*1/100</f>
        <v>7.2248599952272905E-3</v>
      </c>
      <c r="I40" s="39">
        <f ca="1">+H40+G40</f>
        <v>2.0021686204585352E-2</v>
      </c>
      <c r="U40" s="68">
        <f t="shared" ca="1" si="44"/>
        <v>44301</v>
      </c>
      <c r="V40" s="74">
        <v>4</v>
      </c>
      <c r="X40" s="68">
        <f t="shared" ca="1" si="45"/>
        <v>44301</v>
      </c>
      <c r="Y40" s="74">
        <v>4.25</v>
      </c>
      <c r="AA40" s="68">
        <f t="shared" ca="1" si="46"/>
        <v>44301</v>
      </c>
      <c r="AB40" s="74">
        <v>4.5</v>
      </c>
      <c r="AD40" s="68">
        <f t="shared" ca="1" si="47"/>
        <v>44301</v>
      </c>
      <c r="AE40" s="74">
        <v>0</v>
      </c>
      <c r="AH40" s="6">
        <f t="shared" si="53"/>
        <v>10</v>
      </c>
      <c r="AI40" s="7">
        <f t="shared" ca="1" si="57"/>
        <v>42680</v>
      </c>
      <c r="AJ40" s="210">
        <f t="shared" ca="1" si="54"/>
        <v>3.5</v>
      </c>
      <c r="AK40" s="8">
        <f t="shared" ca="1" si="58"/>
        <v>1.0000972222222222</v>
      </c>
      <c r="AL40" s="98">
        <f t="shared" ca="1" si="59"/>
        <v>3.6121470212098661</v>
      </c>
      <c r="AM40" s="106">
        <f t="shared" ca="1" si="55"/>
        <v>26271.666885027884</v>
      </c>
      <c r="AN40" s="10">
        <f t="shared" ca="1" si="48"/>
        <v>1.2031591602273295</v>
      </c>
      <c r="AO40" s="311">
        <f t="shared" ca="1" si="49"/>
        <v>1.1797887446785005</v>
      </c>
      <c r="AP40" s="312">
        <f t="shared" ca="1" si="50"/>
        <v>0.29179430392147765</v>
      </c>
      <c r="AQ40" s="1"/>
      <c r="AR40" s="3">
        <f t="shared" si="60"/>
        <v>270</v>
      </c>
      <c r="AS40" s="11" t="e">
        <f t="shared" ca="1" si="51"/>
        <v>#NAME?</v>
      </c>
      <c r="AT40" s="110">
        <f t="shared" si="56"/>
        <v>270</v>
      </c>
      <c r="AU40" s="108" t="e">
        <f t="shared" ca="1" si="52"/>
        <v>#NAME?</v>
      </c>
      <c r="AW40" s="174">
        <v>42795</v>
      </c>
      <c r="AX40" s="528">
        <f ca="1">IF(fechaHoy&gt;=siguienteHabil(EDATE(AW40,1)+8,-1),VLOOKUP(EDATE(AW40,1)-1,Inflation_FWD!$L:$M,2,0)/100,IFERROR(VLOOKUP(AW40,Inflation_FWD!$H:$I,2,0),0.25%))</f>
        <v>4.8574320657637227E-3</v>
      </c>
      <c r="AY40" s="528">
        <f t="shared" ca="1" si="66"/>
        <v>4.8813322610766971E-3</v>
      </c>
      <c r="AZ40" s="100">
        <f t="shared" si="1"/>
        <v>42803</v>
      </c>
      <c r="BA40" s="102">
        <f t="shared" ca="1" si="28"/>
        <v>26542.628024267593</v>
      </c>
      <c r="BC40" s="23"/>
      <c r="BD40" s="23"/>
      <c r="BP40" s="217" t="s">
        <v>163</v>
      </c>
      <c r="BQ40" s="179" t="s">
        <v>82</v>
      </c>
      <c r="BR40" s="243">
        <f ca="1">+tirValorizador($C$1,BQ40,$AT$31:$AU$156,"PG")</f>
        <v>-1.294517587222422E-6</v>
      </c>
      <c r="BS40" s="270">
        <f ca="1">INDEX(PrecioDur(fechaHoy,BR40,DATE("20"&amp;RIGHT(BQ40,2),MID(BQ40,7,2),1),MID(BQ40,4,3)/10,2,365),1,2)</f>
        <v>19.193929367178271</v>
      </c>
      <c r="BT40" s="243">
        <f ca="1">+tirValorizador($C$1,BQ40,$AR$31:$AS$156,"PG")</f>
        <v>-1.294517587222422E-6</v>
      </c>
      <c r="BU40" s="243" t="str">
        <f t="shared" si="8"/>
        <v>N/A</v>
      </c>
      <c r="BV40" s="243" t="str">
        <f>IFERROR(IFERROR(VLOOKUP(BQ40,TransaccionesRF!$B:$O,12,0),VLOOKUP(BQ40,'TransaccionesRFt-1'!$B:$O,12,0)),"N/A")</f>
        <v>N/A</v>
      </c>
      <c r="BW40" s="114" t="str">
        <f t="shared" ca="1" si="61"/>
        <v>N/A</v>
      </c>
      <c r="BX40" s="114" t="str">
        <f>IFERROR(VLOOKUP(BQ40,TransaccionesRF!$B:$O,12,0),"N/A")</f>
        <v>N/A</v>
      </c>
      <c r="BY40" s="114" t="str">
        <f>IFERROR(VLOOKUP(BQ40,'TransaccionesRFt-1'!$B:$O,12,0),"N/A")</f>
        <v>N/A</v>
      </c>
      <c r="BZ40" s="114" t="str">
        <f t="shared" si="62"/>
        <v>N/A</v>
      </c>
      <c r="CA40" s="99" t="str">
        <f t="shared" si="63"/>
        <v>N/A</v>
      </c>
      <c r="CB40" s="130">
        <f t="shared" ca="1" si="64"/>
        <v>0</v>
      </c>
      <c r="CC40" s="130">
        <f ca="1">+tirValorizador($C$1,$BQ40,Zero_swap_CL!$L$23:$M$39,"PG")</f>
        <v>1.3158772328306114</v>
      </c>
      <c r="CD40" s="130" t="str">
        <f ca="1">IFERROR(BS40*BW40,"N/A")</f>
        <v>N/A</v>
      </c>
      <c r="CE40" s="130"/>
      <c r="CF40" s="130">
        <f t="shared" ca="1" si="14"/>
        <v>0.39794317481895991</v>
      </c>
      <c r="CG40" s="130" t="str">
        <f ca="1">IFERROR(BV40/12+CF40-BU40/12,"N/A")</f>
        <v>N/A</v>
      </c>
      <c r="CH40" s="130" t="str">
        <f ca="1">IFERROR(CG40/BS40,"N/A")</f>
        <v>N/A</v>
      </c>
      <c r="CI40" s="130">
        <f t="shared" ca="1" si="17"/>
        <v>0.38104543359116505</v>
      </c>
      <c r="CJ40" s="130" t="str">
        <f t="shared" ca="1" si="18"/>
        <v>N/A</v>
      </c>
      <c r="CK40" s="130" t="str">
        <f ca="1">IFERROR(CJ40/BS40,"N/A")</f>
        <v>N/A</v>
      </c>
      <c r="CL40" s="130" t="str">
        <f ca="1">IFERROR(CD40+CJ40,"N/A")</f>
        <v>N/A</v>
      </c>
      <c r="CQ40" s="179" t="str">
        <f t="shared" si="23"/>
        <v>N/A</v>
      </c>
      <c r="CR40" s="247" t="str">
        <f t="shared" si="24"/>
        <v>BCU0300241</v>
      </c>
    </row>
    <row r="41" spans="2:96" ht="15.75" thickBot="1">
      <c r="B41" s="412" t="s">
        <v>403</v>
      </c>
      <c r="C41" s="145">
        <f t="shared" si="65"/>
        <v>4.1900000000000004</v>
      </c>
      <c r="D41" s="145">
        <f t="shared" si="65"/>
        <v>7.34</v>
      </c>
      <c r="E41" s="145">
        <f ca="1">F15</f>
        <v>-1.6981102006989992E-12</v>
      </c>
      <c r="F41" s="145">
        <f ca="1">AVERAGEIFS($BN:$BN,$BC:$BC,$B41)</f>
        <v>4.1766331199896598</v>
      </c>
      <c r="G41" s="154">
        <f ca="1">AVERAGE(C41,F41)%*($C$3/12)</f>
        <v>1.3944388533316102E-2</v>
      </c>
      <c r="H41" s="155">
        <f ca="1">-(D41-$D$2)*(F41-C41)*1/100</f>
        <v>9.3657272605786378E-4</v>
      </c>
      <c r="I41" s="156">
        <f ca="1">+H41+G41</f>
        <v>1.4880961259373965E-2</v>
      </c>
      <c r="U41" s="68">
        <f t="shared" ca="1" si="44"/>
        <v>44666</v>
      </c>
      <c r="V41" s="74">
        <v>4</v>
      </c>
      <c r="X41" s="68">
        <f t="shared" ca="1" si="45"/>
        <v>44666</v>
      </c>
      <c r="Y41" s="74">
        <v>4.25</v>
      </c>
      <c r="AA41" s="68">
        <f t="shared" ca="1" si="46"/>
        <v>44666</v>
      </c>
      <c r="AB41" s="74">
        <v>4.5</v>
      </c>
      <c r="AD41" s="68">
        <f t="shared" ca="1" si="47"/>
        <v>44666</v>
      </c>
      <c r="AE41" s="74">
        <v>0</v>
      </c>
      <c r="AH41" s="6">
        <f t="shared" si="53"/>
        <v>11</v>
      </c>
      <c r="AI41" s="7">
        <f t="shared" ca="1" si="57"/>
        <v>42681</v>
      </c>
      <c r="AJ41" s="210">
        <f t="shared" ca="1" si="54"/>
        <v>3.5</v>
      </c>
      <c r="AK41" s="8">
        <f t="shared" ca="1" si="58"/>
        <v>1.0000972222222222</v>
      </c>
      <c r="AL41" s="98">
        <f t="shared" ca="1" si="59"/>
        <v>3.6121470212095552</v>
      </c>
      <c r="AM41" s="106">
        <f t="shared" ca="1" si="55"/>
        <v>26273.360193156532</v>
      </c>
      <c r="AN41" s="10">
        <f t="shared" ca="1" si="48"/>
        <v>1.2031566648032843</v>
      </c>
      <c r="AO41" s="311">
        <f t="shared" ca="1" si="49"/>
        <v>1.1798056418868601</v>
      </c>
      <c r="AP41" s="312">
        <f t="shared" ca="1" si="50"/>
        <v>0.29180849043524743</v>
      </c>
      <c r="AQ41" s="1"/>
      <c r="AR41" s="3">
        <f t="shared" si="60"/>
        <v>300</v>
      </c>
      <c r="AS41" s="11" t="e">
        <f t="shared" ca="1" si="51"/>
        <v>#NAME?</v>
      </c>
      <c r="AT41" s="110">
        <f t="shared" si="56"/>
        <v>300</v>
      </c>
      <c r="AU41" s="108" t="e">
        <f t="shared" ca="1" si="52"/>
        <v>#NAME?</v>
      </c>
      <c r="AW41" s="174">
        <v>42826</v>
      </c>
      <c r="AX41" s="528">
        <f ca="1">IF(fechaHoy&gt;=siguienteHabil(EDATE(AW41,1)+8,-1),VLOOKUP(EDATE(AW41,1)-1,Inflation_FWD!$L:$M,2,0)/100,IFERROR(VLOOKUP(AW41,Inflation_FWD!$H:$I,2,0),0.25%))</f>
        <v>2.3696682464455776E-3</v>
      </c>
      <c r="AY41" s="528">
        <f ca="1">+$AX41+$AU$2/12</f>
        <v>2.3935684417585525E-3</v>
      </c>
      <c r="AZ41" s="100">
        <f t="shared" si="1"/>
        <v>42834</v>
      </c>
      <c r="BA41" s="102">
        <f t="shared" ca="1" si="28"/>
        <v>26581.927053334806</v>
      </c>
      <c r="BC41" s="23"/>
      <c r="BD41" s="23"/>
      <c r="BP41" s="217" t="s">
        <v>80</v>
      </c>
      <c r="BQ41" s="179" t="s">
        <v>83</v>
      </c>
      <c r="BR41" s="243">
        <f ca="1">+tirValorizador($C$1,BQ41,$AT$31:$AU$156,"PG")</f>
        <v>-2.1740206902782361E-6</v>
      </c>
      <c r="BS41" s="270">
        <f ca="1">INDEX(PrecioDur(fechaHoy,BR41,DATE("20"&amp;RIGHT(BQ41,2),MID(BQ41,7,2),1),MID(BQ41,4,3)/10,2,365),1,2)</f>
        <v>19.774769908865618</v>
      </c>
      <c r="BT41" s="243">
        <f ca="1">+tirValorizador($C$1,BQ41,$AR$31:$AS$156,"PG")</f>
        <v>-2.1740206902782361E-6</v>
      </c>
      <c r="BU41" s="243" t="str">
        <f t="shared" si="8"/>
        <v>N/A</v>
      </c>
      <c r="BV41" s="243" t="str">
        <f>IFERROR(IFERROR(VLOOKUP(BQ41,TransaccionesRF!$B:$O,12,0),VLOOKUP(BQ41,'TransaccionesRFt-1'!$B:$O,12,0)),"N/A")</f>
        <v>N/A</v>
      </c>
      <c r="BW41" s="114" t="str">
        <f t="shared" ca="1" si="61"/>
        <v>N/A</v>
      </c>
      <c r="BX41" s="114" t="str">
        <f>IFERROR(VLOOKUP(BQ41,TransaccionesRF!$B:$O,12,0),"N/A")</f>
        <v>N/A</v>
      </c>
      <c r="BY41" s="114" t="str">
        <f>IFERROR(VLOOKUP(BQ41,'TransaccionesRFt-1'!$B:$O,12,0),"N/A")</f>
        <v>N/A</v>
      </c>
      <c r="BZ41" s="114" t="str">
        <f t="shared" si="62"/>
        <v>N/A</v>
      </c>
      <c r="CA41" s="99" t="str">
        <f t="shared" si="63"/>
        <v>N/A</v>
      </c>
      <c r="CB41" s="130">
        <f t="shared" ca="1" si="64"/>
        <v>0</v>
      </c>
      <c r="CC41" s="130">
        <f ca="1">+tirValorizador($C$1,$BQ41,Zero_swap_CL!$L$23:$M$39,"PG")</f>
        <v>1.3266801676904936</v>
      </c>
      <c r="CD41" s="130" t="str">
        <f ca="1">IFERROR(BS41*BW41,"N/A")</f>
        <v>N/A</v>
      </c>
      <c r="CE41" s="130"/>
      <c r="CF41" s="130">
        <f t="shared" ca="1" si="14"/>
        <v>0.39794317481895991</v>
      </c>
      <c r="CG41" s="130" t="str">
        <f ca="1">IFERROR(BV41/12+CF41-BU41/12,"N/A")</f>
        <v>N/A</v>
      </c>
      <c r="CH41" s="130" t="str">
        <f ca="1">IFERROR(CG41/BS41,"N/A")</f>
        <v>N/A</v>
      </c>
      <c r="CI41" s="130">
        <f t="shared" ca="1" si="17"/>
        <v>0.38104543359116505</v>
      </c>
      <c r="CJ41" s="130" t="str">
        <f t="shared" ca="1" si="18"/>
        <v>N/A</v>
      </c>
      <c r="CK41" s="130" t="str">
        <f ca="1">IFERROR(CJ41/BS41,"N/A")</f>
        <v>N/A</v>
      </c>
      <c r="CL41" s="130" t="str">
        <f ca="1">IFERROR(CD41+CJ41,"N/A")</f>
        <v>N/A</v>
      </c>
      <c r="CQ41" s="179" t="str">
        <f t="shared" si="23"/>
        <v>UF-30</v>
      </c>
      <c r="CR41" s="247" t="str">
        <f t="shared" si="24"/>
        <v>BTU0300142</v>
      </c>
    </row>
    <row r="42" spans="2:96">
      <c r="U42" s="68">
        <f t="shared" ca="1" si="44"/>
        <v>45031</v>
      </c>
      <c r="V42" s="74">
        <v>4</v>
      </c>
      <c r="X42" s="68">
        <f t="shared" ca="1" si="45"/>
        <v>45031</v>
      </c>
      <c r="Y42" s="74">
        <v>4.25</v>
      </c>
      <c r="AA42" s="68">
        <f t="shared" ca="1" si="46"/>
        <v>45031</v>
      </c>
      <c r="AB42" s="74">
        <v>4.5</v>
      </c>
      <c r="AD42" s="68">
        <f t="shared" ca="1" si="47"/>
        <v>45031</v>
      </c>
      <c r="AE42" s="74">
        <v>0</v>
      </c>
      <c r="AH42" s="6">
        <f t="shared" si="53"/>
        <v>12</v>
      </c>
      <c r="AI42" s="7">
        <f t="shared" ca="1" si="57"/>
        <v>42682</v>
      </c>
      <c r="AJ42" s="210">
        <f ca="1">IF(AH42&lt;365,VLOOKUP(LOOKUP(AI42,$AI$2:$AI$23),$AI$2:$AK$23,3,0),Lin_Interp(AH42,$AJ$2:$AJ$23,$AK$2:$AK$23))</f>
        <v>3.5</v>
      </c>
      <c r="AK42" s="8">
        <f t="shared" ca="1" si="58"/>
        <v>1.0000972222222222</v>
      </c>
      <c r="AL42" s="98">
        <f t="shared" ca="1" si="59"/>
        <v>3.6121470212093998</v>
      </c>
      <c r="AM42" s="106">
        <f t="shared" ca="1" si="55"/>
        <v>26275.053610425279</v>
      </c>
      <c r="AN42" s="10">
        <f t="shared" ca="1" si="48"/>
        <v>1.20315458528375</v>
      </c>
      <c r="AO42" s="311">
        <f t="shared" ca="1" si="49"/>
        <v>1.1798229448478637</v>
      </c>
      <c r="AP42" s="312">
        <f t="shared" ca="1" si="50"/>
        <v>0.29182267786859173</v>
      </c>
      <c r="AQ42" s="1"/>
      <c r="AR42" s="3">
        <f t="shared" si="60"/>
        <v>330</v>
      </c>
      <c r="AS42" s="11" t="e">
        <f t="shared" ca="1" si="51"/>
        <v>#NAME?</v>
      </c>
      <c r="AT42" s="110">
        <f t="shared" si="56"/>
        <v>330</v>
      </c>
      <c r="AU42" s="108" t="e">
        <f t="shared" ca="1" si="52"/>
        <v>#NAME?</v>
      </c>
      <c r="AW42" s="174">
        <v>42856</v>
      </c>
      <c r="AX42" s="528">
        <f ca="1">IF(fechaHoy&gt;=siguienteHabil(EDATE(AW42,1)+8,-1),VLOOKUP(EDATE(AW42,1)-1,Inflation_FWD!$L:$M,2,0)/100,IFERROR(VLOOKUP(AW42,Inflation_FWD!$H:$I,2,0),0.25%))</f>
        <v>2.2918717672695266E-3</v>
      </c>
      <c r="AY42" s="528">
        <f t="shared" ca="1" si="66"/>
        <v>2.3157719625825014E-3</v>
      </c>
      <c r="AZ42" s="100">
        <f t="shared" si="1"/>
        <v>42864</v>
      </c>
      <c r="BA42" s="102">
        <f t="shared" ca="1" si="28"/>
        <v>26711.68227142184</v>
      </c>
      <c r="BC42" s="23"/>
      <c r="BD42" s="23"/>
      <c r="BP42" s="217" t="s">
        <v>80</v>
      </c>
      <c r="BQ42" s="179" t="s">
        <v>84</v>
      </c>
      <c r="BR42" s="243">
        <f ca="1">+tirValorizador($C$1,BQ42,$AT$31:$AU$156,"PG")</f>
        <v>-6.320013896075026E-6</v>
      </c>
      <c r="BS42" s="270">
        <f ca="1">INDEX(PrecioDur(fechaHoy,BR42,DATE("20"&amp;RIGHT(BQ42,2),MID(BQ42,7,2),1),MID(BQ42,4,3)/10,2,365),1,2)</f>
        <v>21.089966585550521</v>
      </c>
      <c r="BT42" s="243">
        <f ca="1">+tirValorizador($C$1,BQ42,$AR$31:$AS$156,"PG")</f>
        <v>-6.320013896075026E-6</v>
      </c>
      <c r="BU42" s="243" t="str">
        <f t="shared" si="8"/>
        <v>N/A</v>
      </c>
      <c r="BV42" s="243">
        <f>IFERROR(IFERROR(VLOOKUP(BQ42,TransaccionesRF!$B:$O,12,0),VLOOKUP(BQ42,'TransaccionesRFt-1'!$B:$O,12,0)),"N/A")</f>
        <v>1.63</v>
      </c>
      <c r="BW42" s="114">
        <f t="shared" ca="1" si="61"/>
        <v>1.6300063200138959</v>
      </c>
      <c r="BX42" s="114">
        <f>IFERROR(VLOOKUP(BQ42,TransaccionesRF!$B:$O,12,0),"N/A")</f>
        <v>1.63</v>
      </c>
      <c r="BY42" s="114">
        <f>IFERROR(VLOOKUP(BQ42,'TransaccionesRFt-1'!$B:$O,12,0),"N/A")</f>
        <v>1.63</v>
      </c>
      <c r="BZ42" s="114">
        <f t="shared" si="62"/>
        <v>0</v>
      </c>
      <c r="CA42" s="99" t="str">
        <f t="shared" si="63"/>
        <v>N/A</v>
      </c>
      <c r="CB42" s="130">
        <f t="shared" ca="1" si="64"/>
        <v>0</v>
      </c>
      <c r="CC42" s="130">
        <f ca="1">+tirValorizador($C$1,$BQ42,Zero_swap_CL!$L$23:$M$39,"PG")</f>
        <v>1.3500067929084014</v>
      </c>
      <c r="CD42" s="130">
        <f ca="1">IFERROR(BS42*BW42,"N/A")</f>
        <v>34.376778823329232</v>
      </c>
      <c r="CE42" s="130"/>
      <c r="CF42" s="130">
        <f t="shared" ca="1" si="14"/>
        <v>0.39794317481895991</v>
      </c>
      <c r="CG42" s="130" t="str">
        <f ca="1">IFERROR(BV42/12+CF42-BU42/12,"N/A")</f>
        <v>N/A</v>
      </c>
      <c r="CH42" s="130" t="str">
        <f ca="1">IFERROR(CG42/BS42,"N/A")</f>
        <v>N/A</v>
      </c>
      <c r="CI42" s="130">
        <f t="shared" ca="1" si="17"/>
        <v>0.38104543359116505</v>
      </c>
      <c r="CJ42" s="130">
        <f t="shared" ca="1" si="18"/>
        <v>0.20687876692449841</v>
      </c>
      <c r="CK42" s="130">
        <f ca="1">IFERROR(CJ42/BS42,"N/A")</f>
        <v>9.8093454100699404E-3</v>
      </c>
      <c r="CL42" s="130">
        <f ca="1">IFERROR(CD42+CJ42,"N/A")</f>
        <v>34.583657590253729</v>
      </c>
      <c r="CQ42" s="179" t="str">
        <f t="shared" si="23"/>
        <v>UF-30</v>
      </c>
      <c r="CR42" s="247" t="str">
        <f t="shared" si="24"/>
        <v>BTU0300144</v>
      </c>
    </row>
    <row r="43" spans="2:96">
      <c r="U43" s="68">
        <f t="shared" ca="1" si="44"/>
        <v>45397</v>
      </c>
      <c r="V43" s="74">
        <v>4</v>
      </c>
      <c r="X43" s="68">
        <f t="shared" ca="1" si="45"/>
        <v>45397</v>
      </c>
      <c r="Y43" s="74">
        <v>4.25</v>
      </c>
      <c r="AA43" s="68">
        <f t="shared" ca="1" si="46"/>
        <v>45397</v>
      </c>
      <c r="AB43" s="74">
        <v>4.5</v>
      </c>
      <c r="AD43" s="68">
        <f t="shared" ca="1" si="47"/>
        <v>45397</v>
      </c>
      <c r="AE43" s="74">
        <v>0</v>
      </c>
      <c r="AH43" s="6">
        <f t="shared" si="53"/>
        <v>13</v>
      </c>
      <c r="AI43" s="7">
        <f t="shared" ca="1" si="57"/>
        <v>42683</v>
      </c>
      <c r="AJ43" s="210">
        <f t="shared" ca="1" si="54"/>
        <v>3.5</v>
      </c>
      <c r="AK43" s="8">
        <f t="shared" ca="1" si="58"/>
        <v>1.0000972222222222</v>
      </c>
      <c r="AL43" s="98">
        <f t="shared" ca="1" si="59"/>
        <v>3.6121470212095774</v>
      </c>
      <c r="AM43" s="106">
        <f t="shared" ca="1" si="55"/>
        <v>26276.747136841168</v>
      </c>
      <c r="AN43" s="10">
        <f t="shared" ca="1" si="48"/>
        <v>1.2031528256904789</v>
      </c>
      <c r="AO43" s="311">
        <f t="shared" ca="1" si="49"/>
        <v>1.1798405600234383</v>
      </c>
      <c r="AP43" s="312">
        <f t="shared" ca="1" si="50"/>
        <v>0.29183686622159277</v>
      </c>
      <c r="AQ43" s="1"/>
      <c r="AR43" s="3">
        <f t="shared" si="60"/>
        <v>360</v>
      </c>
      <c r="AS43" s="11" t="e">
        <f t="shared" ca="1" si="51"/>
        <v>#NAME?</v>
      </c>
      <c r="AT43" s="110">
        <f t="shared" si="56"/>
        <v>360</v>
      </c>
      <c r="AU43" s="108" t="e">
        <f t="shared" ca="1" si="52"/>
        <v>#NAME?</v>
      </c>
      <c r="AW43" s="174">
        <v>42887</v>
      </c>
      <c r="AX43" s="528">
        <f ca="1">IF(fechaHoy&gt;=siguienteHabil(EDATE(AW43,1)+8,-1),VLOOKUP(EDATE(AW43,1)-1,Inflation_FWD!$L:$M,2,0)/100,IFERROR(VLOOKUP(AW43,Inflation_FWD!$H:$I,2,0),0.25%))</f>
        <v>2.4681288458374695E-3</v>
      </c>
      <c r="AY43" s="528">
        <f t="shared" ca="1" si="66"/>
        <v>2.4920290411504444E-3</v>
      </c>
      <c r="AZ43" s="100">
        <f t="shared" si="1"/>
        <v>42895</v>
      </c>
      <c r="BA43" s="102">
        <f t="shared" ca="1" si="28"/>
        <v>26775.618511132998</v>
      </c>
      <c r="BC43" s="23"/>
      <c r="BD43" s="23"/>
      <c r="BP43" s="217"/>
      <c r="BQ43" s="179"/>
      <c r="BR43" s="243"/>
      <c r="BS43" s="270"/>
      <c r="BT43" s="243"/>
      <c r="BU43" s="243"/>
      <c r="BV43" s="243"/>
      <c r="BW43" s="114"/>
      <c r="BX43" s="114"/>
      <c r="BY43" s="114"/>
      <c r="BZ43" s="114"/>
      <c r="CA43" s="99"/>
      <c r="CB43" s="130"/>
      <c r="CC43" s="130"/>
      <c r="CD43" s="130"/>
      <c r="CE43" s="130"/>
      <c r="CF43" s="130"/>
      <c r="CG43" s="130"/>
      <c r="CH43" s="130"/>
      <c r="CI43" s="130"/>
      <c r="CJ43" s="130"/>
      <c r="CK43" s="130"/>
      <c r="CL43" s="130"/>
      <c r="CQ43" s="179" t="str">
        <f t="shared" si="23"/>
        <v/>
      </c>
      <c r="CR43" s="247">
        <f t="shared" si="24"/>
        <v>0</v>
      </c>
    </row>
    <row r="44" spans="2:96">
      <c r="C44" s="511" t="s">
        <v>547</v>
      </c>
      <c r="D44" s="511"/>
      <c r="E44" s="511"/>
      <c r="U44" s="68">
        <f t="shared" ca="1" si="44"/>
        <v>45762</v>
      </c>
      <c r="V44" s="74">
        <v>4</v>
      </c>
      <c r="X44" s="68">
        <f t="shared" ca="1" si="45"/>
        <v>45762</v>
      </c>
      <c r="Y44" s="74">
        <v>4.25</v>
      </c>
      <c r="AA44" s="68">
        <f t="shared" ca="1" si="46"/>
        <v>45762</v>
      </c>
      <c r="AB44" s="74">
        <v>4.5</v>
      </c>
      <c r="AD44" s="68">
        <f t="shared" ca="1" si="47"/>
        <v>45762</v>
      </c>
      <c r="AE44" s="74">
        <v>0</v>
      </c>
      <c r="AH44" s="6">
        <f t="shared" si="53"/>
        <v>14</v>
      </c>
      <c r="AI44" s="7">
        <f t="shared" ca="1" si="57"/>
        <v>42684</v>
      </c>
      <c r="AJ44" s="210">
        <f t="shared" ca="1" si="54"/>
        <v>3.5</v>
      </c>
      <c r="AK44" s="8">
        <f t="shared" ca="1" si="58"/>
        <v>1.0000972222222222</v>
      </c>
      <c r="AL44" s="98">
        <f t="shared" ca="1" si="59"/>
        <v>3.6121470212093776</v>
      </c>
      <c r="AM44" s="106">
        <f t="shared" ca="1" si="55"/>
        <v>26281.170458709435</v>
      </c>
      <c r="AN44" s="10">
        <f t="shared" ca="1" si="48"/>
        <v>0.92945966908573041</v>
      </c>
      <c r="AO44" s="311">
        <f t="shared" ca="1" si="49"/>
        <v>0.91265517740219648</v>
      </c>
      <c r="AP44" s="312">
        <f t="shared" ca="1" si="50"/>
        <v>0.29185105549426166</v>
      </c>
      <c r="AQ44" s="1"/>
      <c r="AR44" s="3">
        <f t="shared" si="60"/>
        <v>390</v>
      </c>
      <c r="AS44" s="11" t="e">
        <f t="shared" ca="1" si="51"/>
        <v>#NAME?</v>
      </c>
      <c r="AT44" s="110">
        <f t="shared" si="56"/>
        <v>390</v>
      </c>
      <c r="AU44" s="108" t="e">
        <f t="shared" ca="1" si="52"/>
        <v>#NAME?</v>
      </c>
      <c r="AW44" s="174">
        <v>42917</v>
      </c>
      <c r="AX44" s="528">
        <f ca="1">IF(fechaHoy&gt;=siguienteHabil(EDATE(AW44,1)+8,-1),VLOOKUP(EDATE(AW44,1)-1,Inflation_FWD!$L:$M,2,0)/100,IFERROR(VLOOKUP(AW44,Inflation_FWD!$H:$I,2,0),0.25%))</f>
        <v>2.4313770134691826E-3</v>
      </c>
      <c r="AY44" s="528">
        <f t="shared" ca="1" si="66"/>
        <v>2.4552772087821574E-3</v>
      </c>
      <c r="AZ44" s="100">
        <f t="shared" si="1"/>
        <v>42925</v>
      </c>
      <c r="BA44" s="102">
        <f t="shared" ca="1" si="28"/>
        <v>26837.624737761886</v>
      </c>
      <c r="BC44" s="23"/>
      <c r="BD44" s="23"/>
      <c r="BP44" s="217"/>
      <c r="BQ44" s="179"/>
      <c r="BR44" s="243"/>
      <c r="BS44" s="270"/>
      <c r="BT44" s="243"/>
      <c r="BU44" s="243"/>
      <c r="BV44" s="243"/>
      <c r="BW44" s="114"/>
      <c r="BX44" s="114"/>
      <c r="BY44" s="114"/>
      <c r="BZ44" s="114"/>
      <c r="CA44" s="99"/>
      <c r="CB44" s="130"/>
      <c r="CC44" s="130"/>
      <c r="CD44" s="130"/>
      <c r="CE44" s="130"/>
      <c r="CF44" s="130"/>
      <c r="CG44" s="130"/>
      <c r="CH44" s="130"/>
      <c r="CI44" s="130"/>
      <c r="CJ44" s="130"/>
      <c r="CK44" s="130"/>
      <c r="CL44" s="130"/>
      <c r="CQ44" s="179" t="str">
        <f t="shared" si="23"/>
        <v/>
      </c>
      <c r="CR44" s="247">
        <f t="shared" si="24"/>
        <v>0</v>
      </c>
    </row>
    <row r="45" spans="2:96">
      <c r="U45" s="68">
        <f t="shared" ca="1" si="44"/>
        <v>46127</v>
      </c>
      <c r="V45" s="74">
        <v>4</v>
      </c>
      <c r="X45" s="68">
        <f t="shared" ca="1" si="45"/>
        <v>46127</v>
      </c>
      <c r="Y45" s="74">
        <v>4.25</v>
      </c>
      <c r="AA45" s="68">
        <f t="shared" ca="1" si="46"/>
        <v>46127</v>
      </c>
      <c r="AB45" s="74">
        <v>4.5</v>
      </c>
      <c r="AD45" s="68">
        <f t="shared" ca="1" si="47"/>
        <v>46127</v>
      </c>
      <c r="AE45" s="74">
        <v>0</v>
      </c>
      <c r="AH45" s="6">
        <f t="shared" si="53"/>
        <v>15</v>
      </c>
      <c r="AI45" s="7">
        <f t="shared" ca="1" si="57"/>
        <v>42685</v>
      </c>
      <c r="AJ45" s="210">
        <f t="shared" ca="1" si="54"/>
        <v>3.5</v>
      </c>
      <c r="AK45" s="8">
        <f t="shared" ca="1" si="58"/>
        <v>1.0000972222222222</v>
      </c>
      <c r="AL45" s="98">
        <f t="shared" ca="1" si="59"/>
        <v>3.6121470212091777</v>
      </c>
      <c r="AM45" s="106">
        <f t="shared" ca="1" si="55"/>
        <v>26285.59452518191</v>
      </c>
      <c r="AN45" s="10">
        <f t="shared" ca="1" si="48"/>
        <v>0.69285772391609601</v>
      </c>
      <c r="AO45" s="311">
        <f t="shared" ca="1" si="49"/>
        <v>0.68110665074563315</v>
      </c>
      <c r="AP45" s="312">
        <f t="shared" ca="1" si="50"/>
        <v>0.29186524568669547</v>
      </c>
      <c r="AQ45" s="1"/>
      <c r="AR45" s="3">
        <f t="shared" si="60"/>
        <v>420</v>
      </c>
      <c r="AS45" s="11" t="e">
        <f t="shared" ca="1" si="51"/>
        <v>#NAME?</v>
      </c>
      <c r="AT45" s="110">
        <f t="shared" si="56"/>
        <v>420</v>
      </c>
      <c r="AU45" s="108" t="e">
        <f t="shared" ca="1" si="52"/>
        <v>#NAME?</v>
      </c>
      <c r="AW45" s="174">
        <v>42948</v>
      </c>
      <c r="AX45" s="528">
        <f ca="1">IF(fechaHoy&gt;=siguienteHabil(EDATE(AW45,1)+8,-1),VLOOKUP(EDATE(AW45,1)-1,Inflation_FWD!$L:$M,2,0)/100,IFERROR(VLOOKUP(AW45,Inflation_FWD!$H:$I,2,0),0.25%))</f>
        <v>2.2313811864771438E-3</v>
      </c>
      <c r="AY45" s="528">
        <f t="shared" ca="1" si="66"/>
        <v>2.2552813817901187E-3</v>
      </c>
      <c r="AZ45" s="100">
        <f t="shared" si="1"/>
        <v>42956</v>
      </c>
      <c r="BA45" s="102">
        <f t="shared" ca="1" si="28"/>
        <v>26904.504878003889</v>
      </c>
      <c r="BC45" s="23"/>
      <c r="BD45" s="23"/>
      <c r="BP45" s="217"/>
      <c r="BQ45" s="179"/>
      <c r="BR45" s="243"/>
      <c r="BS45" s="270"/>
      <c r="BT45" s="243"/>
      <c r="BU45" s="243"/>
      <c r="BV45" s="243"/>
      <c r="BW45" s="114"/>
      <c r="BX45" s="114"/>
      <c r="BY45" s="114"/>
      <c r="BZ45" s="114"/>
      <c r="CA45" s="99"/>
      <c r="CB45" s="130"/>
      <c r="CC45" s="130"/>
      <c r="CD45" s="130"/>
      <c r="CE45" s="130"/>
      <c r="CF45" s="130"/>
      <c r="CG45" s="130"/>
      <c r="CH45" s="130"/>
      <c r="CI45" s="130"/>
      <c r="CJ45" s="130"/>
      <c r="CK45" s="130"/>
      <c r="CL45" s="130"/>
    </row>
    <row r="46" spans="2:96" ht="15.75" thickBot="1">
      <c r="I46" s="513" t="s">
        <v>549</v>
      </c>
      <c r="U46" s="69">
        <f ca="1">+R29</f>
        <v>46492</v>
      </c>
      <c r="V46" s="75">
        <v>4</v>
      </c>
      <c r="X46" s="69">
        <f t="shared" ca="1" si="45"/>
        <v>46492</v>
      </c>
      <c r="Y46" s="75">
        <v>4.25</v>
      </c>
      <c r="AA46" s="69">
        <f t="shared" ca="1" si="46"/>
        <v>46492</v>
      </c>
      <c r="AB46" s="75">
        <v>4.5</v>
      </c>
      <c r="AD46" s="69">
        <f t="shared" ca="1" si="47"/>
        <v>46492</v>
      </c>
      <c r="AE46" s="75">
        <v>0</v>
      </c>
      <c r="AH46" s="6">
        <f t="shared" si="53"/>
        <v>16</v>
      </c>
      <c r="AI46" s="7">
        <f t="shared" ca="1" si="57"/>
        <v>42686</v>
      </c>
      <c r="AJ46" s="210">
        <f t="shared" ca="1" si="54"/>
        <v>3.5</v>
      </c>
      <c r="AK46" s="8">
        <f t="shared" ca="1" si="58"/>
        <v>1.0000972222222222</v>
      </c>
      <c r="AL46" s="98">
        <f t="shared" ca="1" si="59"/>
        <v>3.6121470212090445</v>
      </c>
      <c r="AM46" s="106">
        <f t="shared" ca="1" si="55"/>
        <v>26290.019336383932</v>
      </c>
      <c r="AN46" s="10">
        <f t="shared" ca="1" si="48"/>
        <v>0.48628605233076438</v>
      </c>
      <c r="AO46" s="311">
        <f t="shared" ca="1" si="49"/>
        <v>0.47851306875151822</v>
      </c>
      <c r="AP46" s="312">
        <f t="shared" ca="1" si="50"/>
        <v>0.29187943679896688</v>
      </c>
      <c r="AQ46" s="1"/>
      <c r="AR46" s="3">
        <f t="shared" si="60"/>
        <v>450</v>
      </c>
      <c r="AS46" s="11" t="e">
        <f t="shared" ca="1" si="51"/>
        <v>#NAME?</v>
      </c>
      <c r="AT46" s="110">
        <f t="shared" si="56"/>
        <v>450</v>
      </c>
      <c r="AU46" s="108" t="e">
        <f t="shared" ca="1" si="52"/>
        <v>#NAME?</v>
      </c>
      <c r="AW46" s="174">
        <v>42979</v>
      </c>
      <c r="AX46" s="528">
        <f ca="1">IF(fechaHoy&gt;=siguienteHabil(EDATE(AW46,1)+8,-1),VLOOKUP(EDATE(AW46,1)-1,Inflation_FWD!$L:$M,2,0)/100,IFERROR(VLOOKUP(AW46,Inflation_FWD!$H:$I,2,0),0.25%))</f>
        <v>4.9814037148196988E-3</v>
      </c>
      <c r="AY46" s="528">
        <f t="shared" ca="1" si="66"/>
        <v>5.0053039101326732E-3</v>
      </c>
      <c r="AZ46" s="100">
        <f t="shared" si="1"/>
        <v>42987</v>
      </c>
      <c r="BA46" s="102">
        <f t="shared" ca="1" si="28"/>
        <v>26970.562895644423</v>
      </c>
      <c r="BC46" s="23"/>
      <c r="BD46" s="23"/>
      <c r="CC46" s="299"/>
      <c r="CL46" s="284"/>
    </row>
    <row r="47" spans="2:96">
      <c r="AH47" s="6">
        <f t="shared" si="53"/>
        <v>17</v>
      </c>
      <c r="AI47" s="7">
        <f t="shared" ca="1" si="57"/>
        <v>42687</v>
      </c>
      <c r="AJ47" s="210">
        <f t="shared" ca="1" si="54"/>
        <v>3.5</v>
      </c>
      <c r="AK47" s="8">
        <f t="shared" ca="1" si="58"/>
        <v>1.0000972222222222</v>
      </c>
      <c r="AL47" s="98">
        <f t="shared" ca="1" si="59"/>
        <v>3.6121470212088669</v>
      </c>
      <c r="AM47" s="106">
        <f t="shared" ca="1" si="55"/>
        <v>26294.444892440861</v>
      </c>
      <c r="AN47" s="10">
        <f t="shared" ca="1" si="48"/>
        <v>0.30436888865019718</v>
      </c>
      <c r="AO47" s="311">
        <f t="shared" ca="1" si="49"/>
        <v>0.29976473454261598</v>
      </c>
      <c r="AP47" s="312">
        <f t="shared" ca="1" si="50"/>
        <v>0.29189362883113151</v>
      </c>
      <c r="AQ47" s="1"/>
      <c r="AR47" s="3">
        <f t="shared" si="60"/>
        <v>480</v>
      </c>
      <c r="AS47" s="11" t="e">
        <f t="shared" ca="1" si="51"/>
        <v>#NAME?</v>
      </c>
      <c r="AT47" s="110">
        <f t="shared" si="56"/>
        <v>480</v>
      </c>
      <c r="AU47" s="108" t="e">
        <f t="shared" ca="1" si="52"/>
        <v>#NAME?</v>
      </c>
      <c r="AW47" s="174">
        <v>43009</v>
      </c>
      <c r="AX47" s="528">
        <f ca="1">IF(fechaHoy&gt;=siguienteHabil(EDATE(AW47,1)+8,-1),VLOOKUP(EDATE(AW47,1)-1,Inflation_FWD!$L:$M,2,0)/100,IFERROR(VLOOKUP(AW47,Inflation_FWD!$H:$I,2,0),0.25%))</f>
        <v>2.457333396104433E-3</v>
      </c>
      <c r="AY47" s="528">
        <f t="shared" ca="1" si="66"/>
        <v>2.4812335914174079E-3</v>
      </c>
      <c r="AZ47" s="100">
        <f t="shared" si="1"/>
        <v>43017</v>
      </c>
      <c r="BA47" s="102">
        <f t="shared" ca="1" si="28"/>
        <v>27031.389103999372</v>
      </c>
      <c r="BC47" s="23"/>
      <c r="BD47" s="23"/>
      <c r="CC47" s="299"/>
      <c r="CL47" s="284"/>
    </row>
    <row r="48" spans="2:96" ht="15.75" thickBot="1">
      <c r="U48" s="70" t="s">
        <v>25</v>
      </c>
      <c r="X48" s="70" t="s">
        <v>25</v>
      </c>
      <c r="AA48" s="70" t="s">
        <v>25</v>
      </c>
      <c r="AD48" s="70" t="s">
        <v>25</v>
      </c>
      <c r="AH48" s="6">
        <f t="shared" si="53"/>
        <v>18</v>
      </c>
      <c r="AI48" s="7">
        <f t="shared" ca="1" si="57"/>
        <v>42688</v>
      </c>
      <c r="AJ48" s="210">
        <f t="shared" ca="1" si="54"/>
        <v>3.5</v>
      </c>
      <c r="AK48" s="8">
        <f t="shared" ca="1" si="58"/>
        <v>1.0000972222222222</v>
      </c>
      <c r="AL48" s="98">
        <f t="shared" ca="1" si="59"/>
        <v>3.6121470212087781</v>
      </c>
      <c r="AM48" s="106">
        <f t="shared" ca="1" si="55"/>
        <v>26298.871193478088</v>
      </c>
      <c r="AN48" s="10">
        <f t="shared" ca="1" si="48"/>
        <v>0.14294124216844839</v>
      </c>
      <c r="AO48" s="311">
        <f t="shared" ca="1" si="49"/>
        <v>0.14088743943441173</v>
      </c>
      <c r="AP48" s="312">
        <f t="shared" ca="1" si="50"/>
        <v>0.29190782178326968</v>
      </c>
      <c r="AQ48" s="1"/>
      <c r="AR48" s="3">
        <f t="shared" si="60"/>
        <v>510</v>
      </c>
      <c r="AS48" s="11" t="e">
        <f t="shared" ca="1" si="51"/>
        <v>#NAME?</v>
      </c>
      <c r="AT48" s="110">
        <f t="shared" si="56"/>
        <v>510</v>
      </c>
      <c r="AU48" s="108" t="e">
        <f t="shared" ca="1" si="52"/>
        <v>#NAME?</v>
      </c>
      <c r="AW48" s="174">
        <v>43040</v>
      </c>
      <c r="AX48" s="528">
        <f ca="1">IF(fechaHoy&gt;=siguienteHabil(EDATE(AW48,1)+8,-1),VLOOKUP(EDATE(AW48,1)-1,Inflation_FWD!$L:$M,2,0)/100,IFERROR(VLOOKUP(AW48,Inflation_FWD!$H:$I,2,0),0.25%))</f>
        <v>1.0540398573559706E-3</v>
      </c>
      <c r="AY48" s="528">
        <f t="shared" ca="1" si="66"/>
        <v>1.0779400526689453E-3</v>
      </c>
      <c r="AZ48" s="100">
        <f t="shared" si="1"/>
        <v>43048</v>
      </c>
      <c r="BA48" s="102">
        <f t="shared" ca="1" si="28"/>
        <v>27166.689421577939</v>
      </c>
      <c r="BC48" s="23"/>
      <c r="BD48" s="23"/>
      <c r="CC48" s="299"/>
      <c r="CL48" s="284"/>
    </row>
    <row r="49" spans="21:90" ht="15.75" thickBot="1">
      <c r="U49" s="552" t="s">
        <v>571</v>
      </c>
      <c r="V49" s="76">
        <v>1</v>
      </c>
      <c r="X49" s="552" t="s">
        <v>571</v>
      </c>
      <c r="Y49" s="76">
        <v>1.1000000000000001</v>
      </c>
      <c r="AA49" s="552" t="s">
        <v>571</v>
      </c>
      <c r="AB49" s="76">
        <v>1.2</v>
      </c>
      <c r="AD49" s="24" t="s">
        <v>36</v>
      </c>
      <c r="AE49" s="76">
        <v>0.8</v>
      </c>
      <c r="AH49" s="6">
        <f t="shared" si="53"/>
        <v>19</v>
      </c>
      <c r="AI49" s="7">
        <f t="shared" ca="1" si="57"/>
        <v>42689</v>
      </c>
      <c r="AJ49" s="210">
        <f t="shared" ca="1" si="54"/>
        <v>3.5</v>
      </c>
      <c r="AK49" s="8">
        <f t="shared" ca="1" si="58"/>
        <v>1.0000972222222222</v>
      </c>
      <c r="AL49" s="98">
        <f t="shared" ca="1" si="59"/>
        <v>3.6121470212087337</v>
      </c>
      <c r="AM49" s="106">
        <f t="shared" ca="1" si="55"/>
        <v>26303.298239621017</v>
      </c>
      <c r="AN49" s="10">
        <f t="shared" ca="1" si="48"/>
        <v>-1.2737913549054625E-3</v>
      </c>
      <c r="AO49" s="311">
        <f t="shared" ca="1" si="49"/>
        <v>-1.256349743397173E-3</v>
      </c>
      <c r="AP49" s="312">
        <f t="shared" ca="1" si="50"/>
        <v>0.29192201565544479</v>
      </c>
      <c r="AQ49" s="1"/>
      <c r="AR49" s="3">
        <f t="shared" si="60"/>
        <v>540</v>
      </c>
      <c r="AS49" s="11" t="e">
        <f t="shared" ca="1" si="51"/>
        <v>#NAME?</v>
      </c>
      <c r="AT49" s="110">
        <f t="shared" si="56"/>
        <v>540</v>
      </c>
      <c r="AU49" s="108" t="e">
        <f t="shared" ca="1" si="52"/>
        <v>#NAME?</v>
      </c>
      <c r="AW49" s="174">
        <v>43070</v>
      </c>
      <c r="AX49" s="528">
        <f ca="1">IF(fechaHoy&gt;=siguienteHabil(EDATE(AW49,1)+8,-1),VLOOKUP(EDATE(AW49,1)-1,Inflation_FWD!$L:$M,2,0)/100,IFERROR(VLOOKUP(AW49,Inflation_FWD!$H:$I,2,0),0.25%))</f>
        <v>5.5289347585696369E-4</v>
      </c>
      <c r="AY49" s="528">
        <f t="shared" ca="1" si="66"/>
        <v>5.7679367116993845E-4</v>
      </c>
      <c r="AZ49" s="100">
        <f t="shared" si="1"/>
        <v>43078</v>
      </c>
      <c r="BA49" s="102">
        <f t="shared" ca="1" si="28"/>
        <v>27234.096323938364</v>
      </c>
      <c r="BC49" s="23"/>
      <c r="BD49" s="23"/>
      <c r="CC49" s="299"/>
      <c r="CL49" s="284"/>
    </row>
    <row r="50" spans="21:90" ht="15.75" thickBot="1">
      <c r="U50" s="552" t="s">
        <v>572</v>
      </c>
      <c r="V50" s="76">
        <v>1</v>
      </c>
      <c r="X50" s="552" t="s">
        <v>572</v>
      </c>
      <c r="Y50" s="76">
        <v>1.1000000000000001</v>
      </c>
      <c r="AA50" s="552" t="s">
        <v>572</v>
      </c>
      <c r="AB50" s="76">
        <v>1.2</v>
      </c>
      <c r="AD50" s="552" t="s">
        <v>572</v>
      </c>
      <c r="AE50" s="76">
        <v>1.2</v>
      </c>
      <c r="AH50" s="6">
        <f t="shared" si="53"/>
        <v>20</v>
      </c>
      <c r="AI50" s="7">
        <f t="shared" ca="1" si="57"/>
        <v>42690</v>
      </c>
      <c r="AJ50" s="210">
        <f t="shared" ca="1" si="54"/>
        <v>3.5</v>
      </c>
      <c r="AK50" s="8">
        <f t="shared" ca="1" si="58"/>
        <v>1.0000972222222222</v>
      </c>
      <c r="AL50" s="98">
        <f t="shared" ca="1" si="59"/>
        <v>3.6121470212089557</v>
      </c>
      <c r="AM50" s="106">
        <f t="shared" ca="1" si="55"/>
        <v>26307.72603099508</v>
      </c>
      <c r="AN50" s="10">
        <f t="shared" ca="1" si="48"/>
        <v>-0.13088974412378551</v>
      </c>
      <c r="AO50" s="311">
        <f t="shared" ca="1" si="49"/>
        <v>-0.12917665952745239</v>
      </c>
      <c r="AP50" s="312">
        <f t="shared" ca="1" si="50"/>
        <v>0.29193621044774076</v>
      </c>
      <c r="AQ50" s="1"/>
      <c r="AR50" s="3">
        <f t="shared" si="60"/>
        <v>570</v>
      </c>
      <c r="AS50" s="11" t="e">
        <f t="shared" ca="1" si="51"/>
        <v>#NAME?</v>
      </c>
      <c r="AT50" s="110">
        <f t="shared" si="56"/>
        <v>570</v>
      </c>
      <c r="AU50" s="108" t="e">
        <f t="shared" ca="1" si="52"/>
        <v>#NAME?</v>
      </c>
      <c r="AW50" s="176">
        <v>43101</v>
      </c>
      <c r="AX50" s="177">
        <f ca="1">IF(fechaHoy&gt;=siguienteHabil(EDATE(AW50,1)+8,-1),VLOOKUP(EDATE(AW50,1)-1,Inflation_FWD!$L:$M,2,0)/100,IFERROR(VLOOKUP(AW50,Inflation_FWD!$H:$I,2,0),0.25%))</f>
        <v>1.1788543009763064E-3</v>
      </c>
      <c r="AY50" s="177">
        <f t="shared" ref="AY50:AY90" si="67">+$S$5/1200</f>
        <v>2.4750000000000002E-3</v>
      </c>
      <c r="AZ50" s="100">
        <f t="shared" si="1"/>
        <v>43109</v>
      </c>
      <c r="BA50" s="102">
        <f t="shared" ca="1" si="28"/>
        <v>27263.453047164185</v>
      </c>
      <c r="BC50" s="23"/>
      <c r="BD50" s="23"/>
      <c r="CC50" s="299"/>
      <c r="CL50" s="284"/>
    </row>
    <row r="51" spans="21:90">
      <c r="AH51" s="6">
        <f t="shared" si="53"/>
        <v>21</v>
      </c>
      <c r="AI51" s="7">
        <f t="shared" ca="1" si="57"/>
        <v>42691</v>
      </c>
      <c r="AJ51" s="210">
        <f t="shared" ca="1" si="54"/>
        <v>3.5000000000000004</v>
      </c>
      <c r="AK51" s="8">
        <f t="shared" ca="1" si="58"/>
        <v>1.0000972222222222</v>
      </c>
      <c r="AL51" s="98">
        <f t="shared" ca="1" si="59"/>
        <v>3.6121470212090667</v>
      </c>
      <c r="AM51" s="106">
        <f t="shared" ca="1" si="55"/>
        <v>26312.154567725724</v>
      </c>
      <c r="AN51" s="10">
        <f t="shared" ca="1" si="48"/>
        <v>-0.24801654818713548</v>
      </c>
      <c r="AO51" s="311">
        <f t="shared" ca="1" si="49"/>
        <v>-0.24490541616208258</v>
      </c>
      <c r="AP51" s="312">
        <f t="shared" ca="1" si="50"/>
        <v>0.29195040616019391</v>
      </c>
      <c r="AQ51" s="1"/>
      <c r="AR51" s="3">
        <f t="shared" si="60"/>
        <v>600</v>
      </c>
      <c r="AS51" s="11" t="e">
        <f t="shared" ca="1" si="51"/>
        <v>#NAME?</v>
      </c>
      <c r="AT51" s="110">
        <f t="shared" si="56"/>
        <v>600</v>
      </c>
      <c r="AU51" s="108" t="e">
        <f t="shared" ca="1" si="52"/>
        <v>#NAME?</v>
      </c>
      <c r="AW51" s="176">
        <v>43132</v>
      </c>
      <c r="AX51" s="177">
        <f ca="1">IF(fechaHoy&gt;=siguienteHabil(EDATE(AW51,1)+8,-1),VLOOKUP(EDATE(AW51,1)-1,Inflation_FWD!$L:$M,2,0)/100,IFERROR(VLOOKUP(AW51,Inflation_FWD!$H:$I,2,0),0.25%))</f>
        <v>1.5086286197887322E-3</v>
      </c>
      <c r="AY51" s="177">
        <f t="shared" si="67"/>
        <v>2.4750000000000002E-3</v>
      </c>
      <c r="AZ51" s="100">
        <f t="shared" si="1"/>
        <v>43140</v>
      </c>
      <c r="BA51" s="102">
        <f t="shared" ca="1" si="28"/>
        <v>27279.17843433603</v>
      </c>
      <c r="BC51" s="23"/>
      <c r="BD51" s="23"/>
      <c r="CC51" s="299"/>
      <c r="CL51" s="284"/>
    </row>
    <row r="52" spans="21:90">
      <c r="AH52" s="6">
        <f t="shared" si="53"/>
        <v>22</v>
      </c>
      <c r="AI52" s="7">
        <f t="shared" ca="1" si="57"/>
        <v>42692</v>
      </c>
      <c r="AJ52" s="210">
        <f t="shared" ca="1" si="54"/>
        <v>3.5000000000000004</v>
      </c>
      <c r="AK52" s="8">
        <f t="shared" ca="1" si="58"/>
        <v>1.0000972222222222</v>
      </c>
      <c r="AL52" s="98">
        <f t="shared" ca="1" si="59"/>
        <v>3.6121470212089557</v>
      </c>
      <c r="AM52" s="106">
        <f t="shared" ca="1" si="55"/>
        <v>26316.583849938419</v>
      </c>
      <c r="AN52" s="10">
        <f t="shared" ca="1" si="48"/>
        <v>-0.3543762542424056</v>
      </c>
      <c r="AO52" s="311">
        <f t="shared" ca="1" si="49"/>
        <v>-0.35010510475573897</v>
      </c>
      <c r="AP52" s="312">
        <f t="shared" ca="1" si="50"/>
        <v>0.29196460279286424</v>
      </c>
      <c r="AQ52" s="1"/>
      <c r="AR52" s="3">
        <f t="shared" si="60"/>
        <v>630</v>
      </c>
      <c r="AS52" s="11" t="e">
        <f t="shared" ca="1" si="51"/>
        <v>#NAME?</v>
      </c>
      <c r="AT52" s="110">
        <f t="shared" si="56"/>
        <v>630</v>
      </c>
      <c r="AU52" s="108" t="e">
        <f t="shared" ca="1" si="52"/>
        <v>#NAME?</v>
      </c>
      <c r="AW52" s="176">
        <v>43160</v>
      </c>
      <c r="AX52" s="177">
        <f ca="1">IF(fechaHoy&gt;=siguienteHabil(EDATE(AW52,1)+8,-1),VLOOKUP(EDATE(AW52,1)-1,Inflation_FWD!$L:$M,2,0)/100,IFERROR(VLOOKUP(AW52,Inflation_FWD!$H:$I,2,0),0.25%))</f>
        <v>2.5000000000000001E-3</v>
      </c>
      <c r="AY52" s="177">
        <f t="shared" si="67"/>
        <v>2.4750000000000002E-3</v>
      </c>
      <c r="AZ52" s="100">
        <f t="shared" si="1"/>
        <v>43168</v>
      </c>
      <c r="BA52" s="102">
        <f t="shared" ca="1" si="28"/>
        <v>27346.694400961012</v>
      </c>
      <c r="BC52" s="23"/>
      <c r="BD52" s="23"/>
      <c r="CC52" s="299"/>
      <c r="CL52" s="284"/>
    </row>
    <row r="53" spans="21:90">
      <c r="AH53" s="6">
        <f t="shared" si="53"/>
        <v>23</v>
      </c>
      <c r="AI53" s="7">
        <f t="shared" ca="1" si="57"/>
        <v>42693</v>
      </c>
      <c r="AJ53" s="210">
        <f t="shared" ca="1" si="54"/>
        <v>3.5000000000000004</v>
      </c>
      <c r="AK53" s="8">
        <f t="shared" ca="1" si="58"/>
        <v>1.0000972222222222</v>
      </c>
      <c r="AL53" s="98">
        <f t="shared" ca="1" si="59"/>
        <v>3.6121470212091333</v>
      </c>
      <c r="AM53" s="106">
        <f t="shared" ca="1" si="55"/>
        <v>26321.013877758662</v>
      </c>
      <c r="AN53" s="10">
        <f t="shared" ca="1" si="48"/>
        <v>-0.45138824523086596</v>
      </c>
      <c r="AO53" s="311">
        <f t="shared" ca="1" si="49"/>
        <v>-0.4461490825717509</v>
      </c>
      <c r="AP53" s="312">
        <f t="shared" ca="1" si="50"/>
        <v>0.29197880034585916</v>
      </c>
      <c r="AQ53" s="1"/>
      <c r="AR53" s="3">
        <f t="shared" si="60"/>
        <v>660</v>
      </c>
      <c r="AS53" s="11" t="e">
        <f t="shared" ca="1" si="51"/>
        <v>#NAME?</v>
      </c>
      <c r="AT53" s="110">
        <f t="shared" si="56"/>
        <v>660</v>
      </c>
      <c r="AU53" s="108" t="e">
        <f t="shared" ca="1" si="52"/>
        <v>#NAME?</v>
      </c>
      <c r="AW53" s="176">
        <v>43191</v>
      </c>
      <c r="AX53" s="177">
        <f ca="1">IF(fechaHoy&gt;=siguienteHabil(EDATE(AW53,1)+8,-1),VLOOKUP(EDATE(AW53,1)-1,Inflation_FWD!$L:$M,2,0)/100,IFERROR(VLOOKUP(AW53,Inflation_FWD!$H:$I,2,0),0.25%))</f>
        <v>2.5000000000000001E-3</v>
      </c>
      <c r="AY53" s="177">
        <f t="shared" si="67"/>
        <v>2.4750000000000002E-3</v>
      </c>
      <c r="AZ53" s="100">
        <f t="shared" si="1"/>
        <v>43199</v>
      </c>
      <c r="BA53" s="102">
        <f t="shared" ca="1" si="28"/>
        <v>27414.377469603391</v>
      </c>
      <c r="BC53" s="23"/>
      <c r="BD53" s="23"/>
      <c r="CC53" s="299"/>
      <c r="CL53" s="284"/>
    </row>
    <row r="54" spans="21:90">
      <c r="AH54" s="6">
        <f t="shared" si="53"/>
        <v>24</v>
      </c>
      <c r="AI54" s="7">
        <f t="shared" ca="1" si="57"/>
        <v>42694</v>
      </c>
      <c r="AJ54" s="210">
        <f t="shared" ca="1" si="54"/>
        <v>3.5000000000000004</v>
      </c>
      <c r="AK54" s="8">
        <f t="shared" ca="1" si="58"/>
        <v>1.0000972222222222</v>
      </c>
      <c r="AL54" s="98">
        <f t="shared" ca="1" si="59"/>
        <v>3.6121470212091999</v>
      </c>
      <c r="AM54" s="106">
        <f t="shared" ca="1" si="55"/>
        <v>26325.444651311951</v>
      </c>
      <c r="AN54" s="10">
        <f t="shared" ca="1" si="48"/>
        <v>-0.54023293147859031</v>
      </c>
      <c r="AO54" s="311">
        <f t="shared" ca="1" si="49"/>
        <v>-0.53418181399639275</v>
      </c>
      <c r="AP54" s="312">
        <f t="shared" ca="1" si="50"/>
        <v>0.2919929988192127</v>
      </c>
      <c r="AQ54" s="1"/>
      <c r="AR54" s="3">
        <f t="shared" si="60"/>
        <v>690</v>
      </c>
      <c r="AS54" s="11" t="e">
        <f t="shared" ca="1" si="51"/>
        <v>#NAME?</v>
      </c>
      <c r="AT54" s="110">
        <f t="shared" si="56"/>
        <v>690</v>
      </c>
      <c r="AU54" s="108" t="e">
        <f t="shared" ca="1" si="52"/>
        <v>#NAME?</v>
      </c>
      <c r="AW54" s="176">
        <v>43221</v>
      </c>
      <c r="AX54" s="177">
        <f ca="1">IF(fechaHoy&gt;=siguienteHabil(EDATE(AW54,1)+8,-1),VLOOKUP(EDATE(AW54,1)-1,Inflation_FWD!$L:$M,2,0)/100,IFERROR(VLOOKUP(AW54,Inflation_FWD!$H:$I,2,0),0.25%))</f>
        <v>2.5000000000000001E-3</v>
      </c>
      <c r="AY54" s="177">
        <f t="shared" si="67"/>
        <v>2.4750000000000002E-3</v>
      </c>
      <c r="AZ54" s="100">
        <f t="shared" si="1"/>
        <v>43229</v>
      </c>
      <c r="BA54" s="102">
        <f t="shared" ca="1" si="28"/>
        <v>27482.228053840659</v>
      </c>
      <c r="BC54" s="23"/>
      <c r="BD54" s="23"/>
      <c r="CC54" s="299"/>
      <c r="CL54" s="284"/>
    </row>
    <row r="55" spans="21:90">
      <c r="AH55" s="6">
        <f t="shared" si="53"/>
        <v>25</v>
      </c>
      <c r="AI55" s="7">
        <f t="shared" ca="1" si="57"/>
        <v>42695</v>
      </c>
      <c r="AJ55" s="210">
        <f t="shared" ca="1" si="54"/>
        <v>3.5000000000000004</v>
      </c>
      <c r="AK55" s="8">
        <f t="shared" ca="1" si="58"/>
        <v>1.0000972222222222</v>
      </c>
      <c r="AL55" s="98">
        <f t="shared" ca="1" si="59"/>
        <v>3.6121470212093332</v>
      </c>
      <c r="AM55" s="106">
        <f t="shared" ca="1" si="55"/>
        <v>26329.876170723834</v>
      </c>
      <c r="AN55" s="10">
        <f t="shared" ca="1" si="48"/>
        <v>-0.62190001073337831</v>
      </c>
      <c r="AO55" s="311">
        <f t="shared" ca="1" si="49"/>
        <v>-0.6151646491142948</v>
      </c>
      <c r="AP55" s="312">
        <f t="shared" ca="1" si="50"/>
        <v>0.2920071982130068</v>
      </c>
      <c r="AQ55" s="1"/>
      <c r="AR55" s="3">
        <f t="shared" si="60"/>
        <v>720</v>
      </c>
      <c r="AS55" s="11" t="e">
        <f t="shared" ca="1" si="51"/>
        <v>#NAME?</v>
      </c>
      <c r="AT55" s="110">
        <f t="shared" si="56"/>
        <v>720</v>
      </c>
      <c r="AU55" s="108" t="e">
        <f t="shared" ca="1" si="52"/>
        <v>#NAME?</v>
      </c>
      <c r="AW55" s="176">
        <v>43252</v>
      </c>
      <c r="AX55" s="177">
        <f ca="1">IF(fechaHoy&gt;=siguienteHabil(EDATE(AW55,1)+8,-1),VLOOKUP(EDATE(AW55,1)-1,Inflation_FWD!$L:$M,2,0)/100,IFERROR(VLOOKUP(AW55,Inflation_FWD!$H:$I,2,0),0.25%))</f>
        <v>2.5000000000000001E-3</v>
      </c>
      <c r="AY55" s="177">
        <f t="shared" si="67"/>
        <v>2.4750000000000002E-3</v>
      </c>
      <c r="AZ55" s="100">
        <f t="shared" si="1"/>
        <v>43260</v>
      </c>
      <c r="BA55" s="102">
        <f t="shared" ca="1" si="28"/>
        <v>27550.246568273917</v>
      </c>
      <c r="BC55" s="23"/>
      <c r="BD55" s="23"/>
      <c r="CC55" s="299"/>
      <c r="CL55" s="284"/>
    </row>
    <row r="56" spans="21:90">
      <c r="AH56" s="6">
        <f t="shared" si="53"/>
        <v>26</v>
      </c>
      <c r="AI56" s="7">
        <f t="shared" ca="1" si="57"/>
        <v>42696</v>
      </c>
      <c r="AJ56" s="210">
        <f t="shared" ca="1" si="54"/>
        <v>3.5000000000000004</v>
      </c>
      <c r="AK56" s="8">
        <f t="shared" ca="1" si="58"/>
        <v>1.0000972222222222</v>
      </c>
      <c r="AL56" s="98">
        <f t="shared" ca="1" si="59"/>
        <v>3.6121470212092222</v>
      </c>
      <c r="AM56" s="106">
        <f t="shared" ca="1" si="55"/>
        <v>26334.308436119863</v>
      </c>
      <c r="AN56" s="10">
        <f t="shared" ca="1" si="48"/>
        <v>-0.69722548732699119</v>
      </c>
      <c r="AO56" s="311">
        <f t="shared" ca="1" si="49"/>
        <v>-0.68991103799722098</v>
      </c>
      <c r="AP56" s="312">
        <f t="shared" ca="1" si="50"/>
        <v>0.29202139852728509</v>
      </c>
      <c r="AQ56" s="1"/>
      <c r="AR56" s="3">
        <f t="shared" si="60"/>
        <v>750</v>
      </c>
      <c r="AS56" s="11" t="e">
        <f t="shared" ca="1" si="51"/>
        <v>#NAME?</v>
      </c>
      <c r="AT56" s="110">
        <f t="shared" si="56"/>
        <v>750</v>
      </c>
      <c r="AU56" s="108" t="e">
        <f t="shared" ca="1" si="52"/>
        <v>#NAME?</v>
      </c>
      <c r="AW56" s="176">
        <v>43282</v>
      </c>
      <c r="AX56" s="177">
        <f ca="1">IF(fechaHoy&gt;=siguienteHabil(EDATE(AW56,1)+8,-1),VLOOKUP(EDATE(AW56,1)-1,Inflation_FWD!$L:$M,2,0)/100,IFERROR(VLOOKUP(AW56,Inflation_FWD!$H:$I,2,0),0.25%))</f>
        <v>2.5000000000000001E-3</v>
      </c>
      <c r="AY56" s="177">
        <f t="shared" si="67"/>
        <v>2.4750000000000002E-3</v>
      </c>
      <c r="AZ56" s="100">
        <f t="shared" si="1"/>
        <v>43290</v>
      </c>
      <c r="BA56" s="102">
        <f t="shared" ca="1" si="28"/>
        <v>27618.433428530396</v>
      </c>
      <c r="BC56" s="23"/>
      <c r="BD56" s="23"/>
      <c r="CC56" s="299"/>
      <c r="CL56" s="284"/>
    </row>
    <row r="57" spans="21:90">
      <c r="AH57" s="6">
        <f t="shared" si="53"/>
        <v>27</v>
      </c>
      <c r="AI57" s="7">
        <f t="shared" ca="1" si="57"/>
        <v>42697</v>
      </c>
      <c r="AJ57" s="210">
        <f t="shared" ca="1" si="54"/>
        <v>3.5000000000000004</v>
      </c>
      <c r="AK57" s="8">
        <f t="shared" ca="1" si="58"/>
        <v>1.0000972222222222</v>
      </c>
      <c r="AL57" s="98">
        <f t="shared" ca="1" si="59"/>
        <v>3.6121470212091333</v>
      </c>
      <c r="AM57" s="106">
        <f t="shared" ca="1" si="55"/>
        <v>26338.741447625613</v>
      </c>
      <c r="AN57" s="10">
        <f t="shared" ca="1" si="48"/>
        <v>-0.7669203908695299</v>
      </c>
      <c r="AO57" s="311">
        <f t="shared" ca="1" si="49"/>
        <v>-0.75911391959460062</v>
      </c>
      <c r="AP57" s="312">
        <f t="shared" ca="1" si="50"/>
        <v>0.29203559976213417</v>
      </c>
      <c r="AQ57" s="1"/>
      <c r="AR57" s="3">
        <f t="shared" si="60"/>
        <v>780</v>
      </c>
      <c r="AS57" s="11" t="e">
        <f t="shared" ca="1" si="51"/>
        <v>#NAME?</v>
      </c>
      <c r="AT57" s="110">
        <f t="shared" si="56"/>
        <v>780</v>
      </c>
      <c r="AU57" s="108" t="e">
        <f t="shared" ca="1" si="52"/>
        <v>#NAME?</v>
      </c>
      <c r="AW57" s="176">
        <v>43313</v>
      </c>
      <c r="AX57" s="177">
        <f ca="1">IF(fechaHoy&gt;=siguienteHabil(EDATE(AW57,1)+8,-1),VLOOKUP(EDATE(AW57,1)-1,Inflation_FWD!$L:$M,2,0)/100,IFERROR(VLOOKUP(AW57,Inflation_FWD!$H:$I,2,0),0.25%))</f>
        <v>2.5000000000000001E-3</v>
      </c>
      <c r="AY57" s="177">
        <f t="shared" si="67"/>
        <v>2.4750000000000002E-3</v>
      </c>
      <c r="AZ57" s="100">
        <f t="shared" si="1"/>
        <v>43321</v>
      </c>
      <c r="BA57" s="102">
        <f t="shared" ca="1" si="28"/>
        <v>27686.789051266009</v>
      </c>
      <c r="BC57" s="23"/>
      <c r="BD57" s="23"/>
      <c r="CC57" s="299"/>
      <c r="CL57" s="284"/>
    </row>
    <row r="58" spans="21:90">
      <c r="AH58" s="6">
        <f t="shared" si="53"/>
        <v>28</v>
      </c>
      <c r="AI58" s="7">
        <f t="shared" ca="1" si="57"/>
        <v>42698</v>
      </c>
      <c r="AJ58" s="210">
        <f t="shared" ca="1" si="54"/>
        <v>3.5000000000000004</v>
      </c>
      <c r="AK58" s="8">
        <f t="shared" ca="1" si="58"/>
        <v>1.0000972222222222</v>
      </c>
      <c r="AL58" s="98">
        <f t="shared" ca="1" si="59"/>
        <v>3.6121470212091555</v>
      </c>
      <c r="AM58" s="106">
        <f t="shared" ca="1" si="55"/>
        <v>26343.175205366679</v>
      </c>
      <c r="AN58" s="10">
        <f t="shared" ca="1" si="48"/>
        <v>-0.83159328753458217</v>
      </c>
      <c r="AO58" s="311">
        <f t="shared" ca="1" si="49"/>
        <v>-0.82336724157722996</v>
      </c>
      <c r="AP58" s="312">
        <f t="shared" ca="1" si="50"/>
        <v>0.29204980191762808</v>
      </c>
      <c r="AQ58" s="1"/>
      <c r="AR58" s="3">
        <f t="shared" si="60"/>
        <v>810</v>
      </c>
      <c r="AS58" s="11" t="e">
        <f t="shared" ca="1" si="51"/>
        <v>#NAME?</v>
      </c>
      <c r="AT58" s="110">
        <f t="shared" si="56"/>
        <v>810</v>
      </c>
      <c r="AU58" s="108" t="e">
        <f t="shared" ca="1" si="52"/>
        <v>#NAME?</v>
      </c>
      <c r="AW58" s="176">
        <v>43344</v>
      </c>
      <c r="AX58" s="177">
        <f ca="1">IF(fechaHoy&gt;=siguienteHabil(EDATE(AW58,1)+8,-1),VLOOKUP(EDATE(AW58,1)-1,Inflation_FWD!$L:$M,2,0)/100,IFERROR(VLOOKUP(AW58,Inflation_FWD!$H:$I,2,0),0.25%))</f>
        <v>2.5000000000000001E-3</v>
      </c>
      <c r="AY58" s="177">
        <f t="shared" si="67"/>
        <v>2.4750000000000002E-3</v>
      </c>
      <c r="AZ58" s="100">
        <f t="shared" si="1"/>
        <v>43352</v>
      </c>
      <c r="BA58" s="102">
        <f t="shared" ca="1" si="28"/>
        <v>27755.313854167893</v>
      </c>
      <c r="BC58" s="23"/>
      <c r="BD58" s="23"/>
      <c r="CC58" s="299"/>
      <c r="CL58" s="284"/>
    </row>
    <row r="59" spans="21:90">
      <c r="AH59" s="6">
        <f t="shared" si="53"/>
        <v>29</v>
      </c>
      <c r="AI59" s="7">
        <f t="shared" ca="1" si="57"/>
        <v>42699</v>
      </c>
      <c r="AJ59" s="210">
        <f t="shared" ca="1" si="54"/>
        <v>3.5000000000000004</v>
      </c>
      <c r="AK59" s="8">
        <f t="shared" ca="1" si="58"/>
        <v>1.0000972222222222</v>
      </c>
      <c r="AL59" s="98">
        <f t="shared" ca="1" si="59"/>
        <v>3.6121470212092222</v>
      </c>
      <c r="AM59" s="106">
        <f t="shared" ca="1" si="55"/>
        <v>26347.609709468681</v>
      </c>
      <c r="AN59" s="10">
        <f t="shared" ca="1" si="48"/>
        <v>-0.89176809479081243</v>
      </c>
      <c r="AO59" s="311">
        <f t="shared" ca="1" si="49"/>
        <v>-0.88318302779965729</v>
      </c>
      <c r="AP59" s="312">
        <f t="shared" ca="1" si="50"/>
        <v>0.29206400499383095</v>
      </c>
      <c r="AQ59" s="1"/>
      <c r="AR59" s="3">
        <f t="shared" si="60"/>
        <v>840</v>
      </c>
      <c r="AS59" s="11" t="e">
        <f t="shared" ca="1" si="51"/>
        <v>#NAME?</v>
      </c>
      <c r="AT59" s="110">
        <f t="shared" si="56"/>
        <v>840</v>
      </c>
      <c r="AU59" s="108" t="e">
        <f t="shared" ca="1" si="52"/>
        <v>#NAME?</v>
      </c>
      <c r="AW59" s="176">
        <v>43374</v>
      </c>
      <c r="AX59" s="177">
        <f ca="1">IF(fechaHoy&gt;=siguienteHabil(EDATE(AW59,1)+8,-1),VLOOKUP(EDATE(AW59,1)-1,Inflation_FWD!$L:$M,2,0)/100,IFERROR(VLOOKUP(AW59,Inflation_FWD!$H:$I,2,0),0.25%))</f>
        <v>2.5000000000000001E-3</v>
      </c>
      <c r="AY59" s="177">
        <f t="shared" si="67"/>
        <v>2.4750000000000002E-3</v>
      </c>
      <c r="AZ59" s="100">
        <f t="shared" si="1"/>
        <v>43382</v>
      </c>
      <c r="BA59" s="102">
        <f t="shared" ca="1" si="28"/>
        <v>27824.00825595696</v>
      </c>
      <c r="BC59" s="23"/>
      <c r="BD59" s="23"/>
      <c r="CC59" s="299"/>
      <c r="CL59" s="284"/>
    </row>
    <row r="60" spans="21:90">
      <c r="AH60" s="6">
        <f t="shared" si="53"/>
        <v>30</v>
      </c>
      <c r="AI60" s="7">
        <f t="shared" ca="1" si="57"/>
        <v>42700</v>
      </c>
      <c r="AJ60" s="210">
        <f t="shared" ca="1" si="54"/>
        <v>3.5000000000000004</v>
      </c>
      <c r="AK60" s="8">
        <f t="shared" ca="1" si="58"/>
        <v>1.0000972222222222</v>
      </c>
      <c r="AL60" s="98">
        <f t="shared" ca="1" si="59"/>
        <v>3.6121470212092222</v>
      </c>
      <c r="AM60" s="106">
        <f t="shared" ca="1" si="55"/>
        <v>26352.044960057257</v>
      </c>
      <c r="AN60" s="10">
        <f t="shared" ca="1" si="48"/>
        <v>-0.94789830429635735</v>
      </c>
      <c r="AO60" s="311">
        <f t="shared" ca="1" si="49"/>
        <v>-0.93900503226929111</v>
      </c>
      <c r="AP60" s="312">
        <f t="shared" ca="1" si="50"/>
        <v>0.29207820899079806</v>
      </c>
      <c r="AQ60" s="1"/>
      <c r="AR60" s="3">
        <f t="shared" si="60"/>
        <v>870</v>
      </c>
      <c r="AS60" s="11" t="e">
        <f t="shared" ca="1" si="51"/>
        <v>#NAME?</v>
      </c>
      <c r="AT60" s="110">
        <f t="shared" si="56"/>
        <v>870</v>
      </c>
      <c r="AU60" s="108" t="e">
        <f t="shared" ca="1" si="52"/>
        <v>#NAME?</v>
      </c>
      <c r="AW60" s="176">
        <v>43405</v>
      </c>
      <c r="AX60" s="177">
        <f ca="1">IF(fechaHoy&gt;=siguienteHabil(EDATE(AW60,1)+8,-1),VLOOKUP(EDATE(AW60,1)-1,Inflation_FWD!$L:$M,2,0)/100,IFERROR(VLOOKUP(AW60,Inflation_FWD!$H:$I,2,0),0.25%))</f>
        <v>2.5000000000000001E-3</v>
      </c>
      <c r="AY60" s="177">
        <f t="shared" si="67"/>
        <v>2.4750000000000002E-3</v>
      </c>
      <c r="AZ60" s="100">
        <f t="shared" si="1"/>
        <v>43413</v>
      </c>
      <c r="BA60" s="102">
        <f t="shared" ca="1" si="28"/>
        <v>27892.872676390452</v>
      </c>
      <c r="BC60" s="23"/>
      <c r="BD60" s="23"/>
      <c r="CC60" s="299"/>
      <c r="CL60" s="284"/>
    </row>
    <row r="61" spans="21:90">
      <c r="AH61" s="6">
        <f t="shared" si="53"/>
        <v>31</v>
      </c>
      <c r="AI61" s="7">
        <f t="shared" ca="1" si="57"/>
        <v>42701</v>
      </c>
      <c r="AJ61" s="210">
        <f t="shared" ca="1" si="54"/>
        <v>3.5000000000000004</v>
      </c>
      <c r="AK61" s="8">
        <f t="shared" ca="1" si="58"/>
        <v>1.0000972222222222</v>
      </c>
      <c r="AL61" s="98">
        <f t="shared" ca="1" si="59"/>
        <v>3.6121470212091555</v>
      </c>
      <c r="AM61" s="106">
        <f t="shared" ca="1" si="55"/>
        <v>26356.480957258067</v>
      </c>
      <c r="AN61" s="10">
        <f t="shared" ca="1" si="48"/>
        <v>-1.0003784303625918</v>
      </c>
      <c r="AO61" s="311">
        <f t="shared" ca="1" si="49"/>
        <v>-0.99121975041116528</v>
      </c>
      <c r="AP61" s="312">
        <f t="shared" ca="1" si="50"/>
        <v>0.29209241390859925</v>
      </c>
      <c r="AQ61" s="1"/>
      <c r="AR61" s="3">
        <f t="shared" si="60"/>
        <v>900</v>
      </c>
      <c r="AS61" s="11" t="e">
        <f t="shared" ca="1" si="51"/>
        <v>#NAME?</v>
      </c>
      <c r="AT61" s="110">
        <f t="shared" si="56"/>
        <v>900</v>
      </c>
      <c r="AU61" s="108" t="e">
        <f t="shared" ca="1" si="52"/>
        <v>#NAME?</v>
      </c>
      <c r="AW61" s="176">
        <v>43435</v>
      </c>
      <c r="AX61" s="177">
        <f ca="1">IF(fechaHoy&gt;=siguienteHabil(EDATE(AW61,1)+8,-1),VLOOKUP(EDATE(AW61,1)-1,Inflation_FWD!$L:$M,2,0)/100,IFERROR(VLOOKUP(AW61,Inflation_FWD!$H:$I,2,0),0.25%))</f>
        <v>2.5000000000000001E-3</v>
      </c>
      <c r="AY61" s="177">
        <f t="shared" si="67"/>
        <v>2.4750000000000002E-3</v>
      </c>
      <c r="AZ61" s="100">
        <f t="shared" si="1"/>
        <v>43443</v>
      </c>
      <c r="BA61" s="102">
        <f t="shared" ca="1" si="28"/>
        <v>27961.90753626452</v>
      </c>
      <c r="BC61" s="23"/>
      <c r="BD61" s="23"/>
      <c r="CC61" s="299"/>
      <c r="CL61" s="284"/>
    </row>
    <row r="62" spans="21:90">
      <c r="AH62" s="6">
        <f t="shared" si="53"/>
        <v>32</v>
      </c>
      <c r="AI62" s="7">
        <f t="shared" ca="1" si="57"/>
        <v>42702</v>
      </c>
      <c r="AJ62" s="210">
        <f t="shared" ca="1" si="54"/>
        <v>3.5000000000000004</v>
      </c>
      <c r="AK62" s="8">
        <f t="shared" ca="1" si="58"/>
        <v>1.0000972222222222</v>
      </c>
      <c r="AL62" s="98">
        <f t="shared" ca="1" si="59"/>
        <v>3.6121470212092222</v>
      </c>
      <c r="AM62" s="106">
        <f t="shared" ca="1" si="55"/>
        <v>26360.917701196795</v>
      </c>
      <c r="AN62" s="10">
        <f t="shared" ca="1" si="48"/>
        <v>-1.0495532955000941</v>
      </c>
      <c r="AO62" s="311">
        <f t="shared" ca="1" si="49"/>
        <v>-1.0401653657228089</v>
      </c>
      <c r="AP62" s="312">
        <f t="shared" ca="1" si="50"/>
        <v>0.29210661974731628</v>
      </c>
      <c r="AQ62" s="1"/>
      <c r="AR62" s="3">
        <f t="shared" si="60"/>
        <v>930</v>
      </c>
      <c r="AS62" s="11" t="e">
        <f t="shared" ca="1" si="51"/>
        <v>#NAME?</v>
      </c>
      <c r="AT62" s="110">
        <f t="shared" si="56"/>
        <v>930</v>
      </c>
      <c r="AU62" s="108" t="e">
        <f t="shared" ca="1" si="52"/>
        <v>#NAME?</v>
      </c>
      <c r="AW62" s="176">
        <v>43466</v>
      </c>
      <c r="AX62" s="177">
        <f ca="1">IF(fechaHoy&gt;=siguienteHabil(EDATE(AW62,1)+8,-1),VLOOKUP(EDATE(AW62,1)-1,Inflation_FWD!$L:$M,2,0)/100,IFERROR(VLOOKUP(AW62,Inflation_FWD!$H:$I,2,0),0.25%))</f>
        <v>2.5000000000000001E-3</v>
      </c>
      <c r="AY62" s="177">
        <f t="shared" si="67"/>
        <v>2.4750000000000002E-3</v>
      </c>
      <c r="AZ62" s="100">
        <f t="shared" si="1"/>
        <v>43474</v>
      </c>
      <c r="BA62" s="102">
        <f t="shared" ca="1" si="28"/>
        <v>28031.113257416775</v>
      </c>
      <c r="BC62" s="23"/>
      <c r="BD62" s="23"/>
      <c r="CC62" s="299"/>
      <c r="CL62" s="284"/>
    </row>
    <row r="63" spans="21:90">
      <c r="AH63" s="6">
        <f t="shared" si="53"/>
        <v>33</v>
      </c>
      <c r="AI63" s="7">
        <f t="shared" ca="1" si="57"/>
        <v>42703</v>
      </c>
      <c r="AJ63" s="210">
        <f t="shared" ca="1" si="54"/>
        <v>3.5000000000000004</v>
      </c>
      <c r="AK63" s="8">
        <f t="shared" ca="1" si="58"/>
        <v>1.0000972222222222</v>
      </c>
      <c r="AL63" s="98">
        <f t="shared" ca="1" si="59"/>
        <v>3.6121470212092222</v>
      </c>
      <c r="AM63" s="106">
        <f t="shared" ca="1" si="55"/>
        <v>26365.355191999141</v>
      </c>
      <c r="AN63" s="10">
        <f t="shared" ca="1" si="48"/>
        <v>-1.0957256152196448</v>
      </c>
      <c r="AO63" s="311">
        <f t="shared" ca="1" si="49"/>
        <v>-1.0861390697626565</v>
      </c>
      <c r="AP63" s="312">
        <f t="shared" ca="1" si="50"/>
        <v>0.29212082650700094</v>
      </c>
      <c r="AQ63" s="1"/>
      <c r="AR63" s="3">
        <f t="shared" si="60"/>
        <v>960</v>
      </c>
      <c r="AS63" s="11" t="e">
        <f t="shared" ref="AS63:AS94" ca="1" si="68">+VLOOKUP(AR63,$AH$31:$AL$10000,5,FALSE)+[1]!CERCHA(AR63,$F$2:$G$5,"PG")</f>
        <v>#NAME?</v>
      </c>
      <c r="AT63" s="110">
        <f t="shared" si="56"/>
        <v>960</v>
      </c>
      <c r="AU63" s="108" t="e">
        <f t="shared" ref="AU63:AU94" ca="1" si="69">+VLOOKUP(AR63,$AH$31:$AN$10000,7,FALSE)+[1]!CERCHA(AR63,$F$2:$G$5,"PG")</f>
        <v>#NAME?</v>
      </c>
      <c r="AW63" s="176">
        <v>43497</v>
      </c>
      <c r="AX63" s="177">
        <f ca="1">IF(fechaHoy&gt;=siguienteHabil(EDATE(AW63,1)+8,-1),VLOOKUP(EDATE(AW63,1)-1,Inflation_FWD!$L:$M,2,0)/100,IFERROR(VLOOKUP(AW63,Inflation_FWD!$H:$I,2,0),0.25%))</f>
        <v>2.5000000000000001E-3</v>
      </c>
      <c r="AY63" s="177">
        <f t="shared" si="67"/>
        <v>2.4750000000000002E-3</v>
      </c>
      <c r="AZ63" s="100">
        <f t="shared" si="1"/>
        <v>43505</v>
      </c>
      <c r="BA63" s="102">
        <f t="shared" ca="1" si="28"/>
        <v>28100.490262728883</v>
      </c>
      <c r="BC63" s="23"/>
      <c r="BD63" s="23"/>
      <c r="CC63" s="299"/>
      <c r="CL63" s="284"/>
    </row>
    <row r="64" spans="21:90">
      <c r="AH64" s="6">
        <f t="shared" si="53"/>
        <v>34</v>
      </c>
      <c r="AI64" s="7">
        <f t="shared" ca="1" si="57"/>
        <v>42704</v>
      </c>
      <c r="AJ64" s="210">
        <f t="shared" ca="1" si="54"/>
        <v>3.5000000000000004</v>
      </c>
      <c r="AK64" s="8">
        <f t="shared" ca="1" si="58"/>
        <v>1.0000972222222222</v>
      </c>
      <c r="AL64" s="98">
        <f t="shared" ca="1" si="59"/>
        <v>3.6121470212091555</v>
      </c>
      <c r="AM64" s="106">
        <f t="shared" ca="1" si="55"/>
        <v>26369.793429790832</v>
      </c>
      <c r="AN64" s="10">
        <f t="shared" ca="1" si="48"/>
        <v>-1.1391622347457386</v>
      </c>
      <c r="AO64" s="311">
        <f t="shared" ca="1" si="49"/>
        <v>-1.1294030903759154</v>
      </c>
      <c r="AP64" s="312">
        <f t="shared" ca="1" si="50"/>
        <v>0.29213503418771858</v>
      </c>
      <c r="AQ64" s="1"/>
      <c r="AR64" s="3">
        <f t="shared" si="60"/>
        <v>990</v>
      </c>
      <c r="AS64" s="11" t="e">
        <f t="shared" ca="1" si="68"/>
        <v>#NAME?</v>
      </c>
      <c r="AT64" s="110">
        <f t="shared" si="56"/>
        <v>990</v>
      </c>
      <c r="AU64" s="108" t="e">
        <f t="shared" ca="1" si="69"/>
        <v>#NAME?</v>
      </c>
      <c r="AW64" s="176">
        <v>43525</v>
      </c>
      <c r="AX64" s="177">
        <f ca="1">IF(fechaHoy&gt;=siguienteHabil(EDATE(AW64,1)+8,-1),VLOOKUP(EDATE(AW64,1)-1,Inflation_FWD!$L:$M,2,0)/100,IFERROR(VLOOKUP(AW64,Inflation_FWD!$H:$I,2,0),0.25%))</f>
        <v>2.5000000000000001E-3</v>
      </c>
      <c r="AY64" s="177">
        <f t="shared" si="67"/>
        <v>2.4750000000000002E-3</v>
      </c>
      <c r="AZ64" s="100">
        <f t="shared" si="1"/>
        <v>43533</v>
      </c>
      <c r="BA64" s="102">
        <f t="shared" ca="1" si="28"/>
        <v>28170.038976129137</v>
      </c>
      <c r="BC64" s="23"/>
      <c r="BD64" s="23"/>
      <c r="CC64" s="299"/>
      <c r="CL64" s="284"/>
    </row>
    <row r="65" spans="34:90">
      <c r="AH65" s="6">
        <f t="shared" si="53"/>
        <v>35</v>
      </c>
      <c r="AI65" s="7">
        <f t="shared" ca="1" si="57"/>
        <v>42705</v>
      </c>
      <c r="AJ65" s="210">
        <f t="shared" ca="1" si="54"/>
        <v>3.5000000000000004</v>
      </c>
      <c r="AK65" s="8">
        <f t="shared" ca="1" si="58"/>
        <v>1.0000972222222222</v>
      </c>
      <c r="AL65" s="98">
        <f t="shared" ca="1" si="59"/>
        <v>3.6121470212091111</v>
      </c>
      <c r="AM65" s="106">
        <f t="shared" ca="1" si="55"/>
        <v>26374.232414697617</v>
      </c>
      <c r="AN65" s="10">
        <f t="shared" ca="1" si="48"/>
        <v>-1.1800992891338957</v>
      </c>
      <c r="AO65" s="311">
        <f t="shared" ca="1" si="49"/>
        <v>-1.1701896865115406</v>
      </c>
      <c r="AP65" s="312">
        <f t="shared" ca="1" si="50"/>
        <v>0.29214924278954585</v>
      </c>
      <c r="AQ65" s="1"/>
      <c r="AR65" s="3">
        <f t="shared" si="60"/>
        <v>1020</v>
      </c>
      <c r="AS65" s="11" t="e">
        <f t="shared" ca="1" si="68"/>
        <v>#NAME?</v>
      </c>
      <c r="AT65" s="110">
        <f t="shared" si="56"/>
        <v>1020</v>
      </c>
      <c r="AU65" s="108" t="e">
        <f t="shared" ca="1" si="69"/>
        <v>#NAME?</v>
      </c>
      <c r="AW65" s="176">
        <v>43556</v>
      </c>
      <c r="AX65" s="177">
        <f ca="1">IF(fechaHoy&gt;=siguienteHabil(EDATE(AW65,1)+8,-1),VLOOKUP(EDATE(AW65,1)-1,Inflation_FWD!$L:$M,2,0)/100,IFERROR(VLOOKUP(AW65,Inflation_FWD!$H:$I,2,0),0.25%))</f>
        <v>2.5000000000000001E-3</v>
      </c>
      <c r="AY65" s="177">
        <f t="shared" si="67"/>
        <v>2.4750000000000002E-3</v>
      </c>
      <c r="AZ65" s="100">
        <f t="shared" si="1"/>
        <v>43564</v>
      </c>
      <c r="BA65" s="102">
        <f t="shared" ca="1" si="28"/>
        <v>28239.759822595057</v>
      </c>
      <c r="BC65" s="23"/>
      <c r="BD65" s="23"/>
      <c r="CC65" s="299"/>
      <c r="CL65" s="284"/>
    </row>
    <row r="66" spans="34:90">
      <c r="AH66" s="6">
        <f t="shared" si="53"/>
        <v>36</v>
      </c>
      <c r="AI66" s="7">
        <f t="shared" ca="1" si="57"/>
        <v>42706</v>
      </c>
      <c r="AJ66" s="210">
        <f t="shared" ca="1" si="54"/>
        <v>3.5000000000000004</v>
      </c>
      <c r="AK66" s="8">
        <f t="shared" ca="1" si="58"/>
        <v>1.0000972222222222</v>
      </c>
      <c r="AL66" s="98">
        <f t="shared" ca="1" si="59"/>
        <v>3.6121470212091111</v>
      </c>
      <c r="AM66" s="106">
        <f t="shared" ca="1" si="55"/>
        <v>26378.672146845256</v>
      </c>
      <c r="AN66" s="10">
        <f t="shared" ca="1" si="48"/>
        <v>-1.2187464975413453</v>
      </c>
      <c r="AO66" s="311">
        <f t="shared" ca="1" si="49"/>
        <v>-1.2087053105682699</v>
      </c>
      <c r="AP66" s="312">
        <f t="shared" ca="1" si="50"/>
        <v>0.2921634523125512</v>
      </c>
      <c r="AQ66" s="1"/>
      <c r="AR66" s="3">
        <f t="shared" si="60"/>
        <v>1050</v>
      </c>
      <c r="AS66" s="11" t="e">
        <f t="shared" ca="1" si="68"/>
        <v>#NAME?</v>
      </c>
      <c r="AT66" s="110">
        <f t="shared" si="56"/>
        <v>1050</v>
      </c>
      <c r="AU66" s="108" t="e">
        <f t="shared" ca="1" si="69"/>
        <v>#NAME?</v>
      </c>
      <c r="AW66" s="176">
        <v>43586</v>
      </c>
      <c r="AX66" s="177">
        <f ca="1">IF(fechaHoy&gt;=siguienteHabil(EDATE(AW66,1)+8,-1),VLOOKUP(EDATE(AW66,1)-1,Inflation_FWD!$L:$M,2,0)/100,IFERROR(VLOOKUP(AW66,Inflation_FWD!$H:$I,2,0),0.25%))</f>
        <v>2.5000000000000001E-3</v>
      </c>
      <c r="AY66" s="177">
        <f t="shared" si="67"/>
        <v>2.4750000000000002E-3</v>
      </c>
      <c r="AZ66" s="100">
        <f t="shared" ref="AZ66:AZ129" si="70">AW66+8</f>
        <v>43594</v>
      </c>
      <c r="BA66" s="102">
        <f t="shared" ca="1" si="28"/>
        <v>28309.653228155981</v>
      </c>
      <c r="BC66" s="23"/>
      <c r="BD66" s="23"/>
      <c r="CC66" s="299"/>
      <c r="CL66" s="284"/>
    </row>
    <row r="67" spans="34:90">
      <c r="AH67" s="6">
        <f t="shared" si="53"/>
        <v>37</v>
      </c>
      <c r="AI67" s="7">
        <f t="shared" ca="1" si="57"/>
        <v>42707</v>
      </c>
      <c r="AJ67" s="210">
        <f t="shared" ca="1" si="54"/>
        <v>3.5000000000000004</v>
      </c>
      <c r="AK67" s="8">
        <f t="shared" ca="1" si="58"/>
        <v>1.0000972222222222</v>
      </c>
      <c r="AL67" s="98">
        <f t="shared" ca="1" si="59"/>
        <v>3.6121470212090889</v>
      </c>
      <c r="AM67" s="106">
        <f t="shared" ca="1" si="55"/>
        <v>26383.112626359536</v>
      </c>
      <c r="AN67" s="10">
        <f t="shared" ca="1" si="48"/>
        <v>-1.2552907565395621</v>
      </c>
      <c r="AO67" s="311">
        <f t="shared" ca="1" si="49"/>
        <v>-1.2451340957668156</v>
      </c>
      <c r="AP67" s="312">
        <f t="shared" ca="1" si="50"/>
        <v>0.29217766275679546</v>
      </c>
      <c r="AQ67" s="1"/>
      <c r="AR67" s="3">
        <f t="shared" si="60"/>
        <v>1080</v>
      </c>
      <c r="AS67" s="11" t="e">
        <f t="shared" ca="1" si="68"/>
        <v>#NAME?</v>
      </c>
      <c r="AT67" s="110">
        <f t="shared" si="56"/>
        <v>1080</v>
      </c>
      <c r="AU67" s="108" t="e">
        <f t="shared" ca="1" si="69"/>
        <v>#NAME?</v>
      </c>
      <c r="AW67" s="176">
        <v>43617</v>
      </c>
      <c r="AX67" s="177">
        <f ca="1">IF(fechaHoy&gt;=siguienteHabil(EDATE(AW67,1)+8,-1),VLOOKUP(EDATE(AW67,1)-1,Inflation_FWD!$L:$M,2,0)/100,IFERROR(VLOOKUP(AW67,Inflation_FWD!$H:$I,2,0),0.25%))</f>
        <v>2.5000000000000001E-3</v>
      </c>
      <c r="AY67" s="177">
        <f t="shared" si="67"/>
        <v>2.4750000000000002E-3</v>
      </c>
      <c r="AZ67" s="100">
        <f t="shared" si="70"/>
        <v>43625</v>
      </c>
      <c r="BA67" s="102">
        <f t="shared" ca="1" si="28"/>
        <v>28379.719619895666</v>
      </c>
      <c r="BC67" s="23"/>
      <c r="BD67" s="23"/>
      <c r="CC67" s="299"/>
      <c r="CL67" s="284"/>
    </row>
    <row r="68" spans="34:90">
      <c r="AH68" s="6">
        <f t="shared" si="53"/>
        <v>38</v>
      </c>
      <c r="AI68" s="7">
        <f t="shared" ca="1" si="57"/>
        <v>42708</v>
      </c>
      <c r="AJ68" s="210">
        <f t="shared" ca="1" si="54"/>
        <v>3.5000000000000004</v>
      </c>
      <c r="AK68" s="8">
        <f t="shared" ca="1" si="58"/>
        <v>1.0000972222222222</v>
      </c>
      <c r="AL68" s="98">
        <f t="shared" ca="1" si="59"/>
        <v>3.6121470212090889</v>
      </c>
      <c r="AM68" s="106">
        <f t="shared" ca="1" si="55"/>
        <v>26387.553853366266</v>
      </c>
      <c r="AN68" s="10">
        <f t="shared" ca="1" si="48"/>
        <v>-1.2898991624173184</v>
      </c>
      <c r="AO68" s="311">
        <f t="shared" ca="1" si="49"/>
        <v>-1.2796407928832882</v>
      </c>
      <c r="AP68" s="312">
        <f t="shared" ca="1" si="50"/>
        <v>0.29219187412235065</v>
      </c>
      <c r="AQ68" s="1"/>
      <c r="AR68" s="3">
        <f t="shared" si="60"/>
        <v>1110</v>
      </c>
      <c r="AS68" s="11" t="e">
        <f t="shared" ca="1" si="68"/>
        <v>#NAME?</v>
      </c>
      <c r="AT68" s="110">
        <f t="shared" si="56"/>
        <v>1110</v>
      </c>
      <c r="AU68" s="108" t="e">
        <f t="shared" ca="1" si="69"/>
        <v>#NAME?</v>
      </c>
      <c r="AW68" s="176">
        <v>43647</v>
      </c>
      <c r="AX68" s="177">
        <f ca="1">IF(fechaHoy&gt;=siguienteHabil(EDATE(AW68,1)+8,-1),VLOOKUP(EDATE(AW68,1)-1,Inflation_FWD!$L:$M,2,0)/100,IFERROR(VLOOKUP(AW68,Inflation_FWD!$H:$I,2,0),0.25%))</f>
        <v>2.5000000000000001E-3</v>
      </c>
      <c r="AY68" s="177">
        <f t="shared" si="67"/>
        <v>2.4750000000000002E-3</v>
      </c>
      <c r="AZ68" s="100">
        <f t="shared" si="70"/>
        <v>43655</v>
      </c>
      <c r="BA68" s="102">
        <f t="shared" ca="1" si="28"/>
        <v>28449.959425954909</v>
      </c>
      <c r="BC68" s="23"/>
      <c r="BD68" s="23"/>
      <c r="CC68" s="299"/>
      <c r="CL68" s="284"/>
    </row>
    <row r="69" spans="34:90">
      <c r="AH69" s="6">
        <f t="shared" si="53"/>
        <v>39</v>
      </c>
      <c r="AI69" s="7">
        <f t="shared" ca="1" si="57"/>
        <v>42709</v>
      </c>
      <c r="AJ69" s="210">
        <f t="shared" ca="1" si="54"/>
        <v>3.5000000000000004</v>
      </c>
      <c r="AK69" s="8">
        <f t="shared" ca="1" si="58"/>
        <v>1.0000972222222222</v>
      </c>
      <c r="AL69" s="98">
        <f t="shared" ca="1" si="59"/>
        <v>3.6121470212091111</v>
      </c>
      <c r="AM69" s="106">
        <f t="shared" ca="1" si="55"/>
        <v>26391.995827991279</v>
      </c>
      <c r="AN69" s="10">
        <f t="shared" ca="1" si="48"/>
        <v>-1.3227215656053448</v>
      </c>
      <c r="AO69" s="311">
        <f t="shared" ca="1" si="49"/>
        <v>-1.3123732551787106</v>
      </c>
      <c r="AP69" s="312">
        <f t="shared" ca="1" si="50"/>
        <v>0.29220608640928142</v>
      </c>
      <c r="AQ69" s="1"/>
      <c r="AR69" s="3">
        <f t="shared" si="60"/>
        <v>1140</v>
      </c>
      <c r="AS69" s="11" t="e">
        <f t="shared" ca="1" si="68"/>
        <v>#NAME?</v>
      </c>
      <c r="AT69" s="110">
        <f t="shared" si="56"/>
        <v>1140</v>
      </c>
      <c r="AU69" s="108" t="e">
        <f t="shared" ca="1" si="69"/>
        <v>#NAME?</v>
      </c>
      <c r="AW69" s="176">
        <v>43678</v>
      </c>
      <c r="AX69" s="177">
        <f ca="1">IF(fechaHoy&gt;=siguienteHabil(EDATE(AW69,1)+8,-1),VLOOKUP(EDATE(AW69,1)-1,Inflation_FWD!$L:$M,2,0)/100,IFERROR(VLOOKUP(AW69,Inflation_FWD!$H:$I,2,0),0.25%))</f>
        <v>2.5000000000000001E-3</v>
      </c>
      <c r="AY69" s="177">
        <f t="shared" si="67"/>
        <v>2.4750000000000002E-3</v>
      </c>
      <c r="AZ69" s="100">
        <f t="shared" si="70"/>
        <v>43686</v>
      </c>
      <c r="BA69" s="102">
        <f t="shared" ca="1" si="28"/>
        <v>28520.373075534146</v>
      </c>
      <c r="BC69" s="23"/>
      <c r="BD69" s="23"/>
      <c r="CC69" s="299"/>
      <c r="CL69" s="284"/>
    </row>
    <row r="70" spans="34:90">
      <c r="AH70" s="6">
        <f t="shared" si="53"/>
        <v>40</v>
      </c>
      <c r="AI70" s="7">
        <f t="shared" ca="1" si="57"/>
        <v>42710</v>
      </c>
      <c r="AJ70" s="210">
        <f t="shared" ca="1" si="54"/>
        <v>3.5000000000000004</v>
      </c>
      <c r="AK70" s="8">
        <f t="shared" ca="1" si="58"/>
        <v>1.0000972222222222</v>
      </c>
      <c r="AL70" s="98">
        <f t="shared" ca="1" si="59"/>
        <v>3.6121470212092222</v>
      </c>
      <c r="AM70" s="106">
        <f t="shared" ca="1" si="55"/>
        <v>26396.438550360424</v>
      </c>
      <c r="AN70" s="10">
        <f t="shared" ca="1" si="48"/>
        <v>-1.3538927395970068</v>
      </c>
      <c r="AO70" s="311">
        <f t="shared" ca="1" si="49"/>
        <v>-1.343464550587703</v>
      </c>
      <c r="AP70" s="312">
        <f t="shared" ca="1" si="50"/>
        <v>0.2922202996176626</v>
      </c>
      <c r="AQ70" s="1"/>
      <c r="AR70" s="3">
        <f t="shared" si="60"/>
        <v>1170</v>
      </c>
      <c r="AS70" s="11" t="e">
        <f t="shared" ca="1" si="68"/>
        <v>#NAME?</v>
      </c>
      <c r="AT70" s="110">
        <f t="shared" si="56"/>
        <v>1170</v>
      </c>
      <c r="AU70" s="108" t="e">
        <f t="shared" ca="1" si="69"/>
        <v>#NAME?</v>
      </c>
      <c r="AW70" s="176">
        <v>43709</v>
      </c>
      <c r="AX70" s="177">
        <f ca="1">IF(fechaHoy&gt;=siguienteHabil(EDATE(AW70,1)+8,-1),VLOOKUP(EDATE(AW70,1)-1,Inflation_FWD!$L:$M,2,0)/100,IFERROR(VLOOKUP(AW70,Inflation_FWD!$H:$I,2,0),0.25%))</f>
        <v>2.5000000000000001E-3</v>
      </c>
      <c r="AY70" s="177">
        <f t="shared" si="67"/>
        <v>2.4750000000000002E-3</v>
      </c>
      <c r="AZ70" s="100">
        <f t="shared" si="70"/>
        <v>43717</v>
      </c>
      <c r="BA70" s="102">
        <f t="shared" ref="BA70:BA133" ca="1" si="71">BA69*(1+AY68)</f>
        <v>28590.960998896095</v>
      </c>
      <c r="BC70" s="23"/>
      <c r="BD70" s="23"/>
      <c r="CC70" s="299"/>
      <c r="CL70" s="284"/>
    </row>
    <row r="71" spans="34:90">
      <c r="AH71" s="6">
        <f t="shared" si="53"/>
        <v>41</v>
      </c>
      <c r="AI71" s="7">
        <f t="shared" ca="1" si="57"/>
        <v>42711</v>
      </c>
      <c r="AJ71" s="210">
        <f t="shared" ca="1" si="54"/>
        <v>3.5000000000000004</v>
      </c>
      <c r="AK71" s="8">
        <f t="shared" ca="1" si="58"/>
        <v>1.0000972222222222</v>
      </c>
      <c r="AL71" s="98">
        <f t="shared" ca="1" si="59"/>
        <v>3.6121470212092222</v>
      </c>
      <c r="AM71" s="106">
        <f t="shared" ca="1" si="55"/>
        <v>26400.882020599576</v>
      </c>
      <c r="AN71" s="10">
        <f t="shared" ca="1" si="48"/>
        <v>-1.383534230576533</v>
      </c>
      <c r="AO71" s="311">
        <f t="shared" ca="1" si="49"/>
        <v>-1.3730347648073615</v>
      </c>
      <c r="AP71" s="312">
        <f t="shared" ca="1" si="50"/>
        <v>0.2922345137475455</v>
      </c>
      <c r="AQ71" s="1"/>
      <c r="AR71" s="3">
        <f t="shared" si="60"/>
        <v>1200</v>
      </c>
      <c r="AS71" s="11" t="e">
        <f t="shared" ca="1" si="68"/>
        <v>#NAME?</v>
      </c>
      <c r="AT71" s="110">
        <f t="shared" si="56"/>
        <v>1200</v>
      </c>
      <c r="AU71" s="108" t="e">
        <f t="shared" ca="1" si="69"/>
        <v>#NAME?</v>
      </c>
      <c r="AW71" s="176">
        <v>43739</v>
      </c>
      <c r="AX71" s="177">
        <f ca="1">IF(fechaHoy&gt;=siguienteHabil(EDATE(AW71,1)+8,-1),VLOOKUP(EDATE(AW71,1)-1,Inflation_FWD!$L:$M,2,0)/100,IFERROR(VLOOKUP(AW71,Inflation_FWD!$H:$I,2,0),0.25%))</f>
        <v>2.5000000000000001E-3</v>
      </c>
      <c r="AY71" s="177">
        <f t="shared" si="67"/>
        <v>2.4750000000000002E-3</v>
      </c>
      <c r="AZ71" s="100">
        <f t="shared" si="70"/>
        <v>43747</v>
      </c>
      <c r="BA71" s="102">
        <f t="shared" ca="1" si="71"/>
        <v>28661.723627368363</v>
      </c>
      <c r="BC71" s="23"/>
      <c r="BD71" s="23"/>
      <c r="CC71" s="299"/>
      <c r="CL71" s="284"/>
    </row>
    <row r="72" spans="34:90">
      <c r="AH72" s="6">
        <f t="shared" si="53"/>
        <v>42</v>
      </c>
      <c r="AI72" s="7">
        <f t="shared" ca="1" si="57"/>
        <v>42712</v>
      </c>
      <c r="AJ72" s="210">
        <f t="shared" ca="1" si="54"/>
        <v>3.5000000000000004</v>
      </c>
      <c r="AK72" s="8">
        <f t="shared" ca="1" si="58"/>
        <v>1.0000972222222222</v>
      </c>
      <c r="AL72" s="98">
        <f t="shared" ca="1" si="59"/>
        <v>3.6121470212092444</v>
      </c>
      <c r="AM72" s="106">
        <f t="shared" ca="1" si="55"/>
        <v>26405.326238834627</v>
      </c>
      <c r="AN72" s="10">
        <f t="shared" ca="1" si="48"/>
        <v>-1.411755941277637</v>
      </c>
      <c r="AO72" s="311">
        <f t="shared" ca="1" si="49"/>
        <v>-1.4011925468019166</v>
      </c>
      <c r="AP72" s="312">
        <f t="shared" ca="1" si="50"/>
        <v>0.29224872879900815</v>
      </c>
      <c r="AQ72" s="1"/>
      <c r="AR72" s="3">
        <f t="shared" si="60"/>
        <v>1230</v>
      </c>
      <c r="AS72" s="11" t="e">
        <f t="shared" ca="1" si="68"/>
        <v>#NAME?</v>
      </c>
      <c r="AT72" s="110">
        <f t="shared" si="56"/>
        <v>1230</v>
      </c>
      <c r="AU72" s="108" t="e">
        <f t="shared" ca="1" si="69"/>
        <v>#NAME?</v>
      </c>
      <c r="AW72" s="176">
        <v>43770</v>
      </c>
      <c r="AX72" s="177">
        <f ca="1">IF(fechaHoy&gt;=siguienteHabil(EDATE(AW72,1)+8,-1),VLOOKUP(EDATE(AW72,1)-1,Inflation_FWD!$L:$M,2,0)/100,IFERROR(VLOOKUP(AW72,Inflation_FWD!$H:$I,2,0),0.25%))</f>
        <v>2.5000000000000001E-3</v>
      </c>
      <c r="AY72" s="177">
        <f t="shared" si="67"/>
        <v>2.4750000000000002E-3</v>
      </c>
      <c r="AZ72" s="100">
        <f t="shared" si="70"/>
        <v>43778</v>
      </c>
      <c r="BA72" s="102">
        <f t="shared" ca="1" si="71"/>
        <v>28732.661393346101</v>
      </c>
      <c r="BC72" s="23"/>
      <c r="BD72" s="23"/>
      <c r="CC72" s="299"/>
      <c r="CL72" s="284"/>
    </row>
    <row r="73" spans="34:90">
      <c r="AH73" s="6">
        <f t="shared" si="53"/>
        <v>43</v>
      </c>
      <c r="AI73" s="7">
        <f t="shared" ca="1" si="57"/>
        <v>42713</v>
      </c>
      <c r="AJ73" s="210">
        <f t="shared" ca="1" si="54"/>
        <v>3.5000000000000004</v>
      </c>
      <c r="AK73" s="8">
        <f t="shared" ca="1" si="58"/>
        <v>1.0000972222222222</v>
      </c>
      <c r="AL73" s="98">
        <f t="shared" ca="1" si="59"/>
        <v>3.6121470212091555</v>
      </c>
      <c r="AM73" s="106">
        <f t="shared" ca="1" si="55"/>
        <v>26409.77120519149</v>
      </c>
      <c r="AN73" s="10">
        <f t="shared" ca="1" si="48"/>
        <v>-1.4386574925820517</v>
      </c>
      <c r="AO73" s="311">
        <f t="shared" ca="1" si="49"/>
        <v>-1.4280364386546469</v>
      </c>
      <c r="AP73" s="312">
        <f t="shared" ca="1" si="50"/>
        <v>0.29226294477210601</v>
      </c>
      <c r="AQ73" s="1"/>
      <c r="AR73" s="3">
        <f t="shared" si="60"/>
        <v>1260</v>
      </c>
      <c r="AS73" s="11" t="e">
        <f t="shared" ca="1" si="68"/>
        <v>#NAME?</v>
      </c>
      <c r="AT73" s="110">
        <f t="shared" si="56"/>
        <v>1260</v>
      </c>
      <c r="AU73" s="108" t="e">
        <f t="shared" ca="1" si="69"/>
        <v>#NAME?</v>
      </c>
      <c r="AW73" s="176">
        <v>43800</v>
      </c>
      <c r="AX73" s="177">
        <f ca="1">IF(fechaHoy&gt;=siguienteHabil(EDATE(AW73,1)+8,-1),VLOOKUP(EDATE(AW73,1)-1,Inflation_FWD!$L:$M,2,0)/100,IFERROR(VLOOKUP(AW73,Inflation_FWD!$H:$I,2,0),0.25%))</f>
        <v>2.5000000000000001E-3</v>
      </c>
      <c r="AY73" s="177">
        <f t="shared" si="67"/>
        <v>2.4750000000000002E-3</v>
      </c>
      <c r="AZ73" s="100">
        <f t="shared" si="70"/>
        <v>43808</v>
      </c>
      <c r="BA73" s="102">
        <f t="shared" ca="1" si="71"/>
        <v>28803.774730294634</v>
      </c>
      <c r="BC73" s="23"/>
      <c r="BD73" s="23"/>
      <c r="CC73" s="299"/>
      <c r="CL73" s="284"/>
    </row>
    <row r="74" spans="34:90">
      <c r="AH74" s="6">
        <f t="shared" si="53"/>
        <v>44</v>
      </c>
      <c r="AI74" s="7">
        <f t="shared" ca="1" si="57"/>
        <v>42714</v>
      </c>
      <c r="AJ74" s="210">
        <f t="shared" ca="1" si="54"/>
        <v>3.5000000000000004</v>
      </c>
      <c r="AK74" s="8">
        <f t="shared" ca="1" si="58"/>
        <v>1.0000972222222222</v>
      </c>
      <c r="AL74" s="98">
        <f t="shared" ca="1" si="59"/>
        <v>3.6121470212091333</v>
      </c>
      <c r="AM74" s="106">
        <f t="shared" ca="1" si="55"/>
        <v>26411.414700968551</v>
      </c>
      <c r="AN74" s="10">
        <f t="shared" ca="1" si="48"/>
        <v>-1.3775708789515062</v>
      </c>
      <c r="AO74" s="311">
        <f t="shared" ca="1" si="49"/>
        <v>-1.3670021640371484</v>
      </c>
      <c r="AP74" s="312">
        <f t="shared" ca="1" si="50"/>
        <v>0.29227716166691964</v>
      </c>
      <c r="AQ74" s="1"/>
      <c r="AR74" s="3">
        <f t="shared" si="60"/>
        <v>1290</v>
      </c>
      <c r="AS74" s="11" t="e">
        <f t="shared" ca="1" si="68"/>
        <v>#NAME?</v>
      </c>
      <c r="AT74" s="110">
        <f t="shared" si="56"/>
        <v>1290</v>
      </c>
      <c r="AU74" s="108" t="e">
        <f t="shared" ca="1" si="69"/>
        <v>#NAME?</v>
      </c>
      <c r="AW74" s="176">
        <v>43831</v>
      </c>
      <c r="AX74" s="177">
        <f ca="1">IF(fechaHoy&gt;=siguienteHabil(EDATE(AW74,1)+8,-1),VLOOKUP(EDATE(AW74,1)-1,Inflation_FWD!$L:$M,2,0)/100,IFERROR(VLOOKUP(AW74,Inflation_FWD!$H:$I,2,0),0.25%))</f>
        <v>2.5000000000000001E-3</v>
      </c>
      <c r="AY74" s="177">
        <f t="shared" si="67"/>
        <v>2.4750000000000002E-3</v>
      </c>
      <c r="AZ74" s="100">
        <f t="shared" si="70"/>
        <v>43839</v>
      </c>
      <c r="BA74" s="102">
        <f t="shared" ca="1" si="71"/>
        <v>28875.064072752113</v>
      </c>
      <c r="BC74" s="23"/>
      <c r="BD74" s="23"/>
      <c r="CC74" s="299"/>
      <c r="CL74" s="284"/>
    </row>
    <row r="75" spans="34:90">
      <c r="AH75" s="6">
        <f t="shared" si="53"/>
        <v>45</v>
      </c>
      <c r="AI75" s="7">
        <f t="shared" ca="1" si="57"/>
        <v>42715</v>
      </c>
      <c r="AJ75" s="210">
        <f t="shared" ca="1" si="54"/>
        <v>3.5000000000000004</v>
      </c>
      <c r="AK75" s="8">
        <f t="shared" ca="1" si="58"/>
        <v>1.0000972222222222</v>
      </c>
      <c r="AL75" s="98">
        <f t="shared" ca="1" si="59"/>
        <v>3.6121470212090445</v>
      </c>
      <c r="AM75" s="106">
        <f t="shared" ca="1" si="55"/>
        <v>26413.058299021337</v>
      </c>
      <c r="AN75" s="10">
        <f t="shared" ca="1" si="48"/>
        <v>-1.3191638524613691</v>
      </c>
      <c r="AO75" s="311">
        <f t="shared" ca="1" si="49"/>
        <v>-1.3086795461084044</v>
      </c>
      <c r="AP75" s="312">
        <f t="shared" ca="1" si="50"/>
        <v>0.2922913794835077</v>
      </c>
      <c r="AQ75" s="1"/>
      <c r="AR75" s="3">
        <f t="shared" si="60"/>
        <v>1320</v>
      </c>
      <c r="AS75" s="11" t="e">
        <f t="shared" ca="1" si="68"/>
        <v>#NAME?</v>
      </c>
      <c r="AT75" s="110">
        <f t="shared" si="56"/>
        <v>1320</v>
      </c>
      <c r="AU75" s="108" t="e">
        <f t="shared" ca="1" si="69"/>
        <v>#NAME?</v>
      </c>
      <c r="AW75" s="176">
        <v>43862</v>
      </c>
      <c r="AX75" s="177">
        <f ca="1">IF(fechaHoy&gt;=siguienteHabil(EDATE(AW75,1)+8,-1),VLOOKUP(EDATE(AW75,1)-1,Inflation_FWD!$L:$M,2,0)/100,IFERROR(VLOOKUP(AW75,Inflation_FWD!$H:$I,2,0),0.25%))</f>
        <v>2.5000000000000001E-3</v>
      </c>
      <c r="AY75" s="177">
        <f t="shared" si="67"/>
        <v>2.4750000000000002E-3</v>
      </c>
      <c r="AZ75" s="100">
        <f t="shared" si="70"/>
        <v>43870</v>
      </c>
      <c r="BA75" s="102">
        <f t="shared" ca="1" si="71"/>
        <v>28946.529856332174</v>
      </c>
      <c r="BC75" s="23"/>
      <c r="BD75" s="23"/>
      <c r="CC75" s="299"/>
      <c r="CL75" s="284"/>
    </row>
    <row r="76" spans="34:90">
      <c r="AH76" s="6">
        <f t="shared" si="53"/>
        <v>46</v>
      </c>
      <c r="AI76" s="7">
        <f t="shared" ca="1" si="57"/>
        <v>42716</v>
      </c>
      <c r="AJ76" s="210">
        <f t="shared" ca="1" si="54"/>
        <v>3.5000000000000004</v>
      </c>
      <c r="AK76" s="8">
        <f t="shared" ca="1" si="58"/>
        <v>1.0000972222222222</v>
      </c>
      <c r="AL76" s="98">
        <f t="shared" ca="1" si="59"/>
        <v>3.6121470212090889</v>
      </c>
      <c r="AM76" s="106">
        <f t="shared" ca="1" si="55"/>
        <v>26414.701999356203</v>
      </c>
      <c r="AN76" s="10">
        <f t="shared" ca="1" si="48"/>
        <v>-1.263263895065625</v>
      </c>
      <c r="AO76" s="311">
        <f t="shared" ca="1" si="49"/>
        <v>-1.2528917376594357</v>
      </c>
      <c r="AP76" s="312">
        <f t="shared" ca="1" si="50"/>
        <v>0.29230559822195262</v>
      </c>
      <c r="AQ76" s="1"/>
      <c r="AR76" s="3">
        <f t="shared" si="60"/>
        <v>1350</v>
      </c>
      <c r="AS76" s="11" t="e">
        <f t="shared" ca="1" si="68"/>
        <v>#NAME?</v>
      </c>
      <c r="AT76" s="110">
        <f t="shared" si="56"/>
        <v>1350</v>
      </c>
      <c r="AU76" s="108" t="e">
        <f t="shared" ca="1" si="69"/>
        <v>#NAME?</v>
      </c>
      <c r="AW76" s="176">
        <v>43891</v>
      </c>
      <c r="AX76" s="177">
        <f ca="1">IF(fechaHoy&gt;=siguienteHabil(EDATE(AW76,1)+8,-1),VLOOKUP(EDATE(AW76,1)-1,Inflation_FWD!$L:$M,2,0)/100,IFERROR(VLOOKUP(AW76,Inflation_FWD!$H:$I,2,0),0.25%))</f>
        <v>2.5000000000000001E-3</v>
      </c>
      <c r="AY76" s="177">
        <f t="shared" si="67"/>
        <v>2.4750000000000002E-3</v>
      </c>
      <c r="AZ76" s="100">
        <f t="shared" si="70"/>
        <v>43899</v>
      </c>
      <c r="BA76" s="102">
        <f t="shared" ca="1" si="71"/>
        <v>29018.172517726598</v>
      </c>
      <c r="BC76" s="23"/>
      <c r="BD76" s="23"/>
      <c r="CC76" s="299"/>
      <c r="CL76" s="284"/>
    </row>
    <row r="77" spans="34:90">
      <c r="AH77" s="6">
        <f t="shared" si="53"/>
        <v>47</v>
      </c>
      <c r="AI77" s="7">
        <f t="shared" ca="1" si="57"/>
        <v>42717</v>
      </c>
      <c r="AJ77" s="210">
        <f t="shared" ca="1" si="54"/>
        <v>3.5000000000000004</v>
      </c>
      <c r="AK77" s="8">
        <f t="shared" ca="1" si="58"/>
        <v>1.0000972222222222</v>
      </c>
      <c r="AL77" s="98">
        <f t="shared" ca="1" si="59"/>
        <v>3.6121470212090223</v>
      </c>
      <c r="AM77" s="106">
        <f t="shared" ca="1" si="55"/>
        <v>26416.345801979525</v>
      </c>
      <c r="AN77" s="10">
        <f t="shared" ca="1" si="48"/>
        <v>-1.2097129862738809</v>
      </c>
      <c r="AO77" s="311">
        <f t="shared" ca="1" si="49"/>
        <v>-1.1994769423080704</v>
      </c>
      <c r="AP77" s="312">
        <f t="shared" ca="1" si="50"/>
        <v>0.2923198178823016</v>
      </c>
      <c r="AQ77" s="1"/>
      <c r="AR77" s="3">
        <f t="shared" si="60"/>
        <v>1380</v>
      </c>
      <c r="AS77" s="11" t="e">
        <f t="shared" ca="1" si="68"/>
        <v>#NAME?</v>
      </c>
      <c r="AT77" s="110">
        <f t="shared" si="56"/>
        <v>1380</v>
      </c>
      <c r="AU77" s="108" t="e">
        <f t="shared" ca="1" si="69"/>
        <v>#NAME?</v>
      </c>
      <c r="AW77" s="176">
        <v>43922</v>
      </c>
      <c r="AX77" s="177">
        <f ca="1">IF(fechaHoy&gt;=siguienteHabil(EDATE(AW77,1)+8,-1),VLOOKUP(EDATE(AW77,1)-1,Inflation_FWD!$L:$M,2,0)/100,IFERROR(VLOOKUP(AW77,Inflation_FWD!$H:$I,2,0),0.25%))</f>
        <v>2.5000000000000001E-3</v>
      </c>
      <c r="AY77" s="177">
        <f t="shared" si="67"/>
        <v>2.4750000000000002E-3</v>
      </c>
      <c r="AZ77" s="100">
        <f t="shared" si="70"/>
        <v>43930</v>
      </c>
      <c r="BA77" s="102">
        <f t="shared" ca="1" si="71"/>
        <v>29089.992494707971</v>
      </c>
      <c r="BC77" s="23"/>
      <c r="BD77" s="23"/>
      <c r="CC77" s="299"/>
      <c r="CL77" s="284"/>
    </row>
    <row r="78" spans="34:90">
      <c r="AH78" s="6">
        <f t="shared" si="53"/>
        <v>48</v>
      </c>
      <c r="AI78" s="7">
        <f t="shared" ca="1" si="57"/>
        <v>42718</v>
      </c>
      <c r="AJ78" s="210">
        <f t="shared" ca="1" si="54"/>
        <v>3.5000000000000004</v>
      </c>
      <c r="AK78" s="8">
        <f t="shared" ca="1" si="58"/>
        <v>1.0000972222222222</v>
      </c>
      <c r="AL78" s="98">
        <f t="shared" ca="1" si="59"/>
        <v>3.6121470212090667</v>
      </c>
      <c r="AM78" s="106">
        <f t="shared" ca="1" si="55"/>
        <v>26417.989706897657</v>
      </c>
      <c r="AN78" s="10">
        <f t="shared" ca="1" si="48"/>
        <v>-1.1583661116861155</v>
      </c>
      <c r="AO78" s="311">
        <f t="shared" ca="1" si="49"/>
        <v>-1.1482868467032337</v>
      </c>
      <c r="AP78" s="312">
        <f t="shared" ca="1" si="50"/>
        <v>0.29233403846463946</v>
      </c>
      <c r="AQ78" s="1"/>
      <c r="AR78" s="3">
        <f t="shared" si="60"/>
        <v>1410</v>
      </c>
      <c r="AS78" s="11" t="e">
        <f t="shared" ca="1" si="68"/>
        <v>#NAME?</v>
      </c>
      <c r="AT78" s="110">
        <f t="shared" si="56"/>
        <v>1410</v>
      </c>
      <c r="AU78" s="108" t="e">
        <f t="shared" ca="1" si="69"/>
        <v>#NAME?</v>
      </c>
      <c r="AW78" s="176">
        <v>43952</v>
      </c>
      <c r="AX78" s="177">
        <f ca="1">IF(fechaHoy&gt;=siguienteHabil(EDATE(AW78,1)+8,-1),VLOOKUP(EDATE(AW78,1)-1,Inflation_FWD!$L:$M,2,0)/100,IFERROR(VLOOKUP(AW78,Inflation_FWD!$H:$I,2,0),0.25%))</f>
        <v>2.5000000000000001E-3</v>
      </c>
      <c r="AY78" s="177">
        <f t="shared" si="67"/>
        <v>2.4750000000000002E-3</v>
      </c>
      <c r="AZ78" s="100">
        <f t="shared" si="70"/>
        <v>43960</v>
      </c>
      <c r="BA78" s="102">
        <f t="shared" ca="1" si="71"/>
        <v>29161.990226132373</v>
      </c>
      <c r="BC78" s="23"/>
      <c r="BD78" s="23"/>
      <c r="CC78" s="299"/>
      <c r="CL78" s="284"/>
    </row>
    <row r="79" spans="34:90">
      <c r="AH79" s="6">
        <f t="shared" si="53"/>
        <v>49</v>
      </c>
      <c r="AI79" s="7">
        <f t="shared" ca="1" si="57"/>
        <v>42719</v>
      </c>
      <c r="AJ79" s="210">
        <f t="shared" ca="1" si="54"/>
        <v>3.5000000000000004</v>
      </c>
      <c r="AK79" s="8">
        <f t="shared" ca="1" si="58"/>
        <v>1.0000972222222222</v>
      </c>
      <c r="AL79" s="98">
        <f t="shared" ca="1" si="59"/>
        <v>3.6121470212090001</v>
      </c>
      <c r="AM79" s="106">
        <f t="shared" ca="1" si="55"/>
        <v>26419.633714116975</v>
      </c>
      <c r="AN79" s="10">
        <f t="shared" ca="1" si="48"/>
        <v>-1.1090899519336395</v>
      </c>
      <c r="AO79" s="311">
        <f t="shared" ca="1" si="49"/>
        <v>-1.0991852447069999</v>
      </c>
      <c r="AP79" s="312">
        <f t="shared" ca="1" si="50"/>
        <v>0.29234825996901692</v>
      </c>
      <c r="AQ79" s="1"/>
      <c r="AR79" s="3">
        <f t="shared" si="60"/>
        <v>1440</v>
      </c>
      <c r="AS79" s="11" t="e">
        <f t="shared" ca="1" si="68"/>
        <v>#NAME?</v>
      </c>
      <c r="AT79" s="110">
        <f t="shared" si="56"/>
        <v>1440</v>
      </c>
      <c r="AU79" s="108" t="e">
        <f t="shared" ca="1" si="69"/>
        <v>#NAME?</v>
      </c>
      <c r="AW79" s="176">
        <v>43983</v>
      </c>
      <c r="AX79" s="177">
        <f ca="1">IF(fechaHoy&gt;=siguienteHabil(EDATE(AW79,1)+8,-1),VLOOKUP(EDATE(AW79,1)-1,Inflation_FWD!$L:$M,2,0)/100,IFERROR(VLOOKUP(AW79,Inflation_FWD!$H:$I,2,0),0.25%))</f>
        <v>2.5000000000000001E-3</v>
      </c>
      <c r="AY79" s="177">
        <f t="shared" si="67"/>
        <v>2.4750000000000002E-3</v>
      </c>
      <c r="AZ79" s="100">
        <f t="shared" si="70"/>
        <v>43991</v>
      </c>
      <c r="BA79" s="102">
        <f t="shared" ca="1" si="71"/>
        <v>29234.166151942052</v>
      </c>
      <c r="BC79" s="23"/>
      <c r="BD79" s="23"/>
      <c r="CC79" s="299"/>
      <c r="CL79" s="284"/>
    </row>
    <row r="80" spans="34:90">
      <c r="AH80" s="6">
        <f t="shared" si="53"/>
        <v>50</v>
      </c>
      <c r="AI80" s="7">
        <f t="shared" ca="1" si="57"/>
        <v>42720</v>
      </c>
      <c r="AJ80" s="210">
        <f t="shared" ca="1" si="54"/>
        <v>3.5000000000000004</v>
      </c>
      <c r="AK80" s="8">
        <f t="shared" ca="1" si="58"/>
        <v>1.0000972222222222</v>
      </c>
      <c r="AL80" s="98">
        <f t="shared" ca="1" si="59"/>
        <v>3.6121470212090667</v>
      </c>
      <c r="AM80" s="106">
        <f t="shared" ca="1" si="55"/>
        <v>26421.277823643835</v>
      </c>
      <c r="AN80" s="10">
        <f t="shared" ca="1" si="48"/>
        <v>-1.0617617270666457</v>
      </c>
      <c r="AO80" s="311">
        <f t="shared" ca="1" si="49"/>
        <v>-1.0520468266715977</v>
      </c>
      <c r="AP80" s="312">
        <f t="shared" ca="1" si="50"/>
        <v>0.29236248239552065</v>
      </c>
      <c r="AQ80" s="1"/>
      <c r="AR80" s="3">
        <f t="shared" si="60"/>
        <v>1470</v>
      </c>
      <c r="AS80" s="11" t="e">
        <f t="shared" ca="1" si="68"/>
        <v>#NAME?</v>
      </c>
      <c r="AT80" s="110">
        <f t="shared" si="56"/>
        <v>1470</v>
      </c>
      <c r="AU80" s="108" t="e">
        <f t="shared" ca="1" si="69"/>
        <v>#NAME?</v>
      </c>
      <c r="AW80" s="176">
        <v>44013</v>
      </c>
      <c r="AX80" s="177">
        <f ca="1">IF(fechaHoy&gt;=siguienteHabil(EDATE(AW80,1)+8,-1),VLOOKUP(EDATE(AW80,1)-1,Inflation_FWD!$L:$M,2,0)/100,IFERROR(VLOOKUP(AW80,Inflation_FWD!$H:$I,2,0),0.25%))</f>
        <v>2.5000000000000001E-3</v>
      </c>
      <c r="AY80" s="177">
        <f t="shared" si="67"/>
        <v>2.4750000000000002E-3</v>
      </c>
      <c r="AZ80" s="100">
        <f t="shared" si="70"/>
        <v>44021</v>
      </c>
      <c r="BA80" s="102">
        <f t="shared" ca="1" si="71"/>
        <v>29306.520713168109</v>
      </c>
      <c r="BC80" s="23"/>
      <c r="BD80" s="23"/>
      <c r="CC80" s="299"/>
      <c r="CL80" s="284"/>
    </row>
    <row r="81" spans="34:90">
      <c r="AH81" s="6">
        <f t="shared" si="53"/>
        <v>51</v>
      </c>
      <c r="AI81" s="7">
        <f t="shared" ca="1" si="57"/>
        <v>42721</v>
      </c>
      <c r="AJ81" s="210">
        <f t="shared" ca="1" si="54"/>
        <v>3.5000000000000004</v>
      </c>
      <c r="AK81" s="8">
        <f t="shared" ca="1" si="58"/>
        <v>1.0000972222222222</v>
      </c>
      <c r="AL81" s="98">
        <f t="shared" ca="1" si="59"/>
        <v>3.6121470212091111</v>
      </c>
      <c r="AM81" s="106">
        <f t="shared" ca="1" si="55"/>
        <v>26422.922035484611</v>
      </c>
      <c r="AN81" s="10">
        <f t="shared" ca="1" si="48"/>
        <v>-1.0162681753092762</v>
      </c>
      <c r="AO81" s="311">
        <f t="shared" ca="1" si="49"/>
        <v>-1.0067561111576298</v>
      </c>
      <c r="AP81" s="312">
        <f t="shared" ca="1" si="50"/>
        <v>0.29237670574420432</v>
      </c>
      <c r="AQ81" s="1"/>
      <c r="AR81" s="3">
        <f t="shared" si="60"/>
        <v>1500</v>
      </c>
      <c r="AS81" s="11" t="e">
        <f t="shared" ca="1" si="68"/>
        <v>#NAME?</v>
      </c>
      <c r="AT81" s="110">
        <f t="shared" si="56"/>
        <v>1500</v>
      </c>
      <c r="AU81" s="108" t="e">
        <f t="shared" ca="1" si="69"/>
        <v>#NAME?</v>
      </c>
      <c r="AW81" s="176">
        <v>44044</v>
      </c>
      <c r="AX81" s="177">
        <f ca="1">IF(fechaHoy&gt;=siguienteHabil(EDATE(AW81,1)+8,-1),VLOOKUP(EDATE(AW81,1)-1,Inflation_FWD!$L:$M,2,0)/100,IFERROR(VLOOKUP(AW81,Inflation_FWD!$H:$I,2,0),0.25%))</f>
        <v>2.5000000000000001E-3</v>
      </c>
      <c r="AY81" s="177">
        <f t="shared" si="67"/>
        <v>2.4750000000000002E-3</v>
      </c>
      <c r="AZ81" s="100">
        <f t="shared" si="70"/>
        <v>44052</v>
      </c>
      <c r="BA81" s="102">
        <f t="shared" ca="1" si="71"/>
        <v>29379.054351933199</v>
      </c>
      <c r="BC81" s="23"/>
      <c r="BD81" s="23"/>
      <c r="CC81" s="299"/>
      <c r="CL81" s="284"/>
    </row>
    <row r="82" spans="34:90">
      <c r="AH82" s="6">
        <f t="shared" si="53"/>
        <v>52</v>
      </c>
      <c r="AI82" s="7">
        <f t="shared" ca="1" si="57"/>
        <v>42722</v>
      </c>
      <c r="AJ82" s="210">
        <f t="shared" ca="1" si="54"/>
        <v>3.5000000000000004</v>
      </c>
      <c r="AK82" s="8">
        <f t="shared" ca="1" si="58"/>
        <v>1.0000972222222222</v>
      </c>
      <c r="AL82" s="98">
        <f t="shared" ca="1" si="59"/>
        <v>3.6121470212090667</v>
      </c>
      <c r="AM82" s="106">
        <f t="shared" ca="1" si="55"/>
        <v>26424.566349645676</v>
      </c>
      <c r="AN82" s="10">
        <f t="shared" ca="1" si="48"/>
        <v>-0.9725046482973565</v>
      </c>
      <c r="AO82" s="311">
        <f t="shared" ca="1" si="49"/>
        <v>-0.96320649991334417</v>
      </c>
      <c r="AP82" s="312">
        <f t="shared" ca="1" si="50"/>
        <v>0.29239093001513033</v>
      </c>
      <c r="AQ82" s="1"/>
      <c r="AR82" s="3">
        <f t="shared" si="60"/>
        <v>1530</v>
      </c>
      <c r="AS82" s="11" t="e">
        <f t="shared" ca="1" si="68"/>
        <v>#NAME?</v>
      </c>
      <c r="AT82" s="110">
        <f t="shared" si="56"/>
        <v>1530</v>
      </c>
      <c r="AU82" s="108" t="e">
        <f t="shared" ca="1" si="69"/>
        <v>#NAME?</v>
      </c>
      <c r="AW82" s="176">
        <v>44075</v>
      </c>
      <c r="AX82" s="177">
        <f ca="1">IF(fechaHoy&gt;=siguienteHabil(EDATE(AW82,1)+8,-1),VLOOKUP(EDATE(AW82,1)-1,Inflation_FWD!$L:$M,2,0)/100,IFERROR(VLOOKUP(AW82,Inflation_FWD!$H:$I,2,0),0.25%))</f>
        <v>2.5000000000000001E-3</v>
      </c>
      <c r="AY82" s="177">
        <f t="shared" si="67"/>
        <v>2.4750000000000002E-3</v>
      </c>
      <c r="AZ82" s="100">
        <f t="shared" si="70"/>
        <v>44083</v>
      </c>
      <c r="BA82" s="102">
        <f t="shared" ca="1" si="71"/>
        <v>29451.767511454233</v>
      </c>
      <c r="BC82" s="23"/>
      <c r="BD82" s="23"/>
      <c r="CC82" s="299"/>
      <c r="CL82" s="284"/>
    </row>
    <row r="83" spans="34:90">
      <c r="AH83" s="6">
        <f t="shared" si="53"/>
        <v>53</v>
      </c>
      <c r="AI83" s="7">
        <f t="shared" ca="1" si="57"/>
        <v>42723</v>
      </c>
      <c r="AJ83" s="210">
        <f t="shared" ca="1" si="54"/>
        <v>3.5000000000000004</v>
      </c>
      <c r="AK83" s="8">
        <f t="shared" ca="1" si="58"/>
        <v>1.0000972222222222</v>
      </c>
      <c r="AL83" s="98">
        <f t="shared" ca="1" si="59"/>
        <v>3.6121470212091333</v>
      </c>
      <c r="AM83" s="106">
        <f t="shared" ca="1" si="55"/>
        <v>26426.210766133379</v>
      </c>
      <c r="AN83" s="10">
        <f t="shared" ca="1" si="48"/>
        <v>-0.93037430759015383</v>
      </c>
      <c r="AO83" s="311">
        <f t="shared" ca="1" si="49"/>
        <v>-0.92129943983723595</v>
      </c>
      <c r="AP83" s="312">
        <f t="shared" ca="1" si="50"/>
        <v>0.29240515520838156</v>
      </c>
      <c r="AQ83" s="1"/>
      <c r="AR83" s="3">
        <f t="shared" si="60"/>
        <v>1560</v>
      </c>
      <c r="AS83" s="11" t="e">
        <f t="shared" ca="1" si="68"/>
        <v>#NAME?</v>
      </c>
      <c r="AT83" s="110">
        <f t="shared" si="56"/>
        <v>1560</v>
      </c>
      <c r="AU83" s="108" t="e">
        <f t="shared" ca="1" si="69"/>
        <v>#NAME?</v>
      </c>
      <c r="AW83" s="176">
        <v>44105</v>
      </c>
      <c r="AX83" s="177">
        <f ca="1">IF(fechaHoy&gt;=siguienteHabil(EDATE(AW83,1)+8,-1),VLOOKUP(EDATE(AW83,1)-1,Inflation_FWD!$L:$M,2,0)/100,IFERROR(VLOOKUP(AW83,Inflation_FWD!$H:$I,2,0),0.25%))</f>
        <v>2.5000000000000001E-3</v>
      </c>
      <c r="AY83" s="177">
        <f t="shared" si="67"/>
        <v>2.4750000000000002E-3</v>
      </c>
      <c r="AZ83" s="100">
        <f t="shared" si="70"/>
        <v>44113</v>
      </c>
      <c r="BA83" s="102">
        <f t="shared" ca="1" si="71"/>
        <v>29524.660636045082</v>
      </c>
      <c r="BC83" s="23"/>
      <c r="BD83" s="23"/>
      <c r="CC83" s="299"/>
      <c r="CL83" s="284"/>
    </row>
    <row r="84" spans="34:90">
      <c r="AH84" s="6">
        <f t="shared" si="53"/>
        <v>54</v>
      </c>
      <c r="AI84" s="7">
        <f t="shared" ca="1" si="57"/>
        <v>42724</v>
      </c>
      <c r="AJ84" s="210">
        <f t="shared" ca="1" si="54"/>
        <v>3.5000000000000004</v>
      </c>
      <c r="AK84" s="8">
        <f t="shared" ca="1" si="58"/>
        <v>1.0000972222222222</v>
      </c>
      <c r="AL84" s="98">
        <f t="shared" ca="1" si="59"/>
        <v>3.6121470212091111</v>
      </c>
      <c r="AM84" s="106">
        <f t="shared" ca="1" si="55"/>
        <v>26427.855284954101</v>
      </c>
      <c r="AN84" s="10">
        <f t="shared" ca="1" si="48"/>
        <v>-0.88978740947616153</v>
      </c>
      <c r="AO84" s="311">
        <f t="shared" ca="1" si="49"/>
        <v>-0.88094367805857665</v>
      </c>
      <c r="AP84" s="312">
        <f t="shared" ca="1" si="50"/>
        <v>0.29241938132400996</v>
      </c>
      <c r="AQ84" s="1"/>
      <c r="AR84" s="3">
        <f t="shared" si="60"/>
        <v>1590</v>
      </c>
      <c r="AS84" s="11" t="e">
        <f t="shared" ca="1" si="68"/>
        <v>#NAME?</v>
      </c>
      <c r="AT84" s="110">
        <f t="shared" si="56"/>
        <v>1590</v>
      </c>
      <c r="AU84" s="108" t="e">
        <f t="shared" ca="1" si="69"/>
        <v>#NAME?</v>
      </c>
      <c r="AW84" s="176">
        <v>44136</v>
      </c>
      <c r="AX84" s="177">
        <f ca="1">IF(fechaHoy&gt;=siguienteHabil(EDATE(AW84,1)+8,-1),VLOOKUP(EDATE(AW84,1)-1,Inflation_FWD!$L:$M,2,0)/100,IFERROR(VLOOKUP(AW84,Inflation_FWD!$H:$I,2,0),0.25%))</f>
        <v>2.5000000000000001E-3</v>
      </c>
      <c r="AY84" s="177">
        <f t="shared" si="67"/>
        <v>2.4750000000000002E-3</v>
      </c>
      <c r="AZ84" s="100">
        <f t="shared" si="70"/>
        <v>44144</v>
      </c>
      <c r="BA84" s="102">
        <f t="shared" ca="1" si="71"/>
        <v>29597.734171119293</v>
      </c>
      <c r="BC84" s="23"/>
      <c r="BD84" s="23"/>
      <c r="CC84" s="299"/>
      <c r="CL84" s="284"/>
    </row>
    <row r="85" spans="34:90">
      <c r="AH85" s="6">
        <f t="shared" si="53"/>
        <v>55</v>
      </c>
      <c r="AI85" s="7">
        <f t="shared" ca="1" si="57"/>
        <v>42725</v>
      </c>
      <c r="AJ85" s="210">
        <f t="shared" ca="1" si="54"/>
        <v>3.5000000000000004</v>
      </c>
      <c r="AK85" s="8">
        <f t="shared" ca="1" si="58"/>
        <v>1.0000972222222222</v>
      </c>
      <c r="AL85" s="98">
        <f t="shared" ca="1" si="59"/>
        <v>3.6121470212090667</v>
      </c>
      <c r="AM85" s="106">
        <f t="shared" ca="1" si="55"/>
        <v>26429.499906114212</v>
      </c>
      <c r="AN85" s="10">
        <f t="shared" ca="1" si="48"/>
        <v>-0.85066066695188569</v>
      </c>
      <c r="AO85" s="311">
        <f t="shared" ca="1" si="49"/>
        <v>-0.84205459827847329</v>
      </c>
      <c r="AP85" s="312">
        <f t="shared" ca="1" si="50"/>
        <v>0.29243360836208798</v>
      </c>
      <c r="AQ85" s="1"/>
      <c r="AR85" s="3">
        <f t="shared" si="60"/>
        <v>1620</v>
      </c>
      <c r="AS85" s="11" t="e">
        <f t="shared" ca="1" si="68"/>
        <v>#NAME?</v>
      </c>
      <c r="AT85" s="110">
        <f t="shared" si="56"/>
        <v>1620</v>
      </c>
      <c r="AU85" s="108" t="e">
        <f t="shared" ca="1" si="69"/>
        <v>#NAME?</v>
      </c>
      <c r="AW85" s="176">
        <v>44166</v>
      </c>
      <c r="AX85" s="177">
        <f ca="1">IF(fechaHoy&gt;=siguienteHabil(EDATE(AW85,1)+8,-1),VLOOKUP(EDATE(AW85,1)-1,Inflation_FWD!$L:$M,2,0)/100,IFERROR(VLOOKUP(AW85,Inflation_FWD!$H:$I,2,0),0.25%))</f>
        <v>2.5000000000000001E-3</v>
      </c>
      <c r="AY85" s="177">
        <f t="shared" si="67"/>
        <v>2.4750000000000002E-3</v>
      </c>
      <c r="AZ85" s="100">
        <f t="shared" si="70"/>
        <v>44174</v>
      </c>
      <c r="BA85" s="102">
        <f t="shared" ca="1" si="71"/>
        <v>29670.988563192812</v>
      </c>
      <c r="BC85" s="23"/>
      <c r="BD85" s="23"/>
      <c r="CC85" s="299"/>
      <c r="CL85" s="284"/>
    </row>
    <row r="86" spans="34:90">
      <c r="AH86" s="6">
        <f t="shared" si="53"/>
        <v>56</v>
      </c>
      <c r="AI86" s="7">
        <f t="shared" ca="1" si="57"/>
        <v>42726</v>
      </c>
      <c r="AJ86" s="210">
        <f t="shared" ca="1" si="54"/>
        <v>3.5000000000000004</v>
      </c>
      <c r="AK86" s="8">
        <f t="shared" ca="1" si="58"/>
        <v>1.0000972222222222</v>
      </c>
      <c r="AL86" s="98">
        <f t="shared" ca="1" si="59"/>
        <v>3.6121470212090001</v>
      </c>
      <c r="AM86" s="106">
        <f t="shared" ca="1" si="55"/>
        <v>26431.144629620074</v>
      </c>
      <c r="AN86" s="10">
        <f t="shared" ca="1" si="48"/>
        <v>-0.81291667933548473</v>
      </c>
      <c r="AO86" s="311">
        <f t="shared" ca="1" si="49"/>
        <v>-0.80455362821959697</v>
      </c>
      <c r="AP86" s="312">
        <f t="shared" ca="1" si="50"/>
        <v>0.29244783632268295</v>
      </c>
      <c r="AQ86" s="1"/>
      <c r="AR86" s="3">
        <f t="shared" si="60"/>
        <v>1650</v>
      </c>
      <c r="AS86" s="11" t="e">
        <f t="shared" ca="1" si="68"/>
        <v>#NAME?</v>
      </c>
      <c r="AT86" s="110">
        <f t="shared" si="56"/>
        <v>1650</v>
      </c>
      <c r="AU86" s="108" t="e">
        <f t="shared" ca="1" si="69"/>
        <v>#NAME?</v>
      </c>
      <c r="AW86" s="176">
        <v>44197</v>
      </c>
      <c r="AX86" s="177">
        <f ca="1">IF(fechaHoy&gt;=siguienteHabil(EDATE(AW86,1)+8,-1),VLOOKUP(EDATE(AW86,1)-1,Inflation_FWD!$L:$M,2,0)/100,IFERROR(VLOOKUP(AW86,Inflation_FWD!$H:$I,2,0),0.25%))</f>
        <v>2.5000000000000001E-3</v>
      </c>
      <c r="AY86" s="177">
        <f t="shared" si="67"/>
        <v>2.4750000000000002E-3</v>
      </c>
      <c r="AZ86" s="100">
        <f t="shared" si="70"/>
        <v>44205</v>
      </c>
      <c r="BA86" s="102">
        <f t="shared" ca="1" si="71"/>
        <v>29744.424259886713</v>
      </c>
      <c r="BC86" s="23"/>
      <c r="BD86" s="23"/>
      <c r="CC86" s="299"/>
      <c r="CL86" s="284"/>
    </row>
    <row r="87" spans="34:90">
      <c r="AH87" s="6">
        <f t="shared" si="53"/>
        <v>57</v>
      </c>
      <c r="AI87" s="7">
        <f t="shared" ca="1" si="57"/>
        <v>42727</v>
      </c>
      <c r="AJ87" s="210">
        <f t="shared" ca="1" si="54"/>
        <v>3.5000000000000004</v>
      </c>
      <c r="AK87" s="8">
        <f t="shared" ca="1" si="58"/>
        <v>1.0000972222222222</v>
      </c>
      <c r="AL87" s="98">
        <f t="shared" ca="1" si="59"/>
        <v>3.6121470212090001</v>
      </c>
      <c r="AM87" s="106">
        <f t="shared" ca="1" si="55"/>
        <v>26432.789455478058</v>
      </c>
      <c r="AN87" s="10">
        <f t="shared" ca="1" si="48"/>
        <v>-0.77648342129276182</v>
      </c>
      <c r="AO87" s="311">
        <f t="shared" ca="1" si="49"/>
        <v>-0.7683677094482203</v>
      </c>
      <c r="AP87" s="312">
        <f t="shared" ca="1" si="50"/>
        <v>0.29246206520586909</v>
      </c>
      <c r="AQ87" s="1"/>
      <c r="AR87" s="3">
        <f t="shared" si="60"/>
        <v>1680</v>
      </c>
      <c r="AS87" s="11" t="e">
        <f t="shared" ca="1" si="68"/>
        <v>#NAME?</v>
      </c>
      <c r="AT87" s="110">
        <f t="shared" si="56"/>
        <v>1680</v>
      </c>
      <c r="AU87" s="108" t="e">
        <f t="shared" ca="1" si="69"/>
        <v>#NAME?</v>
      </c>
      <c r="AW87" s="176">
        <v>44228</v>
      </c>
      <c r="AX87" s="177">
        <f ca="1">IF(fechaHoy&gt;=siguienteHabil(EDATE(AW87,1)+8,-1),VLOOKUP(EDATE(AW87,1)-1,Inflation_FWD!$L:$M,2,0)/100,IFERROR(VLOOKUP(AW87,Inflation_FWD!$H:$I,2,0),0.25%))</f>
        <v>2.5000000000000001E-3</v>
      </c>
      <c r="AY87" s="177">
        <f t="shared" si="67"/>
        <v>2.4750000000000002E-3</v>
      </c>
      <c r="AZ87" s="100">
        <f t="shared" si="70"/>
        <v>44236</v>
      </c>
      <c r="BA87" s="102">
        <f t="shared" ca="1" si="71"/>
        <v>29818.041709929934</v>
      </c>
      <c r="BC87" s="23"/>
      <c r="BD87" s="23"/>
      <c r="CC87" s="299"/>
      <c r="CL87" s="284"/>
    </row>
    <row r="88" spans="34:90">
      <c r="AH88" s="6">
        <f t="shared" si="53"/>
        <v>58</v>
      </c>
      <c r="AI88" s="7">
        <f t="shared" ca="1" si="57"/>
        <v>42728</v>
      </c>
      <c r="AJ88" s="210">
        <f t="shared" ca="1" si="54"/>
        <v>3.5000000000000004</v>
      </c>
      <c r="AK88" s="8">
        <f t="shared" ca="1" si="58"/>
        <v>1.0000972222222222</v>
      </c>
      <c r="AL88" s="98">
        <f t="shared" ca="1" si="59"/>
        <v>3.6121470212089335</v>
      </c>
      <c r="AM88" s="106">
        <f t="shared" ca="1" si="55"/>
        <v>26434.434383694537</v>
      </c>
      <c r="AN88" s="10">
        <f t="shared" ca="1" si="48"/>
        <v>-0.74129378418205105</v>
      </c>
      <c r="AO88" s="311">
        <f t="shared" ca="1" si="49"/>
        <v>-0.73342882204404547</v>
      </c>
      <c r="AP88" s="312">
        <f t="shared" ca="1" si="50"/>
        <v>0.29247629501170408</v>
      </c>
      <c r="AQ88" s="1"/>
      <c r="AR88" s="3">
        <f t="shared" si="60"/>
        <v>1710</v>
      </c>
      <c r="AS88" s="11" t="e">
        <f t="shared" ca="1" si="68"/>
        <v>#NAME?</v>
      </c>
      <c r="AT88" s="110">
        <f t="shared" si="56"/>
        <v>1710</v>
      </c>
      <c r="AU88" s="108" t="e">
        <f t="shared" ca="1" si="69"/>
        <v>#NAME?</v>
      </c>
      <c r="AW88" s="176">
        <v>44256</v>
      </c>
      <c r="AX88" s="177">
        <f ca="1">IF(fechaHoy&gt;=siguienteHabil(EDATE(AW88,1)+8,-1),VLOOKUP(EDATE(AW88,1)-1,Inflation_FWD!$L:$M,2,0)/100,IFERROR(VLOOKUP(AW88,Inflation_FWD!$H:$I,2,0),0.25%))</f>
        <v>2.5000000000000001E-3</v>
      </c>
      <c r="AY88" s="177">
        <f t="shared" si="67"/>
        <v>2.4750000000000002E-3</v>
      </c>
      <c r="AZ88" s="100">
        <f t="shared" si="70"/>
        <v>44264</v>
      </c>
      <c r="BA88" s="102">
        <f t="shared" ca="1" si="71"/>
        <v>29891.84136316201</v>
      </c>
      <c r="BC88" s="23"/>
      <c r="BD88" s="23"/>
      <c r="CC88" s="299"/>
      <c r="CL88" s="284"/>
    </row>
    <row r="89" spans="34:90">
      <c r="AH89" s="6">
        <f t="shared" si="53"/>
        <v>59</v>
      </c>
      <c r="AI89" s="7">
        <f t="shared" ca="1" si="57"/>
        <v>42729</v>
      </c>
      <c r="AJ89" s="210">
        <f t="shared" ca="1" si="54"/>
        <v>3.5000000000000004</v>
      </c>
      <c r="AK89" s="8">
        <f t="shared" ca="1" si="58"/>
        <v>1.0000972222222222</v>
      </c>
      <c r="AL89" s="98">
        <f t="shared" ca="1" si="59"/>
        <v>3.6121470212089335</v>
      </c>
      <c r="AM89" s="106">
        <f t="shared" ca="1" si="55"/>
        <v>26436.079414275871</v>
      </c>
      <c r="AN89" s="10">
        <f t="shared" ca="1" si="48"/>
        <v>-0.7072851635688493</v>
      </c>
      <c r="AO89" s="311">
        <f t="shared" ca="1" si="49"/>
        <v>-0.69967355760591388</v>
      </c>
      <c r="AP89" s="312">
        <f t="shared" ca="1" si="50"/>
        <v>0.29249052574026418</v>
      </c>
      <c r="AQ89" s="1"/>
      <c r="AR89" s="3">
        <f t="shared" si="60"/>
        <v>1740</v>
      </c>
      <c r="AS89" s="11" t="e">
        <f t="shared" ca="1" si="68"/>
        <v>#NAME?</v>
      </c>
      <c r="AT89" s="110">
        <f t="shared" si="56"/>
        <v>1740</v>
      </c>
      <c r="AU89" s="108" t="e">
        <f t="shared" ca="1" si="69"/>
        <v>#NAME?</v>
      </c>
      <c r="AW89" s="176">
        <v>44287</v>
      </c>
      <c r="AX89" s="177">
        <f ca="1">IF(fechaHoy&gt;=siguienteHabil(EDATE(AW89,1)+8,-1),VLOOKUP(EDATE(AW89,1)-1,Inflation_FWD!$L:$M,2,0)/100,IFERROR(VLOOKUP(AW89,Inflation_FWD!$H:$I,2,0),0.25%))</f>
        <v>2.5000000000000001E-3</v>
      </c>
      <c r="AY89" s="177">
        <f t="shared" si="67"/>
        <v>2.4750000000000002E-3</v>
      </c>
      <c r="AZ89" s="100">
        <f t="shared" si="70"/>
        <v>44295</v>
      </c>
      <c r="BA89" s="102">
        <f t="shared" ca="1" si="71"/>
        <v>29965.823670535836</v>
      </c>
      <c r="BC89" s="23"/>
      <c r="BD89" s="23"/>
      <c r="CC89" s="299"/>
      <c r="CL89" s="284"/>
    </row>
    <row r="90" spans="34:90">
      <c r="AH90" s="6">
        <f t="shared" si="53"/>
        <v>60</v>
      </c>
      <c r="AI90" s="7">
        <f t="shared" ca="1" si="57"/>
        <v>42730</v>
      </c>
      <c r="AJ90" s="210">
        <f t="shared" ca="1" si="54"/>
        <v>3.5000000000000004</v>
      </c>
      <c r="AK90" s="8">
        <f t="shared" ca="1" si="58"/>
        <v>1.0000972222222222</v>
      </c>
      <c r="AL90" s="98">
        <f t="shared" ca="1" si="59"/>
        <v>3.6121470212089113</v>
      </c>
      <c r="AM90" s="106">
        <f t="shared" ca="1" si="55"/>
        <v>26437.724547228441</v>
      </c>
      <c r="AN90" s="10">
        <f t="shared" ca="1" si="48"/>
        <v>-0.6743990875834327</v>
      </c>
      <c r="AO90" s="311">
        <f t="shared" ca="1" si="49"/>
        <v>-0.66704273496014377</v>
      </c>
      <c r="AP90" s="312">
        <f t="shared" ca="1" si="50"/>
        <v>0.29250475739160953</v>
      </c>
      <c r="AQ90" s="1"/>
      <c r="AR90" s="3">
        <f t="shared" si="60"/>
        <v>1770</v>
      </c>
      <c r="AS90" s="11" t="e">
        <f t="shared" ca="1" si="68"/>
        <v>#NAME?</v>
      </c>
      <c r="AT90" s="110">
        <f t="shared" si="56"/>
        <v>1770</v>
      </c>
      <c r="AU90" s="108" t="e">
        <f t="shared" ca="1" si="69"/>
        <v>#NAME?</v>
      </c>
      <c r="AW90" s="176">
        <v>44317</v>
      </c>
      <c r="AX90" s="177">
        <f ca="1">IF(fechaHoy&gt;=siguienteHabil(EDATE(AW90,1)+8,-1),VLOOKUP(EDATE(AW90,1)-1,Inflation_FWD!$L:$M,2,0)/100,IFERROR(VLOOKUP(AW90,Inflation_FWD!$H:$I,2,0),0.25%))</f>
        <v>2.5000000000000001E-3</v>
      </c>
      <c r="AY90" s="177">
        <f t="shared" si="67"/>
        <v>2.4750000000000002E-3</v>
      </c>
      <c r="AZ90" s="100">
        <f t="shared" si="70"/>
        <v>44325</v>
      </c>
      <c r="BA90" s="102">
        <f t="shared" ca="1" si="71"/>
        <v>30039.989084120411</v>
      </c>
      <c r="BC90" s="23"/>
      <c r="BD90" s="23"/>
      <c r="CC90" s="299"/>
      <c r="CL90" s="284"/>
    </row>
    <row r="91" spans="34:90">
      <c r="AH91" s="6">
        <f t="shared" si="53"/>
        <v>61</v>
      </c>
      <c r="AI91" s="7">
        <f t="shared" ca="1" si="57"/>
        <v>42731</v>
      </c>
      <c r="AJ91" s="210">
        <f t="shared" ca="1" si="54"/>
        <v>3.5000000000000004</v>
      </c>
      <c r="AK91" s="8">
        <f t="shared" ca="1" si="58"/>
        <v>1.0000972222222222</v>
      </c>
      <c r="AL91" s="98">
        <f t="shared" ca="1" si="59"/>
        <v>3.6121470212089779</v>
      </c>
      <c r="AM91" s="106">
        <f t="shared" ca="1" si="55"/>
        <v>26439.36978255861</v>
      </c>
      <c r="AN91" s="10">
        <f t="shared" ca="1" si="48"/>
        <v>-0.64258088147428616</v>
      </c>
      <c r="AO91" s="311">
        <f t="shared" ca="1" si="49"/>
        <v>-0.63548105366522945</v>
      </c>
      <c r="AP91" s="312">
        <f t="shared" ca="1" si="50"/>
        <v>0.29251898996581815</v>
      </c>
      <c r="AQ91" s="1"/>
      <c r="AR91" s="3">
        <f t="shared" si="60"/>
        <v>1800</v>
      </c>
      <c r="AS91" s="11" t="e">
        <f t="shared" ca="1" si="68"/>
        <v>#NAME?</v>
      </c>
      <c r="AT91" s="110">
        <f t="shared" si="56"/>
        <v>1800</v>
      </c>
      <c r="AU91" s="108" t="e">
        <f t="shared" ca="1" si="69"/>
        <v>#NAME?</v>
      </c>
      <c r="AW91" s="176">
        <v>44348</v>
      </c>
      <c r="AX91" s="177">
        <f ca="1">IF(fechaHoy&gt;=siguienteHabil(EDATE(AW91,1)+8,-1),VLOOKUP(EDATE(AW91,1)-1,Inflation_FWD!$L:$M,2,0)/100,IFERROR(VLOOKUP(AW91,Inflation_FWD!$H:$I,2,0),0.25%))</f>
        <v>2.5000000000000001E-3</v>
      </c>
      <c r="AY91" s="177">
        <f t="shared" ref="AY91:AY154" si="72">+$S$5/1200</f>
        <v>2.4750000000000002E-3</v>
      </c>
      <c r="AZ91" s="100">
        <f t="shared" si="70"/>
        <v>44356</v>
      </c>
      <c r="BA91" s="102">
        <f t="shared" ca="1" si="71"/>
        <v>30114.33805710361</v>
      </c>
      <c r="BC91" s="23"/>
      <c r="BD91" s="23"/>
      <c r="CC91" s="299"/>
      <c r="CL91" s="284"/>
    </row>
    <row r="92" spans="34:90">
      <c r="AH92" s="6">
        <f t="shared" si="53"/>
        <v>62</v>
      </c>
      <c r="AI92" s="7">
        <f t="shared" ca="1" si="57"/>
        <v>42732</v>
      </c>
      <c r="AJ92" s="210">
        <f t="shared" ca="1" si="54"/>
        <v>3.5000000000000004</v>
      </c>
      <c r="AK92" s="8">
        <f t="shared" ca="1" si="58"/>
        <v>1.0000972222222222</v>
      </c>
      <c r="AL92" s="98">
        <f t="shared" ca="1" si="59"/>
        <v>3.6121470212089557</v>
      </c>
      <c r="AM92" s="106">
        <f t="shared" ca="1" si="55"/>
        <v>26441.015120272757</v>
      </c>
      <c r="AN92" s="10">
        <f t="shared" ca="1" si="48"/>
        <v>-0.61177936431529023</v>
      </c>
      <c r="AO92" s="311">
        <f t="shared" ca="1" si="49"/>
        <v>-0.60493678105072979</v>
      </c>
      <c r="AP92" s="312">
        <f t="shared" ca="1" si="50"/>
        <v>0.29253322346294158</v>
      </c>
      <c r="AQ92" s="1"/>
      <c r="AR92" s="3">
        <f t="shared" si="60"/>
        <v>1830</v>
      </c>
      <c r="AS92" s="11" t="e">
        <f t="shared" ca="1" si="68"/>
        <v>#NAME?</v>
      </c>
      <c r="AT92" s="110">
        <f t="shared" si="56"/>
        <v>1830</v>
      </c>
      <c r="AU92" s="108" t="e">
        <f t="shared" ca="1" si="69"/>
        <v>#NAME?</v>
      </c>
      <c r="AW92" s="176">
        <v>44378</v>
      </c>
      <c r="AX92" s="177">
        <f ca="1">IF(fechaHoy&gt;=siguienteHabil(EDATE(AW92,1)+8,-1),VLOOKUP(EDATE(AW92,1)-1,Inflation_FWD!$L:$M,2,0)/100,IFERROR(VLOOKUP(AW92,Inflation_FWD!$H:$I,2,0),0.25%))</f>
        <v>2.5000000000000001E-3</v>
      </c>
      <c r="AY92" s="177">
        <f t="shared" si="72"/>
        <v>2.4750000000000002E-3</v>
      </c>
      <c r="AZ92" s="100">
        <f t="shared" si="70"/>
        <v>44386</v>
      </c>
      <c r="BA92" s="102">
        <f t="shared" ca="1" si="71"/>
        <v>30188.871043794941</v>
      </c>
      <c r="BC92" s="23"/>
      <c r="BD92" s="23"/>
      <c r="CC92" s="299"/>
      <c r="CL92" s="284"/>
    </row>
    <row r="93" spans="34:90">
      <c r="AH93" s="6">
        <f t="shared" si="53"/>
        <v>63</v>
      </c>
      <c r="AI93" s="7">
        <f t="shared" ca="1" si="57"/>
        <v>42733</v>
      </c>
      <c r="AJ93" s="210">
        <f t="shared" ca="1" si="54"/>
        <v>3.5000000000000004</v>
      </c>
      <c r="AK93" s="8">
        <f t="shared" ca="1" si="58"/>
        <v>1.0000972222222222</v>
      </c>
      <c r="AL93" s="98">
        <f t="shared" ca="1" si="59"/>
        <v>3.6121470212089779</v>
      </c>
      <c r="AM93" s="106">
        <f t="shared" ca="1" si="55"/>
        <v>26442.660560377248</v>
      </c>
      <c r="AN93" s="10">
        <f t="shared" ca="1" si="48"/>
        <v>-0.58194657432292241</v>
      </c>
      <c r="AO93" s="311">
        <f t="shared" ca="1" si="49"/>
        <v>-0.57536146905943852</v>
      </c>
      <c r="AP93" s="312">
        <f t="shared" ca="1" si="50"/>
        <v>0.29254745788305964</v>
      </c>
      <c r="AQ93" s="1"/>
      <c r="AR93" s="3">
        <f t="shared" si="60"/>
        <v>1860</v>
      </c>
      <c r="AS93" s="11" t="e">
        <f t="shared" ca="1" si="68"/>
        <v>#NAME?</v>
      </c>
      <c r="AT93" s="110">
        <f t="shared" si="56"/>
        <v>1860</v>
      </c>
      <c r="AU93" s="108" t="e">
        <f t="shared" ca="1" si="69"/>
        <v>#NAME?</v>
      </c>
      <c r="AW93" s="176">
        <v>44409</v>
      </c>
      <c r="AX93" s="177">
        <f ca="1">IF(fechaHoy&gt;=siguienteHabil(EDATE(AW93,1)+8,-1),VLOOKUP(EDATE(AW93,1)-1,Inflation_FWD!$L:$M,2,0)/100,IFERROR(VLOOKUP(AW93,Inflation_FWD!$H:$I,2,0),0.25%))</f>
        <v>2.5000000000000001E-3</v>
      </c>
      <c r="AY93" s="177">
        <f t="shared" si="72"/>
        <v>2.4750000000000002E-3</v>
      </c>
      <c r="AZ93" s="100">
        <f t="shared" si="70"/>
        <v>44417</v>
      </c>
      <c r="BA93" s="102">
        <f t="shared" ca="1" si="71"/>
        <v>30263.588499628335</v>
      </c>
      <c r="BC93" s="23"/>
      <c r="BD93" s="23"/>
      <c r="CC93" s="299"/>
      <c r="CL93" s="284"/>
    </row>
    <row r="94" spans="34:90">
      <c r="AH94" s="6">
        <f t="shared" si="53"/>
        <v>64</v>
      </c>
      <c r="AI94" s="7">
        <f t="shared" ca="1" si="57"/>
        <v>42734</v>
      </c>
      <c r="AJ94" s="210">
        <f t="shared" ca="1" si="54"/>
        <v>3.5000000000000004</v>
      </c>
      <c r="AK94" s="8">
        <f t="shared" ca="1" si="58"/>
        <v>1.0000972222222222</v>
      </c>
      <c r="AL94" s="98">
        <f t="shared" ca="1" si="59"/>
        <v>3.6121470212090445</v>
      </c>
      <c r="AM94" s="106">
        <f t="shared" ca="1" si="55"/>
        <v>26444.306102878458</v>
      </c>
      <c r="AN94" s="10">
        <f t="shared" ca="1" si="48"/>
        <v>-0.55303751968852621</v>
      </c>
      <c r="AO94" s="311">
        <f t="shared" ca="1" si="49"/>
        <v>-0.54670969763816191</v>
      </c>
      <c r="AP94" s="312">
        <f t="shared" ca="1" si="50"/>
        <v>0.29256169322623704</v>
      </c>
      <c r="AQ94" s="1"/>
      <c r="AR94" s="3">
        <f t="shared" si="60"/>
        <v>1890</v>
      </c>
      <c r="AS94" s="11" t="e">
        <f t="shared" ca="1" si="68"/>
        <v>#NAME?</v>
      </c>
      <c r="AT94" s="110">
        <f t="shared" si="56"/>
        <v>1890</v>
      </c>
      <c r="AU94" s="108" t="e">
        <f t="shared" ca="1" si="69"/>
        <v>#NAME?</v>
      </c>
      <c r="AW94" s="176">
        <v>44440</v>
      </c>
      <c r="AX94" s="177">
        <f ca="1">IF(fechaHoy&gt;=siguienteHabil(EDATE(AW94,1)+8,-1),VLOOKUP(EDATE(AW94,1)-1,Inflation_FWD!$L:$M,2,0)/100,IFERROR(VLOOKUP(AW94,Inflation_FWD!$H:$I,2,0),0.25%))</f>
        <v>2.5000000000000001E-3</v>
      </c>
      <c r="AY94" s="177">
        <f t="shared" si="72"/>
        <v>2.4750000000000002E-3</v>
      </c>
      <c r="AZ94" s="100">
        <f t="shared" si="70"/>
        <v>44448</v>
      </c>
      <c r="BA94" s="102">
        <f t="shared" ca="1" si="71"/>
        <v>30338.490881164915</v>
      </c>
      <c r="BC94" s="23"/>
      <c r="BD94" s="23"/>
      <c r="CC94" s="299"/>
      <c r="CL94" s="284"/>
    </row>
    <row r="95" spans="34:90">
      <c r="AH95" s="6">
        <f t="shared" si="53"/>
        <v>65</v>
      </c>
      <c r="AI95" s="7">
        <f t="shared" ca="1" si="57"/>
        <v>42735</v>
      </c>
      <c r="AJ95" s="210">
        <f t="shared" ca="1" si="54"/>
        <v>3.5000000000000004</v>
      </c>
      <c r="AK95" s="8">
        <f t="shared" ca="1" si="58"/>
        <v>1.0000972222222222</v>
      </c>
      <c r="AL95" s="98">
        <f t="shared" ca="1" si="59"/>
        <v>3.6121470212090445</v>
      </c>
      <c r="AM95" s="106">
        <f t="shared" ref="AM95:AM158" ca="1" si="73">Geom_Interp(AI95,$AZ$2:$AZ$109,$BA$2:$BA$109)</f>
        <v>26445.951747782754</v>
      </c>
      <c r="AN95" s="10">
        <f t="shared" ref="AN95:AN158" ca="1" si="74">100*(((1+AL95/100)^(AH95/365)*$AM$29/AM95)^(365/AH95)-1)</f>
        <v>-0.52500995219886271</v>
      </c>
      <c r="AO95" s="311">
        <f t="shared" ref="AO95:AO158" ca="1" si="75">100*360/$AH95*((1+AN95/100)^($AH95/365)-1)</f>
        <v>-0.51893884181390271</v>
      </c>
      <c r="AP95" s="312">
        <f t="shared" ref="AP95:AP158" ca="1" si="76">100*30/$AH95*((1+AL95/100)^($AH95/365)-1)</f>
        <v>0.29257592949253425</v>
      </c>
      <c r="AQ95" s="1"/>
      <c r="AR95" s="3">
        <f t="shared" si="60"/>
        <v>1920</v>
      </c>
      <c r="AS95" s="11" t="e">
        <f t="shared" ref="AS95:AS126" ca="1" si="77">+VLOOKUP(AR95,$AH$31:$AL$10000,5,FALSE)+[1]!CERCHA(AR95,$F$2:$G$5,"PG")</f>
        <v>#NAME?</v>
      </c>
      <c r="AT95" s="110">
        <f t="shared" si="56"/>
        <v>1920</v>
      </c>
      <c r="AU95" s="108" t="e">
        <f t="shared" ref="AU95:AU126" ca="1" si="78">+VLOOKUP(AR95,$AH$31:$AN$10000,7,FALSE)+[1]!CERCHA(AR95,$F$2:$G$5,"PG")</f>
        <v>#NAME?</v>
      </c>
      <c r="AW95" s="176">
        <v>44470</v>
      </c>
      <c r="AX95" s="177">
        <f ca="1">IF(fechaHoy&gt;=siguienteHabil(EDATE(AW95,1)+8,-1),VLOOKUP(EDATE(AW95,1)-1,Inflation_FWD!$L:$M,2,0)/100,IFERROR(VLOOKUP(AW95,Inflation_FWD!$H:$I,2,0),0.25%))</f>
        <v>2.5000000000000001E-3</v>
      </c>
      <c r="AY95" s="177">
        <f t="shared" si="72"/>
        <v>2.4750000000000002E-3</v>
      </c>
      <c r="AZ95" s="100">
        <f t="shared" si="70"/>
        <v>44478</v>
      </c>
      <c r="BA95" s="102">
        <f t="shared" ca="1" si="71"/>
        <v>30413.578646095797</v>
      </c>
      <c r="BC95" s="23"/>
      <c r="BD95" s="23"/>
      <c r="CC95" s="299"/>
      <c r="CL95" s="284"/>
    </row>
    <row r="96" spans="34:90">
      <c r="AH96" s="6">
        <f t="shared" ref="AH96:AH159" si="79">$AI$29+AH95</f>
        <v>66</v>
      </c>
      <c r="AI96" s="7">
        <f t="shared" ref="AI96:AI159" ca="1" si="80">+AH96+$C$1</f>
        <v>42736</v>
      </c>
      <c r="AJ96" s="210">
        <f t="shared" ref="AJ96:AJ159" ca="1" si="81">IF(AH96&lt;365,VLOOKUP(LOOKUP(AI96,$AI$2:$AI$23),$AI$2:$AK$23,3,0),Lin_Interp(AH96,$AJ$2:$AJ$23,$AK$2:$AK$23))</f>
        <v>3.5000000000000004</v>
      </c>
      <c r="AK96" s="8">
        <f t="shared" ca="1" si="58"/>
        <v>1.0000972222222222</v>
      </c>
      <c r="AL96" s="98">
        <f t="shared" ca="1" si="59"/>
        <v>3.6121470212090001</v>
      </c>
      <c r="AM96" s="106">
        <f t="shared" ca="1" si="73"/>
        <v>26447.59749509651</v>
      </c>
      <c r="AN96" s="10">
        <f t="shared" ca="1" si="74"/>
        <v>-0.49782416125171425</v>
      </c>
      <c r="AO96" s="311">
        <f t="shared" ca="1" si="75"/>
        <v>-0.49200885994523963</v>
      </c>
      <c r="AP96" s="312">
        <f t="shared" ca="1" si="76"/>
        <v>0.29259016668201832</v>
      </c>
      <c r="AQ96" s="1"/>
      <c r="AR96" s="3">
        <f t="shared" si="60"/>
        <v>1950</v>
      </c>
      <c r="AS96" s="11" t="e">
        <f t="shared" ca="1" si="77"/>
        <v>#NAME?</v>
      </c>
      <c r="AT96" s="110">
        <f t="shared" ref="AT96:AT147" si="82">AR96</f>
        <v>1950</v>
      </c>
      <c r="AU96" s="108" t="e">
        <f t="shared" ca="1" si="78"/>
        <v>#NAME?</v>
      </c>
      <c r="AW96" s="176">
        <v>44501</v>
      </c>
      <c r="AX96" s="177">
        <f ca="1">IF(fechaHoy&gt;=siguienteHabil(EDATE(AW96,1)+8,-1),VLOOKUP(EDATE(AW96,1)-1,Inflation_FWD!$L:$M,2,0)/100,IFERROR(VLOOKUP(AW96,Inflation_FWD!$H:$I,2,0),0.25%))</f>
        <v>2.5000000000000001E-3</v>
      </c>
      <c r="AY96" s="177">
        <f t="shared" si="72"/>
        <v>2.4750000000000002E-3</v>
      </c>
      <c r="AZ96" s="100">
        <f t="shared" si="70"/>
        <v>44509</v>
      </c>
      <c r="BA96" s="102">
        <f t="shared" ca="1" si="71"/>
        <v>30488.852253244884</v>
      </c>
      <c r="BC96" s="23"/>
      <c r="BD96" s="23"/>
      <c r="CC96" s="299"/>
      <c r="CL96" s="284"/>
    </row>
    <row r="97" spans="34:90">
      <c r="AH97" s="6">
        <f t="shared" si="79"/>
        <v>67</v>
      </c>
      <c r="AI97" s="7">
        <f t="shared" ca="1" si="80"/>
        <v>42737</v>
      </c>
      <c r="AJ97" s="210">
        <f t="shared" ca="1" si="81"/>
        <v>3.5000000000000004</v>
      </c>
      <c r="AK97" s="8">
        <f t="shared" ref="AK97:AK160" ca="1" si="83">+(1+AJ97/36000)</f>
        <v>1.0000972222222222</v>
      </c>
      <c r="AL97" s="98">
        <f t="shared" ref="AL97:AL160" ca="1" si="84">100*(((1+AL96/100)^(AH96/365)*AK97)^(365/AH97)-1)</f>
        <v>3.6121470212089557</v>
      </c>
      <c r="AM97" s="106">
        <f t="shared" ca="1" si="73"/>
        <v>26449.243344826104</v>
      </c>
      <c r="AN97" s="10">
        <f t="shared" ca="1" si="74"/>
        <v>-0.47144278615465218</v>
      </c>
      <c r="AO97" s="311">
        <f t="shared" ca="1" si="75"/>
        <v>-0.46588210093644783</v>
      </c>
      <c r="AP97" s="312">
        <f t="shared" ca="1" si="76"/>
        <v>0.29260440479476219</v>
      </c>
      <c r="AQ97" s="1"/>
      <c r="AR97" s="3">
        <f t="shared" si="60"/>
        <v>1980</v>
      </c>
      <c r="AS97" s="11" t="e">
        <f t="shared" ca="1" si="77"/>
        <v>#NAME?</v>
      </c>
      <c r="AT97" s="110">
        <f t="shared" si="82"/>
        <v>1980</v>
      </c>
      <c r="AU97" s="108" t="e">
        <f t="shared" ca="1" si="78"/>
        <v>#NAME?</v>
      </c>
      <c r="AW97" s="176">
        <v>44531</v>
      </c>
      <c r="AX97" s="177">
        <f ca="1">IF(fechaHoy&gt;=siguienteHabil(EDATE(AW97,1)+8,-1),VLOOKUP(EDATE(AW97,1)-1,Inflation_FWD!$L:$M,2,0)/100,IFERROR(VLOOKUP(AW97,Inflation_FWD!$H:$I,2,0),0.25%))</f>
        <v>2.5000000000000001E-3</v>
      </c>
      <c r="AY97" s="177">
        <f t="shared" si="72"/>
        <v>2.4750000000000002E-3</v>
      </c>
      <c r="AZ97" s="100">
        <f t="shared" si="70"/>
        <v>44539</v>
      </c>
      <c r="BA97" s="102">
        <f t="shared" ca="1" si="71"/>
        <v>30564.312162571667</v>
      </c>
      <c r="BC97" s="23"/>
      <c r="BD97" s="23"/>
      <c r="CC97" s="299"/>
      <c r="CL97" s="284"/>
    </row>
    <row r="98" spans="34:90">
      <c r="AH98" s="6">
        <f t="shared" si="79"/>
        <v>68</v>
      </c>
      <c r="AI98" s="7">
        <f t="shared" ca="1" si="80"/>
        <v>42738</v>
      </c>
      <c r="AJ98" s="210">
        <f t="shared" ca="1" si="81"/>
        <v>3.5000000000000004</v>
      </c>
      <c r="AK98" s="8">
        <f t="shared" ca="1" si="83"/>
        <v>1.0000972222222222</v>
      </c>
      <c r="AL98" s="98">
        <f t="shared" ca="1" si="84"/>
        <v>3.6121470212089335</v>
      </c>
      <c r="AM98" s="106">
        <f t="shared" ca="1" si="73"/>
        <v>26450.889296977908</v>
      </c>
      <c r="AN98" s="10">
        <f t="shared" ca="1" si="74"/>
        <v>-0.4458306448413385</v>
      </c>
      <c r="AO98" s="311">
        <f t="shared" ca="1" si="75"/>
        <v>-0.4405231284624333</v>
      </c>
      <c r="AP98" s="312">
        <f t="shared" ca="1" si="76"/>
        <v>0.29261864383083441</v>
      </c>
      <c r="AQ98" s="1"/>
      <c r="AR98" s="3">
        <f t="shared" ref="AR98:AR151" si="85">+AR97+$AS$29</f>
        <v>2010</v>
      </c>
      <c r="AS98" s="11" t="e">
        <f t="shared" ca="1" si="77"/>
        <v>#NAME?</v>
      </c>
      <c r="AT98" s="110">
        <f t="shared" si="82"/>
        <v>2010</v>
      </c>
      <c r="AU98" s="108" t="e">
        <f t="shared" ca="1" si="78"/>
        <v>#NAME?</v>
      </c>
      <c r="AW98" s="176">
        <v>44562</v>
      </c>
      <c r="AX98" s="177">
        <f ca="1">IF(fechaHoy&gt;=siguienteHabil(EDATE(AW98,1)+8,-1),VLOOKUP(EDATE(AW98,1)-1,Inflation_FWD!$L:$M,2,0)/100,IFERROR(VLOOKUP(AW98,Inflation_FWD!$H:$I,2,0),0.25%))</f>
        <v>2.5000000000000001E-3</v>
      </c>
      <c r="AY98" s="177">
        <f t="shared" si="72"/>
        <v>2.4750000000000002E-3</v>
      </c>
      <c r="AZ98" s="100">
        <f t="shared" si="70"/>
        <v>44570</v>
      </c>
      <c r="BA98" s="102">
        <f t="shared" ca="1" si="71"/>
        <v>30639.958835174031</v>
      </c>
      <c r="BC98" s="23"/>
      <c r="BD98" s="23"/>
      <c r="CC98" s="299"/>
      <c r="CL98" s="284"/>
    </row>
    <row r="99" spans="34:90">
      <c r="AH99" s="6">
        <f t="shared" si="79"/>
        <v>69</v>
      </c>
      <c r="AI99" s="7">
        <f t="shared" ca="1" si="80"/>
        <v>42739</v>
      </c>
      <c r="AJ99" s="210">
        <f t="shared" ca="1" si="81"/>
        <v>3.5000000000000004</v>
      </c>
      <c r="AK99" s="8">
        <f t="shared" ca="1" si="83"/>
        <v>1.0000972222222222</v>
      </c>
      <c r="AL99" s="98">
        <f t="shared" ca="1" si="84"/>
        <v>3.6121470212089113</v>
      </c>
      <c r="AM99" s="106">
        <f t="shared" ca="1" si="73"/>
        <v>26452.53535155829</v>
      </c>
      <c r="AN99" s="10">
        <f t="shared" ca="1" si="74"/>
        <v>-0.42095457735286113</v>
      </c>
      <c r="AO99" s="311">
        <f t="shared" ca="1" si="75"/>
        <v>-0.41589856047735446</v>
      </c>
      <c r="AP99" s="312">
        <f t="shared" ca="1" si="76"/>
        <v>0.29263288379029978</v>
      </c>
      <c r="AQ99" s="1"/>
      <c r="AR99" s="3">
        <f t="shared" si="85"/>
        <v>2040</v>
      </c>
      <c r="AS99" s="11" t="e">
        <f t="shared" ca="1" si="77"/>
        <v>#NAME?</v>
      </c>
      <c r="AT99" s="110">
        <f t="shared" si="82"/>
        <v>2040</v>
      </c>
      <c r="AU99" s="108" t="e">
        <f t="shared" ca="1" si="78"/>
        <v>#NAME?</v>
      </c>
      <c r="AW99" s="176">
        <v>44593</v>
      </c>
      <c r="AX99" s="177">
        <f ca="1">IF(fechaHoy&gt;=siguienteHabil(EDATE(AW99,1)+8,-1),VLOOKUP(EDATE(AW99,1)-1,Inflation_FWD!$L:$M,2,0)/100,IFERROR(VLOOKUP(AW99,Inflation_FWD!$H:$I,2,0),0.25%))</f>
        <v>2.5000000000000001E-3</v>
      </c>
      <c r="AY99" s="177">
        <f t="shared" si="72"/>
        <v>2.4750000000000002E-3</v>
      </c>
      <c r="AZ99" s="100">
        <f t="shared" si="70"/>
        <v>44601</v>
      </c>
      <c r="BA99" s="102">
        <f t="shared" ca="1" si="71"/>
        <v>30715.792733291088</v>
      </c>
      <c r="BC99" s="23"/>
      <c r="BD99" s="23"/>
      <c r="CC99" s="299"/>
      <c r="CL99" s="284"/>
    </row>
    <row r="100" spans="34:90">
      <c r="AH100" s="6">
        <f t="shared" si="79"/>
        <v>70</v>
      </c>
      <c r="AI100" s="7">
        <f t="shared" ca="1" si="80"/>
        <v>42740</v>
      </c>
      <c r="AJ100" s="210">
        <f t="shared" ca="1" si="81"/>
        <v>3.5000000000000004</v>
      </c>
      <c r="AK100" s="8">
        <f t="shared" ca="1" si="83"/>
        <v>1.0000972222222222</v>
      </c>
      <c r="AL100" s="98">
        <f t="shared" ca="1" si="84"/>
        <v>3.6121470212089113</v>
      </c>
      <c r="AM100" s="106">
        <f t="shared" ca="1" si="73"/>
        <v>26454.181508573631</v>
      </c>
      <c r="AN100" s="10">
        <f t="shared" ca="1" si="74"/>
        <v>-0.39678330262282735</v>
      </c>
      <c r="AO100" s="311">
        <f t="shared" ca="1" si="75"/>
        <v>-0.3919769224812456</v>
      </c>
      <c r="AP100" s="312">
        <f t="shared" ca="1" si="76"/>
        <v>0.29264712467322873</v>
      </c>
      <c r="AQ100" s="1"/>
      <c r="AR100" s="3">
        <f t="shared" si="85"/>
        <v>2070</v>
      </c>
      <c r="AS100" s="11" t="e">
        <f t="shared" ca="1" si="77"/>
        <v>#NAME?</v>
      </c>
      <c r="AT100" s="110">
        <f t="shared" si="82"/>
        <v>2070</v>
      </c>
      <c r="AU100" s="108" t="e">
        <f t="shared" ca="1" si="78"/>
        <v>#NAME?</v>
      </c>
      <c r="AW100" s="176">
        <v>44621</v>
      </c>
      <c r="AX100" s="177">
        <f ca="1">IF(fechaHoy&gt;=siguienteHabil(EDATE(AW100,1)+8,-1),VLOOKUP(EDATE(AW100,1)-1,Inflation_FWD!$L:$M,2,0)/100,IFERROR(VLOOKUP(AW100,Inflation_FWD!$H:$I,2,0),0.25%))</f>
        <v>2.5000000000000001E-3</v>
      </c>
      <c r="AY100" s="177">
        <f t="shared" si="72"/>
        <v>2.4750000000000002E-3</v>
      </c>
      <c r="AZ100" s="100">
        <f t="shared" si="70"/>
        <v>44629</v>
      </c>
      <c r="BA100" s="102">
        <f t="shared" ca="1" si="71"/>
        <v>30791.814320305984</v>
      </c>
      <c r="BC100" s="23"/>
      <c r="BD100" s="23"/>
      <c r="CC100" s="299"/>
      <c r="CL100" s="284"/>
    </row>
    <row r="101" spans="34:90">
      <c r="AH101" s="6">
        <f t="shared" si="79"/>
        <v>71</v>
      </c>
      <c r="AI101" s="7">
        <f t="shared" ca="1" si="80"/>
        <v>42741</v>
      </c>
      <c r="AJ101" s="210">
        <f t="shared" ca="1" si="81"/>
        <v>3.5000000000000004</v>
      </c>
      <c r="AK101" s="8">
        <f t="shared" ca="1" si="83"/>
        <v>1.0000972222222222</v>
      </c>
      <c r="AL101" s="98">
        <f t="shared" ca="1" si="84"/>
        <v>3.6121470212089335</v>
      </c>
      <c r="AM101" s="106">
        <f t="shared" ca="1" si="73"/>
        <v>26455.827768030296</v>
      </c>
      <c r="AN101" s="10">
        <f t="shared" ca="1" si="74"/>
        <v>-0.37328728726248039</v>
      </c>
      <c r="AO101" s="311">
        <f t="shared" ca="1" si="75"/>
        <v>-0.36872851318506927</v>
      </c>
      <c r="AP101" s="312">
        <f t="shared" ca="1" si="76"/>
        <v>0.29266136647968777</v>
      </c>
      <c r="AQ101" s="1"/>
      <c r="AR101" s="3">
        <f t="shared" si="85"/>
        <v>2100</v>
      </c>
      <c r="AS101" s="11" t="e">
        <f t="shared" ca="1" si="77"/>
        <v>#NAME?</v>
      </c>
      <c r="AT101" s="110">
        <f t="shared" si="82"/>
        <v>2100</v>
      </c>
      <c r="AU101" s="108" t="e">
        <f t="shared" ca="1" si="78"/>
        <v>#NAME?</v>
      </c>
      <c r="AW101" s="176">
        <v>44652</v>
      </c>
      <c r="AX101" s="177">
        <f ca="1">IF(fechaHoy&gt;=siguienteHabil(EDATE(AW101,1)+8,-1),VLOOKUP(EDATE(AW101,1)-1,Inflation_FWD!$L:$M,2,0)/100,IFERROR(VLOOKUP(AW101,Inflation_FWD!$H:$I,2,0),0.25%))</f>
        <v>2.5000000000000001E-3</v>
      </c>
      <c r="AY101" s="177">
        <f t="shared" si="72"/>
        <v>2.4750000000000002E-3</v>
      </c>
      <c r="AZ101" s="100">
        <f t="shared" si="70"/>
        <v>44660</v>
      </c>
      <c r="BA101" s="102">
        <f t="shared" ca="1" si="71"/>
        <v>30868.024060748743</v>
      </c>
      <c r="BC101" s="23"/>
      <c r="BD101" s="23"/>
      <c r="CC101" s="299"/>
      <c r="CL101" s="284"/>
    </row>
    <row r="102" spans="34:90">
      <c r="AH102" s="6">
        <f t="shared" si="79"/>
        <v>72</v>
      </c>
      <c r="AI102" s="7">
        <f t="shared" ca="1" si="80"/>
        <v>42742</v>
      </c>
      <c r="AJ102" s="210">
        <f t="shared" ca="1" si="81"/>
        <v>3.5000000000000004</v>
      </c>
      <c r="AK102" s="8">
        <f t="shared" ca="1" si="83"/>
        <v>1.0000972222222222</v>
      </c>
      <c r="AL102" s="98">
        <f t="shared" ca="1" si="84"/>
        <v>3.6121470212089335</v>
      </c>
      <c r="AM102" s="106">
        <f t="shared" ca="1" si="73"/>
        <v>26457.474129934672</v>
      </c>
      <c r="AN102" s="10">
        <f t="shared" ca="1" si="74"/>
        <v>-0.35043862519188451</v>
      </c>
      <c r="AO102" s="311">
        <f t="shared" ca="1" si="75"/>
        <v>-0.34612528137201171</v>
      </c>
      <c r="AP102" s="312">
        <f t="shared" ca="1" si="76"/>
        <v>0.29267560920973967</v>
      </c>
      <c r="AQ102" s="1"/>
      <c r="AR102" s="3">
        <f t="shared" si="85"/>
        <v>2130</v>
      </c>
      <c r="AS102" s="11" t="e">
        <f t="shared" ca="1" si="77"/>
        <v>#NAME?</v>
      </c>
      <c r="AT102" s="110">
        <f t="shared" si="82"/>
        <v>2130</v>
      </c>
      <c r="AU102" s="108" t="e">
        <f t="shared" ca="1" si="78"/>
        <v>#NAME?</v>
      </c>
      <c r="AW102" s="176">
        <v>44682</v>
      </c>
      <c r="AX102" s="177">
        <f ca="1">IF(fechaHoy&gt;=siguienteHabil(EDATE(AW102,1)+8,-1),VLOOKUP(EDATE(AW102,1)-1,Inflation_FWD!$L:$M,2,0)/100,IFERROR(VLOOKUP(AW102,Inflation_FWD!$H:$I,2,0),0.25%))</f>
        <v>2.5000000000000001E-3</v>
      </c>
      <c r="AY102" s="177">
        <f t="shared" si="72"/>
        <v>2.4750000000000002E-3</v>
      </c>
      <c r="AZ102" s="100">
        <f t="shared" si="70"/>
        <v>44690</v>
      </c>
      <c r="BA102" s="102">
        <f t="shared" ca="1" si="71"/>
        <v>30944.422420299095</v>
      </c>
      <c r="BC102" s="23"/>
      <c r="BD102" s="23"/>
      <c r="CC102" s="299"/>
      <c r="CL102" s="284"/>
    </row>
    <row r="103" spans="34:90">
      <c r="AH103" s="6">
        <f t="shared" si="79"/>
        <v>73</v>
      </c>
      <c r="AI103" s="7">
        <f t="shared" ca="1" si="80"/>
        <v>42743</v>
      </c>
      <c r="AJ103" s="210">
        <f t="shared" ca="1" si="81"/>
        <v>3.5000000000000004</v>
      </c>
      <c r="AK103" s="8">
        <f t="shared" ca="1" si="83"/>
        <v>1.0000972222222222</v>
      </c>
      <c r="AL103" s="98">
        <f t="shared" ca="1" si="84"/>
        <v>3.6121470212089113</v>
      </c>
      <c r="AM103" s="106">
        <f t="shared" ca="1" si="73"/>
        <v>26459.12059429313</v>
      </c>
      <c r="AN103" s="10">
        <f t="shared" ca="1" si="74"/>
        <v>-0.32821092708185118</v>
      </c>
      <c r="AO103" s="311">
        <f t="shared" ca="1" si="75"/>
        <v>-0.32414071287746882</v>
      </c>
      <c r="AP103" s="312">
        <f t="shared" ca="1" si="76"/>
        <v>0.29268985286345306</v>
      </c>
      <c r="AQ103" s="1"/>
      <c r="AR103" s="3">
        <f t="shared" si="85"/>
        <v>2160</v>
      </c>
      <c r="AS103" s="11" t="e">
        <f t="shared" ca="1" si="77"/>
        <v>#NAME?</v>
      </c>
      <c r="AT103" s="110">
        <f t="shared" si="82"/>
        <v>2160</v>
      </c>
      <c r="AU103" s="108" t="e">
        <f t="shared" ca="1" si="78"/>
        <v>#NAME?</v>
      </c>
      <c r="AW103" s="176">
        <v>44713</v>
      </c>
      <c r="AX103" s="177">
        <f ca="1">IF(fechaHoy&gt;=siguienteHabil(EDATE(AW103,1)+8,-1),VLOOKUP(EDATE(AW103,1)-1,Inflation_FWD!$L:$M,2,0)/100,IFERROR(VLOOKUP(AW103,Inflation_FWD!$H:$I,2,0),0.25%))</f>
        <v>2.5000000000000001E-3</v>
      </c>
      <c r="AY103" s="177">
        <f t="shared" si="72"/>
        <v>2.4750000000000002E-3</v>
      </c>
      <c r="AZ103" s="100">
        <f t="shared" si="70"/>
        <v>44721</v>
      </c>
      <c r="BA103" s="102">
        <f t="shared" ca="1" si="71"/>
        <v>31021.009865789336</v>
      </c>
      <c r="BC103" s="23"/>
      <c r="BD103" s="23"/>
      <c r="CC103" s="299"/>
      <c r="CL103" s="284"/>
    </row>
    <row r="104" spans="34:90">
      <c r="AH104" s="6">
        <f t="shared" si="79"/>
        <v>74</v>
      </c>
      <c r="AI104" s="7">
        <f t="shared" ca="1" si="80"/>
        <v>42744</v>
      </c>
      <c r="AJ104" s="210">
        <f t="shared" ca="1" si="81"/>
        <v>3.5000000000000004</v>
      </c>
      <c r="AK104" s="8">
        <f t="shared" ca="1" si="83"/>
        <v>1.0000972222222222</v>
      </c>
      <c r="AL104" s="98">
        <f t="shared" ca="1" si="84"/>
        <v>3.6121470212089113</v>
      </c>
      <c r="AM104" s="106">
        <f t="shared" ca="1" si="73"/>
        <v>26460.767161112042</v>
      </c>
      <c r="AN104" s="10">
        <f t="shared" ca="1" si="74"/>
        <v>-0.3065792186906946</v>
      </c>
      <c r="AO104" s="311">
        <f t="shared" ca="1" si="75"/>
        <v>-0.30274972673535516</v>
      </c>
      <c r="AP104" s="312">
        <f t="shared" ca="1" si="76"/>
        <v>0.2927040974409017</v>
      </c>
      <c r="AQ104" s="1"/>
      <c r="AR104" s="3">
        <f t="shared" si="85"/>
        <v>2190</v>
      </c>
      <c r="AS104" s="11" t="e">
        <f t="shared" ca="1" si="77"/>
        <v>#NAME?</v>
      </c>
      <c r="AT104" s="110">
        <f t="shared" si="82"/>
        <v>2190</v>
      </c>
      <c r="AU104" s="108" t="e">
        <f t="shared" ca="1" si="78"/>
        <v>#NAME?</v>
      </c>
      <c r="AW104" s="176">
        <v>44743</v>
      </c>
      <c r="AX104" s="177">
        <f ca="1">IF(fechaHoy&gt;=siguienteHabil(EDATE(AW104,1)+8,-1),VLOOKUP(EDATE(AW104,1)-1,Inflation_FWD!$L:$M,2,0)/100,IFERROR(VLOOKUP(AW104,Inflation_FWD!$H:$I,2,0),0.25%))</f>
        <v>2.5000000000000001E-3</v>
      </c>
      <c r="AY104" s="177">
        <f t="shared" si="72"/>
        <v>2.4750000000000002E-3</v>
      </c>
      <c r="AZ104" s="100">
        <f t="shared" si="70"/>
        <v>44751</v>
      </c>
      <c r="BA104" s="102">
        <f t="shared" ca="1" si="71"/>
        <v>31097.786865207163</v>
      </c>
      <c r="BC104" s="23"/>
      <c r="BD104" s="23"/>
      <c r="CC104" s="299"/>
      <c r="CL104" s="284"/>
    </row>
    <row r="105" spans="34:90">
      <c r="AH105" s="6">
        <f t="shared" si="79"/>
        <v>75</v>
      </c>
      <c r="AI105" s="7">
        <f t="shared" ca="1" si="80"/>
        <v>42745</v>
      </c>
      <c r="AJ105" s="210">
        <f t="shared" ca="1" si="81"/>
        <v>3.5000000000000004</v>
      </c>
      <c r="AK105" s="8">
        <f t="shared" ca="1" si="83"/>
        <v>1.0000972222222222</v>
      </c>
      <c r="AL105" s="98">
        <f t="shared" ca="1" si="84"/>
        <v>3.6121470212089113</v>
      </c>
      <c r="AM105" s="106">
        <f t="shared" ca="1" si="73"/>
        <v>26462.478300964976</v>
      </c>
      <c r="AN105" s="10">
        <f t="shared" ca="1" si="74"/>
        <v>-0.28670212296170172</v>
      </c>
      <c r="AO105" s="311">
        <f t="shared" ca="1" si="75"/>
        <v>-0.28309731733596522</v>
      </c>
      <c r="AP105" s="312">
        <f t="shared" ca="1" si="76"/>
        <v>0.29271834294214649</v>
      </c>
      <c r="AQ105" s="1"/>
      <c r="AR105" s="3">
        <f t="shared" si="85"/>
        <v>2220</v>
      </c>
      <c r="AS105" s="11" t="e">
        <f t="shared" ca="1" si="77"/>
        <v>#NAME?</v>
      </c>
      <c r="AT105" s="110">
        <f t="shared" si="82"/>
        <v>2220</v>
      </c>
      <c r="AU105" s="108" t="e">
        <f t="shared" ca="1" si="78"/>
        <v>#NAME?</v>
      </c>
      <c r="AW105" s="176">
        <v>44774</v>
      </c>
      <c r="AX105" s="177">
        <f ca="1">IF(fechaHoy&gt;=siguienteHabil(EDATE(AW105,1)+8,-1),VLOOKUP(EDATE(AW105,1)-1,Inflation_FWD!$L:$M,2,0)/100,IFERROR(VLOOKUP(AW105,Inflation_FWD!$H:$I,2,0),0.25%))</f>
        <v>2.5000000000000001E-3</v>
      </c>
      <c r="AY105" s="177">
        <f t="shared" si="72"/>
        <v>2.4750000000000002E-3</v>
      </c>
      <c r="AZ105" s="100">
        <f t="shared" si="70"/>
        <v>44782</v>
      </c>
      <c r="BA105" s="102">
        <f t="shared" ca="1" si="71"/>
        <v>31174.753887698549</v>
      </c>
      <c r="BC105" s="23"/>
      <c r="BD105" s="23"/>
      <c r="CC105" s="299"/>
      <c r="CL105" s="284"/>
    </row>
    <row r="106" spans="34:90">
      <c r="AH106" s="6">
        <f t="shared" si="79"/>
        <v>76</v>
      </c>
      <c r="AI106" s="7">
        <f t="shared" ca="1" si="80"/>
        <v>42746</v>
      </c>
      <c r="AJ106" s="210">
        <f t="shared" ca="1" si="81"/>
        <v>3.5000000000000004</v>
      </c>
      <c r="AK106" s="8">
        <f t="shared" ca="1" si="83"/>
        <v>1.0000972222222222</v>
      </c>
      <c r="AL106" s="98">
        <f t="shared" ca="1" si="84"/>
        <v>3.6121470212088891</v>
      </c>
      <c r="AM106" s="106">
        <f t="shared" ca="1" si="73"/>
        <v>26464.189551472282</v>
      </c>
      <c r="AN106" s="10">
        <f t="shared" ca="1" si="74"/>
        <v>-0.26734430063387604</v>
      </c>
      <c r="AO106" s="311">
        <f t="shared" ca="1" si="75"/>
        <v>-0.26396157495331274</v>
      </c>
      <c r="AP106" s="312">
        <f t="shared" ca="1" si="76"/>
        <v>0.29273258936725405</v>
      </c>
      <c r="AQ106" s="1"/>
      <c r="AR106" s="3">
        <f t="shared" si="85"/>
        <v>2250</v>
      </c>
      <c r="AS106" s="11" t="e">
        <f t="shared" ca="1" si="77"/>
        <v>#NAME?</v>
      </c>
      <c r="AT106" s="110">
        <f t="shared" si="82"/>
        <v>2250</v>
      </c>
      <c r="AU106" s="108" t="e">
        <f t="shared" ca="1" si="78"/>
        <v>#NAME?</v>
      </c>
      <c r="AW106" s="176">
        <v>44805</v>
      </c>
      <c r="AX106" s="177">
        <f ca="1">IF(fechaHoy&gt;=siguienteHabil(EDATE(AW106,1)+8,-1),VLOOKUP(EDATE(AW106,1)-1,Inflation_FWD!$L:$M,2,0)/100,IFERROR(VLOOKUP(AW106,Inflation_FWD!$H:$I,2,0),0.25%))</f>
        <v>2.5000000000000001E-3</v>
      </c>
      <c r="AY106" s="177">
        <f t="shared" si="72"/>
        <v>2.4750000000000002E-3</v>
      </c>
      <c r="AZ106" s="100">
        <f t="shared" si="70"/>
        <v>44813</v>
      </c>
      <c r="BA106" s="102">
        <f t="shared" ca="1" si="71"/>
        <v>31251.911403570604</v>
      </c>
      <c r="BC106" s="23"/>
      <c r="BD106" s="23"/>
      <c r="CC106" s="299"/>
      <c r="CL106" s="284"/>
    </row>
    <row r="107" spans="34:90">
      <c r="AH107" s="6">
        <f t="shared" si="79"/>
        <v>77</v>
      </c>
      <c r="AI107" s="7">
        <f t="shared" ca="1" si="80"/>
        <v>42747</v>
      </c>
      <c r="AJ107" s="210">
        <f t="shared" ca="1" si="81"/>
        <v>3.5000000000000004</v>
      </c>
      <c r="AK107" s="8">
        <f t="shared" ca="1" si="83"/>
        <v>1.0000972222222222</v>
      </c>
      <c r="AL107" s="98">
        <f t="shared" ca="1" si="84"/>
        <v>3.6121470212088891</v>
      </c>
      <c r="AM107" s="106">
        <f t="shared" ca="1" si="73"/>
        <v>26465.900912641115</v>
      </c>
      <c r="AN107" s="10">
        <f t="shared" ca="1" si="74"/>
        <v>-0.24848566601373134</v>
      </c>
      <c r="AO107" s="311">
        <f t="shared" ca="1" si="75"/>
        <v>-0.24532236968738191</v>
      </c>
      <c r="AP107" s="312">
        <f t="shared" ca="1" si="76"/>
        <v>0.29274683671629609</v>
      </c>
      <c r="AQ107" s="1"/>
      <c r="AR107" s="3">
        <f t="shared" si="85"/>
        <v>2280</v>
      </c>
      <c r="AS107" s="11" t="e">
        <f t="shared" ca="1" si="77"/>
        <v>#NAME?</v>
      </c>
      <c r="AT107" s="110">
        <f t="shared" si="82"/>
        <v>2280</v>
      </c>
      <c r="AU107" s="108" t="e">
        <f t="shared" ca="1" si="78"/>
        <v>#NAME?</v>
      </c>
      <c r="AW107" s="176">
        <v>44835</v>
      </c>
      <c r="AX107" s="177">
        <f ca="1">IF(fechaHoy&gt;=siguienteHabil(EDATE(AW107,1)+8,-1),VLOOKUP(EDATE(AW107,1)-1,Inflation_FWD!$L:$M,2,0)/100,IFERROR(VLOOKUP(AW107,Inflation_FWD!$H:$I,2,0),0.25%))</f>
        <v>2.5000000000000001E-3</v>
      </c>
      <c r="AY107" s="177">
        <f t="shared" si="72"/>
        <v>2.4750000000000002E-3</v>
      </c>
      <c r="AZ107" s="100">
        <f t="shared" si="70"/>
        <v>44843</v>
      </c>
      <c r="BA107" s="102">
        <f t="shared" ca="1" si="71"/>
        <v>31329.259884294443</v>
      </c>
      <c r="BC107" s="23"/>
      <c r="BD107" s="23"/>
      <c r="CC107" s="299"/>
      <c r="CL107" s="284"/>
    </row>
    <row r="108" spans="34:90">
      <c r="AH108" s="6">
        <f t="shared" si="79"/>
        <v>78</v>
      </c>
      <c r="AI108" s="7">
        <f t="shared" ca="1" si="80"/>
        <v>42748</v>
      </c>
      <c r="AJ108" s="210">
        <f t="shared" ca="1" si="81"/>
        <v>3.5000000000000004</v>
      </c>
      <c r="AK108" s="8">
        <f t="shared" ca="1" si="83"/>
        <v>1.0000972222222222</v>
      </c>
      <c r="AL108" s="98">
        <f t="shared" ca="1" si="84"/>
        <v>3.6121470212089113</v>
      </c>
      <c r="AM108" s="106">
        <f t="shared" ca="1" si="73"/>
        <v>26467.612384478634</v>
      </c>
      <c r="AN108" s="10">
        <f t="shared" ca="1" si="74"/>
        <v>-0.23010715610066734</v>
      </c>
      <c r="AO108" s="311">
        <f t="shared" ca="1" si="75"/>
        <v>-0.22716060394102944</v>
      </c>
      <c r="AP108" s="312">
        <f t="shared" ca="1" si="76"/>
        <v>0.29276108498934067</v>
      </c>
      <c r="AQ108" s="1"/>
      <c r="AR108" s="3">
        <f t="shared" si="85"/>
        <v>2310</v>
      </c>
      <c r="AS108" s="11" t="e">
        <f t="shared" ca="1" si="77"/>
        <v>#NAME?</v>
      </c>
      <c r="AT108" s="110">
        <f t="shared" si="82"/>
        <v>2310</v>
      </c>
      <c r="AU108" s="108" t="e">
        <f t="shared" ca="1" si="78"/>
        <v>#NAME?</v>
      </c>
      <c r="AW108" s="176">
        <v>44866</v>
      </c>
      <c r="AX108" s="177">
        <f ca="1">IF(fechaHoy&gt;=siguienteHabil(EDATE(AW108,1)+8,-1),VLOOKUP(EDATE(AW108,1)-1,Inflation_FWD!$L:$M,2,0)/100,IFERROR(VLOOKUP(AW108,Inflation_FWD!$H:$I,2,0),0.25%))</f>
        <v>2.5000000000000001E-3</v>
      </c>
      <c r="AY108" s="177">
        <f t="shared" si="72"/>
        <v>2.4750000000000002E-3</v>
      </c>
      <c r="AZ108" s="100">
        <f t="shared" si="70"/>
        <v>44874</v>
      </c>
      <c r="BA108" s="102">
        <f t="shared" ca="1" si="71"/>
        <v>31406.799802508071</v>
      </c>
      <c r="BC108" s="23"/>
      <c r="BD108" s="23"/>
      <c r="CC108" s="299"/>
      <c r="CL108" s="284"/>
    </row>
    <row r="109" spans="34:90">
      <c r="AH109" s="6">
        <f t="shared" si="79"/>
        <v>79</v>
      </c>
      <c r="AI109" s="7">
        <f t="shared" ca="1" si="80"/>
        <v>42749</v>
      </c>
      <c r="AJ109" s="210">
        <f t="shared" ca="1" si="81"/>
        <v>3.5000000000000004</v>
      </c>
      <c r="AK109" s="8">
        <f t="shared" ca="1" si="83"/>
        <v>1.0000972222222222</v>
      </c>
      <c r="AL109" s="98">
        <f t="shared" ca="1" si="84"/>
        <v>3.6121470212089335</v>
      </c>
      <c r="AM109" s="106">
        <f t="shared" ca="1" si="73"/>
        <v>26469.323966991997</v>
      </c>
      <c r="AN109" s="10">
        <f t="shared" ca="1" si="74"/>
        <v>-0.21219066631579242</v>
      </c>
      <c r="AO109" s="311">
        <f t="shared" ca="1" si="75"/>
        <v>-0.20945814708385344</v>
      </c>
      <c r="AP109" s="312">
        <f t="shared" ca="1" si="76"/>
        <v>0.29277533418645246</v>
      </c>
      <c r="AQ109" s="1"/>
      <c r="AR109" s="3">
        <f t="shared" si="85"/>
        <v>2340</v>
      </c>
      <c r="AS109" s="11" t="e">
        <f t="shared" ca="1" si="77"/>
        <v>#NAME?</v>
      </c>
      <c r="AT109" s="110">
        <f t="shared" si="82"/>
        <v>2340</v>
      </c>
      <c r="AU109" s="108" t="e">
        <f t="shared" ca="1" si="78"/>
        <v>#NAME?</v>
      </c>
      <c r="AW109" s="176">
        <v>44896</v>
      </c>
      <c r="AX109" s="177">
        <f ca="1">IF(fechaHoy&gt;=siguienteHabil(EDATE(AW109,1)+8,-1),VLOOKUP(EDATE(AW109,1)-1,Inflation_FWD!$L:$M,2,0)/100,IFERROR(VLOOKUP(AW109,Inflation_FWD!$H:$I,2,0),0.25%))</f>
        <v>2.5000000000000001E-3</v>
      </c>
      <c r="AY109" s="177">
        <f t="shared" si="72"/>
        <v>2.4750000000000002E-3</v>
      </c>
      <c r="AZ109" s="100">
        <f t="shared" si="70"/>
        <v>44904</v>
      </c>
      <c r="BA109" s="102">
        <f t="shared" ca="1" si="71"/>
        <v>31484.53163201928</v>
      </c>
      <c r="BC109" s="23"/>
      <c r="BD109" s="23"/>
      <c r="CC109" s="299"/>
      <c r="CL109" s="284"/>
    </row>
    <row r="110" spans="34:90">
      <c r="AH110" s="6">
        <f t="shared" si="79"/>
        <v>80</v>
      </c>
      <c r="AI110" s="7">
        <f t="shared" ca="1" si="80"/>
        <v>42750</v>
      </c>
      <c r="AJ110" s="210">
        <f t="shared" ca="1" si="81"/>
        <v>3.5000000000000004</v>
      </c>
      <c r="AK110" s="8">
        <f t="shared" ca="1" si="83"/>
        <v>1.0000972222222222</v>
      </c>
      <c r="AL110" s="98">
        <f t="shared" ca="1" si="84"/>
        <v>3.6121470212089779</v>
      </c>
      <c r="AM110" s="106">
        <f t="shared" ca="1" si="73"/>
        <v>26471.035660188354</v>
      </c>
      <c r="AN110" s="10">
        <f t="shared" ca="1" si="74"/>
        <v>-0.1947189910178615</v>
      </c>
      <c r="AO110" s="311">
        <f t="shared" ca="1" si="75"/>
        <v>-0.19219777501677249</v>
      </c>
      <c r="AP110" s="312">
        <f t="shared" ca="1" si="76"/>
        <v>0.29278958430770108</v>
      </c>
      <c r="AQ110" s="1"/>
      <c r="AR110" s="3">
        <f t="shared" si="85"/>
        <v>2370</v>
      </c>
      <c r="AS110" s="11" t="e">
        <f t="shared" ca="1" si="77"/>
        <v>#NAME?</v>
      </c>
      <c r="AT110" s="110">
        <f t="shared" si="82"/>
        <v>2370</v>
      </c>
      <c r="AU110" s="108" t="e">
        <f t="shared" ca="1" si="78"/>
        <v>#NAME?</v>
      </c>
      <c r="AW110" s="176">
        <v>44927</v>
      </c>
      <c r="AX110" s="177">
        <f ca="1">IF(fechaHoy&gt;=siguienteHabil(EDATE(AW110,1)+8,-1),VLOOKUP(EDATE(AW110,1)-1,Inflation_FWD!$L:$M,2,0)/100,IFERROR(VLOOKUP(AW110,Inflation_FWD!$H:$I,2,0),0.25%))</f>
        <v>2.5000000000000001E-3</v>
      </c>
      <c r="AY110" s="177">
        <f t="shared" si="72"/>
        <v>2.4750000000000002E-3</v>
      </c>
      <c r="AZ110" s="100">
        <f t="shared" si="70"/>
        <v>44935</v>
      </c>
      <c r="BA110" s="102">
        <f t="shared" ca="1" si="71"/>
        <v>31562.455847808527</v>
      </c>
      <c r="BC110" s="23"/>
      <c r="BD110" s="23"/>
      <c r="CC110" s="299"/>
      <c r="CL110" s="284"/>
    </row>
    <row r="111" spans="34:90">
      <c r="AH111" s="6">
        <f t="shared" si="79"/>
        <v>81</v>
      </c>
      <c r="AI111" s="7">
        <f t="shared" ca="1" si="80"/>
        <v>42751</v>
      </c>
      <c r="AJ111" s="210">
        <f t="shared" ca="1" si="81"/>
        <v>3.5000000000000004</v>
      </c>
      <c r="AK111" s="8">
        <f t="shared" ca="1" si="83"/>
        <v>1.0000972222222222</v>
      </c>
      <c r="AL111" s="98">
        <f t="shared" ca="1" si="84"/>
        <v>3.6121470212090223</v>
      </c>
      <c r="AM111" s="106">
        <f t="shared" ca="1" si="73"/>
        <v>26472.747464074873</v>
      </c>
      <c r="AN111" s="10">
        <f t="shared" ca="1" si="74"/>
        <v>-0.17767576839584631</v>
      </c>
      <c r="AO111" s="311">
        <f t="shared" ca="1" si="75"/>
        <v>-0.17536311421399259</v>
      </c>
      <c r="AP111" s="312">
        <f t="shared" ca="1" si="76"/>
        <v>0.29280383535315285</v>
      </c>
      <c r="AQ111" s="1"/>
      <c r="AR111" s="3">
        <f t="shared" si="85"/>
        <v>2400</v>
      </c>
      <c r="AS111" s="11" t="e">
        <f t="shared" ca="1" si="77"/>
        <v>#NAME?</v>
      </c>
      <c r="AT111" s="110">
        <f t="shared" si="82"/>
        <v>2400</v>
      </c>
      <c r="AU111" s="108" t="e">
        <f t="shared" ca="1" si="78"/>
        <v>#NAME?</v>
      </c>
      <c r="AW111" s="176">
        <v>44958</v>
      </c>
      <c r="AX111" s="177">
        <f ca="1">IF(fechaHoy&gt;=siguienteHabil(EDATE(AW111,1)+8,-1),VLOOKUP(EDATE(AW111,1)-1,Inflation_FWD!$L:$M,2,0)/100,IFERROR(VLOOKUP(AW111,Inflation_FWD!$H:$I,2,0),0.25%))</f>
        <v>2.5000000000000001E-3</v>
      </c>
      <c r="AY111" s="177">
        <f t="shared" si="72"/>
        <v>2.4750000000000002E-3</v>
      </c>
      <c r="AZ111" s="100">
        <f t="shared" si="70"/>
        <v>44966</v>
      </c>
      <c r="BA111" s="102">
        <f t="shared" ca="1" si="71"/>
        <v>31640.572926031855</v>
      </c>
      <c r="BC111" s="23"/>
      <c r="BD111" s="23"/>
      <c r="CC111" s="299"/>
      <c r="CL111" s="284"/>
    </row>
    <row r="112" spans="34:90">
      <c r="AH112" s="6">
        <f t="shared" si="79"/>
        <v>82</v>
      </c>
      <c r="AI112" s="7">
        <f t="shared" ca="1" si="80"/>
        <v>42752</v>
      </c>
      <c r="AJ112" s="210">
        <f t="shared" ca="1" si="81"/>
        <v>3.5000000000000004</v>
      </c>
      <c r="AK112" s="8">
        <f t="shared" ca="1" si="83"/>
        <v>1.0000972222222222</v>
      </c>
      <c r="AL112" s="98">
        <f t="shared" ca="1" si="84"/>
        <v>3.6121470212090445</v>
      </c>
      <c r="AM112" s="106">
        <f t="shared" ca="1" si="73"/>
        <v>26474.459378658699</v>
      </c>
      <c r="AN112" s="10">
        <f t="shared" ca="1" si="74"/>
        <v>-0.16104542936455912</v>
      </c>
      <c r="AO112" s="311">
        <f t="shared" ca="1" si="75"/>
        <v>-0.15893858985785639</v>
      </c>
      <c r="AP112" s="312">
        <f t="shared" ca="1" si="76"/>
        <v>0.29281808732287073</v>
      </c>
      <c r="AQ112" s="1"/>
      <c r="AR112" s="3">
        <f t="shared" si="85"/>
        <v>2430</v>
      </c>
      <c r="AS112" s="11" t="e">
        <f t="shared" ca="1" si="77"/>
        <v>#NAME?</v>
      </c>
      <c r="AT112" s="110">
        <f t="shared" si="82"/>
        <v>2430</v>
      </c>
      <c r="AU112" s="108" t="e">
        <f t="shared" ca="1" si="78"/>
        <v>#NAME?</v>
      </c>
      <c r="AW112" s="176">
        <v>44986</v>
      </c>
      <c r="AX112" s="177">
        <f ca="1">IF(fechaHoy&gt;=siguienteHabil(EDATE(AW112,1)+8,-1),VLOOKUP(EDATE(AW112,1)-1,Inflation_FWD!$L:$M,2,0)/100,IFERROR(VLOOKUP(AW112,Inflation_FWD!$H:$I,2,0),0.25%))</f>
        <v>2.5000000000000001E-3</v>
      </c>
      <c r="AY112" s="177">
        <f t="shared" si="72"/>
        <v>2.4750000000000002E-3</v>
      </c>
      <c r="AZ112" s="100">
        <f t="shared" si="70"/>
        <v>44994</v>
      </c>
      <c r="BA112" s="102">
        <f t="shared" ca="1" si="71"/>
        <v>31718.883344023783</v>
      </c>
      <c r="BC112" s="23"/>
      <c r="BD112" s="23"/>
      <c r="CC112" s="299"/>
      <c r="CL112" s="284"/>
    </row>
    <row r="113" spans="34:90">
      <c r="AH113" s="6">
        <f t="shared" si="79"/>
        <v>83</v>
      </c>
      <c r="AI113" s="7">
        <f t="shared" ca="1" si="80"/>
        <v>42753</v>
      </c>
      <c r="AJ113" s="210">
        <f t="shared" ca="1" si="81"/>
        <v>3.5000000000000004</v>
      </c>
      <c r="AK113" s="8">
        <f t="shared" ca="1" si="83"/>
        <v>1.0000972222222222</v>
      </c>
      <c r="AL113" s="98">
        <f t="shared" ca="1" si="84"/>
        <v>3.6121470212090001</v>
      </c>
      <c r="AM113" s="106">
        <f t="shared" ca="1" si="73"/>
        <v>26476.171403946999</v>
      </c>
      <c r="AN113" s="10">
        <f t="shared" ca="1" si="74"/>
        <v>-0.14481315013137319</v>
      </c>
      <c r="AO113" s="311">
        <f t="shared" ca="1" si="75"/>
        <v>-0.14290937772456946</v>
      </c>
      <c r="AP113" s="312">
        <f t="shared" ca="1" si="76"/>
        <v>0.29283234021692284</v>
      </c>
      <c r="AQ113" s="1"/>
      <c r="AR113" s="3">
        <f t="shared" si="85"/>
        <v>2460</v>
      </c>
      <c r="AS113" s="11" t="e">
        <f t="shared" ca="1" si="77"/>
        <v>#NAME?</v>
      </c>
      <c r="AT113" s="110">
        <f t="shared" si="82"/>
        <v>2460</v>
      </c>
      <c r="AU113" s="108" t="e">
        <f t="shared" ca="1" si="78"/>
        <v>#NAME?</v>
      </c>
      <c r="AW113" s="176">
        <v>45017</v>
      </c>
      <c r="AX113" s="177">
        <f ca="1">IF(fechaHoy&gt;=siguienteHabil(EDATE(AW113,1)+8,-1),VLOOKUP(EDATE(AW113,1)-1,Inflation_FWD!$L:$M,2,0)/100,IFERROR(VLOOKUP(AW113,Inflation_FWD!$H:$I,2,0),0.25%))</f>
        <v>2.5000000000000001E-3</v>
      </c>
      <c r="AY113" s="177">
        <f t="shared" si="72"/>
        <v>2.4750000000000002E-3</v>
      </c>
      <c r="AZ113" s="100">
        <f t="shared" si="70"/>
        <v>45025</v>
      </c>
      <c r="BA113" s="102">
        <f t="shared" ca="1" si="71"/>
        <v>31797.387580300241</v>
      </c>
      <c r="BC113" s="23"/>
      <c r="BD113" s="23"/>
      <c r="CC113" s="299"/>
      <c r="CL113" s="284"/>
    </row>
    <row r="114" spans="34:90">
      <c r="AH114" s="6">
        <f t="shared" si="79"/>
        <v>84</v>
      </c>
      <c r="AI114" s="7">
        <f t="shared" ca="1" si="80"/>
        <v>42754</v>
      </c>
      <c r="AJ114" s="210">
        <f t="shared" ca="1" si="81"/>
        <v>3.5000000000000004</v>
      </c>
      <c r="AK114" s="8">
        <f t="shared" ca="1" si="83"/>
        <v>1.0000972222222222</v>
      </c>
      <c r="AL114" s="98">
        <f t="shared" ca="1" si="84"/>
        <v>3.6121470212090001</v>
      </c>
      <c r="AM114" s="106">
        <f t="shared" ca="1" si="73"/>
        <v>26477.883539946935</v>
      </c>
      <c r="AN114" s="10">
        <f t="shared" ca="1" si="74"/>
        <v>-0.12896480812757405</v>
      </c>
      <c r="AO114" s="311">
        <f t="shared" ca="1" si="75"/>
        <v>-0.12726135950575607</v>
      </c>
      <c r="AP114" s="312">
        <f t="shared" ca="1" si="76"/>
        <v>0.29284659403538177</v>
      </c>
      <c r="AQ114" s="1"/>
      <c r="AR114" s="3">
        <f t="shared" si="85"/>
        <v>2490</v>
      </c>
      <c r="AS114" s="11" t="e">
        <f t="shared" ca="1" si="77"/>
        <v>#NAME?</v>
      </c>
      <c r="AT114" s="110">
        <f t="shared" si="82"/>
        <v>2490</v>
      </c>
      <c r="AU114" s="108" t="e">
        <f t="shared" ca="1" si="78"/>
        <v>#NAME?</v>
      </c>
      <c r="AW114" s="176">
        <v>45047</v>
      </c>
      <c r="AX114" s="177">
        <f ca="1">IF(fechaHoy&gt;=siguienteHabil(EDATE(AW114,1)+8,-1),VLOOKUP(EDATE(AW114,1)-1,Inflation_FWD!$L:$M,2,0)/100,IFERROR(VLOOKUP(AW114,Inflation_FWD!$H:$I,2,0),0.25%))</f>
        <v>2.5000000000000001E-3</v>
      </c>
      <c r="AY114" s="177">
        <f t="shared" si="72"/>
        <v>2.4750000000000002E-3</v>
      </c>
      <c r="AZ114" s="100">
        <f t="shared" si="70"/>
        <v>45055</v>
      </c>
      <c r="BA114" s="102">
        <f t="shared" ca="1" si="71"/>
        <v>31876.086114561484</v>
      </c>
      <c r="BC114" s="23"/>
      <c r="BD114" s="23"/>
      <c r="CC114" s="299"/>
      <c r="CL114" s="284"/>
    </row>
    <row r="115" spans="34:90">
      <c r="AH115" s="6">
        <f t="shared" si="79"/>
        <v>85</v>
      </c>
      <c r="AI115" s="7">
        <f t="shared" ca="1" si="80"/>
        <v>42755</v>
      </c>
      <c r="AJ115" s="210">
        <f t="shared" ca="1" si="81"/>
        <v>3.5000000000000004</v>
      </c>
      <c r="AK115" s="8">
        <f t="shared" ca="1" si="83"/>
        <v>1.0000972222222222</v>
      </c>
      <c r="AL115" s="98">
        <f t="shared" ca="1" si="84"/>
        <v>3.6121470212089557</v>
      </c>
      <c r="AM115" s="106">
        <f t="shared" ca="1" si="73"/>
        <v>26479.595786665657</v>
      </c>
      <c r="AN115" s="10">
        <f t="shared" ca="1" si="74"/>
        <v>-0.11348694103003876</v>
      </c>
      <c r="AO115" s="311">
        <f t="shared" ca="1" si="75"/>
        <v>-0.11198108128378775</v>
      </c>
      <c r="AP115" s="312">
        <f t="shared" ca="1" si="76"/>
        <v>0.29286084877830909</v>
      </c>
      <c r="AQ115" s="1"/>
      <c r="AR115" s="3">
        <f t="shared" si="85"/>
        <v>2520</v>
      </c>
      <c r="AS115" s="11" t="e">
        <f t="shared" ca="1" si="77"/>
        <v>#NAME?</v>
      </c>
      <c r="AT115" s="110">
        <f t="shared" si="82"/>
        <v>2520</v>
      </c>
      <c r="AU115" s="108" t="e">
        <f t="shared" ca="1" si="78"/>
        <v>#NAME?</v>
      </c>
      <c r="AW115" s="176">
        <v>45078</v>
      </c>
      <c r="AX115" s="177">
        <f ca="1">IF(fechaHoy&gt;=siguienteHabil(EDATE(AW115,1)+8,-1),VLOOKUP(EDATE(AW115,1)-1,Inflation_FWD!$L:$M,2,0)/100,IFERROR(VLOOKUP(AW115,Inflation_FWD!$H:$I,2,0),0.25%))</f>
        <v>2.5000000000000001E-3</v>
      </c>
      <c r="AY115" s="177">
        <f t="shared" si="72"/>
        <v>2.4750000000000002E-3</v>
      </c>
      <c r="AZ115" s="100">
        <f t="shared" si="70"/>
        <v>45086</v>
      </c>
      <c r="BA115" s="102">
        <f t="shared" ca="1" si="71"/>
        <v>31954.979427695023</v>
      </c>
      <c r="BC115" s="23"/>
      <c r="BD115" s="23"/>
      <c r="CC115" s="299"/>
      <c r="CL115" s="284"/>
    </row>
    <row r="116" spans="34:90">
      <c r="AH116" s="6">
        <f t="shared" si="79"/>
        <v>86</v>
      </c>
      <c r="AI116" s="7">
        <f t="shared" ca="1" si="80"/>
        <v>42756</v>
      </c>
      <c r="AJ116" s="210">
        <f t="shared" ca="1" si="81"/>
        <v>3.5000000000000004</v>
      </c>
      <c r="AK116" s="8">
        <f t="shared" ca="1" si="83"/>
        <v>1.0000972222222222</v>
      </c>
      <c r="AL116" s="98">
        <f t="shared" ca="1" si="84"/>
        <v>3.6121470212089557</v>
      </c>
      <c r="AM116" s="106">
        <f t="shared" ca="1" si="73"/>
        <v>26481.308144110335</v>
      </c>
      <c r="AN116" s="10">
        <f t="shared" ca="1" si="74"/>
        <v>-9.8366708623986998E-2</v>
      </c>
      <c r="AO116" s="311">
        <f t="shared" ca="1" si="75"/>
        <v>-9.7055714904972057E-2</v>
      </c>
      <c r="AP116" s="312">
        <f t="shared" ca="1" si="76"/>
        <v>0.2928751044457788</v>
      </c>
      <c r="AQ116" s="1"/>
      <c r="AR116" s="3">
        <f t="shared" si="85"/>
        <v>2550</v>
      </c>
      <c r="AS116" s="11" t="e">
        <f t="shared" ca="1" si="77"/>
        <v>#NAME?</v>
      </c>
      <c r="AT116" s="110">
        <f t="shared" si="82"/>
        <v>2550</v>
      </c>
      <c r="AU116" s="108" t="e">
        <f t="shared" ca="1" si="78"/>
        <v>#NAME?</v>
      </c>
      <c r="AW116" s="176">
        <v>45108</v>
      </c>
      <c r="AX116" s="177">
        <f ca="1">IF(fechaHoy&gt;=siguienteHabil(EDATE(AW116,1)+8,-1),VLOOKUP(EDATE(AW116,1)-1,Inflation_FWD!$L:$M,2,0)/100,IFERROR(VLOOKUP(AW116,Inflation_FWD!$H:$I,2,0),0.25%))</f>
        <v>2.5000000000000001E-3</v>
      </c>
      <c r="AY116" s="177">
        <f t="shared" si="72"/>
        <v>2.4750000000000002E-3</v>
      </c>
      <c r="AZ116" s="100">
        <f t="shared" si="70"/>
        <v>45116</v>
      </c>
      <c r="BA116" s="102">
        <f t="shared" ca="1" si="71"/>
        <v>32034.068001778567</v>
      </c>
      <c r="BC116" s="23"/>
      <c r="BD116" s="23"/>
      <c r="CC116" s="299"/>
      <c r="CL116" s="284"/>
    </row>
    <row r="117" spans="34:90">
      <c r="AH117" s="6">
        <f t="shared" si="79"/>
        <v>87</v>
      </c>
      <c r="AI117" s="7">
        <f t="shared" ca="1" si="80"/>
        <v>42757</v>
      </c>
      <c r="AJ117" s="210">
        <f t="shared" ca="1" si="81"/>
        <v>3.5000000000000004</v>
      </c>
      <c r="AK117" s="8">
        <f t="shared" ca="1" si="83"/>
        <v>1.0000972222222222</v>
      </c>
      <c r="AL117" s="98">
        <f t="shared" ca="1" si="84"/>
        <v>3.6121470212089335</v>
      </c>
      <c r="AM117" s="106">
        <f t="shared" ca="1" si="73"/>
        <v>26483.020612288117</v>
      </c>
      <c r="AN117" s="10">
        <f t="shared" ca="1" si="74"/>
        <v>-8.3591857277942605E-2</v>
      </c>
      <c r="AO117" s="311">
        <f t="shared" ca="1" si="75"/>
        <v>-8.2473022015418757E-2</v>
      </c>
      <c r="AP117" s="312">
        <f t="shared" ca="1" si="76"/>
        <v>0.29288936103785407</v>
      </c>
      <c r="AQ117" s="1"/>
      <c r="AR117" s="3">
        <f t="shared" si="85"/>
        <v>2580</v>
      </c>
      <c r="AS117" s="11" t="e">
        <f t="shared" ca="1" si="77"/>
        <v>#NAME?</v>
      </c>
      <c r="AT117" s="110">
        <f t="shared" si="82"/>
        <v>2580</v>
      </c>
      <c r="AU117" s="108" t="e">
        <f t="shared" ca="1" si="78"/>
        <v>#NAME?</v>
      </c>
      <c r="AW117" s="176">
        <v>45139</v>
      </c>
      <c r="AX117" s="177">
        <f ca="1">IF(fechaHoy&gt;=siguienteHabil(EDATE(AW117,1)+8,-1),VLOOKUP(EDATE(AW117,1)-1,Inflation_FWD!$L:$M,2,0)/100,IFERROR(VLOOKUP(AW117,Inflation_FWD!$H:$I,2,0),0.25%))</f>
        <v>2.5000000000000001E-3</v>
      </c>
      <c r="AY117" s="177">
        <f t="shared" si="72"/>
        <v>2.4750000000000002E-3</v>
      </c>
      <c r="AZ117" s="100">
        <f t="shared" si="70"/>
        <v>45147</v>
      </c>
      <c r="BA117" s="102">
        <f t="shared" ca="1" si="71"/>
        <v>32113.35232008297</v>
      </c>
      <c r="BC117" s="23"/>
      <c r="BD117" s="23"/>
      <c r="CC117" s="299"/>
      <c r="CL117" s="284"/>
    </row>
    <row r="118" spans="34:90">
      <c r="AH118" s="6">
        <f t="shared" si="79"/>
        <v>88</v>
      </c>
      <c r="AI118" s="7">
        <f t="shared" ca="1" si="80"/>
        <v>42758</v>
      </c>
      <c r="AJ118" s="210">
        <f t="shared" ca="1" si="81"/>
        <v>3.5000000000000004</v>
      </c>
      <c r="AK118" s="8">
        <f t="shared" ca="1" si="83"/>
        <v>1.0000972222222222</v>
      </c>
      <c r="AL118" s="98">
        <f t="shared" ca="1" si="84"/>
        <v>3.6121470212088891</v>
      </c>
      <c r="AM118" s="106">
        <f t="shared" ca="1" si="73"/>
        <v>26484.733191206175</v>
      </c>
      <c r="AN118" s="10">
        <f t="shared" ca="1" si="74"/>
        <v>-6.915068682673553E-2</v>
      </c>
      <c r="AO118" s="311">
        <f t="shared" ca="1" si="75"/>
        <v>-6.8221320550414119E-2</v>
      </c>
      <c r="AP118" s="312">
        <f t="shared" ca="1" si="76"/>
        <v>0.2929036185546024</v>
      </c>
      <c r="AQ118" s="1"/>
      <c r="AR118" s="3">
        <f t="shared" si="85"/>
        <v>2610</v>
      </c>
      <c r="AS118" s="11" t="e">
        <f t="shared" ca="1" si="77"/>
        <v>#NAME?</v>
      </c>
      <c r="AT118" s="110">
        <f t="shared" si="82"/>
        <v>2610</v>
      </c>
      <c r="AU118" s="108" t="e">
        <f t="shared" ca="1" si="78"/>
        <v>#NAME?</v>
      </c>
      <c r="AW118" s="176">
        <v>45170</v>
      </c>
      <c r="AX118" s="177">
        <f ca="1">IF(fechaHoy&gt;=siguienteHabil(EDATE(AW118,1)+8,-1),VLOOKUP(EDATE(AW118,1)-1,Inflation_FWD!$L:$M,2,0)/100,IFERROR(VLOOKUP(AW118,Inflation_FWD!$H:$I,2,0),0.25%))</f>
        <v>2.5000000000000001E-3</v>
      </c>
      <c r="AY118" s="177">
        <f t="shared" si="72"/>
        <v>2.4750000000000002E-3</v>
      </c>
      <c r="AZ118" s="100">
        <f t="shared" si="70"/>
        <v>45178</v>
      </c>
      <c r="BA118" s="102">
        <f t="shared" ca="1" si="71"/>
        <v>32192.832867075176</v>
      </c>
      <c r="BC118" s="23"/>
      <c r="BD118" s="23"/>
      <c r="CC118" s="299"/>
      <c r="CL118" s="284"/>
    </row>
    <row r="119" spans="34:90">
      <c r="AH119" s="6">
        <f t="shared" si="79"/>
        <v>89</v>
      </c>
      <c r="AI119" s="7">
        <f t="shared" ca="1" si="80"/>
        <v>42759</v>
      </c>
      <c r="AJ119" s="210">
        <f t="shared" ca="1" si="81"/>
        <v>3.5000000000000004</v>
      </c>
      <c r="AK119" s="8">
        <f t="shared" ca="1" si="83"/>
        <v>1.0000972222222222</v>
      </c>
      <c r="AL119" s="98">
        <f t="shared" ca="1" si="84"/>
        <v>3.6121470212088891</v>
      </c>
      <c r="AM119" s="106">
        <f t="shared" ca="1" si="73"/>
        <v>26486.445880871663</v>
      </c>
      <c r="AN119" s="10">
        <f t="shared" ca="1" si="74"/>
        <v>-5.503201967180793E-2</v>
      </c>
      <c r="AO119" s="311">
        <f t="shared" ca="1" si="75"/>
        <v>-5.4289453481546443E-2</v>
      </c>
      <c r="AP119" s="312">
        <f t="shared" ca="1" si="76"/>
        <v>0.29291787699609612</v>
      </c>
      <c r="AQ119" s="1"/>
      <c r="AR119" s="3">
        <f t="shared" si="85"/>
        <v>2640</v>
      </c>
      <c r="AS119" s="11" t="e">
        <f t="shared" ca="1" si="77"/>
        <v>#NAME?</v>
      </c>
      <c r="AT119" s="110">
        <f t="shared" si="82"/>
        <v>2640</v>
      </c>
      <c r="AU119" s="108" t="e">
        <f t="shared" ca="1" si="78"/>
        <v>#NAME?</v>
      </c>
      <c r="AW119" s="176">
        <v>45200</v>
      </c>
      <c r="AX119" s="177">
        <f ca="1">IF(fechaHoy&gt;=siguienteHabil(EDATE(AW119,1)+8,-1),VLOOKUP(EDATE(AW119,1)-1,Inflation_FWD!$L:$M,2,0)/100,IFERROR(VLOOKUP(AW119,Inflation_FWD!$H:$I,2,0),0.25%))</f>
        <v>2.5000000000000001E-3</v>
      </c>
      <c r="AY119" s="177">
        <f t="shared" si="72"/>
        <v>2.4750000000000002E-3</v>
      </c>
      <c r="AZ119" s="100">
        <f t="shared" si="70"/>
        <v>45208</v>
      </c>
      <c r="BA119" s="102">
        <f t="shared" ca="1" si="71"/>
        <v>32272.510128421189</v>
      </c>
      <c r="BC119" s="23"/>
      <c r="BD119" s="23"/>
      <c r="CC119" s="299"/>
      <c r="CL119" s="284"/>
    </row>
    <row r="120" spans="34:90">
      <c r="AH120" s="6">
        <f t="shared" si="79"/>
        <v>90</v>
      </c>
      <c r="AI120" s="7">
        <f t="shared" ca="1" si="80"/>
        <v>42760</v>
      </c>
      <c r="AJ120" s="210">
        <f t="shared" ca="1" si="81"/>
        <v>3.5000000000000004</v>
      </c>
      <c r="AK120" s="8">
        <f t="shared" ca="1" si="83"/>
        <v>1.0000972222222222</v>
      </c>
      <c r="AL120" s="98">
        <f t="shared" ca="1" si="84"/>
        <v>3.6121470212088669</v>
      </c>
      <c r="AM120" s="106">
        <f t="shared" ca="1" si="73"/>
        <v>26488.158681291752</v>
      </c>
      <c r="AN120" s="10">
        <f t="shared" ca="1" si="74"/>
        <v>-4.1225171930114879E-2</v>
      </c>
      <c r="AO120" s="311">
        <f t="shared" ca="1" si="75"/>
        <v>-4.066675964873312E-2</v>
      </c>
      <c r="AP120" s="312">
        <f t="shared" ca="1" si="76"/>
        <v>0.29293213636239679</v>
      </c>
      <c r="AQ120" s="1"/>
      <c r="AR120" s="3">
        <f t="shared" si="85"/>
        <v>2670</v>
      </c>
      <c r="AS120" s="11" t="e">
        <f t="shared" ca="1" si="77"/>
        <v>#NAME?</v>
      </c>
      <c r="AT120" s="110">
        <f t="shared" si="82"/>
        <v>2670</v>
      </c>
      <c r="AU120" s="108" t="e">
        <f t="shared" ca="1" si="78"/>
        <v>#NAME?</v>
      </c>
      <c r="AW120" s="176">
        <v>45231</v>
      </c>
      <c r="AX120" s="177">
        <f ca="1">IF(fechaHoy&gt;=siguienteHabil(EDATE(AW120,1)+8,-1),VLOOKUP(EDATE(AW120,1)-1,Inflation_FWD!$L:$M,2,0)/100,IFERROR(VLOOKUP(AW120,Inflation_FWD!$H:$I,2,0),0.25%))</f>
        <v>2.5000000000000001E-3</v>
      </c>
      <c r="AY120" s="177">
        <f t="shared" si="72"/>
        <v>2.4750000000000002E-3</v>
      </c>
      <c r="AZ120" s="100">
        <f t="shared" si="70"/>
        <v>45239</v>
      </c>
      <c r="BA120" s="102">
        <f t="shared" ca="1" si="71"/>
        <v>32352.38459098903</v>
      </c>
      <c r="BC120" s="23"/>
      <c r="BD120" s="23"/>
      <c r="CC120" s="299"/>
      <c r="CL120" s="284"/>
    </row>
    <row r="121" spans="34:90">
      <c r="AH121" s="6">
        <f t="shared" si="79"/>
        <v>91</v>
      </c>
      <c r="AI121" s="7">
        <f t="shared" ca="1" si="80"/>
        <v>42761</v>
      </c>
      <c r="AJ121" s="210">
        <f t="shared" ca="1" si="81"/>
        <v>3.5000000000000004</v>
      </c>
      <c r="AK121" s="8">
        <f t="shared" ca="1" si="83"/>
        <v>1.0000972222222222</v>
      </c>
      <c r="AL121" s="98">
        <f t="shared" ca="1" si="84"/>
        <v>3.6121470212088891</v>
      </c>
      <c r="AM121" s="106">
        <f t="shared" ca="1" si="73"/>
        <v>26489.871592473595</v>
      </c>
      <c r="AN121" s="10">
        <f t="shared" ca="1" si="74"/>
        <v>-2.7719926471869716E-2</v>
      </c>
      <c r="AO121" s="311">
        <f t="shared" ca="1" si="75"/>
        <v>-2.7343046513785683E-2</v>
      </c>
      <c r="AP121" s="312">
        <f t="shared" ca="1" si="76"/>
        <v>0.29294639665357775</v>
      </c>
      <c r="AQ121" s="1"/>
      <c r="AR121" s="3">
        <f t="shared" si="85"/>
        <v>2700</v>
      </c>
      <c r="AS121" s="11" t="e">
        <f t="shared" ca="1" si="77"/>
        <v>#NAME?</v>
      </c>
      <c r="AT121" s="110">
        <f t="shared" si="82"/>
        <v>2700</v>
      </c>
      <c r="AU121" s="108" t="e">
        <f t="shared" ca="1" si="78"/>
        <v>#NAME?</v>
      </c>
      <c r="AW121" s="176">
        <v>45261</v>
      </c>
      <c r="AX121" s="177">
        <f ca="1">IF(fechaHoy&gt;=siguienteHabil(EDATE(AW121,1)+8,-1),VLOOKUP(EDATE(AW121,1)-1,Inflation_FWD!$L:$M,2,0)/100,IFERROR(VLOOKUP(AW121,Inflation_FWD!$H:$I,2,0),0.25%))</f>
        <v>2.5000000000000001E-3</v>
      </c>
      <c r="AY121" s="177">
        <f t="shared" si="72"/>
        <v>2.4750000000000002E-3</v>
      </c>
      <c r="AZ121" s="100">
        <f t="shared" si="70"/>
        <v>45269</v>
      </c>
      <c r="BA121" s="102">
        <f t="shared" ca="1" si="71"/>
        <v>32432.456742851729</v>
      </c>
      <c r="BC121" s="23"/>
      <c r="BD121" s="23"/>
      <c r="CC121" s="299"/>
      <c r="CL121" s="284"/>
    </row>
    <row r="122" spans="34:90">
      <c r="AH122" s="6">
        <f t="shared" si="79"/>
        <v>92</v>
      </c>
      <c r="AI122" s="7">
        <f t="shared" ca="1" si="80"/>
        <v>42762</v>
      </c>
      <c r="AJ122" s="210">
        <f t="shared" ca="1" si="81"/>
        <v>3.5000000000000004</v>
      </c>
      <c r="AK122" s="8">
        <f t="shared" ca="1" si="83"/>
        <v>1.0000972222222222</v>
      </c>
      <c r="AL122" s="98">
        <f t="shared" ca="1" si="84"/>
        <v>3.6121470212089113</v>
      </c>
      <c r="AM122" s="106">
        <f t="shared" ca="1" si="73"/>
        <v>26491.584614424351</v>
      </c>
      <c r="AN122" s="10">
        <f t="shared" ca="1" si="74"/>
        <v>-1.4506507707934269E-2</v>
      </c>
      <c r="AO122" s="311">
        <f t="shared" ca="1" si="75"/>
        <v>-1.4308564692610619E-2</v>
      </c>
      <c r="AP122" s="312">
        <f t="shared" ca="1" si="76"/>
        <v>0.29296065786970227</v>
      </c>
      <c r="AQ122" s="1"/>
      <c r="AR122" s="3">
        <f t="shared" si="85"/>
        <v>2730</v>
      </c>
      <c r="AS122" s="11" t="e">
        <f t="shared" ca="1" si="77"/>
        <v>#NAME?</v>
      </c>
      <c r="AT122" s="110">
        <f t="shared" si="82"/>
        <v>2730</v>
      </c>
      <c r="AU122" s="108" t="e">
        <f t="shared" ca="1" si="78"/>
        <v>#NAME?</v>
      </c>
      <c r="AW122" s="176">
        <v>45292</v>
      </c>
      <c r="AX122" s="177">
        <f ca="1">IF(fechaHoy&gt;=siguienteHabil(EDATE(AW122,1)+8,-1),VLOOKUP(EDATE(AW122,1)-1,Inflation_FWD!$L:$M,2,0)/100,IFERROR(VLOOKUP(AW122,Inflation_FWD!$H:$I,2,0),0.25%))</f>
        <v>2.5000000000000001E-3</v>
      </c>
      <c r="AY122" s="177">
        <f t="shared" si="72"/>
        <v>2.4750000000000002E-3</v>
      </c>
      <c r="AZ122" s="100">
        <f t="shared" si="70"/>
        <v>45300</v>
      </c>
      <c r="BA122" s="102">
        <f t="shared" ca="1" si="71"/>
        <v>32512.727073290287</v>
      </c>
      <c r="BC122" s="23"/>
      <c r="BD122" s="23"/>
      <c r="CC122" s="299"/>
      <c r="CL122" s="284"/>
    </row>
    <row r="123" spans="34:90">
      <c r="AH123" s="6">
        <f t="shared" si="79"/>
        <v>93</v>
      </c>
      <c r="AI123" s="7">
        <f t="shared" ca="1" si="80"/>
        <v>42763</v>
      </c>
      <c r="AJ123" s="210">
        <f t="shared" ca="1" si="81"/>
        <v>3.5000000000000004</v>
      </c>
      <c r="AK123" s="8">
        <f t="shared" ca="1" si="83"/>
        <v>1.0000972222222222</v>
      </c>
      <c r="AL123" s="98">
        <f t="shared" ca="1" si="84"/>
        <v>3.6121470212089113</v>
      </c>
      <c r="AM123" s="106">
        <f t="shared" ca="1" si="73"/>
        <v>26493.297747151199</v>
      </c>
      <c r="AN123" s="10">
        <f t="shared" ca="1" si="74"/>
        <v>-1.5755579931608921E-3</v>
      </c>
      <c r="AO123" s="311">
        <f t="shared" ca="1" si="75"/>
        <v>-1.5539841297633607E-3</v>
      </c>
      <c r="AP123" s="312">
        <f t="shared" ca="1" si="76"/>
        <v>0.29297492001083775</v>
      </c>
      <c r="AQ123" s="1"/>
      <c r="AR123" s="3">
        <f t="shared" si="85"/>
        <v>2760</v>
      </c>
      <c r="AS123" s="11" t="e">
        <f t="shared" ca="1" si="77"/>
        <v>#NAME?</v>
      </c>
      <c r="AT123" s="110">
        <f t="shared" si="82"/>
        <v>2760</v>
      </c>
      <c r="AU123" s="108" t="e">
        <f t="shared" ca="1" si="78"/>
        <v>#NAME?</v>
      </c>
      <c r="AW123" s="176">
        <v>45323</v>
      </c>
      <c r="AX123" s="177">
        <f ca="1">IF(fechaHoy&gt;=siguienteHabil(EDATE(AW123,1)+8,-1),VLOOKUP(EDATE(AW123,1)-1,Inflation_FWD!$L:$M,2,0)/100,IFERROR(VLOOKUP(AW123,Inflation_FWD!$H:$I,2,0),0.25%))</f>
        <v>2.5000000000000001E-3</v>
      </c>
      <c r="AY123" s="177">
        <f t="shared" si="72"/>
        <v>2.4750000000000002E-3</v>
      </c>
      <c r="AZ123" s="100">
        <f t="shared" si="70"/>
        <v>45331</v>
      </c>
      <c r="BA123" s="102">
        <f t="shared" ca="1" si="71"/>
        <v>32593.19607279668</v>
      </c>
      <c r="BC123" s="23"/>
      <c r="BD123" s="23"/>
      <c r="CC123" s="299"/>
      <c r="CL123" s="284"/>
    </row>
    <row r="124" spans="34:90">
      <c r="AH124" s="6">
        <f t="shared" si="79"/>
        <v>94</v>
      </c>
      <c r="AI124" s="7">
        <f t="shared" ca="1" si="80"/>
        <v>42764</v>
      </c>
      <c r="AJ124" s="210">
        <f t="shared" ca="1" si="81"/>
        <v>3.5000000000000004</v>
      </c>
      <c r="AK124" s="8">
        <f t="shared" ca="1" si="83"/>
        <v>1.0000972222222222</v>
      </c>
      <c r="AL124" s="98">
        <f t="shared" ca="1" si="84"/>
        <v>3.6121470212088669</v>
      </c>
      <c r="AM124" s="106">
        <f t="shared" ca="1" si="73"/>
        <v>26495.010990661285</v>
      </c>
      <c r="AN124" s="10">
        <f t="shared" ca="1" si="74"/>
        <v>1.1081884473784775E-2</v>
      </c>
      <c r="AO124" s="311">
        <f t="shared" ca="1" si="75"/>
        <v>1.092962820707496E-2</v>
      </c>
      <c r="AP124" s="312">
        <f t="shared" ca="1" si="76"/>
        <v>0.2929891830770488</v>
      </c>
      <c r="AQ124" s="1"/>
      <c r="AR124" s="3">
        <f t="shared" si="85"/>
        <v>2790</v>
      </c>
      <c r="AS124" s="11" t="e">
        <f t="shared" ca="1" si="77"/>
        <v>#NAME?</v>
      </c>
      <c r="AT124" s="110">
        <f t="shared" si="82"/>
        <v>2790</v>
      </c>
      <c r="AU124" s="108" t="e">
        <f t="shared" ca="1" si="78"/>
        <v>#NAME?</v>
      </c>
      <c r="AW124" s="176">
        <v>45352</v>
      </c>
      <c r="AX124" s="177">
        <f ca="1">IF(fechaHoy&gt;=siguienteHabil(EDATE(AW124,1)+8,-1),VLOOKUP(EDATE(AW124,1)-1,Inflation_FWD!$L:$M,2,0)/100,IFERROR(VLOOKUP(AW124,Inflation_FWD!$H:$I,2,0),0.25%))</f>
        <v>2.5000000000000001E-3</v>
      </c>
      <c r="AY124" s="177">
        <f t="shared" si="72"/>
        <v>2.4750000000000002E-3</v>
      </c>
      <c r="AZ124" s="100">
        <f t="shared" si="70"/>
        <v>45360</v>
      </c>
      <c r="BA124" s="102">
        <f t="shared" ca="1" si="71"/>
        <v>32673.864233076853</v>
      </c>
      <c r="BC124" s="23"/>
      <c r="BD124" s="23"/>
      <c r="CC124" s="299"/>
      <c r="CL124" s="284"/>
    </row>
    <row r="125" spans="34:90">
      <c r="AH125" s="6">
        <f t="shared" si="79"/>
        <v>95</v>
      </c>
      <c r="AI125" s="7">
        <f t="shared" ca="1" si="80"/>
        <v>42765</v>
      </c>
      <c r="AJ125" s="210">
        <f t="shared" ca="1" si="81"/>
        <v>3.5000000000000004</v>
      </c>
      <c r="AK125" s="8">
        <f t="shared" ca="1" si="83"/>
        <v>1.0000972222222222</v>
      </c>
      <c r="AL125" s="98">
        <f t="shared" ca="1" si="84"/>
        <v>3.6121470212088891</v>
      </c>
      <c r="AM125" s="106">
        <f t="shared" ca="1" si="73"/>
        <v>26496.724344961785</v>
      </c>
      <c r="AN125" s="10">
        <f t="shared" ca="1" si="74"/>
        <v>2.3474406361434497E-2</v>
      </c>
      <c r="AO125" s="311">
        <f t="shared" ca="1" si="75"/>
        <v>2.3150829222252121E-2</v>
      </c>
      <c r="AP125" s="312">
        <f t="shared" ca="1" si="76"/>
        <v>0.29300344706841136</v>
      </c>
      <c r="AQ125" s="1"/>
      <c r="AR125" s="3">
        <f t="shared" si="85"/>
        <v>2820</v>
      </c>
      <c r="AS125" s="11" t="e">
        <f t="shared" ca="1" si="77"/>
        <v>#NAME?</v>
      </c>
      <c r="AT125" s="110">
        <f t="shared" si="82"/>
        <v>2820</v>
      </c>
      <c r="AU125" s="108" t="e">
        <f t="shared" ca="1" si="78"/>
        <v>#NAME?</v>
      </c>
      <c r="AW125" s="176">
        <v>45383</v>
      </c>
      <c r="AX125" s="177">
        <f ca="1">IF(fechaHoy&gt;=siguienteHabil(EDATE(AW125,1)+8,-1),VLOOKUP(EDATE(AW125,1)-1,Inflation_FWD!$L:$M,2,0)/100,IFERROR(VLOOKUP(AW125,Inflation_FWD!$H:$I,2,0),0.25%))</f>
        <v>2.5000000000000001E-3</v>
      </c>
      <c r="AY125" s="177">
        <f t="shared" si="72"/>
        <v>2.4750000000000002E-3</v>
      </c>
      <c r="AZ125" s="100">
        <f t="shared" si="70"/>
        <v>45391</v>
      </c>
      <c r="BA125" s="102">
        <f t="shared" ca="1" si="71"/>
        <v>32754.73204705372</v>
      </c>
      <c r="BC125" s="23"/>
      <c r="BD125" s="23"/>
      <c r="CC125" s="299"/>
      <c r="CL125" s="284"/>
    </row>
    <row r="126" spans="34:90">
      <c r="AH126" s="6">
        <f t="shared" si="79"/>
        <v>96</v>
      </c>
      <c r="AI126" s="7">
        <f t="shared" ca="1" si="80"/>
        <v>42766</v>
      </c>
      <c r="AJ126" s="210">
        <f t="shared" ca="1" si="81"/>
        <v>3.5000000000000004</v>
      </c>
      <c r="AK126" s="8">
        <f t="shared" ca="1" si="83"/>
        <v>1.0000972222222222</v>
      </c>
      <c r="AL126" s="98">
        <f t="shared" ca="1" si="84"/>
        <v>3.6121470212088669</v>
      </c>
      <c r="AM126" s="106">
        <f t="shared" ca="1" si="73"/>
        <v>26498.437810059862</v>
      </c>
      <c r="AN126" s="10">
        <f t="shared" ca="1" si="74"/>
        <v>3.5610238630678914E-2</v>
      </c>
      <c r="AO126" s="311">
        <f t="shared" ca="1" si="75"/>
        <v>3.5117819282393103E-2</v>
      </c>
      <c r="AP126" s="312">
        <f t="shared" ca="1" si="76"/>
        <v>0.29301771198498444</v>
      </c>
      <c r="AQ126" s="1"/>
      <c r="AR126" s="3">
        <f t="shared" si="85"/>
        <v>2850</v>
      </c>
      <c r="AS126" s="11" t="e">
        <f t="shared" ca="1" si="77"/>
        <v>#NAME?</v>
      </c>
      <c r="AT126" s="110">
        <f t="shared" si="82"/>
        <v>2850</v>
      </c>
      <c r="AU126" s="108" t="e">
        <f t="shared" ca="1" si="78"/>
        <v>#NAME?</v>
      </c>
      <c r="AW126" s="176">
        <v>45413</v>
      </c>
      <c r="AX126" s="177">
        <f ca="1">IF(fechaHoy&gt;=siguienteHabil(EDATE(AW126,1)+8,-1),VLOOKUP(EDATE(AW126,1)-1,Inflation_FWD!$L:$M,2,0)/100,IFERROR(VLOOKUP(AW126,Inflation_FWD!$H:$I,2,0),0.25%))</f>
        <v>2.5000000000000001E-3</v>
      </c>
      <c r="AY126" s="177">
        <f t="shared" si="72"/>
        <v>2.4750000000000002E-3</v>
      </c>
      <c r="AZ126" s="100">
        <f t="shared" si="70"/>
        <v>45421</v>
      </c>
      <c r="BA126" s="102">
        <f t="shared" ca="1" si="71"/>
        <v>32835.800008870181</v>
      </c>
      <c r="BC126" s="23"/>
      <c r="BD126" s="23"/>
      <c r="CC126" s="299"/>
      <c r="CL126" s="284"/>
    </row>
    <row r="127" spans="34:90">
      <c r="AH127" s="6">
        <f t="shared" si="79"/>
        <v>97</v>
      </c>
      <c r="AI127" s="7">
        <f t="shared" ca="1" si="80"/>
        <v>42767</v>
      </c>
      <c r="AJ127" s="210">
        <f t="shared" ca="1" si="81"/>
        <v>3.5000000000000004</v>
      </c>
      <c r="AK127" s="8">
        <f t="shared" ca="1" si="83"/>
        <v>1.0000972222222222</v>
      </c>
      <c r="AL127" s="98">
        <f t="shared" ca="1" si="84"/>
        <v>3.6121470212088447</v>
      </c>
      <c r="AM127" s="106">
        <f t="shared" ca="1" si="73"/>
        <v>26500.151385962676</v>
      </c>
      <c r="AN127" s="10">
        <f t="shared" ca="1" si="74"/>
        <v>4.7497274765317954E-2</v>
      </c>
      <c r="AO127" s="311">
        <f t="shared" ca="1" si="75"/>
        <v>4.6838460595004079E-2</v>
      </c>
      <c r="AP127" s="312">
        <f t="shared" ca="1" si="76"/>
        <v>0.29303197782683815</v>
      </c>
      <c r="AQ127" s="1"/>
      <c r="AR127" s="3">
        <f t="shared" si="85"/>
        <v>2880</v>
      </c>
      <c r="AS127" s="11" t="e">
        <f t="shared" ref="AS127:AS156" ca="1" si="86">+VLOOKUP(AR127,$AH$31:$AL$10000,5,FALSE)+[1]!CERCHA(AR127,$F$2:$G$5,"PG")</f>
        <v>#NAME?</v>
      </c>
      <c r="AT127" s="110">
        <f t="shared" si="82"/>
        <v>2880</v>
      </c>
      <c r="AU127" s="108" t="e">
        <f t="shared" ref="AU127:AU156" ca="1" si="87">+VLOOKUP(AR127,$AH$31:$AN$10000,7,FALSE)+[1]!CERCHA(AR127,$F$2:$G$5,"PG")</f>
        <v>#NAME?</v>
      </c>
      <c r="AW127" s="176">
        <v>45444</v>
      </c>
      <c r="AX127" s="177">
        <f ca="1">IF(fechaHoy&gt;=siguienteHabil(EDATE(AW127,1)+8,-1),VLOOKUP(EDATE(AW127,1)-1,Inflation_FWD!$L:$M,2,0)/100,IFERROR(VLOOKUP(AW127,Inflation_FWD!$H:$I,2,0),0.25%))</f>
        <v>2.5000000000000001E-3</v>
      </c>
      <c r="AY127" s="177">
        <f t="shared" si="72"/>
        <v>2.4750000000000002E-3</v>
      </c>
      <c r="AZ127" s="100">
        <f t="shared" si="70"/>
        <v>45452</v>
      </c>
      <c r="BA127" s="102">
        <f t="shared" ca="1" si="71"/>
        <v>32917.068613892137</v>
      </c>
      <c r="BC127" s="23"/>
      <c r="BD127" s="23"/>
      <c r="CC127" s="299"/>
      <c r="CL127" s="284"/>
    </row>
    <row r="128" spans="34:90">
      <c r="AH128" s="6">
        <f t="shared" si="79"/>
        <v>98</v>
      </c>
      <c r="AI128" s="7">
        <f t="shared" ca="1" si="80"/>
        <v>42768</v>
      </c>
      <c r="AJ128" s="210">
        <f t="shared" ca="1" si="81"/>
        <v>3.5000000000000004</v>
      </c>
      <c r="AK128" s="8">
        <f t="shared" ca="1" si="83"/>
        <v>1.0000972222222222</v>
      </c>
      <c r="AL128" s="98">
        <f t="shared" ca="1" si="84"/>
        <v>3.6121470212088669</v>
      </c>
      <c r="AM128" s="106">
        <f t="shared" ca="1" si="73"/>
        <v>26501.865072677396</v>
      </c>
      <c r="AN128" s="10">
        <f t="shared" ca="1" si="74"/>
        <v>5.9143087891899704E-2</v>
      </c>
      <c r="AO128" s="311">
        <f t="shared" ca="1" si="75"/>
        <v>5.8320294460836121E-2</v>
      </c>
      <c r="AP128" s="312">
        <f t="shared" ca="1" si="76"/>
        <v>0.2930462445940466</v>
      </c>
      <c r="AQ128" s="1"/>
      <c r="AR128" s="3">
        <f t="shared" si="85"/>
        <v>2910</v>
      </c>
      <c r="AS128" s="11" t="e">
        <f t="shared" ca="1" si="86"/>
        <v>#NAME?</v>
      </c>
      <c r="AT128" s="110">
        <f t="shared" si="82"/>
        <v>2910</v>
      </c>
      <c r="AU128" s="108" t="e">
        <f t="shared" ca="1" si="87"/>
        <v>#NAME?</v>
      </c>
      <c r="AW128" s="176">
        <v>45474</v>
      </c>
      <c r="AX128" s="177">
        <f ca="1">IF(fechaHoy&gt;=siguienteHabil(EDATE(AW128,1)+8,-1),VLOOKUP(EDATE(AW128,1)-1,Inflation_FWD!$L:$M,2,0)/100,IFERROR(VLOOKUP(AW128,Inflation_FWD!$H:$I,2,0),0.25%))</f>
        <v>2.5000000000000001E-3</v>
      </c>
      <c r="AY128" s="177">
        <f t="shared" si="72"/>
        <v>2.4750000000000002E-3</v>
      </c>
      <c r="AZ128" s="100">
        <f t="shared" si="70"/>
        <v>45482</v>
      </c>
      <c r="BA128" s="102">
        <f t="shared" ca="1" si="71"/>
        <v>32998.538358711521</v>
      </c>
      <c r="BC128" s="23"/>
      <c r="BD128" s="23"/>
      <c r="CC128" s="299"/>
      <c r="CL128" s="284"/>
    </row>
    <row r="129" spans="34:90">
      <c r="AH129" s="6">
        <f t="shared" si="79"/>
        <v>99</v>
      </c>
      <c r="AI129" s="7">
        <f t="shared" ca="1" si="80"/>
        <v>42769</v>
      </c>
      <c r="AJ129" s="210">
        <f t="shared" ca="1" si="81"/>
        <v>3.5000000000000004</v>
      </c>
      <c r="AK129" s="8">
        <f t="shared" ca="1" si="83"/>
        <v>1.0000972222222222</v>
      </c>
      <c r="AL129" s="98">
        <f t="shared" ca="1" si="84"/>
        <v>3.6121470212088669</v>
      </c>
      <c r="AM129" s="106">
        <f t="shared" ca="1" si="73"/>
        <v>26503.578870211186</v>
      </c>
      <c r="AN129" s="10">
        <f t="shared" ca="1" si="74"/>
        <v>7.0554946868850443E-2</v>
      </c>
      <c r="AO129" s="311">
        <f t="shared" ca="1" si="75"/>
        <v>6.957055748178155E-2</v>
      </c>
      <c r="AP129" s="312">
        <f t="shared" ca="1" si="76"/>
        <v>0.29306051228666752</v>
      </c>
      <c r="AQ129" s="1"/>
      <c r="AR129" s="3">
        <f t="shared" si="85"/>
        <v>2940</v>
      </c>
      <c r="AS129" s="11" t="e">
        <f t="shared" ca="1" si="86"/>
        <v>#NAME?</v>
      </c>
      <c r="AT129" s="110">
        <f t="shared" si="82"/>
        <v>2940</v>
      </c>
      <c r="AU129" s="108" t="e">
        <f t="shared" ca="1" si="87"/>
        <v>#NAME?</v>
      </c>
      <c r="AW129" s="176">
        <v>45505</v>
      </c>
      <c r="AX129" s="177">
        <f ca="1">IF(fechaHoy&gt;=siguienteHabil(EDATE(AW129,1)+8,-1),VLOOKUP(EDATE(AW129,1)-1,Inflation_FWD!$L:$M,2,0)/100,IFERROR(VLOOKUP(AW129,Inflation_FWD!$H:$I,2,0),0.25%))</f>
        <v>2.5000000000000001E-3</v>
      </c>
      <c r="AY129" s="177">
        <f t="shared" si="72"/>
        <v>2.4750000000000002E-3</v>
      </c>
      <c r="AZ129" s="100">
        <f t="shared" si="70"/>
        <v>45513</v>
      </c>
      <c r="BA129" s="102">
        <f t="shared" ca="1" si="71"/>
        <v>33080.209741149331</v>
      </c>
      <c r="BC129" s="23"/>
      <c r="BD129" s="23"/>
      <c r="CC129" s="299"/>
      <c r="CL129" s="284"/>
    </row>
    <row r="130" spans="34:90">
      <c r="AH130" s="6">
        <f t="shared" si="79"/>
        <v>100</v>
      </c>
      <c r="AI130" s="7">
        <f t="shared" ca="1" si="80"/>
        <v>42770</v>
      </c>
      <c r="AJ130" s="210">
        <f t="shared" ca="1" si="81"/>
        <v>3.5000000000000004</v>
      </c>
      <c r="AK130" s="8">
        <f t="shared" ca="1" si="83"/>
        <v>1.0000972222222222</v>
      </c>
      <c r="AL130" s="98">
        <f t="shared" ca="1" si="84"/>
        <v>3.6121470212088891</v>
      </c>
      <c r="AM130" s="106">
        <f t="shared" ca="1" si="73"/>
        <v>26505.292778571213</v>
      </c>
      <c r="AN130" s="10">
        <f t="shared" ca="1" si="74"/>
        <v>8.173983141503971E-2</v>
      </c>
      <c r="AO130" s="311">
        <f t="shared" ca="1" si="75"/>
        <v>8.0596196795577058E-2</v>
      </c>
      <c r="AP130" s="312">
        <f t="shared" ca="1" si="76"/>
        <v>0.29307478090477623</v>
      </c>
      <c r="AQ130" s="1"/>
      <c r="AR130" s="3">
        <f t="shared" si="85"/>
        <v>2970</v>
      </c>
      <c r="AS130" s="11" t="e">
        <f t="shared" ca="1" si="86"/>
        <v>#NAME?</v>
      </c>
      <c r="AT130" s="110">
        <f t="shared" si="82"/>
        <v>2970</v>
      </c>
      <c r="AU130" s="108" t="e">
        <f t="shared" ca="1" si="87"/>
        <v>#NAME?</v>
      </c>
      <c r="AW130" s="176">
        <v>45536</v>
      </c>
      <c r="AX130" s="177">
        <f ca="1">IF(fechaHoy&gt;=siguienteHabil(EDATE(AW130,1)+8,-1),VLOOKUP(EDATE(AW130,1)-1,Inflation_FWD!$L:$M,2,0)/100,IFERROR(VLOOKUP(AW130,Inflation_FWD!$H:$I,2,0),0.25%))</f>
        <v>2.5000000000000001E-3</v>
      </c>
      <c r="AY130" s="177">
        <f t="shared" si="72"/>
        <v>2.4750000000000002E-3</v>
      </c>
      <c r="AZ130" s="100">
        <f t="shared" ref="AZ130:AZ193" si="88">AW130+8</f>
        <v>45544</v>
      </c>
      <c r="BA130" s="102">
        <f t="shared" ca="1" si="71"/>
        <v>33162.083260258674</v>
      </c>
      <c r="BC130" s="23"/>
      <c r="BD130" s="23"/>
      <c r="CC130" s="299"/>
      <c r="CL130" s="284"/>
    </row>
    <row r="131" spans="34:90">
      <c r="AH131" s="6">
        <f t="shared" si="79"/>
        <v>101</v>
      </c>
      <c r="AI131" s="7">
        <f t="shared" ca="1" si="80"/>
        <v>42771</v>
      </c>
      <c r="AJ131" s="210">
        <f t="shared" ca="1" si="81"/>
        <v>3.5000000000000004</v>
      </c>
      <c r="AK131" s="8">
        <f t="shared" ca="1" si="83"/>
        <v>1.0000972222222222</v>
      </c>
      <c r="AL131" s="98">
        <f t="shared" ca="1" si="84"/>
        <v>3.6121470212088669</v>
      </c>
      <c r="AM131" s="106">
        <f t="shared" ca="1" si="73"/>
        <v>26507.006797764643</v>
      </c>
      <c r="AN131" s="10">
        <f t="shared" ca="1" si="74"/>
        <v>9.2704446344793467E-2</v>
      </c>
      <c r="AO131" s="311">
        <f t="shared" ca="1" si="75"/>
        <v>9.140388440579153E-2</v>
      </c>
      <c r="AP131" s="312">
        <f t="shared" ca="1" si="76"/>
        <v>0.29308905044843198</v>
      </c>
      <c r="AQ131" s="1"/>
      <c r="AR131" s="3">
        <f t="shared" si="85"/>
        <v>3000</v>
      </c>
      <c r="AS131" s="11" t="e">
        <f t="shared" ca="1" si="86"/>
        <v>#NAME?</v>
      </c>
      <c r="AT131" s="110">
        <f t="shared" si="82"/>
        <v>3000</v>
      </c>
      <c r="AU131" s="108" t="e">
        <f t="shared" ca="1" si="87"/>
        <v>#NAME?</v>
      </c>
      <c r="AW131" s="176">
        <v>45566</v>
      </c>
      <c r="AX131" s="177">
        <f ca="1">IF(fechaHoy&gt;=siguienteHabil(EDATE(AW131,1)+8,-1),VLOOKUP(EDATE(AW131,1)-1,Inflation_FWD!$L:$M,2,0)/100,IFERROR(VLOOKUP(AW131,Inflation_FWD!$H:$I,2,0),0.25%))</f>
        <v>2.5000000000000001E-3</v>
      </c>
      <c r="AY131" s="177">
        <f t="shared" si="72"/>
        <v>2.4750000000000002E-3</v>
      </c>
      <c r="AZ131" s="100">
        <f t="shared" si="88"/>
        <v>45574</v>
      </c>
      <c r="BA131" s="102">
        <f t="shared" ca="1" si="71"/>
        <v>33244.159416327813</v>
      </c>
      <c r="BC131" s="23"/>
      <c r="BD131" s="23"/>
      <c r="CC131" s="299"/>
      <c r="CL131" s="284"/>
    </row>
    <row r="132" spans="34:90">
      <c r="AH132" s="6">
        <f t="shared" si="79"/>
        <v>102</v>
      </c>
      <c r="AI132" s="7">
        <f t="shared" ca="1" si="80"/>
        <v>42772</v>
      </c>
      <c r="AJ132" s="210">
        <f t="shared" ca="1" si="81"/>
        <v>3.5000000000000004</v>
      </c>
      <c r="AK132" s="8">
        <f t="shared" ca="1" si="83"/>
        <v>1.0000972222222222</v>
      </c>
      <c r="AL132" s="98">
        <f t="shared" ca="1" si="84"/>
        <v>3.6121470212088891</v>
      </c>
      <c r="AM132" s="106">
        <f t="shared" ca="1" si="73"/>
        <v>26508.720927798651</v>
      </c>
      <c r="AN132" s="10">
        <f t="shared" ca="1" si="74"/>
        <v>0.10345523497012898</v>
      </c>
      <c r="AO132" s="311">
        <f t="shared" ca="1" si="75"/>
        <v>0.10200003066879508</v>
      </c>
      <c r="AP132" s="312">
        <f t="shared" ca="1" si="76"/>
        <v>0.29310332091771113</v>
      </c>
      <c r="AQ132" s="1"/>
      <c r="AR132" s="3">
        <f t="shared" si="85"/>
        <v>3030</v>
      </c>
      <c r="AS132" s="11" t="e">
        <f t="shared" ca="1" si="86"/>
        <v>#NAME?</v>
      </c>
      <c r="AT132" s="110">
        <f t="shared" si="82"/>
        <v>3030</v>
      </c>
      <c r="AU132" s="108" t="e">
        <f t="shared" ca="1" si="87"/>
        <v>#NAME?</v>
      </c>
      <c r="AW132" s="176">
        <v>45597</v>
      </c>
      <c r="AX132" s="177">
        <f ca="1">IF(fechaHoy&gt;=siguienteHabil(EDATE(AW132,1)+8,-1),VLOOKUP(EDATE(AW132,1)-1,Inflation_FWD!$L:$M,2,0)/100,IFERROR(VLOOKUP(AW132,Inflation_FWD!$H:$I,2,0),0.25%))</f>
        <v>2.5000000000000001E-3</v>
      </c>
      <c r="AY132" s="177">
        <f t="shared" si="72"/>
        <v>2.4750000000000002E-3</v>
      </c>
      <c r="AZ132" s="100">
        <f t="shared" si="88"/>
        <v>45605</v>
      </c>
      <c r="BA132" s="102">
        <f t="shared" ca="1" si="71"/>
        <v>33326.438710883223</v>
      </c>
      <c r="BC132" s="23"/>
      <c r="BD132" s="23"/>
      <c r="CC132" s="299"/>
      <c r="CL132" s="284"/>
    </row>
    <row r="133" spans="34:90">
      <c r="AH133" s="6">
        <f t="shared" si="79"/>
        <v>103</v>
      </c>
      <c r="AI133" s="7">
        <f t="shared" ca="1" si="80"/>
        <v>42773</v>
      </c>
      <c r="AJ133" s="210">
        <f t="shared" ca="1" si="81"/>
        <v>3.5000000000000004</v>
      </c>
      <c r="AK133" s="8">
        <f t="shared" ca="1" si="83"/>
        <v>1.0000972222222222</v>
      </c>
      <c r="AL133" s="98">
        <f t="shared" ca="1" si="84"/>
        <v>3.6121470212088891</v>
      </c>
      <c r="AM133" s="106">
        <f t="shared" ca="1" si="73"/>
        <v>26510.435168680393</v>
      </c>
      <c r="AN133" s="10">
        <f t="shared" ca="1" si="74"/>
        <v>0.11399839172652193</v>
      </c>
      <c r="AO133" s="311">
        <f t="shared" ca="1" si="75"/>
        <v>0.112390796995157</v>
      </c>
      <c r="AP133" s="312">
        <f t="shared" ca="1" si="76"/>
        <v>0.29311759231267437</v>
      </c>
      <c r="AQ133" s="1"/>
      <c r="AR133" s="3">
        <f t="shared" si="85"/>
        <v>3060</v>
      </c>
      <c r="AS133" s="11" t="e">
        <f t="shared" ca="1" si="86"/>
        <v>#NAME?</v>
      </c>
      <c r="AT133" s="110">
        <f t="shared" si="82"/>
        <v>3060</v>
      </c>
      <c r="AU133" s="108" t="e">
        <f t="shared" ca="1" si="87"/>
        <v>#NAME?</v>
      </c>
      <c r="AW133" s="176">
        <v>45627</v>
      </c>
      <c r="AX133" s="177">
        <f ca="1">IF(fechaHoy&gt;=siguienteHabil(EDATE(AW133,1)+8,-1),VLOOKUP(EDATE(AW133,1)-1,Inflation_FWD!$L:$M,2,0)/100,IFERROR(VLOOKUP(AW133,Inflation_FWD!$H:$I,2,0),0.25%))</f>
        <v>2.5000000000000001E-3</v>
      </c>
      <c r="AY133" s="177">
        <f t="shared" si="72"/>
        <v>2.4750000000000002E-3</v>
      </c>
      <c r="AZ133" s="100">
        <f t="shared" si="88"/>
        <v>45635</v>
      </c>
      <c r="BA133" s="102">
        <f t="shared" ca="1" si="71"/>
        <v>33408.921646692659</v>
      </c>
      <c r="BC133" s="23"/>
      <c r="BD133" s="23"/>
      <c r="CC133" s="299"/>
      <c r="CL133" s="284"/>
    </row>
    <row r="134" spans="34:90">
      <c r="AH134" s="6">
        <f t="shared" si="79"/>
        <v>104</v>
      </c>
      <c r="AI134" s="7">
        <f t="shared" ca="1" si="80"/>
        <v>42774</v>
      </c>
      <c r="AJ134" s="210">
        <f t="shared" ca="1" si="81"/>
        <v>3.5000000000000004</v>
      </c>
      <c r="AK134" s="8">
        <f t="shared" ca="1" si="83"/>
        <v>1.0000972222222222</v>
      </c>
      <c r="AL134" s="98">
        <f t="shared" ca="1" si="84"/>
        <v>3.6121470212088891</v>
      </c>
      <c r="AM134" s="106">
        <f t="shared" ca="1" si="73"/>
        <v>26512.149520417039</v>
      </c>
      <c r="AN134" s="10">
        <f t="shared" ca="1" si="74"/>
        <v>0.12433987407418634</v>
      </c>
      <c r="AO134" s="311">
        <f t="shared" ca="1" si="75"/>
        <v>0.12258210781827068</v>
      </c>
      <c r="AP134" s="312">
        <f t="shared" ca="1" si="76"/>
        <v>0.29313186463339258</v>
      </c>
      <c r="AQ134" s="1"/>
      <c r="AR134" s="3">
        <f t="shared" si="85"/>
        <v>3090</v>
      </c>
      <c r="AS134" s="11" t="e">
        <f t="shared" ca="1" si="86"/>
        <v>#NAME?</v>
      </c>
      <c r="AT134" s="110">
        <f t="shared" si="82"/>
        <v>3090</v>
      </c>
      <c r="AU134" s="108" t="e">
        <f t="shared" ca="1" si="87"/>
        <v>#NAME?</v>
      </c>
      <c r="AW134" s="176">
        <v>45658</v>
      </c>
      <c r="AX134" s="177">
        <f ca="1">IF(fechaHoy&gt;=siguienteHabil(EDATE(AW134,1)+8,-1),VLOOKUP(EDATE(AW134,1)-1,Inflation_FWD!$L:$M,2,0)/100,IFERROR(VLOOKUP(AW134,Inflation_FWD!$H:$I,2,0),0.25%))</f>
        <v>2.5000000000000001E-3</v>
      </c>
      <c r="AY134" s="177">
        <f t="shared" si="72"/>
        <v>2.4750000000000002E-3</v>
      </c>
      <c r="AZ134" s="100">
        <f t="shared" si="88"/>
        <v>45666</v>
      </c>
      <c r="BA134" s="102">
        <f t="shared" ref="BA134:BA197" ca="1" si="89">BA133*(1+AY132)</f>
        <v>33491.608727768224</v>
      </c>
      <c r="BC134" s="23"/>
      <c r="BD134" s="23"/>
      <c r="CC134" s="299"/>
      <c r="CL134" s="284"/>
    </row>
    <row r="135" spans="34:90">
      <c r="AH135" s="168">
        <f t="shared" si="79"/>
        <v>105</v>
      </c>
      <c r="AI135" s="169">
        <f t="shared" ca="1" si="80"/>
        <v>42775</v>
      </c>
      <c r="AJ135" s="211">
        <f t="shared" ca="1" si="81"/>
        <v>3.5000000000000004</v>
      </c>
      <c r="AK135" s="170">
        <f t="shared" ca="1" si="83"/>
        <v>1.0000972222222222</v>
      </c>
      <c r="AL135" s="171">
        <f t="shared" ca="1" si="84"/>
        <v>3.6121470212089113</v>
      </c>
      <c r="AM135" s="172">
        <f t="shared" ca="1" si="73"/>
        <v>26513.863983015766</v>
      </c>
      <c r="AN135" s="173">
        <f t="shared" ca="1" si="74"/>
        <v>0.13448541372209633</v>
      </c>
      <c r="AO135" s="313">
        <f t="shared" ca="1" si="75"/>
        <v>0.13257966187821982</v>
      </c>
      <c r="AP135" s="314">
        <f t="shared" ca="1" si="76"/>
        <v>0.29314613787993415</v>
      </c>
      <c r="AQ135" s="1"/>
      <c r="AR135" s="3">
        <f t="shared" si="85"/>
        <v>3120</v>
      </c>
      <c r="AS135" s="11" t="e">
        <f t="shared" ca="1" si="86"/>
        <v>#NAME?</v>
      </c>
      <c r="AT135" s="110">
        <f t="shared" si="82"/>
        <v>3120</v>
      </c>
      <c r="AU135" s="108" t="e">
        <f t="shared" ca="1" si="87"/>
        <v>#NAME?</v>
      </c>
      <c r="AW135" s="176">
        <v>45689</v>
      </c>
      <c r="AX135" s="177">
        <f ca="1">IF(fechaHoy&gt;=siguienteHabil(EDATE(AW135,1)+8,-1),VLOOKUP(EDATE(AW135,1)-1,Inflation_FWD!$L:$M,2,0)/100,IFERROR(VLOOKUP(AW135,Inflation_FWD!$H:$I,2,0),0.25%))</f>
        <v>2.5000000000000001E-3</v>
      </c>
      <c r="AY135" s="177">
        <f t="shared" si="72"/>
        <v>2.4750000000000002E-3</v>
      </c>
      <c r="AZ135" s="100">
        <f t="shared" si="88"/>
        <v>45697</v>
      </c>
      <c r="BA135" s="102">
        <f t="shared" ca="1" si="89"/>
        <v>33574.500459369447</v>
      </c>
      <c r="BC135" s="23"/>
      <c r="BD135" s="23"/>
      <c r="CC135" s="299"/>
      <c r="CL135" s="284"/>
    </row>
    <row r="136" spans="34:90">
      <c r="AH136" s="168">
        <f t="shared" si="79"/>
        <v>106</v>
      </c>
      <c r="AI136" s="169">
        <f t="shared" ca="1" si="80"/>
        <v>42776</v>
      </c>
      <c r="AJ136" s="211">
        <f t="shared" ca="1" si="81"/>
        <v>3.5000000000000004</v>
      </c>
      <c r="AK136" s="170">
        <f t="shared" ca="1" si="83"/>
        <v>1.0000972222222222</v>
      </c>
      <c r="AL136" s="171">
        <f t="shared" ca="1" si="84"/>
        <v>3.6121470212089335</v>
      </c>
      <c r="AM136" s="172">
        <f t="shared" ca="1" si="73"/>
        <v>26514.8907332505</v>
      </c>
      <c r="AN136" s="173">
        <f t="shared" ca="1" si="74"/>
        <v>0.15338623293414955</v>
      </c>
      <c r="AO136" s="313">
        <f t="shared" ca="1" si="75"/>
        <v>0.15120279332531861</v>
      </c>
      <c r="AP136" s="314">
        <f t="shared" ca="1" si="76"/>
        <v>0.29316041205236482</v>
      </c>
      <c r="AQ136" s="1"/>
      <c r="AR136" s="3">
        <f t="shared" si="85"/>
        <v>3150</v>
      </c>
      <c r="AS136" s="11" t="e">
        <f t="shared" ca="1" si="86"/>
        <v>#NAME?</v>
      </c>
      <c r="AT136" s="110">
        <f t="shared" si="82"/>
        <v>3150</v>
      </c>
      <c r="AU136" s="108" t="e">
        <f t="shared" ca="1" si="87"/>
        <v>#NAME?</v>
      </c>
      <c r="AW136" s="176">
        <v>45717</v>
      </c>
      <c r="AX136" s="177">
        <f ca="1">IF(fechaHoy&gt;=siguienteHabil(EDATE(AW136,1)+8,-1),VLOOKUP(EDATE(AW136,1)-1,Inflation_FWD!$L:$M,2,0)/100,IFERROR(VLOOKUP(AW136,Inflation_FWD!$H:$I,2,0),0.25%))</f>
        <v>2.5000000000000001E-3</v>
      </c>
      <c r="AY136" s="177">
        <f t="shared" si="72"/>
        <v>2.4750000000000002E-3</v>
      </c>
      <c r="AZ136" s="100">
        <f t="shared" si="88"/>
        <v>45725</v>
      </c>
      <c r="BA136" s="102">
        <f t="shared" ca="1" si="89"/>
        <v>33657.597348006384</v>
      </c>
      <c r="BC136" s="23"/>
      <c r="BD136" s="23"/>
      <c r="CC136" s="299"/>
      <c r="CL136" s="284"/>
    </row>
    <row r="137" spans="34:90">
      <c r="AH137" s="168">
        <f t="shared" si="79"/>
        <v>107</v>
      </c>
      <c r="AI137" s="169">
        <f t="shared" ca="1" si="80"/>
        <v>42777</v>
      </c>
      <c r="AJ137" s="211">
        <f t="shared" ca="1" si="81"/>
        <v>3.5000000000000004</v>
      </c>
      <c r="AK137" s="170">
        <f t="shared" ca="1" si="83"/>
        <v>1.0000972222222222</v>
      </c>
      <c r="AL137" s="171">
        <f t="shared" ca="1" si="84"/>
        <v>3.6121470212088891</v>
      </c>
      <c r="AM137" s="172">
        <f t="shared" ca="1" si="73"/>
        <v>26515.917523246175</v>
      </c>
      <c r="AN137" s="173">
        <f t="shared" ca="1" si="74"/>
        <v>0.17193723400998895</v>
      </c>
      <c r="AO137" s="313">
        <f t="shared" ca="1" si="75"/>
        <v>0.16947898051393345</v>
      </c>
      <c r="AP137" s="314">
        <f t="shared" ca="1" si="76"/>
        <v>0.2931746871507479</v>
      </c>
      <c r="AQ137" s="1"/>
      <c r="AR137" s="3">
        <f t="shared" si="85"/>
        <v>3180</v>
      </c>
      <c r="AS137" s="11" t="e">
        <f t="shared" ca="1" si="86"/>
        <v>#NAME?</v>
      </c>
      <c r="AT137" s="110">
        <f t="shared" si="82"/>
        <v>3180</v>
      </c>
      <c r="AU137" s="108" t="e">
        <f t="shared" ca="1" si="87"/>
        <v>#NAME?</v>
      </c>
      <c r="AW137" s="176">
        <v>45748</v>
      </c>
      <c r="AX137" s="177">
        <f ca="1">IF(fechaHoy&gt;=siguienteHabil(EDATE(AW137,1)+8,-1),VLOOKUP(EDATE(AW137,1)-1,Inflation_FWD!$L:$M,2,0)/100,IFERROR(VLOOKUP(AW137,Inflation_FWD!$H:$I,2,0),0.25%))</f>
        <v>2.5000000000000001E-3</v>
      </c>
      <c r="AY137" s="177">
        <f t="shared" si="72"/>
        <v>2.4750000000000002E-3</v>
      </c>
      <c r="AZ137" s="100">
        <f t="shared" si="88"/>
        <v>45756</v>
      </c>
      <c r="BA137" s="102">
        <f t="shared" ca="1" si="89"/>
        <v>33740.899901442703</v>
      </c>
      <c r="BC137" s="23"/>
      <c r="BD137" s="23"/>
      <c r="CC137" s="299"/>
      <c r="CL137" s="284"/>
    </row>
    <row r="138" spans="34:90">
      <c r="AH138" s="168">
        <f t="shared" si="79"/>
        <v>108</v>
      </c>
      <c r="AI138" s="169">
        <f t="shared" ca="1" si="80"/>
        <v>42778</v>
      </c>
      <c r="AJ138" s="211">
        <f t="shared" ca="1" si="81"/>
        <v>3.5000000000000004</v>
      </c>
      <c r="AK138" s="170">
        <f t="shared" ca="1" si="83"/>
        <v>1.0000972222222222</v>
      </c>
      <c r="AL138" s="171">
        <f t="shared" ca="1" si="84"/>
        <v>3.6121470212088891</v>
      </c>
      <c r="AM138" s="172">
        <f t="shared" ca="1" si="73"/>
        <v>26516.944353004328</v>
      </c>
      <c r="AN138" s="173">
        <f t="shared" ca="1" si="74"/>
        <v>0.19014803929215951</v>
      </c>
      <c r="AO138" s="313">
        <f t="shared" ca="1" si="75"/>
        <v>0.18741786085148721</v>
      </c>
      <c r="AP138" s="314">
        <f t="shared" ca="1" si="76"/>
        <v>0.29318896317515669</v>
      </c>
      <c r="AQ138" s="1"/>
      <c r="AR138" s="3">
        <f t="shared" si="85"/>
        <v>3210</v>
      </c>
      <c r="AS138" s="11" t="e">
        <f t="shared" ca="1" si="86"/>
        <v>#NAME?</v>
      </c>
      <c r="AT138" s="110">
        <f t="shared" si="82"/>
        <v>3210</v>
      </c>
      <c r="AU138" s="108" t="e">
        <f t="shared" ca="1" si="87"/>
        <v>#NAME?</v>
      </c>
      <c r="AW138" s="176">
        <v>45778</v>
      </c>
      <c r="AX138" s="177">
        <f ca="1">IF(fechaHoy&gt;=siguienteHabil(EDATE(AW138,1)+8,-1),VLOOKUP(EDATE(AW138,1)-1,Inflation_FWD!$L:$M,2,0)/100,IFERROR(VLOOKUP(AW138,Inflation_FWD!$H:$I,2,0),0.25%))</f>
        <v>2.5000000000000001E-3</v>
      </c>
      <c r="AY138" s="177">
        <f t="shared" si="72"/>
        <v>2.4750000000000002E-3</v>
      </c>
      <c r="AZ138" s="100">
        <f t="shared" si="88"/>
        <v>45786</v>
      </c>
      <c r="BA138" s="102">
        <f t="shared" ca="1" si="89"/>
        <v>33824.408628698773</v>
      </c>
      <c r="BC138" s="23"/>
      <c r="BD138" s="23"/>
      <c r="CC138" s="299"/>
      <c r="CL138" s="284"/>
    </row>
    <row r="139" spans="34:90">
      <c r="AH139" s="168">
        <f t="shared" si="79"/>
        <v>109</v>
      </c>
      <c r="AI139" s="169">
        <f t="shared" ca="1" si="80"/>
        <v>42779</v>
      </c>
      <c r="AJ139" s="211">
        <f t="shared" ca="1" si="81"/>
        <v>3.5000000000000004</v>
      </c>
      <c r="AK139" s="170">
        <f t="shared" ca="1" si="83"/>
        <v>1.0000972222222222</v>
      </c>
      <c r="AL139" s="171">
        <f t="shared" ca="1" si="84"/>
        <v>3.6121470212089113</v>
      </c>
      <c r="AM139" s="172">
        <f t="shared" ca="1" si="73"/>
        <v>26517.971222526496</v>
      </c>
      <c r="AN139" s="173">
        <f t="shared" ca="1" si="74"/>
        <v>0.20802792143537197</v>
      </c>
      <c r="AO139" s="313">
        <f t="shared" ca="1" si="75"/>
        <v>0.20502871807900203</v>
      </c>
      <c r="AP139" s="314">
        <f t="shared" ca="1" si="76"/>
        <v>0.29320324012566173</v>
      </c>
      <c r="AQ139" s="1"/>
      <c r="AR139" s="3">
        <f t="shared" si="85"/>
        <v>3240</v>
      </c>
      <c r="AS139" s="11" t="e">
        <f t="shared" ca="1" si="86"/>
        <v>#NAME?</v>
      </c>
      <c r="AT139" s="110">
        <f t="shared" si="82"/>
        <v>3240</v>
      </c>
      <c r="AU139" s="108" t="e">
        <f t="shared" ca="1" si="87"/>
        <v>#NAME?</v>
      </c>
      <c r="AW139" s="176">
        <v>45809</v>
      </c>
      <c r="AX139" s="177">
        <f ca="1">IF(fechaHoy&gt;=siguienteHabil(EDATE(AW139,1)+8,-1),VLOOKUP(EDATE(AW139,1)-1,Inflation_FWD!$L:$M,2,0)/100,IFERROR(VLOOKUP(AW139,Inflation_FWD!$H:$I,2,0),0.25%))</f>
        <v>2.5000000000000001E-3</v>
      </c>
      <c r="AY139" s="177">
        <f t="shared" si="72"/>
        <v>2.4750000000000002E-3</v>
      </c>
      <c r="AZ139" s="100">
        <f t="shared" si="88"/>
        <v>45817</v>
      </c>
      <c r="BA139" s="102">
        <f t="shared" ca="1" si="89"/>
        <v>33908.124040054805</v>
      </c>
      <c r="BC139" s="23"/>
      <c r="BD139" s="23"/>
      <c r="CC139" s="299"/>
      <c r="CL139" s="284"/>
    </row>
    <row r="140" spans="34:90">
      <c r="AH140" s="168">
        <f t="shared" si="79"/>
        <v>110</v>
      </c>
      <c r="AI140" s="169">
        <f t="shared" ca="1" si="80"/>
        <v>42780</v>
      </c>
      <c r="AJ140" s="211">
        <f t="shared" ca="1" si="81"/>
        <v>3.5000000000000004</v>
      </c>
      <c r="AK140" s="170">
        <f t="shared" ca="1" si="83"/>
        <v>1.0000972222222222</v>
      </c>
      <c r="AL140" s="171">
        <f t="shared" ca="1" si="84"/>
        <v>3.6121470212089335</v>
      </c>
      <c r="AM140" s="172">
        <f t="shared" ca="1" si="73"/>
        <v>26518.998131814213</v>
      </c>
      <c r="AN140" s="173">
        <f t="shared" ca="1" si="74"/>
        <v>0.22558581914826625</v>
      </c>
      <c r="AO140" s="313">
        <f t="shared" ca="1" si="75"/>
        <v>0.22232049834684467</v>
      </c>
      <c r="AP140" s="314">
        <f t="shared" ca="1" si="76"/>
        <v>0.29321751800232504</v>
      </c>
      <c r="AQ140" s="1"/>
      <c r="AR140" s="3">
        <f t="shared" si="85"/>
        <v>3270</v>
      </c>
      <c r="AS140" s="11" t="e">
        <f t="shared" ca="1" si="86"/>
        <v>#NAME?</v>
      </c>
      <c r="AT140" s="110">
        <f t="shared" si="82"/>
        <v>3270</v>
      </c>
      <c r="AU140" s="108" t="e">
        <f t="shared" ca="1" si="87"/>
        <v>#NAME?</v>
      </c>
      <c r="AW140" s="176">
        <v>45839</v>
      </c>
      <c r="AX140" s="177">
        <f ca="1">IF(fechaHoy&gt;=siguienteHabil(EDATE(AW140,1)+8,-1),VLOOKUP(EDATE(AW140,1)-1,Inflation_FWD!$L:$M,2,0)/100,IFERROR(VLOOKUP(AW140,Inflation_FWD!$H:$I,2,0),0.25%))</f>
        <v>2.5000000000000001E-3</v>
      </c>
      <c r="AY140" s="177">
        <f t="shared" si="72"/>
        <v>2.4750000000000002E-3</v>
      </c>
      <c r="AZ140" s="100">
        <f t="shared" si="88"/>
        <v>45847</v>
      </c>
      <c r="BA140" s="102">
        <f t="shared" ca="1" si="89"/>
        <v>33992.04664705394</v>
      </c>
      <c r="BC140" s="23"/>
      <c r="BD140" s="23"/>
      <c r="CC140" s="299"/>
      <c r="CL140" s="284"/>
    </row>
    <row r="141" spans="34:90">
      <c r="AH141" s="168">
        <f t="shared" si="79"/>
        <v>111</v>
      </c>
      <c r="AI141" s="169">
        <f t="shared" ca="1" si="80"/>
        <v>42781</v>
      </c>
      <c r="AJ141" s="211">
        <f t="shared" ca="1" si="81"/>
        <v>3.5000000000000004</v>
      </c>
      <c r="AK141" s="170">
        <f t="shared" ca="1" si="83"/>
        <v>1.0000972222222222</v>
      </c>
      <c r="AL141" s="171">
        <f t="shared" ca="1" si="84"/>
        <v>3.6121470212089335</v>
      </c>
      <c r="AM141" s="172">
        <f t="shared" ca="1" si="73"/>
        <v>26520.025080869029</v>
      </c>
      <c r="AN141" s="173">
        <f t="shared" ca="1" si="74"/>
        <v>0.24283035209198278</v>
      </c>
      <c r="AO141" s="313">
        <f t="shared" ca="1" si="75"/>
        <v>0.23930182542136896</v>
      </c>
      <c r="AP141" s="314">
        <f t="shared" ca="1" si="76"/>
        <v>0.29323179680521233</v>
      </c>
      <c r="AQ141" s="1"/>
      <c r="AR141" s="3">
        <f t="shared" si="85"/>
        <v>3300</v>
      </c>
      <c r="AS141" s="11" t="e">
        <f t="shared" ca="1" si="86"/>
        <v>#NAME?</v>
      </c>
      <c r="AT141" s="110">
        <f t="shared" si="82"/>
        <v>3300</v>
      </c>
      <c r="AU141" s="108" t="e">
        <f t="shared" ca="1" si="87"/>
        <v>#NAME?</v>
      </c>
      <c r="AW141" s="176">
        <v>45870</v>
      </c>
      <c r="AX141" s="177">
        <f ca="1">IF(fechaHoy&gt;=siguienteHabil(EDATE(AW141,1)+8,-1),VLOOKUP(EDATE(AW141,1)-1,Inflation_FWD!$L:$M,2,0)/100,IFERROR(VLOOKUP(AW141,Inflation_FWD!$H:$I,2,0),0.25%))</f>
        <v>2.5000000000000001E-3</v>
      </c>
      <c r="AY141" s="177">
        <f t="shared" si="72"/>
        <v>2.4750000000000002E-3</v>
      </c>
      <c r="AZ141" s="100">
        <f t="shared" si="88"/>
        <v>45878</v>
      </c>
      <c r="BA141" s="102">
        <f t="shared" ca="1" si="89"/>
        <v>34076.1769625054</v>
      </c>
      <c r="BC141" s="23"/>
      <c r="BD141" s="23"/>
      <c r="CC141" s="299"/>
      <c r="CL141" s="284"/>
    </row>
    <row r="142" spans="34:90">
      <c r="AH142" s="168">
        <f t="shared" si="79"/>
        <v>112</v>
      </c>
      <c r="AI142" s="169">
        <f t="shared" ca="1" si="80"/>
        <v>42782</v>
      </c>
      <c r="AJ142" s="211">
        <f t="shared" ca="1" si="81"/>
        <v>3.5000000000000004</v>
      </c>
      <c r="AK142" s="170">
        <f t="shared" ca="1" si="83"/>
        <v>1.0000972222222222</v>
      </c>
      <c r="AL142" s="171">
        <f t="shared" ca="1" si="84"/>
        <v>3.6121470212088891</v>
      </c>
      <c r="AM142" s="172">
        <f t="shared" ca="1" si="73"/>
        <v>26521.052069692476</v>
      </c>
      <c r="AN142" s="173">
        <f t="shared" ca="1" si="74"/>
        <v>0.25976983498907646</v>
      </c>
      <c r="AO142" s="313">
        <f t="shared" ca="1" si="75"/>
        <v>0.25598101507770138</v>
      </c>
      <c r="AP142" s="314">
        <f t="shared" ca="1" si="76"/>
        <v>0.29324607653439289</v>
      </c>
      <c r="AQ142" s="1"/>
      <c r="AR142" s="3">
        <f t="shared" si="85"/>
        <v>3330</v>
      </c>
      <c r="AS142" s="11" t="e">
        <f t="shared" ca="1" si="86"/>
        <v>#NAME?</v>
      </c>
      <c r="AT142" s="110">
        <f t="shared" si="82"/>
        <v>3330</v>
      </c>
      <c r="AU142" s="108" t="e">
        <f t="shared" ca="1" si="87"/>
        <v>#NAME?</v>
      </c>
      <c r="AW142" s="176">
        <v>45901</v>
      </c>
      <c r="AX142" s="177">
        <f ca="1">IF(fechaHoy&gt;=siguienteHabil(EDATE(AW142,1)+8,-1),VLOOKUP(EDATE(AW142,1)-1,Inflation_FWD!$L:$M,2,0)/100,IFERROR(VLOOKUP(AW142,Inflation_FWD!$H:$I,2,0),0.25%))</f>
        <v>2.5000000000000001E-3</v>
      </c>
      <c r="AY142" s="177">
        <f t="shared" si="72"/>
        <v>2.4750000000000002E-3</v>
      </c>
      <c r="AZ142" s="100">
        <f t="shared" si="88"/>
        <v>45909</v>
      </c>
      <c r="BA142" s="102">
        <f t="shared" ca="1" si="89"/>
        <v>34160.5155004876</v>
      </c>
      <c r="BC142" s="23"/>
      <c r="BD142" s="23"/>
      <c r="CC142" s="299"/>
      <c r="CL142" s="284"/>
    </row>
    <row r="143" spans="34:90">
      <c r="AH143" s="168">
        <f t="shared" si="79"/>
        <v>113</v>
      </c>
      <c r="AI143" s="169">
        <f t="shared" ca="1" si="80"/>
        <v>42783</v>
      </c>
      <c r="AJ143" s="211">
        <f t="shared" ca="1" si="81"/>
        <v>3.5000000000000004</v>
      </c>
      <c r="AK143" s="170">
        <f t="shared" ca="1" si="83"/>
        <v>1.0000972222222222</v>
      </c>
      <c r="AL143" s="171">
        <f t="shared" ca="1" si="84"/>
        <v>3.6121470212089113</v>
      </c>
      <c r="AM143" s="172">
        <f t="shared" ca="1" si="73"/>
        <v>26522.079098286104</v>
      </c>
      <c r="AN143" s="173">
        <f t="shared" ca="1" si="74"/>
        <v>0.27641229098911424</v>
      </c>
      <c r="AO143" s="313">
        <f t="shared" ca="1" si="75"/>
        <v>0.27236608872696411</v>
      </c>
      <c r="AP143" s="314">
        <f t="shared" ca="1" si="76"/>
        <v>0.29326035718993959</v>
      </c>
      <c r="AQ143" s="1"/>
      <c r="AR143" s="3">
        <f t="shared" si="85"/>
        <v>3360</v>
      </c>
      <c r="AS143" s="11" t="e">
        <f t="shared" ca="1" si="86"/>
        <v>#NAME?</v>
      </c>
      <c r="AT143" s="110">
        <f t="shared" si="82"/>
        <v>3360</v>
      </c>
      <c r="AU143" s="108" t="e">
        <f t="shared" ca="1" si="87"/>
        <v>#NAME?</v>
      </c>
      <c r="AW143" s="176">
        <v>45931</v>
      </c>
      <c r="AX143" s="177">
        <f ca="1">IF(fechaHoy&gt;=siguienteHabil(EDATE(AW143,1)+8,-1),VLOOKUP(EDATE(AW143,1)-1,Inflation_FWD!$L:$M,2,0)/100,IFERROR(VLOOKUP(AW143,Inflation_FWD!$H:$I,2,0),0.25%))</f>
        <v>2.5000000000000001E-3</v>
      </c>
      <c r="AY143" s="177">
        <f t="shared" si="72"/>
        <v>2.4750000000000002E-3</v>
      </c>
      <c r="AZ143" s="100">
        <f t="shared" si="88"/>
        <v>45939</v>
      </c>
      <c r="BA143" s="102">
        <f t="shared" ca="1" si="89"/>
        <v>34245.062776351304</v>
      </c>
      <c r="BC143" s="23"/>
      <c r="BD143" s="23"/>
      <c r="CC143" s="299"/>
      <c r="CL143" s="284"/>
    </row>
    <row r="144" spans="34:90">
      <c r="AH144" s="168">
        <f t="shared" si="79"/>
        <v>114</v>
      </c>
      <c r="AI144" s="169">
        <f t="shared" ca="1" si="80"/>
        <v>42784</v>
      </c>
      <c r="AJ144" s="211">
        <f t="shared" ca="1" si="81"/>
        <v>3.5000000000000004</v>
      </c>
      <c r="AK144" s="170">
        <f t="shared" ca="1" si="83"/>
        <v>1.0000972222222222</v>
      </c>
      <c r="AL144" s="171">
        <f t="shared" ca="1" si="84"/>
        <v>3.6121470212089335</v>
      </c>
      <c r="AM144" s="172">
        <f t="shared" ca="1" si="73"/>
        <v>26523.106166651447</v>
      </c>
      <c r="AN144" s="173">
        <f t="shared" ca="1" si="74"/>
        <v>0.29276546433816275</v>
      </c>
      <c r="AO144" s="313">
        <f t="shared" ca="1" si="75"/>
        <v>0.28846478632725764</v>
      </c>
      <c r="AP144" s="314">
        <f t="shared" ca="1" si="76"/>
        <v>0.29327463877191673</v>
      </c>
      <c r="AQ144" s="1"/>
      <c r="AR144" s="3">
        <f t="shared" si="85"/>
        <v>3390</v>
      </c>
      <c r="AS144" s="11" t="e">
        <f t="shared" ca="1" si="86"/>
        <v>#NAME?</v>
      </c>
      <c r="AT144" s="110">
        <f t="shared" si="82"/>
        <v>3390</v>
      </c>
      <c r="AU144" s="108" t="e">
        <f t="shared" ca="1" si="87"/>
        <v>#NAME?</v>
      </c>
      <c r="AW144" s="176">
        <v>45962</v>
      </c>
      <c r="AX144" s="177">
        <f ca="1">IF(fechaHoy&gt;=siguienteHabil(EDATE(AW144,1)+8,-1),VLOOKUP(EDATE(AW144,1)-1,Inflation_FWD!$L:$M,2,0)/100,IFERROR(VLOOKUP(AW144,Inflation_FWD!$H:$I,2,0),0.25%))</f>
        <v>2.5000000000000001E-3</v>
      </c>
      <c r="AY144" s="177">
        <f t="shared" si="72"/>
        <v>2.4750000000000002E-3</v>
      </c>
      <c r="AZ144" s="100">
        <f t="shared" si="88"/>
        <v>45970</v>
      </c>
      <c r="BA144" s="102">
        <f t="shared" ca="1" si="89"/>
        <v>34329.819306722777</v>
      </c>
      <c r="BC144" s="23"/>
      <c r="BD144" s="23"/>
      <c r="CC144" s="299"/>
      <c r="CL144" s="284"/>
    </row>
    <row r="145" spans="34:90">
      <c r="AH145" s="168">
        <f t="shared" si="79"/>
        <v>115</v>
      </c>
      <c r="AI145" s="169">
        <f t="shared" ca="1" si="80"/>
        <v>42785</v>
      </c>
      <c r="AJ145" s="211">
        <f t="shared" ca="1" si="81"/>
        <v>3.5000000000000004</v>
      </c>
      <c r="AK145" s="170">
        <f t="shared" ca="1" si="83"/>
        <v>1.0000972222222222</v>
      </c>
      <c r="AL145" s="171">
        <f t="shared" ca="1" si="84"/>
        <v>3.6121470212089557</v>
      </c>
      <c r="AM145" s="172">
        <f t="shared" ca="1" si="73"/>
        <v>26524.133274790041</v>
      </c>
      <c r="AN145" s="173">
        <f t="shared" ca="1" si="74"/>
        <v>0.30883683239346649</v>
      </c>
      <c r="AO145" s="313">
        <f t="shared" ca="1" si="75"/>
        <v>0.30428457862095704</v>
      </c>
      <c r="AP145" s="314">
        <f t="shared" ca="1" si="76"/>
        <v>0.2932889212803923</v>
      </c>
      <c r="AQ145" s="1"/>
      <c r="AR145" s="3">
        <f t="shared" si="85"/>
        <v>3420</v>
      </c>
      <c r="AS145" s="11" t="e">
        <f t="shared" ca="1" si="86"/>
        <v>#NAME?</v>
      </c>
      <c r="AT145" s="110">
        <f t="shared" si="82"/>
        <v>3420</v>
      </c>
      <c r="AU145" s="108" t="e">
        <f t="shared" ca="1" si="87"/>
        <v>#NAME?</v>
      </c>
      <c r="AW145" s="176">
        <v>45992</v>
      </c>
      <c r="AX145" s="177">
        <f ca="1">IF(fechaHoy&gt;=siguienteHabil(EDATE(AW145,1)+8,-1),VLOOKUP(EDATE(AW145,1)-1,Inflation_FWD!$L:$M,2,0)/100,IFERROR(VLOOKUP(AW145,Inflation_FWD!$H:$I,2,0),0.25%))</f>
        <v>2.5000000000000001E-3</v>
      </c>
      <c r="AY145" s="177">
        <f t="shared" si="72"/>
        <v>2.4750000000000002E-3</v>
      </c>
      <c r="AZ145" s="100">
        <f t="shared" si="88"/>
        <v>46000</v>
      </c>
      <c r="BA145" s="102">
        <f t="shared" ca="1" si="89"/>
        <v>34414.785609506915</v>
      </c>
      <c r="BC145" s="23"/>
      <c r="BD145" s="23"/>
      <c r="CC145" s="299"/>
      <c r="CL145" s="284"/>
    </row>
    <row r="146" spans="34:90">
      <c r="AH146" s="168">
        <f t="shared" si="79"/>
        <v>116</v>
      </c>
      <c r="AI146" s="169">
        <f t="shared" ca="1" si="80"/>
        <v>42786</v>
      </c>
      <c r="AJ146" s="211">
        <f t="shared" ca="1" si="81"/>
        <v>3.5000000000000004</v>
      </c>
      <c r="AK146" s="170">
        <f t="shared" ca="1" si="83"/>
        <v>1.0000972222222222</v>
      </c>
      <c r="AL146" s="171">
        <f t="shared" ca="1" si="84"/>
        <v>3.6121470212090001</v>
      </c>
      <c r="AM146" s="172">
        <f t="shared" ca="1" si="73"/>
        <v>26525.160422703433</v>
      </c>
      <c r="AN146" s="173">
        <f t="shared" ca="1" si="74"/>
        <v>0.32463361702168569</v>
      </c>
      <c r="AO146" s="313">
        <f t="shared" ca="1" si="75"/>
        <v>0.31983267873842447</v>
      </c>
      <c r="AP146" s="314">
        <f t="shared" ca="1" si="76"/>
        <v>0.29330320471543192</v>
      </c>
      <c r="AQ146" s="1"/>
      <c r="AR146" s="3">
        <f t="shared" si="85"/>
        <v>3450</v>
      </c>
      <c r="AS146" s="11" t="e">
        <f t="shared" ca="1" si="86"/>
        <v>#NAME?</v>
      </c>
      <c r="AT146" s="110">
        <f t="shared" si="82"/>
        <v>3450</v>
      </c>
      <c r="AU146" s="108" t="e">
        <f t="shared" ca="1" si="87"/>
        <v>#NAME?</v>
      </c>
      <c r="AW146" s="176">
        <v>46023</v>
      </c>
      <c r="AX146" s="177">
        <f ca="1">IF(fechaHoy&gt;=siguienteHabil(EDATE(AW146,1)+8,-1),VLOOKUP(EDATE(AW146,1)-1,Inflation_FWD!$L:$M,2,0)/100,IFERROR(VLOOKUP(AW146,Inflation_FWD!$H:$I,2,0),0.25%))</f>
        <v>2.5000000000000001E-3</v>
      </c>
      <c r="AY146" s="177">
        <f t="shared" si="72"/>
        <v>2.4750000000000002E-3</v>
      </c>
      <c r="AZ146" s="100">
        <f t="shared" si="88"/>
        <v>46031</v>
      </c>
      <c r="BA146" s="102">
        <f t="shared" ca="1" si="89"/>
        <v>34499.962203890442</v>
      </c>
      <c r="BC146" s="23"/>
      <c r="BD146" s="23"/>
      <c r="CC146" s="299"/>
      <c r="CL146" s="284"/>
    </row>
    <row r="147" spans="34:90">
      <c r="AH147" s="168">
        <f t="shared" si="79"/>
        <v>117</v>
      </c>
      <c r="AI147" s="169">
        <f t="shared" ca="1" si="80"/>
        <v>42787</v>
      </c>
      <c r="AJ147" s="211">
        <f t="shared" ca="1" si="81"/>
        <v>3.5000000000000004</v>
      </c>
      <c r="AK147" s="170">
        <f t="shared" ca="1" si="83"/>
        <v>1.0000972222222222</v>
      </c>
      <c r="AL147" s="171">
        <f t="shared" ca="1" si="84"/>
        <v>3.6121470212090223</v>
      </c>
      <c r="AM147" s="172">
        <f t="shared" ca="1" si="73"/>
        <v>26526.187610393157</v>
      </c>
      <c r="AN147" s="173">
        <f t="shared" ca="1" si="74"/>
        <v>0.34016279541868588</v>
      </c>
      <c r="AO147" s="313">
        <f t="shared" ca="1" si="75"/>
        <v>0.33511605320741139</v>
      </c>
      <c r="AP147" s="314">
        <f t="shared" ca="1" si="76"/>
        <v>0.29331748907710453</v>
      </c>
      <c r="AQ147" s="1"/>
      <c r="AR147" s="3">
        <f t="shared" si="85"/>
        <v>3480</v>
      </c>
      <c r="AS147" s="11" t="e">
        <f t="shared" ca="1" si="86"/>
        <v>#NAME?</v>
      </c>
      <c r="AT147" s="110">
        <f t="shared" si="82"/>
        <v>3480</v>
      </c>
      <c r="AU147" s="108" t="e">
        <f t="shared" ca="1" si="87"/>
        <v>#NAME?</v>
      </c>
      <c r="AW147" s="176">
        <v>46054</v>
      </c>
      <c r="AX147" s="177">
        <f ca="1">IF(fechaHoy&gt;=siguienteHabil(EDATE(AW147,1)+8,-1),VLOOKUP(EDATE(AW147,1)-1,Inflation_FWD!$L:$M,2,0)/100,IFERROR(VLOOKUP(AW147,Inflation_FWD!$H:$I,2,0),0.25%))</f>
        <v>2.5000000000000001E-3</v>
      </c>
      <c r="AY147" s="177">
        <f t="shared" si="72"/>
        <v>2.4750000000000002E-3</v>
      </c>
      <c r="AZ147" s="100">
        <f t="shared" si="88"/>
        <v>46062</v>
      </c>
      <c r="BA147" s="102">
        <f t="shared" ca="1" si="89"/>
        <v>34585.349610345074</v>
      </c>
      <c r="BC147" s="23"/>
      <c r="BD147" s="23"/>
      <c r="CC147" s="299"/>
      <c r="CL147" s="284"/>
    </row>
    <row r="148" spans="34:90">
      <c r="AH148" s="168">
        <f t="shared" si="79"/>
        <v>118</v>
      </c>
      <c r="AI148" s="169">
        <f t="shared" ca="1" si="80"/>
        <v>42788</v>
      </c>
      <c r="AJ148" s="211">
        <f t="shared" ca="1" si="81"/>
        <v>3.5000000000000004</v>
      </c>
      <c r="AK148" s="170">
        <f t="shared" ca="1" si="83"/>
        <v>1.0000972222222222</v>
      </c>
      <c r="AL148" s="171">
        <f t="shared" ca="1" si="84"/>
        <v>3.6121470212090445</v>
      </c>
      <c r="AM148" s="172">
        <f t="shared" ca="1" si="73"/>
        <v>26527.214837860764</v>
      </c>
      <c r="AN148" s="173">
        <f t="shared" ca="1" si="74"/>
        <v>0.35543111038345288</v>
      </c>
      <c r="AO148" s="313">
        <f t="shared" ca="1" si="75"/>
        <v>0.35014143240205076</v>
      </c>
      <c r="AP148" s="314">
        <f t="shared" ca="1" si="76"/>
        <v>0.29333177436547686</v>
      </c>
      <c r="AQ148" s="1"/>
      <c r="AR148" s="3">
        <f t="shared" si="85"/>
        <v>3510</v>
      </c>
      <c r="AS148" s="11" t="e">
        <f t="shared" ca="1" si="86"/>
        <v>#NAME?</v>
      </c>
      <c r="AT148" s="110">
        <f t="shared" ref="AT148:AT156" si="90">AR148</f>
        <v>3510</v>
      </c>
      <c r="AU148" s="108" t="e">
        <f t="shared" ca="1" si="87"/>
        <v>#NAME?</v>
      </c>
      <c r="AW148" s="176">
        <v>46082</v>
      </c>
      <c r="AX148" s="177">
        <f ca="1">IF(fechaHoy&gt;=siguienteHabil(EDATE(AW148,1)+8,-1),VLOOKUP(EDATE(AW148,1)-1,Inflation_FWD!$L:$M,2,0)/100,IFERROR(VLOOKUP(AW148,Inflation_FWD!$H:$I,2,0),0.25%))</f>
        <v>2.5000000000000001E-3</v>
      </c>
      <c r="AY148" s="177">
        <f t="shared" si="72"/>
        <v>2.4750000000000002E-3</v>
      </c>
      <c r="AZ148" s="100">
        <f t="shared" si="88"/>
        <v>46090</v>
      </c>
      <c r="BA148" s="102">
        <f t="shared" ca="1" si="89"/>
        <v>34670.948350630679</v>
      </c>
      <c r="BC148" s="23"/>
      <c r="BD148" s="23"/>
      <c r="CC148" s="299"/>
      <c r="CL148" s="284"/>
    </row>
    <row r="149" spans="34:90">
      <c r="AH149" s="168">
        <f t="shared" si="79"/>
        <v>119</v>
      </c>
      <c r="AI149" s="169">
        <f t="shared" ca="1" si="80"/>
        <v>42789</v>
      </c>
      <c r="AJ149" s="211">
        <f t="shared" ca="1" si="81"/>
        <v>3.5000000000000004</v>
      </c>
      <c r="AK149" s="170">
        <f t="shared" ca="1" si="83"/>
        <v>1.0000972222222222</v>
      </c>
      <c r="AL149" s="171">
        <f t="shared" ca="1" si="84"/>
        <v>3.6121470212090223</v>
      </c>
      <c r="AM149" s="172">
        <f t="shared" ca="1" si="73"/>
        <v>26528.242105107784</v>
      </c>
      <c r="AN149" s="173">
        <f t="shared" ca="1" si="74"/>
        <v>0.37044508007932908</v>
      </c>
      <c r="AO149" s="313">
        <f t="shared" ca="1" si="75"/>
        <v>0.36491532046547931</v>
      </c>
      <c r="AP149" s="314">
        <f t="shared" ca="1" si="76"/>
        <v>0.29334606058061347</v>
      </c>
      <c r="AQ149" s="1"/>
      <c r="AR149" s="3">
        <f t="shared" si="85"/>
        <v>3540</v>
      </c>
      <c r="AS149" s="11" t="e">
        <f t="shared" ca="1" si="86"/>
        <v>#NAME?</v>
      </c>
      <c r="AT149" s="110">
        <f t="shared" si="90"/>
        <v>3540</v>
      </c>
      <c r="AU149" s="108" t="e">
        <f t="shared" ca="1" si="87"/>
        <v>#NAME?</v>
      </c>
      <c r="AW149" s="176">
        <v>46113</v>
      </c>
      <c r="AX149" s="177">
        <f ca="1">IF(fechaHoy&gt;=siguienteHabil(EDATE(AW149,1)+8,-1),VLOOKUP(EDATE(AW149,1)-1,Inflation_FWD!$L:$M,2,0)/100,IFERROR(VLOOKUP(AW149,Inflation_FWD!$H:$I,2,0),0.25%))</f>
        <v>2.5000000000000001E-3</v>
      </c>
      <c r="AY149" s="177">
        <f t="shared" si="72"/>
        <v>2.4750000000000002E-3</v>
      </c>
      <c r="AZ149" s="100">
        <f t="shared" si="88"/>
        <v>46121</v>
      </c>
      <c r="BA149" s="102">
        <f t="shared" ca="1" si="89"/>
        <v>34756.758947798487</v>
      </c>
      <c r="BC149" s="23"/>
      <c r="BD149" s="23"/>
      <c r="CC149" s="299"/>
      <c r="CL149" s="284"/>
    </row>
    <row r="150" spans="34:90">
      <c r="AH150" s="168">
        <f t="shared" si="79"/>
        <v>120</v>
      </c>
      <c r="AI150" s="169">
        <f t="shared" ca="1" si="80"/>
        <v>42790</v>
      </c>
      <c r="AJ150" s="211">
        <f t="shared" ca="1" si="81"/>
        <v>3.5000000000000004</v>
      </c>
      <c r="AK150" s="170">
        <f t="shared" ca="1" si="83"/>
        <v>1.0000972222222222</v>
      </c>
      <c r="AL150" s="171">
        <f t="shared" ca="1" si="84"/>
        <v>3.6121470212090445</v>
      </c>
      <c r="AM150" s="172">
        <f t="shared" ca="1" si="73"/>
        <v>26529.269412135764</v>
      </c>
      <c r="AN150" s="173">
        <f t="shared" ca="1" si="74"/>
        <v>0.38521100731099267</v>
      </c>
      <c r="AO150" s="313">
        <f t="shared" ca="1" si="75"/>
        <v>0.37944400473612916</v>
      </c>
      <c r="AP150" s="314">
        <f t="shared" ca="1" si="76"/>
        <v>0.29336034772258768</v>
      </c>
      <c r="AQ150" s="1"/>
      <c r="AR150" s="3">
        <f t="shared" si="85"/>
        <v>3570</v>
      </c>
      <c r="AS150" s="11" t="e">
        <f t="shared" ca="1" si="86"/>
        <v>#NAME?</v>
      </c>
      <c r="AT150" s="110">
        <f t="shared" si="90"/>
        <v>3570</v>
      </c>
      <c r="AU150" s="108" t="e">
        <f t="shared" ca="1" si="87"/>
        <v>#NAME?</v>
      </c>
      <c r="AW150" s="176">
        <v>46143</v>
      </c>
      <c r="AX150" s="177">
        <f ca="1">IF(fechaHoy&gt;=siguienteHabil(EDATE(AW150,1)+8,-1),VLOOKUP(EDATE(AW150,1)-1,Inflation_FWD!$L:$M,2,0)/100,IFERROR(VLOOKUP(AW150,Inflation_FWD!$H:$I,2,0),0.25%))</f>
        <v>2.5000000000000001E-3</v>
      </c>
      <c r="AY150" s="177">
        <f t="shared" si="72"/>
        <v>2.4750000000000002E-3</v>
      </c>
      <c r="AZ150" s="100">
        <f t="shared" si="88"/>
        <v>46151</v>
      </c>
      <c r="BA150" s="102">
        <f t="shared" ca="1" si="89"/>
        <v>34842.781926194286</v>
      </c>
      <c r="BC150" s="23"/>
      <c r="BD150" s="23"/>
      <c r="CC150" s="299"/>
      <c r="CL150" s="284"/>
    </row>
    <row r="151" spans="34:90">
      <c r="AH151" s="168">
        <f t="shared" si="79"/>
        <v>121</v>
      </c>
      <c r="AI151" s="169">
        <f t="shared" ca="1" si="80"/>
        <v>42791</v>
      </c>
      <c r="AJ151" s="211">
        <f t="shared" ca="1" si="81"/>
        <v>3.5000000000000004</v>
      </c>
      <c r="AK151" s="170">
        <f t="shared" ca="1" si="83"/>
        <v>1.0000972222222222</v>
      </c>
      <c r="AL151" s="171">
        <f t="shared" ca="1" si="84"/>
        <v>3.6121470212090445</v>
      </c>
      <c r="AM151" s="172">
        <f t="shared" ca="1" si="73"/>
        <v>26530.296758946239</v>
      </c>
      <c r="AN151" s="173">
        <f t="shared" ca="1" si="74"/>
        <v>0.3997349883456458</v>
      </c>
      <c r="AO151" s="313">
        <f t="shared" ca="1" si="75"/>
        <v>0.39373356470659998</v>
      </c>
      <c r="AP151" s="314">
        <f t="shared" ca="1" si="76"/>
        <v>0.293374635791465</v>
      </c>
      <c r="AQ151" s="1"/>
      <c r="AR151" s="3">
        <f t="shared" si="85"/>
        <v>3600</v>
      </c>
      <c r="AS151" s="11" t="e">
        <f t="shared" ca="1" si="86"/>
        <v>#NAME?</v>
      </c>
      <c r="AT151" s="110">
        <f t="shared" si="90"/>
        <v>3600</v>
      </c>
      <c r="AU151" s="108" t="e">
        <f t="shared" ca="1" si="87"/>
        <v>#NAME?</v>
      </c>
      <c r="AW151" s="176">
        <v>46174</v>
      </c>
      <c r="AX151" s="177">
        <f ca="1">IF(fechaHoy&gt;=siguienteHabil(EDATE(AW151,1)+8,-1),VLOOKUP(EDATE(AW151,1)-1,Inflation_FWD!$L:$M,2,0)/100,IFERROR(VLOOKUP(AW151,Inflation_FWD!$H:$I,2,0),0.25%))</f>
        <v>2.5000000000000001E-3</v>
      </c>
      <c r="AY151" s="177">
        <f t="shared" si="72"/>
        <v>2.4750000000000002E-3</v>
      </c>
      <c r="AZ151" s="100">
        <f t="shared" si="88"/>
        <v>46182</v>
      </c>
      <c r="BA151" s="102">
        <f t="shared" ca="1" si="89"/>
        <v>34929.017811461614</v>
      </c>
      <c r="BC151" s="23"/>
      <c r="BD151" s="23"/>
      <c r="CC151" s="299"/>
      <c r="CL151" s="284"/>
    </row>
    <row r="152" spans="34:90">
      <c r="AH152" s="168">
        <f t="shared" si="79"/>
        <v>122</v>
      </c>
      <c r="AI152" s="169">
        <f t="shared" ca="1" si="80"/>
        <v>42792</v>
      </c>
      <c r="AJ152" s="211">
        <f t="shared" ca="1" si="81"/>
        <v>3.5000000000000004</v>
      </c>
      <c r="AK152" s="170">
        <f t="shared" ca="1" si="83"/>
        <v>1.0000972222222222</v>
      </c>
      <c r="AL152" s="171">
        <f t="shared" ca="1" si="84"/>
        <v>3.6121470212090667</v>
      </c>
      <c r="AM152" s="172">
        <f t="shared" ca="1" si="73"/>
        <v>26531.324145540751</v>
      </c>
      <c r="AN152" s="173">
        <f t="shared" ca="1" si="74"/>
        <v>0.41402292130396923</v>
      </c>
      <c r="AO152" s="313">
        <f t="shared" ca="1" si="75"/>
        <v>0.40778988054173415</v>
      </c>
      <c r="AP152" s="314">
        <f t="shared" ca="1" si="76"/>
        <v>0.29338892478731421</v>
      </c>
      <c r="AQ152" s="1"/>
      <c r="AR152" s="3">
        <f>AR151+360</f>
        <v>3960</v>
      </c>
      <c r="AS152" s="11" t="e">
        <f t="shared" ca="1" si="86"/>
        <v>#NAME?</v>
      </c>
      <c r="AT152" s="110">
        <f t="shared" si="90"/>
        <v>3960</v>
      </c>
      <c r="AU152" s="108" t="e">
        <f t="shared" ca="1" si="87"/>
        <v>#NAME?</v>
      </c>
      <c r="AW152" s="176">
        <v>46204</v>
      </c>
      <c r="AX152" s="177">
        <f ca="1">IF(fechaHoy&gt;=siguienteHabil(EDATE(AW152,1)+8,-1),VLOOKUP(EDATE(AW152,1)-1,Inflation_FWD!$L:$M,2,0)/100,IFERROR(VLOOKUP(AW152,Inflation_FWD!$H:$I,2,0),0.25%))</f>
        <v>2.5000000000000001E-3</v>
      </c>
      <c r="AY152" s="177">
        <f t="shared" si="72"/>
        <v>2.4750000000000002E-3</v>
      </c>
      <c r="AZ152" s="100">
        <f t="shared" si="88"/>
        <v>46212</v>
      </c>
      <c r="BA152" s="102">
        <f t="shared" ca="1" si="89"/>
        <v>35015.467130544981</v>
      </c>
      <c r="BC152" s="23"/>
      <c r="BD152" s="23"/>
      <c r="CC152" s="299"/>
      <c r="CL152" s="284"/>
    </row>
    <row r="153" spans="34:90">
      <c r="AH153" s="168">
        <f t="shared" si="79"/>
        <v>123</v>
      </c>
      <c r="AI153" s="169">
        <f t="shared" ca="1" si="80"/>
        <v>42793</v>
      </c>
      <c r="AJ153" s="211">
        <f t="shared" ca="1" si="81"/>
        <v>3.5000000000000004</v>
      </c>
      <c r="AK153" s="170">
        <f t="shared" ca="1" si="83"/>
        <v>1.0000972222222222</v>
      </c>
      <c r="AL153" s="171">
        <f t="shared" ca="1" si="84"/>
        <v>3.6121470212090889</v>
      </c>
      <c r="AM153" s="172">
        <f t="shared" ca="1" si="73"/>
        <v>26532.351571920844</v>
      </c>
      <c r="AN153" s="173">
        <f t="shared" ca="1" si="74"/>
        <v>0.42808051414546799</v>
      </c>
      <c r="AO153" s="313">
        <f t="shared" ca="1" si="75"/>
        <v>0.42161864118137116</v>
      </c>
      <c r="AP153" s="314">
        <f t="shared" ca="1" si="76"/>
        <v>0.29340321471020187</v>
      </c>
      <c r="AQ153" s="1"/>
      <c r="AR153" s="3">
        <f>AR152+360</f>
        <v>4320</v>
      </c>
      <c r="AS153" s="11" t="e">
        <f t="shared" ca="1" si="86"/>
        <v>#NAME?</v>
      </c>
      <c r="AT153" s="110">
        <f t="shared" si="90"/>
        <v>4320</v>
      </c>
      <c r="AU153" s="108" t="e">
        <f t="shared" ca="1" si="87"/>
        <v>#NAME?</v>
      </c>
      <c r="AW153" s="176">
        <v>46235</v>
      </c>
      <c r="AX153" s="177">
        <f ca="1">IF(fechaHoy&gt;=siguienteHabil(EDATE(AW153,1)+8,-1),VLOOKUP(EDATE(AW153,1)-1,Inflation_FWD!$L:$M,2,0)/100,IFERROR(VLOOKUP(AW153,Inflation_FWD!$H:$I,2,0),0.25%))</f>
        <v>2.5000000000000001E-3</v>
      </c>
      <c r="AY153" s="177">
        <f t="shared" si="72"/>
        <v>2.4750000000000002E-3</v>
      </c>
      <c r="AZ153" s="100">
        <f t="shared" si="88"/>
        <v>46243</v>
      </c>
      <c r="BA153" s="102">
        <f t="shared" ca="1" si="89"/>
        <v>35102.130411693077</v>
      </c>
      <c r="BC153" s="23"/>
      <c r="BD153" s="23"/>
      <c r="CC153" s="299"/>
      <c r="CL153" s="284"/>
    </row>
    <row r="154" spans="34:90">
      <c r="AH154" s="6">
        <f t="shared" si="79"/>
        <v>124</v>
      </c>
      <c r="AI154" s="7">
        <f t="shared" ca="1" si="80"/>
        <v>42794</v>
      </c>
      <c r="AJ154" s="210">
        <f t="shared" ca="1" si="81"/>
        <v>3.5000000000000004</v>
      </c>
      <c r="AK154" s="8">
        <f t="shared" ca="1" si="83"/>
        <v>1.0000972222222222</v>
      </c>
      <c r="AL154" s="98">
        <f t="shared" ca="1" si="84"/>
        <v>3.6121470212090889</v>
      </c>
      <c r="AM154" s="106">
        <f t="shared" ca="1" si="73"/>
        <v>26533.379038088056</v>
      </c>
      <c r="AN154" s="10">
        <f t="shared" ca="1" si="74"/>
        <v>0.4419132922711011</v>
      </c>
      <c r="AO154" s="311">
        <f t="shared" ca="1" si="75"/>
        <v>0.43522535205148438</v>
      </c>
      <c r="AP154" s="312">
        <f t="shared" ca="1" si="76"/>
        <v>0.29341750556019242</v>
      </c>
      <c r="AQ154" s="1"/>
      <c r="AR154" s="3">
        <f>AR153+360</f>
        <v>4680</v>
      </c>
      <c r="AS154" s="11" t="e">
        <f t="shared" ca="1" si="86"/>
        <v>#NAME?</v>
      </c>
      <c r="AT154" s="110">
        <f t="shared" si="90"/>
        <v>4680</v>
      </c>
      <c r="AU154" s="108" t="e">
        <f t="shared" ca="1" si="87"/>
        <v>#NAME?</v>
      </c>
      <c r="AW154" s="176">
        <v>46266</v>
      </c>
      <c r="AX154" s="177">
        <f ca="1">IF(fechaHoy&gt;=siguienteHabil(EDATE(AW154,1)+8,-1),VLOOKUP(EDATE(AW154,1)-1,Inflation_FWD!$L:$M,2,0)/100,IFERROR(VLOOKUP(AW154,Inflation_FWD!$H:$I,2,0),0.25%))</f>
        <v>2.5000000000000001E-3</v>
      </c>
      <c r="AY154" s="177">
        <f t="shared" si="72"/>
        <v>2.4750000000000002E-3</v>
      </c>
      <c r="AZ154" s="100">
        <f t="shared" si="88"/>
        <v>46274</v>
      </c>
      <c r="BA154" s="102">
        <f t="shared" ca="1" si="89"/>
        <v>35189.008184462014</v>
      </c>
      <c r="BC154" s="23"/>
      <c r="BD154" s="23"/>
      <c r="CC154" s="299"/>
      <c r="CL154" s="284"/>
    </row>
    <row r="155" spans="34:90">
      <c r="AH155" s="6">
        <f t="shared" si="79"/>
        <v>125</v>
      </c>
      <c r="AI155" s="7">
        <f t="shared" ca="1" si="80"/>
        <v>42795</v>
      </c>
      <c r="AJ155" s="210">
        <f t="shared" ca="1" si="81"/>
        <v>3.5000000000000004</v>
      </c>
      <c r="AK155" s="8">
        <f t="shared" ca="1" si="83"/>
        <v>1.0000972222222222</v>
      </c>
      <c r="AL155" s="98">
        <f t="shared" ca="1" si="84"/>
        <v>3.6121470212091111</v>
      </c>
      <c r="AM155" s="106">
        <f t="shared" ca="1" si="73"/>
        <v>26534.40654404393</v>
      </c>
      <c r="AN155" s="10">
        <f t="shared" ca="1" si="74"/>
        <v>0.45552660576329007</v>
      </c>
      <c r="AO155" s="311">
        <f t="shared" ca="1" si="75"/>
        <v>0.44861534240422429</v>
      </c>
      <c r="AP155" s="312">
        <f t="shared" ca="1" si="76"/>
        <v>0.2934317973373588</v>
      </c>
      <c r="AQ155" s="1"/>
      <c r="AR155" s="3">
        <f>AR154+360</f>
        <v>5040</v>
      </c>
      <c r="AS155" s="11" t="e">
        <f t="shared" ca="1" si="86"/>
        <v>#NAME?</v>
      </c>
      <c r="AT155" s="110">
        <f t="shared" si="90"/>
        <v>5040</v>
      </c>
      <c r="AU155" s="108" t="e">
        <f t="shared" ca="1" si="87"/>
        <v>#NAME?</v>
      </c>
      <c r="AW155" s="176">
        <v>46296</v>
      </c>
      <c r="AX155" s="177">
        <f ca="1">IF(fechaHoy&gt;=siguienteHabil(EDATE(AW155,1)+8,-1),VLOOKUP(EDATE(AW155,1)-1,Inflation_FWD!$L:$M,2,0)/100,IFERROR(VLOOKUP(AW155,Inflation_FWD!$H:$I,2,0),0.25%))</f>
        <v>2.5000000000000001E-3</v>
      </c>
      <c r="AY155" s="177">
        <f t="shared" ref="AY155:AY218" si="91">+$S$5/1200</f>
        <v>2.4750000000000002E-3</v>
      </c>
      <c r="AZ155" s="100">
        <f t="shared" si="88"/>
        <v>46304</v>
      </c>
      <c r="BA155" s="102">
        <f t="shared" ca="1" si="89"/>
        <v>35276.100979718562</v>
      </c>
      <c r="BC155" s="23"/>
      <c r="BD155" s="23"/>
      <c r="CC155" s="299"/>
      <c r="CL155" s="284"/>
    </row>
    <row r="156" spans="34:90" ht="15.75" thickBot="1">
      <c r="AH156" s="6">
        <f t="shared" si="79"/>
        <v>126</v>
      </c>
      <c r="AI156" s="7">
        <f t="shared" ca="1" si="80"/>
        <v>42796</v>
      </c>
      <c r="AJ156" s="210">
        <f t="shared" ca="1" si="81"/>
        <v>3.5000000000000004</v>
      </c>
      <c r="AK156" s="8">
        <f t="shared" ca="1" si="83"/>
        <v>1.0000972222222222</v>
      </c>
      <c r="AL156" s="98">
        <f t="shared" ca="1" si="84"/>
        <v>3.6121470212091333</v>
      </c>
      <c r="AM156" s="106">
        <f t="shared" ca="1" si="73"/>
        <v>26535.434089790004</v>
      </c>
      <c r="AN156" s="10">
        <f t="shared" ca="1" si="74"/>
        <v>0.46892563628471162</v>
      </c>
      <c r="AO156" s="311">
        <f t="shared" ca="1" si="75"/>
        <v>0.46179377230919677</v>
      </c>
      <c r="AP156" s="312">
        <f t="shared" ca="1" si="76"/>
        <v>0.29344609004176647</v>
      </c>
      <c r="AQ156" s="1"/>
      <c r="AR156" s="4">
        <f>AR155+360</f>
        <v>5400</v>
      </c>
      <c r="AS156" s="11" t="e">
        <f t="shared" ca="1" si="86"/>
        <v>#NAME?</v>
      </c>
      <c r="AT156" s="111">
        <f t="shared" si="90"/>
        <v>5400</v>
      </c>
      <c r="AU156" s="109" t="e">
        <f t="shared" ca="1" si="87"/>
        <v>#NAME?</v>
      </c>
      <c r="AW156" s="176">
        <v>46327</v>
      </c>
      <c r="AX156" s="177">
        <f ca="1">IF(fechaHoy&gt;=siguienteHabil(EDATE(AW156,1)+8,-1),VLOOKUP(EDATE(AW156,1)-1,Inflation_FWD!$L:$M,2,0)/100,IFERROR(VLOOKUP(AW156,Inflation_FWD!$H:$I,2,0),0.25%))</f>
        <v>2.5000000000000001E-3</v>
      </c>
      <c r="AY156" s="177">
        <f t="shared" si="91"/>
        <v>2.4750000000000002E-3</v>
      </c>
      <c r="AZ156" s="100">
        <f t="shared" si="88"/>
        <v>46335</v>
      </c>
      <c r="BA156" s="102">
        <f t="shared" ca="1" si="89"/>
        <v>35363.409329643364</v>
      </c>
      <c r="BC156" s="23"/>
      <c r="BD156" s="23"/>
      <c r="CC156" s="299"/>
      <c r="CL156" s="284"/>
    </row>
    <row r="157" spans="34:90">
      <c r="AH157" s="6">
        <f t="shared" si="79"/>
        <v>127</v>
      </c>
      <c r="AI157" s="7">
        <f t="shared" ca="1" si="80"/>
        <v>42797</v>
      </c>
      <c r="AJ157" s="210">
        <f t="shared" ca="1" si="81"/>
        <v>3.5000000000000004</v>
      </c>
      <c r="AK157" s="8">
        <f t="shared" ca="1" si="83"/>
        <v>1.0000972222222222</v>
      </c>
      <c r="AL157" s="98">
        <f t="shared" ca="1" si="84"/>
        <v>3.6121470212091555</v>
      </c>
      <c r="AM157" s="106">
        <f t="shared" ca="1" si="73"/>
        <v>26536.461675327817</v>
      </c>
      <c r="AN157" s="10">
        <f t="shared" ca="1" si="74"/>
        <v>0.48211540365361572</v>
      </c>
      <c r="AO157" s="311">
        <f t="shared" ca="1" si="75"/>
        <v>0.47476563931413046</v>
      </c>
      <c r="AP157" s="312">
        <f t="shared" ca="1" si="76"/>
        <v>0.29346038367348404</v>
      </c>
      <c r="AQ157" s="1"/>
      <c r="AR157" s="1"/>
      <c r="AS157" s="1"/>
      <c r="AT157" s="1"/>
      <c r="AU157" s="1"/>
      <c r="AW157" s="176">
        <v>46357</v>
      </c>
      <c r="AX157" s="177">
        <f ca="1">IF(fechaHoy&gt;=siguienteHabil(EDATE(AW157,1)+8,-1),VLOOKUP(EDATE(AW157,1)-1,Inflation_FWD!$L:$M,2,0)/100,IFERROR(VLOOKUP(AW157,Inflation_FWD!$H:$I,2,0),0.25%))</f>
        <v>2.5000000000000001E-3</v>
      </c>
      <c r="AY157" s="177">
        <f t="shared" si="91"/>
        <v>2.4750000000000002E-3</v>
      </c>
      <c r="AZ157" s="100">
        <f t="shared" si="88"/>
        <v>46365</v>
      </c>
      <c r="BA157" s="102">
        <f t="shared" ca="1" si="89"/>
        <v>35450.933767734234</v>
      </c>
      <c r="BC157" s="23"/>
      <c r="BD157" s="23"/>
      <c r="CC157" s="299"/>
      <c r="CL157" s="284"/>
    </row>
    <row r="158" spans="34:90">
      <c r="AH158" s="6">
        <f t="shared" si="79"/>
        <v>128</v>
      </c>
      <c r="AI158" s="7">
        <f t="shared" ca="1" si="80"/>
        <v>42798</v>
      </c>
      <c r="AJ158" s="210">
        <f t="shared" ca="1" si="81"/>
        <v>3.5000000000000004</v>
      </c>
      <c r="AK158" s="8">
        <f t="shared" ca="1" si="83"/>
        <v>1.0000972222222222</v>
      </c>
      <c r="AL158" s="98">
        <f t="shared" ca="1" si="84"/>
        <v>3.6121470212091777</v>
      </c>
      <c r="AM158" s="106">
        <f t="shared" ca="1" si="73"/>
        <v>26537.489300658915</v>
      </c>
      <c r="AN158" s="10">
        <f t="shared" ca="1" si="74"/>
        <v>0.49510077211349923</v>
      </c>
      <c r="AO158" s="311">
        <f t="shared" ca="1" si="75"/>
        <v>0.48753578479332482</v>
      </c>
      <c r="AP158" s="312">
        <f t="shared" ca="1" si="76"/>
        <v>0.29347467823257789</v>
      </c>
      <c r="AQ158" s="1"/>
      <c r="AR158" s="1"/>
      <c r="AS158" s="1"/>
      <c r="AT158" s="1"/>
      <c r="AU158" s="1"/>
      <c r="AW158" s="176">
        <v>46388</v>
      </c>
      <c r="AX158" s="177">
        <f ca="1">IF(fechaHoy&gt;=siguienteHabil(EDATE(AW158,1)+8,-1),VLOOKUP(EDATE(AW158,1)-1,Inflation_FWD!$L:$M,2,0)/100,IFERROR(VLOOKUP(AW158,Inflation_FWD!$H:$I,2,0),0.25%))</f>
        <v>2.5000000000000001E-3</v>
      </c>
      <c r="AY158" s="177">
        <f t="shared" si="91"/>
        <v>2.4750000000000002E-3</v>
      </c>
      <c r="AZ158" s="100">
        <f t="shared" si="88"/>
        <v>46396</v>
      </c>
      <c r="BA158" s="102">
        <f t="shared" ca="1" si="89"/>
        <v>35538.674828809373</v>
      </c>
      <c r="BC158" s="23"/>
      <c r="BD158" s="23"/>
      <c r="CC158" s="299"/>
      <c r="CL158" s="284"/>
    </row>
    <row r="159" spans="34:90">
      <c r="AH159" s="6">
        <f t="shared" si="79"/>
        <v>129</v>
      </c>
      <c r="AI159" s="7">
        <f t="shared" ca="1" si="80"/>
        <v>42799</v>
      </c>
      <c r="AJ159" s="210">
        <f t="shared" ca="1" si="81"/>
        <v>3.5000000000000004</v>
      </c>
      <c r="AK159" s="8">
        <f t="shared" ca="1" si="83"/>
        <v>1.0000972222222222</v>
      </c>
      <c r="AL159" s="98">
        <f t="shared" ca="1" si="84"/>
        <v>3.6121470212091777</v>
      </c>
      <c r="AM159" s="106">
        <f t="shared" ref="AM159:AM222" ca="1" si="92">Geom_Interp(AI159,$AZ$2:$AZ$109,$BA$2:$BA$109)</f>
        <v>26538.516965784838</v>
      </c>
      <c r="AN159" s="10">
        <f t="shared" ref="AN159:AN222" ca="1" si="93">100*(((1+AL159/100)^(AH159/365)*$AM$29/AM159)^(365/AH159)-1)</f>
        <v>0.50788645631365537</v>
      </c>
      <c r="AO159" s="311">
        <f t="shared" ref="AO159:AO222" ca="1" si="94">100*360/$AH159*((1+AN159/100)^($AH159/365)-1)</f>
        <v>0.50010890000094621</v>
      </c>
      <c r="AP159" s="312">
        <f t="shared" ref="AP159:AP222" ca="1" si="95">100*30/$AH159*((1+AL159/100)^($AH159/365)-1)</f>
        <v>0.29348897371911242</v>
      </c>
      <c r="AQ159" s="1"/>
      <c r="AR159" s="1"/>
      <c r="AS159" s="1"/>
      <c r="AT159" s="1"/>
      <c r="AU159" s="1"/>
      <c r="AW159" s="176">
        <v>46419</v>
      </c>
      <c r="AX159" s="177">
        <f ca="1">IF(fechaHoy&gt;=siguienteHabil(EDATE(AW159,1)+8,-1),VLOOKUP(EDATE(AW159,1)-1,Inflation_FWD!$L:$M,2,0)/100,IFERROR(VLOOKUP(AW159,Inflation_FWD!$H:$I,2,0),0.25%))</f>
        <v>2.5000000000000001E-3</v>
      </c>
      <c r="AY159" s="177">
        <f t="shared" si="91"/>
        <v>2.4750000000000002E-3</v>
      </c>
      <c r="AZ159" s="100">
        <f t="shared" si="88"/>
        <v>46427</v>
      </c>
      <c r="BA159" s="102">
        <f t="shared" ca="1" si="89"/>
        <v>35626.633049010677</v>
      </c>
      <c r="BC159" s="23"/>
      <c r="BD159" s="23"/>
      <c r="CC159" s="299"/>
      <c r="CL159" s="284"/>
    </row>
    <row r="160" spans="34:90">
      <c r="AH160" s="6">
        <f t="shared" ref="AH160:AH223" si="96">$AI$29+AH159</f>
        <v>130</v>
      </c>
      <c r="AI160" s="7">
        <f t="shared" ref="AI160:AI223" ca="1" si="97">+AH160+$C$1</f>
        <v>42800</v>
      </c>
      <c r="AJ160" s="210">
        <f t="shared" ref="AJ160:AJ223" ca="1" si="98">IF(AH160&lt;365,VLOOKUP(LOOKUP(AI160,$AI$2:$AI$23),$AI$2:$AK$23,3,0),Lin_Interp(AH160,$AJ$2:$AJ$23,$AK$2:$AK$23))</f>
        <v>3.5000000000000004</v>
      </c>
      <c r="AK160" s="8">
        <f t="shared" ca="1" si="83"/>
        <v>1.0000972222222222</v>
      </c>
      <c r="AL160" s="98">
        <f t="shared" ca="1" si="84"/>
        <v>3.6121470212091777</v>
      </c>
      <c r="AM160" s="106">
        <f t="shared" ca="1" si="92"/>
        <v>26539.544670707128</v>
      </c>
      <c r="AN160" s="10">
        <f t="shared" ca="1" si="93"/>
        <v>0.52047702701607523</v>
      </c>
      <c r="AO160" s="311">
        <f t="shared" ca="1" si="94"/>
        <v>0.5124895318450019</v>
      </c>
      <c r="AP160" s="312">
        <f t="shared" ca="1" si="95"/>
        <v>0.29350327013316035</v>
      </c>
      <c r="AQ160" s="1"/>
      <c r="AR160" s="1"/>
      <c r="AS160" s="1"/>
      <c r="AT160" s="1"/>
      <c r="AU160" s="1"/>
      <c r="AW160" s="176">
        <v>46447</v>
      </c>
      <c r="AX160" s="177">
        <f ca="1">IF(fechaHoy&gt;=siguienteHabil(EDATE(AW160,1)+8,-1),VLOOKUP(EDATE(AW160,1)-1,Inflation_FWD!$L:$M,2,0)/100,IFERROR(VLOOKUP(AW160,Inflation_FWD!$H:$I,2,0),0.25%))</f>
        <v>2.5000000000000001E-3</v>
      </c>
      <c r="AY160" s="177">
        <f t="shared" si="91"/>
        <v>2.4750000000000002E-3</v>
      </c>
      <c r="AZ160" s="100">
        <f t="shared" si="88"/>
        <v>46455</v>
      </c>
      <c r="BA160" s="102">
        <f t="shared" ca="1" si="89"/>
        <v>35714.80896580698</v>
      </c>
      <c r="BC160" s="23"/>
      <c r="BD160" s="23"/>
      <c r="CC160" s="299"/>
      <c r="CL160" s="284"/>
    </row>
    <row r="161" spans="34:90">
      <c r="AH161" s="6">
        <f t="shared" si="96"/>
        <v>131</v>
      </c>
      <c r="AI161" s="7">
        <f t="shared" ca="1" si="97"/>
        <v>42801</v>
      </c>
      <c r="AJ161" s="210">
        <f t="shared" ca="1" si="98"/>
        <v>3.5000000000000004</v>
      </c>
      <c r="AK161" s="8">
        <f t="shared" ref="AK161:AK224" ca="1" si="99">+(1+AJ161/36000)</f>
        <v>1.0000972222222222</v>
      </c>
      <c r="AL161" s="98">
        <f t="shared" ref="AL161:AL224" ca="1" si="100">100*(((1+AL160/100)^(AH160/365)*AK161)^(365/AH161)-1)</f>
        <v>3.6121470212091777</v>
      </c>
      <c r="AM161" s="106">
        <f t="shared" ca="1" si="92"/>
        <v>26540.572415427323</v>
      </c>
      <c r="AN161" s="10">
        <f t="shared" ca="1" si="93"/>
        <v>0.53287691654269054</v>
      </c>
      <c r="AO161" s="311">
        <f t="shared" ca="1" si="94"/>
        <v>0.5246820883965525</v>
      </c>
      <c r="AP161" s="312">
        <f t="shared" ca="1" si="95"/>
        <v>0.29351756747478697</v>
      </c>
      <c r="AQ161" s="1"/>
      <c r="AR161" s="1"/>
      <c r="AS161" s="1"/>
      <c r="AT161" s="1"/>
      <c r="AU161" s="1"/>
      <c r="AW161" s="176">
        <v>46478</v>
      </c>
      <c r="AX161" s="177">
        <f ca="1">IF(fechaHoy&gt;=siguienteHabil(EDATE(AW161,1)+8,-1),VLOOKUP(EDATE(AW161,1)-1,Inflation_FWD!$L:$M,2,0)/100,IFERROR(VLOOKUP(AW161,Inflation_FWD!$H:$I,2,0),0.25%))</f>
        <v>2.5000000000000001E-3</v>
      </c>
      <c r="AY161" s="177">
        <f t="shared" si="91"/>
        <v>2.4750000000000002E-3</v>
      </c>
      <c r="AZ161" s="100">
        <f t="shared" si="88"/>
        <v>46486</v>
      </c>
      <c r="BA161" s="102">
        <f t="shared" ca="1" si="89"/>
        <v>35803.203117997349</v>
      </c>
      <c r="BC161" s="23"/>
      <c r="BD161" s="23"/>
      <c r="CC161" s="299"/>
      <c r="CL161" s="284"/>
    </row>
    <row r="162" spans="34:90">
      <c r="AH162" s="6">
        <f t="shared" si="96"/>
        <v>132</v>
      </c>
      <c r="AI162" s="7">
        <f t="shared" ca="1" si="97"/>
        <v>42802</v>
      </c>
      <c r="AJ162" s="210">
        <f t="shared" ca="1" si="98"/>
        <v>3.5000000000000004</v>
      </c>
      <c r="AK162" s="8">
        <f t="shared" ca="1" si="99"/>
        <v>1.0000972222222222</v>
      </c>
      <c r="AL162" s="98">
        <f t="shared" ca="1" si="100"/>
        <v>3.6121470212091555</v>
      </c>
      <c r="AM162" s="106">
        <f t="shared" ca="1" si="92"/>
        <v>26541.600199946959</v>
      </c>
      <c r="AN162" s="10">
        <f t="shared" ca="1" si="93"/>
        <v>0.54509042397739016</v>
      </c>
      <c r="AO162" s="311">
        <f t="shared" ca="1" si="94"/>
        <v>0.53669084414880774</v>
      </c>
      <c r="AP162" s="312">
        <f t="shared" ca="1" si="95"/>
        <v>0.2935318657440607</v>
      </c>
      <c r="AQ162" s="1"/>
      <c r="AR162" s="1"/>
      <c r="AS162" s="1"/>
      <c r="AT162" s="1"/>
      <c r="AU162" s="1"/>
      <c r="AW162" s="176">
        <v>46508</v>
      </c>
      <c r="AX162" s="177">
        <f ca="1">IF(fechaHoy&gt;=siguienteHabil(EDATE(AW162,1)+8,-1),VLOOKUP(EDATE(AW162,1)-1,Inflation_FWD!$L:$M,2,0)/100,IFERROR(VLOOKUP(AW162,Inflation_FWD!$H:$I,2,0),0.25%))</f>
        <v>2.5000000000000001E-3</v>
      </c>
      <c r="AY162" s="177">
        <f t="shared" si="91"/>
        <v>2.4750000000000002E-3</v>
      </c>
      <c r="AZ162" s="100">
        <f t="shared" si="88"/>
        <v>46516</v>
      </c>
      <c r="BA162" s="102">
        <f t="shared" ca="1" si="89"/>
        <v>35891.816045714389</v>
      </c>
      <c r="BC162" s="23"/>
      <c r="BD162" s="23"/>
      <c r="CC162" s="299"/>
      <c r="CL162" s="284"/>
    </row>
    <row r="163" spans="34:90">
      <c r="AH163" s="6">
        <f t="shared" si="96"/>
        <v>133</v>
      </c>
      <c r="AI163" s="7">
        <f t="shared" ca="1" si="97"/>
        <v>42803</v>
      </c>
      <c r="AJ163" s="210">
        <f t="shared" ca="1" si="98"/>
        <v>3.5000000000000004</v>
      </c>
      <c r="AK163" s="8">
        <f t="shared" ca="1" si="99"/>
        <v>1.0000972222222222</v>
      </c>
      <c r="AL163" s="98">
        <f t="shared" ca="1" si="100"/>
        <v>3.6121470212091333</v>
      </c>
      <c r="AM163" s="106">
        <f t="shared" ca="1" si="92"/>
        <v>26542.628024267593</v>
      </c>
      <c r="AN163" s="10">
        <f t="shared" ca="1" si="93"/>
        <v>0.55712172013482331</v>
      </c>
      <c r="AO163" s="311">
        <f t="shared" ca="1" si="94"/>
        <v>0.54851994503855073</v>
      </c>
      <c r="AP163" s="312">
        <f t="shared" ca="1" si="95"/>
        <v>0.29354616494104785</v>
      </c>
      <c r="AQ163" s="1"/>
      <c r="AR163" s="1"/>
      <c r="AS163" s="1"/>
      <c r="AT163" s="1"/>
      <c r="AU163" s="1"/>
      <c r="AW163" s="176">
        <v>46539</v>
      </c>
      <c r="AX163" s="177">
        <f ca="1">IF(fechaHoy&gt;=siguienteHabil(EDATE(AW163,1)+8,-1),VLOOKUP(EDATE(AW163,1)-1,Inflation_FWD!$L:$M,2,0)/100,IFERROR(VLOOKUP(AW163,Inflation_FWD!$H:$I,2,0),0.25%))</f>
        <v>2.5000000000000001E-3</v>
      </c>
      <c r="AY163" s="177">
        <f t="shared" si="91"/>
        <v>2.4750000000000002E-3</v>
      </c>
      <c r="AZ163" s="100">
        <f t="shared" si="88"/>
        <v>46547</v>
      </c>
      <c r="BA163" s="102">
        <f t="shared" ca="1" si="89"/>
        <v>35980.648290427533</v>
      </c>
      <c r="BC163" s="23"/>
      <c r="BD163" s="23"/>
      <c r="CC163" s="299"/>
      <c r="CL163" s="284"/>
    </row>
    <row r="164" spans="34:90">
      <c r="AH164" s="6">
        <f t="shared" si="96"/>
        <v>134</v>
      </c>
      <c r="AI164" s="7">
        <f t="shared" ca="1" si="97"/>
        <v>42804</v>
      </c>
      <c r="AJ164" s="210">
        <f t="shared" ca="1" si="98"/>
        <v>3.5000000000000004</v>
      </c>
      <c r="AK164" s="8">
        <f t="shared" ca="1" si="99"/>
        <v>1.0000972222222222</v>
      </c>
      <c r="AL164" s="98">
        <f t="shared" ca="1" si="100"/>
        <v>3.6121470212091111</v>
      </c>
      <c r="AM164" s="106">
        <f t="shared" ca="1" si="92"/>
        <v>26543.894827550957</v>
      </c>
      <c r="AN164" s="10">
        <f t="shared" ca="1" si="93"/>
        <v>0.56650897533858657</v>
      </c>
      <c r="AO164" s="311">
        <f t="shared" ca="1" si="94"/>
        <v>0.55775001388988787</v>
      </c>
      <c r="AP164" s="312">
        <f t="shared" ca="1" si="95"/>
        <v>0.29356046506581784</v>
      </c>
      <c r="AQ164" s="1"/>
      <c r="AR164" s="1"/>
      <c r="AS164" s="1"/>
      <c r="AT164" s="1"/>
      <c r="AU164" s="1"/>
      <c r="AW164" s="176">
        <v>46569</v>
      </c>
      <c r="AX164" s="177">
        <f ca="1">IF(fechaHoy&gt;=siguienteHabil(EDATE(AW164,1)+8,-1),VLOOKUP(EDATE(AW164,1)-1,Inflation_FWD!$L:$M,2,0)/100,IFERROR(VLOOKUP(AW164,Inflation_FWD!$H:$I,2,0),0.25%))</f>
        <v>2.5000000000000001E-3</v>
      </c>
      <c r="AY164" s="177">
        <f t="shared" si="91"/>
        <v>2.4750000000000002E-3</v>
      </c>
      <c r="AZ164" s="100">
        <f t="shared" si="88"/>
        <v>46577</v>
      </c>
      <c r="BA164" s="102">
        <f t="shared" ca="1" si="89"/>
        <v>36069.70039494634</v>
      </c>
      <c r="BC164" s="23"/>
      <c r="BD164" s="23"/>
      <c r="CC164" s="299"/>
      <c r="CL164" s="284"/>
    </row>
    <row r="165" spans="34:90">
      <c r="AH165" s="6">
        <f t="shared" si="96"/>
        <v>135</v>
      </c>
      <c r="AI165" s="7">
        <f t="shared" ca="1" si="97"/>
        <v>42805</v>
      </c>
      <c r="AJ165" s="210">
        <f t="shared" ca="1" si="98"/>
        <v>3.5000000000000004</v>
      </c>
      <c r="AK165" s="8">
        <f t="shared" ca="1" si="99"/>
        <v>1.0000972222222222</v>
      </c>
      <c r="AL165" s="98">
        <f t="shared" ca="1" si="100"/>
        <v>3.6121470212090889</v>
      </c>
      <c r="AM165" s="106">
        <f t="shared" ca="1" si="92"/>
        <v>26545.161691295201</v>
      </c>
      <c r="AN165" s="10">
        <f t="shared" ca="1" si="93"/>
        <v>0.57575801704023988</v>
      </c>
      <c r="AO165" s="311">
        <f t="shared" ca="1" si="94"/>
        <v>0.56684399551247822</v>
      </c>
      <c r="AP165" s="312">
        <f t="shared" ca="1" si="95"/>
        <v>0.29357476611843797</v>
      </c>
      <c r="AQ165" s="1"/>
      <c r="AR165" s="1"/>
      <c r="AS165" s="1"/>
      <c r="AT165" s="1"/>
      <c r="AU165" s="1"/>
      <c r="AW165" s="176">
        <v>46600</v>
      </c>
      <c r="AX165" s="177">
        <f ca="1">IF(fechaHoy&gt;=siguienteHabil(EDATE(AW165,1)+8,-1),VLOOKUP(EDATE(AW165,1)-1,Inflation_FWD!$L:$M,2,0)/100,IFERROR(VLOOKUP(AW165,Inflation_FWD!$H:$I,2,0),0.25%))</f>
        <v>2.5000000000000001E-3</v>
      </c>
      <c r="AY165" s="177">
        <f t="shared" si="91"/>
        <v>2.4750000000000002E-3</v>
      </c>
      <c r="AZ165" s="100">
        <f t="shared" si="88"/>
        <v>46608</v>
      </c>
      <c r="BA165" s="102">
        <f t="shared" ca="1" si="89"/>
        <v>36158.972903423833</v>
      </c>
      <c r="BC165" s="23"/>
      <c r="BD165" s="23"/>
      <c r="CC165" s="299"/>
      <c r="CL165" s="284"/>
    </row>
    <row r="166" spans="34:90">
      <c r="AH166" s="6">
        <f t="shared" si="96"/>
        <v>136</v>
      </c>
      <c r="AI166" s="7">
        <f t="shared" ca="1" si="97"/>
        <v>42806</v>
      </c>
      <c r="AJ166" s="210">
        <f t="shared" ca="1" si="98"/>
        <v>3.5000000000000004</v>
      </c>
      <c r="AK166" s="8">
        <f t="shared" ca="1" si="99"/>
        <v>1.0000972222222222</v>
      </c>
      <c r="AL166" s="98">
        <f t="shared" ca="1" si="100"/>
        <v>3.6121470212091111</v>
      </c>
      <c r="AM166" s="106">
        <f t="shared" ca="1" si="92"/>
        <v>26546.428615503206</v>
      </c>
      <c r="AN166" s="10">
        <f t="shared" ca="1" si="93"/>
        <v>0.58487187537936691</v>
      </c>
      <c r="AO166" s="311">
        <f t="shared" ca="1" si="94"/>
        <v>0.57580489186263606</v>
      </c>
      <c r="AP166" s="312">
        <f t="shared" ca="1" si="95"/>
        <v>0.29358906809897839</v>
      </c>
      <c r="AQ166" s="1"/>
      <c r="AR166" s="1"/>
      <c r="AS166" s="1"/>
      <c r="AT166" s="1"/>
      <c r="AU166" s="1"/>
      <c r="AW166" s="176">
        <v>46631</v>
      </c>
      <c r="AX166" s="177">
        <f ca="1">IF(fechaHoy&gt;=siguienteHabil(EDATE(AW166,1)+8,-1),VLOOKUP(EDATE(AW166,1)-1,Inflation_FWD!$L:$M,2,0)/100,IFERROR(VLOOKUP(AW166,Inflation_FWD!$H:$I,2,0),0.25%))</f>
        <v>2.5000000000000001E-3</v>
      </c>
      <c r="AY166" s="177">
        <f t="shared" si="91"/>
        <v>2.4750000000000002E-3</v>
      </c>
      <c r="AZ166" s="100">
        <f t="shared" si="88"/>
        <v>46639</v>
      </c>
      <c r="BA166" s="102">
        <f t="shared" ca="1" si="89"/>
        <v>36248.46636135981</v>
      </c>
      <c r="BC166" s="23"/>
      <c r="BD166" s="23"/>
      <c r="CC166" s="299"/>
      <c r="CL166" s="284"/>
    </row>
    <row r="167" spans="34:90">
      <c r="AH167" s="6">
        <f t="shared" si="96"/>
        <v>137</v>
      </c>
      <c r="AI167" s="7">
        <f t="shared" ca="1" si="97"/>
        <v>42807</v>
      </c>
      <c r="AJ167" s="210">
        <f t="shared" ca="1" si="98"/>
        <v>3.5000000000000004</v>
      </c>
      <c r="AK167" s="8">
        <f t="shared" ca="1" si="99"/>
        <v>1.0000972222222222</v>
      </c>
      <c r="AL167" s="98">
        <f t="shared" ca="1" si="100"/>
        <v>3.6121470212090889</v>
      </c>
      <c r="AM167" s="106">
        <f t="shared" ca="1" si="92"/>
        <v>26547.695600177864</v>
      </c>
      <c r="AN167" s="10">
        <f t="shared" ca="1" si="93"/>
        <v>0.59385349256355635</v>
      </c>
      <c r="AO167" s="311">
        <f t="shared" ca="1" si="94"/>
        <v>0.58463561724814117</v>
      </c>
      <c r="AP167" s="312">
        <f t="shared" ca="1" si="95"/>
        <v>0.29360337100750244</v>
      </c>
      <c r="AQ167" s="1"/>
      <c r="AR167" s="1"/>
      <c r="AS167" s="1"/>
      <c r="AT167" s="1"/>
      <c r="AU167" s="1"/>
      <c r="AW167" s="176">
        <v>46661</v>
      </c>
      <c r="AX167" s="177">
        <f ca="1">IF(fechaHoy&gt;=siguienteHabil(EDATE(AW167,1)+8,-1),VLOOKUP(EDATE(AW167,1)-1,Inflation_FWD!$L:$M,2,0)/100,IFERROR(VLOOKUP(AW167,Inflation_FWD!$H:$I,2,0),0.25%))</f>
        <v>2.5000000000000001E-3</v>
      </c>
      <c r="AY167" s="177">
        <f t="shared" si="91"/>
        <v>2.4750000000000002E-3</v>
      </c>
      <c r="AZ167" s="100">
        <f t="shared" si="88"/>
        <v>46669</v>
      </c>
      <c r="BA167" s="102">
        <f t="shared" ca="1" si="89"/>
        <v>36338.181315604175</v>
      </c>
      <c r="BC167" s="23"/>
      <c r="BD167" s="23"/>
      <c r="CC167" s="299"/>
      <c r="CL167" s="284"/>
    </row>
    <row r="168" spans="34:90">
      <c r="AH168" s="6">
        <f t="shared" si="96"/>
        <v>138</v>
      </c>
      <c r="AI168" s="7">
        <f t="shared" ca="1" si="97"/>
        <v>42808</v>
      </c>
      <c r="AJ168" s="210">
        <f t="shared" ca="1" si="98"/>
        <v>3.5000000000000004</v>
      </c>
      <c r="AK168" s="8">
        <f t="shared" ca="1" si="99"/>
        <v>1.0000972222222222</v>
      </c>
      <c r="AL168" s="98">
        <f t="shared" ca="1" si="100"/>
        <v>3.6121470212090889</v>
      </c>
      <c r="AM168" s="106">
        <f t="shared" ca="1" si="92"/>
        <v>26548.962645322052</v>
      </c>
      <c r="AN168" s="10">
        <f t="shared" ca="1" si="93"/>
        <v>0.6027057260356905</v>
      </c>
      <c r="AO168" s="311">
        <f t="shared" ca="1" si="94"/>
        <v>0.59333900150454721</v>
      </c>
      <c r="AP168" s="312">
        <f t="shared" ca="1" si="95"/>
        <v>0.29361767484408124</v>
      </c>
      <c r="AQ168" s="1"/>
      <c r="AR168" s="1"/>
      <c r="AS168" s="1"/>
      <c r="AT168" s="1"/>
      <c r="AU168" s="1"/>
      <c r="AW168" s="176">
        <v>46692</v>
      </c>
      <c r="AX168" s="177">
        <f ca="1">IF(fechaHoy&gt;=siguienteHabil(EDATE(AW168,1)+8,-1),VLOOKUP(EDATE(AW168,1)-1,Inflation_FWD!$L:$M,2,0)/100,IFERROR(VLOOKUP(AW168,Inflation_FWD!$H:$I,2,0),0.25%))</f>
        <v>2.5000000000000001E-3</v>
      </c>
      <c r="AY168" s="177">
        <f t="shared" si="91"/>
        <v>2.4750000000000002E-3</v>
      </c>
      <c r="AZ168" s="100">
        <f t="shared" si="88"/>
        <v>46700</v>
      </c>
      <c r="BA168" s="102">
        <f t="shared" ca="1" si="89"/>
        <v>36428.118314360298</v>
      </c>
      <c r="BC168" s="23"/>
      <c r="BD168" s="23"/>
      <c r="CC168" s="299"/>
      <c r="CL168" s="284"/>
    </row>
    <row r="169" spans="34:90">
      <c r="AH169" s="6">
        <f t="shared" si="96"/>
        <v>139</v>
      </c>
      <c r="AI169" s="7">
        <f t="shared" ca="1" si="97"/>
        <v>42809</v>
      </c>
      <c r="AJ169" s="210">
        <f t="shared" ca="1" si="98"/>
        <v>3.4</v>
      </c>
      <c r="AK169" s="8">
        <f t="shared" ca="1" si="99"/>
        <v>1.0000944444444444</v>
      </c>
      <c r="AL169" s="98">
        <f t="shared" ca="1" si="100"/>
        <v>3.6113913323233104</v>
      </c>
      <c r="AM169" s="106">
        <f t="shared" ca="1" si="92"/>
        <v>26550.229750938659</v>
      </c>
      <c r="AN169" s="10">
        <f t="shared" ca="1" si="93"/>
        <v>0.61069754815501476</v>
      </c>
      <c r="AO169" s="311">
        <f t="shared" ca="1" si="94"/>
        <v>0.60119676667829569</v>
      </c>
      <c r="AP169" s="312">
        <f t="shared" ca="1" si="95"/>
        <v>0.29357121783341728</v>
      </c>
      <c r="AQ169" s="1"/>
      <c r="AR169" s="1"/>
      <c r="AS169" s="1"/>
      <c r="AT169" s="1"/>
      <c r="AU169" s="1"/>
      <c r="AW169" s="176">
        <v>46722</v>
      </c>
      <c r="AX169" s="177">
        <f ca="1">IF(fechaHoy&gt;=siguienteHabil(EDATE(AW169,1)+8,-1),VLOOKUP(EDATE(AW169,1)-1,Inflation_FWD!$L:$M,2,0)/100,IFERROR(VLOOKUP(AW169,Inflation_FWD!$H:$I,2,0),0.25%))</f>
        <v>2.5000000000000001E-3</v>
      </c>
      <c r="AY169" s="177">
        <f t="shared" si="91"/>
        <v>2.4750000000000002E-3</v>
      </c>
      <c r="AZ169" s="100">
        <f t="shared" si="88"/>
        <v>46730</v>
      </c>
      <c r="BA169" s="102">
        <f t="shared" ca="1" si="89"/>
        <v>36518.277907188341</v>
      </c>
      <c r="BC169" s="23"/>
      <c r="BD169" s="23"/>
      <c r="CC169" s="299"/>
      <c r="CL169" s="284"/>
    </row>
    <row r="170" spans="34:90">
      <c r="AH170" s="6">
        <f t="shared" si="96"/>
        <v>140</v>
      </c>
      <c r="AI170" s="7">
        <f t="shared" ca="1" si="97"/>
        <v>42810</v>
      </c>
      <c r="AJ170" s="210">
        <f t="shared" ca="1" si="98"/>
        <v>3.4</v>
      </c>
      <c r="AK170" s="8">
        <f t="shared" ca="1" si="99"/>
        <v>1.0000944444444444</v>
      </c>
      <c r="AL170" s="98">
        <f t="shared" ca="1" si="100"/>
        <v>3.6106464443870889</v>
      </c>
      <c r="AM170" s="106">
        <f t="shared" ca="1" si="92"/>
        <v>26551.49691703057</v>
      </c>
      <c r="AN170" s="10">
        <f t="shared" ca="1" si="93"/>
        <v>0.61857582271314104</v>
      </c>
      <c r="AO170" s="311">
        <f t="shared" ca="1" si="94"/>
        <v>0.60894284050308589</v>
      </c>
      <c r="AP170" s="312">
        <f t="shared" ca="1" si="95"/>
        <v>0.29352561821348438</v>
      </c>
      <c r="AQ170" s="1"/>
      <c r="AR170" s="1"/>
      <c r="AS170" s="1"/>
      <c r="AT170" s="1"/>
      <c r="AU170" s="1"/>
      <c r="AW170" s="176">
        <v>46753</v>
      </c>
      <c r="AX170" s="177">
        <f ca="1">IF(fechaHoy&gt;=siguienteHabil(EDATE(AW170,1)+8,-1),VLOOKUP(EDATE(AW170,1)-1,Inflation_FWD!$L:$M,2,0)/100,IFERROR(VLOOKUP(AW170,Inflation_FWD!$H:$I,2,0),0.25%))</f>
        <v>2.5000000000000001E-3</v>
      </c>
      <c r="AY170" s="177">
        <f t="shared" si="91"/>
        <v>2.4750000000000002E-3</v>
      </c>
      <c r="AZ170" s="100">
        <f t="shared" si="88"/>
        <v>46761</v>
      </c>
      <c r="BA170" s="102">
        <f t="shared" ca="1" si="89"/>
        <v>36608.660645008633</v>
      </c>
      <c r="BC170" s="23"/>
      <c r="BD170" s="23"/>
      <c r="CC170" s="299"/>
      <c r="CL170" s="284"/>
    </row>
    <row r="171" spans="34:90">
      <c r="AH171" s="6">
        <f t="shared" si="96"/>
        <v>141</v>
      </c>
      <c r="AI171" s="7">
        <f t="shared" ca="1" si="97"/>
        <v>42811</v>
      </c>
      <c r="AJ171" s="210">
        <f t="shared" ca="1" si="98"/>
        <v>3.4</v>
      </c>
      <c r="AK171" s="8">
        <f t="shared" ca="1" si="99"/>
        <v>1.0000944444444444</v>
      </c>
      <c r="AL171" s="98">
        <f t="shared" ca="1" si="100"/>
        <v>3.6099121274789647</v>
      </c>
      <c r="AM171" s="106">
        <f t="shared" ca="1" si="92"/>
        <v>26552.764143600674</v>
      </c>
      <c r="AN171" s="10">
        <f t="shared" ca="1" si="93"/>
        <v>0.62634295253682915</v>
      </c>
      <c r="AO171" s="311">
        <f t="shared" ca="1" si="94"/>
        <v>0.6165795994165626</v>
      </c>
      <c r="AP171" s="312">
        <f t="shared" ca="1" si="95"/>
        <v>0.29348085776009192</v>
      </c>
      <c r="AQ171" s="1"/>
      <c r="AR171" s="1"/>
      <c r="AS171" s="1"/>
      <c r="AT171" s="1"/>
      <c r="AU171" s="1"/>
      <c r="AW171" s="176">
        <v>46784</v>
      </c>
      <c r="AX171" s="177">
        <f ca="1">IF(fechaHoy&gt;=siguienteHabil(EDATE(AW171,1)+8,-1),VLOOKUP(EDATE(AW171,1)-1,Inflation_FWD!$L:$M,2,0)/100,IFERROR(VLOOKUP(AW171,Inflation_FWD!$H:$I,2,0),0.25%))</f>
        <v>2.5000000000000001E-3</v>
      </c>
      <c r="AY171" s="177">
        <f t="shared" si="91"/>
        <v>2.4750000000000002E-3</v>
      </c>
      <c r="AZ171" s="100">
        <f t="shared" si="88"/>
        <v>46792</v>
      </c>
      <c r="BA171" s="102">
        <f t="shared" ca="1" si="89"/>
        <v>36699.267080105026</v>
      </c>
      <c r="BC171" s="23"/>
      <c r="BD171" s="23"/>
      <c r="CC171" s="299"/>
      <c r="CL171" s="284"/>
    </row>
    <row r="172" spans="34:90">
      <c r="AH172" s="6">
        <f t="shared" si="96"/>
        <v>142</v>
      </c>
      <c r="AI172" s="7">
        <f t="shared" ca="1" si="97"/>
        <v>42812</v>
      </c>
      <c r="AJ172" s="210">
        <f t="shared" ca="1" si="98"/>
        <v>3.4</v>
      </c>
      <c r="AK172" s="8">
        <f t="shared" ca="1" si="99"/>
        <v>1.0000944444444444</v>
      </c>
      <c r="AL172" s="98">
        <f t="shared" ca="1" si="100"/>
        <v>3.6091881581573615</v>
      </c>
      <c r="AM172" s="106">
        <f t="shared" ca="1" si="92"/>
        <v>26554.031430651859</v>
      </c>
      <c r="AN172" s="10">
        <f t="shared" ca="1" si="93"/>
        <v>0.63400127313220089</v>
      </c>
      <c r="AO172" s="311">
        <f t="shared" ca="1" si="94"/>
        <v>0.62410935291457814</v>
      </c>
      <c r="AP172" s="312">
        <f t="shared" ca="1" si="95"/>
        <v>0.2934369187624063</v>
      </c>
      <c r="AQ172" s="1"/>
      <c r="AR172" s="1"/>
      <c r="AS172" s="1"/>
      <c r="AT172" s="1"/>
      <c r="AU172" s="1"/>
      <c r="AW172" s="176">
        <v>46813</v>
      </c>
      <c r="AX172" s="177">
        <f ca="1">IF(fechaHoy&gt;=siguienteHabil(EDATE(AW172,1)+8,-1),VLOOKUP(EDATE(AW172,1)-1,Inflation_FWD!$L:$M,2,0)/100,IFERROR(VLOOKUP(AW172,Inflation_FWD!$H:$I,2,0),0.25%))</f>
        <v>2.5000000000000001E-3</v>
      </c>
      <c r="AY172" s="177">
        <f t="shared" si="91"/>
        <v>2.4750000000000002E-3</v>
      </c>
      <c r="AZ172" s="100">
        <f t="shared" si="88"/>
        <v>46821</v>
      </c>
      <c r="BA172" s="102">
        <f t="shared" ca="1" si="89"/>
        <v>36790.097766128289</v>
      </c>
      <c r="BC172" s="23"/>
      <c r="BD172" s="23"/>
      <c r="CC172" s="299"/>
      <c r="CL172" s="284"/>
    </row>
    <row r="173" spans="34:90">
      <c r="AH173" s="6">
        <f t="shared" si="96"/>
        <v>143</v>
      </c>
      <c r="AI173" s="7">
        <f t="shared" ca="1" si="97"/>
        <v>42813</v>
      </c>
      <c r="AJ173" s="210">
        <f t="shared" ca="1" si="98"/>
        <v>3.4</v>
      </c>
      <c r="AK173" s="8">
        <f t="shared" ca="1" si="99"/>
        <v>1.0000944444444444</v>
      </c>
      <c r="AL173" s="98">
        <f t="shared" ca="1" si="100"/>
        <v>3.6084743192339452</v>
      </c>
      <c r="AM173" s="106">
        <f t="shared" ca="1" si="92"/>
        <v>26555.298778187011</v>
      </c>
      <c r="AN173" s="10">
        <f t="shared" ca="1" si="93"/>
        <v>0.64155305502595628</v>
      </c>
      <c r="AO173" s="311">
        <f t="shared" ca="1" si="94"/>
        <v>0.63153434589175783</v>
      </c>
      <c r="AP173" s="312">
        <f t="shared" ca="1" si="95"/>
        <v>0.29339378400501165</v>
      </c>
      <c r="AQ173" s="1"/>
      <c r="AR173" s="1"/>
      <c r="AS173" s="1"/>
      <c r="AT173" s="1"/>
      <c r="AU173" s="1"/>
      <c r="AW173" s="176">
        <v>46844</v>
      </c>
      <c r="AX173" s="177">
        <f ca="1">IF(fechaHoy&gt;=siguienteHabil(EDATE(AW173,1)+8,-1),VLOOKUP(EDATE(AW173,1)-1,Inflation_FWD!$L:$M,2,0)/100,IFERROR(VLOOKUP(AW173,Inflation_FWD!$H:$I,2,0),0.25%))</f>
        <v>2.5000000000000001E-3</v>
      </c>
      <c r="AY173" s="177">
        <f t="shared" si="91"/>
        <v>2.4750000000000002E-3</v>
      </c>
      <c r="AZ173" s="100">
        <f t="shared" si="88"/>
        <v>46852</v>
      </c>
      <c r="BA173" s="102">
        <f t="shared" ca="1" si="89"/>
        <v>36881.153258099454</v>
      </c>
      <c r="BC173" s="23"/>
      <c r="BD173" s="23"/>
      <c r="CC173" s="299"/>
      <c r="CL173" s="284"/>
    </row>
    <row r="174" spans="34:90">
      <c r="AH174" s="6">
        <f t="shared" si="96"/>
        <v>144</v>
      </c>
      <c r="AI174" s="7">
        <f t="shared" ca="1" si="97"/>
        <v>42814</v>
      </c>
      <c r="AJ174" s="210">
        <f t="shared" ca="1" si="98"/>
        <v>3.4</v>
      </c>
      <c r="AK174" s="8">
        <f t="shared" ca="1" si="99"/>
        <v>1.0000944444444444</v>
      </c>
      <c r="AL174" s="98">
        <f t="shared" ca="1" si="100"/>
        <v>3.6077703995561317</v>
      </c>
      <c r="AM174" s="106">
        <f t="shared" ca="1" si="92"/>
        <v>26556.566186209013</v>
      </c>
      <c r="AN174" s="10">
        <f t="shared" ca="1" si="93"/>
        <v>0.64900050600946724</v>
      </c>
      <c r="AO174" s="311">
        <f t="shared" ca="1" si="94"/>
        <v>0.63885676088448751</v>
      </c>
      <c r="AP174" s="312">
        <f t="shared" ca="1" si="95"/>
        <v>0.29335143675068842</v>
      </c>
      <c r="AQ174" s="1"/>
      <c r="AR174" s="1"/>
      <c r="AS174" s="1"/>
      <c r="AT174" s="1"/>
      <c r="AU174" s="1"/>
      <c r="AW174" s="176">
        <v>46874</v>
      </c>
      <c r="AX174" s="177">
        <f ca="1">IF(fechaHoy&gt;=siguienteHabil(EDATE(AW174,1)+8,-1),VLOOKUP(EDATE(AW174,1)-1,Inflation_FWD!$L:$M,2,0)/100,IFERROR(VLOOKUP(AW174,Inflation_FWD!$H:$I,2,0),0.25%))</f>
        <v>2.5000000000000001E-3</v>
      </c>
      <c r="AY174" s="177">
        <f t="shared" si="91"/>
        <v>2.4750000000000002E-3</v>
      </c>
      <c r="AZ174" s="100">
        <f t="shared" si="88"/>
        <v>46882</v>
      </c>
      <c r="BA174" s="102">
        <f t="shared" ca="1" si="89"/>
        <v>36972.434112413248</v>
      </c>
      <c r="BC174" s="23"/>
      <c r="BD174" s="23"/>
      <c r="CC174" s="299"/>
      <c r="CL174" s="284"/>
    </row>
    <row r="175" spans="34:90">
      <c r="AH175" s="6">
        <f t="shared" si="96"/>
        <v>145</v>
      </c>
      <c r="AI175" s="7">
        <f t="shared" ca="1" si="97"/>
        <v>42815</v>
      </c>
      <c r="AJ175" s="210">
        <f t="shared" ca="1" si="98"/>
        <v>3.4</v>
      </c>
      <c r="AK175" s="8">
        <f t="shared" ca="1" si="99"/>
        <v>1.0000944444444444</v>
      </c>
      <c r="AL175" s="98">
        <f t="shared" ca="1" si="100"/>
        <v>3.6070761937992524</v>
      </c>
      <c r="AM175" s="106">
        <f t="shared" ca="1" si="92"/>
        <v>26557.833654720758</v>
      </c>
      <c r="AN175" s="10">
        <f t="shared" ca="1" si="93"/>
        <v>0.65634577329074517</v>
      </c>
      <c r="AO175" s="311">
        <f t="shared" ca="1" si="94"/>
        <v>0.64607872022130797</v>
      </c>
      <c r="AP175" s="312">
        <f t="shared" ca="1" si="95"/>
        <v>0.29330986072394749</v>
      </c>
      <c r="AQ175" s="1"/>
      <c r="AR175" s="1"/>
      <c r="AS175" s="1"/>
      <c r="AT175" s="1"/>
      <c r="AU175" s="1"/>
      <c r="AW175" s="176">
        <v>46905</v>
      </c>
      <c r="AX175" s="177">
        <f ca="1">IF(fechaHoy&gt;=siguienteHabil(EDATE(AW175,1)+8,-1),VLOOKUP(EDATE(AW175,1)-1,Inflation_FWD!$L:$M,2,0)/100,IFERROR(VLOOKUP(AW175,Inflation_FWD!$H:$I,2,0),0.25%))</f>
        <v>2.5000000000000001E-3</v>
      </c>
      <c r="AY175" s="177">
        <f t="shared" si="91"/>
        <v>2.4750000000000002E-3</v>
      </c>
      <c r="AZ175" s="100">
        <f t="shared" si="88"/>
        <v>46913</v>
      </c>
      <c r="BA175" s="102">
        <f t="shared" ca="1" si="89"/>
        <v>37063.940886841468</v>
      </c>
      <c r="BC175" s="23"/>
      <c r="BD175" s="23"/>
      <c r="CC175" s="299"/>
      <c r="CL175" s="284"/>
    </row>
    <row r="176" spans="34:90">
      <c r="AH176" s="6">
        <f t="shared" si="96"/>
        <v>146</v>
      </c>
      <c r="AI176" s="7">
        <f t="shared" ca="1" si="97"/>
        <v>42816</v>
      </c>
      <c r="AJ176" s="210">
        <f t="shared" ca="1" si="98"/>
        <v>3.4</v>
      </c>
      <c r="AK176" s="8">
        <f t="shared" ca="1" si="99"/>
        <v>1.0000944444444444</v>
      </c>
      <c r="AL176" s="98">
        <f t="shared" ca="1" si="100"/>
        <v>3.6063915022665372</v>
      </c>
      <c r="AM176" s="106">
        <f t="shared" ca="1" si="92"/>
        <v>26559.101183725124</v>
      </c>
      <c r="AN176" s="10">
        <f t="shared" ca="1" si="93"/>
        <v>0.6635909455582123</v>
      </c>
      <c r="AO176" s="311">
        <f t="shared" ca="1" si="94"/>
        <v>0.65320228808471781</v>
      </c>
      <c r="AP176" s="312">
        <f t="shared" ca="1" si="95"/>
        <v>0.29326904009519439</v>
      </c>
      <c r="AQ176" s="1"/>
      <c r="AR176" s="1"/>
      <c r="AS176" s="1"/>
      <c r="AT176" s="1"/>
      <c r="AU176" s="1"/>
      <c r="AW176" s="176">
        <v>46935</v>
      </c>
      <c r="AX176" s="177">
        <f ca="1">IF(fechaHoy&gt;=siguienteHabil(EDATE(AW176,1)+8,-1),VLOOKUP(EDATE(AW176,1)-1,Inflation_FWD!$L:$M,2,0)/100,IFERROR(VLOOKUP(AW176,Inflation_FWD!$H:$I,2,0),0.25%))</f>
        <v>2.5000000000000001E-3</v>
      </c>
      <c r="AY176" s="177">
        <f t="shared" si="91"/>
        <v>2.4750000000000002E-3</v>
      </c>
      <c r="AZ176" s="100">
        <f t="shared" si="88"/>
        <v>46943</v>
      </c>
      <c r="BA176" s="102">
        <f t="shared" ca="1" si="89"/>
        <v>37155.674140536401</v>
      </c>
      <c r="BC176" s="23"/>
      <c r="BD176" s="23"/>
      <c r="CC176" s="299"/>
      <c r="CL176" s="284"/>
    </row>
    <row r="177" spans="34:90">
      <c r="AH177" s="6">
        <f t="shared" si="96"/>
        <v>147</v>
      </c>
      <c r="AI177" s="7">
        <f t="shared" ca="1" si="97"/>
        <v>42817</v>
      </c>
      <c r="AJ177" s="210">
        <f t="shared" ca="1" si="98"/>
        <v>3.4</v>
      </c>
      <c r="AK177" s="8">
        <f t="shared" ca="1" si="99"/>
        <v>1.0000944444444444</v>
      </c>
      <c r="AL177" s="98">
        <f t="shared" ca="1" si="100"/>
        <v>3.6057161306977337</v>
      </c>
      <c r="AM177" s="106">
        <f t="shared" ca="1" si="92"/>
        <v>26560.368773225</v>
      </c>
      <c r="AN177" s="10">
        <f t="shared" ca="1" si="93"/>
        <v>0.67073805496089545</v>
      </c>
      <c r="AO177" s="311">
        <f t="shared" ca="1" si="94"/>
        <v>0.66022947248898411</v>
      </c>
      <c r="AP177" s="312">
        <f t="shared" ca="1" si="95"/>
        <v>0.29322895946557642</v>
      </c>
      <c r="AQ177" s="1"/>
      <c r="AR177" s="1"/>
      <c r="AS177" s="1"/>
      <c r="AT177" s="1"/>
      <c r="AU177" s="1"/>
      <c r="AW177" s="176">
        <v>46966</v>
      </c>
      <c r="AX177" s="177">
        <f ca="1">IF(fechaHoy&gt;=siguienteHabil(EDATE(AW177,1)+8,-1),VLOOKUP(EDATE(AW177,1)-1,Inflation_FWD!$L:$M,2,0)/100,IFERROR(VLOOKUP(AW177,Inflation_FWD!$H:$I,2,0),0.25%))</f>
        <v>2.5000000000000001E-3</v>
      </c>
      <c r="AY177" s="177">
        <f t="shared" si="91"/>
        <v>2.4750000000000002E-3</v>
      </c>
      <c r="AZ177" s="100">
        <f t="shared" si="88"/>
        <v>46974</v>
      </c>
      <c r="BA177" s="102">
        <f t="shared" ca="1" si="89"/>
        <v>37247.634434034226</v>
      </c>
      <c r="BC177" s="23"/>
      <c r="BD177" s="23"/>
      <c r="CC177" s="299"/>
      <c r="CL177" s="284"/>
    </row>
    <row r="178" spans="34:90">
      <c r="AH178" s="6">
        <f t="shared" si="96"/>
        <v>148</v>
      </c>
      <c r="AI178" s="7">
        <f t="shared" ca="1" si="97"/>
        <v>42818</v>
      </c>
      <c r="AJ178" s="210">
        <f t="shared" ca="1" si="98"/>
        <v>3.4</v>
      </c>
      <c r="AK178" s="8">
        <f t="shared" ca="1" si="99"/>
        <v>1.0000944444444444</v>
      </c>
      <c r="AL178" s="98">
        <f t="shared" ca="1" si="100"/>
        <v>3.6050498900854544</v>
      </c>
      <c r="AM178" s="106">
        <f t="shared" ca="1" si="92"/>
        <v>26561.636423223285</v>
      </c>
      <c r="AN178" s="10">
        <f t="shared" ca="1" si="93"/>
        <v>0.67778907900850616</v>
      </c>
      <c r="AO178" s="311">
        <f t="shared" ca="1" si="94"/>
        <v>0.66716222717766449</v>
      </c>
      <c r="AP178" s="312">
        <f t="shared" ca="1" si="95"/>
        <v>0.29318960385243503</v>
      </c>
      <c r="AQ178" s="1"/>
      <c r="AR178" s="1"/>
      <c r="AS178" s="1"/>
      <c r="AT178" s="1"/>
      <c r="AU178" s="1"/>
      <c r="AW178" s="176">
        <v>46997</v>
      </c>
      <c r="AX178" s="177">
        <f ca="1">IF(fechaHoy&gt;=siguienteHabil(EDATE(AW178,1)+8,-1),VLOOKUP(EDATE(AW178,1)-1,Inflation_FWD!$L:$M,2,0)/100,IFERROR(VLOOKUP(AW178,Inflation_FWD!$H:$I,2,0),0.25%))</f>
        <v>2.5000000000000001E-3</v>
      </c>
      <c r="AY178" s="177">
        <f t="shared" si="91"/>
        <v>2.4750000000000002E-3</v>
      </c>
      <c r="AZ178" s="100">
        <f t="shared" si="88"/>
        <v>47005</v>
      </c>
      <c r="BA178" s="102">
        <f t="shared" ca="1" si="89"/>
        <v>37339.822329258459</v>
      </c>
      <c r="BC178" s="23"/>
      <c r="BD178" s="23"/>
      <c r="CC178" s="299"/>
      <c r="CL178" s="284"/>
    </row>
    <row r="179" spans="34:90">
      <c r="AH179" s="6">
        <f t="shared" si="96"/>
        <v>149</v>
      </c>
      <c r="AI179" s="7">
        <f t="shared" ca="1" si="97"/>
        <v>42819</v>
      </c>
      <c r="AJ179" s="210">
        <f ca="1">IF(AH179&lt;365,VLOOKUP(LOOKUP(AI179,$AI$2:$AI$23),$AI$2:$AK$23,3,0),Lin_Interp(AH179,$AJ$2:$AJ$23,$AK$2:$AK$23))</f>
        <v>3.4</v>
      </c>
      <c r="AK179" s="8">
        <f t="shared" ca="1" si="99"/>
        <v>1.0000944444444444</v>
      </c>
      <c r="AL179" s="98">
        <f t="shared" ca="1" si="100"/>
        <v>3.6043925964985846</v>
      </c>
      <c r="AM179" s="106">
        <f t="shared" ca="1" si="92"/>
        <v>26562.904133722855</v>
      </c>
      <c r="AN179" s="10">
        <f t="shared" ca="1" si="93"/>
        <v>0.68474594239593678</v>
      </c>
      <c r="AO179" s="311">
        <f t="shared" ca="1" si="94"/>
        <v>0.6740024534450394</v>
      </c>
      <c r="AP179" s="312">
        <f t="shared" ca="1" si="95"/>
        <v>0.29315095867532182</v>
      </c>
      <c r="AQ179" s="1"/>
      <c r="AR179" s="1"/>
      <c r="AS179" s="1"/>
      <c r="AT179" s="1"/>
      <c r="AU179" s="1"/>
      <c r="AW179" s="176">
        <v>47027</v>
      </c>
      <c r="AX179" s="177">
        <f ca="1">IF(fechaHoy&gt;=siguienteHabil(EDATE(AW179,1)+8,-1),VLOOKUP(EDATE(AW179,1)-1,Inflation_FWD!$L:$M,2,0)/100,IFERROR(VLOOKUP(AW179,Inflation_FWD!$H:$I,2,0),0.25%))</f>
        <v>2.5000000000000001E-3</v>
      </c>
      <c r="AY179" s="177">
        <f t="shared" si="91"/>
        <v>2.4750000000000002E-3</v>
      </c>
      <c r="AZ179" s="100">
        <f t="shared" si="88"/>
        <v>47035</v>
      </c>
      <c r="BA179" s="102">
        <f t="shared" ca="1" si="89"/>
        <v>37432.238389523372</v>
      </c>
      <c r="BC179" s="23"/>
      <c r="BD179" s="23"/>
      <c r="CC179" s="299"/>
      <c r="CL179" s="284"/>
    </row>
    <row r="180" spans="34:90">
      <c r="AH180" s="6">
        <f t="shared" si="96"/>
        <v>150</v>
      </c>
      <c r="AI180" s="7">
        <f t="shared" ca="1" si="97"/>
        <v>42820</v>
      </c>
      <c r="AJ180" s="210">
        <f t="shared" ca="1" si="98"/>
        <v>3.4</v>
      </c>
      <c r="AK180" s="8">
        <f t="shared" ca="1" si="99"/>
        <v>1.0000944444444444</v>
      </c>
      <c r="AL180" s="98">
        <f t="shared" ca="1" si="100"/>
        <v>3.6037440709131952</v>
      </c>
      <c r="AM180" s="106">
        <f t="shared" ca="1" si="92"/>
        <v>26564.171904726601</v>
      </c>
      <c r="AN180" s="10">
        <f t="shared" ca="1" si="93"/>
        <v>0.69161051875419322</v>
      </c>
      <c r="AO180" s="311">
        <f t="shared" ca="1" si="94"/>
        <v>0.68075200188394192</v>
      </c>
      <c r="AP180" s="312">
        <f t="shared" ca="1" si="95"/>
        <v>0.29311300974260934</v>
      </c>
      <c r="AQ180" s="1"/>
      <c r="AR180" s="1"/>
      <c r="AS180" s="1"/>
      <c r="AT180" s="1"/>
      <c r="AU180" s="1"/>
      <c r="AW180" s="176">
        <v>47058</v>
      </c>
      <c r="AX180" s="177">
        <f ca="1">IF(fechaHoy&gt;=siguienteHabil(EDATE(AW180,1)+8,-1),VLOOKUP(EDATE(AW180,1)-1,Inflation_FWD!$L:$M,2,0)/100,IFERROR(VLOOKUP(AW180,Inflation_FWD!$H:$I,2,0),0.25%))</f>
        <v>2.5000000000000001E-3</v>
      </c>
      <c r="AY180" s="177">
        <f t="shared" si="91"/>
        <v>2.4750000000000002E-3</v>
      </c>
      <c r="AZ180" s="100">
        <f t="shared" si="88"/>
        <v>47066</v>
      </c>
      <c r="BA180" s="102">
        <f t="shared" ca="1" si="89"/>
        <v>37524.883179537443</v>
      </c>
      <c r="BC180" s="23"/>
      <c r="BD180" s="23"/>
      <c r="CC180" s="299"/>
      <c r="CL180" s="284"/>
    </row>
    <row r="181" spans="34:90">
      <c r="AH181" s="6">
        <f t="shared" si="96"/>
        <v>151</v>
      </c>
      <c r="AI181" s="7">
        <f t="shared" ca="1" si="97"/>
        <v>42821</v>
      </c>
      <c r="AJ181" s="210">
        <f t="shared" ca="1" si="98"/>
        <v>3.4</v>
      </c>
      <c r="AK181" s="8">
        <f t="shared" ca="1" si="99"/>
        <v>1.0000944444444444</v>
      </c>
      <c r="AL181" s="98">
        <f t="shared" ca="1" si="100"/>
        <v>3.6031041390498508</v>
      </c>
      <c r="AM181" s="106">
        <f t="shared" ca="1" si="92"/>
        <v>26565.439736237407</v>
      </c>
      <c r="AN181" s="10">
        <f t="shared" ca="1" si="93"/>
        <v>0.69838463233315995</v>
      </c>
      <c r="AO181" s="311">
        <f t="shared" ca="1" si="94"/>
        <v>0.68741267406509055</v>
      </c>
      <c r="AP181" s="312">
        <f t="shared" ca="1" si="95"/>
        <v>0.29307574323860264</v>
      </c>
      <c r="AQ181" s="1"/>
      <c r="AR181" s="1"/>
      <c r="AS181" s="1"/>
      <c r="AT181" s="1"/>
      <c r="AU181" s="1"/>
      <c r="AW181" s="176">
        <v>47088</v>
      </c>
      <c r="AX181" s="177">
        <f ca="1">IF(fechaHoy&gt;=siguienteHabil(EDATE(AW181,1)+8,-1),VLOOKUP(EDATE(AW181,1)-1,Inflation_FWD!$L:$M,2,0)/100,IFERROR(VLOOKUP(AW181,Inflation_FWD!$H:$I,2,0),0.25%))</f>
        <v>2.5000000000000001E-3</v>
      </c>
      <c r="AY181" s="177">
        <f t="shared" si="91"/>
        <v>2.4750000000000002E-3</v>
      </c>
      <c r="AZ181" s="100">
        <f t="shared" si="88"/>
        <v>47096</v>
      </c>
      <c r="BA181" s="102">
        <f t="shared" ca="1" si="89"/>
        <v>37617.757265406799</v>
      </c>
      <c r="BC181" s="23"/>
      <c r="BD181" s="23"/>
      <c r="CC181" s="299"/>
      <c r="CL181" s="284"/>
    </row>
    <row r="182" spans="34:90">
      <c r="AH182" s="6">
        <f t="shared" si="96"/>
        <v>152</v>
      </c>
      <c r="AI182" s="7">
        <f t="shared" ca="1" si="97"/>
        <v>42822</v>
      </c>
      <c r="AJ182" s="210">
        <f t="shared" ca="1" si="98"/>
        <v>3.4</v>
      </c>
      <c r="AK182" s="8">
        <f t="shared" ca="1" si="99"/>
        <v>1.0000944444444444</v>
      </c>
      <c r="AL182" s="98">
        <f t="shared" ca="1" si="100"/>
        <v>3.6024726312176458</v>
      </c>
      <c r="AM182" s="106">
        <f t="shared" ca="1" si="92"/>
        <v>26566.707628258166</v>
      </c>
      <c r="AN182" s="10">
        <f t="shared" ca="1" si="93"/>
        <v>0.70507005961752967</v>
      </c>
      <c r="AO182" s="311">
        <f t="shared" ca="1" si="94"/>
        <v>0.69398622414934263</v>
      </c>
      <c r="AP182" s="312">
        <f t="shared" ca="1" si="95"/>
        <v>0.29303914571118661</v>
      </c>
      <c r="AQ182" s="1"/>
      <c r="AR182" s="1"/>
      <c r="AS182" s="1"/>
      <c r="AT182" s="1"/>
      <c r="AU182" s="1"/>
      <c r="AW182" s="176">
        <v>47119</v>
      </c>
      <c r="AX182" s="177">
        <f ca="1">IF(fechaHoy&gt;=siguienteHabil(EDATE(AW182,1)+8,-1),VLOOKUP(EDATE(AW182,1)-1,Inflation_FWD!$L:$M,2,0)/100,IFERROR(VLOOKUP(AW182,Inflation_FWD!$H:$I,2,0),0.25%))</f>
        <v>2.5000000000000001E-3</v>
      </c>
      <c r="AY182" s="177">
        <f t="shared" si="91"/>
        <v>2.4750000000000002E-3</v>
      </c>
      <c r="AZ182" s="100">
        <f t="shared" si="88"/>
        <v>47127</v>
      </c>
      <c r="BA182" s="102">
        <f t="shared" ca="1" si="89"/>
        <v>37710.86121463868</v>
      </c>
      <c r="BC182" s="23"/>
      <c r="BD182" s="23"/>
      <c r="CC182" s="299"/>
      <c r="CL182" s="284"/>
    </row>
    <row r="183" spans="34:90">
      <c r="AH183" s="6">
        <f t="shared" si="96"/>
        <v>153</v>
      </c>
      <c r="AI183" s="7">
        <f t="shared" ca="1" si="97"/>
        <v>42823</v>
      </c>
      <c r="AJ183" s="210">
        <f t="shared" ca="1" si="98"/>
        <v>3.4</v>
      </c>
      <c r="AK183" s="8">
        <f t="shared" ca="1" si="99"/>
        <v>1.0000944444444444</v>
      </c>
      <c r="AL183" s="98">
        <f t="shared" ca="1" si="100"/>
        <v>3.6018493821639463</v>
      </c>
      <c r="AM183" s="106">
        <f t="shared" ca="1" si="92"/>
        <v>26567.975580791765</v>
      </c>
      <c r="AN183" s="10">
        <f t="shared" ca="1" si="93"/>
        <v>0.71166853087998305</v>
      </c>
      <c r="AO183" s="311">
        <f t="shared" ca="1" si="94"/>
        <v>0.70047436043708855</v>
      </c>
      <c r="AP183" s="312">
        <f t="shared" ca="1" si="95"/>
        <v>0.29300320405993102</v>
      </c>
      <c r="AQ183" s="1"/>
      <c r="AR183" s="1"/>
      <c r="AS183" s="1"/>
      <c r="AT183" s="1"/>
      <c r="AU183" s="1"/>
      <c r="AW183" s="176">
        <v>47150</v>
      </c>
      <c r="AX183" s="177">
        <f ca="1">IF(fechaHoy&gt;=siguienteHabil(EDATE(AW183,1)+8,-1),VLOOKUP(EDATE(AW183,1)-1,Inflation_FWD!$L:$M,2,0)/100,IFERROR(VLOOKUP(AW183,Inflation_FWD!$H:$I,2,0),0.25%))</f>
        <v>2.5000000000000001E-3</v>
      </c>
      <c r="AY183" s="177">
        <f t="shared" si="91"/>
        <v>2.4750000000000002E-3</v>
      </c>
      <c r="AZ183" s="100">
        <f t="shared" si="88"/>
        <v>47158</v>
      </c>
      <c r="BA183" s="102">
        <f t="shared" ca="1" si="89"/>
        <v>37804.195596144913</v>
      </c>
      <c r="BC183" s="23"/>
      <c r="BD183" s="23"/>
      <c r="CC183" s="299"/>
      <c r="CL183" s="284"/>
    </row>
    <row r="184" spans="34:90">
      <c r="AH184" s="6">
        <f t="shared" si="96"/>
        <v>154</v>
      </c>
      <c r="AI184" s="7">
        <f t="shared" ca="1" si="97"/>
        <v>42824</v>
      </c>
      <c r="AJ184" s="210">
        <f t="shared" ca="1" si="98"/>
        <v>3.4</v>
      </c>
      <c r="AK184" s="8">
        <f t="shared" ca="1" si="99"/>
        <v>1.0000944444444444</v>
      </c>
      <c r="AL184" s="98">
        <f t="shared" ca="1" si="100"/>
        <v>3.601234230930439</v>
      </c>
      <c r="AM184" s="106">
        <f t="shared" ca="1" si="92"/>
        <v>26569.243593841089</v>
      </c>
      <c r="AN184" s="10">
        <f t="shared" ca="1" si="93"/>
        <v>0.71818173167430555</v>
      </c>
      <c r="AO184" s="311">
        <f t="shared" ca="1" si="94"/>
        <v>0.70687874685748808</v>
      </c>
      <c r="AP184" s="312">
        <f t="shared" ca="1" si="95"/>
        <v>0.29296790552468521</v>
      </c>
      <c r="AQ184" s="1"/>
      <c r="AR184" s="1"/>
      <c r="AS184" s="1"/>
      <c r="AT184" s="1"/>
      <c r="AU184" s="1"/>
      <c r="AW184" s="176">
        <v>47178</v>
      </c>
      <c r="AX184" s="177">
        <f ca="1">IF(fechaHoy&gt;=siguienteHabil(EDATE(AW184,1)+8,-1),VLOOKUP(EDATE(AW184,1)-1,Inflation_FWD!$L:$M,2,0)/100,IFERROR(VLOOKUP(AW184,Inflation_FWD!$H:$I,2,0),0.25%))</f>
        <v>2.5000000000000001E-3</v>
      </c>
      <c r="AY184" s="177">
        <f t="shared" si="91"/>
        <v>2.4750000000000002E-3</v>
      </c>
      <c r="AZ184" s="100">
        <f t="shared" si="88"/>
        <v>47186</v>
      </c>
      <c r="BA184" s="102">
        <f t="shared" ca="1" si="89"/>
        <v>37897.760980245374</v>
      </c>
      <c r="BC184" s="23"/>
      <c r="BD184" s="23"/>
      <c r="CC184" s="299"/>
      <c r="CL184" s="284"/>
    </row>
    <row r="185" spans="34:90">
      <c r="AH185" s="6">
        <f t="shared" si="96"/>
        <v>155</v>
      </c>
      <c r="AI185" s="7">
        <f t="shared" ca="1" si="97"/>
        <v>42825</v>
      </c>
      <c r="AJ185" s="210">
        <f t="shared" ca="1" si="98"/>
        <v>3.4</v>
      </c>
      <c r="AK185" s="8">
        <f t="shared" ca="1" si="99"/>
        <v>1.0000944444444444</v>
      </c>
      <c r="AL185" s="98">
        <f t="shared" ca="1" si="100"/>
        <v>3.6006270207143531</v>
      </c>
      <c r="AM185" s="106">
        <f t="shared" ca="1" si="92"/>
        <v>26570.511667409031</v>
      </c>
      <c r="AN185" s="10">
        <f t="shared" ca="1" si="93"/>
        <v>0.72461130427048381</v>
      </c>
      <c r="AO185" s="311">
        <f t="shared" ca="1" si="94"/>
        <v>0.7132010043993352</v>
      </c>
      <c r="AP185" s="312">
        <f t="shared" ca="1" si="95"/>
        <v>0.29293323767458418</v>
      </c>
      <c r="AQ185" s="1"/>
      <c r="AR185" s="1"/>
      <c r="AS185" s="1"/>
      <c r="AT185" s="1"/>
      <c r="AU185" s="1"/>
      <c r="AW185" s="176">
        <v>47209</v>
      </c>
      <c r="AX185" s="177">
        <f ca="1">IF(fechaHoy&gt;=siguienteHabil(EDATE(AW185,1)+8,-1),VLOOKUP(EDATE(AW185,1)-1,Inflation_FWD!$L:$M,2,0)/100,IFERROR(VLOOKUP(AW185,Inflation_FWD!$H:$I,2,0),0.25%))</f>
        <v>2.5000000000000001E-3</v>
      </c>
      <c r="AY185" s="177">
        <f t="shared" si="91"/>
        <v>2.4750000000000002E-3</v>
      </c>
      <c r="AZ185" s="100">
        <f t="shared" si="88"/>
        <v>47217</v>
      </c>
      <c r="BA185" s="102">
        <f t="shared" ca="1" si="89"/>
        <v>37991.557938671482</v>
      </c>
      <c r="BC185" s="23"/>
      <c r="BD185" s="23"/>
      <c r="CC185" s="299"/>
      <c r="CL185" s="284"/>
    </row>
    <row r="186" spans="34:90">
      <c r="AH186" s="6">
        <f t="shared" si="96"/>
        <v>156</v>
      </c>
      <c r="AI186" s="7">
        <f t="shared" ca="1" si="97"/>
        <v>42826</v>
      </c>
      <c r="AJ186" s="210">
        <f t="shared" ca="1" si="98"/>
        <v>3.4</v>
      </c>
      <c r="AK186" s="8">
        <f t="shared" ca="1" si="99"/>
        <v>1.0000944444444444</v>
      </c>
      <c r="AL186" s="98">
        <f t="shared" ca="1" si="100"/>
        <v>3.6000275987353447</v>
      </c>
      <c r="AM186" s="106">
        <f t="shared" ca="1" si="92"/>
        <v>26571.779801498473</v>
      </c>
      <c r="AN186" s="10">
        <f t="shared" ca="1" si="93"/>
        <v>0.73095884903551234</v>
      </c>
      <c r="AO186" s="311">
        <f t="shared" ca="1" si="94"/>
        <v>0.7194427124878654</v>
      </c>
      <c r="AP186" s="312">
        <f t="shared" ca="1" si="95"/>
        <v>0.29289918839751156</v>
      </c>
      <c r="AQ186" s="1"/>
      <c r="AR186" s="1"/>
      <c r="AS186" s="1"/>
      <c r="AT186" s="1"/>
      <c r="AU186" s="1"/>
      <c r="AW186" s="176">
        <v>47239</v>
      </c>
      <c r="AX186" s="177">
        <f ca="1">IF(fechaHoy&gt;=siguienteHabil(EDATE(AW186,1)+8,-1),VLOOKUP(EDATE(AW186,1)-1,Inflation_FWD!$L:$M,2,0)/100,IFERROR(VLOOKUP(AW186,Inflation_FWD!$H:$I,2,0),0.25%))</f>
        <v>2.5000000000000001E-3</v>
      </c>
      <c r="AY186" s="177">
        <f t="shared" si="91"/>
        <v>2.4750000000000002E-3</v>
      </c>
      <c r="AZ186" s="100">
        <f t="shared" si="88"/>
        <v>47247</v>
      </c>
      <c r="BA186" s="102">
        <f t="shared" ca="1" si="89"/>
        <v>38085.587044569693</v>
      </c>
      <c r="BC186" s="23"/>
      <c r="BD186" s="23"/>
      <c r="CC186" s="299"/>
      <c r="CL186" s="284"/>
    </row>
    <row r="187" spans="34:90">
      <c r="AH187" s="6">
        <f t="shared" si="96"/>
        <v>157</v>
      </c>
      <c r="AI187" s="7">
        <f t="shared" ca="1" si="97"/>
        <v>42827</v>
      </c>
      <c r="AJ187" s="210">
        <f t="shared" ca="1" si="98"/>
        <v>3.4</v>
      </c>
      <c r="AK187" s="8">
        <f t="shared" ca="1" si="99"/>
        <v>1.0000944444444444</v>
      </c>
      <c r="AL187" s="98">
        <f t="shared" ca="1" si="100"/>
        <v>3.5994358161073103</v>
      </c>
      <c r="AM187" s="106">
        <f t="shared" ca="1" si="92"/>
        <v>26573.047996112306</v>
      </c>
      <c r="AN187" s="10">
        <f t="shared" ca="1" si="93"/>
        <v>0.73722592576113133</v>
      </c>
      <c r="AO187" s="311">
        <f t="shared" ca="1" si="94"/>
        <v>0.72560541030797665</v>
      </c>
      <c r="AP187" s="312">
        <f t="shared" ca="1" si="95"/>
        <v>0.29286574588993997</v>
      </c>
      <c r="AQ187" s="1"/>
      <c r="AR187" s="1"/>
      <c r="AS187" s="1"/>
      <c r="AT187" s="1"/>
      <c r="AU187" s="1"/>
      <c r="AW187" s="176">
        <v>47270</v>
      </c>
      <c r="AX187" s="177">
        <f ca="1">IF(fechaHoy&gt;=siguienteHabil(EDATE(AW187,1)+8,-1),VLOOKUP(EDATE(AW187,1)-1,Inflation_FWD!$L:$M,2,0)/100,IFERROR(VLOOKUP(AW187,Inflation_FWD!$H:$I,2,0),0.25%))</f>
        <v>2.5000000000000001E-3</v>
      </c>
      <c r="AY187" s="177">
        <f t="shared" si="91"/>
        <v>2.4750000000000002E-3</v>
      </c>
      <c r="AZ187" s="100">
        <f t="shared" si="88"/>
        <v>47278</v>
      </c>
      <c r="BA187" s="102">
        <f t="shared" ca="1" si="89"/>
        <v>38179.848872505005</v>
      </c>
      <c r="BC187" s="23"/>
      <c r="BD187" s="23"/>
      <c r="CC187" s="299"/>
      <c r="CL187" s="284"/>
    </row>
    <row r="188" spans="34:90">
      <c r="AH188" s="6">
        <f t="shared" si="96"/>
        <v>158</v>
      </c>
      <c r="AI188" s="7">
        <f t="shared" ca="1" si="97"/>
        <v>42828</v>
      </c>
      <c r="AJ188" s="210">
        <f t="shared" ca="1" si="98"/>
        <v>3.4</v>
      </c>
      <c r="AK188" s="8">
        <f t="shared" ca="1" si="99"/>
        <v>1.0000944444444444</v>
      </c>
      <c r="AL188" s="98">
        <f t="shared" ca="1" si="100"/>
        <v>3.5988515277151079</v>
      </c>
      <c r="AM188" s="106">
        <f t="shared" ca="1" si="92"/>
        <v>26574.316251253425</v>
      </c>
      <c r="AN188" s="10">
        <f t="shared" ca="1" si="93"/>
        <v>0.74341405494173785</v>
      </c>
      <c r="AO188" s="311">
        <f t="shared" ca="1" si="94"/>
        <v>0.73169059807791137</v>
      </c>
      <c r="AP188" s="312">
        <f t="shared" ca="1" si="95"/>
        <v>0.2928328986471696</v>
      </c>
      <c r="AQ188" s="1"/>
      <c r="AR188" s="1"/>
      <c r="AS188" s="1"/>
      <c r="AT188" s="1"/>
      <c r="AU188" s="1"/>
      <c r="AW188" s="176">
        <v>47300</v>
      </c>
      <c r="AX188" s="177">
        <f ca="1">IF(fechaHoy&gt;=siguienteHabil(EDATE(AW188,1)+8,-1),VLOOKUP(EDATE(AW188,1)-1,Inflation_FWD!$L:$M,2,0)/100,IFERROR(VLOOKUP(AW188,Inflation_FWD!$H:$I,2,0),0.25%))</f>
        <v>2.5000000000000001E-3</v>
      </c>
      <c r="AY188" s="177">
        <f t="shared" si="91"/>
        <v>2.4750000000000002E-3</v>
      </c>
      <c r="AZ188" s="100">
        <f t="shared" si="88"/>
        <v>47308</v>
      </c>
      <c r="BA188" s="102">
        <f t="shared" ca="1" si="89"/>
        <v>38274.343998464457</v>
      </c>
      <c r="BC188" s="23"/>
      <c r="BD188" s="23"/>
      <c r="CC188" s="299"/>
      <c r="CL188" s="284"/>
    </row>
    <row r="189" spans="34:90">
      <c r="AH189" s="6">
        <f t="shared" si="96"/>
        <v>159</v>
      </c>
      <c r="AI189" s="7">
        <f t="shared" ca="1" si="97"/>
        <v>42829</v>
      </c>
      <c r="AJ189" s="210">
        <f t="shared" ca="1" si="98"/>
        <v>3.4</v>
      </c>
      <c r="AK189" s="8">
        <f t="shared" ca="1" si="99"/>
        <v>1.0000944444444444</v>
      </c>
      <c r="AL189" s="98">
        <f t="shared" ca="1" si="100"/>
        <v>3.5982745920958292</v>
      </c>
      <c r="AM189" s="106">
        <f t="shared" ca="1" si="92"/>
        <v>26575.58456692471</v>
      </c>
      <c r="AN189" s="10">
        <f t="shared" ca="1" si="93"/>
        <v>0.74952471900426865</v>
      </c>
      <c r="AO189" s="311">
        <f t="shared" ca="1" si="94"/>
        <v>0.7376997382746735</v>
      </c>
      <c r="AP189" s="312">
        <f t="shared" ca="1" si="95"/>
        <v>0.29280063545392304</v>
      </c>
      <c r="AQ189" s="1"/>
      <c r="AR189" s="1"/>
      <c r="AS189" s="1"/>
      <c r="AT189" s="1"/>
      <c r="AU189" s="1"/>
      <c r="AW189" s="176">
        <v>47331</v>
      </c>
      <c r="AX189" s="177">
        <f ca="1">IF(fechaHoy&gt;=siguienteHabil(EDATE(AW189,1)+8,-1),VLOOKUP(EDATE(AW189,1)-1,Inflation_FWD!$L:$M,2,0)/100,IFERROR(VLOOKUP(AW189,Inflation_FWD!$H:$I,2,0),0.25%))</f>
        <v>2.5000000000000001E-3</v>
      </c>
      <c r="AY189" s="177">
        <f t="shared" si="91"/>
        <v>2.4750000000000002E-3</v>
      </c>
      <c r="AZ189" s="100">
        <f t="shared" si="88"/>
        <v>47339</v>
      </c>
      <c r="BA189" s="102">
        <f t="shared" ca="1" si="89"/>
        <v>38369.072999860655</v>
      </c>
      <c r="BC189" s="23"/>
      <c r="BD189" s="23"/>
      <c r="CC189" s="299"/>
      <c r="CL189" s="284"/>
    </row>
    <row r="190" spans="34:90">
      <c r="AH190" s="6">
        <f t="shared" si="96"/>
        <v>160</v>
      </c>
      <c r="AI190" s="7">
        <f t="shared" ca="1" si="97"/>
        <v>42830</v>
      </c>
      <c r="AJ190" s="210">
        <f t="shared" ca="1" si="98"/>
        <v>3.4</v>
      </c>
      <c r="AK190" s="8">
        <f t="shared" ca="1" si="99"/>
        <v>1.0000944444444444</v>
      </c>
      <c r="AL190" s="98">
        <f t="shared" ca="1" si="100"/>
        <v>3.5977048713247139</v>
      </c>
      <c r="AM190" s="106">
        <f t="shared" ca="1" si="92"/>
        <v>26576.852943129059</v>
      </c>
      <c r="AN190" s="10">
        <f t="shared" ca="1" si="93"/>
        <v>0.75555936349191999</v>
      </c>
      <c r="AO190" s="311">
        <f t="shared" ca="1" si="94"/>
        <v>0.74363425681319151</v>
      </c>
      <c r="AP190" s="312">
        <f t="shared" ca="1" si="95"/>
        <v>0.29276894537530879</v>
      </c>
      <c r="AQ190" s="1"/>
      <c r="AR190" s="1"/>
      <c r="AS190" s="1"/>
      <c r="AT190" s="1"/>
      <c r="AU190" s="1"/>
      <c r="AW190" s="176">
        <v>47362</v>
      </c>
      <c r="AX190" s="177">
        <f ca="1">IF(fechaHoy&gt;=siguienteHabil(EDATE(AW190,1)+8,-1),VLOOKUP(EDATE(AW190,1)-1,Inflation_FWD!$L:$M,2,0)/100,IFERROR(VLOOKUP(AW190,Inflation_FWD!$H:$I,2,0),0.25%))</f>
        <v>2.5000000000000001E-3</v>
      </c>
      <c r="AY190" s="177">
        <f t="shared" si="91"/>
        <v>2.4750000000000002E-3</v>
      </c>
      <c r="AZ190" s="100">
        <f t="shared" si="88"/>
        <v>47370</v>
      </c>
      <c r="BA190" s="102">
        <f t="shared" ca="1" si="89"/>
        <v>38464.036455535308</v>
      </c>
      <c r="BC190" s="23"/>
      <c r="BD190" s="23"/>
      <c r="CC190" s="299"/>
      <c r="CL190" s="284"/>
    </row>
    <row r="191" spans="34:90">
      <c r="AH191" s="6">
        <f t="shared" si="96"/>
        <v>161</v>
      </c>
      <c r="AI191" s="7">
        <f t="shared" ca="1" si="97"/>
        <v>42831</v>
      </c>
      <c r="AJ191" s="210">
        <f t="shared" ca="1" si="98"/>
        <v>3.4</v>
      </c>
      <c r="AK191" s="8">
        <f t="shared" ca="1" si="99"/>
        <v>1.0000944444444444</v>
      </c>
      <c r="AL191" s="98">
        <f t="shared" ca="1" si="100"/>
        <v>3.5971422309052148</v>
      </c>
      <c r="AM191" s="106">
        <f t="shared" ca="1" si="92"/>
        <v>26578.12137986935</v>
      </c>
      <c r="AN191" s="10">
        <f t="shared" ca="1" si="93"/>
        <v>0.76151939820445769</v>
      </c>
      <c r="AO191" s="311">
        <f t="shared" ca="1" si="94"/>
        <v>0.74949554418208519</v>
      </c>
      <c r="AP191" s="312">
        <f t="shared" ca="1" si="95"/>
        <v>0.29273781774811403</v>
      </c>
      <c r="AQ191" s="1"/>
      <c r="AR191" s="1"/>
      <c r="AS191" s="1"/>
      <c r="AT191" s="1"/>
      <c r="AU191" s="1"/>
      <c r="AW191" s="176">
        <v>47392</v>
      </c>
      <c r="AX191" s="177">
        <f ca="1">IF(fechaHoy&gt;=siguienteHabil(EDATE(AW191,1)+8,-1),VLOOKUP(EDATE(AW191,1)-1,Inflation_FWD!$L:$M,2,0)/100,IFERROR(VLOOKUP(AW191,Inflation_FWD!$H:$I,2,0),0.25%))</f>
        <v>2.5000000000000001E-3</v>
      </c>
      <c r="AY191" s="177">
        <f t="shared" si="91"/>
        <v>2.4750000000000002E-3</v>
      </c>
      <c r="AZ191" s="100">
        <f t="shared" si="88"/>
        <v>47400</v>
      </c>
      <c r="BA191" s="102">
        <f t="shared" ca="1" si="89"/>
        <v>38559.234945762757</v>
      </c>
      <c r="BC191" s="23"/>
      <c r="BD191" s="23"/>
      <c r="CC191" s="299"/>
      <c r="CL191" s="284"/>
    </row>
    <row r="192" spans="34:90">
      <c r="AH192" s="6">
        <f t="shared" si="96"/>
        <v>162</v>
      </c>
      <c r="AI192" s="7">
        <f t="shared" ca="1" si="97"/>
        <v>42832</v>
      </c>
      <c r="AJ192" s="210">
        <f t="shared" ca="1" si="98"/>
        <v>3.4</v>
      </c>
      <c r="AK192" s="8">
        <f t="shared" ca="1" si="99"/>
        <v>1.0000944444444444</v>
      </c>
      <c r="AL192" s="98">
        <f t="shared" ca="1" si="100"/>
        <v>3.5965865396630603</v>
      </c>
      <c r="AM192" s="106">
        <f t="shared" ca="1" si="92"/>
        <v>26579.389877148478</v>
      </c>
      <c r="AN192" s="10">
        <f t="shared" ca="1" si="93"/>
        <v>0.76740619829589463</v>
      </c>
      <c r="AO192" s="311">
        <f t="shared" ca="1" si="94"/>
        <v>0.75528495653687244</v>
      </c>
      <c r="AP192" s="312">
        <f t="shared" ca="1" si="95"/>
        <v>0.29270724217241079</v>
      </c>
      <c r="AQ192" s="1"/>
      <c r="AR192" s="1"/>
      <c r="AS192" s="1"/>
      <c r="AT192" s="1"/>
      <c r="AU192" s="1"/>
      <c r="AW192" s="176">
        <v>47423</v>
      </c>
      <c r="AX192" s="177">
        <f ca="1">IF(fechaHoy&gt;=siguienteHabil(EDATE(AW192,1)+8,-1),VLOOKUP(EDATE(AW192,1)-1,Inflation_FWD!$L:$M,2,0)/100,IFERROR(VLOOKUP(AW192,Inflation_FWD!$H:$I,2,0),0.25%))</f>
        <v>2.5000000000000001E-3</v>
      </c>
      <c r="AY192" s="177">
        <f t="shared" si="91"/>
        <v>2.4750000000000002E-3</v>
      </c>
      <c r="AZ192" s="100">
        <f t="shared" si="88"/>
        <v>47431</v>
      </c>
      <c r="BA192" s="102">
        <f t="shared" ca="1" si="89"/>
        <v>38654.669052253521</v>
      </c>
      <c r="BC192" s="23"/>
      <c r="BD192" s="23"/>
      <c r="CC192" s="299"/>
      <c r="CL192" s="284"/>
    </row>
    <row r="193" spans="34:90">
      <c r="AH193" s="6">
        <f t="shared" si="96"/>
        <v>163</v>
      </c>
      <c r="AI193" s="7">
        <f t="shared" ca="1" si="97"/>
        <v>42833</v>
      </c>
      <c r="AJ193" s="210">
        <f t="shared" ca="1" si="98"/>
        <v>3.4</v>
      </c>
      <c r="AK193" s="8">
        <f t="shared" ca="1" si="99"/>
        <v>1.0000944444444444</v>
      </c>
      <c r="AL193" s="98">
        <f t="shared" ca="1" si="100"/>
        <v>3.5960376696444474</v>
      </c>
      <c r="AM193" s="106">
        <f t="shared" ca="1" si="92"/>
        <v>26580.658434969337</v>
      </c>
      <c r="AN193" s="10">
        <f t="shared" ca="1" si="93"/>
        <v>0.77322110533226684</v>
      </c>
      <c r="AO193" s="311">
        <f t="shared" ca="1" si="94"/>
        <v>0.7610038167530343</v>
      </c>
      <c r="AP193" s="312">
        <f t="shared" ca="1" si="95"/>
        <v>0.29267720850349249</v>
      </c>
      <c r="AQ193" s="1"/>
      <c r="AR193" s="1"/>
      <c r="AS193" s="1"/>
      <c r="AT193" s="1"/>
      <c r="AU193" s="1"/>
      <c r="AW193" s="176">
        <v>47453</v>
      </c>
      <c r="AX193" s="177">
        <f ca="1">IF(fechaHoy&gt;=siguienteHabil(EDATE(AW193,1)+8,-1),VLOOKUP(EDATE(AW193,1)-1,Inflation_FWD!$L:$M,2,0)/100,IFERROR(VLOOKUP(AW193,Inflation_FWD!$H:$I,2,0),0.25%))</f>
        <v>2.5000000000000001E-3</v>
      </c>
      <c r="AY193" s="177">
        <f t="shared" si="91"/>
        <v>2.4750000000000002E-3</v>
      </c>
      <c r="AZ193" s="100">
        <f t="shared" si="88"/>
        <v>47461</v>
      </c>
      <c r="BA193" s="102">
        <f t="shared" ca="1" si="89"/>
        <v>38750.339358157849</v>
      </c>
      <c r="BC193" s="23"/>
      <c r="BD193" s="23"/>
      <c r="CC193" s="299"/>
      <c r="CL193" s="284"/>
    </row>
    <row r="194" spans="34:90">
      <c r="AH194" s="6">
        <f t="shared" si="96"/>
        <v>164</v>
      </c>
      <c r="AI194" s="7">
        <f t="shared" ca="1" si="97"/>
        <v>42834</v>
      </c>
      <c r="AJ194" s="210">
        <f t="shared" ca="1" si="98"/>
        <v>3.4</v>
      </c>
      <c r="AK194" s="8">
        <f t="shared" ca="1" si="99"/>
        <v>1.0000944444444444</v>
      </c>
      <c r="AL194" s="98">
        <f t="shared" ca="1" si="100"/>
        <v>3.5954954960176755</v>
      </c>
      <c r="AM194" s="106">
        <f t="shared" ca="1" si="92"/>
        <v>26581.927053334806</v>
      </c>
      <c r="AN194" s="10">
        <f t="shared" ca="1" si="93"/>
        <v>0.77896542831128457</v>
      </c>
      <c r="AO194" s="311">
        <f t="shared" ca="1" si="94"/>
        <v>0.76665341544108856</v>
      </c>
      <c r="AP194" s="312">
        <f t="shared" ca="1" si="95"/>
        <v>0.29264770684408009</v>
      </c>
      <c r="AQ194" s="1"/>
      <c r="AR194" s="1"/>
      <c r="AS194" s="1"/>
      <c r="AT194" s="1"/>
      <c r="AU194" s="1"/>
      <c r="AW194" s="176">
        <v>47484</v>
      </c>
      <c r="AX194" s="177">
        <f ca="1">IF(fechaHoy&gt;=siguienteHabil(EDATE(AW194,1)+8,-1),VLOOKUP(EDATE(AW194,1)-1,Inflation_FWD!$L:$M,2,0)/100,IFERROR(VLOOKUP(AW194,Inflation_FWD!$H:$I,2,0),0.25%))</f>
        <v>2.5000000000000001E-3</v>
      </c>
      <c r="AY194" s="177">
        <f t="shared" si="91"/>
        <v>2.4750000000000002E-3</v>
      </c>
      <c r="AZ194" s="100">
        <f t="shared" ref="AZ194:AZ257" si="101">AW194+8</f>
        <v>47492</v>
      </c>
      <c r="BA194" s="102">
        <f t="shared" ca="1" si="89"/>
        <v>38846.246448069287</v>
      </c>
      <c r="BC194" s="23"/>
      <c r="BD194" s="23"/>
      <c r="CC194" s="299"/>
      <c r="CL194" s="284"/>
    </row>
    <row r="195" spans="34:90">
      <c r="AH195" s="6">
        <f t="shared" si="96"/>
        <v>165</v>
      </c>
      <c r="AI195" s="7">
        <f t="shared" ca="1" si="97"/>
        <v>42835</v>
      </c>
      <c r="AJ195" s="210">
        <f t="shared" ca="1" si="98"/>
        <v>3.4</v>
      </c>
      <c r="AK195" s="8">
        <f t="shared" ca="1" si="99"/>
        <v>1.0000944444444444</v>
      </c>
      <c r="AL195" s="98">
        <f t="shared" ca="1" si="100"/>
        <v>3.5949598969785113</v>
      </c>
      <c r="AM195" s="106">
        <f t="shared" ca="1" si="92"/>
        <v>26586.242055378607</v>
      </c>
      <c r="AN195" s="10">
        <f t="shared" ca="1" si="93"/>
        <v>0.75909625530268254</v>
      </c>
      <c r="AO195" s="311">
        <f t="shared" ca="1" si="94"/>
        <v>0.74714666752957659</v>
      </c>
      <c r="AP195" s="312">
        <f t="shared" ca="1" si="95"/>
        <v>0.29261872753683288</v>
      </c>
      <c r="AQ195" s="1"/>
      <c r="AR195" s="1"/>
      <c r="AS195" s="1"/>
      <c r="AT195" s="1"/>
      <c r="AU195" s="1"/>
      <c r="AW195" s="176">
        <v>47515</v>
      </c>
      <c r="AX195" s="177">
        <f ca="1">IF(fechaHoy&gt;=siguienteHabil(EDATE(AW195,1)+8,-1),VLOOKUP(EDATE(AW195,1)-1,Inflation_FWD!$L:$M,2,0)/100,IFERROR(VLOOKUP(AW195,Inflation_FWD!$H:$I,2,0),0.25%))</f>
        <v>2.5000000000000001E-3</v>
      </c>
      <c r="AY195" s="177">
        <f t="shared" si="91"/>
        <v>2.4750000000000002E-3</v>
      </c>
      <c r="AZ195" s="100">
        <f t="shared" si="101"/>
        <v>47523</v>
      </c>
      <c r="BA195" s="102">
        <f t="shared" ca="1" si="89"/>
        <v>38942.390908028261</v>
      </c>
      <c r="BC195" s="23"/>
      <c r="BD195" s="23"/>
      <c r="CC195" s="299"/>
      <c r="CL195" s="284"/>
    </row>
    <row r="196" spans="34:90">
      <c r="AH196" s="6">
        <f t="shared" si="96"/>
        <v>166</v>
      </c>
      <c r="AI196" s="7">
        <f t="shared" ca="1" si="97"/>
        <v>42836</v>
      </c>
      <c r="AJ196" s="210">
        <f t="shared" ca="1" si="98"/>
        <v>3.4</v>
      </c>
      <c r="AK196" s="8">
        <f t="shared" ca="1" si="99"/>
        <v>1.0000944444444444</v>
      </c>
      <c r="AL196" s="98">
        <f t="shared" ca="1" si="100"/>
        <v>3.5944307536590836</v>
      </c>
      <c r="AM196" s="106">
        <f t="shared" ca="1" si="92"/>
        <v>26590.557757869843</v>
      </c>
      <c r="AN196" s="10">
        <f t="shared" ca="1" si="93"/>
        <v>0.73947031673879948</v>
      </c>
      <c r="AO196" s="311">
        <f t="shared" ca="1" si="94"/>
        <v>0.72787594321798865</v>
      </c>
      <c r="AP196" s="312">
        <f t="shared" ca="1" si="95"/>
        <v>0.29259026115711689</v>
      </c>
      <c r="AQ196" s="1"/>
      <c r="AR196" s="1"/>
      <c r="AS196" s="1"/>
      <c r="AT196" s="1"/>
      <c r="AU196" s="1"/>
      <c r="AW196" s="176">
        <v>47543</v>
      </c>
      <c r="AX196" s="177">
        <f ca="1">IF(fechaHoy&gt;=siguienteHabil(EDATE(AW196,1)+8,-1),VLOOKUP(EDATE(AW196,1)-1,Inflation_FWD!$L:$M,2,0)/100,IFERROR(VLOOKUP(AW196,Inflation_FWD!$H:$I,2,0),0.25%))</f>
        <v>2.5000000000000001E-3</v>
      </c>
      <c r="AY196" s="177">
        <f t="shared" si="91"/>
        <v>2.4750000000000002E-3</v>
      </c>
      <c r="AZ196" s="100">
        <f t="shared" si="101"/>
        <v>47551</v>
      </c>
      <c r="BA196" s="102">
        <f t="shared" ca="1" si="89"/>
        <v>39038.773325525632</v>
      </c>
      <c r="BC196" s="23"/>
      <c r="BD196" s="23"/>
      <c r="CC196" s="299"/>
      <c r="CL196" s="284"/>
    </row>
    <row r="197" spans="34:90">
      <c r="AH197" s="6">
        <f t="shared" si="96"/>
        <v>167</v>
      </c>
      <c r="AI197" s="7">
        <f t="shared" ca="1" si="97"/>
        <v>42837</v>
      </c>
      <c r="AJ197" s="210">
        <f t="shared" ca="1" si="98"/>
        <v>3.4</v>
      </c>
      <c r="AK197" s="8">
        <f t="shared" ca="1" si="99"/>
        <v>1.0000944444444444</v>
      </c>
      <c r="AL197" s="98">
        <f t="shared" ca="1" si="100"/>
        <v>3.5939079500397986</v>
      </c>
      <c r="AM197" s="106">
        <f t="shared" ca="1" si="92"/>
        <v>26594.874160922223</v>
      </c>
      <c r="AN197" s="10">
        <f t="shared" ca="1" si="93"/>
        <v>0.72008317371621278</v>
      </c>
      <c r="AO197" s="311">
        <f t="shared" ca="1" si="94"/>
        <v>0.70883700249363779</v>
      </c>
      <c r="AP197" s="312">
        <f t="shared" ca="1" si="95"/>
        <v>0.2925622985060421</v>
      </c>
      <c r="AQ197" s="1"/>
      <c r="AR197" s="1"/>
      <c r="AS197" s="1"/>
      <c r="AT197" s="1"/>
      <c r="AU197" s="1"/>
      <c r="AW197" s="176">
        <v>47574</v>
      </c>
      <c r="AX197" s="177">
        <f ca="1">IF(fechaHoy&gt;=siguienteHabil(EDATE(AW197,1)+8,-1),VLOOKUP(EDATE(AW197,1)-1,Inflation_FWD!$L:$M,2,0)/100,IFERROR(VLOOKUP(AW197,Inflation_FWD!$H:$I,2,0),0.25%))</f>
        <v>2.5000000000000001E-3</v>
      </c>
      <c r="AY197" s="177">
        <f t="shared" si="91"/>
        <v>2.4750000000000002E-3</v>
      </c>
      <c r="AZ197" s="100">
        <f t="shared" si="101"/>
        <v>47582</v>
      </c>
      <c r="BA197" s="102">
        <f t="shared" ca="1" si="89"/>
        <v>39135.394289506308</v>
      </c>
      <c r="BC197" s="23"/>
      <c r="BD197" s="23"/>
      <c r="CC197" s="299"/>
      <c r="CL197" s="284"/>
    </row>
    <row r="198" spans="34:90">
      <c r="AH198" s="6">
        <f t="shared" si="96"/>
        <v>168</v>
      </c>
      <c r="AI198" s="7">
        <f t="shared" ca="1" si="97"/>
        <v>42838</v>
      </c>
      <c r="AJ198" s="210">
        <f t="shared" ca="1" si="98"/>
        <v>3.4</v>
      </c>
      <c r="AK198" s="8">
        <f t="shared" ca="1" si="99"/>
        <v>1.0000944444444444</v>
      </c>
      <c r="AL198" s="98">
        <f t="shared" ca="1" si="100"/>
        <v>3.5933913728646294</v>
      </c>
      <c r="AM198" s="106">
        <f t="shared" ca="1" si="92"/>
        <v>26599.191264649457</v>
      </c>
      <c r="AN198" s="10">
        <f t="shared" ca="1" si="93"/>
        <v>0.7009304946806072</v>
      </c>
      <c r="AO198" s="311">
        <f t="shared" ca="1" si="94"/>
        <v>0.69002570629694837</v>
      </c>
      <c r="AP198" s="312">
        <f t="shared" ca="1" si="95"/>
        <v>0.29253483060373964</v>
      </c>
      <c r="AQ198" s="1"/>
      <c r="AR198" s="1"/>
      <c r="AS198" s="1"/>
      <c r="AT198" s="1"/>
      <c r="AU198" s="1"/>
      <c r="AW198" s="176">
        <v>47604</v>
      </c>
      <c r="AX198" s="177">
        <f ca="1">IF(fechaHoy&gt;=siguienteHabil(EDATE(AW198,1)+8,-1),VLOOKUP(EDATE(AW198,1)-1,Inflation_FWD!$L:$M,2,0)/100,IFERROR(VLOOKUP(AW198,Inflation_FWD!$H:$I,2,0),0.25%))</f>
        <v>2.5000000000000001E-3</v>
      </c>
      <c r="AY198" s="177">
        <f t="shared" si="91"/>
        <v>2.4750000000000002E-3</v>
      </c>
      <c r="AZ198" s="100">
        <f t="shared" si="101"/>
        <v>47612</v>
      </c>
      <c r="BA198" s="102">
        <f t="shared" ref="BA198:BA261" ca="1" si="102">BA197*(1+AY196)</f>
        <v>39232.254390372836</v>
      </c>
      <c r="BC198" s="23"/>
      <c r="BD198" s="23"/>
      <c r="CC198" s="299"/>
      <c r="CL198" s="284"/>
    </row>
    <row r="199" spans="34:90">
      <c r="AH199" s="6">
        <f t="shared" si="96"/>
        <v>169</v>
      </c>
      <c r="AI199" s="7">
        <f t="shared" ca="1" si="97"/>
        <v>42839</v>
      </c>
      <c r="AJ199" s="210">
        <f t="shared" ca="1" si="98"/>
        <v>3.4</v>
      </c>
      <c r="AK199" s="8">
        <f t="shared" ca="1" si="99"/>
        <v>1.0000944444444444</v>
      </c>
      <c r="AL199" s="98">
        <f t="shared" ca="1" si="100"/>
        <v>3.5928809115591598</v>
      </c>
      <c r="AM199" s="106">
        <f t="shared" ca="1" si="92"/>
        <v>26603.509069165288</v>
      </c>
      <c r="AN199" s="10">
        <f t="shared" ca="1" si="93"/>
        <v>0.68200805220033356</v>
      </c>
      <c r="AO199" s="311">
        <f t="shared" ca="1" si="94"/>
        <v>0.67143801353373145</v>
      </c>
      <c r="AP199" s="312">
        <f t="shared" ca="1" si="95"/>
        <v>0.29250784868288171</v>
      </c>
      <c r="AQ199" s="1"/>
      <c r="AR199" s="1"/>
      <c r="AS199" s="1"/>
      <c r="AT199" s="1"/>
      <c r="AU199" s="1"/>
      <c r="AW199" s="176">
        <v>47635</v>
      </c>
      <c r="AX199" s="177">
        <f ca="1">IF(fechaHoy&gt;=siguienteHabil(EDATE(AW199,1)+8,-1),VLOOKUP(EDATE(AW199,1)-1,Inflation_FWD!$L:$M,2,0)/100,IFERROR(VLOOKUP(AW199,Inflation_FWD!$H:$I,2,0),0.25%))</f>
        <v>2.5000000000000001E-3</v>
      </c>
      <c r="AY199" s="177">
        <f t="shared" si="91"/>
        <v>2.4750000000000002E-3</v>
      </c>
      <c r="AZ199" s="100">
        <f t="shared" si="101"/>
        <v>47643</v>
      </c>
      <c r="BA199" s="102">
        <f t="shared" ca="1" si="102"/>
        <v>39329.354219989007</v>
      </c>
      <c r="BC199" s="23"/>
      <c r="BD199" s="23"/>
      <c r="CC199" s="299"/>
      <c r="CL199" s="284"/>
    </row>
    <row r="200" spans="34:90">
      <c r="AH200" s="6">
        <f t="shared" si="96"/>
        <v>170</v>
      </c>
      <c r="AI200" s="7">
        <f t="shared" ca="1" si="97"/>
        <v>42840</v>
      </c>
      <c r="AJ200" s="210">
        <f t="shared" ca="1" si="98"/>
        <v>3.3000000000000003</v>
      </c>
      <c r="AK200" s="8">
        <f t="shared" ca="1" si="99"/>
        <v>1.0000916666666666</v>
      </c>
      <c r="AL200" s="98">
        <f t="shared" ca="1" si="100"/>
        <v>3.5917586871313967</v>
      </c>
      <c r="AM200" s="106">
        <f t="shared" ca="1" si="92"/>
        <v>26607.82757458348</v>
      </c>
      <c r="AN200" s="10">
        <f t="shared" ca="1" si="93"/>
        <v>0.66271141625471319</v>
      </c>
      <c r="AO200" s="311">
        <f t="shared" ca="1" si="94"/>
        <v>0.65247998453888367</v>
      </c>
      <c r="AP200" s="312">
        <f t="shared" ca="1" si="95"/>
        <v>0.2924315168323301</v>
      </c>
      <c r="AQ200" s="1"/>
      <c r="AR200" s="1"/>
      <c r="AS200" s="1"/>
      <c r="AT200" s="1"/>
      <c r="AU200" s="1"/>
      <c r="AW200" s="176">
        <v>47665</v>
      </c>
      <c r="AX200" s="177">
        <f ca="1">IF(fechaHoy&gt;=siguienteHabil(EDATE(AW200,1)+8,-1),VLOOKUP(EDATE(AW200,1)-1,Inflation_FWD!$L:$M,2,0)/100,IFERROR(VLOOKUP(AW200,Inflation_FWD!$H:$I,2,0),0.25%))</f>
        <v>2.5000000000000001E-3</v>
      </c>
      <c r="AY200" s="177">
        <f t="shared" si="91"/>
        <v>2.4750000000000002E-3</v>
      </c>
      <c r="AZ200" s="100">
        <f t="shared" si="101"/>
        <v>47673</v>
      </c>
      <c r="BA200" s="102">
        <f t="shared" ca="1" si="102"/>
        <v>39426.694371683479</v>
      </c>
      <c r="BC200" s="23"/>
      <c r="BD200" s="23"/>
      <c r="CC200" s="299"/>
      <c r="CL200" s="284"/>
    </row>
    <row r="201" spans="34:90">
      <c r="AH201" s="6">
        <f t="shared" si="96"/>
        <v>171</v>
      </c>
      <c r="AI201" s="7">
        <f t="shared" ca="1" si="97"/>
        <v>42841</v>
      </c>
      <c r="AJ201" s="210">
        <f t="shared" ca="1" si="98"/>
        <v>3.3000000000000003</v>
      </c>
      <c r="AK201" s="8">
        <f t="shared" ca="1" si="99"/>
        <v>1.0000916666666666</v>
      </c>
      <c r="AL201" s="98">
        <f t="shared" ca="1" si="100"/>
        <v>3.5906496000801313</v>
      </c>
      <c r="AM201" s="106">
        <f t="shared" ca="1" si="92"/>
        <v>26612.1467810178</v>
      </c>
      <c r="AN201" s="10">
        <f t="shared" ca="1" si="93"/>
        <v>0.64364410570780795</v>
      </c>
      <c r="AO201" s="311">
        <f t="shared" ca="1" si="94"/>
        <v>0.63374474102369305</v>
      </c>
      <c r="AP201" s="312">
        <f t="shared" ca="1" si="95"/>
        <v>0.29235622759824381</v>
      </c>
      <c r="AQ201" s="1"/>
      <c r="AR201" s="1"/>
      <c r="AS201" s="1"/>
      <c r="AT201" s="1"/>
      <c r="AU201" s="1"/>
      <c r="AW201" s="176">
        <v>47696</v>
      </c>
      <c r="AX201" s="177">
        <f ca="1">IF(fechaHoy&gt;=siguienteHabil(EDATE(AW201,1)+8,-1),VLOOKUP(EDATE(AW201,1)-1,Inflation_FWD!$L:$M,2,0)/100,IFERROR(VLOOKUP(AW201,Inflation_FWD!$H:$I,2,0),0.25%))</f>
        <v>2.5000000000000001E-3</v>
      </c>
      <c r="AY201" s="177">
        <f t="shared" si="91"/>
        <v>2.4750000000000002E-3</v>
      </c>
      <c r="AZ201" s="100">
        <f t="shared" si="101"/>
        <v>47704</v>
      </c>
      <c r="BA201" s="102">
        <f t="shared" ca="1" si="102"/>
        <v>39524.275440253397</v>
      </c>
      <c r="BC201" s="23"/>
      <c r="BD201" s="23"/>
      <c r="CC201" s="299"/>
      <c r="CL201" s="284"/>
    </row>
    <row r="202" spans="34:90">
      <c r="AH202" s="6">
        <f t="shared" si="96"/>
        <v>172</v>
      </c>
      <c r="AI202" s="7">
        <f t="shared" ca="1" si="97"/>
        <v>42842</v>
      </c>
      <c r="AJ202" s="210">
        <f t="shared" ca="1" si="98"/>
        <v>3.3000000000000003</v>
      </c>
      <c r="AK202" s="8">
        <f t="shared" ca="1" si="99"/>
        <v>1.0000916666666666</v>
      </c>
      <c r="AL202" s="98">
        <f t="shared" ca="1" si="100"/>
        <v>3.5895534210579116</v>
      </c>
      <c r="AM202" s="106">
        <f t="shared" ca="1" si="92"/>
        <v>26616.466688582052</v>
      </c>
      <c r="AN202" s="10">
        <f t="shared" ca="1" si="93"/>
        <v>0.62480205701467284</v>
      </c>
      <c r="AO202" s="311">
        <f t="shared" ca="1" si="94"/>
        <v>0.61522839712078325</v>
      </c>
      <c r="AP202" s="312">
        <f t="shared" ca="1" si="95"/>
        <v>0.29228196280911167</v>
      </c>
      <c r="AQ202" s="1"/>
      <c r="AR202" s="1"/>
      <c r="AS202" s="1"/>
      <c r="AT202" s="1"/>
      <c r="AU202" s="1"/>
      <c r="AW202" s="176">
        <v>47727</v>
      </c>
      <c r="AX202" s="177">
        <f ca="1">IF(fechaHoy&gt;=siguienteHabil(EDATE(AW202,1)+8,-1),VLOOKUP(EDATE(AW202,1)-1,Inflation_FWD!$L:$M,2,0)/100,IFERROR(VLOOKUP(AW202,Inflation_FWD!$H:$I,2,0),0.25%))</f>
        <v>2.5000000000000001E-3</v>
      </c>
      <c r="AY202" s="177">
        <f t="shared" si="91"/>
        <v>2.4750000000000002E-3</v>
      </c>
      <c r="AZ202" s="100">
        <f t="shared" si="101"/>
        <v>47735</v>
      </c>
      <c r="BA202" s="102">
        <f t="shared" ca="1" si="102"/>
        <v>39622.098021968028</v>
      </c>
      <c r="BC202" s="23"/>
      <c r="BD202" s="23"/>
      <c r="CC202" s="299"/>
      <c r="CL202" s="284"/>
    </row>
    <row r="203" spans="34:90">
      <c r="AH203" s="6">
        <f t="shared" si="96"/>
        <v>173</v>
      </c>
      <c r="AI203" s="7">
        <f t="shared" ca="1" si="97"/>
        <v>42843</v>
      </c>
      <c r="AJ203" s="210">
        <f t="shared" ca="1" si="98"/>
        <v>3.3000000000000003</v>
      </c>
      <c r="AK203" s="8">
        <f t="shared" ca="1" si="99"/>
        <v>1.0000916666666666</v>
      </c>
      <c r="AL203" s="98">
        <f t="shared" ca="1" si="100"/>
        <v>3.588469926024751</v>
      </c>
      <c r="AM203" s="106">
        <f t="shared" ca="1" si="92"/>
        <v>26620.787297390048</v>
      </c>
      <c r="AN203" s="10">
        <f t="shared" ca="1" si="93"/>
        <v>0.60618130206460119</v>
      </c>
      <c r="AO203" s="311">
        <f t="shared" ca="1" si="94"/>
        <v>0.59692715680946828</v>
      </c>
      <c r="AP203" s="312">
        <f t="shared" ca="1" si="95"/>
        <v>0.29220870471356908</v>
      </c>
      <c r="AQ203" s="1"/>
      <c r="AR203" s="1"/>
      <c r="AS203" s="1"/>
      <c r="AT203" s="1"/>
      <c r="AU203" s="1"/>
      <c r="AW203" s="176">
        <v>47757</v>
      </c>
      <c r="AX203" s="177">
        <f ca="1">IF(fechaHoy&gt;=siguienteHabil(EDATE(AW203,1)+8,-1),VLOOKUP(EDATE(AW203,1)-1,Inflation_FWD!$L:$M,2,0)/100,IFERROR(VLOOKUP(AW203,Inflation_FWD!$H:$I,2,0),0.25%))</f>
        <v>2.5000000000000001E-3</v>
      </c>
      <c r="AY203" s="177">
        <f t="shared" si="91"/>
        <v>2.4750000000000002E-3</v>
      </c>
      <c r="AZ203" s="100">
        <f t="shared" si="101"/>
        <v>47765</v>
      </c>
      <c r="BA203" s="102">
        <f t="shared" ca="1" si="102"/>
        <v>39720.162714572398</v>
      </c>
      <c r="BC203" s="23"/>
      <c r="BD203" s="23"/>
      <c r="CC203" s="299"/>
      <c r="CL203" s="284"/>
    </row>
    <row r="204" spans="34:90">
      <c r="AH204" s="6">
        <f t="shared" si="96"/>
        <v>174</v>
      </c>
      <c r="AI204" s="7">
        <f t="shared" ca="1" si="97"/>
        <v>42844</v>
      </c>
      <c r="AJ204" s="210">
        <f t="shared" ca="1" si="98"/>
        <v>3.3000000000000003</v>
      </c>
      <c r="AK204" s="8">
        <f t="shared" ca="1" si="99"/>
        <v>1.0000916666666666</v>
      </c>
      <c r="AL204" s="98">
        <f t="shared" ca="1" si="100"/>
        <v>3.587398896095606</v>
      </c>
      <c r="AM204" s="106">
        <f t="shared" ca="1" si="92"/>
        <v>26625.108607555609</v>
      </c>
      <c r="AN204" s="10">
        <f t="shared" ca="1" si="93"/>
        <v>0.58777796539617455</v>
      </c>
      <c r="AO204" s="311">
        <f t="shared" ca="1" si="94"/>
        <v>0.57883731133408944</v>
      </c>
      <c r="AP204" s="312">
        <f t="shared" ca="1" si="95"/>
        <v>0.29213643596832883</v>
      </c>
      <c r="AQ204" s="1"/>
      <c r="AR204" s="1"/>
      <c r="AS204" s="1"/>
      <c r="AT204" s="1"/>
      <c r="AU204" s="1"/>
      <c r="AW204" s="176">
        <v>47788</v>
      </c>
      <c r="AX204" s="177">
        <f ca="1">IF(fechaHoy&gt;=siguienteHabil(EDATE(AW204,1)+8,-1),VLOOKUP(EDATE(AW204,1)-1,Inflation_FWD!$L:$M,2,0)/100,IFERROR(VLOOKUP(AW204,Inflation_FWD!$H:$I,2,0),0.25%))</f>
        <v>2.5000000000000001E-3</v>
      </c>
      <c r="AY204" s="177">
        <f t="shared" si="91"/>
        <v>2.4750000000000002E-3</v>
      </c>
      <c r="AZ204" s="100">
        <f t="shared" si="101"/>
        <v>47796</v>
      </c>
      <c r="BA204" s="102">
        <f t="shared" ca="1" si="102"/>
        <v>39818.470117290963</v>
      </c>
      <c r="BC204" s="23"/>
      <c r="BD204" s="23"/>
      <c r="CC204" s="299"/>
      <c r="CL204" s="284"/>
    </row>
    <row r="205" spans="34:90">
      <c r="AH205" s="6">
        <f t="shared" si="96"/>
        <v>175</v>
      </c>
      <c r="AI205" s="7">
        <f t="shared" ca="1" si="97"/>
        <v>42845</v>
      </c>
      <c r="AJ205" s="210">
        <f t="shared" ca="1" si="98"/>
        <v>3.3000000000000003</v>
      </c>
      <c r="AK205" s="8">
        <f t="shared" ca="1" si="99"/>
        <v>1.0000916666666666</v>
      </c>
      <c r="AL205" s="98">
        <f t="shared" ca="1" si="100"/>
        <v>3.5863401173931164</v>
      </c>
      <c r="AM205" s="106">
        <f t="shared" ca="1" si="92"/>
        <v>26629.430619192593</v>
      </c>
      <c r="AN205" s="10">
        <f t="shared" ca="1" si="93"/>
        <v>0.56958826150887987</v>
      </c>
      <c r="AO205" s="311">
        <f t="shared" ca="1" si="94"/>
        <v>0.56095523671036318</v>
      </c>
      <c r="AP205" s="312">
        <f t="shared" ca="1" si="95"/>
        <v>0.29206513962652914</v>
      </c>
      <c r="AQ205" s="1"/>
      <c r="AR205" s="1"/>
      <c r="AS205" s="1"/>
      <c r="AT205" s="1"/>
      <c r="AU205" s="1"/>
      <c r="AW205" s="176">
        <v>47818</v>
      </c>
      <c r="AX205" s="177">
        <f ca="1">IF(fechaHoy&gt;=siguienteHabil(EDATE(AW205,1)+8,-1),VLOOKUP(EDATE(AW205,1)-1,Inflation_FWD!$L:$M,2,0)/100,IFERROR(VLOOKUP(AW205,Inflation_FWD!$H:$I,2,0),0.25%))</f>
        <v>2.5000000000000001E-3</v>
      </c>
      <c r="AY205" s="177">
        <f t="shared" si="91"/>
        <v>2.4750000000000002E-3</v>
      </c>
      <c r="AZ205" s="100">
        <f t="shared" si="101"/>
        <v>47826</v>
      </c>
      <c r="BA205" s="102">
        <f t="shared" ca="1" si="102"/>
        <v>39917.020830831258</v>
      </c>
      <c r="BC205" s="23"/>
      <c r="BD205" s="23"/>
      <c r="CC205" s="299"/>
      <c r="CL205" s="284"/>
    </row>
    <row r="206" spans="34:90">
      <c r="AH206" s="6">
        <f t="shared" si="96"/>
        <v>176</v>
      </c>
      <c r="AI206" s="7">
        <f t="shared" ca="1" si="97"/>
        <v>42846</v>
      </c>
      <c r="AJ206" s="210">
        <f t="shared" ca="1" si="98"/>
        <v>3.3000000000000003</v>
      </c>
      <c r="AK206" s="8">
        <f t="shared" ca="1" si="99"/>
        <v>1.0000916666666666</v>
      </c>
      <c r="AL206" s="98">
        <f t="shared" ca="1" si="100"/>
        <v>3.5852933809049192</v>
      </c>
      <c r="AM206" s="106">
        <f t="shared" ca="1" si="92"/>
        <v>26633.753332414879</v>
      </c>
      <c r="AN206" s="10">
        <f t="shared" ca="1" si="93"/>
        <v>0.55160849226807418</v>
      </c>
      <c r="AO206" s="311">
        <f t="shared" ca="1" si="94"/>
        <v>0.54327739131723973</v>
      </c>
      <c r="AP206" s="312">
        <f t="shared" ca="1" si="95"/>
        <v>0.2919947991264607</v>
      </c>
      <c r="AQ206" s="1"/>
      <c r="AR206" s="1"/>
      <c r="AS206" s="1"/>
      <c r="AT206" s="1"/>
      <c r="AU206" s="1"/>
      <c r="AW206" s="176">
        <v>47849</v>
      </c>
      <c r="AX206" s="177">
        <f ca="1">IF(fechaHoy&gt;=siguienteHabil(EDATE(AW206,1)+8,-1),VLOOKUP(EDATE(AW206,1)-1,Inflation_FWD!$L:$M,2,0)/100,IFERROR(VLOOKUP(AW206,Inflation_FWD!$H:$I,2,0),0.25%))</f>
        <v>2.5000000000000001E-3</v>
      </c>
      <c r="AY206" s="177">
        <f t="shared" si="91"/>
        <v>2.4750000000000002E-3</v>
      </c>
      <c r="AZ206" s="100">
        <f t="shared" si="101"/>
        <v>47857</v>
      </c>
      <c r="BA206" s="102">
        <f t="shared" ca="1" si="102"/>
        <v>40015.815457387565</v>
      </c>
      <c r="BC206" s="23"/>
      <c r="BD206" s="23"/>
      <c r="CC206" s="299"/>
      <c r="CL206" s="284"/>
    </row>
    <row r="207" spans="34:90">
      <c r="AH207" s="6">
        <f t="shared" si="96"/>
        <v>177</v>
      </c>
      <c r="AI207" s="7">
        <f t="shared" ca="1" si="97"/>
        <v>42847</v>
      </c>
      <c r="AJ207" s="210">
        <f t="shared" ca="1" si="98"/>
        <v>3.3000000000000003</v>
      </c>
      <c r="AK207" s="8">
        <f t="shared" ca="1" si="99"/>
        <v>1.0000916666666666</v>
      </c>
      <c r="AL207" s="98">
        <f t="shared" ca="1" si="100"/>
        <v>3.584258482346292</v>
      </c>
      <c r="AM207" s="106">
        <f t="shared" ca="1" si="92"/>
        <v>26638.076747336338</v>
      </c>
      <c r="AN207" s="10">
        <f t="shared" ca="1" si="93"/>
        <v>0.53383504439952212</v>
      </c>
      <c r="AO207" s="311">
        <f t="shared" ca="1" si="94"/>
        <v>0.52580031357052925</v>
      </c>
      <c r="AP207" s="312">
        <f t="shared" ca="1" si="95"/>
        <v>0.29192539828069358</v>
      </c>
      <c r="AQ207" s="1"/>
      <c r="AR207" s="1"/>
      <c r="AS207" s="1"/>
      <c r="AT207" s="1"/>
      <c r="AU207" s="1"/>
      <c r="AW207" s="176">
        <v>47880</v>
      </c>
      <c r="AX207" s="177">
        <f ca="1">IF(fechaHoy&gt;=siguienteHabil(EDATE(AW207,1)+8,-1),VLOOKUP(EDATE(AW207,1)-1,Inflation_FWD!$L:$M,2,0)/100,IFERROR(VLOOKUP(AW207,Inflation_FWD!$H:$I,2,0),0.25%))</f>
        <v>2.5000000000000001E-3</v>
      </c>
      <c r="AY207" s="177">
        <f t="shared" si="91"/>
        <v>2.4750000000000002E-3</v>
      </c>
      <c r="AZ207" s="100">
        <f t="shared" si="101"/>
        <v>47888</v>
      </c>
      <c r="BA207" s="102">
        <f t="shared" ca="1" si="102"/>
        <v>40114.854600644598</v>
      </c>
      <c r="BC207" s="23"/>
      <c r="BD207" s="23"/>
      <c r="CC207" s="299"/>
      <c r="CL207" s="284"/>
    </row>
    <row r="208" spans="34:90">
      <c r="AH208" s="6">
        <f t="shared" si="96"/>
        <v>178</v>
      </c>
      <c r="AI208" s="7">
        <f t="shared" ca="1" si="97"/>
        <v>42848</v>
      </c>
      <c r="AJ208" s="210">
        <f t="shared" ca="1" si="98"/>
        <v>3.3000000000000003</v>
      </c>
      <c r="AK208" s="8">
        <f t="shared" ca="1" si="99"/>
        <v>1.0000916666666666</v>
      </c>
      <c r="AL208" s="98">
        <f t="shared" ca="1" si="100"/>
        <v>3.5832352220272146</v>
      </c>
      <c r="AM208" s="106">
        <f t="shared" ca="1" si="92"/>
        <v>26642.400864070874</v>
      </c>
      <c r="AN208" s="10">
        <f t="shared" ca="1" si="93"/>
        <v>0.51626438706915412</v>
      </c>
      <c r="AO208" s="311">
        <f t="shared" ca="1" si="94"/>
        <v>0.50852061967440521</v>
      </c>
      <c r="AP208" s="312">
        <f t="shared" ca="1" si="95"/>
        <v>0.29185692126556056</v>
      </c>
      <c r="AQ208" s="1"/>
      <c r="AR208" s="1"/>
      <c r="AS208" s="1"/>
      <c r="AT208" s="1"/>
      <c r="AU208" s="1"/>
      <c r="AW208" s="176">
        <v>47908</v>
      </c>
      <c r="AX208" s="177">
        <f ca="1">IF(fechaHoy&gt;=siguienteHabil(EDATE(AW208,1)+8,-1),VLOOKUP(EDATE(AW208,1)-1,Inflation_FWD!$L:$M,2,0)/100,IFERROR(VLOOKUP(AW208,Inflation_FWD!$H:$I,2,0),0.25%))</f>
        <v>2.5000000000000001E-3</v>
      </c>
      <c r="AY208" s="177">
        <f t="shared" si="91"/>
        <v>2.4750000000000002E-3</v>
      </c>
      <c r="AZ208" s="100">
        <f t="shared" si="101"/>
        <v>47916</v>
      </c>
      <c r="BA208" s="102">
        <f t="shared" ca="1" si="102"/>
        <v>40214.138865781191</v>
      </c>
      <c r="BC208" s="23"/>
      <c r="BD208" s="23"/>
      <c r="CC208" s="299"/>
      <c r="CL208" s="284"/>
    </row>
    <row r="209" spans="34:90">
      <c r="AH209" s="6">
        <f t="shared" si="96"/>
        <v>179</v>
      </c>
      <c r="AI209" s="7">
        <f t="shared" ca="1" si="97"/>
        <v>42849</v>
      </c>
      <c r="AJ209" s="210">
        <f t="shared" ca="1" si="98"/>
        <v>3.3000000000000003</v>
      </c>
      <c r="AK209" s="8">
        <f t="shared" ca="1" si="99"/>
        <v>1.0000916666666666</v>
      </c>
      <c r="AL209" s="98">
        <f t="shared" ca="1" si="100"/>
        <v>3.5822234047238499</v>
      </c>
      <c r="AM209" s="106">
        <f t="shared" ca="1" si="92"/>
        <v>26646.725682732427</v>
      </c>
      <c r="AN209" s="10">
        <f t="shared" ca="1" si="93"/>
        <v>0.49889306954513657</v>
      </c>
      <c r="AO209" s="311">
        <f t="shared" ca="1" si="94"/>
        <v>0.49143500144832286</v>
      </c>
      <c r="AP209" s="312">
        <f t="shared" ca="1" si="95"/>
        <v>0.29178935261099576</v>
      </c>
      <c r="AQ209" s="1"/>
      <c r="AR209" s="1"/>
      <c r="AS209" s="1"/>
      <c r="AT209" s="1"/>
      <c r="AU209" s="1"/>
      <c r="AW209" s="176">
        <v>47939</v>
      </c>
      <c r="AX209" s="177">
        <f ca="1">IF(fechaHoy&gt;=siguienteHabil(EDATE(AW209,1)+8,-1),VLOOKUP(EDATE(AW209,1)-1,Inflation_FWD!$L:$M,2,0)/100,IFERROR(VLOOKUP(AW209,Inflation_FWD!$H:$I,2,0),0.25%))</f>
        <v>2.5000000000000001E-3</v>
      </c>
      <c r="AY209" s="177">
        <f t="shared" si="91"/>
        <v>2.4750000000000002E-3</v>
      </c>
      <c r="AZ209" s="100">
        <f t="shared" si="101"/>
        <v>47947</v>
      </c>
      <c r="BA209" s="102">
        <f t="shared" ca="1" si="102"/>
        <v>40313.668859473997</v>
      </c>
      <c r="BC209" s="23"/>
      <c r="BD209" s="23"/>
      <c r="CC209" s="299"/>
      <c r="CL209" s="284"/>
    </row>
    <row r="210" spans="34:90">
      <c r="AH210" s="6">
        <f t="shared" si="96"/>
        <v>180</v>
      </c>
      <c r="AI210" s="7">
        <f t="shared" ca="1" si="97"/>
        <v>42850</v>
      </c>
      <c r="AJ210" s="210">
        <f t="shared" ca="1" si="98"/>
        <v>3.3000000000000003</v>
      </c>
      <c r="AK210" s="8">
        <f t="shared" ca="1" si="99"/>
        <v>1.0000916666666666</v>
      </c>
      <c r="AL210" s="98">
        <f t="shared" ca="1" si="100"/>
        <v>3.5812228395544654</v>
      </c>
      <c r="AM210" s="106">
        <f t="shared" ca="1" si="92"/>
        <v>26651.05120343493</v>
      </c>
      <c r="AN210" s="10">
        <f t="shared" ca="1" si="93"/>
        <v>0.48171771893985582</v>
      </c>
      <c r="AO210" s="311">
        <f t="shared" ca="1" si="94"/>
        <v>0.47454022422721565</v>
      </c>
      <c r="AP210" s="312">
        <f t="shared" ca="1" si="95"/>
        <v>0.29172267719071632</v>
      </c>
      <c r="AQ210" s="1"/>
      <c r="AR210" s="1"/>
      <c r="AS210" s="1"/>
      <c r="AT210" s="1"/>
      <c r="AU210" s="1"/>
      <c r="AW210" s="176">
        <v>47969</v>
      </c>
      <c r="AX210" s="177">
        <f ca="1">IF(fechaHoy&gt;=siguienteHabil(EDATE(AW210,1)+8,-1),VLOOKUP(EDATE(AW210,1)-1,Inflation_FWD!$L:$M,2,0)/100,IFERROR(VLOOKUP(AW210,Inflation_FWD!$H:$I,2,0),0.25%))</f>
        <v>2.5000000000000001E-3</v>
      </c>
      <c r="AY210" s="177">
        <f t="shared" si="91"/>
        <v>2.4750000000000002E-3</v>
      </c>
      <c r="AZ210" s="100">
        <f t="shared" si="101"/>
        <v>47977</v>
      </c>
      <c r="BA210" s="102">
        <f t="shared" ca="1" si="102"/>
        <v>40413.445189901198</v>
      </c>
      <c r="BC210" s="23"/>
      <c r="BD210" s="23"/>
      <c r="CC210" s="299"/>
      <c r="CL210" s="284"/>
    </row>
    <row r="211" spans="34:90">
      <c r="AH211" s="6">
        <f t="shared" si="96"/>
        <v>181</v>
      </c>
      <c r="AI211" s="7">
        <f t="shared" ca="1" si="97"/>
        <v>42851</v>
      </c>
      <c r="AJ211" s="210">
        <f t="shared" ca="1" si="98"/>
        <v>3.3000000000000003</v>
      </c>
      <c r="AK211" s="8">
        <f t="shared" ca="1" si="99"/>
        <v>1.0000916666666666</v>
      </c>
      <c r="AL211" s="98">
        <f t="shared" ca="1" si="100"/>
        <v>3.5802333398592623</v>
      </c>
      <c r="AM211" s="106">
        <f t="shared" ca="1" si="92"/>
        <v>26655.377426292347</v>
      </c>
      <c r="AN211" s="10">
        <f t="shared" ca="1" si="93"/>
        <v>0.46473503802684224</v>
      </c>
      <c r="AO211" s="311">
        <f t="shared" ca="1" si="94"/>
        <v>0.45783312483010713</v>
      </c>
      <c r="AP211" s="312">
        <f t="shared" ca="1" si="95"/>
        <v>0.29165688021272179</v>
      </c>
      <c r="AQ211" s="1"/>
      <c r="AR211" s="1"/>
      <c r="AS211" s="1"/>
      <c r="AT211" s="1"/>
      <c r="AU211" s="1"/>
      <c r="AW211" s="176">
        <v>48000</v>
      </c>
      <c r="AX211" s="177">
        <f ca="1">IF(fechaHoy&gt;=siguienteHabil(EDATE(AW211,1)+8,-1),VLOOKUP(EDATE(AW211,1)-1,Inflation_FWD!$L:$M,2,0)/100,IFERROR(VLOOKUP(AW211,Inflation_FWD!$H:$I,2,0),0.25%))</f>
        <v>2.5000000000000001E-3</v>
      </c>
      <c r="AY211" s="177">
        <f t="shared" si="91"/>
        <v>2.4750000000000002E-3</v>
      </c>
      <c r="AZ211" s="100">
        <f t="shared" si="101"/>
        <v>48008</v>
      </c>
      <c r="BA211" s="102">
        <f t="shared" ca="1" si="102"/>
        <v>40513.468466746206</v>
      </c>
      <c r="BC211" s="23"/>
      <c r="BD211" s="23"/>
      <c r="CC211" s="299"/>
      <c r="CL211" s="284"/>
    </row>
    <row r="212" spans="34:90">
      <c r="AH212" s="6">
        <f t="shared" si="96"/>
        <v>182</v>
      </c>
      <c r="AI212" s="7">
        <f t="shared" ca="1" si="97"/>
        <v>42852</v>
      </c>
      <c r="AJ212" s="210">
        <f t="shared" ca="1" si="98"/>
        <v>3.3000000000000003</v>
      </c>
      <c r="AK212" s="8">
        <f t="shared" ca="1" si="99"/>
        <v>1.0000916666666666</v>
      </c>
      <c r="AL212" s="98">
        <f t="shared" ca="1" si="100"/>
        <v>3.5792547230844463</v>
      </c>
      <c r="AM212" s="106">
        <f t="shared" ca="1" si="92"/>
        <v>26659.704351418652</v>
      </c>
      <c r="AN212" s="10">
        <f t="shared" ca="1" si="93"/>
        <v>0.44794180313150189</v>
      </c>
      <c r="AO212" s="311">
        <f t="shared" ca="1" si="94"/>
        <v>0.44131060959665769</v>
      </c>
      <c r="AP212" s="312">
        <f t="shared" ca="1" si="95"/>
        <v>0.29159194721011078</v>
      </c>
      <c r="AQ212" s="1"/>
      <c r="AR212" s="1"/>
      <c r="AS212" s="1"/>
      <c r="AT212" s="1"/>
      <c r="AU212" s="1"/>
      <c r="AW212" s="176">
        <v>48030</v>
      </c>
      <c r="AX212" s="177">
        <f ca="1">IF(fechaHoy&gt;=siguienteHabil(EDATE(AW212,1)+8,-1),VLOOKUP(EDATE(AW212,1)-1,Inflation_FWD!$L:$M,2,0)/100,IFERROR(VLOOKUP(AW212,Inflation_FWD!$H:$I,2,0),0.25%))</f>
        <v>2.5000000000000001E-3</v>
      </c>
      <c r="AY212" s="177">
        <f t="shared" si="91"/>
        <v>2.4750000000000002E-3</v>
      </c>
      <c r="AZ212" s="100">
        <f t="shared" si="101"/>
        <v>48038</v>
      </c>
      <c r="BA212" s="102">
        <f t="shared" ca="1" si="102"/>
        <v>40613.7393012014</v>
      </c>
      <c r="BC212" s="23"/>
      <c r="BD212" s="23"/>
      <c r="CC212" s="299"/>
      <c r="CL212" s="284"/>
    </row>
    <row r="213" spans="34:90">
      <c r="AH213" s="6">
        <f t="shared" si="96"/>
        <v>183</v>
      </c>
      <c r="AI213" s="7">
        <f t="shared" ca="1" si="97"/>
        <v>42853</v>
      </c>
      <c r="AJ213" s="210">
        <f t="shared" ca="1" si="98"/>
        <v>3.3000000000000003</v>
      </c>
      <c r="AK213" s="8">
        <f t="shared" ca="1" si="99"/>
        <v>1.0000916666666666</v>
      </c>
      <c r="AL213" s="98">
        <f t="shared" ca="1" si="100"/>
        <v>3.5782868106697396</v>
      </c>
      <c r="AM213" s="106">
        <f t="shared" ca="1" si="92"/>
        <v>26664.031978927851</v>
      </c>
      <c r="AN213" s="10">
        <f t="shared" ca="1" si="93"/>
        <v>0.4313348620913926</v>
      </c>
      <c r="AO213" s="311">
        <f t="shared" ca="1" si="94"/>
        <v>0.42496965248734375</v>
      </c>
      <c r="AP213" s="312">
        <f t="shared" ca="1" si="95"/>
        <v>0.29152786403219821</v>
      </c>
      <c r="AQ213" s="1"/>
      <c r="AR213" s="1"/>
      <c r="AS213" s="1"/>
      <c r="AT213" s="1"/>
      <c r="AU213" s="1"/>
      <c r="AW213" s="176">
        <v>48061</v>
      </c>
      <c r="AX213" s="177">
        <f ca="1">IF(fechaHoy&gt;=siguienteHabil(EDATE(AW213,1)+8,-1),VLOOKUP(EDATE(AW213,1)-1,Inflation_FWD!$L:$M,2,0)/100,IFERROR(VLOOKUP(AW213,Inflation_FWD!$H:$I,2,0),0.25%))</f>
        <v>2.5000000000000001E-3</v>
      </c>
      <c r="AY213" s="177">
        <f t="shared" si="91"/>
        <v>2.4750000000000002E-3</v>
      </c>
      <c r="AZ213" s="100">
        <f t="shared" si="101"/>
        <v>48069</v>
      </c>
      <c r="BA213" s="102">
        <f t="shared" ca="1" si="102"/>
        <v>40714.258305971875</v>
      </c>
      <c r="BC213" s="23"/>
      <c r="BD213" s="23"/>
      <c r="CC213" s="299"/>
      <c r="CL213" s="284"/>
    </row>
    <row r="214" spans="34:90">
      <c r="AH214" s="6">
        <f t="shared" si="96"/>
        <v>184</v>
      </c>
      <c r="AI214" s="7">
        <f t="shared" ca="1" si="97"/>
        <v>42854</v>
      </c>
      <c r="AJ214" s="210">
        <f t="shared" ca="1" si="98"/>
        <v>3.3000000000000003</v>
      </c>
      <c r="AK214" s="8">
        <f t="shared" ca="1" si="99"/>
        <v>1.0000916666666666</v>
      </c>
      <c r="AL214" s="98">
        <f t="shared" ca="1" si="100"/>
        <v>3.5773294279400236</v>
      </c>
      <c r="AM214" s="106">
        <f t="shared" ca="1" si="92"/>
        <v>26668.360308933963</v>
      </c>
      <c r="AN214" s="10">
        <f t="shared" ca="1" si="93"/>
        <v>0.41491113228462329</v>
      </c>
      <c r="AO214" s="311">
        <f t="shared" ca="1" si="94"/>
        <v>0.4088072932461968</v>
      </c>
      <c r="AP214" s="312">
        <f t="shared" ca="1" si="95"/>
        <v>0.29146461683592989</v>
      </c>
      <c r="AQ214" s="1"/>
      <c r="AR214" s="1"/>
      <c r="AS214" s="1"/>
      <c r="AT214" s="1"/>
      <c r="AU214" s="1"/>
      <c r="AW214" s="176">
        <v>48092</v>
      </c>
      <c r="AX214" s="177">
        <f ca="1">IF(fechaHoy&gt;=siguienteHabil(EDATE(AW214,1)+8,-1),VLOOKUP(EDATE(AW214,1)-1,Inflation_FWD!$L:$M,2,0)/100,IFERROR(VLOOKUP(AW214,Inflation_FWD!$H:$I,2,0),0.25%))</f>
        <v>2.5000000000000001E-3</v>
      </c>
      <c r="AY214" s="177">
        <f t="shared" si="91"/>
        <v>2.4750000000000002E-3</v>
      </c>
      <c r="AZ214" s="100">
        <f t="shared" si="101"/>
        <v>48100</v>
      </c>
      <c r="BA214" s="102">
        <f t="shared" ca="1" si="102"/>
        <v>40815.026095279158</v>
      </c>
      <c r="BC214" s="23"/>
      <c r="BD214" s="23"/>
      <c r="CC214" s="299"/>
      <c r="CL214" s="284"/>
    </row>
    <row r="215" spans="34:90">
      <c r="AH215" s="6">
        <f t="shared" si="96"/>
        <v>185</v>
      </c>
      <c r="AI215" s="7">
        <f t="shared" ca="1" si="97"/>
        <v>42855</v>
      </c>
      <c r="AJ215" s="210">
        <f t="shared" ca="1" si="98"/>
        <v>3.3000000000000003</v>
      </c>
      <c r="AK215" s="8">
        <f t="shared" ca="1" si="99"/>
        <v>1.0000916666666666</v>
      </c>
      <c r="AL215" s="98">
        <f t="shared" ca="1" si="100"/>
        <v>3.5763824040000891</v>
      </c>
      <c r="AM215" s="106">
        <f t="shared" ca="1" si="92"/>
        <v>26672.689341551009</v>
      </c>
      <c r="AN215" s="10">
        <f t="shared" ca="1" si="93"/>
        <v>0.39866759872275725</v>
      </c>
      <c r="AO215" s="311">
        <f t="shared" ca="1" si="94"/>
        <v>0.39282063562286906</v>
      </c>
      <c r="AP215" s="312">
        <f t="shared" ca="1" si="95"/>
        <v>0.29140219207755724</v>
      </c>
      <c r="AQ215" s="1"/>
      <c r="AR215" s="1"/>
      <c r="AS215" s="1"/>
      <c r="AT215" s="1"/>
      <c r="AU215" s="1"/>
      <c r="AW215" s="176">
        <v>48122</v>
      </c>
      <c r="AX215" s="177">
        <f ca="1">IF(fechaHoy&gt;=siguienteHabil(EDATE(AW215,1)+8,-1),VLOOKUP(EDATE(AW215,1)-1,Inflation_FWD!$L:$M,2,0)/100,IFERROR(VLOOKUP(AW215,Inflation_FWD!$H:$I,2,0),0.25%))</f>
        <v>2.5000000000000001E-3</v>
      </c>
      <c r="AY215" s="177">
        <f t="shared" si="91"/>
        <v>2.4750000000000002E-3</v>
      </c>
      <c r="AZ215" s="100">
        <f t="shared" si="101"/>
        <v>48130</v>
      </c>
      <c r="BA215" s="102">
        <f t="shared" ca="1" si="102"/>
        <v>40916.043284864973</v>
      </c>
      <c r="BC215" s="23"/>
      <c r="BD215" s="23"/>
      <c r="CC215" s="299"/>
      <c r="CL215" s="284"/>
    </row>
    <row r="216" spans="34:90">
      <c r="AH216" s="6">
        <f t="shared" si="96"/>
        <v>186</v>
      </c>
      <c r="AI216" s="7">
        <f t="shared" ca="1" si="97"/>
        <v>42856</v>
      </c>
      <c r="AJ216" s="210">
        <f t="shared" ca="1" si="98"/>
        <v>3.3000000000000003</v>
      </c>
      <c r="AK216" s="8">
        <f t="shared" ca="1" si="99"/>
        <v>1.0000916666666666</v>
      </c>
      <c r="AL216" s="98">
        <f t="shared" ca="1" si="100"/>
        <v>3.5754455716328959</v>
      </c>
      <c r="AM216" s="106">
        <f t="shared" ca="1" si="92"/>
        <v>26677.019076893055</v>
      </c>
      <c r="AN216" s="10">
        <f t="shared" ca="1" si="93"/>
        <v>0.38260131220606564</v>
      </c>
      <c r="AO216" s="311">
        <f t="shared" ca="1" si="94"/>
        <v>0.37700684565188058</v>
      </c>
      <c r="AP216" s="312">
        <f t="shared" ca="1" si="95"/>
        <v>0.29134057650459866</v>
      </c>
      <c r="AQ216" s="1"/>
      <c r="AR216" s="1"/>
      <c r="AS216" s="1"/>
      <c r="AT216" s="1"/>
      <c r="AU216" s="1"/>
      <c r="AW216" s="176">
        <v>48153</v>
      </c>
      <c r="AX216" s="177">
        <f ca="1">IF(fechaHoy&gt;=siguienteHabil(EDATE(AW216,1)+8,-1),VLOOKUP(EDATE(AW216,1)-1,Inflation_FWD!$L:$M,2,0)/100,IFERROR(VLOOKUP(AW216,Inflation_FWD!$H:$I,2,0),0.25%))</f>
        <v>2.5000000000000001E-3</v>
      </c>
      <c r="AY216" s="177">
        <f t="shared" si="91"/>
        <v>2.4750000000000002E-3</v>
      </c>
      <c r="AZ216" s="100">
        <f t="shared" si="101"/>
        <v>48161</v>
      </c>
      <c r="BA216" s="102">
        <f t="shared" ca="1" si="102"/>
        <v>41017.310491995013</v>
      </c>
      <c r="BC216" s="23"/>
      <c r="BD216" s="23"/>
      <c r="CC216" s="299"/>
      <c r="CL216" s="284"/>
    </row>
    <row r="217" spans="34:90">
      <c r="AH217" s="6">
        <f t="shared" si="96"/>
        <v>187</v>
      </c>
      <c r="AI217" s="7">
        <f t="shared" ca="1" si="97"/>
        <v>42857</v>
      </c>
      <c r="AJ217" s="210">
        <f t="shared" ca="1" si="98"/>
        <v>3.3000000000000003</v>
      </c>
      <c r="AK217" s="8">
        <f t="shared" ca="1" si="99"/>
        <v>1.0000916666666666</v>
      </c>
      <c r="AL217" s="98">
        <f t="shared" ca="1" si="100"/>
        <v>3.5745187672012513</v>
      </c>
      <c r="AM217" s="106">
        <f t="shared" ca="1" si="92"/>
        <v>26681.349515074169</v>
      </c>
      <c r="AN217" s="10">
        <f t="shared" ca="1" si="93"/>
        <v>0.36670938753897708</v>
      </c>
      <c r="AO217" s="311">
        <f t="shared" ca="1" si="94"/>
        <v>0.36136314998733376</v>
      </c>
      <c r="AP217" s="312">
        <f t="shared" ca="1" si="95"/>
        <v>0.29127975714804472</v>
      </c>
      <c r="AQ217" s="1"/>
      <c r="AR217" s="1"/>
      <c r="AS217" s="1"/>
      <c r="AT217" s="1"/>
      <c r="AU217" s="1"/>
      <c r="AW217" s="176">
        <v>48183</v>
      </c>
      <c r="AX217" s="177">
        <f ca="1">IF(fechaHoy&gt;=siguienteHabil(EDATE(AW217,1)+8,-1),VLOOKUP(EDATE(AW217,1)-1,Inflation_FWD!$L:$M,2,0)/100,IFERROR(VLOOKUP(AW217,Inflation_FWD!$H:$I,2,0),0.25%))</f>
        <v>2.5000000000000001E-3</v>
      </c>
      <c r="AY217" s="177">
        <f t="shared" si="91"/>
        <v>2.4750000000000002E-3</v>
      </c>
      <c r="AZ217" s="100">
        <f t="shared" si="101"/>
        <v>48191</v>
      </c>
      <c r="BA217" s="102">
        <f t="shared" ca="1" si="102"/>
        <v>41118.828335462698</v>
      </c>
      <c r="BC217" s="23"/>
      <c r="BD217" s="23"/>
      <c r="CC217" s="299"/>
      <c r="CL217" s="284"/>
    </row>
    <row r="218" spans="34:90">
      <c r="AH218" s="6">
        <f t="shared" si="96"/>
        <v>188</v>
      </c>
      <c r="AI218" s="7">
        <f t="shared" ca="1" si="97"/>
        <v>42858</v>
      </c>
      <c r="AJ218" s="210">
        <f t="shared" ca="1" si="98"/>
        <v>3.3000000000000003</v>
      </c>
      <c r="AK218" s="8">
        <f t="shared" ca="1" si="99"/>
        <v>1.0000916666666666</v>
      </c>
      <c r="AL218" s="98">
        <f t="shared" ca="1" si="100"/>
        <v>3.5736018305525086</v>
      </c>
      <c r="AM218" s="106">
        <f t="shared" ca="1" si="92"/>
        <v>26685.680656208438</v>
      </c>
      <c r="AN218" s="10">
        <f t="shared" ca="1" si="93"/>
        <v>0.35098900180337012</v>
      </c>
      <c r="AO218" s="311">
        <f t="shared" ca="1" si="94"/>
        <v>0.34588683429073319</v>
      </c>
      <c r="AP218" s="312">
        <f t="shared" ca="1" si="95"/>
        <v>0.29121972131482915</v>
      </c>
      <c r="AQ218" s="1"/>
      <c r="AR218" s="1"/>
      <c r="AS218" s="1"/>
      <c r="AT218" s="1"/>
      <c r="AU218" s="1"/>
      <c r="AW218" s="176">
        <v>48214</v>
      </c>
      <c r="AX218" s="177">
        <f ca="1">IF(fechaHoy&gt;=siguienteHabil(EDATE(AW218,1)+8,-1),VLOOKUP(EDATE(AW218,1)-1,Inflation_FWD!$L:$M,2,0)/100,IFERROR(VLOOKUP(AW218,Inflation_FWD!$H:$I,2,0),0.25%))</f>
        <v>2.5000000000000001E-3</v>
      </c>
      <c r="AY218" s="177">
        <f t="shared" si="91"/>
        <v>2.4750000000000002E-3</v>
      </c>
      <c r="AZ218" s="100">
        <f t="shared" si="101"/>
        <v>48222</v>
      </c>
      <c r="BA218" s="102">
        <f t="shared" ca="1" si="102"/>
        <v>41220.597435592972</v>
      </c>
      <c r="BC218" s="23"/>
      <c r="BD218" s="23"/>
      <c r="CC218" s="299"/>
      <c r="CL218" s="284"/>
    </row>
    <row r="219" spans="34:90">
      <c r="AH219" s="6">
        <f t="shared" si="96"/>
        <v>189</v>
      </c>
      <c r="AI219" s="7">
        <f t="shared" ca="1" si="97"/>
        <v>42859</v>
      </c>
      <c r="AJ219" s="210">
        <f t="shared" ca="1" si="98"/>
        <v>3.3000000000000003</v>
      </c>
      <c r="AK219" s="8">
        <f t="shared" ca="1" si="99"/>
        <v>1.0000916666666666</v>
      </c>
      <c r="AL219" s="98">
        <f t="shared" ca="1" si="100"/>
        <v>3.5726946049262409</v>
      </c>
      <c r="AM219" s="106">
        <f t="shared" ca="1" si="92"/>
        <v>26690.012500409979</v>
      </c>
      <c r="AN219" s="10">
        <f t="shared" ca="1" si="93"/>
        <v>0.3354373926873544</v>
      </c>
      <c r="AO219" s="311">
        <f t="shared" ca="1" si="94"/>
        <v>0.33057524166990065</v>
      </c>
      <c r="AP219" s="312">
        <f t="shared" ca="1" si="95"/>
        <v>0.29116045658051876</v>
      </c>
      <c r="AQ219" s="1"/>
      <c r="AR219" s="1"/>
      <c r="AS219" s="1"/>
      <c r="AT219" s="1"/>
      <c r="AU219" s="1"/>
      <c r="AW219" s="176">
        <v>48245</v>
      </c>
      <c r="AX219" s="177">
        <f ca="1">IF(fechaHoy&gt;=siguienteHabil(EDATE(AW219,1)+8,-1),VLOOKUP(EDATE(AW219,1)-1,Inflation_FWD!$L:$M,2,0)/100,IFERROR(VLOOKUP(AW219,Inflation_FWD!$H:$I,2,0),0.25%))</f>
        <v>2.5000000000000001E-3</v>
      </c>
      <c r="AY219" s="177">
        <f t="shared" ref="AY219:AY282" si="103">+$S$5/1200</f>
        <v>2.4750000000000002E-3</v>
      </c>
      <c r="AZ219" s="100">
        <f t="shared" si="101"/>
        <v>48253</v>
      </c>
      <c r="BA219" s="102">
        <f t="shared" ca="1" si="102"/>
        <v>41322.618414246062</v>
      </c>
      <c r="BC219" s="23"/>
      <c r="BD219" s="23"/>
      <c r="CC219" s="299"/>
      <c r="CL219" s="284"/>
    </row>
    <row r="220" spans="34:90">
      <c r="AH220" s="6">
        <f t="shared" si="96"/>
        <v>190</v>
      </c>
      <c r="AI220" s="7">
        <f t="shared" ca="1" si="97"/>
        <v>42860</v>
      </c>
      <c r="AJ220" s="210">
        <f t="shared" ca="1" si="98"/>
        <v>3.3000000000000003</v>
      </c>
      <c r="AK220" s="8">
        <f t="shared" ca="1" si="99"/>
        <v>1.0000916666666666</v>
      </c>
      <c r="AL220" s="98">
        <f t="shared" ca="1" si="100"/>
        <v>3.5717969368650015</v>
      </c>
      <c r="AM220" s="106">
        <f t="shared" ca="1" si="92"/>
        <v>26694.345047792918</v>
      </c>
      <c r="AN220" s="10">
        <f t="shared" ca="1" si="93"/>
        <v>0.32005185686738713</v>
      </c>
      <c r="AO220" s="311">
        <f t="shared" ca="1" si="94"/>
        <v>0.31542577116714615</v>
      </c>
      <c r="AP220" s="312">
        <f t="shared" ca="1" si="95"/>
        <v>0.29110195078225415</v>
      </c>
      <c r="AQ220" s="1"/>
      <c r="AR220" s="1"/>
      <c r="AS220" s="1"/>
      <c r="AT220" s="1"/>
      <c r="AU220" s="1"/>
      <c r="AW220" s="176">
        <v>48274</v>
      </c>
      <c r="AX220" s="177">
        <f ca="1">IF(fechaHoy&gt;=siguienteHabil(EDATE(AW220,1)+8,-1),VLOOKUP(EDATE(AW220,1)-1,Inflation_FWD!$L:$M,2,0)/100,IFERROR(VLOOKUP(AW220,Inflation_FWD!$H:$I,2,0),0.25%))</f>
        <v>2.5000000000000001E-3</v>
      </c>
      <c r="AY220" s="177">
        <f t="shared" si="103"/>
        <v>2.4750000000000002E-3</v>
      </c>
      <c r="AZ220" s="100">
        <f t="shared" si="101"/>
        <v>48282</v>
      </c>
      <c r="BA220" s="102">
        <f t="shared" ca="1" si="102"/>
        <v>41424.891894821325</v>
      </c>
      <c r="BC220" s="23"/>
      <c r="BD220" s="23"/>
      <c r="CC220" s="299"/>
      <c r="CL220" s="284"/>
    </row>
    <row r="221" spans="34:90">
      <c r="AH221" s="6">
        <f t="shared" si="96"/>
        <v>191</v>
      </c>
      <c r="AI221" s="7">
        <f t="shared" ca="1" si="97"/>
        <v>42861</v>
      </c>
      <c r="AJ221" s="210">
        <f t="shared" ca="1" si="98"/>
        <v>3.3000000000000003</v>
      </c>
      <c r="AK221" s="8">
        <f t="shared" ca="1" si="99"/>
        <v>1.0000916666666666</v>
      </c>
      <c r="AL221" s="98">
        <f t="shared" ca="1" si="100"/>
        <v>3.5709086761276598</v>
      </c>
      <c r="AM221" s="106">
        <f t="shared" ca="1" si="92"/>
        <v>26698.678298471401</v>
      </c>
      <c r="AN221" s="10">
        <f t="shared" ca="1" si="93"/>
        <v>0.30482974844245891</v>
      </c>
      <c r="AO221" s="311">
        <f t="shared" ca="1" si="94"/>
        <v>0.30043587629522311</v>
      </c>
      <c r="AP221" s="312">
        <f t="shared" ca="1" si="95"/>
        <v>0.29104419201188869</v>
      </c>
      <c r="AQ221" s="1"/>
      <c r="AR221" s="1"/>
      <c r="AS221" s="1"/>
      <c r="AT221" s="1"/>
      <c r="AU221" s="1"/>
      <c r="AW221" s="176">
        <v>48305</v>
      </c>
      <c r="AX221" s="177">
        <f ca="1">IF(fechaHoy&gt;=siguienteHabil(EDATE(AW221,1)+8,-1),VLOOKUP(EDATE(AW221,1)-1,Inflation_FWD!$L:$M,2,0)/100,IFERROR(VLOOKUP(AW221,Inflation_FWD!$H:$I,2,0),0.25%))</f>
        <v>2.5000000000000001E-3</v>
      </c>
      <c r="AY221" s="177">
        <f t="shared" si="103"/>
        <v>2.4750000000000002E-3</v>
      </c>
      <c r="AZ221" s="100">
        <f t="shared" si="101"/>
        <v>48313</v>
      </c>
      <c r="BA221" s="102">
        <f t="shared" ca="1" si="102"/>
        <v>41527.418502261011</v>
      </c>
      <c r="BC221" s="23"/>
      <c r="BD221" s="23"/>
      <c r="CC221" s="299"/>
      <c r="CL221" s="284"/>
    </row>
    <row r="222" spans="34:90">
      <c r="AH222" s="6">
        <f t="shared" si="96"/>
        <v>192</v>
      </c>
      <c r="AI222" s="7">
        <f t="shared" ca="1" si="97"/>
        <v>42862</v>
      </c>
      <c r="AJ222" s="210">
        <f t="shared" ca="1" si="98"/>
        <v>3.3000000000000003</v>
      </c>
      <c r="AK222" s="8">
        <f t="shared" ca="1" si="99"/>
        <v>1.0000916666666666</v>
      </c>
      <c r="AL222" s="98">
        <f t="shared" ca="1" si="100"/>
        <v>3.5700296756056904</v>
      </c>
      <c r="AM222" s="106">
        <f t="shared" ca="1" si="92"/>
        <v>26703.012252559587</v>
      </c>
      <c r="AN222" s="10">
        <f t="shared" ca="1" si="93"/>
        <v>0.28976847741746248</v>
      </c>
      <c r="AO222" s="311">
        <f t="shared" ca="1" si="94"/>
        <v>0.28560306361874455</v>
      </c>
      <c r="AP222" s="312">
        <f t="shared" ca="1" si="95"/>
        <v>0.29098716860936902</v>
      </c>
      <c r="AQ222" s="1"/>
      <c r="AR222" s="1"/>
      <c r="AS222" s="1"/>
      <c r="AT222" s="1"/>
      <c r="AU222" s="1"/>
      <c r="AW222" s="176">
        <v>48335</v>
      </c>
      <c r="AX222" s="177">
        <f ca="1">IF(fechaHoy&gt;=siguienteHabil(EDATE(AW222,1)+8,-1),VLOOKUP(EDATE(AW222,1)-1,Inflation_FWD!$L:$M,2,0)/100,IFERROR(VLOOKUP(AW222,Inflation_FWD!$H:$I,2,0),0.25%))</f>
        <v>2.5000000000000001E-3</v>
      </c>
      <c r="AY222" s="177">
        <f t="shared" si="103"/>
        <v>2.4750000000000002E-3</v>
      </c>
      <c r="AZ222" s="100">
        <f t="shared" si="101"/>
        <v>48343</v>
      </c>
      <c r="BA222" s="102">
        <f t="shared" ca="1" si="102"/>
        <v>41630.198863054109</v>
      </c>
      <c r="BC222" s="23"/>
      <c r="BD222" s="23"/>
      <c r="CC222" s="299"/>
      <c r="CL222" s="284"/>
    </row>
    <row r="223" spans="34:90">
      <c r="AH223" s="6">
        <f t="shared" si="96"/>
        <v>193</v>
      </c>
      <c r="AI223" s="7">
        <f t="shared" ca="1" si="97"/>
        <v>42863</v>
      </c>
      <c r="AJ223" s="210">
        <f t="shared" ca="1" si="98"/>
        <v>3.3000000000000003</v>
      </c>
      <c r="AK223" s="8">
        <f t="shared" ca="1" si="99"/>
        <v>1.0000916666666666</v>
      </c>
      <c r="AL223" s="98">
        <f t="shared" ca="1" si="100"/>
        <v>3.5691597912418827</v>
      </c>
      <c r="AM223" s="106">
        <f t="shared" ref="AM223:AM286" ca="1" si="104">Geom_Interp(AI223,$AZ$2:$AZ$109,$BA$2:$BA$109)</f>
        <v>26707.346910171666</v>
      </c>
      <c r="AN223" s="10">
        <f t="shared" ref="AN223:AN286" ca="1" si="105">100*(((1+AL223/100)^(AH223/365)*$AM$29/AM223)^(365/AH223)-1)</f>
        <v>0.27486550823421219</v>
      </c>
      <c r="AO223" s="311">
        <f t="shared" ref="AO223:AO286" ca="1" si="106">100*360/$AH223*((1+AN223/100)^($AH223/365)-1)</f>
        <v>0.27092489137953352</v>
      </c>
      <c r="AP223" s="312">
        <f t="shared" ref="AP223:AP286" ca="1" si="107">100*30/$AH223*((1+AL223/100)^($AH223/365)-1)</f>
        <v>0.2909308691563009</v>
      </c>
      <c r="AQ223" s="1"/>
      <c r="AR223" s="1"/>
      <c r="AS223" s="1"/>
      <c r="AT223" s="1"/>
      <c r="AU223" s="1"/>
      <c r="AW223" s="176">
        <v>48366</v>
      </c>
      <c r="AX223" s="177">
        <f ca="1">IF(fechaHoy&gt;=siguienteHabil(EDATE(AW223,1)+8,-1),VLOOKUP(EDATE(AW223,1)-1,Inflation_FWD!$L:$M,2,0)/100,IFERROR(VLOOKUP(AW223,Inflation_FWD!$H:$I,2,0),0.25%))</f>
        <v>2.5000000000000001E-3</v>
      </c>
      <c r="AY223" s="177">
        <f t="shared" si="103"/>
        <v>2.4750000000000002E-3</v>
      </c>
      <c r="AZ223" s="100">
        <f t="shared" si="101"/>
        <v>48374</v>
      </c>
      <c r="BA223" s="102">
        <f t="shared" ca="1" si="102"/>
        <v>41733.233605240166</v>
      </c>
      <c r="BC223" s="23"/>
      <c r="BD223" s="23"/>
      <c r="CC223" s="299"/>
      <c r="CL223" s="284"/>
    </row>
    <row r="224" spans="34:90">
      <c r="AH224" s="6">
        <f t="shared" ref="AH224:AH287" si="108">$AI$29+AH223</f>
        <v>194</v>
      </c>
      <c r="AI224" s="7">
        <f t="shared" ref="AI224:AI287" ca="1" si="109">+AH224+$C$1</f>
        <v>42864</v>
      </c>
      <c r="AJ224" s="210">
        <f t="shared" ref="AJ224:AJ287" ca="1" si="110">IF(AH224&lt;365,VLOOKUP(LOOKUP(AI224,$AI$2:$AI$23),$AI$2:$AK$23,3,0),Lin_Interp(AH224,$AJ$2:$AJ$23,$AK$2:$AK$23))</f>
        <v>3.3000000000000003</v>
      </c>
      <c r="AK224" s="8">
        <f t="shared" ca="1" si="99"/>
        <v>1.0000916666666666</v>
      </c>
      <c r="AL224" s="98">
        <f t="shared" ca="1" si="100"/>
        <v>3.5682988819516703</v>
      </c>
      <c r="AM224" s="106">
        <f t="shared" ca="1" si="104"/>
        <v>26711.68227142184</v>
      </c>
      <c r="AN224" s="10">
        <f t="shared" ca="1" si="105"/>
        <v>0.26011835834920394</v>
      </c>
      <c r="AO224" s="311">
        <f t="shared" ca="1" si="106"/>
        <v>0.25639896816514846</v>
      </c>
      <c r="AP224" s="312">
        <f t="shared" ca="1" si="107"/>
        <v>0.29087528246972089</v>
      </c>
      <c r="AQ224" s="1"/>
      <c r="AR224" s="1"/>
      <c r="AS224" s="1"/>
      <c r="AT224" s="1"/>
      <c r="AU224" s="1"/>
      <c r="AW224" s="176">
        <v>48396</v>
      </c>
      <c r="AX224" s="177">
        <f ca="1">IF(fechaHoy&gt;=siguienteHabil(EDATE(AW224,1)+8,-1),VLOOKUP(EDATE(AW224,1)-1,Inflation_FWD!$L:$M,2,0)/100,IFERROR(VLOOKUP(AW224,Inflation_FWD!$H:$I,2,0),0.25%))</f>
        <v>2.5000000000000001E-3</v>
      </c>
      <c r="AY224" s="177">
        <f t="shared" si="103"/>
        <v>2.4750000000000002E-3</v>
      </c>
      <c r="AZ224" s="100">
        <f t="shared" si="101"/>
        <v>48404</v>
      </c>
      <c r="BA224" s="102">
        <f t="shared" ca="1" si="102"/>
        <v>41836.523358413135</v>
      </c>
      <c r="BC224" s="23"/>
      <c r="BD224" s="23"/>
      <c r="CC224" s="299"/>
      <c r="CL224" s="284"/>
    </row>
    <row r="225" spans="34:90">
      <c r="AH225" s="6">
        <f t="shared" si="108"/>
        <v>195</v>
      </c>
      <c r="AI225" s="7">
        <f t="shared" ca="1" si="109"/>
        <v>42865</v>
      </c>
      <c r="AJ225" s="210">
        <f t="shared" ca="1" si="110"/>
        <v>3.3000000000000003</v>
      </c>
      <c r="AK225" s="8">
        <f t="shared" ref="AK225:AK288" ca="1" si="111">+(1+AJ225/36000)</f>
        <v>1.0000916666666666</v>
      </c>
      <c r="AL225" s="98">
        <f t="shared" ref="AL225:AL288" ca="1" si="112">100*(((1+AL224/100)^(AH224/365)*AK225)^(365/AH225)-1)</f>
        <v>3.5674468095468592</v>
      </c>
      <c r="AM225" s="106">
        <f t="shared" ca="1" si="104"/>
        <v>26713.742345815292</v>
      </c>
      <c r="AN225" s="10">
        <f t="shared" ca="1" si="105"/>
        <v>0.26151189622543036</v>
      </c>
      <c r="AO225" s="311">
        <f t="shared" ca="1" si="106"/>
        <v>0.25777266269097016</v>
      </c>
      <c r="AP225" s="312">
        <f t="shared" ca="1" si="107"/>
        <v>0.2908203975960631</v>
      </c>
      <c r="AQ225" s="1"/>
      <c r="AR225" s="1"/>
      <c r="AS225" s="1"/>
      <c r="AT225" s="1"/>
      <c r="AU225" s="1"/>
      <c r="AW225" s="176">
        <v>48427</v>
      </c>
      <c r="AX225" s="177">
        <f ca="1">IF(fechaHoy&gt;=siguienteHabil(EDATE(AW225,1)+8,-1),VLOOKUP(EDATE(AW225,1)-1,Inflation_FWD!$L:$M,2,0)/100,IFERROR(VLOOKUP(AW225,Inflation_FWD!$H:$I,2,0),0.25%))</f>
        <v>2.5000000000000001E-3</v>
      </c>
      <c r="AY225" s="177">
        <f t="shared" si="103"/>
        <v>2.4750000000000002E-3</v>
      </c>
      <c r="AZ225" s="100">
        <f t="shared" si="101"/>
        <v>48435</v>
      </c>
      <c r="BA225" s="102">
        <f t="shared" ca="1" si="102"/>
        <v>41940.068753725209</v>
      </c>
      <c r="BC225" s="23"/>
      <c r="BD225" s="23"/>
      <c r="CC225" s="299"/>
      <c r="CL225" s="284"/>
    </row>
    <row r="226" spans="34:90">
      <c r="AH226" s="6">
        <f t="shared" si="108"/>
        <v>196</v>
      </c>
      <c r="AI226" s="7">
        <f t="shared" ca="1" si="109"/>
        <v>42866</v>
      </c>
      <c r="AJ226" s="210">
        <f t="shared" ca="1" si="110"/>
        <v>3.3000000000000003</v>
      </c>
      <c r="AK226" s="8">
        <f t="shared" ca="1" si="111"/>
        <v>1.0000916666666666</v>
      </c>
      <c r="AL226" s="98">
        <f t="shared" ca="1" si="112"/>
        <v>3.5666034386616197</v>
      </c>
      <c r="AM226" s="106">
        <f t="shared" ca="1" si="104"/>
        <v>26715.802579087038</v>
      </c>
      <c r="AN226" s="10">
        <f t="shared" ca="1" si="105"/>
        <v>0.26289123340104137</v>
      </c>
      <c r="AO226" s="311">
        <f t="shared" ca="1" si="106"/>
        <v>0.25913237882581969</v>
      </c>
      <c r="AP226" s="312">
        <f t="shared" ca="1" si="107"/>
        <v>0.29076620380530044</v>
      </c>
      <c r="AQ226" s="1"/>
      <c r="AR226" s="1"/>
      <c r="AS226" s="1"/>
      <c r="AT226" s="1"/>
      <c r="AU226" s="1"/>
      <c r="AW226" s="176">
        <v>48458</v>
      </c>
      <c r="AX226" s="177">
        <f ca="1">IF(fechaHoy&gt;=siguienteHabil(EDATE(AW226,1)+8,-1),VLOOKUP(EDATE(AW226,1)-1,Inflation_FWD!$L:$M,2,0)/100,IFERROR(VLOOKUP(AW226,Inflation_FWD!$H:$I,2,0),0.25%))</f>
        <v>2.5000000000000001E-3</v>
      </c>
      <c r="AY226" s="177">
        <f t="shared" si="103"/>
        <v>2.4750000000000002E-3</v>
      </c>
      <c r="AZ226" s="100">
        <f t="shared" si="101"/>
        <v>48466</v>
      </c>
      <c r="BA226" s="102">
        <f t="shared" ca="1" si="102"/>
        <v>42043.870423890679</v>
      </c>
      <c r="BC226" s="23"/>
      <c r="BD226" s="23"/>
      <c r="CC226" s="299"/>
      <c r="CL226" s="284"/>
    </row>
    <row r="227" spans="34:90">
      <c r="AH227" s="6">
        <f t="shared" si="108"/>
        <v>197</v>
      </c>
      <c r="AI227" s="7">
        <f t="shared" ca="1" si="109"/>
        <v>42867</v>
      </c>
      <c r="AJ227" s="210">
        <f t="shared" ca="1" si="110"/>
        <v>3.3000000000000003</v>
      </c>
      <c r="AK227" s="8">
        <f t="shared" ca="1" si="111"/>
        <v>1.0000916666666666</v>
      </c>
      <c r="AL227" s="98">
        <f t="shared" ca="1" si="112"/>
        <v>3.565768636680855</v>
      </c>
      <c r="AM227" s="106">
        <f t="shared" ca="1" si="104"/>
        <v>26717.862971249335</v>
      </c>
      <c r="AN227" s="10">
        <f t="shared" ca="1" si="105"/>
        <v>0.26425658584159351</v>
      </c>
      <c r="AO227" s="311">
        <f t="shared" ca="1" si="106"/>
        <v>0.26047832943912258</v>
      </c>
      <c r="AP227" s="312">
        <f t="shared" ca="1" si="107"/>
        <v>0.2907126905852811</v>
      </c>
      <c r="AQ227" s="1"/>
      <c r="AR227" s="1"/>
      <c r="AS227" s="1"/>
      <c r="AT227" s="1"/>
      <c r="AU227" s="1"/>
      <c r="AW227" s="176">
        <v>48488</v>
      </c>
      <c r="AX227" s="177">
        <f ca="1">IF(fechaHoy&gt;=siguienteHabil(EDATE(AW227,1)+8,-1),VLOOKUP(EDATE(AW227,1)-1,Inflation_FWD!$L:$M,2,0)/100,IFERROR(VLOOKUP(AW227,Inflation_FWD!$H:$I,2,0),0.25%))</f>
        <v>2.5000000000000001E-3</v>
      </c>
      <c r="AY227" s="177">
        <f t="shared" si="103"/>
        <v>2.4750000000000002E-3</v>
      </c>
      <c r="AZ227" s="100">
        <f t="shared" si="101"/>
        <v>48496</v>
      </c>
      <c r="BA227" s="102">
        <f t="shared" ca="1" si="102"/>
        <v>42147.929003189813</v>
      </c>
      <c r="BC227" s="23"/>
      <c r="BD227" s="23"/>
      <c r="CC227" s="299"/>
      <c r="CL227" s="284"/>
    </row>
    <row r="228" spans="34:90">
      <c r="AH228" s="6">
        <f t="shared" si="108"/>
        <v>198</v>
      </c>
      <c r="AI228" s="7">
        <f t="shared" ca="1" si="109"/>
        <v>42868</v>
      </c>
      <c r="AJ228" s="210">
        <f t="shared" ca="1" si="110"/>
        <v>3.3000000000000003</v>
      </c>
      <c r="AK228" s="8">
        <f t="shared" ca="1" si="111"/>
        <v>1.0000916666666666</v>
      </c>
      <c r="AL228" s="98">
        <f t="shared" ca="1" si="112"/>
        <v>3.5649422736706793</v>
      </c>
      <c r="AM228" s="106">
        <f t="shared" ca="1" si="104"/>
        <v>26719.923522314428</v>
      </c>
      <c r="AN228" s="10">
        <f t="shared" ca="1" si="105"/>
        <v>0.26560816515563967</v>
      </c>
      <c r="AO228" s="311">
        <f t="shared" ca="1" si="106"/>
        <v>0.26181072310003306</v>
      </c>
      <c r="AP228" s="312">
        <f t="shared" ca="1" si="107"/>
        <v>0.29065984763621661</v>
      </c>
      <c r="AQ228" s="1"/>
      <c r="AR228" s="1"/>
      <c r="AS228" s="1"/>
      <c r="AT228" s="1"/>
      <c r="AU228" s="1"/>
      <c r="AW228" s="176">
        <v>48519</v>
      </c>
      <c r="AX228" s="177">
        <f ca="1">IF(fechaHoy&gt;=siguienteHabil(EDATE(AW228,1)+8,-1),VLOOKUP(EDATE(AW228,1)-1,Inflation_FWD!$L:$M,2,0)/100,IFERROR(VLOOKUP(AW228,Inflation_FWD!$H:$I,2,0),0.25%))</f>
        <v>2.5000000000000001E-3</v>
      </c>
      <c r="AY228" s="177">
        <f t="shared" si="103"/>
        <v>2.4750000000000002E-3</v>
      </c>
      <c r="AZ228" s="100">
        <f t="shared" si="101"/>
        <v>48527</v>
      </c>
      <c r="BA228" s="102">
        <f t="shared" ca="1" si="102"/>
        <v>42252.245127472706</v>
      </c>
      <c r="BC228" s="23"/>
      <c r="BD228" s="23"/>
      <c r="CC228" s="299"/>
      <c r="CL228" s="284"/>
    </row>
    <row r="229" spans="34:90">
      <c r="AH229" s="6">
        <f t="shared" si="108"/>
        <v>199</v>
      </c>
      <c r="AI229" s="7">
        <f t="shared" ca="1" si="109"/>
        <v>42869</v>
      </c>
      <c r="AJ229" s="210">
        <f t="shared" ca="1" si="110"/>
        <v>3.3000000000000003</v>
      </c>
      <c r="AK229" s="8">
        <f t="shared" ca="1" si="111"/>
        <v>1.0000916666666666</v>
      </c>
      <c r="AL229" s="98">
        <f t="shared" ca="1" si="112"/>
        <v>3.5641242223109382</v>
      </c>
      <c r="AM229" s="106">
        <f t="shared" ca="1" si="104"/>
        <v>26721.984232294573</v>
      </c>
      <c r="AN229" s="10">
        <f t="shared" ca="1" si="105"/>
        <v>0.26694617870377524</v>
      </c>
      <c r="AO229" s="311">
        <f t="shared" ca="1" si="106"/>
        <v>0.26312976418524009</v>
      </c>
      <c r="AP229" s="312">
        <f t="shared" ca="1" si="107"/>
        <v>0.29060766486535283</v>
      </c>
      <c r="AQ229" s="1"/>
      <c r="AR229" s="1"/>
      <c r="AS229" s="1"/>
      <c r="AT229" s="1"/>
      <c r="AU229" s="1"/>
      <c r="AW229" s="176">
        <v>48549</v>
      </c>
      <c r="AX229" s="177">
        <f ca="1">IF(fechaHoy&gt;=siguienteHabil(EDATE(AW229,1)+8,-1),VLOOKUP(EDATE(AW229,1)-1,Inflation_FWD!$L:$M,2,0)/100,IFERROR(VLOOKUP(AW229,Inflation_FWD!$H:$I,2,0),0.25%))</f>
        <v>2.5000000000000001E-3</v>
      </c>
      <c r="AY229" s="177">
        <f t="shared" si="103"/>
        <v>2.4750000000000002E-3</v>
      </c>
      <c r="AZ229" s="100">
        <f t="shared" si="101"/>
        <v>48557</v>
      </c>
      <c r="BA229" s="102">
        <f t="shared" ca="1" si="102"/>
        <v>42356.819434163204</v>
      </c>
      <c r="BC229" s="23"/>
      <c r="BD229" s="23"/>
      <c r="CC229" s="299"/>
      <c r="CL229" s="284"/>
    </row>
    <row r="230" spans="34:90">
      <c r="AH230" s="6">
        <f t="shared" si="108"/>
        <v>200</v>
      </c>
      <c r="AI230" s="7">
        <f t="shared" ca="1" si="109"/>
        <v>42870</v>
      </c>
      <c r="AJ230" s="210">
        <f t="shared" ca="1" si="110"/>
        <v>3.3000000000000003</v>
      </c>
      <c r="AK230" s="8">
        <f t="shared" ca="1" si="111"/>
        <v>1.0000916666666666</v>
      </c>
      <c r="AL230" s="98">
        <f t="shared" ca="1" si="112"/>
        <v>3.5633143578299276</v>
      </c>
      <c r="AM230" s="106">
        <f t="shared" ca="1" si="104"/>
        <v>26724.045101202038</v>
      </c>
      <c r="AN230" s="10">
        <f t="shared" ca="1" si="105"/>
        <v>0.26827082970484195</v>
      </c>
      <c r="AO230" s="311">
        <f t="shared" ca="1" si="106"/>
        <v>0.26443565298389871</v>
      </c>
      <c r="AP230" s="312">
        <f t="shared" ca="1" si="107"/>
        <v>0.29055613238179068</v>
      </c>
      <c r="AQ230" s="1"/>
      <c r="AR230" s="1"/>
      <c r="AS230" s="1"/>
      <c r="AT230" s="1"/>
      <c r="AU230" s="1"/>
      <c r="AW230" s="176">
        <v>48580</v>
      </c>
      <c r="AX230" s="177">
        <f ca="1">IF(fechaHoy&gt;=siguienteHabil(EDATE(AW230,1)+8,-1),VLOOKUP(EDATE(AW230,1)-1,Inflation_FWD!$L:$M,2,0)/100,IFERROR(VLOOKUP(AW230,Inflation_FWD!$H:$I,2,0),0.25%))</f>
        <v>2.5000000000000001E-3</v>
      </c>
      <c r="AY230" s="177">
        <f t="shared" si="103"/>
        <v>2.4750000000000002E-3</v>
      </c>
      <c r="AZ230" s="100">
        <f t="shared" si="101"/>
        <v>48588</v>
      </c>
      <c r="BA230" s="102">
        <f t="shared" ca="1" si="102"/>
        <v>42461.65256226276</v>
      </c>
      <c r="BC230" s="23"/>
      <c r="BD230" s="23"/>
      <c r="CC230" s="299"/>
      <c r="CL230" s="284"/>
    </row>
    <row r="231" spans="34:90">
      <c r="AH231" s="6">
        <f t="shared" si="108"/>
        <v>201</v>
      </c>
      <c r="AI231" s="7">
        <f t="shared" ca="1" si="109"/>
        <v>42871</v>
      </c>
      <c r="AJ231" s="210">
        <f t="shared" ca="1" si="110"/>
        <v>3.3000000000000003</v>
      </c>
      <c r="AK231" s="8">
        <f t="shared" ca="1" si="111"/>
        <v>1.0000916666666666</v>
      </c>
      <c r="AL231" s="98">
        <f t="shared" ca="1" si="112"/>
        <v>3.5625125579408667</v>
      </c>
      <c r="AM231" s="106">
        <f t="shared" ca="1" si="104"/>
        <v>26726.106129049069</v>
      </c>
      <c r="AN231" s="10">
        <f t="shared" ca="1" si="105"/>
        <v>0.26958231733893445</v>
      </c>
      <c r="AO231" s="311">
        <f t="shared" ca="1" si="106"/>
        <v>0.26572858579938985</v>
      </c>
      <c r="AP231" s="312">
        <f t="shared" ca="1" si="107"/>
        <v>0.29050524049146814</v>
      </c>
      <c r="AQ231" s="1"/>
      <c r="AR231" s="1"/>
      <c r="AS231" s="1"/>
      <c r="AT231" s="1"/>
      <c r="AU231" s="1"/>
      <c r="AW231" s="176">
        <v>48611</v>
      </c>
      <c r="AX231" s="177">
        <f ca="1">IF(fechaHoy&gt;=siguienteHabil(EDATE(AW231,1)+8,-1),VLOOKUP(EDATE(AW231,1)-1,Inflation_FWD!$L:$M,2,0)/100,IFERROR(VLOOKUP(AW231,Inflation_FWD!$H:$I,2,0),0.25%))</f>
        <v>2.5000000000000001E-3</v>
      </c>
      <c r="AY231" s="177">
        <f t="shared" si="103"/>
        <v>2.4750000000000002E-3</v>
      </c>
      <c r="AZ231" s="100">
        <f t="shared" si="101"/>
        <v>48619</v>
      </c>
      <c r="BA231" s="102">
        <f t="shared" ca="1" si="102"/>
        <v>42566.745152354357</v>
      </c>
      <c r="BC231" s="23"/>
      <c r="BD231" s="23"/>
      <c r="CC231" s="299"/>
      <c r="CL231" s="284"/>
    </row>
    <row r="232" spans="34:90">
      <c r="AH232" s="6">
        <f t="shared" si="108"/>
        <v>202</v>
      </c>
      <c r="AI232" s="7">
        <f t="shared" ca="1" si="109"/>
        <v>42872</v>
      </c>
      <c r="AJ232" s="210">
        <f t="shared" ca="1" si="110"/>
        <v>3.3000000000000003</v>
      </c>
      <c r="AK232" s="8">
        <f t="shared" ca="1" si="111"/>
        <v>1.0000916666666666</v>
      </c>
      <c r="AL232" s="98">
        <f t="shared" ca="1" si="112"/>
        <v>3.561718702780281</v>
      </c>
      <c r="AM232" s="106">
        <f t="shared" ca="1" si="104"/>
        <v>26728.167315847928</v>
      </c>
      <c r="AN232" s="10">
        <f t="shared" ca="1" si="105"/>
        <v>0.27088083684694286</v>
      </c>
      <c r="AO232" s="311">
        <f t="shared" ca="1" si="106"/>
        <v>0.26700875504777988</v>
      </c>
      <c r="AP232" s="312">
        <f t="shared" ca="1" si="107"/>
        <v>0.29045497969228162</v>
      </c>
      <c r="AQ232" s="1"/>
      <c r="AR232" s="1"/>
      <c r="AS232" s="1"/>
      <c r="AT232" s="1"/>
      <c r="AU232" s="1"/>
      <c r="AW232" s="176">
        <v>48639</v>
      </c>
      <c r="AX232" s="177">
        <f ca="1">IF(fechaHoy&gt;=siguienteHabil(EDATE(AW232,1)+8,-1),VLOOKUP(EDATE(AW232,1)-1,Inflation_FWD!$L:$M,2,0)/100,IFERROR(VLOOKUP(AW232,Inflation_FWD!$H:$I,2,0),0.25%))</f>
        <v>2.5000000000000001E-3</v>
      </c>
      <c r="AY232" s="177">
        <f t="shared" si="103"/>
        <v>2.4750000000000002E-3</v>
      </c>
      <c r="AZ232" s="100">
        <f t="shared" si="101"/>
        <v>48647</v>
      </c>
      <c r="BA232" s="102">
        <f t="shared" ca="1" si="102"/>
        <v>42672.097846606433</v>
      </c>
      <c r="BC232" s="23"/>
      <c r="BD232" s="23"/>
      <c r="CC232" s="299"/>
      <c r="CL232" s="284"/>
    </row>
    <row r="233" spans="34:90">
      <c r="AH233" s="6">
        <f t="shared" si="108"/>
        <v>203</v>
      </c>
      <c r="AI233" s="7">
        <f t="shared" ca="1" si="109"/>
        <v>42873</v>
      </c>
      <c r="AJ233" s="210">
        <f t="shared" ca="1" si="110"/>
        <v>3.3000000000000003</v>
      </c>
      <c r="AK233" s="8">
        <f t="shared" ca="1" si="111"/>
        <v>1.0000916666666666</v>
      </c>
      <c r="AL233" s="98">
        <f t="shared" ca="1" si="112"/>
        <v>3.5609326748484715</v>
      </c>
      <c r="AM233" s="106">
        <f t="shared" ca="1" si="104"/>
        <v>26730.228661610872</v>
      </c>
      <c r="AN233" s="10">
        <f t="shared" ca="1" si="105"/>
        <v>0.27216657962783053</v>
      </c>
      <c r="AO233" s="311">
        <f t="shared" ca="1" si="106"/>
        <v>0.26827634935384331</v>
      </c>
      <c r="AP233" s="312">
        <f t="shared" ca="1" si="107"/>
        <v>0.29040534066936752</v>
      </c>
      <c r="AQ233" s="1"/>
      <c r="AR233" s="1"/>
      <c r="AS233" s="1"/>
      <c r="AT233" s="1"/>
      <c r="AU233" s="1"/>
      <c r="AW233" s="176">
        <v>48670</v>
      </c>
      <c r="AX233" s="177">
        <f ca="1">IF(fechaHoy&gt;=siguienteHabil(EDATE(AW233,1)+8,-1),VLOOKUP(EDATE(AW233,1)-1,Inflation_FWD!$L:$M,2,0)/100,IFERROR(VLOOKUP(AW233,Inflation_FWD!$H:$I,2,0),0.25%))</f>
        <v>2.5000000000000001E-3</v>
      </c>
      <c r="AY233" s="177">
        <f t="shared" si="103"/>
        <v>2.4750000000000002E-3</v>
      </c>
      <c r="AZ233" s="100">
        <f t="shared" si="101"/>
        <v>48678</v>
      </c>
      <c r="BA233" s="102">
        <f t="shared" ca="1" si="102"/>
        <v>42777.711288776787</v>
      </c>
      <c r="BC233" s="23"/>
      <c r="BD233" s="23"/>
      <c r="CC233" s="299"/>
      <c r="CL233" s="284"/>
    </row>
    <row r="234" spans="34:90">
      <c r="AH234" s="6">
        <f t="shared" si="108"/>
        <v>204</v>
      </c>
      <c r="AI234" s="7">
        <f t="shared" ca="1" si="109"/>
        <v>42874</v>
      </c>
      <c r="AJ234" s="210">
        <f t="shared" ca="1" si="110"/>
        <v>3.3000000000000003</v>
      </c>
      <c r="AK234" s="8">
        <f t="shared" ca="1" si="111"/>
        <v>1.0000916666666666</v>
      </c>
      <c r="AL234" s="98">
        <f t="shared" ca="1" si="112"/>
        <v>3.560154358951273</v>
      </c>
      <c r="AM234" s="106">
        <f t="shared" ca="1" si="104"/>
        <v>26732.290166350165</v>
      </c>
      <c r="AN234" s="10">
        <f t="shared" ca="1" si="105"/>
        <v>0.27343973333229243</v>
      </c>
      <c r="AO234" s="311">
        <f t="shared" ca="1" si="106"/>
        <v>0.26953155364363351</v>
      </c>
      <c r="AP234" s="312">
        <f t="shared" ca="1" si="107"/>
        <v>0.29035631429050024</v>
      </c>
      <c r="AQ234" s="1"/>
      <c r="AR234" s="1"/>
      <c r="AS234" s="1"/>
      <c r="AT234" s="1"/>
      <c r="AU234" s="1"/>
      <c r="AW234" s="176">
        <v>48700</v>
      </c>
      <c r="AX234" s="177">
        <f ca="1">IF(fechaHoy&gt;=siguienteHabil(EDATE(AW234,1)+8,-1),VLOOKUP(EDATE(AW234,1)-1,Inflation_FWD!$L:$M,2,0)/100,IFERROR(VLOOKUP(AW234,Inflation_FWD!$H:$I,2,0),0.25%))</f>
        <v>2.5000000000000001E-3</v>
      </c>
      <c r="AY234" s="177">
        <f t="shared" si="103"/>
        <v>2.4750000000000002E-3</v>
      </c>
      <c r="AZ234" s="100">
        <f t="shared" si="101"/>
        <v>48708</v>
      </c>
      <c r="BA234" s="102">
        <f t="shared" ca="1" si="102"/>
        <v>42883.586124216512</v>
      </c>
      <c r="BC234" s="23"/>
      <c r="BD234" s="23"/>
      <c r="CC234" s="299"/>
      <c r="CL234" s="284"/>
    </row>
    <row r="235" spans="34:90">
      <c r="AH235" s="6">
        <f t="shared" si="108"/>
        <v>205</v>
      </c>
      <c r="AI235" s="7">
        <f t="shared" ca="1" si="109"/>
        <v>42875</v>
      </c>
      <c r="AJ235" s="210">
        <f t="shared" ca="1" si="110"/>
        <v>3.3000000000000003</v>
      </c>
      <c r="AK235" s="8">
        <f t="shared" ca="1" si="111"/>
        <v>1.0000916666666666</v>
      </c>
      <c r="AL235" s="98">
        <f t="shared" ca="1" si="112"/>
        <v>3.5593836421440539</v>
      </c>
      <c r="AM235" s="106">
        <f t="shared" ca="1" si="104"/>
        <v>26734.35183007806</v>
      </c>
      <c r="AN235" s="10">
        <f t="shared" ca="1" si="105"/>
        <v>0.27470048195445962</v>
      </c>
      <c r="AO235" s="311">
        <f t="shared" ca="1" si="106"/>
        <v>0.27077454923512478</v>
      </c>
      <c r="AP235" s="312">
        <f t="shared" ca="1" si="107"/>
        <v>0.29030789160165371</v>
      </c>
      <c r="AQ235" s="1"/>
      <c r="AR235" s="1"/>
      <c r="AS235" s="1"/>
      <c r="AT235" s="1"/>
      <c r="AU235" s="1"/>
      <c r="AW235" s="176">
        <v>48731</v>
      </c>
      <c r="AX235" s="177">
        <f ca="1">IF(fechaHoy&gt;=siguienteHabil(EDATE(AW235,1)+8,-1),VLOOKUP(EDATE(AW235,1)-1,Inflation_FWD!$L:$M,2,0)/100,IFERROR(VLOOKUP(AW235,Inflation_FWD!$H:$I,2,0),0.25%))</f>
        <v>2.5000000000000001E-3</v>
      </c>
      <c r="AY235" s="177">
        <f t="shared" si="103"/>
        <v>2.4750000000000002E-3</v>
      </c>
      <c r="AZ235" s="100">
        <f t="shared" si="101"/>
        <v>48739</v>
      </c>
      <c r="BA235" s="102">
        <f t="shared" ca="1" si="102"/>
        <v>42989.722999873949</v>
      </c>
      <c r="BC235" s="23"/>
      <c r="BD235" s="23"/>
      <c r="CC235" s="299"/>
      <c r="CL235" s="284"/>
    </row>
    <row r="236" spans="34:90">
      <c r="AH236" s="6">
        <f t="shared" si="108"/>
        <v>206</v>
      </c>
      <c r="AI236" s="7">
        <f t="shared" ca="1" si="109"/>
        <v>42876</v>
      </c>
      <c r="AJ236" s="210">
        <f t="shared" ca="1" si="110"/>
        <v>3.3000000000000003</v>
      </c>
      <c r="AK236" s="8">
        <f t="shared" ca="1" si="111"/>
        <v>1.0000916666666666</v>
      </c>
      <c r="AL236" s="98">
        <f t="shared" ca="1" si="112"/>
        <v>3.5586204136768718</v>
      </c>
      <c r="AM236" s="106">
        <f t="shared" ca="1" si="104"/>
        <v>26736.413652806819</v>
      </c>
      <c r="AN236" s="10">
        <f t="shared" ca="1" si="105"/>
        <v>0.27594900592018412</v>
      </c>
      <c r="AO236" s="311">
        <f t="shared" ca="1" si="106"/>
        <v>0.27200551392539868</v>
      </c>
      <c r="AP236" s="312">
        <f t="shared" ca="1" si="107"/>
        <v>0.29026006382266301</v>
      </c>
      <c r="AQ236" s="1"/>
      <c r="AR236" s="1"/>
      <c r="AS236" s="1"/>
      <c r="AT236" s="1"/>
      <c r="AU236" s="1"/>
      <c r="AW236" s="176">
        <v>48761</v>
      </c>
      <c r="AX236" s="177">
        <f ca="1">IF(fechaHoy&gt;=siguienteHabil(EDATE(AW236,1)+8,-1),VLOOKUP(EDATE(AW236,1)-1,Inflation_FWD!$L:$M,2,0)/100,IFERROR(VLOOKUP(AW236,Inflation_FWD!$H:$I,2,0),0.25%))</f>
        <v>2.5000000000000001E-3</v>
      </c>
      <c r="AY236" s="177">
        <f t="shared" si="103"/>
        <v>2.4750000000000002E-3</v>
      </c>
      <c r="AZ236" s="100">
        <f t="shared" si="101"/>
        <v>48769</v>
      </c>
      <c r="BA236" s="102">
        <f t="shared" ca="1" si="102"/>
        <v>43096.122564298639</v>
      </c>
      <c r="BC236" s="23"/>
      <c r="BD236" s="23"/>
      <c r="CC236" s="299"/>
      <c r="CL236" s="284"/>
    </row>
    <row r="237" spans="34:90">
      <c r="AH237" s="6">
        <f t="shared" si="108"/>
        <v>207</v>
      </c>
      <c r="AI237" s="7">
        <f t="shared" ca="1" si="109"/>
        <v>42877</v>
      </c>
      <c r="AJ237" s="210">
        <f t="shared" ca="1" si="110"/>
        <v>3.3000000000000003</v>
      </c>
      <c r="AK237" s="8">
        <f t="shared" ca="1" si="111"/>
        <v>1.0000916666666666</v>
      </c>
      <c r="AL237" s="98">
        <f t="shared" ca="1" si="112"/>
        <v>3.5578645649414931</v>
      </c>
      <c r="AM237" s="106">
        <f t="shared" ca="1" si="104"/>
        <v>26738.475634548711</v>
      </c>
      <c r="AN237" s="10">
        <f t="shared" ca="1" si="105"/>
        <v>0.27718548217328109</v>
      </c>
      <c r="AO237" s="311">
        <f t="shared" ca="1" si="106"/>
        <v>0.27322462207588299</v>
      </c>
      <c r="AP237" s="312">
        <f t="shared" ca="1" si="107"/>
        <v>0.29021282234302848</v>
      </c>
      <c r="AQ237" s="1"/>
      <c r="AR237" s="1"/>
      <c r="AS237" s="1"/>
      <c r="AT237" s="1"/>
      <c r="AU237" s="1"/>
      <c r="AW237" s="176">
        <v>48792</v>
      </c>
      <c r="AX237" s="177">
        <f ca="1">IF(fechaHoy&gt;=siguienteHabil(EDATE(AW237,1)+8,-1),VLOOKUP(EDATE(AW237,1)-1,Inflation_FWD!$L:$M,2,0)/100,IFERROR(VLOOKUP(AW237,Inflation_FWD!$H:$I,2,0),0.25%))</f>
        <v>2.5000000000000001E-3</v>
      </c>
      <c r="AY237" s="177">
        <f t="shared" si="103"/>
        <v>2.4750000000000002E-3</v>
      </c>
      <c r="AZ237" s="100">
        <f t="shared" si="101"/>
        <v>48800</v>
      </c>
      <c r="BA237" s="102">
        <f t="shared" ca="1" si="102"/>
        <v>43202.785467645277</v>
      </c>
      <c r="BC237" s="23"/>
      <c r="BD237" s="23"/>
      <c r="CC237" s="299"/>
      <c r="CL237" s="284"/>
    </row>
    <row r="238" spans="34:90">
      <c r="AH238" s="6">
        <f t="shared" si="108"/>
        <v>208</v>
      </c>
      <c r="AI238" s="7">
        <f t="shared" ca="1" si="109"/>
        <v>42878</v>
      </c>
      <c r="AJ238" s="210">
        <f t="shared" ca="1" si="110"/>
        <v>3.3000000000000003</v>
      </c>
      <c r="AK238" s="8">
        <f t="shared" ca="1" si="111"/>
        <v>1.0000916666666666</v>
      </c>
      <c r="AL238" s="98">
        <f t="shared" ca="1" si="112"/>
        <v>3.5571159894198567</v>
      </c>
      <c r="AM238" s="106">
        <f t="shared" ca="1" si="104"/>
        <v>26740.537775315999</v>
      </c>
      <c r="AN238" s="10">
        <f t="shared" ca="1" si="105"/>
        <v>0.2784100842590842</v>
      </c>
      <c r="AO238" s="311">
        <f t="shared" ca="1" si="106"/>
        <v>0.27443204469486282</v>
      </c>
      <c r="AP238" s="312">
        <f t="shared" ca="1" si="107"/>
        <v>0.29016615871783996</v>
      </c>
      <c r="AQ238" s="1"/>
      <c r="AR238" s="1"/>
      <c r="AS238" s="1"/>
      <c r="AT238" s="1"/>
      <c r="AU238" s="1"/>
      <c r="AW238" s="176">
        <v>48823</v>
      </c>
      <c r="AX238" s="177">
        <f ca="1">IF(fechaHoy&gt;=siguienteHabil(EDATE(AW238,1)+8,-1),VLOOKUP(EDATE(AW238,1)-1,Inflation_FWD!$L:$M,2,0)/100,IFERROR(VLOOKUP(AW238,Inflation_FWD!$H:$I,2,0),0.25%))</f>
        <v>2.5000000000000001E-3</v>
      </c>
      <c r="AY238" s="177">
        <f t="shared" si="103"/>
        <v>2.4750000000000002E-3</v>
      </c>
      <c r="AZ238" s="100">
        <f t="shared" si="101"/>
        <v>48831</v>
      </c>
      <c r="BA238" s="102">
        <f t="shared" ca="1" si="102"/>
        <v>43309.712361677703</v>
      </c>
      <c r="BC238" s="23"/>
      <c r="BD238" s="23"/>
      <c r="CC238" s="299"/>
      <c r="CL238" s="284"/>
    </row>
    <row r="239" spans="34:90">
      <c r="AH239" s="6">
        <f t="shared" si="108"/>
        <v>209</v>
      </c>
      <c r="AI239" s="7">
        <f t="shared" ca="1" si="109"/>
        <v>42879</v>
      </c>
      <c r="AJ239" s="210">
        <f t="shared" ca="1" si="110"/>
        <v>3.3000000000000003</v>
      </c>
      <c r="AK239" s="8">
        <f t="shared" ca="1" si="111"/>
        <v>1.0000916666666666</v>
      </c>
      <c r="AL239" s="98">
        <f t="shared" ca="1" si="112"/>
        <v>3.5563745826340254</v>
      </c>
      <c r="AM239" s="106">
        <f t="shared" ca="1" si="104"/>
        <v>26742.600075120939</v>
      </c>
      <c r="AN239" s="10">
        <f t="shared" ca="1" si="105"/>
        <v>0.27962298240573613</v>
      </c>
      <c r="AO239" s="311">
        <f t="shared" ca="1" si="106"/>
        <v>0.27562794951781394</v>
      </c>
      <c r="AP239" s="312">
        <f t="shared" ca="1" si="107"/>
        <v>0.29012006466381263</v>
      </c>
      <c r="AQ239" s="1"/>
      <c r="AR239" s="1"/>
      <c r="AS239" s="1"/>
      <c r="AT239" s="1"/>
      <c r="AU239" s="1"/>
      <c r="AW239" s="176">
        <v>48853</v>
      </c>
      <c r="AX239" s="177">
        <f ca="1">IF(fechaHoy&gt;=siguienteHabil(EDATE(AW239,1)+8,-1),VLOOKUP(EDATE(AW239,1)-1,Inflation_FWD!$L:$M,2,0)/100,IFERROR(VLOOKUP(AW239,Inflation_FWD!$H:$I,2,0),0.25%))</f>
        <v>2.5000000000000001E-3</v>
      </c>
      <c r="AY239" s="177">
        <f t="shared" si="103"/>
        <v>2.4750000000000002E-3</v>
      </c>
      <c r="AZ239" s="100">
        <f t="shared" si="101"/>
        <v>48861</v>
      </c>
      <c r="BA239" s="102">
        <f t="shared" ca="1" si="102"/>
        <v>43416.903899772857</v>
      </c>
      <c r="BC239" s="23"/>
      <c r="BD239" s="23"/>
      <c r="CC239" s="299"/>
      <c r="CL239" s="284"/>
    </row>
    <row r="240" spans="34:90">
      <c r="AH240" s="6">
        <f t="shared" si="108"/>
        <v>210</v>
      </c>
      <c r="AI240" s="7">
        <f t="shared" ca="1" si="109"/>
        <v>42880</v>
      </c>
      <c r="AJ240" s="210">
        <f t="shared" ca="1" si="110"/>
        <v>3.3000000000000003</v>
      </c>
      <c r="AK240" s="8">
        <f t="shared" ca="1" si="111"/>
        <v>1.0000916666666666</v>
      </c>
      <c r="AL240" s="98">
        <f t="shared" ca="1" si="112"/>
        <v>3.5556402420976463</v>
      </c>
      <c r="AM240" s="106">
        <f t="shared" ca="1" si="104"/>
        <v>26744.662533975807</v>
      </c>
      <c r="AN240" s="10">
        <f t="shared" ca="1" si="105"/>
        <v>0.28082434360292563</v>
      </c>
      <c r="AO240" s="311">
        <f t="shared" ca="1" si="106"/>
        <v>0.27681250108517425</v>
      </c>
      <c r="AP240" s="312">
        <f t="shared" ca="1" si="107"/>
        <v>0.29007453205543832</v>
      </c>
      <c r="AQ240" s="1"/>
      <c r="AR240" s="1"/>
      <c r="AS240" s="1"/>
      <c r="AT240" s="1"/>
      <c r="AU240" s="1"/>
      <c r="AW240" s="176">
        <v>48884</v>
      </c>
      <c r="AX240" s="177">
        <f ca="1">IF(fechaHoy&gt;=siguienteHabil(EDATE(AW240,1)+8,-1),VLOOKUP(EDATE(AW240,1)-1,Inflation_FWD!$L:$M,2,0)/100,IFERROR(VLOOKUP(AW240,Inflation_FWD!$H:$I,2,0),0.25%))</f>
        <v>2.5000000000000001E-3</v>
      </c>
      <c r="AY240" s="177">
        <f t="shared" si="103"/>
        <v>2.4750000000000002E-3</v>
      </c>
      <c r="AZ240" s="100">
        <f t="shared" si="101"/>
        <v>48892</v>
      </c>
      <c r="BA240" s="102">
        <f t="shared" ca="1" si="102"/>
        <v>43524.360736924791</v>
      </c>
      <c r="BC240" s="23"/>
      <c r="BD240" s="23"/>
      <c r="CC240" s="299"/>
      <c r="CL240" s="284"/>
    </row>
    <row r="241" spans="34:90">
      <c r="AH241" s="6">
        <f t="shared" si="108"/>
        <v>211</v>
      </c>
      <c r="AI241" s="7">
        <f t="shared" ca="1" si="109"/>
        <v>42881</v>
      </c>
      <c r="AJ241" s="210">
        <f t="shared" ca="1" si="110"/>
        <v>3.3000000000000003</v>
      </c>
      <c r="AK241" s="8">
        <f t="shared" ca="1" si="111"/>
        <v>1.0000916666666666</v>
      </c>
      <c r="AL241" s="98">
        <f t="shared" ca="1" si="112"/>
        <v>3.5549128672686336</v>
      </c>
      <c r="AM241" s="106">
        <f t="shared" ca="1" si="104"/>
        <v>26746.725151892864</v>
      </c>
      <c r="AN241" s="10">
        <f t="shared" ca="1" si="105"/>
        <v>0.2820143316785817</v>
      </c>
      <c r="AO241" s="311">
        <f t="shared" ca="1" si="106"/>
        <v>0.27798586081813192</v>
      </c>
      <c r="AP241" s="312">
        <f t="shared" ca="1" si="107"/>
        <v>0.2900295529212501</v>
      </c>
      <c r="AQ241" s="1"/>
      <c r="AR241" s="1"/>
      <c r="AS241" s="1"/>
      <c r="AT241" s="1"/>
      <c r="AU241" s="1"/>
      <c r="AW241" s="176">
        <v>48914</v>
      </c>
      <c r="AX241" s="177">
        <f ca="1">IF(fechaHoy&gt;=siguienteHabil(EDATE(AW241,1)+8,-1),VLOOKUP(EDATE(AW241,1)-1,Inflation_FWD!$L:$M,2,0)/100,IFERROR(VLOOKUP(AW241,Inflation_FWD!$H:$I,2,0),0.25%))</f>
        <v>2.5000000000000001E-3</v>
      </c>
      <c r="AY241" s="177">
        <f t="shared" si="103"/>
        <v>2.4750000000000002E-3</v>
      </c>
      <c r="AZ241" s="100">
        <f t="shared" si="101"/>
        <v>48922</v>
      </c>
      <c r="BA241" s="102">
        <f t="shared" ca="1" si="102"/>
        <v>43632.083529748677</v>
      </c>
      <c r="BC241" s="23"/>
      <c r="BD241" s="23"/>
      <c r="CC241" s="299"/>
      <c r="CL241" s="284"/>
    </row>
    <row r="242" spans="34:90">
      <c r="AH242" s="6">
        <f t="shared" si="108"/>
        <v>212</v>
      </c>
      <c r="AI242" s="7">
        <f t="shared" ca="1" si="109"/>
        <v>42882</v>
      </c>
      <c r="AJ242" s="210">
        <f t="shared" ca="1" si="110"/>
        <v>3.3000000000000003</v>
      </c>
      <c r="AK242" s="8">
        <f t="shared" ca="1" si="111"/>
        <v>1.0000916666666666</v>
      </c>
      <c r="AL242" s="98">
        <f t="shared" ca="1" si="112"/>
        <v>3.5541923595033165</v>
      </c>
      <c r="AM242" s="106">
        <f t="shared" ca="1" si="104"/>
        <v>26748.787928884383</v>
      </c>
      <c r="AN242" s="10">
        <f t="shared" ca="1" si="105"/>
        <v>0.28319310737352499</v>
      </c>
      <c r="AO242" s="311">
        <f t="shared" ca="1" si="106"/>
        <v>0.2791481870922678</v>
      </c>
      <c r="AP242" s="312">
        <f t="shared" ca="1" si="107"/>
        <v>0.28998511944018618</v>
      </c>
      <c r="AQ242" s="1"/>
      <c r="AR242" s="1"/>
      <c r="AS242" s="1"/>
      <c r="AT242" s="1"/>
      <c r="AU242" s="1"/>
      <c r="AW242" s="176">
        <v>48945</v>
      </c>
      <c r="AX242" s="177">
        <f ca="1">IF(fechaHoy&gt;=siguienteHabil(EDATE(AW242,1)+8,-1),VLOOKUP(EDATE(AW242,1)-1,Inflation_FWD!$L:$M,2,0)/100,IFERROR(VLOOKUP(AW242,Inflation_FWD!$H:$I,2,0),0.25%))</f>
        <v>2.5000000000000001E-3</v>
      </c>
      <c r="AY242" s="177">
        <f t="shared" si="103"/>
        <v>2.4750000000000002E-3</v>
      </c>
      <c r="AZ242" s="100">
        <f t="shared" si="101"/>
        <v>48953</v>
      </c>
      <c r="BA242" s="102">
        <f t="shared" ca="1" si="102"/>
        <v>43740.072936484808</v>
      </c>
      <c r="BC242" s="23"/>
      <c r="BD242" s="23"/>
      <c r="CC242" s="299"/>
      <c r="CL242" s="284"/>
    </row>
    <row r="243" spans="34:90">
      <c r="AH243" s="6">
        <f t="shared" si="108"/>
        <v>213</v>
      </c>
      <c r="AI243" s="7">
        <f t="shared" ca="1" si="109"/>
        <v>42883</v>
      </c>
      <c r="AJ243" s="210">
        <f t="shared" ca="1" si="110"/>
        <v>3.3000000000000003</v>
      </c>
      <c r="AK243" s="8">
        <f t="shared" ca="1" si="111"/>
        <v>1.0000916666666666</v>
      </c>
      <c r="AL243" s="98">
        <f t="shared" ca="1" si="112"/>
        <v>3.5534786220118741</v>
      </c>
      <c r="AM243" s="106">
        <f t="shared" ca="1" si="104"/>
        <v>26750.85086496262</v>
      </c>
      <c r="AN243" s="10">
        <f t="shared" ca="1" si="105"/>
        <v>0.2843608284135879</v>
      </c>
      <c r="AO243" s="311">
        <f t="shared" ca="1" si="106"/>
        <v>0.28029963530893559</v>
      </c>
      <c r="AP243" s="312">
        <f t="shared" ca="1" si="107"/>
        <v>0.28994122393806232</v>
      </c>
      <c r="AQ243" s="1"/>
      <c r="AR243" s="1"/>
      <c r="AS243" s="1"/>
      <c r="AT243" s="1"/>
      <c r="AU243" s="1"/>
      <c r="AW243" s="176">
        <v>48976</v>
      </c>
      <c r="AX243" s="177">
        <f ca="1">IF(fechaHoy&gt;=siguienteHabil(EDATE(AW243,1)+8,-1),VLOOKUP(EDATE(AW243,1)-1,Inflation_FWD!$L:$M,2,0)/100,IFERROR(VLOOKUP(AW243,Inflation_FWD!$H:$I,2,0),0.25%))</f>
        <v>2.5000000000000001E-3</v>
      </c>
      <c r="AY243" s="177">
        <f t="shared" si="103"/>
        <v>2.4750000000000002E-3</v>
      </c>
      <c r="AZ243" s="100">
        <f t="shared" si="101"/>
        <v>48984</v>
      </c>
      <c r="BA243" s="102">
        <f t="shared" ca="1" si="102"/>
        <v>43848.329617002608</v>
      </c>
      <c r="BC243" s="23"/>
      <c r="BD243" s="23"/>
      <c r="CC243" s="299"/>
      <c r="CL243" s="284"/>
    </row>
    <row r="244" spans="34:90">
      <c r="AH244" s="6">
        <f t="shared" si="108"/>
        <v>214</v>
      </c>
      <c r="AI244" s="7">
        <f t="shared" ca="1" si="109"/>
        <v>42884</v>
      </c>
      <c r="AJ244" s="210">
        <f t="shared" ca="1" si="110"/>
        <v>3.3000000000000003</v>
      </c>
      <c r="AK244" s="8">
        <f t="shared" ca="1" si="111"/>
        <v>1.0000916666666666</v>
      </c>
      <c r="AL244" s="98">
        <f t="shared" ca="1" si="112"/>
        <v>3.5527715598149046</v>
      </c>
      <c r="AM244" s="106">
        <f t="shared" ca="1" si="104"/>
        <v>26752.913960139853</v>
      </c>
      <c r="AN244" s="10">
        <f t="shared" ca="1" si="105"/>
        <v>0.28551764958013592</v>
      </c>
      <c r="AO244" s="311">
        <f t="shared" ca="1" si="106"/>
        <v>0.28144035796482847</v>
      </c>
      <c r="AP244" s="312">
        <f t="shared" ca="1" si="107"/>
        <v>0.28989785888413361</v>
      </c>
      <c r="AQ244" s="1"/>
      <c r="AR244" s="1"/>
      <c r="AS244" s="1"/>
      <c r="AT244" s="1"/>
      <c r="AU244" s="1"/>
      <c r="AW244" s="176">
        <v>49004</v>
      </c>
      <c r="AX244" s="177">
        <f ca="1">IF(fechaHoy&gt;=siguienteHabil(EDATE(AW244,1)+8,-1),VLOOKUP(EDATE(AW244,1)-1,Inflation_FWD!$L:$M,2,0)/100,IFERROR(VLOOKUP(AW244,Inflation_FWD!$H:$I,2,0),0.25%))</f>
        <v>2.5000000000000001E-3</v>
      </c>
      <c r="AY244" s="177">
        <f t="shared" si="103"/>
        <v>2.4750000000000002E-3</v>
      </c>
      <c r="AZ244" s="100">
        <f t="shared" si="101"/>
        <v>49012</v>
      </c>
      <c r="BA244" s="102">
        <f t="shared" ca="1" si="102"/>
        <v>43956.85423280469</v>
      </c>
      <c r="BC244" s="23"/>
      <c r="BD244" s="23"/>
      <c r="CC244" s="299"/>
      <c r="CL244" s="284"/>
    </row>
    <row r="245" spans="34:90">
      <c r="AH245" s="6">
        <f t="shared" si="108"/>
        <v>215</v>
      </c>
      <c r="AI245" s="7">
        <f t="shared" ca="1" si="109"/>
        <v>42885</v>
      </c>
      <c r="AJ245" s="210">
        <f t="shared" ca="1" si="110"/>
        <v>3.3000000000000003</v>
      </c>
      <c r="AK245" s="8">
        <f t="shared" ca="1" si="111"/>
        <v>1.0000916666666666</v>
      </c>
      <c r="AL245" s="98">
        <f t="shared" ca="1" si="112"/>
        <v>3.5520710797013244</v>
      </c>
      <c r="AM245" s="106">
        <f t="shared" ca="1" si="104"/>
        <v>26754.977214428352</v>
      </c>
      <c r="AN245" s="10">
        <f t="shared" ca="1" si="105"/>
        <v>0.28666372277832419</v>
      </c>
      <c r="AO245" s="311">
        <f t="shared" ca="1" si="106"/>
        <v>0.28257050471938006</v>
      </c>
      <c r="AP245" s="312">
        <f t="shared" ca="1" si="107"/>
        <v>0.28985501688776544</v>
      </c>
      <c r="AQ245" s="1"/>
      <c r="AR245" s="1"/>
      <c r="AS245" s="1"/>
      <c r="AT245" s="1"/>
      <c r="AU245" s="1"/>
      <c r="AW245" s="176">
        <v>49035</v>
      </c>
      <c r="AX245" s="177">
        <f ca="1">IF(fechaHoy&gt;=siguienteHabil(EDATE(AW245,1)+8,-1),VLOOKUP(EDATE(AW245,1)-1,Inflation_FWD!$L:$M,2,0)/100,IFERROR(VLOOKUP(AW245,Inflation_FWD!$H:$I,2,0),0.25%))</f>
        <v>2.5000000000000001E-3</v>
      </c>
      <c r="AY245" s="177">
        <f t="shared" si="103"/>
        <v>2.4750000000000002E-3</v>
      </c>
      <c r="AZ245" s="100">
        <f t="shared" si="101"/>
        <v>49043</v>
      </c>
      <c r="BA245" s="102">
        <f t="shared" ca="1" si="102"/>
        <v>44065.647447030882</v>
      </c>
      <c r="BC245" s="23"/>
      <c r="BD245" s="23"/>
      <c r="CC245" s="299"/>
      <c r="CL245" s="284"/>
    </row>
    <row r="246" spans="34:90">
      <c r="AH246" s="6">
        <f t="shared" si="108"/>
        <v>216</v>
      </c>
      <c r="AI246" s="7">
        <f t="shared" ca="1" si="109"/>
        <v>42886</v>
      </c>
      <c r="AJ246" s="210">
        <f t="shared" ca="1" si="110"/>
        <v>3.3000000000000003</v>
      </c>
      <c r="AK246" s="8">
        <f t="shared" ca="1" si="111"/>
        <v>1.0000916666666666</v>
      </c>
      <c r="AL246" s="98">
        <f t="shared" ca="1" si="112"/>
        <v>3.5513770901874908</v>
      </c>
      <c r="AM246" s="106">
        <f t="shared" ca="1" si="104"/>
        <v>26757.04062784039</v>
      </c>
      <c r="AN246" s="10">
        <f t="shared" ca="1" si="105"/>
        <v>0.28779919710368862</v>
      </c>
      <c r="AO246" s="311">
        <f t="shared" ca="1" si="106"/>
        <v>0.28369022246059006</v>
      </c>
      <c r="AP246" s="312">
        <f t="shared" ca="1" si="107"/>
        <v>0.28981269069518661</v>
      </c>
      <c r="AQ246" s="1"/>
      <c r="AR246" s="1"/>
      <c r="AS246" s="1"/>
      <c r="AT246" s="1"/>
      <c r="AU246" s="1"/>
      <c r="AW246" s="176">
        <v>49065</v>
      </c>
      <c r="AX246" s="177">
        <f ca="1">IF(fechaHoy&gt;=siguienteHabil(EDATE(AW246,1)+8,-1),VLOOKUP(EDATE(AW246,1)-1,Inflation_FWD!$L:$M,2,0)/100,IFERROR(VLOOKUP(AW246,Inflation_FWD!$H:$I,2,0),0.25%))</f>
        <v>2.5000000000000001E-3</v>
      </c>
      <c r="AY246" s="177">
        <f t="shared" si="103"/>
        <v>2.4750000000000002E-3</v>
      </c>
      <c r="AZ246" s="100">
        <f t="shared" si="101"/>
        <v>49073</v>
      </c>
      <c r="BA246" s="102">
        <f t="shared" ca="1" si="102"/>
        <v>44174.70992446228</v>
      </c>
      <c r="BC246" s="23"/>
      <c r="BD246" s="23"/>
      <c r="CC246" s="299"/>
      <c r="CL246" s="284"/>
    </row>
    <row r="247" spans="34:90">
      <c r="AH247" s="6">
        <f t="shared" si="108"/>
        <v>217</v>
      </c>
      <c r="AI247" s="7">
        <f t="shared" ca="1" si="109"/>
        <v>42887</v>
      </c>
      <c r="AJ247" s="210">
        <f t="shared" ca="1" si="110"/>
        <v>3.3000000000000003</v>
      </c>
      <c r="AK247" s="8">
        <f t="shared" ca="1" si="111"/>
        <v>1.0000916666666666</v>
      </c>
      <c r="AL247" s="98">
        <f t="shared" ca="1" si="112"/>
        <v>3.5506895014772777</v>
      </c>
      <c r="AM247" s="106">
        <f t="shared" ca="1" si="104"/>
        <v>26759.104200388228</v>
      </c>
      <c r="AN247" s="10">
        <f t="shared" ca="1" si="105"/>
        <v>0.28892421890691633</v>
      </c>
      <c r="AO247" s="311">
        <f t="shared" ca="1" si="106"/>
        <v>0.28479965536899277</v>
      </c>
      <c r="AP247" s="312">
        <f t="shared" ca="1" si="107"/>
        <v>0.28977087318633915</v>
      </c>
      <c r="AQ247" s="1"/>
      <c r="AR247" s="1"/>
      <c r="AS247" s="1"/>
      <c r="AT247" s="1"/>
      <c r="AU247" s="1"/>
      <c r="AW247" s="176">
        <v>49096</v>
      </c>
      <c r="AX247" s="177">
        <f ca="1">IF(fechaHoy&gt;=siguienteHabil(EDATE(AW247,1)+8,-1),VLOOKUP(EDATE(AW247,1)-1,Inflation_FWD!$L:$M,2,0)/100,IFERROR(VLOOKUP(AW247,Inflation_FWD!$H:$I,2,0),0.25%))</f>
        <v>2.5000000000000001E-3</v>
      </c>
      <c r="AY247" s="177">
        <f t="shared" si="103"/>
        <v>2.4750000000000002E-3</v>
      </c>
      <c r="AZ247" s="100">
        <f t="shared" si="101"/>
        <v>49104</v>
      </c>
      <c r="BA247" s="102">
        <f t="shared" ca="1" si="102"/>
        <v>44284.042331525328</v>
      </c>
      <c r="BC247" s="23"/>
      <c r="BD247" s="23"/>
      <c r="CC247" s="299"/>
      <c r="CL247" s="284"/>
    </row>
    <row r="248" spans="34:90">
      <c r="AH248" s="6">
        <f t="shared" si="108"/>
        <v>218</v>
      </c>
      <c r="AI248" s="7">
        <f t="shared" ca="1" si="109"/>
        <v>42888</v>
      </c>
      <c r="AJ248" s="210">
        <f t="shared" ca="1" si="110"/>
        <v>3.3000000000000003</v>
      </c>
      <c r="AK248" s="8">
        <f t="shared" ca="1" si="111"/>
        <v>1.0000916666666666</v>
      </c>
      <c r="AL248" s="98">
        <f t="shared" ca="1" si="112"/>
        <v>3.5500082254233511</v>
      </c>
      <c r="AM248" s="106">
        <f t="shared" ca="1" si="104"/>
        <v>26761.167932084158</v>
      </c>
      <c r="AN248" s="10">
        <f t="shared" ca="1" si="105"/>
        <v>0.29003893185639562</v>
      </c>
      <c r="AO248" s="311">
        <f t="shared" ca="1" si="106"/>
        <v>0.28589894497935114</v>
      </c>
      <c r="AP248" s="312">
        <f t="shared" ca="1" si="107"/>
        <v>0.28972955737180828</v>
      </c>
      <c r="AQ248" s="1"/>
      <c r="AR248" s="1"/>
      <c r="AS248" s="1"/>
      <c r="AT248" s="1"/>
      <c r="AU248" s="1"/>
      <c r="AW248" s="176">
        <v>49126</v>
      </c>
      <c r="AX248" s="177">
        <f ca="1">IF(fechaHoy&gt;=siguienteHabil(EDATE(AW248,1)+8,-1),VLOOKUP(EDATE(AW248,1)-1,Inflation_FWD!$L:$M,2,0)/100,IFERROR(VLOOKUP(AW248,Inflation_FWD!$H:$I,2,0),0.25%))</f>
        <v>2.5000000000000001E-3</v>
      </c>
      <c r="AY248" s="177">
        <f t="shared" si="103"/>
        <v>2.4750000000000002E-3</v>
      </c>
      <c r="AZ248" s="100">
        <f t="shared" si="101"/>
        <v>49134</v>
      </c>
      <c r="BA248" s="102">
        <f t="shared" ca="1" si="102"/>
        <v>44393.645336295856</v>
      </c>
      <c r="BC248" s="23"/>
      <c r="BD248" s="23"/>
      <c r="CC248" s="299"/>
      <c r="CL248" s="284"/>
    </row>
    <row r="249" spans="34:90">
      <c r="AH249" s="6">
        <f t="shared" si="108"/>
        <v>219</v>
      </c>
      <c r="AI249" s="7">
        <f t="shared" ca="1" si="109"/>
        <v>42889</v>
      </c>
      <c r="AJ249" s="210">
        <f t="shared" ca="1" si="110"/>
        <v>3.3000000000000003</v>
      </c>
      <c r="AK249" s="8">
        <f t="shared" ca="1" si="111"/>
        <v>1.0000916666666666</v>
      </c>
      <c r="AL249" s="98">
        <f t="shared" ca="1" si="112"/>
        <v>3.5493331754895996</v>
      </c>
      <c r="AM249" s="106">
        <f t="shared" ca="1" si="104"/>
        <v>26763.23182294043</v>
      </c>
      <c r="AN249" s="10">
        <f t="shared" ca="1" si="105"/>
        <v>0.29114347699989995</v>
      </c>
      <c r="AO249" s="311">
        <f t="shared" ca="1" si="106"/>
        <v>0.2869882302416471</v>
      </c>
      <c r="AP249" s="312">
        <f t="shared" ca="1" si="107"/>
        <v>0.28968873638984283</v>
      </c>
      <c r="AQ249" s="1"/>
      <c r="AR249" s="1"/>
      <c r="AS249" s="1"/>
      <c r="AT249" s="1"/>
      <c r="AU249" s="1"/>
      <c r="AW249" s="176">
        <v>49157</v>
      </c>
      <c r="AX249" s="177">
        <f ca="1">IF(fechaHoy&gt;=siguienteHabil(EDATE(AW249,1)+8,-1),VLOOKUP(EDATE(AW249,1)-1,Inflation_FWD!$L:$M,2,0)/100,IFERROR(VLOOKUP(AW249,Inflation_FWD!$H:$I,2,0),0.25%))</f>
        <v>2.5000000000000001E-3</v>
      </c>
      <c r="AY249" s="177">
        <f t="shared" si="103"/>
        <v>2.4750000000000002E-3</v>
      </c>
      <c r="AZ249" s="100">
        <f t="shared" si="101"/>
        <v>49165</v>
      </c>
      <c r="BA249" s="102">
        <f t="shared" ca="1" si="102"/>
        <v>44503.519608503186</v>
      </c>
      <c r="BC249" s="23"/>
      <c r="BD249" s="23"/>
      <c r="CC249" s="299"/>
      <c r="CL249" s="284"/>
    </row>
    <row r="250" spans="34:90">
      <c r="AH250" s="6">
        <f t="shared" si="108"/>
        <v>220</v>
      </c>
      <c r="AI250" s="7">
        <f t="shared" ca="1" si="109"/>
        <v>42890</v>
      </c>
      <c r="AJ250" s="210">
        <f t="shared" ca="1" si="110"/>
        <v>3.3000000000000003</v>
      </c>
      <c r="AK250" s="8">
        <f t="shared" ca="1" si="111"/>
        <v>1.0000916666666666</v>
      </c>
      <c r="AL250" s="98">
        <f t="shared" ca="1" si="112"/>
        <v>3.5486642667142965</v>
      </c>
      <c r="AM250" s="106">
        <f t="shared" ca="1" si="104"/>
        <v>26765.295872969338</v>
      </c>
      <c r="AN250" s="10">
        <f t="shared" ca="1" si="105"/>
        <v>0.29223799282336316</v>
      </c>
      <c r="AO250" s="311">
        <f t="shared" ca="1" si="106"/>
        <v>0.28806764757913567</v>
      </c>
      <c r="AP250" s="312">
        <f t="shared" ca="1" si="107"/>
        <v>0.28964840350344778</v>
      </c>
      <c r="AQ250" s="1"/>
      <c r="AR250" s="1"/>
      <c r="AS250" s="1"/>
      <c r="AT250" s="1"/>
      <c r="AU250" s="1"/>
      <c r="AW250" s="176">
        <v>49188</v>
      </c>
      <c r="AX250" s="177">
        <f ca="1">IF(fechaHoy&gt;=siguienteHabil(EDATE(AW250,1)+8,-1),VLOOKUP(EDATE(AW250,1)-1,Inflation_FWD!$L:$M,2,0)/100,IFERROR(VLOOKUP(AW250,Inflation_FWD!$H:$I,2,0),0.25%))</f>
        <v>2.5000000000000001E-3</v>
      </c>
      <c r="AY250" s="177">
        <f t="shared" si="103"/>
        <v>2.4750000000000002E-3</v>
      </c>
      <c r="AZ250" s="100">
        <f t="shared" si="101"/>
        <v>49196</v>
      </c>
      <c r="BA250" s="102">
        <f t="shared" ca="1" si="102"/>
        <v>44613.665819534232</v>
      </c>
      <c r="BC250" s="23"/>
      <c r="BD250" s="23"/>
      <c r="CC250" s="299"/>
      <c r="CL250" s="284"/>
    </row>
    <row r="251" spans="34:90">
      <c r="AH251" s="6">
        <f t="shared" si="108"/>
        <v>221</v>
      </c>
      <c r="AI251" s="7">
        <f t="shared" ca="1" si="109"/>
        <v>42891</v>
      </c>
      <c r="AJ251" s="210">
        <f t="shared" ca="1" si="110"/>
        <v>3.3000000000000003</v>
      </c>
      <c r="AK251" s="8">
        <f t="shared" ca="1" si="111"/>
        <v>1.0000916666666666</v>
      </c>
      <c r="AL251" s="98">
        <f t="shared" ca="1" si="112"/>
        <v>3.5480014156746176</v>
      </c>
      <c r="AM251" s="106">
        <f t="shared" ca="1" si="104"/>
        <v>26767.36008218315</v>
      </c>
      <c r="AN251" s="10">
        <f t="shared" ca="1" si="105"/>
        <v>0.29332261530952142</v>
      </c>
      <c r="AO251" s="311">
        <f t="shared" ca="1" si="106"/>
        <v>0.28913733094616223</v>
      </c>
      <c r="AP251" s="312">
        <f t="shared" ca="1" si="107"/>
        <v>0.28960855209756753</v>
      </c>
      <c r="AQ251" s="1"/>
      <c r="AR251" s="1"/>
      <c r="AS251" s="1"/>
      <c r="AT251" s="1"/>
      <c r="AU251" s="1"/>
      <c r="AW251" s="176">
        <v>49218</v>
      </c>
      <c r="AX251" s="177">
        <f ca="1">IF(fechaHoy&gt;=siguienteHabil(EDATE(AW251,1)+8,-1),VLOOKUP(EDATE(AW251,1)-1,Inflation_FWD!$L:$M,2,0)/100,IFERROR(VLOOKUP(AW251,Inflation_FWD!$H:$I,2,0),0.25%))</f>
        <v>2.5000000000000001E-3</v>
      </c>
      <c r="AY251" s="177">
        <f t="shared" si="103"/>
        <v>2.4750000000000002E-3</v>
      </c>
      <c r="AZ251" s="100">
        <f t="shared" si="101"/>
        <v>49226</v>
      </c>
      <c r="BA251" s="102">
        <f t="shared" ca="1" si="102"/>
        <v>44724.084642437578</v>
      </c>
      <c r="BC251" s="23"/>
      <c r="BD251" s="23"/>
      <c r="CC251" s="299"/>
      <c r="CL251" s="284"/>
    </row>
    <row r="252" spans="34:90">
      <c r="AH252" s="6">
        <f t="shared" si="108"/>
        <v>222</v>
      </c>
      <c r="AI252" s="7">
        <f t="shared" ca="1" si="109"/>
        <v>42892</v>
      </c>
      <c r="AJ252" s="210">
        <f t="shared" ca="1" si="110"/>
        <v>3.3000000000000003</v>
      </c>
      <c r="AK252" s="8">
        <f t="shared" ca="1" si="111"/>
        <v>1.0000916666666666</v>
      </c>
      <c r="AL252" s="98">
        <f t="shared" ca="1" si="112"/>
        <v>3.5473445404518911</v>
      </c>
      <c r="AM252" s="106">
        <f t="shared" ca="1" si="104"/>
        <v>26769.424450594142</v>
      </c>
      <c r="AN252" s="10">
        <f t="shared" ca="1" si="105"/>
        <v>0.29439747799364646</v>
      </c>
      <c r="AO252" s="311">
        <f t="shared" ca="1" si="106"/>
        <v>0.29019741188330028</v>
      </c>
      <c r="AP252" s="312">
        <f t="shared" ca="1" si="107"/>
        <v>0.28956917567633689</v>
      </c>
      <c r="AQ252" s="1"/>
      <c r="AR252" s="1"/>
      <c r="AS252" s="1"/>
      <c r="AT252" s="1"/>
      <c r="AU252" s="1"/>
      <c r="AW252" s="176">
        <v>49249</v>
      </c>
      <c r="AX252" s="177">
        <f ca="1">IF(fechaHoy&gt;=siguienteHabil(EDATE(AW252,1)+8,-1),VLOOKUP(EDATE(AW252,1)-1,Inflation_FWD!$L:$M,2,0)/100,IFERROR(VLOOKUP(AW252,Inflation_FWD!$H:$I,2,0),0.25%))</f>
        <v>2.5000000000000001E-3</v>
      </c>
      <c r="AY252" s="177">
        <f t="shared" si="103"/>
        <v>2.4750000000000002E-3</v>
      </c>
      <c r="AZ252" s="100">
        <f t="shared" si="101"/>
        <v>49257</v>
      </c>
      <c r="BA252" s="102">
        <f t="shared" ca="1" si="102"/>
        <v>44834.776751927609</v>
      </c>
      <c r="BC252" s="23"/>
      <c r="BD252" s="23"/>
      <c r="CC252" s="299"/>
      <c r="CL252" s="284"/>
    </row>
    <row r="253" spans="34:90">
      <c r="AH253" s="6">
        <f t="shared" si="108"/>
        <v>223</v>
      </c>
      <c r="AI253" s="7">
        <f t="shared" ca="1" si="109"/>
        <v>42893</v>
      </c>
      <c r="AJ253" s="210">
        <f t="shared" ca="1" si="110"/>
        <v>3.3000000000000003</v>
      </c>
      <c r="AK253" s="8">
        <f t="shared" ca="1" si="111"/>
        <v>1.0000916666666666</v>
      </c>
      <c r="AL253" s="98">
        <f t="shared" ca="1" si="112"/>
        <v>3.5466935605978689</v>
      </c>
      <c r="AM253" s="106">
        <f t="shared" ca="1" si="104"/>
        <v>26771.488978214595</v>
      </c>
      <c r="AN253" s="10">
        <f t="shared" ca="1" si="105"/>
        <v>0.29546271201872365</v>
      </c>
      <c r="AO253" s="311">
        <f t="shared" ca="1" si="106"/>
        <v>0.29124801957175855</v>
      </c>
      <c r="AP253" s="312">
        <f t="shared" ca="1" si="107"/>
        <v>0.28953026786041119</v>
      </c>
      <c r="AQ253" s="1"/>
      <c r="AR253" s="1"/>
      <c r="AS253" s="1"/>
      <c r="AT253" s="1"/>
      <c r="AU253" s="1"/>
      <c r="AW253" s="176">
        <v>49279</v>
      </c>
      <c r="AX253" s="177">
        <f ca="1">IF(fechaHoy&gt;=siguienteHabil(EDATE(AW253,1)+8,-1),VLOOKUP(EDATE(AW253,1)-1,Inflation_FWD!$L:$M,2,0)/100,IFERROR(VLOOKUP(AW253,Inflation_FWD!$H:$I,2,0),0.25%))</f>
        <v>2.5000000000000001E-3</v>
      </c>
      <c r="AY253" s="177">
        <f t="shared" si="103"/>
        <v>2.4750000000000002E-3</v>
      </c>
      <c r="AZ253" s="100">
        <f t="shared" si="101"/>
        <v>49287</v>
      </c>
      <c r="BA253" s="102">
        <f t="shared" ca="1" si="102"/>
        <v>44945.742824388632</v>
      </c>
      <c r="BC253" s="23"/>
      <c r="BD253" s="23"/>
      <c r="CC253" s="299"/>
      <c r="CL253" s="284"/>
    </row>
    <row r="254" spans="34:90">
      <c r="AH254" s="6">
        <f t="shared" si="108"/>
        <v>224</v>
      </c>
      <c r="AI254" s="7">
        <f t="shared" ca="1" si="109"/>
        <v>42894</v>
      </c>
      <c r="AJ254" s="210">
        <f t="shared" ca="1" si="110"/>
        <v>3.3000000000000003</v>
      </c>
      <c r="AK254" s="8">
        <f t="shared" ca="1" si="111"/>
        <v>1.0000916666666666</v>
      </c>
      <c r="AL254" s="98">
        <f t="shared" ca="1" si="112"/>
        <v>3.5460483971019308</v>
      </c>
      <c r="AM254" s="106">
        <f t="shared" ca="1" si="104"/>
        <v>26773.553665056788</v>
      </c>
      <c r="AN254" s="10">
        <f t="shared" ca="1" si="105"/>
        <v>0.29651844618858725</v>
      </c>
      <c r="AO254" s="311">
        <f t="shared" ca="1" si="106"/>
        <v>0.292289280885903</v>
      </c>
      <c r="AP254" s="312">
        <f t="shared" ca="1" si="107"/>
        <v>0.28949182238436283</v>
      </c>
      <c r="AQ254" s="1"/>
      <c r="AR254" s="1"/>
      <c r="AS254" s="1"/>
      <c r="AT254" s="1"/>
      <c r="AU254" s="1"/>
      <c r="AW254" s="176">
        <v>49310</v>
      </c>
      <c r="AX254" s="177">
        <f ca="1">IF(fechaHoy&gt;=siguienteHabil(EDATE(AW254,1)+8,-1),VLOOKUP(EDATE(AW254,1)-1,Inflation_FWD!$L:$M,2,0)/100,IFERROR(VLOOKUP(AW254,Inflation_FWD!$H:$I,2,0),0.25%))</f>
        <v>2.5000000000000001E-3</v>
      </c>
      <c r="AY254" s="177">
        <f t="shared" si="103"/>
        <v>2.4750000000000002E-3</v>
      </c>
      <c r="AZ254" s="100">
        <f t="shared" si="101"/>
        <v>49318</v>
      </c>
      <c r="BA254" s="102">
        <f t="shared" ca="1" si="102"/>
        <v>45056.983537878994</v>
      </c>
      <c r="BC254" s="23"/>
      <c r="BD254" s="23"/>
      <c r="CC254" s="299"/>
      <c r="CL254" s="284"/>
    </row>
    <row r="255" spans="34:90">
      <c r="AH255" s="6">
        <f t="shared" si="108"/>
        <v>225</v>
      </c>
      <c r="AI255" s="7">
        <f t="shared" ca="1" si="109"/>
        <v>42895</v>
      </c>
      <c r="AJ255" s="210">
        <f t="shared" ca="1" si="110"/>
        <v>3.3000000000000003</v>
      </c>
      <c r="AK255" s="8">
        <f t="shared" ca="1" si="111"/>
        <v>1.0000916666666666</v>
      </c>
      <c r="AL255" s="98">
        <f t="shared" ca="1" si="112"/>
        <v>3.5454089723589544</v>
      </c>
      <c r="AM255" s="106">
        <f t="shared" ca="1" si="104"/>
        <v>26775.618511132998</v>
      </c>
      <c r="AN255" s="10">
        <f t="shared" ca="1" si="105"/>
        <v>0.29756480701987886</v>
      </c>
      <c r="AO255" s="311">
        <f t="shared" ca="1" si="106"/>
        <v>0.29332132044451953</v>
      </c>
      <c r="AP255" s="312">
        <f t="shared" ca="1" si="107"/>
        <v>0.28945383309414952</v>
      </c>
      <c r="AQ255" s="1"/>
      <c r="AR255" s="1"/>
      <c r="AS255" s="1"/>
      <c r="AT255" s="1"/>
      <c r="AU255" s="1"/>
      <c r="AW255" s="176">
        <v>49341</v>
      </c>
      <c r="AX255" s="177">
        <f ca="1">IF(fechaHoy&gt;=siguienteHabil(EDATE(AW255,1)+8,-1),VLOOKUP(EDATE(AW255,1)-1,Inflation_FWD!$L:$M,2,0)/100,IFERROR(VLOOKUP(AW255,Inflation_FWD!$H:$I,2,0),0.25%))</f>
        <v>2.5000000000000001E-3</v>
      </c>
      <c r="AY255" s="177">
        <f t="shared" si="103"/>
        <v>2.4750000000000002E-3</v>
      </c>
      <c r="AZ255" s="100">
        <f t="shared" si="101"/>
        <v>49349</v>
      </c>
      <c r="BA255" s="102">
        <f t="shared" ca="1" si="102"/>
        <v>45168.499572135246</v>
      </c>
      <c r="BC255" s="23"/>
      <c r="BD255" s="23"/>
      <c r="CC255" s="299"/>
      <c r="CL255" s="284"/>
    </row>
    <row r="256" spans="34:90">
      <c r="AH256" s="6">
        <f t="shared" si="108"/>
        <v>226</v>
      </c>
      <c r="AI256" s="7">
        <f t="shared" ca="1" si="109"/>
        <v>42896</v>
      </c>
      <c r="AJ256" s="210">
        <f t="shared" ca="1" si="110"/>
        <v>3.3000000000000003</v>
      </c>
      <c r="AK256" s="8">
        <f t="shared" ca="1" si="111"/>
        <v>1.0000916666666666</v>
      </c>
      <c r="AL256" s="98">
        <f t="shared" ca="1" si="112"/>
        <v>3.5447752101383623</v>
      </c>
      <c r="AM256" s="106">
        <f t="shared" ca="1" si="104"/>
        <v>26777.683075428802</v>
      </c>
      <c r="AN256" s="10">
        <f t="shared" ca="1" si="105"/>
        <v>0.29860458670276646</v>
      </c>
      <c r="AO256" s="311">
        <f t="shared" ca="1" si="106"/>
        <v>0.29434688903809086</v>
      </c>
      <c r="AP256" s="312">
        <f t="shared" ca="1" si="107"/>
        <v>0.2894162939446499</v>
      </c>
      <c r="AQ256" s="1"/>
      <c r="AR256" s="1"/>
      <c r="AS256" s="1"/>
      <c r="AT256" s="1"/>
      <c r="AU256" s="1"/>
      <c r="AW256" s="176">
        <v>49369</v>
      </c>
      <c r="AX256" s="177">
        <f ca="1">IF(fechaHoy&gt;=siguienteHabil(EDATE(AW256,1)+8,-1),VLOOKUP(EDATE(AW256,1)-1,Inflation_FWD!$L:$M,2,0)/100,IFERROR(VLOOKUP(AW256,Inflation_FWD!$H:$I,2,0),0.25%))</f>
        <v>2.5000000000000001E-3</v>
      </c>
      <c r="AY256" s="177">
        <f t="shared" si="103"/>
        <v>2.4750000000000002E-3</v>
      </c>
      <c r="AZ256" s="100">
        <f t="shared" si="101"/>
        <v>49377</v>
      </c>
      <c r="BA256" s="102">
        <f t="shared" ca="1" si="102"/>
        <v>45280.291608576284</v>
      </c>
      <c r="BC256" s="23"/>
      <c r="BD256" s="23"/>
      <c r="CC256" s="299"/>
      <c r="CL256" s="284"/>
    </row>
    <row r="257" spans="34:90">
      <c r="AH257" s="6">
        <f t="shared" si="108"/>
        <v>227</v>
      </c>
      <c r="AI257" s="7">
        <f t="shared" ca="1" si="109"/>
        <v>42897</v>
      </c>
      <c r="AJ257" s="210">
        <f t="shared" ca="1" si="110"/>
        <v>3.3000000000000003</v>
      </c>
      <c r="AK257" s="8">
        <f t="shared" ca="1" si="111"/>
        <v>1.0000916666666666</v>
      </c>
      <c r="AL257" s="98">
        <f t="shared" ca="1" si="112"/>
        <v>3.5441470355538129</v>
      </c>
      <c r="AM257" s="106">
        <f t="shared" ca="1" si="104"/>
        <v>26779.747798915174</v>
      </c>
      <c r="AN257" s="10">
        <f t="shared" ca="1" si="105"/>
        <v>0.29963521596845233</v>
      </c>
      <c r="AO257" s="311">
        <f t="shared" ca="1" si="106"/>
        <v>0.2953634554640559</v>
      </c>
      <c r="AP257" s="312">
        <f t="shared" ca="1" si="107"/>
        <v>0.28937919899727071</v>
      </c>
      <c r="AQ257" s="1"/>
      <c r="AR257" s="1"/>
      <c r="AS257" s="1"/>
      <c r="AT257" s="1"/>
      <c r="AU257" s="1"/>
      <c r="AW257" s="176">
        <v>49400</v>
      </c>
      <c r="AX257" s="177">
        <f ca="1">IF(fechaHoy&gt;=siguienteHabil(EDATE(AW257,1)+8,-1),VLOOKUP(EDATE(AW257,1)-1,Inflation_FWD!$L:$M,2,0)/100,IFERROR(VLOOKUP(AW257,Inflation_FWD!$H:$I,2,0),0.25%))</f>
        <v>2.5000000000000001E-3</v>
      </c>
      <c r="AY257" s="177">
        <f t="shared" si="103"/>
        <v>2.4750000000000002E-3</v>
      </c>
      <c r="AZ257" s="100">
        <f t="shared" si="101"/>
        <v>49408</v>
      </c>
      <c r="BA257" s="102">
        <f t="shared" ca="1" si="102"/>
        <v>45392.360330307514</v>
      </c>
      <c r="BC257" s="23"/>
      <c r="BD257" s="23"/>
      <c r="CC257" s="299"/>
      <c r="CL257" s="284"/>
    </row>
    <row r="258" spans="34:90">
      <c r="AH258" s="6">
        <f t="shared" si="108"/>
        <v>228</v>
      </c>
      <c r="AI258" s="7">
        <f t="shared" ca="1" si="109"/>
        <v>42898</v>
      </c>
      <c r="AJ258" s="210">
        <f t="shared" ca="1" si="110"/>
        <v>3.3000000000000003</v>
      </c>
      <c r="AK258" s="8">
        <f t="shared" ca="1" si="111"/>
        <v>1.0000916666666666</v>
      </c>
      <c r="AL258" s="98">
        <f t="shared" ca="1" si="112"/>
        <v>3.5435243750335577</v>
      </c>
      <c r="AM258" s="106">
        <f t="shared" ca="1" si="104"/>
        <v>26781.812681604373</v>
      </c>
      <c r="AN258" s="10">
        <f t="shared" ca="1" si="105"/>
        <v>0.30065681507800424</v>
      </c>
      <c r="AO258" s="311">
        <f t="shared" ca="1" si="106"/>
        <v>0.2963711381725494</v>
      </c>
      <c r="AP258" s="312">
        <f t="shared" ca="1" si="107"/>
        <v>0.28934254241759855</v>
      </c>
      <c r="AQ258" s="1"/>
      <c r="AR258" s="1"/>
      <c r="AS258" s="1"/>
      <c r="AT258" s="1"/>
      <c r="AU258" s="1"/>
      <c r="AW258" s="176">
        <v>49430</v>
      </c>
      <c r="AX258" s="177">
        <f ca="1">IF(fechaHoy&gt;=siguienteHabil(EDATE(AW258,1)+8,-1),VLOOKUP(EDATE(AW258,1)-1,Inflation_FWD!$L:$M,2,0)/100,IFERROR(VLOOKUP(AW258,Inflation_FWD!$H:$I,2,0),0.25%))</f>
        <v>2.5000000000000001E-3</v>
      </c>
      <c r="AY258" s="177">
        <f t="shared" si="103"/>
        <v>2.4750000000000002E-3</v>
      </c>
      <c r="AZ258" s="100">
        <f t="shared" ref="AZ258:AZ325" si="113">AW258+8</f>
        <v>49438</v>
      </c>
      <c r="BA258" s="102">
        <f t="shared" ca="1" si="102"/>
        <v>45504.706422125026</v>
      </c>
      <c r="BC258" s="23"/>
      <c r="BD258" s="23"/>
      <c r="CC258" s="299"/>
      <c r="CL258" s="284"/>
    </row>
    <row r="259" spans="34:90">
      <c r="AH259" s="6">
        <f t="shared" si="108"/>
        <v>229</v>
      </c>
      <c r="AI259" s="7">
        <f t="shared" ca="1" si="109"/>
        <v>42899</v>
      </c>
      <c r="AJ259" s="210">
        <f t="shared" ca="1" si="110"/>
        <v>3.3000000000000003</v>
      </c>
      <c r="AK259" s="8">
        <f t="shared" ca="1" si="111"/>
        <v>1.0000916666666666</v>
      </c>
      <c r="AL259" s="98">
        <f t="shared" ca="1" si="112"/>
        <v>3.5429071562919301</v>
      </c>
      <c r="AM259" s="106">
        <f t="shared" ca="1" si="104"/>
        <v>26783.877723508685</v>
      </c>
      <c r="AN259" s="10">
        <f t="shared" ca="1" si="105"/>
        <v>0.30166950219414623</v>
      </c>
      <c r="AO259" s="311">
        <f t="shared" ca="1" si="106"/>
        <v>0.29737005354460339</v>
      </c>
      <c r="AP259" s="312">
        <f t="shared" ca="1" si="107"/>
        <v>0.28930631847313998</v>
      </c>
      <c r="AQ259" s="1"/>
      <c r="AR259" s="1"/>
      <c r="AS259" s="1"/>
      <c r="AT259" s="1"/>
      <c r="AU259" s="1"/>
      <c r="AW259" s="176">
        <v>49461</v>
      </c>
      <c r="AX259" s="177">
        <f ca="1">IF(fechaHoy&gt;=siguienteHabil(EDATE(AW259,1)+8,-1),VLOOKUP(EDATE(AW259,1)-1,Inflation_FWD!$L:$M,2,0)/100,IFERROR(VLOOKUP(AW259,Inflation_FWD!$H:$I,2,0),0.25%))</f>
        <v>2.5000000000000001E-3</v>
      </c>
      <c r="AY259" s="177">
        <f t="shared" si="103"/>
        <v>2.4750000000000002E-3</v>
      </c>
      <c r="AZ259" s="100">
        <f t="shared" si="113"/>
        <v>49469</v>
      </c>
      <c r="BA259" s="102">
        <f t="shared" ca="1" si="102"/>
        <v>45617.330570519785</v>
      </c>
      <c r="BC259" s="23"/>
      <c r="BD259" s="23"/>
      <c r="CC259" s="299"/>
      <c r="CL259" s="284"/>
    </row>
    <row r="260" spans="34:90">
      <c r="AH260" s="6">
        <f t="shared" si="108"/>
        <v>230</v>
      </c>
      <c r="AI260" s="7">
        <f t="shared" ca="1" si="109"/>
        <v>42900</v>
      </c>
      <c r="AJ260" s="210">
        <f t="shared" ca="1" si="110"/>
        <v>3.3000000000000003</v>
      </c>
      <c r="AK260" s="8">
        <f t="shared" ca="1" si="111"/>
        <v>1.0000916666666666</v>
      </c>
      <c r="AL260" s="98">
        <f t="shared" ca="1" si="112"/>
        <v>3.5422953083011466</v>
      </c>
      <c r="AM260" s="106">
        <f t="shared" ca="1" si="104"/>
        <v>26785.942924640385</v>
      </c>
      <c r="AN260" s="10">
        <f t="shared" ca="1" si="105"/>
        <v>0.30267339342699984</v>
      </c>
      <c r="AO260" s="311">
        <f t="shared" ca="1" si="106"/>
        <v>0.29836031593723183</v>
      </c>
      <c r="AP260" s="312">
        <f t="shared" ca="1" si="107"/>
        <v>0.28927052153109117</v>
      </c>
      <c r="AQ260" s="1"/>
      <c r="AR260" s="1"/>
      <c r="AS260" s="1"/>
      <c r="AT260" s="1"/>
      <c r="AU260" s="1"/>
      <c r="AW260" s="176">
        <v>49491</v>
      </c>
      <c r="AX260" s="177">
        <f ca="1">IF(fechaHoy&gt;=siguienteHabil(EDATE(AW260,1)+8,-1),VLOOKUP(EDATE(AW260,1)-1,Inflation_FWD!$L:$M,2,0)/100,IFERROR(VLOOKUP(AW260,Inflation_FWD!$H:$I,2,0),0.25%))</f>
        <v>2.5000000000000001E-3</v>
      </c>
      <c r="AY260" s="177">
        <f t="shared" si="103"/>
        <v>2.4750000000000002E-3</v>
      </c>
      <c r="AZ260" s="100">
        <f t="shared" si="113"/>
        <v>49499</v>
      </c>
      <c r="BA260" s="102">
        <f t="shared" ca="1" si="102"/>
        <v>45730.23346368182</v>
      </c>
      <c r="BC260" s="23"/>
      <c r="BD260" s="23"/>
      <c r="CC260" s="299"/>
      <c r="CL260" s="284"/>
    </row>
    <row r="261" spans="34:90">
      <c r="AH261" s="6">
        <f t="shared" si="108"/>
        <v>231</v>
      </c>
      <c r="AI261" s="7">
        <f t="shared" ca="1" si="109"/>
        <v>42901</v>
      </c>
      <c r="AJ261" s="210">
        <f t="shared" ca="1" si="110"/>
        <v>3.3000000000000003</v>
      </c>
      <c r="AK261" s="8">
        <f t="shared" ca="1" si="111"/>
        <v>1.0000916666666666</v>
      </c>
      <c r="AL261" s="98">
        <f t="shared" ca="1" si="112"/>
        <v>3.5416887612642167</v>
      </c>
      <c r="AM261" s="106">
        <f t="shared" ca="1" si="104"/>
        <v>26788.008285011751</v>
      </c>
      <c r="AN261" s="10">
        <f t="shared" ca="1" si="105"/>
        <v>0.30366860287838193</v>
      </c>
      <c r="AO261" s="311">
        <f t="shared" ca="1" si="106"/>
        <v>0.29934203772727552</v>
      </c>
      <c r="AP261" s="312">
        <f t="shared" ca="1" si="107"/>
        <v>0.28923514605618905</v>
      </c>
      <c r="AQ261" s="1"/>
      <c r="AR261" s="1"/>
      <c r="AS261" s="1"/>
      <c r="AT261" s="1"/>
      <c r="AU261" s="1"/>
      <c r="AW261" s="176">
        <v>49522</v>
      </c>
      <c r="AX261" s="177">
        <f ca="1">IF(fechaHoy&gt;=siguienteHabil(EDATE(AW261,1)+8,-1),VLOOKUP(EDATE(AW261,1)-1,Inflation_FWD!$L:$M,2,0)/100,IFERROR(VLOOKUP(AW261,Inflation_FWD!$H:$I,2,0),0.25%))</f>
        <v>2.5000000000000001E-3</v>
      </c>
      <c r="AY261" s="177">
        <f t="shared" si="103"/>
        <v>2.4750000000000002E-3</v>
      </c>
      <c r="AZ261" s="100">
        <f t="shared" si="113"/>
        <v>49530</v>
      </c>
      <c r="BA261" s="102">
        <f t="shared" ca="1" si="102"/>
        <v>45843.415791504434</v>
      </c>
      <c r="BC261" s="23"/>
      <c r="BD261" s="23"/>
      <c r="CC261" s="299"/>
      <c r="CL261" s="284"/>
    </row>
    <row r="262" spans="34:90">
      <c r="AH262" s="6">
        <f t="shared" si="108"/>
        <v>232</v>
      </c>
      <c r="AI262" s="7">
        <f t="shared" ca="1" si="109"/>
        <v>42902</v>
      </c>
      <c r="AJ262" s="210">
        <f t="shared" ca="1" si="110"/>
        <v>3.3000000000000003</v>
      </c>
      <c r="AK262" s="8">
        <f t="shared" ca="1" si="111"/>
        <v>1.0000916666666666</v>
      </c>
      <c r="AL262" s="98">
        <f t="shared" ca="1" si="112"/>
        <v>3.5410874465883646</v>
      </c>
      <c r="AM262" s="106">
        <f t="shared" ca="1" si="104"/>
        <v>26790.07380463506</v>
      </c>
      <c r="AN262" s="10">
        <f t="shared" ca="1" si="105"/>
        <v>0.30465524268514788</v>
      </c>
      <c r="AO262" s="311">
        <f t="shared" ca="1" si="106"/>
        <v>0.30031532935404331</v>
      </c>
      <c r="AP262" s="312">
        <f t="shared" ca="1" si="107"/>
        <v>0.28920018660860886</v>
      </c>
      <c r="AQ262" s="1"/>
      <c r="AR262" s="1"/>
      <c r="AS262" s="1"/>
      <c r="AT262" s="1"/>
      <c r="AU262" s="1"/>
      <c r="AW262" s="176">
        <v>49553</v>
      </c>
      <c r="AX262" s="177">
        <f ca="1">IF(fechaHoy&gt;=siguienteHabil(EDATE(AW262,1)+8,-1),VLOOKUP(EDATE(AW262,1)-1,Inflation_FWD!$L:$M,2,0)/100,IFERROR(VLOOKUP(AW262,Inflation_FWD!$H:$I,2,0),0.25%))</f>
        <v>2.5000000000000001E-3</v>
      </c>
      <c r="AY262" s="177">
        <f t="shared" si="103"/>
        <v>2.4750000000000002E-3</v>
      </c>
      <c r="AZ262" s="100">
        <f t="shared" si="113"/>
        <v>49561</v>
      </c>
      <c r="BA262" s="102">
        <f t="shared" ref="BA262:BA325" ca="1" si="114">BA261*(1+AY260)</f>
        <v>45956.878245588407</v>
      </c>
      <c r="BC262" s="23"/>
      <c r="BD262" s="23"/>
      <c r="CC262" s="299"/>
      <c r="CL262" s="284"/>
    </row>
    <row r="263" spans="34:90">
      <c r="AH263" s="6">
        <f t="shared" si="108"/>
        <v>233</v>
      </c>
      <c r="AI263" s="7">
        <f t="shared" ca="1" si="109"/>
        <v>42903</v>
      </c>
      <c r="AJ263" s="210">
        <f t="shared" ca="1" si="110"/>
        <v>3.3000000000000003</v>
      </c>
      <c r="AK263" s="8">
        <f t="shared" ca="1" si="111"/>
        <v>1.0000916666666666</v>
      </c>
      <c r="AL263" s="98">
        <f t="shared" ca="1" si="112"/>
        <v>3.5404912968591828</v>
      </c>
      <c r="AM263" s="106">
        <f t="shared" ca="1" si="104"/>
        <v>26792.139483522595</v>
      </c>
      <c r="AN263" s="10">
        <f t="shared" ca="1" si="105"/>
        <v>0.30563342306124675</v>
      </c>
      <c r="AO263" s="311">
        <f t="shared" ca="1" si="106"/>
        <v>0.30128029936092454</v>
      </c>
      <c r="AP263" s="312">
        <f t="shared" ca="1" si="107"/>
        <v>0.28916563784191346</v>
      </c>
      <c r="AQ263" s="1"/>
      <c r="AR263" s="1"/>
      <c r="AS263" s="1"/>
      <c r="AT263" s="1"/>
      <c r="AU263" s="1"/>
      <c r="AW263" s="176">
        <v>49583</v>
      </c>
      <c r="AX263" s="177">
        <f ca="1">IF(fechaHoy&gt;=siguienteHabil(EDATE(AW263,1)+8,-1),VLOOKUP(EDATE(AW263,1)-1,Inflation_FWD!$L:$M,2,0)/100,IFERROR(VLOOKUP(AW263,Inflation_FWD!$H:$I,2,0),0.25%))</f>
        <v>2.5000000000000001E-3</v>
      </c>
      <c r="AY263" s="177">
        <f t="shared" si="103"/>
        <v>2.4750000000000002E-3</v>
      </c>
      <c r="AZ263" s="100">
        <f t="shared" si="113"/>
        <v>49591</v>
      </c>
      <c r="BA263" s="102">
        <f t="shared" ca="1" si="114"/>
        <v>46070.62151924624</v>
      </c>
      <c r="BC263" s="23"/>
      <c r="BD263" s="23"/>
      <c r="CC263" s="299"/>
      <c r="CL263" s="284"/>
    </row>
    <row r="264" spans="34:90">
      <c r="AH264" s="6">
        <f t="shared" si="108"/>
        <v>234</v>
      </c>
      <c r="AI264" s="7">
        <f t="shared" ca="1" si="109"/>
        <v>42904</v>
      </c>
      <c r="AJ264" s="210">
        <f t="shared" ca="1" si="110"/>
        <v>3.3000000000000003</v>
      </c>
      <c r="AK264" s="8">
        <f t="shared" ca="1" si="111"/>
        <v>1.0000916666666666</v>
      </c>
      <c r="AL264" s="98">
        <f t="shared" ca="1" si="112"/>
        <v>3.5399002458153639</v>
      </c>
      <c r="AM264" s="106">
        <f t="shared" ca="1" si="104"/>
        <v>26794.20532168663</v>
      </c>
      <c r="AN264" s="10">
        <f t="shared" ca="1" si="105"/>
        <v>0.30660325233864416</v>
      </c>
      <c r="AO264" s="311">
        <f t="shared" ca="1" si="106"/>
        <v>0.30223705443579779</v>
      </c>
      <c r="AP264" s="312">
        <f t="shared" ca="1" si="107"/>
        <v>0.2891314945010578</v>
      </c>
      <c r="AQ264" s="1"/>
      <c r="AR264" s="1"/>
      <c r="AS264" s="1"/>
      <c r="AT264" s="1"/>
      <c r="AU264" s="1"/>
      <c r="AW264" s="176">
        <v>49614</v>
      </c>
      <c r="AX264" s="177">
        <f ca="1">IF(fechaHoy&gt;=siguienteHabil(EDATE(AW264,1)+8,-1),VLOOKUP(EDATE(AW264,1)-1,Inflation_FWD!$L:$M,2,0)/100,IFERROR(VLOOKUP(AW264,Inflation_FWD!$H:$I,2,0),0.25%))</f>
        <v>2.5000000000000001E-3</v>
      </c>
      <c r="AY264" s="177">
        <f t="shared" si="103"/>
        <v>2.4750000000000002E-3</v>
      </c>
      <c r="AZ264" s="100">
        <f t="shared" si="113"/>
        <v>49622</v>
      </c>
      <c r="BA264" s="102">
        <f t="shared" ca="1" si="114"/>
        <v>46184.646307506373</v>
      </c>
      <c r="BC264" s="23"/>
      <c r="BD264" s="23"/>
      <c r="CC264" s="299"/>
      <c r="CL264" s="284"/>
    </row>
    <row r="265" spans="34:90">
      <c r="AH265" s="6">
        <f t="shared" si="108"/>
        <v>235</v>
      </c>
      <c r="AI265" s="7">
        <f t="shared" ca="1" si="109"/>
        <v>42905</v>
      </c>
      <c r="AJ265" s="210">
        <f t="shared" ca="1" si="110"/>
        <v>3.3000000000000003</v>
      </c>
      <c r="AK265" s="8">
        <f t="shared" ca="1" si="111"/>
        <v>1.0000916666666666</v>
      </c>
      <c r="AL265" s="98">
        <f t="shared" ca="1" si="112"/>
        <v>3.5393142283241641</v>
      </c>
      <c r="AM265" s="106">
        <f t="shared" ca="1" si="104"/>
        <v>26796.271319139447</v>
      </c>
      <c r="AN265" s="10">
        <f t="shared" ca="1" si="105"/>
        <v>0.30756483700753456</v>
      </c>
      <c r="AO265" s="311">
        <f t="shared" ca="1" si="106"/>
        <v>0.30318569945064577</v>
      </c>
      <c r="AP265" s="312">
        <f t="shared" ca="1" si="107"/>
        <v>0.28909775142044442</v>
      </c>
      <c r="AQ265" s="1"/>
      <c r="AR265" s="1"/>
      <c r="AS265" s="1"/>
      <c r="AT265" s="1"/>
      <c r="AU265" s="1"/>
      <c r="AW265" s="176">
        <v>49644</v>
      </c>
      <c r="AX265" s="177">
        <f ca="1">IF(fechaHoy&gt;=siguienteHabil(EDATE(AW265,1)+8,-1),VLOOKUP(EDATE(AW265,1)-1,Inflation_FWD!$L:$M,2,0)/100,IFERROR(VLOOKUP(AW265,Inflation_FWD!$H:$I,2,0),0.25%))</f>
        <v>2.5000000000000001E-3</v>
      </c>
      <c r="AY265" s="177">
        <f t="shared" si="103"/>
        <v>2.4750000000000002E-3</v>
      </c>
      <c r="AZ265" s="100">
        <f t="shared" si="113"/>
        <v>49652</v>
      </c>
      <c r="BA265" s="102">
        <f t="shared" ca="1" si="114"/>
        <v>46298.953307117452</v>
      </c>
      <c r="BC265" s="23"/>
      <c r="BD265" s="23"/>
      <c r="CC265" s="299"/>
      <c r="CL265" s="284"/>
    </row>
    <row r="266" spans="34:90">
      <c r="AH266" s="6">
        <f t="shared" si="108"/>
        <v>236</v>
      </c>
      <c r="AI266" s="7">
        <f t="shared" ca="1" si="109"/>
        <v>42906</v>
      </c>
      <c r="AJ266" s="210">
        <f t="shared" ca="1" si="110"/>
        <v>3.3000000000000003</v>
      </c>
      <c r="AK266" s="8">
        <f t="shared" ca="1" si="111"/>
        <v>1.0000916666666666</v>
      </c>
      <c r="AL266" s="98">
        <f t="shared" ca="1" si="112"/>
        <v>3.5387331803576227</v>
      </c>
      <c r="AM266" s="106">
        <f t="shared" ca="1" si="104"/>
        <v>26798.337475893331</v>
      </c>
      <c r="AN266" s="10">
        <f t="shared" ca="1" si="105"/>
        <v>0.308518281755088</v>
      </c>
      <c r="AO266" s="311">
        <f t="shared" ca="1" si="106"/>
        <v>0.30412633749982437</v>
      </c>
      <c r="AP266" s="312">
        <f t="shared" ca="1" si="107"/>
        <v>0.28906440352203111</v>
      </c>
      <c r="AQ266" s="1"/>
      <c r="AR266" s="1"/>
      <c r="AS266" s="1"/>
      <c r="AT266" s="1"/>
      <c r="AU266" s="1"/>
      <c r="AW266" s="176">
        <v>49675</v>
      </c>
      <c r="AX266" s="177">
        <f ca="1">IF(fechaHoy&gt;=siguienteHabil(EDATE(AW266,1)+8,-1),VLOOKUP(EDATE(AW266,1)-1,Inflation_FWD!$L:$M,2,0)/100,IFERROR(VLOOKUP(AW266,Inflation_FWD!$H:$I,2,0),0.25%))</f>
        <v>2.5000000000000001E-3</v>
      </c>
      <c r="AY266" s="177">
        <f t="shared" si="103"/>
        <v>2.4750000000000002E-3</v>
      </c>
      <c r="AZ266" s="100">
        <f t="shared" si="113"/>
        <v>49683</v>
      </c>
      <c r="BA266" s="102">
        <f t="shared" ca="1" si="114"/>
        <v>46413.543216552571</v>
      </c>
      <c r="BC266" s="23"/>
      <c r="BD266" s="23"/>
      <c r="CC266" s="299"/>
      <c r="CL266" s="284"/>
    </row>
    <row r="267" spans="34:90">
      <c r="AH267" s="6">
        <f t="shared" si="108"/>
        <v>237</v>
      </c>
      <c r="AI267" s="7">
        <f t="shared" ca="1" si="109"/>
        <v>42907</v>
      </c>
      <c r="AJ267" s="210">
        <f t="shared" ca="1" si="110"/>
        <v>3.3000000000000003</v>
      </c>
      <c r="AK267" s="8">
        <f t="shared" ca="1" si="111"/>
        <v>1.0000916666666666</v>
      </c>
      <c r="AL267" s="98">
        <f t="shared" ca="1" si="112"/>
        <v>3.5381570389690253</v>
      </c>
      <c r="AM267" s="106">
        <f t="shared" ca="1" si="104"/>
        <v>26800.403791960565</v>
      </c>
      <c r="AN267" s="10">
        <f t="shared" ca="1" si="105"/>
        <v>0.3094636895037528</v>
      </c>
      <c r="AO267" s="311">
        <f t="shared" ca="1" si="106"/>
        <v>0.30505906993790283</v>
      </c>
      <c r="AP267" s="312">
        <f t="shared" ca="1" si="107"/>
        <v>0.28903144581348111</v>
      </c>
      <c r="AQ267" s="1"/>
      <c r="AR267" s="1"/>
      <c r="AS267" s="1"/>
      <c r="AT267" s="1"/>
      <c r="AU267" s="1"/>
      <c r="AW267" s="176">
        <v>49706</v>
      </c>
      <c r="AX267" s="177">
        <f ca="1">IF(fechaHoy&gt;=siguienteHabil(EDATE(AW267,1)+8,-1),VLOOKUP(EDATE(AW267,1)-1,Inflation_FWD!$L:$M,2,0)/100,IFERROR(VLOOKUP(AW267,Inflation_FWD!$H:$I,2,0),0.25%))</f>
        <v>2.5000000000000001E-3</v>
      </c>
      <c r="AY267" s="177">
        <f t="shared" si="103"/>
        <v>2.4750000000000002E-3</v>
      </c>
      <c r="AZ267" s="100">
        <f t="shared" si="113"/>
        <v>49714</v>
      </c>
      <c r="BA267" s="102">
        <f t="shared" ca="1" si="114"/>
        <v>46528.41673601354</v>
      </c>
      <c r="BC267" s="23"/>
      <c r="BD267" s="23"/>
      <c r="CC267" s="299"/>
      <c r="CL267" s="284"/>
    </row>
    <row r="268" spans="34:90">
      <c r="AH268" s="6">
        <f t="shared" si="108"/>
        <v>238</v>
      </c>
      <c r="AI268" s="7">
        <f t="shared" ca="1" si="109"/>
        <v>42908</v>
      </c>
      <c r="AJ268" s="210">
        <f t="shared" ca="1" si="110"/>
        <v>3.3000000000000003</v>
      </c>
      <c r="AK268" s="8">
        <f t="shared" ca="1" si="111"/>
        <v>1.0000916666666666</v>
      </c>
      <c r="AL268" s="98">
        <f t="shared" ca="1" si="112"/>
        <v>3.5375857422703438</v>
      </c>
      <c r="AM268" s="106">
        <f t="shared" ca="1" si="104"/>
        <v>26802.470267353427</v>
      </c>
      <c r="AN268" s="10">
        <f t="shared" ca="1" si="105"/>
        <v>0.31040116144793739</v>
      </c>
      <c r="AO268" s="311">
        <f t="shared" ca="1" si="106"/>
        <v>0.30598399641587781</v>
      </c>
      <c r="AP268" s="312">
        <f t="shared" ca="1" si="107"/>
        <v>0.28899887338636526</v>
      </c>
      <c r="AQ268" s="1"/>
      <c r="AR268" s="1"/>
      <c r="AS268" s="1"/>
      <c r="AT268" s="1"/>
      <c r="AU268" s="1"/>
      <c r="AW268" s="176">
        <v>49735</v>
      </c>
      <c r="AX268" s="177">
        <f ca="1">IF(fechaHoy&gt;=siguienteHabil(EDATE(AW268,1)+8,-1),VLOOKUP(EDATE(AW268,1)-1,Inflation_FWD!$L:$M,2,0)/100,IFERROR(VLOOKUP(AW268,Inflation_FWD!$H:$I,2,0),0.25%))</f>
        <v>2.5000000000000001E-3</v>
      </c>
      <c r="AY268" s="177">
        <f t="shared" si="103"/>
        <v>2.4750000000000002E-3</v>
      </c>
      <c r="AZ268" s="100">
        <f t="shared" si="113"/>
        <v>49743</v>
      </c>
      <c r="BA268" s="102">
        <f t="shared" ca="1" si="114"/>
        <v>46643.574567435171</v>
      </c>
      <c r="BC268" s="23"/>
      <c r="BD268" s="23"/>
      <c r="CC268" s="299"/>
      <c r="CL268" s="284"/>
    </row>
    <row r="269" spans="34:90">
      <c r="AH269" s="6">
        <f t="shared" si="108"/>
        <v>239</v>
      </c>
      <c r="AI269" s="7">
        <f t="shared" ca="1" si="109"/>
        <v>42909</v>
      </c>
      <c r="AJ269" s="210">
        <f t="shared" ca="1" si="110"/>
        <v>3.3000000000000003</v>
      </c>
      <c r="AK269" s="8">
        <f t="shared" ca="1" si="111"/>
        <v>1.0000916666666666</v>
      </c>
      <c r="AL269" s="98">
        <f t="shared" ca="1" si="112"/>
        <v>3.53701922941001</v>
      </c>
      <c r="AM269" s="106">
        <f t="shared" ca="1" si="104"/>
        <v>26804.536902084219</v>
      </c>
      <c r="AN269" s="10">
        <f t="shared" ca="1" si="105"/>
        <v>0.31133079709033673</v>
      </c>
      <c r="AO269" s="311">
        <f t="shared" ca="1" si="106"/>
        <v>0.30690121491694689</v>
      </c>
      <c r="AP269" s="312">
        <f t="shared" ca="1" si="107"/>
        <v>0.28896668141440374</v>
      </c>
      <c r="AQ269" s="1"/>
      <c r="AR269" s="1"/>
      <c r="AS269" s="1"/>
      <c r="AT269" s="1"/>
      <c r="AU269" s="1"/>
      <c r="AW269" s="176">
        <v>49766</v>
      </c>
      <c r="AX269" s="177">
        <f ca="1">IF(fechaHoy&gt;=siguienteHabil(EDATE(AW269,1)+8,-1),VLOOKUP(EDATE(AW269,1)-1,Inflation_FWD!$L:$M,2,0)/100,IFERROR(VLOOKUP(AW269,Inflation_FWD!$H:$I,2,0),0.25%))</f>
        <v>2.5000000000000001E-3</v>
      </c>
      <c r="AY269" s="177">
        <f t="shared" si="103"/>
        <v>2.4750000000000002E-3</v>
      </c>
      <c r="AZ269" s="100">
        <f t="shared" si="113"/>
        <v>49774</v>
      </c>
      <c r="BA269" s="102">
        <f t="shared" ca="1" si="114"/>
        <v>46759.017414489572</v>
      </c>
      <c r="BC269" s="23"/>
      <c r="BD269" s="23"/>
      <c r="CC269" s="299"/>
      <c r="CL269" s="284"/>
    </row>
    <row r="270" spans="34:90">
      <c r="AH270" s="6">
        <f t="shared" si="108"/>
        <v>240</v>
      </c>
      <c r="AI270" s="7">
        <f t="shared" ca="1" si="109"/>
        <v>42910</v>
      </c>
      <c r="AJ270" s="210">
        <f t="shared" ca="1" si="110"/>
        <v>3.3000000000000003</v>
      </c>
      <c r="AK270" s="8">
        <f t="shared" ca="1" si="111"/>
        <v>1.0000916666666666</v>
      </c>
      <c r="AL270" s="98">
        <f t="shared" ca="1" si="112"/>
        <v>3.5364574405512439</v>
      </c>
      <c r="AM270" s="106">
        <f t="shared" ca="1" si="104"/>
        <v>26806.603696165206</v>
      </c>
      <c r="AN270" s="10">
        <f t="shared" ca="1" si="105"/>
        <v>0.31225269427719304</v>
      </c>
      <c r="AO270" s="311">
        <f t="shared" ca="1" si="106"/>
        <v>0.30781082179135444</v>
      </c>
      <c r="AP270" s="312">
        <f t="shared" ca="1" si="107"/>
        <v>0.28893486515175482</v>
      </c>
      <c r="AQ270" s="1"/>
      <c r="AR270" s="1"/>
      <c r="AS270" s="1"/>
      <c r="AT270" s="1"/>
      <c r="AU270" s="1"/>
      <c r="AW270" s="176">
        <v>49796</v>
      </c>
      <c r="AX270" s="177">
        <f ca="1">IF(fechaHoy&gt;=siguienteHabil(EDATE(AW270,1)+8,-1),VLOOKUP(EDATE(AW270,1)-1,Inflation_FWD!$L:$M,2,0)/100,IFERROR(VLOOKUP(AW270,Inflation_FWD!$H:$I,2,0),0.25%))</f>
        <v>2.5000000000000001E-3</v>
      </c>
      <c r="AY270" s="177">
        <f t="shared" si="103"/>
        <v>2.4750000000000002E-3</v>
      </c>
      <c r="AZ270" s="100">
        <f t="shared" si="113"/>
        <v>49804</v>
      </c>
      <c r="BA270" s="102">
        <f t="shared" ca="1" si="114"/>
        <v>46874.745982590437</v>
      </c>
      <c r="BC270" s="23"/>
      <c r="BD270" s="23"/>
      <c r="CC270" s="299"/>
      <c r="CL270" s="284"/>
    </row>
    <row r="271" spans="34:90">
      <c r="AH271" s="6">
        <f t="shared" si="108"/>
        <v>241</v>
      </c>
      <c r="AI271" s="7">
        <f t="shared" ca="1" si="109"/>
        <v>42911</v>
      </c>
      <c r="AJ271" s="210">
        <f t="shared" ca="1" si="110"/>
        <v>3.3000000000000003</v>
      </c>
      <c r="AK271" s="8">
        <f t="shared" ca="1" si="111"/>
        <v>1.0000916666666666</v>
      </c>
      <c r="AL271" s="98">
        <f t="shared" ca="1" si="112"/>
        <v>3.5359003168510927</v>
      </c>
      <c r="AM271" s="106">
        <f t="shared" ca="1" si="104"/>
        <v>26808.670649608684</v>
      </c>
      <c r="AN271" s="10">
        <f t="shared" ca="1" si="105"/>
        <v>0.31316694923237964</v>
      </c>
      <c r="AO271" s="311">
        <f t="shared" ca="1" si="106"/>
        <v>0.30871291179007093</v>
      </c>
      <c r="AP271" s="312">
        <f t="shared" ca="1" si="107"/>
        <v>0.28890341993134594</v>
      </c>
      <c r="AQ271" s="1"/>
      <c r="AR271" s="1"/>
      <c r="AS271" s="1"/>
      <c r="AT271" s="1"/>
      <c r="AU271" s="1"/>
      <c r="AW271" s="176">
        <v>49827</v>
      </c>
      <c r="AX271" s="177">
        <f ca="1">IF(fechaHoy&gt;=siguienteHabil(EDATE(AW271,1)+8,-1),VLOOKUP(EDATE(AW271,1)-1,Inflation_FWD!$L:$M,2,0)/100,IFERROR(VLOOKUP(AW271,Inflation_FWD!$H:$I,2,0),0.25%))</f>
        <v>2.5000000000000001E-3</v>
      </c>
      <c r="AY271" s="177">
        <f t="shared" si="103"/>
        <v>2.4750000000000002E-3</v>
      </c>
      <c r="AZ271" s="100">
        <f t="shared" si="113"/>
        <v>49835</v>
      </c>
      <c r="BA271" s="102">
        <f t="shared" ca="1" si="114"/>
        <v>46990.76097889735</v>
      </c>
      <c r="BC271" s="23"/>
      <c r="BD271" s="23"/>
      <c r="CC271" s="299"/>
      <c r="CL271" s="284"/>
    </row>
    <row r="272" spans="34:90">
      <c r="AH272" s="6">
        <f t="shared" si="108"/>
        <v>242</v>
      </c>
      <c r="AI272" s="7">
        <f t="shared" ca="1" si="109"/>
        <v>42912</v>
      </c>
      <c r="AJ272" s="210">
        <f t="shared" ca="1" si="110"/>
        <v>3.3000000000000003</v>
      </c>
      <c r="AK272" s="8">
        <f t="shared" ca="1" si="111"/>
        <v>1.0000916666666666</v>
      </c>
      <c r="AL272" s="98">
        <f t="shared" ca="1" si="112"/>
        <v>3.5353478004398253</v>
      </c>
      <c r="AM272" s="106">
        <f t="shared" ca="1" si="104"/>
        <v>26810.737762426947</v>
      </c>
      <c r="AN272" s="10">
        <f t="shared" ca="1" si="105"/>
        <v>0.31407365659101849</v>
      </c>
      <c r="AO272" s="311">
        <f t="shared" ca="1" si="106"/>
        <v>0.30960757809790201</v>
      </c>
      <c r="AP272" s="312">
        <f t="shared" ca="1" si="107"/>
        <v>0.28887234116324889</v>
      </c>
      <c r="AQ272" s="1"/>
      <c r="AR272" s="1"/>
      <c r="AS272" s="1"/>
      <c r="AT272" s="1"/>
      <c r="AU272" s="1"/>
      <c r="AW272" s="176">
        <v>49857</v>
      </c>
      <c r="AX272" s="177">
        <f ca="1">IF(fechaHoy&gt;=siguienteHabil(EDATE(AW272,1)+8,-1),VLOOKUP(EDATE(AW272,1)-1,Inflation_FWD!$L:$M,2,0)/100,IFERROR(VLOOKUP(AW272,Inflation_FWD!$H:$I,2,0),0.25%))</f>
        <v>2.5000000000000001E-3</v>
      </c>
      <c r="AY272" s="177">
        <f t="shared" si="103"/>
        <v>2.4750000000000002E-3</v>
      </c>
      <c r="AZ272" s="100">
        <f t="shared" si="113"/>
        <v>49865</v>
      </c>
      <c r="BA272" s="102">
        <f t="shared" ca="1" si="114"/>
        <v>47107.063112320124</v>
      </c>
      <c r="BC272" s="23"/>
      <c r="BD272" s="23"/>
      <c r="CC272" s="299"/>
      <c r="CL272" s="284"/>
    </row>
    <row r="273" spans="34:90">
      <c r="AH273" s="6">
        <f t="shared" si="108"/>
        <v>243</v>
      </c>
      <c r="AI273" s="7">
        <f t="shared" ca="1" si="109"/>
        <v>42913</v>
      </c>
      <c r="AJ273" s="210">
        <f t="shared" ca="1" si="110"/>
        <v>3.3000000000000003</v>
      </c>
      <c r="AK273" s="8">
        <f t="shared" ca="1" si="111"/>
        <v>1.0000916666666666</v>
      </c>
      <c r="AL273" s="98">
        <f t="shared" ca="1" si="112"/>
        <v>3.5347998344009257</v>
      </c>
      <c r="AM273" s="106">
        <f t="shared" ca="1" si="104"/>
        <v>26812.805034632274</v>
      </c>
      <c r="AN273" s="10">
        <f t="shared" ca="1" si="105"/>
        <v>0.3149729094323428</v>
      </c>
      <c r="AO273" s="311">
        <f t="shared" ca="1" si="106"/>
        <v>0.31049491236591187</v>
      </c>
      <c r="AP273" s="312">
        <f t="shared" ca="1" si="107"/>
        <v>0.28884162433308991</v>
      </c>
      <c r="AQ273" s="1"/>
      <c r="AR273" s="1"/>
      <c r="AS273" s="1"/>
      <c r="AT273" s="1"/>
      <c r="AU273" s="1"/>
      <c r="AW273" s="176">
        <v>49888</v>
      </c>
      <c r="AX273" s="177">
        <f ca="1">IF(fechaHoy&gt;=siguienteHabil(EDATE(AW273,1)+8,-1),VLOOKUP(EDATE(AW273,1)-1,Inflation_FWD!$L:$M,2,0)/100,IFERROR(VLOOKUP(AW273,Inflation_FWD!$H:$I,2,0),0.25%))</f>
        <v>2.5000000000000001E-3</v>
      </c>
      <c r="AY273" s="177">
        <f t="shared" si="103"/>
        <v>2.4750000000000002E-3</v>
      </c>
      <c r="AZ273" s="100">
        <f t="shared" si="113"/>
        <v>49896</v>
      </c>
      <c r="BA273" s="102">
        <f t="shared" ca="1" si="114"/>
        <v>47223.653093523113</v>
      </c>
      <c r="BC273" s="23"/>
      <c r="BD273" s="23"/>
      <c r="CC273" s="299"/>
      <c r="CL273" s="284"/>
    </row>
    <row r="274" spans="34:90">
      <c r="AH274" s="6">
        <f t="shared" si="108"/>
        <v>244</v>
      </c>
      <c r="AI274" s="7">
        <f t="shared" ca="1" si="109"/>
        <v>42914</v>
      </c>
      <c r="AJ274" s="210">
        <f t="shared" ca="1" si="110"/>
        <v>3.3000000000000003</v>
      </c>
      <c r="AK274" s="8">
        <f t="shared" ca="1" si="111"/>
        <v>1.0000916666666666</v>
      </c>
      <c r="AL274" s="98">
        <f t="shared" ca="1" si="112"/>
        <v>3.5342563627515089</v>
      </c>
      <c r="AM274" s="106">
        <f t="shared" ca="1" si="104"/>
        <v>26814.87246623696</v>
      </c>
      <c r="AN274" s="10">
        <f t="shared" ca="1" si="105"/>
        <v>0.31586479931102751</v>
      </c>
      <c r="AO274" s="311">
        <f t="shared" ca="1" si="106"/>
        <v>0.31137500474245861</v>
      </c>
      <c r="AP274" s="312">
        <f t="shared" ca="1" si="107"/>
        <v>0.28881126500050142</v>
      </c>
      <c r="AQ274" s="1"/>
      <c r="AR274" s="1"/>
      <c r="AS274" s="1"/>
      <c r="AT274" s="1"/>
      <c r="AU274" s="1"/>
      <c r="AW274" s="176">
        <v>49919</v>
      </c>
      <c r="AX274" s="177">
        <f ca="1">IF(fechaHoy&gt;=siguienteHabil(EDATE(AW274,1)+8,-1),VLOOKUP(EDATE(AW274,1)-1,Inflation_FWD!$L:$M,2,0)/100,IFERROR(VLOOKUP(AW274,Inflation_FWD!$H:$I,2,0),0.25%))</f>
        <v>2.5000000000000001E-3</v>
      </c>
      <c r="AY274" s="177">
        <f t="shared" si="103"/>
        <v>2.4750000000000002E-3</v>
      </c>
      <c r="AZ274" s="100">
        <f t="shared" si="113"/>
        <v>49927</v>
      </c>
      <c r="BA274" s="102">
        <f t="shared" ca="1" si="114"/>
        <v>47340.531634929583</v>
      </c>
      <c r="BC274" s="23"/>
      <c r="BD274" s="23"/>
      <c r="CC274" s="299"/>
      <c r="CL274" s="284"/>
    </row>
    <row r="275" spans="34:90">
      <c r="AH275" s="6">
        <f t="shared" si="108"/>
        <v>245</v>
      </c>
      <c r="AI275" s="7">
        <f t="shared" ca="1" si="109"/>
        <v>42915</v>
      </c>
      <c r="AJ275" s="210">
        <f t="shared" ca="1" si="110"/>
        <v>3.3000000000000003</v>
      </c>
      <c r="AK275" s="8">
        <f t="shared" ca="1" si="111"/>
        <v>1.0000916666666666</v>
      </c>
      <c r="AL275" s="98">
        <f t="shared" ca="1" si="112"/>
        <v>3.5337173304232916</v>
      </c>
      <c r="AM275" s="106">
        <f t="shared" ca="1" si="104"/>
        <v>26816.94005725329</v>
      </c>
      <c r="AN275" s="10">
        <f t="shared" ca="1" si="105"/>
        <v>0.31674941628896391</v>
      </c>
      <c r="AO275" s="311">
        <f t="shared" ca="1" si="106"/>
        <v>0.31224794390438415</v>
      </c>
      <c r="AP275" s="312">
        <f t="shared" ca="1" si="107"/>
        <v>0.28878125879761696</v>
      </c>
      <c r="AQ275" s="1"/>
      <c r="AR275" s="1"/>
      <c r="AS275" s="1"/>
      <c r="AT275" s="1"/>
      <c r="AU275" s="1"/>
      <c r="AW275" s="176">
        <v>49949</v>
      </c>
      <c r="AX275" s="177">
        <f ca="1">IF(fechaHoy&gt;=siguienteHabil(EDATE(AW275,1)+8,-1),VLOOKUP(EDATE(AW275,1)-1,Inflation_FWD!$L:$M,2,0)/100,IFERROR(VLOOKUP(AW275,Inflation_FWD!$H:$I,2,0),0.25%))</f>
        <v>2.5000000000000001E-3</v>
      </c>
      <c r="AY275" s="177">
        <f t="shared" si="103"/>
        <v>2.4750000000000002E-3</v>
      </c>
      <c r="AZ275" s="100">
        <f t="shared" si="113"/>
        <v>49957</v>
      </c>
      <c r="BA275" s="102">
        <f t="shared" ca="1" si="114"/>
        <v>47457.699450726032</v>
      </c>
      <c r="BC275" s="23"/>
      <c r="BD275" s="23"/>
      <c r="CC275" s="299"/>
      <c r="CL275" s="284"/>
    </row>
    <row r="276" spans="34:90">
      <c r="AH276" s="6">
        <f t="shared" si="108"/>
        <v>246</v>
      </c>
      <c r="AI276" s="7">
        <f t="shared" ca="1" si="109"/>
        <v>42916</v>
      </c>
      <c r="AJ276" s="210">
        <f t="shared" ca="1" si="110"/>
        <v>3.3000000000000003</v>
      </c>
      <c r="AK276" s="8">
        <f t="shared" ca="1" si="111"/>
        <v>1.0000916666666666</v>
      </c>
      <c r="AL276" s="98">
        <f t="shared" ca="1" si="112"/>
        <v>3.5331826832439628</v>
      </c>
      <c r="AM276" s="106">
        <f t="shared" ca="1" si="104"/>
        <v>26819.007807693564</v>
      </c>
      <c r="AN276" s="10">
        <f t="shared" ca="1" si="105"/>
        <v>0.31762684896490256</v>
      </c>
      <c r="AO276" s="311">
        <f t="shared" ca="1" si="106"/>
        <v>0.31311381708637048</v>
      </c>
      <c r="AP276" s="312">
        <f t="shared" ca="1" si="107"/>
        <v>0.28875160142758699</v>
      </c>
      <c r="AQ276" s="1"/>
      <c r="AR276" s="1"/>
      <c r="AS276" s="1"/>
      <c r="AT276" s="1"/>
      <c r="AU276" s="1"/>
      <c r="AW276" s="176">
        <v>49980</v>
      </c>
      <c r="AX276" s="177">
        <f ca="1">IF(fechaHoy&gt;=siguienteHabil(EDATE(AW276,1)+8,-1),VLOOKUP(EDATE(AW276,1)-1,Inflation_FWD!$L:$M,2,0)/100,IFERROR(VLOOKUP(AW276,Inflation_FWD!$H:$I,2,0),0.25%))</f>
        <v>2.5000000000000001E-3</v>
      </c>
      <c r="AY276" s="177">
        <f t="shared" si="103"/>
        <v>2.4750000000000002E-3</v>
      </c>
      <c r="AZ276" s="100">
        <f t="shared" si="113"/>
        <v>49988</v>
      </c>
      <c r="BA276" s="102">
        <f t="shared" ca="1" si="114"/>
        <v>47575.15725686658</v>
      </c>
      <c r="BC276" s="23"/>
      <c r="BD276" s="23"/>
      <c r="CC276" s="299"/>
      <c r="CL276" s="284"/>
    </row>
    <row r="277" spans="34:90">
      <c r="AH277" s="6">
        <f t="shared" si="108"/>
        <v>247</v>
      </c>
      <c r="AI277" s="7">
        <f t="shared" ca="1" si="109"/>
        <v>42917</v>
      </c>
      <c r="AJ277" s="210">
        <f t="shared" ca="1" si="110"/>
        <v>3.3000000000000003</v>
      </c>
      <c r="AK277" s="8">
        <f t="shared" ca="1" si="111"/>
        <v>1.0000916666666666</v>
      </c>
      <c r="AL277" s="98">
        <f t="shared" ca="1" si="112"/>
        <v>3.5326523679190869</v>
      </c>
      <c r="AM277" s="106">
        <f t="shared" ca="1" si="104"/>
        <v>26821.075717570067</v>
      </c>
      <c r="AN277" s="10">
        <f t="shared" ca="1" si="105"/>
        <v>0.31849718450440712</v>
      </c>
      <c r="AO277" s="311">
        <f t="shared" ca="1" si="106"/>
        <v>0.31397271011048949</v>
      </c>
      <c r="AP277" s="312">
        <f t="shared" ca="1" si="107"/>
        <v>0.2887222886631518</v>
      </c>
      <c r="AQ277" s="1"/>
      <c r="AR277" s="1"/>
      <c r="AS277" s="1"/>
      <c r="AT277" s="1"/>
      <c r="AU277" s="1"/>
      <c r="AW277" s="176">
        <v>50010</v>
      </c>
      <c r="AX277" s="177">
        <f ca="1">IF(fechaHoy&gt;=siguienteHabil(EDATE(AW277,1)+8,-1),VLOOKUP(EDATE(AW277,1)-1,Inflation_FWD!$L:$M,2,0)/100,IFERROR(VLOOKUP(AW277,Inflation_FWD!$H:$I,2,0),0.25%))</f>
        <v>2.5000000000000001E-3</v>
      </c>
      <c r="AY277" s="177">
        <f t="shared" si="103"/>
        <v>2.4750000000000002E-3</v>
      </c>
      <c r="AZ277" s="100">
        <f t="shared" si="113"/>
        <v>50018</v>
      </c>
      <c r="BA277" s="102">
        <f t="shared" ca="1" si="114"/>
        <v>47692.905771077327</v>
      </c>
      <c r="BC277" s="23"/>
      <c r="BD277" s="23"/>
      <c r="CC277" s="299"/>
      <c r="CL277" s="284"/>
    </row>
    <row r="278" spans="34:90">
      <c r="AH278" s="6">
        <f t="shared" si="108"/>
        <v>248</v>
      </c>
      <c r="AI278" s="7">
        <f t="shared" ca="1" si="109"/>
        <v>42918</v>
      </c>
      <c r="AJ278" s="210">
        <f t="shared" ca="1" si="110"/>
        <v>3.3000000000000003</v>
      </c>
      <c r="AK278" s="8">
        <f t="shared" ca="1" si="111"/>
        <v>1.0000916666666666</v>
      </c>
      <c r="AL278" s="98">
        <f t="shared" ca="1" si="112"/>
        <v>3.5321263320142737</v>
      </c>
      <c r="AM278" s="106">
        <f t="shared" ca="1" si="104"/>
        <v>26823.143786895096</v>
      </c>
      <c r="AN278" s="10">
        <f t="shared" ca="1" si="105"/>
        <v>0.31936050866869792</v>
      </c>
      <c r="AO278" s="311">
        <f t="shared" ca="1" si="106"/>
        <v>0.31482470741458596</v>
      </c>
      <c r="AP278" s="312">
        <f t="shared" ca="1" si="107"/>
        <v>0.28869331634523077</v>
      </c>
      <c r="AQ278" s="1"/>
      <c r="AR278" s="1"/>
      <c r="AS278" s="1"/>
      <c r="AT278" s="1"/>
      <c r="AU278" s="1"/>
      <c r="AW278" s="176">
        <v>50041</v>
      </c>
      <c r="AX278" s="177">
        <f ca="1">IF(fechaHoy&gt;=siguienteHabil(EDATE(AW278,1)+8,-1),VLOOKUP(EDATE(AW278,1)-1,Inflation_FWD!$L:$M,2,0)/100,IFERROR(VLOOKUP(AW278,Inflation_FWD!$H:$I,2,0),0.25%))</f>
        <v>2.5000000000000001E-3</v>
      </c>
      <c r="AY278" s="177">
        <f t="shared" si="103"/>
        <v>2.4750000000000002E-3</v>
      </c>
      <c r="AZ278" s="100">
        <f t="shared" si="113"/>
        <v>50049</v>
      </c>
      <c r="BA278" s="102">
        <f t="shared" ca="1" si="114"/>
        <v>47810.945712860746</v>
      </c>
      <c r="BC278" s="23"/>
      <c r="BD278" s="23"/>
      <c r="CC278" s="299"/>
      <c r="CL278" s="284"/>
    </row>
    <row r="279" spans="34:90">
      <c r="AH279" s="6">
        <f t="shared" si="108"/>
        <v>249</v>
      </c>
      <c r="AI279" s="7">
        <f t="shared" ca="1" si="109"/>
        <v>42919</v>
      </c>
      <c r="AJ279" s="210">
        <f t="shared" ca="1" si="110"/>
        <v>3.3000000000000003</v>
      </c>
      <c r="AK279" s="8">
        <f t="shared" ca="1" si="111"/>
        <v>1.0000916666666666</v>
      </c>
      <c r="AL279" s="98">
        <f t="shared" ca="1" si="112"/>
        <v>3.5316045239380589</v>
      </c>
      <c r="AM279" s="106">
        <f t="shared" ca="1" si="104"/>
        <v>26825.212015680951</v>
      </c>
      <c r="AN279" s="10">
        <f t="shared" ca="1" si="105"/>
        <v>0.32021690584262963</v>
      </c>
      <c r="AO279" s="311">
        <f t="shared" ca="1" si="106"/>
        <v>0.31566989208004137</v>
      </c>
      <c r="AP279" s="312">
        <f t="shared" ca="1" si="107"/>
        <v>0.28866468038156107</v>
      </c>
      <c r="AQ279" s="1"/>
      <c r="AR279" s="1"/>
      <c r="AS279" s="1"/>
      <c r="AT279" s="1"/>
      <c r="AU279" s="1"/>
      <c r="AW279" s="176">
        <v>50072</v>
      </c>
      <c r="AX279" s="177">
        <f ca="1">IF(fechaHoy&gt;=siguienteHabil(EDATE(AW279,1)+8,-1),VLOOKUP(EDATE(AW279,1)-1,Inflation_FWD!$L:$M,2,0)/100,IFERROR(VLOOKUP(AW279,Inflation_FWD!$H:$I,2,0),0.25%))</f>
        <v>2.5000000000000001E-3</v>
      </c>
      <c r="AY279" s="177">
        <f t="shared" si="103"/>
        <v>2.4750000000000002E-3</v>
      </c>
      <c r="AZ279" s="100">
        <f t="shared" si="113"/>
        <v>50080</v>
      </c>
      <c r="BA279" s="102">
        <f t="shared" ca="1" si="114"/>
        <v>47929.277803500074</v>
      </c>
      <c r="BC279" s="23"/>
      <c r="BD279" s="23"/>
      <c r="CC279" s="299"/>
      <c r="CL279" s="284"/>
    </row>
    <row r="280" spans="34:90">
      <c r="AH280" s="6">
        <f t="shared" si="108"/>
        <v>250</v>
      </c>
      <c r="AI280" s="7">
        <f t="shared" ca="1" si="109"/>
        <v>42920</v>
      </c>
      <c r="AJ280" s="210">
        <f t="shared" ca="1" si="110"/>
        <v>3.3000000000000003</v>
      </c>
      <c r="AK280" s="8">
        <f t="shared" ca="1" si="111"/>
        <v>1.0000916666666666</v>
      </c>
      <c r="AL280" s="98">
        <f t="shared" ca="1" si="112"/>
        <v>3.5310868929249395</v>
      </c>
      <c r="AM280" s="106">
        <f t="shared" ca="1" si="104"/>
        <v>26827.28040393992</v>
      </c>
      <c r="AN280" s="10">
        <f t="shared" ca="1" si="105"/>
        <v>0.32106645906253561</v>
      </c>
      <c r="AO280" s="311">
        <f t="shared" ca="1" si="106"/>
        <v>0.31650834585903098</v>
      </c>
      <c r="AP280" s="312">
        <f t="shared" ca="1" si="107"/>
        <v>0.28863637674535347</v>
      </c>
      <c r="AQ280" s="1"/>
      <c r="AR280" s="1"/>
      <c r="AS280" s="1"/>
      <c r="AT280" s="1"/>
      <c r="AU280" s="1"/>
      <c r="AW280" s="176">
        <v>50100</v>
      </c>
      <c r="AX280" s="177">
        <f ca="1">IF(fechaHoy&gt;=siguienteHabil(EDATE(AW280,1)+8,-1),VLOOKUP(EDATE(AW280,1)-1,Inflation_FWD!$L:$M,2,0)/100,IFERROR(VLOOKUP(AW280,Inflation_FWD!$H:$I,2,0),0.25%))</f>
        <v>2.5000000000000001E-3</v>
      </c>
      <c r="AY280" s="177">
        <f t="shared" si="103"/>
        <v>2.4750000000000002E-3</v>
      </c>
      <c r="AZ280" s="100">
        <f t="shared" si="113"/>
        <v>50108</v>
      </c>
      <c r="BA280" s="102">
        <f t="shared" ca="1" si="114"/>
        <v>48047.902766063737</v>
      </c>
      <c r="BC280" s="23"/>
      <c r="BD280" s="23"/>
      <c r="CC280" s="299"/>
      <c r="CL280" s="284"/>
    </row>
    <row r="281" spans="34:90">
      <c r="AH281" s="6">
        <f t="shared" si="108"/>
        <v>251</v>
      </c>
      <c r="AI281" s="7">
        <f t="shared" ca="1" si="109"/>
        <v>42921</v>
      </c>
      <c r="AJ281" s="210">
        <f t="shared" ca="1" si="110"/>
        <v>3.3000000000000003</v>
      </c>
      <c r="AK281" s="8">
        <f t="shared" ca="1" si="111"/>
        <v>1.0000916666666666</v>
      </c>
      <c r="AL281" s="98">
        <f t="shared" ca="1" si="112"/>
        <v>3.5305733890188762</v>
      </c>
      <c r="AM281" s="106">
        <f t="shared" ca="1" si="104"/>
        <v>26829.348951684296</v>
      </c>
      <c r="AN281" s="10">
        <f t="shared" ca="1" si="105"/>
        <v>0.32190925004269566</v>
      </c>
      <c r="AO281" s="311">
        <f t="shared" ca="1" si="106"/>
        <v>0.31734014920081099</v>
      </c>
      <c r="AP281" s="312">
        <f t="shared" ca="1" si="107"/>
        <v>0.28860840147399069</v>
      </c>
      <c r="AQ281" s="1"/>
      <c r="AR281" s="1"/>
      <c r="AS281" s="1"/>
      <c r="AT281" s="1"/>
      <c r="AU281" s="1"/>
      <c r="AW281" s="176">
        <v>50131</v>
      </c>
      <c r="AX281" s="177">
        <f ca="1">IF(fechaHoy&gt;=siguienteHabil(EDATE(AW281,1)+8,-1),VLOOKUP(EDATE(AW281,1)-1,Inflation_FWD!$L:$M,2,0)/100,IFERROR(VLOOKUP(AW281,Inflation_FWD!$H:$I,2,0),0.25%))</f>
        <v>2.5000000000000001E-3</v>
      </c>
      <c r="AY281" s="177">
        <f t="shared" si="103"/>
        <v>2.4750000000000002E-3</v>
      </c>
      <c r="AZ281" s="100">
        <f t="shared" si="113"/>
        <v>50139</v>
      </c>
      <c r="BA281" s="102">
        <f t="shared" ca="1" si="114"/>
        <v>48166.821325409743</v>
      </c>
      <c r="BC281" s="23"/>
      <c r="BD281" s="23"/>
      <c r="CC281" s="299"/>
      <c r="CL281" s="284"/>
    </row>
    <row r="282" spans="34:90">
      <c r="AH282" s="6">
        <f t="shared" si="108"/>
        <v>252</v>
      </c>
      <c r="AI282" s="7">
        <f t="shared" ca="1" si="109"/>
        <v>42922</v>
      </c>
      <c r="AJ282" s="210">
        <f t="shared" ca="1" si="110"/>
        <v>3.3000000000000003</v>
      </c>
      <c r="AK282" s="8">
        <f t="shared" ca="1" si="111"/>
        <v>1.0000916666666666</v>
      </c>
      <c r="AL282" s="98">
        <f t="shared" ca="1" si="112"/>
        <v>3.5300639630573283</v>
      </c>
      <c r="AM282" s="106">
        <f t="shared" ca="1" si="104"/>
        <v>26831.417658926384</v>
      </c>
      <c r="AN282" s="10">
        <f t="shared" ca="1" si="105"/>
        <v>0.32274535920171488</v>
      </c>
      <c r="AO282" s="311">
        <f t="shared" ca="1" si="106"/>
        <v>0.31816538127769711</v>
      </c>
      <c r="AP282" s="312">
        <f t="shared" ca="1" si="107"/>
        <v>0.28858075066775934</v>
      </c>
      <c r="AQ282" s="1"/>
      <c r="AR282" s="1"/>
      <c r="AS282" s="1"/>
      <c r="AT282" s="1"/>
      <c r="AU282" s="1"/>
      <c r="AW282" s="176">
        <v>50161</v>
      </c>
      <c r="AX282" s="177">
        <f ca="1">IF(fechaHoy&gt;=siguienteHabil(EDATE(AW282,1)+8,-1),VLOOKUP(EDATE(AW282,1)-1,Inflation_FWD!$L:$M,2,0)/100,IFERROR(VLOOKUP(AW282,Inflation_FWD!$H:$I,2,0),0.25%))</f>
        <v>2.5000000000000001E-3</v>
      </c>
      <c r="AY282" s="177">
        <f t="shared" si="103"/>
        <v>2.4750000000000002E-3</v>
      </c>
      <c r="AZ282" s="100">
        <f t="shared" si="113"/>
        <v>50169</v>
      </c>
      <c r="BA282" s="102">
        <f t="shared" ca="1" si="114"/>
        <v>48286.034208190133</v>
      </c>
      <c r="BC282" s="23"/>
      <c r="BD282" s="23"/>
      <c r="CC282" s="299"/>
      <c r="CL282" s="284"/>
    </row>
    <row r="283" spans="34:90">
      <c r="AH283" s="6">
        <f t="shared" si="108"/>
        <v>253</v>
      </c>
      <c r="AI283" s="7">
        <f t="shared" ca="1" si="109"/>
        <v>42923</v>
      </c>
      <c r="AJ283" s="210">
        <f t="shared" ca="1" si="110"/>
        <v>3.3000000000000003</v>
      </c>
      <c r="AK283" s="8">
        <f t="shared" ca="1" si="111"/>
        <v>1.0000916666666666</v>
      </c>
      <c r="AL283" s="98">
        <f t="shared" ca="1" si="112"/>
        <v>3.5295585666554885</v>
      </c>
      <c r="AM283" s="106">
        <f t="shared" ca="1" si="104"/>
        <v>26833.486525678476</v>
      </c>
      <c r="AN283" s="10">
        <f t="shared" ca="1" si="105"/>
        <v>0.32357486568810323</v>
      </c>
      <c r="AO283" s="311">
        <f t="shared" ca="1" si="106"/>
        <v>0.31898412001026871</v>
      </c>
      <c r="AP283" s="312">
        <f t="shared" ca="1" si="107"/>
        <v>0.28855342048859906</v>
      </c>
      <c r="AQ283" s="1"/>
      <c r="AR283" s="1"/>
      <c r="AS283" s="1"/>
      <c r="AT283" s="1"/>
      <c r="AU283" s="1"/>
      <c r="AW283" s="176">
        <v>50192</v>
      </c>
      <c r="AX283" s="177">
        <f ca="1">IF(fechaHoy&gt;=siguienteHabil(EDATE(AW283,1)+8,-1),VLOOKUP(EDATE(AW283,1)-1,Inflation_FWD!$L:$M,2,0)/100,IFERROR(VLOOKUP(AW283,Inflation_FWD!$H:$I,2,0),0.25%))</f>
        <v>2.5000000000000001E-3</v>
      </c>
      <c r="AY283" s="177">
        <f t="shared" ref="AY283:AY325" si="115">+$S$5/1200</f>
        <v>2.4750000000000002E-3</v>
      </c>
      <c r="AZ283" s="100">
        <f t="shared" si="113"/>
        <v>50200</v>
      </c>
      <c r="BA283" s="102">
        <f t="shared" ca="1" si="114"/>
        <v>48405.542142855404</v>
      </c>
      <c r="BC283" s="23"/>
      <c r="BD283" s="23"/>
      <c r="CC283" s="299"/>
      <c r="CL283" s="284"/>
    </row>
    <row r="284" spans="34:90">
      <c r="AH284" s="6">
        <f t="shared" si="108"/>
        <v>254</v>
      </c>
      <c r="AI284" s="7">
        <f t="shared" ca="1" si="109"/>
        <v>42924</v>
      </c>
      <c r="AJ284" s="210">
        <f t="shared" ca="1" si="110"/>
        <v>3.3000000000000003</v>
      </c>
      <c r="AK284" s="8">
        <f t="shared" ca="1" si="111"/>
        <v>1.0000916666666666</v>
      </c>
      <c r="AL284" s="98">
        <f t="shared" ca="1" si="112"/>
        <v>3.5290571521909841</v>
      </c>
      <c r="AM284" s="106">
        <f t="shared" ca="1" si="104"/>
        <v>26835.555551952879</v>
      </c>
      <c r="AN284" s="10">
        <f t="shared" ca="1" si="105"/>
        <v>0.32439784740523336</v>
      </c>
      <c r="AO284" s="311">
        <f t="shared" ca="1" si="106"/>
        <v>0.31979644209197799</v>
      </c>
      <c r="AP284" s="312">
        <f t="shared" ca="1" si="107"/>
        <v>0.28852640715889388</v>
      </c>
      <c r="AQ284" s="1"/>
      <c r="AR284" s="1"/>
      <c r="AS284" s="1"/>
      <c r="AT284" s="1"/>
      <c r="AU284" s="1"/>
      <c r="AW284" s="176">
        <v>50222</v>
      </c>
      <c r="AX284" s="177">
        <f ca="1">IF(fechaHoy&gt;=siguienteHabil(EDATE(AW284,1)+8,-1),VLOOKUP(EDATE(AW284,1)-1,Inflation_FWD!$L:$M,2,0)/100,IFERROR(VLOOKUP(AW284,Inflation_FWD!$H:$I,2,0),0.25%))</f>
        <v>2.5000000000000001E-3</v>
      </c>
      <c r="AY284" s="177">
        <f t="shared" si="115"/>
        <v>2.4750000000000002E-3</v>
      </c>
      <c r="AZ284" s="100">
        <f t="shared" si="113"/>
        <v>50230</v>
      </c>
      <c r="BA284" s="102">
        <f t="shared" ca="1" si="114"/>
        <v>48525.34585965897</v>
      </c>
      <c r="BC284" s="23"/>
      <c r="BD284" s="23"/>
      <c r="CC284" s="299"/>
      <c r="CL284" s="284"/>
    </row>
    <row r="285" spans="34:90">
      <c r="AH285" s="6">
        <f t="shared" si="108"/>
        <v>255</v>
      </c>
      <c r="AI285" s="7">
        <f t="shared" ca="1" si="109"/>
        <v>42925</v>
      </c>
      <c r="AJ285" s="210">
        <f t="shared" ca="1" si="110"/>
        <v>3.3000000000000003</v>
      </c>
      <c r="AK285" s="8">
        <f t="shared" ca="1" si="111"/>
        <v>1.0000916666666666</v>
      </c>
      <c r="AL285" s="98">
        <f t="shared" ca="1" si="112"/>
        <v>3.528559672788889</v>
      </c>
      <c r="AM285" s="106">
        <f t="shared" ca="1" si="104"/>
        <v>26837.624737761886</v>
      </c>
      <c r="AN285" s="10">
        <f t="shared" ca="1" si="105"/>
        <v>0.32521438103574329</v>
      </c>
      <c r="AO285" s="311">
        <f t="shared" ca="1" si="106"/>
        <v>0.32060242301333669</v>
      </c>
      <c r="AP285" s="312">
        <f t="shared" ca="1" si="107"/>
        <v>0.28849970696028204</v>
      </c>
      <c r="AQ285" s="1"/>
      <c r="AR285" s="1"/>
      <c r="AS285" s="1"/>
      <c r="AT285" s="1"/>
      <c r="AU285" s="1"/>
      <c r="AW285" s="176">
        <v>50253</v>
      </c>
      <c r="AX285" s="177">
        <f ca="1">IF(fechaHoy&gt;=siguienteHabil(EDATE(AW285,1)+8,-1),VLOOKUP(EDATE(AW285,1)-1,Inflation_FWD!$L:$M,2,0)/100,IFERROR(VLOOKUP(AW285,Inflation_FWD!$H:$I,2,0),0.25%))</f>
        <v>2.5000000000000001E-3</v>
      </c>
      <c r="AY285" s="177">
        <f t="shared" si="115"/>
        <v>2.4750000000000002E-3</v>
      </c>
      <c r="AZ285" s="100">
        <f t="shared" si="113"/>
        <v>50261</v>
      </c>
      <c r="BA285" s="102">
        <f t="shared" ca="1" si="114"/>
        <v>48645.44609066163</v>
      </c>
      <c r="BC285" s="23"/>
      <c r="BD285" s="23"/>
      <c r="CC285" s="299"/>
      <c r="CL285" s="284"/>
    </row>
    <row r="286" spans="34:90">
      <c r="AH286" s="6">
        <f t="shared" si="108"/>
        <v>256</v>
      </c>
      <c r="AI286" s="7">
        <f t="shared" ca="1" si="109"/>
        <v>42926</v>
      </c>
      <c r="AJ286" s="210">
        <f t="shared" ca="1" si="110"/>
        <v>3.3000000000000003</v>
      </c>
      <c r="AK286" s="8">
        <f t="shared" ca="1" si="111"/>
        <v>1.0000916666666666</v>
      </c>
      <c r="AL286" s="98">
        <f t="shared" ca="1" si="112"/>
        <v>3.5280660823071575</v>
      </c>
      <c r="AM286" s="106">
        <f t="shared" ca="1" si="104"/>
        <v>26839.77956441911</v>
      </c>
      <c r="AN286" s="10">
        <f t="shared" ca="1" si="105"/>
        <v>0.32556896863389362</v>
      </c>
      <c r="AO286" s="311">
        <f t="shared" ca="1" si="106"/>
        <v>0.32095324063127761</v>
      </c>
      <c r="AP286" s="312">
        <f t="shared" ca="1" si="107"/>
        <v>0.28847331623250638</v>
      </c>
      <c r="AQ286" s="1"/>
      <c r="AR286" s="1"/>
      <c r="AS286" s="1"/>
      <c r="AT286" s="1"/>
      <c r="AU286" s="1"/>
      <c r="AW286" s="176">
        <v>50284</v>
      </c>
      <c r="AX286" s="177">
        <f ca="1">IF(fechaHoy&gt;=siguienteHabil(EDATE(AW286,1)+8,-1),VLOOKUP(EDATE(AW286,1)-1,Inflation_FWD!$L:$M,2,0)/100,IFERROR(VLOOKUP(AW286,Inflation_FWD!$H:$I,2,0),0.25%))</f>
        <v>2.5000000000000001E-3</v>
      </c>
      <c r="AY286" s="177">
        <f t="shared" si="115"/>
        <v>2.4750000000000002E-3</v>
      </c>
      <c r="AZ286" s="100">
        <f t="shared" si="113"/>
        <v>50292</v>
      </c>
      <c r="BA286" s="102">
        <f t="shared" ca="1" si="114"/>
        <v>48765.843569736018</v>
      </c>
      <c r="BC286" s="23"/>
      <c r="BD286" s="23"/>
      <c r="CC286" s="299"/>
      <c r="CL286" s="284"/>
    </row>
    <row r="287" spans="34:90">
      <c r="AH287" s="6">
        <f t="shared" si="108"/>
        <v>257</v>
      </c>
      <c r="AI287" s="7">
        <f t="shared" ca="1" si="109"/>
        <v>42927</v>
      </c>
      <c r="AJ287" s="210">
        <f t="shared" ca="1" si="110"/>
        <v>3.3000000000000003</v>
      </c>
      <c r="AK287" s="8">
        <f t="shared" ca="1" si="111"/>
        <v>1.0000916666666666</v>
      </c>
      <c r="AL287" s="98">
        <f t="shared" ca="1" si="112"/>
        <v>3.527576335322391</v>
      </c>
      <c r="AM287" s="106">
        <f t="shared" ref="AM287:AM350" ca="1" si="116">Geom_Interp(AI287,$AZ$2:$AZ$109,$BA$2:$BA$109)</f>
        <v>26841.934564090076</v>
      </c>
      <c r="AN287" s="10">
        <f t="shared" ref="AN287:AN350" ca="1" si="117">100*(((1+AL287/100)^(AH287/365)*$AM$29/AM287)^(365/AH287)-1)</f>
        <v>0.32592079803419605</v>
      </c>
      <c r="AO287" s="311">
        <f t="shared" ref="AO287:AO350" ca="1" si="118">100*360/$AH287*((1+AN287/100)^($AH287/365)-1)</f>
        <v>0.32130134631538942</v>
      </c>
      <c r="AP287" s="312">
        <f t="shared" ref="AP287:AP350" ca="1" si="119">100*30/$AH287*((1+AL287/100)^($AH287/365)-1)</f>
        <v>0.28844723137227857</v>
      </c>
      <c r="AQ287" s="1"/>
      <c r="AR287" s="1"/>
      <c r="AS287" s="1"/>
      <c r="AT287" s="1"/>
      <c r="AU287" s="1"/>
      <c r="AW287" s="176">
        <v>50314</v>
      </c>
      <c r="AX287" s="177">
        <f ca="1">IF(fechaHoy&gt;=siguienteHabil(EDATE(AW287,1)+8,-1),VLOOKUP(EDATE(AW287,1)-1,Inflation_FWD!$L:$M,2,0)/100,IFERROR(VLOOKUP(AW287,Inflation_FWD!$H:$I,2,0),0.25%))</f>
        <v>2.5000000000000001E-3</v>
      </c>
      <c r="AY287" s="177">
        <f t="shared" si="115"/>
        <v>2.4750000000000002E-3</v>
      </c>
      <c r="AZ287" s="100">
        <f t="shared" si="113"/>
        <v>50322</v>
      </c>
      <c r="BA287" s="102">
        <f t="shared" ca="1" si="114"/>
        <v>48886.539032571112</v>
      </c>
      <c r="BC287" s="23"/>
      <c r="BD287" s="23"/>
      <c r="CC287" s="299"/>
      <c r="CL287" s="284"/>
    </row>
    <row r="288" spans="34:90">
      <c r="AH288" s="6">
        <f t="shared" ref="AH288:AH351" si="120">$AI$29+AH287</f>
        <v>258</v>
      </c>
      <c r="AI288" s="7">
        <f t="shared" ref="AI288:AI351" ca="1" si="121">+AH288+$C$1</f>
        <v>42928</v>
      </c>
      <c r="AJ288" s="210">
        <f t="shared" ref="AJ288:AJ351" ca="1" si="122">IF(AH288&lt;365,VLOOKUP(LOOKUP(AI288,$AI$2:$AI$23),$AI$2:$AK$23,3,0),Lin_Interp(AH288,$AJ$2:$AJ$23,$AK$2:$AK$23))</f>
        <v>3.3000000000000003</v>
      </c>
      <c r="AK288" s="8">
        <f t="shared" ca="1" si="111"/>
        <v>1.0000916666666666</v>
      </c>
      <c r="AL288" s="98">
        <f t="shared" ca="1" si="112"/>
        <v>3.5270903871158055</v>
      </c>
      <c r="AM288" s="106">
        <f t="shared" ca="1" si="116"/>
        <v>26844.089736788676</v>
      </c>
      <c r="AN288" s="10">
        <f t="shared" ca="1" si="117"/>
        <v>0.32626990129429601</v>
      </c>
      <c r="AO288" s="311">
        <f t="shared" ca="1" si="118"/>
        <v>0.32164677159991029</v>
      </c>
      <c r="AP288" s="312">
        <f t="shared" ca="1" si="119"/>
        <v>0.28842144883217546</v>
      </c>
      <c r="AQ288" s="1"/>
      <c r="AR288" s="1"/>
      <c r="AS288" s="1"/>
      <c r="AT288" s="1"/>
      <c r="AU288" s="1"/>
      <c r="AW288" s="176">
        <v>50345</v>
      </c>
      <c r="AX288" s="177">
        <f ca="1">IF(fechaHoy&gt;=siguienteHabil(EDATE(AW288,1)+8,-1),VLOOKUP(EDATE(AW288,1)-1,Inflation_FWD!$L:$M,2,0)/100,IFERROR(VLOOKUP(AW288,Inflation_FWD!$H:$I,2,0),0.25%))</f>
        <v>2.5000000000000001E-3</v>
      </c>
      <c r="AY288" s="177">
        <f t="shared" si="115"/>
        <v>2.4750000000000002E-3</v>
      </c>
      <c r="AZ288" s="100">
        <f t="shared" si="113"/>
        <v>50353</v>
      </c>
      <c r="BA288" s="102">
        <f t="shared" ca="1" si="114"/>
        <v>49007.533216676726</v>
      </c>
      <c r="BC288" s="23"/>
      <c r="BD288" s="23"/>
      <c r="CC288" s="299"/>
      <c r="CL288" s="284"/>
    </row>
    <row r="289" spans="34:90">
      <c r="AH289" s="6">
        <f t="shared" si="120"/>
        <v>259</v>
      </c>
      <c r="AI289" s="7">
        <f t="shared" ca="1" si="121"/>
        <v>42929</v>
      </c>
      <c r="AJ289" s="210">
        <f t="shared" ca="1" si="122"/>
        <v>3.3000000000000003</v>
      </c>
      <c r="AK289" s="8">
        <f t="shared" ref="AK289:AK352" ca="1" si="123">+(1+AJ289/36000)</f>
        <v>1.0000916666666666</v>
      </c>
      <c r="AL289" s="98">
        <f t="shared" ref="AL289:AL352" ca="1" si="124">100*(((1+AL288/100)^(AH288/365)*AK289)^(365/AH289)-1)</f>
        <v>3.5266081936596638</v>
      </c>
      <c r="AM289" s="106">
        <f t="shared" ca="1" si="116"/>
        <v>26846.245082528803</v>
      </c>
      <c r="AN289" s="10">
        <f t="shared" ca="1" si="117"/>
        <v>0.32661630997710134</v>
      </c>
      <c r="AO289" s="311">
        <f t="shared" ca="1" si="118"/>
        <v>0.32198954753218667</v>
      </c>
      <c r="AP289" s="312">
        <f t="shared" ca="1" si="119"/>
        <v>0.28839596511956028</v>
      </c>
      <c r="AQ289" s="1"/>
      <c r="AR289" s="1"/>
      <c r="AS289" s="1"/>
      <c r="AT289" s="1"/>
      <c r="AU289" s="1"/>
      <c r="AW289" s="176">
        <v>50375</v>
      </c>
      <c r="AX289" s="177">
        <f ca="1">IF(fechaHoy&gt;=siguienteHabil(EDATE(AW289,1)+8,-1),VLOOKUP(EDATE(AW289,1)-1,Inflation_FWD!$L:$M,2,0)/100,IFERROR(VLOOKUP(AW289,Inflation_FWD!$H:$I,2,0),0.25%))</f>
        <v>2.5000000000000001E-3</v>
      </c>
      <c r="AY289" s="177">
        <f t="shared" si="115"/>
        <v>2.4750000000000002E-3</v>
      </c>
      <c r="AZ289" s="100">
        <f t="shared" si="113"/>
        <v>50383</v>
      </c>
      <c r="BA289" s="102">
        <f t="shared" ca="1" si="114"/>
        <v>49128.826861387999</v>
      </c>
      <c r="BC289" s="23"/>
      <c r="BD289" s="23"/>
      <c r="CC289" s="299"/>
      <c r="CL289" s="284"/>
    </row>
    <row r="290" spans="34:90">
      <c r="AH290" s="6">
        <f t="shared" si="120"/>
        <v>260</v>
      </c>
      <c r="AI290" s="7">
        <f t="shared" ca="1" si="121"/>
        <v>42930</v>
      </c>
      <c r="AJ290" s="210">
        <f t="shared" ca="1" si="122"/>
        <v>3.3000000000000003</v>
      </c>
      <c r="AK290" s="8">
        <f t="shared" ca="1" si="123"/>
        <v>1.0000916666666666</v>
      </c>
      <c r="AL290" s="98">
        <f t="shared" ca="1" si="124"/>
        <v>3.5261297116039758</v>
      </c>
      <c r="AM290" s="106">
        <f t="shared" ca="1" si="116"/>
        <v>26848.400601324352</v>
      </c>
      <c r="AN290" s="10">
        <f t="shared" ca="1" si="117"/>
        <v>0.32696005515999715</v>
      </c>
      <c r="AO290" s="311">
        <f t="shared" ca="1" si="118"/>
        <v>0.32232970468182126</v>
      </c>
      <c r="AP290" s="312">
        <f t="shared" ca="1" si="119"/>
        <v>0.28837077679552892</v>
      </c>
      <c r="AQ290" s="1"/>
      <c r="AR290" s="1"/>
      <c r="AS290" s="1"/>
      <c r="AT290" s="1"/>
      <c r="AU290" s="1"/>
      <c r="AW290" s="176">
        <v>50406</v>
      </c>
      <c r="AX290" s="177">
        <f ca="1">IF(fechaHoy&gt;=siguienteHabil(EDATE(AW290,1)+8,-1),VLOOKUP(EDATE(AW290,1)-1,Inflation_FWD!$L:$M,2,0)/100,IFERROR(VLOOKUP(AW290,Inflation_FWD!$H:$I,2,0),0.25%))</f>
        <v>2.5000000000000001E-3</v>
      </c>
      <c r="AY290" s="177">
        <f t="shared" si="115"/>
        <v>2.4750000000000002E-3</v>
      </c>
      <c r="AZ290" s="100">
        <f t="shared" si="113"/>
        <v>50414</v>
      </c>
      <c r="BA290" s="102">
        <f t="shared" ca="1" si="114"/>
        <v>49250.420707869933</v>
      </c>
      <c r="BC290" s="23"/>
      <c r="BD290" s="23"/>
      <c r="CC290" s="299"/>
      <c r="CL290" s="284"/>
    </row>
    <row r="291" spans="34:90">
      <c r="AH291" s="6">
        <f t="shared" si="120"/>
        <v>261</v>
      </c>
      <c r="AI291" s="7">
        <f t="shared" ca="1" si="121"/>
        <v>42931</v>
      </c>
      <c r="AJ291" s="210">
        <f t="shared" ca="1" si="122"/>
        <v>3.3000000000000003</v>
      </c>
      <c r="AK291" s="8">
        <f t="shared" ca="1" si="123"/>
        <v>1.0000916666666666</v>
      </c>
      <c r="AL291" s="98">
        <f t="shared" ca="1" si="124"/>
        <v>3.5256548982635749</v>
      </c>
      <c r="AM291" s="106">
        <f t="shared" ca="1" si="116"/>
        <v>26850.556293189224</v>
      </c>
      <c r="AN291" s="10">
        <f t="shared" ca="1" si="117"/>
        <v>0.32730116744443816</v>
      </c>
      <c r="AO291" s="311">
        <f t="shared" ca="1" si="118"/>
        <v>0.3226672731499784</v>
      </c>
      <c r="AP291" s="312">
        <f t="shared" ca="1" si="119"/>
        <v>0.28834588047388621</v>
      </c>
      <c r="AQ291" s="1"/>
      <c r="AR291" s="1"/>
      <c r="AS291" s="1"/>
      <c r="AT291" s="1"/>
      <c r="AU291" s="1"/>
      <c r="AW291" s="176">
        <v>50437</v>
      </c>
      <c r="AX291" s="177">
        <f ca="1">IF(fechaHoy&gt;=siguienteHabil(EDATE(AW291,1)+8,-1),VLOOKUP(EDATE(AW291,1)-1,Inflation_FWD!$L:$M,2,0)/100,IFERROR(VLOOKUP(AW291,Inflation_FWD!$H:$I,2,0),0.25%))</f>
        <v>2.5000000000000001E-3</v>
      </c>
      <c r="AY291" s="177">
        <f t="shared" si="115"/>
        <v>2.4750000000000002E-3</v>
      </c>
      <c r="AZ291" s="100">
        <f t="shared" si="113"/>
        <v>50445</v>
      </c>
      <c r="BA291" s="102">
        <f t="shared" ca="1" si="114"/>
        <v>49372.315499121913</v>
      </c>
      <c r="BC291" s="23"/>
      <c r="BD291" s="23"/>
      <c r="CC291" s="299"/>
      <c r="CL291" s="284"/>
    </row>
    <row r="292" spans="34:90">
      <c r="AH292" s="6">
        <f t="shared" si="120"/>
        <v>262</v>
      </c>
      <c r="AI292" s="7">
        <f t="shared" ca="1" si="121"/>
        <v>42932</v>
      </c>
      <c r="AJ292" s="210">
        <f t="shared" ca="1" si="122"/>
        <v>3.3000000000000003</v>
      </c>
      <c r="AK292" s="8">
        <f t="shared" ca="1" si="123"/>
        <v>1.0000916666666666</v>
      </c>
      <c r="AL292" s="98">
        <f t="shared" ca="1" si="124"/>
        <v>3.5251837116053064</v>
      </c>
      <c r="AM292" s="106">
        <f t="shared" ca="1" si="116"/>
        <v>26852.712158137303</v>
      </c>
      <c r="AN292" s="10">
        <f t="shared" ca="1" si="117"/>
        <v>0.32763967696487484</v>
      </c>
      <c r="AO292" s="311">
        <f t="shared" ca="1" si="118"/>
        <v>0.323002282578293</v>
      </c>
      <c r="AP292" s="312">
        <f t="shared" ca="1" si="119"/>
        <v>0.28832127282013181</v>
      </c>
      <c r="AQ292" s="1"/>
      <c r="AR292" s="1"/>
      <c r="AS292" s="1"/>
      <c r="AT292" s="1"/>
      <c r="AU292" s="1"/>
      <c r="AW292" s="176">
        <v>50465</v>
      </c>
      <c r="AX292" s="177">
        <f ca="1">IF(fechaHoy&gt;=siguienteHabil(EDATE(AW292,1)+8,-1),VLOOKUP(EDATE(AW292,1)-1,Inflation_FWD!$L:$M,2,0)/100,IFERROR(VLOOKUP(AW292,Inflation_FWD!$H:$I,2,0),0.25%))</f>
        <v>2.5000000000000001E-3</v>
      </c>
      <c r="AY292" s="177">
        <f t="shared" si="115"/>
        <v>2.4750000000000002E-3</v>
      </c>
      <c r="AZ292" s="100">
        <f t="shared" si="113"/>
        <v>50473</v>
      </c>
      <c r="BA292" s="102">
        <f t="shared" ca="1" si="114"/>
        <v>49494.511979982242</v>
      </c>
      <c r="BC292" s="23"/>
      <c r="BD292" s="23"/>
      <c r="CC292" s="299"/>
      <c r="CL292" s="284"/>
    </row>
    <row r="293" spans="34:90">
      <c r="AH293" s="6">
        <f t="shared" si="120"/>
        <v>263</v>
      </c>
      <c r="AI293" s="7">
        <f t="shared" ca="1" si="121"/>
        <v>42933</v>
      </c>
      <c r="AJ293" s="210">
        <f t="shared" ca="1" si="122"/>
        <v>3.3000000000000003</v>
      </c>
      <c r="AK293" s="8">
        <f t="shared" ca="1" si="123"/>
        <v>1.0000916666666666</v>
      </c>
      <c r="AL293" s="98">
        <f t="shared" ca="1" si="124"/>
        <v>3.5247161102357039</v>
      </c>
      <c r="AM293" s="106">
        <f t="shared" ca="1" si="116"/>
        <v>26854.868196182491</v>
      </c>
      <c r="AN293" s="10">
        <f t="shared" ca="1" si="117"/>
        <v>0.32797561339759085</v>
      </c>
      <c r="AO293" s="311">
        <f t="shared" ca="1" si="118"/>
        <v>0.32333476215751605</v>
      </c>
      <c r="AP293" s="312">
        <f t="shared" ca="1" si="119"/>
        <v>0.28829695055048044</v>
      </c>
      <c r="AQ293" s="1"/>
      <c r="AR293" s="1"/>
      <c r="AS293" s="1"/>
      <c r="AT293" s="1"/>
      <c r="AU293" s="1"/>
      <c r="AW293" s="176">
        <v>50496</v>
      </c>
      <c r="AX293" s="177">
        <f ca="1">IF(fechaHoy&gt;=siguienteHabil(EDATE(AW293,1)+8,-1),VLOOKUP(EDATE(AW293,1)-1,Inflation_FWD!$L:$M,2,0)/100,IFERROR(VLOOKUP(AW293,Inflation_FWD!$H:$I,2,0),0.25%))</f>
        <v>2.5000000000000001E-3</v>
      </c>
      <c r="AY293" s="177">
        <f t="shared" si="115"/>
        <v>2.4750000000000002E-3</v>
      </c>
      <c r="AZ293" s="100">
        <f t="shared" si="113"/>
        <v>50504</v>
      </c>
      <c r="BA293" s="102">
        <f t="shared" ca="1" si="114"/>
        <v>49617.010897132699</v>
      </c>
      <c r="BC293" s="23"/>
      <c r="BD293" s="23"/>
      <c r="CC293" s="299"/>
      <c r="CL293" s="284"/>
    </row>
    <row r="294" spans="34:90">
      <c r="AH294" s="6">
        <f t="shared" si="120"/>
        <v>264</v>
      </c>
      <c r="AI294" s="7">
        <f t="shared" ca="1" si="121"/>
        <v>42934</v>
      </c>
      <c r="AJ294" s="210">
        <f t="shared" ca="1" si="122"/>
        <v>3.3000000000000003</v>
      </c>
      <c r="AK294" s="8">
        <f t="shared" ca="1" si="123"/>
        <v>1.0000916666666666</v>
      </c>
      <c r="AL294" s="98">
        <f t="shared" ca="1" si="124"/>
        <v>3.5242520533888211</v>
      </c>
      <c r="AM294" s="106">
        <f t="shared" ca="1" si="116"/>
        <v>26857.024407338686</v>
      </c>
      <c r="AN294" s="10">
        <f t="shared" ca="1" si="117"/>
        <v>0.32830900596942936</v>
      </c>
      <c r="AO294" s="311">
        <f t="shared" ca="1" si="118"/>
        <v>0.32366474063614464</v>
      </c>
      <c r="AP294" s="312">
        <f t="shared" ca="1" si="119"/>
        <v>0.28827291043090592</v>
      </c>
      <c r="AQ294" s="1"/>
      <c r="AR294" s="1"/>
      <c r="AS294" s="1"/>
      <c r="AT294" s="1"/>
      <c r="AU294" s="1"/>
      <c r="AW294" s="176">
        <v>50526</v>
      </c>
      <c r="AX294" s="177">
        <f ca="1">IF(fechaHoy&gt;=siguienteHabil(EDATE(AW294,1)+8,-1),VLOOKUP(EDATE(AW294,1)-1,Inflation_FWD!$L:$M,2,0)/100,IFERROR(VLOOKUP(AW294,Inflation_FWD!$H:$I,2,0),0.25%))</f>
        <v>2.5000000000000001E-3</v>
      </c>
      <c r="AY294" s="177">
        <f t="shared" si="115"/>
        <v>2.4750000000000002E-3</v>
      </c>
      <c r="AZ294" s="100">
        <f t="shared" si="113"/>
        <v>50534</v>
      </c>
      <c r="BA294" s="102">
        <f t="shared" ca="1" si="114"/>
        <v>49739.812999103102</v>
      </c>
      <c r="BC294" s="23"/>
      <c r="BD294" s="23"/>
      <c r="CC294" s="299"/>
      <c r="CL294" s="284"/>
    </row>
    <row r="295" spans="34:90">
      <c r="AH295" s="6">
        <f t="shared" si="120"/>
        <v>265</v>
      </c>
      <c r="AI295" s="7">
        <f t="shared" ca="1" si="121"/>
        <v>42935</v>
      </c>
      <c r="AJ295" s="210">
        <f t="shared" ca="1" si="122"/>
        <v>3.3000000000000003</v>
      </c>
      <c r="AK295" s="8">
        <f t="shared" ca="1" si="123"/>
        <v>1.0000916666666666</v>
      </c>
      <c r="AL295" s="98">
        <f t="shared" ca="1" si="124"/>
        <v>3.5237915009144416</v>
      </c>
      <c r="AM295" s="106">
        <f t="shared" ca="1" si="116"/>
        <v>26859.180791619787</v>
      </c>
      <c r="AN295" s="10">
        <f t="shared" ca="1" si="117"/>
        <v>0.32863988346627515</v>
      </c>
      <c r="AO295" s="311">
        <f t="shared" ca="1" si="118"/>
        <v>0.32399224632870605</v>
      </c>
      <c r="AP295" s="312">
        <f t="shared" ca="1" si="119"/>
        <v>0.28824914927619283</v>
      </c>
      <c r="AQ295" s="1"/>
      <c r="AR295" s="1"/>
      <c r="AS295" s="1"/>
      <c r="AT295" s="1"/>
      <c r="AU295" s="1"/>
      <c r="AW295" s="176">
        <v>50557</v>
      </c>
      <c r="AX295" s="177">
        <f ca="1">IF(fechaHoy&gt;=siguienteHabil(EDATE(AW295,1)+8,-1),VLOOKUP(EDATE(AW295,1)-1,Inflation_FWD!$L:$M,2,0)/100,IFERROR(VLOOKUP(AW295,Inflation_FWD!$H:$I,2,0),0.25%))</f>
        <v>2.5000000000000001E-3</v>
      </c>
      <c r="AY295" s="177">
        <f t="shared" si="115"/>
        <v>2.4750000000000002E-3</v>
      </c>
      <c r="AZ295" s="100">
        <f t="shared" si="113"/>
        <v>50565</v>
      </c>
      <c r="BA295" s="102">
        <f t="shared" ca="1" si="114"/>
        <v>49862.919036275882</v>
      </c>
      <c r="BC295" s="23"/>
      <c r="BD295" s="23"/>
      <c r="CC295" s="299"/>
      <c r="CL295" s="284"/>
    </row>
    <row r="296" spans="34:90">
      <c r="AH296" s="6">
        <f t="shared" si="120"/>
        <v>266</v>
      </c>
      <c r="AI296" s="7">
        <f t="shared" ca="1" si="121"/>
        <v>42936</v>
      </c>
      <c r="AJ296" s="210">
        <f t="shared" ca="1" si="122"/>
        <v>3.3000000000000003</v>
      </c>
      <c r="AK296" s="8">
        <f t="shared" ca="1" si="123"/>
        <v>1.0000916666666666</v>
      </c>
      <c r="AL296" s="98">
        <f t="shared" ca="1" si="124"/>
        <v>3.5233344132664657</v>
      </c>
      <c r="AM296" s="106">
        <f t="shared" ca="1" si="116"/>
        <v>26861.337349039695</v>
      </c>
      <c r="AN296" s="10">
        <f t="shared" ca="1" si="117"/>
        <v>0.3289682742413147</v>
      </c>
      <c r="AO296" s="311">
        <f t="shared" ca="1" si="118"/>
        <v>0.32431730712397538</v>
      </c>
      <c r="AP296" s="312">
        <f t="shared" ca="1" si="119"/>
        <v>0.28822566394903104</v>
      </c>
      <c r="AQ296" s="1"/>
      <c r="AR296" s="1"/>
      <c r="AS296" s="1"/>
      <c r="AT296" s="1"/>
      <c r="AU296" s="1"/>
      <c r="AW296" s="176">
        <v>50587</v>
      </c>
      <c r="AX296" s="177">
        <f ca="1">IF(fechaHoy&gt;=siguienteHabil(EDATE(AW296,1)+8,-1),VLOOKUP(EDATE(AW296,1)-1,Inflation_FWD!$L:$M,2,0)/100,IFERROR(VLOOKUP(AW296,Inflation_FWD!$H:$I,2,0),0.25%))</f>
        <v>2.5000000000000001E-3</v>
      </c>
      <c r="AY296" s="177">
        <f t="shared" si="115"/>
        <v>2.4750000000000002E-3</v>
      </c>
      <c r="AZ296" s="100">
        <f t="shared" si="113"/>
        <v>50595</v>
      </c>
      <c r="BA296" s="102">
        <f t="shared" ca="1" si="114"/>
        <v>49986.329760890665</v>
      </c>
      <c r="BC296" s="23"/>
      <c r="BD296" s="23"/>
      <c r="CC296" s="299"/>
      <c r="CL296" s="284"/>
    </row>
    <row r="297" spans="34:90">
      <c r="AH297" s="6">
        <f t="shared" si="120"/>
        <v>267</v>
      </c>
      <c r="AI297" s="7">
        <f t="shared" ca="1" si="121"/>
        <v>42937</v>
      </c>
      <c r="AJ297" s="210">
        <f t="shared" ca="1" si="122"/>
        <v>3.3000000000000003</v>
      </c>
      <c r="AK297" s="8">
        <f t="shared" ca="1" si="123"/>
        <v>1.0000916666666666</v>
      </c>
      <c r="AL297" s="98">
        <f t="shared" ca="1" si="124"/>
        <v>3.5228807514915639</v>
      </c>
      <c r="AM297" s="106">
        <f t="shared" ca="1" si="116"/>
        <v>26863.494079612312</v>
      </c>
      <c r="AN297" s="10">
        <f t="shared" ca="1" si="117"/>
        <v>0.32929420622320738</v>
      </c>
      <c r="AO297" s="311">
        <f t="shared" ca="1" si="118"/>
        <v>0.32463995049288841</v>
      </c>
      <c r="AP297" s="312">
        <f t="shared" ca="1" si="119"/>
        <v>0.28820245135910638</v>
      </c>
      <c r="AQ297" s="1"/>
      <c r="AR297" s="1"/>
      <c r="AS297" s="1"/>
      <c r="AT297" s="1"/>
      <c r="AU297" s="1"/>
      <c r="AW297" s="176">
        <v>50618</v>
      </c>
      <c r="AX297" s="177">
        <f ca="1">IF(fechaHoy&gt;=siguienteHabil(EDATE(AW297,1)+8,-1),VLOOKUP(EDATE(AW297,1)-1,Inflation_FWD!$L:$M,2,0)/100,IFERROR(VLOOKUP(AW297,Inflation_FWD!$H:$I,2,0),0.25%))</f>
        <v>2.5000000000000001E-3</v>
      </c>
      <c r="AY297" s="177">
        <f t="shared" si="115"/>
        <v>2.4750000000000002E-3</v>
      </c>
      <c r="AZ297" s="100">
        <f t="shared" si="113"/>
        <v>50626</v>
      </c>
      <c r="BA297" s="102">
        <f t="shared" ca="1" si="114"/>
        <v>50110.045927048872</v>
      </c>
      <c r="BC297" s="23"/>
      <c r="BD297" s="23"/>
      <c r="CC297" s="299"/>
      <c r="CL297" s="284"/>
    </row>
    <row r="298" spans="34:90">
      <c r="AH298" s="6">
        <f t="shared" si="120"/>
        <v>268</v>
      </c>
      <c r="AI298" s="7">
        <f t="shared" ca="1" si="121"/>
        <v>42938</v>
      </c>
      <c r="AJ298" s="210">
        <f t="shared" ca="1" si="122"/>
        <v>3.3000000000000003</v>
      </c>
      <c r="AK298" s="8">
        <f t="shared" ca="1" si="123"/>
        <v>1.0000916666666666</v>
      </c>
      <c r="AL298" s="98">
        <f t="shared" ca="1" si="124"/>
        <v>3.5224304772181192</v>
      </c>
      <c r="AM298" s="106">
        <f t="shared" ca="1" si="116"/>
        <v>26865.650983351545</v>
      </c>
      <c r="AN298" s="10">
        <f t="shared" ca="1" si="117"/>
        <v>0.32961770692385706</v>
      </c>
      <c r="AO298" s="311">
        <f t="shared" ca="1" si="118"/>
        <v>0.32496020349639654</v>
      </c>
      <c r="AP298" s="312">
        <f t="shared" ca="1" si="119"/>
        <v>0.28817950846223123</v>
      </c>
      <c r="AQ298" s="1"/>
      <c r="AR298" s="1"/>
      <c r="AS298" s="1"/>
      <c r="AT298" s="1"/>
      <c r="AU298" s="1"/>
      <c r="AW298" s="176">
        <v>50649</v>
      </c>
      <c r="AX298" s="177">
        <f ca="1">IF(fechaHoy&gt;=siguienteHabil(EDATE(AW298,1)+8,-1),VLOOKUP(EDATE(AW298,1)-1,Inflation_FWD!$L:$M,2,0)/100,IFERROR(VLOOKUP(AW298,Inflation_FWD!$H:$I,2,0),0.25%))</f>
        <v>2.5000000000000001E-3</v>
      </c>
      <c r="AY298" s="177">
        <f t="shared" si="115"/>
        <v>2.4750000000000002E-3</v>
      </c>
      <c r="AZ298" s="100">
        <f t="shared" si="113"/>
        <v>50657</v>
      </c>
      <c r="BA298" s="102">
        <f t="shared" ca="1" si="114"/>
        <v>50234.068290718315</v>
      </c>
      <c r="BC298" s="23"/>
      <c r="BD298" s="23"/>
      <c r="CC298" s="299"/>
      <c r="CL298" s="284"/>
    </row>
    <row r="299" spans="34:90">
      <c r="AH299" s="6">
        <f t="shared" si="120"/>
        <v>269</v>
      </c>
      <c r="AI299" s="7">
        <f t="shared" ca="1" si="121"/>
        <v>42939</v>
      </c>
      <c r="AJ299" s="210">
        <f t="shared" ca="1" si="122"/>
        <v>3.3000000000000003</v>
      </c>
      <c r="AK299" s="8">
        <f t="shared" ca="1" si="123"/>
        <v>1.0000916666666666</v>
      </c>
      <c r="AL299" s="98">
        <f t="shared" ca="1" si="124"/>
        <v>3.5219835526454579</v>
      </c>
      <c r="AM299" s="106">
        <f t="shared" ca="1" si="116"/>
        <v>26867.808060271283</v>
      </c>
      <c r="AN299" s="10">
        <f t="shared" ca="1" si="117"/>
        <v>0.32993880344638349</v>
      </c>
      <c r="AO299" s="311">
        <f t="shared" ca="1" si="118"/>
        <v>0.32527809279308784</v>
      </c>
      <c r="AP299" s="312">
        <f t="shared" ca="1" si="119"/>
        <v>0.28815683225948724</v>
      </c>
      <c r="AQ299" s="1"/>
      <c r="AR299" s="1"/>
      <c r="AS299" s="1"/>
      <c r="AT299" s="1"/>
      <c r="AU299" s="1"/>
      <c r="AW299" s="176">
        <v>50679</v>
      </c>
      <c r="AX299" s="177">
        <f ca="1">IF(fechaHoy&gt;=siguienteHabil(EDATE(AW299,1)+8,-1),VLOOKUP(EDATE(AW299,1)-1,Inflation_FWD!$L:$M,2,0)/100,IFERROR(VLOOKUP(AW299,Inflation_FWD!$H:$I,2,0),0.25%))</f>
        <v>2.5000000000000001E-3</v>
      </c>
      <c r="AY299" s="177">
        <f t="shared" si="115"/>
        <v>2.4750000000000002E-3</v>
      </c>
      <c r="AZ299" s="100">
        <f t="shared" si="113"/>
        <v>50687</v>
      </c>
      <c r="BA299" s="102">
        <f t="shared" ca="1" si="114"/>
        <v>50358.39760973784</v>
      </c>
      <c r="BC299" s="23"/>
      <c r="BD299" s="23"/>
      <c r="CC299" s="299"/>
      <c r="CL299" s="284"/>
    </row>
    <row r="300" spans="34:90">
      <c r="AH300" s="6">
        <f t="shared" si="120"/>
        <v>270</v>
      </c>
      <c r="AI300" s="7">
        <f t="shared" ca="1" si="121"/>
        <v>42940</v>
      </c>
      <c r="AJ300" s="210">
        <f t="shared" ca="1" si="122"/>
        <v>3.3000000000000003</v>
      </c>
      <c r="AK300" s="8">
        <f t="shared" ca="1" si="123"/>
        <v>1.0000916666666666</v>
      </c>
      <c r="AL300" s="98">
        <f t="shared" ca="1" si="124"/>
        <v>3.5215399405332803</v>
      </c>
      <c r="AM300" s="106">
        <f t="shared" ca="1" si="116"/>
        <v>26869.965310385447</v>
      </c>
      <c r="AN300" s="10">
        <f t="shared" ca="1" si="117"/>
        <v>0.33025752249233875</v>
      </c>
      <c r="AO300" s="311">
        <f t="shared" ca="1" si="118"/>
        <v>0.32559364464648988</v>
      </c>
      <c r="AP300" s="312">
        <f t="shared" ca="1" si="119"/>
        <v>0.28813441979638443</v>
      </c>
      <c r="AQ300" s="1"/>
      <c r="AR300" s="1"/>
      <c r="AS300" s="1"/>
      <c r="AT300" s="1"/>
      <c r="AU300" s="1"/>
      <c r="AW300" s="176">
        <v>50710</v>
      </c>
      <c r="AX300" s="177">
        <f ca="1">IF(fechaHoy&gt;=siguienteHabil(EDATE(AW300,1)+8,-1),VLOOKUP(EDATE(AW300,1)-1,Inflation_FWD!$L:$M,2,0)/100,IFERROR(VLOOKUP(AW300,Inflation_FWD!$H:$I,2,0),0.25%))</f>
        <v>2.5000000000000001E-3</v>
      </c>
      <c r="AY300" s="177">
        <f t="shared" si="115"/>
        <v>2.4750000000000002E-3</v>
      </c>
      <c r="AZ300" s="100">
        <f t="shared" si="113"/>
        <v>50718</v>
      </c>
      <c r="BA300" s="102">
        <f t="shared" ca="1" si="114"/>
        <v>50483.034643821942</v>
      </c>
      <c r="BC300" s="23"/>
      <c r="BD300" s="23"/>
      <c r="CC300" s="299"/>
      <c r="CL300" s="284"/>
    </row>
    <row r="301" spans="34:90">
      <c r="AH301" s="6">
        <f t="shared" si="120"/>
        <v>271</v>
      </c>
      <c r="AI301" s="7">
        <f t="shared" ca="1" si="121"/>
        <v>42941</v>
      </c>
      <c r="AJ301" s="210">
        <f t="shared" ca="1" si="122"/>
        <v>3.3000000000000003</v>
      </c>
      <c r="AK301" s="8">
        <f t="shared" ca="1" si="123"/>
        <v>1.0000916666666666</v>
      </c>
      <c r="AL301" s="98">
        <f t="shared" ca="1" si="124"/>
        <v>3.5210996041911802</v>
      </c>
      <c r="AM301" s="106">
        <f t="shared" ca="1" si="116"/>
        <v>26872.122733707936</v>
      </c>
      <c r="AN301" s="10">
        <f t="shared" ca="1" si="117"/>
        <v>0.33057389036952323</v>
      </c>
      <c r="AO301" s="311">
        <f t="shared" ca="1" si="118"/>
        <v>0.32590688493259445</v>
      </c>
      <c r="AP301" s="312">
        <f t="shared" ca="1" si="119"/>
        <v>0.28811226816204161</v>
      </c>
      <c r="AQ301" s="1"/>
      <c r="AR301" s="1"/>
      <c r="AS301" s="1"/>
      <c r="AT301" s="1"/>
      <c r="AU301" s="1"/>
      <c r="AW301" s="176">
        <v>50740</v>
      </c>
      <c r="AX301" s="177">
        <f ca="1">IF(fechaHoy&gt;=siguienteHabil(EDATE(AW301,1)+8,-1),VLOOKUP(EDATE(AW301,1)-1,Inflation_FWD!$L:$M,2,0)/100,IFERROR(VLOOKUP(AW301,Inflation_FWD!$H:$I,2,0),0.25%))</f>
        <v>2.5000000000000001E-3</v>
      </c>
      <c r="AY301" s="177">
        <f t="shared" si="115"/>
        <v>2.4750000000000002E-3</v>
      </c>
      <c r="AZ301" s="100">
        <f t="shared" si="113"/>
        <v>50748</v>
      </c>
      <c r="BA301" s="102">
        <f t="shared" ca="1" si="114"/>
        <v>50607.980154565405</v>
      </c>
      <c r="BC301" s="23"/>
      <c r="BD301" s="23"/>
      <c r="CC301" s="299"/>
      <c r="CL301" s="284"/>
    </row>
    <row r="302" spans="34:90">
      <c r="AH302" s="6">
        <f t="shared" si="120"/>
        <v>272</v>
      </c>
      <c r="AI302" s="7">
        <f t="shared" ca="1" si="121"/>
        <v>42942</v>
      </c>
      <c r="AJ302" s="210">
        <f t="shared" ca="1" si="122"/>
        <v>3.3000000000000003</v>
      </c>
      <c r="AK302" s="8">
        <f t="shared" ca="1" si="123"/>
        <v>1.0000916666666666</v>
      </c>
      <c r="AL302" s="98">
        <f t="shared" ca="1" si="124"/>
        <v>3.5206625074687192</v>
      </c>
      <c r="AM302" s="106">
        <f t="shared" ca="1" si="116"/>
        <v>26874.280330252659</v>
      </c>
      <c r="AN302" s="10">
        <f t="shared" ca="1" si="117"/>
        <v>0.3308879329989356</v>
      </c>
      <c r="AO302" s="311">
        <f t="shared" ca="1" si="118"/>
        <v>0.32621783914683489</v>
      </c>
      <c r="AP302" s="312">
        <f t="shared" ca="1" si="119"/>
        <v>0.28809037448838704</v>
      </c>
      <c r="AQ302" s="1"/>
      <c r="AR302" s="1"/>
      <c r="AS302" s="1"/>
      <c r="AT302" s="1"/>
      <c r="AU302" s="1"/>
      <c r="AW302" s="176">
        <v>50771</v>
      </c>
      <c r="AX302" s="177">
        <f ca="1">IF(fechaHoy&gt;=siguienteHabil(EDATE(AW302,1)+8,-1),VLOOKUP(EDATE(AW302,1)-1,Inflation_FWD!$L:$M,2,0)/100,IFERROR(VLOOKUP(AW302,Inflation_FWD!$H:$I,2,0),0.25%))</f>
        <v>2.5000000000000001E-3</v>
      </c>
      <c r="AY302" s="177">
        <f t="shared" si="115"/>
        <v>2.4750000000000002E-3</v>
      </c>
      <c r="AZ302" s="100">
        <f t="shared" si="113"/>
        <v>50779</v>
      </c>
      <c r="BA302" s="102">
        <f t="shared" ca="1" si="114"/>
        <v>50733.234905447956</v>
      </c>
      <c r="BC302" s="23"/>
      <c r="BD302" s="23"/>
      <c r="CC302" s="299"/>
      <c r="CL302" s="284"/>
    </row>
    <row r="303" spans="34:90">
      <c r="AH303" s="6">
        <f t="shared" si="120"/>
        <v>273</v>
      </c>
      <c r="AI303" s="7">
        <f t="shared" ca="1" si="121"/>
        <v>42943</v>
      </c>
      <c r="AJ303" s="210">
        <f t="shared" ca="1" si="122"/>
        <v>3.3000000000000003</v>
      </c>
      <c r="AK303" s="8">
        <f t="shared" ca="1" si="123"/>
        <v>1.0000916666666666</v>
      </c>
      <c r="AL303" s="98">
        <f t="shared" ca="1" si="124"/>
        <v>3.5202286147453909</v>
      </c>
      <c r="AM303" s="106">
        <f t="shared" ca="1" si="116"/>
        <v>26876.438100033527</v>
      </c>
      <c r="AN303" s="10">
        <f t="shared" ca="1" si="117"/>
        <v>0.33119967592196708</v>
      </c>
      <c r="AO303" s="311">
        <f t="shared" ca="1" si="118"/>
        <v>0.32652653241108504</v>
      </c>
      <c r="AP303" s="312">
        <f t="shared" ca="1" si="119"/>
        <v>0.28806873594937193</v>
      </c>
      <c r="AQ303" s="1"/>
      <c r="AR303" s="1"/>
      <c r="AS303" s="1"/>
      <c r="AT303" s="1"/>
      <c r="AU303" s="1"/>
      <c r="AW303" s="176">
        <v>50802</v>
      </c>
      <c r="AX303" s="177">
        <f ca="1">IF(fechaHoy&gt;=siguienteHabil(EDATE(AW303,1)+8,-1),VLOOKUP(EDATE(AW303,1)-1,Inflation_FWD!$L:$M,2,0)/100,IFERROR(VLOOKUP(AW303,Inflation_FWD!$H:$I,2,0),0.25%))</f>
        <v>2.5000000000000001E-3</v>
      </c>
      <c r="AY303" s="177">
        <f t="shared" si="115"/>
        <v>2.4750000000000002E-3</v>
      </c>
      <c r="AZ303" s="100">
        <f t="shared" si="113"/>
        <v>50810</v>
      </c>
      <c r="BA303" s="102">
        <f t="shared" ca="1" si="114"/>
        <v>50858.799661838937</v>
      </c>
      <c r="BC303" s="23"/>
      <c r="BD303" s="23"/>
      <c r="CC303" s="299"/>
      <c r="CL303" s="284"/>
    </row>
    <row r="304" spans="34:90">
      <c r="AH304" s="6">
        <f t="shared" si="120"/>
        <v>274</v>
      </c>
      <c r="AI304" s="7">
        <f t="shared" ca="1" si="121"/>
        <v>42944</v>
      </c>
      <c r="AJ304" s="210">
        <f t="shared" ca="1" si="122"/>
        <v>3.3000000000000003</v>
      </c>
      <c r="AK304" s="8">
        <f t="shared" ca="1" si="123"/>
        <v>1.0000916666666666</v>
      </c>
      <c r="AL304" s="98">
        <f t="shared" ca="1" si="124"/>
        <v>3.5197978909209393</v>
      </c>
      <c r="AM304" s="106">
        <f t="shared" ca="1" si="116"/>
        <v>26878.596043064441</v>
      </c>
      <c r="AN304" s="10">
        <f t="shared" ca="1" si="117"/>
        <v>0.33150914430721823</v>
      </c>
      <c r="AO304" s="311">
        <f t="shared" ca="1" si="118"/>
        <v>0.32683298948041767</v>
      </c>
      <c r="AP304" s="312">
        <f t="shared" ca="1" si="119"/>
        <v>0.28804734976020147</v>
      </c>
      <c r="AQ304" s="1"/>
      <c r="AR304" s="1"/>
      <c r="AS304" s="1"/>
      <c r="AT304" s="1"/>
      <c r="AU304" s="1"/>
      <c r="AW304" s="176">
        <v>50830</v>
      </c>
      <c r="AX304" s="177">
        <f ca="1">IF(fechaHoy&gt;=siguienteHabil(EDATE(AW304,1)+8,-1),VLOOKUP(EDATE(AW304,1)-1,Inflation_FWD!$L:$M,2,0)/100,IFERROR(VLOOKUP(AW304,Inflation_FWD!$H:$I,2,0),0.25%))</f>
        <v>2.5000000000000001E-3</v>
      </c>
      <c r="AY304" s="177">
        <f t="shared" si="115"/>
        <v>2.4750000000000002E-3</v>
      </c>
      <c r="AZ304" s="100">
        <f t="shared" si="113"/>
        <v>50838</v>
      </c>
      <c r="BA304" s="102">
        <f t="shared" ca="1" si="114"/>
        <v>50984.675191001988</v>
      </c>
      <c r="BC304" s="23"/>
      <c r="BD304" s="23"/>
      <c r="CC304" s="299"/>
      <c r="CL304" s="284"/>
    </row>
    <row r="305" spans="34:90">
      <c r="AH305" s="6">
        <f t="shared" si="120"/>
        <v>275</v>
      </c>
      <c r="AI305" s="7">
        <f t="shared" ca="1" si="121"/>
        <v>42945</v>
      </c>
      <c r="AJ305" s="210">
        <f t="shared" ca="1" si="122"/>
        <v>3.3000000000000003</v>
      </c>
      <c r="AK305" s="8">
        <f t="shared" ca="1" si="123"/>
        <v>1.0000916666666666</v>
      </c>
      <c r="AL305" s="98">
        <f t="shared" ca="1" si="124"/>
        <v>3.5193703014060551</v>
      </c>
      <c r="AM305" s="106">
        <f t="shared" ca="1" si="116"/>
        <v>26880.754159359312</v>
      </c>
      <c r="AN305" s="10">
        <f t="shared" ca="1" si="117"/>
        <v>0.3318163629575599</v>
      </c>
      <c r="AO305" s="311">
        <f t="shared" ca="1" si="118"/>
        <v>0.32713723474997702</v>
      </c>
      <c r="AP305" s="312">
        <f t="shared" ca="1" si="119"/>
        <v>0.28802621317659394</v>
      </c>
      <c r="AQ305" s="1"/>
      <c r="AR305" s="1"/>
      <c r="AS305" s="1"/>
      <c r="AT305" s="1"/>
      <c r="AU305" s="1"/>
      <c r="AW305" s="176">
        <v>50861</v>
      </c>
      <c r="AX305" s="177">
        <f ca="1">IF(fechaHoy&gt;=siguienteHabil(EDATE(AW305,1)+8,-1),VLOOKUP(EDATE(AW305,1)-1,Inflation_FWD!$L:$M,2,0)/100,IFERROR(VLOOKUP(AW305,Inflation_FWD!$H:$I,2,0),0.25%))</f>
        <v>2.5000000000000001E-3</v>
      </c>
      <c r="AY305" s="177">
        <f t="shared" si="115"/>
        <v>2.4750000000000002E-3</v>
      </c>
      <c r="AZ305" s="100">
        <f t="shared" si="113"/>
        <v>50869</v>
      </c>
      <c r="BA305" s="102">
        <f t="shared" ca="1" si="114"/>
        <v>51110.862262099719</v>
      </c>
      <c r="BC305" s="23"/>
      <c r="BD305" s="23"/>
      <c r="CC305" s="299"/>
      <c r="CL305" s="284"/>
    </row>
    <row r="306" spans="34:90">
      <c r="AH306" s="6">
        <f t="shared" si="120"/>
        <v>276</v>
      </c>
      <c r="AI306" s="7">
        <f t="shared" ca="1" si="121"/>
        <v>42946</v>
      </c>
      <c r="AJ306" s="210">
        <f t="shared" ca="1" si="122"/>
        <v>3.3000000000000003</v>
      </c>
      <c r="AK306" s="8">
        <f t="shared" ca="1" si="123"/>
        <v>1.0000916666666666</v>
      </c>
      <c r="AL306" s="98">
        <f t="shared" ca="1" si="124"/>
        <v>3.5189458121129169</v>
      </c>
      <c r="AM306" s="106">
        <f t="shared" ca="1" si="116"/>
        <v>26882.91244893206</v>
      </c>
      <c r="AN306" s="10">
        <f t="shared" ca="1" si="117"/>
        <v>0.33212135631621731</v>
      </c>
      <c r="AO306" s="311">
        <f t="shared" ca="1" si="118"/>
        <v>0.32743929226112295</v>
      </c>
      <c r="AP306" s="312">
        <f t="shared" ca="1" si="119"/>
        <v>0.28800532349403529</v>
      </c>
      <c r="AQ306" s="1"/>
      <c r="AR306" s="1"/>
      <c r="AS306" s="1"/>
      <c r="AT306" s="1"/>
      <c r="AU306" s="1"/>
      <c r="AW306" s="176">
        <v>50891</v>
      </c>
      <c r="AX306" s="177">
        <f ca="1">IF(fechaHoy&gt;=siguienteHabil(EDATE(AW306,1)+8,-1),VLOOKUP(EDATE(AW306,1)-1,Inflation_FWD!$L:$M,2,0)/100,IFERROR(VLOOKUP(AW306,Inflation_FWD!$H:$I,2,0),0.25%))</f>
        <v>2.5000000000000001E-3</v>
      </c>
      <c r="AY306" s="177">
        <f t="shared" si="115"/>
        <v>2.4750000000000002E-3</v>
      </c>
      <c r="AZ306" s="100">
        <f t="shared" si="113"/>
        <v>50899</v>
      </c>
      <c r="BA306" s="102">
        <f t="shared" ca="1" si="114"/>
        <v>51237.361646198413</v>
      </c>
      <c r="BC306" s="23"/>
      <c r="BD306" s="23"/>
      <c r="CC306" s="299"/>
      <c r="CL306" s="284"/>
    </row>
    <row r="307" spans="34:90">
      <c r="AH307" s="6">
        <f t="shared" si="120"/>
        <v>277</v>
      </c>
      <c r="AI307" s="7">
        <f t="shared" ca="1" si="121"/>
        <v>42947</v>
      </c>
      <c r="AJ307" s="210">
        <f t="shared" ca="1" si="122"/>
        <v>3.3000000000000003</v>
      </c>
      <c r="AK307" s="8">
        <f t="shared" ca="1" si="123"/>
        <v>1.0000916666666666</v>
      </c>
      <c r="AL307" s="98">
        <f t="shared" ca="1" si="124"/>
        <v>3.5185243894462648</v>
      </c>
      <c r="AM307" s="106">
        <f t="shared" ca="1" si="116"/>
        <v>26885.0709117966</v>
      </c>
      <c r="AN307" s="10">
        <f t="shared" ca="1" si="117"/>
        <v>0.33242414847389767</v>
      </c>
      <c r="AO307" s="311">
        <f t="shared" ca="1" si="118"/>
        <v>0.32773918570824961</v>
      </c>
      <c r="AP307" s="312">
        <f t="shared" ca="1" si="119"/>
        <v>0.28798467804706801</v>
      </c>
      <c r="AQ307" s="1"/>
      <c r="AR307" s="1"/>
      <c r="AS307" s="1"/>
      <c r="AT307" s="1"/>
      <c r="AU307" s="1"/>
      <c r="AW307" s="176">
        <v>50922</v>
      </c>
      <c r="AX307" s="177">
        <f ca="1">IF(fechaHoy&gt;=siguienteHabil(EDATE(AW307,1)+8,-1),VLOOKUP(EDATE(AW307,1)-1,Inflation_FWD!$L:$M,2,0)/100,IFERROR(VLOOKUP(AW307,Inflation_FWD!$H:$I,2,0),0.25%))</f>
        <v>2.5000000000000001E-3</v>
      </c>
      <c r="AY307" s="177">
        <f t="shared" si="115"/>
        <v>2.4750000000000002E-3</v>
      </c>
      <c r="AZ307" s="100">
        <f t="shared" si="113"/>
        <v>50930</v>
      </c>
      <c r="BA307" s="102">
        <f t="shared" ca="1" si="114"/>
        <v>51364.174116272756</v>
      </c>
      <c r="BC307" s="23"/>
      <c r="BD307" s="23"/>
      <c r="CC307" s="299"/>
      <c r="CL307" s="284"/>
    </row>
    <row r="308" spans="34:90">
      <c r="AH308" s="6">
        <f t="shared" si="120"/>
        <v>278</v>
      </c>
      <c r="AI308" s="7">
        <f t="shared" ca="1" si="121"/>
        <v>42948</v>
      </c>
      <c r="AJ308" s="210">
        <f t="shared" ca="1" si="122"/>
        <v>3.3000000000000003</v>
      </c>
      <c r="AK308" s="8">
        <f t="shared" ca="1" si="123"/>
        <v>1.0000916666666666</v>
      </c>
      <c r="AL308" s="98">
        <f t="shared" ca="1" si="124"/>
        <v>3.5181060002944742</v>
      </c>
      <c r="AM308" s="106">
        <f t="shared" ca="1" si="116"/>
        <v>26887.229547966828</v>
      </c>
      <c r="AN308" s="10">
        <f t="shared" ca="1" si="117"/>
        <v>0.33272476317471877</v>
      </c>
      <c r="AO308" s="311">
        <f t="shared" ca="1" si="118"/>
        <v>0.32803693844479587</v>
      </c>
      <c r="AP308" s="312">
        <f t="shared" ca="1" si="119"/>
        <v>0.28796427420858894</v>
      </c>
      <c r="AQ308" s="1"/>
      <c r="AR308" s="1"/>
      <c r="AS308" s="1"/>
      <c r="AT308" s="1"/>
      <c r="AU308" s="1"/>
      <c r="AW308" s="176">
        <v>50952</v>
      </c>
      <c r="AX308" s="177">
        <f ca="1">IF(fechaHoy&gt;=siguienteHabil(EDATE(AW308,1)+8,-1),VLOOKUP(EDATE(AW308,1)-1,Inflation_FWD!$L:$M,2,0)/100,IFERROR(VLOOKUP(AW308,Inflation_FWD!$H:$I,2,0),0.25%))</f>
        <v>2.5000000000000001E-3</v>
      </c>
      <c r="AY308" s="177">
        <f t="shared" si="115"/>
        <v>2.4750000000000002E-3</v>
      </c>
      <c r="AZ308" s="100">
        <f t="shared" si="113"/>
        <v>50960</v>
      </c>
      <c r="BA308" s="102">
        <f t="shared" ca="1" si="114"/>
        <v>51491.300447210531</v>
      </c>
      <c r="BC308" s="23"/>
      <c r="BD308" s="23"/>
      <c r="CC308" s="299"/>
      <c r="CL308" s="284"/>
    </row>
    <row r="309" spans="34:90">
      <c r="AH309" s="6">
        <f t="shared" si="120"/>
        <v>279</v>
      </c>
      <c r="AI309" s="7">
        <f t="shared" ca="1" si="121"/>
        <v>42949</v>
      </c>
      <c r="AJ309" s="210">
        <f t="shared" ca="1" si="122"/>
        <v>3.3000000000000003</v>
      </c>
      <c r="AK309" s="8">
        <f t="shared" ca="1" si="123"/>
        <v>1.0000916666666666</v>
      </c>
      <c r="AL309" s="98">
        <f t="shared" ca="1" si="124"/>
        <v>3.5176906120209628</v>
      </c>
      <c r="AM309" s="106">
        <f t="shared" ca="1" si="116"/>
        <v>26889.388357456679</v>
      </c>
      <c r="AN309" s="10">
        <f t="shared" ca="1" si="117"/>
        <v>0.33302322382244842</v>
      </c>
      <c r="AO309" s="311">
        <f t="shared" ca="1" si="118"/>
        <v>0.3283325734892697</v>
      </c>
      <c r="AP309" s="312">
        <f t="shared" ca="1" si="119"/>
        <v>0.28794410938915954</v>
      </c>
      <c r="AQ309" s="1"/>
      <c r="AR309" s="1"/>
      <c r="AS309" s="1"/>
      <c r="AT309" s="1"/>
      <c r="AU309" s="1"/>
      <c r="AW309" s="176">
        <v>50983</v>
      </c>
      <c r="AX309" s="177">
        <f ca="1">IF(fechaHoy&gt;=siguienteHabil(EDATE(AW309,1)+8,-1),VLOOKUP(EDATE(AW309,1)-1,Inflation_FWD!$L:$M,2,0)/100,IFERROR(VLOOKUP(AW309,Inflation_FWD!$H:$I,2,0),0.25%))</f>
        <v>2.5000000000000001E-3</v>
      </c>
      <c r="AY309" s="177">
        <f t="shared" si="115"/>
        <v>2.4750000000000002E-3</v>
      </c>
      <c r="AZ309" s="100">
        <f t="shared" si="113"/>
        <v>50991</v>
      </c>
      <c r="BA309" s="102">
        <f t="shared" ca="1" si="114"/>
        <v>51618.741415817378</v>
      </c>
      <c r="BC309" s="23"/>
      <c r="BD309" s="23"/>
      <c r="CC309" s="299"/>
      <c r="CL309" s="284"/>
    </row>
    <row r="310" spans="34:90">
      <c r="AH310" s="6">
        <f t="shared" si="120"/>
        <v>280</v>
      </c>
      <c r="AI310" s="7">
        <f t="shared" ca="1" si="121"/>
        <v>42950</v>
      </c>
      <c r="AJ310" s="210">
        <f t="shared" ca="1" si="122"/>
        <v>3.3000000000000003</v>
      </c>
      <c r="AK310" s="8">
        <f t="shared" ca="1" si="123"/>
        <v>1.0000916666666666</v>
      </c>
      <c r="AL310" s="98">
        <f t="shared" ca="1" si="124"/>
        <v>3.5172781924555307</v>
      </c>
      <c r="AM310" s="106">
        <f t="shared" ca="1" si="116"/>
        <v>26891.547340280053</v>
      </c>
      <c r="AN310" s="10">
        <f t="shared" ca="1" si="117"/>
        <v>0.33331955348676612</v>
      </c>
      <c r="AO310" s="311">
        <f t="shared" ca="1" si="118"/>
        <v>0.32862611353145738</v>
      </c>
      <c r="AP310" s="312">
        <f t="shared" ca="1" si="119"/>
        <v>0.28792418103633088</v>
      </c>
      <c r="AQ310" s="1"/>
      <c r="AR310" s="1"/>
      <c r="AS310" s="1"/>
      <c r="AT310" s="1"/>
      <c r="AU310" s="1"/>
      <c r="AW310" s="176">
        <v>51014</v>
      </c>
      <c r="AX310" s="177">
        <f ca="1">IF(fechaHoy&gt;=siguienteHabil(EDATE(AW310,1)+8,-1),VLOOKUP(EDATE(AW310,1)-1,Inflation_FWD!$L:$M,2,0)/100,IFERROR(VLOOKUP(AW310,Inflation_FWD!$H:$I,2,0),0.25%))</f>
        <v>2.5000000000000001E-3</v>
      </c>
      <c r="AY310" s="177">
        <f t="shared" si="115"/>
        <v>2.4750000000000002E-3</v>
      </c>
      <c r="AZ310" s="100">
        <f t="shared" si="113"/>
        <v>51022</v>
      </c>
      <c r="BA310" s="102">
        <f t="shared" ca="1" si="114"/>
        <v>51746.497800821526</v>
      </c>
      <c r="BC310" s="23"/>
      <c r="BD310" s="23"/>
      <c r="CC310" s="299"/>
      <c r="CL310" s="284"/>
    </row>
    <row r="311" spans="34:90">
      <c r="AH311" s="6">
        <f t="shared" si="120"/>
        <v>281</v>
      </c>
      <c r="AI311" s="7">
        <f t="shared" ca="1" si="121"/>
        <v>42951</v>
      </c>
      <c r="AJ311" s="210">
        <f t="shared" ca="1" si="122"/>
        <v>3.3000000000000003</v>
      </c>
      <c r="AK311" s="8">
        <f t="shared" ca="1" si="123"/>
        <v>1.0000916666666666</v>
      </c>
      <c r="AL311" s="98">
        <f t="shared" ca="1" si="124"/>
        <v>3.5168687098863005</v>
      </c>
      <c r="AM311" s="106">
        <f t="shared" ca="1" si="116"/>
        <v>26893.706496450879</v>
      </c>
      <c r="AN311" s="10">
        <f t="shared" ca="1" si="117"/>
        <v>0.33361377490903621</v>
      </c>
      <c r="AO311" s="311">
        <f t="shared" ca="1" si="118"/>
        <v>0.32891758093813045</v>
      </c>
      <c r="AP311" s="312">
        <f t="shared" ca="1" si="119"/>
        <v>0.28790448663399482</v>
      </c>
      <c r="AQ311" s="1"/>
      <c r="AR311" s="1"/>
      <c r="AS311" s="1"/>
      <c r="AT311" s="1"/>
      <c r="AU311" s="1"/>
      <c r="AW311" s="176">
        <v>51044</v>
      </c>
      <c r="AX311" s="177">
        <f ca="1">IF(fechaHoy&gt;=siguienteHabil(EDATE(AW311,1)+8,-1),VLOOKUP(EDATE(AW311,1)-1,Inflation_FWD!$L:$M,2,0)/100,IFERROR(VLOOKUP(AW311,Inflation_FWD!$H:$I,2,0),0.25%))</f>
        <v>2.5000000000000001E-3</v>
      </c>
      <c r="AY311" s="177">
        <f t="shared" si="115"/>
        <v>2.4750000000000002E-3</v>
      </c>
      <c r="AZ311" s="100">
        <f t="shared" si="113"/>
        <v>51052</v>
      </c>
      <c r="BA311" s="102">
        <f t="shared" ca="1" si="114"/>
        <v>51874.570382878563</v>
      </c>
      <c r="BC311" s="23"/>
      <c r="BD311" s="23"/>
      <c r="CC311" s="299"/>
      <c r="CL311" s="284"/>
    </row>
    <row r="312" spans="34:90">
      <c r="AH312" s="6">
        <f t="shared" si="120"/>
        <v>282</v>
      </c>
      <c r="AI312" s="7">
        <f t="shared" ca="1" si="121"/>
        <v>42952</v>
      </c>
      <c r="AJ312" s="210">
        <f t="shared" ca="1" si="122"/>
        <v>3.3000000000000003</v>
      </c>
      <c r="AK312" s="8">
        <f t="shared" ca="1" si="123"/>
        <v>1.0000916666666666</v>
      </c>
      <c r="AL312" s="98">
        <f t="shared" ca="1" si="124"/>
        <v>3.5164621330513679</v>
      </c>
      <c r="AM312" s="106">
        <f t="shared" ca="1" si="116"/>
        <v>26895.865825983066</v>
      </c>
      <c r="AN312" s="10">
        <f t="shared" ca="1" si="117"/>
        <v>0.33390591050819207</v>
      </c>
      <c r="AO312" s="311">
        <f t="shared" ca="1" si="118"/>
        <v>0.3292069977587731</v>
      </c>
      <c r="AP312" s="312">
        <f t="shared" ca="1" si="119"/>
        <v>0.28788502370172808</v>
      </c>
      <c r="AQ312" s="1"/>
      <c r="AR312" s="1"/>
      <c r="AS312" s="1"/>
      <c r="AT312" s="1"/>
      <c r="AU312" s="1"/>
      <c r="AW312" s="176">
        <v>51075</v>
      </c>
      <c r="AX312" s="177">
        <f ca="1">IF(fechaHoy&gt;=siguienteHabil(EDATE(AW312,1)+8,-1),VLOOKUP(EDATE(AW312,1)-1,Inflation_FWD!$L:$M,2,0)/100,IFERROR(VLOOKUP(AW312,Inflation_FWD!$H:$I,2,0),0.25%))</f>
        <v>2.5000000000000001E-3</v>
      </c>
      <c r="AY312" s="177">
        <f t="shared" si="115"/>
        <v>2.4750000000000002E-3</v>
      </c>
      <c r="AZ312" s="100">
        <f t="shared" si="113"/>
        <v>51083</v>
      </c>
      <c r="BA312" s="102">
        <f t="shared" ca="1" si="114"/>
        <v>52002.959944576185</v>
      </c>
      <c r="BC312" s="23"/>
      <c r="BD312" s="23"/>
      <c r="CC312" s="299"/>
      <c r="CL312" s="284"/>
    </row>
    <row r="313" spans="34:90">
      <c r="AH313" s="6">
        <f t="shared" si="120"/>
        <v>283</v>
      </c>
      <c r="AI313" s="7">
        <f t="shared" ca="1" si="121"/>
        <v>42953</v>
      </c>
      <c r="AJ313" s="210">
        <f t="shared" ca="1" si="122"/>
        <v>3.3000000000000003</v>
      </c>
      <c r="AK313" s="8">
        <f t="shared" ca="1" si="123"/>
        <v>1.0000916666666666</v>
      </c>
      <c r="AL313" s="98">
        <f t="shared" ca="1" si="124"/>
        <v>3.5160584311309195</v>
      </c>
      <c r="AM313" s="106">
        <f t="shared" ca="1" si="116"/>
        <v>26898.025328890541</v>
      </c>
      <c r="AN313" s="10">
        <f t="shared" ca="1" si="117"/>
        <v>0.33419598238639825</v>
      </c>
      <c r="AO313" s="311">
        <f t="shared" ca="1" si="118"/>
        <v>0.32949438573124401</v>
      </c>
      <c r="AP313" s="312">
        <f t="shared" ca="1" si="119"/>
        <v>0.28786578979416866</v>
      </c>
      <c r="AQ313" s="1"/>
      <c r="AR313" s="1"/>
      <c r="AS313" s="1"/>
      <c r="AT313" s="1"/>
      <c r="AU313" s="1"/>
      <c r="AW313" s="176">
        <v>51105</v>
      </c>
      <c r="AX313" s="177">
        <f ca="1">IF(fechaHoy&gt;=siguienteHabil(EDATE(AW313,1)+8,-1),VLOOKUP(EDATE(AW313,1)-1,Inflation_FWD!$L:$M,2,0)/100,IFERROR(VLOOKUP(AW313,Inflation_FWD!$H:$I,2,0),0.25%))</f>
        <v>2.5000000000000001E-3</v>
      </c>
      <c r="AY313" s="177">
        <f t="shared" si="115"/>
        <v>2.4750000000000002E-3</v>
      </c>
      <c r="AZ313" s="100">
        <f t="shared" si="113"/>
        <v>51113</v>
      </c>
      <c r="BA313" s="102">
        <f t="shared" ca="1" si="114"/>
        <v>52131.667270439015</v>
      </c>
      <c r="BC313" s="23"/>
      <c r="BD313" s="23"/>
      <c r="CC313" s="299"/>
      <c r="CL313" s="284"/>
    </row>
    <row r="314" spans="34:90">
      <c r="AH314" s="6">
        <f t="shared" si="120"/>
        <v>284</v>
      </c>
      <c r="AI314" s="7">
        <f t="shared" ca="1" si="121"/>
        <v>42954</v>
      </c>
      <c r="AJ314" s="210">
        <f t="shared" ca="1" si="122"/>
        <v>3.3000000000000003</v>
      </c>
      <c r="AK314" s="8">
        <f t="shared" ca="1" si="123"/>
        <v>1.0000916666666666</v>
      </c>
      <c r="AL314" s="98">
        <f t="shared" ca="1" si="124"/>
        <v>3.5156575737395723</v>
      </c>
      <c r="AM314" s="106">
        <f t="shared" ca="1" si="116"/>
        <v>26900.185005187221</v>
      </c>
      <c r="AN314" s="10">
        <f t="shared" ca="1" si="117"/>
        <v>0.33448401233466818</v>
      </c>
      <c r="AO314" s="311">
        <f t="shared" ca="1" si="118"/>
        <v>0.32977976628720695</v>
      </c>
      <c r="AP314" s="312">
        <f t="shared" ca="1" si="119"/>
        <v>0.28784678250039863</v>
      </c>
      <c r="AQ314" s="1"/>
      <c r="AR314" s="1"/>
      <c r="AS314" s="1"/>
      <c r="AT314" s="1"/>
      <c r="AU314" s="1"/>
      <c r="AW314" s="176">
        <v>51136</v>
      </c>
      <c r="AX314" s="177">
        <f ca="1">IF(fechaHoy&gt;=siguienteHabil(EDATE(AW314,1)+8,-1),VLOOKUP(EDATE(AW314,1)-1,Inflation_FWD!$L:$M,2,0)/100,IFERROR(VLOOKUP(AW314,Inflation_FWD!$H:$I,2,0),0.25%))</f>
        <v>2.5000000000000001E-3</v>
      </c>
      <c r="AY314" s="177">
        <f t="shared" si="115"/>
        <v>2.4750000000000002E-3</v>
      </c>
      <c r="AZ314" s="100">
        <f t="shared" si="113"/>
        <v>51144</v>
      </c>
      <c r="BA314" s="102">
        <f t="shared" ca="1" si="114"/>
        <v>52260.69314693335</v>
      </c>
      <c r="BC314" s="23"/>
      <c r="BD314" s="23"/>
      <c r="CC314" s="299"/>
      <c r="CL314" s="284"/>
    </row>
    <row r="315" spans="34:90">
      <c r="AH315" s="6">
        <f t="shared" si="120"/>
        <v>285</v>
      </c>
      <c r="AI315" s="7">
        <f t="shared" ca="1" si="121"/>
        <v>42955</v>
      </c>
      <c r="AJ315" s="210">
        <f t="shared" ca="1" si="122"/>
        <v>3.3000000000000003</v>
      </c>
      <c r="AK315" s="8">
        <f t="shared" ca="1" si="123"/>
        <v>1.0000916666666666</v>
      </c>
      <c r="AL315" s="98">
        <f t="shared" ca="1" si="124"/>
        <v>3.5152595309185131</v>
      </c>
      <c r="AM315" s="106">
        <f t="shared" ca="1" si="116"/>
        <v>26902.344854887033</v>
      </c>
      <c r="AN315" s="10">
        <f t="shared" ca="1" si="117"/>
        <v>0.33477002183832649</v>
      </c>
      <c r="AO315" s="311">
        <f t="shared" ca="1" si="118"/>
        <v>0.33006316055755819</v>
      </c>
      <c r="AP315" s="312">
        <f t="shared" ca="1" si="119"/>
        <v>0.28782799944333526</v>
      </c>
      <c r="AQ315" s="1"/>
      <c r="AR315" s="1"/>
      <c r="AS315" s="1"/>
      <c r="AT315" s="1"/>
      <c r="AU315" s="1"/>
      <c r="AW315" s="176">
        <v>51167</v>
      </c>
      <c r="AX315" s="177">
        <f ca="1">IF(fechaHoy&gt;=siguienteHabil(EDATE(AW315,1)+8,-1),VLOOKUP(EDATE(AW315,1)-1,Inflation_FWD!$L:$M,2,0)/100,IFERROR(VLOOKUP(AW315,Inflation_FWD!$H:$I,2,0),0.25%))</f>
        <v>2.5000000000000001E-3</v>
      </c>
      <c r="AY315" s="177">
        <f t="shared" si="115"/>
        <v>2.4750000000000002E-3</v>
      </c>
      <c r="AZ315" s="100">
        <f t="shared" si="113"/>
        <v>51175</v>
      </c>
      <c r="BA315" s="102">
        <f t="shared" ca="1" si="114"/>
        <v>52390.038362472013</v>
      </c>
      <c r="BC315" s="23"/>
      <c r="BD315" s="23"/>
      <c r="CC315" s="299"/>
      <c r="CL315" s="284"/>
    </row>
    <row r="316" spans="34:90">
      <c r="AH316" s="6">
        <f t="shared" si="120"/>
        <v>286</v>
      </c>
      <c r="AI316" s="7">
        <f t="shared" ca="1" si="121"/>
        <v>42956</v>
      </c>
      <c r="AJ316" s="210">
        <f t="shared" ca="1" si="122"/>
        <v>3.3000000000000003</v>
      </c>
      <c r="AK316" s="8">
        <f t="shared" ca="1" si="123"/>
        <v>1.0000916666666666</v>
      </c>
      <c r="AL316" s="98">
        <f t="shared" ca="1" si="124"/>
        <v>3.5148642731282376</v>
      </c>
      <c r="AM316" s="106">
        <f t="shared" ca="1" si="116"/>
        <v>26904.504878003889</v>
      </c>
      <c r="AN316" s="10">
        <f t="shared" ca="1" si="117"/>
        <v>0.33505403208227147</v>
      </c>
      <c r="AO316" s="311">
        <f t="shared" ca="1" si="118"/>
        <v>0.33034458937765732</v>
      </c>
      <c r="AP316" s="312">
        <f t="shared" ca="1" si="119"/>
        <v>0.28780943827914629</v>
      </c>
      <c r="AQ316" s="1"/>
      <c r="AR316" s="1"/>
      <c r="AS316" s="1"/>
      <c r="AT316" s="1"/>
      <c r="AU316" s="1"/>
      <c r="AW316" s="176">
        <v>51196</v>
      </c>
      <c r="AX316" s="177">
        <f ca="1">IF(fechaHoy&gt;=siguienteHabil(EDATE(AW316,1)+8,-1),VLOOKUP(EDATE(AW316,1)-1,Inflation_FWD!$L:$M,2,0)/100,IFERROR(VLOOKUP(AW316,Inflation_FWD!$H:$I,2,0),0.25%))</f>
        <v>2.5000000000000001E-3</v>
      </c>
      <c r="AY316" s="177">
        <f t="shared" si="115"/>
        <v>2.4750000000000002E-3</v>
      </c>
      <c r="AZ316" s="100">
        <f t="shared" si="113"/>
        <v>51204</v>
      </c>
      <c r="BA316" s="102">
        <f t="shared" ca="1" si="114"/>
        <v>52519.703707419132</v>
      </c>
      <c r="BC316" s="23"/>
      <c r="BD316" s="23"/>
      <c r="CC316" s="299"/>
      <c r="CL316" s="284"/>
    </row>
    <row r="317" spans="34:90">
      <c r="AH317" s="6">
        <f t="shared" si="120"/>
        <v>287</v>
      </c>
      <c r="AI317" s="7">
        <f t="shared" ca="1" si="121"/>
        <v>42957</v>
      </c>
      <c r="AJ317" s="210">
        <f t="shared" ca="1" si="122"/>
        <v>3.3000000000000003</v>
      </c>
      <c r="AK317" s="8">
        <f t="shared" ca="1" si="123"/>
        <v>1.0000916666666666</v>
      </c>
      <c r="AL317" s="98">
        <f t="shared" ca="1" si="124"/>
        <v>3.5144717712411566</v>
      </c>
      <c r="AM317" s="106">
        <f t="shared" ca="1" si="116"/>
        <v>26906.633254275021</v>
      </c>
      <c r="AN317" s="10">
        <f t="shared" ca="1" si="117"/>
        <v>0.33548697100989067</v>
      </c>
      <c r="AO317" s="311">
        <f t="shared" ca="1" si="118"/>
        <v>0.33077280665886483</v>
      </c>
      <c r="AP317" s="312">
        <f t="shared" ca="1" si="119"/>
        <v>0.2877910966966637</v>
      </c>
      <c r="AQ317" s="1"/>
      <c r="AR317" s="1"/>
      <c r="AS317" s="1"/>
      <c r="AT317" s="1"/>
      <c r="AU317" s="1"/>
      <c r="AW317" s="176">
        <v>51227</v>
      </c>
      <c r="AX317" s="177">
        <f ca="1">IF(fechaHoy&gt;=siguienteHabil(EDATE(AW317,1)+8,-1),VLOOKUP(EDATE(AW317,1)-1,Inflation_FWD!$L:$M,2,0)/100,IFERROR(VLOOKUP(AW317,Inflation_FWD!$H:$I,2,0),0.25%))</f>
        <v>2.5000000000000001E-3</v>
      </c>
      <c r="AY317" s="177">
        <f t="shared" si="115"/>
        <v>2.4750000000000002E-3</v>
      </c>
      <c r="AZ317" s="100">
        <f t="shared" si="113"/>
        <v>51235</v>
      </c>
      <c r="BA317" s="102">
        <f t="shared" ca="1" si="114"/>
        <v>52649.689974094996</v>
      </c>
      <c r="BC317" s="23"/>
      <c r="BD317" s="23"/>
      <c r="CC317" s="299"/>
      <c r="CL317" s="284"/>
    </row>
    <row r="318" spans="34:90">
      <c r="AH318" s="6">
        <f t="shared" si="120"/>
        <v>288</v>
      </c>
      <c r="AI318" s="7">
        <f t="shared" ca="1" si="121"/>
        <v>42958</v>
      </c>
      <c r="AJ318" s="210">
        <f t="shared" ca="1" si="122"/>
        <v>3.3000000000000003</v>
      </c>
      <c r="AK318" s="8">
        <f t="shared" ca="1" si="123"/>
        <v>1.0000916666666666</v>
      </c>
      <c r="AL318" s="98">
        <f t="shared" ca="1" si="124"/>
        <v>3.5140819965344461</v>
      </c>
      <c r="AM318" s="106">
        <f t="shared" ca="1" si="116"/>
        <v>26908.761798918906</v>
      </c>
      <c r="AN318" s="10">
        <f t="shared" ca="1" si="117"/>
        <v>0.33591690526586504</v>
      </c>
      <c r="AO318" s="311">
        <f t="shared" ca="1" si="118"/>
        <v>0.33119806997083945</v>
      </c>
      <c r="AP318" s="312">
        <f t="shared" ca="1" si="119"/>
        <v>0.28777297241682159</v>
      </c>
      <c r="AQ318" s="1"/>
      <c r="AR318" s="1"/>
      <c r="AS318" s="1"/>
      <c r="AT318" s="1"/>
      <c r="AU318" s="1"/>
      <c r="AW318" s="176">
        <v>51257</v>
      </c>
      <c r="AX318" s="177">
        <f ca="1">IF(fechaHoy&gt;=siguienteHabil(EDATE(AW318,1)+8,-1),VLOOKUP(EDATE(AW318,1)-1,Inflation_FWD!$L:$M,2,0)/100,IFERROR(VLOOKUP(AW318,Inflation_FWD!$H:$I,2,0),0.25%))</f>
        <v>2.5000000000000001E-3</v>
      </c>
      <c r="AY318" s="177">
        <f t="shared" si="115"/>
        <v>2.4750000000000002E-3</v>
      </c>
      <c r="AZ318" s="100">
        <f t="shared" si="113"/>
        <v>51265</v>
      </c>
      <c r="BA318" s="102">
        <f t="shared" ca="1" si="114"/>
        <v>52779.997956780884</v>
      </c>
      <c r="BC318" s="23"/>
      <c r="BD318" s="23"/>
      <c r="CC318" s="299"/>
      <c r="CL318" s="284"/>
    </row>
    <row r="319" spans="34:90">
      <c r="AH319" s="6">
        <f t="shared" si="120"/>
        <v>289</v>
      </c>
      <c r="AI319" s="7">
        <f t="shared" ca="1" si="121"/>
        <v>42959</v>
      </c>
      <c r="AJ319" s="210">
        <f t="shared" ca="1" si="122"/>
        <v>3.3000000000000003</v>
      </c>
      <c r="AK319" s="8">
        <f t="shared" ca="1" si="123"/>
        <v>1.0000916666666666</v>
      </c>
      <c r="AL319" s="98">
        <f t="shared" ca="1" si="124"/>
        <v>3.5136949206829859</v>
      </c>
      <c r="AM319" s="106">
        <f t="shared" ca="1" si="116"/>
        <v>26910.890511948866</v>
      </c>
      <c r="AN319" s="10">
        <f t="shared" ca="1" si="117"/>
        <v>0.33634386602143795</v>
      </c>
      <c r="AO319" s="311">
        <f t="shared" ca="1" si="118"/>
        <v>0.33162040997789821</v>
      </c>
      <c r="AP319" s="312">
        <f t="shared" ca="1" si="119"/>
        <v>0.28775506319209809</v>
      </c>
      <c r="AQ319" s="1"/>
      <c r="AR319" s="1"/>
      <c r="AS319" s="1"/>
      <c r="AT319" s="1"/>
      <c r="AU319" s="1"/>
      <c r="AW319" s="176">
        <v>51288</v>
      </c>
      <c r="AX319" s="177">
        <f ca="1">IF(fechaHoy&gt;=siguienteHabil(EDATE(AW319,1)+8,-1),VLOOKUP(EDATE(AW319,1)-1,Inflation_FWD!$L:$M,2,0)/100,IFERROR(VLOOKUP(AW319,Inflation_FWD!$H:$I,2,0),0.25%))</f>
        <v>2.5000000000000001E-3</v>
      </c>
      <c r="AY319" s="177">
        <f t="shared" si="115"/>
        <v>2.4750000000000002E-3</v>
      </c>
      <c r="AZ319" s="100">
        <f t="shared" si="113"/>
        <v>51296</v>
      </c>
      <c r="BA319" s="102">
        <f t="shared" ca="1" si="114"/>
        <v>52910.628451723918</v>
      </c>
      <c r="BC319" s="23"/>
      <c r="BD319" s="23"/>
      <c r="CC319" s="299"/>
      <c r="CL319" s="284"/>
    </row>
    <row r="320" spans="34:90">
      <c r="AH320" s="6">
        <f t="shared" si="120"/>
        <v>290</v>
      </c>
      <c r="AI320" s="7">
        <f t="shared" ca="1" si="121"/>
        <v>42960</v>
      </c>
      <c r="AJ320" s="210">
        <f t="shared" ca="1" si="122"/>
        <v>3.3000000000000003</v>
      </c>
      <c r="AK320" s="8">
        <f t="shared" ca="1" si="123"/>
        <v>1.0000916666666666</v>
      </c>
      <c r="AL320" s="98">
        <f t="shared" ca="1" si="124"/>
        <v>3.5133105157526323</v>
      </c>
      <c r="AM320" s="106">
        <f t="shared" ca="1" si="116"/>
        <v>26913.019393378218</v>
      </c>
      <c r="AN320" s="10">
        <f t="shared" ca="1" si="117"/>
        <v>0.33676788401817426</v>
      </c>
      <c r="AO320" s="311">
        <f t="shared" ca="1" si="118"/>
        <v>0.33203985692134697</v>
      </c>
      <c r="AP320" s="312">
        <f t="shared" ca="1" si="119"/>
        <v>0.28773736680597162</v>
      </c>
      <c r="AQ320" s="1"/>
      <c r="AR320" s="1"/>
      <c r="AS320" s="1"/>
      <c r="AT320" s="1"/>
      <c r="AU320" s="1"/>
      <c r="AW320" s="176">
        <v>51318</v>
      </c>
      <c r="AX320" s="177">
        <f ca="1">IF(fechaHoy&gt;=siguienteHabil(EDATE(AW320,1)+8,-1),VLOOKUP(EDATE(AW320,1)-1,Inflation_FWD!$L:$M,2,0)/100,IFERROR(VLOOKUP(AW320,Inflation_FWD!$H:$I,2,0),0.25%))</f>
        <v>2.5000000000000001E-3</v>
      </c>
      <c r="AY320" s="177">
        <f t="shared" si="115"/>
        <v>2.4750000000000002E-3</v>
      </c>
      <c r="AZ320" s="100">
        <f t="shared" si="113"/>
        <v>51326</v>
      </c>
      <c r="BA320" s="102">
        <f t="shared" ca="1" si="114"/>
        <v>53041.582257141934</v>
      </c>
      <c r="BC320" s="23"/>
      <c r="BD320" s="23"/>
      <c r="CC320" s="299"/>
      <c r="CL320" s="284"/>
    </row>
    <row r="321" spans="34:90">
      <c r="AH321" s="6">
        <f t="shared" si="120"/>
        <v>291</v>
      </c>
      <c r="AI321" s="7">
        <f t="shared" ca="1" si="121"/>
        <v>42961</v>
      </c>
      <c r="AJ321" s="210">
        <f t="shared" ca="1" si="122"/>
        <v>3.3000000000000003</v>
      </c>
      <c r="AK321" s="8">
        <f t="shared" ca="1" si="123"/>
        <v>1.0000916666666666</v>
      </c>
      <c r="AL321" s="98">
        <f t="shared" ca="1" si="124"/>
        <v>3.5129287541933785</v>
      </c>
      <c r="AM321" s="106">
        <f t="shared" ca="1" si="116"/>
        <v>26915.148443220281</v>
      </c>
      <c r="AN321" s="10">
        <f t="shared" ca="1" si="117"/>
        <v>0.33718898957535437</v>
      </c>
      <c r="AO321" s="311">
        <f t="shared" ca="1" si="118"/>
        <v>0.33245644062688595</v>
      </c>
      <c r="AP321" s="312">
        <f t="shared" ca="1" si="119"/>
        <v>0.28771988107239044</v>
      </c>
      <c r="AQ321" s="1"/>
      <c r="AR321" s="1"/>
      <c r="AS321" s="1"/>
      <c r="AT321" s="1"/>
      <c r="AU321" s="1"/>
      <c r="AW321" s="176">
        <v>51349</v>
      </c>
      <c r="AX321" s="177">
        <f ca="1">IF(fechaHoy&gt;=siguienteHabil(EDATE(AW321,1)+8,-1),VLOOKUP(EDATE(AW321,1)-1,Inflation_FWD!$L:$M,2,0)/100,IFERROR(VLOOKUP(AW321,Inflation_FWD!$H:$I,2,0),0.25%))</f>
        <v>2.5000000000000001E-3</v>
      </c>
      <c r="AY321" s="177">
        <f t="shared" si="115"/>
        <v>2.4750000000000002E-3</v>
      </c>
      <c r="AZ321" s="100">
        <f t="shared" si="113"/>
        <v>51357</v>
      </c>
      <c r="BA321" s="102">
        <f t="shared" ca="1" si="114"/>
        <v>53172.860173228357</v>
      </c>
      <c r="BC321" s="23"/>
      <c r="BD321" s="23"/>
      <c r="CC321" s="299"/>
      <c r="CL321" s="284"/>
    </row>
    <row r="322" spans="34:90">
      <c r="AH322" s="6">
        <f t="shared" si="120"/>
        <v>292</v>
      </c>
      <c r="AI322" s="7">
        <f t="shared" ca="1" si="121"/>
        <v>42962</v>
      </c>
      <c r="AJ322" s="210">
        <f t="shared" ca="1" si="122"/>
        <v>3.3000000000000003</v>
      </c>
      <c r="AK322" s="8">
        <f t="shared" ca="1" si="123"/>
        <v>1.0000916666666666</v>
      </c>
      <c r="AL322" s="98">
        <f t="shared" ca="1" si="124"/>
        <v>3.5125496088328712</v>
      </c>
      <c r="AM322" s="106">
        <f t="shared" ca="1" si="116"/>
        <v>26917.277661488388</v>
      </c>
      <c r="AN322" s="10">
        <f t="shared" ca="1" si="117"/>
        <v>0.33760721259707971</v>
      </c>
      <c r="AO322" s="311">
        <f t="shared" ca="1" si="118"/>
        <v>0.33287019051147987</v>
      </c>
      <c r="AP322" s="312">
        <f t="shared" ca="1" si="119"/>
        <v>0.28770260383524893</v>
      </c>
      <c r="AQ322" s="1"/>
      <c r="AR322" s="1"/>
      <c r="AS322" s="1"/>
      <c r="AT322" s="1"/>
      <c r="AU322" s="1"/>
      <c r="AW322" s="176">
        <v>51380</v>
      </c>
      <c r="AX322" s="177">
        <f ca="1">IF(fechaHoy&gt;=siguienteHabil(EDATE(AW322,1)+8,-1),VLOOKUP(EDATE(AW322,1)-1,Inflation_FWD!$L:$M,2,0)/100,IFERROR(VLOOKUP(AW322,Inflation_FWD!$H:$I,2,0),0.25%))</f>
        <v>2.5000000000000001E-3</v>
      </c>
      <c r="AY322" s="177">
        <f t="shared" si="115"/>
        <v>2.4750000000000002E-3</v>
      </c>
      <c r="AZ322" s="100">
        <f t="shared" si="113"/>
        <v>51388</v>
      </c>
      <c r="BA322" s="102">
        <f t="shared" ca="1" si="114"/>
        <v>53304.463002157099</v>
      </c>
      <c r="BC322" s="23"/>
      <c r="BD322" s="23"/>
      <c r="CC322" s="299"/>
      <c r="CL322" s="284"/>
    </row>
    <row r="323" spans="34:90">
      <c r="AH323" s="6">
        <f t="shared" si="120"/>
        <v>293</v>
      </c>
      <c r="AI323" s="7">
        <f t="shared" ca="1" si="121"/>
        <v>42963</v>
      </c>
      <c r="AJ323" s="210">
        <f t="shared" ca="1" si="122"/>
        <v>3.3000000000000003</v>
      </c>
      <c r="AK323" s="8">
        <f t="shared" ca="1" si="123"/>
        <v>1.0000916666666666</v>
      </c>
      <c r="AL323" s="98">
        <f t="shared" ca="1" si="124"/>
        <v>3.5121730528698158</v>
      </c>
      <c r="AM323" s="106">
        <f t="shared" ca="1" si="116"/>
        <v>26919.407048195855</v>
      </c>
      <c r="AN323" s="10">
        <f t="shared" ca="1" si="117"/>
        <v>0.33802258257960016</v>
      </c>
      <c r="AO323" s="311">
        <f t="shared" ca="1" si="118"/>
        <v>0.33328113559071482</v>
      </c>
      <c r="AP323" s="312">
        <f t="shared" ca="1" si="119"/>
        <v>0.28768553296787858</v>
      </c>
      <c r="AQ323" s="1"/>
      <c r="AR323" s="1"/>
      <c r="AS323" s="1"/>
      <c r="AT323" s="1"/>
      <c r="AU323" s="1"/>
      <c r="AW323" s="176">
        <v>51410</v>
      </c>
      <c r="AX323" s="177">
        <f ca="1">IF(fechaHoy&gt;=siguienteHabil(EDATE(AW323,1)+8,-1),VLOOKUP(EDATE(AW323,1)-1,Inflation_FWD!$L:$M,2,0)/100,IFERROR(VLOOKUP(AW323,Inflation_FWD!$H:$I,2,0),0.25%))</f>
        <v>2.5000000000000001E-3</v>
      </c>
      <c r="AY323" s="177">
        <f t="shared" si="115"/>
        <v>2.4750000000000002E-3</v>
      </c>
      <c r="AZ323" s="100">
        <f t="shared" si="113"/>
        <v>51418</v>
      </c>
      <c r="BA323" s="102">
        <f t="shared" ca="1" si="114"/>
        <v>53436.391548087435</v>
      </c>
      <c r="BC323" s="23"/>
      <c r="BD323" s="23"/>
      <c r="CC323" s="299"/>
      <c r="CL323" s="284"/>
    </row>
    <row r="324" spans="34:90">
      <c r="AH324" s="6">
        <f t="shared" si="120"/>
        <v>294</v>
      </c>
      <c r="AI324" s="7">
        <f t="shared" ca="1" si="121"/>
        <v>42964</v>
      </c>
      <c r="AJ324" s="210">
        <f t="shared" ca="1" si="122"/>
        <v>3.3000000000000003</v>
      </c>
      <c r="AK324" s="8">
        <f t="shared" ca="1" si="123"/>
        <v>1.0000916666666666</v>
      </c>
      <c r="AL324" s="98">
        <f t="shared" ca="1" si="124"/>
        <v>3.5117990598678483</v>
      </c>
      <c r="AM324" s="106">
        <f t="shared" ca="1" si="116"/>
        <v>26921.536603356009</v>
      </c>
      <c r="AN324" s="10">
        <f t="shared" ca="1" si="117"/>
        <v>0.33843512861799763</v>
      </c>
      <c r="AO324" s="311">
        <f t="shared" ca="1" si="118"/>
        <v>0.33368930448527129</v>
      </c>
      <c r="AP324" s="312">
        <f t="shared" ca="1" si="119"/>
        <v>0.28766866637254274</v>
      </c>
      <c r="AQ324" s="1"/>
      <c r="AR324" s="1"/>
      <c r="AS324" s="1"/>
      <c r="AT324" s="1"/>
      <c r="AU324" s="1"/>
      <c r="AW324" s="176">
        <v>51441</v>
      </c>
      <c r="AX324" s="177">
        <f ca="1">IF(fechaHoy&gt;=siguienteHabil(EDATE(AW324,1)+8,-1),VLOOKUP(EDATE(AW324,1)-1,Inflation_FWD!$L:$M,2,0)/100,IFERROR(VLOOKUP(AW324,Inflation_FWD!$H:$I,2,0),0.25%))</f>
        <v>2.5000000000000001E-3</v>
      </c>
      <c r="AY324" s="177">
        <f t="shared" si="115"/>
        <v>2.4750000000000002E-3</v>
      </c>
      <c r="AZ324" s="100">
        <f t="shared" si="113"/>
        <v>51449</v>
      </c>
      <c r="BA324" s="102">
        <f t="shared" ca="1" si="114"/>
        <v>53568.646617168954</v>
      </c>
      <c r="BC324" s="23"/>
      <c r="BD324" s="23"/>
      <c r="CC324" s="299"/>
      <c r="CL324" s="284"/>
    </row>
    <row r="325" spans="34:90">
      <c r="AH325" s="6">
        <f t="shared" si="120"/>
        <v>295</v>
      </c>
      <c r="AI325" s="7">
        <f t="shared" ca="1" si="121"/>
        <v>42965</v>
      </c>
      <c r="AJ325" s="210">
        <f t="shared" ca="1" si="122"/>
        <v>3.3000000000000003</v>
      </c>
      <c r="AK325" s="8">
        <f t="shared" ca="1" si="123"/>
        <v>1.0000916666666666</v>
      </c>
      <c r="AL325" s="98">
        <f t="shared" ca="1" si="124"/>
        <v>3.5114276037492065</v>
      </c>
      <c r="AM325" s="106">
        <f t="shared" ca="1" si="116"/>
        <v>26923.666326982177</v>
      </c>
      <c r="AN325" s="10">
        <f t="shared" ca="1" si="117"/>
        <v>0.3388448794130694</v>
      </c>
      <c r="AO325" s="311">
        <f t="shared" ca="1" si="118"/>
        <v>0.33409472542772545</v>
      </c>
      <c r="AP325" s="312">
        <f t="shared" ca="1" si="119"/>
        <v>0.28765200197995328</v>
      </c>
      <c r="AQ325" s="1"/>
      <c r="AR325" s="1"/>
      <c r="AS325" s="1"/>
      <c r="AT325" s="1"/>
      <c r="AU325" s="1"/>
      <c r="AW325" s="176">
        <v>51471</v>
      </c>
      <c r="AX325" s="177">
        <f ca="1">IF(fechaHoy&gt;=siguienteHabil(EDATE(AW325,1)+8,-1),VLOOKUP(EDATE(AW325,1)-1,Inflation_FWD!$L:$M,2,0)/100,IFERROR(VLOOKUP(AW325,Inflation_FWD!$H:$I,2,0),0.25%))</f>
        <v>2.5000000000000001E-3</v>
      </c>
      <c r="AY325" s="177">
        <f t="shared" si="115"/>
        <v>2.4750000000000002E-3</v>
      </c>
      <c r="AZ325" s="100">
        <f t="shared" si="113"/>
        <v>51479</v>
      </c>
      <c r="BA325" s="102">
        <f t="shared" ca="1" si="114"/>
        <v>53701.229017546444</v>
      </c>
      <c r="BC325" s="23"/>
      <c r="BD325" s="23"/>
    </row>
    <row r="326" spans="34:90">
      <c r="AH326" s="6">
        <f t="shared" si="120"/>
        <v>296</v>
      </c>
      <c r="AI326" s="7">
        <f t="shared" ca="1" si="121"/>
        <v>42966</v>
      </c>
      <c r="AJ326" s="210">
        <f t="shared" ca="1" si="122"/>
        <v>3.3000000000000003</v>
      </c>
      <c r="AK326" s="8">
        <f t="shared" ca="1" si="123"/>
        <v>1.0000916666666666</v>
      </c>
      <c r="AL326" s="98">
        <f t="shared" ca="1" si="124"/>
        <v>3.5110586587887127</v>
      </c>
      <c r="AM326" s="106">
        <f t="shared" ca="1" si="116"/>
        <v>26925.796219087686</v>
      </c>
      <c r="AN326" s="10">
        <f t="shared" ca="1" si="117"/>
        <v>0.33925186327812273</v>
      </c>
      <c r="AO326" s="311">
        <f t="shared" ca="1" si="118"/>
        <v>0.33449742626926732</v>
      </c>
      <c r="AP326" s="312">
        <f t="shared" ca="1" si="119"/>
        <v>0.28763553774878325</v>
      </c>
      <c r="AQ326" s="1"/>
      <c r="AR326" s="1"/>
      <c r="AS326" s="1"/>
      <c r="AT326" s="1"/>
      <c r="AU326" s="1"/>
      <c r="BC326" s="23"/>
      <c r="BD326" s="23"/>
    </row>
    <row r="327" spans="34:90">
      <c r="AH327" s="6">
        <f t="shared" si="120"/>
        <v>297</v>
      </c>
      <c r="AI327" s="7">
        <f t="shared" ca="1" si="121"/>
        <v>42967</v>
      </c>
      <c r="AJ327" s="210">
        <f t="shared" ca="1" si="122"/>
        <v>3.3000000000000003</v>
      </c>
      <c r="AK327" s="8">
        <f t="shared" ca="1" si="123"/>
        <v>1.0000916666666666</v>
      </c>
      <c r="AL327" s="98">
        <f t="shared" ca="1" si="124"/>
        <v>3.5106921996078455</v>
      </c>
      <c r="AM327" s="106">
        <f t="shared" ca="1" si="116"/>
        <v>26927.92627968586</v>
      </c>
      <c r="AN327" s="10">
        <f t="shared" ca="1" si="117"/>
        <v>0.33965610814519209</v>
      </c>
      <c r="AO327" s="311">
        <f t="shared" ca="1" si="118"/>
        <v>0.33489743448585202</v>
      </c>
      <c r="AP327" s="312">
        <f t="shared" ca="1" si="119"/>
        <v>0.28761927166519807</v>
      </c>
      <c r="AQ327" s="1"/>
      <c r="AR327" s="1"/>
      <c r="AS327" s="1"/>
      <c r="AT327" s="1"/>
      <c r="AU327" s="1"/>
      <c r="BC327" s="23"/>
      <c r="BD327" s="23"/>
    </row>
    <row r="328" spans="34:90">
      <c r="AH328" s="6">
        <f t="shared" si="120"/>
        <v>298</v>
      </c>
      <c r="AI328" s="7">
        <f t="shared" ca="1" si="121"/>
        <v>42968</v>
      </c>
      <c r="AJ328" s="210">
        <f t="shared" ca="1" si="122"/>
        <v>3.3000000000000003</v>
      </c>
      <c r="AK328" s="8">
        <f t="shared" ca="1" si="123"/>
        <v>1.0000916666666666</v>
      </c>
      <c r="AL328" s="98">
        <f t="shared" ca="1" si="124"/>
        <v>3.5103282011688997</v>
      </c>
      <c r="AM328" s="106">
        <f t="shared" ca="1" si="116"/>
        <v>26930.056508790032</v>
      </c>
      <c r="AN328" s="10">
        <f t="shared" ca="1" si="117"/>
        <v>0.34005764157170049</v>
      </c>
      <c r="AO328" s="311">
        <f t="shared" ca="1" si="118"/>
        <v>0.33529477718465683</v>
      </c>
      <c r="AP328" s="312">
        <f t="shared" ca="1" si="119"/>
        <v>0.28760320174239923</v>
      </c>
      <c r="AQ328" s="1"/>
      <c r="AR328" s="1"/>
      <c r="AS328" s="1"/>
      <c r="AT328" s="1"/>
      <c r="AU328" s="1"/>
      <c r="BC328" s="23"/>
      <c r="BD328" s="23"/>
    </row>
    <row r="329" spans="34:90">
      <c r="AH329" s="6">
        <f t="shared" si="120"/>
        <v>299</v>
      </c>
      <c r="AI329" s="7">
        <f t="shared" ca="1" si="121"/>
        <v>42969</v>
      </c>
      <c r="AJ329" s="210">
        <f t="shared" ca="1" si="122"/>
        <v>3.3000000000000003</v>
      </c>
      <c r="AK329" s="8">
        <f t="shared" ca="1" si="123"/>
        <v>1.0000916666666666</v>
      </c>
      <c r="AL329" s="98">
        <f t="shared" ca="1" si="124"/>
        <v>3.509966638769324</v>
      </c>
      <c r="AM329" s="106">
        <f t="shared" ca="1" si="116"/>
        <v>26932.186906413535</v>
      </c>
      <c r="AN329" s="10">
        <f t="shared" ca="1" si="117"/>
        <v>0.34045649074665452</v>
      </c>
      <c r="AO329" s="311">
        <f t="shared" ca="1" si="118"/>
        <v>0.33568948111030139</v>
      </c>
      <c r="AP329" s="312">
        <f t="shared" ca="1" si="119"/>
        <v>0.28758732602016512</v>
      </c>
      <c r="AQ329" s="1"/>
      <c r="AR329" s="1"/>
      <c r="AS329" s="1"/>
      <c r="AT329" s="1"/>
      <c r="AU329" s="1"/>
      <c r="BC329" s="23"/>
      <c r="BD329" s="23"/>
    </row>
    <row r="330" spans="34:90">
      <c r="AH330" s="6">
        <f t="shared" si="120"/>
        <v>300</v>
      </c>
      <c r="AI330" s="7">
        <f t="shared" ca="1" si="121"/>
        <v>42970</v>
      </c>
      <c r="AJ330" s="210">
        <f t="shared" ca="1" si="122"/>
        <v>3.3000000000000003</v>
      </c>
      <c r="AK330" s="8">
        <f t="shared" ca="1" si="123"/>
        <v>1.0000916666666666</v>
      </c>
      <c r="AL330" s="98">
        <f t="shared" ca="1" si="124"/>
        <v>3.5096074880360817</v>
      </c>
      <c r="AM330" s="106">
        <f t="shared" ca="1" si="116"/>
        <v>26934.317472569692</v>
      </c>
      <c r="AN330" s="10">
        <f t="shared" ca="1" si="117"/>
        <v>0.34085268249670619</v>
      </c>
      <c r="AO330" s="311">
        <f t="shared" ca="1" si="118"/>
        <v>0.33608157265073046</v>
      </c>
      <c r="AP330" s="312">
        <f t="shared" ca="1" si="119"/>
        <v>0.28757164256441037</v>
      </c>
      <c r="AQ330" s="1"/>
      <c r="AR330" s="1"/>
      <c r="AS330" s="1"/>
      <c r="AT330" s="1"/>
      <c r="AU330" s="1"/>
      <c r="BC330" s="23"/>
      <c r="BD330" s="23"/>
    </row>
    <row r="331" spans="34:90">
      <c r="AH331" s="6">
        <f t="shared" si="120"/>
        <v>301</v>
      </c>
      <c r="AI331" s="7">
        <f t="shared" ca="1" si="121"/>
        <v>42971</v>
      </c>
      <c r="AJ331" s="210">
        <f t="shared" ca="1" si="122"/>
        <v>3.3000000000000003</v>
      </c>
      <c r="AK331" s="8">
        <f t="shared" ca="1" si="123"/>
        <v>1.0000916666666666</v>
      </c>
      <c r="AL331" s="98">
        <f t="shared" ca="1" si="124"/>
        <v>3.5092507249202098</v>
      </c>
      <c r="AM331" s="106">
        <f t="shared" ca="1" si="116"/>
        <v>26936.448207271846</v>
      </c>
      <c r="AN331" s="10">
        <f t="shared" ca="1" si="117"/>
        <v>0.34124624329223696</v>
      </c>
      <c r="AO331" s="311">
        <f t="shared" ca="1" si="118"/>
        <v>0.33647107784324504</v>
      </c>
      <c r="AP331" s="312">
        <f t="shared" ca="1" si="119"/>
        <v>0.28755614946675628</v>
      </c>
      <c r="AQ331" s="1"/>
      <c r="AR331" s="1"/>
      <c r="AS331" s="1"/>
      <c r="AT331" s="1"/>
      <c r="AU331" s="1"/>
      <c r="BC331" s="23"/>
      <c r="BD331" s="23"/>
    </row>
    <row r="332" spans="34:90">
      <c r="AH332" s="6">
        <f t="shared" si="120"/>
        <v>302</v>
      </c>
      <c r="AI332" s="7">
        <f t="shared" ca="1" si="121"/>
        <v>42972</v>
      </c>
      <c r="AJ332" s="210">
        <f t="shared" ca="1" si="122"/>
        <v>3.3000000000000003</v>
      </c>
      <c r="AK332" s="8">
        <f t="shared" ca="1" si="123"/>
        <v>1.0000916666666666</v>
      </c>
      <c r="AL332" s="98">
        <f t="shared" ca="1" si="124"/>
        <v>3.5088963256914241</v>
      </c>
      <c r="AM332" s="106">
        <f t="shared" ca="1" si="116"/>
        <v>26938.579110533319</v>
      </c>
      <c r="AN332" s="10">
        <f t="shared" ca="1" si="117"/>
        <v>0.34163719925321967</v>
      </c>
      <c r="AO332" s="311">
        <f t="shared" ca="1" si="118"/>
        <v>0.33685802238028106</v>
      </c>
      <c r="AP332" s="312">
        <f t="shared" ca="1" si="119"/>
        <v>0.28754084484409831</v>
      </c>
      <c r="AQ332" s="1"/>
      <c r="AR332" s="1"/>
      <c r="AS332" s="1"/>
      <c r="AT332" s="1"/>
      <c r="AU332" s="1"/>
      <c r="BC332" s="23"/>
      <c r="BD332" s="23"/>
    </row>
    <row r="333" spans="34:90">
      <c r="AH333" s="6">
        <f t="shared" si="120"/>
        <v>303</v>
      </c>
      <c r="AI333" s="7">
        <f t="shared" ca="1" si="121"/>
        <v>42973</v>
      </c>
      <c r="AJ333" s="210">
        <f t="shared" ca="1" si="122"/>
        <v>3.3000000000000003</v>
      </c>
      <c r="AK333" s="8">
        <f t="shared" ca="1" si="123"/>
        <v>1.0000916666666666</v>
      </c>
      <c r="AL333" s="98">
        <f t="shared" ca="1" si="124"/>
        <v>3.5085442669329003</v>
      </c>
      <c r="AM333" s="106">
        <f t="shared" ca="1" si="116"/>
        <v>26940.710182367457</v>
      </c>
      <c r="AN333" s="10">
        <f t="shared" ca="1" si="117"/>
        <v>0.34202557615499174</v>
      </c>
      <c r="AO333" s="311">
        <f t="shared" ca="1" si="118"/>
        <v>0.33724243161507428</v>
      </c>
      <c r="AP333" s="312">
        <f t="shared" ca="1" si="119"/>
        <v>0.28752572683819166</v>
      </c>
      <c r="AQ333" s="1"/>
      <c r="AR333" s="1"/>
      <c r="AS333" s="1"/>
      <c r="AT333" s="1"/>
      <c r="AU333" s="1"/>
      <c r="BC333" s="23"/>
      <c r="BD333" s="23"/>
    </row>
    <row r="334" spans="34:90">
      <c r="AH334" s="6">
        <f t="shared" si="120"/>
        <v>304</v>
      </c>
      <c r="AI334" s="7">
        <f t="shared" ca="1" si="121"/>
        <v>42974</v>
      </c>
      <c r="AJ334" s="210">
        <f t="shared" ca="1" si="122"/>
        <v>3.3000000000000003</v>
      </c>
      <c r="AK334" s="8">
        <f t="shared" ca="1" si="123"/>
        <v>1.0000916666666666</v>
      </c>
      <c r="AL334" s="98">
        <f t="shared" ca="1" si="124"/>
        <v>3.5081945255360569</v>
      </c>
      <c r="AM334" s="106">
        <f t="shared" ca="1" si="116"/>
        <v>26942.841422787587</v>
      </c>
      <c r="AN334" s="10">
        <f t="shared" ca="1" si="117"/>
        <v>0.34241139943402832</v>
      </c>
      <c r="AO334" s="311">
        <f t="shared" ca="1" si="118"/>
        <v>0.33762433056734376</v>
      </c>
      <c r="AP334" s="312">
        <f t="shared" ca="1" si="119"/>
        <v>0.28751079361524623</v>
      </c>
      <c r="AQ334" s="1"/>
      <c r="AR334" s="1"/>
      <c r="AS334" s="1"/>
      <c r="AT334" s="1"/>
      <c r="AU334" s="1"/>
      <c r="BC334" s="23"/>
      <c r="BD334" s="23"/>
    </row>
    <row r="335" spans="34:90">
      <c r="AH335" s="6">
        <f t="shared" si="120"/>
        <v>305</v>
      </c>
      <c r="AI335" s="7">
        <f t="shared" ca="1" si="121"/>
        <v>42975</v>
      </c>
      <c r="AJ335" s="210">
        <f t="shared" ca="1" si="122"/>
        <v>3.3000000000000003</v>
      </c>
      <c r="AK335" s="8">
        <f t="shared" ca="1" si="123"/>
        <v>1.0000916666666666</v>
      </c>
      <c r="AL335" s="98">
        <f t="shared" ca="1" si="124"/>
        <v>3.5078470786955585</v>
      </c>
      <c r="AM335" s="106">
        <f t="shared" ca="1" si="116"/>
        <v>26944.972831807052</v>
      </c>
      <c r="AN335" s="10">
        <f t="shared" ca="1" si="117"/>
        <v>0.34279469419327135</v>
      </c>
      <c r="AO335" s="311">
        <f t="shared" ca="1" si="118"/>
        <v>0.33800374392855048</v>
      </c>
      <c r="AP335" s="312">
        <f t="shared" ca="1" si="119"/>
        <v>0.28749604336551959</v>
      </c>
      <c r="AQ335" s="1"/>
      <c r="AR335" s="1"/>
      <c r="AS335" s="1"/>
      <c r="AT335" s="1"/>
      <c r="AU335" s="1"/>
      <c r="BC335" s="23"/>
      <c r="BD335" s="23"/>
    </row>
    <row r="336" spans="34:90">
      <c r="AH336" s="6">
        <f t="shared" si="120"/>
        <v>306</v>
      </c>
      <c r="AI336" s="7">
        <f t="shared" ca="1" si="121"/>
        <v>42976</v>
      </c>
      <c r="AJ336" s="210">
        <f t="shared" ca="1" si="122"/>
        <v>3.3000000000000003</v>
      </c>
      <c r="AK336" s="8">
        <f t="shared" ca="1" si="123"/>
        <v>1.0000916666666666</v>
      </c>
      <c r="AL336" s="98">
        <f t="shared" ca="1" si="124"/>
        <v>3.5075019039043198</v>
      </c>
      <c r="AM336" s="106">
        <f t="shared" ca="1" si="116"/>
        <v>26947.10440943918</v>
      </c>
      <c r="AN336" s="10">
        <f t="shared" ca="1" si="117"/>
        <v>0.34317548520788055</v>
      </c>
      <c r="AO336" s="311">
        <f t="shared" ca="1" si="118"/>
        <v>0.33838069606757371</v>
      </c>
      <c r="AP336" s="312">
        <f t="shared" ca="1" si="119"/>
        <v>0.2874814743029282</v>
      </c>
      <c r="AQ336" s="1"/>
      <c r="AR336" s="1"/>
      <c r="AS336" s="1"/>
      <c r="AT336" s="1"/>
      <c r="AU336" s="1"/>
      <c r="BC336" s="23"/>
      <c r="BD336" s="23"/>
    </row>
    <row r="337" spans="34:56">
      <c r="AH337" s="6">
        <f t="shared" si="120"/>
        <v>307</v>
      </c>
      <c r="AI337" s="7">
        <f t="shared" ca="1" si="121"/>
        <v>42977</v>
      </c>
      <c r="AJ337" s="210">
        <f t="shared" ca="1" si="122"/>
        <v>3.3000000000000003</v>
      </c>
      <c r="AK337" s="8">
        <f t="shared" ca="1" si="123"/>
        <v>1.0000916666666666</v>
      </c>
      <c r="AL337" s="98">
        <f t="shared" ca="1" si="124"/>
        <v>3.5071589789486435</v>
      </c>
      <c r="AM337" s="106">
        <f t="shared" ca="1" si="116"/>
        <v>26949.236155697319</v>
      </c>
      <c r="AN337" s="10">
        <f t="shared" ca="1" si="117"/>
        <v>0.34355379693020716</v>
      </c>
      <c r="AO337" s="311">
        <f t="shared" ca="1" si="118"/>
        <v>0.33875521103557482</v>
      </c>
      <c r="AP337" s="312">
        <f t="shared" ca="1" si="119"/>
        <v>0.28746708466465787</v>
      </c>
      <c r="AQ337" s="1"/>
      <c r="AR337" s="1"/>
      <c r="AS337" s="1"/>
      <c r="AT337" s="1"/>
      <c r="AU337" s="1"/>
      <c r="BC337" s="23"/>
      <c r="BD337" s="23"/>
    </row>
    <row r="338" spans="34:56">
      <c r="AH338" s="6">
        <f t="shared" si="120"/>
        <v>308</v>
      </c>
      <c r="AI338" s="7">
        <f t="shared" ca="1" si="121"/>
        <v>42978</v>
      </c>
      <c r="AJ338" s="210">
        <f t="shared" ca="1" si="122"/>
        <v>3.3000000000000003</v>
      </c>
      <c r="AK338" s="8">
        <f t="shared" ca="1" si="123"/>
        <v>1.0000916666666666</v>
      </c>
      <c r="AL338" s="98">
        <f t="shared" ca="1" si="124"/>
        <v>3.5068182819034677</v>
      </c>
      <c r="AM338" s="106">
        <f t="shared" ca="1" si="116"/>
        <v>26951.368070594806</v>
      </c>
      <c r="AN338" s="10">
        <f t="shared" ca="1" si="117"/>
        <v>0.3439296534953673</v>
      </c>
      <c r="AO338" s="311">
        <f t="shared" ca="1" si="118"/>
        <v>0.33912731257151812</v>
      </c>
      <c r="AP338" s="312">
        <f t="shared" ca="1" si="119"/>
        <v>0.28745287271079223</v>
      </c>
      <c r="AQ338" s="1"/>
      <c r="AR338" s="1"/>
      <c r="AS338" s="1"/>
      <c r="AT338" s="1"/>
      <c r="AU338" s="1"/>
      <c r="BC338" s="23"/>
      <c r="BD338" s="23"/>
    </row>
    <row r="339" spans="34:56">
      <c r="AH339" s="6">
        <f t="shared" si="120"/>
        <v>309</v>
      </c>
      <c r="AI339" s="7">
        <f t="shared" ca="1" si="121"/>
        <v>42979</v>
      </c>
      <c r="AJ339" s="210">
        <f t="shared" ca="1" si="122"/>
        <v>3.3000000000000003</v>
      </c>
      <c r="AK339" s="8">
        <f t="shared" ca="1" si="123"/>
        <v>1.0000916666666666</v>
      </c>
      <c r="AL339" s="98">
        <f t="shared" ca="1" si="124"/>
        <v>3.5064797911277257</v>
      </c>
      <c r="AM339" s="106">
        <f t="shared" ca="1" si="116"/>
        <v>26953.500154144986</v>
      </c>
      <c r="AN339" s="10">
        <f t="shared" ca="1" si="117"/>
        <v>0.34430307872612698</v>
      </c>
      <c r="AO339" s="311">
        <f t="shared" ca="1" si="118"/>
        <v>0.33949702410698973</v>
      </c>
      <c r="AP339" s="312">
        <f t="shared" ca="1" si="119"/>
        <v>0.28743883672393838</v>
      </c>
      <c r="AQ339" s="1"/>
      <c r="AR339" s="1"/>
      <c r="AS339" s="1"/>
      <c r="AT339" s="1"/>
      <c r="AU339" s="1"/>
      <c r="BC339" s="23"/>
      <c r="BD339" s="23"/>
    </row>
    <row r="340" spans="34:56">
      <c r="AH340" s="6">
        <f t="shared" si="120"/>
        <v>310</v>
      </c>
      <c r="AI340" s="7">
        <f t="shared" ca="1" si="121"/>
        <v>42980</v>
      </c>
      <c r="AJ340" s="210">
        <f t="shared" ca="1" si="122"/>
        <v>3.3000000000000003</v>
      </c>
      <c r="AK340" s="8">
        <f t="shared" ca="1" si="123"/>
        <v>1.0000916666666666</v>
      </c>
      <c r="AL340" s="98">
        <f t="shared" ca="1" si="124"/>
        <v>3.5061434852596829</v>
      </c>
      <c r="AM340" s="106">
        <f t="shared" ca="1" si="116"/>
        <v>26955.632406361194</v>
      </c>
      <c r="AN340" s="10">
        <f t="shared" ca="1" si="117"/>
        <v>0.34467409613809785</v>
      </c>
      <c r="AO340" s="311">
        <f t="shared" ca="1" si="118"/>
        <v>0.33986436877125842</v>
      </c>
      <c r="AP340" s="312">
        <f t="shared" ca="1" si="119"/>
        <v>0.28742497500886105</v>
      </c>
      <c r="AQ340" s="1"/>
      <c r="AR340" s="1"/>
      <c r="AS340" s="1"/>
      <c r="AT340" s="1"/>
      <c r="AU340" s="1"/>
      <c r="BC340" s="23"/>
      <c r="BD340" s="23"/>
    </row>
    <row r="341" spans="34:56">
      <c r="AH341" s="6">
        <f t="shared" si="120"/>
        <v>311</v>
      </c>
      <c r="AI341" s="7">
        <f t="shared" ca="1" si="121"/>
        <v>42981</v>
      </c>
      <c r="AJ341" s="210">
        <f t="shared" ca="1" si="122"/>
        <v>3.3000000000000003</v>
      </c>
      <c r="AK341" s="8">
        <f t="shared" ca="1" si="123"/>
        <v>1.0000916666666666</v>
      </c>
      <c r="AL341" s="98">
        <f t="shared" ca="1" si="124"/>
        <v>3.5058093432125181</v>
      </c>
      <c r="AM341" s="106">
        <f t="shared" ca="1" si="116"/>
        <v>26957.764827256775</v>
      </c>
      <c r="AN341" s="10">
        <f t="shared" ca="1" si="117"/>
        <v>0.3450427289446667</v>
      </c>
      <c r="AO341" s="311">
        <f t="shared" ca="1" si="118"/>
        <v>0.34022936939616216</v>
      </c>
      <c r="AP341" s="312">
        <f t="shared" ca="1" si="119"/>
        <v>0.28741128589213277</v>
      </c>
      <c r="AQ341" s="1"/>
      <c r="AR341" s="1"/>
      <c r="AS341" s="1"/>
      <c r="AT341" s="1"/>
      <c r="AU341" s="1"/>
      <c r="BC341" s="23"/>
      <c r="BD341" s="23"/>
    </row>
    <row r="342" spans="34:56">
      <c r="AH342" s="6">
        <f t="shared" si="120"/>
        <v>312</v>
      </c>
      <c r="AI342" s="7">
        <f t="shared" ca="1" si="121"/>
        <v>42982</v>
      </c>
      <c r="AJ342" s="210">
        <f t="shared" ca="1" si="122"/>
        <v>3.3000000000000003</v>
      </c>
      <c r="AK342" s="8">
        <f t="shared" ca="1" si="123"/>
        <v>1.0000916666666666</v>
      </c>
      <c r="AL342" s="98">
        <f t="shared" ca="1" si="124"/>
        <v>3.5054773441698828</v>
      </c>
      <c r="AM342" s="106">
        <f t="shared" ca="1" si="116"/>
        <v>26959.897416845066</v>
      </c>
      <c r="AN342" s="10">
        <f t="shared" ca="1" si="117"/>
        <v>0.34540900006165831</v>
      </c>
      <c r="AO342" s="311">
        <f t="shared" ca="1" si="118"/>
        <v>0.34059204852072017</v>
      </c>
      <c r="AP342" s="312">
        <f t="shared" ca="1" si="119"/>
        <v>0.28739776772177839</v>
      </c>
      <c r="AQ342" s="1"/>
      <c r="AR342" s="1"/>
      <c r="AS342" s="1"/>
      <c r="AT342" s="1"/>
      <c r="AU342" s="1"/>
      <c r="BC342" s="23"/>
      <c r="BD342" s="23"/>
    </row>
    <row r="343" spans="34:56">
      <c r="AH343" s="6">
        <f t="shared" si="120"/>
        <v>313</v>
      </c>
      <c r="AI343" s="7">
        <f t="shared" ca="1" si="121"/>
        <v>42983</v>
      </c>
      <c r="AJ343" s="210">
        <f t="shared" ca="1" si="122"/>
        <v>3.3000000000000003</v>
      </c>
      <c r="AK343" s="8">
        <f t="shared" ca="1" si="123"/>
        <v>1.0000916666666666</v>
      </c>
      <c r="AL343" s="98">
        <f t="shared" ca="1" si="124"/>
        <v>3.5051474675816152</v>
      </c>
      <c r="AM343" s="106">
        <f t="shared" ca="1" si="116"/>
        <v>26962.030175139425</v>
      </c>
      <c r="AN343" s="10">
        <f t="shared" ca="1" si="117"/>
        <v>0.3457729321122649</v>
      </c>
      <c r="AO343" s="311">
        <f t="shared" ca="1" si="118"/>
        <v>0.3409524283959644</v>
      </c>
      <c r="AP343" s="312">
        <f t="shared" ca="1" si="119"/>
        <v>0.28738441886693833</v>
      </c>
      <c r="AQ343" s="1"/>
      <c r="AR343" s="1"/>
      <c r="AS343" s="1"/>
      <c r="AT343" s="1"/>
      <c r="AU343" s="1"/>
      <c r="BC343" s="23"/>
      <c r="BD343" s="23"/>
    </row>
    <row r="344" spans="34:56">
      <c r="AH344" s="6">
        <f t="shared" si="120"/>
        <v>314</v>
      </c>
      <c r="AI344" s="7">
        <f t="shared" ca="1" si="121"/>
        <v>42984</v>
      </c>
      <c r="AJ344" s="210">
        <f t="shared" ca="1" si="122"/>
        <v>3.3000000000000003</v>
      </c>
      <c r="AK344" s="8">
        <f t="shared" ca="1" si="123"/>
        <v>1.0000916666666666</v>
      </c>
      <c r="AL344" s="98">
        <f t="shared" ca="1" si="124"/>
        <v>3.5048196931594111</v>
      </c>
      <c r="AM344" s="106">
        <f t="shared" ca="1" si="116"/>
        <v>26964.163102153194</v>
      </c>
      <c r="AN344" s="10">
        <f t="shared" ca="1" si="117"/>
        <v>0.3461345474316202</v>
      </c>
      <c r="AO344" s="311">
        <f t="shared" ca="1" si="118"/>
        <v>0.34131053098944863</v>
      </c>
      <c r="AP344" s="312">
        <f t="shared" ca="1" si="119"/>
        <v>0.28737123771752421</v>
      </c>
      <c r="AQ344" s="1"/>
      <c r="AR344" s="1"/>
      <c r="AS344" s="1"/>
      <c r="AT344" s="1"/>
      <c r="AU344" s="1"/>
      <c r="BC344" s="23"/>
      <c r="BD344" s="23"/>
    </row>
    <row r="345" spans="34:56">
      <c r="AH345" s="6">
        <f t="shared" si="120"/>
        <v>315</v>
      </c>
      <c r="AI345" s="7">
        <f t="shared" ca="1" si="121"/>
        <v>42985</v>
      </c>
      <c r="AJ345" s="210">
        <f t="shared" ca="1" si="122"/>
        <v>3.3000000000000003</v>
      </c>
      <c r="AK345" s="8">
        <f t="shared" ca="1" si="123"/>
        <v>1.0000916666666666</v>
      </c>
      <c r="AL345" s="98">
        <f t="shared" ca="1" si="124"/>
        <v>3.5044940008727821</v>
      </c>
      <c r="AM345" s="106">
        <f t="shared" ca="1" si="116"/>
        <v>26966.296197899719</v>
      </c>
      <c r="AN345" s="10">
        <f t="shared" ca="1" si="117"/>
        <v>0.34649386807148463</v>
      </c>
      <c r="AO345" s="311">
        <f t="shared" ca="1" si="118"/>
        <v>0.34166637798987515</v>
      </c>
      <c r="AP345" s="312">
        <f t="shared" ca="1" si="119"/>
        <v>0.28735822268389938</v>
      </c>
      <c r="AQ345" s="1"/>
      <c r="AR345" s="1"/>
      <c r="AS345" s="1"/>
      <c r="AT345" s="1"/>
      <c r="AU345" s="1"/>
      <c r="BC345" s="23"/>
      <c r="BD345" s="23"/>
    </row>
    <row r="346" spans="34:56">
      <c r="AH346" s="6">
        <f t="shared" si="120"/>
        <v>316</v>
      </c>
      <c r="AI346" s="7">
        <f t="shared" ca="1" si="121"/>
        <v>42986</v>
      </c>
      <c r="AJ346" s="210">
        <f t="shared" ca="1" si="122"/>
        <v>3.3000000000000003</v>
      </c>
      <c r="AK346" s="8">
        <f t="shared" ca="1" si="123"/>
        <v>1.0000916666666666</v>
      </c>
      <c r="AL346" s="98">
        <f t="shared" ca="1" si="124"/>
        <v>3.5041703709448591</v>
      </c>
      <c r="AM346" s="106">
        <f t="shared" ca="1" si="116"/>
        <v>26968.429462392345</v>
      </c>
      <c r="AN346" s="10">
        <f t="shared" ca="1" si="117"/>
        <v>0.34685091580455296</v>
      </c>
      <c r="AO346" s="311">
        <f t="shared" ca="1" si="118"/>
        <v>0.34201999081125373</v>
      </c>
      <c r="AP346" s="312">
        <f t="shared" ca="1" si="119"/>
        <v>0.2873453721965451</v>
      </c>
      <c r="AQ346" s="1"/>
      <c r="AR346" s="1"/>
      <c r="AS346" s="1"/>
      <c r="AT346" s="1"/>
      <c r="AU346" s="1"/>
      <c r="BC346" s="23"/>
      <c r="BD346" s="23"/>
    </row>
    <row r="347" spans="34:56">
      <c r="AH347" s="6">
        <f t="shared" si="120"/>
        <v>317</v>
      </c>
      <c r="AI347" s="7">
        <f t="shared" ca="1" si="121"/>
        <v>42987</v>
      </c>
      <c r="AJ347" s="210">
        <f t="shared" ca="1" si="122"/>
        <v>3.3000000000000003</v>
      </c>
      <c r="AK347" s="8">
        <f t="shared" ca="1" si="123"/>
        <v>1.0000916666666666</v>
      </c>
      <c r="AL347" s="98">
        <f t="shared" ca="1" si="124"/>
        <v>3.5038487838484622</v>
      </c>
      <c r="AM347" s="106">
        <f t="shared" ca="1" si="116"/>
        <v>26970.562895644423</v>
      </c>
      <c r="AN347" s="10">
        <f t="shared" ca="1" si="117"/>
        <v>0.34720571212898399</v>
      </c>
      <c r="AO347" s="311">
        <f t="shared" ca="1" si="118"/>
        <v>0.3423713905975122</v>
      </c>
      <c r="AP347" s="312">
        <f t="shared" ca="1" si="119"/>
        <v>0.2873326847057493</v>
      </c>
      <c r="AQ347" s="1"/>
      <c r="AR347" s="1"/>
      <c r="AS347" s="1"/>
      <c r="AT347" s="1"/>
      <c r="AU347" s="1"/>
      <c r="BC347" s="23"/>
      <c r="BD347" s="23"/>
    </row>
    <row r="348" spans="34:56">
      <c r="AH348" s="6">
        <f t="shared" si="120"/>
        <v>318</v>
      </c>
      <c r="AI348" s="7">
        <f t="shared" ca="1" si="121"/>
        <v>42988</v>
      </c>
      <c r="AJ348" s="210">
        <f t="shared" ca="1" si="122"/>
        <v>3.3000000000000003</v>
      </c>
      <c r="AK348" s="8">
        <f t="shared" ca="1" si="123"/>
        <v>1.0000916666666666</v>
      </c>
      <c r="AL348" s="98">
        <f t="shared" ca="1" si="124"/>
        <v>3.5035292203021928</v>
      </c>
      <c r="AM348" s="106">
        <f t="shared" ca="1" si="116"/>
        <v>26972.588229059362</v>
      </c>
      <c r="AN348" s="10">
        <f t="shared" ca="1" si="117"/>
        <v>0.34802060885394948</v>
      </c>
      <c r="AO348" s="311">
        <f t="shared" ca="1" si="118"/>
        <v>0.34317639169896524</v>
      </c>
      <c r="AP348" s="312">
        <f t="shared" ca="1" si="119"/>
        <v>0.28732015868129529</v>
      </c>
      <c r="AQ348" s="1"/>
      <c r="AR348" s="1"/>
      <c r="AS348" s="1"/>
      <c r="AT348" s="1"/>
      <c r="AU348" s="1"/>
      <c r="BC348" s="23"/>
      <c r="BD348" s="23"/>
    </row>
    <row r="349" spans="34:56">
      <c r="AH349" s="6">
        <f t="shared" si="120"/>
        <v>319</v>
      </c>
      <c r="AI349" s="7">
        <f t="shared" ca="1" si="121"/>
        <v>42989</v>
      </c>
      <c r="AJ349" s="210">
        <f t="shared" ca="1" si="122"/>
        <v>3.3000000000000003</v>
      </c>
      <c r="AK349" s="8">
        <f t="shared" ca="1" si="123"/>
        <v>1.0000916666666666</v>
      </c>
      <c r="AL349" s="98">
        <f t="shared" ca="1" si="124"/>
        <v>3.5032116612665032</v>
      </c>
      <c r="AM349" s="106">
        <f t="shared" ca="1" si="116"/>
        <v>26974.613714565141</v>
      </c>
      <c r="AN349" s="10">
        <f t="shared" ca="1" si="117"/>
        <v>0.34883040306403768</v>
      </c>
      <c r="AO349" s="311">
        <f t="shared" ca="1" si="118"/>
        <v>0.34397637685486804</v>
      </c>
      <c r="AP349" s="312">
        <f t="shared" ca="1" si="119"/>
        <v>0.28730779261215406</v>
      </c>
      <c r="AQ349" s="1"/>
      <c r="AR349" s="1"/>
      <c r="AS349" s="1"/>
      <c r="AT349" s="1"/>
      <c r="AU349" s="1"/>
      <c r="BC349" s="23"/>
      <c r="BD349" s="23"/>
    </row>
    <row r="350" spans="34:56">
      <c r="AH350" s="6">
        <f t="shared" si="120"/>
        <v>320</v>
      </c>
      <c r="AI350" s="7">
        <f t="shared" ca="1" si="121"/>
        <v>42990</v>
      </c>
      <c r="AJ350" s="210">
        <f t="shared" ca="1" si="122"/>
        <v>3.3000000000000003</v>
      </c>
      <c r="AK350" s="8">
        <f t="shared" ca="1" si="123"/>
        <v>1.0000916666666666</v>
      </c>
      <c r="AL350" s="98">
        <f t="shared" ca="1" si="124"/>
        <v>3.5028960879399662</v>
      </c>
      <c r="AM350" s="106">
        <f t="shared" ca="1" si="116"/>
        <v>26976.63935217317</v>
      </c>
      <c r="AN350" s="10">
        <f t="shared" ca="1" si="117"/>
        <v>0.34963514253409933</v>
      </c>
      <c r="AO350" s="311">
        <f t="shared" ca="1" si="118"/>
        <v>0.34477139309023463</v>
      </c>
      <c r="AP350" s="312">
        <f t="shared" ca="1" si="119"/>
        <v>0.28729558500618435</v>
      </c>
      <c r="AQ350" s="1"/>
      <c r="AR350" s="1"/>
      <c r="AS350" s="1"/>
      <c r="AT350" s="1"/>
      <c r="AU350" s="1"/>
      <c r="BC350" s="23"/>
      <c r="BD350" s="23"/>
    </row>
    <row r="351" spans="34:56">
      <c r="AH351" s="6">
        <f t="shared" si="120"/>
        <v>321</v>
      </c>
      <c r="AI351" s="7">
        <f t="shared" ca="1" si="121"/>
        <v>42991</v>
      </c>
      <c r="AJ351" s="210">
        <f t="shared" ca="1" si="122"/>
        <v>3.3000000000000003</v>
      </c>
      <c r="AK351" s="8">
        <f t="shared" ca="1" si="123"/>
        <v>1.0000916666666666</v>
      </c>
      <c r="AL351" s="98">
        <f t="shared" ca="1" si="124"/>
        <v>3.5025824817555673</v>
      </c>
      <c r="AM351" s="106">
        <f t="shared" ref="AM351:AM414" ca="1" si="125">Geom_Interp(AI351,$AZ$2:$AZ$109,$BA$2:$BA$109)</f>
        <v>26978.665141894879</v>
      </c>
      <c r="AN351" s="10">
        <f t="shared" ref="AN351:AN414" ca="1" si="126">100*(((1+AL351/100)^(AH351/365)*$AM$29/AM351)^(365/AH351)-1)</f>
        <v>0.35043487444446075</v>
      </c>
      <c r="AO351" s="311">
        <f t="shared" ref="AO351:AO414" ca="1" si="127">100*360/$AH351*((1+AN351/100)^($AH351/365)-1)</f>
        <v>0.34556148684409765</v>
      </c>
      <c r="AP351" s="312">
        <f t="shared" ref="AP351:AP414" ca="1" si="128">100*30/$AH351*((1+AL351/100)^($AH351/365)-1)</f>
        <v>0.28728353438984089</v>
      </c>
      <c r="AQ351" s="1"/>
      <c r="AR351" s="1"/>
      <c r="AS351" s="1"/>
      <c r="AT351" s="1"/>
      <c r="AU351" s="1"/>
      <c r="BC351" s="23"/>
      <c r="BD351" s="23"/>
    </row>
    <row r="352" spans="34:56">
      <c r="AH352" s="6">
        <f t="shared" ref="AH352:AH415" si="129">$AI$29+AH351</f>
        <v>322</v>
      </c>
      <c r="AI352" s="7">
        <f t="shared" ref="AI352:AI415" ca="1" si="130">+AH352+$C$1</f>
        <v>42992</v>
      </c>
      <c r="AJ352" s="210">
        <f t="shared" ref="AJ352:AJ415" ca="1" si="131">IF(AH352&lt;365,VLOOKUP(LOOKUP(AI352,$AI$2:$AI$23),$AI$2:$AK$23,3,0),Lin_Interp(AH352,$AJ$2:$AJ$23,$AK$2:$AK$23))</f>
        <v>3.3000000000000003</v>
      </c>
      <c r="AK352" s="8">
        <f t="shared" ca="1" si="123"/>
        <v>1.0000916666666666</v>
      </c>
      <c r="AL352" s="98">
        <f t="shared" ca="1" si="124"/>
        <v>3.5022708243770628</v>
      </c>
      <c r="AM352" s="106">
        <f t="shared" ca="1" si="125"/>
        <v>26980.691083741691</v>
      </c>
      <c r="AN352" s="10">
        <f t="shared" ca="1" si="126"/>
        <v>0.35122964539002766</v>
      </c>
      <c r="AO352" s="311">
        <f t="shared" ca="1" si="127"/>
        <v>0.34634670397855777</v>
      </c>
      <c r="AP352" s="312">
        <f t="shared" ca="1" si="128"/>
        <v>0.28727163930788296</v>
      </c>
      <c r="AQ352" s="1"/>
      <c r="AR352" s="1"/>
      <c r="AS352" s="1"/>
      <c r="AT352" s="1"/>
      <c r="AU352" s="1"/>
      <c r="BC352" s="23"/>
      <c r="BD352" s="23"/>
    </row>
    <row r="353" spans="34:56">
      <c r="AH353" s="6">
        <f t="shared" si="129"/>
        <v>323</v>
      </c>
      <c r="AI353" s="7">
        <f t="shared" ca="1" si="130"/>
        <v>42993</v>
      </c>
      <c r="AJ353" s="210">
        <f t="shared" ca="1" si="131"/>
        <v>3.3000000000000003</v>
      </c>
      <c r="AK353" s="8">
        <f t="shared" ref="AK353:AK416" ca="1" si="132">+(1+AJ353/36000)</f>
        <v>1.0000916666666666</v>
      </c>
      <c r="AL353" s="98">
        <f t="shared" ref="AL353:AL416" ca="1" si="133">100*(((1+AL352/100)^(AH352/365)*AK353)^(365/AH353)-1)</f>
        <v>3.5019610976953386</v>
      </c>
      <c r="AM353" s="106">
        <f t="shared" ca="1" si="125"/>
        <v>26982.71717772503</v>
      </c>
      <c r="AN353" s="10">
        <f t="shared" ca="1" si="126"/>
        <v>0.3520195013894778</v>
      </c>
      <c r="AO353" s="311">
        <f t="shared" ca="1" si="127"/>
        <v>0.34712708978781326</v>
      </c>
      <c r="AP353" s="312">
        <f t="shared" ca="1" si="128"/>
        <v>0.28725989832309168</v>
      </c>
      <c r="AQ353" s="1"/>
      <c r="AR353" s="1"/>
      <c r="AS353" s="1"/>
      <c r="AT353" s="1"/>
      <c r="AU353" s="1"/>
      <c r="BC353" s="23"/>
      <c r="BD353" s="23"/>
    </row>
    <row r="354" spans="34:56">
      <c r="AH354" s="6">
        <f t="shared" si="129"/>
        <v>324</v>
      </c>
      <c r="AI354" s="7">
        <f t="shared" ca="1" si="130"/>
        <v>42994</v>
      </c>
      <c r="AJ354" s="210">
        <f t="shared" ca="1" si="131"/>
        <v>3.3000000000000003</v>
      </c>
      <c r="AK354" s="8">
        <f t="shared" ca="1" si="132"/>
        <v>1.0000916666666666</v>
      </c>
      <c r="AL354" s="98">
        <f t="shared" ca="1" si="133"/>
        <v>3.5016532838249681</v>
      </c>
      <c r="AM354" s="106">
        <f t="shared" ca="1" si="125"/>
        <v>26984.743423856318</v>
      </c>
      <c r="AN354" s="10">
        <f t="shared" ca="1" si="126"/>
        <v>0.35280448789405394</v>
      </c>
      <c r="AO354" s="311">
        <f t="shared" ca="1" si="127"/>
        <v>0.34790268900687493</v>
      </c>
      <c r="AP354" s="312">
        <f t="shared" ca="1" si="128"/>
        <v>0.28724831001599149</v>
      </c>
      <c r="AQ354" s="1"/>
      <c r="AR354" s="1"/>
      <c r="AS354" s="1"/>
      <c r="AT354" s="1"/>
      <c r="AU354" s="1"/>
      <c r="BC354" s="23"/>
      <c r="BD354" s="23"/>
    </row>
    <row r="355" spans="34:56">
      <c r="AH355" s="6">
        <f t="shared" si="129"/>
        <v>325</v>
      </c>
      <c r="AI355" s="7">
        <f t="shared" ca="1" si="130"/>
        <v>42995</v>
      </c>
      <c r="AJ355" s="210">
        <f t="shared" ca="1" si="131"/>
        <v>3.3000000000000003</v>
      </c>
      <c r="AK355" s="8">
        <f t="shared" ca="1" si="132"/>
        <v>1.0000916666666666</v>
      </c>
      <c r="AL355" s="98">
        <f t="shared" ca="1" si="133"/>
        <v>3.5013473651008153</v>
      </c>
      <c r="AM355" s="106">
        <f t="shared" ca="1" si="125"/>
        <v>26986.76982214698</v>
      </c>
      <c r="AN355" s="10">
        <f t="shared" ca="1" si="126"/>
        <v>0.35358464979629023</v>
      </c>
      <c r="AO355" s="311">
        <f t="shared" ca="1" si="127"/>
        <v>0.34867354582014415</v>
      </c>
      <c r="AP355" s="312">
        <f t="shared" ca="1" si="128"/>
        <v>0.28723687298457939</v>
      </c>
      <c r="AQ355" s="1"/>
      <c r="AR355" s="1"/>
      <c r="AS355" s="1"/>
      <c r="AT355" s="1"/>
      <c r="AU355" s="1"/>
      <c r="BC355" s="23"/>
      <c r="BD355" s="23"/>
    </row>
    <row r="356" spans="34:56">
      <c r="AH356" s="6">
        <f t="shared" si="129"/>
        <v>326</v>
      </c>
      <c r="AI356" s="7">
        <f t="shared" ca="1" si="130"/>
        <v>42996</v>
      </c>
      <c r="AJ356" s="210">
        <f t="shared" ca="1" si="131"/>
        <v>3.3000000000000003</v>
      </c>
      <c r="AK356" s="8">
        <f t="shared" ca="1" si="132"/>
        <v>1.0000916666666666</v>
      </c>
      <c r="AL356" s="98">
        <f t="shared" ca="1" si="133"/>
        <v>3.5010433240745487</v>
      </c>
      <c r="AM356" s="106">
        <f t="shared" ca="1" si="125"/>
        <v>26988.796372608442</v>
      </c>
      <c r="AN356" s="10">
        <f t="shared" ca="1" si="126"/>
        <v>0.35436003143862749</v>
      </c>
      <c r="AO356" s="311">
        <f t="shared" ca="1" si="127"/>
        <v>0.34943970386993145</v>
      </c>
      <c r="AP356" s="312">
        <f t="shared" ca="1" si="128"/>
        <v>0.287225585844057</v>
      </c>
      <c r="AQ356" s="1"/>
      <c r="AR356" s="1"/>
      <c r="AS356" s="1"/>
      <c r="AT356" s="1"/>
      <c r="AU356" s="1"/>
      <c r="BC356" s="23"/>
      <c r="BD356" s="23"/>
    </row>
    <row r="357" spans="34:56">
      <c r="AH357" s="6">
        <f t="shared" si="129"/>
        <v>327</v>
      </c>
      <c r="AI357" s="7">
        <f t="shared" ca="1" si="130"/>
        <v>42997</v>
      </c>
      <c r="AJ357" s="210">
        <f t="shared" ca="1" si="131"/>
        <v>3.3000000000000003</v>
      </c>
      <c r="AK357" s="8">
        <f t="shared" ca="1" si="132"/>
        <v>1.0000916666666666</v>
      </c>
      <c r="AL357" s="98">
        <f t="shared" ca="1" si="133"/>
        <v>3.5007411435113989</v>
      </c>
      <c r="AM357" s="106">
        <f t="shared" ca="1" si="125"/>
        <v>26990.823075252138</v>
      </c>
      <c r="AN357" s="10">
        <f t="shared" ca="1" si="126"/>
        <v>0.35513067662171771</v>
      </c>
      <c r="AO357" s="311">
        <f t="shared" ca="1" si="127"/>
        <v>0.35020120626459872</v>
      </c>
      <c r="AP357" s="312">
        <f t="shared" ca="1" si="128"/>
        <v>0.28721444722656309</v>
      </c>
      <c r="AQ357" s="1"/>
      <c r="AR357" s="1"/>
      <c r="AS357" s="1"/>
      <c r="AT357" s="1"/>
      <c r="AU357" s="1"/>
      <c r="BC357" s="23"/>
      <c r="BD357" s="23"/>
    </row>
    <row r="358" spans="34:56">
      <c r="AH358" s="6">
        <f t="shared" si="129"/>
        <v>328</v>
      </c>
      <c r="AI358" s="7">
        <f t="shared" ca="1" si="130"/>
        <v>42998</v>
      </c>
      <c r="AJ358" s="210">
        <f t="shared" ca="1" si="131"/>
        <v>3.3000000000000003</v>
      </c>
      <c r="AK358" s="8">
        <f t="shared" ca="1" si="132"/>
        <v>1.0000916666666666</v>
      </c>
      <c r="AL358" s="98">
        <f t="shared" ca="1" si="133"/>
        <v>3.5004408063868508</v>
      </c>
      <c r="AM358" s="106">
        <f t="shared" ca="1" si="125"/>
        <v>26992.84993008948</v>
      </c>
      <c r="AN358" s="10">
        <f t="shared" ca="1" si="126"/>
        <v>0.35589662861281735</v>
      </c>
      <c r="AO358" s="311">
        <f t="shared" ca="1" si="127"/>
        <v>0.35095809558696661</v>
      </c>
      <c r="AP358" s="312">
        <f t="shared" ca="1" si="128"/>
        <v>0.28720345578091988</v>
      </c>
      <c r="AQ358" s="1"/>
      <c r="AR358" s="1"/>
      <c r="AS358" s="1"/>
      <c r="AT358" s="1"/>
      <c r="AU358" s="1"/>
      <c r="BC358" s="23"/>
      <c r="BD358" s="23"/>
    </row>
    <row r="359" spans="34:56">
      <c r="AH359" s="6">
        <f t="shared" si="129"/>
        <v>329</v>
      </c>
      <c r="AI359" s="7">
        <f t="shared" ca="1" si="130"/>
        <v>42999</v>
      </c>
      <c r="AJ359" s="210">
        <f t="shared" ca="1" si="131"/>
        <v>3.3000000000000003</v>
      </c>
      <c r="AK359" s="8">
        <f t="shared" ca="1" si="132"/>
        <v>1.0000916666666666</v>
      </c>
      <c r="AL359" s="98">
        <f t="shared" ca="1" si="133"/>
        <v>3.5001422958834683</v>
      </c>
      <c r="AM359" s="106">
        <f t="shared" ca="1" si="125"/>
        <v>26994.876937131918</v>
      </c>
      <c r="AN359" s="10">
        <f t="shared" ca="1" si="126"/>
        <v>0.35665793015362546</v>
      </c>
      <c r="AO359" s="311">
        <f t="shared" ca="1" si="127"/>
        <v>0.35171041390188879</v>
      </c>
      <c r="AP359" s="312">
        <f t="shared" ca="1" si="128"/>
        <v>0.28719261017237729</v>
      </c>
      <c r="AQ359" s="1"/>
      <c r="AR359" s="1"/>
      <c r="AS359" s="1"/>
      <c r="AT359" s="1"/>
      <c r="AU359" s="1"/>
      <c r="BC359" s="23"/>
      <c r="BD359" s="23"/>
    </row>
    <row r="360" spans="34:56">
      <c r="AH360" s="6">
        <f t="shared" si="129"/>
        <v>330</v>
      </c>
      <c r="AI360" s="7">
        <f t="shared" ca="1" si="130"/>
        <v>43000</v>
      </c>
      <c r="AJ360" s="210">
        <f t="shared" ca="1" si="131"/>
        <v>3.3000000000000003</v>
      </c>
      <c r="AK360" s="8">
        <f t="shared" ca="1" si="132"/>
        <v>1.0000916666666666</v>
      </c>
      <c r="AL360" s="98">
        <f t="shared" ca="1" si="133"/>
        <v>3.4998455953877627</v>
      </c>
      <c r="AM360" s="106">
        <f t="shared" ca="1" si="125"/>
        <v>26996.904096390863</v>
      </c>
      <c r="AN360" s="10">
        <f t="shared" ca="1" si="126"/>
        <v>0.35741462346856601</v>
      </c>
      <c r="AO360" s="311">
        <f t="shared" ca="1" si="127"/>
        <v>0.35245820276455964</v>
      </c>
      <c r="AP360" s="312">
        <f t="shared" ca="1" si="128"/>
        <v>0.28718190908236396</v>
      </c>
      <c r="AQ360" s="1"/>
      <c r="AR360" s="1"/>
      <c r="AS360" s="1"/>
      <c r="AT360" s="1"/>
      <c r="AU360" s="1"/>
      <c r="BC360" s="23"/>
      <c r="BD360" s="23"/>
    </row>
    <row r="361" spans="34:56">
      <c r="AH361" s="6">
        <f t="shared" si="129"/>
        <v>331</v>
      </c>
      <c r="AI361" s="7">
        <f t="shared" ca="1" si="130"/>
        <v>43001</v>
      </c>
      <c r="AJ361" s="210">
        <f t="shared" ca="1" si="131"/>
        <v>3.3000000000000003</v>
      </c>
      <c r="AK361" s="8">
        <f t="shared" ca="1" si="132"/>
        <v>1.0000916666666666</v>
      </c>
      <c r="AL361" s="98">
        <f t="shared" ca="1" si="133"/>
        <v>3.4995506884871741</v>
      </c>
      <c r="AM361" s="106">
        <f t="shared" ca="1" si="125"/>
        <v>26998.931407877761</v>
      </c>
      <c r="AN361" s="10">
        <f t="shared" ca="1" si="126"/>
        <v>0.35816675027233735</v>
      </c>
      <c r="AO361" s="311">
        <f t="shared" ca="1" si="127"/>
        <v>0.3532015032278753</v>
      </c>
      <c r="AP361" s="312">
        <f t="shared" ca="1" si="128"/>
        <v>0.28717135120824688</v>
      </c>
      <c r="AQ361" s="1"/>
      <c r="AR361" s="1"/>
      <c r="AS361" s="1"/>
      <c r="AT361" s="1"/>
      <c r="AU361" s="1"/>
      <c r="BC361" s="23"/>
      <c r="BD361" s="23"/>
    </row>
    <row r="362" spans="34:56">
      <c r="AH362" s="6">
        <f t="shared" si="129"/>
        <v>332</v>
      </c>
      <c r="AI362" s="7">
        <f t="shared" ca="1" si="130"/>
        <v>43002</v>
      </c>
      <c r="AJ362" s="210">
        <f t="shared" ca="1" si="131"/>
        <v>3.3000000000000003</v>
      </c>
      <c r="AK362" s="8">
        <f t="shared" ca="1" si="132"/>
        <v>1.0000916666666666</v>
      </c>
      <c r="AL362" s="98">
        <f t="shared" ca="1" si="133"/>
        <v>3.4992575589668951</v>
      </c>
      <c r="AM362" s="106">
        <f t="shared" ca="1" si="125"/>
        <v>27000.958871604027</v>
      </c>
      <c r="AN362" s="10">
        <f t="shared" ca="1" si="126"/>
        <v>0.35891435177772824</v>
      </c>
      <c r="AO362" s="311">
        <f t="shared" ca="1" si="127"/>
        <v>0.35394035585019107</v>
      </c>
      <c r="AP362" s="312">
        <f t="shared" ca="1" si="128"/>
        <v>0.28716093526308367</v>
      </c>
      <c r="AQ362" s="1"/>
      <c r="AR362" s="1"/>
      <c r="AS362" s="1"/>
      <c r="AT362" s="1"/>
      <c r="AU362" s="1"/>
      <c r="BC362" s="23"/>
      <c r="BD362" s="23"/>
    </row>
    <row r="363" spans="34:56">
      <c r="AH363" s="6">
        <f t="shared" si="129"/>
        <v>333</v>
      </c>
      <c r="AI363" s="7">
        <f t="shared" ca="1" si="130"/>
        <v>43003</v>
      </c>
      <c r="AJ363" s="210">
        <f t="shared" ca="1" si="131"/>
        <v>3.3000000000000003</v>
      </c>
      <c r="AK363" s="8">
        <f t="shared" ca="1" si="132"/>
        <v>1.0000916666666666</v>
      </c>
      <c r="AL363" s="98">
        <f t="shared" ca="1" si="133"/>
        <v>3.4989661908070069</v>
      </c>
      <c r="AM363" s="106">
        <f t="shared" ca="1" si="125"/>
        <v>27002.986487581114</v>
      </c>
      <c r="AN363" s="10">
        <f t="shared" ca="1" si="126"/>
        <v>0.35965746870303406</v>
      </c>
      <c r="AO363" s="311">
        <f t="shared" ca="1" si="127"/>
        <v>0.3546748007026026</v>
      </c>
      <c r="AP363" s="312">
        <f t="shared" ca="1" si="128"/>
        <v>0.28715065997539646</v>
      </c>
      <c r="AQ363" s="1"/>
      <c r="AR363" s="1"/>
      <c r="AS363" s="1"/>
      <c r="AT363" s="1"/>
      <c r="AU363" s="1"/>
      <c r="BC363" s="23"/>
      <c r="BD363" s="23"/>
    </row>
    <row r="364" spans="34:56">
      <c r="AH364" s="6">
        <f t="shared" si="129"/>
        <v>334</v>
      </c>
      <c r="AI364" s="7">
        <f t="shared" ca="1" si="130"/>
        <v>43004</v>
      </c>
      <c r="AJ364" s="210">
        <f t="shared" ca="1" si="131"/>
        <v>3.3000000000000003</v>
      </c>
      <c r="AK364" s="8">
        <f t="shared" ca="1" si="132"/>
        <v>1.0000916666666666</v>
      </c>
      <c r="AL364" s="98">
        <f t="shared" ca="1" si="133"/>
        <v>3.4986765681795484</v>
      </c>
      <c r="AM364" s="106">
        <f t="shared" ca="1" si="125"/>
        <v>27005.014255820435</v>
      </c>
      <c r="AN364" s="10">
        <f t="shared" ca="1" si="126"/>
        <v>0.36039614127958419</v>
      </c>
      <c r="AO364" s="311">
        <f t="shared" ca="1" si="127"/>
        <v>0.35540487737640802</v>
      </c>
      <c r="AP364" s="312">
        <f t="shared" ca="1" si="128"/>
        <v>0.2871405240889307</v>
      </c>
      <c r="AQ364" s="1"/>
      <c r="AR364" s="1"/>
      <c r="AS364" s="1"/>
      <c r="AT364" s="1"/>
      <c r="AU364" s="1"/>
      <c r="BC364" s="23"/>
      <c r="BD364" s="23"/>
    </row>
    <row r="365" spans="34:56">
      <c r="AH365" s="6">
        <f t="shared" si="129"/>
        <v>335</v>
      </c>
      <c r="AI365" s="7">
        <f t="shared" ca="1" si="130"/>
        <v>43005</v>
      </c>
      <c r="AJ365" s="210">
        <f t="shared" ca="1" si="131"/>
        <v>3.3000000000000003</v>
      </c>
      <c r="AK365" s="8">
        <f t="shared" ca="1" si="132"/>
        <v>1.0000916666666666</v>
      </c>
      <c r="AL365" s="98">
        <f t="shared" ca="1" si="133"/>
        <v>3.4983886754456073</v>
      </c>
      <c r="AM365" s="106">
        <f t="shared" ca="1" si="125"/>
        <v>27007.042176333438</v>
      </c>
      <c r="AN365" s="10">
        <f t="shared" ca="1" si="126"/>
        <v>0.36113040925882522</v>
      </c>
      <c r="AO365" s="311">
        <f t="shared" ca="1" si="127"/>
        <v>0.35613062499007808</v>
      </c>
      <c r="AP365" s="312">
        <f t="shared" ca="1" si="128"/>
        <v>0.28713052636243397</v>
      </c>
      <c r="AQ365" s="1"/>
      <c r="AR365" s="1"/>
      <c r="AS365" s="1"/>
      <c r="AT365" s="1"/>
      <c r="AU365" s="1"/>
      <c r="BC365" s="23"/>
      <c r="BD365" s="23"/>
    </row>
    <row r="366" spans="34:56">
      <c r="AH366" s="6">
        <f t="shared" si="129"/>
        <v>336</v>
      </c>
      <c r="AI366" s="7">
        <f t="shared" ca="1" si="130"/>
        <v>43006</v>
      </c>
      <c r="AJ366" s="210">
        <f t="shared" ca="1" si="131"/>
        <v>3.3000000000000003</v>
      </c>
      <c r="AK366" s="8">
        <f t="shared" ca="1" si="132"/>
        <v>1.0000916666666666</v>
      </c>
      <c r="AL366" s="98">
        <f t="shared" ca="1" si="133"/>
        <v>3.4981024971525443</v>
      </c>
      <c r="AM366" s="106">
        <f t="shared" ca="1" si="125"/>
        <v>27009.07024913155</v>
      </c>
      <c r="AN366" s="10">
        <f t="shared" ca="1" si="126"/>
        <v>0.36186031191955959</v>
      </c>
      <c r="AO366" s="311">
        <f t="shared" ca="1" si="127"/>
        <v>0.35685208219638737</v>
      </c>
      <c r="AP366" s="312">
        <f t="shared" ca="1" si="128"/>
        <v>0.28712066556943078</v>
      </c>
      <c r="AQ366" s="1"/>
      <c r="AR366" s="1"/>
      <c r="AS366" s="1"/>
      <c r="AT366" s="1"/>
      <c r="AU366" s="1"/>
      <c r="BC366" s="23"/>
      <c r="BD366" s="23"/>
    </row>
    <row r="367" spans="34:56">
      <c r="AH367" s="6">
        <f t="shared" si="129"/>
        <v>337</v>
      </c>
      <c r="AI367" s="7">
        <f t="shared" ca="1" si="130"/>
        <v>43007</v>
      </c>
      <c r="AJ367" s="210">
        <f t="shared" ca="1" si="131"/>
        <v>3.3000000000000003</v>
      </c>
      <c r="AK367" s="8">
        <f t="shared" ca="1" si="132"/>
        <v>1.0000916666666666</v>
      </c>
      <c r="AL367" s="98">
        <f t="shared" ca="1" si="133"/>
        <v>3.4978180180312624</v>
      </c>
      <c r="AM367" s="106">
        <f t="shared" ca="1" si="125"/>
        <v>27011.098474226204</v>
      </c>
      <c r="AN367" s="10">
        <f t="shared" ca="1" si="126"/>
        <v>0.36258588807502878</v>
      </c>
      <c r="AO367" s="311">
        <f t="shared" ca="1" si="127"/>
        <v>0.35756928718941883</v>
      </c>
      <c r="AP367" s="312">
        <f t="shared" ca="1" si="128"/>
        <v>0.28711094049800678</v>
      </c>
      <c r="AQ367" s="1"/>
      <c r="AR367" s="1"/>
      <c r="AS367" s="1"/>
      <c r="AT367" s="1"/>
      <c r="AU367" s="1"/>
      <c r="BC367" s="23"/>
      <c r="BD367" s="23"/>
    </row>
    <row r="368" spans="34:56">
      <c r="AH368" s="6">
        <f t="shared" si="129"/>
        <v>338</v>
      </c>
      <c r="AI368" s="7">
        <f t="shared" ca="1" si="130"/>
        <v>43008</v>
      </c>
      <c r="AJ368" s="210">
        <f t="shared" ca="1" si="131"/>
        <v>3.3000000000000003</v>
      </c>
      <c r="AK368" s="8">
        <f t="shared" ca="1" si="132"/>
        <v>1.0000916666666666</v>
      </c>
      <c r="AL368" s="98">
        <f t="shared" ca="1" si="133"/>
        <v>3.4975352229933865</v>
      </c>
      <c r="AM368" s="106">
        <f t="shared" ca="1" si="125"/>
        <v>27013.126851628851</v>
      </c>
      <c r="AN368" s="10">
        <f t="shared" ca="1" si="126"/>
        <v>0.36330717607961915</v>
      </c>
      <c r="AO368" s="311">
        <f t="shared" ca="1" si="127"/>
        <v>0.35828227771115978</v>
      </c>
      <c r="AP368" s="312">
        <f t="shared" ca="1" si="128"/>
        <v>0.28710134995058628</v>
      </c>
      <c r="AQ368" s="1"/>
      <c r="AR368" s="1"/>
      <c r="AS368" s="1"/>
      <c r="AT368" s="1"/>
      <c r="AU368" s="1"/>
      <c r="BC368" s="23"/>
      <c r="BD368" s="23"/>
    </row>
    <row r="369" spans="34:56">
      <c r="AH369" s="6">
        <f t="shared" si="129"/>
        <v>339</v>
      </c>
      <c r="AI369" s="7">
        <f t="shared" ca="1" si="130"/>
        <v>43009</v>
      </c>
      <c r="AJ369" s="210">
        <f t="shared" ca="1" si="131"/>
        <v>3.3000000000000003</v>
      </c>
      <c r="AK369" s="8">
        <f t="shared" ca="1" si="132"/>
        <v>1.0000916666666666</v>
      </c>
      <c r="AL369" s="98">
        <f t="shared" ca="1" si="133"/>
        <v>3.4972540971286659</v>
      </c>
      <c r="AM369" s="106">
        <f t="shared" ca="1" si="125"/>
        <v>27015.155381350913</v>
      </c>
      <c r="AN369" s="10">
        <f t="shared" ca="1" si="126"/>
        <v>0.36402421383574524</v>
      </c>
      <c r="AO369" s="311">
        <f t="shared" ca="1" si="127"/>
        <v>0.35899109105833515</v>
      </c>
      <c r="AP369" s="312">
        <f t="shared" ca="1" si="128"/>
        <v>0.28709189274372787</v>
      </c>
      <c r="AQ369" s="1"/>
      <c r="AR369" s="1"/>
      <c r="AS369" s="1"/>
      <c r="AT369" s="1"/>
      <c r="AU369" s="1"/>
      <c r="BC369" s="23"/>
      <c r="BD369" s="23"/>
    </row>
    <row r="370" spans="34:56">
      <c r="AH370" s="6">
        <f t="shared" si="129"/>
        <v>340</v>
      </c>
      <c r="AI370" s="7">
        <f t="shared" ca="1" si="130"/>
        <v>43010</v>
      </c>
      <c r="AJ370" s="210">
        <f t="shared" ca="1" si="131"/>
        <v>3.3000000000000003</v>
      </c>
      <c r="AK370" s="8">
        <f t="shared" ca="1" si="132"/>
        <v>1.0000916666666666</v>
      </c>
      <c r="AL370" s="98">
        <f t="shared" ca="1" si="133"/>
        <v>3.4969746257024203</v>
      </c>
      <c r="AM370" s="106">
        <f t="shared" ca="1" si="125"/>
        <v>27017.184063403838</v>
      </c>
      <c r="AN370" s="10">
        <f t="shared" ca="1" si="126"/>
        <v>0.36473703880040009</v>
      </c>
      <c r="AO370" s="311">
        <f t="shared" ca="1" si="127"/>
        <v>0.35969576408881415</v>
      </c>
      <c r="AP370" s="312">
        <f t="shared" ca="1" si="128"/>
        <v>0.28708256770791329</v>
      </c>
      <c r="AQ370" s="1"/>
      <c r="AR370" s="1"/>
      <c r="AS370" s="1"/>
      <c r="AT370" s="1"/>
      <c r="AU370" s="1"/>
      <c r="BC370" s="23"/>
      <c r="BD370" s="23"/>
    </row>
    <row r="371" spans="34:56">
      <c r="AH371" s="6">
        <f t="shared" si="129"/>
        <v>341</v>
      </c>
      <c r="AI371" s="7">
        <f t="shared" ca="1" si="130"/>
        <v>43011</v>
      </c>
      <c r="AJ371" s="210">
        <f t="shared" ca="1" si="131"/>
        <v>3.3000000000000003</v>
      </c>
      <c r="AK371" s="8">
        <f t="shared" ca="1" si="132"/>
        <v>1.0000916666666666</v>
      </c>
      <c r="AL371" s="98">
        <f t="shared" ca="1" si="133"/>
        <v>3.4966967941527871</v>
      </c>
      <c r="AM371" s="106">
        <f t="shared" ca="1" si="125"/>
        <v>27019.212897799061</v>
      </c>
      <c r="AN371" s="10">
        <f t="shared" ca="1" si="126"/>
        <v>0.36544568799179444</v>
      </c>
      <c r="AO371" s="311">
        <f t="shared" ca="1" si="127"/>
        <v>0.36039633322816278</v>
      </c>
      <c r="AP371" s="312">
        <f t="shared" ca="1" si="128"/>
        <v>0.2870733736873427</v>
      </c>
      <c r="AQ371" s="1"/>
      <c r="AR371" s="1"/>
      <c r="AS371" s="1"/>
      <c r="AT371" s="1"/>
      <c r="AU371" s="1"/>
      <c r="BC371" s="23"/>
      <c r="BD371" s="23"/>
    </row>
    <row r="372" spans="34:56">
      <c r="AH372" s="6">
        <f t="shared" si="129"/>
        <v>342</v>
      </c>
      <c r="AI372" s="7">
        <f t="shared" ca="1" si="130"/>
        <v>43012</v>
      </c>
      <c r="AJ372" s="210">
        <f t="shared" ca="1" si="131"/>
        <v>3.3000000000000003</v>
      </c>
      <c r="AK372" s="8">
        <f t="shared" ca="1" si="132"/>
        <v>1.0000916666666666</v>
      </c>
      <c r="AL372" s="98">
        <f t="shared" ca="1" si="133"/>
        <v>3.4964205880883448</v>
      </c>
      <c r="AM372" s="106">
        <f t="shared" ca="1" si="125"/>
        <v>27021.241884548021</v>
      </c>
      <c r="AN372" s="10">
        <f t="shared" ca="1" si="126"/>
        <v>0.36615019799566273</v>
      </c>
      <c r="AO372" s="311">
        <f t="shared" ca="1" si="127"/>
        <v>0.36109283447594009</v>
      </c>
      <c r="AP372" s="312">
        <f t="shared" ca="1" si="128"/>
        <v>0.28706430953973466</v>
      </c>
      <c r="AQ372" s="1"/>
      <c r="AR372" s="1"/>
      <c r="AS372" s="1"/>
      <c r="AT372" s="1"/>
      <c r="AU372" s="1"/>
      <c r="BC372" s="23"/>
      <c r="BD372" s="23"/>
    </row>
    <row r="373" spans="34:56">
      <c r="AH373" s="6">
        <f t="shared" si="129"/>
        <v>343</v>
      </c>
      <c r="AI373" s="7">
        <f t="shared" ca="1" si="130"/>
        <v>43013</v>
      </c>
      <c r="AJ373" s="210">
        <f t="shared" ca="1" si="131"/>
        <v>3.3000000000000003</v>
      </c>
      <c r="AK373" s="8">
        <f t="shared" ca="1" si="132"/>
        <v>1.0000916666666666</v>
      </c>
      <c r="AL373" s="98">
        <f t="shared" ca="1" si="133"/>
        <v>3.4961459932856043</v>
      </c>
      <c r="AM373" s="106">
        <f t="shared" ca="1" si="125"/>
        <v>27023.271023662164</v>
      </c>
      <c r="AN373" s="10">
        <f t="shared" ca="1" si="126"/>
        <v>0.36685060497156918</v>
      </c>
      <c r="AO373" s="311">
        <f t="shared" ca="1" si="127"/>
        <v>0.36178530341181558</v>
      </c>
      <c r="AP373" s="312">
        <f t="shared" ca="1" si="128"/>
        <v>0.2870553741361323</v>
      </c>
      <c r="AQ373" s="1"/>
      <c r="AR373" s="1"/>
      <c r="AS373" s="1"/>
      <c r="AT373" s="1"/>
      <c r="AU373" s="1"/>
      <c r="BC373" s="23"/>
      <c r="BD373" s="23"/>
    </row>
    <row r="374" spans="34:56">
      <c r="AH374" s="6">
        <f t="shared" si="129"/>
        <v>344</v>
      </c>
      <c r="AI374" s="7">
        <f t="shared" ca="1" si="130"/>
        <v>43014</v>
      </c>
      <c r="AJ374" s="210">
        <f t="shared" ca="1" si="131"/>
        <v>3.3000000000000003</v>
      </c>
      <c r="AK374" s="8">
        <f t="shared" ca="1" si="132"/>
        <v>1.0000916666666666</v>
      </c>
      <c r="AL374" s="98">
        <f t="shared" ca="1" si="133"/>
        <v>3.4958729956864776</v>
      </c>
      <c r="AM374" s="106">
        <f t="shared" ca="1" si="125"/>
        <v>27025.30031515293</v>
      </c>
      <c r="AN374" s="10">
        <f t="shared" ca="1" si="126"/>
        <v>0.36754694465916948</v>
      </c>
      <c r="AO374" s="311">
        <f t="shared" ca="1" si="127"/>
        <v>0.36247377520178786</v>
      </c>
      <c r="AP374" s="312">
        <f t="shared" ca="1" si="128"/>
        <v>0.28704656636070258</v>
      </c>
      <c r="AQ374" s="1"/>
      <c r="AR374" s="1"/>
      <c r="AS374" s="1"/>
      <c r="AT374" s="1"/>
      <c r="AU374" s="1"/>
      <c r="BC374" s="23"/>
      <c r="BD374" s="23"/>
    </row>
    <row r="375" spans="34:56">
      <c r="AH375" s="6">
        <f t="shared" si="129"/>
        <v>345</v>
      </c>
      <c r="AI375" s="7">
        <f t="shared" ca="1" si="130"/>
        <v>43015</v>
      </c>
      <c r="AJ375" s="210">
        <f t="shared" ca="1" si="131"/>
        <v>3.3000000000000003</v>
      </c>
      <c r="AK375" s="8">
        <f t="shared" ca="1" si="132"/>
        <v>1.0000916666666666</v>
      </c>
      <c r="AL375" s="98">
        <f t="shared" ca="1" si="133"/>
        <v>3.4956015813959684</v>
      </c>
      <c r="AM375" s="106">
        <f t="shared" ca="1" si="125"/>
        <v>27027.329759031749</v>
      </c>
      <c r="AN375" s="10">
        <f t="shared" ca="1" si="126"/>
        <v>0.36823925238420596</v>
      </c>
      <c r="AO375" s="311">
        <f t="shared" ca="1" si="127"/>
        <v>0.36315828460415728</v>
      </c>
      <c r="AP375" s="312">
        <f t="shared" ca="1" si="128"/>
        <v>0.28703788511055356</v>
      </c>
      <c r="AQ375" s="1"/>
      <c r="AR375" s="1"/>
      <c r="AS375" s="1"/>
      <c r="AT375" s="1"/>
      <c r="AU375" s="1"/>
      <c r="BC375" s="23"/>
      <c r="BD375" s="23"/>
    </row>
    <row r="376" spans="34:56">
      <c r="AH376" s="6">
        <f t="shared" si="129"/>
        <v>346</v>
      </c>
      <c r="AI376" s="7">
        <f t="shared" ca="1" si="130"/>
        <v>43016</v>
      </c>
      <c r="AJ376" s="210">
        <f t="shared" ca="1" si="131"/>
        <v>3.3000000000000003</v>
      </c>
      <c r="AK376" s="8">
        <f t="shared" ca="1" si="132"/>
        <v>1.0000916666666666</v>
      </c>
      <c r="AL376" s="98">
        <f t="shared" ca="1" si="133"/>
        <v>3.4953317366797965</v>
      </c>
      <c r="AM376" s="106">
        <f t="shared" ca="1" si="125"/>
        <v>27029.359355310087</v>
      </c>
      <c r="AN376" s="10">
        <f t="shared" ca="1" si="126"/>
        <v>0.3689275630644806</v>
      </c>
      <c r="AO376" s="311">
        <f t="shared" ca="1" si="127"/>
        <v>0.36383886597527842</v>
      </c>
      <c r="AP376" s="312">
        <f t="shared" ca="1" si="128"/>
        <v>0.28702932929554137</v>
      </c>
      <c r="AQ376" s="1"/>
      <c r="AR376" s="1"/>
      <c r="AS376" s="1"/>
      <c r="AT376" s="1"/>
      <c r="AU376" s="1"/>
      <c r="BC376" s="23"/>
      <c r="BD376" s="23"/>
    </row>
    <row r="377" spans="34:56">
      <c r="AH377" s="6">
        <f t="shared" si="129"/>
        <v>347</v>
      </c>
      <c r="AI377" s="7">
        <f t="shared" ca="1" si="130"/>
        <v>43017</v>
      </c>
      <c r="AJ377" s="210">
        <f t="shared" ca="1" si="131"/>
        <v>3.3000000000000003</v>
      </c>
      <c r="AK377" s="8">
        <f t="shared" ca="1" si="132"/>
        <v>1.0000916666666666</v>
      </c>
      <c r="AL377" s="98">
        <f t="shared" ca="1" si="133"/>
        <v>3.4950634479621101</v>
      </c>
      <c r="AM377" s="106">
        <f t="shared" ca="1" si="125"/>
        <v>27031.389103999372</v>
      </c>
      <c r="AN377" s="10">
        <f t="shared" ca="1" si="126"/>
        <v>0.36961191121582804</v>
      </c>
      <c r="AO377" s="311">
        <f t="shared" ca="1" si="127"/>
        <v>0.3645155532756284</v>
      </c>
      <c r="AP377" s="312">
        <f t="shared" ca="1" si="128"/>
        <v>0.28702089783809254</v>
      </c>
      <c r="AQ377" s="1"/>
      <c r="AR377" s="1"/>
      <c r="AS377" s="1"/>
      <c r="AT377" s="1"/>
      <c r="AU377" s="1"/>
      <c r="BC377" s="23"/>
      <c r="BD377" s="23"/>
    </row>
    <row r="378" spans="34:56">
      <c r="AH378" s="6">
        <f t="shared" si="129"/>
        <v>348</v>
      </c>
      <c r="AI378" s="7">
        <f t="shared" ca="1" si="130"/>
        <v>43018</v>
      </c>
      <c r="AJ378" s="210">
        <f t="shared" ca="1" si="131"/>
        <v>3.3000000000000003</v>
      </c>
      <c r="AK378" s="8">
        <f t="shared" ca="1" si="132"/>
        <v>1.0000916666666666</v>
      </c>
      <c r="AL378" s="98">
        <f t="shared" ca="1" si="133"/>
        <v>3.4947967018230885</v>
      </c>
      <c r="AM378" s="106">
        <f t="shared" ca="1" si="125"/>
        <v>27035.74309440895</v>
      </c>
      <c r="AN378" s="10">
        <f t="shared" ca="1" si="126"/>
        <v>0.36124266815142914</v>
      </c>
      <c r="AO378" s="311">
        <f t="shared" ca="1" si="127"/>
        <v>0.35626420290797284</v>
      </c>
      <c r="AP378" s="312">
        <f t="shared" ca="1" si="128"/>
        <v>0.28701258967301763</v>
      </c>
      <c r="AQ378" s="1"/>
      <c r="AR378" s="1"/>
      <c r="AS378" s="1"/>
      <c r="AT378" s="1"/>
      <c r="AU378" s="1"/>
      <c r="BC378" s="23"/>
      <c r="BD378" s="23"/>
    </row>
    <row r="379" spans="34:56">
      <c r="AH379" s="6">
        <f t="shared" si="129"/>
        <v>349</v>
      </c>
      <c r="AI379" s="7">
        <f t="shared" ca="1" si="130"/>
        <v>43019</v>
      </c>
      <c r="AJ379" s="210">
        <f t="shared" ca="1" si="131"/>
        <v>3.3000000000000003</v>
      </c>
      <c r="AK379" s="8">
        <f t="shared" ca="1" si="132"/>
        <v>1.0000916666666666</v>
      </c>
      <c r="AL379" s="98">
        <f t="shared" ca="1" si="133"/>
        <v>3.4945314849968323</v>
      </c>
      <c r="AM379" s="106">
        <f t="shared" ca="1" si="125"/>
        <v>27040.09778612294</v>
      </c>
      <c r="AN379" s="10">
        <f t="shared" ca="1" si="126"/>
        <v>0.35292207824102473</v>
      </c>
      <c r="AO379" s="311">
        <f t="shared" ca="1" si="127"/>
        <v>0.34806063668887888</v>
      </c>
      <c r="AP379" s="312">
        <f t="shared" ca="1" si="128"/>
        <v>0.28700440374733754</v>
      </c>
      <c r="AQ379" s="1"/>
      <c r="AR379" s="1"/>
      <c r="AS379" s="1"/>
      <c r="AT379" s="1"/>
      <c r="AU379" s="1"/>
      <c r="BC379" s="23"/>
      <c r="BD379" s="23"/>
    </row>
    <row r="380" spans="34:56">
      <c r="AH380" s="6">
        <f t="shared" si="129"/>
        <v>350</v>
      </c>
      <c r="AI380" s="7">
        <f t="shared" ca="1" si="130"/>
        <v>43020</v>
      </c>
      <c r="AJ380" s="210">
        <f t="shared" ca="1" si="131"/>
        <v>3.3000000000000003</v>
      </c>
      <c r="AK380" s="8">
        <f t="shared" ca="1" si="132"/>
        <v>1.0000916666666666</v>
      </c>
      <c r="AL380" s="98">
        <f t="shared" ca="1" si="133"/>
        <v>3.4942677843691428</v>
      </c>
      <c r="AM380" s="106">
        <f t="shared" ca="1" si="125"/>
        <v>27044.453179254302</v>
      </c>
      <c r="AN380" s="10">
        <f t="shared" ca="1" si="126"/>
        <v>0.34464971848742199</v>
      </c>
      <c r="AO380" s="311">
        <f t="shared" ca="1" si="127"/>
        <v>0.33990444500539801</v>
      </c>
      <c r="AP380" s="312">
        <f t="shared" ca="1" si="128"/>
        <v>0.2869963390201053</v>
      </c>
      <c r="AQ380" s="1"/>
      <c r="AR380" s="1"/>
      <c r="AS380" s="1"/>
      <c r="AT380" s="1"/>
      <c r="AU380" s="1"/>
      <c r="BC380" s="23"/>
      <c r="BD380" s="23"/>
    </row>
    <row r="381" spans="34:56">
      <c r="AH381" s="6">
        <f t="shared" si="129"/>
        <v>351</v>
      </c>
      <c r="AI381" s="7">
        <f t="shared" ca="1" si="130"/>
        <v>43021</v>
      </c>
      <c r="AJ381" s="210">
        <f t="shared" ca="1" si="131"/>
        <v>3.3000000000000003</v>
      </c>
      <c r="AK381" s="8">
        <f t="shared" ca="1" si="132"/>
        <v>1.0000916666666666</v>
      </c>
      <c r="AL381" s="98">
        <f t="shared" ca="1" si="133"/>
        <v>3.4940055869753017</v>
      </c>
      <c r="AM381" s="106">
        <f t="shared" ca="1" si="125"/>
        <v>27048.809273916013</v>
      </c>
      <c r="AN381" s="10">
        <f t="shared" ca="1" si="126"/>
        <v>0.33642517078240619</v>
      </c>
      <c r="AO381" s="311">
        <f t="shared" ca="1" si="127"/>
        <v>0.33179522291258096</v>
      </c>
      <c r="AP381" s="312">
        <f t="shared" ca="1" si="128"/>
        <v>0.28698839446224245</v>
      </c>
      <c r="AQ381" s="1"/>
      <c r="AR381" s="1"/>
      <c r="AS381" s="1"/>
      <c r="AT381" s="1"/>
      <c r="AU381" s="1"/>
      <c r="BC381" s="23"/>
      <c r="BD381" s="23"/>
    </row>
    <row r="382" spans="34:56">
      <c r="AH382" s="6">
        <f t="shared" si="129"/>
        <v>352</v>
      </c>
      <c r="AI382" s="7">
        <f t="shared" ca="1" si="130"/>
        <v>43022</v>
      </c>
      <c r="AJ382" s="210">
        <f t="shared" ca="1" si="131"/>
        <v>3.3000000000000003</v>
      </c>
      <c r="AK382" s="8">
        <f t="shared" ca="1" si="132"/>
        <v>1.0000916666666666</v>
      </c>
      <c r="AL382" s="98">
        <f t="shared" ca="1" si="133"/>
        <v>3.4937448799979842</v>
      </c>
      <c r="AM382" s="106">
        <f t="shared" ca="1" si="125"/>
        <v>27053.166070221083</v>
      </c>
      <c r="AN382" s="10">
        <f t="shared" ca="1" si="126"/>
        <v>0.3282480218363526</v>
      </c>
      <c r="AO382" s="311">
        <f t="shared" ca="1" si="127"/>
        <v>0.32373257006712564</v>
      </c>
      <c r="AP382" s="312">
        <f t="shared" ca="1" si="128"/>
        <v>0.2869805690563606</v>
      </c>
      <c r="AQ382" s="1"/>
      <c r="AR382" s="1"/>
      <c r="AS382" s="1"/>
      <c r="AT382" s="1"/>
      <c r="AU382" s="1"/>
      <c r="BC382" s="23"/>
      <c r="BD382" s="23"/>
    </row>
    <row r="383" spans="34:56">
      <c r="AH383" s="6">
        <f t="shared" si="129"/>
        <v>353</v>
      </c>
      <c r="AI383" s="7">
        <f t="shared" ca="1" si="130"/>
        <v>43023</v>
      </c>
      <c r="AJ383" s="210">
        <f t="shared" ca="1" si="131"/>
        <v>3.3250000000000002</v>
      </c>
      <c r="AK383" s="8">
        <f t="shared" ca="1" si="132"/>
        <v>1.0000923611111112</v>
      </c>
      <c r="AL383" s="98">
        <f t="shared" ca="1" si="133"/>
        <v>3.493559957619774</v>
      </c>
      <c r="AM383" s="106">
        <f t="shared" ca="1" si="125"/>
        <v>27057.523568282508</v>
      </c>
      <c r="AN383" s="10">
        <f t="shared" ca="1" si="126"/>
        <v>0.32018989153050903</v>
      </c>
      <c r="AO383" s="311">
        <f t="shared" ca="1" si="127"/>
        <v>0.31578712492780636</v>
      </c>
      <c r="AP383" s="312">
        <f t="shared" ca="1" si="128"/>
        <v>0.28697896231824388</v>
      </c>
      <c r="AQ383" s="1"/>
      <c r="AR383" s="1"/>
      <c r="AS383" s="1"/>
      <c r="AT383" s="1"/>
      <c r="AU383" s="1"/>
      <c r="BC383" s="23"/>
      <c r="BD383" s="23"/>
    </row>
    <row r="384" spans="34:56">
      <c r="AH384" s="6">
        <f t="shared" si="129"/>
        <v>354</v>
      </c>
      <c r="AI384" s="7">
        <f t="shared" ca="1" si="130"/>
        <v>43024</v>
      </c>
      <c r="AJ384" s="210">
        <f t="shared" ca="1" si="131"/>
        <v>3.3250000000000002</v>
      </c>
      <c r="AK384" s="8">
        <f t="shared" ca="1" si="132"/>
        <v>1.0000923611111112</v>
      </c>
      <c r="AL384" s="98">
        <f t="shared" ca="1" si="133"/>
        <v>3.4933760803283587</v>
      </c>
      <c r="AM384" s="106">
        <f t="shared" ca="1" si="125"/>
        <v>27061.881768213338</v>
      </c>
      <c r="AN384" s="10">
        <f t="shared" ca="1" si="126"/>
        <v>0.31217792912032749</v>
      </c>
      <c r="AO384" s="311">
        <f t="shared" ca="1" si="127"/>
        <v>0.30788705078937278</v>
      </c>
      <c r="AP384" s="312">
        <f t="shared" ca="1" si="128"/>
        <v>0.28697743938502829</v>
      </c>
      <c r="AQ384" s="1"/>
      <c r="AR384" s="1"/>
      <c r="AS384" s="1"/>
      <c r="AT384" s="1"/>
      <c r="AU384" s="1"/>
      <c r="BC384" s="23"/>
      <c r="BD384" s="23"/>
    </row>
    <row r="385" spans="34:56">
      <c r="AH385" s="6">
        <f t="shared" si="129"/>
        <v>355</v>
      </c>
      <c r="AI385" s="7">
        <f t="shared" ca="1" si="130"/>
        <v>43025</v>
      </c>
      <c r="AJ385" s="210">
        <f t="shared" ca="1" si="131"/>
        <v>3.3250000000000002</v>
      </c>
      <c r="AK385" s="8">
        <f t="shared" ca="1" si="132"/>
        <v>1.0000923611111112</v>
      </c>
      <c r="AL385" s="98">
        <f t="shared" ca="1" si="133"/>
        <v>3.4931932392892939</v>
      </c>
      <c r="AM385" s="106">
        <f t="shared" ca="1" si="125"/>
        <v>27066.240670126612</v>
      </c>
      <c r="AN385" s="10">
        <f t="shared" ca="1" si="126"/>
        <v>0.30421173899606302</v>
      </c>
      <c r="AO385" s="311">
        <f t="shared" ca="1" si="127"/>
        <v>0.30003196420195083</v>
      </c>
      <c r="AP385" s="312">
        <f t="shared" ca="1" si="128"/>
        <v>0.28697599955538611</v>
      </c>
      <c r="AQ385" s="1"/>
      <c r="AR385" s="1"/>
      <c r="AS385" s="1"/>
      <c r="AT385" s="1"/>
      <c r="AU385" s="1"/>
      <c r="BC385" s="23"/>
      <c r="BD385" s="23"/>
    </row>
    <row r="386" spans="34:56">
      <c r="AH386" s="6">
        <f t="shared" si="129"/>
        <v>356</v>
      </c>
      <c r="AI386" s="7">
        <f t="shared" ca="1" si="130"/>
        <v>43026</v>
      </c>
      <c r="AJ386" s="210">
        <f t="shared" ca="1" si="131"/>
        <v>3.3250000000000002</v>
      </c>
      <c r="AK386" s="8">
        <f t="shared" ca="1" si="132"/>
        <v>1.0000923611111112</v>
      </c>
      <c r="AL386" s="98">
        <f t="shared" ca="1" si="133"/>
        <v>3.4930114257673894</v>
      </c>
      <c r="AM386" s="106">
        <f t="shared" ca="1" si="125"/>
        <v>27070.600274135402</v>
      </c>
      <c r="AN386" s="10">
        <f t="shared" ca="1" si="126"/>
        <v>0.2962909300548322</v>
      </c>
      <c r="AO386" s="311">
        <f t="shared" ca="1" si="127"/>
        <v>0.29222148602413678</v>
      </c>
      <c r="AP386" s="312">
        <f t="shared" ca="1" si="128"/>
        <v>0.2869746421358717</v>
      </c>
      <c r="AQ386" s="1"/>
      <c r="AR386" s="1"/>
      <c r="AS386" s="1"/>
      <c r="AT386" s="1"/>
      <c r="AU386" s="1"/>
      <c r="BC386" s="23"/>
      <c r="BD386" s="23"/>
    </row>
    <row r="387" spans="34:56">
      <c r="AH387" s="6">
        <f t="shared" si="129"/>
        <v>357</v>
      </c>
      <c r="AI387" s="7">
        <f t="shared" ca="1" si="130"/>
        <v>43027</v>
      </c>
      <c r="AJ387" s="210">
        <f t="shared" ca="1" si="131"/>
        <v>3.3250000000000002</v>
      </c>
      <c r="AK387" s="8">
        <f t="shared" ca="1" si="132"/>
        <v>1.0000923611111112</v>
      </c>
      <c r="AL387" s="98">
        <f t="shared" ca="1" si="133"/>
        <v>3.4928306311253543</v>
      </c>
      <c r="AM387" s="106">
        <f t="shared" ca="1" si="125"/>
        <v>27074.960580352799</v>
      </c>
      <c r="AN387" s="10">
        <f t="shared" ca="1" si="126"/>
        <v>0.28841511563639788</v>
      </c>
      <c r="AO387" s="311">
        <f t="shared" ca="1" si="127"/>
        <v>0.28445524136247574</v>
      </c>
      <c r="AP387" s="312">
        <f t="shared" ca="1" si="128"/>
        <v>0.28697336644080523</v>
      </c>
      <c r="AQ387" s="1"/>
      <c r="AR387" s="1"/>
      <c r="AS387" s="1"/>
      <c r="AT387" s="1"/>
      <c r="AU387" s="1"/>
      <c r="BC387" s="23"/>
      <c r="BD387" s="23"/>
    </row>
    <row r="388" spans="34:56">
      <c r="AH388" s="168">
        <f t="shared" si="129"/>
        <v>358</v>
      </c>
      <c r="AI388" s="169">
        <f t="shared" ca="1" si="130"/>
        <v>43028</v>
      </c>
      <c r="AJ388" s="211">
        <f t="shared" ca="1" si="131"/>
        <v>3.3250000000000002</v>
      </c>
      <c r="AK388" s="170">
        <f t="shared" ca="1" si="132"/>
        <v>1.0000923611111112</v>
      </c>
      <c r="AL388" s="171">
        <f t="shared" ca="1" si="133"/>
        <v>3.4926508468224426</v>
      </c>
      <c r="AM388" s="172">
        <f t="shared" ca="1" si="125"/>
        <v>27079.321588891908</v>
      </c>
      <c r="AN388" s="173">
        <f t="shared" ca="1" si="126"/>
        <v>0.28058391346046374</v>
      </c>
      <c r="AO388" s="313">
        <f t="shared" ca="1" si="127"/>
        <v>0.27673285951237797</v>
      </c>
      <c r="AP388" s="312">
        <f t="shared" ca="1" si="128"/>
        <v>0.28697217179217377</v>
      </c>
      <c r="AQ388" s="1"/>
      <c r="AR388" s="1"/>
      <c r="AS388" s="1"/>
      <c r="AT388" s="1"/>
      <c r="AU388" s="1"/>
      <c r="BC388" s="23"/>
      <c r="BD388" s="23"/>
    </row>
    <row r="389" spans="34:56">
      <c r="AH389" s="168">
        <f t="shared" si="129"/>
        <v>359</v>
      </c>
      <c r="AI389" s="169">
        <f t="shared" ca="1" si="130"/>
        <v>43029</v>
      </c>
      <c r="AJ389" s="211">
        <f t="shared" ca="1" si="131"/>
        <v>3.3250000000000002</v>
      </c>
      <c r="AK389" s="170">
        <f t="shared" ca="1" si="132"/>
        <v>1.0000923611111112</v>
      </c>
      <c r="AL389" s="171">
        <f t="shared" ca="1" si="133"/>
        <v>3.4924720644130991</v>
      </c>
      <c r="AM389" s="172">
        <f t="shared" ca="1" si="125"/>
        <v>27083.683299865854</v>
      </c>
      <c r="AN389" s="173">
        <f t="shared" ca="1" si="126"/>
        <v>0.27279694556483491</v>
      </c>
      <c r="AO389" s="313">
        <f t="shared" ca="1" si="127"/>
        <v>0.2690539738996226</v>
      </c>
      <c r="AP389" s="312">
        <f t="shared" ca="1" si="128"/>
        <v>0.28697105751951701</v>
      </c>
      <c r="AQ389" s="1"/>
      <c r="AR389" s="1"/>
      <c r="AS389" s="1"/>
      <c r="AT389" s="1"/>
      <c r="AU389" s="1"/>
      <c r="BC389" s="23"/>
      <c r="BD389" s="23"/>
    </row>
    <row r="390" spans="34:56">
      <c r="AH390" s="168">
        <f t="shared" si="129"/>
        <v>360</v>
      </c>
      <c r="AI390" s="169">
        <f t="shared" ca="1" si="130"/>
        <v>43030</v>
      </c>
      <c r="AJ390" s="211">
        <f t="shared" ca="1" si="131"/>
        <v>3.3250000000000002</v>
      </c>
      <c r="AK390" s="170">
        <f t="shared" ca="1" si="132"/>
        <v>1.0000923611111112</v>
      </c>
      <c r="AL390" s="171">
        <f t="shared" ca="1" si="133"/>
        <v>3.492294275545671</v>
      </c>
      <c r="AM390" s="172">
        <f t="shared" ca="1" si="125"/>
        <v>27088.045713387772</v>
      </c>
      <c r="AN390" s="173">
        <f t="shared" ca="1" si="126"/>
        <v>0.26505383824455553</v>
      </c>
      <c r="AO390" s="313">
        <f t="shared" ca="1" si="127"/>
        <v>0.26141822202310205</v>
      </c>
      <c r="AP390" s="312">
        <f t="shared" ca="1" si="128"/>
        <v>0.28697002295982599</v>
      </c>
      <c r="AQ390" s="1"/>
      <c r="AR390" s="1"/>
      <c r="AS390" s="1"/>
      <c r="AT390" s="1"/>
      <c r="AU390" s="1"/>
      <c r="BC390" s="23"/>
      <c r="BD390" s="23"/>
    </row>
    <row r="391" spans="34:56">
      <c r="AH391" s="168">
        <f t="shared" si="129"/>
        <v>361</v>
      </c>
      <c r="AI391" s="169">
        <f t="shared" ca="1" si="130"/>
        <v>43031</v>
      </c>
      <c r="AJ391" s="211">
        <f t="shared" ca="1" si="131"/>
        <v>3.3250000000000002</v>
      </c>
      <c r="AK391" s="170">
        <f t="shared" ca="1" si="132"/>
        <v>1.0000923611111112</v>
      </c>
      <c r="AL391" s="171">
        <f t="shared" ca="1" si="133"/>
        <v>3.4921174719609871</v>
      </c>
      <c r="AM391" s="172">
        <f t="shared" ca="1" si="125"/>
        <v>27092.408829570835</v>
      </c>
      <c r="AN391" s="173">
        <f t="shared" ca="1" si="126"/>
        <v>0.2573542219920455</v>
      </c>
      <c r="AO391" s="313">
        <f t="shared" ca="1" si="127"/>
        <v>0.25382524539818679</v>
      </c>
      <c r="AP391" s="312">
        <f t="shared" ca="1" si="128"/>
        <v>0.28696906745743633</v>
      </c>
      <c r="AQ391" s="1"/>
      <c r="AR391" s="1"/>
      <c r="AS391" s="1"/>
      <c r="AT391" s="1"/>
      <c r="AU391" s="1"/>
      <c r="BC391" s="23"/>
      <c r="BD391" s="23"/>
    </row>
    <row r="392" spans="34:56">
      <c r="AH392" s="168">
        <f t="shared" si="129"/>
        <v>362</v>
      </c>
      <c r="AI392" s="169">
        <f t="shared" ca="1" si="130"/>
        <v>43032</v>
      </c>
      <c r="AJ392" s="211">
        <f t="shared" ca="1" si="131"/>
        <v>3.3250000000000002</v>
      </c>
      <c r="AK392" s="170">
        <f t="shared" ca="1" si="132"/>
        <v>1.0000923611111112</v>
      </c>
      <c r="AL392" s="171">
        <f t="shared" ca="1" si="133"/>
        <v>3.4919416454912033</v>
      </c>
      <c r="AM392" s="172">
        <f t="shared" ca="1" si="125"/>
        <v>27096.772648528207</v>
      </c>
      <c r="AN392" s="173">
        <f t="shared" ca="1" si="126"/>
        <v>0.24969773143865837</v>
      </c>
      <c r="AO392" s="313">
        <f t="shared" ca="1" si="127"/>
        <v>0.24627468950160189</v>
      </c>
      <c r="AP392" s="312">
        <f t="shared" ca="1" si="128"/>
        <v>0.2869681903639304</v>
      </c>
      <c r="AQ392" s="1"/>
      <c r="AR392" s="1"/>
      <c r="AS392" s="1"/>
      <c r="AT392" s="1"/>
      <c r="AU392" s="1"/>
      <c r="BC392" s="23"/>
      <c r="BD392" s="23"/>
    </row>
    <row r="393" spans="34:56">
      <c r="AH393" s="168">
        <f t="shared" si="129"/>
        <v>363</v>
      </c>
      <c r="AI393" s="169">
        <f t="shared" ca="1" si="130"/>
        <v>43033</v>
      </c>
      <c r="AJ393" s="211">
        <f t="shared" ca="1" si="131"/>
        <v>3.3250000000000002</v>
      </c>
      <c r="AK393" s="170">
        <f t="shared" ca="1" si="132"/>
        <v>1.0000923611111112</v>
      </c>
      <c r="AL393" s="171">
        <f t="shared" ca="1" si="133"/>
        <v>3.4917667880585812</v>
      </c>
      <c r="AM393" s="172">
        <f t="shared" ca="1" si="125"/>
        <v>27101.137170373102</v>
      </c>
      <c r="AN393" s="173">
        <f t="shared" ca="1" si="126"/>
        <v>0.24208400529646124</v>
      </c>
      <c r="AO393" s="313">
        <f t="shared" ca="1" si="127"/>
        <v>0.23876620371651106</v>
      </c>
      <c r="AP393" s="312">
        <f t="shared" ca="1" si="128"/>
        <v>0.28696739103803731</v>
      </c>
      <c r="AQ393" s="1"/>
      <c r="AR393" s="1"/>
      <c r="AS393" s="1"/>
      <c r="AT393" s="1"/>
      <c r="AU393" s="1"/>
      <c r="BC393" s="23"/>
      <c r="BD393" s="23"/>
    </row>
    <row r="394" spans="34:56">
      <c r="AH394" s="168">
        <f t="shared" si="129"/>
        <v>364</v>
      </c>
      <c r="AI394" s="169">
        <f t="shared" ca="1" si="130"/>
        <v>43034</v>
      </c>
      <c r="AJ394" s="211">
        <f t="shared" ca="1" si="131"/>
        <v>3.3250000000000002</v>
      </c>
      <c r="AK394" s="170">
        <f t="shared" ca="1" si="132"/>
        <v>1.0000923611111112</v>
      </c>
      <c r="AL394" s="171">
        <f t="shared" ca="1" si="133"/>
        <v>3.4915928916740668</v>
      </c>
      <c r="AM394" s="172">
        <f t="shared" ca="1" si="125"/>
        <v>27105.502395218718</v>
      </c>
      <c r="AN394" s="173">
        <f t="shared" ca="1" si="126"/>
        <v>0.23451268630192423</v>
      </c>
      <c r="AO394" s="313">
        <f t="shared" ca="1" si="127"/>
        <v>0.23129944127916385</v>
      </c>
      <c r="AP394" s="312">
        <f t="shared" ca="1" si="128"/>
        <v>0.28696666884553346</v>
      </c>
      <c r="AQ394" s="1"/>
      <c r="AR394" s="1"/>
      <c r="AS394" s="1"/>
      <c r="AT394" s="1"/>
      <c r="AU394" s="1"/>
      <c r="BC394" s="23"/>
      <c r="BD394" s="23"/>
    </row>
    <row r="395" spans="34:56">
      <c r="AH395" s="168">
        <f t="shared" si="129"/>
        <v>365</v>
      </c>
      <c r="AI395" s="169">
        <f t="shared" ca="1" si="130"/>
        <v>43035</v>
      </c>
      <c r="AJ395" s="211">
        <f t="shared" ca="1" si="131"/>
        <v>3.3282608695652174</v>
      </c>
      <c r="AK395" s="170">
        <f t="shared" ca="1" si="132"/>
        <v>1.0000924516908212</v>
      </c>
      <c r="AL395" s="171">
        <f t="shared" ca="1" si="133"/>
        <v>3.4914293217933601</v>
      </c>
      <c r="AM395" s="172">
        <f t="shared" ca="1" si="125"/>
        <v>27109.8683231783</v>
      </c>
      <c r="AN395" s="173">
        <f t="shared" ca="1" si="126"/>
        <v>0.22699249885216322</v>
      </c>
      <c r="AO395" s="313">
        <f t="shared" ca="1" si="127"/>
        <v>0.22388301256651713</v>
      </c>
      <c r="AP395" s="312">
        <f t="shared" ca="1" si="128"/>
        <v>0.28696679357205701</v>
      </c>
      <c r="AQ395" s="1"/>
      <c r="AR395" s="1"/>
      <c r="AS395" s="1"/>
      <c r="AT395" s="1"/>
      <c r="AU395" s="1"/>
      <c r="BC395" s="23"/>
      <c r="BD395" s="23"/>
    </row>
    <row r="396" spans="34:56">
      <c r="AH396" s="168">
        <f t="shared" si="129"/>
        <v>366</v>
      </c>
      <c r="AI396" s="169">
        <f t="shared" ca="1" si="130"/>
        <v>43036</v>
      </c>
      <c r="AJ396" s="211">
        <f t="shared" ca="1" si="131"/>
        <v>3.3285326086956522</v>
      </c>
      <c r="AK396" s="170">
        <f t="shared" ca="1" si="132"/>
        <v>1.0000924592391305</v>
      </c>
      <c r="AL396" s="171">
        <f t="shared" ca="1" si="133"/>
        <v>3.4912674249712117</v>
      </c>
      <c r="AM396" s="172">
        <f t="shared" ca="1" si="125"/>
        <v>27114.2349543651</v>
      </c>
      <c r="AN396" s="173">
        <f t="shared" ca="1" si="126"/>
        <v>0.21951471926699995</v>
      </c>
      <c r="AO396" s="313">
        <f t="shared" ca="1" si="127"/>
        <v>0.21650831889317193</v>
      </c>
      <c r="AP396" s="312">
        <f t="shared" ca="1" si="128"/>
        <v>0.28696705414794882</v>
      </c>
      <c r="AQ396" s="1"/>
      <c r="AR396" s="1"/>
      <c r="AS396" s="1"/>
      <c r="AT396" s="1"/>
      <c r="AU396" s="1"/>
      <c r="BC396" s="23"/>
      <c r="BD396" s="23"/>
    </row>
    <row r="397" spans="34:56">
      <c r="AH397" s="6">
        <f t="shared" si="129"/>
        <v>367</v>
      </c>
      <c r="AI397" s="7">
        <f t="shared" ca="1" si="130"/>
        <v>43037</v>
      </c>
      <c r="AJ397" s="210">
        <f t="shared" ca="1" si="131"/>
        <v>3.3288043478260869</v>
      </c>
      <c r="AK397" s="8">
        <f t="shared" ca="1" si="132"/>
        <v>1.0000924667874396</v>
      </c>
      <c r="AL397" s="98">
        <f t="shared" ca="1" si="133"/>
        <v>3.4911071875256994</v>
      </c>
      <c r="AM397" s="106">
        <f t="shared" ca="1" si="125"/>
        <v>27118.602288892384</v>
      </c>
      <c r="AN397" s="10">
        <f t="shared" ca="1" si="126"/>
        <v>0.21207899611752623</v>
      </c>
      <c r="AO397" s="311">
        <f t="shared" ca="1" si="127"/>
        <v>0.20917501891632778</v>
      </c>
      <c r="AP397" s="312">
        <f t="shared" ca="1" si="128"/>
        <v>0.28696744948712033</v>
      </c>
      <c r="AQ397" s="1"/>
      <c r="AR397" s="1"/>
      <c r="AS397" s="1"/>
      <c r="AT397" s="1"/>
      <c r="AU397" s="1"/>
      <c r="BC397" s="23"/>
      <c r="BD397" s="23"/>
    </row>
    <row r="398" spans="34:56">
      <c r="AH398" s="6">
        <f t="shared" si="129"/>
        <v>368</v>
      </c>
      <c r="AI398" s="7">
        <f t="shared" ca="1" si="130"/>
        <v>43038</v>
      </c>
      <c r="AJ398" s="210">
        <f t="shared" ca="1" si="131"/>
        <v>3.3290760869565217</v>
      </c>
      <c r="AK398" s="8">
        <f t="shared" ca="1" si="132"/>
        <v>1.0000924743357489</v>
      </c>
      <c r="AL398" s="98">
        <f t="shared" ca="1" si="133"/>
        <v>3.4909485959236486</v>
      </c>
      <c r="AM398" s="106">
        <f t="shared" ca="1" si="125"/>
        <v>27122.970326873437</v>
      </c>
      <c r="AN398" s="10">
        <f t="shared" ca="1" si="126"/>
        <v>0.2046849818468921</v>
      </c>
      <c r="AO398" s="311">
        <f t="shared" ca="1" si="127"/>
        <v>0.20188277500343205</v>
      </c>
      <c r="AP398" s="312">
        <f t="shared" ca="1" si="128"/>
        <v>0.28696797851529326</v>
      </c>
      <c r="AQ398" s="1"/>
      <c r="AR398" s="1"/>
      <c r="AS398" s="1"/>
      <c r="AT398" s="1"/>
      <c r="AU398" s="1"/>
      <c r="BC398" s="23"/>
      <c r="BD398" s="23"/>
    </row>
    <row r="399" spans="34:56">
      <c r="AH399" s="6">
        <f t="shared" si="129"/>
        <v>369</v>
      </c>
      <c r="AI399" s="7">
        <f t="shared" ca="1" si="130"/>
        <v>43039</v>
      </c>
      <c r="AJ399" s="210">
        <f t="shared" ca="1" si="131"/>
        <v>3.3293478260869569</v>
      </c>
      <c r="AK399" s="8">
        <f t="shared" ca="1" si="132"/>
        <v>1.000092481884058</v>
      </c>
      <c r="AL399" s="98">
        <f t="shared" ca="1" si="133"/>
        <v>3.4907916367786784</v>
      </c>
      <c r="AM399" s="106">
        <f t="shared" ca="1" si="125"/>
        <v>27127.33906842157</v>
      </c>
      <c r="AN399" s="10">
        <f t="shared" ca="1" si="126"/>
        <v>0.19733233271712614</v>
      </c>
      <c r="AO399" s="311">
        <f t="shared" ca="1" si="127"/>
        <v>0.19463125318197064</v>
      </c>
      <c r="AP399" s="312">
        <f t="shared" ca="1" si="128"/>
        <v>0.28696864016983847</v>
      </c>
      <c r="AQ399" s="1"/>
      <c r="AR399" s="1"/>
      <c r="AS399" s="1"/>
      <c r="AT399" s="1"/>
      <c r="AU399" s="1"/>
      <c r="BC399" s="23"/>
      <c r="BD399" s="23"/>
    </row>
    <row r="400" spans="34:56">
      <c r="AH400" s="6">
        <f t="shared" si="129"/>
        <v>370</v>
      </c>
      <c r="AI400" s="7">
        <f t="shared" ca="1" si="130"/>
        <v>43040</v>
      </c>
      <c r="AJ400" s="210">
        <f t="shared" ca="1" si="131"/>
        <v>3.3296195652173917</v>
      </c>
      <c r="AK400" s="8">
        <f t="shared" ca="1" si="132"/>
        <v>1.0000924894323671</v>
      </c>
      <c r="AL400" s="98">
        <f t="shared" ca="1" si="133"/>
        <v>3.4906362968492033</v>
      </c>
      <c r="AM400" s="106">
        <f t="shared" ca="1" si="125"/>
        <v>27131.708513650108</v>
      </c>
      <c r="AN400" s="10">
        <f t="shared" ca="1" si="126"/>
        <v>0.19002070875691057</v>
      </c>
      <c r="AO400" s="311">
        <f t="shared" ca="1" si="127"/>
        <v>0.18742012308996464</v>
      </c>
      <c r="AP400" s="312">
        <f t="shared" ca="1" si="128"/>
        <v>0.28696943339962189</v>
      </c>
      <c r="AQ400" s="1"/>
      <c r="AR400" s="1"/>
      <c r="AS400" s="1"/>
      <c r="AT400" s="1"/>
      <c r="AU400" s="1"/>
      <c r="BC400" s="23"/>
      <c r="BD400" s="23"/>
    </row>
    <row r="401" spans="34:56">
      <c r="AH401" s="6">
        <f t="shared" si="129"/>
        <v>371</v>
      </c>
      <c r="AI401" s="7">
        <f t="shared" ca="1" si="130"/>
        <v>43041</v>
      </c>
      <c r="AJ401" s="210">
        <f t="shared" ca="1" si="131"/>
        <v>3.3298913043478264</v>
      </c>
      <c r="AK401" s="8">
        <f t="shared" ca="1" si="132"/>
        <v>1.0000924969806764</v>
      </c>
      <c r="AL401" s="98">
        <f t="shared" ca="1" si="133"/>
        <v>3.4904825630365233</v>
      </c>
      <c r="AM401" s="106">
        <f t="shared" ca="1" si="125"/>
        <v>27136.078662672389</v>
      </c>
      <c r="AN401" s="10">
        <f t="shared" ca="1" si="126"/>
        <v>0.18274977371006695</v>
      </c>
      <c r="AO401" s="311">
        <f t="shared" ca="1" si="127"/>
        <v>0.18024905792733256</v>
      </c>
      <c r="AP401" s="312">
        <f t="shared" ca="1" si="128"/>
        <v>0.28697035716484953</v>
      </c>
      <c r="AQ401" s="1"/>
      <c r="AR401" s="1"/>
      <c r="AS401" s="1"/>
      <c r="AT401" s="1"/>
      <c r="AU401" s="1"/>
      <c r="BC401" s="23"/>
      <c r="BD401" s="23"/>
    </row>
    <row r="402" spans="34:56">
      <c r="AH402" s="6">
        <f t="shared" si="129"/>
        <v>372</v>
      </c>
      <c r="AI402" s="7">
        <f t="shared" ca="1" si="130"/>
        <v>43042</v>
      </c>
      <c r="AJ402" s="210">
        <f t="shared" ca="1" si="131"/>
        <v>3.3301630434782612</v>
      </c>
      <c r="AK402" s="8">
        <f t="shared" ca="1" si="132"/>
        <v>1.0000925045289855</v>
      </c>
      <c r="AL402" s="98">
        <f t="shared" ca="1" si="133"/>
        <v>3.4903304223827814</v>
      </c>
      <c r="AM402" s="106">
        <f t="shared" ca="1" si="125"/>
        <v>27140.449515601784</v>
      </c>
      <c r="AN402" s="10">
        <f t="shared" ca="1" si="126"/>
        <v>0.17551919498495216</v>
      </c>
      <c r="AO402" s="311">
        <f t="shared" ca="1" si="127"/>
        <v>0.17311773440805808</v>
      </c>
      <c r="AP402" s="312">
        <f t="shared" ca="1" si="128"/>
        <v>0.28697141043690994</v>
      </c>
      <c r="AQ402" s="1"/>
      <c r="AR402" s="1"/>
      <c r="AS402" s="1"/>
      <c r="AT402" s="1"/>
      <c r="AU402" s="1"/>
      <c r="BC402" s="23"/>
      <c r="BD402" s="23"/>
    </row>
    <row r="403" spans="34:56">
      <c r="AH403" s="6">
        <f t="shared" si="129"/>
        <v>373</v>
      </c>
      <c r="AI403" s="7">
        <f t="shared" ca="1" si="130"/>
        <v>43043</v>
      </c>
      <c r="AJ403" s="210">
        <f t="shared" ca="1" si="131"/>
        <v>3.330434782608696</v>
      </c>
      <c r="AK403" s="8">
        <f t="shared" ca="1" si="132"/>
        <v>1.0000925120772948</v>
      </c>
      <c r="AL403" s="98">
        <f t="shared" ca="1" si="133"/>
        <v>3.4901798620692093</v>
      </c>
      <c r="AM403" s="106">
        <f t="shared" ca="1" si="125"/>
        <v>27144.821072551666</v>
      </c>
      <c r="AN403" s="10">
        <f t="shared" ca="1" si="126"/>
        <v>0.16832864360463162</v>
      </c>
      <c r="AO403" s="311">
        <f t="shared" ca="1" si="127"/>
        <v>0.16602583271293489</v>
      </c>
      <c r="AP403" s="312">
        <f t="shared" ca="1" si="128"/>
        <v>0.28697259219822924</v>
      </c>
      <c r="AQ403" s="1"/>
      <c r="AR403" s="1"/>
      <c r="AS403" s="1"/>
      <c r="AT403" s="1"/>
      <c r="AU403" s="1"/>
      <c r="BC403" s="23"/>
      <c r="BD403" s="23"/>
    </row>
    <row r="404" spans="34:56">
      <c r="AH404" s="6">
        <f t="shared" si="129"/>
        <v>374</v>
      </c>
      <c r="AI404" s="7">
        <f t="shared" ca="1" si="130"/>
        <v>43044</v>
      </c>
      <c r="AJ404" s="210">
        <f t="shared" ca="1" si="131"/>
        <v>3.3307065217391307</v>
      </c>
      <c r="AK404" s="8">
        <f t="shared" ca="1" si="132"/>
        <v>1.0000925196256039</v>
      </c>
      <c r="AL404" s="98">
        <f t="shared" ca="1" si="133"/>
        <v>3.4900308694141957</v>
      </c>
      <c r="AM404" s="106">
        <f t="shared" ca="1" si="125"/>
        <v>27149.19333363543</v>
      </c>
      <c r="AN404" s="10">
        <f t="shared" ca="1" si="126"/>
        <v>0.16117779415809608</v>
      </c>
      <c r="AO404" s="311">
        <f t="shared" ca="1" si="127"/>
        <v>0.1589730364434325</v>
      </c>
      <c r="AP404" s="312">
        <f t="shared" ca="1" si="128"/>
        <v>0.28697390144212054</v>
      </c>
      <c r="AQ404" s="1"/>
      <c r="AR404" s="1"/>
      <c r="AS404" s="1"/>
      <c r="AT404" s="1"/>
      <c r="AU404" s="1"/>
      <c r="BC404" s="23"/>
      <c r="BD404" s="23"/>
    </row>
    <row r="405" spans="34:56">
      <c r="AH405" s="6">
        <f t="shared" si="129"/>
        <v>375</v>
      </c>
      <c r="AI405" s="7">
        <f t="shared" ca="1" si="130"/>
        <v>43045</v>
      </c>
      <c r="AJ405" s="210">
        <f t="shared" ca="1" si="131"/>
        <v>3.3309782608695655</v>
      </c>
      <c r="AK405" s="8">
        <f t="shared" ca="1" si="132"/>
        <v>1.0000925271739129</v>
      </c>
      <c r="AL405" s="98">
        <f t="shared" ca="1" si="133"/>
        <v>3.4898834318714433</v>
      </c>
      <c r="AM405" s="106">
        <f t="shared" ca="1" si="125"/>
        <v>27153.5662989665</v>
      </c>
      <c r="AN405" s="10">
        <f t="shared" ca="1" si="126"/>
        <v>0.15406632475178927</v>
      </c>
      <c r="AO405" s="311">
        <f t="shared" ca="1" si="127"/>
        <v>0.15195903257589549</v>
      </c>
      <c r="AP405" s="312">
        <f t="shared" ca="1" si="128"/>
        <v>0.28697533717264179</v>
      </c>
      <c r="AQ405" s="1"/>
      <c r="AR405" s="1"/>
      <c r="AS405" s="1"/>
      <c r="AT405" s="1"/>
      <c r="AU405" s="1"/>
      <c r="BC405" s="23"/>
      <c r="BD405" s="23"/>
    </row>
    <row r="406" spans="34:56">
      <c r="AH406" s="6">
        <f t="shared" si="129"/>
        <v>376</v>
      </c>
      <c r="AI406" s="7">
        <f t="shared" ca="1" si="130"/>
        <v>43046</v>
      </c>
      <c r="AJ406" s="210">
        <f t="shared" ca="1" si="131"/>
        <v>3.3312500000000003</v>
      </c>
      <c r="AK406" s="8">
        <f t="shared" ca="1" si="132"/>
        <v>1.0000925347222223</v>
      </c>
      <c r="AL406" s="98">
        <f t="shared" ca="1" si="133"/>
        <v>3.4897375370282591</v>
      </c>
      <c r="AM406" s="106">
        <f t="shared" ca="1" si="125"/>
        <v>27157.939968658302</v>
      </c>
      <c r="AN406" s="10">
        <f t="shared" ca="1" si="126"/>
        <v>0.1469939169625345</v>
      </c>
      <c r="AO406" s="311">
        <f t="shared" ca="1" si="127"/>
        <v>0.14498351141683483</v>
      </c>
      <c r="AP406" s="312">
        <f t="shared" ca="1" si="128"/>
        <v>0.28697689840445156</v>
      </c>
      <c r="AQ406" s="1"/>
      <c r="AR406" s="1"/>
      <c r="AS406" s="1"/>
      <c r="AT406" s="1"/>
      <c r="AU406" s="1"/>
      <c r="BC406" s="23"/>
      <c r="BD406" s="23"/>
    </row>
    <row r="407" spans="34:56">
      <c r="AH407" s="6">
        <f t="shared" si="129"/>
        <v>377</v>
      </c>
      <c r="AI407" s="7">
        <f t="shared" ca="1" si="130"/>
        <v>43047</v>
      </c>
      <c r="AJ407" s="210">
        <f t="shared" ca="1" si="131"/>
        <v>3.331521739130435</v>
      </c>
      <c r="AK407" s="8">
        <f t="shared" ca="1" si="132"/>
        <v>1.0000925422705313</v>
      </c>
      <c r="AL407" s="98">
        <f t="shared" ca="1" si="133"/>
        <v>3.4895931726036222</v>
      </c>
      <c r="AM407" s="106">
        <f t="shared" ca="1" si="125"/>
        <v>27162.314342824291</v>
      </c>
      <c r="AN407" s="10">
        <f t="shared" ca="1" si="126"/>
        <v>0.13996025579057214</v>
      </c>
      <c r="AO407" s="311">
        <f t="shared" ca="1" si="127"/>
        <v>0.13804616655854929</v>
      </c>
      <c r="AP407" s="312">
        <f t="shared" ca="1" si="128"/>
        <v>0.2869785841626647</v>
      </c>
      <c r="AQ407" s="1"/>
      <c r="AR407" s="1"/>
      <c r="AS407" s="1"/>
      <c r="AT407" s="1"/>
      <c r="AU407" s="1"/>
      <c r="BC407" s="23"/>
      <c r="BD407" s="23"/>
    </row>
    <row r="408" spans="34:56">
      <c r="AH408" s="6">
        <f t="shared" si="129"/>
        <v>378</v>
      </c>
      <c r="AI408" s="7">
        <f t="shared" ca="1" si="130"/>
        <v>43048</v>
      </c>
      <c r="AJ408" s="210">
        <f t="shared" ca="1" si="131"/>
        <v>3.3317934782608698</v>
      </c>
      <c r="AK408" s="8">
        <f t="shared" ca="1" si="132"/>
        <v>1.0000925498188407</v>
      </c>
      <c r="AL408" s="98">
        <f t="shared" ca="1" si="133"/>
        <v>3.4894503264466525</v>
      </c>
      <c r="AM408" s="106">
        <f t="shared" ca="1" si="125"/>
        <v>27166.689421577939</v>
      </c>
      <c r="AN408" s="10">
        <f t="shared" ca="1" si="126"/>
        <v>0.13296502961392953</v>
      </c>
      <c r="AO408" s="311">
        <f t="shared" ca="1" si="127"/>
        <v>0.13114669483591629</v>
      </c>
      <c r="AP408" s="312">
        <f t="shared" ca="1" si="128"/>
        <v>0.28698039348272275</v>
      </c>
      <c r="AQ408" s="1"/>
      <c r="AR408" s="1"/>
      <c r="AS408" s="1"/>
      <c r="AT408" s="1"/>
      <c r="AU408" s="1"/>
      <c r="BC408" s="23"/>
      <c r="BD408" s="23"/>
    </row>
    <row r="409" spans="34:56">
      <c r="AH409" s="6">
        <f t="shared" si="129"/>
        <v>379</v>
      </c>
      <c r="AI409" s="7">
        <f t="shared" ca="1" si="130"/>
        <v>43049</v>
      </c>
      <c r="AJ409" s="210">
        <f t="shared" ca="1" si="131"/>
        <v>3.3320652173913046</v>
      </c>
      <c r="AK409" s="8">
        <f t="shared" ca="1" si="132"/>
        <v>1.0000925573671497</v>
      </c>
      <c r="AL409" s="98">
        <f t="shared" ca="1" si="133"/>
        <v>3.4893089865346782</v>
      </c>
      <c r="AM409" s="106">
        <f t="shared" ca="1" si="125"/>
        <v>27168.933628078357</v>
      </c>
      <c r="AN409" s="10">
        <f t="shared" ca="1" si="126"/>
        <v>0.13357326837972749</v>
      </c>
      <c r="AO409" s="311">
        <f t="shared" ca="1" si="127"/>
        <v>0.13174687098162705</v>
      </c>
      <c r="AP409" s="312">
        <f t="shared" ca="1" si="128"/>
        <v>0.28698232541024754</v>
      </c>
      <c r="AQ409" s="1"/>
      <c r="AR409" s="1"/>
      <c r="AS409" s="1"/>
      <c r="AT409" s="1"/>
      <c r="AU409" s="1"/>
      <c r="BC409" s="23"/>
      <c r="BD409" s="23"/>
    </row>
    <row r="410" spans="34:56">
      <c r="AH410" s="6">
        <f t="shared" si="129"/>
        <v>380</v>
      </c>
      <c r="AI410" s="7">
        <f t="shared" ca="1" si="130"/>
        <v>43050</v>
      </c>
      <c r="AJ410" s="210">
        <f t="shared" ca="1" si="131"/>
        <v>3.3323369565217393</v>
      </c>
      <c r="AK410" s="8">
        <f t="shared" ca="1" si="132"/>
        <v>1.0000925649154588</v>
      </c>
      <c r="AL410" s="98">
        <f t="shared" ca="1" si="133"/>
        <v>3.4891691409717041</v>
      </c>
      <c r="AM410" s="106">
        <f t="shared" ca="1" si="125"/>
        <v>27171.178019969891</v>
      </c>
      <c r="AN410" s="10">
        <f t="shared" ca="1" si="126"/>
        <v>0.13417903549501897</v>
      </c>
      <c r="AO410" s="311">
        <f t="shared" ca="1" si="127"/>
        <v>0.13234461372913423</v>
      </c>
      <c r="AP410" s="312">
        <f t="shared" ca="1" si="128"/>
        <v>0.2869843790009155</v>
      </c>
      <c r="AQ410" s="1"/>
      <c r="AR410" s="1"/>
      <c r="AS410" s="1"/>
      <c r="AT410" s="1"/>
      <c r="AU410" s="1"/>
      <c r="BC410" s="23"/>
      <c r="BD410" s="23"/>
    </row>
    <row r="411" spans="34:56">
      <c r="AH411" s="6">
        <f t="shared" si="129"/>
        <v>381</v>
      </c>
      <c r="AI411" s="7">
        <f t="shared" ca="1" si="130"/>
        <v>43051</v>
      </c>
      <c r="AJ411" s="210">
        <f t="shared" ca="1" si="131"/>
        <v>3.3326086956521741</v>
      </c>
      <c r="AK411" s="8">
        <f t="shared" ca="1" si="132"/>
        <v>1.0000925724637681</v>
      </c>
      <c r="AL411" s="98">
        <f t="shared" ca="1" si="133"/>
        <v>3.4890307779866792</v>
      </c>
      <c r="AM411" s="106">
        <f t="shared" ca="1" si="125"/>
        <v>27173.422597267847</v>
      </c>
      <c r="AN411" s="10">
        <f t="shared" ca="1" si="126"/>
        <v>0.13478235040591535</v>
      </c>
      <c r="AO411" s="311">
        <f t="shared" ca="1" si="127"/>
        <v>0.13293994226049569</v>
      </c>
      <c r="AP411" s="312">
        <f t="shared" ca="1" si="128"/>
        <v>0.28698655332032263</v>
      </c>
      <c r="AQ411" s="1"/>
      <c r="AR411" s="1"/>
      <c r="AS411" s="1"/>
      <c r="AT411" s="1"/>
      <c r="AU411" s="1"/>
      <c r="BC411" s="23"/>
      <c r="BD411" s="23"/>
    </row>
    <row r="412" spans="34:56">
      <c r="AH412" s="6">
        <f t="shared" si="129"/>
        <v>382</v>
      </c>
      <c r="AI412" s="7">
        <f t="shared" ca="1" si="130"/>
        <v>43052</v>
      </c>
      <c r="AJ412" s="210">
        <f t="shared" ca="1" si="131"/>
        <v>3.3328804347826089</v>
      </c>
      <c r="AK412" s="8">
        <f t="shared" ca="1" si="132"/>
        <v>1.0000925800120772</v>
      </c>
      <c r="AL412" s="98">
        <f t="shared" ca="1" si="133"/>
        <v>3.4888938859318319</v>
      </c>
      <c r="AM412" s="106">
        <f t="shared" ca="1" si="125"/>
        <v>27175.667359987558</v>
      </c>
      <c r="AN412" s="10">
        <f t="shared" ca="1" si="126"/>
        <v>0.13538323235500194</v>
      </c>
      <c r="AO412" s="311">
        <f t="shared" ca="1" si="127"/>
        <v>0.13353287555678464</v>
      </c>
      <c r="AP412" s="312">
        <f t="shared" ca="1" si="128"/>
        <v>0.28698884744384917</v>
      </c>
      <c r="AQ412" s="1"/>
      <c r="AR412" s="1"/>
      <c r="AS412" s="1"/>
      <c r="AT412" s="1"/>
      <c r="AU412" s="1"/>
      <c r="BC412" s="23"/>
      <c r="BD412" s="23"/>
    </row>
    <row r="413" spans="34:56">
      <c r="AH413" s="6">
        <f t="shared" si="129"/>
        <v>383</v>
      </c>
      <c r="AI413" s="7">
        <f t="shared" ca="1" si="130"/>
        <v>43053</v>
      </c>
      <c r="AJ413" s="210">
        <f t="shared" ca="1" si="131"/>
        <v>3.3331521739130436</v>
      </c>
      <c r="AK413" s="8">
        <f t="shared" ca="1" si="132"/>
        <v>1.0000925875603865</v>
      </c>
      <c r="AL413" s="98">
        <f t="shared" ca="1" si="133"/>
        <v>3.4887584532811822</v>
      </c>
      <c r="AM413" s="106">
        <f t="shared" ca="1" si="125"/>
        <v>27177.912308144321</v>
      </c>
      <c r="AN413" s="10">
        <f t="shared" ca="1" si="126"/>
        <v>0.13598170038426893</v>
      </c>
      <c r="AO413" s="311">
        <f t="shared" ca="1" si="127"/>
        <v>0.1341234324010889</v>
      </c>
      <c r="AP413" s="312">
        <f t="shared" ca="1" si="128"/>
        <v>0.28699126045654594</v>
      </c>
      <c r="AQ413" s="1"/>
      <c r="AR413" s="1"/>
      <c r="AS413" s="1"/>
      <c r="AT413" s="1"/>
      <c r="AU413" s="1"/>
      <c r="BC413" s="23"/>
      <c r="BD413" s="23"/>
    </row>
    <row r="414" spans="34:56">
      <c r="AH414" s="6">
        <f t="shared" si="129"/>
        <v>384</v>
      </c>
      <c r="AI414" s="7">
        <f t="shared" ca="1" si="130"/>
        <v>43054</v>
      </c>
      <c r="AJ414" s="210">
        <f t="shared" ca="1" si="131"/>
        <v>3.3334239130434784</v>
      </c>
      <c r="AK414" s="8">
        <f t="shared" ca="1" si="132"/>
        <v>1.0000925951086956</v>
      </c>
      <c r="AL414" s="98">
        <f t="shared" ca="1" si="133"/>
        <v>3.4886244686288093</v>
      </c>
      <c r="AM414" s="106">
        <f t="shared" ca="1" si="125"/>
        <v>27180.157441753468</v>
      </c>
      <c r="AN414" s="10">
        <f t="shared" ca="1" si="126"/>
        <v>0.1365777733373541</v>
      </c>
      <c r="AO414" s="311">
        <f t="shared" ca="1" si="127"/>
        <v>0.13471163138069342</v>
      </c>
      <c r="AP414" s="312">
        <f t="shared" ca="1" si="128"/>
        <v>0.28699379145299098</v>
      </c>
      <c r="AQ414" s="1"/>
      <c r="AR414" s="1"/>
      <c r="AS414" s="1"/>
      <c r="AT414" s="1"/>
      <c r="AU414" s="1"/>
      <c r="BC414" s="23"/>
      <c r="BD414" s="23"/>
    </row>
    <row r="415" spans="34:56">
      <c r="AH415" s="6">
        <f t="shared" si="129"/>
        <v>385</v>
      </c>
      <c r="AI415" s="7">
        <f t="shared" ca="1" si="130"/>
        <v>43055</v>
      </c>
      <c r="AJ415" s="210">
        <f t="shared" ca="1" si="131"/>
        <v>3.3336956521739132</v>
      </c>
      <c r="AK415" s="8">
        <f t="shared" ca="1" si="132"/>
        <v>1.0000926026570047</v>
      </c>
      <c r="AL415" s="98">
        <f t="shared" ca="1" si="133"/>
        <v>3.4884919206873866</v>
      </c>
      <c r="AM415" s="106">
        <f t="shared" ref="AM415:AM478" ca="1" si="134">Geom_Interp(AI415,$AZ$2:$AZ$109,$BA$2:$BA$109)</f>
        <v>27182.402760830319</v>
      </c>
      <c r="AN415" s="10">
        <f t="shared" ref="AN415:AN478" ca="1" si="135">100*(((1+AL415/100)^(AH415/365)*$AM$29/AM415)^(365/AH415)-1)</f>
        <v>0.13717146986234052</v>
      </c>
      <c r="AO415" s="311">
        <f t="shared" ref="AO415:AO478" ca="1" si="136">100*360/$AH415*((1+AN415/100)^($AH415/365)-1)</f>
        <v>0.13529749088978932</v>
      </c>
      <c r="AP415" s="312">
        <f t="shared" ref="AP415:AP478" ca="1" si="137">100*30/$AH415*((1+AL415/100)^($AH415/365)-1)</f>
        <v>0.28699643953717791</v>
      </c>
      <c r="AQ415" s="1"/>
      <c r="AR415" s="1"/>
      <c r="AS415" s="1"/>
      <c r="AT415" s="1"/>
      <c r="AU415" s="1"/>
      <c r="BC415" s="23"/>
      <c r="BD415" s="23"/>
    </row>
    <row r="416" spans="34:56">
      <c r="AH416" s="6">
        <f t="shared" ref="AH416:AH479" si="138">$AI$29+AH415</f>
        <v>386</v>
      </c>
      <c r="AI416" s="7">
        <f t="shared" ref="AI416:AI479" ca="1" si="139">+AH416+$C$1</f>
        <v>43056</v>
      </c>
      <c r="AJ416" s="210">
        <f t="shared" ref="AJ416:AJ479" ca="1" si="140">IF(AH416&lt;365,VLOOKUP(LOOKUP(AI416,$AI$2:$AI$23),$AI$2:$AK$23,3,0),Lin_Interp(AH416,$AJ$2:$AJ$23,$AK$2:$AK$23))</f>
        <v>3.3339673913043479</v>
      </c>
      <c r="AK416" s="8">
        <f t="shared" ca="1" si="132"/>
        <v>1.000092610205314</v>
      </c>
      <c r="AL416" s="98">
        <f t="shared" ca="1" si="133"/>
        <v>3.4883607982865827</v>
      </c>
      <c r="AM416" s="106">
        <f t="shared" ca="1" si="134"/>
        <v>27184.648265390195</v>
      </c>
      <c r="AN416" s="10">
        <f t="shared" ca="1" si="135"/>
        <v>0.13776280841426569</v>
      </c>
      <c r="AO416" s="311">
        <f t="shared" ca="1" si="136"/>
        <v>0.1358810291320578</v>
      </c>
      <c r="AP416" s="312">
        <f t="shared" ca="1" si="137"/>
        <v>0.28699920382239241</v>
      </c>
      <c r="AQ416" s="1"/>
      <c r="AR416" s="1"/>
      <c r="AS416" s="1"/>
      <c r="AT416" s="1"/>
      <c r="AU416" s="1"/>
      <c r="BC416" s="23"/>
      <c r="BD416" s="23"/>
    </row>
    <row r="417" spans="34:56">
      <c r="AH417" s="6">
        <f t="shared" si="138"/>
        <v>387</v>
      </c>
      <c r="AI417" s="7">
        <f t="shared" ca="1" si="139"/>
        <v>43057</v>
      </c>
      <c r="AJ417" s="210">
        <f t="shared" ca="1" si="140"/>
        <v>3.3342391304347827</v>
      </c>
      <c r="AK417" s="8">
        <f t="shared" ref="AK417:AK480" ca="1" si="141">+(1+AJ417/36000)</f>
        <v>1.0000926177536231</v>
      </c>
      <c r="AL417" s="98">
        <f t="shared" ref="AL417:AL480" ca="1" si="142">100*(((1+AL416/100)^(AH416/365)*AK417)^(365/AH417)-1)</f>
        <v>3.4882310903716185</v>
      </c>
      <c r="AM417" s="106">
        <f t="shared" ca="1" si="134"/>
        <v>27186.893955448413</v>
      </c>
      <c r="AN417" s="10">
        <f t="shared" ca="1" si="135"/>
        <v>0.13835180725758622</v>
      </c>
      <c r="AO417" s="311">
        <f t="shared" ca="1" si="136"/>
        <v>0.13646226412298704</v>
      </c>
      <c r="AP417" s="312">
        <f t="shared" ca="1" si="137"/>
        <v>0.28700208343108852</v>
      </c>
      <c r="AQ417" s="1"/>
      <c r="AR417" s="1"/>
      <c r="AS417" s="1"/>
      <c r="AT417" s="1"/>
      <c r="AU417" s="1"/>
      <c r="BC417" s="23"/>
      <c r="BD417" s="23"/>
    </row>
    <row r="418" spans="34:56">
      <c r="AH418" s="6">
        <f t="shared" si="138"/>
        <v>388</v>
      </c>
      <c r="AI418" s="7">
        <f t="shared" ca="1" si="139"/>
        <v>43058</v>
      </c>
      <c r="AJ418" s="210">
        <f t="shared" ca="1" si="140"/>
        <v>3.3345108695652175</v>
      </c>
      <c r="AK418" s="8">
        <f t="shared" ca="1" si="141"/>
        <v>1.0000926253019324</v>
      </c>
      <c r="AL418" s="98">
        <f t="shared" ca="1" si="142"/>
        <v>3.4881027860017344</v>
      </c>
      <c r="AM418" s="106">
        <f t="shared" ca="1" si="134"/>
        <v>27189.1398310203</v>
      </c>
      <c r="AN418" s="10">
        <f t="shared" ca="1" si="135"/>
        <v>0.13893848446862034</v>
      </c>
      <c r="AO418" s="311">
        <f t="shared" ca="1" si="136"/>
        <v>0.13704121369240038</v>
      </c>
      <c r="AP418" s="312">
        <f t="shared" ca="1" si="137"/>
        <v>0.28700507749477233</v>
      </c>
      <c r="AQ418" s="1"/>
      <c r="AR418" s="1"/>
      <c r="AS418" s="1"/>
      <c r="AT418" s="1"/>
      <c r="AU418" s="1"/>
      <c r="BC418" s="23"/>
      <c r="BD418" s="23"/>
    </row>
    <row r="419" spans="34:56">
      <c r="AH419" s="6">
        <f t="shared" si="138"/>
        <v>389</v>
      </c>
      <c r="AI419" s="7">
        <f t="shared" ca="1" si="139"/>
        <v>43059</v>
      </c>
      <c r="AJ419" s="210">
        <f t="shared" ca="1" si="140"/>
        <v>3.3347826086956522</v>
      </c>
      <c r="AK419" s="8">
        <f t="shared" ca="1" si="141"/>
        <v>1.0000926328502415</v>
      </c>
      <c r="AL419" s="98">
        <f t="shared" ca="1" si="142"/>
        <v>3.4879758743486811</v>
      </c>
      <c r="AM419" s="106">
        <f t="shared" ca="1" si="134"/>
        <v>27191.385892121179</v>
      </c>
      <c r="AN419" s="10">
        <f t="shared" ca="1" si="135"/>
        <v>0.13952285793790153</v>
      </c>
      <c r="AO419" s="311">
        <f t="shared" ca="1" si="136"/>
        <v>0.13761789548671938</v>
      </c>
      <c r="AP419" s="312">
        <f t="shared" ca="1" si="137"/>
        <v>0.28700818515388382</v>
      </c>
      <c r="AQ419" s="1"/>
      <c r="AR419" s="1"/>
      <c r="AS419" s="1"/>
      <c r="AT419" s="1"/>
      <c r="AU419" s="1"/>
      <c r="BC419" s="23"/>
      <c r="BD419" s="23"/>
    </row>
    <row r="420" spans="34:56">
      <c r="AH420" s="6">
        <f t="shared" si="138"/>
        <v>390</v>
      </c>
      <c r="AI420" s="7">
        <f t="shared" ca="1" si="139"/>
        <v>43060</v>
      </c>
      <c r="AJ420" s="210">
        <f t="shared" ca="1" si="140"/>
        <v>3.335054347826087</v>
      </c>
      <c r="AK420" s="8">
        <f t="shared" ca="1" si="141"/>
        <v>1.0000926403985506</v>
      </c>
      <c r="AL420" s="98">
        <f t="shared" ca="1" si="142"/>
        <v>3.4878503446953868</v>
      </c>
      <c r="AM420" s="106">
        <f t="shared" ca="1" si="134"/>
        <v>27193.632138766381</v>
      </c>
      <c r="AN420" s="10">
        <f t="shared" ca="1" si="135"/>
        <v>0.14010494537268769</v>
      </c>
      <c r="AO420" s="311">
        <f t="shared" ca="1" si="136"/>
        <v>0.1381923269714177</v>
      </c>
      <c r="AP420" s="312">
        <f t="shared" ca="1" si="137"/>
        <v>0.28701140555768601</v>
      </c>
      <c r="AQ420" s="1"/>
      <c r="AR420" s="1"/>
      <c r="AS420" s="1"/>
      <c r="AT420" s="1"/>
      <c r="AU420" s="1"/>
      <c r="BC420" s="23"/>
      <c r="BD420" s="23"/>
    </row>
    <row r="421" spans="34:56">
      <c r="AH421" s="6">
        <f t="shared" si="138"/>
        <v>391</v>
      </c>
      <c r="AI421" s="7">
        <f t="shared" ca="1" si="139"/>
        <v>43061</v>
      </c>
      <c r="AJ421" s="210">
        <f t="shared" ca="1" si="140"/>
        <v>3.3353260869565218</v>
      </c>
      <c r="AK421" s="8">
        <f t="shared" ca="1" si="141"/>
        <v>1.0000926479468599</v>
      </c>
      <c r="AL421" s="98">
        <f t="shared" ca="1" si="142"/>
        <v>3.4877261864344256</v>
      </c>
      <c r="AM421" s="106">
        <f t="shared" ca="1" si="134"/>
        <v>27195.878570971236</v>
      </c>
      <c r="AN421" s="10">
        <f t="shared" ca="1" si="135"/>
        <v>0.14068476429927035</v>
      </c>
      <c r="AO421" s="311">
        <f t="shared" ca="1" si="136"/>
        <v>0.13876452543335535</v>
      </c>
      <c r="AP421" s="312">
        <f t="shared" ca="1" si="137"/>
        <v>0.28701473786414988</v>
      </c>
      <c r="AQ421" s="1"/>
      <c r="AR421" s="1"/>
      <c r="AS421" s="1"/>
      <c r="AT421" s="1"/>
      <c r="AU421" s="1"/>
      <c r="BC421" s="23"/>
      <c r="BD421" s="23"/>
    </row>
    <row r="422" spans="34:56">
      <c r="AH422" s="6">
        <f t="shared" si="138"/>
        <v>392</v>
      </c>
      <c r="AI422" s="7">
        <f t="shared" ca="1" si="139"/>
        <v>43062</v>
      </c>
      <c r="AJ422" s="210">
        <f t="shared" ca="1" si="140"/>
        <v>3.3355978260869565</v>
      </c>
      <c r="AK422" s="8">
        <f t="shared" ca="1" si="141"/>
        <v>1.000092655495169</v>
      </c>
      <c r="AL422" s="98">
        <f t="shared" ca="1" si="142"/>
        <v>3.4876033890667069</v>
      </c>
      <c r="AM422" s="106">
        <f t="shared" ca="1" si="134"/>
        <v>27198.125188751063</v>
      </c>
      <c r="AN422" s="10">
        <f t="shared" ca="1" si="135"/>
        <v>0.14126233206523953</v>
      </c>
      <c r="AO422" s="311">
        <f t="shared" ca="1" si="136"/>
        <v>0.13933450798301622</v>
      </c>
      <c r="AP422" s="312">
        <f t="shared" ca="1" si="137"/>
        <v>0.28701818123984396</v>
      </c>
      <c r="AQ422" s="1"/>
      <c r="AR422" s="1"/>
      <c r="AS422" s="1"/>
      <c r="AT422" s="1"/>
      <c r="AU422" s="1"/>
      <c r="BC422" s="23"/>
      <c r="BD422" s="23"/>
    </row>
    <row r="423" spans="34:56">
      <c r="AH423" s="6">
        <f t="shared" si="138"/>
        <v>393</v>
      </c>
      <c r="AI423" s="7">
        <f t="shared" ca="1" si="139"/>
        <v>43063</v>
      </c>
      <c r="AJ423" s="210">
        <f t="shared" ca="1" si="140"/>
        <v>3.3358695652173913</v>
      </c>
      <c r="AK423" s="8">
        <f t="shared" ca="1" si="141"/>
        <v>1.0000926630434783</v>
      </c>
      <c r="AL423" s="98">
        <f t="shared" ca="1" si="142"/>
        <v>3.4874819422000325</v>
      </c>
      <c r="AM423" s="106">
        <f t="shared" ca="1" si="134"/>
        <v>27200.371992121192</v>
      </c>
      <c r="AN423" s="10">
        <f t="shared" ca="1" si="135"/>
        <v>0.14183766584174862</v>
      </c>
      <c r="AO423" s="311">
        <f t="shared" ca="1" si="136"/>
        <v>0.13990229155669107</v>
      </c>
      <c r="AP423" s="312">
        <f t="shared" ca="1" si="137"/>
        <v>0.28702173485982452</v>
      </c>
      <c r="AQ423" s="1"/>
      <c r="AR423" s="1"/>
      <c r="AS423" s="1"/>
      <c r="AT423" s="1"/>
      <c r="AU423" s="1"/>
      <c r="BC423" s="23"/>
      <c r="BD423" s="23"/>
    </row>
    <row r="424" spans="34:56">
      <c r="AH424" s="6">
        <f t="shared" si="138"/>
        <v>394</v>
      </c>
      <c r="AI424" s="7">
        <f t="shared" ca="1" si="139"/>
        <v>43064</v>
      </c>
      <c r="AJ424" s="210">
        <f t="shared" ca="1" si="140"/>
        <v>3.3361413043478261</v>
      </c>
      <c r="AK424" s="8">
        <f t="shared" ca="1" si="141"/>
        <v>1.0000926705917874</v>
      </c>
      <c r="AL424" s="98">
        <f t="shared" ca="1" si="142"/>
        <v>3.487361835547742</v>
      </c>
      <c r="AM424" s="106">
        <f t="shared" ca="1" si="134"/>
        <v>27202.618981096966</v>
      </c>
      <c r="AN424" s="10">
        <f t="shared" ca="1" si="135"/>
        <v>0.14241078262575702</v>
      </c>
      <c r="AO424" s="311">
        <f t="shared" ca="1" si="136"/>
        <v>0.14046789291874881</v>
      </c>
      <c r="AP424" s="312">
        <f t="shared" ca="1" si="137"/>
        <v>0.28702539790752613</v>
      </c>
      <c r="AQ424" s="1"/>
      <c r="AR424" s="1"/>
      <c r="AS424" s="1"/>
      <c r="AT424" s="1"/>
      <c r="AU424" s="1"/>
      <c r="BC424" s="23"/>
      <c r="BD424" s="23"/>
    </row>
    <row r="425" spans="34:56">
      <c r="AH425" s="6">
        <f t="shared" si="138"/>
        <v>395</v>
      </c>
      <c r="AI425" s="7">
        <f t="shared" ca="1" si="139"/>
        <v>43065</v>
      </c>
      <c r="AJ425" s="210">
        <f t="shared" ca="1" si="140"/>
        <v>3.3364130434782608</v>
      </c>
      <c r="AK425" s="8">
        <f t="shared" ca="1" si="141"/>
        <v>1.0000926781400967</v>
      </c>
      <c r="AL425" s="98">
        <f t="shared" ca="1" si="142"/>
        <v>3.487243058927425</v>
      </c>
      <c r="AM425" s="106">
        <f t="shared" ca="1" si="134"/>
        <v>27204.866155693704</v>
      </c>
      <c r="AN425" s="10">
        <f t="shared" ca="1" si="135"/>
        <v>0.14298169924236159</v>
      </c>
      <c r="AO425" s="311">
        <f t="shared" ca="1" si="136"/>
        <v>0.14103132866391413</v>
      </c>
      <c r="AP425" s="312">
        <f t="shared" ca="1" si="137"/>
        <v>0.28702916957465935</v>
      </c>
      <c r="AQ425" s="1"/>
      <c r="AR425" s="1"/>
      <c r="AS425" s="1"/>
      <c r="AT425" s="1"/>
      <c r="AU425" s="1"/>
      <c r="BC425" s="23"/>
      <c r="BD425" s="23"/>
    </row>
    <row r="426" spans="34:56">
      <c r="AH426" s="6">
        <f t="shared" si="138"/>
        <v>396</v>
      </c>
      <c r="AI426" s="7">
        <f t="shared" ca="1" si="139"/>
        <v>43066</v>
      </c>
      <c r="AJ426" s="210">
        <f t="shared" ca="1" si="140"/>
        <v>3.3366847826086956</v>
      </c>
      <c r="AK426" s="8">
        <f t="shared" ca="1" si="141"/>
        <v>1.0000926856884058</v>
      </c>
      <c r="AL426" s="98">
        <f t="shared" ca="1" si="142"/>
        <v>3.4871256022595665</v>
      </c>
      <c r="AM426" s="106">
        <f t="shared" ca="1" si="134"/>
        <v>27207.113515926754</v>
      </c>
      <c r="AN426" s="10">
        <f t="shared" ca="1" si="135"/>
        <v>0.14355043234661746</v>
      </c>
      <c r="AO426" s="311">
        <f t="shared" ca="1" si="136"/>
        <v>0.14159261521906608</v>
      </c>
      <c r="AP426" s="312">
        <f t="shared" ca="1" si="137"/>
        <v>0.2870330490611025</v>
      </c>
      <c r="AQ426" s="1"/>
      <c r="AR426" s="1"/>
      <c r="AS426" s="1"/>
      <c r="AT426" s="1"/>
      <c r="AU426" s="1"/>
      <c r="BC426" s="23"/>
      <c r="BD426" s="23"/>
    </row>
    <row r="427" spans="34:56">
      <c r="AH427" s="6">
        <f t="shared" si="138"/>
        <v>397</v>
      </c>
      <c r="AI427" s="7">
        <f t="shared" ca="1" si="139"/>
        <v>43067</v>
      </c>
      <c r="AJ427" s="210">
        <f t="shared" ca="1" si="140"/>
        <v>3.3369565217391304</v>
      </c>
      <c r="AK427" s="8">
        <f t="shared" ca="1" si="141"/>
        <v>1.0000926932367149</v>
      </c>
      <c r="AL427" s="98">
        <f t="shared" ca="1" si="142"/>
        <v>3.4870094555662368</v>
      </c>
      <c r="AM427" s="106">
        <f t="shared" ca="1" si="134"/>
        <v>27209.36106181144</v>
      </c>
      <c r="AN427" s="10">
        <f t="shared" ca="1" si="135"/>
        <v>0.14411699842618031</v>
      </c>
      <c r="AO427" s="311">
        <f t="shared" ca="1" si="136"/>
        <v>0.14215176884587569</v>
      </c>
      <c r="AP427" s="312">
        <f t="shared" ca="1" si="137"/>
        <v>0.28703703557480237</v>
      </c>
      <c r="AQ427" s="1"/>
      <c r="AR427" s="1"/>
      <c r="AS427" s="1"/>
      <c r="AT427" s="1"/>
      <c r="AU427" s="1"/>
      <c r="BC427" s="23"/>
      <c r="BD427" s="23"/>
    </row>
    <row r="428" spans="34:56">
      <c r="AH428" s="6">
        <f t="shared" si="138"/>
        <v>398</v>
      </c>
      <c r="AI428" s="7">
        <f t="shared" ca="1" si="139"/>
        <v>43068</v>
      </c>
      <c r="AJ428" s="210">
        <f t="shared" ca="1" si="140"/>
        <v>3.3372282608695651</v>
      </c>
      <c r="AK428" s="8">
        <f t="shared" ca="1" si="141"/>
        <v>1.0000927007850242</v>
      </c>
      <c r="AL428" s="98">
        <f t="shared" ca="1" si="142"/>
        <v>3.4868946089698927</v>
      </c>
      <c r="AM428" s="106">
        <f t="shared" ca="1" si="134"/>
        <v>27211.608793363106</v>
      </c>
      <c r="AN428" s="10">
        <f t="shared" ca="1" si="135"/>
        <v>0.14468141380301613</v>
      </c>
      <c r="AO428" s="311">
        <f t="shared" ca="1" si="136"/>
        <v>0.14270880564243946</v>
      </c>
      <c r="AP428" s="312">
        <f t="shared" ca="1" si="137"/>
        <v>0.287041128331671</v>
      </c>
      <c r="AQ428" s="1"/>
      <c r="AR428" s="1"/>
      <c r="AS428" s="1"/>
      <c r="AT428" s="1"/>
      <c r="AU428" s="1"/>
      <c r="BC428" s="23"/>
      <c r="BD428" s="23"/>
    </row>
    <row r="429" spans="34:56">
      <c r="AH429" s="6">
        <f t="shared" si="138"/>
        <v>399</v>
      </c>
      <c r="AI429" s="7">
        <f t="shared" ca="1" si="139"/>
        <v>43069</v>
      </c>
      <c r="AJ429" s="210">
        <f t="shared" ca="1" si="140"/>
        <v>3.3375000000000004</v>
      </c>
      <c r="AK429" s="8">
        <f t="shared" ca="1" si="141"/>
        <v>1.0000927083333333</v>
      </c>
      <c r="AL429" s="98">
        <f t="shared" ca="1" si="142"/>
        <v>3.4867810526920007</v>
      </c>
      <c r="AM429" s="106">
        <f t="shared" ca="1" si="134"/>
        <v>27213.85671059708</v>
      </c>
      <c r="AN429" s="10">
        <f t="shared" ca="1" si="135"/>
        <v>0.14524369463555509</v>
      </c>
      <c r="AO429" s="311">
        <f t="shared" ca="1" si="136"/>
        <v>0.14326374154546956</v>
      </c>
      <c r="AP429" s="312">
        <f t="shared" ca="1" si="137"/>
        <v>0.28704532655548437</v>
      </c>
      <c r="AQ429" s="1"/>
      <c r="AR429" s="1"/>
      <c r="AS429" s="1"/>
      <c r="AT429" s="1"/>
      <c r="AU429" s="1"/>
      <c r="BC429" s="23"/>
      <c r="BD429" s="23"/>
    </row>
    <row r="430" spans="34:56">
      <c r="AH430" s="6">
        <f t="shared" si="138"/>
        <v>400</v>
      </c>
      <c r="AI430" s="7">
        <f t="shared" ca="1" si="139"/>
        <v>43070</v>
      </c>
      <c r="AJ430" s="210">
        <f t="shared" ca="1" si="140"/>
        <v>3.3377717391304351</v>
      </c>
      <c r="AK430" s="8">
        <f t="shared" ca="1" si="141"/>
        <v>1.0000927158816426</v>
      </c>
      <c r="AL430" s="98">
        <f t="shared" ca="1" si="142"/>
        <v>3.4866687770519045</v>
      </c>
      <c r="AM430" s="106">
        <f t="shared" ca="1" si="134"/>
        <v>27216.104813528713</v>
      </c>
      <c r="AN430" s="10">
        <f t="shared" ca="1" si="135"/>
        <v>0.14580385692088971</v>
      </c>
      <c r="AO430" s="311">
        <f t="shared" ca="1" si="136"/>
        <v>0.14381659233243083</v>
      </c>
      <c r="AP430" s="312">
        <f t="shared" ca="1" si="137"/>
        <v>0.28704962947778745</v>
      </c>
      <c r="AQ430" s="1"/>
      <c r="AR430" s="1"/>
      <c r="AS430" s="1"/>
      <c r="AT430" s="1"/>
      <c r="AU430" s="1"/>
      <c r="BC430" s="23"/>
      <c r="BD430" s="23"/>
    </row>
    <row r="431" spans="34:56">
      <c r="AH431" s="6">
        <f t="shared" si="138"/>
        <v>401</v>
      </c>
      <c r="AI431" s="7">
        <f t="shared" ca="1" si="139"/>
        <v>43071</v>
      </c>
      <c r="AJ431" s="210">
        <f t="shared" ca="1" si="140"/>
        <v>3.3380434782608699</v>
      </c>
      <c r="AK431" s="8">
        <f t="shared" ca="1" si="141"/>
        <v>1.0000927234299517</v>
      </c>
      <c r="AL431" s="98">
        <f t="shared" ca="1" si="142"/>
        <v>3.486557772465515</v>
      </c>
      <c r="AM431" s="106">
        <f t="shared" ca="1" si="134"/>
        <v>27218.353102173332</v>
      </c>
      <c r="AN431" s="10">
        <f t="shared" ca="1" si="135"/>
        <v>0.14636191649657349</v>
      </c>
      <c r="AO431" s="311">
        <f t="shared" ca="1" si="136"/>
        <v>0.14436737362328739</v>
      </c>
      <c r="AP431" s="312">
        <f t="shared" ca="1" si="137"/>
        <v>0.28705403633779208</v>
      </c>
      <c r="AQ431" s="1"/>
      <c r="AR431" s="1"/>
      <c r="AS431" s="1"/>
      <c r="AT431" s="1"/>
      <c r="AU431" s="1"/>
      <c r="BC431" s="23"/>
      <c r="BD431" s="23"/>
    </row>
    <row r="432" spans="34:56">
      <c r="AH432" s="6">
        <f t="shared" si="138"/>
        <v>402</v>
      </c>
      <c r="AI432" s="7">
        <f t="shared" ca="1" si="139"/>
        <v>43072</v>
      </c>
      <c r="AJ432" s="210">
        <f t="shared" ca="1" si="140"/>
        <v>3.3383152173913047</v>
      </c>
      <c r="AK432" s="8">
        <f t="shared" ca="1" si="141"/>
        <v>1.0000927309782608</v>
      </c>
      <c r="AL432" s="98">
        <f t="shared" ca="1" si="142"/>
        <v>3.486448029444178</v>
      </c>
      <c r="AM432" s="106">
        <f t="shared" ca="1" si="134"/>
        <v>27220.601576546294</v>
      </c>
      <c r="AN432" s="10">
        <f t="shared" ca="1" si="135"/>
        <v>0.14691788904273029</v>
      </c>
      <c r="AO432" s="311">
        <f t="shared" ca="1" si="136"/>
        <v>0.1449161008827001</v>
      </c>
      <c r="AP432" s="312">
        <f t="shared" ca="1" si="137"/>
        <v>0.28705854638228856</v>
      </c>
      <c r="AQ432" s="1"/>
      <c r="AR432" s="1"/>
      <c r="AS432" s="1"/>
      <c r="AT432" s="1"/>
      <c r="AU432" s="1"/>
      <c r="BC432" s="23"/>
      <c r="BD432" s="23"/>
    </row>
    <row r="433" spans="34:56">
      <c r="AH433" s="6">
        <f t="shared" si="138"/>
        <v>403</v>
      </c>
      <c r="AI433" s="7">
        <f t="shared" ca="1" si="139"/>
        <v>43073</v>
      </c>
      <c r="AJ433" s="210">
        <f t="shared" ca="1" si="140"/>
        <v>3.3385869565217394</v>
      </c>
      <c r="AK433" s="8">
        <f t="shared" ca="1" si="141"/>
        <v>1.0000927385265701</v>
      </c>
      <c r="AL433" s="98">
        <f t="shared" ca="1" si="142"/>
        <v>3.486339538593497</v>
      </c>
      <c r="AM433" s="106">
        <f t="shared" ca="1" si="134"/>
        <v>27222.850236662929</v>
      </c>
      <c r="AN433" s="10">
        <f t="shared" ca="1" si="135"/>
        <v>0.14747179008407496</v>
      </c>
      <c r="AO433" s="311">
        <f t="shared" ca="1" si="136"/>
        <v>0.14546278942185428</v>
      </c>
      <c r="AP433" s="312">
        <f t="shared" ca="1" si="137"/>
        <v>0.28706315886554812</v>
      </c>
      <c r="AQ433" s="1"/>
      <c r="AR433" s="1"/>
      <c r="AS433" s="1"/>
      <c r="AT433" s="1"/>
      <c r="AU433" s="1"/>
      <c r="BC433" s="23"/>
      <c r="BD433" s="23"/>
    </row>
    <row r="434" spans="34:56">
      <c r="AH434" s="6">
        <f t="shared" si="138"/>
        <v>404</v>
      </c>
      <c r="AI434" s="7">
        <f t="shared" ca="1" si="139"/>
        <v>43074</v>
      </c>
      <c r="AJ434" s="210">
        <f t="shared" ca="1" si="140"/>
        <v>3.3388586956521742</v>
      </c>
      <c r="AK434" s="8">
        <f t="shared" ca="1" si="141"/>
        <v>1.0000927460748792</v>
      </c>
      <c r="AL434" s="98">
        <f t="shared" ca="1" si="142"/>
        <v>3.4862322906120902</v>
      </c>
      <c r="AM434" s="106">
        <f t="shared" ca="1" si="134"/>
        <v>27225.099082538589</v>
      </c>
      <c r="AN434" s="10">
        <f t="shared" ca="1" si="135"/>
        <v>0.14802363499157867</v>
      </c>
      <c r="AO434" s="311">
        <f t="shared" ca="1" si="136"/>
        <v>0.14600745440024046</v>
      </c>
      <c r="AP434" s="312">
        <f t="shared" ca="1" si="137"/>
        <v>0.28706787304922704</v>
      </c>
      <c r="AQ434" s="1"/>
      <c r="AR434" s="1"/>
      <c r="AS434" s="1"/>
      <c r="AT434" s="1"/>
      <c r="AU434" s="1"/>
      <c r="BC434" s="23"/>
      <c r="BD434" s="23"/>
    </row>
    <row r="435" spans="34:56">
      <c r="AH435" s="6">
        <f t="shared" si="138"/>
        <v>405</v>
      </c>
      <c r="AI435" s="7">
        <f t="shared" ca="1" si="139"/>
        <v>43075</v>
      </c>
      <c r="AJ435" s="210">
        <f t="shared" ca="1" si="140"/>
        <v>3.339130434782609</v>
      </c>
      <c r="AK435" s="8">
        <f t="shared" ca="1" si="141"/>
        <v>1.0000927536231885</v>
      </c>
      <c r="AL435" s="98">
        <f t="shared" ca="1" si="142"/>
        <v>3.4861262762905021</v>
      </c>
      <c r="AM435" s="106">
        <f t="shared" ca="1" si="134"/>
        <v>27227.348114188611</v>
      </c>
      <c r="AN435" s="10">
        <f t="shared" ca="1" si="135"/>
        <v>0.14857343898466713</v>
      </c>
      <c r="AO435" s="311">
        <f t="shared" ca="1" si="136"/>
        <v>0.14655011082780334</v>
      </c>
      <c r="AP435" s="312">
        <f t="shared" ca="1" si="137"/>
        <v>0.28707268820228377</v>
      </c>
      <c r="AQ435" s="1"/>
      <c r="AR435" s="1"/>
      <c r="AS435" s="1"/>
      <c r="AT435" s="1"/>
      <c r="AU435" s="1"/>
      <c r="BC435" s="23"/>
      <c r="BD435" s="23"/>
    </row>
    <row r="436" spans="34:56">
      <c r="AH436" s="6">
        <f t="shared" si="138"/>
        <v>406</v>
      </c>
      <c r="AI436" s="7">
        <f t="shared" ca="1" si="139"/>
        <v>43076</v>
      </c>
      <c r="AJ436" s="210">
        <f t="shared" ca="1" si="140"/>
        <v>3.3394021739130437</v>
      </c>
      <c r="AK436" s="8">
        <f t="shared" ca="1" si="141"/>
        <v>1.0000927611714976</v>
      </c>
      <c r="AL436" s="98">
        <f t="shared" ca="1" si="142"/>
        <v>3.4860214865100492</v>
      </c>
      <c r="AM436" s="106">
        <f t="shared" ca="1" si="134"/>
        <v>27229.597331628349</v>
      </c>
      <c r="AN436" s="10">
        <f t="shared" ca="1" si="135"/>
        <v>0.14912121713286375</v>
      </c>
      <c r="AO436" s="311">
        <f t="shared" ca="1" si="136"/>
        <v>0.14709077356648834</v>
      </c>
      <c r="AP436" s="312">
        <f t="shared" ca="1" si="137"/>
        <v>0.28707760360087931</v>
      </c>
      <c r="AQ436" s="1"/>
      <c r="AR436" s="1"/>
      <c r="AS436" s="1"/>
      <c r="AT436" s="1"/>
      <c r="AU436" s="1"/>
      <c r="BC436" s="23"/>
      <c r="BD436" s="23"/>
    </row>
    <row r="437" spans="34:56">
      <c r="AH437" s="6">
        <f t="shared" si="138"/>
        <v>407</v>
      </c>
      <c r="AI437" s="7">
        <f t="shared" ca="1" si="139"/>
        <v>43077</v>
      </c>
      <c r="AJ437" s="210">
        <f t="shared" ca="1" si="140"/>
        <v>3.3396739130434785</v>
      </c>
      <c r="AK437" s="8">
        <f t="shared" ca="1" si="141"/>
        <v>1.0000927687198067</v>
      </c>
      <c r="AL437" s="98">
        <f t="shared" ca="1" si="142"/>
        <v>3.4859179122417316</v>
      </c>
      <c r="AM437" s="106">
        <f t="shared" ca="1" si="134"/>
        <v>27231.846734873154</v>
      </c>
      <c r="AN437" s="10">
        <f t="shared" ca="1" si="135"/>
        <v>0.14966698435769921</v>
      </c>
      <c r="AO437" s="311">
        <f t="shared" ca="1" si="136"/>
        <v>0.14762945733221677</v>
      </c>
      <c r="AP437" s="312">
        <f t="shared" ca="1" si="137"/>
        <v>0.28708261852829486</v>
      </c>
      <c r="AQ437" s="1"/>
      <c r="AR437" s="1"/>
      <c r="AS437" s="1"/>
      <c r="AT437" s="1"/>
      <c r="AU437" s="1"/>
      <c r="BC437" s="23"/>
      <c r="BD437" s="23"/>
    </row>
    <row r="438" spans="34:56">
      <c r="AH438" s="6">
        <f t="shared" si="138"/>
        <v>408</v>
      </c>
      <c r="AI438" s="7">
        <f t="shared" ca="1" si="139"/>
        <v>43078</v>
      </c>
      <c r="AJ438" s="210">
        <f t="shared" ca="1" si="140"/>
        <v>3.3399456521739133</v>
      </c>
      <c r="AK438" s="8">
        <f t="shared" ca="1" si="141"/>
        <v>1.000092776268116</v>
      </c>
      <c r="AL438" s="98">
        <f t="shared" ca="1" si="142"/>
        <v>3.4858155445450789</v>
      </c>
      <c r="AM438" s="106">
        <f t="shared" ca="1" si="134"/>
        <v>27234.096323938364</v>
      </c>
      <c r="AN438" s="10">
        <f t="shared" ca="1" si="135"/>
        <v>0.15021075543466544</v>
      </c>
      <c r="AO438" s="311">
        <f t="shared" ca="1" si="136"/>
        <v>0.14816617669677346</v>
      </c>
      <c r="AP438" s="312">
        <f t="shared" ca="1" si="137"/>
        <v>0.28708773227484657</v>
      </c>
      <c r="AQ438" s="1"/>
      <c r="AR438" s="1"/>
      <c r="AS438" s="1"/>
      <c r="AT438" s="1"/>
      <c r="AU438" s="1"/>
      <c r="BC438" s="23"/>
      <c r="BD438" s="23"/>
    </row>
    <row r="439" spans="34:56">
      <c r="AH439" s="6">
        <f t="shared" si="138"/>
        <v>409</v>
      </c>
      <c r="AI439" s="7">
        <f t="shared" ca="1" si="139"/>
        <v>43079</v>
      </c>
      <c r="AJ439" s="210">
        <f t="shared" ca="1" si="140"/>
        <v>3.340217391304348</v>
      </c>
      <c r="AK439" s="8">
        <f t="shared" ca="1" si="141"/>
        <v>1.0000927838164251</v>
      </c>
      <c r="AL439" s="98">
        <f t="shared" ca="1" si="142"/>
        <v>3.4857143745671282</v>
      </c>
      <c r="AM439" s="106">
        <f t="shared" ca="1" si="134"/>
        <v>27235.042821423824</v>
      </c>
      <c r="AN439" s="10">
        <f t="shared" ca="1" si="135"/>
        <v>0.1550294683009934</v>
      </c>
      <c r="AO439" s="311">
        <f t="shared" ca="1" si="136"/>
        <v>0.15292005835143724</v>
      </c>
      <c r="AP439" s="312">
        <f t="shared" ca="1" si="137"/>
        <v>0.28709294413778957</v>
      </c>
      <c r="AQ439" s="1"/>
      <c r="AR439" s="1"/>
      <c r="AS439" s="1"/>
      <c r="AT439" s="1"/>
      <c r="AU439" s="1"/>
      <c r="BC439" s="23"/>
      <c r="BD439" s="23"/>
    </row>
    <row r="440" spans="34:56">
      <c r="AH440" s="6">
        <f t="shared" si="138"/>
        <v>410</v>
      </c>
      <c r="AI440" s="7">
        <f t="shared" ca="1" si="139"/>
        <v>43080</v>
      </c>
      <c r="AJ440" s="210">
        <f t="shared" ca="1" si="140"/>
        <v>3.3404891304347828</v>
      </c>
      <c r="AK440" s="8">
        <f t="shared" ca="1" si="141"/>
        <v>1.0000927913647344</v>
      </c>
      <c r="AL440" s="98">
        <f t="shared" ca="1" si="142"/>
        <v>3.4856143935413142</v>
      </c>
      <c r="AM440" s="106">
        <f t="shared" ca="1" si="134"/>
        <v>27235.989351803986</v>
      </c>
      <c r="AN440" s="10">
        <f t="shared" ca="1" si="135"/>
        <v>0.15982557840406031</v>
      </c>
      <c r="AO440" s="311">
        <f t="shared" ca="1" si="136"/>
        <v>0.15765171040020681</v>
      </c>
      <c r="AP440" s="312">
        <f t="shared" ca="1" si="137"/>
        <v>0.28709825342124662</v>
      </c>
      <c r="AQ440" s="1"/>
      <c r="AR440" s="1"/>
      <c r="AS440" s="1"/>
      <c r="AT440" s="1"/>
      <c r="AU440" s="1"/>
      <c r="BC440" s="23"/>
      <c r="BD440" s="23"/>
    </row>
    <row r="441" spans="34:56">
      <c r="AH441" s="6">
        <f t="shared" si="138"/>
        <v>411</v>
      </c>
      <c r="AI441" s="7">
        <f t="shared" ca="1" si="139"/>
        <v>43081</v>
      </c>
      <c r="AJ441" s="210">
        <f t="shared" ca="1" si="140"/>
        <v>3.3407608695652176</v>
      </c>
      <c r="AK441" s="8">
        <f t="shared" ca="1" si="141"/>
        <v>1.0000927989130435</v>
      </c>
      <c r="AL441" s="98">
        <f t="shared" ca="1" si="142"/>
        <v>3.4855155927864034</v>
      </c>
      <c r="AM441" s="106">
        <f t="shared" ca="1" si="134"/>
        <v>27236.93591507999</v>
      </c>
      <c r="AN441" s="10">
        <f t="shared" ca="1" si="135"/>
        <v>0.16459924915843693</v>
      </c>
      <c r="AO441" s="311">
        <f t="shared" ca="1" si="136"/>
        <v>0.16236129523536955</v>
      </c>
      <c r="AP441" s="312">
        <f t="shared" ca="1" si="137"/>
        <v>0.28710365943611099</v>
      </c>
      <c r="AQ441" s="1"/>
      <c r="AR441" s="1"/>
      <c r="AS441" s="1"/>
      <c r="AT441" s="1"/>
      <c r="AU441" s="1"/>
      <c r="BC441" s="23"/>
      <c r="BD441" s="23"/>
    </row>
    <row r="442" spans="34:56">
      <c r="AH442" s="6">
        <f t="shared" si="138"/>
        <v>412</v>
      </c>
      <c r="AI442" s="7">
        <f t="shared" ca="1" si="139"/>
        <v>43082</v>
      </c>
      <c r="AJ442" s="210">
        <f t="shared" ca="1" si="140"/>
        <v>3.3410326086956523</v>
      </c>
      <c r="AK442" s="8">
        <f t="shared" ca="1" si="141"/>
        <v>1.0000928064613526</v>
      </c>
      <c r="AL442" s="98">
        <f t="shared" ca="1" si="142"/>
        <v>3.4854179637055394</v>
      </c>
      <c r="AM442" s="106">
        <f t="shared" ca="1" si="134"/>
        <v>27237.882511252985</v>
      </c>
      <c r="AN442" s="10">
        <f t="shared" ca="1" si="135"/>
        <v>0.1693506424074176</v>
      </c>
      <c r="AO442" s="311">
        <f t="shared" ca="1" si="136"/>
        <v>0.1670489736727053</v>
      </c>
      <c r="AP442" s="312">
        <f t="shared" ca="1" si="137"/>
        <v>0.28710916149997634</v>
      </c>
      <c r="AQ442" s="1"/>
      <c r="AR442" s="1"/>
      <c r="AS442" s="1"/>
      <c r="AT442" s="1"/>
      <c r="AU442" s="1"/>
      <c r="BC442" s="23"/>
      <c r="BD442" s="23"/>
    </row>
    <row r="443" spans="34:56">
      <c r="AH443" s="6">
        <f t="shared" si="138"/>
        <v>413</v>
      </c>
      <c r="AI443" s="7">
        <f t="shared" ca="1" si="139"/>
        <v>43083</v>
      </c>
      <c r="AJ443" s="210">
        <f t="shared" ca="1" si="140"/>
        <v>3.3413043478260871</v>
      </c>
      <c r="AK443" s="8">
        <f t="shared" ca="1" si="141"/>
        <v>1.0000928140096619</v>
      </c>
      <c r="AL443" s="98">
        <f t="shared" ca="1" si="142"/>
        <v>3.4853214977851543</v>
      </c>
      <c r="AM443" s="106">
        <f t="shared" ca="1" si="134"/>
        <v>27238.829140324109</v>
      </c>
      <c r="AN443" s="10">
        <f t="shared" ca="1" si="135"/>
        <v>0.1740799184415831</v>
      </c>
      <c r="AO443" s="311">
        <f t="shared" ca="1" si="136"/>
        <v>0.17171490497043659</v>
      </c>
      <c r="AP443" s="312">
        <f t="shared" ca="1" si="137"/>
        <v>0.28711475893704874</v>
      </c>
      <c r="AQ443" s="1"/>
      <c r="AR443" s="1"/>
      <c r="AS443" s="1"/>
      <c r="AT443" s="1"/>
      <c r="AU443" s="1"/>
      <c r="BC443" s="23"/>
      <c r="BD443" s="23"/>
    </row>
    <row r="444" spans="34:56">
      <c r="AH444" s="6">
        <f t="shared" si="138"/>
        <v>414</v>
      </c>
      <c r="AI444" s="7">
        <f t="shared" ca="1" si="139"/>
        <v>43084</v>
      </c>
      <c r="AJ444" s="210">
        <f t="shared" ca="1" si="140"/>
        <v>3.3415760869565219</v>
      </c>
      <c r="AK444" s="8">
        <f t="shared" ca="1" si="141"/>
        <v>1.000092821557971</v>
      </c>
      <c r="AL444" s="98">
        <f t="shared" ca="1" si="142"/>
        <v>3.485226186593926</v>
      </c>
      <c r="AM444" s="106">
        <f t="shared" ca="1" si="134"/>
        <v>27239.775802294513</v>
      </c>
      <c r="AN444" s="10">
        <f t="shared" ca="1" si="135"/>
        <v>0.17878723601758573</v>
      </c>
      <c r="AO444" s="311">
        <f t="shared" ca="1" si="136"/>
        <v>0.17635924684811716</v>
      </c>
      <c r="AP444" s="312">
        <f t="shared" ca="1" si="137"/>
        <v>0.28712045107806844</v>
      </c>
      <c r="AQ444" s="1"/>
      <c r="AR444" s="1"/>
      <c r="AS444" s="1"/>
      <c r="AT444" s="1"/>
      <c r="AU444" s="1"/>
      <c r="BC444" s="23"/>
      <c r="BD444" s="23"/>
    </row>
    <row r="445" spans="34:56">
      <c r="AH445" s="6">
        <f t="shared" si="138"/>
        <v>415</v>
      </c>
      <c r="AI445" s="7">
        <f t="shared" ca="1" si="139"/>
        <v>43085</v>
      </c>
      <c r="AJ445" s="210">
        <f t="shared" ca="1" si="140"/>
        <v>3.3418478260869566</v>
      </c>
      <c r="AK445" s="8">
        <f t="shared" ca="1" si="141"/>
        <v>1.0000928291062803</v>
      </c>
      <c r="AL445" s="98">
        <f t="shared" ca="1" si="142"/>
        <v>3.4851320217819337</v>
      </c>
      <c r="AM445" s="106">
        <f t="shared" ca="1" si="134"/>
        <v>27240.722497165338</v>
      </c>
      <c r="AN445" s="10">
        <f t="shared" ca="1" si="135"/>
        <v>0.18347275237631244</v>
      </c>
      <c r="AO445" s="311">
        <f t="shared" ca="1" si="136"/>
        <v>0.18098215550513147</v>
      </c>
      <c r="AP445" s="312">
        <f t="shared" ca="1" si="137"/>
        <v>0.28712623726023123</v>
      </c>
      <c r="AQ445" s="1"/>
      <c r="AR445" s="1"/>
      <c r="AS445" s="1"/>
      <c r="AT445" s="1"/>
      <c r="AU445" s="1"/>
      <c r="BC445" s="23"/>
      <c r="BD445" s="23"/>
    </row>
    <row r="446" spans="34:56">
      <c r="AH446" s="6">
        <f t="shared" si="138"/>
        <v>416</v>
      </c>
      <c r="AI446" s="7">
        <f t="shared" ca="1" si="139"/>
        <v>43086</v>
      </c>
      <c r="AJ446" s="210">
        <f t="shared" ca="1" si="140"/>
        <v>3.3421195652173914</v>
      </c>
      <c r="AK446" s="8">
        <f t="shared" ca="1" si="141"/>
        <v>1.0000928366545894</v>
      </c>
      <c r="AL446" s="98">
        <f t="shared" ca="1" si="142"/>
        <v>3.4850389950795035</v>
      </c>
      <c r="AM446" s="106">
        <f t="shared" ca="1" si="134"/>
        <v>27241.669224937719</v>
      </c>
      <c r="AN446" s="10">
        <f t="shared" ca="1" si="135"/>
        <v>0.18813662326100378</v>
      </c>
      <c r="AO446" s="311">
        <f t="shared" ca="1" si="136"/>
        <v>0.18558378563898534</v>
      </c>
      <c r="AP446" s="312">
        <f t="shared" ca="1" si="137"/>
        <v>0.28713211682711237</v>
      </c>
      <c r="AQ446" s="1"/>
      <c r="AR446" s="1"/>
      <c r="AS446" s="1"/>
      <c r="AT446" s="1"/>
      <c r="AU446" s="1"/>
      <c r="BC446" s="23"/>
      <c r="BD446" s="23"/>
    </row>
    <row r="447" spans="34:56">
      <c r="AH447" s="6">
        <f t="shared" si="138"/>
        <v>417</v>
      </c>
      <c r="AI447" s="7">
        <f t="shared" ca="1" si="139"/>
        <v>43087</v>
      </c>
      <c r="AJ447" s="210">
        <f t="shared" ca="1" si="140"/>
        <v>3.3423913043478262</v>
      </c>
      <c r="AK447" s="8">
        <f t="shared" ca="1" si="141"/>
        <v>1.0000928442028985</v>
      </c>
      <c r="AL447" s="98">
        <f t="shared" ca="1" si="142"/>
        <v>3.4849470982963204</v>
      </c>
      <c r="AM447" s="106">
        <f t="shared" ca="1" si="134"/>
        <v>27242.615985612811</v>
      </c>
      <c r="AN447" s="10">
        <f t="shared" ca="1" si="135"/>
        <v>0.19277900293499517</v>
      </c>
      <c r="AO447" s="311">
        <f t="shared" ca="1" si="136"/>
        <v>0.1901642904632756</v>
      </c>
      <c r="AP447" s="312">
        <f t="shared" ca="1" si="137"/>
        <v>0.28713808912858391</v>
      </c>
      <c r="AQ447" s="1"/>
      <c r="AR447" s="1"/>
      <c r="AS447" s="1"/>
      <c r="AT447" s="1"/>
      <c r="AU447" s="1"/>
      <c r="BC447" s="23"/>
      <c r="BD447" s="23"/>
    </row>
    <row r="448" spans="34:56">
      <c r="AH448" s="6">
        <f t="shared" si="138"/>
        <v>418</v>
      </c>
      <c r="AI448" s="7">
        <f t="shared" ca="1" si="139"/>
        <v>43088</v>
      </c>
      <c r="AJ448" s="210">
        <f t="shared" ca="1" si="140"/>
        <v>3.3426630434782609</v>
      </c>
      <c r="AK448" s="8">
        <f t="shared" ca="1" si="141"/>
        <v>1.0000928517512078</v>
      </c>
      <c r="AL448" s="98">
        <f t="shared" ca="1" si="142"/>
        <v>3.4848563233205399</v>
      </c>
      <c r="AM448" s="106">
        <f t="shared" ca="1" si="134"/>
        <v>27243.562779191747</v>
      </c>
      <c r="AN448" s="10">
        <f t="shared" ca="1" si="135"/>
        <v>0.1974000441993029</v>
      </c>
      <c r="AO448" s="311">
        <f t="shared" ca="1" si="136"/>
        <v>0.19472382172551678</v>
      </c>
      <c r="AP448" s="312">
        <f t="shared" ca="1" si="137"/>
        <v>0.28714415352075029</v>
      </c>
      <c r="AQ448" s="1"/>
      <c r="AR448" s="1"/>
      <c r="AS448" s="1"/>
      <c r="AT448" s="1"/>
      <c r="AU448" s="1"/>
      <c r="BC448" s="23"/>
      <c r="BD448" s="23"/>
    </row>
    <row r="449" spans="34:56">
      <c r="AH449" s="6">
        <f t="shared" si="138"/>
        <v>419</v>
      </c>
      <c r="AI449" s="7">
        <f t="shared" ca="1" si="139"/>
        <v>43089</v>
      </c>
      <c r="AJ449" s="210">
        <f t="shared" ca="1" si="140"/>
        <v>3.3429347826086957</v>
      </c>
      <c r="AK449" s="8">
        <f t="shared" ca="1" si="141"/>
        <v>1.0000928592995169</v>
      </c>
      <c r="AL449" s="98">
        <f t="shared" ca="1" si="142"/>
        <v>3.4847666621177442</v>
      </c>
      <c r="AM449" s="106">
        <f t="shared" ca="1" si="134"/>
        <v>27244.509605675674</v>
      </c>
      <c r="AN449" s="10">
        <f t="shared" ca="1" si="135"/>
        <v>0.20199989840985477</v>
      </c>
      <c r="AO449" s="311">
        <f t="shared" ca="1" si="136"/>
        <v>0.19926252972452158</v>
      </c>
      <c r="AP449" s="312">
        <f t="shared" ca="1" si="137"/>
        <v>0.28715030936586122</v>
      </c>
      <c r="AQ449" s="1"/>
      <c r="AR449" s="1"/>
      <c r="AS449" s="1"/>
      <c r="AT449" s="1"/>
      <c r="AU449" s="1"/>
      <c r="BC449" s="23"/>
      <c r="BD449" s="23"/>
    </row>
    <row r="450" spans="34:56">
      <c r="AH450" s="6">
        <f t="shared" si="138"/>
        <v>420</v>
      </c>
      <c r="AI450" s="7">
        <f t="shared" ca="1" si="139"/>
        <v>43090</v>
      </c>
      <c r="AJ450" s="210">
        <f t="shared" ca="1" si="140"/>
        <v>3.3432065217391305</v>
      </c>
      <c r="AK450" s="8">
        <f t="shared" ca="1" si="141"/>
        <v>1.0000928668478262</v>
      </c>
      <c r="AL450" s="98">
        <f t="shared" ca="1" si="142"/>
        <v>3.4846781067301213</v>
      </c>
      <c r="AM450" s="106">
        <f t="shared" ca="1" si="134"/>
        <v>27245.456465065741</v>
      </c>
      <c r="AN450" s="10">
        <f t="shared" ca="1" si="135"/>
        <v>0.20657871549463191</v>
      </c>
      <c r="AO450" s="311">
        <f t="shared" ca="1" si="136"/>
        <v>0.20378056332778066</v>
      </c>
      <c r="AP450" s="312">
        <f t="shared" ca="1" si="137"/>
        <v>0.28715655603224993</v>
      </c>
      <c r="AQ450" s="1"/>
      <c r="AR450" s="1"/>
      <c r="AS450" s="1"/>
      <c r="AT450" s="1"/>
      <c r="AU450" s="1"/>
      <c r="BC450" s="23"/>
      <c r="BD450" s="23"/>
    </row>
    <row r="451" spans="34:56">
      <c r="AH451" s="6">
        <f t="shared" si="138"/>
        <v>421</v>
      </c>
      <c r="AI451" s="7">
        <f t="shared" ca="1" si="139"/>
        <v>43091</v>
      </c>
      <c r="AJ451" s="210">
        <f t="shared" ca="1" si="140"/>
        <v>3.3434782608695652</v>
      </c>
      <c r="AK451" s="8">
        <f t="shared" ca="1" si="141"/>
        <v>1.0000928743961353</v>
      </c>
      <c r="AL451" s="98">
        <f t="shared" ca="1" si="142"/>
        <v>3.4845906492754208</v>
      </c>
      <c r="AM451" s="106">
        <f t="shared" ca="1" si="134"/>
        <v>27246.403357363091</v>
      </c>
      <c r="AN451" s="10">
        <f t="shared" ca="1" si="135"/>
        <v>0.21113664397027776</v>
      </c>
      <c r="AO451" s="311">
        <f t="shared" ca="1" si="136"/>
        <v>0.20827806998834775</v>
      </c>
      <c r="AP451" s="312">
        <f t="shared" ca="1" si="137"/>
        <v>0.28716289289425267</v>
      </c>
      <c r="AQ451" s="1"/>
      <c r="AR451" s="1"/>
      <c r="AS451" s="1"/>
      <c r="AT451" s="1"/>
      <c r="AU451" s="1"/>
      <c r="BC451" s="23"/>
      <c r="BD451" s="23"/>
    </row>
    <row r="452" spans="34:56">
      <c r="AH452" s="6">
        <f t="shared" si="138"/>
        <v>422</v>
      </c>
      <c r="AI452" s="7">
        <f t="shared" ca="1" si="139"/>
        <v>43092</v>
      </c>
      <c r="AJ452" s="210">
        <f t="shared" ca="1" si="140"/>
        <v>3.34375</v>
      </c>
      <c r="AK452" s="8">
        <f t="shared" ca="1" si="141"/>
        <v>1.0000928819444443</v>
      </c>
      <c r="AL452" s="98">
        <f t="shared" ca="1" si="142"/>
        <v>3.4845042819461991</v>
      </c>
      <c r="AM452" s="106">
        <f t="shared" ca="1" si="134"/>
        <v>27247.350282568859</v>
      </c>
      <c r="AN452" s="10">
        <f t="shared" ca="1" si="135"/>
        <v>0.2156738309589068</v>
      </c>
      <c r="AO452" s="311">
        <f t="shared" ca="1" si="136"/>
        <v>0.21275519576167407</v>
      </c>
      <c r="AP452" s="312">
        <f t="shared" ca="1" si="137"/>
        <v>0.28716931933214257</v>
      </c>
      <c r="AQ452" s="1"/>
      <c r="AR452" s="1"/>
      <c r="AS452" s="1"/>
      <c r="AT452" s="1"/>
      <c r="AU452" s="1"/>
      <c r="BC452" s="23"/>
      <c r="BD452" s="23"/>
    </row>
    <row r="453" spans="34:56">
      <c r="AH453" s="6">
        <f t="shared" si="138"/>
        <v>423</v>
      </c>
      <c r="AI453" s="7">
        <f t="shared" ca="1" si="139"/>
        <v>43093</v>
      </c>
      <c r="AJ453" s="210">
        <f t="shared" ca="1" si="140"/>
        <v>3.3440217391304348</v>
      </c>
      <c r="AK453" s="8">
        <f t="shared" ca="1" si="141"/>
        <v>1.0000928894927537</v>
      </c>
      <c r="AL453" s="98">
        <f t="shared" ca="1" si="142"/>
        <v>3.484418997008909</v>
      </c>
      <c r="AM453" s="106">
        <f t="shared" ca="1" si="134"/>
        <v>27248.297240684198</v>
      </c>
      <c r="AN453" s="10">
        <f t="shared" ca="1" si="135"/>
        <v>0.22019042220424723</v>
      </c>
      <c r="AO453" s="311">
        <f t="shared" ca="1" si="136"/>
        <v>0.21721208532210962</v>
      </c>
      <c r="AP453" s="312">
        <f t="shared" ca="1" si="137"/>
        <v>0.28717583473206088</v>
      </c>
      <c r="AQ453" s="1"/>
      <c r="AR453" s="1"/>
      <c r="AS453" s="1"/>
      <c r="AT453" s="1"/>
      <c r="AU453" s="1"/>
      <c r="BC453" s="23"/>
      <c r="BD453" s="23"/>
    </row>
    <row r="454" spans="34:56">
      <c r="AH454" s="6">
        <f t="shared" si="138"/>
        <v>424</v>
      </c>
      <c r="AI454" s="7">
        <f t="shared" ca="1" si="139"/>
        <v>43094</v>
      </c>
      <c r="AJ454" s="210">
        <f t="shared" ca="1" si="140"/>
        <v>3.3442934782608695</v>
      </c>
      <c r="AK454" s="8">
        <f t="shared" ca="1" si="141"/>
        <v>1.0000928970410627</v>
      </c>
      <c r="AL454" s="98">
        <f t="shared" ca="1" si="142"/>
        <v>3.4843347868029007</v>
      </c>
      <c r="AM454" s="106">
        <f t="shared" ca="1" si="134"/>
        <v>27249.244231710247</v>
      </c>
      <c r="AN454" s="10">
        <f t="shared" ca="1" si="135"/>
        <v>0.22468656208785021</v>
      </c>
      <c r="AO454" s="311">
        <f t="shared" ca="1" si="136"/>
        <v>0.22164888197913318</v>
      </c>
      <c r="AP454" s="312">
        <f t="shared" ca="1" si="137"/>
        <v>0.28718243848593528</v>
      </c>
      <c r="AQ454" s="1"/>
      <c r="AR454" s="1"/>
      <c r="AS454" s="1"/>
      <c r="AT454" s="1"/>
      <c r="AU454" s="1"/>
      <c r="BC454" s="23"/>
      <c r="BD454" s="23"/>
    </row>
    <row r="455" spans="34:56">
      <c r="AH455" s="6">
        <f t="shared" si="138"/>
        <v>425</v>
      </c>
      <c r="AI455" s="7">
        <f t="shared" ca="1" si="139"/>
        <v>43095</v>
      </c>
      <c r="AJ455" s="210">
        <f t="shared" ca="1" si="140"/>
        <v>3.3445652173913043</v>
      </c>
      <c r="AK455" s="8">
        <f t="shared" ca="1" si="141"/>
        <v>1.0000929045893721</v>
      </c>
      <c r="AL455" s="98">
        <f t="shared" ca="1" si="142"/>
        <v>3.4842516437397331</v>
      </c>
      <c r="AM455" s="106">
        <f t="shared" ca="1" si="134"/>
        <v>27250.191255648155</v>
      </c>
      <c r="AN455" s="10">
        <f t="shared" ca="1" si="135"/>
        <v>0.22916239364483282</v>
      </c>
      <c r="AO455" s="311">
        <f t="shared" ca="1" si="136"/>
        <v>0.22606572769346614</v>
      </c>
      <c r="AP455" s="312">
        <f t="shared" ca="1" si="137"/>
        <v>0.28718912999142898</v>
      </c>
      <c r="AQ455" s="1"/>
      <c r="AR455" s="1"/>
      <c r="AS455" s="1"/>
      <c r="AT455" s="1"/>
      <c r="AU455" s="1"/>
      <c r="BC455" s="23"/>
      <c r="BD455" s="23"/>
    </row>
    <row r="456" spans="34:56">
      <c r="AH456" s="6">
        <f t="shared" si="138"/>
        <v>426</v>
      </c>
      <c r="AI456" s="7">
        <f t="shared" ca="1" si="139"/>
        <v>43096</v>
      </c>
      <c r="AJ456" s="210">
        <f t="shared" ca="1" si="140"/>
        <v>3.3448369565217391</v>
      </c>
      <c r="AK456" s="8">
        <f t="shared" ca="1" si="141"/>
        <v>1.0000929121376811</v>
      </c>
      <c r="AL456" s="98">
        <f t="shared" ca="1" si="142"/>
        <v>3.4841695603022194</v>
      </c>
      <c r="AM456" s="106">
        <f t="shared" ca="1" si="134"/>
        <v>27251.138312499057</v>
      </c>
      <c r="AN456" s="10">
        <f t="shared" ca="1" si="135"/>
        <v>0.23361805857977647</v>
      </c>
      <c r="AO456" s="311">
        <f t="shared" ca="1" si="136"/>
        <v>0.23046276309295904</v>
      </c>
      <c r="AP456" s="312">
        <f t="shared" ca="1" si="137"/>
        <v>0.28719590865186567</v>
      </c>
      <c r="AQ456" s="1"/>
      <c r="AR456" s="1"/>
      <c r="AS456" s="1"/>
      <c r="AT456" s="1"/>
      <c r="AU456" s="1"/>
      <c r="BC456" s="23"/>
      <c r="BD456" s="23"/>
    </row>
    <row r="457" spans="34:56">
      <c r="AH457" s="6">
        <f t="shared" si="138"/>
        <v>427</v>
      </c>
      <c r="AI457" s="7">
        <f t="shared" ca="1" si="139"/>
        <v>43097</v>
      </c>
      <c r="AJ457" s="210">
        <f t="shared" ca="1" si="140"/>
        <v>3.3451086956521738</v>
      </c>
      <c r="AK457" s="8">
        <f t="shared" ca="1" si="141"/>
        <v>1.0000929196859902</v>
      </c>
      <c r="AL457" s="98">
        <f t="shared" ca="1" si="142"/>
        <v>3.4840885290436274</v>
      </c>
      <c r="AM457" s="106">
        <f t="shared" ca="1" si="134"/>
        <v>27252.085402264103</v>
      </c>
      <c r="AN457" s="10">
        <f t="shared" ca="1" si="135"/>
        <v>0.23805369728191472</v>
      </c>
      <c r="AO457" s="311">
        <f t="shared" ca="1" si="136"/>
        <v>0.23484012748808697</v>
      </c>
      <c r="AP457" s="312">
        <f t="shared" ca="1" si="137"/>
        <v>0.28720277387616006</v>
      </c>
      <c r="AQ457" s="1"/>
      <c r="AR457" s="1"/>
      <c r="AS457" s="1"/>
      <c r="AT457" s="1"/>
      <c r="AU457" s="1"/>
      <c r="BC457" s="23"/>
      <c r="BD457" s="23"/>
    </row>
    <row r="458" spans="34:56">
      <c r="AH458" s="6">
        <f t="shared" si="138"/>
        <v>428</v>
      </c>
      <c r="AI458" s="7">
        <f t="shared" ca="1" si="139"/>
        <v>43098</v>
      </c>
      <c r="AJ458" s="210">
        <f t="shared" ca="1" si="140"/>
        <v>3.3453804347826086</v>
      </c>
      <c r="AK458" s="8">
        <f t="shared" ca="1" si="141"/>
        <v>1.0000929272342995</v>
      </c>
      <c r="AL458" s="98">
        <f t="shared" ca="1" si="142"/>
        <v>3.4840085425868805</v>
      </c>
      <c r="AM458" s="106">
        <f t="shared" ca="1" si="134"/>
        <v>27253.032524944432</v>
      </c>
      <c r="AN458" s="10">
        <f t="shared" ca="1" si="135"/>
        <v>0.24246944884054322</v>
      </c>
      <c r="AO458" s="311">
        <f t="shared" ca="1" si="136"/>
        <v>0.23919795888739515</v>
      </c>
      <c r="AP458" s="312">
        <f t="shared" ca="1" si="137"/>
        <v>0.28720972507875725</v>
      </c>
      <c r="AQ458" s="1"/>
      <c r="AR458" s="1"/>
      <c r="AS458" s="1"/>
      <c r="AT458" s="1"/>
      <c r="AU458" s="1"/>
      <c r="BC458" s="23"/>
      <c r="BD458" s="23"/>
    </row>
    <row r="459" spans="34:56">
      <c r="AH459" s="6">
        <f t="shared" si="138"/>
        <v>429</v>
      </c>
      <c r="AI459" s="7">
        <f t="shared" ca="1" si="139"/>
        <v>43099</v>
      </c>
      <c r="AJ459" s="210">
        <f t="shared" ca="1" si="140"/>
        <v>3.3456521739130434</v>
      </c>
      <c r="AK459" s="8">
        <f t="shared" ca="1" si="141"/>
        <v>1.0000929347826086</v>
      </c>
      <c r="AL459" s="98">
        <f t="shared" ca="1" si="142"/>
        <v>3.4839295936236692</v>
      </c>
      <c r="AM459" s="106">
        <f t="shared" ca="1" si="134"/>
        <v>27253.979680541197</v>
      </c>
      <c r="AN459" s="10">
        <f t="shared" ca="1" si="135"/>
        <v>0.24686545105980784</v>
      </c>
      <c r="AO459" s="311">
        <f t="shared" ca="1" si="136"/>
        <v>0.24353639401259869</v>
      </c>
      <c r="AP459" s="312">
        <f t="shared" ca="1" si="137"/>
        <v>0.28721676167956522</v>
      </c>
      <c r="AQ459" s="1"/>
      <c r="AR459" s="1"/>
      <c r="AS459" s="1"/>
      <c r="AT459" s="1"/>
      <c r="AU459" s="1"/>
      <c r="BC459" s="23"/>
      <c r="BD459" s="23"/>
    </row>
    <row r="460" spans="34:56">
      <c r="AH460" s="6">
        <f t="shared" si="138"/>
        <v>430</v>
      </c>
      <c r="AI460" s="7">
        <f t="shared" ca="1" si="139"/>
        <v>43100</v>
      </c>
      <c r="AJ460" s="210">
        <f t="shared" ca="1" si="140"/>
        <v>3.3459239130434786</v>
      </c>
      <c r="AK460" s="8">
        <f t="shared" ca="1" si="141"/>
        <v>1.0000929423309179</v>
      </c>
      <c r="AL460" s="98">
        <f t="shared" ca="1" si="142"/>
        <v>3.4838516749137627</v>
      </c>
      <c r="AM460" s="106">
        <f t="shared" ca="1" si="134"/>
        <v>27254.926869055536</v>
      </c>
      <c r="AN460" s="10">
        <f t="shared" ca="1" si="135"/>
        <v>0.25124184047380371</v>
      </c>
      <c r="AO460" s="311">
        <f t="shared" ca="1" si="136"/>
        <v>0.24785556831373143</v>
      </c>
      <c r="AP460" s="312">
        <f t="shared" ca="1" si="137"/>
        <v>0.28722388310389568</v>
      </c>
      <c r="AQ460" s="1"/>
      <c r="AR460" s="1"/>
      <c r="AS460" s="1"/>
      <c r="AT460" s="1"/>
      <c r="AU460" s="1"/>
      <c r="BC460" s="23"/>
      <c r="BD460" s="23"/>
    </row>
    <row r="461" spans="34:56">
      <c r="AH461" s="6">
        <f t="shared" si="138"/>
        <v>431</v>
      </c>
      <c r="AI461" s="7">
        <f t="shared" ca="1" si="139"/>
        <v>43101</v>
      </c>
      <c r="AJ461" s="210">
        <f t="shared" ca="1" si="140"/>
        <v>3.3461956521739133</v>
      </c>
      <c r="AK461" s="8">
        <f t="shared" ca="1" si="141"/>
        <v>1.000092949879227</v>
      </c>
      <c r="AL461" s="98">
        <f t="shared" ca="1" si="142"/>
        <v>3.4837747792840545</v>
      </c>
      <c r="AM461" s="106">
        <f t="shared" ca="1" si="134"/>
        <v>27255.874090488589</v>
      </c>
      <c r="AN461" s="10">
        <f t="shared" ca="1" si="135"/>
        <v>0.25559875236094154</v>
      </c>
      <c r="AO461" s="311">
        <f t="shared" ca="1" si="136"/>
        <v>0.25215561598369468</v>
      </c>
      <c r="AP461" s="312">
        <f t="shared" ca="1" si="137"/>
        <v>0.28723108878239423</v>
      </c>
      <c r="AQ461" s="1"/>
      <c r="AR461" s="1"/>
      <c r="AS461" s="1"/>
      <c r="AT461" s="1"/>
      <c r="AU461" s="1"/>
      <c r="BC461" s="23"/>
      <c r="BD461" s="23"/>
    </row>
    <row r="462" spans="34:56">
      <c r="AH462" s="6">
        <f t="shared" si="138"/>
        <v>432</v>
      </c>
      <c r="AI462" s="7">
        <f t="shared" ca="1" si="139"/>
        <v>43102</v>
      </c>
      <c r="AJ462" s="210">
        <f t="shared" ca="1" si="140"/>
        <v>3.3464673913043481</v>
      </c>
      <c r="AK462" s="8">
        <f t="shared" ca="1" si="141"/>
        <v>1.0000929574275361</v>
      </c>
      <c r="AL462" s="98">
        <f t="shared" ca="1" si="142"/>
        <v>3.483698899627985</v>
      </c>
      <c r="AM462" s="106">
        <f t="shared" ca="1" si="134"/>
        <v>27256.821344841504</v>
      </c>
      <c r="AN462" s="10">
        <f t="shared" ca="1" si="135"/>
        <v>0.25993632075846929</v>
      </c>
      <c r="AO462" s="311">
        <f t="shared" ca="1" si="136"/>
        <v>0.25643666997293701</v>
      </c>
      <c r="AP462" s="312">
        <f t="shared" ca="1" si="137"/>
        <v>0.28723837815098568</v>
      </c>
      <c r="AQ462" s="1"/>
      <c r="AR462" s="1"/>
      <c r="AS462" s="1"/>
      <c r="AT462" s="1"/>
      <c r="AU462" s="1"/>
      <c r="BC462" s="23"/>
      <c r="BD462" s="23"/>
    </row>
    <row r="463" spans="34:56">
      <c r="AH463" s="6">
        <f t="shared" si="138"/>
        <v>433</v>
      </c>
      <c r="AI463" s="7">
        <f t="shared" ca="1" si="139"/>
        <v>43103</v>
      </c>
      <c r="AJ463" s="210">
        <f t="shared" ca="1" si="140"/>
        <v>3.3467391304347829</v>
      </c>
      <c r="AK463" s="8">
        <f t="shared" ca="1" si="141"/>
        <v>1.0000929649758454</v>
      </c>
      <c r="AL463" s="98">
        <f t="shared" ca="1" si="142"/>
        <v>3.4836240289046527</v>
      </c>
      <c r="AM463" s="106">
        <f t="shared" ca="1" si="134"/>
        <v>27257.768632115429</v>
      </c>
      <c r="AN463" s="10">
        <f t="shared" ca="1" si="135"/>
        <v>0.26425467847657202</v>
      </c>
      <c r="AO463" s="311">
        <f t="shared" ca="1" si="136"/>
        <v>0.26069886200367187</v>
      </c>
      <c r="AP463" s="312">
        <f t="shared" ca="1" si="137"/>
        <v>0.28724575065081198</v>
      </c>
      <c r="AQ463" s="1"/>
      <c r="AR463" s="1"/>
      <c r="AS463" s="1"/>
      <c r="AT463" s="1"/>
      <c r="AU463" s="1"/>
      <c r="BC463" s="23"/>
      <c r="BD463" s="23"/>
    </row>
    <row r="464" spans="34:56">
      <c r="AH464" s="6">
        <f t="shared" si="138"/>
        <v>434</v>
      </c>
      <c r="AI464" s="7">
        <f t="shared" ca="1" si="139"/>
        <v>43104</v>
      </c>
      <c r="AJ464" s="210">
        <f t="shared" ca="1" si="140"/>
        <v>3.3470108695652177</v>
      </c>
      <c r="AK464" s="8">
        <f t="shared" ca="1" si="141"/>
        <v>1.0000929725241545</v>
      </c>
      <c r="AL464" s="98">
        <f t="shared" ca="1" si="142"/>
        <v>3.4835501601380159</v>
      </c>
      <c r="AM464" s="106">
        <f t="shared" ca="1" si="134"/>
        <v>27258.715952311504</v>
      </c>
      <c r="AN464" s="10">
        <f t="shared" ca="1" si="135"/>
        <v>0.26855395711251617</v>
      </c>
      <c r="AO464" s="311">
        <f t="shared" ca="1" si="136"/>
        <v>0.26494232258419359</v>
      </c>
      <c r="AP464" s="312">
        <f t="shared" ca="1" si="137"/>
        <v>0.28725320572816426</v>
      </c>
      <c r="AQ464" s="1"/>
      <c r="AR464" s="1"/>
      <c r="AS464" s="1"/>
      <c r="AT464" s="1"/>
      <c r="AU464" s="1"/>
      <c r="BC464" s="23"/>
      <c r="BD464" s="23"/>
    </row>
    <row r="465" spans="34:56">
      <c r="AH465" s="6">
        <f t="shared" si="138"/>
        <v>435</v>
      </c>
      <c r="AI465" s="7">
        <f t="shared" ca="1" si="139"/>
        <v>43105</v>
      </c>
      <c r="AJ465" s="210">
        <f t="shared" ca="1" si="140"/>
        <v>3.3472826086956524</v>
      </c>
      <c r="AK465" s="8">
        <f t="shared" ca="1" si="141"/>
        <v>1.0000929800724638</v>
      </c>
      <c r="AL465" s="98">
        <f t="shared" ca="1" si="142"/>
        <v>3.4834772864163144</v>
      </c>
      <c r="AM465" s="106">
        <f t="shared" ca="1" si="134"/>
        <v>27259.66330543087</v>
      </c>
      <c r="AN465" s="10">
        <f t="shared" ca="1" si="135"/>
        <v>0.27283428706437185</v>
      </c>
      <c r="AO465" s="311">
        <f t="shared" ca="1" si="136"/>
        <v>0.269167181022757</v>
      </c>
      <c r="AP465" s="312">
        <f t="shared" ca="1" si="137"/>
        <v>0.28726074283443753</v>
      </c>
      <c r="AQ465" s="1"/>
      <c r="AR465" s="1"/>
      <c r="AS465" s="1"/>
      <c r="AT465" s="1"/>
      <c r="AU465" s="1"/>
      <c r="BC465" s="23"/>
      <c r="BD465" s="23"/>
    </row>
    <row r="466" spans="34:56">
      <c r="AH466" s="6">
        <f t="shared" si="138"/>
        <v>436</v>
      </c>
      <c r="AI466" s="7">
        <f t="shared" ca="1" si="139"/>
        <v>43106</v>
      </c>
      <c r="AJ466" s="210">
        <f t="shared" ca="1" si="140"/>
        <v>3.3475543478260872</v>
      </c>
      <c r="AK466" s="8">
        <f t="shared" ca="1" si="141"/>
        <v>1.0000929876207729</v>
      </c>
      <c r="AL466" s="98">
        <f t="shared" ca="1" si="142"/>
        <v>3.4834054008910931</v>
      </c>
      <c r="AM466" s="106">
        <f t="shared" ca="1" si="134"/>
        <v>27260.610691474682</v>
      </c>
      <c r="AN466" s="10">
        <f t="shared" ca="1" si="135"/>
        <v>0.27709579754460201</v>
      </c>
      <c r="AO466" s="311">
        <f t="shared" ca="1" si="136"/>
        <v>0.27337356544124763</v>
      </c>
      <c r="AP466" s="312">
        <f t="shared" ca="1" si="137"/>
        <v>0.28726836142605833</v>
      </c>
      <c r="AQ466" s="1"/>
      <c r="AR466" s="1"/>
      <c r="AS466" s="1"/>
      <c r="AT466" s="1"/>
      <c r="AU466" s="1"/>
      <c r="BC466" s="23"/>
      <c r="BD466" s="23"/>
    </row>
    <row r="467" spans="34:56">
      <c r="AH467" s="6">
        <f t="shared" si="138"/>
        <v>437</v>
      </c>
      <c r="AI467" s="7">
        <f t="shared" ca="1" si="139"/>
        <v>43107</v>
      </c>
      <c r="AJ467" s="210">
        <f t="shared" ca="1" si="140"/>
        <v>3.347826086956522</v>
      </c>
      <c r="AK467" s="8">
        <f t="shared" ca="1" si="141"/>
        <v>1.0000929951690822</v>
      </c>
      <c r="AL467" s="98">
        <f t="shared" ca="1" si="142"/>
        <v>3.4833344967767577</v>
      </c>
      <c r="AM467" s="106">
        <f t="shared" ca="1" si="134"/>
        <v>27261.558110444072</v>
      </c>
      <c r="AN467" s="10">
        <f t="shared" ca="1" si="135"/>
        <v>0.28133861659369597</v>
      </c>
      <c r="AO467" s="311">
        <f t="shared" ca="1" si="136"/>
        <v>0.27756160278893877</v>
      </c>
      <c r="AP467" s="312">
        <f t="shared" ca="1" si="137"/>
        <v>0.28727606096443631</v>
      </c>
      <c r="AQ467" s="1"/>
      <c r="AR467" s="1"/>
      <c r="AS467" s="1"/>
      <c r="AT467" s="1"/>
      <c r="AU467" s="1"/>
      <c r="BC467" s="23"/>
      <c r="BD467" s="23"/>
    </row>
    <row r="468" spans="34:56">
      <c r="AH468" s="6">
        <f t="shared" si="138"/>
        <v>438</v>
      </c>
      <c r="AI468" s="7">
        <f t="shared" ca="1" si="139"/>
        <v>43108</v>
      </c>
      <c r="AJ468" s="210">
        <f t="shared" ca="1" si="140"/>
        <v>3.3480978260869567</v>
      </c>
      <c r="AK468" s="8">
        <f t="shared" ca="1" si="141"/>
        <v>1.0000930027173913</v>
      </c>
      <c r="AL468" s="98">
        <f t="shared" ca="1" si="142"/>
        <v>3.4832645673496199</v>
      </c>
      <c r="AM468" s="106">
        <f t="shared" ca="1" si="134"/>
        <v>27262.505562340193</v>
      </c>
      <c r="AN468" s="10">
        <f t="shared" ca="1" si="135"/>
        <v>0.28556287109315903</v>
      </c>
      <c r="AO468" s="311">
        <f t="shared" ca="1" si="136"/>
        <v>0.28173141885569486</v>
      </c>
      <c r="AP468" s="312">
        <f t="shared" ca="1" si="137"/>
        <v>0.28728384091590581</v>
      </c>
      <c r="AQ468" s="1"/>
      <c r="AR468" s="1"/>
      <c r="AS468" s="1"/>
      <c r="AT468" s="1"/>
      <c r="AU468" s="1"/>
      <c r="BC468" s="23"/>
      <c r="BD468" s="23"/>
    </row>
    <row r="469" spans="34:56">
      <c r="AH469" s="6">
        <f t="shared" si="138"/>
        <v>439</v>
      </c>
      <c r="AI469" s="7">
        <f t="shared" ca="1" si="139"/>
        <v>43109</v>
      </c>
      <c r="AJ469" s="210">
        <f t="shared" ca="1" si="140"/>
        <v>3.3483695652173915</v>
      </c>
      <c r="AK469" s="8">
        <f t="shared" ca="1" si="141"/>
        <v>1.0000930102657004</v>
      </c>
      <c r="AL469" s="98">
        <f t="shared" ca="1" si="142"/>
        <v>3.4831956059472757</v>
      </c>
      <c r="AM469" s="106">
        <f t="shared" ca="1" si="134"/>
        <v>27263.453047164185</v>
      </c>
      <c r="AN469" s="10">
        <f t="shared" ca="1" si="135"/>
        <v>0.28976868677881296</v>
      </c>
      <c r="AO469" s="311">
        <f t="shared" ca="1" si="136"/>
        <v>0.28588313828532214</v>
      </c>
      <c r="AP469" s="312">
        <f t="shared" ca="1" si="137"/>
        <v>0.28729170075166383</v>
      </c>
      <c r="AQ469" s="1"/>
      <c r="AR469" s="1"/>
      <c r="AS469" s="1"/>
      <c r="AT469" s="1"/>
      <c r="AU469" s="1"/>
      <c r="BC469" s="23"/>
      <c r="BD469" s="23"/>
    </row>
    <row r="470" spans="34:56">
      <c r="AH470" s="6">
        <f t="shared" si="138"/>
        <v>440</v>
      </c>
      <c r="AI470" s="7">
        <f t="shared" ca="1" si="139"/>
        <v>43110</v>
      </c>
      <c r="AJ470" s="210">
        <f t="shared" ca="1" si="140"/>
        <v>3.3486413043478263</v>
      </c>
      <c r="AK470" s="8">
        <f t="shared" ca="1" si="141"/>
        <v>1.0000930178140097</v>
      </c>
      <c r="AL470" s="98">
        <f t="shared" ca="1" si="142"/>
        <v>3.4831276059679839</v>
      </c>
      <c r="AM470" s="106">
        <f t="shared" ca="1" si="134"/>
        <v>27263.960176195633</v>
      </c>
      <c r="AN470" s="10">
        <f t="shared" ca="1" si="135"/>
        <v>0.29530007169322747</v>
      </c>
      <c r="AO470" s="311">
        <f t="shared" ca="1" si="136"/>
        <v>0.29134316017069634</v>
      </c>
      <c r="AP470" s="312">
        <f t="shared" ca="1" si="137"/>
        <v>0.28729963994772206</v>
      </c>
      <c r="AQ470" s="1"/>
      <c r="AR470" s="1"/>
      <c r="AS470" s="1"/>
      <c r="AT470" s="1"/>
      <c r="AU470" s="1"/>
      <c r="BC470" s="23"/>
      <c r="BD470" s="23"/>
    </row>
    <row r="471" spans="34:56">
      <c r="AH471" s="6">
        <f t="shared" si="138"/>
        <v>441</v>
      </c>
      <c r="AI471" s="7">
        <f t="shared" ca="1" si="139"/>
        <v>43111</v>
      </c>
      <c r="AJ471" s="210">
        <f t="shared" ca="1" si="140"/>
        <v>3.348913043478261</v>
      </c>
      <c r="AK471" s="8">
        <f t="shared" ca="1" si="141"/>
        <v>1.0000930253623188</v>
      </c>
      <c r="AL471" s="98">
        <f t="shared" ca="1" si="142"/>
        <v>3.4830605608698439</v>
      </c>
      <c r="AM471" s="106">
        <f t="shared" ca="1" si="134"/>
        <v>27264.467314660218</v>
      </c>
      <c r="AN471" s="10">
        <f t="shared" ca="1" si="135"/>
        <v>0.30080730053534399</v>
      </c>
      <c r="AO471" s="311">
        <f t="shared" ca="1" si="136"/>
        <v>0.29677949205203163</v>
      </c>
      <c r="AP471" s="312">
        <f t="shared" ca="1" si="137"/>
        <v>0.28730765798484803</v>
      </c>
      <c r="AQ471" s="1"/>
      <c r="AR471" s="1"/>
      <c r="AS471" s="1"/>
      <c r="AT471" s="1"/>
      <c r="AU471" s="1"/>
      <c r="BC471" s="23"/>
      <c r="BD471" s="23"/>
    </row>
    <row r="472" spans="34:56">
      <c r="AH472" s="6">
        <f t="shared" si="138"/>
        <v>442</v>
      </c>
      <c r="AI472" s="7">
        <f t="shared" ca="1" si="139"/>
        <v>43112</v>
      </c>
      <c r="AJ472" s="210">
        <f t="shared" ca="1" si="140"/>
        <v>3.3491847826086958</v>
      </c>
      <c r="AK472" s="8">
        <f t="shared" ca="1" si="141"/>
        <v>1.0000930329106281</v>
      </c>
      <c r="AL472" s="98">
        <f t="shared" ca="1" si="142"/>
        <v>3.4829944641702193</v>
      </c>
      <c r="AM472" s="106">
        <f t="shared" ca="1" si="134"/>
        <v>27264.974462558108</v>
      </c>
      <c r="AN472" s="10">
        <f t="shared" ca="1" si="135"/>
        <v>0.3062905353275136</v>
      </c>
      <c r="AO472" s="311">
        <f t="shared" ca="1" si="136"/>
        <v>0.30219229489269323</v>
      </c>
      <c r="AP472" s="312">
        <f t="shared" ca="1" si="137"/>
        <v>0.28731575434851592</v>
      </c>
      <c r="AQ472" s="1"/>
      <c r="AR472" s="1"/>
      <c r="AS472" s="1"/>
      <c r="AT472" s="1"/>
      <c r="AU472" s="1"/>
      <c r="BC472" s="23"/>
      <c r="BD472" s="23"/>
    </row>
    <row r="473" spans="34:56">
      <c r="AH473" s="6">
        <f t="shared" si="138"/>
        <v>443</v>
      </c>
      <c r="AI473" s="7">
        <f t="shared" ca="1" si="139"/>
        <v>43113</v>
      </c>
      <c r="AJ473" s="210">
        <f t="shared" ca="1" si="140"/>
        <v>3.3494565217391306</v>
      </c>
      <c r="AK473" s="8">
        <f t="shared" ca="1" si="141"/>
        <v>1.0000930404589372</v>
      </c>
      <c r="AL473" s="98">
        <f t="shared" ca="1" si="142"/>
        <v>3.4829293094450264</v>
      </c>
      <c r="AM473" s="106">
        <f t="shared" ca="1" si="134"/>
        <v>27265.481619889491</v>
      </c>
      <c r="AN473" s="10">
        <f t="shared" ca="1" si="135"/>
        <v>0.31174993664626616</v>
      </c>
      <c r="AO473" s="311">
        <f t="shared" ca="1" si="136"/>
        <v>0.30758172820250845</v>
      </c>
      <c r="AP473" s="312">
        <f t="shared" ca="1" si="137"/>
        <v>0.28732392852884542</v>
      </c>
      <c r="AQ473" s="1"/>
      <c r="AR473" s="1"/>
      <c r="AS473" s="1"/>
      <c r="AT473" s="1"/>
      <c r="AU473" s="1"/>
      <c r="BC473" s="23"/>
      <c r="BD473" s="23"/>
    </row>
    <row r="474" spans="34:56">
      <c r="AH474" s="6">
        <f t="shared" si="138"/>
        <v>444</v>
      </c>
      <c r="AI474" s="7">
        <f t="shared" ca="1" si="139"/>
        <v>43114</v>
      </c>
      <c r="AJ474" s="210">
        <f t="shared" ca="1" si="140"/>
        <v>3.3497282608695653</v>
      </c>
      <c r="AK474" s="8">
        <f t="shared" ca="1" si="141"/>
        <v>1.0000930480072463</v>
      </c>
      <c r="AL474" s="98">
        <f t="shared" ca="1" si="142"/>
        <v>3.4828650903280467</v>
      </c>
      <c r="AM474" s="106">
        <f t="shared" ca="1" si="134"/>
        <v>27265.988786654536</v>
      </c>
      <c r="AN474" s="10">
        <f t="shared" ca="1" si="135"/>
        <v>0.31718566363871936</v>
      </c>
      <c r="AO474" s="311">
        <f t="shared" ca="1" si="136"/>
        <v>0.3129479500545489</v>
      </c>
      <c r="AP474" s="312">
        <f t="shared" ca="1" si="137"/>
        <v>0.28733218002055755</v>
      </c>
      <c r="AQ474" s="1"/>
      <c r="AR474" s="1"/>
      <c r="AS474" s="1"/>
      <c r="AT474" s="1"/>
      <c r="AU474" s="1"/>
      <c r="BC474" s="23"/>
      <c r="BD474" s="23"/>
    </row>
    <row r="475" spans="34:56">
      <c r="AH475" s="6">
        <f t="shared" si="138"/>
        <v>445</v>
      </c>
      <c r="AI475" s="7">
        <f t="shared" ca="1" si="139"/>
        <v>43115</v>
      </c>
      <c r="AJ475" s="210">
        <f t="shared" ca="1" si="140"/>
        <v>3.35</v>
      </c>
      <c r="AK475" s="8">
        <f t="shared" ca="1" si="141"/>
        <v>1.0000930555555556</v>
      </c>
      <c r="AL475" s="98">
        <f t="shared" ca="1" si="142"/>
        <v>3.4828018005103933</v>
      </c>
      <c r="AM475" s="106">
        <f t="shared" ca="1" si="134"/>
        <v>27266.495962853416</v>
      </c>
      <c r="AN475" s="10">
        <f t="shared" ca="1" si="135"/>
        <v>0.32259787403823292</v>
      </c>
      <c r="AO475" s="311">
        <f t="shared" ca="1" si="136"/>
        <v>0.31829111710091512</v>
      </c>
      <c r="AP475" s="312">
        <f t="shared" ca="1" si="137"/>
        <v>0.2873405083229193</v>
      </c>
      <c r="AQ475" s="1"/>
      <c r="AR475" s="1"/>
      <c r="AS475" s="1"/>
      <c r="AT475" s="1"/>
      <c r="AU475" s="1"/>
      <c r="BC475" s="23"/>
      <c r="BD475" s="23"/>
    </row>
    <row r="476" spans="34:56">
      <c r="AH476" s="6">
        <f t="shared" si="138"/>
        <v>446</v>
      </c>
      <c r="AI476" s="7">
        <f t="shared" ca="1" si="139"/>
        <v>43116</v>
      </c>
      <c r="AJ476" s="210">
        <f t="shared" ca="1" si="140"/>
        <v>3.3525</v>
      </c>
      <c r="AK476" s="8">
        <f t="shared" ca="1" si="141"/>
        <v>1.000093125</v>
      </c>
      <c r="AL476" s="98">
        <f t="shared" ca="1" si="142"/>
        <v>3.4827446751606095</v>
      </c>
      <c r="AM476" s="106">
        <f t="shared" ca="1" si="134"/>
        <v>27267.00314848631</v>
      </c>
      <c r="AN476" s="10">
        <f t="shared" ca="1" si="135"/>
        <v>0.32799180581211118</v>
      </c>
      <c r="AO476" s="311">
        <f t="shared" ca="1" si="136"/>
        <v>0.32361640025290894</v>
      </c>
      <c r="AP476" s="312">
        <f t="shared" ca="1" si="137"/>
        <v>0.28734934702679743</v>
      </c>
      <c r="AQ476" s="1"/>
      <c r="AR476" s="1"/>
      <c r="AS476" s="1"/>
      <c r="AT476" s="1"/>
      <c r="AU476" s="1"/>
      <c r="BC476" s="23"/>
      <c r="BD476" s="23"/>
    </row>
    <row r="477" spans="34:56">
      <c r="AH477" s="6">
        <f t="shared" si="138"/>
        <v>447</v>
      </c>
      <c r="AI477" s="7">
        <f t="shared" ca="1" si="139"/>
        <v>43117</v>
      </c>
      <c r="AJ477" s="210">
        <f t="shared" ca="1" si="140"/>
        <v>3.355</v>
      </c>
      <c r="AK477" s="8">
        <f t="shared" ca="1" si="141"/>
        <v>1.0000931944444444</v>
      </c>
      <c r="AL477" s="98">
        <f t="shared" ca="1" si="142"/>
        <v>3.4826936728961089</v>
      </c>
      <c r="AM477" s="106">
        <f t="shared" ca="1" si="134"/>
        <v>27267.510343553397</v>
      </c>
      <c r="AN477" s="10">
        <f t="shared" ca="1" si="135"/>
        <v>0.33336758062207927</v>
      </c>
      <c r="AO477" s="311">
        <f t="shared" ca="1" si="136"/>
        <v>0.32892392082494309</v>
      </c>
      <c r="AP477" s="312">
        <f t="shared" ca="1" si="137"/>
        <v>0.28735869284804183</v>
      </c>
      <c r="AQ477" s="1"/>
      <c r="AR477" s="1"/>
      <c r="AS477" s="1"/>
      <c r="AT477" s="1"/>
      <c r="AU477" s="1"/>
      <c r="BC477" s="23"/>
      <c r="BD477" s="23"/>
    </row>
    <row r="478" spans="34:56">
      <c r="AH478" s="6">
        <f t="shared" si="138"/>
        <v>448</v>
      </c>
      <c r="AI478" s="7">
        <f t="shared" ca="1" si="139"/>
        <v>43118</v>
      </c>
      <c r="AJ478" s="210">
        <f t="shared" ca="1" si="140"/>
        <v>3.3574999999999999</v>
      </c>
      <c r="AK478" s="8">
        <f t="shared" ca="1" si="141"/>
        <v>1.0000932638888889</v>
      </c>
      <c r="AL478" s="98">
        <f t="shared" ca="1" si="142"/>
        <v>3.4826487527048755</v>
      </c>
      <c r="AM478" s="106">
        <f t="shared" ca="1" si="134"/>
        <v>27268.017548054842</v>
      </c>
      <c r="AN478" s="10">
        <f t="shared" ca="1" si="135"/>
        <v>0.33872531905345671</v>
      </c>
      <c r="AO478" s="311">
        <f t="shared" ca="1" si="136"/>
        <v>0.33421379904956844</v>
      </c>
      <c r="AP478" s="312">
        <f t="shared" ca="1" si="137"/>
        <v>0.28736854253195154</v>
      </c>
      <c r="AQ478" s="1"/>
      <c r="AR478" s="1"/>
      <c r="AS478" s="1"/>
      <c r="AT478" s="1"/>
      <c r="AU478" s="1"/>
      <c r="BC478" s="23"/>
      <c r="BD478" s="23"/>
    </row>
    <row r="479" spans="34:56">
      <c r="AH479" s="6">
        <f t="shared" si="138"/>
        <v>449</v>
      </c>
      <c r="AI479" s="7">
        <f t="shared" ca="1" si="139"/>
        <v>43119</v>
      </c>
      <c r="AJ479" s="210">
        <f t="shared" ca="1" si="140"/>
        <v>3.36</v>
      </c>
      <c r="AK479" s="8">
        <f t="shared" ca="1" si="141"/>
        <v>1.0000933333333333</v>
      </c>
      <c r="AL479" s="98">
        <f t="shared" ca="1" si="142"/>
        <v>3.4826098739412892</v>
      </c>
      <c r="AM479" s="106">
        <f t="shared" ref="AM479:AM542" ca="1" si="143">Geom_Interp(AI479,$AZ$2:$AZ$109,$BA$2:$BA$109)</f>
        <v>27268.524761990833</v>
      </c>
      <c r="AN479" s="10">
        <f t="shared" ref="AN479:AN542" ca="1" si="144">100*(((1+AL479/100)^(AH479/365)*$AM$29/AM479)^(365/AH479)-1)</f>
        <v>0.34406514062712557</v>
      </c>
      <c r="AO479" s="311">
        <f t="shared" ref="AO479:AO542" ca="1" si="145">100*360/$AH479*((1+AN479/100)^($AH479/365)-1)</f>
        <v>0.33948615408961036</v>
      </c>
      <c r="AP479" s="312">
        <f t="shared" ref="AP479:AP542" ca="1" si="146">100*30/$AH479*((1+AL479/100)^($AH479/365)-1)</f>
        <v>0.28737889285294538</v>
      </c>
      <c r="AQ479" s="1"/>
      <c r="AR479" s="1"/>
      <c r="AS479" s="1"/>
      <c r="AT479" s="1"/>
      <c r="AU479" s="1"/>
      <c r="BC479" s="23"/>
      <c r="BD479" s="23"/>
    </row>
    <row r="480" spans="34:56">
      <c r="AH480" s="6">
        <f t="shared" ref="AH480:AH543" si="147">$AI$29+AH479</f>
        <v>450</v>
      </c>
      <c r="AI480" s="7">
        <f t="shared" ref="AI480:AI543" ca="1" si="148">+AH480+$C$1</f>
        <v>43120</v>
      </c>
      <c r="AJ480" s="210">
        <f t="shared" ref="AJ480:AJ543" ca="1" si="149">IF(AH480&lt;365,VLOOKUP(LOOKUP(AI480,$AI$2:$AI$23),$AI$2:$AK$23,3,0),Lin_Interp(AH480,$AJ$2:$AJ$23,$AK$2:$AK$23))</f>
        <v>3.3625000000000003</v>
      </c>
      <c r="AK480" s="8">
        <f t="shared" ca="1" si="141"/>
        <v>1.0000934027777777</v>
      </c>
      <c r="AL480" s="98">
        <f t="shared" ca="1" si="142"/>
        <v>3.4825769963220843</v>
      </c>
      <c r="AM480" s="106">
        <f t="shared" ca="1" si="143"/>
        <v>27269.031985361533</v>
      </c>
      <c r="AN480" s="10">
        <f t="shared" ca="1" si="144"/>
        <v>0.34938716381132107</v>
      </c>
      <c r="AO480" s="311">
        <f t="shared" ca="1" si="145"/>
        <v>0.34474110405005476</v>
      </c>
      <c r="AP480" s="312">
        <f t="shared" ca="1" si="146"/>
        <v>0.28738974061424266</v>
      </c>
      <c r="AQ480" s="1"/>
      <c r="AR480" s="1"/>
      <c r="AS480" s="1"/>
      <c r="AT480" s="1"/>
      <c r="AU480" s="1"/>
      <c r="BC480" s="23"/>
      <c r="BD480" s="23"/>
    </row>
    <row r="481" spans="34:56">
      <c r="AH481" s="6">
        <f t="shared" si="147"/>
        <v>451</v>
      </c>
      <c r="AI481" s="7">
        <f t="shared" ca="1" si="148"/>
        <v>43121</v>
      </c>
      <c r="AJ481" s="210">
        <f t="shared" ca="1" si="149"/>
        <v>3.3650000000000002</v>
      </c>
      <c r="AK481" s="8">
        <f t="shared" ref="AK481:AK544" ca="1" si="150">+(1+AJ481/36000)</f>
        <v>1.0000934722222221</v>
      </c>
      <c r="AL481" s="98">
        <f t="shared" ref="AL481:AL544" ca="1" si="151">100*(((1+AL480/100)^(AH480/365)*AK481)^(365/AH481)-1)</f>
        <v>3.482550079922353</v>
      </c>
      <c r="AM481" s="106">
        <f t="shared" ca="1" si="143"/>
        <v>27269.539218167127</v>
      </c>
      <c r="AN481" s="10">
        <f t="shared" ca="1" si="144"/>
        <v>0.35469150603306687</v>
      </c>
      <c r="AO481" s="311">
        <f t="shared" ca="1" si="145"/>
        <v>0.34997876598966932</v>
      </c>
      <c r="AP481" s="312">
        <f t="shared" ca="1" si="146"/>
        <v>0.28740108264753972</v>
      </c>
      <c r="AQ481" s="1"/>
      <c r="AR481" s="1"/>
      <c r="AS481" s="1"/>
      <c r="AT481" s="1"/>
      <c r="AU481" s="1"/>
      <c r="BC481" s="23"/>
      <c r="BD481" s="23"/>
    </row>
    <row r="482" spans="34:56">
      <c r="AH482" s="6">
        <f t="shared" si="147"/>
        <v>452</v>
      </c>
      <c r="AI482" s="7">
        <f t="shared" ca="1" si="148"/>
        <v>43122</v>
      </c>
      <c r="AJ482" s="210">
        <f t="shared" ca="1" si="149"/>
        <v>3.3675000000000002</v>
      </c>
      <c r="AK482" s="8">
        <f t="shared" ca="1" si="150"/>
        <v>1.0000935416666668</v>
      </c>
      <c r="AL482" s="98">
        <f t="shared" ca="1" si="151"/>
        <v>3.4825290851714819</v>
      </c>
      <c r="AM482" s="106">
        <f t="shared" ca="1" si="143"/>
        <v>27270.046460407782</v>
      </c>
      <c r="AN482" s="10">
        <f t="shared" ca="1" si="144"/>
        <v>0.35997828368965479</v>
      </c>
      <c r="AO482" s="311">
        <f t="shared" ca="1" si="145"/>
        <v>0.35519925593270057</v>
      </c>
      <c r="AP482" s="312">
        <f t="shared" ca="1" si="146"/>
        <v>0.28741291581269918</v>
      </c>
      <c r="AQ482" s="1"/>
      <c r="AR482" s="1"/>
      <c r="AS482" s="1"/>
      <c r="AT482" s="1"/>
      <c r="AU482" s="1"/>
      <c r="BC482" s="23"/>
      <c r="BD482" s="23"/>
    </row>
    <row r="483" spans="34:56">
      <c r="AH483" s="6">
        <f t="shared" si="147"/>
        <v>453</v>
      </c>
      <c r="AI483" s="7">
        <f t="shared" ca="1" si="148"/>
        <v>43123</v>
      </c>
      <c r="AJ483" s="210">
        <f t="shared" ca="1" si="149"/>
        <v>3.37</v>
      </c>
      <c r="AK483" s="8">
        <f t="shared" ca="1" si="150"/>
        <v>1.0000936111111112</v>
      </c>
      <c r="AL483" s="98">
        <f t="shared" ca="1" si="151"/>
        <v>3.4825139728493104</v>
      </c>
      <c r="AM483" s="106">
        <f t="shared" ca="1" si="143"/>
        <v>27270.553712083682</v>
      </c>
      <c r="AN483" s="10">
        <f t="shared" ca="1" si="144"/>
        <v>0.36524761215990242</v>
      </c>
      <c r="AO483" s="311">
        <f t="shared" ca="1" si="145"/>
        <v>0.36040268888023941</v>
      </c>
      <c r="AP483" s="312">
        <f t="shared" ca="1" si="146"/>
        <v>0.28742523699743316</v>
      </c>
      <c r="AQ483" s="1"/>
      <c r="AR483" s="1"/>
      <c r="AS483" s="1"/>
      <c r="AT483" s="1"/>
      <c r="AU483" s="1"/>
      <c r="BC483" s="23"/>
      <c r="BD483" s="23"/>
    </row>
    <row r="484" spans="34:56">
      <c r="AH484" s="6">
        <f t="shared" si="147"/>
        <v>454</v>
      </c>
      <c r="AI484" s="7">
        <f t="shared" ca="1" si="148"/>
        <v>43124</v>
      </c>
      <c r="AJ484" s="210">
        <f t="shared" ca="1" si="149"/>
        <v>3.3725000000000001</v>
      </c>
      <c r="AK484" s="8">
        <f t="shared" ca="1" si="150"/>
        <v>1.0000936805555556</v>
      </c>
      <c r="AL484" s="98">
        <f t="shared" ca="1" si="151"/>
        <v>3.482504704082201</v>
      </c>
      <c r="AM484" s="106">
        <f t="shared" ca="1" si="143"/>
        <v>27271.060973194999</v>
      </c>
      <c r="AN484" s="10">
        <f t="shared" ca="1" si="144"/>
        <v>0.37049960581521102</v>
      </c>
      <c r="AO484" s="311">
        <f t="shared" ca="1" si="145"/>
        <v>0.365589178821419</v>
      </c>
      <c r="AP484" s="312">
        <f t="shared" ca="1" si="146"/>
        <v>0.2874380431170025</v>
      </c>
      <c r="AQ484" s="1"/>
      <c r="AR484" s="1"/>
      <c r="AS484" s="1"/>
      <c r="AT484" s="1"/>
      <c r="AU484" s="1"/>
      <c r="BC484" s="23"/>
      <c r="BD484" s="23"/>
    </row>
    <row r="485" spans="34:56">
      <c r="AH485" s="6">
        <f t="shared" si="147"/>
        <v>455</v>
      </c>
      <c r="AI485" s="7">
        <f t="shared" ca="1" si="148"/>
        <v>43125</v>
      </c>
      <c r="AJ485" s="210">
        <f t="shared" ca="1" si="149"/>
        <v>3.375</v>
      </c>
      <c r="AK485" s="8">
        <f t="shared" ca="1" si="150"/>
        <v>1.00009375</v>
      </c>
      <c r="AL485" s="98">
        <f t="shared" ca="1" si="151"/>
        <v>3.4825012403392641</v>
      </c>
      <c r="AM485" s="106">
        <f t="shared" ca="1" si="143"/>
        <v>27271.568243741909</v>
      </c>
      <c r="AN485" s="10">
        <f t="shared" ca="1" si="144"/>
        <v>0.37573437803066767</v>
      </c>
      <c r="AO485" s="311">
        <f t="shared" ca="1" si="145"/>
        <v>0.37075883874469334</v>
      </c>
      <c r="AP485" s="312">
        <f t="shared" ca="1" si="146"/>
        <v>0.28745133111391097</v>
      </c>
      <c r="AQ485" s="1"/>
      <c r="AR485" s="1"/>
      <c r="AS485" s="1"/>
      <c r="AT485" s="1"/>
      <c r="AU485" s="1"/>
      <c r="BC485" s="23"/>
      <c r="BD485" s="23"/>
    </row>
    <row r="486" spans="34:56">
      <c r="AH486" s="6">
        <f t="shared" si="147"/>
        <v>456</v>
      </c>
      <c r="AI486" s="7">
        <f t="shared" ca="1" si="148"/>
        <v>43126</v>
      </c>
      <c r="AJ486" s="210">
        <f t="shared" ca="1" si="149"/>
        <v>3.3774999999999999</v>
      </c>
      <c r="AK486" s="8">
        <f t="shared" ca="1" si="150"/>
        <v>1.0000938194444444</v>
      </c>
      <c r="AL486" s="98">
        <f t="shared" ca="1" si="151"/>
        <v>3.4825035434285612</v>
      </c>
      <c r="AM486" s="106">
        <f t="shared" ca="1" si="143"/>
        <v>27272.07552372459</v>
      </c>
      <c r="AN486" s="10">
        <f t="shared" ca="1" si="144"/>
        <v>0.38095204119572568</v>
      </c>
      <c r="AO486" s="311">
        <f t="shared" ca="1" si="145"/>
        <v>0.37591178064868674</v>
      </c>
      <c r="AP486" s="312">
        <f t="shared" ca="1" si="146"/>
        <v>0.28746509795760827</v>
      </c>
      <c r="AQ486" s="1"/>
      <c r="AR486" s="1"/>
      <c r="AS486" s="1"/>
      <c r="AT486" s="1"/>
      <c r="AU486" s="1"/>
      <c r="BC486" s="23"/>
      <c r="BD486" s="23"/>
    </row>
    <row r="487" spans="34:56">
      <c r="AH487" s="6">
        <f t="shared" si="147"/>
        <v>457</v>
      </c>
      <c r="AI487" s="7">
        <f t="shared" ca="1" si="148"/>
        <v>43127</v>
      </c>
      <c r="AJ487" s="210">
        <f t="shared" ca="1" si="149"/>
        <v>3.38</v>
      </c>
      <c r="AK487" s="8">
        <f t="shared" ca="1" si="150"/>
        <v>1.0000938888888888</v>
      </c>
      <c r="AL487" s="98">
        <f t="shared" ca="1" si="151"/>
        <v>3.4825115754934188</v>
      </c>
      <c r="AM487" s="106">
        <f t="shared" ca="1" si="143"/>
        <v>27272.58281314321</v>
      </c>
      <c r="AN487" s="10">
        <f t="shared" ca="1" si="144"/>
        <v>0.38615270672501811</v>
      </c>
      <c r="AO487" s="311">
        <f t="shared" ca="1" si="145"/>
        <v>0.38104811555309365</v>
      </c>
      <c r="AP487" s="312">
        <f t="shared" ca="1" si="146"/>
        <v>0.28747934064419356</v>
      </c>
      <c r="AQ487" s="1"/>
      <c r="AR487" s="1"/>
      <c r="AS487" s="1"/>
      <c r="AT487" s="1"/>
      <c r="AU487" s="1"/>
      <c r="BC487" s="23"/>
      <c r="BD487" s="23"/>
    </row>
    <row r="488" spans="34:56">
      <c r="AH488" s="6">
        <f t="shared" si="147"/>
        <v>458</v>
      </c>
      <c r="AI488" s="7">
        <f t="shared" ca="1" si="148"/>
        <v>43128</v>
      </c>
      <c r="AJ488" s="210">
        <f t="shared" ca="1" si="149"/>
        <v>3.3825000000000003</v>
      </c>
      <c r="AK488" s="8">
        <f t="shared" ca="1" si="150"/>
        <v>1.0000939583333333</v>
      </c>
      <c r="AL488" s="98">
        <f t="shared" ca="1" si="151"/>
        <v>3.4825252990087208</v>
      </c>
      <c r="AM488" s="106">
        <f t="shared" ca="1" si="143"/>
        <v>27273.090111997953</v>
      </c>
      <c r="AN488" s="10">
        <f t="shared" ca="1" si="144"/>
        <v>0.39133648506877172</v>
      </c>
      <c r="AO488" s="311">
        <f t="shared" ca="1" si="145"/>
        <v>0.38616795350927818</v>
      </c>
      <c r="AP488" s="312">
        <f t="shared" ca="1" si="146"/>
        <v>0.28749405619612439</v>
      </c>
      <c r="AQ488" s="1"/>
      <c r="AR488" s="1"/>
      <c r="AS488" s="1"/>
      <c r="AT488" s="1"/>
      <c r="AU488" s="1"/>
      <c r="BC488" s="23"/>
      <c r="BD488" s="23"/>
    </row>
    <row r="489" spans="34:56">
      <c r="AH489" s="6">
        <f t="shared" si="147"/>
        <v>459</v>
      </c>
      <c r="AI489" s="7">
        <f t="shared" ca="1" si="148"/>
        <v>43129</v>
      </c>
      <c r="AJ489" s="210">
        <f t="shared" ca="1" si="149"/>
        <v>3.3850000000000002</v>
      </c>
      <c r="AK489" s="8">
        <f t="shared" ca="1" si="150"/>
        <v>1.0000940277777777</v>
      </c>
      <c r="AL489" s="98">
        <f t="shared" ca="1" si="151"/>
        <v>3.4825446767773105</v>
      </c>
      <c r="AM489" s="106">
        <f t="shared" ca="1" si="143"/>
        <v>27273.597420288988</v>
      </c>
      <c r="AN489" s="10">
        <f t="shared" ca="1" si="144"/>
        <v>0.39650348572335403</v>
      </c>
      <c r="AO489" s="311">
        <f t="shared" ca="1" si="145"/>
        <v>0.39127140361096191</v>
      </c>
      <c r="AP489" s="312">
        <f t="shared" ca="1" si="146"/>
        <v>0.28750924166193581</v>
      </c>
      <c r="AQ489" s="1"/>
      <c r="AR489" s="1"/>
      <c r="AS489" s="1"/>
      <c r="AT489" s="1"/>
      <c r="AU489" s="1"/>
      <c r="BC489" s="23"/>
      <c r="BD489" s="23"/>
    </row>
    <row r="490" spans="34:56">
      <c r="AH490" s="6">
        <f t="shared" si="147"/>
        <v>460</v>
      </c>
      <c r="AI490" s="7">
        <f t="shared" ca="1" si="148"/>
        <v>43130</v>
      </c>
      <c r="AJ490" s="210">
        <f t="shared" ca="1" si="149"/>
        <v>3.3875000000000002</v>
      </c>
      <c r="AK490" s="8">
        <f t="shared" ca="1" si="150"/>
        <v>1.0000940972222223</v>
      </c>
      <c r="AL490" s="98">
        <f t="shared" ca="1" si="151"/>
        <v>3.4825696719264387</v>
      </c>
      <c r="AM490" s="106">
        <f t="shared" ca="1" si="143"/>
        <v>27274.104738016496</v>
      </c>
      <c r="AN490" s="10">
        <f t="shared" ca="1" si="144"/>
        <v>0.40165381724146521</v>
      </c>
      <c r="AO490" s="311">
        <f t="shared" ca="1" si="145"/>
        <v>0.3963585740044937</v>
      </c>
      <c r="AP490" s="312">
        <f t="shared" ca="1" si="146"/>
        <v>0.28752489411594634</v>
      </c>
      <c r="AQ490" s="1"/>
      <c r="AR490" s="1"/>
      <c r="AS490" s="1"/>
      <c r="AT490" s="1"/>
      <c r="AU490" s="1"/>
      <c r="BC490" s="23"/>
      <c r="BD490" s="23"/>
    </row>
    <row r="491" spans="34:56">
      <c r="AH491" s="6">
        <f t="shared" si="147"/>
        <v>461</v>
      </c>
      <c r="AI491" s="7">
        <f t="shared" ca="1" si="148"/>
        <v>43131</v>
      </c>
      <c r="AJ491" s="210">
        <f t="shared" ca="1" si="149"/>
        <v>3.39</v>
      </c>
      <c r="AK491" s="8">
        <f t="shared" ca="1" si="150"/>
        <v>1.0000941666666667</v>
      </c>
      <c r="AL491" s="98">
        <f t="shared" ca="1" si="151"/>
        <v>3.482600247904144</v>
      </c>
      <c r="AM491" s="106">
        <f t="shared" ca="1" si="143"/>
        <v>27274.612065180641</v>
      </c>
      <c r="AN491" s="10">
        <f t="shared" ca="1" si="144"/>
        <v>0.40678758724230768</v>
      </c>
      <c r="AO491" s="311">
        <f t="shared" ca="1" si="145"/>
        <v>0.40142957189922951</v>
      </c>
      <c r="AP491" s="312">
        <f t="shared" ca="1" si="146"/>
        <v>0.28754101065798737</v>
      </c>
      <c r="AQ491" s="1"/>
      <c r="AR491" s="1"/>
      <c r="AS491" s="1"/>
      <c r="AT491" s="1"/>
      <c r="AU491" s="1"/>
      <c r="BC491" s="23"/>
      <c r="BD491" s="23"/>
    </row>
    <row r="492" spans="34:56">
      <c r="AH492" s="6">
        <f t="shared" si="147"/>
        <v>462</v>
      </c>
      <c r="AI492" s="7">
        <f t="shared" ca="1" si="148"/>
        <v>43132</v>
      </c>
      <c r="AJ492" s="210">
        <f t="shared" ca="1" si="149"/>
        <v>3.3925000000000001</v>
      </c>
      <c r="AK492" s="8">
        <f t="shared" ca="1" si="150"/>
        <v>1.0000942361111111</v>
      </c>
      <c r="AL492" s="98">
        <f t="shared" ca="1" si="151"/>
        <v>3.4826363684758554</v>
      </c>
      <c r="AM492" s="106">
        <f t="shared" ca="1" si="143"/>
        <v>27275.119401781616</v>
      </c>
      <c r="AN492" s="10">
        <f t="shared" ca="1" si="144"/>
        <v>0.41190490242153377</v>
      </c>
      <c r="AO492" s="311">
        <f t="shared" ca="1" si="145"/>
        <v>0.40648450357755112</v>
      </c>
      <c r="AP492" s="312">
        <f t="shared" ca="1" si="146"/>
        <v>0.2875575884131194</v>
      </c>
      <c r="AQ492" s="1"/>
      <c r="AR492" s="1"/>
      <c r="AS492" s="1"/>
      <c r="AT492" s="1"/>
      <c r="AU492" s="1"/>
      <c r="BC492" s="23"/>
      <c r="BD492" s="23"/>
    </row>
    <row r="493" spans="34:56">
      <c r="AH493" s="6">
        <f t="shared" si="147"/>
        <v>463</v>
      </c>
      <c r="AI493" s="7">
        <f t="shared" ca="1" si="148"/>
        <v>43133</v>
      </c>
      <c r="AJ493" s="210">
        <f t="shared" ca="1" si="149"/>
        <v>3.395</v>
      </c>
      <c r="AK493" s="8">
        <f t="shared" ca="1" si="150"/>
        <v>1.0000943055555556</v>
      </c>
      <c r="AL493" s="98">
        <f t="shared" ca="1" si="151"/>
        <v>3.4826779977209288</v>
      </c>
      <c r="AM493" s="106">
        <f t="shared" ca="1" si="143"/>
        <v>27275.626747819584</v>
      </c>
      <c r="AN493" s="10">
        <f t="shared" ca="1" si="144"/>
        <v>0.41700586856125987</v>
      </c>
      <c r="AO493" s="311">
        <f t="shared" ca="1" si="145"/>
        <v>0.41152347440501547</v>
      </c>
      <c r="AP493" s="312">
        <f t="shared" ca="1" si="146"/>
        <v>0.28757462453136873</v>
      </c>
      <c r="AQ493" s="1"/>
      <c r="AR493" s="1"/>
      <c r="AS493" s="1"/>
      <c r="AT493" s="1"/>
      <c r="AU493" s="1"/>
      <c r="BC493" s="23"/>
      <c r="BD493" s="23"/>
    </row>
    <row r="494" spans="34:56">
      <c r="AH494" s="6">
        <f t="shared" si="147"/>
        <v>464</v>
      </c>
      <c r="AI494" s="7">
        <f t="shared" ca="1" si="148"/>
        <v>43134</v>
      </c>
      <c r="AJ494" s="210">
        <f t="shared" ca="1" si="149"/>
        <v>3.3975</v>
      </c>
      <c r="AK494" s="8">
        <f t="shared" ca="1" si="150"/>
        <v>1.000094375</v>
      </c>
      <c r="AL494" s="98">
        <f t="shared" ca="1" si="151"/>
        <v>3.4827251000292936</v>
      </c>
      <c r="AM494" s="106">
        <f t="shared" ca="1" si="143"/>
        <v>27276.134103294728</v>
      </c>
      <c r="AN494" s="10">
        <f t="shared" ca="1" si="144"/>
        <v>0.42209059053968101</v>
      </c>
      <c r="AO494" s="311">
        <f t="shared" ca="1" si="145"/>
        <v>0.41654658884011309</v>
      </c>
      <c r="AP494" s="312">
        <f t="shared" ca="1" si="146"/>
        <v>0.28759211618744934</v>
      </c>
      <c r="AQ494" s="1"/>
      <c r="AR494" s="1"/>
      <c r="AS494" s="1"/>
      <c r="AT494" s="1"/>
      <c r="AU494" s="1"/>
      <c r="BC494" s="23"/>
      <c r="BD494" s="23"/>
    </row>
    <row r="495" spans="34:56">
      <c r="AH495" s="6">
        <f t="shared" si="147"/>
        <v>465</v>
      </c>
      <c r="AI495" s="7">
        <f t="shared" ca="1" si="148"/>
        <v>43135</v>
      </c>
      <c r="AJ495" s="210">
        <f t="shared" ca="1" si="149"/>
        <v>3.4</v>
      </c>
      <c r="AK495" s="8">
        <f t="shared" ca="1" si="150"/>
        <v>1.0000944444444444</v>
      </c>
      <c r="AL495" s="98">
        <f t="shared" ca="1" si="151"/>
        <v>3.4827776400980115</v>
      </c>
      <c r="AM495" s="106">
        <f t="shared" ca="1" si="143"/>
        <v>27276.641468207221</v>
      </c>
      <c r="AN495" s="10">
        <f t="shared" ca="1" si="144"/>
        <v>0.42715917234086298</v>
      </c>
      <c r="AO495" s="311">
        <f t="shared" ca="1" si="145"/>
        <v>0.42155395044417676</v>
      </c>
      <c r="AP495" s="312">
        <f t="shared" ca="1" si="146"/>
        <v>0.28761006058050631</v>
      </c>
      <c r="AQ495" s="1"/>
      <c r="AR495" s="1"/>
      <c r="AS495" s="1"/>
      <c r="AT495" s="1"/>
      <c r="AU495" s="1"/>
      <c r="BC495" s="23"/>
      <c r="BD495" s="23"/>
    </row>
    <row r="496" spans="34:56">
      <c r="AH496" s="6">
        <f t="shared" si="147"/>
        <v>466</v>
      </c>
      <c r="AI496" s="7">
        <f t="shared" ca="1" si="148"/>
        <v>43136</v>
      </c>
      <c r="AJ496" s="210">
        <f t="shared" ca="1" si="149"/>
        <v>3.4025000000000003</v>
      </c>
      <c r="AK496" s="8">
        <f t="shared" ca="1" si="150"/>
        <v>1.0000945138888888</v>
      </c>
      <c r="AL496" s="98">
        <f t="shared" ca="1" si="151"/>
        <v>3.4828355829280344</v>
      </c>
      <c r="AM496" s="106">
        <f t="shared" ca="1" si="143"/>
        <v>27277.148842557232</v>
      </c>
      <c r="AN496" s="10">
        <f t="shared" ca="1" si="144"/>
        <v>0.43221171706409045</v>
      </c>
      <c r="AO496" s="311">
        <f t="shared" ca="1" si="145"/>
        <v>0.42654566189083559</v>
      </c>
      <c r="AP496" s="312">
        <f t="shared" ca="1" si="146"/>
        <v>0.28762845493384093</v>
      </c>
      <c r="AQ496" s="1"/>
      <c r="AR496" s="1"/>
      <c r="AS496" s="1"/>
      <c r="AT496" s="1"/>
      <c r="AU496" s="1"/>
      <c r="BC496" s="23"/>
      <c r="BD496" s="23"/>
    </row>
    <row r="497" spans="34:56">
      <c r="AH497" s="6">
        <f t="shared" si="147"/>
        <v>467</v>
      </c>
      <c r="AI497" s="7">
        <f t="shared" ca="1" si="148"/>
        <v>43137</v>
      </c>
      <c r="AJ497" s="210">
        <f t="shared" ca="1" si="149"/>
        <v>3.4050000000000002</v>
      </c>
      <c r="AK497" s="8">
        <f t="shared" ca="1" si="150"/>
        <v>1.0000945833333332</v>
      </c>
      <c r="AL497" s="98">
        <f t="shared" ca="1" si="151"/>
        <v>3.4828988938209626</v>
      </c>
      <c r="AM497" s="106">
        <f t="shared" ca="1" si="143"/>
        <v>27277.656226344945</v>
      </c>
      <c r="AN497" s="10">
        <f t="shared" ca="1" si="144"/>
        <v>0.43724832693332605</v>
      </c>
      <c r="AO497" s="311">
        <f t="shared" ca="1" si="145"/>
        <v>0.43152182497557112</v>
      </c>
      <c r="AP497" s="312">
        <f t="shared" ca="1" si="146"/>
        <v>0.28764729649467008</v>
      </c>
      <c r="AQ497" s="1"/>
      <c r="AR497" s="1"/>
      <c r="AS497" s="1"/>
      <c r="AT497" s="1"/>
      <c r="AU497" s="1"/>
      <c r="BC497" s="23"/>
      <c r="BD497" s="23"/>
    </row>
    <row r="498" spans="34:56">
      <c r="AH498" s="6">
        <f t="shared" si="147"/>
        <v>468</v>
      </c>
      <c r="AI498" s="7">
        <f t="shared" ca="1" si="148"/>
        <v>43138</v>
      </c>
      <c r="AJ498" s="210">
        <f t="shared" ca="1" si="149"/>
        <v>3.4075000000000002</v>
      </c>
      <c r="AK498" s="8">
        <f t="shared" ca="1" si="150"/>
        <v>1.0000946527777779</v>
      </c>
      <c r="AL498" s="98">
        <f t="shared" ca="1" si="151"/>
        <v>3.482967538375803</v>
      </c>
      <c r="AM498" s="106">
        <f t="shared" ca="1" si="143"/>
        <v>27278.163619570529</v>
      </c>
      <c r="AN498" s="10">
        <f t="shared" ca="1" si="144"/>
        <v>0.44226910330660285</v>
      </c>
      <c r="AO498" s="311">
        <f t="shared" ca="1" si="145"/>
        <v>0.43648254062526975</v>
      </c>
      <c r="AP498" s="312">
        <f t="shared" ca="1" si="146"/>
        <v>0.28766658253385718</v>
      </c>
      <c r="AQ498" s="1"/>
      <c r="AR498" s="1"/>
      <c r="AS498" s="1"/>
      <c r="AT498" s="1"/>
      <c r="AU498" s="1"/>
      <c r="BC498" s="23"/>
      <c r="BD498" s="23"/>
    </row>
    <row r="499" spans="34:56">
      <c r="AH499" s="6">
        <f t="shared" si="147"/>
        <v>469</v>
      </c>
      <c r="AI499" s="7">
        <f t="shared" ca="1" si="148"/>
        <v>43139</v>
      </c>
      <c r="AJ499" s="210">
        <f t="shared" ca="1" si="149"/>
        <v>3.41</v>
      </c>
      <c r="AK499" s="8">
        <f t="shared" ca="1" si="150"/>
        <v>1.0000947222222223</v>
      </c>
      <c r="AL499" s="98">
        <f t="shared" ca="1" si="151"/>
        <v>3.4830414824857492</v>
      </c>
      <c r="AM499" s="106">
        <f t="shared" ca="1" si="143"/>
        <v>27278.671022234168</v>
      </c>
      <c r="AN499" s="10">
        <f t="shared" ca="1" si="144"/>
        <v>0.44727414668488397</v>
      </c>
      <c r="AO499" s="311">
        <f t="shared" ca="1" si="145"/>
        <v>0.44142790890717631</v>
      </c>
      <c r="AP499" s="312">
        <f t="shared" ca="1" si="146"/>
        <v>0.28768631034566228</v>
      </c>
      <c r="AQ499" s="1"/>
      <c r="AR499" s="1"/>
      <c r="AS499" s="1"/>
      <c r="AT499" s="1"/>
      <c r="AU499" s="1"/>
      <c r="BC499" s="23"/>
      <c r="BD499" s="23"/>
    </row>
    <row r="500" spans="34:56">
      <c r="AH500" s="6">
        <f t="shared" si="147"/>
        <v>470</v>
      </c>
      <c r="AI500" s="7">
        <f t="shared" ca="1" si="148"/>
        <v>43140</v>
      </c>
      <c r="AJ500" s="210">
        <f t="shared" ca="1" si="149"/>
        <v>3.4125000000000001</v>
      </c>
      <c r="AK500" s="8">
        <f t="shared" ca="1" si="150"/>
        <v>1.0000947916666667</v>
      </c>
      <c r="AL500" s="98">
        <f t="shared" ca="1" si="151"/>
        <v>3.4831206923351177</v>
      </c>
      <c r="AM500" s="106">
        <f t="shared" ca="1" si="143"/>
        <v>27279.17843433603</v>
      </c>
      <c r="AN500" s="10">
        <f t="shared" ca="1" si="144"/>
        <v>0.45226355672141061</v>
      </c>
      <c r="AO500" s="311">
        <f t="shared" ca="1" si="145"/>
        <v>0.4463580290383109</v>
      </c>
      <c r="AP500" s="312">
        <f t="shared" ca="1" si="146"/>
        <v>0.28770647724749671</v>
      </c>
      <c r="AQ500" s="1"/>
      <c r="AR500" s="1"/>
      <c r="AS500" s="1"/>
      <c r="AT500" s="1"/>
      <c r="AU500" s="1"/>
      <c r="BC500" s="23"/>
      <c r="BD500" s="23"/>
    </row>
    <row r="501" spans="34:56">
      <c r="AH501" s="6">
        <f t="shared" si="147"/>
        <v>471</v>
      </c>
      <c r="AI501" s="7">
        <f t="shared" ca="1" si="148"/>
        <v>43141</v>
      </c>
      <c r="AJ501" s="210">
        <f t="shared" ca="1" si="149"/>
        <v>3.415</v>
      </c>
      <c r="AK501" s="8">
        <f t="shared" ca="1" si="150"/>
        <v>1.0000948611111111</v>
      </c>
      <c r="AL501" s="98">
        <f t="shared" ca="1" si="151"/>
        <v>3.4832051343961279</v>
      </c>
      <c r="AM501" s="106">
        <f t="shared" ca="1" si="143"/>
        <v>27281.586846118302</v>
      </c>
      <c r="AN501" s="10">
        <f t="shared" ca="1" si="144"/>
        <v>0.45181284304862679</v>
      </c>
      <c r="AO501" s="311">
        <f t="shared" ca="1" si="145"/>
        <v>0.44591566869292043</v>
      </c>
      <c r="AP501" s="312">
        <f t="shared" ca="1" si="146"/>
        <v>0.28772708057967372</v>
      </c>
      <c r="AQ501" s="1"/>
      <c r="AR501" s="1"/>
      <c r="AS501" s="1"/>
      <c r="AT501" s="1"/>
      <c r="AU501" s="1"/>
      <c r="BC501" s="23"/>
      <c r="BD501" s="23"/>
    </row>
    <row r="502" spans="34:56">
      <c r="AH502" s="6">
        <f t="shared" si="147"/>
        <v>472</v>
      </c>
      <c r="AI502" s="7">
        <f t="shared" ca="1" si="148"/>
        <v>43142</v>
      </c>
      <c r="AJ502" s="210">
        <f t="shared" ca="1" si="149"/>
        <v>3.4175</v>
      </c>
      <c r="AK502" s="8">
        <f t="shared" ca="1" si="150"/>
        <v>1.0000949305555555</v>
      </c>
      <c r="AL502" s="98">
        <f t="shared" ca="1" si="151"/>
        <v>3.4832947754260157</v>
      </c>
      <c r="AM502" s="106">
        <f t="shared" ca="1" si="143"/>
        <v>27283.995470533348</v>
      </c>
      <c r="AN502" s="10">
        <f t="shared" ca="1" si="144"/>
        <v>0.45136943509054284</v>
      </c>
      <c r="AO502" s="311">
        <f t="shared" ca="1" si="145"/>
        <v>0.44548051311086262</v>
      </c>
      <c r="AP502" s="312">
        <f t="shared" ca="1" si="146"/>
        <v>0.287748117705172</v>
      </c>
      <c r="AQ502" s="1"/>
      <c r="AR502" s="1"/>
      <c r="AS502" s="1"/>
      <c r="AT502" s="1"/>
      <c r="AU502" s="1"/>
      <c r="BC502" s="23"/>
      <c r="BD502" s="23"/>
    </row>
    <row r="503" spans="34:56">
      <c r="AH503" s="6">
        <f t="shared" si="147"/>
        <v>473</v>
      </c>
      <c r="AI503" s="7">
        <f t="shared" ca="1" si="148"/>
        <v>43143</v>
      </c>
      <c r="AJ503" s="210">
        <f t="shared" ca="1" si="149"/>
        <v>3.42</v>
      </c>
      <c r="AK503" s="8">
        <f t="shared" ca="1" si="150"/>
        <v>1.000095</v>
      </c>
      <c r="AL503" s="98">
        <f t="shared" ca="1" si="151"/>
        <v>3.4833895824638583</v>
      </c>
      <c r="AM503" s="106">
        <f t="shared" ca="1" si="143"/>
        <v>27286.404307599936</v>
      </c>
      <c r="AN503" s="10">
        <f t="shared" ca="1" si="144"/>
        <v>0.45093328642658026</v>
      </c>
      <c r="AO503" s="311">
        <f t="shared" ca="1" si="145"/>
        <v>0.44505251670150348</v>
      </c>
      <c r="AP503" s="312">
        <f t="shared" ca="1" si="146"/>
        <v>0.28776958600938474</v>
      </c>
      <c r="AQ503" s="1"/>
      <c r="AR503" s="1"/>
      <c r="AS503" s="1"/>
      <c r="AT503" s="1"/>
      <c r="AU503" s="1"/>
      <c r="BC503" s="23"/>
      <c r="BD503" s="23"/>
    </row>
    <row r="504" spans="34:56">
      <c r="AH504" s="6">
        <f t="shared" si="147"/>
        <v>474</v>
      </c>
      <c r="AI504" s="7">
        <f t="shared" ca="1" si="148"/>
        <v>43144</v>
      </c>
      <c r="AJ504" s="210">
        <f t="shared" ca="1" si="149"/>
        <v>3.4225000000000003</v>
      </c>
      <c r="AK504" s="8">
        <f t="shared" ca="1" si="150"/>
        <v>1.0000950694444444</v>
      </c>
      <c r="AL504" s="98">
        <f t="shared" ca="1" si="151"/>
        <v>3.4834895228276874</v>
      </c>
      <c r="AM504" s="106">
        <f t="shared" ca="1" si="143"/>
        <v>27288.813357336843</v>
      </c>
      <c r="AN504" s="10">
        <f t="shared" ca="1" si="144"/>
        <v>0.45050435102951258</v>
      </c>
      <c r="AO504" s="311">
        <f t="shared" ca="1" si="145"/>
        <v>0.4446316342600698</v>
      </c>
      <c r="AP504" s="312">
        <f t="shared" ca="1" si="146"/>
        <v>0.28779148289989726</v>
      </c>
      <c r="AQ504" s="1"/>
      <c r="AR504" s="1"/>
      <c r="AS504" s="1"/>
      <c r="AT504" s="1"/>
      <c r="AU504" s="1"/>
      <c r="BC504" s="23"/>
      <c r="BD504" s="23"/>
    </row>
    <row r="505" spans="34:56">
      <c r="AH505" s="6">
        <f t="shared" si="147"/>
        <v>475</v>
      </c>
      <c r="AI505" s="7">
        <f t="shared" ca="1" si="148"/>
        <v>43145</v>
      </c>
      <c r="AJ505" s="210">
        <f t="shared" ca="1" si="149"/>
        <v>3.4250000000000003</v>
      </c>
      <c r="AK505" s="8">
        <f t="shared" ca="1" si="150"/>
        <v>1.0000951388888888</v>
      </c>
      <c r="AL505" s="98">
        <f t="shared" ca="1" si="151"/>
        <v>3.4835945641114696</v>
      </c>
      <c r="AM505" s="106">
        <f t="shared" ca="1" si="143"/>
        <v>27291.222619762844</v>
      </c>
      <c r="AN505" s="10">
        <f t="shared" ca="1" si="144"/>
        <v>0.4500825832612465</v>
      </c>
      <c r="AO505" s="311">
        <f t="shared" ca="1" si="145"/>
        <v>0.4442178209635877</v>
      </c>
      <c r="AP505" s="312">
        <f t="shared" ca="1" si="146"/>
        <v>0.287813805806242</v>
      </c>
      <c r="AQ505" s="1"/>
      <c r="AR505" s="1"/>
      <c r="AS505" s="1"/>
      <c r="AT505" s="1"/>
      <c r="AU505" s="1"/>
      <c r="BC505" s="23"/>
      <c r="BD505" s="23"/>
    </row>
    <row r="506" spans="34:56">
      <c r="AH506" s="6">
        <f t="shared" si="147"/>
        <v>476</v>
      </c>
      <c r="AI506" s="7">
        <f t="shared" ca="1" si="148"/>
        <v>43146</v>
      </c>
      <c r="AJ506" s="210">
        <f t="shared" ca="1" si="149"/>
        <v>3.4275000000000002</v>
      </c>
      <c r="AK506" s="8">
        <f t="shared" ca="1" si="150"/>
        <v>1.0000952083333334</v>
      </c>
      <c r="AL506" s="98">
        <f t="shared" ca="1" si="151"/>
        <v>3.4837046741823308</v>
      </c>
      <c r="AM506" s="106">
        <f t="shared" ca="1" si="143"/>
        <v>27293.632094896726</v>
      </c>
      <c r="AN506" s="10">
        <f t="shared" ca="1" si="144"/>
        <v>0.44966793786875847</v>
      </c>
      <c r="AO506" s="311">
        <f t="shared" ca="1" si="145"/>
        <v>0.44381103236685554</v>
      </c>
      <c r="AP506" s="312">
        <f t="shared" ca="1" si="146"/>
        <v>0.28783655217967802</v>
      </c>
      <c r="AQ506" s="1"/>
      <c r="AR506" s="1"/>
      <c r="AS506" s="1"/>
      <c r="AT506" s="1"/>
      <c r="AU506" s="1"/>
      <c r="BC506" s="23"/>
      <c r="BD506" s="23"/>
    </row>
    <row r="507" spans="34:56">
      <c r="AH507" s="6">
        <f t="shared" si="147"/>
        <v>477</v>
      </c>
      <c r="AI507" s="7">
        <f t="shared" ca="1" si="148"/>
        <v>43147</v>
      </c>
      <c r="AJ507" s="210">
        <f t="shared" ca="1" si="149"/>
        <v>3.43</v>
      </c>
      <c r="AK507" s="8">
        <f t="shared" ca="1" si="150"/>
        <v>1.0000952777777778</v>
      </c>
      <c r="AL507" s="98">
        <f t="shared" ca="1" si="151"/>
        <v>3.483819821177514</v>
      </c>
      <c r="AM507" s="106">
        <f t="shared" ca="1" si="143"/>
        <v>27296.041782757249</v>
      </c>
      <c r="AN507" s="10">
        <f t="shared" ca="1" si="144"/>
        <v>0.44926036998003127</v>
      </c>
      <c r="AO507" s="311">
        <f t="shared" ca="1" si="145"/>
        <v>0.44341122439851705</v>
      </c>
      <c r="AP507" s="312">
        <f t="shared" ca="1" si="146"/>
        <v>0.28785971949295336</v>
      </c>
      <c r="AQ507" s="1"/>
      <c r="AR507" s="1"/>
      <c r="AS507" s="1"/>
      <c r="AT507" s="1"/>
      <c r="AU507" s="1"/>
      <c r="BC507" s="23"/>
      <c r="BD507" s="23"/>
    </row>
    <row r="508" spans="34:56">
      <c r="AH508" s="6">
        <f t="shared" si="147"/>
        <v>478</v>
      </c>
      <c r="AI508" s="7">
        <f t="shared" ca="1" si="148"/>
        <v>43148</v>
      </c>
      <c r="AJ508" s="210">
        <f t="shared" ca="1" si="149"/>
        <v>3.4325000000000001</v>
      </c>
      <c r="AK508" s="8">
        <f t="shared" ca="1" si="150"/>
        <v>1.0000953472222223</v>
      </c>
      <c r="AL508" s="98">
        <f t="shared" ca="1" si="151"/>
        <v>3.4839399735016485</v>
      </c>
      <c r="AM508" s="106">
        <f t="shared" ca="1" si="143"/>
        <v>27298.451683363208</v>
      </c>
      <c r="AN508" s="10">
        <f t="shared" ca="1" si="144"/>
        <v>0.4488598350999462</v>
      </c>
      <c r="AO508" s="311">
        <f t="shared" ca="1" si="145"/>
        <v>0.44301835335701728</v>
      </c>
      <c r="AP508" s="312">
        <f t="shared" ca="1" si="146"/>
        <v>0.28788330524008582</v>
      </c>
      <c r="AQ508" s="1"/>
      <c r="AR508" s="1"/>
      <c r="AS508" s="1"/>
      <c r="AT508" s="1"/>
      <c r="AU508" s="1"/>
      <c r="BC508" s="23"/>
      <c r="BD508" s="23"/>
    </row>
    <row r="509" spans="34:56">
      <c r="AH509" s="6">
        <f t="shared" si="147"/>
        <v>479</v>
      </c>
      <c r="AI509" s="7">
        <f t="shared" ca="1" si="148"/>
        <v>43149</v>
      </c>
      <c r="AJ509" s="210">
        <f t="shared" ca="1" si="149"/>
        <v>3.4350000000000001</v>
      </c>
      <c r="AK509" s="8">
        <f t="shared" ca="1" si="150"/>
        <v>1.0000954166666667</v>
      </c>
      <c r="AL509" s="98">
        <f t="shared" ca="1" si="151"/>
        <v>3.4840650998239298</v>
      </c>
      <c r="AM509" s="106">
        <f t="shared" ca="1" si="143"/>
        <v>27300.861796733385</v>
      </c>
      <c r="AN509" s="10">
        <f t="shared" ca="1" si="144"/>
        <v>0.44846628910644171</v>
      </c>
      <c r="AO509" s="311">
        <f t="shared" ca="1" si="145"/>
        <v>0.44263237590680959</v>
      </c>
      <c r="AP509" s="312">
        <f t="shared" ca="1" si="146"/>
        <v>0.2879073069361382</v>
      </c>
      <c r="AQ509" s="1"/>
      <c r="AR509" s="1"/>
      <c r="AS509" s="1"/>
      <c r="AT509" s="1"/>
      <c r="AU509" s="1"/>
      <c r="BC509" s="23"/>
      <c r="BD509" s="23"/>
    </row>
    <row r="510" spans="34:56">
      <c r="AH510" s="6">
        <f t="shared" si="147"/>
        <v>480</v>
      </c>
      <c r="AI510" s="7">
        <f t="shared" ca="1" si="148"/>
        <v>43150</v>
      </c>
      <c r="AJ510" s="210">
        <f t="shared" ca="1" si="149"/>
        <v>3.4375</v>
      </c>
      <c r="AK510" s="8">
        <f t="shared" ca="1" si="150"/>
        <v>1.0000954861111111</v>
      </c>
      <c r="AL510" s="98">
        <f t="shared" ca="1" si="151"/>
        <v>3.4841951690753659</v>
      </c>
      <c r="AM510" s="106">
        <f t="shared" ca="1" si="143"/>
        <v>27303.272122886567</v>
      </c>
      <c r="AN510" s="10">
        <f t="shared" ca="1" si="144"/>
        <v>0.44807968824667199</v>
      </c>
      <c r="AO510" s="311">
        <f t="shared" ca="1" si="145"/>
        <v>0.44225324907472552</v>
      </c>
      <c r="AP510" s="312">
        <f t="shared" ca="1" si="146"/>
        <v>0.28793172211700468</v>
      </c>
      <c r="AQ510" s="1"/>
      <c r="AR510" s="1"/>
      <c r="AS510" s="1"/>
      <c r="AT510" s="1"/>
      <c r="AU510" s="1"/>
      <c r="BC510" s="23"/>
      <c r="BD510" s="23"/>
    </row>
    <row r="511" spans="34:56">
      <c r="AH511" s="6">
        <f t="shared" si="147"/>
        <v>481</v>
      </c>
      <c r="AI511" s="7">
        <f t="shared" ca="1" si="148"/>
        <v>43151</v>
      </c>
      <c r="AJ511" s="210">
        <f t="shared" ca="1" si="149"/>
        <v>3.44</v>
      </c>
      <c r="AK511" s="8">
        <f t="shared" ca="1" si="150"/>
        <v>1.0000955555555555</v>
      </c>
      <c r="AL511" s="98">
        <f t="shared" ca="1" si="151"/>
        <v>3.4843301504460467</v>
      </c>
      <c r="AM511" s="106">
        <f t="shared" ca="1" si="143"/>
        <v>27305.682661841525</v>
      </c>
      <c r="AN511" s="10">
        <f t="shared" ca="1" si="144"/>
        <v>0.44769998913303244</v>
      </c>
      <c r="AO511" s="311">
        <f t="shared" ca="1" si="145"/>
        <v>0.44188093024595909</v>
      </c>
      <c r="AP511" s="312">
        <f t="shared" ca="1" si="146"/>
        <v>0.2879565483391886</v>
      </c>
      <c r="AQ511" s="1"/>
      <c r="AR511" s="1"/>
      <c r="AS511" s="1"/>
      <c r="AT511" s="1"/>
      <c r="AU511" s="1"/>
      <c r="BC511" s="23"/>
      <c r="BD511" s="23"/>
    </row>
    <row r="512" spans="34:56">
      <c r="AH512" s="6">
        <f t="shared" si="147"/>
        <v>482</v>
      </c>
      <c r="AI512" s="7">
        <f t="shared" ca="1" si="148"/>
        <v>43152</v>
      </c>
      <c r="AJ512" s="210">
        <f t="shared" ca="1" si="149"/>
        <v>3.4425000000000003</v>
      </c>
      <c r="AK512" s="8">
        <f t="shared" ca="1" si="150"/>
        <v>1.0000956249999999</v>
      </c>
      <c r="AL512" s="98">
        <f t="shared" ca="1" si="151"/>
        <v>3.4844700133824125</v>
      </c>
      <c r="AM512" s="106">
        <f t="shared" ca="1" si="143"/>
        <v>27308.093413617065</v>
      </c>
      <c r="AN512" s="10">
        <f t="shared" ca="1" si="144"/>
        <v>0.44732714873936263</v>
      </c>
      <c r="AO512" s="311">
        <f t="shared" ca="1" si="145"/>
        <v>0.44151537716041561</v>
      </c>
      <c r="AP512" s="312">
        <f t="shared" ca="1" si="146"/>
        <v>0.28798178317959156</v>
      </c>
      <c r="AQ512" s="1"/>
      <c r="AR512" s="1"/>
      <c r="AS512" s="1"/>
      <c r="AT512" s="1"/>
      <c r="AU512" s="1"/>
      <c r="BC512" s="23"/>
      <c r="BD512" s="23"/>
    </row>
    <row r="513" spans="34:56">
      <c r="AH513" s="6">
        <f t="shared" si="147"/>
        <v>483</v>
      </c>
      <c r="AI513" s="7">
        <f t="shared" ca="1" si="148"/>
        <v>43153</v>
      </c>
      <c r="AJ513" s="210">
        <f t="shared" ca="1" si="149"/>
        <v>3.4450000000000003</v>
      </c>
      <c r="AK513" s="8">
        <f t="shared" ca="1" si="150"/>
        <v>1.0000956944444443</v>
      </c>
      <c r="AL513" s="98">
        <f t="shared" ca="1" si="151"/>
        <v>3.4846147275846784</v>
      </c>
      <c r="AM513" s="106">
        <f t="shared" ca="1" si="143"/>
        <v>27310.504378231966</v>
      </c>
      <c r="AN513" s="10">
        <f t="shared" ca="1" si="144"/>
        <v>0.44696112439728264</v>
      </c>
      <c r="AO513" s="311">
        <f t="shared" ca="1" si="145"/>
        <v>0.44115654790913889</v>
      </c>
      <c r="AP513" s="312">
        <f t="shared" ca="1" si="146"/>
        <v>0.28800742423530085</v>
      </c>
      <c r="AQ513" s="1"/>
      <c r="AR513" s="1"/>
      <c r="AS513" s="1"/>
      <c r="AT513" s="1"/>
      <c r="AU513" s="1"/>
      <c r="BC513" s="23"/>
      <c r="BD513" s="23"/>
    </row>
    <row r="514" spans="34:56">
      <c r="AH514" s="6">
        <f t="shared" si="147"/>
        <v>484</v>
      </c>
      <c r="AI514" s="7">
        <f t="shared" ca="1" si="148"/>
        <v>43154</v>
      </c>
      <c r="AJ514" s="210">
        <f t="shared" ca="1" si="149"/>
        <v>3.4475000000000002</v>
      </c>
      <c r="AK514" s="8">
        <f t="shared" ca="1" si="150"/>
        <v>1.000095763888889</v>
      </c>
      <c r="AL514" s="98">
        <f t="shared" ca="1" si="151"/>
        <v>3.4847642630041253</v>
      </c>
      <c r="AM514" s="106">
        <f t="shared" ca="1" si="143"/>
        <v>27312.915555705025</v>
      </c>
      <c r="AN514" s="10">
        <f t="shared" ca="1" si="144"/>
        <v>0.44660187379239602</v>
      </c>
      <c r="AO514" s="311">
        <f t="shared" ca="1" si="145"/>
        <v>0.44080440093055173</v>
      </c>
      <c r="AP514" s="312">
        <f t="shared" ca="1" si="146"/>
        <v>0.28803346912338362</v>
      </c>
      <c r="AQ514" s="1"/>
      <c r="AR514" s="1"/>
      <c r="AS514" s="1"/>
      <c r="AT514" s="1"/>
      <c r="AU514" s="1"/>
      <c r="BC514" s="23"/>
      <c r="BD514" s="23"/>
    </row>
    <row r="515" spans="34:56">
      <c r="AH515" s="6">
        <f t="shared" si="147"/>
        <v>485</v>
      </c>
      <c r="AI515" s="7">
        <f t="shared" ca="1" si="148"/>
        <v>43155</v>
      </c>
      <c r="AJ515" s="210">
        <f t="shared" ca="1" si="149"/>
        <v>3.45</v>
      </c>
      <c r="AK515" s="8">
        <f t="shared" ca="1" si="150"/>
        <v>1.0000958333333334</v>
      </c>
      <c r="AL515" s="98">
        <f t="shared" ca="1" si="151"/>
        <v>3.4849185898405022</v>
      </c>
      <c r="AM515" s="106">
        <f t="shared" ca="1" si="143"/>
        <v>27315.326946055033</v>
      </c>
      <c r="AN515" s="10">
        <f t="shared" ca="1" si="144"/>
        <v>0.44624935496067053</v>
      </c>
      <c r="AO515" s="311">
        <f t="shared" ca="1" si="145"/>
        <v>0.44045889500695717</v>
      </c>
      <c r="AP515" s="312">
        <f t="shared" ca="1" si="146"/>
        <v>0.28805991548067544</v>
      </c>
      <c r="AQ515" s="1"/>
      <c r="AR515" s="1"/>
      <c r="AS515" s="1"/>
      <c r="AT515" s="1"/>
      <c r="AU515" s="1"/>
      <c r="BC515" s="23"/>
      <c r="BD515" s="23"/>
    </row>
    <row r="516" spans="34:56">
      <c r="AH516" s="6">
        <f t="shared" si="147"/>
        <v>486</v>
      </c>
      <c r="AI516" s="7">
        <f t="shared" ca="1" si="148"/>
        <v>43156</v>
      </c>
      <c r="AJ516" s="210">
        <f t="shared" ca="1" si="149"/>
        <v>3.4525000000000001</v>
      </c>
      <c r="AK516" s="8">
        <f t="shared" ca="1" si="150"/>
        <v>1.0000959027777778</v>
      </c>
      <c r="AL516" s="98">
        <f t="shared" ca="1" si="151"/>
        <v>3.4850776785394944</v>
      </c>
      <c r="AM516" s="106">
        <f t="shared" ca="1" si="143"/>
        <v>27317.738549300775</v>
      </c>
      <c r="AN516" s="10">
        <f t="shared" ca="1" si="144"/>
        <v>0.44590352628477437</v>
      </c>
      <c r="AO516" s="311">
        <f t="shared" ca="1" si="145"/>
        <v>0.44011998926100043</v>
      </c>
      <c r="AP516" s="312">
        <f t="shared" ca="1" si="146"/>
        <v>0.28808676096358105</v>
      </c>
      <c r="AQ516" s="1"/>
      <c r="AR516" s="1"/>
      <c r="AS516" s="1"/>
      <c r="AT516" s="1"/>
      <c r="AU516" s="1"/>
      <c r="BC516" s="23"/>
      <c r="BD516" s="23"/>
    </row>
    <row r="517" spans="34:56">
      <c r="AH517" s="6">
        <f t="shared" si="147"/>
        <v>487</v>
      </c>
      <c r="AI517" s="7">
        <f t="shared" ca="1" si="148"/>
        <v>43157</v>
      </c>
      <c r="AJ517" s="210">
        <f t="shared" ca="1" si="149"/>
        <v>3.4550000000000001</v>
      </c>
      <c r="AK517" s="8">
        <f t="shared" ca="1" si="150"/>
        <v>1.0000959722222222</v>
      </c>
      <c r="AL517" s="98">
        <f t="shared" ca="1" si="151"/>
        <v>3.4852414997902148</v>
      </c>
      <c r="AM517" s="106">
        <f t="shared" ca="1" si="143"/>
        <v>27320.150365461057</v>
      </c>
      <c r="AN517" s="10">
        <f t="shared" ca="1" si="144"/>
        <v>0.44556434649052346</v>
      </c>
      <c r="AO517" s="311">
        <f t="shared" ca="1" si="145"/>
        <v>0.43978764315207636</v>
      </c>
      <c r="AP517" s="312">
        <f t="shared" ca="1" si="146"/>
        <v>0.28811400324787489</v>
      </c>
      <c r="AQ517" s="1"/>
      <c r="AR517" s="1"/>
      <c r="AS517" s="1"/>
      <c r="AT517" s="1"/>
      <c r="AU517" s="1"/>
      <c r="BC517" s="23"/>
      <c r="BD517" s="23"/>
    </row>
    <row r="518" spans="34:56">
      <c r="AH518" s="6">
        <f t="shared" si="147"/>
        <v>488</v>
      </c>
      <c r="AI518" s="7">
        <f t="shared" ca="1" si="148"/>
        <v>43158</v>
      </c>
      <c r="AJ518" s="210">
        <f t="shared" ca="1" si="149"/>
        <v>3.4575</v>
      </c>
      <c r="AK518" s="8">
        <f t="shared" ca="1" si="150"/>
        <v>1.0000960416666667</v>
      </c>
      <c r="AL518" s="98">
        <f t="shared" ca="1" si="151"/>
        <v>3.4854100245226727</v>
      </c>
      <c r="AM518" s="106">
        <f t="shared" ca="1" si="143"/>
        <v>27322.562394554679</v>
      </c>
      <c r="AN518" s="10">
        <f t="shared" ca="1" si="144"/>
        <v>0.44523177464346197</v>
      </c>
      <c r="AO518" s="311">
        <f t="shared" ca="1" si="145"/>
        <v>0.43946181647305932</v>
      </c>
      <c r="AP518" s="312">
        <f t="shared" ca="1" si="146"/>
        <v>0.28814164002850101</v>
      </c>
      <c r="AQ518" s="1"/>
      <c r="AR518" s="1"/>
      <c r="AS518" s="1"/>
      <c r="AT518" s="1"/>
      <c r="AU518" s="1"/>
      <c r="BC518" s="23"/>
      <c r="BD518" s="23"/>
    </row>
    <row r="519" spans="34:56">
      <c r="AH519" s="6">
        <f t="shared" si="147"/>
        <v>489</v>
      </c>
      <c r="AI519" s="7">
        <f t="shared" ca="1" si="148"/>
        <v>43159</v>
      </c>
      <c r="AJ519" s="210">
        <f t="shared" ca="1" si="149"/>
        <v>3.46</v>
      </c>
      <c r="AK519" s="8">
        <f t="shared" ca="1" si="150"/>
        <v>1.0000961111111111</v>
      </c>
      <c r="AL519" s="98">
        <f t="shared" ca="1" si="151"/>
        <v>3.4855832239052864</v>
      </c>
      <c r="AM519" s="106">
        <f t="shared" ca="1" si="143"/>
        <v>27324.974636600433</v>
      </c>
      <c r="AN519" s="10">
        <f t="shared" ca="1" si="144"/>
        <v>0.444905770145132</v>
      </c>
      <c r="AO519" s="311">
        <f t="shared" ca="1" si="145"/>
        <v>0.43914246934671325</v>
      </c>
      <c r="AP519" s="312">
        <f t="shared" ca="1" si="146"/>
        <v>0.2881696690193733</v>
      </c>
      <c r="AQ519" s="1"/>
      <c r="AR519" s="1"/>
      <c r="AS519" s="1"/>
      <c r="AT519" s="1"/>
      <c r="AU519" s="1"/>
      <c r="BC519" s="23"/>
      <c r="BD519" s="23"/>
    </row>
    <row r="520" spans="34:56">
      <c r="AH520" s="6">
        <f t="shared" si="147"/>
        <v>490</v>
      </c>
      <c r="AI520" s="7">
        <f t="shared" ca="1" si="148"/>
        <v>43160</v>
      </c>
      <c r="AJ520" s="210">
        <f t="shared" ca="1" si="149"/>
        <v>3.4625000000000004</v>
      </c>
      <c r="AK520" s="8">
        <f t="shared" ca="1" si="150"/>
        <v>1.0000961805555555</v>
      </c>
      <c r="AL520" s="98">
        <f t="shared" ca="1" si="151"/>
        <v>3.4857610693425078</v>
      </c>
      <c r="AM520" s="106">
        <f t="shared" ca="1" si="143"/>
        <v>27327.387091617122</v>
      </c>
      <c r="AN520" s="10">
        <f t="shared" ca="1" si="144"/>
        <v>0.44458629272989825</v>
      </c>
      <c r="AO520" s="311">
        <f t="shared" ca="1" si="145"/>
        <v>0.43882956222244007</v>
      </c>
      <c r="AP520" s="312">
        <f t="shared" ca="1" si="146"/>
        <v>0.28819808795319124</v>
      </c>
      <c r="AQ520" s="1"/>
      <c r="AR520" s="1"/>
      <c r="AS520" s="1"/>
      <c r="AT520" s="1"/>
      <c r="AU520" s="1"/>
      <c r="BC520" s="23"/>
      <c r="BD520" s="23"/>
    </row>
    <row r="521" spans="34:56">
      <c r="AH521" s="6">
        <f t="shared" si="147"/>
        <v>491</v>
      </c>
      <c r="AI521" s="7">
        <f t="shared" ca="1" si="148"/>
        <v>43161</v>
      </c>
      <c r="AJ521" s="210">
        <f t="shared" ca="1" si="149"/>
        <v>3.4650000000000003</v>
      </c>
      <c r="AK521" s="8">
        <f t="shared" ca="1" si="150"/>
        <v>1.0000962499999999</v>
      </c>
      <c r="AL521" s="98">
        <f t="shared" ca="1" si="151"/>
        <v>3.4859435324723131</v>
      </c>
      <c r="AM521" s="106">
        <f t="shared" ca="1" si="143"/>
        <v>27329.799759623555</v>
      </c>
      <c r="AN521" s="10">
        <f t="shared" ca="1" si="144"/>
        <v>0.44427330246132879</v>
      </c>
      <c r="AO521" s="311">
        <f t="shared" ca="1" si="145"/>
        <v>0.4385230558728716</v>
      </c>
      <c r="AP521" s="312">
        <f t="shared" ca="1" si="146"/>
        <v>0.28822689458123646</v>
      </c>
      <c r="AQ521" s="1"/>
      <c r="AR521" s="1"/>
      <c r="AS521" s="1"/>
      <c r="AT521" s="1"/>
      <c r="AU521" s="1"/>
      <c r="BC521" s="23"/>
      <c r="BD521" s="23"/>
    </row>
    <row r="522" spans="34:56">
      <c r="AH522" s="6">
        <f t="shared" si="147"/>
        <v>492</v>
      </c>
      <c r="AI522" s="7">
        <f t="shared" ca="1" si="148"/>
        <v>43162</v>
      </c>
      <c r="AJ522" s="210">
        <f t="shared" ca="1" si="149"/>
        <v>3.4675000000000002</v>
      </c>
      <c r="AK522" s="8">
        <f t="shared" ca="1" si="150"/>
        <v>1.0000963194444445</v>
      </c>
      <c r="AL522" s="98">
        <f t="shared" ca="1" si="151"/>
        <v>3.4861305851639157</v>
      </c>
      <c r="AM522" s="106">
        <f t="shared" ca="1" si="143"/>
        <v>27332.212640638525</v>
      </c>
      <c r="AN522" s="10">
        <f t="shared" ca="1" si="144"/>
        <v>0.44396675972901978</v>
      </c>
      <c r="AO522" s="311">
        <f t="shared" ca="1" si="145"/>
        <v>0.43822291139071523</v>
      </c>
      <c r="AP522" s="312">
        <f t="shared" ca="1" si="146"/>
        <v>0.28825608667319463</v>
      </c>
      <c r="AQ522" s="1"/>
      <c r="AR522" s="1"/>
      <c r="AS522" s="1"/>
      <c r="AT522" s="1"/>
      <c r="AU522" s="1"/>
      <c r="BC522" s="23"/>
      <c r="BD522" s="23"/>
    </row>
    <row r="523" spans="34:56">
      <c r="AH523" s="6">
        <f t="shared" si="147"/>
        <v>493</v>
      </c>
      <c r="AI523" s="7">
        <f t="shared" ca="1" si="148"/>
        <v>43163</v>
      </c>
      <c r="AJ523" s="210">
        <f t="shared" ca="1" si="149"/>
        <v>3.47</v>
      </c>
      <c r="AK523" s="8">
        <f t="shared" ca="1" si="150"/>
        <v>1.000096388888889</v>
      </c>
      <c r="AL523" s="98">
        <f t="shared" ca="1" si="151"/>
        <v>3.4863221995153681</v>
      </c>
      <c r="AM523" s="106">
        <f t="shared" ca="1" si="143"/>
        <v>27334.625734680845</v>
      </c>
      <c r="AN523" s="10">
        <f t="shared" ca="1" si="144"/>
        <v>0.44366662524508715</v>
      </c>
      <c r="AO523" s="311">
        <f t="shared" ca="1" si="145"/>
        <v>0.4379290901852963</v>
      </c>
      <c r="AP523" s="312">
        <f t="shared" ca="1" si="146"/>
        <v>0.28828566201696226</v>
      </c>
      <c r="AQ523" s="1"/>
      <c r="AR523" s="1"/>
      <c r="AS523" s="1"/>
      <c r="AT523" s="1"/>
      <c r="AU523" s="1"/>
      <c r="BC523" s="23"/>
      <c r="BD523" s="23"/>
    </row>
    <row r="524" spans="34:56">
      <c r="AH524" s="6">
        <f t="shared" si="147"/>
        <v>494</v>
      </c>
      <c r="AI524" s="7">
        <f t="shared" ca="1" si="148"/>
        <v>43164</v>
      </c>
      <c r="AJ524" s="210">
        <f t="shared" ca="1" si="149"/>
        <v>3.4725000000000001</v>
      </c>
      <c r="AK524" s="8">
        <f t="shared" ca="1" si="150"/>
        <v>1.0000964583333334</v>
      </c>
      <c r="AL524" s="98">
        <f t="shared" ca="1" si="151"/>
        <v>3.4865183478512307</v>
      </c>
      <c r="AM524" s="106">
        <f t="shared" ca="1" si="143"/>
        <v>27337.03904176932</v>
      </c>
      <c r="AN524" s="10">
        <f t="shared" ca="1" si="144"/>
        <v>0.44337286004103582</v>
      </c>
      <c r="AO524" s="311">
        <f t="shared" ca="1" si="145"/>
        <v>0.43764155397954807</v>
      </c>
      <c r="AP524" s="312">
        <f t="shared" ca="1" si="146"/>
        <v>0.28831561841846476</v>
      </c>
      <c r="AQ524" s="1"/>
      <c r="AR524" s="1"/>
      <c r="AS524" s="1"/>
      <c r="AT524" s="1"/>
      <c r="AU524" s="1"/>
      <c r="BC524" s="23"/>
      <c r="BD524" s="23"/>
    </row>
    <row r="525" spans="34:56">
      <c r="AH525" s="6">
        <f t="shared" si="147"/>
        <v>495</v>
      </c>
      <c r="AI525" s="7">
        <f t="shared" ca="1" si="148"/>
        <v>43165</v>
      </c>
      <c r="AJ525" s="210">
        <f t="shared" ca="1" si="149"/>
        <v>3.4750000000000001</v>
      </c>
      <c r="AK525" s="8">
        <f t="shared" ca="1" si="150"/>
        <v>1.0000965277777778</v>
      </c>
      <c r="AL525" s="98">
        <f t="shared" ca="1" si="151"/>
        <v>3.4867190027203288</v>
      </c>
      <c r="AM525" s="106">
        <f t="shared" ca="1" si="143"/>
        <v>27339.452561922764</v>
      </c>
      <c r="AN525" s="10">
        <f t="shared" ca="1" si="144"/>
        <v>0.44308542546453999</v>
      </c>
      <c r="AO525" s="311">
        <f t="shared" ca="1" si="145"/>
        <v>0.43736026480684392</v>
      </c>
      <c r="AP525" s="312">
        <f t="shared" ca="1" si="146"/>
        <v>0.28834595370147731</v>
      </c>
      <c r="AQ525" s="1"/>
      <c r="AR525" s="1"/>
      <c r="AS525" s="1"/>
      <c r="AT525" s="1"/>
      <c r="AU525" s="1"/>
      <c r="BC525" s="23"/>
      <c r="BD525" s="23"/>
    </row>
    <row r="526" spans="34:56">
      <c r="AH526" s="6">
        <f t="shared" si="147"/>
        <v>496</v>
      </c>
      <c r="AI526" s="7">
        <f t="shared" ca="1" si="148"/>
        <v>43166</v>
      </c>
      <c r="AJ526" s="210">
        <f t="shared" ca="1" si="149"/>
        <v>3.4775</v>
      </c>
      <c r="AK526" s="8">
        <f t="shared" ca="1" si="150"/>
        <v>1.0000965972222222</v>
      </c>
      <c r="AL526" s="98">
        <f t="shared" ca="1" si="151"/>
        <v>3.4869241368934656</v>
      </c>
      <c r="AM526" s="106">
        <f t="shared" ca="1" si="143"/>
        <v>27341.866295159991</v>
      </c>
      <c r="AN526" s="10">
        <f t="shared" ca="1" si="144"/>
        <v>0.44280428317604592</v>
      </c>
      <c r="AO526" s="311">
        <f t="shared" ca="1" si="145"/>
        <v>0.43708518500764193</v>
      </c>
      <c r="AP526" s="312">
        <f t="shared" ca="1" si="146"/>
        <v>0.28837666570744092</v>
      </c>
      <c r="AQ526" s="1"/>
      <c r="AR526" s="1"/>
      <c r="AS526" s="1"/>
      <c r="AT526" s="1"/>
      <c r="AU526" s="1"/>
      <c r="BC526" s="23"/>
      <c r="BD526" s="23"/>
    </row>
    <row r="527" spans="34:56">
      <c r="AH527" s="6">
        <f t="shared" si="147"/>
        <v>497</v>
      </c>
      <c r="AI527" s="7">
        <f t="shared" ca="1" si="148"/>
        <v>43167</v>
      </c>
      <c r="AJ527" s="210">
        <f t="shared" ca="1" si="149"/>
        <v>3.48</v>
      </c>
      <c r="AK527" s="8">
        <f t="shared" ca="1" si="150"/>
        <v>1.0000966666666666</v>
      </c>
      <c r="AL527" s="98">
        <f t="shared" ca="1" si="151"/>
        <v>3.4871337233611355</v>
      </c>
      <c r="AM527" s="106">
        <f t="shared" ca="1" si="143"/>
        <v>27344.2802414998</v>
      </c>
      <c r="AN527" s="10">
        <f t="shared" ca="1" si="144"/>
        <v>0.44252939514586309</v>
      </c>
      <c r="AO527" s="311">
        <f t="shared" ca="1" si="145"/>
        <v>0.43681627722666955</v>
      </c>
      <c r="AP527" s="312">
        <f t="shared" ca="1" si="146"/>
        <v>0.28840775229528298</v>
      </c>
      <c r="AQ527" s="1"/>
      <c r="AR527" s="1"/>
      <c r="AS527" s="1"/>
      <c r="AT527" s="1"/>
      <c r="AU527" s="1"/>
      <c r="BC527" s="23"/>
      <c r="BD527" s="23"/>
    </row>
    <row r="528" spans="34:56">
      <c r="AH528" s="6">
        <f t="shared" si="147"/>
        <v>498</v>
      </c>
      <c r="AI528" s="7">
        <f t="shared" ca="1" si="148"/>
        <v>43168</v>
      </c>
      <c r="AJ528" s="210">
        <f t="shared" ca="1" si="149"/>
        <v>3.4824999999999999</v>
      </c>
      <c r="AK528" s="8">
        <f t="shared" ca="1" si="150"/>
        <v>1.0000967361111111</v>
      </c>
      <c r="AL528" s="98">
        <f t="shared" ca="1" si="151"/>
        <v>3.4873477353313476</v>
      </c>
      <c r="AM528" s="106">
        <f t="shared" ca="1" si="143"/>
        <v>27346.694400961012</v>
      </c>
      <c r="AN528" s="10">
        <f t="shared" ca="1" si="144"/>
        <v>0.44226072365083358</v>
      </c>
      <c r="AO528" s="311">
        <f t="shared" ca="1" si="145"/>
        <v>0.4365535044096916</v>
      </c>
      <c r="AP528" s="312">
        <f t="shared" ca="1" si="146"/>
        <v>0.28843921134124617</v>
      </c>
      <c r="AQ528" s="1"/>
      <c r="AR528" s="1"/>
      <c r="AS528" s="1"/>
      <c r="AT528" s="1"/>
      <c r="AU528" s="1"/>
      <c r="BC528" s="23"/>
      <c r="BD528" s="23"/>
    </row>
    <row r="529" spans="34:56">
      <c r="AH529" s="6">
        <f t="shared" si="147"/>
        <v>499</v>
      </c>
      <c r="AI529" s="7">
        <f t="shared" ca="1" si="148"/>
        <v>43169</v>
      </c>
      <c r="AJ529" s="210">
        <f t="shared" ca="1" si="149"/>
        <v>3.4850000000000003</v>
      </c>
      <c r="AK529" s="8">
        <f t="shared" ca="1" si="150"/>
        <v>1.0000968055555555</v>
      </c>
      <c r="AL529" s="98">
        <f t="shared" ca="1" si="151"/>
        <v>3.4875661462274943</v>
      </c>
      <c r="AM529" s="106">
        <f t="shared" ca="1" si="143"/>
        <v>27348.875115285315</v>
      </c>
      <c r="AN529" s="10">
        <f t="shared" ca="1" si="144"/>
        <v>0.44262592655701649</v>
      </c>
      <c r="AO529" s="311">
        <f t="shared" ca="1" si="145"/>
        <v>0.43691693042517821</v>
      </c>
      <c r="AP529" s="312">
        <f t="shared" ca="1" si="146"/>
        <v>0.28847104073871854</v>
      </c>
      <c r="AQ529" s="1"/>
      <c r="AR529" s="1"/>
      <c r="AS529" s="1"/>
      <c r="AT529" s="1"/>
      <c r="AU529" s="1"/>
      <c r="BC529" s="23"/>
      <c r="BD529" s="23"/>
    </row>
    <row r="530" spans="34:56">
      <c r="AH530" s="6">
        <f t="shared" si="147"/>
        <v>500</v>
      </c>
      <c r="AI530" s="7">
        <f t="shared" ca="1" si="148"/>
        <v>43170</v>
      </c>
      <c r="AJ530" s="210">
        <f t="shared" ca="1" si="149"/>
        <v>3.4875000000000003</v>
      </c>
      <c r="AK530" s="8">
        <f t="shared" ca="1" si="150"/>
        <v>1.0000968750000001</v>
      </c>
      <c r="AL530" s="98">
        <f t="shared" ca="1" si="151"/>
        <v>3.4877889296861087</v>
      </c>
      <c r="AM530" s="106">
        <f t="shared" ca="1" si="143"/>
        <v>27351.05600350687</v>
      </c>
      <c r="AN530" s="10">
        <f t="shared" ca="1" si="144"/>
        <v>0.44299476138009997</v>
      </c>
      <c r="AO530" s="311">
        <f t="shared" ca="1" si="145"/>
        <v>0.43728395370028217</v>
      </c>
      <c r="AP530" s="312">
        <f t="shared" ca="1" si="146"/>
        <v>0.28850323839804926</v>
      </c>
      <c r="AQ530" s="1"/>
      <c r="AR530" s="1"/>
      <c r="AS530" s="1"/>
      <c r="AT530" s="1"/>
      <c r="AU530" s="1"/>
      <c r="BC530" s="23"/>
      <c r="BD530" s="23"/>
    </row>
    <row r="531" spans="34:56">
      <c r="AH531" s="6">
        <f t="shared" si="147"/>
        <v>501</v>
      </c>
      <c r="AI531" s="7">
        <f t="shared" ca="1" si="148"/>
        <v>43171</v>
      </c>
      <c r="AJ531" s="210">
        <f t="shared" ca="1" si="149"/>
        <v>3.49</v>
      </c>
      <c r="AK531" s="8">
        <f t="shared" ca="1" si="150"/>
        <v>1.0000969444444445</v>
      </c>
      <c r="AL531" s="98">
        <f t="shared" ca="1" si="151"/>
        <v>3.4880160595547105</v>
      </c>
      <c r="AM531" s="106">
        <f t="shared" ca="1" si="143"/>
        <v>27353.23706563954</v>
      </c>
      <c r="AN531" s="10">
        <f t="shared" ca="1" si="144"/>
        <v>0.44336720641959815</v>
      </c>
      <c r="AO531" s="311">
        <f t="shared" ca="1" si="145"/>
        <v>0.43765455295250805</v>
      </c>
      <c r="AP531" s="312">
        <f t="shared" ca="1" si="146"/>
        <v>0.28853580224639069</v>
      </c>
      <c r="AQ531" s="1"/>
      <c r="AR531" s="1"/>
      <c r="AS531" s="1"/>
      <c r="AT531" s="1"/>
      <c r="AU531" s="1"/>
      <c r="BC531" s="23"/>
      <c r="BD531" s="23"/>
    </row>
    <row r="532" spans="34:56">
      <c r="AH532" s="6">
        <f t="shared" si="147"/>
        <v>502</v>
      </c>
      <c r="AI532" s="7">
        <f t="shared" ca="1" si="148"/>
        <v>43172</v>
      </c>
      <c r="AJ532" s="210">
        <f t="shared" ca="1" si="149"/>
        <v>3.4925000000000002</v>
      </c>
      <c r="AK532" s="8">
        <f t="shared" ca="1" si="150"/>
        <v>1.0000970138888889</v>
      </c>
      <c r="AL532" s="98">
        <f t="shared" ca="1" si="151"/>
        <v>3.4882475098898302</v>
      </c>
      <c r="AM532" s="106">
        <f t="shared" ca="1" si="143"/>
        <v>27355.418301697195</v>
      </c>
      <c r="AN532" s="10">
        <f t="shared" ca="1" si="144"/>
        <v>0.4437432401483532</v>
      </c>
      <c r="AO532" s="311">
        <f t="shared" ca="1" si="145"/>
        <v>0.43802870707002467</v>
      </c>
      <c r="AP532" s="312">
        <f t="shared" ca="1" si="146"/>
        <v>0.28856873022752622</v>
      </c>
      <c r="AQ532" s="1"/>
      <c r="AR532" s="1"/>
      <c r="AS532" s="1"/>
      <c r="AT532" s="1"/>
      <c r="AU532" s="1"/>
      <c r="BC532" s="23"/>
      <c r="BD532" s="23"/>
    </row>
    <row r="533" spans="34:56">
      <c r="AH533" s="6">
        <f t="shared" si="147"/>
        <v>503</v>
      </c>
      <c r="AI533" s="7">
        <f t="shared" ca="1" si="148"/>
        <v>43173</v>
      </c>
      <c r="AJ533" s="210">
        <f t="shared" ca="1" si="149"/>
        <v>3.4950000000000001</v>
      </c>
      <c r="AK533" s="8">
        <f t="shared" ca="1" si="150"/>
        <v>1.0000970833333334</v>
      </c>
      <c r="AL533" s="98">
        <f t="shared" ca="1" si="151"/>
        <v>3.4884832549548106</v>
      </c>
      <c r="AM533" s="106">
        <f t="shared" ca="1" si="143"/>
        <v>27357.599711693703</v>
      </c>
      <c r="AN533" s="10">
        <f t="shared" ca="1" si="144"/>
        <v>0.44412284121073675</v>
      </c>
      <c r="AO533" s="311">
        <f t="shared" ca="1" si="145"/>
        <v>0.43840639510992147</v>
      </c>
      <c r="AP533" s="312">
        <f t="shared" ca="1" si="146"/>
        <v>0.28860202030170989</v>
      </c>
      <c r="AQ533" s="1"/>
      <c r="AR533" s="1"/>
      <c r="AS533" s="1"/>
      <c r="AT533" s="1"/>
      <c r="AU533" s="1"/>
      <c r="BC533" s="23"/>
      <c r="BD533" s="23"/>
    </row>
    <row r="534" spans="34:56">
      <c r="AH534" s="6">
        <f t="shared" si="147"/>
        <v>504</v>
      </c>
      <c r="AI534" s="7">
        <f t="shared" ca="1" si="148"/>
        <v>43174</v>
      </c>
      <c r="AJ534" s="210">
        <f t="shared" ca="1" si="149"/>
        <v>3.4975000000000001</v>
      </c>
      <c r="AK534" s="8">
        <f t="shared" ca="1" si="150"/>
        <v>1.0000971527777778</v>
      </c>
      <c r="AL534" s="98">
        <f t="shared" ca="1" si="151"/>
        <v>3.4887232692177861</v>
      </c>
      <c r="AM534" s="106">
        <f t="shared" ca="1" si="143"/>
        <v>27359.781295642941</v>
      </c>
      <c r="AN534" s="10">
        <f t="shared" ca="1" si="144"/>
        <v>0.44450598842098454</v>
      </c>
      <c r="AO534" s="311">
        <f t="shared" ca="1" si="145"/>
        <v>0.43878759629650027</v>
      </c>
      <c r="AP534" s="312">
        <f t="shared" ca="1" si="146"/>
        <v>0.28863567044549548</v>
      </c>
      <c r="AQ534" s="1"/>
      <c r="AR534" s="1"/>
      <c r="AS534" s="1"/>
      <c r="AT534" s="1"/>
      <c r="AU534" s="1"/>
      <c r="BC534" s="23"/>
      <c r="BD534" s="23"/>
    </row>
    <row r="535" spans="34:56">
      <c r="AH535" s="6">
        <f t="shared" si="147"/>
        <v>505</v>
      </c>
      <c r="AI535" s="7">
        <f t="shared" ca="1" si="148"/>
        <v>43175</v>
      </c>
      <c r="AJ535" s="210">
        <f t="shared" ca="1" si="149"/>
        <v>3.5</v>
      </c>
      <c r="AK535" s="8">
        <f t="shared" ca="1" si="150"/>
        <v>1.0000972222222222</v>
      </c>
      <c r="AL535" s="98">
        <f t="shared" ca="1" si="151"/>
        <v>3.4889675273496401</v>
      </c>
      <c r="AM535" s="106">
        <f t="shared" ca="1" si="143"/>
        <v>27361.963053558775</v>
      </c>
      <c r="AN535" s="10">
        <f t="shared" ca="1" si="144"/>
        <v>0.44489266076153111</v>
      </c>
      <c r="AO535" s="311">
        <f t="shared" ca="1" si="145"/>
        <v>0.43917229001973124</v>
      </c>
      <c r="AP535" s="312">
        <f t="shared" ca="1" si="146"/>
        <v>0.28866967865157983</v>
      </c>
      <c r="AQ535" s="1"/>
      <c r="AR535" s="1"/>
      <c r="AS535" s="1"/>
      <c r="AT535" s="1"/>
      <c r="AU535" s="1"/>
      <c r="BC535" s="23"/>
      <c r="BD535" s="23"/>
    </row>
    <row r="536" spans="34:56">
      <c r="AH536" s="6">
        <f t="shared" si="147"/>
        <v>506</v>
      </c>
      <c r="AI536" s="7">
        <f t="shared" ca="1" si="148"/>
        <v>43176</v>
      </c>
      <c r="AJ536" s="210">
        <f t="shared" ca="1" si="149"/>
        <v>3.5024999999999999</v>
      </c>
      <c r="AK536" s="8">
        <f t="shared" ca="1" si="150"/>
        <v>1.0000972916666666</v>
      </c>
      <c r="AL536" s="98">
        <f t="shared" ca="1" si="151"/>
        <v>3.489216004222051</v>
      </c>
      <c r="AM536" s="106">
        <f t="shared" ca="1" si="143"/>
        <v>27364.144985455077</v>
      </c>
      <c r="AN536" s="10">
        <f t="shared" ca="1" si="144"/>
        <v>0.44528283738136665</v>
      </c>
      <c r="AO536" s="311">
        <f t="shared" ca="1" si="145"/>
        <v>0.43956045583355202</v>
      </c>
      <c r="AP536" s="312">
        <f t="shared" ca="1" si="146"/>
        <v>0.28870404292864527</v>
      </c>
      <c r="AQ536" s="1"/>
      <c r="AR536" s="1"/>
      <c r="AS536" s="1"/>
      <c r="AT536" s="1"/>
      <c r="AU536" s="1"/>
      <c r="BC536" s="23"/>
      <c r="BD536" s="23"/>
    </row>
    <row r="537" spans="34:56">
      <c r="AH537" s="6">
        <f t="shared" si="147"/>
        <v>507</v>
      </c>
      <c r="AI537" s="7">
        <f t="shared" ca="1" si="148"/>
        <v>43177</v>
      </c>
      <c r="AJ537" s="210">
        <f t="shared" ca="1" si="149"/>
        <v>3.5050000000000003</v>
      </c>
      <c r="AK537" s="8">
        <f t="shared" ca="1" si="150"/>
        <v>1.000097361111111</v>
      </c>
      <c r="AL537" s="98">
        <f t="shared" ca="1" si="151"/>
        <v>3.4894686749054271</v>
      </c>
      <c r="AM537" s="106">
        <f t="shared" ca="1" si="143"/>
        <v>27366.327091345724</v>
      </c>
      <c r="AN537" s="10">
        <f t="shared" ca="1" si="144"/>
        <v>0.44567649759426065</v>
      </c>
      <c r="AO537" s="311">
        <f t="shared" ca="1" si="145"/>
        <v>0.43995207345420412</v>
      </c>
      <c r="AP537" s="312">
        <f t="shared" ca="1" si="146"/>
        <v>0.28873876130119741</v>
      </c>
      <c r="AQ537" s="1"/>
      <c r="AR537" s="1"/>
      <c r="AS537" s="1"/>
      <c r="AT537" s="1"/>
      <c r="AU537" s="1"/>
      <c r="BC537" s="23"/>
      <c r="BD537" s="23"/>
    </row>
    <row r="538" spans="34:56">
      <c r="AH538" s="6">
        <f t="shared" si="147"/>
        <v>508</v>
      </c>
      <c r="AI538" s="7">
        <f t="shared" ca="1" si="148"/>
        <v>43178</v>
      </c>
      <c r="AJ538" s="210">
        <f t="shared" ca="1" si="149"/>
        <v>3.5075000000000003</v>
      </c>
      <c r="AK538" s="8">
        <f t="shared" ca="1" si="150"/>
        <v>1.0000974305555557</v>
      </c>
      <c r="AL538" s="98">
        <f t="shared" ca="1" si="151"/>
        <v>3.4897255146669748</v>
      </c>
      <c r="AM538" s="106">
        <f t="shared" ca="1" si="143"/>
        <v>27368.509371244589</v>
      </c>
      <c r="AN538" s="10">
        <f t="shared" ca="1" si="144"/>
        <v>0.44607362087734082</v>
      </c>
      <c r="AO538" s="311">
        <f t="shared" ca="1" si="145"/>
        <v>0.44034712275874471</v>
      </c>
      <c r="AP538" s="312">
        <f t="shared" ca="1" si="146"/>
        <v>0.28877383180941252</v>
      </c>
      <c r="AQ538" s="1"/>
      <c r="AR538" s="1"/>
      <c r="AS538" s="1"/>
      <c r="AT538" s="1"/>
      <c r="AU538" s="1"/>
      <c r="BC538" s="23"/>
      <c r="BD538" s="23"/>
    </row>
    <row r="539" spans="34:56">
      <c r="AH539" s="6">
        <f t="shared" si="147"/>
        <v>509</v>
      </c>
      <c r="AI539" s="7">
        <f t="shared" ca="1" si="148"/>
        <v>43179</v>
      </c>
      <c r="AJ539" s="210">
        <f t="shared" ca="1" si="149"/>
        <v>3.5100000000000002</v>
      </c>
      <c r="AK539" s="8">
        <f t="shared" ca="1" si="150"/>
        <v>1.0000975000000001</v>
      </c>
      <c r="AL539" s="98">
        <f t="shared" ca="1" si="151"/>
        <v>3.489986498968789</v>
      </c>
      <c r="AM539" s="106">
        <f t="shared" ca="1" si="143"/>
        <v>27370.691825165552</v>
      </c>
      <c r="AN539" s="10">
        <f t="shared" ca="1" si="144"/>
        <v>0.44647418686927232</v>
      </c>
      <c r="AO539" s="311">
        <f t="shared" ca="1" si="145"/>
        <v>0.44074558378334194</v>
      </c>
      <c r="AP539" s="312">
        <f t="shared" ca="1" si="146"/>
        <v>0.28880925250898076</v>
      </c>
      <c r="AQ539" s="1"/>
      <c r="AR539" s="1"/>
      <c r="AS539" s="1"/>
      <c r="AT539" s="1"/>
      <c r="AU539" s="1"/>
      <c r="BC539" s="23"/>
      <c r="BD539" s="23"/>
    </row>
    <row r="540" spans="34:56">
      <c r="AH540" s="6">
        <f t="shared" si="147"/>
        <v>510</v>
      </c>
      <c r="AI540" s="7">
        <f t="shared" ca="1" si="148"/>
        <v>43180</v>
      </c>
      <c r="AJ540" s="210">
        <f t="shared" ca="1" si="149"/>
        <v>3.5125000000000002</v>
      </c>
      <c r="AK540" s="8">
        <f t="shared" ca="1" si="150"/>
        <v>1.0000975694444445</v>
      </c>
      <c r="AL540" s="98">
        <f t="shared" ca="1" si="151"/>
        <v>3.4902516034658992</v>
      </c>
      <c r="AM540" s="106">
        <f t="shared" ca="1" si="143"/>
        <v>27372.874453122484</v>
      </c>
      <c r="AN540" s="10">
        <f t="shared" ca="1" si="144"/>
        <v>0.44687817536881447</v>
      </c>
      <c r="AO540" s="311">
        <f t="shared" ca="1" si="145"/>
        <v>0.44114743672185602</v>
      </c>
      <c r="AP540" s="312">
        <f t="shared" ca="1" si="146"/>
        <v>0.28884502147095803</v>
      </c>
      <c r="AQ540" s="1"/>
      <c r="AR540" s="1"/>
      <c r="AS540" s="1"/>
      <c r="AT540" s="1"/>
      <c r="AU540" s="1"/>
      <c r="BC540" s="23"/>
      <c r="BD540" s="23"/>
    </row>
    <row r="541" spans="34:56">
      <c r="AH541" s="6">
        <f t="shared" si="147"/>
        <v>511</v>
      </c>
      <c r="AI541" s="7">
        <f t="shared" ca="1" si="148"/>
        <v>43181</v>
      </c>
      <c r="AJ541" s="210">
        <f t="shared" ca="1" si="149"/>
        <v>3.5150000000000001</v>
      </c>
      <c r="AK541" s="8">
        <f t="shared" ca="1" si="150"/>
        <v>1.0000976388888889</v>
      </c>
      <c r="AL541" s="98">
        <f t="shared" ca="1" si="151"/>
        <v>3.4905208040043822</v>
      </c>
      <c r="AM541" s="106">
        <f t="shared" ca="1" si="143"/>
        <v>27375.057255129264</v>
      </c>
      <c r="AN541" s="10">
        <f t="shared" ca="1" si="144"/>
        <v>0.44728556633317762</v>
      </c>
      <c r="AO541" s="311">
        <f t="shared" ca="1" si="145"/>
        <v>0.44155266192410791</v>
      </c>
      <c r="AP541" s="312">
        <f t="shared" ca="1" si="146"/>
        <v>0.28888113678161159</v>
      </c>
      <c r="AQ541" s="1"/>
      <c r="AR541" s="1"/>
      <c r="AS541" s="1"/>
      <c r="AT541" s="1"/>
      <c r="AU541" s="1"/>
      <c r="BC541" s="23"/>
      <c r="BD541" s="23"/>
    </row>
    <row r="542" spans="34:56">
      <c r="AH542" s="6">
        <f t="shared" si="147"/>
        <v>512</v>
      </c>
      <c r="AI542" s="7">
        <f t="shared" ca="1" si="148"/>
        <v>43182</v>
      </c>
      <c r="AJ542" s="210">
        <f t="shared" ca="1" si="149"/>
        <v>3.5175000000000001</v>
      </c>
      <c r="AK542" s="8">
        <f t="shared" ca="1" si="150"/>
        <v>1.0000977083333333</v>
      </c>
      <c r="AL542" s="98">
        <f t="shared" ca="1" si="151"/>
        <v>3.4907940766195189</v>
      </c>
      <c r="AM542" s="106">
        <f t="shared" ca="1" si="143"/>
        <v>27377.240231199776</v>
      </c>
      <c r="AN542" s="10">
        <f t="shared" ca="1" si="144"/>
        <v>0.44769633987657986</v>
      </c>
      <c r="AO542" s="311">
        <f t="shared" ca="1" si="145"/>
        <v>0.44196123989463826</v>
      </c>
      <c r="AP542" s="312">
        <f t="shared" ca="1" si="146"/>
        <v>0.28891759654227572</v>
      </c>
      <c r="AQ542" s="1"/>
      <c r="AR542" s="1"/>
      <c r="AS542" s="1"/>
      <c r="AT542" s="1"/>
      <c r="AU542" s="1"/>
      <c r="BC542" s="23"/>
      <c r="BD542" s="23"/>
    </row>
    <row r="543" spans="34:56">
      <c r="AH543" s="6">
        <f t="shared" si="147"/>
        <v>513</v>
      </c>
      <c r="AI543" s="7">
        <f t="shared" ca="1" si="148"/>
        <v>43183</v>
      </c>
      <c r="AJ543" s="210">
        <f t="shared" ca="1" si="149"/>
        <v>3.52</v>
      </c>
      <c r="AK543" s="8">
        <f t="shared" ca="1" si="150"/>
        <v>1.0000977777777778</v>
      </c>
      <c r="AL543" s="98">
        <f t="shared" ca="1" si="151"/>
        <v>3.4910713975339513</v>
      </c>
      <c r="AM543" s="106">
        <f t="shared" ref="AM543:AM606" ca="1" si="152">Geom_Interp(AI543,$AZ$2:$AZ$109,$BA$2:$BA$109)</f>
        <v>27379.423381347893</v>
      </c>
      <c r="AN543" s="10">
        <f t="shared" ref="AN543:AN606" ca="1" si="153">100*(((1+AL543/100)^(AH543/365)*$AM$29/AM543)^(365/AH543)-1)</f>
        <v>0.44811047626855949</v>
      </c>
      <c r="AO543" s="311">
        <f t="shared" ref="AO543:AO606" ca="1" si="154">100*360/$AH543*((1+AN543/100)^($AH543/365)-1)</f>
        <v>0.44237315129087146</v>
      </c>
      <c r="AP543" s="312">
        <f t="shared" ref="AP543:AP606" ca="1" si="155">100*30/$AH543*((1+AL543/100)^($AH543/365)-1)</f>
        <v>0.28895439886920327</v>
      </c>
      <c r="AQ543" s="1"/>
      <c r="AR543" s="1"/>
      <c r="AS543" s="1"/>
      <c r="AT543" s="1"/>
      <c r="AU543" s="1"/>
      <c r="BC543" s="23"/>
      <c r="BD543" s="23"/>
    </row>
    <row r="544" spans="34:56">
      <c r="AH544" s="6">
        <f t="shared" ref="AH544:AH607" si="156">$AI$29+AH543</f>
        <v>514</v>
      </c>
      <c r="AI544" s="7">
        <f t="shared" ref="AI544:AI607" ca="1" si="157">+AH544+$C$1</f>
        <v>43184</v>
      </c>
      <c r="AJ544" s="210">
        <f t="shared" ref="AJ544:AJ607" ca="1" si="158">IF(AH544&lt;365,VLOOKUP(LOOKUP(AI544,$AI$2:$AI$23),$AI$2:$AK$23,3,0),Lin_Interp(AH544,$AJ$2:$AJ$23,$AK$2:$AK$23))</f>
        <v>3.5225</v>
      </c>
      <c r="AK544" s="8">
        <f t="shared" ca="1" si="150"/>
        <v>1.0000978472222222</v>
      </c>
      <c r="AL544" s="98">
        <f t="shared" ca="1" si="151"/>
        <v>3.4913527431557734</v>
      </c>
      <c r="AM544" s="106">
        <f t="shared" ca="1" si="152"/>
        <v>27381.606705587506</v>
      </c>
      <c r="AN544" s="10">
        <f t="shared" ca="1" si="153"/>
        <v>0.44852795593248729</v>
      </c>
      <c r="AO544" s="311">
        <f t="shared" ca="1" si="154"/>
        <v>0.44278837692179973</v>
      </c>
      <c r="AP544" s="312">
        <f t="shared" ca="1" si="155"/>
        <v>0.28899154189341536</v>
      </c>
      <c r="AQ544" s="1"/>
      <c r="AR544" s="1"/>
      <c r="AS544" s="1"/>
      <c r="AT544" s="1"/>
      <c r="AU544" s="1"/>
      <c r="BC544" s="23"/>
      <c r="BD544" s="23"/>
    </row>
    <row r="545" spans="34:56">
      <c r="AH545" s="6">
        <f t="shared" si="156"/>
        <v>515</v>
      </c>
      <c r="AI545" s="7">
        <f t="shared" ca="1" si="157"/>
        <v>43185</v>
      </c>
      <c r="AJ545" s="210">
        <f t="shared" ca="1" si="158"/>
        <v>3.5250000000000004</v>
      </c>
      <c r="AK545" s="8">
        <f t="shared" ref="AK545:AK608" ca="1" si="159">+(1+AJ545/36000)</f>
        <v>1.0000979166666666</v>
      </c>
      <c r="AL545" s="98">
        <f t="shared" ref="AL545:AL608" ca="1" si="160">100*(((1+AL544/100)^(AH544/365)*AK545)^(365/AH545)-1)</f>
        <v>3.4916380900768207</v>
      </c>
      <c r="AM545" s="106">
        <f t="shared" ca="1" si="152"/>
        <v>27383.790203932487</v>
      </c>
      <c r="AN545" s="10">
        <f t="shared" ca="1" si="153"/>
        <v>0.4489487594442787</v>
      </c>
      <c r="AO545" s="311">
        <f t="shared" ca="1" si="154"/>
        <v>0.44320689774665128</v>
      </c>
      <c r="AP545" s="312">
        <f t="shared" ca="1" si="155"/>
        <v>0.28902902376056738</v>
      </c>
      <c r="AQ545" s="1"/>
      <c r="AR545" s="1"/>
      <c r="AS545" s="1"/>
      <c r="AT545" s="1"/>
      <c r="AU545" s="1"/>
      <c r="BC545" s="23"/>
      <c r="BD545" s="23"/>
    </row>
    <row r="546" spans="34:56">
      <c r="AH546" s="6">
        <f t="shared" si="156"/>
        <v>516</v>
      </c>
      <c r="AI546" s="7">
        <f t="shared" ca="1" si="157"/>
        <v>43186</v>
      </c>
      <c r="AJ546" s="210">
        <f t="shared" ca="1" si="158"/>
        <v>3.5275000000000003</v>
      </c>
      <c r="AK546" s="8">
        <f t="shared" ca="1" si="159"/>
        <v>1.000097986111111</v>
      </c>
      <c r="AL546" s="98">
        <f t="shared" ca="1" si="160"/>
        <v>3.4919274150708723</v>
      </c>
      <c r="AM546" s="106">
        <f t="shared" ca="1" si="152"/>
        <v>27385.973876396729</v>
      </c>
      <c r="AN546" s="10">
        <f t="shared" ca="1" si="153"/>
        <v>0.44937286753059524</v>
      </c>
      <c r="AO546" s="311">
        <f t="shared" ca="1" si="154"/>
        <v>0.44362869487307849</v>
      </c>
      <c r="AP546" s="312">
        <f t="shared" ca="1" si="155"/>
        <v>0.28906684263080296</v>
      </c>
      <c r="AQ546" s="1"/>
      <c r="AR546" s="1"/>
      <c r="AS546" s="1"/>
      <c r="AT546" s="1"/>
      <c r="AU546" s="1"/>
      <c r="BC546" s="23"/>
      <c r="BD546" s="23"/>
    </row>
    <row r="547" spans="34:56">
      <c r="AH547" s="6">
        <f t="shared" si="156"/>
        <v>517</v>
      </c>
      <c r="AI547" s="7">
        <f t="shared" ca="1" si="157"/>
        <v>43187</v>
      </c>
      <c r="AJ547" s="210">
        <f t="shared" ca="1" si="158"/>
        <v>3.5300000000000002</v>
      </c>
      <c r="AK547" s="8">
        <f t="shared" ca="1" si="159"/>
        <v>1.0000980555555556</v>
      </c>
      <c r="AL547" s="98">
        <f t="shared" ca="1" si="160"/>
        <v>3.49222069509183</v>
      </c>
      <c r="AM547" s="106">
        <f t="shared" ca="1" si="152"/>
        <v>27388.157722994114</v>
      </c>
      <c r="AN547" s="10">
        <f t="shared" ca="1" si="153"/>
        <v>0.44980026106766768</v>
      </c>
      <c r="AO547" s="311">
        <f t="shared" ca="1" si="154"/>
        <v>0.44405374955612392</v>
      </c>
      <c r="AP547" s="312">
        <f t="shared" ca="1" si="155"/>
        <v>0.28910499667861139</v>
      </c>
      <c r="AQ547" s="1"/>
      <c r="AR547" s="1"/>
      <c r="AS547" s="1"/>
      <c r="AT547" s="1"/>
      <c r="AU547" s="1"/>
      <c r="BC547" s="23"/>
      <c r="BD547" s="23"/>
    </row>
    <row r="548" spans="34:56">
      <c r="AH548" s="6">
        <f t="shared" si="156"/>
        <v>518</v>
      </c>
      <c r="AI548" s="7">
        <f t="shared" ca="1" si="157"/>
        <v>43188</v>
      </c>
      <c r="AJ548" s="210">
        <f t="shared" ca="1" si="158"/>
        <v>3.5325000000000002</v>
      </c>
      <c r="AK548" s="8">
        <f t="shared" ca="1" si="159"/>
        <v>1.0000981250000001</v>
      </c>
      <c r="AL548" s="98">
        <f t="shared" ca="1" si="160"/>
        <v>3.4925179072720081</v>
      </c>
      <c r="AM548" s="106">
        <f t="shared" ca="1" si="152"/>
        <v>27390.341743738521</v>
      </c>
      <c r="AN548" s="10">
        <f t="shared" ca="1" si="153"/>
        <v>0.45023092107960849</v>
      </c>
      <c r="AO548" s="311">
        <f t="shared" ca="1" si="154"/>
        <v>0.44448204319641232</v>
      </c>
      <c r="AP548" s="312">
        <f t="shared" ca="1" si="155"/>
        <v>0.28914348409269308</v>
      </c>
      <c r="AQ548" s="1"/>
      <c r="AR548" s="1"/>
      <c r="AS548" s="1"/>
      <c r="AT548" s="1"/>
      <c r="AU548" s="1"/>
      <c r="BC548" s="23"/>
      <c r="BD548" s="23"/>
    </row>
    <row r="549" spans="34:56">
      <c r="AH549" s="6">
        <f t="shared" si="156"/>
        <v>519</v>
      </c>
      <c r="AI549" s="7">
        <f t="shared" ca="1" si="157"/>
        <v>43189</v>
      </c>
      <c r="AJ549" s="210">
        <f t="shared" ca="1" si="158"/>
        <v>3.5350000000000001</v>
      </c>
      <c r="AK549" s="8">
        <f t="shared" ca="1" si="159"/>
        <v>1.0000981944444445</v>
      </c>
      <c r="AL549" s="98">
        <f t="shared" ca="1" si="160"/>
        <v>3.4928190289204242</v>
      </c>
      <c r="AM549" s="106">
        <f t="shared" ca="1" si="152"/>
        <v>27392.525938643852</v>
      </c>
      <c r="AN549" s="10">
        <f t="shared" ca="1" si="153"/>
        <v>0.45066482873712399</v>
      </c>
      <c r="AO549" s="311">
        <f t="shared" ca="1" si="154"/>
        <v>0.44491355733904059</v>
      </c>
      <c r="AP549" s="312">
        <f t="shared" ca="1" si="155"/>
        <v>0.28918230307581738</v>
      </c>
      <c r="AQ549" s="1"/>
      <c r="AR549" s="1"/>
      <c r="AS549" s="1"/>
      <c r="AT549" s="1"/>
      <c r="AU549" s="1"/>
      <c r="BC549" s="23"/>
      <c r="BD549" s="23"/>
    </row>
    <row r="550" spans="34:56">
      <c r="AH550" s="6">
        <f t="shared" si="156"/>
        <v>520</v>
      </c>
      <c r="AI550" s="7">
        <f t="shared" ca="1" si="157"/>
        <v>43190</v>
      </c>
      <c r="AJ550" s="210">
        <f t="shared" ca="1" si="158"/>
        <v>3.5375000000000001</v>
      </c>
      <c r="AK550" s="8">
        <f t="shared" ca="1" si="159"/>
        <v>1.0000982638888889</v>
      </c>
      <c r="AL550" s="98">
        <f t="shared" ca="1" si="160"/>
        <v>3.4931240375210892</v>
      </c>
      <c r="AM550" s="106">
        <f t="shared" ca="1" si="152"/>
        <v>27394.710307723981</v>
      </c>
      <c r="AN550" s="10">
        <f t="shared" ca="1" si="153"/>
        <v>0.45110196535615987</v>
      </c>
      <c r="AO550" s="311">
        <f t="shared" ca="1" si="154"/>
        <v>0.44534827367209617</v>
      </c>
      <c r="AP550" s="312">
        <f t="shared" ca="1" si="155"/>
        <v>0.28922145184469517</v>
      </c>
      <c r="AQ550" s="1"/>
      <c r="AR550" s="1"/>
      <c r="AS550" s="1"/>
      <c r="AT550" s="1"/>
      <c r="AU550" s="1"/>
      <c r="BC550" s="23"/>
      <c r="BD550" s="23"/>
    </row>
    <row r="551" spans="34:56">
      <c r="AH551" s="6">
        <f t="shared" si="156"/>
        <v>521</v>
      </c>
      <c r="AI551" s="7">
        <f t="shared" ca="1" si="157"/>
        <v>43191</v>
      </c>
      <c r="AJ551" s="210">
        <f t="shared" ca="1" si="158"/>
        <v>3.54</v>
      </c>
      <c r="AK551" s="8">
        <f t="shared" ca="1" si="159"/>
        <v>1.0000983333333333</v>
      </c>
      <c r="AL551" s="98">
        <f t="shared" ca="1" si="160"/>
        <v>3.4934329107312978</v>
      </c>
      <c r="AM551" s="106">
        <f t="shared" ca="1" si="152"/>
        <v>27396.894850992801</v>
      </c>
      <c r="AN551" s="10">
        <f t="shared" ca="1" si="153"/>
        <v>0.4515423123963247</v>
      </c>
      <c r="AO551" s="311">
        <f t="shared" ca="1" si="154"/>
        <v>0.44578617402522397</v>
      </c>
      <c r="AP551" s="312">
        <f t="shared" ca="1" si="155"/>
        <v>0.28926092862983849</v>
      </c>
      <c r="AQ551" s="1"/>
      <c r="AR551" s="1"/>
      <c r="AS551" s="1"/>
      <c r="AT551" s="1"/>
      <c r="AU551" s="1"/>
      <c r="BC551" s="23"/>
      <c r="BD551" s="23"/>
    </row>
    <row r="552" spans="34:56">
      <c r="AH552" s="6">
        <f t="shared" si="156"/>
        <v>522</v>
      </c>
      <c r="AI552" s="7">
        <f t="shared" ca="1" si="157"/>
        <v>43192</v>
      </c>
      <c r="AJ552" s="210">
        <f t="shared" ca="1" si="158"/>
        <v>3.5425</v>
      </c>
      <c r="AK552" s="8">
        <f t="shared" ca="1" si="159"/>
        <v>1.0000984027777777</v>
      </c>
      <c r="AL552" s="98">
        <f t="shared" ca="1" si="160"/>
        <v>3.4937456263800071</v>
      </c>
      <c r="AM552" s="106">
        <f t="shared" ca="1" si="152"/>
        <v>27399.079568464207</v>
      </c>
      <c r="AN552" s="10">
        <f t="shared" ca="1" si="153"/>
        <v>0.45198585145964643</v>
      </c>
      <c r="AO552" s="311">
        <f t="shared" ca="1" si="154"/>
        <v>0.44622724036834616</v>
      </c>
      <c r="AP552" s="312">
        <f t="shared" ca="1" si="155"/>
        <v>0.28930073167543224</v>
      </c>
      <c r="AQ552" s="1"/>
      <c r="AR552" s="1"/>
      <c r="AS552" s="1"/>
      <c r="AT552" s="1"/>
      <c r="AU552" s="1"/>
      <c r="BC552" s="23"/>
      <c r="BD552" s="23"/>
    </row>
    <row r="553" spans="34:56">
      <c r="AH553" s="6">
        <f t="shared" si="156"/>
        <v>523</v>
      </c>
      <c r="AI553" s="7">
        <f t="shared" ca="1" si="157"/>
        <v>43193</v>
      </c>
      <c r="AJ553" s="210">
        <f t="shared" ca="1" si="158"/>
        <v>3.5450000000000004</v>
      </c>
      <c r="AK553" s="8">
        <f t="shared" ca="1" si="159"/>
        <v>1.0000984722222221</v>
      </c>
      <c r="AL553" s="98">
        <f t="shared" ca="1" si="160"/>
        <v>3.4940621624661494</v>
      </c>
      <c r="AM553" s="106">
        <f t="shared" ca="1" si="152"/>
        <v>27401.264460152091</v>
      </c>
      <c r="AN553" s="10">
        <f t="shared" ca="1" si="153"/>
        <v>0.45243256428910694</v>
      </c>
      <c r="AO553" s="311">
        <f t="shared" ca="1" si="154"/>
        <v>0.44667145481023018</v>
      </c>
      <c r="AP553" s="312">
        <f t="shared" ca="1" si="155"/>
        <v>0.28934085923920094</v>
      </c>
      <c r="AQ553" s="1"/>
      <c r="AR553" s="1"/>
      <c r="AS553" s="1"/>
      <c r="AT553" s="1"/>
      <c r="AU553" s="1"/>
      <c r="BC553" s="23"/>
      <c r="BD553" s="23"/>
    </row>
    <row r="554" spans="34:56">
      <c r="AH554" s="6">
        <f t="shared" si="156"/>
        <v>524</v>
      </c>
      <c r="AI554" s="7">
        <f t="shared" ca="1" si="157"/>
        <v>43194</v>
      </c>
      <c r="AJ554" s="210">
        <f t="shared" ca="1" si="158"/>
        <v>3.5475000000000003</v>
      </c>
      <c r="AK554" s="8">
        <f t="shared" ca="1" si="159"/>
        <v>1.0000985416666666</v>
      </c>
      <c r="AL554" s="98">
        <f t="shared" ca="1" si="160"/>
        <v>3.4943824971570114</v>
      </c>
      <c r="AM554" s="106">
        <f t="shared" ca="1" si="152"/>
        <v>27403.449526070333</v>
      </c>
      <c r="AN554" s="10">
        <f t="shared" ca="1" si="153"/>
        <v>0.45288243276750961</v>
      </c>
      <c r="AO554" s="311">
        <f t="shared" ca="1" si="154"/>
        <v>0.44711879959739254</v>
      </c>
      <c r="AP554" s="312">
        <f t="shared" ca="1" si="155"/>
        <v>0.28938130959228092</v>
      </c>
      <c r="AQ554" s="1"/>
      <c r="AR554" s="1"/>
      <c r="AS554" s="1"/>
      <c r="AT554" s="1"/>
      <c r="AU554" s="1"/>
      <c r="BC554" s="23"/>
      <c r="BD554" s="23"/>
    </row>
    <row r="555" spans="34:56">
      <c r="AH555" s="6">
        <f t="shared" si="156"/>
        <v>525</v>
      </c>
      <c r="AI555" s="7">
        <f t="shared" ca="1" si="157"/>
        <v>43195</v>
      </c>
      <c r="AJ555" s="210">
        <f t="shared" ca="1" si="158"/>
        <v>3.5500000000000003</v>
      </c>
      <c r="AK555" s="8">
        <f t="shared" ca="1" si="159"/>
        <v>1.0000986111111112</v>
      </c>
      <c r="AL555" s="98">
        <f t="shared" ca="1" si="160"/>
        <v>3.4947066087867018</v>
      </c>
      <c r="AM555" s="106">
        <f t="shared" ca="1" si="152"/>
        <v>27405.634766232844</v>
      </c>
      <c r="AN555" s="10">
        <f t="shared" ca="1" si="153"/>
        <v>0.45333543891576955</v>
      </c>
      <c r="AO555" s="311">
        <f t="shared" ca="1" si="154"/>
        <v>0.44756925711239043</v>
      </c>
      <c r="AP555" s="312">
        <f t="shared" ca="1" si="155"/>
        <v>0.2894220810190935</v>
      </c>
      <c r="AQ555" s="1"/>
      <c r="AR555" s="1"/>
      <c r="AS555" s="1"/>
      <c r="AT555" s="1"/>
      <c r="AU555" s="1"/>
      <c r="BC555" s="23"/>
      <c r="BD555" s="23"/>
    </row>
    <row r="556" spans="34:56">
      <c r="AH556" s="6">
        <f t="shared" si="156"/>
        <v>526</v>
      </c>
      <c r="AI556" s="7">
        <f t="shared" ca="1" si="157"/>
        <v>43196</v>
      </c>
      <c r="AJ556" s="210">
        <f t="shared" ca="1" si="158"/>
        <v>3.5525000000000002</v>
      </c>
      <c r="AK556" s="8">
        <f t="shared" ca="1" si="159"/>
        <v>1.0000986805555556</v>
      </c>
      <c r="AL556" s="98">
        <f t="shared" ca="1" si="160"/>
        <v>3.4950344758544638</v>
      </c>
      <c r="AM556" s="106">
        <f t="shared" ca="1" si="152"/>
        <v>27407.820180653503</v>
      </c>
      <c r="AN556" s="10">
        <f t="shared" ca="1" si="153"/>
        <v>0.45379156489206984</v>
      </c>
      <c r="AO556" s="311">
        <f t="shared" ca="1" si="154"/>
        <v>0.4480228098730159</v>
      </c>
      <c r="AP556" s="312">
        <f t="shared" ca="1" si="155"/>
        <v>0.28946317181721903</v>
      </c>
      <c r="AQ556" s="1"/>
      <c r="AR556" s="1"/>
      <c r="AS556" s="1"/>
      <c r="AT556" s="1"/>
      <c r="AU556" s="1"/>
      <c r="BC556" s="23"/>
      <c r="BD556" s="23"/>
    </row>
    <row r="557" spans="34:56">
      <c r="AH557" s="6">
        <f t="shared" si="156"/>
        <v>527</v>
      </c>
      <c r="AI557" s="7">
        <f t="shared" ca="1" si="157"/>
        <v>43197</v>
      </c>
      <c r="AJ557" s="210">
        <f t="shared" ca="1" si="158"/>
        <v>3.5550000000000002</v>
      </c>
      <c r="AK557" s="8">
        <f t="shared" ca="1" si="159"/>
        <v>1.00009875</v>
      </c>
      <c r="AL557" s="98">
        <f t="shared" ca="1" si="160"/>
        <v>3.4953660770231432</v>
      </c>
      <c r="AM557" s="106">
        <f t="shared" ca="1" si="152"/>
        <v>27410.005769346222</v>
      </c>
      <c r="AN557" s="10">
        <f t="shared" ca="1" si="153"/>
        <v>0.45425079299008519</v>
      </c>
      <c r="AO557" s="311">
        <f t="shared" ca="1" si="154"/>
        <v>0.44847944053055672</v>
      </c>
      <c r="AP557" s="312">
        <f t="shared" ca="1" si="155"/>
        <v>0.28950458029726828</v>
      </c>
      <c r="AQ557" s="1"/>
      <c r="AR557" s="1"/>
      <c r="AS557" s="1"/>
      <c r="AT557" s="1"/>
      <c r="AU557" s="1"/>
      <c r="BC557" s="23"/>
      <c r="BD557" s="23"/>
    </row>
    <row r="558" spans="34:56">
      <c r="AH558" s="6">
        <f t="shared" si="156"/>
        <v>528</v>
      </c>
      <c r="AI558" s="7">
        <f t="shared" ca="1" si="157"/>
        <v>43198</v>
      </c>
      <c r="AJ558" s="210">
        <f t="shared" ca="1" si="158"/>
        <v>3.5575000000000001</v>
      </c>
      <c r="AK558" s="8">
        <f t="shared" ca="1" si="159"/>
        <v>1.0000988194444445</v>
      </c>
      <c r="AL558" s="98">
        <f t="shared" ca="1" si="160"/>
        <v>3.4957013911176116</v>
      </c>
      <c r="AM558" s="106">
        <f t="shared" ca="1" si="152"/>
        <v>27412.191532324883</v>
      </c>
      <c r="AN558" s="10">
        <f t="shared" ca="1" si="153"/>
        <v>0.45471310563800493</v>
      </c>
      <c r="AO558" s="311">
        <f t="shared" ca="1" si="154"/>
        <v>0.44893913186880552</v>
      </c>
      <c r="AP558" s="312">
        <f t="shared" ca="1" si="155"/>
        <v>0.28954630478276</v>
      </c>
      <c r="AQ558" s="1"/>
      <c r="AR558" s="1"/>
      <c r="AS558" s="1"/>
      <c r="AT558" s="1"/>
      <c r="AU558" s="1"/>
      <c r="BC558" s="23"/>
      <c r="BD558" s="23"/>
    </row>
    <row r="559" spans="34:56">
      <c r="AH559" s="6">
        <f t="shared" si="156"/>
        <v>529</v>
      </c>
      <c r="AI559" s="7">
        <f t="shared" ca="1" si="157"/>
        <v>43199</v>
      </c>
      <c r="AJ559" s="210">
        <f t="shared" ca="1" si="158"/>
        <v>3.56</v>
      </c>
      <c r="AK559" s="8">
        <f t="shared" ca="1" si="159"/>
        <v>1.0000988888888889</v>
      </c>
      <c r="AL559" s="98">
        <f t="shared" ca="1" si="160"/>
        <v>3.4960403971232568</v>
      </c>
      <c r="AM559" s="106">
        <f t="shared" ca="1" si="152"/>
        <v>27414.377469603391</v>
      </c>
      <c r="AN559" s="10">
        <f t="shared" ca="1" si="153"/>
        <v>0.45517848539717853</v>
      </c>
      <c r="AO559" s="311">
        <f t="shared" ca="1" si="154"/>
        <v>0.44940186680273125</v>
      </c>
      <c r="AP559" s="312">
        <f t="shared" ca="1" si="155"/>
        <v>0.28958834361000174</v>
      </c>
      <c r="AQ559" s="1"/>
      <c r="AR559" s="1"/>
      <c r="AS559" s="1"/>
      <c r="AT559" s="1"/>
      <c r="AU559" s="1"/>
      <c r="BC559" s="23"/>
      <c r="BD559" s="23"/>
    </row>
    <row r="560" spans="34:56">
      <c r="AH560" s="6">
        <f t="shared" si="156"/>
        <v>530</v>
      </c>
      <c r="AI560" s="7">
        <f t="shared" ca="1" si="157"/>
        <v>43200</v>
      </c>
      <c r="AJ560" s="210">
        <f t="shared" ca="1" si="158"/>
        <v>3.5625</v>
      </c>
      <c r="AK560" s="8">
        <f t="shared" ca="1" si="159"/>
        <v>1.0000989583333333</v>
      </c>
      <c r="AL560" s="98">
        <f t="shared" ca="1" si="160"/>
        <v>3.4963830741844948</v>
      </c>
      <c r="AM560" s="106">
        <f t="shared" ca="1" si="152"/>
        <v>27416.636454584284</v>
      </c>
      <c r="AN560" s="10">
        <f t="shared" ca="1" si="153"/>
        <v>0.45546302995373988</v>
      </c>
      <c r="AO560" s="311">
        <f t="shared" ca="1" si="154"/>
        <v>0.44968588931032194</v>
      </c>
      <c r="AP560" s="312">
        <f t="shared" ca="1" si="155"/>
        <v>0.28963069512797029</v>
      </c>
      <c r="AQ560" s="1"/>
      <c r="AR560" s="1"/>
      <c r="AS560" s="1"/>
      <c r="AT560" s="1"/>
      <c r="AU560" s="1"/>
      <c r="BC560" s="23"/>
      <c r="BD560" s="23"/>
    </row>
    <row r="561" spans="34:56">
      <c r="AH561" s="6">
        <f t="shared" si="156"/>
        <v>531</v>
      </c>
      <c r="AI561" s="7">
        <f t="shared" ca="1" si="157"/>
        <v>43201</v>
      </c>
      <c r="AJ561" s="210">
        <f t="shared" ca="1" si="158"/>
        <v>3.5650000000000004</v>
      </c>
      <c r="AK561" s="8">
        <f t="shared" ca="1" si="159"/>
        <v>1.0000990277777777</v>
      </c>
      <c r="AL561" s="98">
        <f t="shared" ca="1" si="160"/>
        <v>3.4967294016032158</v>
      </c>
      <c r="AM561" s="106">
        <f t="shared" ca="1" si="152"/>
        <v>27418.895625708865</v>
      </c>
      <c r="AN561" s="10">
        <f t="shared" ca="1" si="153"/>
        <v>0.45575129834947159</v>
      </c>
      <c r="AO561" s="311">
        <f t="shared" ca="1" si="154"/>
        <v>0.44997359963481165</v>
      </c>
      <c r="AP561" s="312">
        <f t="shared" ca="1" si="155"/>
        <v>0.28967335769818875</v>
      </c>
      <c r="AQ561" s="1"/>
      <c r="AR561" s="1"/>
      <c r="AS561" s="1"/>
      <c r="AT561" s="1"/>
      <c r="AU561" s="1"/>
      <c r="BC561" s="23"/>
      <c r="BD561" s="23"/>
    </row>
    <row r="562" spans="34:56">
      <c r="AH562" s="6">
        <f t="shared" si="156"/>
        <v>532</v>
      </c>
      <c r="AI562" s="7">
        <f t="shared" ca="1" si="157"/>
        <v>43202</v>
      </c>
      <c r="AJ562" s="210">
        <f t="shared" ca="1" si="158"/>
        <v>3.5675000000000003</v>
      </c>
      <c r="AK562" s="8">
        <f t="shared" ca="1" si="159"/>
        <v>1.0000990972222221</v>
      </c>
      <c r="AL562" s="98">
        <f t="shared" ca="1" si="160"/>
        <v>3.4970793588373184</v>
      </c>
      <c r="AM562" s="106">
        <f t="shared" ca="1" si="152"/>
        <v>27421.154982992462</v>
      </c>
      <c r="AN562" s="10">
        <f t="shared" ca="1" si="153"/>
        <v>0.45604326962147557</v>
      </c>
      <c r="AO562" s="311">
        <f t="shared" ca="1" si="154"/>
        <v>0.45026497721611181</v>
      </c>
      <c r="AP562" s="312">
        <f t="shared" ca="1" si="155"/>
        <v>0.28971632969460953</v>
      </c>
      <c r="AQ562" s="1"/>
      <c r="AR562" s="1"/>
      <c r="AS562" s="1"/>
      <c r="AT562" s="1"/>
      <c r="AU562" s="1"/>
      <c r="BC562" s="23"/>
      <c r="BD562" s="23"/>
    </row>
    <row r="563" spans="34:56">
      <c r="AH563" s="6">
        <f t="shared" si="156"/>
        <v>533</v>
      </c>
      <c r="AI563" s="7">
        <f t="shared" ca="1" si="157"/>
        <v>43203</v>
      </c>
      <c r="AJ563" s="210">
        <f t="shared" ca="1" si="158"/>
        <v>3.5700000000000003</v>
      </c>
      <c r="AK563" s="8">
        <f t="shared" ca="1" si="159"/>
        <v>1.0000991666666668</v>
      </c>
      <c r="AL563" s="98">
        <f t="shared" ca="1" si="160"/>
        <v>3.4974329254992664</v>
      </c>
      <c r="AM563" s="106">
        <f t="shared" ca="1" si="152"/>
        <v>27423.414526450419</v>
      </c>
      <c r="AN563" s="10">
        <f t="shared" ca="1" si="153"/>
        <v>0.45633892296463863</v>
      </c>
      <c r="AO563" s="311">
        <f t="shared" ca="1" si="154"/>
        <v>0.450560001649496</v>
      </c>
      <c r="AP563" s="312">
        <f t="shared" ca="1" si="155"/>
        <v>0.2897596095035021</v>
      </c>
      <c r="AQ563" s="1"/>
      <c r="AR563" s="1"/>
      <c r="AS563" s="1"/>
      <c r="AT563" s="1"/>
      <c r="AU563" s="1"/>
      <c r="BC563" s="23"/>
      <c r="BD563" s="23"/>
    </row>
    <row r="564" spans="34:56">
      <c r="AH564" s="6">
        <f t="shared" si="156"/>
        <v>534</v>
      </c>
      <c r="AI564" s="7">
        <f t="shared" ca="1" si="157"/>
        <v>43204</v>
      </c>
      <c r="AJ564" s="210">
        <f t="shared" ca="1" si="158"/>
        <v>3.5725000000000002</v>
      </c>
      <c r="AK564" s="8">
        <f t="shared" ca="1" si="159"/>
        <v>1.0000992361111112</v>
      </c>
      <c r="AL564" s="98">
        <f t="shared" ca="1" si="160"/>
        <v>3.4977900813545793</v>
      </c>
      <c r="AM564" s="106">
        <f t="shared" ca="1" si="152"/>
        <v>27425.674256098075</v>
      </c>
      <c r="AN564" s="10">
        <f t="shared" ca="1" si="153"/>
        <v>0.45663823773003376</v>
      </c>
      <c r="AO564" s="311">
        <f t="shared" ca="1" si="154"/>
        <v>0.45085865268398023</v>
      </c>
      <c r="AP564" s="312">
        <f t="shared" ca="1" si="155"/>
        <v>0.28980319552332712</v>
      </c>
      <c r="AQ564" s="1"/>
      <c r="AR564" s="1"/>
      <c r="AS564" s="1"/>
      <c r="AT564" s="1"/>
      <c r="AU564" s="1"/>
      <c r="BC564" s="23"/>
      <c r="BD564" s="23"/>
    </row>
    <row r="565" spans="34:56">
      <c r="AH565" s="6">
        <f t="shared" si="156"/>
        <v>535</v>
      </c>
      <c r="AI565" s="7">
        <f t="shared" ca="1" si="157"/>
        <v>43205</v>
      </c>
      <c r="AJ565" s="210">
        <f t="shared" ca="1" si="158"/>
        <v>3.5750000000000002</v>
      </c>
      <c r="AK565" s="8">
        <f t="shared" ca="1" si="159"/>
        <v>1.0000993055555556</v>
      </c>
      <c r="AL565" s="98">
        <f t="shared" ca="1" si="160"/>
        <v>3.4981508063204325</v>
      </c>
      <c r="AM565" s="106">
        <f t="shared" ca="1" si="152"/>
        <v>27427.934171950772</v>
      </c>
      <c r="AN565" s="10">
        <f t="shared" ca="1" si="153"/>
        <v>0.45694119342347683</v>
      </c>
      <c r="AO565" s="311">
        <f t="shared" ca="1" si="154"/>
        <v>0.45116091022099053</v>
      </c>
      <c r="AP565" s="312">
        <f t="shared" ca="1" si="155"/>
        <v>0.28984708616463384</v>
      </c>
      <c r="AQ565" s="1"/>
      <c r="AR565" s="1"/>
      <c r="AS565" s="1"/>
      <c r="AT565" s="1"/>
      <c r="AU565" s="1"/>
      <c r="BC565" s="23"/>
      <c r="BD565" s="23"/>
    </row>
    <row r="566" spans="34:56">
      <c r="AH566" s="6">
        <f t="shared" si="156"/>
        <v>536</v>
      </c>
      <c r="AI566" s="7">
        <f t="shared" ca="1" si="157"/>
        <v>43206</v>
      </c>
      <c r="AJ566" s="210">
        <f t="shared" ca="1" si="158"/>
        <v>3.5760958904109592</v>
      </c>
      <c r="AK566" s="8">
        <f t="shared" ca="1" si="159"/>
        <v>1.0000993359969559</v>
      </c>
      <c r="AL566" s="98">
        <f t="shared" ca="1" si="160"/>
        <v>3.4985123318262978</v>
      </c>
      <c r="AM566" s="106">
        <f t="shared" ca="1" si="152"/>
        <v>27430.194274023863</v>
      </c>
      <c r="AN566" s="10">
        <f t="shared" ca="1" si="153"/>
        <v>0.4572451018339807</v>
      </c>
      <c r="AO566" s="311">
        <f t="shared" ca="1" si="154"/>
        <v>0.45146411735898828</v>
      </c>
      <c r="AP566" s="312">
        <f t="shared" ca="1" si="155"/>
        <v>0.28989105026549555</v>
      </c>
      <c r="AQ566" s="1"/>
      <c r="AR566" s="1"/>
      <c r="AS566" s="1"/>
      <c r="AT566" s="1"/>
      <c r="AU566" s="1"/>
      <c r="BC566" s="23"/>
      <c r="BD566" s="23"/>
    </row>
    <row r="567" spans="34:56">
      <c r="AH567" s="6">
        <f t="shared" si="156"/>
        <v>537</v>
      </c>
      <c r="AI567" s="7">
        <f t="shared" ca="1" si="157"/>
        <v>43207</v>
      </c>
      <c r="AJ567" s="210">
        <f t="shared" ca="1" si="158"/>
        <v>3.5771917808219178</v>
      </c>
      <c r="AK567" s="8">
        <f t="shared" ca="1" si="159"/>
        <v>1.0000993664383562</v>
      </c>
      <c r="AL567" s="98">
        <f t="shared" ca="1" si="160"/>
        <v>3.4988746534151849</v>
      </c>
      <c r="AM567" s="106">
        <f t="shared" ca="1" si="152"/>
        <v>27432.454562332678</v>
      </c>
      <c r="AN567" s="10">
        <f t="shared" ca="1" si="153"/>
        <v>0.45754995765279194</v>
      </c>
      <c r="AO567" s="311">
        <f t="shared" ca="1" si="154"/>
        <v>0.45176826889760108</v>
      </c>
      <c r="AP567" s="312">
        <f t="shared" ca="1" si="155"/>
        <v>0.28993508747457136</v>
      </c>
      <c r="AQ567" s="1"/>
      <c r="AR567" s="1"/>
      <c r="AS567" s="1"/>
      <c r="AT567" s="1"/>
      <c r="AU567" s="1"/>
      <c r="BC567" s="23"/>
      <c r="BD567" s="23"/>
    </row>
    <row r="568" spans="34:56">
      <c r="AH568" s="6">
        <f t="shared" si="156"/>
        <v>538</v>
      </c>
      <c r="AI568" s="7">
        <f t="shared" ca="1" si="157"/>
        <v>43208</v>
      </c>
      <c r="AJ568" s="210">
        <f t="shared" ca="1" si="158"/>
        <v>3.5782876712328768</v>
      </c>
      <c r="AK568" s="8">
        <f t="shared" ca="1" si="159"/>
        <v>1.0000993968797565</v>
      </c>
      <c r="AL568" s="98">
        <f t="shared" ca="1" si="160"/>
        <v>3.499237766663299</v>
      </c>
      <c r="AM568" s="106">
        <f t="shared" ca="1" si="152"/>
        <v>27434.715036892576</v>
      </c>
      <c r="AN568" s="10">
        <f t="shared" ca="1" si="153"/>
        <v>0.45785575561059222</v>
      </c>
      <c r="AO568" s="311">
        <f t="shared" ca="1" si="154"/>
        <v>0.45207335967521023</v>
      </c>
      <c r="AP568" s="312">
        <f t="shared" ca="1" si="155"/>
        <v>0.28997919744315981</v>
      </c>
      <c r="AQ568" s="1"/>
      <c r="AR568" s="1"/>
      <c r="AS568" s="1"/>
      <c r="AT568" s="1"/>
      <c r="AU568" s="1"/>
      <c r="BC568" s="23"/>
      <c r="BD568" s="23"/>
    </row>
    <row r="569" spans="34:56">
      <c r="AH569" s="6">
        <f t="shared" si="156"/>
        <v>539</v>
      </c>
      <c r="AI569" s="7">
        <f t="shared" ca="1" si="157"/>
        <v>43209</v>
      </c>
      <c r="AJ569" s="210">
        <f t="shared" ca="1" si="158"/>
        <v>3.5793835616438359</v>
      </c>
      <c r="AK569" s="8">
        <f t="shared" ca="1" si="159"/>
        <v>1.0000994273211568</v>
      </c>
      <c r="AL569" s="98">
        <f t="shared" ca="1" si="160"/>
        <v>3.4996016671796637</v>
      </c>
      <c r="AM569" s="106">
        <f t="shared" ca="1" si="152"/>
        <v>27436.975697718899</v>
      </c>
      <c r="AN569" s="10">
        <f t="shared" ca="1" si="153"/>
        <v>0.4581624904772319</v>
      </c>
      <c r="AO569" s="311">
        <f t="shared" ca="1" si="154"/>
        <v>0.4523793845687693</v>
      </c>
      <c r="AP569" s="312">
        <f t="shared" ca="1" si="155"/>
        <v>0.29002337982517451</v>
      </c>
      <c r="AQ569" s="1"/>
      <c r="AR569" s="1"/>
      <c r="AS569" s="1"/>
      <c r="AT569" s="1"/>
      <c r="AU569" s="1"/>
      <c r="BC569" s="23"/>
      <c r="BD569" s="23"/>
    </row>
    <row r="570" spans="34:56">
      <c r="AH570" s="6">
        <f t="shared" si="156"/>
        <v>540</v>
      </c>
      <c r="AI570" s="7">
        <f t="shared" ca="1" si="157"/>
        <v>43210</v>
      </c>
      <c r="AJ570" s="210">
        <f t="shared" ca="1" si="158"/>
        <v>3.5804794520547949</v>
      </c>
      <c r="AK570" s="8">
        <f t="shared" ca="1" si="159"/>
        <v>1.000099457762557</v>
      </c>
      <c r="AL570" s="98">
        <f t="shared" ca="1" si="160"/>
        <v>3.4999663506058543</v>
      </c>
      <c r="AM570" s="106">
        <f t="shared" ca="1" si="152"/>
        <v>27439.236544826988</v>
      </c>
      <c r="AN570" s="10">
        <f t="shared" ca="1" si="153"/>
        <v>0.45847015706133032</v>
      </c>
      <c r="AO570" s="311">
        <f t="shared" ca="1" si="154"/>
        <v>0.45268633849334294</v>
      </c>
      <c r="AP570" s="312">
        <f t="shared" ca="1" si="155"/>
        <v>0.29006763427711851</v>
      </c>
      <c r="AQ570" s="1"/>
      <c r="AR570" s="1"/>
      <c r="AS570" s="1"/>
      <c r="AT570" s="1"/>
      <c r="AU570" s="1"/>
      <c r="BC570" s="23"/>
      <c r="BD570" s="23"/>
    </row>
    <row r="571" spans="34:56">
      <c r="AH571" s="6">
        <f t="shared" si="156"/>
        <v>541</v>
      </c>
      <c r="AI571" s="7">
        <f t="shared" ca="1" si="157"/>
        <v>43211</v>
      </c>
      <c r="AJ571" s="210">
        <f t="shared" ca="1" si="158"/>
        <v>3.5815753424657535</v>
      </c>
      <c r="AK571" s="8">
        <f t="shared" ca="1" si="159"/>
        <v>1.0000994882039573</v>
      </c>
      <c r="AL571" s="98">
        <f t="shared" ca="1" si="160"/>
        <v>3.500331812615709</v>
      </c>
      <c r="AM571" s="106">
        <f t="shared" ca="1" si="152"/>
        <v>27441.497578232204</v>
      </c>
      <c r="AN571" s="10">
        <f t="shared" ca="1" si="153"/>
        <v>0.45877875020996495</v>
      </c>
      <c r="AO571" s="311">
        <f t="shared" ca="1" si="154"/>
        <v>0.45299421640185839</v>
      </c>
      <c r="AP571" s="312">
        <f t="shared" ca="1" si="155"/>
        <v>0.29011196045806786</v>
      </c>
      <c r="AQ571" s="1"/>
      <c r="AR571" s="1"/>
      <c r="AS571" s="1"/>
      <c r="AT571" s="1"/>
      <c r="AU571" s="1"/>
      <c r="BC571" s="23"/>
      <c r="BD571" s="23"/>
    </row>
    <row r="572" spans="34:56">
      <c r="AH572" s="6">
        <f t="shared" si="156"/>
        <v>542</v>
      </c>
      <c r="AI572" s="7">
        <f t="shared" ca="1" si="157"/>
        <v>43212</v>
      </c>
      <c r="AJ572" s="210">
        <f t="shared" ca="1" si="158"/>
        <v>3.5826712328767125</v>
      </c>
      <c r="AK572" s="8">
        <f t="shared" ca="1" si="159"/>
        <v>1.0000995186453576</v>
      </c>
      <c r="AL572" s="98">
        <f t="shared" ca="1" si="160"/>
        <v>3.5006980489149742</v>
      </c>
      <c r="AM572" s="106">
        <f t="shared" ca="1" si="152"/>
        <v>27443.758797949897</v>
      </c>
      <c r="AN572" s="10">
        <f t="shared" ca="1" si="153"/>
        <v>0.45908826480816067</v>
      </c>
      <c r="AO572" s="311">
        <f t="shared" ca="1" si="154"/>
        <v>0.45330301328452033</v>
      </c>
      <c r="AP572" s="312">
        <f t="shared" ca="1" si="155"/>
        <v>0.29015635802963546</v>
      </c>
      <c r="AQ572" s="1"/>
      <c r="AR572" s="1"/>
      <c r="AS572" s="1"/>
      <c r="AT572" s="1"/>
      <c r="AU572" s="1"/>
      <c r="BC572" s="23"/>
      <c r="BD572" s="23"/>
    </row>
    <row r="573" spans="34:56">
      <c r="AH573" s="6">
        <f t="shared" si="156"/>
        <v>543</v>
      </c>
      <c r="AI573" s="7">
        <f t="shared" ca="1" si="157"/>
        <v>43213</v>
      </c>
      <c r="AJ573" s="210">
        <f t="shared" ca="1" si="158"/>
        <v>3.5837671232876716</v>
      </c>
      <c r="AK573" s="8">
        <f t="shared" ca="1" si="159"/>
        <v>1.0000995490867579</v>
      </c>
      <c r="AL573" s="98">
        <f t="shared" ca="1" si="160"/>
        <v>3.5010650552411038</v>
      </c>
      <c r="AM573" s="106">
        <f t="shared" ca="1" si="152"/>
        <v>27446.020203995413</v>
      </c>
      <c r="AN573" s="10">
        <f t="shared" ca="1" si="153"/>
        <v>0.45939869577877879</v>
      </c>
      <c r="AO573" s="311">
        <f t="shared" ca="1" si="154"/>
        <v>0.45361272416883525</v>
      </c>
      <c r="AP573" s="312">
        <f t="shared" ca="1" si="155"/>
        <v>0.29020082665595776</v>
      </c>
      <c r="AQ573" s="1"/>
      <c r="AR573" s="1"/>
      <c r="AS573" s="1"/>
      <c r="AT573" s="1"/>
      <c r="AU573" s="1"/>
      <c r="BC573" s="23"/>
      <c r="BD573" s="23"/>
    </row>
    <row r="574" spans="34:56">
      <c r="AH574" s="6">
        <f t="shared" si="156"/>
        <v>544</v>
      </c>
      <c r="AI574" s="7">
        <f t="shared" ca="1" si="157"/>
        <v>43214</v>
      </c>
      <c r="AJ574" s="210">
        <f t="shared" ca="1" si="158"/>
        <v>3.5848630136986301</v>
      </c>
      <c r="AK574" s="8">
        <f t="shared" ca="1" si="159"/>
        <v>1.0000995795281582</v>
      </c>
      <c r="AL574" s="98">
        <f t="shared" ca="1" si="160"/>
        <v>3.5014328273628603</v>
      </c>
      <c r="AM574" s="106">
        <f t="shared" ca="1" si="152"/>
        <v>27448.281796384115</v>
      </c>
      <c r="AN574" s="10">
        <f t="shared" ca="1" si="153"/>
        <v>0.45971003808187305</v>
      </c>
      <c r="AO574" s="311">
        <f t="shared" ca="1" si="154"/>
        <v>0.45392334411881335</v>
      </c>
      <c r="AP574" s="312">
        <f t="shared" ca="1" si="155"/>
        <v>0.29024536600366635</v>
      </c>
      <c r="AQ574" s="1"/>
      <c r="AR574" s="1"/>
      <c r="AS574" s="1"/>
      <c r="AT574" s="1"/>
      <c r="AU574" s="1"/>
      <c r="BC574" s="23"/>
      <c r="BD574" s="23"/>
    </row>
    <row r="575" spans="34:56">
      <c r="AH575" s="6">
        <f t="shared" si="156"/>
        <v>545</v>
      </c>
      <c r="AI575" s="7">
        <f t="shared" ca="1" si="157"/>
        <v>43215</v>
      </c>
      <c r="AJ575" s="210">
        <f t="shared" ca="1" si="158"/>
        <v>3.5859589041095892</v>
      </c>
      <c r="AK575" s="8">
        <f t="shared" ca="1" si="159"/>
        <v>1.0000996099695585</v>
      </c>
      <c r="AL575" s="98">
        <f t="shared" ca="1" si="160"/>
        <v>3.5018013610800702</v>
      </c>
      <c r="AM575" s="106">
        <f t="shared" ca="1" si="152"/>
        <v>27450.543575131353</v>
      </c>
      <c r="AN575" s="10">
        <f t="shared" ca="1" si="153"/>
        <v>0.46002228671464529</v>
      </c>
      <c r="AO575" s="311">
        <f t="shared" ca="1" si="154"/>
        <v>0.45423486823508852</v>
      </c>
      <c r="AP575" s="312">
        <f t="shared" ca="1" si="155"/>
        <v>0.29028997574186655</v>
      </c>
      <c r="AQ575" s="1"/>
      <c r="AR575" s="1"/>
      <c r="AS575" s="1"/>
      <c r="AT575" s="1"/>
      <c r="AU575" s="1"/>
      <c r="BC575" s="23"/>
      <c r="BD575" s="23"/>
    </row>
    <row r="576" spans="34:56">
      <c r="AH576" s="6">
        <f t="shared" si="156"/>
        <v>546</v>
      </c>
      <c r="AI576" s="7">
        <f t="shared" ca="1" si="157"/>
        <v>43216</v>
      </c>
      <c r="AJ576" s="210">
        <f t="shared" ca="1" si="158"/>
        <v>3.5870547945205482</v>
      </c>
      <c r="AK576" s="8">
        <f t="shared" ca="1" si="159"/>
        <v>1.000099640410959</v>
      </c>
      <c r="AL576" s="98">
        <f t="shared" ca="1" si="160"/>
        <v>3.502170652223402</v>
      </c>
      <c r="AM576" s="106">
        <f t="shared" ca="1" si="152"/>
        <v>27452.805540252477</v>
      </c>
      <c r="AN576" s="10">
        <f t="shared" ca="1" si="153"/>
        <v>0.4603354367109791</v>
      </c>
      <c r="AO576" s="311">
        <f t="shared" ca="1" si="154"/>
        <v>0.45454729165434826</v>
      </c>
      <c r="AP576" s="312">
        <f t="shared" ca="1" si="155"/>
        <v>0.29033465554211707</v>
      </c>
      <c r="AQ576" s="1"/>
      <c r="AR576" s="1"/>
      <c r="AS576" s="1"/>
      <c r="AT576" s="1"/>
      <c r="AU576" s="1"/>
      <c r="BC576" s="23"/>
      <c r="BD576" s="23"/>
    </row>
    <row r="577" spans="34:56">
      <c r="AH577" s="6">
        <f t="shared" si="156"/>
        <v>547</v>
      </c>
      <c r="AI577" s="7">
        <f t="shared" ca="1" si="157"/>
        <v>43217</v>
      </c>
      <c r="AJ577" s="210">
        <f t="shared" ca="1" si="158"/>
        <v>3.5881506849315072</v>
      </c>
      <c r="AK577" s="8">
        <f t="shared" ca="1" si="159"/>
        <v>1.0000996708523593</v>
      </c>
      <c r="AL577" s="98">
        <f t="shared" ca="1" si="160"/>
        <v>3.5025406966539885</v>
      </c>
      <c r="AM577" s="106">
        <f t="shared" ca="1" si="152"/>
        <v>27455.067691762852</v>
      </c>
      <c r="AN577" s="10">
        <f t="shared" ca="1" si="153"/>
        <v>0.46064948314101795</v>
      </c>
      <c r="AO577" s="311">
        <f t="shared" ca="1" si="154"/>
        <v>0.45486060954893143</v>
      </c>
      <c r="AP577" s="312">
        <f t="shared" ca="1" si="155"/>
        <v>0.29037940507840393</v>
      </c>
      <c r="AQ577" s="1"/>
      <c r="AR577" s="1"/>
      <c r="AS577" s="1"/>
      <c r="AT577" s="1"/>
      <c r="AU577" s="1"/>
      <c r="BC577" s="23"/>
      <c r="BD577" s="23"/>
    </row>
    <row r="578" spans="34:56">
      <c r="AH578" s="6">
        <f t="shared" si="156"/>
        <v>548</v>
      </c>
      <c r="AI578" s="7">
        <f t="shared" ca="1" si="157"/>
        <v>43218</v>
      </c>
      <c r="AJ578" s="210">
        <f t="shared" ca="1" si="158"/>
        <v>3.5892465753424658</v>
      </c>
      <c r="AK578" s="8">
        <f t="shared" ca="1" si="159"/>
        <v>1.0000997012937596</v>
      </c>
      <c r="AL578" s="98">
        <f t="shared" ca="1" si="160"/>
        <v>3.5029114902632053</v>
      </c>
      <c r="AM578" s="106">
        <f t="shared" ca="1" si="152"/>
        <v>27457.33002967784</v>
      </c>
      <c r="AN578" s="10">
        <f t="shared" ca="1" si="153"/>
        <v>0.46096442111089875</v>
      </c>
      <c r="AO578" s="311">
        <f t="shared" ca="1" si="154"/>
        <v>0.45517481712661922</v>
      </c>
      <c r="AP578" s="312">
        <f t="shared" ca="1" si="155"/>
        <v>0.29042422402711843</v>
      </c>
      <c r="AQ578" s="1"/>
      <c r="AR578" s="1"/>
      <c r="AS578" s="1"/>
      <c r="AT578" s="1"/>
      <c r="AU578" s="1"/>
      <c r="BC578" s="23"/>
      <c r="BD578" s="23"/>
    </row>
    <row r="579" spans="34:56">
      <c r="AH579" s="6">
        <f t="shared" si="156"/>
        <v>549</v>
      </c>
      <c r="AI579" s="7">
        <f t="shared" ca="1" si="157"/>
        <v>43219</v>
      </c>
      <c r="AJ579" s="210">
        <f t="shared" ca="1" si="158"/>
        <v>3.5903424657534249</v>
      </c>
      <c r="AK579" s="8">
        <f t="shared" ca="1" si="159"/>
        <v>1.0000997317351599</v>
      </c>
      <c r="AL579" s="98">
        <f t="shared" ca="1" si="160"/>
        <v>3.5032830289723371</v>
      </c>
      <c r="AM579" s="106">
        <f t="shared" ca="1" si="152"/>
        <v>27459.59255401279</v>
      </c>
      <c r="AN579" s="10">
        <f t="shared" ca="1" si="153"/>
        <v>0.46128024576250759</v>
      </c>
      <c r="AO579" s="311">
        <f t="shared" ca="1" si="154"/>
        <v>0.45548990963035663</v>
      </c>
      <c r="AP579" s="312">
        <f t="shared" ca="1" si="155"/>
        <v>0.2904691120670374</v>
      </c>
      <c r="AQ579" s="1"/>
      <c r="AR579" s="1"/>
      <c r="AS579" s="1"/>
      <c r="AT579" s="1"/>
      <c r="AU579" s="1"/>
      <c r="BC579" s="23"/>
      <c r="BD579" s="23"/>
    </row>
    <row r="580" spans="34:56">
      <c r="AH580" s="6">
        <f t="shared" si="156"/>
        <v>550</v>
      </c>
      <c r="AI580" s="7">
        <f t="shared" ca="1" si="157"/>
        <v>43220</v>
      </c>
      <c r="AJ580" s="210">
        <f t="shared" ca="1" si="158"/>
        <v>3.5914383561643839</v>
      </c>
      <c r="AK580" s="8">
        <f t="shared" ca="1" si="159"/>
        <v>1.0000997621765602</v>
      </c>
      <c r="AL580" s="98">
        <f t="shared" ca="1" si="160"/>
        <v>3.5036553087324007</v>
      </c>
      <c r="AM580" s="106">
        <f t="shared" ca="1" si="152"/>
        <v>27461.855264783069</v>
      </c>
      <c r="AN580" s="10">
        <f t="shared" ca="1" si="153"/>
        <v>0.46159695227310227</v>
      </c>
      <c r="AO580" s="311">
        <f t="shared" ca="1" si="154"/>
        <v>0.45580588233788882</v>
      </c>
      <c r="AP580" s="312">
        <f t="shared" ca="1" si="155"/>
        <v>0.29051406887930314</v>
      </c>
      <c r="AQ580" s="1"/>
      <c r="AR580" s="1"/>
      <c r="AS580" s="1"/>
      <c r="AT580" s="1"/>
      <c r="AU580" s="1"/>
      <c r="BC580" s="23"/>
      <c r="BD580" s="23"/>
    </row>
    <row r="581" spans="34:56">
      <c r="AH581" s="6">
        <f t="shared" si="156"/>
        <v>551</v>
      </c>
      <c r="AI581" s="7">
        <f t="shared" ca="1" si="157"/>
        <v>43221</v>
      </c>
      <c r="AJ581" s="210">
        <f t="shared" ca="1" si="158"/>
        <v>3.5925342465753425</v>
      </c>
      <c r="AK581" s="8">
        <f t="shared" ca="1" si="159"/>
        <v>1.0000997926179604</v>
      </c>
      <c r="AL581" s="98">
        <f t="shared" ca="1" si="160"/>
        <v>3.5040283255238336</v>
      </c>
      <c r="AM581" s="106">
        <f t="shared" ca="1" si="152"/>
        <v>27464.118162004044</v>
      </c>
      <c r="AN581" s="10">
        <f t="shared" ca="1" si="153"/>
        <v>0.4619145358548904</v>
      </c>
      <c r="AO581" s="311">
        <f t="shared" ca="1" si="154"/>
        <v>0.45612273056132929</v>
      </c>
      <c r="AP581" s="312">
        <f t="shared" ca="1" si="155"/>
        <v>0.29055909414739794</v>
      </c>
      <c r="AQ581" s="1"/>
      <c r="AR581" s="1"/>
      <c r="AS581" s="1"/>
      <c r="AT581" s="1"/>
      <c r="AU581" s="1"/>
      <c r="BC581" s="23"/>
      <c r="BD581" s="23"/>
    </row>
    <row r="582" spans="34:56">
      <c r="AH582" s="6">
        <f t="shared" si="156"/>
        <v>552</v>
      </c>
      <c r="AI582" s="7">
        <f t="shared" ca="1" si="157"/>
        <v>43222</v>
      </c>
      <c r="AJ582" s="210">
        <f t="shared" ca="1" si="158"/>
        <v>3.5936301369863015</v>
      </c>
      <c r="AK582" s="8">
        <f t="shared" ca="1" si="159"/>
        <v>1.0000998230593607</v>
      </c>
      <c r="AL582" s="98">
        <f t="shared" ca="1" si="160"/>
        <v>3.5044020753561611</v>
      </c>
      <c r="AM582" s="106">
        <f t="shared" ca="1" si="152"/>
        <v>27466.381245691071</v>
      </c>
      <c r="AN582" s="10">
        <f t="shared" ca="1" si="153"/>
        <v>0.46223299175485177</v>
      </c>
      <c r="AO582" s="311">
        <f t="shared" ca="1" si="154"/>
        <v>0.45644044964703701</v>
      </c>
      <c r="AP582" s="312">
        <f t="shared" ca="1" si="155"/>
        <v>0.2906041875571243</v>
      </c>
      <c r="AQ582" s="1"/>
      <c r="AR582" s="1"/>
      <c r="AS582" s="1"/>
      <c r="AT582" s="1"/>
      <c r="AU582" s="1"/>
      <c r="BC582" s="23"/>
      <c r="BD582" s="23"/>
    </row>
    <row r="583" spans="34:56">
      <c r="AH583" s="6">
        <f t="shared" si="156"/>
        <v>553</v>
      </c>
      <c r="AI583" s="7">
        <f t="shared" ca="1" si="157"/>
        <v>43223</v>
      </c>
      <c r="AJ583" s="210">
        <f t="shared" ca="1" si="158"/>
        <v>3.5947260273972605</v>
      </c>
      <c r="AK583" s="8">
        <f t="shared" ca="1" si="159"/>
        <v>1.000099853500761</v>
      </c>
      <c r="AL583" s="98">
        <f t="shared" ca="1" si="160"/>
        <v>3.5047765542678411</v>
      </c>
      <c r="AM583" s="106">
        <f t="shared" ca="1" si="152"/>
        <v>27468.644515859523</v>
      </c>
      <c r="AN583" s="10">
        <f t="shared" ca="1" si="153"/>
        <v>0.46255231525438312</v>
      </c>
      <c r="AO583" s="311">
        <f t="shared" ca="1" si="154"/>
        <v>0.45675903497520515</v>
      </c>
      <c r="AP583" s="312">
        <f t="shared" ca="1" si="155"/>
        <v>0.29064934879658499</v>
      </c>
      <c r="AQ583" s="1"/>
      <c r="AR583" s="1"/>
      <c r="AS583" s="1"/>
      <c r="AT583" s="1"/>
      <c r="AU583" s="1"/>
      <c r="BC583" s="23"/>
      <c r="BD583" s="23"/>
    </row>
    <row r="584" spans="34:56">
      <c r="AH584" s="6">
        <f t="shared" si="156"/>
        <v>554</v>
      </c>
      <c r="AI584" s="7">
        <f t="shared" ca="1" si="157"/>
        <v>43224</v>
      </c>
      <c r="AJ584" s="210">
        <f t="shared" ca="1" si="158"/>
        <v>3.5958219178082196</v>
      </c>
      <c r="AK584" s="8">
        <f t="shared" ca="1" si="159"/>
        <v>1.0000998839421613</v>
      </c>
      <c r="AL584" s="98">
        <f t="shared" ca="1" si="160"/>
        <v>3.5051517583259084</v>
      </c>
      <c r="AM584" s="106">
        <f t="shared" ca="1" si="152"/>
        <v>27470.907972524757</v>
      </c>
      <c r="AN584" s="10">
        <f t="shared" ca="1" si="153"/>
        <v>0.46287250166896499</v>
      </c>
      <c r="AO584" s="311">
        <f t="shared" ca="1" si="154"/>
        <v>0.45707848195955636</v>
      </c>
      <c r="AP584" s="312">
        <f t="shared" ca="1" si="155"/>
        <v>0.29069457755616263</v>
      </c>
      <c r="AQ584" s="1"/>
      <c r="AR584" s="1"/>
      <c r="AS584" s="1"/>
      <c r="AT584" s="1"/>
      <c r="AU584" s="1"/>
      <c r="BC584" s="23"/>
      <c r="BD584" s="23"/>
    </row>
    <row r="585" spans="34:56">
      <c r="AH585" s="6">
        <f t="shared" si="156"/>
        <v>555</v>
      </c>
      <c r="AI585" s="7">
        <f t="shared" ca="1" si="157"/>
        <v>43225</v>
      </c>
      <c r="AJ585" s="210">
        <f t="shared" ca="1" si="158"/>
        <v>3.5969178082191782</v>
      </c>
      <c r="AK585" s="8">
        <f t="shared" ca="1" si="159"/>
        <v>1.0000999143835616</v>
      </c>
      <c r="AL585" s="98">
        <f t="shared" ca="1" si="160"/>
        <v>3.5055276836257532</v>
      </c>
      <c r="AM585" s="106">
        <f t="shared" ca="1" si="152"/>
        <v>27473.171615702151</v>
      </c>
      <c r="AN585" s="10">
        <f t="shared" ca="1" si="153"/>
        <v>0.4631935463477399</v>
      </c>
      <c r="AO585" s="311">
        <f t="shared" ca="1" si="154"/>
        <v>0.45739878604696826</v>
      </c>
      <c r="AP585" s="312">
        <f t="shared" ca="1" si="155"/>
        <v>0.29073987352849151</v>
      </c>
      <c r="AQ585" s="1"/>
      <c r="AR585" s="1"/>
      <c r="AS585" s="1"/>
      <c r="AT585" s="1"/>
      <c r="AU585" s="1"/>
      <c r="BC585" s="23"/>
      <c r="BD585" s="23"/>
    </row>
    <row r="586" spans="34:56">
      <c r="AH586" s="6">
        <f t="shared" si="156"/>
        <v>556</v>
      </c>
      <c r="AI586" s="7">
        <f t="shared" ca="1" si="157"/>
        <v>43226</v>
      </c>
      <c r="AJ586" s="210">
        <f t="shared" ca="1" si="158"/>
        <v>3.5980136986301372</v>
      </c>
      <c r="AK586" s="8">
        <f t="shared" ca="1" si="159"/>
        <v>1.0000999448249619</v>
      </c>
      <c r="AL586" s="98">
        <f t="shared" ca="1" si="160"/>
        <v>3.5059043262909206</v>
      </c>
      <c r="AM586" s="106">
        <f t="shared" ca="1" si="152"/>
        <v>27475.435445407064</v>
      </c>
      <c r="AN586" s="10">
        <f t="shared" ca="1" si="153"/>
        <v>0.46351544467357897</v>
      </c>
      <c r="AO586" s="311">
        <f t="shared" ca="1" si="154"/>
        <v>0.45771994271743405</v>
      </c>
      <c r="AP586" s="312">
        <f t="shared" ca="1" si="155"/>
        <v>0.29078523640845444</v>
      </c>
      <c r="AQ586" s="1"/>
      <c r="AR586" s="1"/>
      <c r="AS586" s="1"/>
      <c r="AT586" s="1"/>
      <c r="AU586" s="1"/>
      <c r="BC586" s="23"/>
      <c r="BD586" s="23"/>
    </row>
    <row r="587" spans="34:56">
      <c r="AH587" s="6">
        <f t="shared" si="156"/>
        <v>557</v>
      </c>
      <c r="AI587" s="7">
        <f t="shared" ca="1" si="157"/>
        <v>43227</v>
      </c>
      <c r="AJ587" s="210">
        <f t="shared" ca="1" si="158"/>
        <v>3.5991095890410962</v>
      </c>
      <c r="AK587" s="8">
        <f t="shared" ca="1" si="159"/>
        <v>1.0000999752663622</v>
      </c>
      <c r="AL587" s="98">
        <f t="shared" ca="1" si="160"/>
        <v>3.5062816824728005</v>
      </c>
      <c r="AM587" s="106">
        <f t="shared" ca="1" si="152"/>
        <v>27477.699461654873</v>
      </c>
      <c r="AN587" s="10">
        <f t="shared" ca="1" si="153"/>
        <v>0.4638381920623047</v>
      </c>
      <c r="AO587" s="311">
        <f t="shared" ca="1" si="154"/>
        <v>0.45804194748344979</v>
      </c>
      <c r="AP587" s="312">
        <f t="shared" ca="1" si="155"/>
        <v>0.2908306658931456</v>
      </c>
      <c r="AQ587" s="1"/>
      <c r="AR587" s="1"/>
      <c r="AS587" s="1"/>
      <c r="AT587" s="1"/>
      <c r="AU587" s="1"/>
      <c r="BC587" s="23"/>
      <c r="BD587" s="23"/>
    </row>
    <row r="588" spans="34:56">
      <c r="AH588" s="6">
        <f t="shared" si="156"/>
        <v>558</v>
      </c>
      <c r="AI588" s="7">
        <f t="shared" ca="1" si="157"/>
        <v>43228</v>
      </c>
      <c r="AJ588" s="210">
        <f t="shared" ca="1" si="158"/>
        <v>3.6002054794520548</v>
      </c>
      <c r="AK588" s="8">
        <f t="shared" ca="1" si="159"/>
        <v>1.0001000057077625</v>
      </c>
      <c r="AL588" s="98">
        <f t="shared" ca="1" si="160"/>
        <v>3.5066597483503159</v>
      </c>
      <c r="AM588" s="106">
        <f t="shared" ca="1" si="152"/>
        <v>27479.963664460949</v>
      </c>
      <c r="AN588" s="10">
        <f t="shared" ca="1" si="153"/>
        <v>0.46416178396269103</v>
      </c>
      <c r="AO588" s="311">
        <f t="shared" ca="1" si="154"/>
        <v>0.45836479588988049</v>
      </c>
      <c r="AP588" s="312">
        <f t="shared" ca="1" si="155"/>
        <v>0.29087616168185454</v>
      </c>
      <c r="AQ588" s="1"/>
      <c r="AR588" s="1"/>
      <c r="AS588" s="1"/>
      <c r="AT588" s="1"/>
      <c r="AU588" s="1"/>
      <c r="BC588" s="23"/>
      <c r="BD588" s="23"/>
    </row>
    <row r="589" spans="34:56">
      <c r="AH589" s="6">
        <f t="shared" si="156"/>
        <v>559</v>
      </c>
      <c r="AI589" s="7">
        <f t="shared" ca="1" si="157"/>
        <v>43229</v>
      </c>
      <c r="AJ589" s="210">
        <f t="shared" ca="1" si="158"/>
        <v>3.6013013698630139</v>
      </c>
      <c r="AK589" s="8">
        <f t="shared" ca="1" si="159"/>
        <v>1.0001000361491628</v>
      </c>
      <c r="AL589" s="98">
        <f t="shared" ca="1" si="160"/>
        <v>3.5070385201298349</v>
      </c>
      <c r="AM589" s="106">
        <f t="shared" ca="1" si="152"/>
        <v>27482.228053840659</v>
      </c>
      <c r="AN589" s="10">
        <f t="shared" ca="1" si="153"/>
        <v>0.46448621585619687</v>
      </c>
      <c r="AO589" s="311">
        <f t="shared" ca="1" si="154"/>
        <v>0.45868848351375668</v>
      </c>
      <c r="AP589" s="312">
        <f t="shared" ca="1" si="155"/>
        <v>0.29092172347605705</v>
      </c>
      <c r="AQ589" s="1"/>
      <c r="AR589" s="1"/>
      <c r="AS589" s="1"/>
      <c r="AT589" s="1"/>
      <c r="AU589" s="1"/>
      <c r="BC589" s="23"/>
      <c r="BD589" s="23"/>
    </row>
    <row r="590" spans="34:56">
      <c r="AH590" s="6">
        <f t="shared" si="156"/>
        <v>560</v>
      </c>
      <c r="AI590" s="7">
        <f t="shared" ca="1" si="157"/>
        <v>43230</v>
      </c>
      <c r="AJ590" s="210">
        <f t="shared" ca="1" si="158"/>
        <v>3.6023972602739729</v>
      </c>
      <c r="AK590" s="8">
        <f t="shared" ca="1" si="159"/>
        <v>1.0001000665905633</v>
      </c>
      <c r="AL590" s="98">
        <f t="shared" ca="1" si="160"/>
        <v>3.5074179940447925</v>
      </c>
      <c r="AM590" s="106">
        <f t="shared" ca="1" si="152"/>
        <v>27484.419576059103</v>
      </c>
      <c r="AN590" s="10">
        <f t="shared" ca="1" si="153"/>
        <v>0.46498553346820959</v>
      </c>
      <c r="AO590" s="311">
        <f t="shared" ca="1" si="154"/>
        <v>0.45918509783298467</v>
      </c>
      <c r="AP590" s="312">
        <f t="shared" ca="1" si="155"/>
        <v>0.29096735097938276</v>
      </c>
      <c r="AQ590" s="1"/>
      <c r="AR590" s="1"/>
      <c r="AS590" s="1"/>
      <c r="AT590" s="1"/>
      <c r="AU590" s="1"/>
      <c r="BC590" s="23"/>
      <c r="BD590" s="23"/>
    </row>
    <row r="591" spans="34:56">
      <c r="AH591" s="6">
        <f t="shared" si="156"/>
        <v>561</v>
      </c>
      <c r="AI591" s="7">
        <f t="shared" ca="1" si="157"/>
        <v>43231</v>
      </c>
      <c r="AJ591" s="210">
        <f t="shared" ca="1" si="158"/>
        <v>3.6034931506849319</v>
      </c>
      <c r="AK591" s="8">
        <f t="shared" ca="1" si="159"/>
        <v>1.0001000970319636</v>
      </c>
      <c r="AL591" s="98">
        <f t="shared" ca="1" si="160"/>
        <v>3.5077981663555136</v>
      </c>
      <c r="AM591" s="106">
        <f t="shared" ca="1" si="152"/>
        <v>27486.611273036659</v>
      </c>
      <c r="AN591" s="10">
        <f t="shared" ca="1" si="153"/>
        <v>0.4654850630606111</v>
      </c>
      <c r="AO591" s="311">
        <f t="shared" ca="1" si="154"/>
        <v>0.45968193563612647</v>
      </c>
      <c r="AP591" s="312">
        <f t="shared" ca="1" si="155"/>
        <v>0.29101304389760163</v>
      </c>
      <c r="AQ591" s="1"/>
      <c r="AR591" s="1"/>
      <c r="AS591" s="1"/>
      <c r="AT591" s="1"/>
      <c r="AU591" s="1"/>
      <c r="BC591" s="23"/>
      <c r="BD591" s="23"/>
    </row>
    <row r="592" spans="34:56">
      <c r="AH592" s="6">
        <f t="shared" si="156"/>
        <v>562</v>
      </c>
      <c r="AI592" s="7">
        <f t="shared" ca="1" si="157"/>
        <v>43232</v>
      </c>
      <c r="AJ592" s="210">
        <f t="shared" ca="1" si="158"/>
        <v>3.6045890410958905</v>
      </c>
      <c r="AK592" s="8">
        <f t="shared" ca="1" si="159"/>
        <v>1.0001001274733639</v>
      </c>
      <c r="AL592" s="98">
        <f t="shared" ca="1" si="160"/>
        <v>3.5081790333489238</v>
      </c>
      <c r="AM592" s="106">
        <f t="shared" ca="1" si="152"/>
        <v>27488.803144787256</v>
      </c>
      <c r="AN592" s="10">
        <f t="shared" ca="1" si="153"/>
        <v>0.46598480351813798</v>
      </c>
      <c r="AO592" s="311">
        <f t="shared" ca="1" si="154"/>
        <v>0.46017899585056676</v>
      </c>
      <c r="AP592" s="312">
        <f t="shared" ca="1" si="155"/>
        <v>0.29105880193860512</v>
      </c>
      <c r="AQ592" s="1"/>
      <c r="AR592" s="1"/>
      <c r="AS592" s="1"/>
      <c r="AT592" s="1"/>
      <c r="AU592" s="1"/>
      <c r="BC592" s="23"/>
      <c r="BD592" s="23"/>
    </row>
    <row r="593" spans="34:56">
      <c r="AH593" s="6">
        <f t="shared" si="156"/>
        <v>563</v>
      </c>
      <c r="AI593" s="7">
        <f t="shared" ca="1" si="157"/>
        <v>43233</v>
      </c>
      <c r="AJ593" s="210">
        <f t="shared" ca="1" si="158"/>
        <v>3.6056849315068495</v>
      </c>
      <c r="AK593" s="8">
        <f t="shared" ca="1" si="159"/>
        <v>1.0001001579147641</v>
      </c>
      <c r="AL593" s="98">
        <f t="shared" ca="1" si="160"/>
        <v>3.5085605913383722</v>
      </c>
      <c r="AM593" s="106">
        <f t="shared" ca="1" si="152"/>
        <v>27490.99519132483</v>
      </c>
      <c r="AN593" s="10">
        <f t="shared" ca="1" si="153"/>
        <v>0.46648475373349818</v>
      </c>
      <c r="AO593" s="311">
        <f t="shared" ca="1" si="154"/>
        <v>0.4606762774115381</v>
      </c>
      <c r="AP593" s="312">
        <f t="shared" ca="1" si="155"/>
        <v>0.29110462481238369</v>
      </c>
      <c r="AQ593" s="1"/>
      <c r="AR593" s="1"/>
      <c r="AS593" s="1"/>
      <c r="AT593" s="1"/>
      <c r="AU593" s="1"/>
      <c r="BC593" s="23"/>
      <c r="BD593" s="23"/>
    </row>
    <row r="594" spans="34:56">
      <c r="AH594" s="6">
        <f t="shared" si="156"/>
        <v>564</v>
      </c>
      <c r="AI594" s="7">
        <f t="shared" ca="1" si="157"/>
        <v>43234</v>
      </c>
      <c r="AJ594" s="210">
        <f t="shared" ca="1" si="158"/>
        <v>3.6067808219178086</v>
      </c>
      <c r="AK594" s="8">
        <f t="shared" ca="1" si="159"/>
        <v>1.0001001883561644</v>
      </c>
      <c r="AL594" s="98">
        <f t="shared" ca="1" si="160"/>
        <v>3.5089428366633424</v>
      </c>
      <c r="AM594" s="106">
        <f t="shared" ca="1" si="152"/>
        <v>27493.187412663323</v>
      </c>
      <c r="AN594" s="10">
        <f t="shared" ca="1" si="153"/>
        <v>0.46698491260717123</v>
      </c>
      <c r="AO594" s="311">
        <f t="shared" ca="1" si="154"/>
        <v>0.46117377926195197</v>
      </c>
      <c r="AP594" s="312">
        <f t="shared" ca="1" si="155"/>
        <v>0.29115051223101535</v>
      </c>
      <c r="AQ594" s="1"/>
      <c r="AR594" s="1"/>
      <c r="AS594" s="1"/>
      <c r="AT594" s="1"/>
      <c r="AU594" s="1"/>
      <c r="BC594" s="23"/>
      <c r="BD594" s="23"/>
    </row>
    <row r="595" spans="34:56">
      <c r="AH595" s="6">
        <f t="shared" si="156"/>
        <v>565</v>
      </c>
      <c r="AI595" s="7">
        <f t="shared" ca="1" si="157"/>
        <v>43235</v>
      </c>
      <c r="AJ595" s="210">
        <f t="shared" ca="1" si="158"/>
        <v>3.6078767123287672</v>
      </c>
      <c r="AK595" s="8">
        <f t="shared" ca="1" si="159"/>
        <v>1.0001002187975647</v>
      </c>
      <c r="AL595" s="98">
        <f t="shared" ca="1" si="160"/>
        <v>3.5093257656892751</v>
      </c>
      <c r="AM595" s="106">
        <f t="shared" ca="1" si="152"/>
        <v>27495.379808816673</v>
      </c>
      <c r="AN595" s="10">
        <f t="shared" ca="1" si="153"/>
        <v>0.46748527904751924</v>
      </c>
      <c r="AO595" s="311">
        <f t="shared" ca="1" si="154"/>
        <v>0.46167150035247262</v>
      </c>
      <c r="AP595" s="312">
        <f t="shared" ca="1" si="155"/>
        <v>0.29119646390864007</v>
      </c>
      <c r="AQ595" s="1"/>
      <c r="AR595" s="1"/>
      <c r="AS595" s="1"/>
      <c r="AT595" s="1"/>
      <c r="AU595" s="1"/>
      <c r="BC595" s="23"/>
      <c r="BD595" s="23"/>
    </row>
    <row r="596" spans="34:56">
      <c r="AH596" s="6">
        <f t="shared" si="156"/>
        <v>566</v>
      </c>
      <c r="AI596" s="7">
        <f t="shared" ca="1" si="157"/>
        <v>43236</v>
      </c>
      <c r="AJ596" s="210">
        <f t="shared" ca="1" si="158"/>
        <v>3.6089726027397262</v>
      </c>
      <c r="AK596" s="8">
        <f t="shared" ca="1" si="159"/>
        <v>1.000100249238965</v>
      </c>
      <c r="AL596" s="98">
        <f t="shared" ca="1" si="160"/>
        <v>3.5097093748073016</v>
      </c>
      <c r="AM596" s="106">
        <f t="shared" ca="1" si="152"/>
        <v>27497.572379798821</v>
      </c>
      <c r="AN596" s="10">
        <f t="shared" ca="1" si="153"/>
        <v>0.46798585197054265</v>
      </c>
      <c r="AO596" s="311">
        <f t="shared" ca="1" si="154"/>
        <v>0.46216943964126478</v>
      </c>
      <c r="AP596" s="312">
        <f t="shared" ca="1" si="155"/>
        <v>0.29124247956144511</v>
      </c>
      <c r="AQ596" s="1"/>
      <c r="AR596" s="1"/>
      <c r="AS596" s="1"/>
      <c r="AT596" s="1"/>
      <c r="AU596" s="1"/>
      <c r="BC596" s="23"/>
      <c r="BD596" s="23"/>
    </row>
    <row r="597" spans="34:56">
      <c r="AH597" s="6">
        <f t="shared" si="156"/>
        <v>567</v>
      </c>
      <c r="AI597" s="7">
        <f t="shared" ca="1" si="157"/>
        <v>43237</v>
      </c>
      <c r="AJ597" s="210">
        <f t="shared" ca="1" si="158"/>
        <v>3.6100684931506852</v>
      </c>
      <c r="AK597" s="8">
        <f t="shared" ca="1" si="159"/>
        <v>1.0001002796803653</v>
      </c>
      <c r="AL597" s="98">
        <f t="shared" ca="1" si="160"/>
        <v>3.5100936604340216</v>
      </c>
      <c r="AM597" s="106">
        <f t="shared" ca="1" si="152"/>
        <v>27499.765125623704</v>
      </c>
      <c r="AN597" s="10">
        <f t="shared" ca="1" si="153"/>
        <v>0.46848663029994686</v>
      </c>
      <c r="AO597" s="311">
        <f t="shared" ca="1" si="154"/>
        <v>0.46266759609411096</v>
      </c>
      <c r="AP597" s="312">
        <f t="shared" ca="1" si="155"/>
        <v>0.29128855890764688</v>
      </c>
      <c r="AQ597" s="1"/>
      <c r="AR597" s="1"/>
      <c r="AS597" s="1"/>
      <c r="AT597" s="1"/>
      <c r="AU597" s="1"/>
      <c r="BC597" s="23"/>
      <c r="BD597" s="23"/>
    </row>
    <row r="598" spans="34:56">
      <c r="AH598" s="6">
        <f t="shared" si="156"/>
        <v>568</v>
      </c>
      <c r="AI598" s="7">
        <f t="shared" ca="1" si="157"/>
        <v>43238</v>
      </c>
      <c r="AJ598" s="210">
        <f t="shared" ca="1" si="158"/>
        <v>3.6111643835616443</v>
      </c>
      <c r="AK598" s="8">
        <f t="shared" ca="1" si="159"/>
        <v>1.0001003101217656</v>
      </c>
      <c r="AL598" s="98">
        <f t="shared" ca="1" si="160"/>
        <v>3.5104786190112591</v>
      </c>
      <c r="AM598" s="106">
        <f t="shared" ca="1" si="152"/>
        <v>27501.958046305273</v>
      </c>
      <c r="AN598" s="10">
        <f t="shared" ca="1" si="153"/>
        <v>0.46898761296696456</v>
      </c>
      <c r="AO598" s="311">
        <f t="shared" ca="1" si="154"/>
        <v>0.46316596868417526</v>
      </c>
      <c r="AP598" s="312">
        <f t="shared" ca="1" si="155"/>
        <v>0.29133470166746972</v>
      </c>
      <c r="AQ598" s="1"/>
      <c r="AR598" s="1"/>
      <c r="AS598" s="1"/>
      <c r="AT598" s="1"/>
      <c r="AU598" s="1"/>
      <c r="BC598" s="23"/>
      <c r="BD598" s="23"/>
    </row>
    <row r="599" spans="34:56">
      <c r="AH599" s="6">
        <f t="shared" si="156"/>
        <v>569</v>
      </c>
      <c r="AI599" s="7">
        <f t="shared" ca="1" si="157"/>
        <v>43239</v>
      </c>
      <c r="AJ599" s="210">
        <f t="shared" ca="1" si="158"/>
        <v>3.6122602739726029</v>
      </c>
      <c r="AK599" s="8">
        <f t="shared" ca="1" si="159"/>
        <v>1.0001003405631659</v>
      </c>
      <c r="AL599" s="98">
        <f t="shared" ca="1" si="160"/>
        <v>3.5108642470059293</v>
      </c>
      <c r="AM599" s="106">
        <f t="shared" ca="1" si="152"/>
        <v>27504.151141857466</v>
      </c>
      <c r="AN599" s="10">
        <f t="shared" ca="1" si="153"/>
        <v>0.46948879891040018</v>
      </c>
      <c r="AO599" s="311">
        <f t="shared" ca="1" si="154"/>
        <v>0.46366455639212134</v>
      </c>
      <c r="AP599" s="312">
        <f t="shared" ca="1" si="155"/>
        <v>0.29138090756313639</v>
      </c>
      <c r="AQ599" s="1"/>
      <c r="AR599" s="1"/>
      <c r="AS599" s="1"/>
      <c r="AT599" s="1"/>
      <c r="AU599" s="1"/>
      <c r="BC599" s="23"/>
      <c r="BD599" s="23"/>
    </row>
    <row r="600" spans="34:56">
      <c r="AH600" s="6">
        <f t="shared" si="156"/>
        <v>570</v>
      </c>
      <c r="AI600" s="7">
        <f t="shared" ca="1" si="157"/>
        <v>43240</v>
      </c>
      <c r="AJ600" s="210">
        <f t="shared" ca="1" si="158"/>
        <v>3.6133561643835619</v>
      </c>
      <c r="AK600" s="8">
        <f t="shared" ca="1" si="159"/>
        <v>1.0001003710045662</v>
      </c>
      <c r="AL600" s="98">
        <f t="shared" ca="1" si="160"/>
        <v>3.5112505409096828</v>
      </c>
      <c r="AM600" s="106">
        <f t="shared" ca="1" si="152"/>
        <v>27506.344412294231</v>
      </c>
      <c r="AN600" s="10">
        <f t="shared" ca="1" si="153"/>
        <v>0.46999018707645224</v>
      </c>
      <c r="AO600" s="311">
        <f t="shared" ca="1" si="154"/>
        <v>0.46416335820585025</v>
      </c>
      <c r="AP600" s="312">
        <f t="shared" ca="1" si="155"/>
        <v>0.29142717631883991</v>
      </c>
      <c r="AQ600" s="1"/>
      <c r="AR600" s="1"/>
      <c r="AS600" s="1"/>
      <c r="AT600" s="1"/>
      <c r="AU600" s="1"/>
      <c r="BC600" s="23"/>
      <c r="BD600" s="23"/>
    </row>
    <row r="601" spans="34:56">
      <c r="AH601" s="6">
        <f t="shared" si="156"/>
        <v>571</v>
      </c>
      <c r="AI601" s="7">
        <f t="shared" ca="1" si="157"/>
        <v>43241</v>
      </c>
      <c r="AJ601" s="210">
        <f t="shared" ca="1" si="158"/>
        <v>3.6144520547945209</v>
      </c>
      <c r="AK601" s="8">
        <f t="shared" ca="1" si="159"/>
        <v>1.0001004014459665</v>
      </c>
      <c r="AL601" s="98">
        <f t="shared" ca="1" si="160"/>
        <v>3.5116374972387954</v>
      </c>
      <c r="AM601" s="106">
        <f t="shared" ca="1" si="152"/>
        <v>27508.537857629512</v>
      </c>
      <c r="AN601" s="10">
        <f t="shared" ca="1" si="153"/>
        <v>0.47049177641875772</v>
      </c>
      <c r="AO601" s="311">
        <f t="shared" ca="1" si="154"/>
        <v>0.46466237312061903</v>
      </c>
      <c r="AP601" s="312">
        <f t="shared" ca="1" si="155"/>
        <v>0.29147350766073343</v>
      </c>
      <c r="AQ601" s="1"/>
      <c r="AR601" s="1"/>
      <c r="AS601" s="1"/>
      <c r="AT601" s="1"/>
      <c r="AU601" s="1"/>
      <c r="BC601" s="23"/>
      <c r="BD601" s="23"/>
    </row>
    <row r="602" spans="34:56">
      <c r="AH602" s="6">
        <f t="shared" si="156"/>
        <v>572</v>
      </c>
      <c r="AI602" s="7">
        <f t="shared" ca="1" si="157"/>
        <v>43242</v>
      </c>
      <c r="AJ602" s="210">
        <f t="shared" ca="1" si="158"/>
        <v>3.6155479452054795</v>
      </c>
      <c r="AK602" s="8">
        <f t="shared" ca="1" si="159"/>
        <v>1.0001004318873667</v>
      </c>
      <c r="AL602" s="98">
        <f t="shared" ca="1" si="160"/>
        <v>3.512025112533923</v>
      </c>
      <c r="AM602" s="106">
        <f t="shared" ca="1" si="152"/>
        <v>27510.731477877252</v>
      </c>
      <c r="AN602" s="10">
        <f t="shared" ca="1" si="153"/>
        <v>0.47099356589821451</v>
      </c>
      <c r="AO602" s="311">
        <f t="shared" ca="1" si="154"/>
        <v>0.46516160013882274</v>
      </c>
      <c r="AP602" s="312">
        <f t="shared" ca="1" si="155"/>
        <v>0.29151990131691197</v>
      </c>
      <c r="AQ602" s="1"/>
      <c r="AR602" s="1"/>
      <c r="AS602" s="1"/>
      <c r="AT602" s="1"/>
      <c r="AU602" s="1"/>
      <c r="BC602" s="23"/>
      <c r="BD602" s="23"/>
    </row>
    <row r="603" spans="34:56">
      <c r="AH603" s="6">
        <f t="shared" si="156"/>
        <v>573</v>
      </c>
      <c r="AI603" s="7">
        <f t="shared" ca="1" si="157"/>
        <v>43243</v>
      </c>
      <c r="AJ603" s="210">
        <f t="shared" ca="1" si="158"/>
        <v>3.6166438356164385</v>
      </c>
      <c r="AK603" s="8">
        <f t="shared" ca="1" si="159"/>
        <v>1.000100462328767</v>
      </c>
      <c r="AL603" s="98">
        <f t="shared" ca="1" si="160"/>
        <v>3.5124133833598803</v>
      </c>
      <c r="AM603" s="106">
        <f t="shared" ca="1" si="152"/>
        <v>27512.925273051405</v>
      </c>
      <c r="AN603" s="10">
        <f t="shared" ca="1" si="153"/>
        <v>0.47149555448302571</v>
      </c>
      <c r="AO603" s="311">
        <f t="shared" ca="1" si="154"/>
        <v>0.46566103827005756</v>
      </c>
      <c r="AP603" s="312">
        <f t="shared" ca="1" si="155"/>
        <v>0.29156635701739403</v>
      </c>
      <c r="AQ603" s="1"/>
      <c r="AR603" s="1"/>
      <c r="AS603" s="1"/>
      <c r="AT603" s="1"/>
      <c r="AU603" s="1"/>
      <c r="BC603" s="23"/>
      <c r="BD603" s="23"/>
    </row>
    <row r="604" spans="34:56">
      <c r="AH604" s="6">
        <f t="shared" si="156"/>
        <v>574</v>
      </c>
      <c r="AI604" s="7">
        <f t="shared" ca="1" si="157"/>
        <v>43244</v>
      </c>
      <c r="AJ604" s="210">
        <f t="shared" ca="1" si="158"/>
        <v>3.6177397260273976</v>
      </c>
      <c r="AK604" s="8">
        <f t="shared" ca="1" si="159"/>
        <v>1.0001004927701673</v>
      </c>
      <c r="AL604" s="98">
        <f t="shared" ca="1" si="160"/>
        <v>3.5128023063054181</v>
      </c>
      <c r="AM604" s="106">
        <f t="shared" ca="1" si="152"/>
        <v>27515.119243165915</v>
      </c>
      <c r="AN604" s="10">
        <f t="shared" ca="1" si="153"/>
        <v>0.47199774114856652</v>
      </c>
      <c r="AO604" s="311">
        <f t="shared" ca="1" si="154"/>
        <v>0.46616068653096082</v>
      </c>
      <c r="AP604" s="312">
        <f t="shared" ca="1" si="155"/>
        <v>0.29161287449410656</v>
      </c>
      <c r="AQ604" s="1"/>
      <c r="AR604" s="1"/>
      <c r="AS604" s="1"/>
      <c r="AT604" s="1"/>
      <c r="AU604" s="1"/>
      <c r="BC604" s="23"/>
      <c r="BD604" s="23"/>
    </row>
    <row r="605" spans="34:56">
      <c r="AH605" s="6">
        <f t="shared" si="156"/>
        <v>575</v>
      </c>
      <c r="AI605" s="7">
        <f t="shared" ca="1" si="157"/>
        <v>43245</v>
      </c>
      <c r="AJ605" s="210">
        <f t="shared" ca="1" si="158"/>
        <v>3.6188356164383562</v>
      </c>
      <c r="AK605" s="8">
        <f t="shared" ca="1" si="159"/>
        <v>1.0001005232115678</v>
      </c>
      <c r="AL605" s="98">
        <f t="shared" ca="1" si="160"/>
        <v>3.5131918779830462</v>
      </c>
      <c r="AM605" s="106">
        <f t="shared" ca="1" si="152"/>
        <v>27517.313388234739</v>
      </c>
      <c r="AN605" s="10">
        <f t="shared" ca="1" si="153"/>
        <v>0.47250012487733972</v>
      </c>
      <c r="AO605" s="311">
        <f t="shared" ca="1" si="154"/>
        <v>0.46666054394521911</v>
      </c>
      <c r="AP605" s="312">
        <f t="shared" ca="1" si="155"/>
        <v>0.29165945348086653</v>
      </c>
      <c r="AQ605" s="1"/>
      <c r="AR605" s="1"/>
      <c r="AS605" s="1"/>
      <c r="AT605" s="1"/>
      <c r="AU605" s="1"/>
      <c r="BC605" s="23"/>
      <c r="BD605" s="23"/>
    </row>
    <row r="606" spans="34:56">
      <c r="AH606" s="6">
        <f t="shared" si="156"/>
        <v>576</v>
      </c>
      <c r="AI606" s="7">
        <f t="shared" ca="1" si="157"/>
        <v>43246</v>
      </c>
      <c r="AJ606" s="210">
        <f t="shared" ca="1" si="158"/>
        <v>3.6199315068493152</v>
      </c>
      <c r="AK606" s="8">
        <f t="shared" ca="1" si="159"/>
        <v>1.0001005536529681</v>
      </c>
      <c r="AL606" s="98">
        <f t="shared" ca="1" si="160"/>
        <v>3.5135820950287888</v>
      </c>
      <c r="AM606" s="106">
        <f t="shared" ca="1" si="152"/>
        <v>27519.50770827182</v>
      </c>
      <c r="AN606" s="10">
        <f t="shared" ca="1" si="153"/>
        <v>0.47300270465888694</v>
      </c>
      <c r="AO606" s="311">
        <f t="shared" ca="1" si="154"/>
        <v>0.46716060954343774</v>
      </c>
      <c r="AP606" s="312">
        <f t="shared" ca="1" si="155"/>
        <v>0.29170609371336498</v>
      </c>
      <c r="AQ606" s="1"/>
      <c r="AR606" s="1"/>
      <c r="AS606" s="1"/>
      <c r="AT606" s="1"/>
      <c r="AU606" s="1"/>
      <c r="BC606" s="23"/>
      <c r="BD606" s="23"/>
    </row>
    <row r="607" spans="34:56">
      <c r="AH607" s="6">
        <f t="shared" si="156"/>
        <v>577</v>
      </c>
      <c r="AI607" s="7">
        <f t="shared" ca="1" si="157"/>
        <v>43247</v>
      </c>
      <c r="AJ607" s="210">
        <f t="shared" ca="1" si="158"/>
        <v>3.6210273972602742</v>
      </c>
      <c r="AK607" s="8">
        <f t="shared" ca="1" si="159"/>
        <v>1.0001005840943684</v>
      </c>
      <c r="AL607" s="98">
        <f t="shared" ca="1" si="160"/>
        <v>3.5139729541020293</v>
      </c>
      <c r="AM607" s="106">
        <f t="shared" ref="AM607:AM670" ca="1" si="161">Geom_Interp(AI607,$AZ$2:$AZ$109,$BA$2:$BA$109)</f>
        <v>27521.702203291119</v>
      </c>
      <c r="AN607" s="10">
        <f t="shared" ref="AN607:AN670" ca="1" si="162">100*(((1+AL607/100)^(AH607/365)*$AM$29/AM607)^(365/AH607)-1)</f>
        <v>0.47350547948983301</v>
      </c>
      <c r="AO607" s="311">
        <f t="shared" ref="AO607:AO670" ca="1" si="163">100*360/$AH607*((1+AN607/100)^($AH607/365)-1)</f>
        <v>0.46766088236319164</v>
      </c>
      <c r="AP607" s="312">
        <f t="shared" ref="AP607:AP670" ca="1" si="164">100*30/$AH607*((1+AL607/100)^($AH607/365)-1)</f>
        <v>0.29175279492915063</v>
      </c>
      <c r="AQ607" s="1"/>
      <c r="AR607" s="1"/>
      <c r="AS607" s="1"/>
      <c r="AT607" s="1"/>
      <c r="AU607" s="1"/>
      <c r="BC607" s="23"/>
      <c r="BD607" s="23"/>
    </row>
    <row r="608" spans="34:56">
      <c r="AH608" s="6">
        <f t="shared" ref="AH608:AH671" si="165">$AI$29+AH607</f>
        <v>578</v>
      </c>
      <c r="AI608" s="7">
        <f t="shared" ref="AI608:AI671" ca="1" si="166">+AH608+$C$1</f>
        <v>43248</v>
      </c>
      <c r="AJ608" s="210">
        <f t="shared" ref="AJ608:AJ671" ca="1" si="167">IF(AH608&lt;365,VLOOKUP(LOOKUP(AI608,$AI$2:$AI$23),$AI$2:$AK$23,3,0),Lin_Interp(AH608,$AJ$2:$AJ$23,$AK$2:$AK$23))</f>
        <v>3.6221232876712333</v>
      </c>
      <c r="AK608" s="8">
        <f t="shared" ca="1" si="159"/>
        <v>1.0001006145357687</v>
      </c>
      <c r="AL608" s="98">
        <f t="shared" ca="1" si="160"/>
        <v>3.5143644518852435</v>
      </c>
      <c r="AM608" s="106">
        <f t="shared" ca="1" si="161"/>
        <v>27523.896873306585</v>
      </c>
      <c r="AN608" s="10">
        <f t="shared" ca="1" si="162"/>
        <v>0.47400844837361955</v>
      </c>
      <c r="AO608" s="311">
        <f t="shared" ca="1" si="163"/>
        <v>0.46816136144878534</v>
      </c>
      <c r="AP608" s="312">
        <f t="shared" ca="1" si="164"/>
        <v>0.29179955686761611</v>
      </c>
      <c r="AQ608" s="1"/>
      <c r="AR608" s="1"/>
      <c r="AS608" s="1"/>
      <c r="AT608" s="1"/>
      <c r="AU608" s="1"/>
      <c r="BC608" s="23"/>
      <c r="BD608" s="23"/>
    </row>
    <row r="609" spans="34:56">
      <c r="AH609" s="6">
        <f t="shared" si="165"/>
        <v>579</v>
      </c>
      <c r="AI609" s="7">
        <f t="shared" ca="1" si="166"/>
        <v>43249</v>
      </c>
      <c r="AJ609" s="210">
        <f t="shared" ca="1" si="167"/>
        <v>3.6232191780821918</v>
      </c>
      <c r="AK609" s="8">
        <f t="shared" ref="AK609:AK672" ca="1" si="168">+(1+AJ609/36000)</f>
        <v>1.000100644977169</v>
      </c>
      <c r="AL609" s="98">
        <f t="shared" ref="AL609:AL672" ca="1" si="169">100*(((1+AL608/100)^(AH608/365)*AK609)^(365/AH609)-1)</f>
        <v>3.5147565850838891</v>
      </c>
      <c r="AM609" s="106">
        <f t="shared" ca="1" si="161"/>
        <v>27526.091718332173</v>
      </c>
      <c r="AN609" s="10">
        <f t="shared" ca="1" si="162"/>
        <v>0.47451161032072697</v>
      </c>
      <c r="AO609" s="311">
        <f t="shared" ca="1" si="163"/>
        <v>0.4686620458514294</v>
      </c>
      <c r="AP609" s="312">
        <f t="shared" ca="1" si="164"/>
        <v>0.2918463792699787</v>
      </c>
      <c r="AQ609" s="1"/>
      <c r="AR609" s="1"/>
      <c r="AS609" s="1"/>
      <c r="AT609" s="1"/>
      <c r="AU609" s="1"/>
      <c r="BC609" s="23"/>
      <c r="BD609" s="23"/>
    </row>
    <row r="610" spans="34:56">
      <c r="AH610" s="6">
        <f t="shared" si="165"/>
        <v>580</v>
      </c>
      <c r="AI610" s="7">
        <f t="shared" ca="1" si="166"/>
        <v>43250</v>
      </c>
      <c r="AJ610" s="210">
        <f t="shared" ca="1" si="167"/>
        <v>3.6243150684931509</v>
      </c>
      <c r="AK610" s="8">
        <f t="shared" ca="1" si="168"/>
        <v>1.0001006754185693</v>
      </c>
      <c r="AL610" s="98">
        <f t="shared" ca="1" si="169"/>
        <v>3.5151493504261166</v>
      </c>
      <c r="AM610" s="106">
        <f t="shared" ca="1" si="161"/>
        <v>27528.286738381841</v>
      </c>
      <c r="AN610" s="10">
        <f t="shared" ca="1" si="162"/>
        <v>0.47501496434836366</v>
      </c>
      <c r="AO610" s="311">
        <f t="shared" ca="1" si="163"/>
        <v>0.46916293462901554</v>
      </c>
      <c r="AP610" s="312">
        <f t="shared" ca="1" si="164"/>
        <v>0.29189326187926901</v>
      </c>
      <c r="AQ610" s="1"/>
      <c r="AR610" s="1"/>
      <c r="AS610" s="1"/>
      <c r="AT610" s="1"/>
      <c r="AU610" s="1"/>
      <c r="BC610" s="23"/>
      <c r="BD610" s="23"/>
    </row>
    <row r="611" spans="34:56">
      <c r="AH611" s="6">
        <f t="shared" si="165"/>
        <v>581</v>
      </c>
      <c r="AI611" s="7">
        <f t="shared" ca="1" si="166"/>
        <v>43251</v>
      </c>
      <c r="AJ611" s="210">
        <f t="shared" ca="1" si="167"/>
        <v>3.6254109589041099</v>
      </c>
      <c r="AK611" s="8">
        <f t="shared" ca="1" si="168"/>
        <v>1.0001007058599696</v>
      </c>
      <c r="AL611" s="98">
        <f t="shared" ca="1" si="169"/>
        <v>3.5155427446626364</v>
      </c>
      <c r="AM611" s="106">
        <f t="shared" ca="1" si="161"/>
        <v>27530.481933469542</v>
      </c>
      <c r="AN611" s="10">
        <f t="shared" ca="1" si="162"/>
        <v>0.47551850948051033</v>
      </c>
      <c r="AO611" s="311">
        <f t="shared" ca="1" si="163"/>
        <v>0.46966402684601799</v>
      </c>
      <c r="AP611" s="312">
        <f t="shared" ca="1" si="164"/>
        <v>0.29194020444030966</v>
      </c>
      <c r="AQ611" s="1"/>
      <c r="AR611" s="1"/>
      <c r="AS611" s="1"/>
      <c r="AT611" s="1"/>
      <c r="AU611" s="1"/>
      <c r="BC611" s="23"/>
      <c r="BD611" s="23"/>
    </row>
    <row r="612" spans="34:56">
      <c r="AH612" s="6">
        <f t="shared" si="165"/>
        <v>582</v>
      </c>
      <c r="AI612" s="7">
        <f t="shared" ca="1" si="166"/>
        <v>43252</v>
      </c>
      <c r="AJ612" s="210">
        <f t="shared" ca="1" si="167"/>
        <v>3.6265068493150685</v>
      </c>
      <c r="AK612" s="8">
        <f t="shared" ca="1" si="168"/>
        <v>1.0001007363013699</v>
      </c>
      <c r="AL612" s="98">
        <f t="shared" ca="1" si="169"/>
        <v>3.5159367645664741</v>
      </c>
      <c r="AM612" s="106">
        <f t="shared" ca="1" si="161"/>
        <v>27532.677303609238</v>
      </c>
      <c r="AN612" s="10">
        <f t="shared" ca="1" si="162"/>
        <v>0.47602224474787569</v>
      </c>
      <c r="AO612" s="311">
        <f t="shared" ca="1" si="163"/>
        <v>0.47016532157362917</v>
      </c>
      <c r="AP612" s="312">
        <f t="shared" ca="1" si="164"/>
        <v>0.29198720669970246</v>
      </c>
      <c r="AQ612" s="1"/>
      <c r="AR612" s="1"/>
      <c r="AS612" s="1"/>
      <c r="AT612" s="1"/>
      <c r="AU612" s="1"/>
      <c r="BC612" s="23"/>
      <c r="BD612" s="23"/>
    </row>
    <row r="613" spans="34:56">
      <c r="AH613" s="6">
        <f t="shared" si="165"/>
        <v>583</v>
      </c>
      <c r="AI613" s="7">
        <f t="shared" ca="1" si="166"/>
        <v>43253</v>
      </c>
      <c r="AJ613" s="210">
        <f t="shared" ca="1" si="167"/>
        <v>3.6276027397260275</v>
      </c>
      <c r="AK613" s="8">
        <f t="shared" ca="1" si="168"/>
        <v>1.0001007667427702</v>
      </c>
      <c r="AL613" s="98">
        <f t="shared" ca="1" si="169"/>
        <v>3.5163314069328377</v>
      </c>
      <c r="AM613" s="106">
        <f t="shared" ca="1" si="161"/>
        <v>27534.872848814884</v>
      </c>
      <c r="AN613" s="10">
        <f t="shared" ca="1" si="162"/>
        <v>0.47652616918785196</v>
      </c>
      <c r="AO613" s="311">
        <f t="shared" ca="1" si="163"/>
        <v>0.47066681788955111</v>
      </c>
      <c r="AP613" s="312">
        <f t="shared" ca="1" si="164"/>
        <v>0.29203426840581731</v>
      </c>
      <c r="AQ613" s="1"/>
      <c r="AR613" s="1"/>
      <c r="AS613" s="1"/>
      <c r="AT613" s="1"/>
      <c r="AU613" s="1"/>
      <c r="BC613" s="23"/>
      <c r="BD613" s="23"/>
    </row>
    <row r="614" spans="34:56">
      <c r="AH614" s="6">
        <f t="shared" si="165"/>
        <v>584</v>
      </c>
      <c r="AI614" s="7">
        <f t="shared" ca="1" si="166"/>
        <v>43254</v>
      </c>
      <c r="AJ614" s="210">
        <f t="shared" ca="1" si="167"/>
        <v>3.6286986301369866</v>
      </c>
      <c r="AK614" s="8">
        <f t="shared" ca="1" si="168"/>
        <v>1.0001007971841704</v>
      </c>
      <c r="AL614" s="98">
        <f t="shared" ca="1" si="169"/>
        <v>3.5167266685788956</v>
      </c>
      <c r="AM614" s="106">
        <f t="shared" ca="1" si="161"/>
        <v>27537.068569100451</v>
      </c>
      <c r="AN614" s="10">
        <f t="shared" ca="1" si="162"/>
        <v>0.47703028184435947</v>
      </c>
      <c r="AO614" s="311">
        <f t="shared" ca="1" si="163"/>
        <v>0.47116851487795358</v>
      </c>
      <c r="AP614" s="312">
        <f t="shared" ca="1" si="164"/>
        <v>0.29208138930876937</v>
      </c>
      <c r="AQ614" s="1"/>
      <c r="AR614" s="1"/>
      <c r="AS614" s="1"/>
      <c r="AT614" s="1"/>
      <c r="AU614" s="1"/>
      <c r="BC614" s="23"/>
      <c r="BD614" s="23"/>
    </row>
    <row r="615" spans="34:56">
      <c r="AH615" s="6">
        <f t="shared" si="165"/>
        <v>585</v>
      </c>
      <c r="AI615" s="7">
        <f t="shared" ca="1" si="166"/>
        <v>43255</v>
      </c>
      <c r="AJ615" s="210">
        <f t="shared" ca="1" si="167"/>
        <v>3.6297945205479456</v>
      </c>
      <c r="AK615" s="8">
        <f t="shared" ca="1" si="168"/>
        <v>1.0001008276255707</v>
      </c>
      <c r="AL615" s="98">
        <f t="shared" ca="1" si="169"/>
        <v>3.5171225463435762</v>
      </c>
      <c r="AM615" s="106">
        <f t="shared" ca="1" si="161"/>
        <v>27539.264464479886</v>
      </c>
      <c r="AN615" s="10">
        <f t="shared" ca="1" si="162"/>
        <v>0.47753458176793551</v>
      </c>
      <c r="AO615" s="311">
        <f t="shared" ca="1" si="163"/>
        <v>0.47167041162951434</v>
      </c>
      <c r="AP615" s="312">
        <f t="shared" ca="1" si="164"/>
        <v>0.29212856916041202</v>
      </c>
      <c r="AQ615" s="1"/>
      <c r="AR615" s="1"/>
      <c r="AS615" s="1"/>
      <c r="AT615" s="1"/>
      <c r="AU615" s="1"/>
      <c r="BC615" s="23"/>
      <c r="BD615" s="23"/>
    </row>
    <row r="616" spans="34:56">
      <c r="AH616" s="6">
        <f t="shared" si="165"/>
        <v>586</v>
      </c>
      <c r="AI616" s="7">
        <f t="shared" ca="1" si="166"/>
        <v>43256</v>
      </c>
      <c r="AJ616" s="210">
        <f t="shared" ca="1" si="167"/>
        <v>3.6308904109589042</v>
      </c>
      <c r="AK616" s="8">
        <f t="shared" ca="1" si="168"/>
        <v>1.000100858066971</v>
      </c>
      <c r="AL616" s="98">
        <f t="shared" ca="1" si="169"/>
        <v>3.5175190370874132</v>
      </c>
      <c r="AM616" s="106">
        <f t="shared" ca="1" si="161"/>
        <v>27541.460534967162</v>
      </c>
      <c r="AN616" s="10">
        <f t="shared" ca="1" si="162"/>
        <v>0.47803906801551221</v>
      </c>
      <c r="AO616" s="311">
        <f t="shared" ca="1" si="163"/>
        <v>0.47217250724121373</v>
      </c>
      <c r="AP616" s="312">
        <f t="shared" ca="1" si="164"/>
        <v>0.29217580771431401</v>
      </c>
      <c r="AQ616" s="1"/>
      <c r="AR616" s="1"/>
      <c r="AS616" s="1"/>
      <c r="AT616" s="1"/>
      <c r="AU616" s="1"/>
      <c r="BC616" s="23"/>
      <c r="BD616" s="23"/>
    </row>
    <row r="617" spans="34:56">
      <c r="AH617" s="6">
        <f t="shared" si="165"/>
        <v>587</v>
      </c>
      <c r="AI617" s="7">
        <f t="shared" ca="1" si="166"/>
        <v>43257</v>
      </c>
      <c r="AJ617" s="210">
        <f t="shared" ca="1" si="167"/>
        <v>3.6319863013698632</v>
      </c>
      <c r="AK617" s="8">
        <f t="shared" ca="1" si="168"/>
        <v>1.0001008885083713</v>
      </c>
      <c r="AL617" s="98">
        <f t="shared" ca="1" si="169"/>
        <v>3.5179161376923007</v>
      </c>
      <c r="AM617" s="106">
        <f t="shared" ca="1" si="161"/>
        <v>27543.656780576232</v>
      </c>
      <c r="AN617" s="10">
        <f t="shared" ca="1" si="162"/>
        <v>0.47854373965050545</v>
      </c>
      <c r="AO617" s="311">
        <f t="shared" ca="1" si="163"/>
        <v>0.47267480081641688</v>
      </c>
      <c r="AP617" s="312">
        <f t="shared" ca="1" si="164"/>
        <v>0.29222310472575075</v>
      </c>
      <c r="AQ617" s="1"/>
      <c r="AR617" s="1"/>
      <c r="AS617" s="1"/>
      <c r="AT617" s="1"/>
      <c r="AU617" s="1"/>
      <c r="BC617" s="23"/>
      <c r="BD617" s="23"/>
    </row>
    <row r="618" spans="34:56">
      <c r="AH618" s="6">
        <f t="shared" si="165"/>
        <v>588</v>
      </c>
      <c r="AI618" s="7">
        <f t="shared" ca="1" si="166"/>
        <v>43258</v>
      </c>
      <c r="AJ618" s="210">
        <f t="shared" ca="1" si="167"/>
        <v>3.6330821917808223</v>
      </c>
      <c r="AK618" s="8">
        <f t="shared" ca="1" si="168"/>
        <v>1.0001009189497716</v>
      </c>
      <c r="AL618" s="98">
        <f t="shared" ca="1" si="169"/>
        <v>3.5183138450614049</v>
      </c>
      <c r="AM618" s="106">
        <f t="shared" ca="1" si="161"/>
        <v>27545.853201321075</v>
      </c>
      <c r="AN618" s="10">
        <f t="shared" ca="1" si="162"/>
        <v>0.47904859574270375</v>
      </c>
      <c r="AO618" s="311">
        <f t="shared" ca="1" si="163"/>
        <v>0.47317729146475179</v>
      </c>
      <c r="AP618" s="312">
        <f t="shared" ca="1" si="164"/>
        <v>0.29227045995168821</v>
      </c>
      <c r="AQ618" s="1"/>
      <c r="AR618" s="1"/>
      <c r="AS618" s="1"/>
      <c r="AT618" s="1"/>
      <c r="AU618" s="1"/>
      <c r="BC618" s="23"/>
      <c r="BD618" s="23"/>
    </row>
    <row r="619" spans="34:56">
      <c r="AH619" s="6">
        <f t="shared" si="165"/>
        <v>589</v>
      </c>
      <c r="AI619" s="7">
        <f t="shared" ca="1" si="166"/>
        <v>43259</v>
      </c>
      <c r="AJ619" s="210">
        <f t="shared" ca="1" si="167"/>
        <v>3.6341780821917808</v>
      </c>
      <c r="AK619" s="8">
        <f t="shared" ca="1" si="168"/>
        <v>1.0001009493911719</v>
      </c>
      <c r="AL619" s="98">
        <f t="shared" ca="1" si="169"/>
        <v>3.5187121561189194</v>
      </c>
      <c r="AM619" s="106">
        <f t="shared" ca="1" si="161"/>
        <v>27548.049797215648</v>
      </c>
      <c r="AN619" s="10">
        <f t="shared" ca="1" si="162"/>
        <v>0.47955363536815732</v>
      </c>
      <c r="AO619" s="311">
        <f t="shared" ca="1" si="163"/>
        <v>0.47367997830201514</v>
      </c>
      <c r="AP619" s="312">
        <f t="shared" ca="1" si="164"/>
        <v>0.29231787315076918</v>
      </c>
      <c r="AQ619" s="1"/>
      <c r="AR619" s="1"/>
      <c r="AS619" s="1"/>
      <c r="AT619" s="1"/>
      <c r="AU619" s="1"/>
      <c r="BC619" s="23"/>
      <c r="BD619" s="23"/>
    </row>
    <row r="620" spans="34:56">
      <c r="AH620" s="6">
        <f t="shared" si="165"/>
        <v>590</v>
      </c>
      <c r="AI620" s="7">
        <f t="shared" ca="1" si="166"/>
        <v>43260</v>
      </c>
      <c r="AJ620" s="210">
        <f t="shared" ca="1" si="167"/>
        <v>3.6352739726027399</v>
      </c>
      <c r="AK620" s="8">
        <f t="shared" ca="1" si="168"/>
        <v>1.0001009798325724</v>
      </c>
      <c r="AL620" s="98">
        <f t="shared" ca="1" si="169"/>
        <v>3.519111067809888</v>
      </c>
      <c r="AM620" s="106">
        <f t="shared" ca="1" si="161"/>
        <v>27550.246568273917</v>
      </c>
      <c r="AN620" s="10">
        <f t="shared" ca="1" si="162"/>
        <v>0.48005885760928901</v>
      </c>
      <c r="AO620" s="311">
        <f t="shared" ca="1" si="163"/>
        <v>0.47418286045030988</v>
      </c>
      <c r="AP620" s="312">
        <f t="shared" ca="1" si="164"/>
        <v>0.29236534408329506</v>
      </c>
      <c r="AQ620" s="1"/>
      <c r="AR620" s="1"/>
      <c r="AS620" s="1"/>
      <c r="AT620" s="1"/>
      <c r="AU620" s="1"/>
      <c r="BC620" s="23"/>
      <c r="BD620" s="23"/>
    </row>
    <row r="621" spans="34:56">
      <c r="AH621" s="6">
        <f t="shared" si="165"/>
        <v>591</v>
      </c>
      <c r="AI621" s="7">
        <f t="shared" ca="1" si="166"/>
        <v>43261</v>
      </c>
      <c r="AJ621" s="210">
        <f t="shared" ca="1" si="167"/>
        <v>3.6363698630136989</v>
      </c>
      <c r="AK621" s="8">
        <f t="shared" ca="1" si="168"/>
        <v>1.0001010102739727</v>
      </c>
      <c r="AL621" s="98">
        <f t="shared" ca="1" si="169"/>
        <v>3.519510577100049</v>
      </c>
      <c r="AM621" s="106">
        <f t="shared" ca="1" si="161"/>
        <v>27552.51674906816</v>
      </c>
      <c r="AN621" s="10">
        <f t="shared" ca="1" si="162"/>
        <v>0.48039931529906266</v>
      </c>
      <c r="AO621" s="311">
        <f t="shared" ca="1" si="163"/>
        <v>0.47452276676258215</v>
      </c>
      <c r="AP621" s="312">
        <f t="shared" ca="1" si="164"/>
        <v>0.29241287251121917</v>
      </c>
      <c r="AQ621" s="1"/>
      <c r="AR621" s="1"/>
      <c r="AS621" s="1"/>
      <c r="AT621" s="1"/>
      <c r="AU621" s="1"/>
      <c r="BC621" s="23"/>
      <c r="BD621" s="23"/>
    </row>
    <row r="622" spans="34:56">
      <c r="AH622" s="6">
        <f t="shared" si="165"/>
        <v>592</v>
      </c>
      <c r="AI622" s="7">
        <f t="shared" ca="1" si="166"/>
        <v>43262</v>
      </c>
      <c r="AJ622" s="210">
        <f t="shared" ca="1" si="167"/>
        <v>3.6374657534246579</v>
      </c>
      <c r="AK622" s="8">
        <f t="shared" ca="1" si="168"/>
        <v>1.000101040715373</v>
      </c>
      <c r="AL622" s="98">
        <f t="shared" ca="1" si="169"/>
        <v>3.5199106809756575</v>
      </c>
      <c r="AM622" s="106">
        <f t="shared" ca="1" si="161"/>
        <v>27554.787116928645</v>
      </c>
      <c r="AN622" s="10">
        <f t="shared" ca="1" si="162"/>
        <v>0.48074050965092319</v>
      </c>
      <c r="AO622" s="311">
        <f t="shared" ca="1" si="163"/>
        <v>0.47486341139414806</v>
      </c>
      <c r="AP622" s="312">
        <f t="shared" ca="1" si="164"/>
        <v>0.29246045819812549</v>
      </c>
      <c r="AQ622" s="1"/>
      <c r="AR622" s="1"/>
      <c r="AS622" s="1"/>
      <c r="AT622" s="1"/>
      <c r="AU622" s="1"/>
      <c r="BC622" s="23"/>
      <c r="BD622" s="23"/>
    </row>
    <row r="623" spans="34:56">
      <c r="AH623" s="6">
        <f t="shared" si="165"/>
        <v>593</v>
      </c>
      <c r="AI623" s="7">
        <f t="shared" ca="1" si="166"/>
        <v>43263</v>
      </c>
      <c r="AJ623" s="210">
        <f t="shared" ca="1" si="167"/>
        <v>3.6385616438356165</v>
      </c>
      <c r="AK623" s="8">
        <f t="shared" ca="1" si="168"/>
        <v>1.0001010711567733</v>
      </c>
      <c r="AL623" s="98">
        <f t="shared" ca="1" si="169"/>
        <v>3.520311376443308</v>
      </c>
      <c r="AM623" s="106">
        <f t="shared" ca="1" si="161"/>
        <v>27557.057671870771</v>
      </c>
      <c r="AN623" s="10">
        <f t="shared" ca="1" si="162"/>
        <v>0.48108243695137443</v>
      </c>
      <c r="AO623" s="311">
        <f t="shared" ca="1" si="163"/>
        <v>0.47520479071431709</v>
      </c>
      <c r="AP623" s="312">
        <f t="shared" ca="1" si="164"/>
        <v>0.29250810090922097</v>
      </c>
      <c r="AQ623" s="1"/>
      <c r="AR623" s="1"/>
      <c r="AS623" s="1"/>
      <c r="AT623" s="1"/>
      <c r="AU623" s="1"/>
      <c r="BC623" s="23"/>
      <c r="BD623" s="23"/>
    </row>
    <row r="624" spans="34:56">
      <c r="AH624" s="6">
        <f t="shared" si="165"/>
        <v>594</v>
      </c>
      <c r="AI624" s="7">
        <f t="shared" ca="1" si="166"/>
        <v>43264</v>
      </c>
      <c r="AJ624" s="210">
        <f t="shared" ca="1" si="167"/>
        <v>3.6396575342465756</v>
      </c>
      <c r="AK624" s="8">
        <f t="shared" ca="1" si="168"/>
        <v>1.0001011015981736</v>
      </c>
      <c r="AL624" s="98">
        <f t="shared" ca="1" si="169"/>
        <v>3.5207126605297567</v>
      </c>
      <c r="AM624" s="106">
        <f t="shared" ca="1" si="161"/>
        <v>27559.32841390996</v>
      </c>
      <c r="AN624" s="10">
        <f t="shared" ca="1" si="162"/>
        <v>0.48142509351190022</v>
      </c>
      <c r="AO624" s="311">
        <f t="shared" ca="1" si="163"/>
        <v>0.47554690111699593</v>
      </c>
      <c r="AP624" s="312">
        <f t="shared" ca="1" si="164"/>
        <v>0.29255580041131596</v>
      </c>
      <c r="AQ624" s="1"/>
      <c r="AR624" s="1"/>
      <c r="AS624" s="1"/>
      <c r="AT624" s="1"/>
      <c r="AU624" s="1"/>
      <c r="BC624" s="23"/>
      <c r="BD624" s="23"/>
    </row>
    <row r="625" spans="34:56">
      <c r="AH625" s="6">
        <f t="shared" si="165"/>
        <v>595</v>
      </c>
      <c r="AI625" s="7">
        <f t="shared" ca="1" si="166"/>
        <v>43265</v>
      </c>
      <c r="AJ625" s="210">
        <f t="shared" ca="1" si="167"/>
        <v>3.6407534246575346</v>
      </c>
      <c r="AK625" s="8">
        <f t="shared" ca="1" si="168"/>
        <v>1.0001011320395738</v>
      </c>
      <c r="AL625" s="98">
        <f t="shared" ca="1" si="169"/>
        <v>3.5211145302817437</v>
      </c>
      <c r="AM625" s="106">
        <f t="shared" ca="1" si="161"/>
        <v>27561.599343061629</v>
      </c>
      <c r="AN625" s="10">
        <f t="shared" ca="1" si="162"/>
        <v>0.48176847566878678</v>
      </c>
      <c r="AO625" s="311">
        <f t="shared" ca="1" si="163"/>
        <v>0.47588973902049514</v>
      </c>
      <c r="AP625" s="312">
        <f t="shared" ca="1" si="164"/>
        <v>0.29260355647281439</v>
      </c>
      <c r="AQ625" s="1"/>
      <c r="AR625" s="1"/>
      <c r="AS625" s="1"/>
      <c r="AT625" s="1"/>
      <c r="AU625" s="1"/>
      <c r="BC625" s="23"/>
      <c r="BD625" s="23"/>
    </row>
    <row r="626" spans="34:56">
      <c r="AH626" s="6">
        <f t="shared" si="165"/>
        <v>596</v>
      </c>
      <c r="AI626" s="7">
        <f t="shared" ca="1" si="166"/>
        <v>43266</v>
      </c>
      <c r="AJ626" s="210">
        <f t="shared" ca="1" si="167"/>
        <v>3.6418493150684932</v>
      </c>
      <c r="AK626" s="8">
        <f t="shared" ca="1" si="168"/>
        <v>1.0001011624809741</v>
      </c>
      <c r="AL626" s="98">
        <f t="shared" ca="1" si="169"/>
        <v>3.5215169827658821</v>
      </c>
      <c r="AM626" s="106">
        <f t="shared" ca="1" si="161"/>
        <v>27563.870459341193</v>
      </c>
      <c r="AN626" s="10">
        <f t="shared" ca="1" si="162"/>
        <v>0.48211257978298949</v>
      </c>
      <c r="AO626" s="311">
        <f t="shared" ca="1" si="163"/>
        <v>0.47623330086739146</v>
      </c>
      <c r="AP626" s="312">
        <f t="shared" ca="1" si="164"/>
        <v>0.29265136886370341</v>
      </c>
      <c r="AQ626" s="1"/>
      <c r="AR626" s="1"/>
      <c r="AS626" s="1"/>
      <c r="AT626" s="1"/>
      <c r="AU626" s="1"/>
      <c r="BC626" s="23"/>
      <c r="BD626" s="23"/>
    </row>
    <row r="627" spans="34:56">
      <c r="AH627" s="6">
        <f t="shared" si="165"/>
        <v>597</v>
      </c>
      <c r="AI627" s="7">
        <f t="shared" ca="1" si="166"/>
        <v>43267</v>
      </c>
      <c r="AJ627" s="210">
        <f t="shared" ca="1" si="167"/>
        <v>3.6429452054794522</v>
      </c>
      <c r="AK627" s="8">
        <f t="shared" ca="1" si="168"/>
        <v>1.0001011929223744</v>
      </c>
      <c r="AL627" s="98">
        <f t="shared" ca="1" si="169"/>
        <v>3.5219200150684138</v>
      </c>
      <c r="AM627" s="106">
        <f t="shared" ca="1" si="161"/>
        <v>27566.14176276408</v>
      </c>
      <c r="AN627" s="10">
        <f t="shared" ca="1" si="162"/>
        <v>0.48245740223977762</v>
      </c>
      <c r="AO627" s="311">
        <f t="shared" ca="1" si="163"/>
        <v>0.47657758312420395</v>
      </c>
      <c r="AP627" s="312">
        <f t="shared" ca="1" si="164"/>
        <v>0.29269923735553266</v>
      </c>
      <c r="AQ627" s="1"/>
      <c r="AR627" s="1"/>
      <c r="AS627" s="1"/>
      <c r="AT627" s="1"/>
      <c r="AU627" s="1"/>
      <c r="BC627" s="23"/>
      <c r="BD627" s="23"/>
    </row>
    <row r="628" spans="34:56">
      <c r="AH628" s="6">
        <f t="shared" si="165"/>
        <v>598</v>
      </c>
      <c r="AI628" s="7">
        <f t="shared" ca="1" si="166"/>
        <v>43268</v>
      </c>
      <c r="AJ628" s="210">
        <f t="shared" ca="1" si="167"/>
        <v>3.6440410958904113</v>
      </c>
      <c r="AK628" s="8">
        <f t="shared" ca="1" si="168"/>
        <v>1.0001012233637747</v>
      </c>
      <c r="AL628" s="98">
        <f t="shared" ca="1" si="169"/>
        <v>3.5223236242950984</v>
      </c>
      <c r="AM628" s="106">
        <f t="shared" ca="1" si="161"/>
        <v>27568.413253345705</v>
      </c>
      <c r="AN628" s="10">
        <f t="shared" ca="1" si="162"/>
        <v>0.48280293944868991</v>
      </c>
      <c r="AO628" s="311">
        <f t="shared" ca="1" si="163"/>
        <v>0.4769225822813144</v>
      </c>
      <c r="AP628" s="312">
        <f t="shared" ca="1" si="164"/>
        <v>0.29274716172140636</v>
      </c>
      <c r="AQ628" s="1"/>
      <c r="AR628" s="1"/>
      <c r="AS628" s="1"/>
      <c r="AT628" s="1"/>
      <c r="AU628" s="1"/>
      <c r="BC628" s="23"/>
      <c r="BD628" s="23"/>
    </row>
    <row r="629" spans="34:56">
      <c r="AH629" s="6">
        <f t="shared" si="165"/>
        <v>599</v>
      </c>
      <c r="AI629" s="7">
        <f t="shared" ca="1" si="166"/>
        <v>43269</v>
      </c>
      <c r="AJ629" s="210">
        <f t="shared" ca="1" si="167"/>
        <v>3.6451369863013703</v>
      </c>
      <c r="AK629" s="8">
        <f t="shared" ca="1" si="168"/>
        <v>1.000101253805175</v>
      </c>
      <c r="AL629" s="98">
        <f t="shared" ca="1" si="169"/>
        <v>3.5227278075710133</v>
      </c>
      <c r="AM629" s="106">
        <f t="shared" ca="1" si="161"/>
        <v>27570.684931101492</v>
      </c>
      <c r="AN629" s="10">
        <f t="shared" ca="1" si="162"/>
        <v>0.48314918784317928</v>
      </c>
      <c r="AO629" s="311">
        <f t="shared" ca="1" si="163"/>
        <v>0.4772682948526612</v>
      </c>
      <c r="AP629" s="312">
        <f t="shared" ca="1" si="164"/>
        <v>0.29279514173596866</v>
      </c>
      <c r="AQ629" s="1"/>
      <c r="AR629" s="1"/>
      <c r="AS629" s="1"/>
      <c r="AT629" s="1"/>
      <c r="AU629" s="1"/>
      <c r="BC629" s="23"/>
      <c r="BD629" s="23"/>
    </row>
    <row r="630" spans="34:56">
      <c r="AH630" s="6">
        <f t="shared" si="165"/>
        <v>600</v>
      </c>
      <c r="AI630" s="7">
        <f t="shared" ca="1" si="166"/>
        <v>43270</v>
      </c>
      <c r="AJ630" s="210">
        <f t="shared" ca="1" si="167"/>
        <v>3.6462328767123289</v>
      </c>
      <c r="AK630" s="8">
        <f t="shared" ca="1" si="168"/>
        <v>1.0001012842465753</v>
      </c>
      <c r="AL630" s="98">
        <f t="shared" ca="1" si="169"/>
        <v>3.5231325620404208</v>
      </c>
      <c r="AM630" s="106">
        <f t="shared" ca="1" si="161"/>
        <v>27572.956796046867</v>
      </c>
      <c r="AN630" s="10">
        <f t="shared" ca="1" si="162"/>
        <v>0.4834961438805685</v>
      </c>
      <c r="AO630" s="311">
        <f t="shared" ca="1" si="163"/>
        <v>0.47761471737562289</v>
      </c>
      <c r="AP630" s="312">
        <f t="shared" ca="1" si="164"/>
        <v>0.29284317717539143</v>
      </c>
      <c r="AQ630" s="1"/>
      <c r="AR630" s="1"/>
      <c r="AS630" s="1"/>
      <c r="AT630" s="1"/>
      <c r="AU630" s="1"/>
      <c r="BC630" s="23"/>
      <c r="BD630" s="23"/>
    </row>
    <row r="631" spans="34:56">
      <c r="AH631" s="6">
        <f t="shared" si="165"/>
        <v>601</v>
      </c>
      <c r="AI631" s="7">
        <f t="shared" ca="1" si="166"/>
        <v>43271</v>
      </c>
      <c r="AJ631" s="210">
        <f t="shared" ca="1" si="167"/>
        <v>3.6473287671232879</v>
      </c>
      <c r="AK631" s="8">
        <f t="shared" ca="1" si="168"/>
        <v>1.0001013146879756</v>
      </c>
      <c r="AL631" s="98">
        <f t="shared" ca="1" si="169"/>
        <v>3.5235378848666121</v>
      </c>
      <c r="AM631" s="106">
        <f t="shared" ca="1" si="161"/>
        <v>27575.228848197246</v>
      </c>
      <c r="AN631" s="10">
        <f t="shared" ca="1" si="162"/>
        <v>0.48384380404173921</v>
      </c>
      <c r="AO631" s="311">
        <f t="shared" ca="1" si="163"/>
        <v>0.47796184641082329</v>
      </c>
      <c r="AP631" s="312">
        <f t="shared" ca="1" si="164"/>
        <v>0.29289126781736291</v>
      </c>
      <c r="AQ631" s="1"/>
      <c r="AR631" s="1"/>
      <c r="AS631" s="1"/>
      <c r="AT631" s="1"/>
      <c r="AU631" s="1"/>
      <c r="BC631" s="23"/>
      <c r="BD631" s="23"/>
    </row>
    <row r="632" spans="34:56">
      <c r="AH632" s="6">
        <f t="shared" si="165"/>
        <v>602</v>
      </c>
      <c r="AI632" s="7">
        <f t="shared" ca="1" si="166"/>
        <v>43272</v>
      </c>
      <c r="AJ632" s="210">
        <f t="shared" ca="1" si="167"/>
        <v>3.6484246575342469</v>
      </c>
      <c r="AK632" s="8">
        <f t="shared" ca="1" si="168"/>
        <v>1.0001013451293759</v>
      </c>
      <c r="AL632" s="98">
        <f t="shared" ca="1" si="169"/>
        <v>3.523943773231708</v>
      </c>
      <c r="AM632" s="106">
        <f t="shared" ca="1" si="161"/>
        <v>27577.501087568056</v>
      </c>
      <c r="AN632" s="10">
        <f t="shared" ca="1" si="162"/>
        <v>0.4841921648309544</v>
      </c>
      <c r="AO632" s="311">
        <f t="shared" ca="1" si="163"/>
        <v>0.47830967854185885</v>
      </c>
      <c r="AP632" s="312">
        <f t="shared" ca="1" si="164"/>
        <v>0.29293941344107061</v>
      </c>
      <c r="AQ632" s="1"/>
      <c r="AR632" s="1"/>
      <c r="AS632" s="1"/>
      <c r="AT632" s="1"/>
      <c r="AU632" s="1"/>
      <c r="BC632" s="23"/>
      <c r="BD632" s="23"/>
    </row>
    <row r="633" spans="34:56">
      <c r="AH633" s="6">
        <f t="shared" si="165"/>
        <v>603</v>
      </c>
      <c r="AI633" s="7">
        <f t="shared" ca="1" si="166"/>
        <v>43273</v>
      </c>
      <c r="AJ633" s="210">
        <f t="shared" ca="1" si="167"/>
        <v>3.6495205479452055</v>
      </c>
      <c r="AK633" s="8">
        <f t="shared" ca="1" si="168"/>
        <v>1.0001013755707762</v>
      </c>
      <c r="AL633" s="98">
        <f t="shared" ca="1" si="169"/>
        <v>3.5243502243365477</v>
      </c>
      <c r="AM633" s="106">
        <f t="shared" ca="1" si="161"/>
        <v>27579.773514174736</v>
      </c>
      <c r="AN633" s="10">
        <f t="shared" ca="1" si="162"/>
        <v>0.48454122277568068</v>
      </c>
      <c r="AO633" s="311">
        <f t="shared" ca="1" si="163"/>
        <v>0.47865821037516088</v>
      </c>
      <c r="AP633" s="312">
        <f t="shared" ca="1" si="164"/>
        <v>0.29298761382719324</v>
      </c>
      <c r="AQ633" s="1"/>
      <c r="AR633" s="1"/>
      <c r="AS633" s="1"/>
      <c r="AT633" s="1"/>
      <c r="AU633" s="1"/>
      <c r="BC633" s="23"/>
      <c r="BD633" s="23"/>
    </row>
    <row r="634" spans="34:56">
      <c r="AH634" s="6">
        <f t="shared" si="165"/>
        <v>604</v>
      </c>
      <c r="AI634" s="7">
        <f t="shared" ca="1" si="166"/>
        <v>43274</v>
      </c>
      <c r="AJ634" s="210">
        <f t="shared" ca="1" si="167"/>
        <v>3.6506164383561646</v>
      </c>
      <c r="AK634" s="8">
        <f t="shared" ca="1" si="168"/>
        <v>1.0001014060121765</v>
      </c>
      <c r="AL634" s="98">
        <f t="shared" ca="1" si="169"/>
        <v>3.524757235400533</v>
      </c>
      <c r="AM634" s="106">
        <f t="shared" ca="1" si="161"/>
        <v>27582.046128032707</v>
      </c>
      <c r="AN634" s="10">
        <f t="shared" ca="1" si="162"/>
        <v>0.48489097442643292</v>
      </c>
      <c r="AO634" s="311">
        <f t="shared" ca="1" si="163"/>
        <v>0.47900743853985966</v>
      </c>
      <c r="AP634" s="312">
        <f t="shared" ca="1" si="164"/>
        <v>0.29303586875788867</v>
      </c>
      <c r="AQ634" s="1"/>
      <c r="AR634" s="1"/>
      <c r="AS634" s="1"/>
      <c r="AT634" s="1"/>
      <c r="AU634" s="1"/>
      <c r="BC634" s="23"/>
      <c r="BD634" s="23"/>
    </row>
    <row r="635" spans="34:56">
      <c r="AH635" s="6">
        <f t="shared" si="165"/>
        <v>605</v>
      </c>
      <c r="AI635" s="7">
        <f t="shared" ca="1" si="166"/>
        <v>43275</v>
      </c>
      <c r="AJ635" s="210">
        <f t="shared" ca="1" si="167"/>
        <v>3.6517123287671236</v>
      </c>
      <c r="AK635" s="8">
        <f t="shared" ca="1" si="168"/>
        <v>1.000101436453577</v>
      </c>
      <c r="AL635" s="98">
        <f t="shared" ca="1" si="169"/>
        <v>3.5251648036614514</v>
      </c>
      <c r="AM635" s="106">
        <f t="shared" ca="1" si="161"/>
        <v>27584.318929157398</v>
      </c>
      <c r="AN635" s="10">
        <f t="shared" ca="1" si="162"/>
        <v>0.48524141635655216</v>
      </c>
      <c r="AO635" s="311">
        <f t="shared" ca="1" si="163"/>
        <v>0.47935735968753101</v>
      </c>
      <c r="AP635" s="312">
        <f t="shared" ca="1" si="164"/>
        <v>0.29308417801678005</v>
      </c>
      <c r="AQ635" s="1"/>
      <c r="AR635" s="1"/>
      <c r="AS635" s="1"/>
      <c r="AT635" s="1"/>
      <c r="AU635" s="1"/>
      <c r="BC635" s="23"/>
      <c r="BD635" s="23"/>
    </row>
    <row r="636" spans="34:56">
      <c r="AH636" s="6">
        <f t="shared" si="165"/>
        <v>606</v>
      </c>
      <c r="AI636" s="7">
        <f t="shared" ca="1" si="166"/>
        <v>43276</v>
      </c>
      <c r="AJ636" s="210">
        <f t="shared" ca="1" si="167"/>
        <v>3.6528082191780826</v>
      </c>
      <c r="AK636" s="8">
        <f t="shared" ca="1" si="168"/>
        <v>1.0001014668949773</v>
      </c>
      <c r="AL636" s="98">
        <f t="shared" ca="1" si="169"/>
        <v>3.5255729263752977</v>
      </c>
      <c r="AM636" s="106">
        <f t="shared" ca="1" si="161"/>
        <v>27586.591917564241</v>
      </c>
      <c r="AN636" s="10">
        <f t="shared" ca="1" si="162"/>
        <v>0.48559254516196138</v>
      </c>
      <c r="AO636" s="311">
        <f t="shared" ca="1" si="163"/>
        <v>0.47970797049197095</v>
      </c>
      <c r="AP636" s="312">
        <f t="shared" ca="1" si="164"/>
        <v>0.29313254138893874</v>
      </c>
      <c r="AQ636" s="1"/>
      <c r="AR636" s="1"/>
      <c r="AS636" s="1"/>
      <c r="AT636" s="1"/>
      <c r="AU636" s="1"/>
      <c r="BC636" s="23"/>
      <c r="BD636" s="23"/>
    </row>
    <row r="637" spans="34:56">
      <c r="AH637" s="6">
        <f t="shared" si="165"/>
        <v>607</v>
      </c>
      <c r="AI637" s="7">
        <f t="shared" ca="1" si="166"/>
        <v>43277</v>
      </c>
      <c r="AJ637" s="210">
        <f t="shared" ca="1" si="167"/>
        <v>3.6539041095890412</v>
      </c>
      <c r="AK637" s="8">
        <f t="shared" ca="1" si="168"/>
        <v>1.0001014973363775</v>
      </c>
      <c r="AL637" s="98">
        <f t="shared" ca="1" si="169"/>
        <v>3.5259816008161859</v>
      </c>
      <c r="AM637" s="106">
        <f t="shared" ca="1" si="161"/>
        <v>27588.865093268665</v>
      </c>
      <c r="AN637" s="10">
        <f t="shared" ca="1" si="162"/>
        <v>0.48594435746103226</v>
      </c>
      <c r="AO637" s="311">
        <f t="shared" ca="1" si="163"/>
        <v>0.48005926764907891</v>
      </c>
      <c r="AP637" s="312">
        <f t="shared" ca="1" si="164"/>
        <v>0.29318095866088323</v>
      </c>
      <c r="AQ637" s="1"/>
      <c r="AR637" s="1"/>
      <c r="AS637" s="1"/>
      <c r="AT637" s="1"/>
      <c r="AU637" s="1"/>
      <c r="BC637" s="23"/>
      <c r="BD637" s="23"/>
    </row>
    <row r="638" spans="34:56">
      <c r="AH638" s="6">
        <f t="shared" si="165"/>
        <v>608</v>
      </c>
      <c r="AI638" s="7">
        <f t="shared" ca="1" si="166"/>
        <v>43278</v>
      </c>
      <c r="AJ638" s="210">
        <f t="shared" ca="1" si="167"/>
        <v>3.6550000000000002</v>
      </c>
      <c r="AK638" s="8">
        <f t="shared" ca="1" si="168"/>
        <v>1.0001015277777778</v>
      </c>
      <c r="AL638" s="98">
        <f t="shared" ca="1" si="169"/>
        <v>3.5263908242761932</v>
      </c>
      <c r="AM638" s="106">
        <f t="shared" ca="1" si="161"/>
        <v>27591.138456286109</v>
      </c>
      <c r="AN638" s="10">
        <f t="shared" ca="1" si="162"/>
        <v>0.48629684989445199</v>
      </c>
      <c r="AO638" s="311">
        <f t="shared" ca="1" si="163"/>
        <v>0.48041124787671552</v>
      </c>
      <c r="AP638" s="312">
        <f t="shared" ca="1" si="164"/>
        <v>0.29322942962055926</v>
      </c>
      <c r="AQ638" s="1"/>
      <c r="AR638" s="1"/>
      <c r="AS638" s="1"/>
      <c r="AT638" s="1"/>
      <c r="AU638" s="1"/>
      <c r="BC638" s="23"/>
      <c r="BD638" s="23"/>
    </row>
    <row r="639" spans="34:56">
      <c r="AH639" s="6">
        <f t="shared" si="165"/>
        <v>609</v>
      </c>
      <c r="AI639" s="7">
        <f t="shared" ca="1" si="166"/>
        <v>43279</v>
      </c>
      <c r="AJ639" s="210">
        <f t="shared" ca="1" si="167"/>
        <v>3.6560958904109593</v>
      </c>
      <c r="AK639" s="8">
        <f t="shared" ca="1" si="168"/>
        <v>1.0001015582191781</v>
      </c>
      <c r="AL639" s="98">
        <f t="shared" ca="1" si="169"/>
        <v>3.5268005940651603</v>
      </c>
      <c r="AM639" s="106">
        <f t="shared" ca="1" si="161"/>
        <v>27593.412006632007</v>
      </c>
      <c r="AN639" s="10">
        <f t="shared" ca="1" si="162"/>
        <v>0.48665001912495676</v>
      </c>
      <c r="AO639" s="311">
        <f t="shared" ca="1" si="163"/>
        <v>0.48076390791444323</v>
      </c>
      <c r="AP639" s="312">
        <f t="shared" ca="1" si="164"/>
        <v>0.2932779540573297</v>
      </c>
      <c r="AQ639" s="1"/>
      <c r="AR639" s="1"/>
      <c r="AS639" s="1"/>
      <c r="AT639" s="1"/>
      <c r="AU639" s="1"/>
      <c r="BC639" s="23"/>
      <c r="BD639" s="23"/>
    </row>
    <row r="640" spans="34:56">
      <c r="AH640" s="6">
        <f t="shared" si="165"/>
        <v>610</v>
      </c>
      <c r="AI640" s="7">
        <f t="shared" ca="1" si="166"/>
        <v>43280</v>
      </c>
      <c r="AJ640" s="210">
        <f t="shared" ca="1" si="167"/>
        <v>3.6571917808219179</v>
      </c>
      <c r="AK640" s="8">
        <f t="shared" ca="1" si="168"/>
        <v>1.0001015886605784</v>
      </c>
      <c r="AL640" s="98">
        <f t="shared" ca="1" si="169"/>
        <v>3.5272109075105584</v>
      </c>
      <c r="AM640" s="106">
        <f t="shared" ca="1" si="161"/>
        <v>27595.685744321796</v>
      </c>
      <c r="AN640" s="10">
        <f t="shared" ca="1" si="162"/>
        <v>0.48700386183713196</v>
      </c>
      <c r="AO640" s="311">
        <f t="shared" ca="1" si="163"/>
        <v>0.48111724452329607</v>
      </c>
      <c r="AP640" s="312">
        <f t="shared" ca="1" si="164"/>
        <v>0.29332653176196249</v>
      </c>
      <c r="AQ640" s="1"/>
      <c r="AR640" s="1"/>
      <c r="AS640" s="1"/>
      <c r="AT640" s="1"/>
      <c r="AU640" s="1"/>
      <c r="BC640" s="23"/>
      <c r="BD640" s="23"/>
    </row>
    <row r="641" spans="34:56">
      <c r="AH641" s="6">
        <f t="shared" si="165"/>
        <v>611</v>
      </c>
      <c r="AI641" s="7">
        <f t="shared" ca="1" si="166"/>
        <v>43281</v>
      </c>
      <c r="AJ641" s="210">
        <f t="shared" ca="1" si="167"/>
        <v>3.6582876712328769</v>
      </c>
      <c r="AK641" s="8">
        <f t="shared" ca="1" si="168"/>
        <v>1.0001016191019787</v>
      </c>
      <c r="AL641" s="98">
        <f t="shared" ca="1" si="169"/>
        <v>3.5276217619574224</v>
      </c>
      <c r="AM641" s="106">
        <f t="shared" ca="1" si="161"/>
        <v>27597.959669370903</v>
      </c>
      <c r="AN641" s="10">
        <f t="shared" ca="1" si="162"/>
        <v>0.48735837473741217</v>
      </c>
      <c r="AO641" s="311">
        <f t="shared" ca="1" si="163"/>
        <v>0.48147125448583966</v>
      </c>
      <c r="AP641" s="312">
        <f t="shared" ca="1" si="164"/>
        <v>0.29337516252662477</v>
      </c>
      <c r="AQ641" s="1"/>
      <c r="AR641" s="1"/>
      <c r="AS641" s="1"/>
      <c r="AT641" s="1"/>
      <c r="AU641" s="1"/>
      <c r="BC641" s="23"/>
      <c r="BD641" s="23"/>
    </row>
    <row r="642" spans="34:56">
      <c r="AH642" s="6">
        <f t="shared" si="165"/>
        <v>612</v>
      </c>
      <c r="AI642" s="7">
        <f t="shared" ca="1" si="166"/>
        <v>43282</v>
      </c>
      <c r="AJ642" s="210">
        <f t="shared" ca="1" si="167"/>
        <v>3.6593835616438359</v>
      </c>
      <c r="AK642" s="8">
        <f t="shared" ca="1" si="168"/>
        <v>1.000101649543379</v>
      </c>
      <c r="AL642" s="98">
        <f t="shared" ca="1" si="169"/>
        <v>3.5280331547681065</v>
      </c>
      <c r="AM642" s="106">
        <f t="shared" ca="1" si="161"/>
        <v>27600.233781794781</v>
      </c>
      <c r="AN642" s="10">
        <f t="shared" ca="1" si="162"/>
        <v>0.48771355455359267</v>
      </c>
      <c r="AO642" s="311">
        <f t="shared" ca="1" si="163"/>
        <v>0.48182593460566842</v>
      </c>
      <c r="AP642" s="312">
        <f t="shared" ca="1" si="164"/>
        <v>0.29342384614486078</v>
      </c>
      <c r="AQ642" s="1"/>
      <c r="AR642" s="1"/>
      <c r="AS642" s="1"/>
      <c r="AT642" s="1"/>
      <c r="AU642" s="1"/>
      <c r="BC642" s="23"/>
      <c r="BD642" s="23"/>
    </row>
    <row r="643" spans="34:56">
      <c r="AH643" s="6">
        <f t="shared" si="165"/>
        <v>613</v>
      </c>
      <c r="AI643" s="7">
        <f t="shared" ca="1" si="166"/>
        <v>43283</v>
      </c>
      <c r="AJ643" s="210">
        <f t="shared" ca="1" si="167"/>
        <v>3.660479452054795</v>
      </c>
      <c r="AK643" s="8">
        <f t="shared" ca="1" si="168"/>
        <v>1.0001016799847793</v>
      </c>
      <c r="AL643" s="98">
        <f t="shared" ca="1" si="169"/>
        <v>3.5284450833221959</v>
      </c>
      <c r="AM643" s="106">
        <f t="shared" ca="1" si="161"/>
        <v>27602.508081608863</v>
      </c>
      <c r="AN643" s="10">
        <f t="shared" ca="1" si="162"/>
        <v>0.48806939803496263</v>
      </c>
      <c r="AO643" s="311">
        <f t="shared" ca="1" si="163"/>
        <v>0.48218128170750829</v>
      </c>
      <c r="AP643" s="312">
        <f t="shared" ca="1" si="164"/>
        <v>0.29347258241159102</v>
      </c>
      <c r="AQ643" s="1"/>
      <c r="AR643" s="1"/>
      <c r="AS643" s="1"/>
      <c r="AT643" s="1"/>
      <c r="AU643" s="1"/>
      <c r="BC643" s="23"/>
      <c r="BD643" s="23"/>
    </row>
    <row r="644" spans="34:56">
      <c r="AH644" s="6">
        <f t="shared" si="165"/>
        <v>614</v>
      </c>
      <c r="AI644" s="7">
        <f t="shared" ca="1" si="166"/>
        <v>43284</v>
      </c>
      <c r="AJ644" s="210">
        <f t="shared" ca="1" si="167"/>
        <v>3.6615753424657536</v>
      </c>
      <c r="AK644" s="8">
        <f t="shared" ca="1" si="168"/>
        <v>1.0001017104261796</v>
      </c>
      <c r="AL644" s="98">
        <f t="shared" ca="1" si="169"/>
        <v>3.5288575450163506</v>
      </c>
      <c r="AM644" s="106">
        <f t="shared" ca="1" si="161"/>
        <v>27604.782568828592</v>
      </c>
      <c r="AN644" s="10">
        <f t="shared" ca="1" si="162"/>
        <v>0.48842590195199431</v>
      </c>
      <c r="AO644" s="311">
        <f t="shared" ca="1" si="163"/>
        <v>0.48253729263692702</v>
      </c>
      <c r="AP644" s="312">
        <f t="shared" ca="1" si="164"/>
        <v>0.29352137112309501</v>
      </c>
      <c r="AQ644" s="1"/>
      <c r="AR644" s="1"/>
      <c r="AS644" s="1"/>
      <c r="AT644" s="1"/>
      <c r="AU644" s="1"/>
      <c r="BC644" s="23"/>
      <c r="BD644" s="23"/>
    </row>
    <row r="645" spans="34:56">
      <c r="AH645" s="6">
        <f t="shared" si="165"/>
        <v>615</v>
      </c>
      <c r="AI645" s="7">
        <f t="shared" ca="1" si="166"/>
        <v>43285</v>
      </c>
      <c r="AJ645" s="210">
        <f t="shared" ca="1" si="167"/>
        <v>3.6626712328767126</v>
      </c>
      <c r="AK645" s="8">
        <f t="shared" ca="1" si="168"/>
        <v>1.0001017408675799</v>
      </c>
      <c r="AL645" s="98">
        <f t="shared" ca="1" si="169"/>
        <v>3.5292705372641731</v>
      </c>
      <c r="AM645" s="106">
        <f t="shared" ca="1" si="161"/>
        <v>27607.057243469408</v>
      </c>
      <c r="AN645" s="10">
        <f t="shared" ca="1" si="162"/>
        <v>0.48878306309612096</v>
      </c>
      <c r="AO645" s="311">
        <f t="shared" ca="1" si="163"/>
        <v>0.48289396426015219</v>
      </c>
      <c r="AP645" s="312">
        <f t="shared" ca="1" si="164"/>
        <v>0.29357021207700196</v>
      </c>
      <c r="AQ645" s="1"/>
      <c r="AR645" s="1"/>
      <c r="AS645" s="1"/>
      <c r="AT645" s="1"/>
      <c r="AU645" s="1"/>
      <c r="BC645" s="23"/>
      <c r="BD645" s="23"/>
    </row>
    <row r="646" spans="34:56">
      <c r="AH646" s="6">
        <f t="shared" si="165"/>
        <v>616</v>
      </c>
      <c r="AI646" s="7">
        <f t="shared" ca="1" si="166"/>
        <v>43286</v>
      </c>
      <c r="AJ646" s="210">
        <f t="shared" ca="1" si="167"/>
        <v>3.6637671232876716</v>
      </c>
      <c r="AK646" s="8">
        <f t="shared" ca="1" si="168"/>
        <v>1.0001017713089801</v>
      </c>
      <c r="AL646" s="98">
        <f t="shared" ca="1" si="169"/>
        <v>3.5296840574960742</v>
      </c>
      <c r="AM646" s="106">
        <f t="shared" ca="1" si="161"/>
        <v>27609.332105546757</v>
      </c>
      <c r="AN646" s="10">
        <f t="shared" ca="1" si="162"/>
        <v>0.48914087827967023</v>
      </c>
      <c r="AO646" s="311">
        <f t="shared" ca="1" si="163"/>
        <v>0.48325129346392903</v>
      </c>
      <c r="AP646" s="312">
        <f t="shared" ca="1" si="164"/>
        <v>0.29361910507228023</v>
      </c>
      <c r="AQ646" s="1"/>
      <c r="AR646" s="1"/>
      <c r="AS646" s="1"/>
      <c r="AT646" s="1"/>
      <c r="AU646" s="1"/>
      <c r="BC646" s="23"/>
      <c r="BD646" s="23"/>
    </row>
    <row r="647" spans="34:56">
      <c r="AH647" s="6">
        <f t="shared" si="165"/>
        <v>617</v>
      </c>
      <c r="AI647" s="7">
        <f t="shared" ca="1" si="166"/>
        <v>43287</v>
      </c>
      <c r="AJ647" s="210">
        <f t="shared" ca="1" si="167"/>
        <v>3.6648630136986302</v>
      </c>
      <c r="AK647" s="8">
        <f t="shared" ca="1" si="168"/>
        <v>1.0001018017503804</v>
      </c>
      <c r="AL647" s="98">
        <f t="shared" ca="1" si="169"/>
        <v>3.5300981031591183</v>
      </c>
      <c r="AM647" s="106">
        <f t="shared" ca="1" si="161"/>
        <v>27611.607155076083</v>
      </c>
      <c r="AN647" s="10">
        <f t="shared" ca="1" si="162"/>
        <v>0.48949934433559772</v>
      </c>
      <c r="AO647" s="311">
        <f t="shared" ca="1" si="163"/>
        <v>0.48360927715535457</v>
      </c>
      <c r="AP647" s="312">
        <f t="shared" ca="1" si="164"/>
        <v>0.29366804990922635</v>
      </c>
      <c r="AQ647" s="1"/>
      <c r="AR647" s="1"/>
      <c r="AS647" s="1"/>
      <c r="AT647" s="1"/>
      <c r="AU647" s="1"/>
      <c r="BC647" s="23"/>
      <c r="BD647" s="23"/>
    </row>
    <row r="648" spans="34:56">
      <c r="AH648" s="6">
        <f t="shared" si="165"/>
        <v>618</v>
      </c>
      <c r="AI648" s="7">
        <f t="shared" ca="1" si="166"/>
        <v>43288</v>
      </c>
      <c r="AJ648" s="210">
        <f t="shared" ca="1" si="167"/>
        <v>3.6659589041095892</v>
      </c>
      <c r="AK648" s="8">
        <f t="shared" ca="1" si="168"/>
        <v>1.0001018321917807</v>
      </c>
      <c r="AL648" s="98">
        <f t="shared" ca="1" si="169"/>
        <v>3.5305126717169344</v>
      </c>
      <c r="AM648" s="106">
        <f t="shared" ca="1" si="161"/>
        <v>27613.882392072832</v>
      </c>
      <c r="AN648" s="10">
        <f t="shared" ca="1" si="162"/>
        <v>0.48985845811746476</v>
      </c>
      <c r="AO648" s="311">
        <f t="shared" ca="1" si="163"/>
        <v>0.48396791226176444</v>
      </c>
      <c r="AP648" s="312">
        <f t="shared" ca="1" si="164"/>
        <v>0.29371704638945401</v>
      </c>
      <c r="AQ648" s="1"/>
      <c r="AR648" s="1"/>
      <c r="AS648" s="1"/>
      <c r="AT648" s="1"/>
      <c r="AU648" s="1"/>
      <c r="BC648" s="23"/>
      <c r="BD648" s="23"/>
    </row>
    <row r="649" spans="34:56">
      <c r="AH649" s="6">
        <f t="shared" si="165"/>
        <v>619</v>
      </c>
      <c r="AI649" s="7">
        <f t="shared" ca="1" si="166"/>
        <v>43289</v>
      </c>
      <c r="AJ649" s="210">
        <f t="shared" ca="1" si="167"/>
        <v>3.6670547945205483</v>
      </c>
      <c r="AK649" s="8">
        <f t="shared" ca="1" si="168"/>
        <v>1.000101862633181</v>
      </c>
      <c r="AL649" s="98">
        <f t="shared" ca="1" si="169"/>
        <v>3.5309277606494938</v>
      </c>
      <c r="AM649" s="106">
        <f t="shared" ca="1" si="161"/>
        <v>27616.157816552455</v>
      </c>
      <c r="AN649" s="10">
        <f t="shared" ca="1" si="162"/>
        <v>0.49021821649903874</v>
      </c>
      <c r="AO649" s="311">
        <f t="shared" ca="1" si="163"/>
        <v>0.48432719573040151</v>
      </c>
      <c r="AP649" s="312">
        <f t="shared" ca="1" si="164"/>
        <v>0.29376609431588052</v>
      </c>
      <c r="AQ649" s="1"/>
      <c r="AR649" s="1"/>
      <c r="AS649" s="1"/>
      <c r="AT649" s="1"/>
      <c r="AU649" s="1"/>
      <c r="BC649" s="23"/>
      <c r="BD649" s="23"/>
    </row>
    <row r="650" spans="34:56">
      <c r="AH650" s="6">
        <f t="shared" si="165"/>
        <v>620</v>
      </c>
      <c r="AI650" s="7">
        <f t="shared" ca="1" si="166"/>
        <v>43290</v>
      </c>
      <c r="AJ650" s="210">
        <f t="shared" ca="1" si="167"/>
        <v>3.6681506849315073</v>
      </c>
      <c r="AK650" s="8">
        <f t="shared" ca="1" si="168"/>
        <v>1.0001018930745815</v>
      </c>
      <c r="AL650" s="98">
        <f t="shared" ca="1" si="169"/>
        <v>3.5313433674530881</v>
      </c>
      <c r="AM650" s="106">
        <f t="shared" ca="1" si="161"/>
        <v>27618.433428530396</v>
      </c>
      <c r="AN650" s="10">
        <f t="shared" ca="1" si="162"/>
        <v>0.49057861637442635</v>
      </c>
      <c r="AO650" s="311">
        <f t="shared" ca="1" si="163"/>
        <v>0.48468712452851342</v>
      </c>
      <c r="AP650" s="312">
        <f t="shared" ca="1" si="164"/>
        <v>0.29381519349272595</v>
      </c>
      <c r="AQ650" s="1"/>
      <c r="AR650" s="1"/>
      <c r="AS650" s="1"/>
      <c r="AT650" s="1"/>
      <c r="AU650" s="1"/>
      <c r="BC650" s="23"/>
      <c r="BD650" s="23"/>
    </row>
    <row r="651" spans="34:56">
      <c r="AH651" s="6">
        <f t="shared" si="165"/>
        <v>621</v>
      </c>
      <c r="AI651" s="7">
        <f t="shared" ca="1" si="166"/>
        <v>43291</v>
      </c>
      <c r="AJ651" s="210">
        <f t="shared" ca="1" si="167"/>
        <v>3.6692465753424659</v>
      </c>
      <c r="AK651" s="8">
        <f t="shared" ca="1" si="168"/>
        <v>1.0001019235159818</v>
      </c>
      <c r="AL651" s="98">
        <f t="shared" ca="1" si="169"/>
        <v>3.5317594896401294</v>
      </c>
      <c r="AM651" s="106">
        <f t="shared" ca="1" si="161"/>
        <v>27620.635812208264</v>
      </c>
      <c r="AN651" s="10">
        <f t="shared" ca="1" si="162"/>
        <v>0.49109664895568006</v>
      </c>
      <c r="AO651" s="311">
        <f t="shared" ca="1" si="163"/>
        <v>0.48520307220299003</v>
      </c>
      <c r="AP651" s="312">
        <f t="shared" ca="1" si="164"/>
        <v>0.29386434372548942</v>
      </c>
      <c r="AQ651" s="1"/>
      <c r="AR651" s="1"/>
      <c r="AS651" s="1"/>
      <c r="AT651" s="1"/>
      <c r="AU651" s="1"/>
      <c r="BC651" s="23"/>
      <c r="BD651" s="23"/>
    </row>
    <row r="652" spans="34:56">
      <c r="AH652" s="6">
        <f t="shared" si="165"/>
        <v>622</v>
      </c>
      <c r="AI652" s="7">
        <f t="shared" ca="1" si="166"/>
        <v>43292</v>
      </c>
      <c r="AJ652" s="210">
        <f t="shared" ca="1" si="167"/>
        <v>3.6703424657534249</v>
      </c>
      <c r="AK652" s="8">
        <f t="shared" ca="1" si="168"/>
        <v>1.0001019539573821</v>
      </c>
      <c r="AL652" s="98">
        <f t="shared" ca="1" si="169"/>
        <v>3.5321761247389949</v>
      </c>
      <c r="AM652" s="106">
        <f t="shared" ca="1" si="161"/>
        <v>27622.838371511374</v>
      </c>
      <c r="AN652" s="10">
        <f t="shared" ca="1" si="162"/>
        <v>0.49161481344617286</v>
      </c>
      <c r="AO652" s="311">
        <f t="shared" ca="1" si="163"/>
        <v>0.48571916607518972</v>
      </c>
      <c r="AP652" s="312">
        <f t="shared" ca="1" si="164"/>
        <v>0.29391354482094673</v>
      </c>
      <c r="AQ652" s="1"/>
      <c r="AR652" s="1"/>
      <c r="AS652" s="1"/>
      <c r="AT652" s="1"/>
      <c r="AU652" s="1"/>
      <c r="BC652" s="23"/>
      <c r="BD652" s="23"/>
    </row>
    <row r="653" spans="34:56">
      <c r="AH653" s="6">
        <f t="shared" si="165"/>
        <v>623</v>
      </c>
      <c r="AI653" s="7">
        <f t="shared" ca="1" si="166"/>
        <v>43293</v>
      </c>
      <c r="AJ653" s="210">
        <f t="shared" ca="1" si="167"/>
        <v>3.671438356164384</v>
      </c>
      <c r="AK653" s="8">
        <f t="shared" ca="1" si="168"/>
        <v>1.0001019843987824</v>
      </c>
      <c r="AL653" s="98">
        <f t="shared" ca="1" si="169"/>
        <v>3.5325932702939822</v>
      </c>
      <c r="AM653" s="106">
        <f t="shared" ca="1" si="161"/>
        <v>27625.041106453718</v>
      </c>
      <c r="AN653" s="10">
        <f t="shared" ca="1" si="162"/>
        <v>0.49213310922553433</v>
      </c>
      <c r="AO653" s="311">
        <f t="shared" ca="1" si="163"/>
        <v>0.48623540555985995</v>
      </c>
      <c r="AP653" s="312">
        <f t="shared" ca="1" si="164"/>
        <v>0.29396279658714103</v>
      </c>
      <c r="AQ653" s="1"/>
      <c r="AR653" s="1"/>
      <c r="AS653" s="1"/>
      <c r="AT653" s="1"/>
      <c r="AU653" s="1"/>
      <c r="BC653" s="23"/>
      <c r="BD653" s="23"/>
    </row>
    <row r="654" spans="34:56">
      <c r="AH654" s="6">
        <f t="shared" si="165"/>
        <v>624</v>
      </c>
      <c r="AI654" s="7">
        <f t="shared" ca="1" si="166"/>
        <v>43294</v>
      </c>
      <c r="AJ654" s="210">
        <f t="shared" ca="1" si="167"/>
        <v>3.6725342465753426</v>
      </c>
      <c r="AK654" s="8">
        <f t="shared" ca="1" si="168"/>
        <v>1.0001020148401827</v>
      </c>
      <c r="AL654" s="98">
        <f t="shared" ca="1" si="169"/>
        <v>3.5330109238651541</v>
      </c>
      <c r="AM654" s="106">
        <f t="shared" ca="1" si="161"/>
        <v>27627.24401704931</v>
      </c>
      <c r="AN654" s="10">
        <f t="shared" ca="1" si="162"/>
        <v>0.49265153567734643</v>
      </c>
      <c r="AO654" s="311">
        <f t="shared" ca="1" si="163"/>
        <v>0.48675179007566621</v>
      </c>
      <c r="AP654" s="312">
        <f t="shared" ca="1" si="164"/>
        <v>0.29401209883336937</v>
      </c>
      <c r="AQ654" s="1"/>
      <c r="AR654" s="1"/>
      <c r="AS654" s="1"/>
      <c r="AT654" s="1"/>
      <c r="AU654" s="1"/>
      <c r="BC654" s="23"/>
      <c r="BD654" s="23"/>
    </row>
    <row r="655" spans="34:56">
      <c r="AH655" s="6">
        <f t="shared" si="165"/>
        <v>625</v>
      </c>
      <c r="AI655" s="7">
        <f t="shared" ca="1" si="166"/>
        <v>43295</v>
      </c>
      <c r="AJ655" s="210">
        <f t="shared" ca="1" si="167"/>
        <v>3.6736301369863016</v>
      </c>
      <c r="AK655" s="8">
        <f t="shared" ca="1" si="168"/>
        <v>1.000102045281583</v>
      </c>
      <c r="AL655" s="98">
        <f t="shared" ca="1" si="169"/>
        <v>3.533429083028139</v>
      </c>
      <c r="AM655" s="106">
        <f t="shared" ca="1" si="161"/>
        <v>27629.447103312152</v>
      </c>
      <c r="AN655" s="10">
        <f t="shared" ca="1" si="162"/>
        <v>0.49317009218916574</v>
      </c>
      <c r="AO655" s="311">
        <f t="shared" ca="1" si="163"/>
        <v>0.48726831904517381</v>
      </c>
      <c r="AP655" s="312">
        <f t="shared" ca="1" si="164"/>
        <v>0.29406145137017281</v>
      </c>
      <c r="AQ655" s="1"/>
      <c r="AR655" s="1"/>
      <c r="AS655" s="1"/>
      <c r="AT655" s="1"/>
      <c r="AU655" s="1"/>
      <c r="BC655" s="23"/>
      <c r="BD655" s="23"/>
    </row>
    <row r="656" spans="34:56">
      <c r="AH656" s="6">
        <f t="shared" si="165"/>
        <v>626</v>
      </c>
      <c r="AI656" s="7">
        <f t="shared" ca="1" si="166"/>
        <v>43296</v>
      </c>
      <c r="AJ656" s="210">
        <f t="shared" ca="1" si="167"/>
        <v>3.6747260273972606</v>
      </c>
      <c r="AK656" s="8">
        <f t="shared" ca="1" si="168"/>
        <v>1.0001020757229833</v>
      </c>
      <c r="AL656" s="98">
        <f t="shared" ca="1" si="169"/>
        <v>3.533847745374108</v>
      </c>
      <c r="AM656" s="106">
        <f t="shared" ca="1" si="161"/>
        <v>27631.650365256261</v>
      </c>
      <c r="AN656" s="10">
        <f t="shared" ca="1" si="162"/>
        <v>0.49368877815243462</v>
      </c>
      <c r="AO656" s="311">
        <f t="shared" ca="1" si="163"/>
        <v>0.4877849918947908</v>
      </c>
      <c r="AP656" s="312">
        <f t="shared" ca="1" si="164"/>
        <v>0.29411085400932852</v>
      </c>
      <c r="AQ656" s="1"/>
      <c r="AR656" s="1"/>
      <c r="AS656" s="1"/>
      <c r="AT656" s="1"/>
      <c r="AU656" s="1"/>
      <c r="BC656" s="23"/>
      <c r="BD656" s="23"/>
    </row>
    <row r="657" spans="34:56">
      <c r="AH657" s="6">
        <f t="shared" si="165"/>
        <v>627</v>
      </c>
      <c r="AI657" s="7">
        <f t="shared" ca="1" si="166"/>
        <v>43297</v>
      </c>
      <c r="AJ657" s="210">
        <f t="shared" ca="1" si="167"/>
        <v>3.6758219178082197</v>
      </c>
      <c r="AK657" s="8">
        <f t="shared" ca="1" si="168"/>
        <v>1.0001021061643836</v>
      </c>
      <c r="AL657" s="98">
        <f t="shared" ca="1" si="169"/>
        <v>3.5342669085095979</v>
      </c>
      <c r="AM657" s="106">
        <f t="shared" ca="1" si="161"/>
        <v>27633.853802895639</v>
      </c>
      <c r="AN657" s="10">
        <f t="shared" ca="1" si="162"/>
        <v>0.49420759296250338</v>
      </c>
      <c r="AO657" s="311">
        <f t="shared" ca="1" si="163"/>
        <v>0.48830180805476303</v>
      </c>
      <c r="AP657" s="312">
        <f t="shared" ca="1" si="164"/>
        <v>0.29416030656383785</v>
      </c>
      <c r="AQ657" s="1"/>
      <c r="AR657" s="1"/>
      <c r="AS657" s="1"/>
      <c r="AT657" s="1"/>
      <c r="AU657" s="1"/>
      <c r="BC657" s="23"/>
      <c r="BD657" s="23"/>
    </row>
    <row r="658" spans="34:56">
      <c r="AH658" s="6">
        <f t="shared" si="165"/>
        <v>628</v>
      </c>
      <c r="AI658" s="7">
        <f t="shared" ca="1" si="166"/>
        <v>43298</v>
      </c>
      <c r="AJ658" s="210">
        <f t="shared" ca="1" si="167"/>
        <v>3.6769178082191782</v>
      </c>
      <c r="AK658" s="8">
        <f t="shared" ca="1" si="168"/>
        <v>1.0001021366057838</v>
      </c>
      <c r="AL658" s="98">
        <f t="shared" ca="1" si="169"/>
        <v>3.5346865700563779</v>
      </c>
      <c r="AM658" s="106">
        <f t="shared" ca="1" si="161"/>
        <v>27636.057416244294</v>
      </c>
      <c r="AN658" s="10">
        <f t="shared" ca="1" si="162"/>
        <v>0.49472653601854155</v>
      </c>
      <c r="AO658" s="311">
        <f t="shared" ca="1" si="163"/>
        <v>0.48881876695910542</v>
      </c>
      <c r="AP658" s="312">
        <f t="shared" ca="1" si="164"/>
        <v>0.29420980884791753</v>
      </c>
      <c r="AQ658" s="1"/>
      <c r="AR658" s="1"/>
      <c r="AS658" s="1"/>
      <c r="AT658" s="1"/>
      <c r="AU658" s="1"/>
      <c r="BC658" s="23"/>
      <c r="BD658" s="23"/>
    </row>
    <row r="659" spans="34:56">
      <c r="AH659" s="6">
        <f t="shared" si="165"/>
        <v>629</v>
      </c>
      <c r="AI659" s="7">
        <f t="shared" ca="1" si="166"/>
        <v>43299</v>
      </c>
      <c r="AJ659" s="210">
        <f t="shared" ca="1" si="167"/>
        <v>3.6780136986301373</v>
      </c>
      <c r="AK659" s="8">
        <f t="shared" ca="1" si="168"/>
        <v>1.0001021670471841</v>
      </c>
      <c r="AL659" s="98">
        <f t="shared" ca="1" si="169"/>
        <v>3.5351067276513604</v>
      </c>
      <c r="AM659" s="106">
        <f t="shared" ca="1" si="161"/>
        <v>27638.261205316245</v>
      </c>
      <c r="AN659" s="10">
        <f t="shared" ca="1" si="162"/>
        <v>0.49524560672355999</v>
      </c>
      <c r="AO659" s="311">
        <f t="shared" ca="1" si="163"/>
        <v>0.48933586804562273</v>
      </c>
      <c r="AP659" s="312">
        <f t="shared" ca="1" si="164"/>
        <v>0.2942593606769891</v>
      </c>
      <c r="AQ659" s="1"/>
      <c r="AR659" s="1"/>
      <c r="AS659" s="1"/>
      <c r="AT659" s="1"/>
      <c r="AU659" s="1"/>
      <c r="BC659" s="23"/>
      <c r="BD659" s="23"/>
    </row>
    <row r="660" spans="34:56">
      <c r="AH660" s="6">
        <f t="shared" si="165"/>
        <v>630</v>
      </c>
      <c r="AI660" s="7">
        <f t="shared" ca="1" si="166"/>
        <v>43300</v>
      </c>
      <c r="AJ660" s="210">
        <f t="shared" ca="1" si="167"/>
        <v>3.6791095890410963</v>
      </c>
      <c r="AK660" s="8">
        <f t="shared" ca="1" si="168"/>
        <v>1.0001021974885844</v>
      </c>
      <c r="AL660" s="98">
        <f t="shared" ca="1" si="169"/>
        <v>3.5355273789464903</v>
      </c>
      <c r="AM660" s="106">
        <f t="shared" ca="1" si="161"/>
        <v>27640.465170125502</v>
      </c>
      <c r="AN660" s="10">
        <f t="shared" ca="1" si="162"/>
        <v>0.49576480448438875</v>
      </c>
      <c r="AO660" s="311">
        <f t="shared" ca="1" si="163"/>
        <v>0.48985311075587951</v>
      </c>
      <c r="AP660" s="312">
        <f t="shared" ca="1" si="164"/>
        <v>0.29430896186767358</v>
      </c>
      <c r="AQ660" s="1"/>
      <c r="AR660" s="1"/>
      <c r="AS660" s="1"/>
      <c r="AT660" s="1"/>
      <c r="AU660" s="1"/>
      <c r="BC660" s="23"/>
      <c r="BD660" s="23"/>
    </row>
    <row r="661" spans="34:56">
      <c r="AH661" s="6">
        <f t="shared" si="165"/>
        <v>631</v>
      </c>
      <c r="AI661" s="7">
        <f t="shared" ca="1" si="166"/>
        <v>43301</v>
      </c>
      <c r="AJ661" s="210">
        <f t="shared" ca="1" si="167"/>
        <v>3.6802054794520549</v>
      </c>
      <c r="AK661" s="8">
        <f t="shared" ca="1" si="168"/>
        <v>1.0001022279299847</v>
      </c>
      <c r="AL661" s="98">
        <f t="shared" ca="1" si="169"/>
        <v>3.5359485216085673</v>
      </c>
      <c r="AM661" s="106">
        <f t="shared" ca="1" si="161"/>
        <v>27642.66931068608</v>
      </c>
      <c r="AN661" s="10">
        <f t="shared" ca="1" si="162"/>
        <v>0.49628412871152161</v>
      </c>
      <c r="AO661" s="311">
        <f t="shared" ca="1" si="163"/>
        <v>0.49037049453504372</v>
      </c>
      <c r="AP661" s="312">
        <f t="shared" ca="1" si="164"/>
        <v>0.29435861223777449</v>
      </c>
      <c r="AQ661" s="1"/>
      <c r="AR661" s="1"/>
      <c r="AS661" s="1"/>
      <c r="AT661" s="1"/>
      <c r="AU661" s="1"/>
      <c r="BC661" s="23"/>
      <c r="BD661" s="23"/>
    </row>
    <row r="662" spans="34:56">
      <c r="AH662" s="6">
        <f t="shared" si="165"/>
        <v>632</v>
      </c>
      <c r="AI662" s="7">
        <f t="shared" ca="1" si="166"/>
        <v>43302</v>
      </c>
      <c r="AJ662" s="210">
        <f t="shared" ca="1" si="167"/>
        <v>3.6813013698630139</v>
      </c>
      <c r="AK662" s="8">
        <f t="shared" ca="1" si="168"/>
        <v>1.000102258371385</v>
      </c>
      <c r="AL662" s="98">
        <f t="shared" ca="1" si="169"/>
        <v>3.5363701533191794</v>
      </c>
      <c r="AM662" s="106">
        <f t="shared" ca="1" si="161"/>
        <v>27644.873627011995</v>
      </c>
      <c r="AN662" s="10">
        <f t="shared" ca="1" si="162"/>
        <v>0.49680357881933812</v>
      </c>
      <c r="AO662" s="311">
        <f t="shared" ca="1" si="163"/>
        <v>0.49088801883209848</v>
      </c>
      <c r="AP662" s="312">
        <f t="shared" ca="1" si="164"/>
        <v>0.29440831160627584</v>
      </c>
      <c r="AQ662" s="1"/>
      <c r="AR662" s="1"/>
      <c r="AS662" s="1"/>
      <c r="AT662" s="1"/>
      <c r="AU662" s="1"/>
      <c r="BC662" s="23"/>
      <c r="BD662" s="23"/>
    </row>
    <row r="663" spans="34:56">
      <c r="AH663" s="6">
        <f t="shared" si="165"/>
        <v>633</v>
      </c>
      <c r="AI663" s="7">
        <f t="shared" ca="1" si="166"/>
        <v>43303</v>
      </c>
      <c r="AJ663" s="210">
        <f t="shared" ca="1" si="167"/>
        <v>3.682397260273973</v>
      </c>
      <c r="AK663" s="8">
        <f t="shared" ca="1" si="168"/>
        <v>1.0001022888127853</v>
      </c>
      <c r="AL663" s="98">
        <f t="shared" ca="1" si="169"/>
        <v>3.5367922717745692</v>
      </c>
      <c r="AM663" s="106">
        <f t="shared" ca="1" si="161"/>
        <v>27647.078119117257</v>
      </c>
      <c r="AN663" s="10">
        <f t="shared" ca="1" si="162"/>
        <v>0.49732315422574835</v>
      </c>
      <c r="AO663" s="311">
        <f t="shared" ca="1" si="163"/>
        <v>0.49140568309954669</v>
      </c>
      <c r="AP663" s="312">
        <f t="shared" ca="1" si="164"/>
        <v>0.29445805979332651</v>
      </c>
      <c r="AQ663" s="1"/>
      <c r="AR663" s="1"/>
      <c r="AS663" s="1"/>
      <c r="AT663" s="1"/>
      <c r="AU663" s="1"/>
      <c r="BC663" s="23"/>
      <c r="BD663" s="23"/>
    </row>
    <row r="664" spans="34:56">
      <c r="AH664" s="6">
        <f t="shared" si="165"/>
        <v>634</v>
      </c>
      <c r="AI664" s="7">
        <f t="shared" ca="1" si="166"/>
        <v>43304</v>
      </c>
      <c r="AJ664" s="210">
        <f t="shared" ca="1" si="167"/>
        <v>3.683493150684932</v>
      </c>
      <c r="AK664" s="8">
        <f t="shared" ca="1" si="168"/>
        <v>1.0001023192541858</v>
      </c>
      <c r="AL664" s="98">
        <f t="shared" ca="1" si="169"/>
        <v>3.5372148746855681</v>
      </c>
      <c r="AM664" s="106">
        <f t="shared" ca="1" si="161"/>
        <v>27649.282787015887</v>
      </c>
      <c r="AN664" s="10">
        <f t="shared" ca="1" si="162"/>
        <v>0.49784285435252595</v>
      </c>
      <c r="AO664" s="311">
        <f t="shared" ca="1" si="163"/>
        <v>0.49192348679364811</v>
      </c>
      <c r="AP664" s="312">
        <f t="shared" ca="1" si="164"/>
        <v>0.29450785662024065</v>
      </c>
      <c r="AQ664" s="1"/>
      <c r="AR664" s="1"/>
      <c r="AS664" s="1"/>
      <c r="AT664" s="1"/>
      <c r="AU664" s="1"/>
      <c r="BC664" s="23"/>
      <c r="BD664" s="23"/>
    </row>
    <row r="665" spans="34:56">
      <c r="AH665" s="6">
        <f t="shared" si="165"/>
        <v>635</v>
      </c>
      <c r="AI665" s="7">
        <f t="shared" ca="1" si="166"/>
        <v>43305</v>
      </c>
      <c r="AJ665" s="210">
        <f t="shared" ca="1" si="167"/>
        <v>3.6845890410958906</v>
      </c>
      <c r="AK665" s="8">
        <f t="shared" ca="1" si="168"/>
        <v>1.0001023496955861</v>
      </c>
      <c r="AL665" s="98">
        <f t="shared" ca="1" si="169"/>
        <v>3.5376379597773733</v>
      </c>
      <c r="AM665" s="106">
        <f t="shared" ca="1" si="161"/>
        <v>27651.487630721902</v>
      </c>
      <c r="AN665" s="10">
        <f t="shared" ca="1" si="162"/>
        <v>0.49836267862490846</v>
      </c>
      <c r="AO665" s="311">
        <f t="shared" ca="1" si="163"/>
        <v>0.49244142937412538</v>
      </c>
      <c r="AP665" s="312">
        <f t="shared" ca="1" si="164"/>
        <v>0.29455770190947478</v>
      </c>
      <c r="AQ665" s="1"/>
      <c r="AR665" s="1"/>
      <c r="AS665" s="1"/>
      <c r="AT665" s="1"/>
      <c r="AU665" s="1"/>
      <c r="BC665" s="23"/>
      <c r="BD665" s="23"/>
    </row>
    <row r="666" spans="34:56">
      <c r="AH666" s="6">
        <f t="shared" si="165"/>
        <v>636</v>
      </c>
      <c r="AI666" s="7">
        <f t="shared" ca="1" si="166"/>
        <v>43306</v>
      </c>
      <c r="AJ666" s="210">
        <f t="shared" ca="1" si="167"/>
        <v>3.6856849315068496</v>
      </c>
      <c r="AK666" s="8">
        <f t="shared" ca="1" si="168"/>
        <v>1.0001023801369864</v>
      </c>
      <c r="AL666" s="98">
        <f t="shared" ca="1" si="169"/>
        <v>3.5380615247895264</v>
      </c>
      <c r="AM666" s="106">
        <f t="shared" ca="1" si="161"/>
        <v>27653.69265024933</v>
      </c>
      <c r="AN666" s="10">
        <f t="shared" ca="1" si="162"/>
        <v>0.49888262647184156</v>
      </c>
      <c r="AO666" s="311">
        <f t="shared" ca="1" si="163"/>
        <v>0.49295951030432539</v>
      </c>
      <c r="AP666" s="312">
        <f t="shared" ca="1" si="164"/>
        <v>0.29460759548463039</v>
      </c>
      <c r="AQ666" s="1"/>
      <c r="AR666" s="1"/>
      <c r="AS666" s="1"/>
      <c r="AT666" s="1"/>
      <c r="AU666" s="1"/>
      <c r="BC666" s="23"/>
      <c r="BD666" s="23"/>
    </row>
    <row r="667" spans="34:56">
      <c r="AH667" s="6">
        <f t="shared" si="165"/>
        <v>637</v>
      </c>
      <c r="AI667" s="7">
        <f t="shared" ca="1" si="166"/>
        <v>43307</v>
      </c>
      <c r="AJ667" s="210">
        <f t="shared" ca="1" si="167"/>
        <v>3.6867808219178086</v>
      </c>
      <c r="AK667" s="8">
        <f t="shared" ca="1" si="168"/>
        <v>1.0001024105783867</v>
      </c>
      <c r="AL667" s="98">
        <f t="shared" ca="1" si="169"/>
        <v>3.5384855674757354</v>
      </c>
      <c r="AM667" s="106">
        <f t="shared" ca="1" si="161"/>
        <v>27655.897845612173</v>
      </c>
      <c r="AN667" s="10">
        <f t="shared" ca="1" si="162"/>
        <v>0.49940269732584586</v>
      </c>
      <c r="AO667" s="311">
        <f t="shared" ca="1" si="163"/>
        <v>0.49347772905110282</v>
      </c>
      <c r="AP667" s="312">
        <f t="shared" ca="1" si="164"/>
        <v>0.29465753717043719</v>
      </c>
      <c r="AQ667" s="1"/>
      <c r="AR667" s="1"/>
      <c r="AS667" s="1"/>
      <c r="AT667" s="1"/>
      <c r="AU667" s="1"/>
      <c r="BC667" s="23"/>
      <c r="BD667" s="23"/>
    </row>
    <row r="668" spans="34:56">
      <c r="AH668" s="6">
        <f t="shared" si="165"/>
        <v>638</v>
      </c>
      <c r="AI668" s="7">
        <f t="shared" ca="1" si="166"/>
        <v>43308</v>
      </c>
      <c r="AJ668" s="210">
        <f t="shared" ca="1" si="167"/>
        <v>3.6878767123287672</v>
      </c>
      <c r="AK668" s="8">
        <f t="shared" ca="1" si="168"/>
        <v>1.000102441019787</v>
      </c>
      <c r="AL668" s="98">
        <f t="shared" ca="1" si="169"/>
        <v>3.5389100856038302</v>
      </c>
      <c r="AM668" s="106">
        <f t="shared" ca="1" si="161"/>
        <v>27658.103216824475</v>
      </c>
      <c r="AN668" s="10">
        <f t="shared" ca="1" si="162"/>
        <v>0.49992289062297246</v>
      </c>
      <c r="AO668" s="311">
        <f t="shared" ca="1" si="163"/>
        <v>0.49399608508483056</v>
      </c>
      <c r="AP668" s="312">
        <f t="shared" ca="1" si="164"/>
        <v>0.29470752679275042</v>
      </c>
      <c r="AQ668" s="1"/>
      <c r="AR668" s="1"/>
      <c r="AS668" s="1"/>
      <c r="AT668" s="1"/>
      <c r="AU668" s="1"/>
      <c r="BC668" s="23"/>
      <c r="BD668" s="23"/>
    </row>
    <row r="669" spans="34:56">
      <c r="AH669" s="6">
        <f t="shared" si="165"/>
        <v>639</v>
      </c>
      <c r="AI669" s="7">
        <f t="shared" ca="1" si="166"/>
        <v>43309</v>
      </c>
      <c r="AJ669" s="210">
        <f t="shared" ca="1" si="167"/>
        <v>3.6889726027397263</v>
      </c>
      <c r="AK669" s="8">
        <f t="shared" ca="1" si="168"/>
        <v>1.0001024714611872</v>
      </c>
      <c r="AL669" s="98">
        <f t="shared" ca="1" si="169"/>
        <v>3.5393350769556076</v>
      </c>
      <c r="AM669" s="106">
        <f t="shared" ca="1" si="161"/>
        <v>27660.308763900241</v>
      </c>
      <c r="AN669" s="10">
        <f t="shared" ca="1" si="162"/>
        <v>0.50044320580280299</v>
      </c>
      <c r="AO669" s="311">
        <f t="shared" ca="1" si="163"/>
        <v>0.49451457787932179</v>
      </c>
      <c r="AP669" s="312">
        <f t="shared" ca="1" si="164"/>
        <v>0.29475756417853799</v>
      </c>
      <c r="AQ669" s="1"/>
      <c r="AR669" s="1"/>
      <c r="AS669" s="1"/>
      <c r="AT669" s="1"/>
      <c r="AU669" s="1"/>
      <c r="BC669" s="23"/>
      <c r="BD669" s="23"/>
    </row>
    <row r="670" spans="34:56">
      <c r="AH670" s="6">
        <f t="shared" si="165"/>
        <v>640</v>
      </c>
      <c r="AI670" s="7">
        <f t="shared" ca="1" si="166"/>
        <v>43310</v>
      </c>
      <c r="AJ670" s="210">
        <f t="shared" ca="1" si="167"/>
        <v>3.6900684931506853</v>
      </c>
      <c r="AK670" s="8">
        <f t="shared" ca="1" si="168"/>
        <v>1.0001025019025875</v>
      </c>
      <c r="AL670" s="98">
        <f t="shared" ca="1" si="169"/>
        <v>3.5397605393267639</v>
      </c>
      <c r="AM670" s="106">
        <f t="shared" ca="1" si="161"/>
        <v>27662.514486853499</v>
      </c>
      <c r="AN670" s="10">
        <f t="shared" ca="1" si="162"/>
        <v>0.5009636423085384</v>
      </c>
      <c r="AO670" s="311">
        <f t="shared" ca="1" si="163"/>
        <v>0.49503320691197811</v>
      </c>
      <c r="AP670" s="312">
        <f t="shared" ca="1" si="164"/>
        <v>0.29480764915587737</v>
      </c>
      <c r="AQ670" s="1"/>
      <c r="AR670" s="1"/>
      <c r="AS670" s="1"/>
      <c r="AT670" s="1"/>
      <c r="AU670" s="1"/>
      <c r="BC670" s="23"/>
      <c r="BD670" s="23"/>
    </row>
    <row r="671" spans="34:56">
      <c r="AH671" s="6">
        <f t="shared" si="165"/>
        <v>641</v>
      </c>
      <c r="AI671" s="7">
        <f t="shared" ca="1" si="166"/>
        <v>43311</v>
      </c>
      <c r="AJ671" s="210">
        <f t="shared" ca="1" si="167"/>
        <v>3.6911643835616443</v>
      </c>
      <c r="AK671" s="8">
        <f t="shared" ca="1" si="168"/>
        <v>1.0001025323439878</v>
      </c>
      <c r="AL671" s="98">
        <f t="shared" ca="1" si="169"/>
        <v>3.5401864705267183</v>
      </c>
      <c r="AM671" s="106">
        <f t="shared" ref="AM671:AM734" ca="1" si="170">Geom_Interp(AI671,$AZ$2:$AZ$109,$BA$2:$BA$109)</f>
        <v>27664.720385698285</v>
      </c>
      <c r="AN671" s="10">
        <f t="shared" ref="AN671:AN734" ca="1" si="171">100*(((1+AL671/100)^(AH671/365)*$AM$29/AM671)^(365/AH671)-1)</f>
        <v>0.5014841995866437</v>
      </c>
      <c r="AO671" s="311">
        <f t="shared" ref="AO671:AO734" ca="1" si="172">100*360/$AH671*((1+AN671/100)^($AH671/365)-1)</f>
        <v>0.49555197166342502</v>
      </c>
      <c r="AP671" s="312">
        <f t="shared" ref="AP671:AP734" ca="1" si="173">100*30/$AH671*((1+AL671/100)^($AH671/365)-1)</f>
        <v>0.29485778155393672</v>
      </c>
      <c r="AQ671" s="1"/>
      <c r="AR671" s="1"/>
      <c r="AS671" s="1"/>
      <c r="AT671" s="1"/>
      <c r="AU671" s="1"/>
      <c r="BC671" s="23"/>
      <c r="BD671" s="23"/>
    </row>
    <row r="672" spans="34:56">
      <c r="AH672" s="6">
        <f t="shared" ref="AH672:AH735" si="174">$AI$29+AH671</f>
        <v>642</v>
      </c>
      <c r="AI672" s="7">
        <f t="shared" ref="AI672:AI735" ca="1" si="175">+AH672+$C$1</f>
        <v>43312</v>
      </c>
      <c r="AJ672" s="210">
        <f t="shared" ref="AJ672:AJ735" ca="1" si="176">IF(AH672&lt;365,VLOOKUP(LOOKUP(AI672,$AI$2:$AI$23),$AI$2:$AK$23,3,0),Lin_Interp(AH672,$AJ$2:$AJ$23,$AK$2:$AK$23))</f>
        <v>3.6922602739726029</v>
      </c>
      <c r="AK672" s="8">
        <f t="shared" ca="1" si="168"/>
        <v>1.0001025627853881</v>
      </c>
      <c r="AL672" s="98">
        <f t="shared" ca="1" si="169"/>
        <v>3.5406128683785454</v>
      </c>
      <c r="AM672" s="106">
        <f t="shared" ca="1" si="170"/>
        <v>27666.926460448612</v>
      </c>
      <c r="AN672" s="10">
        <f t="shared" ca="1" si="171"/>
        <v>0.50200487708722541</v>
      </c>
      <c r="AO672" s="311">
        <f t="shared" ca="1" si="172"/>
        <v>0.49607087161785995</v>
      </c>
      <c r="AP672" s="312">
        <f t="shared" ca="1" si="173"/>
        <v>0.29490796120297341</v>
      </c>
      <c r="AQ672" s="1"/>
      <c r="AR672" s="1"/>
      <c r="AS672" s="1"/>
      <c r="AT672" s="1"/>
      <c r="AU672" s="1"/>
      <c r="BC672" s="23"/>
      <c r="BD672" s="23"/>
    </row>
    <row r="673" spans="34:56">
      <c r="AH673" s="6">
        <f t="shared" si="174"/>
        <v>643</v>
      </c>
      <c r="AI673" s="7">
        <f t="shared" ca="1" si="175"/>
        <v>43313</v>
      </c>
      <c r="AJ673" s="210">
        <f t="shared" ca="1" si="176"/>
        <v>3.693356164383562</v>
      </c>
      <c r="AK673" s="8">
        <f t="shared" ref="AK673:AK736" ca="1" si="177">+(1+AJ673/36000)</f>
        <v>1.0001025932267884</v>
      </c>
      <c r="AL673" s="98">
        <f t="shared" ref="AL673:AL736" ca="1" si="178">100*(((1+AL672/100)^(AH672/365)*AK673)^(365/AH673)-1)</f>
        <v>3.5410397307188868</v>
      </c>
      <c r="AM673" s="106">
        <f t="shared" ca="1" si="170"/>
        <v>27669.132711118516</v>
      </c>
      <c r="AN673" s="10">
        <f t="shared" ca="1" si="171"/>
        <v>0.50252567426367634</v>
      </c>
      <c r="AO673" s="311">
        <f t="shared" ca="1" si="172"/>
        <v>0.49658990626270177</v>
      </c>
      <c r="AP673" s="312">
        <f t="shared" ca="1" si="173"/>
        <v>0.2949581879343286</v>
      </c>
      <c r="AQ673" s="1"/>
      <c r="AR673" s="1"/>
      <c r="AS673" s="1"/>
      <c r="AT673" s="1"/>
      <c r="AU673" s="1"/>
      <c r="BC673" s="23"/>
      <c r="BD673" s="23"/>
    </row>
    <row r="674" spans="34:56">
      <c r="AH674" s="6">
        <f t="shared" si="174"/>
        <v>644</v>
      </c>
      <c r="AI674" s="7">
        <f t="shared" ca="1" si="175"/>
        <v>43314</v>
      </c>
      <c r="AJ674" s="210">
        <f t="shared" ca="1" si="176"/>
        <v>3.694452054794521</v>
      </c>
      <c r="AK674" s="8">
        <f t="shared" ca="1" si="177"/>
        <v>1.0001026236681887</v>
      </c>
      <c r="AL674" s="98">
        <f t="shared" ca="1" si="178"/>
        <v>3.54146705539784</v>
      </c>
      <c r="AM674" s="106">
        <f t="shared" ca="1" si="170"/>
        <v>27671.339137722018</v>
      </c>
      <c r="AN674" s="10">
        <f t="shared" ca="1" si="171"/>
        <v>0.50304659057289758</v>
      </c>
      <c r="AO674" s="311">
        <f t="shared" ca="1" si="172"/>
        <v>0.49710907508886309</v>
      </c>
      <c r="AP674" s="312">
        <f t="shared" ca="1" si="173"/>
        <v>0.29500846158041399</v>
      </c>
      <c r="AQ674" s="1"/>
      <c r="AR674" s="1"/>
      <c r="AS674" s="1"/>
      <c r="AT674" s="1"/>
      <c r="AU674" s="1"/>
      <c r="BC674" s="23"/>
      <c r="BD674" s="23"/>
    </row>
    <row r="675" spans="34:56">
      <c r="AH675" s="6">
        <f t="shared" si="174"/>
        <v>645</v>
      </c>
      <c r="AI675" s="7">
        <f t="shared" ca="1" si="175"/>
        <v>43315</v>
      </c>
      <c r="AJ675" s="210">
        <f t="shared" ca="1" si="176"/>
        <v>3.6955479452054796</v>
      </c>
      <c r="AK675" s="8">
        <f t="shared" ca="1" si="177"/>
        <v>1.000102654109589</v>
      </c>
      <c r="AL675" s="98">
        <f t="shared" ca="1" si="178"/>
        <v>3.5418948402788253</v>
      </c>
      <c r="AM675" s="106">
        <f t="shared" ca="1" si="170"/>
        <v>27673.545740273155</v>
      </c>
      <c r="AN675" s="10">
        <f t="shared" ca="1" si="171"/>
        <v>0.5035676254750765</v>
      </c>
      <c r="AO675" s="311">
        <f t="shared" ca="1" si="172"/>
        <v>0.49762837759048817</v>
      </c>
      <c r="AP675" s="312">
        <f t="shared" ca="1" si="173"/>
        <v>0.29505878197470103</v>
      </c>
      <c r="AQ675" s="1"/>
      <c r="AR675" s="1"/>
      <c r="AS675" s="1"/>
      <c r="AT675" s="1"/>
      <c r="AU675" s="1"/>
      <c r="BC675" s="23"/>
      <c r="BD675" s="23"/>
    </row>
    <row r="676" spans="34:56">
      <c r="AH676" s="6">
        <f t="shared" si="174"/>
        <v>646</v>
      </c>
      <c r="AI676" s="7">
        <f t="shared" ca="1" si="175"/>
        <v>43316</v>
      </c>
      <c r="AJ676" s="210">
        <f t="shared" ca="1" si="176"/>
        <v>3.6966438356164386</v>
      </c>
      <c r="AK676" s="8">
        <f t="shared" ca="1" si="177"/>
        <v>1.0001026845509893</v>
      </c>
      <c r="AL676" s="98">
        <f t="shared" ca="1" si="178"/>
        <v>3.5423230832384744</v>
      </c>
      <c r="AM676" s="106">
        <f t="shared" ca="1" si="170"/>
        <v>27675.75251878595</v>
      </c>
      <c r="AN676" s="10">
        <f t="shared" ca="1" si="171"/>
        <v>0.50408877843377553</v>
      </c>
      <c r="AO676" s="311">
        <f t="shared" ca="1" si="172"/>
        <v>0.49814781326501434</v>
      </c>
      <c r="AP676" s="312">
        <f t="shared" ca="1" si="173"/>
        <v>0.29510914895171714</v>
      </c>
      <c r="AQ676" s="1"/>
      <c r="AR676" s="1"/>
      <c r="AS676" s="1"/>
      <c r="AT676" s="1"/>
      <c r="AU676" s="1"/>
      <c r="BC676" s="23"/>
      <c r="BD676" s="23"/>
    </row>
    <row r="677" spans="34:56">
      <c r="AH677" s="6">
        <f t="shared" si="174"/>
        <v>647</v>
      </c>
      <c r="AI677" s="7">
        <f t="shared" ca="1" si="175"/>
        <v>43317</v>
      </c>
      <c r="AJ677" s="210">
        <f t="shared" ca="1" si="176"/>
        <v>3.6977397260273976</v>
      </c>
      <c r="AK677" s="8">
        <f t="shared" ca="1" si="177"/>
        <v>1.0001027149923896</v>
      </c>
      <c r="AL677" s="98">
        <f t="shared" ca="1" si="178"/>
        <v>3.5427517821665866</v>
      </c>
      <c r="AM677" s="106">
        <f t="shared" ca="1" si="170"/>
        <v>27677.959473274441</v>
      </c>
      <c r="AN677" s="10">
        <f t="shared" ca="1" si="171"/>
        <v>0.50461004891586558</v>
      </c>
      <c r="AO677" s="311">
        <f t="shared" ca="1" si="172"/>
        <v>0.49866738161315904</v>
      </c>
      <c r="AP677" s="312">
        <f t="shared" ca="1" si="173"/>
        <v>0.29515956234703855</v>
      </c>
      <c r="AQ677" s="1"/>
      <c r="AR677" s="1"/>
      <c r="AS677" s="1"/>
      <c r="AT677" s="1"/>
      <c r="AU677" s="1"/>
      <c r="BC677" s="23"/>
      <c r="BD677" s="23"/>
    </row>
    <row r="678" spans="34:56">
      <c r="AH678" s="6">
        <f t="shared" si="174"/>
        <v>648</v>
      </c>
      <c r="AI678" s="7">
        <f t="shared" ca="1" si="175"/>
        <v>43318</v>
      </c>
      <c r="AJ678" s="210">
        <f t="shared" ca="1" si="176"/>
        <v>3.6988356164383562</v>
      </c>
      <c r="AK678" s="8">
        <f t="shared" ca="1" si="177"/>
        <v>1.0001027454337899</v>
      </c>
      <c r="AL678" s="98">
        <f t="shared" ca="1" si="178"/>
        <v>3.5431809349659948</v>
      </c>
      <c r="AM678" s="106">
        <f t="shared" ca="1" si="170"/>
        <v>27680.166603752656</v>
      </c>
      <c r="AN678" s="10">
        <f t="shared" ca="1" si="171"/>
        <v>0.50513143639154823</v>
      </c>
      <c r="AO678" s="311">
        <f t="shared" ca="1" si="172"/>
        <v>0.49918708213894353</v>
      </c>
      <c r="AP678" s="312">
        <f t="shared" ca="1" si="173"/>
        <v>0.29521002199728003</v>
      </c>
      <c r="AQ678" s="1"/>
      <c r="AR678" s="1"/>
      <c r="AS678" s="1"/>
      <c r="AT678" s="1"/>
      <c r="AU678" s="1"/>
      <c r="BC678" s="23"/>
      <c r="BD678" s="23"/>
    </row>
    <row r="679" spans="34:56">
      <c r="AH679" s="6">
        <f t="shared" si="174"/>
        <v>649</v>
      </c>
      <c r="AI679" s="7">
        <f t="shared" ca="1" si="175"/>
        <v>43319</v>
      </c>
      <c r="AJ679" s="210">
        <f t="shared" ca="1" si="176"/>
        <v>3.6999315068493153</v>
      </c>
      <c r="AK679" s="8">
        <f t="shared" ca="1" si="177"/>
        <v>1.0001027758751904</v>
      </c>
      <c r="AL679" s="98">
        <f t="shared" ca="1" si="178"/>
        <v>3.5436105395524553</v>
      </c>
      <c r="AM679" s="106">
        <f t="shared" ca="1" si="170"/>
        <v>27682.373910234634</v>
      </c>
      <c r="AN679" s="10">
        <f t="shared" ca="1" si="171"/>
        <v>0.50565294033420027</v>
      </c>
      <c r="AO679" s="311">
        <f t="shared" ca="1" si="172"/>
        <v>0.499706914349483</v>
      </c>
      <c r="AP679" s="312">
        <f t="shared" ca="1" si="173"/>
        <v>0.29526052774008593</v>
      </c>
      <c r="AQ679" s="1"/>
      <c r="AR679" s="1"/>
      <c r="AS679" s="1"/>
      <c r="AT679" s="1"/>
      <c r="AU679" s="1"/>
      <c r="BC679" s="23"/>
      <c r="BD679" s="23"/>
    </row>
    <row r="680" spans="34:56">
      <c r="AH680" s="6">
        <f t="shared" si="174"/>
        <v>650</v>
      </c>
      <c r="AI680" s="7">
        <f t="shared" ca="1" si="175"/>
        <v>43320</v>
      </c>
      <c r="AJ680" s="210">
        <f t="shared" ca="1" si="176"/>
        <v>3.7010273972602743</v>
      </c>
      <c r="AK680" s="8">
        <f t="shared" ca="1" si="177"/>
        <v>1.0001028063165907</v>
      </c>
      <c r="AL680" s="98">
        <f t="shared" ca="1" si="178"/>
        <v>3.5440405938545583</v>
      </c>
      <c r="AM680" s="106">
        <f t="shared" ca="1" si="170"/>
        <v>27684.581392734406</v>
      </c>
      <c r="AN680" s="10">
        <f t="shared" ca="1" si="171"/>
        <v>0.50617456022057361</v>
      </c>
      <c r="AO680" s="311">
        <f t="shared" ca="1" si="172"/>
        <v>0.50022687775524566</v>
      </c>
      <c r="AP680" s="312">
        <f t="shared" ca="1" si="173"/>
        <v>0.29531107941412427</v>
      </c>
      <c r="AQ680" s="1"/>
      <c r="AR680" s="1"/>
      <c r="AS680" s="1"/>
      <c r="AT680" s="1"/>
      <c r="AU680" s="1"/>
      <c r="BC680" s="23"/>
      <c r="BD680" s="23"/>
    </row>
    <row r="681" spans="34:56">
      <c r="AH681" s="6">
        <f t="shared" si="174"/>
        <v>651</v>
      </c>
      <c r="AI681" s="7">
        <f t="shared" ca="1" si="175"/>
        <v>43321</v>
      </c>
      <c r="AJ681" s="210">
        <f t="shared" ca="1" si="176"/>
        <v>3.7021232876712333</v>
      </c>
      <c r="AK681" s="8">
        <f t="shared" ca="1" si="177"/>
        <v>1.0001028367579909</v>
      </c>
      <c r="AL681" s="98">
        <f t="shared" ca="1" si="178"/>
        <v>3.544471095813595</v>
      </c>
      <c r="AM681" s="106">
        <f t="shared" ca="1" si="170"/>
        <v>27686.789051266009</v>
      </c>
      <c r="AN681" s="10">
        <f t="shared" ca="1" si="171"/>
        <v>0.50669629553048434</v>
      </c>
      <c r="AO681" s="311">
        <f t="shared" ca="1" si="172"/>
        <v>0.50074697186969497</v>
      </c>
      <c r="AP681" s="312">
        <f t="shared" ca="1" si="173"/>
        <v>0.295361676859074</v>
      </c>
      <c r="AQ681" s="1"/>
      <c r="AR681" s="1"/>
      <c r="AS681" s="1"/>
      <c r="AT681" s="1"/>
      <c r="AU681" s="1"/>
      <c r="BC681" s="23"/>
      <c r="BD681" s="23"/>
    </row>
    <row r="682" spans="34:56">
      <c r="AH682" s="6">
        <f t="shared" si="174"/>
        <v>652</v>
      </c>
      <c r="AI682" s="7">
        <f t="shared" ca="1" si="175"/>
        <v>43322</v>
      </c>
      <c r="AJ682" s="210">
        <f t="shared" ca="1" si="176"/>
        <v>3.7032191780821919</v>
      </c>
      <c r="AK682" s="8">
        <f t="shared" ca="1" si="177"/>
        <v>1.0001028671993912</v>
      </c>
      <c r="AL682" s="98">
        <f t="shared" ca="1" si="178"/>
        <v>3.5449020433835354</v>
      </c>
      <c r="AM682" s="106">
        <f t="shared" ca="1" si="170"/>
        <v>27688.99688584348</v>
      </c>
      <c r="AN682" s="10">
        <f t="shared" ca="1" si="171"/>
        <v>0.50721814574705704</v>
      </c>
      <c r="AO682" s="311">
        <f t="shared" ca="1" si="172"/>
        <v>0.50126719620956173</v>
      </c>
      <c r="AP682" s="312">
        <f t="shared" ca="1" si="173"/>
        <v>0.29541231991562705</v>
      </c>
      <c r="AQ682" s="1"/>
      <c r="AR682" s="1"/>
      <c r="AS682" s="1"/>
      <c r="AT682" s="1"/>
      <c r="AU682" s="1"/>
      <c r="BC682" s="23"/>
      <c r="BD682" s="23"/>
    </row>
    <row r="683" spans="34:56">
      <c r="AH683" s="6">
        <f t="shared" si="174"/>
        <v>653</v>
      </c>
      <c r="AI683" s="7">
        <f t="shared" ca="1" si="175"/>
        <v>43323</v>
      </c>
      <c r="AJ683" s="210">
        <f t="shared" ca="1" si="176"/>
        <v>3.704315068493151</v>
      </c>
      <c r="AK683" s="8">
        <f t="shared" ca="1" si="177"/>
        <v>1.0001028976407915</v>
      </c>
      <c r="AL683" s="98">
        <f t="shared" ca="1" si="178"/>
        <v>3.5453334345308729</v>
      </c>
      <c r="AM683" s="106">
        <f t="shared" ca="1" si="170"/>
        <v>27691.204896480864</v>
      </c>
      <c r="AN683" s="10">
        <f t="shared" ca="1" si="171"/>
        <v>0.50774011035648048</v>
      </c>
      <c r="AO683" s="311">
        <f t="shared" ca="1" si="172"/>
        <v>0.5017875502946102</v>
      </c>
      <c r="AP683" s="312">
        <f t="shared" ca="1" si="173"/>
        <v>0.29546300842547057</v>
      </c>
      <c r="AQ683" s="1"/>
      <c r="AR683" s="1"/>
      <c r="AS683" s="1"/>
      <c r="AT683" s="1"/>
      <c r="AU683" s="1"/>
      <c r="BC683" s="23"/>
      <c r="BD683" s="23"/>
    </row>
    <row r="684" spans="34:56">
      <c r="AH684" s="6">
        <f t="shared" si="174"/>
        <v>654</v>
      </c>
      <c r="AI684" s="7">
        <f t="shared" ca="1" si="175"/>
        <v>43324</v>
      </c>
      <c r="AJ684" s="210">
        <f t="shared" ca="1" si="176"/>
        <v>3.70541095890411</v>
      </c>
      <c r="AK684" s="8">
        <f t="shared" ca="1" si="177"/>
        <v>1.0001029280821918</v>
      </c>
      <c r="AL684" s="98">
        <f t="shared" ca="1" si="178"/>
        <v>3.545765267234513</v>
      </c>
      <c r="AM684" s="106">
        <f t="shared" ca="1" si="170"/>
        <v>27693.413083192194</v>
      </c>
      <c r="AN684" s="10">
        <f t="shared" ca="1" si="171"/>
        <v>0.5082621888481853</v>
      </c>
      <c r="AO684" s="311">
        <f t="shared" ca="1" si="172"/>
        <v>0.50230803364778609</v>
      </c>
      <c r="AP684" s="312">
        <f t="shared" ca="1" si="173"/>
        <v>0.29551374223128463</v>
      </c>
      <c r="AQ684" s="1"/>
      <c r="AR684" s="1"/>
      <c r="AS684" s="1"/>
      <c r="AT684" s="1"/>
      <c r="AU684" s="1"/>
      <c r="BC684" s="23"/>
      <c r="BD684" s="23"/>
    </row>
    <row r="685" spans="34:56">
      <c r="AH685" s="6">
        <f t="shared" si="174"/>
        <v>655</v>
      </c>
      <c r="AI685" s="7">
        <f t="shared" ca="1" si="175"/>
        <v>43325</v>
      </c>
      <c r="AJ685" s="210">
        <f t="shared" ca="1" si="176"/>
        <v>3.7065068493150686</v>
      </c>
      <c r="AK685" s="8">
        <f t="shared" ca="1" si="177"/>
        <v>1.0001029585235921</v>
      </c>
      <c r="AL685" s="98">
        <f t="shared" ca="1" si="178"/>
        <v>3.5461975394857737</v>
      </c>
      <c r="AM685" s="106">
        <f t="shared" ca="1" si="170"/>
        <v>27695.621445991506</v>
      </c>
      <c r="AN685" s="10">
        <f t="shared" ca="1" si="171"/>
        <v>0.50878438071468857</v>
      </c>
      <c r="AO685" s="311">
        <f t="shared" ca="1" si="172"/>
        <v>0.50282864579508324</v>
      </c>
      <c r="AP685" s="312">
        <f t="shared" ca="1" si="173"/>
        <v>0.29556452117673521</v>
      </c>
      <c r="AQ685" s="1"/>
      <c r="AR685" s="1"/>
      <c r="AS685" s="1"/>
      <c r="AT685" s="1"/>
      <c r="AU685" s="1"/>
      <c r="BC685" s="23"/>
      <c r="BD685" s="23"/>
    </row>
    <row r="686" spans="34:56">
      <c r="AH686" s="6">
        <f t="shared" si="174"/>
        <v>656</v>
      </c>
      <c r="AI686" s="7">
        <f t="shared" ca="1" si="175"/>
        <v>43326</v>
      </c>
      <c r="AJ686" s="210">
        <f t="shared" ca="1" si="176"/>
        <v>3.7076027397260276</v>
      </c>
      <c r="AK686" s="8">
        <f t="shared" ca="1" si="177"/>
        <v>1.0001029889649924</v>
      </c>
      <c r="AL686" s="98">
        <f t="shared" ca="1" si="178"/>
        <v>3.5466302492881852</v>
      </c>
      <c r="AM686" s="106">
        <f t="shared" ca="1" si="170"/>
        <v>27697.829984892851</v>
      </c>
      <c r="AN686" s="10">
        <f t="shared" ca="1" si="171"/>
        <v>0.50930668545161595</v>
      </c>
      <c r="AO686" s="311">
        <f t="shared" ca="1" si="172"/>
        <v>0.50334938626554371</v>
      </c>
      <c r="AP686" s="312">
        <f t="shared" ca="1" si="173"/>
        <v>0.29561534510646414</v>
      </c>
      <c r="AQ686" s="1"/>
      <c r="AR686" s="1"/>
      <c r="AS686" s="1"/>
      <c r="AT686" s="1"/>
      <c r="AU686" s="1"/>
      <c r="BC686" s="23"/>
      <c r="BD686" s="23"/>
    </row>
    <row r="687" spans="34:56">
      <c r="AH687" s="6">
        <f t="shared" si="174"/>
        <v>657</v>
      </c>
      <c r="AI687" s="7">
        <f t="shared" ca="1" si="175"/>
        <v>43327</v>
      </c>
      <c r="AJ687" s="210">
        <f t="shared" ca="1" si="176"/>
        <v>3.7086986301369866</v>
      </c>
      <c r="AK687" s="8">
        <f t="shared" ca="1" si="177"/>
        <v>1.0001030194063927</v>
      </c>
      <c r="AL687" s="98">
        <f t="shared" ca="1" si="178"/>
        <v>3.5470633946574237</v>
      </c>
      <c r="AM687" s="106">
        <f t="shared" ca="1" si="170"/>
        <v>27700.03869991027</v>
      </c>
      <c r="AN687" s="10">
        <f t="shared" ca="1" si="171"/>
        <v>0.50982910255754632</v>
      </c>
      <c r="AO687" s="311">
        <f t="shared" ca="1" si="172"/>
        <v>0.50387025459113799</v>
      </c>
      <c r="AP687" s="312">
        <f t="shared" ca="1" si="173"/>
        <v>0.29566621386608022</v>
      </c>
      <c r="AQ687" s="1"/>
      <c r="AR687" s="1"/>
      <c r="AS687" s="1"/>
      <c r="AT687" s="1"/>
      <c r="AU687" s="1"/>
      <c r="BC687" s="23"/>
      <c r="BD687" s="23"/>
    </row>
    <row r="688" spans="34:56">
      <c r="AH688" s="6">
        <f t="shared" si="174"/>
        <v>658</v>
      </c>
      <c r="AI688" s="7">
        <f t="shared" ca="1" si="175"/>
        <v>43328</v>
      </c>
      <c r="AJ688" s="210">
        <f t="shared" ca="1" si="176"/>
        <v>3.7097945205479457</v>
      </c>
      <c r="AK688" s="8">
        <f t="shared" ca="1" si="177"/>
        <v>1.000103049847793</v>
      </c>
      <c r="AL688" s="98">
        <f t="shared" ca="1" si="178"/>
        <v>3.5474969736212891</v>
      </c>
      <c r="AM688" s="106">
        <f t="shared" ca="1" si="170"/>
        <v>27702.247591057803</v>
      </c>
      <c r="AN688" s="10">
        <f t="shared" ca="1" si="171"/>
        <v>0.51035163153432261</v>
      </c>
      <c r="AO688" s="311">
        <f t="shared" ca="1" si="172"/>
        <v>0.50439125030704601</v>
      </c>
      <c r="AP688" s="312">
        <f t="shared" ca="1" si="173"/>
        <v>0.29571712730215916</v>
      </c>
      <c r="AQ688" s="1"/>
      <c r="AR688" s="1"/>
      <c r="AS688" s="1"/>
      <c r="AT688" s="1"/>
      <c r="AU688" s="1"/>
      <c r="BC688" s="23"/>
      <c r="BD688" s="23"/>
    </row>
    <row r="689" spans="34:56">
      <c r="AH689" s="6">
        <f t="shared" si="174"/>
        <v>659</v>
      </c>
      <c r="AI689" s="7">
        <f t="shared" ca="1" si="175"/>
        <v>43329</v>
      </c>
      <c r="AJ689" s="210">
        <f t="shared" ca="1" si="176"/>
        <v>3.7108904109589043</v>
      </c>
      <c r="AK689" s="8">
        <f t="shared" ca="1" si="177"/>
        <v>1.0001030802891933</v>
      </c>
      <c r="AL689" s="98">
        <f t="shared" ca="1" si="178"/>
        <v>3.5479309842195272</v>
      </c>
      <c r="AM689" s="106">
        <f t="shared" ca="1" si="170"/>
        <v>27704.4566583495</v>
      </c>
      <c r="AN689" s="10">
        <f t="shared" ca="1" si="171"/>
        <v>0.51087427188662993</v>
      </c>
      <c r="AO689" s="311">
        <f t="shared" ca="1" si="172"/>
        <v>0.5049123729512569</v>
      </c>
      <c r="AP689" s="312">
        <f t="shared" ca="1" si="173"/>
        <v>0.29576808526222825</v>
      </c>
      <c r="AQ689" s="1"/>
      <c r="AR689" s="1"/>
      <c r="AS689" s="1"/>
      <c r="AT689" s="1"/>
      <c r="AU689" s="1"/>
      <c r="BC689" s="23"/>
      <c r="BD689" s="23"/>
    </row>
    <row r="690" spans="34:56">
      <c r="AH690" s="6">
        <f t="shared" si="174"/>
        <v>660</v>
      </c>
      <c r="AI690" s="7">
        <f t="shared" ca="1" si="175"/>
        <v>43330</v>
      </c>
      <c r="AJ690" s="210">
        <f t="shared" ca="1" si="176"/>
        <v>3.7119863013698633</v>
      </c>
      <c r="AK690" s="8">
        <f t="shared" ca="1" si="177"/>
        <v>1.0001031107305935</v>
      </c>
      <c r="AL690" s="98">
        <f t="shared" ca="1" si="178"/>
        <v>3.548365424503741</v>
      </c>
      <c r="AM690" s="106">
        <f t="shared" ca="1" si="170"/>
        <v>27706.665901799406</v>
      </c>
      <c r="AN690" s="10">
        <f t="shared" ca="1" si="171"/>
        <v>0.51139702312219537</v>
      </c>
      <c r="AO690" s="311">
        <f t="shared" ca="1" si="172"/>
        <v>0.50543362206472964</v>
      </c>
      <c r="AP690" s="312">
        <f t="shared" ca="1" si="173"/>
        <v>0.29581908759475994</v>
      </c>
      <c r="AQ690" s="1"/>
      <c r="AR690" s="1"/>
      <c r="AS690" s="1"/>
      <c r="AT690" s="1"/>
      <c r="AU690" s="1"/>
      <c r="BC690" s="23"/>
      <c r="BD690" s="23"/>
    </row>
    <row r="691" spans="34:56">
      <c r="AH691" s="6">
        <f t="shared" si="174"/>
        <v>661</v>
      </c>
      <c r="AI691" s="7">
        <f t="shared" ca="1" si="175"/>
        <v>43331</v>
      </c>
      <c r="AJ691" s="210">
        <f t="shared" ca="1" si="176"/>
        <v>3.7130821917808223</v>
      </c>
      <c r="AK691" s="8">
        <f t="shared" ca="1" si="177"/>
        <v>1.0001031411719938</v>
      </c>
      <c r="AL691" s="98">
        <f t="shared" ca="1" si="178"/>
        <v>3.5488002925373463</v>
      </c>
      <c r="AM691" s="106">
        <f t="shared" ca="1" si="170"/>
        <v>27708.875321421565</v>
      </c>
      <c r="AN691" s="10">
        <f t="shared" ca="1" si="171"/>
        <v>0.51191988475181027</v>
      </c>
      <c r="AO691" s="311">
        <f t="shared" ca="1" si="172"/>
        <v>0.50595499719147896</v>
      </c>
      <c r="AP691" s="312">
        <f t="shared" ca="1" si="173"/>
        <v>0.29587013414916991</v>
      </c>
      <c r="AQ691" s="1"/>
      <c r="AR691" s="1"/>
      <c r="AS691" s="1"/>
      <c r="AT691" s="1"/>
      <c r="AU691" s="1"/>
      <c r="BC691" s="23"/>
      <c r="BD691" s="23"/>
    </row>
    <row r="692" spans="34:56">
      <c r="AH692" s="6">
        <f t="shared" si="174"/>
        <v>662</v>
      </c>
      <c r="AI692" s="7">
        <f t="shared" ca="1" si="175"/>
        <v>43332</v>
      </c>
      <c r="AJ692" s="210">
        <f t="shared" ca="1" si="176"/>
        <v>3.7141780821917809</v>
      </c>
      <c r="AK692" s="8">
        <f t="shared" ca="1" si="177"/>
        <v>1.0001031716133941</v>
      </c>
      <c r="AL692" s="98">
        <f t="shared" ca="1" si="178"/>
        <v>3.549235586395505</v>
      </c>
      <c r="AM692" s="106">
        <f t="shared" ca="1" si="170"/>
        <v>27711.08491723003</v>
      </c>
      <c r="AN692" s="10">
        <f t="shared" ca="1" si="171"/>
        <v>0.51244285628913033</v>
      </c>
      <c r="AO692" s="311">
        <f t="shared" ca="1" si="172"/>
        <v>0.50647649787831128</v>
      </c>
      <c r="AP692" s="312">
        <f t="shared" ca="1" si="173"/>
        <v>0.29592122477580884</v>
      </c>
      <c r="AQ692" s="1"/>
      <c r="AR692" s="1"/>
      <c r="AS692" s="1"/>
      <c r="AT692" s="1"/>
      <c r="AU692" s="1"/>
      <c r="BC692" s="23"/>
      <c r="BD692" s="23"/>
    </row>
    <row r="693" spans="34:56">
      <c r="AH693" s="6">
        <f t="shared" si="174"/>
        <v>663</v>
      </c>
      <c r="AI693" s="7">
        <f t="shared" ca="1" si="175"/>
        <v>43333</v>
      </c>
      <c r="AJ693" s="210">
        <f t="shared" ca="1" si="176"/>
        <v>3.7152739726027399</v>
      </c>
      <c r="AK693" s="8">
        <f t="shared" ca="1" si="177"/>
        <v>1.0001032020547944</v>
      </c>
      <c r="AL693" s="98">
        <f t="shared" ca="1" si="178"/>
        <v>3.5496713041649475</v>
      </c>
      <c r="AM693" s="106">
        <f t="shared" ca="1" si="170"/>
        <v>27713.29468923885</v>
      </c>
      <c r="AN693" s="10">
        <f t="shared" ca="1" si="171"/>
        <v>0.51296593725074224</v>
      </c>
      <c r="AO693" s="311">
        <f t="shared" ca="1" si="172"/>
        <v>0.50699812367496</v>
      </c>
      <c r="AP693" s="312">
        <f t="shared" ca="1" si="173"/>
        <v>0.2959723593259504</v>
      </c>
      <c r="AQ693" s="1"/>
      <c r="AR693" s="1"/>
      <c r="AS693" s="1"/>
      <c r="AT693" s="1"/>
      <c r="AU693" s="1"/>
      <c r="BC693" s="23"/>
      <c r="BD693" s="23"/>
    </row>
    <row r="694" spans="34:56">
      <c r="AH694" s="6">
        <f t="shared" si="174"/>
        <v>664</v>
      </c>
      <c r="AI694" s="7">
        <f t="shared" ca="1" si="175"/>
        <v>43334</v>
      </c>
      <c r="AJ694" s="210">
        <f t="shared" ca="1" si="176"/>
        <v>3.716369863013699</v>
      </c>
      <c r="AK694" s="8">
        <f t="shared" ca="1" si="177"/>
        <v>1.0001032324961949</v>
      </c>
      <c r="AL694" s="98">
        <f t="shared" ca="1" si="178"/>
        <v>3.550107443943995</v>
      </c>
      <c r="AM694" s="106">
        <f t="shared" ca="1" si="170"/>
        <v>27715.504637462072</v>
      </c>
      <c r="AN694" s="10">
        <f t="shared" ca="1" si="171"/>
        <v>0.51348912715627471</v>
      </c>
      <c r="AO694" s="311">
        <f t="shared" ca="1" si="172"/>
        <v>0.5075198741340996</v>
      </c>
      <c r="AP694" s="312">
        <f t="shared" ca="1" si="173"/>
        <v>0.29602353765179024</v>
      </c>
      <c r="AQ694" s="1"/>
      <c r="AR694" s="1"/>
      <c r="AS694" s="1"/>
      <c r="AT694" s="1"/>
      <c r="AU694" s="1"/>
      <c r="BC694" s="23"/>
      <c r="BD694" s="23"/>
    </row>
    <row r="695" spans="34:56">
      <c r="AH695" s="6">
        <f t="shared" si="174"/>
        <v>665</v>
      </c>
      <c r="AI695" s="7">
        <f t="shared" ca="1" si="175"/>
        <v>43335</v>
      </c>
      <c r="AJ695" s="210">
        <f t="shared" ca="1" si="176"/>
        <v>3.717465753424658</v>
      </c>
      <c r="AK695" s="8">
        <f t="shared" ca="1" si="177"/>
        <v>1.0001032629375952</v>
      </c>
      <c r="AL695" s="98">
        <f t="shared" ca="1" si="178"/>
        <v>3.5505440038423375</v>
      </c>
      <c r="AM695" s="106">
        <f t="shared" ca="1" si="170"/>
        <v>27717.714761913754</v>
      </c>
      <c r="AN695" s="10">
        <f t="shared" ca="1" si="171"/>
        <v>0.51401242552808757</v>
      </c>
      <c r="AO695" s="311">
        <f t="shared" ca="1" si="172"/>
        <v>0.50804174881114328</v>
      </c>
      <c r="AP695" s="312">
        <f t="shared" ca="1" si="173"/>
        <v>0.29607475960643315</v>
      </c>
      <c r="AQ695" s="1"/>
      <c r="AR695" s="1"/>
      <c r="AS695" s="1"/>
      <c r="AT695" s="1"/>
      <c r="AU695" s="1"/>
      <c r="BC695" s="23"/>
      <c r="BD695" s="23"/>
    </row>
    <row r="696" spans="34:56">
      <c r="AH696" s="6">
        <f t="shared" si="174"/>
        <v>666</v>
      </c>
      <c r="AI696" s="7">
        <f t="shared" ca="1" si="175"/>
        <v>43336</v>
      </c>
      <c r="AJ696" s="210">
        <f t="shared" ca="1" si="176"/>
        <v>3.7185616438356166</v>
      </c>
      <c r="AK696" s="8">
        <f t="shared" ca="1" si="177"/>
        <v>1.0001032933789955</v>
      </c>
      <c r="AL696" s="98">
        <f t="shared" ca="1" si="178"/>
        <v>3.5509809819810556</v>
      </c>
      <c r="AM696" s="106">
        <f t="shared" ca="1" si="170"/>
        <v>27719.925062607941</v>
      </c>
      <c r="AN696" s="10">
        <f t="shared" ca="1" si="171"/>
        <v>0.51453583189147167</v>
      </c>
      <c r="AO696" s="311">
        <f t="shared" ca="1" si="172"/>
        <v>0.50856374726437892</v>
      </c>
      <c r="AP696" s="312">
        <f t="shared" ca="1" si="173"/>
        <v>0.29612602504389007</v>
      </c>
      <c r="AQ696" s="1"/>
      <c r="AR696" s="1"/>
      <c r="AS696" s="1"/>
      <c r="AT696" s="1"/>
      <c r="AU696" s="1"/>
      <c r="BC696" s="23"/>
      <c r="BD696" s="23"/>
    </row>
    <row r="697" spans="34:56">
      <c r="AH697" s="6">
        <f t="shared" si="174"/>
        <v>667</v>
      </c>
      <c r="AI697" s="7">
        <f t="shared" ca="1" si="175"/>
        <v>43337</v>
      </c>
      <c r="AJ697" s="210">
        <f t="shared" ca="1" si="176"/>
        <v>3.7196575342465756</v>
      </c>
      <c r="AK697" s="8">
        <f t="shared" ca="1" si="177"/>
        <v>1.0001033238203958</v>
      </c>
      <c r="AL697" s="98">
        <f t="shared" ca="1" si="178"/>
        <v>3.55141837649251</v>
      </c>
      <c r="AM697" s="106">
        <f t="shared" ca="1" si="170"/>
        <v>27722.135539558698</v>
      </c>
      <c r="AN697" s="10">
        <f t="shared" ca="1" si="171"/>
        <v>0.51505934577456003</v>
      </c>
      <c r="AO697" s="311">
        <f t="shared" ca="1" si="172"/>
        <v>0.50908586905489861</v>
      </c>
      <c r="AP697" s="312">
        <f t="shared" ca="1" si="173"/>
        <v>0.29617733381907152</v>
      </c>
      <c r="AQ697" s="1"/>
      <c r="AR697" s="1"/>
      <c r="AS697" s="1"/>
      <c r="AT697" s="1"/>
      <c r="AU697" s="1"/>
      <c r="BC697" s="23"/>
      <c r="BD697" s="23"/>
    </row>
    <row r="698" spans="34:56">
      <c r="AH698" s="6">
        <f t="shared" si="174"/>
        <v>668</v>
      </c>
      <c r="AI698" s="7">
        <f t="shared" ca="1" si="175"/>
        <v>43338</v>
      </c>
      <c r="AJ698" s="210">
        <f t="shared" ca="1" si="176"/>
        <v>3.7207534246575347</v>
      </c>
      <c r="AK698" s="8">
        <f t="shared" ca="1" si="177"/>
        <v>1.0001033542617961</v>
      </c>
      <c r="AL698" s="98">
        <f t="shared" ca="1" si="178"/>
        <v>3.5518561855202524</v>
      </c>
      <c r="AM698" s="106">
        <f t="shared" ca="1" si="170"/>
        <v>27724.346192780064</v>
      </c>
      <c r="AN698" s="10">
        <f t="shared" ca="1" si="171"/>
        <v>0.51558296670837223</v>
      </c>
      <c r="AO698" s="311">
        <f t="shared" ca="1" si="172"/>
        <v>0.5096081137466143</v>
      </c>
      <c r="AP698" s="312">
        <f t="shared" ca="1" si="173"/>
        <v>0.29622868578778172</v>
      </c>
      <c r="AQ698" s="1"/>
      <c r="AR698" s="1"/>
      <c r="AS698" s="1"/>
      <c r="AT698" s="1"/>
      <c r="AU698" s="1"/>
      <c r="BC698" s="23"/>
      <c r="BD698" s="23"/>
    </row>
    <row r="699" spans="34:56">
      <c r="AH699" s="6">
        <f t="shared" si="174"/>
        <v>669</v>
      </c>
      <c r="AI699" s="7">
        <f t="shared" ca="1" si="175"/>
        <v>43339</v>
      </c>
      <c r="AJ699" s="210">
        <f t="shared" ca="1" si="176"/>
        <v>3.7218493150684933</v>
      </c>
      <c r="AK699" s="8">
        <f t="shared" ca="1" si="177"/>
        <v>1.0001033847031964</v>
      </c>
      <c r="AL699" s="98">
        <f t="shared" ca="1" si="178"/>
        <v>3.5522944072189366</v>
      </c>
      <c r="AM699" s="106">
        <f t="shared" ca="1" si="170"/>
        <v>27726.557022286113</v>
      </c>
      <c r="AN699" s="10">
        <f t="shared" ca="1" si="171"/>
        <v>0.51610669422661459</v>
      </c>
      <c r="AO699" s="311">
        <f t="shared" ca="1" si="172"/>
        <v>0.51013048090612911</v>
      </c>
      <c r="AP699" s="312">
        <f t="shared" ca="1" si="173"/>
        <v>0.29628008080670687</v>
      </c>
      <c r="AQ699" s="1"/>
      <c r="AR699" s="1"/>
      <c r="AS699" s="1"/>
      <c r="AT699" s="1"/>
      <c r="AU699" s="1"/>
      <c r="BC699" s="23"/>
      <c r="BD699" s="23"/>
    </row>
    <row r="700" spans="34:56">
      <c r="AH700" s="6">
        <f t="shared" si="174"/>
        <v>670</v>
      </c>
      <c r="AI700" s="7">
        <f t="shared" ca="1" si="175"/>
        <v>43340</v>
      </c>
      <c r="AJ700" s="210">
        <f t="shared" ca="1" si="176"/>
        <v>3.7229452054794523</v>
      </c>
      <c r="AK700" s="8">
        <f t="shared" ca="1" si="177"/>
        <v>1.0001034151445967</v>
      </c>
      <c r="AL700" s="98">
        <f t="shared" ca="1" si="178"/>
        <v>3.5527330397542078</v>
      </c>
      <c r="AM700" s="106">
        <f t="shared" ca="1" si="170"/>
        <v>27728.768028090893</v>
      </c>
      <c r="AN700" s="10">
        <f t="shared" ca="1" si="171"/>
        <v>0.51663052786585784</v>
      </c>
      <c r="AO700" s="311">
        <f t="shared" ca="1" si="172"/>
        <v>0.51065297010282429</v>
      </c>
      <c r="AP700" s="312">
        <f t="shared" ca="1" si="173"/>
        <v>0.29633151873341285</v>
      </c>
      <c r="AQ700" s="1"/>
      <c r="AR700" s="1"/>
      <c r="AS700" s="1"/>
      <c r="AT700" s="1"/>
      <c r="AU700" s="1"/>
      <c r="BC700" s="23"/>
      <c r="BD700" s="23"/>
    </row>
    <row r="701" spans="34:56">
      <c r="AH701" s="6">
        <f t="shared" si="174"/>
        <v>671</v>
      </c>
      <c r="AI701" s="7">
        <f t="shared" ca="1" si="175"/>
        <v>43341</v>
      </c>
      <c r="AJ701" s="210">
        <f t="shared" ca="1" si="176"/>
        <v>3.7240410958904113</v>
      </c>
      <c r="AK701" s="8">
        <f t="shared" ca="1" si="177"/>
        <v>1.000103445585997</v>
      </c>
      <c r="AL701" s="98">
        <f t="shared" ca="1" si="178"/>
        <v>3.5531720813027023</v>
      </c>
      <c r="AM701" s="106">
        <f t="shared" ca="1" si="170"/>
        <v>27730.979210208465</v>
      </c>
      <c r="AN701" s="10">
        <f t="shared" ca="1" si="171"/>
        <v>0.51715446716544822</v>
      </c>
      <c r="AO701" s="311">
        <f t="shared" ca="1" si="172"/>
        <v>0.51117558090886273</v>
      </c>
      <c r="AP701" s="312">
        <f t="shared" ca="1" si="173"/>
        <v>0.29638299942633928</v>
      </c>
      <c r="AQ701" s="1"/>
      <c r="AR701" s="1"/>
      <c r="AS701" s="1"/>
      <c r="AT701" s="1"/>
      <c r="AU701" s="1"/>
      <c r="BC701" s="23"/>
      <c r="BD701" s="23"/>
    </row>
    <row r="702" spans="34:56">
      <c r="AH702" s="6">
        <f t="shared" si="174"/>
        <v>672</v>
      </c>
      <c r="AI702" s="7">
        <f t="shared" ca="1" si="175"/>
        <v>43342</v>
      </c>
      <c r="AJ702" s="210">
        <f t="shared" ca="1" si="176"/>
        <v>3.7251369863013704</v>
      </c>
      <c r="AK702" s="8">
        <f t="shared" ca="1" si="177"/>
        <v>1.0001034760273972</v>
      </c>
      <c r="AL702" s="98">
        <f t="shared" ca="1" si="178"/>
        <v>3.55361153005187</v>
      </c>
      <c r="AM702" s="106">
        <f t="shared" ca="1" si="170"/>
        <v>27733.190568652888</v>
      </c>
      <c r="AN702" s="10">
        <f t="shared" ca="1" si="171"/>
        <v>0.51767851166741874</v>
      </c>
      <c r="AO702" s="311">
        <f t="shared" ca="1" si="172"/>
        <v>0.51169831289901313</v>
      </c>
      <c r="AP702" s="312">
        <f t="shared" ca="1" si="173"/>
        <v>0.2964345227447891</v>
      </c>
      <c r="AQ702" s="1"/>
      <c r="AR702" s="1"/>
      <c r="AS702" s="1"/>
      <c r="AT702" s="1"/>
      <c r="AU702" s="1"/>
      <c r="BC702" s="23"/>
      <c r="BD702" s="23"/>
    </row>
    <row r="703" spans="34:56">
      <c r="AH703" s="6">
        <f t="shared" si="174"/>
        <v>673</v>
      </c>
      <c r="AI703" s="7">
        <f t="shared" ca="1" si="175"/>
        <v>43343</v>
      </c>
      <c r="AJ703" s="210">
        <f t="shared" ca="1" si="176"/>
        <v>3.7262328767123289</v>
      </c>
      <c r="AK703" s="8">
        <f t="shared" ca="1" si="177"/>
        <v>1.0001035064687975</v>
      </c>
      <c r="AL703" s="98">
        <f t="shared" ca="1" si="178"/>
        <v>3.5540513841999521</v>
      </c>
      <c r="AM703" s="106">
        <f t="shared" ca="1" si="170"/>
        <v>27735.402103438224</v>
      </c>
      <c r="AN703" s="10">
        <f t="shared" ca="1" si="171"/>
        <v>0.51820266091653355</v>
      </c>
      <c r="AO703" s="311">
        <f t="shared" ca="1" si="172"/>
        <v>0.51222116565075027</v>
      </c>
      <c r="AP703" s="312">
        <f t="shared" ca="1" si="173"/>
        <v>0.29648608854892555</v>
      </c>
      <c r="AQ703" s="1"/>
      <c r="AR703" s="1"/>
      <c r="AS703" s="1"/>
      <c r="AT703" s="1"/>
      <c r="AU703" s="1"/>
      <c r="BC703" s="23"/>
      <c r="BD703" s="23"/>
    </row>
    <row r="704" spans="34:56">
      <c r="AH704" s="6">
        <f t="shared" si="174"/>
        <v>674</v>
      </c>
      <c r="AI704" s="7">
        <f t="shared" ca="1" si="175"/>
        <v>43344</v>
      </c>
      <c r="AJ704" s="210">
        <f t="shared" ca="1" si="176"/>
        <v>3.727328767123288</v>
      </c>
      <c r="AK704" s="8">
        <f t="shared" ca="1" si="177"/>
        <v>1.0001035369101978</v>
      </c>
      <c r="AL704" s="98">
        <f t="shared" ca="1" si="178"/>
        <v>3.5544916419559147</v>
      </c>
      <c r="AM704" s="106">
        <f t="shared" ca="1" si="170"/>
        <v>27737.613814578533</v>
      </c>
      <c r="AN704" s="10">
        <f t="shared" ca="1" si="171"/>
        <v>0.51872691446031016</v>
      </c>
      <c r="AO704" s="311">
        <f t="shared" ca="1" si="172"/>
        <v>0.5127441387442695</v>
      </c>
      <c r="AP704" s="312">
        <f t="shared" ca="1" si="173"/>
        <v>0.29653769669976621</v>
      </c>
      <c r="AQ704" s="1"/>
      <c r="AR704" s="1"/>
      <c r="AS704" s="1"/>
      <c r="AT704" s="1"/>
      <c r="AU704" s="1"/>
      <c r="BC704" s="23"/>
      <c r="BD704" s="23"/>
    </row>
    <row r="705" spans="34:56">
      <c r="AH705" s="6">
        <f t="shared" si="174"/>
        <v>675</v>
      </c>
      <c r="AI705" s="7">
        <f t="shared" ca="1" si="175"/>
        <v>43345</v>
      </c>
      <c r="AJ705" s="210">
        <f t="shared" ca="1" si="176"/>
        <v>3.728424657534247</v>
      </c>
      <c r="AK705" s="8">
        <f t="shared" ca="1" si="177"/>
        <v>1.0001035673515981</v>
      </c>
      <c r="AL705" s="98">
        <f t="shared" ca="1" si="178"/>
        <v>3.5549323015392931</v>
      </c>
      <c r="AM705" s="106">
        <f t="shared" ca="1" si="170"/>
        <v>27739.825702087877</v>
      </c>
      <c r="AN705" s="10">
        <f t="shared" ca="1" si="171"/>
        <v>0.5192512718488862</v>
      </c>
      <c r="AO705" s="311">
        <f t="shared" ca="1" si="172"/>
        <v>0.51326723176233702</v>
      </c>
      <c r="AP705" s="312">
        <f t="shared" ca="1" si="173"/>
        <v>0.29658934705917323</v>
      </c>
      <c r="AQ705" s="1"/>
      <c r="AR705" s="1"/>
      <c r="AS705" s="1"/>
      <c r="AT705" s="1"/>
      <c r="AU705" s="1"/>
      <c r="BC705" s="23"/>
      <c r="BD705" s="23"/>
    </row>
    <row r="706" spans="34:56">
      <c r="AH706" s="6">
        <f t="shared" si="174"/>
        <v>676</v>
      </c>
      <c r="AI706" s="7">
        <f t="shared" ca="1" si="175"/>
        <v>43346</v>
      </c>
      <c r="AJ706" s="210">
        <f t="shared" ca="1" si="176"/>
        <v>3.7295205479452056</v>
      </c>
      <c r="AK706" s="8">
        <f t="shared" ca="1" si="177"/>
        <v>1.0001035977929984</v>
      </c>
      <c r="AL706" s="98">
        <f t="shared" ca="1" si="178"/>
        <v>3.5553733611802363</v>
      </c>
      <c r="AM706" s="106">
        <f t="shared" ca="1" si="170"/>
        <v>27742.037765980331</v>
      </c>
      <c r="AN706" s="10">
        <f t="shared" ca="1" si="171"/>
        <v>0.51977573263510823</v>
      </c>
      <c r="AO706" s="311">
        <f t="shared" ca="1" si="172"/>
        <v>0.51379044429041232</v>
      </c>
      <c r="AP706" s="312">
        <f t="shared" ca="1" si="173"/>
        <v>0.29664103948985338</v>
      </c>
      <c r="AQ706" s="1"/>
      <c r="AR706" s="1"/>
      <c r="AS706" s="1"/>
      <c r="AT706" s="1"/>
      <c r="AU706" s="1"/>
      <c r="BC706" s="23"/>
      <c r="BD706" s="23"/>
    </row>
    <row r="707" spans="34:56">
      <c r="AH707" s="6">
        <f t="shared" si="174"/>
        <v>677</v>
      </c>
      <c r="AI707" s="7">
        <f t="shared" ca="1" si="175"/>
        <v>43347</v>
      </c>
      <c r="AJ707" s="210">
        <f t="shared" ca="1" si="176"/>
        <v>3.7306164383561646</v>
      </c>
      <c r="AK707" s="8">
        <f t="shared" ca="1" si="177"/>
        <v>1.0001036282343987</v>
      </c>
      <c r="AL707" s="98">
        <f t="shared" ca="1" si="178"/>
        <v>3.5558148191192851</v>
      </c>
      <c r="AM707" s="106">
        <f t="shared" ca="1" si="170"/>
        <v>27744.250006269944</v>
      </c>
      <c r="AN707" s="10">
        <f t="shared" ca="1" si="171"/>
        <v>0.52030029637448738</v>
      </c>
      <c r="AO707" s="311">
        <f t="shared" ca="1" si="172"/>
        <v>0.51431377591655802</v>
      </c>
      <c r="AP707" s="312">
        <f t="shared" ca="1" si="173"/>
        <v>0.29669277385534071</v>
      </c>
      <c r="AQ707" s="1"/>
      <c r="AR707" s="1"/>
      <c r="AS707" s="1"/>
      <c r="AT707" s="1"/>
      <c r="AU707" s="1"/>
      <c r="BC707" s="23"/>
      <c r="BD707" s="23"/>
    </row>
    <row r="708" spans="34:56">
      <c r="AH708" s="6">
        <f t="shared" si="174"/>
        <v>678</v>
      </c>
      <c r="AI708" s="7">
        <f t="shared" ca="1" si="175"/>
        <v>43348</v>
      </c>
      <c r="AJ708" s="210">
        <f t="shared" ca="1" si="176"/>
        <v>3.7317123287671237</v>
      </c>
      <c r="AK708" s="8">
        <f t="shared" ca="1" si="177"/>
        <v>1.000103658675799</v>
      </c>
      <c r="AL708" s="98">
        <f t="shared" ca="1" si="178"/>
        <v>3.5562566736073942</v>
      </c>
      <c r="AM708" s="106">
        <f t="shared" ca="1" si="170"/>
        <v>27746.462422970799</v>
      </c>
      <c r="AN708" s="10">
        <f t="shared" ca="1" si="171"/>
        <v>0.52082496262504385</v>
      </c>
      <c r="AO708" s="311">
        <f t="shared" ca="1" si="172"/>
        <v>0.51483722623130213</v>
      </c>
      <c r="AP708" s="312">
        <f t="shared" ca="1" si="173"/>
        <v>0.29674455002000272</v>
      </c>
      <c r="AQ708" s="1"/>
      <c r="AR708" s="1"/>
      <c r="AS708" s="1"/>
      <c r="AT708" s="1"/>
      <c r="AU708" s="1"/>
      <c r="BC708" s="23"/>
      <c r="BD708" s="23"/>
    </row>
    <row r="709" spans="34:56">
      <c r="AH709" s="6">
        <f t="shared" si="174"/>
        <v>679</v>
      </c>
      <c r="AI709" s="7">
        <f t="shared" ca="1" si="175"/>
        <v>43349</v>
      </c>
      <c r="AJ709" s="210">
        <f t="shared" ca="1" si="176"/>
        <v>3.7328082191780827</v>
      </c>
      <c r="AK709" s="8">
        <f t="shared" ca="1" si="177"/>
        <v>1.0001036891171995</v>
      </c>
      <c r="AL709" s="98">
        <f t="shared" ca="1" si="178"/>
        <v>3.556698922905821</v>
      </c>
      <c r="AM709" s="106">
        <f t="shared" ca="1" si="170"/>
        <v>27748.675016096942</v>
      </c>
      <c r="AN709" s="10">
        <f t="shared" ca="1" si="171"/>
        <v>0.52134973094755122</v>
      </c>
      <c r="AO709" s="311">
        <f t="shared" ca="1" si="172"/>
        <v>0.51536079482791475</v>
      </c>
      <c r="AP709" s="312">
        <f t="shared" ca="1" si="173"/>
        <v>0.29679636784902652</v>
      </c>
      <c r="AQ709" s="1"/>
      <c r="AR709" s="1"/>
      <c r="AS709" s="1"/>
      <c r="AT709" s="1"/>
      <c r="AU709" s="1"/>
      <c r="BC709" s="23"/>
      <c r="BD709" s="23"/>
    </row>
    <row r="710" spans="34:56">
      <c r="AH710" s="6">
        <f t="shared" si="174"/>
        <v>680</v>
      </c>
      <c r="AI710" s="7">
        <f t="shared" ca="1" si="175"/>
        <v>43350</v>
      </c>
      <c r="AJ710" s="210">
        <f t="shared" ca="1" si="176"/>
        <v>3.7339041095890413</v>
      </c>
      <c r="AK710" s="8">
        <f t="shared" ca="1" si="177"/>
        <v>1.0001037195585998</v>
      </c>
      <c r="AL710" s="98">
        <f t="shared" ca="1" si="178"/>
        <v>3.5571415652860594</v>
      </c>
      <c r="AM710" s="106">
        <f t="shared" ca="1" si="170"/>
        <v>27750.887785662464</v>
      </c>
      <c r="AN710" s="10">
        <f t="shared" ca="1" si="171"/>
        <v>0.52187460090522553</v>
      </c>
      <c r="AO710" s="311">
        <f t="shared" ca="1" si="172"/>
        <v>0.51588448130205811</v>
      </c>
      <c r="AP710" s="312">
        <f t="shared" ca="1" si="173"/>
        <v>0.29684822720841475</v>
      </c>
      <c r="AQ710" s="1"/>
      <c r="AR710" s="1"/>
      <c r="AS710" s="1"/>
      <c r="AT710" s="1"/>
      <c r="AU710" s="1"/>
      <c r="BC710" s="23"/>
      <c r="BD710" s="23"/>
    </row>
    <row r="711" spans="34:56">
      <c r="AH711" s="6">
        <f t="shared" si="174"/>
        <v>681</v>
      </c>
      <c r="AI711" s="7">
        <f t="shared" ca="1" si="175"/>
        <v>43351</v>
      </c>
      <c r="AJ711" s="210">
        <f t="shared" ca="1" si="176"/>
        <v>3.7350000000000003</v>
      </c>
      <c r="AK711" s="8">
        <f t="shared" ca="1" si="177"/>
        <v>1.0001037500000001</v>
      </c>
      <c r="AL711" s="98">
        <f t="shared" ca="1" si="178"/>
        <v>3.5575845990297283</v>
      </c>
      <c r="AM711" s="106">
        <f t="shared" ca="1" si="170"/>
        <v>27753.100731681425</v>
      </c>
      <c r="AN711" s="10">
        <f t="shared" ca="1" si="171"/>
        <v>0.52239957206392518</v>
      </c>
      <c r="AO711" s="311">
        <f t="shared" ca="1" si="172"/>
        <v>0.51640828525199289</v>
      </c>
      <c r="AP711" s="312">
        <f t="shared" ca="1" si="173"/>
        <v>0.29690012796497961</v>
      </c>
      <c r="AQ711" s="1"/>
      <c r="AR711" s="1"/>
      <c r="AS711" s="1"/>
      <c r="AT711" s="1"/>
      <c r="AU711" s="1"/>
      <c r="BC711" s="23"/>
      <c r="BD711" s="23"/>
    </row>
    <row r="712" spans="34:56">
      <c r="AH712" s="6">
        <f t="shared" si="174"/>
        <v>682</v>
      </c>
      <c r="AI712" s="7">
        <f t="shared" ca="1" si="175"/>
        <v>43352</v>
      </c>
      <c r="AJ712" s="210">
        <f t="shared" ca="1" si="176"/>
        <v>3.7360958904109594</v>
      </c>
      <c r="AK712" s="8">
        <f t="shared" ca="1" si="177"/>
        <v>1.0001037804414004</v>
      </c>
      <c r="AL712" s="98">
        <f t="shared" ca="1" si="178"/>
        <v>3.5580280224285943</v>
      </c>
      <c r="AM712" s="106">
        <f t="shared" ca="1" si="170"/>
        <v>27755.313854167893</v>
      </c>
      <c r="AN712" s="10">
        <f t="shared" ca="1" si="171"/>
        <v>0.52292464399208427</v>
      </c>
      <c r="AO712" s="311">
        <f t="shared" ca="1" si="172"/>
        <v>0.51693220627852321</v>
      </c>
      <c r="AP712" s="312">
        <f t="shared" ca="1" si="173"/>
        <v>0.29695206998634094</v>
      </c>
      <c r="AQ712" s="1"/>
      <c r="AR712" s="1"/>
      <c r="AS712" s="1"/>
      <c r="AT712" s="1"/>
      <c r="AU712" s="1"/>
      <c r="BC712" s="23"/>
      <c r="BD712" s="23"/>
    </row>
    <row r="713" spans="34:56">
      <c r="AH713" s="6">
        <f t="shared" si="174"/>
        <v>683</v>
      </c>
      <c r="AI713" s="7">
        <f t="shared" ca="1" si="175"/>
        <v>43353</v>
      </c>
      <c r="AJ713" s="210">
        <f t="shared" ca="1" si="176"/>
        <v>3.7371917808219179</v>
      </c>
      <c r="AK713" s="8">
        <f t="shared" ca="1" si="177"/>
        <v>1.0001038108828006</v>
      </c>
      <c r="AL713" s="98">
        <f t="shared" ca="1" si="178"/>
        <v>3.5584718337843713</v>
      </c>
      <c r="AM713" s="106">
        <f t="shared" ca="1" si="170"/>
        <v>27757.600932807782</v>
      </c>
      <c r="AN713" s="10">
        <f t="shared" ca="1" si="171"/>
        <v>0.52330702730876144</v>
      </c>
      <c r="AO713" s="311">
        <f t="shared" ca="1" si="172"/>
        <v>0.51731476908569241</v>
      </c>
      <c r="AP713" s="312">
        <f t="shared" ca="1" si="173"/>
        <v>0.29700405314091238</v>
      </c>
      <c r="AQ713" s="1"/>
      <c r="AR713" s="1"/>
      <c r="AS713" s="1"/>
      <c r="AT713" s="1"/>
      <c r="AU713" s="1"/>
      <c r="BC713" s="23"/>
      <c r="BD713" s="23"/>
    </row>
    <row r="714" spans="34:56">
      <c r="AH714" s="6">
        <f t="shared" si="174"/>
        <v>684</v>
      </c>
      <c r="AI714" s="7">
        <f t="shared" ca="1" si="175"/>
        <v>43354</v>
      </c>
      <c r="AJ714" s="210">
        <f t="shared" ca="1" si="176"/>
        <v>3.738287671232877</v>
      </c>
      <c r="AK714" s="8">
        <f t="shared" ca="1" si="177"/>
        <v>1.0001038413242009</v>
      </c>
      <c r="AL714" s="98">
        <f t="shared" ca="1" si="178"/>
        <v>3.5589160314087653</v>
      </c>
      <c r="AM714" s="106">
        <f t="shared" ca="1" si="170"/>
        <v>27759.888199906316</v>
      </c>
      <c r="AN714" s="10">
        <f t="shared" ca="1" si="171"/>
        <v>0.52368992676268267</v>
      </c>
      <c r="AO714" s="311">
        <f t="shared" ca="1" si="172"/>
        <v>0.51769785541522806</v>
      </c>
      <c r="AP714" s="312">
        <f t="shared" ca="1" si="173"/>
        <v>0.29705607729790323</v>
      </c>
      <c r="AQ714" s="1"/>
      <c r="AR714" s="1"/>
      <c r="AS714" s="1"/>
      <c r="AT714" s="1"/>
      <c r="AU714" s="1"/>
      <c r="BC714" s="23"/>
      <c r="BD714" s="23"/>
    </row>
    <row r="715" spans="34:56">
      <c r="AH715" s="6">
        <f t="shared" si="174"/>
        <v>685</v>
      </c>
      <c r="AI715" s="7">
        <f t="shared" ca="1" si="175"/>
        <v>43355</v>
      </c>
      <c r="AJ715" s="210">
        <f t="shared" ca="1" si="176"/>
        <v>3.739383561643836</v>
      </c>
      <c r="AK715" s="8">
        <f t="shared" ca="1" si="177"/>
        <v>1.0001038717656012</v>
      </c>
      <c r="AL715" s="98">
        <f t="shared" ca="1" si="178"/>
        <v>3.5593606136232969</v>
      </c>
      <c r="AM715" s="106">
        <f t="shared" ca="1" si="170"/>
        <v>27762.175655479015</v>
      </c>
      <c r="AN715" s="10">
        <f t="shared" ca="1" si="171"/>
        <v>0.5240733401055353</v>
      </c>
      <c r="AO715" s="311">
        <f t="shared" ca="1" si="172"/>
        <v>0.51808146307862213</v>
      </c>
      <c r="AP715" s="312">
        <f t="shared" ca="1" si="173"/>
        <v>0.29710814232730598</v>
      </c>
      <c r="AQ715" s="1"/>
      <c r="AR715" s="1"/>
      <c r="AS715" s="1"/>
      <c r="AT715" s="1"/>
      <c r="AU715" s="1"/>
      <c r="BC715" s="23"/>
      <c r="BD715" s="23"/>
    </row>
    <row r="716" spans="34:56">
      <c r="AH716" s="6">
        <f t="shared" si="174"/>
        <v>686</v>
      </c>
      <c r="AI716" s="7">
        <f t="shared" ca="1" si="175"/>
        <v>43356</v>
      </c>
      <c r="AJ716" s="210">
        <f t="shared" ca="1" si="176"/>
        <v>3.740479452054795</v>
      </c>
      <c r="AK716" s="8">
        <f t="shared" ca="1" si="177"/>
        <v>1.0001039022070015</v>
      </c>
      <c r="AL716" s="98">
        <f t="shared" ca="1" si="178"/>
        <v>3.5598055787592786</v>
      </c>
      <c r="AM716" s="106">
        <f t="shared" ca="1" si="170"/>
        <v>27764.463299541414</v>
      </c>
      <c r="AN716" s="10">
        <f t="shared" ca="1" si="171"/>
        <v>0.52445726510219615</v>
      </c>
      <c r="AO716" s="311">
        <f t="shared" ca="1" si="172"/>
        <v>0.5184655899003715</v>
      </c>
      <c r="AP716" s="312">
        <f t="shared" ca="1" si="173"/>
        <v>0.29716024809989383</v>
      </c>
      <c r="AQ716" s="1"/>
      <c r="AR716" s="1"/>
      <c r="AS716" s="1"/>
      <c r="AT716" s="1"/>
      <c r="AU716" s="1"/>
      <c r="BC716" s="23"/>
      <c r="BD716" s="23"/>
    </row>
    <row r="717" spans="34:56">
      <c r="AH717" s="6">
        <f t="shared" si="174"/>
        <v>687</v>
      </c>
      <c r="AI717" s="7">
        <f t="shared" ca="1" si="175"/>
        <v>43357</v>
      </c>
      <c r="AJ717" s="210">
        <f t="shared" ca="1" si="176"/>
        <v>3.7415753424657536</v>
      </c>
      <c r="AK717" s="8">
        <f t="shared" ca="1" si="177"/>
        <v>1.0001039326484018</v>
      </c>
      <c r="AL717" s="98">
        <f t="shared" ca="1" si="178"/>
        <v>3.5602509251577708</v>
      </c>
      <c r="AM717" s="106">
        <f t="shared" ca="1" si="170"/>
        <v>27766.751132109046</v>
      </c>
      <c r="AN717" s="10">
        <f t="shared" ca="1" si="171"/>
        <v>0.52484169953055382</v>
      </c>
      <c r="AO717" s="311">
        <f t="shared" ca="1" si="172"/>
        <v>0.51885023371779171</v>
      </c>
      <c r="AP717" s="312">
        <f t="shared" ca="1" si="173"/>
        <v>0.29721239448721914</v>
      </c>
      <c r="AQ717" s="1"/>
      <c r="AR717" s="1"/>
      <c r="AS717" s="1"/>
      <c r="AT717" s="1"/>
      <c r="AU717" s="1"/>
      <c r="BC717" s="23"/>
      <c r="BD717" s="23"/>
    </row>
    <row r="718" spans="34:56">
      <c r="AH718" s="6">
        <f t="shared" si="174"/>
        <v>688</v>
      </c>
      <c r="AI718" s="7">
        <f t="shared" ca="1" si="175"/>
        <v>43358</v>
      </c>
      <c r="AJ718" s="210">
        <f t="shared" ca="1" si="176"/>
        <v>3.7426712328767127</v>
      </c>
      <c r="AK718" s="8">
        <f t="shared" ca="1" si="177"/>
        <v>1.0001039630898021</v>
      </c>
      <c r="AL718" s="98">
        <f t="shared" ca="1" si="178"/>
        <v>3.5606966511694704</v>
      </c>
      <c r="AM718" s="106">
        <f t="shared" ca="1" si="170"/>
        <v>27769.039153197438</v>
      </c>
      <c r="AN718" s="10">
        <f t="shared" ca="1" si="171"/>
        <v>0.52522664118141993</v>
      </c>
      <c r="AO718" s="311">
        <f t="shared" ca="1" si="172"/>
        <v>0.51923539238089933</v>
      </c>
      <c r="AP718" s="312">
        <f t="shared" ca="1" si="173"/>
        <v>0.29726458136159961</v>
      </c>
      <c r="AQ718" s="1"/>
      <c r="AR718" s="1"/>
      <c r="AS718" s="1"/>
      <c r="AT718" s="1"/>
      <c r="AU718" s="1"/>
      <c r="BC718" s="23"/>
      <c r="BD718" s="23"/>
    </row>
    <row r="719" spans="34:56">
      <c r="AH719" s="6">
        <f t="shared" si="174"/>
        <v>689</v>
      </c>
      <c r="AI719" s="7">
        <f t="shared" ca="1" si="175"/>
        <v>43359</v>
      </c>
      <c r="AJ719" s="210">
        <f t="shared" ca="1" si="176"/>
        <v>3.7437671232876717</v>
      </c>
      <c r="AK719" s="8">
        <f t="shared" ca="1" si="177"/>
        <v>1.0001039935312024</v>
      </c>
      <c r="AL719" s="98">
        <f t="shared" ca="1" si="178"/>
        <v>3.5611427551546671</v>
      </c>
      <c r="AM719" s="106">
        <f t="shared" ca="1" si="170"/>
        <v>27771.327362822136</v>
      </c>
      <c r="AN719" s="10">
        <f t="shared" ca="1" si="171"/>
        <v>0.52561208785846247</v>
      </c>
      <c r="AO719" s="311">
        <f t="shared" ca="1" si="172"/>
        <v>0.51962106375237882</v>
      </c>
      <c r="AP719" s="312">
        <f t="shared" ca="1" si="173"/>
        <v>0.29731680859612042</v>
      </c>
      <c r="AQ719" s="1"/>
      <c r="AR719" s="1"/>
      <c r="AS719" s="1"/>
      <c r="AT719" s="1"/>
      <c r="AU719" s="1"/>
      <c r="BC719" s="23"/>
      <c r="BD719" s="23"/>
    </row>
    <row r="720" spans="34:56">
      <c r="AH720" s="6">
        <f t="shared" si="174"/>
        <v>690</v>
      </c>
      <c r="AI720" s="7">
        <f t="shared" ca="1" si="175"/>
        <v>43360</v>
      </c>
      <c r="AJ720" s="210">
        <f t="shared" ca="1" si="176"/>
        <v>3.7448630136986303</v>
      </c>
      <c r="AK720" s="8">
        <f t="shared" ca="1" si="177"/>
        <v>1.0001040239726027</v>
      </c>
      <c r="AL720" s="98">
        <f t="shared" ca="1" si="178"/>
        <v>3.5615892354831535</v>
      </c>
      <c r="AM720" s="106">
        <f t="shared" ca="1" si="170"/>
        <v>27773.615760998662</v>
      </c>
      <c r="AN720" s="10">
        <f t="shared" ca="1" si="171"/>
        <v>0.52599803737802819</v>
      </c>
      <c r="AO720" s="311">
        <f t="shared" ca="1" si="172"/>
        <v>0.52000724570737389</v>
      </c>
      <c r="AP720" s="312">
        <f t="shared" ca="1" si="173"/>
        <v>0.29736907606462365</v>
      </c>
      <c r="AQ720" s="1"/>
      <c r="AR720" s="1"/>
      <c r="AS720" s="1"/>
      <c r="AT720" s="1"/>
      <c r="AU720" s="1"/>
      <c r="BC720" s="23"/>
      <c r="BD720" s="23"/>
    </row>
    <row r="721" spans="34:56">
      <c r="AH721" s="6">
        <f t="shared" si="174"/>
        <v>691</v>
      </c>
      <c r="AI721" s="7">
        <f t="shared" ca="1" si="175"/>
        <v>43361</v>
      </c>
      <c r="AJ721" s="210">
        <f t="shared" ca="1" si="176"/>
        <v>3.7459589041095893</v>
      </c>
      <c r="AK721" s="8">
        <f t="shared" ca="1" si="177"/>
        <v>1.000104054414003</v>
      </c>
      <c r="AL721" s="98">
        <f t="shared" ca="1" si="178"/>
        <v>3.5620360905341597</v>
      </c>
      <c r="AM721" s="106">
        <f t="shared" ca="1" si="170"/>
        <v>27775.904347742566</v>
      </c>
      <c r="AN721" s="10">
        <f t="shared" ca="1" si="171"/>
        <v>0.52638448756918699</v>
      </c>
      <c r="AO721" s="311">
        <f t="shared" ca="1" si="172"/>
        <v>0.52039393613359475</v>
      </c>
      <c r="AP721" s="312">
        <f t="shared" ca="1" si="173"/>
        <v>0.29742138364170378</v>
      </c>
      <c r="AQ721" s="1"/>
      <c r="AR721" s="1"/>
      <c r="AS721" s="1"/>
      <c r="AT721" s="1"/>
      <c r="AU721" s="1"/>
      <c r="BC721" s="23"/>
      <c r="BD721" s="23"/>
    </row>
    <row r="722" spans="34:56">
      <c r="AH722" s="6">
        <f t="shared" si="174"/>
        <v>692</v>
      </c>
      <c r="AI722" s="7">
        <f t="shared" ca="1" si="175"/>
        <v>43362</v>
      </c>
      <c r="AJ722" s="210">
        <f t="shared" ca="1" si="176"/>
        <v>3.7470547945205483</v>
      </c>
      <c r="AK722" s="8">
        <f t="shared" ca="1" si="177"/>
        <v>1.0001040848554033</v>
      </c>
      <c r="AL722" s="98">
        <f t="shared" ca="1" si="178"/>
        <v>3.5624833186962634</v>
      </c>
      <c r="AM722" s="106">
        <f t="shared" ca="1" si="170"/>
        <v>27778.193123069381</v>
      </c>
      <c r="AN722" s="10">
        <f t="shared" ca="1" si="171"/>
        <v>0.52677143627346545</v>
      </c>
      <c r="AO722" s="311">
        <f t="shared" ca="1" si="172"/>
        <v>0.5207811329309614</v>
      </c>
      <c r="AP722" s="312">
        <f t="shared" ca="1" si="173"/>
        <v>0.29747373120269949</v>
      </c>
      <c r="AQ722" s="1"/>
      <c r="AR722" s="1"/>
      <c r="AS722" s="1"/>
      <c r="AT722" s="1"/>
      <c r="AU722" s="1"/>
      <c r="BC722" s="23"/>
      <c r="BD722" s="23"/>
    </row>
    <row r="723" spans="34:56">
      <c r="AH723" s="6">
        <f t="shared" si="174"/>
        <v>693</v>
      </c>
      <c r="AI723" s="7">
        <f t="shared" ca="1" si="175"/>
        <v>43363</v>
      </c>
      <c r="AJ723" s="210">
        <f t="shared" ca="1" si="176"/>
        <v>3.7481506849315074</v>
      </c>
      <c r="AK723" s="8">
        <f t="shared" ca="1" si="177"/>
        <v>1.0001041152968035</v>
      </c>
      <c r="AL723" s="98">
        <f t="shared" ca="1" si="178"/>
        <v>3.5629309183673907</v>
      </c>
      <c r="AM723" s="106">
        <f t="shared" ca="1" si="170"/>
        <v>27780.482086994642</v>
      </c>
      <c r="AN723" s="10">
        <f t="shared" ca="1" si="171"/>
        <v>0.52715888134498012</v>
      </c>
      <c r="AO723" s="311">
        <f t="shared" ca="1" si="172"/>
        <v>0.52116883401183833</v>
      </c>
      <c r="AP723" s="312">
        <f t="shared" ca="1" si="173"/>
        <v>0.29752611862369877</v>
      </c>
      <c r="AQ723" s="1"/>
      <c r="AR723" s="1"/>
      <c r="AS723" s="1"/>
      <c r="AT723" s="1"/>
      <c r="AU723" s="1"/>
      <c r="BC723" s="23"/>
      <c r="BD723" s="23"/>
    </row>
    <row r="724" spans="34:56">
      <c r="AH724" s="6">
        <f t="shared" si="174"/>
        <v>694</v>
      </c>
      <c r="AI724" s="7">
        <f t="shared" ca="1" si="175"/>
        <v>43364</v>
      </c>
      <c r="AJ724" s="210">
        <f t="shared" ca="1" si="176"/>
        <v>3.749246575342466</v>
      </c>
      <c r="AK724" s="8">
        <f t="shared" ca="1" si="177"/>
        <v>1.0001041457382041</v>
      </c>
      <c r="AL724" s="98">
        <f t="shared" ca="1" si="178"/>
        <v>3.5633788879546824</v>
      </c>
      <c r="AM724" s="106">
        <f t="shared" ca="1" si="170"/>
        <v>27782.771239533889</v>
      </c>
      <c r="AN724" s="10">
        <f t="shared" ca="1" si="171"/>
        <v>0.52754682065012659</v>
      </c>
      <c r="AO724" s="311">
        <f t="shared" ca="1" si="172"/>
        <v>0.52155703730065728</v>
      </c>
      <c r="AP724" s="312">
        <f t="shared" ca="1" si="173"/>
        <v>0.29757854578152015</v>
      </c>
      <c r="AQ724" s="1"/>
      <c r="AR724" s="1"/>
      <c r="AS724" s="1"/>
      <c r="AT724" s="1"/>
      <c r="AU724" s="1"/>
      <c r="BC724" s="23"/>
      <c r="BD724" s="23"/>
    </row>
    <row r="725" spans="34:56">
      <c r="AH725" s="6">
        <f t="shared" si="174"/>
        <v>695</v>
      </c>
      <c r="AI725" s="7">
        <f t="shared" ca="1" si="175"/>
        <v>43365</v>
      </c>
      <c r="AJ725" s="210">
        <f t="shared" ca="1" si="176"/>
        <v>3.750342465753425</v>
      </c>
      <c r="AK725" s="8">
        <f t="shared" ca="1" si="177"/>
        <v>1.0001041761796043</v>
      </c>
      <c r="AL725" s="98">
        <f t="shared" ca="1" si="178"/>
        <v>3.5638272258744719</v>
      </c>
      <c r="AM725" s="106">
        <f t="shared" ca="1" si="170"/>
        <v>27785.060580702677</v>
      </c>
      <c r="AN725" s="10">
        <f t="shared" ca="1" si="171"/>
        <v>0.52793525206762393</v>
      </c>
      <c r="AO725" s="311">
        <f t="shared" ca="1" si="172"/>
        <v>0.52194574073395661</v>
      </c>
      <c r="AP725" s="312">
        <f t="shared" ca="1" si="173"/>
        <v>0.29763101255371882</v>
      </c>
      <c r="AQ725" s="1"/>
      <c r="AR725" s="1"/>
      <c r="AS725" s="1"/>
      <c r="AT725" s="1"/>
      <c r="AU725" s="1"/>
      <c r="BC725" s="23"/>
      <c r="BD725" s="23"/>
    </row>
    <row r="726" spans="34:56">
      <c r="AH726" s="6">
        <f t="shared" si="174"/>
        <v>696</v>
      </c>
      <c r="AI726" s="7">
        <f t="shared" ca="1" si="175"/>
        <v>43366</v>
      </c>
      <c r="AJ726" s="210">
        <f t="shared" ca="1" si="176"/>
        <v>3.751438356164384</v>
      </c>
      <c r="AK726" s="8">
        <f t="shared" ca="1" si="177"/>
        <v>1.0001042066210046</v>
      </c>
      <c r="AL726" s="98">
        <f t="shared" ca="1" si="178"/>
        <v>3.5642759305521521</v>
      </c>
      <c r="AM726" s="106">
        <f t="shared" ca="1" si="170"/>
        <v>27787.350110516534</v>
      </c>
      <c r="AN726" s="10">
        <f t="shared" ca="1" si="171"/>
        <v>0.52832417348840366</v>
      </c>
      <c r="AO726" s="311">
        <f t="shared" ca="1" si="172"/>
        <v>0.52233494226034038</v>
      </c>
      <c r="AP726" s="312">
        <f t="shared" ca="1" si="173"/>
        <v>0.2976835188185693</v>
      </c>
      <c r="AQ726" s="1"/>
      <c r="AR726" s="1"/>
      <c r="AS726" s="1"/>
      <c r="AT726" s="1"/>
      <c r="AU726" s="1"/>
      <c r="BC726" s="23"/>
      <c r="BD726" s="23"/>
    </row>
    <row r="727" spans="34:56">
      <c r="AH727" s="6">
        <f t="shared" si="174"/>
        <v>697</v>
      </c>
      <c r="AI727" s="7">
        <f t="shared" ca="1" si="175"/>
        <v>43367</v>
      </c>
      <c r="AJ727" s="210">
        <f t="shared" ca="1" si="176"/>
        <v>3.7525342465753426</v>
      </c>
      <c r="AK727" s="8">
        <f t="shared" ca="1" si="177"/>
        <v>1.0001042370624049</v>
      </c>
      <c r="AL727" s="98">
        <f t="shared" ca="1" si="178"/>
        <v>3.5647250004221975</v>
      </c>
      <c r="AM727" s="106">
        <f t="shared" ca="1" si="170"/>
        <v>27789.639828991018</v>
      </c>
      <c r="AN727" s="10">
        <f t="shared" ca="1" si="171"/>
        <v>0.52871358281547653</v>
      </c>
      <c r="AO727" s="311">
        <f t="shared" ca="1" si="172"/>
        <v>0.52272463984026563</v>
      </c>
      <c r="AP727" s="312">
        <f t="shared" ca="1" si="173"/>
        <v>0.29773606445507378</v>
      </c>
      <c r="AQ727" s="1"/>
      <c r="AR727" s="1"/>
      <c r="AS727" s="1"/>
      <c r="AT727" s="1"/>
      <c r="AU727" s="1"/>
      <c r="BC727" s="23"/>
      <c r="BD727" s="23"/>
    </row>
    <row r="728" spans="34:56">
      <c r="AH728" s="6">
        <f t="shared" si="174"/>
        <v>698</v>
      </c>
      <c r="AI728" s="7">
        <f t="shared" ca="1" si="175"/>
        <v>43368</v>
      </c>
      <c r="AJ728" s="210">
        <f t="shared" ca="1" si="176"/>
        <v>3.7536301369863017</v>
      </c>
      <c r="AK728" s="8">
        <f t="shared" ca="1" si="177"/>
        <v>1.0001042675038052</v>
      </c>
      <c r="AL728" s="98">
        <f t="shared" ca="1" si="178"/>
        <v>3.5651744339280533</v>
      </c>
      <c r="AM728" s="106">
        <f t="shared" ca="1" si="170"/>
        <v>27791.929736141668</v>
      </c>
      <c r="AN728" s="10">
        <f t="shared" ca="1" si="171"/>
        <v>0.52910347796388812</v>
      </c>
      <c r="AO728" s="311">
        <f t="shared" ca="1" si="172"/>
        <v>0.52311483144607207</v>
      </c>
      <c r="AP728" s="312">
        <f t="shared" ca="1" si="173"/>
        <v>0.29778864934294752</v>
      </c>
      <c r="AQ728" s="1"/>
      <c r="AR728" s="1"/>
      <c r="AS728" s="1"/>
      <c r="AT728" s="1"/>
      <c r="AU728" s="1"/>
      <c r="BC728" s="23"/>
      <c r="BD728" s="23"/>
    </row>
    <row r="729" spans="34:56">
      <c r="AH729" s="6">
        <f t="shared" si="174"/>
        <v>699</v>
      </c>
      <c r="AI729" s="7">
        <f t="shared" ca="1" si="175"/>
        <v>43369</v>
      </c>
      <c r="AJ729" s="210">
        <f t="shared" ca="1" si="176"/>
        <v>3.7547260273972607</v>
      </c>
      <c r="AK729" s="8">
        <f t="shared" ca="1" si="177"/>
        <v>1.0001042979452055</v>
      </c>
      <c r="AL729" s="98">
        <f t="shared" ca="1" si="178"/>
        <v>3.5656242295220464</v>
      </c>
      <c r="AM729" s="106">
        <f t="shared" ca="1" si="170"/>
        <v>27794.219831984028</v>
      </c>
      <c r="AN729" s="10">
        <f t="shared" ca="1" si="171"/>
        <v>0.5294938568606522</v>
      </c>
      <c r="AO729" s="311">
        <f t="shared" ca="1" si="172"/>
        <v>0.52350551506185128</v>
      </c>
      <c r="AP729" s="312">
        <f t="shared" ca="1" si="173"/>
        <v>0.29784127336261357</v>
      </c>
      <c r="AQ729" s="1"/>
      <c r="AR729" s="1"/>
      <c r="AS729" s="1"/>
      <c r="AT729" s="1"/>
      <c r="AU729" s="1"/>
      <c r="BC729" s="23"/>
      <c r="BD729" s="23"/>
    </row>
    <row r="730" spans="34:56">
      <c r="AH730" s="6">
        <f t="shared" si="174"/>
        <v>700</v>
      </c>
      <c r="AI730" s="7">
        <f t="shared" ca="1" si="175"/>
        <v>43370</v>
      </c>
      <c r="AJ730" s="210">
        <f t="shared" ca="1" si="176"/>
        <v>3.7558219178082197</v>
      </c>
      <c r="AK730" s="8">
        <f t="shared" ca="1" si="177"/>
        <v>1.0001043283866058</v>
      </c>
      <c r="AL730" s="98">
        <f t="shared" ca="1" si="178"/>
        <v>3.5660743856654076</v>
      </c>
      <c r="AM730" s="106">
        <f t="shared" ca="1" si="170"/>
        <v>27796.510116533649</v>
      </c>
      <c r="AN730" s="10">
        <f t="shared" ca="1" si="171"/>
        <v>0.52988471744459531</v>
      </c>
      <c r="AO730" s="311">
        <f t="shared" ca="1" si="172"/>
        <v>0.52389668868335115</v>
      </c>
      <c r="AP730" s="312">
        <f t="shared" ca="1" si="173"/>
        <v>0.29789393639520823</v>
      </c>
      <c r="AQ730" s="1"/>
      <c r="AR730" s="1"/>
      <c r="AS730" s="1"/>
      <c r="AT730" s="1"/>
      <c r="AU730" s="1"/>
      <c r="BC730" s="23"/>
      <c r="BD730" s="23"/>
    </row>
    <row r="731" spans="34:56">
      <c r="AH731" s="6">
        <f t="shared" si="174"/>
        <v>701</v>
      </c>
      <c r="AI731" s="7">
        <f t="shared" ca="1" si="175"/>
        <v>43371</v>
      </c>
      <c r="AJ731" s="210">
        <f t="shared" ca="1" si="176"/>
        <v>3.7569178082191783</v>
      </c>
      <c r="AK731" s="8">
        <f t="shared" ca="1" si="177"/>
        <v>1.0001043588280061</v>
      </c>
      <c r="AL731" s="98">
        <f t="shared" ca="1" si="178"/>
        <v>3.5665249008280941</v>
      </c>
      <c r="AM731" s="106">
        <f t="shared" ca="1" si="170"/>
        <v>27798.800589806087</v>
      </c>
      <c r="AN731" s="10">
        <f t="shared" ca="1" si="171"/>
        <v>0.53027605766631236</v>
      </c>
      <c r="AO731" s="311">
        <f t="shared" ca="1" si="172"/>
        <v>0.52428835031787058</v>
      </c>
      <c r="AP731" s="312">
        <f t="shared" ca="1" si="173"/>
        <v>0.29794663832256096</v>
      </c>
      <c r="AQ731" s="1"/>
      <c r="AR731" s="1"/>
      <c r="AS731" s="1"/>
      <c r="AT731" s="1"/>
      <c r="AU731" s="1"/>
      <c r="BC731" s="23"/>
      <c r="BD731" s="23"/>
    </row>
    <row r="732" spans="34:56">
      <c r="AH732" s="6">
        <f t="shared" si="174"/>
        <v>702</v>
      </c>
      <c r="AI732" s="7">
        <f t="shared" ca="1" si="175"/>
        <v>43372</v>
      </c>
      <c r="AJ732" s="210">
        <f t="shared" ca="1" si="176"/>
        <v>3.7580136986301373</v>
      </c>
      <c r="AK732" s="8">
        <f t="shared" ca="1" si="177"/>
        <v>1.0001043892694064</v>
      </c>
      <c r="AL732" s="98">
        <f t="shared" ca="1" si="178"/>
        <v>3.5669757734888119</v>
      </c>
      <c r="AM732" s="106">
        <f t="shared" ca="1" si="170"/>
        <v>27801.091251816884</v>
      </c>
      <c r="AN732" s="10">
        <f t="shared" ca="1" si="171"/>
        <v>0.53066787548812222</v>
      </c>
      <c r="AO732" s="311">
        <f t="shared" ca="1" si="172"/>
        <v>0.52468049798427874</v>
      </c>
      <c r="AP732" s="312">
        <f t="shared" ca="1" si="173"/>
        <v>0.29799937902719936</v>
      </c>
      <c r="AQ732" s="1"/>
      <c r="AR732" s="1"/>
      <c r="AS732" s="1"/>
      <c r="AT732" s="1"/>
      <c r="AU732" s="1"/>
      <c r="BC732" s="23"/>
      <c r="BD732" s="23"/>
    </row>
    <row r="733" spans="34:56">
      <c r="AH733" s="6">
        <f t="shared" si="174"/>
        <v>703</v>
      </c>
      <c r="AI733" s="7">
        <f t="shared" ca="1" si="175"/>
        <v>43373</v>
      </c>
      <c r="AJ733" s="210">
        <f t="shared" ca="1" si="176"/>
        <v>3.7591095890410964</v>
      </c>
      <c r="AK733" s="8">
        <f t="shared" ca="1" si="177"/>
        <v>1.0001044197108067</v>
      </c>
      <c r="AL733" s="98">
        <f t="shared" ca="1" si="178"/>
        <v>3.5674270021349264</v>
      </c>
      <c r="AM733" s="106">
        <f t="shared" ca="1" si="170"/>
        <v>27803.382102581592</v>
      </c>
      <c r="AN733" s="10">
        <f t="shared" ca="1" si="171"/>
        <v>0.53106016888389007</v>
      </c>
      <c r="AO733" s="311">
        <f t="shared" ca="1" si="172"/>
        <v>0.52507312971280862</v>
      </c>
      <c r="AP733" s="312">
        <f t="shared" ca="1" si="173"/>
        <v>0.298052158392344</v>
      </c>
      <c r="AQ733" s="1"/>
      <c r="AR733" s="1"/>
      <c r="AS733" s="1"/>
      <c r="AT733" s="1"/>
      <c r="AU733" s="1"/>
      <c r="BC733" s="23"/>
      <c r="BD733" s="23"/>
    </row>
    <row r="734" spans="34:56">
      <c r="AH734" s="6">
        <f t="shared" si="174"/>
        <v>704</v>
      </c>
      <c r="AI734" s="7">
        <f t="shared" ca="1" si="175"/>
        <v>43374</v>
      </c>
      <c r="AJ734" s="210">
        <f t="shared" ca="1" si="176"/>
        <v>3.760205479452055</v>
      </c>
      <c r="AK734" s="8">
        <f t="shared" ca="1" si="177"/>
        <v>1.0001044501522069</v>
      </c>
      <c r="AL734" s="98">
        <f t="shared" ca="1" si="178"/>
        <v>3.5678785852623962</v>
      </c>
      <c r="AM734" s="106">
        <f t="shared" ca="1" si="170"/>
        <v>27805.673142115778</v>
      </c>
      <c r="AN734" s="10">
        <f t="shared" ca="1" si="171"/>
        <v>0.53145293583904962</v>
      </c>
      <c r="AO734" s="311">
        <f t="shared" ca="1" si="172"/>
        <v>0.52546624354506632</v>
      </c>
      <c r="AP734" s="312">
        <f t="shared" ca="1" si="173"/>
        <v>0.29810497630189803</v>
      </c>
      <c r="AQ734" s="1"/>
      <c r="AR734" s="1"/>
      <c r="AS734" s="1"/>
      <c r="AT734" s="1"/>
      <c r="AU734" s="1"/>
      <c r="BC734" s="23"/>
      <c r="BD734" s="23"/>
    </row>
    <row r="735" spans="34:56">
      <c r="AH735" s="6">
        <f t="shared" si="174"/>
        <v>705</v>
      </c>
      <c r="AI735" s="7">
        <f t="shared" ca="1" si="175"/>
        <v>43375</v>
      </c>
      <c r="AJ735" s="210">
        <f t="shared" ca="1" si="176"/>
        <v>3.761301369863014</v>
      </c>
      <c r="AK735" s="8">
        <f t="shared" ca="1" si="177"/>
        <v>1.0001044805936072</v>
      </c>
      <c r="AL735" s="98">
        <f t="shared" ca="1" si="178"/>
        <v>3.5683305213757066</v>
      </c>
      <c r="AM735" s="106">
        <f t="shared" ref="AM735:AM798" ca="1" si="179">Geom_Interp(AI735,$AZ$2:$AZ$109,$BA$2:$BA$109)</f>
        <v>27807.96437043498</v>
      </c>
      <c r="AN735" s="10">
        <f t="shared" ref="AN735:AN798" ca="1" si="180">100*(((1+AL735/100)^(AH735/365)*$AM$29/AM735)^(365/AH735)-1)</f>
        <v>0.53184617435044768</v>
      </c>
      <c r="AO735" s="311">
        <f t="shared" ref="AO735:AO760" ca="1" si="181">100*360/$AH735*((1+AN735/100)^($AH735/365)-1)</f>
        <v>0.5258598375339173</v>
      </c>
      <c r="AP735" s="312">
        <f t="shared" ref="AP735:AP760" ca="1" si="182">100*30/$AH735*((1+AL735/100)^($AH735/365)-1)</f>
        <v>0.29815783264044576</v>
      </c>
      <c r="AQ735" s="1"/>
      <c r="AR735" s="1"/>
      <c r="AS735" s="1"/>
      <c r="AT735" s="1"/>
      <c r="AU735" s="1"/>
      <c r="BC735" s="23"/>
      <c r="BD735" s="23"/>
    </row>
    <row r="736" spans="34:56">
      <c r="AH736" s="6">
        <f t="shared" ref="AH736:AH799" si="183">$AI$29+AH735</f>
        <v>706</v>
      </c>
      <c r="AI736" s="7">
        <f t="shared" ref="AI736:AI799" ca="1" si="184">+AH736+$C$1</f>
        <v>43376</v>
      </c>
      <c r="AJ736" s="210">
        <f t="shared" ref="AJ736:AJ799" ca="1" si="185">IF(AH736&lt;365,VLOOKUP(LOOKUP(AI736,$AI$2:$AI$23),$AI$2:$AK$23,3,0),Lin_Interp(AH736,$AJ$2:$AJ$23,$AK$2:$AK$23))</f>
        <v>3.762397260273973</v>
      </c>
      <c r="AK736" s="8">
        <f t="shared" ca="1" si="177"/>
        <v>1.0001045110350075</v>
      </c>
      <c r="AL736" s="98">
        <f t="shared" ca="1" si="178"/>
        <v>3.5687828089878471</v>
      </c>
      <c r="AM736" s="106">
        <f t="shared" ca="1" si="179"/>
        <v>27810.255787554768</v>
      </c>
      <c r="AN736" s="10">
        <f t="shared" ca="1" si="180"/>
        <v>0.53223988242625531</v>
      </c>
      <c r="AO736" s="311">
        <f t="shared" ca="1" si="181"/>
        <v>0.52625390974334907</v>
      </c>
      <c r="AP736" s="312">
        <f t="shared" ca="1" si="182"/>
        <v>0.29821072729325021</v>
      </c>
      <c r="AQ736" s="1"/>
      <c r="AR736" s="1"/>
      <c r="AS736" s="1"/>
      <c r="AT736" s="1"/>
      <c r="AU736" s="1"/>
      <c r="BC736" s="23"/>
      <c r="BD736" s="23"/>
    </row>
    <row r="737" spans="34:56">
      <c r="AH737" s="6">
        <f t="shared" si="183"/>
        <v>707</v>
      </c>
      <c r="AI737" s="7">
        <f t="shared" ca="1" si="184"/>
        <v>43377</v>
      </c>
      <c r="AJ737" s="210">
        <f t="shared" ca="1" si="185"/>
        <v>3.7634931506849321</v>
      </c>
      <c r="AK737" s="8">
        <f t="shared" ref="AK737:AK800" ca="1" si="186">+(1+AJ737/36000)</f>
        <v>1.0001045414764078</v>
      </c>
      <c r="AL737" s="98">
        <f t="shared" ref="AL737:AL800" ca="1" si="187">100*(((1+AL736/100)^(AH736/365)*AK737)^(365/AH737)-1)</f>
        <v>3.5692354466202003</v>
      </c>
      <c r="AM737" s="106">
        <f t="shared" ca="1" si="179"/>
        <v>27812.547393490688</v>
      </c>
      <c r="AN737" s="10">
        <f t="shared" ca="1" si="180"/>
        <v>0.53263405808601227</v>
      </c>
      <c r="AO737" s="311">
        <f t="shared" ca="1" si="181"/>
        <v>0.52664845824856288</v>
      </c>
      <c r="AP737" s="312">
        <f t="shared" ca="1" si="182"/>
        <v>0.29826366014624406</v>
      </c>
      <c r="AQ737" s="1"/>
      <c r="AR737" s="1"/>
      <c r="AS737" s="1"/>
      <c r="AT737" s="1"/>
      <c r="AU737" s="1"/>
      <c r="BC737" s="23"/>
      <c r="BD737" s="23"/>
    </row>
    <row r="738" spans="34:56">
      <c r="AH738" s="6">
        <f t="shared" si="183"/>
        <v>708</v>
      </c>
      <c r="AI738" s="7">
        <f t="shared" ca="1" si="184"/>
        <v>43378</v>
      </c>
      <c r="AJ738" s="210">
        <f t="shared" ca="1" si="185"/>
        <v>3.7645890410958907</v>
      </c>
      <c r="AK738" s="8">
        <f t="shared" ca="1" si="186"/>
        <v>1.0001045719178083</v>
      </c>
      <c r="AL738" s="98">
        <f t="shared" ca="1" si="187"/>
        <v>3.5696884328025202</v>
      </c>
      <c r="AM738" s="106">
        <f t="shared" ca="1" si="179"/>
        <v>27814.839188258306</v>
      </c>
      <c r="AN738" s="10">
        <f t="shared" ca="1" si="180"/>
        <v>0.53302869936036057</v>
      </c>
      <c r="AO738" s="311">
        <f t="shared" ca="1" si="181"/>
        <v>0.52704348113566812</v>
      </c>
      <c r="AP738" s="312">
        <f t="shared" ca="1" si="182"/>
        <v>0.29831663108602713</v>
      </c>
      <c r="AQ738" s="1"/>
      <c r="AR738" s="1"/>
      <c r="AS738" s="1"/>
      <c r="AT738" s="1"/>
      <c r="AU738" s="1"/>
      <c r="BC738" s="23"/>
      <c r="BD738" s="23"/>
    </row>
    <row r="739" spans="34:56">
      <c r="AH739" s="6">
        <f t="shared" si="183"/>
        <v>709</v>
      </c>
      <c r="AI739" s="7">
        <f t="shared" ca="1" si="184"/>
        <v>43379</v>
      </c>
      <c r="AJ739" s="210">
        <f t="shared" ca="1" si="185"/>
        <v>3.7656849315068497</v>
      </c>
      <c r="AK739" s="8">
        <f t="shared" ca="1" si="186"/>
        <v>1.0001046023592086</v>
      </c>
      <c r="AL739" s="98">
        <f t="shared" ca="1" si="187"/>
        <v>3.5701417660728652</v>
      </c>
      <c r="AM739" s="106">
        <f t="shared" ca="1" si="179"/>
        <v>27817.131171873181</v>
      </c>
      <c r="AN739" s="10">
        <f t="shared" ca="1" si="180"/>
        <v>0.53342380429111103</v>
      </c>
      <c r="AO739" s="311">
        <f t="shared" ca="1" si="181"/>
        <v>0.52743897650180904</v>
      </c>
      <c r="AP739" s="312">
        <f t="shared" ca="1" si="182"/>
        <v>0.29836963999986238</v>
      </c>
      <c r="AQ739" s="1"/>
      <c r="AR739" s="1"/>
      <c r="AS739" s="1"/>
      <c r="AT739" s="1"/>
      <c r="AU739" s="1"/>
      <c r="BC739" s="23"/>
      <c r="BD739" s="23"/>
    </row>
    <row r="740" spans="34:56">
      <c r="AH740" s="6">
        <f t="shared" si="183"/>
        <v>710</v>
      </c>
      <c r="AI740" s="7">
        <f t="shared" ca="1" si="184"/>
        <v>43380</v>
      </c>
      <c r="AJ740" s="210">
        <f t="shared" ca="1" si="185"/>
        <v>3.7667808219178087</v>
      </c>
      <c r="AK740" s="8">
        <f t="shared" ca="1" si="186"/>
        <v>1.0001046328006089</v>
      </c>
      <c r="AL740" s="98">
        <f t="shared" ca="1" si="187"/>
        <v>3.570595444977509</v>
      </c>
      <c r="AM740" s="106">
        <f t="shared" ca="1" si="179"/>
        <v>27819.423344350871</v>
      </c>
      <c r="AN740" s="10">
        <f t="shared" ca="1" si="180"/>
        <v>0.53381937093108789</v>
      </c>
      <c r="AO740" s="311">
        <f t="shared" ca="1" si="181"/>
        <v>0.52783494245492868</v>
      </c>
      <c r="AP740" s="312">
        <f t="shared" ca="1" si="182"/>
        <v>0.29842268677566597</v>
      </c>
      <c r="AQ740" s="1"/>
      <c r="AR740" s="1"/>
      <c r="AS740" s="1"/>
      <c r="AT740" s="1"/>
      <c r="AU740" s="1"/>
      <c r="BC740" s="23"/>
      <c r="BD740" s="23"/>
    </row>
    <row r="741" spans="34:56">
      <c r="AH741" s="6">
        <f t="shared" si="183"/>
        <v>711</v>
      </c>
      <c r="AI741" s="7">
        <f t="shared" ca="1" si="184"/>
        <v>43381</v>
      </c>
      <c r="AJ741" s="210">
        <f t="shared" ca="1" si="185"/>
        <v>3.7678767123287673</v>
      </c>
      <c r="AK741" s="8">
        <f t="shared" ca="1" si="186"/>
        <v>1.0001046632420092</v>
      </c>
      <c r="AL741" s="98">
        <f t="shared" ca="1" si="187"/>
        <v>3.5710494680709193</v>
      </c>
      <c r="AM741" s="106">
        <f t="shared" ca="1" si="179"/>
        <v>27821.715705706945</v>
      </c>
      <c r="AN741" s="10">
        <f t="shared" ca="1" si="180"/>
        <v>0.53421539734408441</v>
      </c>
      <c r="AO741" s="311">
        <f t="shared" ca="1" si="181"/>
        <v>0.52823137711379442</v>
      </c>
      <c r="AP741" s="312">
        <f t="shared" ca="1" si="182"/>
        <v>0.29847577130201064</v>
      </c>
      <c r="AQ741" s="1"/>
      <c r="AR741" s="1"/>
      <c r="AS741" s="1"/>
      <c r="AT741" s="1"/>
      <c r="AU741" s="1"/>
      <c r="BC741" s="23"/>
      <c r="BD741" s="23"/>
    </row>
    <row r="742" spans="34:56">
      <c r="AH742" s="6">
        <f t="shared" si="183"/>
        <v>712</v>
      </c>
      <c r="AI742" s="7">
        <f t="shared" ca="1" si="184"/>
        <v>43382</v>
      </c>
      <c r="AJ742" s="210">
        <f t="shared" ca="1" si="185"/>
        <v>3.7689726027397263</v>
      </c>
      <c r="AK742" s="8">
        <f t="shared" ca="1" si="186"/>
        <v>1.0001046936834095</v>
      </c>
      <c r="AL742" s="98">
        <f t="shared" ca="1" si="187"/>
        <v>3.5715038339156902</v>
      </c>
      <c r="AM742" s="106">
        <f t="shared" ca="1" si="179"/>
        <v>27824.00825595696</v>
      </c>
      <c r="AN742" s="10">
        <f t="shared" ca="1" si="180"/>
        <v>0.53461188160477402</v>
      </c>
      <c r="AO742" s="311">
        <f t="shared" ca="1" si="181"/>
        <v>0.52862827860788864</v>
      </c>
      <c r="AP742" s="312">
        <f t="shared" ca="1" si="182"/>
        <v>0.29852889346811584</v>
      </c>
      <c r="AQ742" s="1"/>
      <c r="AR742" s="1"/>
      <c r="AS742" s="1"/>
      <c r="AT742" s="1"/>
      <c r="AU742" s="1"/>
      <c r="BC742" s="23"/>
      <c r="BD742" s="23"/>
    </row>
    <row r="743" spans="34:56">
      <c r="AH743" s="6">
        <f t="shared" si="183"/>
        <v>713</v>
      </c>
      <c r="AI743" s="7">
        <f t="shared" ca="1" si="184"/>
        <v>43383</v>
      </c>
      <c r="AJ743" s="210">
        <f t="shared" ca="1" si="185"/>
        <v>3.7700684931506854</v>
      </c>
      <c r="AK743" s="8">
        <f t="shared" ca="1" si="186"/>
        <v>1.0001047241248098</v>
      </c>
      <c r="AL743" s="98">
        <f t="shared" ca="1" si="187"/>
        <v>3.5719585410824983</v>
      </c>
      <c r="AM743" s="106">
        <f t="shared" ca="1" si="179"/>
        <v>27826.227032839957</v>
      </c>
      <c r="AN743" s="10">
        <f t="shared" ca="1" si="180"/>
        <v>0.53514561871861321</v>
      </c>
      <c r="AO743" s="311">
        <f t="shared" ca="1" si="181"/>
        <v>0.52916125629872723</v>
      </c>
      <c r="AP743" s="312">
        <f t="shared" ca="1" si="182"/>
        <v>0.29858205316384662</v>
      </c>
      <c r="AQ743" s="1"/>
      <c r="AR743" s="1"/>
      <c r="AS743" s="1"/>
      <c r="AT743" s="1"/>
      <c r="AU743" s="1"/>
      <c r="BC743" s="23"/>
      <c r="BD743" s="23"/>
    </row>
    <row r="744" spans="34:56">
      <c r="AH744" s="6">
        <f t="shared" si="183"/>
        <v>714</v>
      </c>
      <c r="AI744" s="7">
        <f t="shared" ca="1" si="184"/>
        <v>43384</v>
      </c>
      <c r="AJ744" s="210">
        <f t="shared" ca="1" si="185"/>
        <v>3.7711643835616444</v>
      </c>
      <c r="AK744" s="8">
        <f t="shared" ca="1" si="186"/>
        <v>1.0001047545662101</v>
      </c>
      <c r="AL744" s="98">
        <f t="shared" ca="1" si="187"/>
        <v>3.5724135881500141</v>
      </c>
      <c r="AM744" s="106">
        <f t="shared" ca="1" si="179"/>
        <v>27828.445986655439</v>
      </c>
      <c r="AN744" s="10">
        <f t="shared" ca="1" si="180"/>
        <v>0.53567942794252588</v>
      </c>
      <c r="AO744" s="311">
        <f t="shared" ca="1" si="181"/>
        <v>0.52969432366588565</v>
      </c>
      <c r="AP744" s="312">
        <f t="shared" ca="1" si="182"/>
        <v>0.29863525027970306</v>
      </c>
      <c r="AQ744" s="1"/>
      <c r="AR744" s="1"/>
      <c r="AS744" s="1"/>
      <c r="AT744" s="1"/>
      <c r="AU744" s="1"/>
      <c r="BC744" s="23"/>
      <c r="BD744" s="23"/>
    </row>
    <row r="745" spans="34:56">
      <c r="AH745" s="6">
        <f t="shared" si="183"/>
        <v>715</v>
      </c>
      <c r="AI745" s="7">
        <f t="shared" ca="1" si="184"/>
        <v>43385</v>
      </c>
      <c r="AJ745" s="210">
        <f t="shared" ca="1" si="185"/>
        <v>3.772260273972603</v>
      </c>
      <c r="AK745" s="8">
        <f t="shared" ca="1" si="186"/>
        <v>1.0001047850076104</v>
      </c>
      <c r="AL745" s="98">
        <f t="shared" ca="1" si="187"/>
        <v>3.5728689737048347</v>
      </c>
      <c r="AM745" s="106">
        <f t="shared" ca="1" si="179"/>
        <v>27830.665117417513</v>
      </c>
      <c r="AN745" s="10">
        <f t="shared" ca="1" si="180"/>
        <v>0.53621330898687702</v>
      </c>
      <c r="AO745" s="311">
        <f t="shared" ca="1" si="181"/>
        <v>0.53022748044999646</v>
      </c>
      <c r="AP745" s="312">
        <f t="shared" ca="1" si="182"/>
        <v>0.2986884847068218</v>
      </c>
      <c r="AQ745" s="1"/>
      <c r="AR745" s="1"/>
      <c r="AS745" s="1"/>
      <c r="AT745" s="1"/>
      <c r="AU745" s="1"/>
      <c r="BC745" s="23"/>
      <c r="BD745" s="23"/>
    </row>
    <row r="746" spans="34:56">
      <c r="AH746" s="6">
        <f t="shared" si="183"/>
        <v>716</v>
      </c>
      <c r="AI746" s="7">
        <f t="shared" ca="1" si="184"/>
        <v>43386</v>
      </c>
      <c r="AJ746" s="210">
        <f t="shared" ca="1" si="185"/>
        <v>3.773356164383562</v>
      </c>
      <c r="AK746" s="8">
        <f t="shared" ca="1" si="186"/>
        <v>1.0001048154490106</v>
      </c>
      <c r="AL746" s="98">
        <f t="shared" ca="1" si="187"/>
        <v>3.5733246963415066</v>
      </c>
      <c r="AM746" s="106">
        <f t="shared" ca="1" si="179"/>
        <v>27832.884425140288</v>
      </c>
      <c r="AN746" s="10">
        <f t="shared" ca="1" si="180"/>
        <v>0.53674726156369701</v>
      </c>
      <c r="AO746" s="311">
        <f t="shared" ca="1" si="181"/>
        <v>0.53076072639333105</v>
      </c>
      <c r="AP746" s="312">
        <f t="shared" ca="1" si="182"/>
        <v>0.29874175633697098</v>
      </c>
      <c r="AQ746" s="1"/>
      <c r="AR746" s="1"/>
      <c r="AS746" s="1"/>
      <c r="AT746" s="1"/>
      <c r="AU746" s="1"/>
      <c r="BC746" s="23"/>
      <c r="BD746" s="23"/>
    </row>
    <row r="747" spans="34:56">
      <c r="AH747" s="6">
        <f t="shared" si="183"/>
        <v>717</v>
      </c>
      <c r="AI747" s="7">
        <f t="shared" ca="1" si="184"/>
        <v>43387</v>
      </c>
      <c r="AJ747" s="210">
        <f t="shared" ca="1" si="185"/>
        <v>3.7744520547945211</v>
      </c>
      <c r="AK747" s="8">
        <f t="shared" ca="1" si="186"/>
        <v>1.0001048458904109</v>
      </c>
      <c r="AL747" s="98">
        <f t="shared" ca="1" si="187"/>
        <v>3.5737807546623923</v>
      </c>
      <c r="AM747" s="106">
        <f t="shared" ca="1" si="179"/>
        <v>27835.103909837871</v>
      </c>
      <c r="AN747" s="10">
        <f t="shared" ca="1" si="180"/>
        <v>0.5372812853866149</v>
      </c>
      <c r="AO747" s="311">
        <f t="shared" ca="1" si="181"/>
        <v>0.5312940612397542</v>
      </c>
      <c r="AP747" s="312">
        <f t="shared" ca="1" si="182"/>
        <v>0.29879506506254205</v>
      </c>
      <c r="AQ747" s="1"/>
      <c r="AR747" s="1"/>
      <c r="AS747" s="1"/>
      <c r="AT747" s="1"/>
      <c r="AU747" s="1"/>
      <c r="BC747" s="23"/>
      <c r="BD747" s="23"/>
    </row>
    <row r="748" spans="34:56">
      <c r="AH748" s="6">
        <f t="shared" si="183"/>
        <v>718</v>
      </c>
      <c r="AI748" s="7">
        <f t="shared" ca="1" si="184"/>
        <v>43388</v>
      </c>
      <c r="AJ748" s="210">
        <f t="shared" ca="1" si="185"/>
        <v>3.7755479452054796</v>
      </c>
      <c r="AK748" s="8">
        <f t="shared" ca="1" si="186"/>
        <v>1.0001048763318112</v>
      </c>
      <c r="AL748" s="98">
        <f t="shared" ca="1" si="187"/>
        <v>3.5742371472776702</v>
      </c>
      <c r="AM748" s="106">
        <f t="shared" ca="1" si="179"/>
        <v>27837.323571524386</v>
      </c>
      <c r="AN748" s="10">
        <f t="shared" ca="1" si="180"/>
        <v>0.53781538017088071</v>
      </c>
      <c r="AO748" s="311">
        <f t="shared" ca="1" si="181"/>
        <v>0.53182748473472519</v>
      </c>
      <c r="AP748" s="312">
        <f t="shared" ca="1" si="182"/>
        <v>0.298848410776552</v>
      </c>
      <c r="AQ748" s="1"/>
      <c r="AR748" s="1"/>
      <c r="AS748" s="1"/>
      <c r="AT748" s="1"/>
      <c r="AU748" s="1"/>
      <c r="BC748" s="23"/>
      <c r="BD748" s="23"/>
    </row>
    <row r="749" spans="34:56">
      <c r="AH749" s="6">
        <f t="shared" si="183"/>
        <v>719</v>
      </c>
      <c r="AI749" s="7">
        <f t="shared" ca="1" si="184"/>
        <v>43389</v>
      </c>
      <c r="AJ749" s="210">
        <f t="shared" ca="1" si="185"/>
        <v>3.7766438356164387</v>
      </c>
      <c r="AK749" s="8">
        <f t="shared" ca="1" si="186"/>
        <v>1.0001049067732115</v>
      </c>
      <c r="AL749" s="98">
        <f t="shared" ca="1" si="187"/>
        <v>3.5746938728052235</v>
      </c>
      <c r="AM749" s="106">
        <f t="shared" ca="1" si="179"/>
        <v>27839.543410213944</v>
      </c>
      <c r="AN749" s="10">
        <f t="shared" ca="1" si="180"/>
        <v>0.53834954563323212</v>
      </c>
      <c r="AO749" s="311">
        <f t="shared" ca="1" si="181"/>
        <v>0.53236099662516334</v>
      </c>
      <c r="AP749" s="312">
        <f t="shared" ca="1" si="182"/>
        <v>0.29890179337263051</v>
      </c>
      <c r="AQ749" s="1"/>
      <c r="AR749" s="1"/>
      <c r="AS749" s="1"/>
      <c r="AT749" s="1"/>
      <c r="AU749" s="1"/>
      <c r="BC749" s="23"/>
      <c r="BD749" s="23"/>
    </row>
    <row r="750" spans="34:56">
      <c r="AH750" s="6">
        <f t="shared" si="183"/>
        <v>720</v>
      </c>
      <c r="AI750" s="7">
        <f t="shared" ca="1" si="184"/>
        <v>43390</v>
      </c>
      <c r="AJ750" s="210">
        <f t="shared" ca="1" si="185"/>
        <v>3.7777397260273977</v>
      </c>
      <c r="AK750" s="8">
        <f t="shared" ca="1" si="186"/>
        <v>1.0001049372146118</v>
      </c>
      <c r="AL750" s="98">
        <f t="shared" ca="1" si="187"/>
        <v>3.5751509298706186</v>
      </c>
      <c r="AM750" s="106">
        <f t="shared" ca="1" si="179"/>
        <v>27841.76342592065</v>
      </c>
      <c r="AN750" s="10">
        <f t="shared" ca="1" si="180"/>
        <v>0.53888378149209437</v>
      </c>
      <c r="AO750" s="311">
        <f t="shared" ca="1" si="181"/>
        <v>0.53289459665967209</v>
      </c>
      <c r="AP750" s="312">
        <f t="shared" ca="1" si="182"/>
        <v>0.29895521274502052</v>
      </c>
      <c r="AQ750" s="1"/>
      <c r="AR750" s="1"/>
      <c r="AS750" s="1"/>
      <c r="AT750" s="1"/>
      <c r="AU750" s="1"/>
      <c r="BC750" s="23"/>
      <c r="BD750" s="23"/>
    </row>
    <row r="751" spans="34:56">
      <c r="AH751" s="6">
        <f t="shared" si="183"/>
        <v>721</v>
      </c>
      <c r="AI751" s="7">
        <f t="shared" ca="1" si="184"/>
        <v>43391</v>
      </c>
      <c r="AJ751" s="210">
        <f t="shared" ca="1" si="185"/>
        <v>3.7788356164383563</v>
      </c>
      <c r="AK751" s="8">
        <f t="shared" ca="1" si="186"/>
        <v>1.0001049676560121</v>
      </c>
      <c r="AL751" s="98">
        <f t="shared" ca="1" si="187"/>
        <v>3.5756083171070596</v>
      </c>
      <c r="AM751" s="106">
        <f t="shared" ca="1" si="179"/>
        <v>27843.983618658629</v>
      </c>
      <c r="AN751" s="10">
        <f t="shared" ca="1" si="180"/>
        <v>0.5394180874673804</v>
      </c>
      <c r="AO751" s="311">
        <f t="shared" ca="1" si="181"/>
        <v>0.53342828458830449</v>
      </c>
      <c r="AP751" s="312">
        <f t="shared" ca="1" si="182"/>
        <v>0.29900866878857552</v>
      </c>
      <c r="AQ751" s="1"/>
      <c r="AR751" s="1"/>
      <c r="AS751" s="1"/>
      <c r="AT751" s="1"/>
      <c r="AU751" s="1"/>
      <c r="BC751" s="23"/>
      <c r="BD751" s="23"/>
    </row>
    <row r="752" spans="34:56">
      <c r="AH752" s="6">
        <f t="shared" si="183"/>
        <v>722</v>
      </c>
      <c r="AI752" s="7">
        <f t="shared" ca="1" si="184"/>
        <v>43392</v>
      </c>
      <c r="AJ752" s="210">
        <f t="shared" ca="1" si="185"/>
        <v>3.7799315068493153</v>
      </c>
      <c r="AK752" s="8">
        <f t="shared" ca="1" si="186"/>
        <v>1.0001049980974124</v>
      </c>
      <c r="AL752" s="98">
        <f t="shared" ca="1" si="187"/>
        <v>3.5760660331553451</v>
      </c>
      <c r="AM752" s="106">
        <f t="shared" ca="1" si="179"/>
        <v>27846.203988441994</v>
      </c>
      <c r="AN752" s="10">
        <f t="shared" ca="1" si="180"/>
        <v>0.53995246328060187</v>
      </c>
      <c r="AO752" s="311">
        <f t="shared" ca="1" si="181"/>
        <v>0.53396206016268699</v>
      </c>
      <c r="AP752" s="312">
        <f t="shared" ca="1" si="182"/>
        <v>0.2990621613987548</v>
      </c>
      <c r="AQ752" s="1"/>
      <c r="AR752" s="1"/>
      <c r="AS752" s="1"/>
      <c r="AT752" s="1"/>
      <c r="AU752" s="1"/>
      <c r="BC752" s="23"/>
      <c r="BD752" s="23"/>
    </row>
    <row r="753" spans="34:56">
      <c r="AH753" s="6">
        <f t="shared" si="183"/>
        <v>723</v>
      </c>
      <c r="AI753" s="7">
        <f t="shared" ca="1" si="184"/>
        <v>43393</v>
      </c>
      <c r="AJ753" s="210">
        <f t="shared" ca="1" si="185"/>
        <v>3.7810273972602744</v>
      </c>
      <c r="AK753" s="8">
        <f t="shared" ca="1" si="186"/>
        <v>1.0001050285388129</v>
      </c>
      <c r="AL753" s="98">
        <f t="shared" ca="1" si="187"/>
        <v>3.5765240766637785</v>
      </c>
      <c r="AM753" s="106">
        <f t="shared" ca="1" si="179"/>
        <v>27848.424535284867</v>
      </c>
      <c r="AN753" s="10">
        <f t="shared" ca="1" si="180"/>
        <v>0.54048690865482474</v>
      </c>
      <c r="AO753" s="311">
        <f t="shared" ca="1" si="181"/>
        <v>0.5344959231359856</v>
      </c>
      <c r="AP753" s="312">
        <f t="shared" ca="1" si="182"/>
        <v>0.29911569047161524</v>
      </c>
      <c r="AQ753" s="1"/>
      <c r="AR753" s="1"/>
      <c r="AS753" s="1"/>
      <c r="AT753" s="1"/>
      <c r="AU753" s="1"/>
      <c r="BC753" s="23"/>
      <c r="BD753" s="23"/>
    </row>
    <row r="754" spans="34:56">
      <c r="AH754" s="6">
        <f t="shared" si="183"/>
        <v>724</v>
      </c>
      <c r="AI754" s="7">
        <f t="shared" ca="1" si="184"/>
        <v>43394</v>
      </c>
      <c r="AJ754" s="210">
        <f t="shared" ca="1" si="185"/>
        <v>3.7821232876712334</v>
      </c>
      <c r="AK754" s="8">
        <f t="shared" ca="1" si="186"/>
        <v>1.0001050589802132</v>
      </c>
      <c r="AL754" s="98">
        <f t="shared" ca="1" si="187"/>
        <v>3.5769824462881239</v>
      </c>
      <c r="AM754" s="106">
        <f t="shared" ca="1" si="179"/>
        <v>27850.645259201367</v>
      </c>
      <c r="AN754" s="10">
        <f t="shared" ca="1" si="180"/>
        <v>0.54102142331451386</v>
      </c>
      <c r="AO754" s="311">
        <f t="shared" ca="1" si="181"/>
        <v>0.53502987326275242</v>
      </c>
      <c r="AP754" s="312">
        <f t="shared" ca="1" si="182"/>
        <v>0.29916925590380922</v>
      </c>
      <c r="AQ754" s="1"/>
      <c r="AR754" s="1"/>
      <c r="AS754" s="1"/>
      <c r="AT754" s="1"/>
      <c r="AU754" s="1"/>
      <c r="BC754" s="23"/>
      <c r="BD754" s="23"/>
    </row>
    <row r="755" spans="34:56">
      <c r="AH755" s="6">
        <f t="shared" si="183"/>
        <v>725</v>
      </c>
      <c r="AI755" s="7">
        <f t="shared" ca="1" si="184"/>
        <v>43395</v>
      </c>
      <c r="AJ755" s="210">
        <f t="shared" ca="1" si="185"/>
        <v>3.783219178082192</v>
      </c>
      <c r="AK755" s="8">
        <f t="shared" ca="1" si="186"/>
        <v>1.0001050894216135</v>
      </c>
      <c r="AL755" s="98">
        <f t="shared" ca="1" si="187"/>
        <v>3.577441140691584</v>
      </c>
      <c r="AM755" s="106">
        <f t="shared" ca="1" si="179"/>
        <v>27852.866160205609</v>
      </c>
      <c r="AN755" s="10">
        <f t="shared" ca="1" si="180"/>
        <v>0.54155600698586603</v>
      </c>
      <c r="AO755" s="311">
        <f t="shared" ca="1" si="181"/>
        <v>0.53556391029924655</v>
      </c>
      <c r="AP755" s="312">
        <f t="shared" ca="1" si="182"/>
        <v>0.2992228575925841</v>
      </c>
      <c r="AQ755" s="1"/>
      <c r="AR755" s="1"/>
      <c r="AS755" s="1"/>
      <c r="AT755" s="1"/>
      <c r="AU755" s="1"/>
      <c r="BC755" s="23"/>
      <c r="BD755" s="23"/>
    </row>
    <row r="756" spans="34:56">
      <c r="AH756" s="6">
        <f t="shared" si="183"/>
        <v>726</v>
      </c>
      <c r="AI756" s="7">
        <f t="shared" ca="1" si="184"/>
        <v>43396</v>
      </c>
      <c r="AJ756" s="210">
        <f t="shared" ca="1" si="185"/>
        <v>3.784315068493151</v>
      </c>
      <c r="AK756" s="8">
        <f t="shared" ca="1" si="186"/>
        <v>1.0001051198630138</v>
      </c>
      <c r="AL756" s="98">
        <f t="shared" ca="1" si="187"/>
        <v>3.5779001585447112</v>
      </c>
      <c r="AM756" s="106">
        <f t="shared" ca="1" si="179"/>
        <v>27855.087238311717</v>
      </c>
      <c r="AN756" s="10">
        <f t="shared" ca="1" si="180"/>
        <v>0.54209065939643253</v>
      </c>
      <c r="AO756" s="311">
        <f t="shared" ca="1" si="181"/>
        <v>0.5360980340030479</v>
      </c>
      <c r="AP756" s="312">
        <f t="shared" ca="1" si="182"/>
        <v>0.29927649543577162</v>
      </c>
      <c r="AQ756" s="1"/>
      <c r="AR756" s="1"/>
      <c r="AS756" s="1"/>
      <c r="AT756" s="1"/>
      <c r="AU756" s="1"/>
      <c r="BC756" s="23"/>
      <c r="BD756" s="23"/>
    </row>
    <row r="757" spans="34:56">
      <c r="AH757" s="6">
        <f t="shared" si="183"/>
        <v>727</v>
      </c>
      <c r="AI757" s="7">
        <f t="shared" ca="1" si="184"/>
        <v>43397</v>
      </c>
      <c r="AJ757" s="210">
        <f t="shared" ca="1" si="185"/>
        <v>3.7854109589041101</v>
      </c>
      <c r="AK757" s="8">
        <f t="shared" ca="1" si="186"/>
        <v>1.000105150304414</v>
      </c>
      <c r="AL757" s="98">
        <f t="shared" ca="1" si="187"/>
        <v>3.5783594985253853</v>
      </c>
      <c r="AM757" s="106">
        <f t="shared" ca="1" si="179"/>
        <v>27857.308493533812</v>
      </c>
      <c r="AN757" s="10">
        <f t="shared" ca="1" si="180"/>
        <v>0.54262538027527452</v>
      </c>
      <c r="AO757" s="311">
        <f t="shared" ca="1" si="181"/>
        <v>0.53663224413323507</v>
      </c>
      <c r="AP757" s="312">
        <f t="shared" ca="1" si="182"/>
        <v>0.2993301693317898</v>
      </c>
      <c r="AQ757" s="1"/>
      <c r="AR757" s="1"/>
      <c r="AS757" s="1"/>
      <c r="AT757" s="1"/>
      <c r="AU757" s="1"/>
      <c r="BC757" s="23"/>
      <c r="BD757" s="23"/>
    </row>
    <row r="758" spans="34:56">
      <c r="AH758" s="6">
        <f t="shared" si="183"/>
        <v>728</v>
      </c>
      <c r="AI758" s="7">
        <f t="shared" ca="1" si="184"/>
        <v>43398</v>
      </c>
      <c r="AJ758" s="210">
        <f t="shared" ca="1" si="185"/>
        <v>3.7865068493150686</v>
      </c>
      <c r="AK758" s="8">
        <f t="shared" ca="1" si="186"/>
        <v>1.0001051807458143</v>
      </c>
      <c r="AL758" s="98">
        <f t="shared" ca="1" si="187"/>
        <v>3.578819159318769</v>
      </c>
      <c r="AM758" s="106">
        <f t="shared" ca="1" si="179"/>
        <v>27859.529925886029</v>
      </c>
      <c r="AN758" s="10">
        <f t="shared" ca="1" si="180"/>
        <v>0.54316016935298528</v>
      </c>
      <c r="AO758" s="311">
        <f t="shared" ca="1" si="181"/>
        <v>0.53716654045040824</v>
      </c>
      <c r="AP758" s="312">
        <f t="shared" ca="1" si="182"/>
        <v>0.29938387917963638</v>
      </c>
      <c r="AQ758" s="1"/>
      <c r="AR758" s="1"/>
      <c r="AS758" s="1"/>
      <c r="AT758" s="1"/>
      <c r="AU758" s="1"/>
      <c r="BC758" s="23"/>
      <c r="BD758" s="23"/>
    </row>
    <row r="759" spans="34:56">
      <c r="AH759" s="6">
        <f t="shared" si="183"/>
        <v>729</v>
      </c>
      <c r="AI759" s="7">
        <f t="shared" ca="1" si="184"/>
        <v>43399</v>
      </c>
      <c r="AJ759" s="210">
        <f t="shared" ca="1" si="185"/>
        <v>3.7876027397260277</v>
      </c>
      <c r="AK759" s="8">
        <f t="shared" ca="1" si="186"/>
        <v>1.0001052111872146</v>
      </c>
      <c r="AL759" s="98">
        <f t="shared" ca="1" si="187"/>
        <v>3.5792791396171975</v>
      </c>
      <c r="AM759" s="106">
        <f t="shared" ca="1" si="179"/>
        <v>27861.751535382475</v>
      </c>
      <c r="AN759" s="10">
        <f t="shared" ca="1" si="180"/>
        <v>0.54369502636162359</v>
      </c>
      <c r="AO759" s="311">
        <f t="shared" ca="1" si="181"/>
        <v>0.53770092271660164</v>
      </c>
      <c r="AP759" s="312">
        <f t="shared" ca="1" si="182"/>
        <v>0.29943762487888276</v>
      </c>
      <c r="AQ759" s="1"/>
      <c r="AR759" s="1"/>
      <c r="AS759" s="1"/>
      <c r="AT759" s="1"/>
      <c r="AU759" s="1"/>
      <c r="BC759" s="23"/>
      <c r="BD759" s="23"/>
    </row>
    <row r="760" spans="34:56" ht="15.75" thickBot="1">
      <c r="AH760" s="6">
        <f t="shared" si="183"/>
        <v>730</v>
      </c>
      <c r="AI760" s="7">
        <f t="shared" ca="1" si="184"/>
        <v>43400</v>
      </c>
      <c r="AJ760" s="210">
        <f t="shared" ca="1" si="185"/>
        <v>3.7886986301369867</v>
      </c>
      <c r="AK760" s="8">
        <f t="shared" ca="1" si="186"/>
        <v>1.0001052416286149</v>
      </c>
      <c r="AL760" s="98">
        <f t="shared" ca="1" si="187"/>
        <v>3.5797394381202441</v>
      </c>
      <c r="AM760" s="106">
        <f t="shared" ca="1" si="179"/>
        <v>27863.973322037291</v>
      </c>
      <c r="AN760" s="10">
        <f t="shared" ca="1" si="180"/>
        <v>0.54422995103475813</v>
      </c>
      <c r="AO760" s="315">
        <f t="shared" ca="1" si="181"/>
        <v>0.53823539069533965</v>
      </c>
      <c r="AP760" s="316">
        <f t="shared" ca="1" si="182"/>
        <v>0.29949140632967786</v>
      </c>
      <c r="AQ760" s="1"/>
      <c r="AR760" s="1"/>
      <c r="AS760" s="1"/>
      <c r="AT760" s="1"/>
      <c r="AU760" s="1"/>
      <c r="BC760" s="23"/>
      <c r="BD760" s="23"/>
    </row>
    <row r="761" spans="34:56">
      <c r="AH761" s="6">
        <f t="shared" si="183"/>
        <v>731</v>
      </c>
      <c r="AI761" s="7">
        <f t="shared" ca="1" si="184"/>
        <v>43401</v>
      </c>
      <c r="AJ761" s="210">
        <f t="shared" ca="1" si="185"/>
        <v>3.7897945205479457</v>
      </c>
      <c r="AK761" s="8">
        <f t="shared" ca="1" si="186"/>
        <v>1.0001052720700152</v>
      </c>
      <c r="AL761" s="98">
        <f t="shared" ca="1" si="187"/>
        <v>3.5802000535345213</v>
      </c>
      <c r="AM761" s="106">
        <f t="shared" ca="1" si="179"/>
        <v>27866.195285864596</v>
      </c>
      <c r="AN761" s="10">
        <f t="shared" ca="1" si="180"/>
        <v>0.54476494310731205</v>
      </c>
      <c r="AO761" s="158"/>
      <c r="AP761" s="158"/>
      <c r="AQ761" s="1"/>
      <c r="AR761" s="1"/>
      <c r="AS761" s="1"/>
      <c r="AT761" s="1"/>
      <c r="AU761" s="1"/>
      <c r="BC761" s="23"/>
      <c r="BD761" s="23"/>
    </row>
    <row r="762" spans="34:56">
      <c r="AH762" s="6">
        <f t="shared" si="183"/>
        <v>732</v>
      </c>
      <c r="AI762" s="7">
        <f t="shared" ca="1" si="184"/>
        <v>43402</v>
      </c>
      <c r="AJ762" s="210">
        <f t="shared" ca="1" si="185"/>
        <v>3.7908904109589043</v>
      </c>
      <c r="AK762" s="8">
        <f t="shared" ca="1" si="186"/>
        <v>1.0001053025114155</v>
      </c>
      <c r="AL762" s="98">
        <f t="shared" ca="1" si="187"/>
        <v>3.5806609845737691</v>
      </c>
      <c r="AM762" s="106">
        <f t="shared" ca="1" si="179"/>
        <v>27868.417426878521</v>
      </c>
      <c r="AN762" s="10">
        <f t="shared" ca="1" si="180"/>
        <v>0.54530000231576281</v>
      </c>
      <c r="AO762" s="158"/>
      <c r="AP762" s="158"/>
      <c r="AQ762" s="1"/>
      <c r="AR762" s="1"/>
      <c r="AS762" s="1"/>
      <c r="AT762" s="1"/>
      <c r="AU762" s="1"/>
      <c r="BC762" s="23"/>
      <c r="BD762" s="23"/>
    </row>
    <row r="763" spans="34:56">
      <c r="AH763" s="6">
        <f t="shared" si="183"/>
        <v>733</v>
      </c>
      <c r="AI763" s="7">
        <f t="shared" ca="1" si="184"/>
        <v>43403</v>
      </c>
      <c r="AJ763" s="210">
        <f t="shared" ca="1" si="185"/>
        <v>3.7919863013698634</v>
      </c>
      <c r="AK763" s="8">
        <f t="shared" ca="1" si="186"/>
        <v>1.0001053329528158</v>
      </c>
      <c r="AL763" s="98">
        <f t="shared" ca="1" si="187"/>
        <v>3.5811222299587442</v>
      </c>
      <c r="AM763" s="106">
        <f t="shared" ca="1" si="179"/>
        <v>27870.639745093202</v>
      </c>
      <c r="AN763" s="10">
        <f t="shared" ca="1" si="180"/>
        <v>0.54583512839796455</v>
      </c>
      <c r="AO763" s="158"/>
      <c r="AP763" s="158"/>
      <c r="AQ763" s="1"/>
      <c r="AR763" s="1"/>
      <c r="AS763" s="1"/>
      <c r="AT763" s="1"/>
      <c r="AU763" s="1"/>
      <c r="BC763" s="23"/>
      <c r="BD763" s="23"/>
    </row>
    <row r="764" spans="34:56">
      <c r="AH764" s="6">
        <f t="shared" si="183"/>
        <v>734</v>
      </c>
      <c r="AI764" s="7">
        <f t="shared" ca="1" si="184"/>
        <v>43404</v>
      </c>
      <c r="AJ764" s="210">
        <f t="shared" ca="1" si="185"/>
        <v>3.7930821917808224</v>
      </c>
      <c r="AK764" s="8">
        <f t="shared" ca="1" si="186"/>
        <v>1.0001053633942161</v>
      </c>
      <c r="AL764" s="98">
        <f t="shared" ca="1" si="187"/>
        <v>3.5815837884171531</v>
      </c>
      <c r="AM764" s="106">
        <f t="shared" ca="1" si="179"/>
        <v>27872.862240522754</v>
      </c>
      <c r="AN764" s="10">
        <f t="shared" ca="1" si="180"/>
        <v>0.54637032109323691</v>
      </c>
      <c r="AO764" s="158"/>
      <c r="AP764" s="158"/>
      <c r="AQ764" s="1"/>
      <c r="AR764" s="1"/>
      <c r="AS764" s="1"/>
      <c r="AT764" s="1"/>
      <c r="AU764" s="1"/>
      <c r="BC764" s="23"/>
      <c r="BD764" s="23"/>
    </row>
    <row r="765" spans="34:56">
      <c r="AH765" s="6">
        <f t="shared" si="183"/>
        <v>735</v>
      </c>
      <c r="AI765" s="7">
        <f t="shared" ca="1" si="184"/>
        <v>43405</v>
      </c>
      <c r="AJ765" s="210">
        <f t="shared" ca="1" si="185"/>
        <v>3.794178082191781</v>
      </c>
      <c r="AK765" s="8">
        <f t="shared" ca="1" si="186"/>
        <v>1.0001053938356164</v>
      </c>
      <c r="AL765" s="98">
        <f t="shared" ca="1" si="187"/>
        <v>3.5820456586836302</v>
      </c>
      <c r="AM765" s="106">
        <f t="shared" ca="1" si="179"/>
        <v>27875.084913181323</v>
      </c>
      <c r="AN765" s="10">
        <f t="shared" ca="1" si="180"/>
        <v>0.54690558014225399</v>
      </c>
      <c r="AO765" s="158"/>
      <c r="AP765" s="158"/>
      <c r="AQ765" s="1"/>
      <c r="AR765" s="1"/>
      <c r="AS765" s="1"/>
      <c r="AT765" s="1"/>
      <c r="AU765" s="1"/>
      <c r="BC765" s="23"/>
      <c r="BD765" s="23"/>
    </row>
    <row r="766" spans="34:56">
      <c r="AH766" s="6">
        <f t="shared" si="183"/>
        <v>736</v>
      </c>
      <c r="AI766" s="7">
        <f t="shared" ca="1" si="184"/>
        <v>43406</v>
      </c>
      <c r="AJ766" s="210">
        <f t="shared" ca="1" si="185"/>
        <v>3.79527397260274</v>
      </c>
      <c r="AK766" s="8">
        <f t="shared" ca="1" si="186"/>
        <v>1.0001054242770167</v>
      </c>
      <c r="AL766" s="98">
        <f t="shared" ca="1" si="187"/>
        <v>3.5825078394997378</v>
      </c>
      <c r="AM766" s="106">
        <f t="shared" ca="1" si="179"/>
        <v>27877.307763083034</v>
      </c>
      <c r="AN766" s="10">
        <f t="shared" ca="1" si="180"/>
        <v>0.547440905287222</v>
      </c>
      <c r="AO766" s="158"/>
      <c r="AP766" s="158"/>
      <c r="AQ766" s="1"/>
      <c r="AR766" s="1"/>
      <c r="AS766" s="1"/>
      <c r="AT766" s="1"/>
      <c r="AU766" s="1"/>
      <c r="BC766" s="23"/>
      <c r="BD766" s="23"/>
    </row>
    <row r="767" spans="34:56">
      <c r="AH767" s="6">
        <f t="shared" si="183"/>
        <v>737</v>
      </c>
      <c r="AI767" s="7">
        <f t="shared" ca="1" si="184"/>
        <v>43407</v>
      </c>
      <c r="AJ767" s="210">
        <f t="shared" ca="1" si="185"/>
        <v>3.7963698630136991</v>
      </c>
      <c r="AK767" s="8">
        <f t="shared" ca="1" si="186"/>
        <v>1.0001054547184169</v>
      </c>
      <c r="AL767" s="98">
        <f t="shared" ca="1" si="187"/>
        <v>3.5829703296137883</v>
      </c>
      <c r="AM767" s="106">
        <f t="shared" ca="1" si="179"/>
        <v>27879.530790242028</v>
      </c>
      <c r="AN767" s="10">
        <f t="shared" ca="1" si="180"/>
        <v>0.54797629627159061</v>
      </c>
      <c r="AO767" s="158"/>
      <c r="AP767" s="158"/>
      <c r="AQ767" s="1"/>
      <c r="AR767" s="1"/>
      <c r="AS767" s="1"/>
      <c r="AT767" s="1"/>
      <c r="AU767" s="1"/>
      <c r="BC767" s="23"/>
      <c r="BD767" s="23"/>
    </row>
    <row r="768" spans="34:56">
      <c r="AH768" s="6">
        <f t="shared" si="183"/>
        <v>738</v>
      </c>
      <c r="AI768" s="7">
        <f t="shared" ca="1" si="184"/>
        <v>43408</v>
      </c>
      <c r="AJ768" s="210">
        <f t="shared" ca="1" si="185"/>
        <v>3.7974657534246581</v>
      </c>
      <c r="AK768" s="8">
        <f t="shared" ca="1" si="186"/>
        <v>1.0001054851598175</v>
      </c>
      <c r="AL768" s="98">
        <f t="shared" ca="1" si="187"/>
        <v>3.5834331277809772</v>
      </c>
      <c r="AM768" s="106">
        <f t="shared" ca="1" si="179"/>
        <v>27881.753994672428</v>
      </c>
      <c r="AN768" s="10">
        <f t="shared" ca="1" si="180"/>
        <v>0.5485117528403638</v>
      </c>
      <c r="AO768" s="158"/>
      <c r="AP768" s="158"/>
      <c r="AQ768" s="1"/>
      <c r="AR768" s="1"/>
      <c r="AS768" s="1"/>
      <c r="AT768" s="1"/>
      <c r="AU768" s="1"/>
      <c r="BC768" s="23"/>
      <c r="BD768" s="23"/>
    </row>
    <row r="769" spans="34:56">
      <c r="AH769" s="6">
        <f t="shared" si="183"/>
        <v>739</v>
      </c>
      <c r="AI769" s="7">
        <f t="shared" ca="1" si="184"/>
        <v>43409</v>
      </c>
      <c r="AJ769" s="210">
        <f t="shared" ca="1" si="185"/>
        <v>3.7985616438356167</v>
      </c>
      <c r="AK769" s="8">
        <f t="shared" ca="1" si="186"/>
        <v>1.0001055156012177</v>
      </c>
      <c r="AL769" s="98">
        <f t="shared" ca="1" si="187"/>
        <v>3.5838962327631618</v>
      </c>
      <c r="AM769" s="106">
        <f t="shared" ca="1" si="179"/>
        <v>27883.977376388386</v>
      </c>
      <c r="AN769" s="10">
        <f t="shared" ca="1" si="180"/>
        <v>0.54904727473974457</v>
      </c>
      <c r="AO769" s="158"/>
      <c r="AP769" s="158"/>
      <c r="AQ769" s="1"/>
      <c r="AR769" s="1"/>
      <c r="AS769" s="1"/>
      <c r="AT769" s="1"/>
      <c r="AU769" s="1"/>
      <c r="BC769" s="23"/>
      <c r="BD769" s="23"/>
    </row>
    <row r="770" spans="34:56">
      <c r="AH770" s="6">
        <f t="shared" si="183"/>
        <v>740</v>
      </c>
      <c r="AI770" s="7">
        <f t="shared" ca="1" si="184"/>
        <v>43410</v>
      </c>
      <c r="AJ770" s="210">
        <f t="shared" ca="1" si="185"/>
        <v>3.7996575342465757</v>
      </c>
      <c r="AK770" s="8">
        <f t="shared" ca="1" si="186"/>
        <v>1.000105546042618</v>
      </c>
      <c r="AL770" s="98">
        <f t="shared" ca="1" si="187"/>
        <v>3.5843596433289271</v>
      </c>
      <c r="AM770" s="106">
        <f t="shared" ca="1" si="179"/>
        <v>27886.20093540402</v>
      </c>
      <c r="AN770" s="10">
        <f t="shared" ca="1" si="180"/>
        <v>0.54958286171751247</v>
      </c>
      <c r="AO770" s="158"/>
      <c r="AP770" s="158"/>
      <c r="AQ770" s="1"/>
      <c r="AR770" s="1"/>
      <c r="AS770" s="1"/>
      <c r="AT770" s="1"/>
      <c r="AU770" s="1"/>
      <c r="BC770" s="23"/>
      <c r="BD770" s="23"/>
    </row>
    <row r="771" spans="34:56">
      <c r="AH771" s="6">
        <f t="shared" si="183"/>
        <v>741</v>
      </c>
      <c r="AI771" s="7">
        <f t="shared" ca="1" si="184"/>
        <v>43411</v>
      </c>
      <c r="AJ771" s="210">
        <f t="shared" ca="1" si="185"/>
        <v>3.8007534246575347</v>
      </c>
      <c r="AK771" s="8">
        <f t="shared" ca="1" si="186"/>
        <v>1.0001055764840183</v>
      </c>
      <c r="AL771" s="98">
        <f t="shared" ca="1" si="187"/>
        <v>3.5848233582535194</v>
      </c>
      <c r="AM771" s="106">
        <f t="shared" ca="1" si="179"/>
        <v>27888.42467173349</v>
      </c>
      <c r="AN771" s="10">
        <f t="shared" ca="1" si="180"/>
        <v>0.55011851352262386</v>
      </c>
      <c r="AO771" s="158"/>
      <c r="AP771" s="158"/>
      <c r="AQ771" s="1"/>
      <c r="AR771" s="1"/>
      <c r="AS771" s="1"/>
      <c r="AT771" s="1"/>
      <c r="AU771" s="1"/>
      <c r="BC771" s="23"/>
      <c r="BD771" s="23"/>
    </row>
    <row r="772" spans="34:56">
      <c r="AH772" s="6">
        <f t="shared" si="183"/>
        <v>742</v>
      </c>
      <c r="AI772" s="7">
        <f t="shared" ca="1" si="184"/>
        <v>43412</v>
      </c>
      <c r="AJ772" s="210">
        <f t="shared" ca="1" si="185"/>
        <v>3.8018493150684933</v>
      </c>
      <c r="AK772" s="8">
        <f t="shared" ca="1" si="186"/>
        <v>1.0001056069254186</v>
      </c>
      <c r="AL772" s="98">
        <f t="shared" ca="1" si="187"/>
        <v>3.5852873763187576</v>
      </c>
      <c r="AM772" s="106">
        <f t="shared" ca="1" si="179"/>
        <v>27890.648585390918</v>
      </c>
      <c r="AN772" s="10">
        <f t="shared" ca="1" si="180"/>
        <v>0.55065422990547841</v>
      </c>
      <c r="AO772" s="158"/>
      <c r="AP772" s="158"/>
      <c r="AQ772" s="1"/>
      <c r="AR772" s="1"/>
      <c r="AS772" s="1"/>
      <c r="AT772" s="1"/>
      <c r="AU772" s="1"/>
      <c r="BC772" s="23"/>
      <c r="BD772" s="23"/>
    </row>
    <row r="773" spans="34:56">
      <c r="AH773" s="6">
        <f t="shared" si="183"/>
        <v>743</v>
      </c>
      <c r="AI773" s="7">
        <f t="shared" ca="1" si="184"/>
        <v>43413</v>
      </c>
      <c r="AJ773" s="210">
        <f t="shared" ca="1" si="185"/>
        <v>3.8029452054794524</v>
      </c>
      <c r="AK773" s="8">
        <f t="shared" ca="1" si="186"/>
        <v>1.0001056373668189</v>
      </c>
      <c r="AL773" s="98">
        <f t="shared" ca="1" si="187"/>
        <v>3.5857516963130331</v>
      </c>
      <c r="AM773" s="106">
        <f t="shared" ca="1" si="179"/>
        <v>27892.872676390452</v>
      </c>
      <c r="AN773" s="10">
        <f t="shared" ca="1" si="180"/>
        <v>0.55119001061785244</v>
      </c>
      <c r="AO773" s="158"/>
      <c r="AP773" s="158"/>
      <c r="AQ773" s="1"/>
      <c r="AR773" s="1"/>
      <c r="AS773" s="1"/>
      <c r="AT773" s="1"/>
      <c r="AU773" s="1"/>
      <c r="BC773" s="23"/>
      <c r="BD773" s="23"/>
    </row>
    <row r="774" spans="34:56">
      <c r="AH774" s="6">
        <f t="shared" si="183"/>
        <v>744</v>
      </c>
      <c r="AI774" s="7">
        <f t="shared" ca="1" si="184"/>
        <v>43414</v>
      </c>
      <c r="AJ774" s="210">
        <f t="shared" ca="1" si="185"/>
        <v>3.8040410958904114</v>
      </c>
      <c r="AK774" s="8">
        <f t="shared" ca="1" si="186"/>
        <v>1.0001056678082192</v>
      </c>
      <c r="AL774" s="98">
        <f t="shared" ca="1" si="187"/>
        <v>3.5862163170312655</v>
      </c>
      <c r="AM774" s="106">
        <f t="shared" ca="1" si="179"/>
        <v>27895.171090079395</v>
      </c>
      <c r="AN774" s="10">
        <f t="shared" ca="1" si="180"/>
        <v>0.55159473674022408</v>
      </c>
      <c r="AO774" s="158"/>
      <c r="AP774" s="158"/>
      <c r="AQ774" s="1"/>
      <c r="AR774" s="1"/>
      <c r="AS774" s="1"/>
      <c r="AT774" s="1"/>
      <c r="AU774" s="1"/>
      <c r="BC774" s="23"/>
      <c r="BD774" s="23"/>
    </row>
    <row r="775" spans="34:56">
      <c r="AH775" s="6">
        <f t="shared" si="183"/>
        <v>745</v>
      </c>
      <c r="AI775" s="7">
        <f t="shared" ca="1" si="184"/>
        <v>43415</v>
      </c>
      <c r="AJ775" s="210">
        <f t="shared" ca="1" si="185"/>
        <v>3.8051369863013704</v>
      </c>
      <c r="AK775" s="8">
        <f t="shared" ca="1" si="186"/>
        <v>1.0001056982496195</v>
      </c>
      <c r="AL775" s="98">
        <f t="shared" ca="1" si="187"/>
        <v>3.586681237274858</v>
      </c>
      <c r="AM775" s="106">
        <f t="shared" ca="1" si="179"/>
        <v>27897.469693161005</v>
      </c>
      <c r="AN775" s="10">
        <f t="shared" ca="1" si="180"/>
        <v>0.55199987747052148</v>
      </c>
      <c r="AO775" s="158"/>
      <c r="AP775" s="158"/>
      <c r="AQ775" s="1"/>
      <c r="AR775" s="1"/>
      <c r="AS775" s="1"/>
      <c r="AT775" s="1"/>
      <c r="AU775" s="1"/>
      <c r="BC775" s="23"/>
      <c r="BD775" s="23"/>
    </row>
    <row r="776" spans="34:56">
      <c r="AH776" s="6">
        <f t="shared" si="183"/>
        <v>746</v>
      </c>
      <c r="AI776" s="7">
        <f t="shared" ca="1" si="184"/>
        <v>43416</v>
      </c>
      <c r="AJ776" s="210">
        <f t="shared" ca="1" si="185"/>
        <v>3.806232876712329</v>
      </c>
      <c r="AK776" s="8">
        <f t="shared" ca="1" si="186"/>
        <v>1.0001057286910198</v>
      </c>
      <c r="AL776" s="98">
        <f t="shared" ca="1" si="187"/>
        <v>3.5871464558516086</v>
      </c>
      <c r="AM776" s="106">
        <f t="shared" ca="1" si="179"/>
        <v>27899.768485650886</v>
      </c>
      <c r="AN776" s="10">
        <f t="shared" ca="1" si="180"/>
        <v>0.55240543115289142</v>
      </c>
      <c r="AO776" s="158"/>
      <c r="AP776" s="158"/>
      <c r="AQ776" s="1"/>
      <c r="AR776" s="1"/>
      <c r="AS776" s="1"/>
      <c r="AT776" s="1"/>
      <c r="AU776" s="1"/>
      <c r="BC776" s="23"/>
      <c r="BD776" s="23"/>
    </row>
    <row r="777" spans="34:56">
      <c r="AH777" s="6">
        <f t="shared" si="183"/>
        <v>747</v>
      </c>
      <c r="AI777" s="7">
        <f t="shared" ca="1" si="184"/>
        <v>43417</v>
      </c>
      <c r="AJ777" s="210">
        <f t="shared" ca="1" si="185"/>
        <v>3.807328767123288</v>
      </c>
      <c r="AK777" s="8">
        <f t="shared" ca="1" si="186"/>
        <v>1.0001057591324201</v>
      </c>
      <c r="AL777" s="98">
        <f t="shared" ca="1" si="187"/>
        <v>3.5876119715757326</v>
      </c>
      <c r="AM777" s="106">
        <f t="shared" ca="1" si="179"/>
        <v>27902.067467564644</v>
      </c>
      <c r="AN777" s="10">
        <f t="shared" ca="1" si="180"/>
        <v>0.55281139614038466</v>
      </c>
      <c r="AO777" s="158"/>
      <c r="AP777" s="158"/>
      <c r="AQ777" s="1"/>
      <c r="AR777" s="1"/>
      <c r="AS777" s="1"/>
      <c r="AT777" s="1"/>
      <c r="AU777" s="1"/>
      <c r="BC777" s="23"/>
      <c r="BD777" s="23"/>
    </row>
    <row r="778" spans="34:56">
      <c r="AH778" s="6">
        <f t="shared" si="183"/>
        <v>748</v>
      </c>
      <c r="AI778" s="7">
        <f t="shared" ca="1" si="184"/>
        <v>43418</v>
      </c>
      <c r="AJ778" s="210">
        <f t="shared" ca="1" si="185"/>
        <v>3.8084246575342471</v>
      </c>
      <c r="AK778" s="8">
        <f t="shared" ca="1" si="186"/>
        <v>1.0001057895738203</v>
      </c>
      <c r="AL778" s="98">
        <f t="shared" ca="1" si="187"/>
        <v>3.5880777832677957</v>
      </c>
      <c r="AM778" s="106">
        <f t="shared" ca="1" si="179"/>
        <v>27904.366638917887</v>
      </c>
      <c r="AN778" s="10">
        <f t="shared" ca="1" si="180"/>
        <v>0.55321777079488932</v>
      </c>
      <c r="AO778" s="158"/>
      <c r="AP778" s="158"/>
      <c r="AQ778" s="1"/>
      <c r="AR778" s="1"/>
      <c r="AS778" s="1"/>
      <c r="AT778" s="1"/>
      <c r="AU778" s="1"/>
      <c r="BC778" s="23"/>
      <c r="BD778" s="23"/>
    </row>
    <row r="779" spans="34:56">
      <c r="AH779" s="6">
        <f t="shared" si="183"/>
        <v>749</v>
      </c>
      <c r="AI779" s="7">
        <f t="shared" ca="1" si="184"/>
        <v>43419</v>
      </c>
      <c r="AJ779" s="210">
        <f t="shared" ca="1" si="185"/>
        <v>3.8095205479452057</v>
      </c>
      <c r="AK779" s="8">
        <f t="shared" ca="1" si="186"/>
        <v>1.0001058200152206</v>
      </c>
      <c r="AL779" s="98">
        <f t="shared" ca="1" si="187"/>
        <v>3.5885438897546251</v>
      </c>
      <c r="AM779" s="106">
        <f t="shared" ca="1" si="179"/>
        <v>27906.665999726229</v>
      </c>
      <c r="AN779" s="10">
        <f t="shared" ca="1" si="180"/>
        <v>0.55362455348697548</v>
      </c>
      <c r="AO779" s="158"/>
      <c r="AP779" s="158"/>
      <c r="AQ779" s="1"/>
      <c r="AR779" s="1"/>
      <c r="AS779" s="1"/>
      <c r="AT779" s="1"/>
      <c r="AU779" s="1"/>
      <c r="BC779" s="23"/>
      <c r="BD779" s="23"/>
    </row>
    <row r="780" spans="34:56">
      <c r="AH780" s="6">
        <f t="shared" si="183"/>
        <v>750</v>
      </c>
      <c r="AI780" s="7">
        <f t="shared" ca="1" si="184"/>
        <v>43420</v>
      </c>
      <c r="AJ780" s="210">
        <f t="shared" ca="1" si="185"/>
        <v>3.8106164383561647</v>
      </c>
      <c r="AK780" s="8">
        <f t="shared" ca="1" si="186"/>
        <v>1.0001058504566209</v>
      </c>
      <c r="AL780" s="98">
        <f t="shared" ca="1" si="187"/>
        <v>3.5890102898693321</v>
      </c>
      <c r="AM780" s="106">
        <f t="shared" ca="1" si="179"/>
        <v>27908.965550005283</v>
      </c>
      <c r="AN780" s="10">
        <f t="shared" ca="1" si="180"/>
        <v>0.55403174259596177</v>
      </c>
      <c r="AO780" s="158"/>
      <c r="AP780" s="158"/>
      <c r="AQ780" s="1"/>
      <c r="AR780" s="1"/>
      <c r="AS780" s="1"/>
      <c r="AT780" s="1"/>
      <c r="AU780" s="1"/>
      <c r="BC780" s="23"/>
      <c r="BD780" s="23"/>
    </row>
    <row r="781" spans="34:56">
      <c r="AH781" s="6">
        <f t="shared" si="183"/>
        <v>751</v>
      </c>
      <c r="AI781" s="7">
        <f t="shared" ca="1" si="184"/>
        <v>43421</v>
      </c>
      <c r="AJ781" s="210">
        <f t="shared" ca="1" si="185"/>
        <v>3.8117123287671237</v>
      </c>
      <c r="AK781" s="8">
        <f t="shared" ca="1" si="186"/>
        <v>1.0001058808980212</v>
      </c>
      <c r="AL781" s="98">
        <f t="shared" ca="1" si="187"/>
        <v>3.5894769824512451</v>
      </c>
      <c r="AM781" s="106">
        <f t="shared" ca="1" si="179"/>
        <v>27911.265289770654</v>
      </c>
      <c r="AN781" s="10">
        <f t="shared" ca="1" si="180"/>
        <v>0.55443933650978217</v>
      </c>
      <c r="AO781" s="158"/>
      <c r="AP781" s="158"/>
      <c r="AQ781" s="1"/>
      <c r="AR781" s="1"/>
      <c r="AS781" s="1"/>
      <c r="AT781" s="1"/>
      <c r="AU781" s="1"/>
      <c r="BC781" s="23"/>
      <c r="BD781" s="23"/>
    </row>
    <row r="782" spans="34:56">
      <c r="AH782" s="6">
        <f t="shared" si="183"/>
        <v>752</v>
      </c>
      <c r="AI782" s="7">
        <f t="shared" ca="1" si="184"/>
        <v>43422</v>
      </c>
      <c r="AJ782" s="210">
        <f t="shared" ca="1" si="185"/>
        <v>3.8128082191780828</v>
      </c>
      <c r="AK782" s="8">
        <f t="shared" ca="1" si="186"/>
        <v>1.0001059113394215</v>
      </c>
      <c r="AL782" s="98">
        <f t="shared" ca="1" si="187"/>
        <v>3.5899439663458432</v>
      </c>
      <c r="AM782" s="106">
        <f t="shared" ca="1" si="179"/>
        <v>27913.565219037962</v>
      </c>
      <c r="AN782" s="10">
        <f t="shared" ca="1" si="180"/>
        <v>0.55484733362496375</v>
      </c>
      <c r="AO782" s="158"/>
      <c r="AP782" s="158"/>
      <c r="AQ782" s="1"/>
      <c r="AR782" s="1"/>
      <c r="AS782" s="1"/>
      <c r="AT782" s="1"/>
      <c r="AU782" s="1"/>
      <c r="BC782" s="23"/>
      <c r="BD782" s="23"/>
    </row>
    <row r="783" spans="34:56">
      <c r="AH783" s="6">
        <f t="shared" si="183"/>
        <v>753</v>
      </c>
      <c r="AI783" s="7">
        <f t="shared" ca="1" si="184"/>
        <v>43423</v>
      </c>
      <c r="AJ783" s="210">
        <f t="shared" ca="1" si="185"/>
        <v>3.8139041095890414</v>
      </c>
      <c r="AK783" s="8">
        <f t="shared" ca="1" si="186"/>
        <v>1.000105941780822</v>
      </c>
      <c r="AL783" s="98">
        <f t="shared" ca="1" si="187"/>
        <v>3.5904112404048005</v>
      </c>
      <c r="AM783" s="106">
        <f t="shared" ca="1" si="179"/>
        <v>27915.865337822826</v>
      </c>
      <c r="AN783" s="10">
        <f t="shared" ca="1" si="180"/>
        <v>0.55525573234656012</v>
      </c>
      <c r="AO783" s="158"/>
      <c r="AP783" s="158"/>
      <c r="AQ783" s="1"/>
      <c r="AR783" s="1"/>
      <c r="AS783" s="1"/>
      <c r="AT783" s="1"/>
      <c r="AU783" s="1"/>
      <c r="BC783" s="23"/>
      <c r="BD783" s="23"/>
    </row>
    <row r="784" spans="34:56">
      <c r="AH784" s="6">
        <f t="shared" si="183"/>
        <v>754</v>
      </c>
      <c r="AI784" s="7">
        <f t="shared" ca="1" si="184"/>
        <v>43424</v>
      </c>
      <c r="AJ784" s="210">
        <f t="shared" ca="1" si="185"/>
        <v>3.8150000000000004</v>
      </c>
      <c r="AK784" s="8">
        <f t="shared" ca="1" si="186"/>
        <v>1.0001059722222223</v>
      </c>
      <c r="AL784" s="98">
        <f t="shared" ca="1" si="187"/>
        <v>3.5908788034858308</v>
      </c>
      <c r="AM784" s="106">
        <f t="shared" ca="1" si="179"/>
        <v>27918.165646140849</v>
      </c>
      <c r="AN784" s="10">
        <f t="shared" ca="1" si="180"/>
        <v>0.55566453108810698</v>
      </c>
      <c r="AO784" s="158"/>
      <c r="AP784" s="158"/>
      <c r="AQ784" s="1"/>
      <c r="AR784" s="1"/>
      <c r="AS784" s="1"/>
      <c r="AT784" s="1"/>
      <c r="AU784" s="1"/>
      <c r="BC784" s="23"/>
      <c r="BD784" s="23"/>
    </row>
    <row r="785" spans="34:56">
      <c r="AH785" s="6">
        <f t="shared" si="183"/>
        <v>755</v>
      </c>
      <c r="AI785" s="7">
        <f t="shared" ca="1" si="184"/>
        <v>43425</v>
      </c>
      <c r="AJ785" s="210">
        <f t="shared" ca="1" si="185"/>
        <v>3.8160958904109594</v>
      </c>
      <c r="AK785" s="8">
        <f t="shared" ca="1" si="186"/>
        <v>1.0001060026636226</v>
      </c>
      <c r="AL785" s="98">
        <f t="shared" ca="1" si="187"/>
        <v>3.5913466544527095</v>
      </c>
      <c r="AM785" s="106">
        <f t="shared" ca="1" si="179"/>
        <v>27920.466144007656</v>
      </c>
      <c r="AN785" s="10">
        <f t="shared" ca="1" si="180"/>
        <v>0.55607372827146673</v>
      </c>
      <c r="AO785" s="158"/>
      <c r="AP785" s="158"/>
      <c r="AQ785" s="1"/>
      <c r="AR785" s="1"/>
      <c r="AS785" s="1"/>
      <c r="AT785" s="1"/>
      <c r="AU785" s="1"/>
      <c r="BC785" s="23"/>
      <c r="BD785" s="23"/>
    </row>
    <row r="786" spans="34:56">
      <c r="AH786" s="6">
        <f t="shared" si="183"/>
        <v>756</v>
      </c>
      <c r="AI786" s="7">
        <f t="shared" ca="1" si="184"/>
        <v>43426</v>
      </c>
      <c r="AJ786" s="210">
        <f t="shared" ca="1" si="185"/>
        <v>3.817191780821918</v>
      </c>
      <c r="AK786" s="8">
        <f t="shared" ca="1" si="186"/>
        <v>1.0001060331050229</v>
      </c>
      <c r="AL786" s="98">
        <f t="shared" ca="1" si="187"/>
        <v>3.5918147921752519</v>
      </c>
      <c r="AM786" s="106">
        <f t="shared" ca="1" si="179"/>
        <v>27922.766831438876</v>
      </c>
      <c r="AN786" s="10">
        <f t="shared" ca="1" si="180"/>
        <v>0.55648332232691722</v>
      </c>
      <c r="AO786" s="158"/>
      <c r="AP786" s="158"/>
      <c r="AQ786" s="1"/>
      <c r="AR786" s="1"/>
      <c r="AS786" s="1"/>
      <c r="AT786" s="1"/>
      <c r="AU786" s="1"/>
      <c r="BC786" s="23"/>
      <c r="BD786" s="23"/>
    </row>
    <row r="787" spans="34:56">
      <c r="AH787" s="6">
        <f t="shared" si="183"/>
        <v>757</v>
      </c>
      <c r="AI787" s="7">
        <f t="shared" ca="1" si="184"/>
        <v>43427</v>
      </c>
      <c r="AJ787" s="210">
        <f t="shared" ca="1" si="185"/>
        <v>3.818287671232877</v>
      </c>
      <c r="AK787" s="8">
        <f t="shared" ca="1" si="186"/>
        <v>1.0001060635464232</v>
      </c>
      <c r="AL787" s="98">
        <f t="shared" ca="1" si="187"/>
        <v>3.5922832155292239</v>
      </c>
      <c r="AM787" s="106">
        <f t="shared" ca="1" si="179"/>
        <v>27925.067708450115</v>
      </c>
      <c r="AN787" s="10">
        <f t="shared" ca="1" si="180"/>
        <v>0.55689331169310741</v>
      </c>
      <c r="AO787" s="158"/>
      <c r="AP787" s="158"/>
      <c r="AQ787" s="1"/>
      <c r="AR787" s="1"/>
      <c r="AS787" s="1"/>
      <c r="AT787" s="1"/>
      <c r="AU787" s="1"/>
      <c r="BC787" s="23"/>
      <c r="BD787" s="23"/>
    </row>
    <row r="788" spans="34:56">
      <c r="AH788" s="6">
        <f t="shared" si="183"/>
        <v>758</v>
      </c>
      <c r="AI788" s="7">
        <f t="shared" ca="1" si="184"/>
        <v>43428</v>
      </c>
      <c r="AJ788" s="210">
        <f t="shared" ca="1" si="185"/>
        <v>3.8193835616438361</v>
      </c>
      <c r="AK788" s="8">
        <f t="shared" ca="1" si="186"/>
        <v>1.0001060939878235</v>
      </c>
      <c r="AL788" s="98">
        <f t="shared" ca="1" si="187"/>
        <v>3.5927519233963423</v>
      </c>
      <c r="AM788" s="106">
        <f t="shared" ca="1" si="179"/>
        <v>27927.368775057002</v>
      </c>
      <c r="AN788" s="10">
        <f t="shared" ca="1" si="180"/>
        <v>0.55730369481676867</v>
      </c>
      <c r="AO788" s="158"/>
      <c r="AP788" s="158"/>
      <c r="AQ788" s="1"/>
      <c r="AR788" s="1"/>
      <c r="AS788" s="1"/>
      <c r="AT788" s="1"/>
      <c r="AU788" s="1"/>
      <c r="BC788" s="23"/>
      <c r="BD788" s="23"/>
    </row>
    <row r="789" spans="34:56">
      <c r="AH789" s="6">
        <f t="shared" si="183"/>
        <v>759</v>
      </c>
      <c r="AI789" s="7">
        <f t="shared" ca="1" si="184"/>
        <v>43429</v>
      </c>
      <c r="AJ789" s="210">
        <f t="shared" ca="1" si="185"/>
        <v>3.8204794520547951</v>
      </c>
      <c r="AK789" s="8">
        <f t="shared" ca="1" si="186"/>
        <v>1.0001061244292238</v>
      </c>
      <c r="AL789" s="98">
        <f t="shared" ca="1" si="187"/>
        <v>3.593220914664208</v>
      </c>
      <c r="AM789" s="106">
        <f t="shared" ca="1" si="179"/>
        <v>27929.67003127516</v>
      </c>
      <c r="AN789" s="10">
        <f t="shared" ca="1" si="180"/>
        <v>0.55771447015298126</v>
      </c>
      <c r="AO789" s="158"/>
      <c r="AP789" s="158"/>
      <c r="AQ789" s="1"/>
      <c r="AR789" s="1"/>
      <c r="AS789" s="1"/>
      <c r="AT789" s="1"/>
      <c r="AU789" s="1"/>
      <c r="BC789" s="23"/>
      <c r="BD789" s="23"/>
    </row>
    <row r="790" spans="34:56">
      <c r="AH790" s="6">
        <f t="shared" si="183"/>
        <v>760</v>
      </c>
      <c r="AI790" s="7">
        <f t="shared" ca="1" si="184"/>
        <v>43430</v>
      </c>
      <c r="AJ790" s="210">
        <f t="shared" ca="1" si="185"/>
        <v>3.8215753424657537</v>
      </c>
      <c r="AK790" s="8">
        <f t="shared" ca="1" si="186"/>
        <v>1.000106154870624</v>
      </c>
      <c r="AL790" s="98">
        <f t="shared" ca="1" si="187"/>
        <v>3.5936901882262839</v>
      </c>
      <c r="AM790" s="106">
        <f t="shared" ca="1" si="179"/>
        <v>27931.971477120209</v>
      </c>
      <c r="AN790" s="10">
        <f t="shared" ca="1" si="180"/>
        <v>0.55812563616484123</v>
      </c>
      <c r="AO790" s="158"/>
      <c r="AP790" s="158"/>
      <c r="AQ790" s="1"/>
      <c r="AR790" s="1"/>
      <c r="AS790" s="1"/>
      <c r="AT790" s="1"/>
      <c r="AU790" s="1"/>
      <c r="BC790" s="23"/>
      <c r="BD790" s="23"/>
    </row>
    <row r="791" spans="34:56">
      <c r="AH791" s="6">
        <f t="shared" si="183"/>
        <v>761</v>
      </c>
      <c r="AI791" s="7">
        <f t="shared" ca="1" si="184"/>
        <v>43431</v>
      </c>
      <c r="AJ791" s="210">
        <f t="shared" ca="1" si="185"/>
        <v>3.8226712328767127</v>
      </c>
      <c r="AK791" s="8">
        <f t="shared" ca="1" si="186"/>
        <v>1.0001061853120243</v>
      </c>
      <c r="AL791" s="98">
        <f t="shared" ca="1" si="187"/>
        <v>3.5941597429818506</v>
      </c>
      <c r="AM791" s="106">
        <f t="shared" ca="1" si="179"/>
        <v>27934.273112607774</v>
      </c>
      <c r="AN791" s="10">
        <f t="shared" ca="1" si="180"/>
        <v>0.5585371913235937</v>
      </c>
      <c r="AO791" s="158"/>
      <c r="AP791" s="158"/>
      <c r="AQ791" s="1"/>
      <c r="AR791" s="1"/>
      <c r="AS791" s="1"/>
      <c r="AT791" s="1"/>
      <c r="AU791" s="1"/>
      <c r="BC791" s="23"/>
      <c r="BD791" s="23"/>
    </row>
    <row r="792" spans="34:56">
      <c r="AH792" s="6">
        <f t="shared" si="183"/>
        <v>762</v>
      </c>
      <c r="AI792" s="7">
        <f t="shared" ca="1" si="184"/>
        <v>43432</v>
      </c>
      <c r="AJ792" s="210">
        <f t="shared" ca="1" si="185"/>
        <v>3.8237671232876718</v>
      </c>
      <c r="AK792" s="8">
        <f t="shared" ca="1" si="186"/>
        <v>1.0001062157534246</v>
      </c>
      <c r="AL792" s="98">
        <f t="shared" ca="1" si="187"/>
        <v>3.5946295778359838</v>
      </c>
      <c r="AM792" s="106">
        <f t="shared" ca="1" si="179"/>
        <v>27936.574937753488</v>
      </c>
      <c r="AN792" s="10">
        <f t="shared" ca="1" si="180"/>
        <v>0.55894913410852176</v>
      </c>
      <c r="AO792" s="158"/>
      <c r="AP792" s="158"/>
      <c r="AQ792" s="1"/>
      <c r="AR792" s="1"/>
      <c r="AS792" s="1"/>
      <c r="AT792" s="1"/>
      <c r="AU792" s="1"/>
      <c r="BC792" s="23"/>
      <c r="BD792" s="23"/>
    </row>
    <row r="793" spans="34:56">
      <c r="AH793" s="6">
        <f t="shared" si="183"/>
        <v>763</v>
      </c>
      <c r="AI793" s="7">
        <f t="shared" ca="1" si="184"/>
        <v>43433</v>
      </c>
      <c r="AJ793" s="210">
        <f t="shared" ca="1" si="185"/>
        <v>3.8248630136986304</v>
      </c>
      <c r="AK793" s="8">
        <f t="shared" ca="1" si="186"/>
        <v>1.0001062461948249</v>
      </c>
      <c r="AL793" s="98">
        <f t="shared" ca="1" si="187"/>
        <v>3.595099691699466</v>
      </c>
      <c r="AM793" s="106">
        <f t="shared" ca="1" si="179"/>
        <v>27938.876952572977</v>
      </c>
      <c r="AN793" s="10">
        <f t="shared" ca="1" si="180"/>
        <v>0.55936146300681333</v>
      </c>
      <c r="AO793" s="158"/>
      <c r="AP793" s="158"/>
      <c r="AQ793" s="1"/>
      <c r="AR793" s="1"/>
      <c r="AS793" s="1"/>
      <c r="AT793" s="1"/>
      <c r="AU793" s="1"/>
      <c r="BC793" s="23"/>
      <c r="BD793" s="23"/>
    </row>
    <row r="794" spans="34:56">
      <c r="AH794" s="6">
        <f t="shared" si="183"/>
        <v>764</v>
      </c>
      <c r="AI794" s="7">
        <f t="shared" ca="1" si="184"/>
        <v>43434</v>
      </c>
      <c r="AJ794" s="210">
        <f t="shared" ca="1" si="185"/>
        <v>3.8259589041095894</v>
      </c>
      <c r="AK794" s="8">
        <f t="shared" ca="1" si="186"/>
        <v>1.0001062766362252</v>
      </c>
      <c r="AL794" s="98">
        <f t="shared" ca="1" si="187"/>
        <v>3.5955700834888304</v>
      </c>
      <c r="AM794" s="106">
        <f t="shared" ca="1" si="179"/>
        <v>27941.179157081864</v>
      </c>
      <c r="AN794" s="10">
        <f t="shared" ca="1" si="180"/>
        <v>0.55977417651367212</v>
      </c>
      <c r="AO794" s="158"/>
      <c r="AP794" s="158"/>
      <c r="AQ794" s="1"/>
      <c r="AR794" s="1"/>
      <c r="AS794" s="1"/>
      <c r="AT794" s="1"/>
      <c r="AU794" s="1"/>
      <c r="BC794" s="23"/>
      <c r="BD794" s="23"/>
    </row>
    <row r="795" spans="34:56">
      <c r="AH795" s="6">
        <f t="shared" si="183"/>
        <v>765</v>
      </c>
      <c r="AI795" s="7">
        <f t="shared" ca="1" si="184"/>
        <v>43435</v>
      </c>
      <c r="AJ795" s="210">
        <f t="shared" ca="1" si="185"/>
        <v>3.8270547945205484</v>
      </c>
      <c r="AK795" s="8">
        <f t="shared" ca="1" si="186"/>
        <v>1.0001063070776255</v>
      </c>
      <c r="AL795" s="98">
        <f t="shared" ca="1" si="187"/>
        <v>3.5960407521262283</v>
      </c>
      <c r="AM795" s="106">
        <f t="shared" ca="1" si="179"/>
        <v>27943.48155129579</v>
      </c>
      <c r="AN795" s="10">
        <f t="shared" ca="1" si="180"/>
        <v>0.5601872731320956</v>
      </c>
      <c r="AO795" s="158"/>
      <c r="AP795" s="158"/>
      <c r="AQ795" s="1"/>
      <c r="AR795" s="1"/>
      <c r="AS795" s="1"/>
      <c r="AT795" s="1"/>
      <c r="AU795" s="1"/>
      <c r="BC795" s="23"/>
      <c r="BD795" s="23"/>
    </row>
    <row r="796" spans="34:56">
      <c r="AH796" s="6">
        <f t="shared" si="183"/>
        <v>766</v>
      </c>
      <c r="AI796" s="7">
        <f t="shared" ca="1" si="184"/>
        <v>43436</v>
      </c>
      <c r="AJ796" s="210">
        <f t="shared" ca="1" si="185"/>
        <v>3.8281506849315075</v>
      </c>
      <c r="AK796" s="8">
        <f t="shared" ca="1" si="186"/>
        <v>1.0001063375190258</v>
      </c>
      <c r="AL796" s="98">
        <f t="shared" ca="1" si="187"/>
        <v>3.596511696539495</v>
      </c>
      <c r="AM796" s="106">
        <f t="shared" ca="1" si="179"/>
        <v>27945.78413523038</v>
      </c>
      <c r="AN796" s="10">
        <f t="shared" ca="1" si="180"/>
        <v>0.56060075137298604</v>
      </c>
      <c r="AO796" s="158"/>
      <c r="AP796" s="158"/>
      <c r="AQ796" s="1"/>
      <c r="AR796" s="1"/>
      <c r="AS796" s="1"/>
      <c r="AT796" s="1"/>
      <c r="AU796" s="1"/>
      <c r="BC796" s="23"/>
      <c r="BD796" s="23"/>
    </row>
    <row r="797" spans="34:56">
      <c r="AH797" s="6">
        <f t="shared" si="183"/>
        <v>767</v>
      </c>
      <c r="AI797" s="7">
        <f t="shared" ca="1" si="184"/>
        <v>43437</v>
      </c>
      <c r="AJ797" s="210">
        <f t="shared" ca="1" si="185"/>
        <v>3.829246575342466</v>
      </c>
      <c r="AK797" s="8">
        <f t="shared" ca="1" si="186"/>
        <v>1.0001063679604263</v>
      </c>
      <c r="AL797" s="98">
        <f t="shared" ca="1" si="187"/>
        <v>3.596982915662017</v>
      </c>
      <c r="AM797" s="106">
        <f t="shared" ca="1" si="179"/>
        <v>27948.086908901274</v>
      </c>
      <c r="AN797" s="10">
        <f t="shared" ca="1" si="180"/>
        <v>0.56101460975492845</v>
      </c>
      <c r="AO797" s="158"/>
      <c r="AP797" s="158"/>
      <c r="AQ797" s="1"/>
      <c r="AR797" s="1"/>
      <c r="AS797" s="1"/>
      <c r="AT797" s="1"/>
      <c r="AU797" s="1"/>
      <c r="BC797" s="23"/>
      <c r="BD797" s="23"/>
    </row>
    <row r="798" spans="34:56">
      <c r="AH798" s="6">
        <f t="shared" si="183"/>
        <v>768</v>
      </c>
      <c r="AI798" s="7">
        <f t="shared" ca="1" si="184"/>
        <v>43438</v>
      </c>
      <c r="AJ798" s="210">
        <f t="shared" ca="1" si="185"/>
        <v>3.8303424657534251</v>
      </c>
      <c r="AK798" s="8">
        <f t="shared" ca="1" si="186"/>
        <v>1.0001063984018266</v>
      </c>
      <c r="AL798" s="98">
        <f t="shared" ca="1" si="187"/>
        <v>3.5974544084327542</v>
      </c>
      <c r="AM798" s="106">
        <f t="shared" ca="1" si="179"/>
        <v>27950.389872324093</v>
      </c>
      <c r="AN798" s="10">
        <f t="shared" ca="1" si="180"/>
        <v>0.5614288468042794</v>
      </c>
      <c r="AO798" s="158"/>
      <c r="AP798" s="158"/>
      <c r="AQ798" s="1"/>
      <c r="AR798" s="1"/>
      <c r="AS798" s="1"/>
      <c r="AT798" s="1"/>
      <c r="AU798" s="1"/>
      <c r="BC798" s="23"/>
      <c r="BD798" s="23"/>
    </row>
    <row r="799" spans="34:56">
      <c r="AH799" s="6">
        <f t="shared" si="183"/>
        <v>769</v>
      </c>
      <c r="AI799" s="7">
        <f t="shared" ca="1" si="184"/>
        <v>43439</v>
      </c>
      <c r="AJ799" s="210">
        <f t="shared" ca="1" si="185"/>
        <v>3.8314383561643841</v>
      </c>
      <c r="AK799" s="8">
        <f t="shared" ca="1" si="186"/>
        <v>1.0001064288432269</v>
      </c>
      <c r="AL799" s="98">
        <f t="shared" ca="1" si="187"/>
        <v>3.5979261737961954</v>
      </c>
      <c r="AM799" s="106">
        <f t="shared" ref="AM799:AM862" ca="1" si="188">Geom_Interp(AI799,$AZ$2:$AZ$109,$BA$2:$BA$109)</f>
        <v>27952.693025514487</v>
      </c>
      <c r="AN799" s="10">
        <f t="shared" ref="AN799:AN862" ca="1" si="189">100*(((1+AL799/100)^(AH799/365)*$AM$29/AM799)^(365/AH799)-1)</f>
        <v>0.5618434610550338</v>
      </c>
      <c r="AO799" s="158"/>
      <c r="AP799" s="158"/>
      <c r="AQ799" s="1"/>
      <c r="AR799" s="1"/>
      <c r="AS799" s="1"/>
      <c r="AT799" s="1"/>
      <c r="AU799" s="1"/>
      <c r="BC799" s="23"/>
      <c r="BD799" s="23"/>
    </row>
    <row r="800" spans="34:56">
      <c r="AH800" s="6">
        <f t="shared" ref="AH800:AH863" si="190">$AI$29+AH799</f>
        <v>770</v>
      </c>
      <c r="AI800" s="7">
        <f t="shared" ref="AI800:AI863" ca="1" si="191">+AH800+$C$1</f>
        <v>43440</v>
      </c>
      <c r="AJ800" s="210">
        <f t="shared" ref="AJ800:AJ863" ca="1" si="192">IF(AH800&lt;365,VLOOKUP(LOOKUP(AI800,$AI$2:$AI$23),$AI$2:$AK$23,3,0),Lin_Interp(AH800,$AJ$2:$AJ$23,$AK$2:$AK$23))</f>
        <v>3.8325342465753427</v>
      </c>
      <c r="AK800" s="8">
        <f t="shared" ca="1" si="186"/>
        <v>1.0001064592846272</v>
      </c>
      <c r="AL800" s="98">
        <f t="shared" ca="1" si="187"/>
        <v>3.5983982107022694</v>
      </c>
      <c r="AM800" s="106">
        <f t="shared" ca="1" si="188"/>
        <v>27954.99636848809</v>
      </c>
      <c r="AN800" s="10">
        <f t="shared" ca="1" si="189"/>
        <v>0.56225845104882488</v>
      </c>
      <c r="AO800" s="158"/>
      <c r="AP800" s="158"/>
      <c r="AQ800" s="1"/>
      <c r="AR800" s="1"/>
      <c r="AS800" s="1"/>
      <c r="AT800" s="1"/>
      <c r="AU800" s="1"/>
      <c r="BC800" s="23"/>
      <c r="BD800" s="23"/>
    </row>
    <row r="801" spans="34:56">
      <c r="AH801" s="6">
        <f t="shared" si="190"/>
        <v>771</v>
      </c>
      <c r="AI801" s="7">
        <f t="shared" ca="1" si="191"/>
        <v>43441</v>
      </c>
      <c r="AJ801" s="210">
        <f t="shared" ca="1" si="192"/>
        <v>3.8336301369863017</v>
      </c>
      <c r="AK801" s="8">
        <f t="shared" ref="AK801:AK864" ca="1" si="193">+(1+AJ801/36000)</f>
        <v>1.0001064897260274</v>
      </c>
      <c r="AL801" s="98">
        <f t="shared" ref="AL801:AL864" ca="1" si="194">100*(((1+AL800/100)^(AH800/365)*AK801)^(365/AH801)-1)</f>
        <v>3.598870518106434</v>
      </c>
      <c r="AM801" s="106">
        <f t="shared" ca="1" si="188"/>
        <v>27957.299901260532</v>
      </c>
      <c r="AN801" s="10">
        <f t="shared" ca="1" si="189"/>
        <v>0.56267381533490202</v>
      </c>
      <c r="AO801" s="158"/>
      <c r="AP801" s="158"/>
      <c r="AQ801" s="1"/>
      <c r="AR801" s="1"/>
      <c r="AS801" s="1"/>
      <c r="AT801" s="1"/>
      <c r="AU801" s="1"/>
      <c r="BC801" s="23"/>
      <c r="BD801" s="23"/>
    </row>
    <row r="802" spans="34:56">
      <c r="AH802" s="6">
        <f t="shared" si="190"/>
        <v>772</v>
      </c>
      <c r="AI802" s="7">
        <f t="shared" ca="1" si="191"/>
        <v>43442</v>
      </c>
      <c r="AJ802" s="210">
        <f t="shared" ca="1" si="192"/>
        <v>3.8347260273972608</v>
      </c>
      <c r="AK802" s="8">
        <f t="shared" ca="1" si="193"/>
        <v>1.0001065201674277</v>
      </c>
      <c r="AL802" s="98">
        <f t="shared" ca="1" si="194"/>
        <v>3.5993430949694982</v>
      </c>
      <c r="AM802" s="106">
        <f t="shared" ca="1" si="188"/>
        <v>27959.603623847466</v>
      </c>
      <c r="AN802" s="10">
        <f t="shared" ca="1" si="189"/>
        <v>0.56308955246993087</v>
      </c>
      <c r="AO802" s="158"/>
      <c r="AP802" s="158"/>
      <c r="AQ802" s="1"/>
      <c r="AR802" s="1"/>
      <c r="AS802" s="1"/>
      <c r="AT802" s="1"/>
      <c r="AU802" s="1"/>
      <c r="BC802" s="23"/>
      <c r="BD802" s="23"/>
    </row>
    <row r="803" spans="34:56">
      <c r="AH803" s="6">
        <f t="shared" si="190"/>
        <v>773</v>
      </c>
      <c r="AI803" s="7">
        <f t="shared" ca="1" si="191"/>
        <v>43443</v>
      </c>
      <c r="AJ803" s="210">
        <f t="shared" ca="1" si="192"/>
        <v>3.8358219178082198</v>
      </c>
      <c r="AK803" s="8">
        <f t="shared" ca="1" si="193"/>
        <v>1.000106550608828</v>
      </c>
      <c r="AL803" s="98">
        <f t="shared" ca="1" si="194"/>
        <v>3.5998159402576668</v>
      </c>
      <c r="AM803" s="106">
        <f t="shared" ca="1" si="188"/>
        <v>27961.90753626452</v>
      </c>
      <c r="AN803" s="10">
        <f t="shared" ca="1" si="189"/>
        <v>0.56350566101814881</v>
      </c>
      <c r="AO803" s="158"/>
      <c r="AP803" s="158"/>
      <c r="AQ803" s="1"/>
      <c r="AR803" s="1"/>
      <c r="AS803" s="1"/>
      <c r="AT803" s="1"/>
      <c r="AU803" s="1"/>
      <c r="BC803" s="23"/>
      <c r="BD803" s="23"/>
    </row>
    <row r="804" spans="34:56">
      <c r="AH804" s="6">
        <f t="shared" si="190"/>
        <v>774</v>
      </c>
      <c r="AI804" s="7">
        <f t="shared" ca="1" si="191"/>
        <v>43444</v>
      </c>
      <c r="AJ804" s="210">
        <f t="shared" ca="1" si="192"/>
        <v>3.8369178082191784</v>
      </c>
      <c r="AK804" s="8">
        <f t="shared" ca="1" si="193"/>
        <v>1.0001065810502283</v>
      </c>
      <c r="AL804" s="98">
        <f t="shared" ca="1" si="194"/>
        <v>3.6002890529424958</v>
      </c>
      <c r="AM804" s="106">
        <f t="shared" ca="1" si="188"/>
        <v>27964.137309684484</v>
      </c>
      <c r="AN804" s="10">
        <f t="shared" ca="1" si="189"/>
        <v>0.56404819155320141</v>
      </c>
      <c r="AO804" s="158"/>
      <c r="AP804" s="158"/>
      <c r="AQ804" s="1"/>
      <c r="AR804" s="1"/>
      <c r="AS804" s="1"/>
      <c r="AT804" s="1"/>
      <c r="AU804" s="1"/>
      <c r="BC804" s="23"/>
      <c r="BD804" s="23"/>
    </row>
    <row r="805" spans="34:56">
      <c r="AH805" s="6">
        <f t="shared" si="190"/>
        <v>775</v>
      </c>
      <c r="AI805" s="7">
        <f t="shared" ca="1" si="191"/>
        <v>43445</v>
      </c>
      <c r="AJ805" s="210">
        <f t="shared" ca="1" si="192"/>
        <v>3.8380136986301374</v>
      </c>
      <c r="AK805" s="8">
        <f t="shared" ca="1" si="193"/>
        <v>1.0001066114916286</v>
      </c>
      <c r="AL805" s="98">
        <f t="shared" ca="1" si="194"/>
        <v>3.6007624320008702</v>
      </c>
      <c r="AM805" s="106">
        <f t="shared" ca="1" si="188"/>
        <v>27966.36726091383</v>
      </c>
      <c r="AN805" s="10">
        <f t="shared" ca="1" si="189"/>
        <v>0.56459076655759333</v>
      </c>
      <c r="AO805" s="158"/>
      <c r="AP805" s="158"/>
      <c r="AQ805" s="1"/>
      <c r="AR805" s="1"/>
      <c r="AS805" s="1"/>
      <c r="AT805" s="1"/>
      <c r="AU805" s="1"/>
      <c r="BC805" s="23"/>
      <c r="BD805" s="23"/>
    </row>
    <row r="806" spans="34:56">
      <c r="AH806" s="6">
        <f t="shared" si="190"/>
        <v>776</v>
      </c>
      <c r="AI806" s="7">
        <f t="shared" ca="1" si="191"/>
        <v>43446</v>
      </c>
      <c r="AJ806" s="210">
        <f t="shared" ca="1" si="192"/>
        <v>3.8391095890410964</v>
      </c>
      <c r="AK806" s="8">
        <f t="shared" ca="1" si="193"/>
        <v>1.0001066419330289</v>
      </c>
      <c r="AL806" s="98">
        <f t="shared" ca="1" si="194"/>
        <v>3.6012360764148932</v>
      </c>
      <c r="AM806" s="106">
        <f t="shared" ca="1" si="188"/>
        <v>27968.597389966741</v>
      </c>
      <c r="AN806" s="10">
        <f t="shared" ca="1" si="189"/>
        <v>0.56513338587134143</v>
      </c>
      <c r="AO806" s="158"/>
      <c r="AP806" s="158"/>
      <c r="AQ806" s="1"/>
      <c r="AR806" s="1"/>
      <c r="AS806" s="1"/>
      <c r="AT806" s="1"/>
      <c r="AU806" s="1"/>
      <c r="BC806" s="23"/>
      <c r="BD806" s="23"/>
    </row>
    <row r="807" spans="34:56">
      <c r="AH807" s="6">
        <f t="shared" si="190"/>
        <v>777</v>
      </c>
      <c r="AI807" s="7">
        <f t="shared" ca="1" si="191"/>
        <v>43447</v>
      </c>
      <c r="AJ807" s="210">
        <f t="shared" ca="1" si="192"/>
        <v>3.840205479452055</v>
      </c>
      <c r="AK807" s="8">
        <f t="shared" ca="1" si="193"/>
        <v>1.0001066723744292</v>
      </c>
      <c r="AL807" s="98">
        <f t="shared" ca="1" si="194"/>
        <v>3.6017099851719747</v>
      </c>
      <c r="AM807" s="106">
        <f t="shared" ca="1" si="188"/>
        <v>27970.827696857388</v>
      </c>
      <c r="AN807" s="10">
        <f t="shared" ca="1" si="189"/>
        <v>0.56567604933537297</v>
      </c>
      <c r="AO807" s="158"/>
      <c r="AP807" s="158"/>
      <c r="AQ807" s="1"/>
      <c r="AR807" s="1"/>
      <c r="AS807" s="1"/>
      <c r="AT807" s="1"/>
      <c r="AU807" s="1"/>
      <c r="BC807" s="23"/>
      <c r="BD807" s="23"/>
    </row>
    <row r="808" spans="34:56">
      <c r="AH808" s="6">
        <f t="shared" si="190"/>
        <v>778</v>
      </c>
      <c r="AI808" s="7">
        <f t="shared" ca="1" si="191"/>
        <v>43448</v>
      </c>
      <c r="AJ808" s="210">
        <f t="shared" ca="1" si="192"/>
        <v>3.8413013698630141</v>
      </c>
      <c r="AK808" s="8">
        <f t="shared" ca="1" si="193"/>
        <v>1.0001067028158295</v>
      </c>
      <c r="AL808" s="98">
        <f t="shared" ca="1" si="194"/>
        <v>3.6021841572646984</v>
      </c>
      <c r="AM808" s="106">
        <f t="shared" ca="1" si="188"/>
        <v>27973.058181599958</v>
      </c>
      <c r="AN808" s="10">
        <f t="shared" ca="1" si="189"/>
        <v>0.56621875679132572</v>
      </c>
      <c r="AO808" s="158"/>
      <c r="AP808" s="158"/>
      <c r="AQ808" s="1"/>
      <c r="AR808" s="1"/>
      <c r="AS808" s="1"/>
      <c r="AT808" s="1"/>
      <c r="AU808" s="1"/>
      <c r="BC808" s="23"/>
      <c r="BD808" s="23"/>
    </row>
    <row r="809" spans="34:56">
      <c r="AH809" s="6">
        <f t="shared" si="190"/>
        <v>779</v>
      </c>
      <c r="AI809" s="7">
        <f t="shared" ca="1" si="191"/>
        <v>43449</v>
      </c>
      <c r="AJ809" s="210">
        <f t="shared" ca="1" si="192"/>
        <v>3.8423972602739731</v>
      </c>
      <c r="AK809" s="8">
        <f t="shared" ca="1" si="193"/>
        <v>1.0001067332572298</v>
      </c>
      <c r="AL809" s="98">
        <f t="shared" ca="1" si="194"/>
        <v>3.6026585916908216</v>
      </c>
      <c r="AM809" s="106">
        <f t="shared" ca="1" si="188"/>
        <v>27975.288844208637</v>
      </c>
      <c r="AN809" s="10">
        <f t="shared" ca="1" si="189"/>
        <v>0.56676150808170345</v>
      </c>
      <c r="AO809" s="158"/>
      <c r="AP809" s="158"/>
      <c r="AQ809" s="1"/>
      <c r="AR809" s="1"/>
      <c r="AS809" s="1"/>
      <c r="AT809" s="1"/>
      <c r="AU809" s="1"/>
      <c r="BC809" s="23"/>
      <c r="BD809" s="23"/>
    </row>
    <row r="810" spans="34:56">
      <c r="AH810" s="6">
        <f t="shared" si="190"/>
        <v>780</v>
      </c>
      <c r="AI810" s="7">
        <f t="shared" ca="1" si="191"/>
        <v>43450</v>
      </c>
      <c r="AJ810" s="210">
        <f t="shared" ca="1" si="192"/>
        <v>3.8434931506849321</v>
      </c>
      <c r="AK810" s="8">
        <f t="shared" ca="1" si="193"/>
        <v>1.0001067636986301</v>
      </c>
      <c r="AL810" s="98">
        <f t="shared" ca="1" si="194"/>
        <v>3.6031332874532529</v>
      </c>
      <c r="AM810" s="106">
        <f t="shared" ca="1" si="188"/>
        <v>27977.519684697603</v>
      </c>
      <c r="AN810" s="10">
        <f t="shared" ca="1" si="189"/>
        <v>0.56730430304980928</v>
      </c>
      <c r="AO810" s="158"/>
      <c r="AP810" s="158"/>
      <c r="AQ810" s="1"/>
      <c r="AR810" s="1"/>
      <c r="AS810" s="1"/>
      <c r="AT810" s="1"/>
      <c r="AU810" s="1"/>
      <c r="BC810" s="23"/>
      <c r="BD810" s="23"/>
    </row>
    <row r="811" spans="34:56">
      <c r="AH811" s="6">
        <f t="shared" si="190"/>
        <v>781</v>
      </c>
      <c r="AI811" s="7">
        <f t="shared" ca="1" si="191"/>
        <v>43451</v>
      </c>
      <c r="AJ811" s="210">
        <f t="shared" ca="1" si="192"/>
        <v>3.8445890410958907</v>
      </c>
      <c r="AK811" s="8">
        <f t="shared" ca="1" si="193"/>
        <v>1.0001067941400303</v>
      </c>
      <c r="AL811" s="98">
        <f t="shared" ca="1" si="194"/>
        <v>3.6036082435600303</v>
      </c>
      <c r="AM811" s="106">
        <f t="shared" ca="1" si="188"/>
        <v>27979.750703081041</v>
      </c>
      <c r="AN811" s="10">
        <f t="shared" ca="1" si="189"/>
        <v>0.5678471415397901</v>
      </c>
      <c r="AO811" s="158"/>
      <c r="AP811" s="158"/>
      <c r="AQ811" s="1"/>
      <c r="AR811" s="1"/>
      <c r="AS811" s="1"/>
      <c r="AT811" s="1"/>
      <c r="AU811" s="1"/>
      <c r="BC811" s="23"/>
      <c r="BD811" s="23"/>
    </row>
    <row r="812" spans="34:56">
      <c r="AH812" s="6">
        <f t="shared" si="190"/>
        <v>782</v>
      </c>
      <c r="AI812" s="7">
        <f t="shared" ca="1" si="191"/>
        <v>43452</v>
      </c>
      <c r="AJ812" s="210">
        <f t="shared" ca="1" si="192"/>
        <v>3.8456849315068498</v>
      </c>
      <c r="AK812" s="8">
        <f t="shared" ca="1" si="193"/>
        <v>1.0001068245814309</v>
      </c>
      <c r="AL812" s="98">
        <f t="shared" ca="1" si="194"/>
        <v>3.6040834590242321</v>
      </c>
      <c r="AM812" s="106">
        <f t="shared" ca="1" si="188"/>
        <v>27981.981899373142</v>
      </c>
      <c r="AN812" s="10">
        <f t="shared" ca="1" si="189"/>
        <v>0.56839002339650335</v>
      </c>
      <c r="AO812" s="158"/>
      <c r="AP812" s="158"/>
      <c r="AQ812" s="1"/>
      <c r="AR812" s="1"/>
      <c r="AS812" s="1"/>
      <c r="AT812" s="1"/>
      <c r="AU812" s="1"/>
      <c r="BC812" s="23"/>
      <c r="BD812" s="23"/>
    </row>
    <row r="813" spans="34:56">
      <c r="AH813" s="6">
        <f t="shared" si="190"/>
        <v>783</v>
      </c>
      <c r="AI813" s="7">
        <f t="shared" ca="1" si="191"/>
        <v>43453</v>
      </c>
      <c r="AJ813" s="210">
        <f t="shared" ca="1" si="192"/>
        <v>3.8467808219178088</v>
      </c>
      <c r="AK813" s="8">
        <f t="shared" ca="1" si="193"/>
        <v>1.0001068550228311</v>
      </c>
      <c r="AL813" s="98">
        <f t="shared" ca="1" si="194"/>
        <v>3.6045589328639993</v>
      </c>
      <c r="AM813" s="106">
        <f t="shared" ca="1" si="188"/>
        <v>27984.213273588088</v>
      </c>
      <c r="AN813" s="10">
        <f t="shared" ca="1" si="189"/>
        <v>0.56893294846565023</v>
      </c>
      <c r="AO813" s="158"/>
      <c r="AP813" s="158"/>
      <c r="AQ813" s="1"/>
      <c r="AR813" s="1"/>
      <c r="AS813" s="1"/>
      <c r="AT813" s="1"/>
      <c r="AU813" s="1"/>
      <c r="BC813" s="23"/>
      <c r="BD813" s="23"/>
    </row>
    <row r="814" spans="34:56">
      <c r="AH814" s="6">
        <f t="shared" si="190"/>
        <v>784</v>
      </c>
      <c r="AI814" s="7">
        <f t="shared" ca="1" si="191"/>
        <v>43454</v>
      </c>
      <c r="AJ814" s="210">
        <f t="shared" ca="1" si="192"/>
        <v>3.8478767123287674</v>
      </c>
      <c r="AK814" s="8">
        <f t="shared" ca="1" si="193"/>
        <v>1.0001068854642314</v>
      </c>
      <c r="AL814" s="98">
        <f t="shared" ca="1" si="194"/>
        <v>3.6050346641024689</v>
      </c>
      <c r="AM814" s="106">
        <f t="shared" ca="1" si="188"/>
        <v>27986.444825740073</v>
      </c>
      <c r="AN814" s="10">
        <f t="shared" ca="1" si="189"/>
        <v>0.56947591659373131</v>
      </c>
      <c r="AO814" s="158"/>
      <c r="AP814" s="158"/>
      <c r="AQ814" s="1"/>
      <c r="AR814" s="1"/>
      <c r="AS814" s="1"/>
      <c r="AT814" s="1"/>
      <c r="AU814" s="1"/>
      <c r="BC814" s="23"/>
      <c r="BD814" s="23"/>
    </row>
    <row r="815" spans="34:56">
      <c r="AH815" s="6">
        <f t="shared" si="190"/>
        <v>785</v>
      </c>
      <c r="AI815" s="7">
        <f t="shared" ca="1" si="191"/>
        <v>43455</v>
      </c>
      <c r="AJ815" s="210">
        <f t="shared" ca="1" si="192"/>
        <v>3.8489726027397264</v>
      </c>
      <c r="AK815" s="8">
        <f t="shared" ca="1" si="193"/>
        <v>1.0001069159056317</v>
      </c>
      <c r="AL815" s="98">
        <f t="shared" ca="1" si="194"/>
        <v>3.6055106517677737</v>
      </c>
      <c r="AM815" s="106">
        <f t="shared" ca="1" si="188"/>
        <v>27988.676555843278</v>
      </c>
      <c r="AN815" s="10">
        <f t="shared" ca="1" si="189"/>
        <v>0.57001892762802431</v>
      </c>
      <c r="AO815" s="158"/>
      <c r="AP815" s="158"/>
      <c r="AQ815" s="1"/>
      <c r="AR815" s="1"/>
      <c r="AS815" s="1"/>
      <c r="AT815" s="1"/>
      <c r="AU815" s="1"/>
      <c r="BC815" s="23"/>
      <c r="BD815" s="23"/>
    </row>
    <row r="816" spans="34:56">
      <c r="AH816" s="6">
        <f t="shared" si="190"/>
        <v>786</v>
      </c>
      <c r="AI816" s="7">
        <f t="shared" ca="1" si="191"/>
        <v>43456</v>
      </c>
      <c r="AJ816" s="210">
        <f t="shared" ca="1" si="192"/>
        <v>3.8500684931506854</v>
      </c>
      <c r="AK816" s="8">
        <f t="shared" ca="1" si="193"/>
        <v>1.000106946347032</v>
      </c>
      <c r="AL816" s="98">
        <f t="shared" ca="1" si="194"/>
        <v>3.6059868948929763</v>
      </c>
      <c r="AM816" s="106">
        <f t="shared" ca="1" si="188"/>
        <v>27990.908463911899</v>
      </c>
      <c r="AN816" s="10">
        <f t="shared" ca="1" si="189"/>
        <v>0.57056198141653969</v>
      </c>
      <c r="AO816" s="158"/>
      <c r="AP816" s="158"/>
      <c r="AQ816" s="1"/>
      <c r="AR816" s="1"/>
      <c r="AS816" s="1"/>
      <c r="AT816" s="1"/>
      <c r="AU816" s="1"/>
      <c r="BC816" s="23"/>
      <c r="BD816" s="23"/>
    </row>
    <row r="817" spans="34:56">
      <c r="AH817" s="6">
        <f t="shared" si="190"/>
        <v>787</v>
      </c>
      <c r="AI817" s="7">
        <f t="shared" ca="1" si="191"/>
        <v>43457</v>
      </c>
      <c r="AJ817" s="210">
        <f t="shared" ca="1" si="192"/>
        <v>3.8511643835616445</v>
      </c>
      <c r="AK817" s="8">
        <f t="shared" ca="1" si="193"/>
        <v>1.0001069767884323</v>
      </c>
      <c r="AL817" s="98">
        <f t="shared" ca="1" si="194"/>
        <v>3.6064633925160683</v>
      </c>
      <c r="AM817" s="106">
        <f t="shared" ca="1" si="188"/>
        <v>27993.140549960124</v>
      </c>
      <c r="AN817" s="10">
        <f t="shared" ca="1" si="189"/>
        <v>0.57110507780808728</v>
      </c>
      <c r="AO817" s="158"/>
      <c r="AP817" s="158"/>
      <c r="AQ817" s="1"/>
      <c r="AR817" s="1"/>
      <c r="AS817" s="1"/>
      <c r="AT817" s="1"/>
      <c r="AU817" s="1"/>
      <c r="BC817" s="23"/>
      <c r="BD817" s="23"/>
    </row>
    <row r="818" spans="34:56">
      <c r="AH818" s="6">
        <f t="shared" si="190"/>
        <v>788</v>
      </c>
      <c r="AI818" s="7">
        <f t="shared" ca="1" si="191"/>
        <v>43458</v>
      </c>
      <c r="AJ818" s="210">
        <f t="shared" ca="1" si="192"/>
        <v>3.8522602739726031</v>
      </c>
      <c r="AK818" s="8">
        <f t="shared" ca="1" si="193"/>
        <v>1.0001070072298326</v>
      </c>
      <c r="AL818" s="98">
        <f t="shared" ca="1" si="194"/>
        <v>3.6069401436799486</v>
      </c>
      <c r="AM818" s="106">
        <f t="shared" ca="1" si="188"/>
        <v>27995.372814002145</v>
      </c>
      <c r="AN818" s="10">
        <f t="shared" ca="1" si="189"/>
        <v>0.57164821665232068</v>
      </c>
      <c r="AO818" s="158"/>
      <c r="AP818" s="158"/>
      <c r="AQ818" s="1"/>
      <c r="AR818" s="1"/>
      <c r="AS818" s="1"/>
      <c r="AT818" s="1"/>
      <c r="AU818" s="1"/>
      <c r="BC818" s="23"/>
      <c r="BD818" s="23"/>
    </row>
    <row r="819" spans="34:56">
      <c r="AH819" s="6">
        <f t="shared" si="190"/>
        <v>789</v>
      </c>
      <c r="AI819" s="7">
        <f t="shared" ca="1" si="191"/>
        <v>43459</v>
      </c>
      <c r="AJ819" s="210">
        <f t="shared" ca="1" si="192"/>
        <v>3.8533561643835621</v>
      </c>
      <c r="AK819" s="8">
        <f t="shared" ca="1" si="193"/>
        <v>1.0001070376712329</v>
      </c>
      <c r="AL819" s="98">
        <f t="shared" ca="1" si="194"/>
        <v>3.6074171474323347</v>
      </c>
      <c r="AM819" s="106">
        <f t="shared" ca="1" si="188"/>
        <v>27997.605256052168</v>
      </c>
      <c r="AN819" s="10">
        <f t="shared" ca="1" si="189"/>
        <v>0.57219139779951522</v>
      </c>
      <c r="AO819" s="158"/>
      <c r="AP819" s="158"/>
      <c r="AQ819" s="1"/>
      <c r="AR819" s="1"/>
      <c r="AS819" s="1"/>
      <c r="AT819" s="1"/>
      <c r="AU819" s="1"/>
      <c r="BC819" s="23"/>
      <c r="BD819" s="23"/>
    </row>
    <row r="820" spans="34:56">
      <c r="AH820" s="6">
        <f t="shared" si="190"/>
        <v>790</v>
      </c>
      <c r="AI820" s="7">
        <f t="shared" ca="1" si="191"/>
        <v>43460</v>
      </c>
      <c r="AJ820" s="210">
        <f t="shared" ca="1" si="192"/>
        <v>3.8544520547945211</v>
      </c>
      <c r="AK820" s="8">
        <f t="shared" ca="1" si="193"/>
        <v>1.0001070681126332</v>
      </c>
      <c r="AL820" s="98">
        <f t="shared" ca="1" si="194"/>
        <v>3.607894402825762</v>
      </c>
      <c r="AM820" s="106">
        <f t="shared" ca="1" si="188"/>
        <v>27999.837876124366</v>
      </c>
      <c r="AN820" s="10">
        <f t="shared" ca="1" si="189"/>
        <v>0.57273462110078999</v>
      </c>
      <c r="AO820" s="158"/>
      <c r="AP820" s="158"/>
      <c r="AQ820" s="1"/>
      <c r="AR820" s="1"/>
      <c r="AS820" s="1"/>
      <c r="AT820" s="1"/>
      <c r="AU820" s="1"/>
      <c r="BC820" s="23"/>
      <c r="BD820" s="23"/>
    </row>
    <row r="821" spans="34:56">
      <c r="AH821" s="6">
        <f t="shared" si="190"/>
        <v>791</v>
      </c>
      <c r="AI821" s="7">
        <f t="shared" ca="1" si="191"/>
        <v>43461</v>
      </c>
      <c r="AJ821" s="210">
        <f t="shared" ca="1" si="192"/>
        <v>3.8555479452054797</v>
      </c>
      <c r="AK821" s="8">
        <f t="shared" ca="1" si="193"/>
        <v>1.0001070985540335</v>
      </c>
      <c r="AL821" s="98">
        <f t="shared" ca="1" si="194"/>
        <v>3.608371908917607</v>
      </c>
      <c r="AM821" s="106">
        <f t="shared" ca="1" si="188"/>
        <v>28002.070674232957</v>
      </c>
      <c r="AN821" s="10">
        <f t="shared" ca="1" si="189"/>
        <v>0.57327788640801902</v>
      </c>
      <c r="AO821" s="158"/>
      <c r="AP821" s="158"/>
      <c r="AQ821" s="1"/>
      <c r="AR821" s="1"/>
      <c r="AS821" s="1"/>
      <c r="AT821" s="1"/>
      <c r="AU821" s="1"/>
      <c r="BC821" s="23"/>
      <c r="BD821" s="23"/>
    </row>
    <row r="822" spans="34:56">
      <c r="AH822" s="6">
        <f t="shared" si="190"/>
        <v>792</v>
      </c>
      <c r="AI822" s="7">
        <f t="shared" ca="1" si="191"/>
        <v>43462</v>
      </c>
      <c r="AJ822" s="210">
        <f t="shared" ca="1" si="192"/>
        <v>3.8566438356164388</v>
      </c>
      <c r="AK822" s="8">
        <f t="shared" ca="1" si="193"/>
        <v>1.0001071289954337</v>
      </c>
      <c r="AL822" s="98">
        <f t="shared" ca="1" si="194"/>
        <v>3.6088496647699531</v>
      </c>
      <c r="AM822" s="106">
        <f t="shared" ca="1" si="188"/>
        <v>28004.303650392125</v>
      </c>
      <c r="AN822" s="10">
        <f t="shared" ca="1" si="189"/>
        <v>0.57382119357380912</v>
      </c>
      <c r="AO822" s="158"/>
      <c r="AP822" s="158"/>
      <c r="AQ822" s="1"/>
      <c r="AR822" s="1"/>
      <c r="AS822" s="1"/>
      <c r="AT822" s="1"/>
      <c r="AU822" s="1"/>
      <c r="BC822" s="23"/>
      <c r="BD822" s="23"/>
    </row>
    <row r="823" spans="34:56">
      <c r="AH823" s="6">
        <f t="shared" si="190"/>
        <v>793</v>
      </c>
      <c r="AI823" s="7">
        <f t="shared" ca="1" si="191"/>
        <v>43463</v>
      </c>
      <c r="AJ823" s="210">
        <f t="shared" ca="1" si="192"/>
        <v>3.8577397260273978</v>
      </c>
      <c r="AK823" s="8">
        <f t="shared" ca="1" si="193"/>
        <v>1.000107159436834</v>
      </c>
      <c r="AL823" s="98">
        <f t="shared" ca="1" si="194"/>
        <v>3.6093276694496357</v>
      </c>
      <c r="AM823" s="106">
        <f t="shared" ca="1" si="188"/>
        <v>28006.536804616073</v>
      </c>
      <c r="AN823" s="10">
        <f t="shared" ca="1" si="189"/>
        <v>0.57436454245145541</v>
      </c>
      <c r="AO823" s="158"/>
      <c r="AP823" s="158"/>
      <c r="AQ823" s="1"/>
      <c r="AR823" s="1"/>
      <c r="AS823" s="1"/>
      <c r="AT823" s="1"/>
      <c r="AU823" s="1"/>
      <c r="BC823" s="23"/>
      <c r="BD823" s="23"/>
    </row>
    <row r="824" spans="34:56">
      <c r="AH824" s="6">
        <f t="shared" si="190"/>
        <v>794</v>
      </c>
      <c r="AI824" s="7">
        <f t="shared" ca="1" si="191"/>
        <v>43464</v>
      </c>
      <c r="AJ824" s="210">
        <f t="shared" ca="1" si="192"/>
        <v>3.8588356164383564</v>
      </c>
      <c r="AK824" s="8">
        <f t="shared" ca="1" si="193"/>
        <v>1.0001071898782343</v>
      </c>
      <c r="AL824" s="98">
        <f t="shared" ca="1" si="194"/>
        <v>3.6098059220282197</v>
      </c>
      <c r="AM824" s="106">
        <f t="shared" ca="1" si="188"/>
        <v>28008.770136919</v>
      </c>
      <c r="AN824" s="10">
        <f t="shared" ca="1" si="189"/>
        <v>0.57490793289511899</v>
      </c>
      <c r="AO824" s="158"/>
      <c r="AP824" s="158"/>
      <c r="AQ824" s="1"/>
      <c r="AR824" s="1"/>
      <c r="AS824" s="1"/>
      <c r="AT824" s="1"/>
      <c r="AU824" s="1"/>
      <c r="BC824" s="23"/>
      <c r="BD824" s="23"/>
    </row>
    <row r="825" spans="34:56">
      <c r="AH825" s="6">
        <f t="shared" si="190"/>
        <v>795</v>
      </c>
      <c r="AI825" s="7">
        <f t="shared" ca="1" si="191"/>
        <v>43465</v>
      </c>
      <c r="AJ825" s="210">
        <f t="shared" ca="1" si="192"/>
        <v>3.8599315068493154</v>
      </c>
      <c r="AK825" s="8">
        <f t="shared" ca="1" si="193"/>
        <v>1.0001072203196346</v>
      </c>
      <c r="AL825" s="98">
        <f t="shared" ca="1" si="194"/>
        <v>3.610284421581933</v>
      </c>
      <c r="AM825" s="106">
        <f t="shared" ca="1" si="188"/>
        <v>28011.003647315105</v>
      </c>
      <c r="AN825" s="10">
        <f t="shared" ca="1" si="189"/>
        <v>0.5754513647595827</v>
      </c>
      <c r="AO825" s="158"/>
      <c r="AP825" s="158"/>
      <c r="AQ825" s="1"/>
      <c r="AR825" s="1"/>
      <c r="AS825" s="1"/>
      <c r="AT825" s="1"/>
      <c r="AU825" s="1"/>
      <c r="BC825" s="23"/>
      <c r="BD825" s="23"/>
    </row>
    <row r="826" spans="34:56">
      <c r="AH826" s="6">
        <f t="shared" si="190"/>
        <v>796</v>
      </c>
      <c r="AI826" s="7">
        <f t="shared" ca="1" si="191"/>
        <v>43466</v>
      </c>
      <c r="AJ826" s="210">
        <f t="shared" ca="1" si="192"/>
        <v>3.8610273972602744</v>
      </c>
      <c r="AK826" s="8">
        <f t="shared" ca="1" si="193"/>
        <v>1.0001072507610349</v>
      </c>
      <c r="AL826" s="98">
        <f t="shared" ca="1" si="194"/>
        <v>3.6107631671916218</v>
      </c>
      <c r="AM826" s="106">
        <f t="shared" ca="1" si="188"/>
        <v>28013.237335818591</v>
      </c>
      <c r="AN826" s="10">
        <f t="shared" ca="1" si="189"/>
        <v>0.57599483790042871</v>
      </c>
      <c r="AO826" s="158"/>
      <c r="AP826" s="158"/>
      <c r="AQ826" s="1"/>
      <c r="AR826" s="1"/>
      <c r="AS826" s="1"/>
      <c r="AT826" s="1"/>
      <c r="AU826" s="1"/>
      <c r="BC826" s="23"/>
      <c r="BD826" s="23"/>
    </row>
    <row r="827" spans="34:56">
      <c r="AH827" s="6">
        <f t="shared" si="190"/>
        <v>797</v>
      </c>
      <c r="AI827" s="7">
        <f t="shared" ca="1" si="191"/>
        <v>43467</v>
      </c>
      <c r="AJ827" s="210">
        <f t="shared" ca="1" si="192"/>
        <v>3.8621232876712335</v>
      </c>
      <c r="AK827" s="8">
        <f t="shared" ca="1" si="193"/>
        <v>1.0001072812024354</v>
      </c>
      <c r="AL827" s="98">
        <f t="shared" ca="1" si="194"/>
        <v>3.6112421579427734</v>
      </c>
      <c r="AM827" s="106">
        <f t="shared" ca="1" si="188"/>
        <v>28015.471202443659</v>
      </c>
      <c r="AN827" s="10">
        <f t="shared" ca="1" si="189"/>
        <v>0.57653835217390537</v>
      </c>
      <c r="AO827" s="158"/>
      <c r="AP827" s="158"/>
      <c r="AQ827" s="1"/>
      <c r="AR827" s="1"/>
      <c r="AS827" s="1"/>
      <c r="AT827" s="1"/>
      <c r="AU827" s="1"/>
      <c r="BC827" s="23"/>
      <c r="BD827" s="23"/>
    </row>
    <row r="828" spans="34:56">
      <c r="AH828" s="6">
        <f t="shared" si="190"/>
        <v>798</v>
      </c>
      <c r="AI828" s="7">
        <f t="shared" ca="1" si="191"/>
        <v>43468</v>
      </c>
      <c r="AJ828" s="210">
        <f t="shared" ca="1" si="192"/>
        <v>3.8632191780821921</v>
      </c>
      <c r="AK828" s="8">
        <f t="shared" ca="1" si="193"/>
        <v>1.0001073116438357</v>
      </c>
      <c r="AL828" s="98">
        <f t="shared" ca="1" si="194"/>
        <v>3.6117213929254488</v>
      </c>
      <c r="AM828" s="106">
        <f t="shared" ca="1" si="188"/>
        <v>28017.705247204522</v>
      </c>
      <c r="AN828" s="10">
        <f t="shared" ca="1" si="189"/>
        <v>0.57708190743701593</v>
      </c>
      <c r="AO828" s="158"/>
      <c r="AP828" s="158"/>
      <c r="AQ828" s="1"/>
      <c r="AR828" s="1"/>
      <c r="AS828" s="1"/>
      <c r="AT828" s="1"/>
      <c r="AU828" s="1"/>
      <c r="BC828" s="23"/>
      <c r="BD828" s="23"/>
    </row>
    <row r="829" spans="34:56">
      <c r="AH829" s="6">
        <f t="shared" si="190"/>
        <v>799</v>
      </c>
      <c r="AI829" s="7">
        <f t="shared" ca="1" si="191"/>
        <v>43469</v>
      </c>
      <c r="AJ829" s="210">
        <f t="shared" ca="1" si="192"/>
        <v>3.8643150684931511</v>
      </c>
      <c r="AK829" s="8">
        <f t="shared" ca="1" si="193"/>
        <v>1.000107342085236</v>
      </c>
      <c r="AL829" s="98">
        <f t="shared" ca="1" si="194"/>
        <v>3.6122008712342835</v>
      </c>
      <c r="AM829" s="106">
        <f t="shared" ca="1" si="188"/>
        <v>28019.939470115369</v>
      </c>
      <c r="AN829" s="10">
        <f t="shared" ca="1" si="189"/>
        <v>0.57762550354751863</v>
      </c>
      <c r="AO829" s="158"/>
      <c r="AP829" s="158"/>
      <c r="AQ829" s="1"/>
      <c r="AR829" s="1"/>
      <c r="AS829" s="1"/>
      <c r="AT829" s="1"/>
      <c r="AU829" s="1"/>
      <c r="BC829" s="23"/>
      <c r="BD829" s="23"/>
    </row>
    <row r="830" spans="34:56">
      <c r="AH830" s="6">
        <f t="shared" si="190"/>
        <v>800</v>
      </c>
      <c r="AI830" s="7">
        <f t="shared" ca="1" si="191"/>
        <v>43470</v>
      </c>
      <c r="AJ830" s="210">
        <f t="shared" ca="1" si="192"/>
        <v>3.8654109589041101</v>
      </c>
      <c r="AK830" s="8">
        <f t="shared" ca="1" si="193"/>
        <v>1.0001073725266363</v>
      </c>
      <c r="AL830" s="98">
        <f t="shared" ca="1" si="194"/>
        <v>3.612680591968398</v>
      </c>
      <c r="AM830" s="106">
        <f t="shared" ca="1" si="188"/>
        <v>28022.173871190422</v>
      </c>
      <c r="AN830" s="10">
        <f t="shared" ca="1" si="189"/>
        <v>0.57816914036379341</v>
      </c>
      <c r="AO830" s="158"/>
      <c r="AP830" s="158"/>
      <c r="AQ830" s="1"/>
      <c r="AR830" s="1"/>
      <c r="AS830" s="1"/>
      <c r="AT830" s="1"/>
      <c r="AU830" s="1"/>
      <c r="BC830" s="23"/>
      <c r="BD830" s="23"/>
    </row>
    <row r="831" spans="34:56">
      <c r="AH831" s="6">
        <f t="shared" si="190"/>
        <v>801</v>
      </c>
      <c r="AI831" s="7">
        <f t="shared" ca="1" si="191"/>
        <v>43471</v>
      </c>
      <c r="AJ831" s="210">
        <f t="shared" ca="1" si="192"/>
        <v>3.8665068493150687</v>
      </c>
      <c r="AK831" s="8">
        <f t="shared" ca="1" si="193"/>
        <v>1.0001074029680366</v>
      </c>
      <c r="AL831" s="98">
        <f t="shared" ca="1" si="194"/>
        <v>3.6131605542314427</v>
      </c>
      <c r="AM831" s="106">
        <f t="shared" ca="1" si="188"/>
        <v>28024.408450443876</v>
      </c>
      <c r="AN831" s="10">
        <f t="shared" ca="1" si="189"/>
        <v>0.57871281774497518</v>
      </c>
      <c r="AO831" s="158"/>
      <c r="AP831" s="158"/>
      <c r="AQ831" s="1"/>
      <c r="AR831" s="1"/>
      <c r="AS831" s="1"/>
      <c r="AT831" s="1"/>
      <c r="AU831" s="1"/>
      <c r="BC831" s="23"/>
      <c r="BD831" s="23"/>
    </row>
    <row r="832" spans="34:56">
      <c r="AH832" s="6">
        <f t="shared" si="190"/>
        <v>802</v>
      </c>
      <c r="AI832" s="7">
        <f t="shared" ca="1" si="191"/>
        <v>43472</v>
      </c>
      <c r="AJ832" s="210">
        <f t="shared" ca="1" si="192"/>
        <v>3.8676027397260277</v>
      </c>
      <c r="AK832" s="8">
        <f t="shared" ca="1" si="193"/>
        <v>1.0001074334094369</v>
      </c>
      <c r="AL832" s="98">
        <f t="shared" ca="1" si="194"/>
        <v>3.6136407571315532</v>
      </c>
      <c r="AM832" s="106">
        <f t="shared" ca="1" si="188"/>
        <v>28026.643207889949</v>
      </c>
      <c r="AN832" s="10">
        <f t="shared" ca="1" si="189"/>
        <v>0.57925653555088719</v>
      </c>
      <c r="AO832" s="158"/>
      <c r="AP832" s="158"/>
      <c r="AQ832" s="1"/>
      <c r="AR832" s="1"/>
      <c r="AS832" s="1"/>
      <c r="AT832" s="1"/>
      <c r="AU832" s="1"/>
      <c r="BC832" s="23"/>
      <c r="BD832" s="23"/>
    </row>
    <row r="833" spans="34:56">
      <c r="AH833" s="6">
        <f t="shared" si="190"/>
        <v>803</v>
      </c>
      <c r="AI833" s="7">
        <f t="shared" ca="1" si="191"/>
        <v>43473</v>
      </c>
      <c r="AJ833" s="210">
        <f t="shared" ca="1" si="192"/>
        <v>3.8686986301369868</v>
      </c>
      <c r="AK833" s="8">
        <f t="shared" ca="1" si="193"/>
        <v>1.0001074638508372</v>
      </c>
      <c r="AL833" s="98">
        <f t="shared" ca="1" si="194"/>
        <v>3.6141211997813061</v>
      </c>
      <c r="AM833" s="106">
        <f t="shared" ca="1" si="188"/>
        <v>28028.878143542846</v>
      </c>
      <c r="AN833" s="10">
        <f t="shared" ca="1" si="189"/>
        <v>0.57980029364210761</v>
      </c>
      <c r="AO833" s="158"/>
      <c r="AP833" s="158"/>
      <c r="AQ833" s="1"/>
      <c r="AR833" s="1"/>
      <c r="AS833" s="1"/>
      <c r="AT833" s="1"/>
      <c r="AU833" s="1"/>
      <c r="BC833" s="23"/>
      <c r="BD833" s="23"/>
    </row>
    <row r="834" spans="34:56">
      <c r="AH834" s="6">
        <f t="shared" si="190"/>
        <v>804</v>
      </c>
      <c r="AI834" s="7">
        <f t="shared" ca="1" si="191"/>
        <v>43474</v>
      </c>
      <c r="AJ834" s="210">
        <f t="shared" ca="1" si="192"/>
        <v>3.8697945205479458</v>
      </c>
      <c r="AK834" s="8">
        <f t="shared" ca="1" si="193"/>
        <v>1.0001074942922374</v>
      </c>
      <c r="AL834" s="98">
        <f t="shared" ca="1" si="194"/>
        <v>3.6146018812976521</v>
      </c>
      <c r="AM834" s="106">
        <f t="shared" ca="1" si="188"/>
        <v>28031.113257416775</v>
      </c>
      <c r="AN834" s="10">
        <f t="shared" ca="1" si="189"/>
        <v>0.58034409187981417</v>
      </c>
      <c r="AO834" s="158"/>
      <c r="AP834" s="158"/>
      <c r="AQ834" s="1"/>
      <c r="AR834" s="1"/>
      <c r="AS834" s="1"/>
      <c r="AT834" s="1"/>
      <c r="AU834" s="1"/>
      <c r="BC834" s="23"/>
      <c r="BD834" s="23"/>
    </row>
    <row r="835" spans="34:56">
      <c r="AH835" s="6">
        <f t="shared" si="190"/>
        <v>805</v>
      </c>
      <c r="AI835" s="7">
        <f t="shared" ca="1" si="191"/>
        <v>43475</v>
      </c>
      <c r="AJ835" s="210">
        <f t="shared" ca="1" si="192"/>
        <v>3.8708904109589044</v>
      </c>
      <c r="AK835" s="8">
        <f t="shared" ca="1" si="193"/>
        <v>1.0001075247336377</v>
      </c>
      <c r="AL835" s="98">
        <f t="shared" ca="1" si="194"/>
        <v>3.6150828008019831</v>
      </c>
      <c r="AM835" s="106">
        <f t="shared" ca="1" si="188"/>
        <v>28033.348549525952</v>
      </c>
      <c r="AN835" s="10">
        <f t="shared" ca="1" si="189"/>
        <v>0.58088793012598394</v>
      </c>
      <c r="AO835" s="158"/>
      <c r="AP835" s="158"/>
      <c r="AQ835" s="1"/>
      <c r="AR835" s="1"/>
      <c r="AS835" s="1"/>
      <c r="AT835" s="1"/>
      <c r="AU835" s="1"/>
      <c r="BC835" s="23"/>
      <c r="BD835" s="23"/>
    </row>
    <row r="836" spans="34:56">
      <c r="AH836" s="6">
        <f t="shared" si="190"/>
        <v>806</v>
      </c>
      <c r="AI836" s="7">
        <f t="shared" ca="1" si="191"/>
        <v>43476</v>
      </c>
      <c r="AJ836" s="210">
        <f t="shared" ca="1" si="192"/>
        <v>3.8719863013698634</v>
      </c>
      <c r="AK836" s="8">
        <f t="shared" ca="1" si="193"/>
        <v>1.000107555175038</v>
      </c>
      <c r="AL836" s="98">
        <f t="shared" ca="1" si="194"/>
        <v>3.6155639574200205</v>
      </c>
      <c r="AM836" s="106">
        <f t="shared" ca="1" si="188"/>
        <v>28035.584019884594</v>
      </c>
      <c r="AN836" s="10">
        <f t="shared" ca="1" si="189"/>
        <v>0.58143180824314911</v>
      </c>
      <c r="AO836" s="158"/>
      <c r="AP836" s="158"/>
      <c r="AQ836" s="1"/>
      <c r="AR836" s="1"/>
      <c r="AS836" s="1"/>
      <c r="AT836" s="1"/>
      <c r="AU836" s="1"/>
      <c r="BC836" s="23"/>
      <c r="BD836" s="23"/>
    </row>
    <row r="837" spans="34:56">
      <c r="AH837" s="6">
        <f t="shared" si="190"/>
        <v>807</v>
      </c>
      <c r="AI837" s="7">
        <f t="shared" ca="1" si="191"/>
        <v>43477</v>
      </c>
      <c r="AJ837" s="210">
        <f t="shared" ca="1" si="192"/>
        <v>3.8730821917808225</v>
      </c>
      <c r="AK837" s="8">
        <f t="shared" ca="1" si="193"/>
        <v>1.0001075856164383</v>
      </c>
      <c r="AL837" s="98">
        <f t="shared" ca="1" si="194"/>
        <v>3.6160453502818601</v>
      </c>
      <c r="AM837" s="106">
        <f t="shared" ca="1" si="188"/>
        <v>28037.819668506909</v>
      </c>
      <c r="AN837" s="10">
        <f t="shared" ca="1" si="189"/>
        <v>0.58197572609464121</v>
      </c>
      <c r="AO837" s="158"/>
      <c r="AP837" s="158"/>
      <c r="AQ837" s="1"/>
      <c r="AR837" s="1"/>
      <c r="AS837" s="1"/>
      <c r="AT837" s="1"/>
      <c r="AU837" s="1"/>
      <c r="BC837" s="23"/>
      <c r="BD837" s="23"/>
    </row>
    <row r="838" spans="34:56">
      <c r="AH838" s="6">
        <f t="shared" si="190"/>
        <v>808</v>
      </c>
      <c r="AI838" s="7">
        <f t="shared" ca="1" si="191"/>
        <v>43478</v>
      </c>
      <c r="AJ838" s="210">
        <f t="shared" ca="1" si="192"/>
        <v>3.8741780821917811</v>
      </c>
      <c r="AK838" s="8">
        <f t="shared" ca="1" si="193"/>
        <v>1.0001076160578386</v>
      </c>
      <c r="AL838" s="98">
        <f t="shared" ca="1" si="194"/>
        <v>3.6165269785218612</v>
      </c>
      <c r="AM838" s="106">
        <f t="shared" ca="1" si="188"/>
        <v>28040.055495407112</v>
      </c>
      <c r="AN838" s="10">
        <f t="shared" ca="1" si="189"/>
        <v>0.58251968354441352</v>
      </c>
      <c r="AO838" s="158"/>
      <c r="AP838" s="158"/>
      <c r="AQ838" s="1"/>
      <c r="AR838" s="1"/>
      <c r="AS838" s="1"/>
      <c r="AT838" s="1"/>
      <c r="AU838" s="1"/>
      <c r="BC838" s="23"/>
      <c r="BD838" s="23"/>
    </row>
    <row r="839" spans="34:56">
      <c r="AH839" s="6">
        <f t="shared" si="190"/>
        <v>809</v>
      </c>
      <c r="AI839" s="7">
        <f t="shared" ca="1" si="191"/>
        <v>43479</v>
      </c>
      <c r="AJ839" s="210">
        <f t="shared" ca="1" si="192"/>
        <v>3.8752739726027401</v>
      </c>
      <c r="AK839" s="8">
        <f t="shared" ca="1" si="193"/>
        <v>1.0001076464992389</v>
      </c>
      <c r="AL839" s="98">
        <f t="shared" ca="1" si="194"/>
        <v>3.6170088412786683</v>
      </c>
      <c r="AM839" s="106">
        <f t="shared" ca="1" si="188"/>
        <v>28042.291500599418</v>
      </c>
      <c r="AN839" s="10">
        <f t="shared" ca="1" si="189"/>
        <v>0.58306368045708545</v>
      </c>
      <c r="AO839" s="158"/>
      <c r="AP839" s="158"/>
      <c r="AQ839" s="1"/>
      <c r="AR839" s="1"/>
      <c r="AS839" s="1"/>
      <c r="AT839" s="1"/>
      <c r="AU839" s="1"/>
      <c r="BC839" s="23"/>
      <c r="BD839" s="23"/>
    </row>
    <row r="840" spans="34:56">
      <c r="AH840" s="6">
        <f t="shared" si="190"/>
        <v>810</v>
      </c>
      <c r="AI840" s="7">
        <f t="shared" ca="1" si="191"/>
        <v>43480</v>
      </c>
      <c r="AJ840" s="210">
        <f t="shared" ca="1" si="192"/>
        <v>3.8763698630136991</v>
      </c>
      <c r="AK840" s="8">
        <f t="shared" ca="1" si="193"/>
        <v>1.0001076769406392</v>
      </c>
      <c r="AL840" s="98">
        <f t="shared" ca="1" si="194"/>
        <v>3.6174909376952114</v>
      </c>
      <c r="AM840" s="106">
        <f t="shared" ca="1" si="188"/>
        <v>28044.527684098055</v>
      </c>
      <c r="AN840" s="10">
        <f t="shared" ca="1" si="189"/>
        <v>0.58360771669796474</v>
      </c>
      <c r="AO840" s="158"/>
      <c r="AP840" s="158"/>
      <c r="AQ840" s="1"/>
      <c r="AR840" s="1"/>
      <c r="AS840" s="1"/>
      <c r="AT840" s="1"/>
      <c r="AU840" s="1"/>
      <c r="BC840" s="23"/>
      <c r="BD840" s="23"/>
    </row>
    <row r="841" spans="34:56">
      <c r="AH841" s="6">
        <f t="shared" si="190"/>
        <v>811</v>
      </c>
      <c r="AI841" s="7">
        <f t="shared" ca="1" si="191"/>
        <v>43481</v>
      </c>
      <c r="AJ841" s="210">
        <f t="shared" ca="1" si="192"/>
        <v>3.8774657534246582</v>
      </c>
      <c r="AK841" s="8">
        <f t="shared" ca="1" si="193"/>
        <v>1.0001077073820395</v>
      </c>
      <c r="AL841" s="98">
        <f t="shared" ca="1" si="194"/>
        <v>3.6179732669186393</v>
      </c>
      <c r="AM841" s="106">
        <f t="shared" ca="1" si="188"/>
        <v>28046.764045917233</v>
      </c>
      <c r="AN841" s="10">
        <f t="shared" ca="1" si="189"/>
        <v>0.58415179213302526</v>
      </c>
      <c r="AO841" s="158"/>
      <c r="AP841" s="158"/>
      <c r="AQ841" s="1"/>
      <c r="AR841" s="1"/>
      <c r="AS841" s="1"/>
      <c r="AT841" s="1"/>
      <c r="AU841" s="1"/>
      <c r="BC841" s="23"/>
      <c r="BD841" s="23"/>
    </row>
    <row r="842" spans="34:56">
      <c r="AH842" s="6">
        <f t="shared" si="190"/>
        <v>812</v>
      </c>
      <c r="AI842" s="7">
        <f t="shared" ca="1" si="191"/>
        <v>43482</v>
      </c>
      <c r="AJ842" s="210">
        <f t="shared" ca="1" si="192"/>
        <v>3.8785616438356167</v>
      </c>
      <c r="AK842" s="8">
        <f t="shared" ca="1" si="193"/>
        <v>1.00010773782344</v>
      </c>
      <c r="AL842" s="98">
        <f t="shared" ca="1" si="194"/>
        <v>3.6184558281002976</v>
      </c>
      <c r="AM842" s="106">
        <f t="shared" ca="1" si="188"/>
        <v>28049.000586071168</v>
      </c>
      <c r="AN842" s="10">
        <f t="shared" ca="1" si="189"/>
        <v>0.58469590662888482</v>
      </c>
      <c r="AO842" s="158"/>
      <c r="AP842" s="158"/>
      <c r="AQ842" s="1"/>
      <c r="AR842" s="1"/>
      <c r="AS842" s="1"/>
      <c r="AT842" s="1"/>
      <c r="AU842" s="1"/>
      <c r="BC842" s="23"/>
      <c r="BD842" s="23"/>
    </row>
    <row r="843" spans="34:56">
      <c r="AH843" s="6">
        <f t="shared" si="190"/>
        <v>813</v>
      </c>
      <c r="AI843" s="7">
        <f t="shared" ca="1" si="191"/>
        <v>43483</v>
      </c>
      <c r="AJ843" s="210">
        <f t="shared" ca="1" si="192"/>
        <v>3.8796575342465758</v>
      </c>
      <c r="AK843" s="8">
        <f t="shared" ca="1" si="193"/>
        <v>1.0001077682648403</v>
      </c>
      <c r="AL843" s="98">
        <f t="shared" ca="1" si="194"/>
        <v>3.6189386203957064</v>
      </c>
      <c r="AM843" s="106">
        <f t="shared" ca="1" si="188"/>
        <v>28051.237304574093</v>
      </c>
      <c r="AN843" s="10">
        <f t="shared" ca="1" si="189"/>
        <v>0.58524006005284956</v>
      </c>
      <c r="AO843" s="158"/>
      <c r="AP843" s="158"/>
      <c r="AQ843" s="1"/>
      <c r="AR843" s="1"/>
      <c r="AS843" s="1"/>
      <c r="AT843" s="1"/>
      <c r="AU843" s="1"/>
      <c r="BC843" s="23"/>
      <c r="BD843" s="23"/>
    </row>
    <row r="844" spans="34:56">
      <c r="AH844" s="6">
        <f t="shared" si="190"/>
        <v>814</v>
      </c>
      <c r="AI844" s="7">
        <f t="shared" ca="1" si="191"/>
        <v>43484</v>
      </c>
      <c r="AJ844" s="210">
        <f t="shared" ca="1" si="192"/>
        <v>3.8807534246575348</v>
      </c>
      <c r="AK844" s="8">
        <f t="shared" ca="1" si="193"/>
        <v>1.0001077987062406</v>
      </c>
      <c r="AL844" s="98">
        <f t="shared" ca="1" si="194"/>
        <v>3.6194216429645598</v>
      </c>
      <c r="AM844" s="106">
        <f t="shared" ca="1" si="188"/>
        <v>28053.474201440218</v>
      </c>
      <c r="AN844" s="10">
        <f t="shared" ca="1" si="189"/>
        <v>0.58578425227286957</v>
      </c>
      <c r="AO844" s="158"/>
      <c r="AP844" s="158"/>
      <c r="AQ844" s="1"/>
      <c r="AR844" s="1"/>
      <c r="AS844" s="1"/>
      <c r="AT844" s="1"/>
      <c r="AU844" s="1"/>
      <c r="BC844" s="23"/>
      <c r="BD844" s="23"/>
    </row>
    <row r="845" spans="34:56">
      <c r="AH845" s="6">
        <f t="shared" si="190"/>
        <v>815</v>
      </c>
      <c r="AI845" s="7">
        <f t="shared" ca="1" si="191"/>
        <v>43485</v>
      </c>
      <c r="AJ845" s="210">
        <f t="shared" ca="1" si="192"/>
        <v>3.8818493150684934</v>
      </c>
      <c r="AK845" s="8">
        <f t="shared" ca="1" si="193"/>
        <v>1.0001078291476408</v>
      </c>
      <c r="AL845" s="98">
        <f t="shared" ca="1" si="194"/>
        <v>3.6199048949706158</v>
      </c>
      <c r="AM845" s="106">
        <f t="shared" ca="1" si="188"/>
        <v>28055.711276683778</v>
      </c>
      <c r="AN845" s="10">
        <f t="shared" ca="1" si="189"/>
        <v>0.58632848315745001</v>
      </c>
      <c r="AO845" s="158"/>
      <c r="AP845" s="158"/>
      <c r="AQ845" s="1"/>
      <c r="AR845" s="1"/>
      <c r="AS845" s="1"/>
      <c r="AT845" s="1"/>
      <c r="AU845" s="1"/>
      <c r="BC845" s="23"/>
      <c r="BD845" s="23"/>
    </row>
    <row r="846" spans="34:56">
      <c r="AH846" s="6">
        <f t="shared" si="190"/>
        <v>816</v>
      </c>
      <c r="AI846" s="7">
        <f t="shared" ca="1" si="191"/>
        <v>43486</v>
      </c>
      <c r="AJ846" s="210">
        <f t="shared" ca="1" si="192"/>
        <v>3.8829452054794524</v>
      </c>
      <c r="AK846" s="8">
        <f t="shared" ca="1" si="193"/>
        <v>1.0001078595890411</v>
      </c>
      <c r="AL846" s="98">
        <f t="shared" ca="1" si="194"/>
        <v>3.6203883755818067</v>
      </c>
      <c r="AM846" s="106">
        <f t="shared" ca="1" si="188"/>
        <v>28057.94853031899</v>
      </c>
      <c r="AN846" s="10">
        <f t="shared" ca="1" si="189"/>
        <v>0.58687275257587324</v>
      </c>
      <c r="AO846" s="158"/>
      <c r="AP846" s="158"/>
      <c r="AQ846" s="1"/>
      <c r="AR846" s="1"/>
      <c r="AS846" s="1"/>
      <c r="AT846" s="1"/>
      <c r="AU846" s="1"/>
      <c r="BC846" s="23"/>
      <c r="BD846" s="23"/>
    </row>
    <row r="847" spans="34:56">
      <c r="AH847" s="6">
        <f t="shared" si="190"/>
        <v>817</v>
      </c>
      <c r="AI847" s="7">
        <f t="shared" ca="1" si="191"/>
        <v>43487</v>
      </c>
      <c r="AJ847" s="210">
        <f t="shared" ca="1" si="192"/>
        <v>3.8840410958904115</v>
      </c>
      <c r="AK847" s="8">
        <f t="shared" ca="1" si="193"/>
        <v>1.0001078900304414</v>
      </c>
      <c r="AL847" s="98">
        <f t="shared" ca="1" si="194"/>
        <v>3.6208720839701058</v>
      </c>
      <c r="AM847" s="106">
        <f t="shared" ca="1" si="188"/>
        <v>28060.185962360079</v>
      </c>
      <c r="AN847" s="10">
        <f t="shared" ca="1" si="189"/>
        <v>0.58741706039804331</v>
      </c>
      <c r="AO847" s="158"/>
      <c r="AP847" s="158"/>
      <c r="AQ847" s="1"/>
      <c r="AR847" s="1"/>
      <c r="AS847" s="1"/>
      <c r="AT847" s="1"/>
      <c r="AU847" s="1"/>
      <c r="BC847" s="23"/>
      <c r="BD847" s="23"/>
    </row>
    <row r="848" spans="34:56">
      <c r="AH848" s="6">
        <f t="shared" si="190"/>
        <v>818</v>
      </c>
      <c r="AI848" s="7">
        <f t="shared" ca="1" si="191"/>
        <v>43488</v>
      </c>
      <c r="AJ848" s="210">
        <f t="shared" ca="1" si="192"/>
        <v>3.8851369863013705</v>
      </c>
      <c r="AK848" s="8">
        <f t="shared" ca="1" si="193"/>
        <v>1.0001079204718417</v>
      </c>
      <c r="AL848" s="98">
        <f t="shared" ca="1" si="194"/>
        <v>3.621356019311528</v>
      </c>
      <c r="AM848" s="106">
        <f t="shared" ca="1" si="188"/>
        <v>28062.423572821273</v>
      </c>
      <c r="AN848" s="10">
        <f t="shared" ca="1" si="189"/>
        <v>0.58796140649437501</v>
      </c>
      <c r="AO848" s="158"/>
      <c r="AP848" s="158"/>
      <c r="AQ848" s="1"/>
      <c r="AR848" s="1"/>
      <c r="AS848" s="1"/>
      <c r="AT848" s="1"/>
      <c r="AU848" s="1"/>
      <c r="BC848" s="23"/>
      <c r="BD848" s="23"/>
    </row>
    <row r="849" spans="34:56">
      <c r="AH849" s="6">
        <f t="shared" si="190"/>
        <v>819</v>
      </c>
      <c r="AI849" s="7">
        <f t="shared" ca="1" si="191"/>
        <v>43489</v>
      </c>
      <c r="AJ849" s="210">
        <f t="shared" ca="1" si="192"/>
        <v>3.8862328767123291</v>
      </c>
      <c r="AK849" s="8">
        <f t="shared" ca="1" si="193"/>
        <v>1.000107950913242</v>
      </c>
      <c r="AL849" s="98">
        <f t="shared" ca="1" si="194"/>
        <v>3.6218401807861289</v>
      </c>
      <c r="AM849" s="106">
        <f t="shared" ca="1" si="188"/>
        <v>28064.661361716804</v>
      </c>
      <c r="AN849" s="10">
        <f t="shared" ca="1" si="189"/>
        <v>0.58850579073610465</v>
      </c>
      <c r="AO849" s="158"/>
      <c r="AP849" s="158"/>
      <c r="AQ849" s="1"/>
      <c r="AR849" s="1"/>
      <c r="AS849" s="1"/>
      <c r="AT849" s="1"/>
      <c r="AU849" s="1"/>
      <c r="BC849" s="23"/>
      <c r="BD849" s="23"/>
    </row>
    <row r="850" spans="34:56">
      <c r="AH850" s="6">
        <f t="shared" si="190"/>
        <v>820</v>
      </c>
      <c r="AI850" s="7">
        <f t="shared" ca="1" si="191"/>
        <v>43490</v>
      </c>
      <c r="AJ850" s="210">
        <f t="shared" ca="1" si="192"/>
        <v>3.8873287671232881</v>
      </c>
      <c r="AK850" s="8">
        <f t="shared" ca="1" si="193"/>
        <v>1.0001079813546423</v>
      </c>
      <c r="AL850" s="98">
        <f t="shared" ca="1" si="194"/>
        <v>3.6223245675779614</v>
      </c>
      <c r="AM850" s="106">
        <f t="shared" ca="1" si="188"/>
        <v>28066.899329060896</v>
      </c>
      <c r="AN850" s="10">
        <f t="shared" ca="1" si="189"/>
        <v>0.58905021299489047</v>
      </c>
      <c r="AO850" s="158"/>
      <c r="AP850" s="158"/>
      <c r="AQ850" s="1"/>
      <c r="AR850" s="1"/>
      <c r="AS850" s="1"/>
      <c r="AT850" s="1"/>
      <c r="AU850" s="1"/>
      <c r="BC850" s="23"/>
      <c r="BD850" s="23"/>
    </row>
    <row r="851" spans="34:56">
      <c r="AH851" s="6">
        <f t="shared" si="190"/>
        <v>821</v>
      </c>
      <c r="AI851" s="7">
        <f t="shared" ca="1" si="191"/>
        <v>43491</v>
      </c>
      <c r="AJ851" s="210">
        <f t="shared" ca="1" si="192"/>
        <v>3.8884246575342472</v>
      </c>
      <c r="AK851" s="8">
        <f t="shared" ca="1" si="193"/>
        <v>1.0001080117960426</v>
      </c>
      <c r="AL851" s="98">
        <f t="shared" ca="1" si="194"/>
        <v>3.6228091788750749</v>
      </c>
      <c r="AM851" s="106">
        <f t="shared" ca="1" si="188"/>
        <v>28069.137474867777</v>
      </c>
      <c r="AN851" s="10">
        <f t="shared" ca="1" si="189"/>
        <v>0.58959467314323444</v>
      </c>
      <c r="AO851" s="158"/>
      <c r="AP851" s="158"/>
      <c r="AQ851" s="1"/>
      <c r="AR851" s="1"/>
      <c r="AS851" s="1"/>
      <c r="AT851" s="1"/>
      <c r="AU851" s="1"/>
      <c r="BC851" s="23"/>
      <c r="BD851" s="23"/>
    </row>
    <row r="852" spans="34:56">
      <c r="AH852" s="6">
        <f t="shared" si="190"/>
        <v>822</v>
      </c>
      <c r="AI852" s="7">
        <f t="shared" ca="1" si="191"/>
        <v>43492</v>
      </c>
      <c r="AJ852" s="210">
        <f t="shared" ca="1" si="192"/>
        <v>3.8895205479452057</v>
      </c>
      <c r="AK852" s="8">
        <f t="shared" ca="1" si="193"/>
        <v>1.0001080422374429</v>
      </c>
      <c r="AL852" s="98">
        <f t="shared" ca="1" si="194"/>
        <v>3.623294013869427</v>
      </c>
      <c r="AM852" s="106">
        <f t="shared" ca="1" si="188"/>
        <v>28071.375799151683</v>
      </c>
      <c r="AN852" s="10">
        <f t="shared" ca="1" si="189"/>
        <v>0.59013917105406044</v>
      </c>
      <c r="AO852" s="158"/>
      <c r="AP852" s="158"/>
      <c r="AQ852" s="1"/>
      <c r="AR852" s="1"/>
      <c r="AS852" s="1"/>
      <c r="AT852" s="1"/>
      <c r="AU852" s="1"/>
      <c r="BC852" s="23"/>
      <c r="BD852" s="23"/>
    </row>
    <row r="853" spans="34:56">
      <c r="AH853" s="6">
        <f t="shared" si="190"/>
        <v>823</v>
      </c>
      <c r="AI853" s="7">
        <f t="shared" ca="1" si="191"/>
        <v>43493</v>
      </c>
      <c r="AJ853" s="210">
        <f t="shared" ca="1" si="192"/>
        <v>3.8906164383561648</v>
      </c>
      <c r="AK853" s="8">
        <f t="shared" ca="1" si="193"/>
        <v>1.0001080726788432</v>
      </c>
      <c r="AL853" s="98">
        <f t="shared" ca="1" si="194"/>
        <v>3.6237790717569496</v>
      </c>
      <c r="AM853" s="106">
        <f t="shared" ca="1" si="188"/>
        <v>28073.614301926846</v>
      </c>
      <c r="AN853" s="10">
        <f t="shared" ca="1" si="189"/>
        <v>0.5906837066010695</v>
      </c>
      <c r="AO853" s="158"/>
      <c r="AP853" s="158"/>
      <c r="AQ853" s="1"/>
      <c r="AR853" s="1"/>
      <c r="AS853" s="1"/>
      <c r="AT853" s="1"/>
      <c r="AU853" s="1"/>
      <c r="BC853" s="23"/>
      <c r="BD853" s="23"/>
    </row>
    <row r="854" spans="34:56">
      <c r="AH854" s="6">
        <f t="shared" si="190"/>
        <v>824</v>
      </c>
      <c r="AI854" s="7">
        <f t="shared" ca="1" si="191"/>
        <v>43494</v>
      </c>
      <c r="AJ854" s="210">
        <f t="shared" ca="1" si="192"/>
        <v>3.8917123287671238</v>
      </c>
      <c r="AK854" s="8">
        <f t="shared" ca="1" si="193"/>
        <v>1.0001081031202435</v>
      </c>
      <c r="AL854" s="98">
        <f t="shared" ca="1" si="194"/>
        <v>3.6242643517374606</v>
      </c>
      <c r="AM854" s="106">
        <f t="shared" ca="1" si="188"/>
        <v>28075.852983207496</v>
      </c>
      <c r="AN854" s="10">
        <f t="shared" ca="1" si="189"/>
        <v>0.59122827965847335</v>
      </c>
      <c r="AO854" s="158"/>
      <c r="AP854" s="158"/>
      <c r="AQ854" s="1"/>
      <c r="AR854" s="1"/>
      <c r="AS854" s="1"/>
      <c r="AT854" s="1"/>
      <c r="AU854" s="1"/>
      <c r="BC854" s="23"/>
      <c r="BD854" s="23"/>
    </row>
    <row r="855" spans="34:56">
      <c r="AH855" s="6">
        <f t="shared" si="190"/>
        <v>825</v>
      </c>
      <c r="AI855" s="7">
        <f t="shared" ca="1" si="191"/>
        <v>43495</v>
      </c>
      <c r="AJ855" s="210">
        <f t="shared" ca="1" si="192"/>
        <v>3.8928082191780828</v>
      </c>
      <c r="AK855" s="8">
        <f t="shared" ca="1" si="193"/>
        <v>1.0001081335616437</v>
      </c>
      <c r="AL855" s="98">
        <f t="shared" ca="1" si="194"/>
        <v>3.6247498530146416</v>
      </c>
      <c r="AM855" s="106">
        <f t="shared" ca="1" si="188"/>
        <v>28078.091843007875</v>
      </c>
      <c r="AN855" s="10">
        <f t="shared" ca="1" si="189"/>
        <v>0.59177289010108325</v>
      </c>
      <c r="AO855" s="158"/>
      <c r="AP855" s="158"/>
      <c r="AQ855" s="1"/>
      <c r="AR855" s="1"/>
      <c r="AS855" s="1"/>
      <c r="AT855" s="1"/>
      <c r="AU855" s="1"/>
      <c r="BC855" s="23"/>
      <c r="BD855" s="23"/>
    </row>
    <row r="856" spans="34:56">
      <c r="AH856" s="6">
        <f t="shared" si="190"/>
        <v>826</v>
      </c>
      <c r="AI856" s="7">
        <f t="shared" ca="1" si="191"/>
        <v>43496</v>
      </c>
      <c r="AJ856" s="210">
        <f t="shared" ca="1" si="192"/>
        <v>3.8939041095890414</v>
      </c>
      <c r="AK856" s="8">
        <f t="shared" ca="1" si="193"/>
        <v>1.000108164003044</v>
      </c>
      <c r="AL856" s="98">
        <f t="shared" ca="1" si="194"/>
        <v>3.6252355747960596</v>
      </c>
      <c r="AM856" s="106">
        <f t="shared" ca="1" si="188"/>
        <v>28080.330881342212</v>
      </c>
      <c r="AN856" s="10">
        <f t="shared" ca="1" si="189"/>
        <v>0.59231753780442098</v>
      </c>
      <c r="AO856" s="158"/>
      <c r="AP856" s="158"/>
      <c r="AQ856" s="1"/>
      <c r="AR856" s="1"/>
      <c r="AS856" s="1"/>
      <c r="AT856" s="1"/>
      <c r="AU856" s="1"/>
      <c r="BC856" s="23"/>
      <c r="BD856" s="23"/>
    </row>
    <row r="857" spans="34:56">
      <c r="AH857" s="6">
        <f t="shared" si="190"/>
        <v>827</v>
      </c>
      <c r="AI857" s="7">
        <f t="shared" ca="1" si="191"/>
        <v>43497</v>
      </c>
      <c r="AJ857" s="210">
        <f t="shared" ca="1" si="192"/>
        <v>3.8950000000000005</v>
      </c>
      <c r="AK857" s="8">
        <f t="shared" ca="1" si="193"/>
        <v>1.0001081944444445</v>
      </c>
      <c r="AL857" s="98">
        <f t="shared" ca="1" si="194"/>
        <v>3.6257215162931233</v>
      </c>
      <c r="AM857" s="106">
        <f t="shared" ca="1" si="188"/>
        <v>28082.570098224744</v>
      </c>
      <c r="AN857" s="10">
        <f t="shared" ca="1" si="189"/>
        <v>0.59286222264454125</v>
      </c>
      <c r="AO857" s="158"/>
      <c r="AP857" s="158"/>
      <c r="AQ857" s="1"/>
      <c r="AR857" s="1"/>
      <c r="AS857" s="1"/>
      <c r="AT857" s="1"/>
      <c r="AU857" s="1"/>
      <c r="BC857" s="23"/>
      <c r="BD857" s="23"/>
    </row>
    <row r="858" spans="34:56">
      <c r="AH858" s="6">
        <f t="shared" si="190"/>
        <v>828</v>
      </c>
      <c r="AI858" s="7">
        <f t="shared" ca="1" si="191"/>
        <v>43498</v>
      </c>
      <c r="AJ858" s="210">
        <f t="shared" ca="1" si="192"/>
        <v>3.8960958904109595</v>
      </c>
      <c r="AK858" s="8">
        <f t="shared" ca="1" si="193"/>
        <v>1.0001082248858448</v>
      </c>
      <c r="AL858" s="98">
        <f t="shared" ca="1" si="194"/>
        <v>3.6262076767210161</v>
      </c>
      <c r="AM858" s="106">
        <f t="shared" ca="1" si="188"/>
        <v>28084.809493669709</v>
      </c>
      <c r="AN858" s="10">
        <f t="shared" ca="1" si="189"/>
        <v>0.59340694449809828</v>
      </c>
      <c r="AO858" s="158"/>
      <c r="AP858" s="158"/>
      <c r="AQ858" s="1"/>
      <c r="AR858" s="1"/>
      <c r="AS858" s="1"/>
      <c r="AT858" s="1"/>
      <c r="AU858" s="1"/>
      <c r="BC858" s="23"/>
      <c r="BD858" s="23"/>
    </row>
    <row r="859" spans="34:56">
      <c r="AH859" s="6">
        <f t="shared" si="190"/>
        <v>829</v>
      </c>
      <c r="AI859" s="7">
        <f t="shared" ca="1" si="191"/>
        <v>43499</v>
      </c>
      <c r="AJ859" s="210">
        <f t="shared" ca="1" si="192"/>
        <v>3.8971917808219181</v>
      </c>
      <c r="AK859" s="8">
        <f t="shared" ca="1" si="193"/>
        <v>1.0001082553272451</v>
      </c>
      <c r="AL859" s="98">
        <f t="shared" ca="1" si="194"/>
        <v>3.6266940552987181</v>
      </c>
      <c r="AM859" s="106">
        <f t="shared" ca="1" si="188"/>
        <v>28087.049067691354</v>
      </c>
      <c r="AN859" s="10">
        <f t="shared" ca="1" si="189"/>
        <v>0.5939517032423236</v>
      </c>
      <c r="AO859" s="158"/>
      <c r="AP859" s="158"/>
      <c r="AQ859" s="1"/>
      <c r="AR859" s="1"/>
      <c r="AS859" s="1"/>
      <c r="AT859" s="1"/>
      <c r="AU859" s="1"/>
      <c r="BC859" s="23"/>
      <c r="BD859" s="23"/>
    </row>
    <row r="860" spans="34:56">
      <c r="AH860" s="6">
        <f t="shared" si="190"/>
        <v>830</v>
      </c>
      <c r="AI860" s="7">
        <f t="shared" ca="1" si="191"/>
        <v>43500</v>
      </c>
      <c r="AJ860" s="210">
        <f t="shared" ca="1" si="192"/>
        <v>3.8982876712328771</v>
      </c>
      <c r="AK860" s="8">
        <f t="shared" ca="1" si="193"/>
        <v>1.0001082857686454</v>
      </c>
      <c r="AL860" s="98">
        <f t="shared" ca="1" si="194"/>
        <v>3.6271806512489846</v>
      </c>
      <c r="AM860" s="106">
        <f t="shared" ca="1" si="188"/>
        <v>28089.288820303907</v>
      </c>
      <c r="AN860" s="10">
        <f t="shared" ca="1" si="189"/>
        <v>0.59449649875507049</v>
      </c>
      <c r="AO860" s="158"/>
      <c r="AP860" s="158"/>
      <c r="AQ860" s="1"/>
      <c r="AR860" s="1"/>
      <c r="AS860" s="1"/>
      <c r="AT860" s="1"/>
      <c r="AU860" s="1"/>
      <c r="BC860" s="23"/>
      <c r="BD860" s="23"/>
    </row>
    <row r="861" spans="34:56">
      <c r="AH861" s="6">
        <f t="shared" si="190"/>
        <v>831</v>
      </c>
      <c r="AI861" s="7">
        <f t="shared" ca="1" si="191"/>
        <v>43501</v>
      </c>
      <c r="AJ861" s="210">
        <f t="shared" ca="1" si="192"/>
        <v>3.8993835616438361</v>
      </c>
      <c r="AK861" s="8">
        <f t="shared" ca="1" si="193"/>
        <v>1.0001083162100457</v>
      </c>
      <c r="AL861" s="98">
        <f t="shared" ca="1" si="194"/>
        <v>3.6276674637983231</v>
      </c>
      <c r="AM861" s="106">
        <f t="shared" ca="1" si="188"/>
        <v>28091.528751521619</v>
      </c>
      <c r="AN861" s="10">
        <f t="shared" ca="1" si="189"/>
        <v>0.59504133091479172</v>
      </c>
      <c r="AO861" s="158"/>
      <c r="AP861" s="158"/>
      <c r="AQ861" s="1"/>
      <c r="AR861" s="1"/>
      <c r="AS861" s="1"/>
      <c r="AT861" s="1"/>
      <c r="AU861" s="1"/>
      <c r="BC861" s="23"/>
      <c r="BD861" s="23"/>
    </row>
    <row r="862" spans="34:56">
      <c r="AH862" s="6">
        <f t="shared" si="190"/>
        <v>832</v>
      </c>
      <c r="AI862" s="7">
        <f t="shared" ca="1" si="191"/>
        <v>43502</v>
      </c>
      <c r="AJ862" s="210">
        <f t="shared" ca="1" si="192"/>
        <v>3.9004794520547952</v>
      </c>
      <c r="AK862" s="8">
        <f t="shared" ca="1" si="193"/>
        <v>1.000108346651446</v>
      </c>
      <c r="AL862" s="98">
        <f t="shared" ca="1" si="194"/>
        <v>3.6281544921769493</v>
      </c>
      <c r="AM862" s="106">
        <f t="shared" ca="1" si="188"/>
        <v>28093.768861358723</v>
      </c>
      <c r="AN862" s="10">
        <f t="shared" ca="1" si="189"/>
        <v>0.59558619960049519</v>
      </c>
      <c r="AO862" s="158"/>
      <c r="AP862" s="158"/>
      <c r="AQ862" s="1"/>
      <c r="AR862" s="1"/>
      <c r="AS862" s="1"/>
      <c r="AT862" s="1"/>
      <c r="AU862" s="1"/>
      <c r="BC862" s="23"/>
      <c r="BD862" s="23"/>
    </row>
    <row r="863" spans="34:56">
      <c r="AH863" s="6">
        <f t="shared" si="190"/>
        <v>833</v>
      </c>
      <c r="AI863" s="7">
        <f t="shared" ca="1" si="191"/>
        <v>43503</v>
      </c>
      <c r="AJ863" s="210">
        <f t="shared" ca="1" si="192"/>
        <v>3.9015753424657538</v>
      </c>
      <c r="AK863" s="8">
        <f t="shared" ca="1" si="193"/>
        <v>1.0001083770928463</v>
      </c>
      <c r="AL863" s="98">
        <f t="shared" ca="1" si="194"/>
        <v>3.6286417356187872</v>
      </c>
      <c r="AM863" s="106">
        <f t="shared" ref="AM863:AM926" ca="1" si="195">Geom_Interp(AI863,$AZ$2:$AZ$109,$BA$2:$BA$109)</f>
        <v>28096.009149829475</v>
      </c>
      <c r="AN863" s="10">
        <f t="shared" ref="AN863:AN926" ca="1" si="196">100*(((1+AL863/100)^(AH863/365)*$AM$29/AM863)^(365/AH863)-1)</f>
        <v>0.59613110469178832</v>
      </c>
      <c r="AO863" s="158"/>
      <c r="AP863" s="158"/>
      <c r="AQ863" s="1"/>
      <c r="AR863" s="1"/>
      <c r="AS863" s="1"/>
      <c r="AT863" s="1"/>
      <c r="AU863" s="1"/>
      <c r="BC863" s="23"/>
      <c r="BD863" s="23"/>
    </row>
    <row r="864" spans="34:56">
      <c r="AH864" s="6">
        <f t="shared" ref="AH864:AH927" si="197">$AI$29+AH863</f>
        <v>834</v>
      </c>
      <c r="AI864" s="7">
        <f t="shared" ref="AI864:AI927" ca="1" si="198">+AH864+$C$1</f>
        <v>43504</v>
      </c>
      <c r="AJ864" s="210">
        <f t="shared" ref="AJ864:AJ927" ca="1" si="199">IF(AH864&lt;365,VLOOKUP(LOOKUP(AI864,$AI$2:$AI$23),$AI$2:$AK$23,3,0),Lin_Interp(AH864,$AJ$2:$AJ$23,$AK$2:$AK$23))</f>
        <v>3.9026712328767128</v>
      </c>
      <c r="AK864" s="8">
        <f t="shared" ca="1" si="193"/>
        <v>1.0001084075342466</v>
      </c>
      <c r="AL864" s="98">
        <f t="shared" ca="1" si="194"/>
        <v>3.6291291933614245</v>
      </c>
      <c r="AM864" s="106">
        <f t="shared" ca="1" si="195"/>
        <v>28098.249616948113</v>
      </c>
      <c r="AN864" s="10">
        <f t="shared" ca="1" si="196"/>
        <v>0.59667604606887803</v>
      </c>
      <c r="AO864" s="158"/>
      <c r="AP864" s="158"/>
      <c r="AQ864" s="1"/>
      <c r="AR864" s="1"/>
      <c r="AS864" s="1"/>
      <c r="AT864" s="1"/>
      <c r="AU864" s="1"/>
      <c r="BC864" s="23"/>
      <c r="BD864" s="23"/>
    </row>
    <row r="865" spans="34:56">
      <c r="AH865" s="6">
        <f t="shared" si="197"/>
        <v>835</v>
      </c>
      <c r="AI865" s="7">
        <f t="shared" ca="1" si="198"/>
        <v>43505</v>
      </c>
      <c r="AJ865" s="210">
        <f t="shared" ca="1" si="199"/>
        <v>3.9037671232876718</v>
      </c>
      <c r="AK865" s="8">
        <f t="shared" ref="AK865:AK928" ca="1" si="200">+(1+AJ865/36000)</f>
        <v>1.0001084379756469</v>
      </c>
      <c r="AL865" s="98">
        <f t="shared" ref="AL865:AL928" ca="1" si="201">100*(((1+AL864/100)^(AH864/365)*AK865)^(365/AH865)-1)</f>
        <v>3.6296168646460902</v>
      </c>
      <c r="AM865" s="106">
        <f t="shared" ca="1" si="195"/>
        <v>28100.490262728883</v>
      </c>
      <c r="AN865" s="10">
        <f t="shared" ca="1" si="196"/>
        <v>0.59722102361245977</v>
      </c>
      <c r="AO865" s="158"/>
      <c r="AP865" s="158"/>
      <c r="AQ865" s="1"/>
      <c r="AR865" s="1"/>
      <c r="AS865" s="1"/>
      <c r="AT865" s="1"/>
      <c r="AU865" s="1"/>
      <c r="BC865" s="23"/>
      <c r="BD865" s="23"/>
    </row>
    <row r="866" spans="34:56">
      <c r="AH866" s="6">
        <f t="shared" si="197"/>
        <v>836</v>
      </c>
      <c r="AI866" s="7">
        <f t="shared" ca="1" si="198"/>
        <v>43506</v>
      </c>
      <c r="AJ866" s="210">
        <f t="shared" ca="1" si="199"/>
        <v>3.9048630136986304</v>
      </c>
      <c r="AK866" s="8">
        <f t="shared" ca="1" si="200"/>
        <v>1.0001084684170471</v>
      </c>
      <c r="AL866" s="98">
        <f t="shared" ca="1" si="201"/>
        <v>3.6301047487176774</v>
      </c>
      <c r="AM866" s="106">
        <f t="shared" ca="1" si="195"/>
        <v>28102.971186118833</v>
      </c>
      <c r="AN866" s="10">
        <f t="shared" ca="1" si="196"/>
        <v>0.59739079302800757</v>
      </c>
      <c r="AO866" s="158"/>
      <c r="AP866" s="158"/>
      <c r="AQ866" s="1"/>
      <c r="AR866" s="1"/>
      <c r="AS866" s="1"/>
      <c r="AT866" s="1"/>
      <c r="AU866" s="1"/>
      <c r="BC866" s="23"/>
      <c r="BD866" s="23"/>
    </row>
    <row r="867" spans="34:56">
      <c r="AH867" s="6">
        <f t="shared" si="197"/>
        <v>837</v>
      </c>
      <c r="AI867" s="7">
        <f t="shared" ca="1" si="198"/>
        <v>43507</v>
      </c>
      <c r="AJ867" s="210">
        <f t="shared" ca="1" si="199"/>
        <v>3.9059589041095895</v>
      </c>
      <c r="AK867" s="8">
        <f t="shared" ca="1" si="200"/>
        <v>1.0001084988584474</v>
      </c>
      <c r="AL867" s="98">
        <f t="shared" ca="1" si="201"/>
        <v>3.6305928448246538</v>
      </c>
      <c r="AM867" s="106">
        <f t="shared" ca="1" si="195"/>
        <v>28105.45232854343</v>
      </c>
      <c r="AN867" s="10">
        <f t="shared" ca="1" si="196"/>
        <v>0.5975614923474426</v>
      </c>
      <c r="AO867" s="158"/>
      <c r="AP867" s="158"/>
      <c r="AQ867" s="1"/>
      <c r="AR867" s="1"/>
      <c r="AS867" s="1"/>
      <c r="AT867" s="1"/>
      <c r="AU867" s="1"/>
      <c r="BC867" s="23"/>
      <c r="BD867" s="23"/>
    </row>
    <row r="868" spans="34:56">
      <c r="AH868" s="6">
        <f t="shared" si="197"/>
        <v>838</v>
      </c>
      <c r="AI868" s="7">
        <f t="shared" ca="1" si="198"/>
        <v>43508</v>
      </c>
      <c r="AJ868" s="210">
        <f t="shared" ca="1" si="199"/>
        <v>3.9070547945205485</v>
      </c>
      <c r="AK868" s="8">
        <f t="shared" ca="1" si="200"/>
        <v>1.0001085292998477</v>
      </c>
      <c r="AL868" s="98">
        <f t="shared" ca="1" si="201"/>
        <v>3.6310811522191067</v>
      </c>
      <c r="AM868" s="106">
        <f t="shared" ca="1" si="195"/>
        <v>28107.933690022004</v>
      </c>
      <c r="AN868" s="10">
        <f t="shared" ca="1" si="196"/>
        <v>0.59773311824742326</v>
      </c>
      <c r="AO868" s="158"/>
      <c r="AP868" s="158"/>
      <c r="AQ868" s="1"/>
      <c r="AR868" s="1"/>
      <c r="AS868" s="1"/>
      <c r="AT868" s="1"/>
      <c r="AU868" s="1"/>
      <c r="BC868" s="23"/>
      <c r="BD868" s="23"/>
    </row>
    <row r="869" spans="34:56">
      <c r="AH869" s="6">
        <f t="shared" si="197"/>
        <v>839</v>
      </c>
      <c r="AI869" s="7">
        <f t="shared" ca="1" si="198"/>
        <v>43509</v>
      </c>
      <c r="AJ869" s="210">
        <f t="shared" ca="1" si="199"/>
        <v>3.9081506849315075</v>
      </c>
      <c r="AK869" s="8">
        <f t="shared" ca="1" si="200"/>
        <v>1.000108559741248</v>
      </c>
      <c r="AL869" s="98">
        <f t="shared" ca="1" si="201"/>
        <v>3.631569670156698</v>
      </c>
      <c r="AM869" s="106">
        <f t="shared" ca="1" si="195"/>
        <v>28110.415270573903</v>
      </c>
      <c r="AN869" s="10">
        <f t="shared" ca="1" si="196"/>
        <v>0.59790566742059514</v>
      </c>
      <c r="AO869" s="158"/>
      <c r="AP869" s="158"/>
      <c r="AQ869" s="1"/>
      <c r="AR869" s="1"/>
      <c r="AS869" s="1"/>
      <c r="AT869" s="1"/>
      <c r="AU869" s="1"/>
      <c r="BC869" s="23"/>
      <c r="BD869" s="23"/>
    </row>
    <row r="870" spans="34:56">
      <c r="AH870" s="6">
        <f t="shared" si="197"/>
        <v>840</v>
      </c>
      <c r="AI870" s="7">
        <f t="shared" ca="1" si="198"/>
        <v>43510</v>
      </c>
      <c r="AJ870" s="210">
        <f t="shared" ca="1" si="199"/>
        <v>3.9092465753424661</v>
      </c>
      <c r="AK870" s="8">
        <f t="shared" ca="1" si="200"/>
        <v>1.0001085901826483</v>
      </c>
      <c r="AL870" s="98">
        <f t="shared" ca="1" si="201"/>
        <v>3.6320583978965981</v>
      </c>
      <c r="AM870" s="106">
        <f t="shared" ca="1" si="195"/>
        <v>28112.897070218463</v>
      </c>
      <c r="AN870" s="10">
        <f t="shared" ca="1" si="196"/>
        <v>0.59807913657525802</v>
      </c>
      <c r="AO870" s="158"/>
      <c r="AP870" s="158"/>
      <c r="AQ870" s="1"/>
      <c r="AR870" s="1"/>
      <c r="AS870" s="1"/>
      <c r="AT870" s="1"/>
      <c r="AU870" s="1"/>
      <c r="BC870" s="23"/>
      <c r="BD870" s="23"/>
    </row>
    <row r="871" spans="34:56">
      <c r="AH871" s="6">
        <f t="shared" si="197"/>
        <v>841</v>
      </c>
      <c r="AI871" s="7">
        <f t="shared" ca="1" si="198"/>
        <v>43511</v>
      </c>
      <c r="AJ871" s="210">
        <f t="shared" ca="1" si="199"/>
        <v>3.9103424657534251</v>
      </c>
      <c r="AK871" s="8">
        <f t="shared" ca="1" si="200"/>
        <v>1.0001086206240488</v>
      </c>
      <c r="AL871" s="98">
        <f t="shared" ca="1" si="201"/>
        <v>3.6325473347015302</v>
      </c>
      <c r="AM871" s="106">
        <f t="shared" ca="1" si="195"/>
        <v>28115.379088975034</v>
      </c>
      <c r="AN871" s="10">
        <f t="shared" ca="1" si="196"/>
        <v>0.59825352243541019</v>
      </c>
      <c r="AO871" s="158"/>
      <c r="AP871" s="158"/>
      <c r="AQ871" s="1"/>
      <c r="AR871" s="1"/>
      <c r="AS871" s="1"/>
      <c r="AT871" s="1"/>
      <c r="AU871" s="1"/>
      <c r="BC871" s="23"/>
      <c r="BD871" s="23"/>
    </row>
    <row r="872" spans="34:56">
      <c r="AH872" s="6">
        <f t="shared" si="197"/>
        <v>842</v>
      </c>
      <c r="AI872" s="7">
        <f t="shared" ca="1" si="198"/>
        <v>43512</v>
      </c>
      <c r="AJ872" s="210">
        <f t="shared" ca="1" si="199"/>
        <v>3.9114383561643842</v>
      </c>
      <c r="AK872" s="8">
        <f t="shared" ca="1" si="200"/>
        <v>1.0001086510654491</v>
      </c>
      <c r="AL872" s="98">
        <f t="shared" ca="1" si="201"/>
        <v>3.6330364798377035</v>
      </c>
      <c r="AM872" s="106">
        <f t="shared" ca="1" si="195"/>
        <v>28117.861326862949</v>
      </c>
      <c r="AN872" s="10">
        <f t="shared" ca="1" si="196"/>
        <v>0.59842882174074852</v>
      </c>
      <c r="AO872" s="158"/>
      <c r="AP872" s="158"/>
      <c r="AQ872" s="1"/>
      <c r="AR872" s="1"/>
      <c r="AS872" s="1"/>
      <c r="AT872" s="1"/>
      <c r="AU872" s="1"/>
      <c r="BC872" s="23"/>
      <c r="BD872" s="23"/>
    </row>
    <row r="873" spans="34:56">
      <c r="AH873" s="6">
        <f t="shared" si="197"/>
        <v>843</v>
      </c>
      <c r="AI873" s="7">
        <f t="shared" ca="1" si="198"/>
        <v>43513</v>
      </c>
      <c r="AJ873" s="210">
        <f t="shared" ca="1" si="199"/>
        <v>3.9125342465753428</v>
      </c>
      <c r="AK873" s="8">
        <f t="shared" ca="1" si="200"/>
        <v>1.0001086815068494</v>
      </c>
      <c r="AL873" s="98">
        <f t="shared" ca="1" si="201"/>
        <v>3.6335258325748132</v>
      </c>
      <c r="AM873" s="106">
        <f t="shared" ca="1" si="195"/>
        <v>28120.343783901561</v>
      </c>
      <c r="AN873" s="10">
        <f t="shared" ca="1" si="196"/>
        <v>0.59860503124631315</v>
      </c>
      <c r="AO873" s="158"/>
      <c r="AP873" s="158"/>
      <c r="AQ873" s="1"/>
      <c r="AR873" s="1"/>
      <c r="AS873" s="1"/>
      <c r="AT873" s="1"/>
      <c r="AU873" s="1"/>
      <c r="BC873" s="23"/>
      <c r="BD873" s="23"/>
    </row>
    <row r="874" spans="34:56">
      <c r="AH874" s="6">
        <f t="shared" si="197"/>
        <v>844</v>
      </c>
      <c r="AI874" s="7">
        <f t="shared" ca="1" si="198"/>
        <v>43514</v>
      </c>
      <c r="AJ874" s="210">
        <f t="shared" ca="1" si="199"/>
        <v>3.9136301369863018</v>
      </c>
      <c r="AK874" s="8">
        <f t="shared" ca="1" si="200"/>
        <v>1.0001087119482497</v>
      </c>
      <c r="AL874" s="98">
        <f t="shared" ca="1" si="201"/>
        <v>3.6340153921860185</v>
      </c>
      <c r="AM874" s="106">
        <f t="shared" ca="1" si="195"/>
        <v>28122.82646011022</v>
      </c>
      <c r="AN874" s="10">
        <f t="shared" ca="1" si="196"/>
        <v>0.59878214772262073</v>
      </c>
      <c r="AO874" s="158"/>
      <c r="AP874" s="158"/>
      <c r="AQ874" s="1"/>
      <c r="AR874" s="1"/>
      <c r="AS874" s="1"/>
      <c r="AT874" s="1"/>
      <c r="AU874" s="1"/>
      <c r="BC874" s="23"/>
      <c r="BD874" s="23"/>
    </row>
    <row r="875" spans="34:56">
      <c r="AH875" s="6">
        <f t="shared" si="197"/>
        <v>845</v>
      </c>
      <c r="AI875" s="7">
        <f t="shared" ca="1" si="198"/>
        <v>43515</v>
      </c>
      <c r="AJ875" s="210">
        <f t="shared" ca="1" si="199"/>
        <v>3.9147260273972608</v>
      </c>
      <c r="AK875" s="8">
        <f t="shared" ca="1" si="200"/>
        <v>1.00010874238965</v>
      </c>
      <c r="AL875" s="98">
        <f t="shared" ca="1" si="201"/>
        <v>3.6345051579479204</v>
      </c>
      <c r="AM875" s="106">
        <f t="shared" ca="1" si="195"/>
        <v>28125.309355508281</v>
      </c>
      <c r="AN875" s="10">
        <f t="shared" ca="1" si="196"/>
        <v>0.59896016795550899</v>
      </c>
      <c r="AO875" s="158"/>
      <c r="AP875" s="158"/>
      <c r="AQ875" s="1"/>
      <c r="AR875" s="1"/>
      <c r="AS875" s="1"/>
      <c r="AT875" s="1"/>
      <c r="AU875" s="1"/>
      <c r="BC875" s="23"/>
      <c r="BD875" s="23"/>
    </row>
    <row r="876" spans="34:56">
      <c r="AH876" s="6">
        <f t="shared" si="197"/>
        <v>846</v>
      </c>
      <c r="AI876" s="7">
        <f t="shared" ca="1" si="198"/>
        <v>43516</v>
      </c>
      <c r="AJ876" s="210">
        <f t="shared" ca="1" si="199"/>
        <v>3.9158219178082199</v>
      </c>
      <c r="AK876" s="8">
        <f t="shared" ca="1" si="200"/>
        <v>1.0001087728310503</v>
      </c>
      <c r="AL876" s="98">
        <f t="shared" ca="1" si="201"/>
        <v>3.6349951291405613</v>
      </c>
      <c r="AM876" s="106">
        <f t="shared" ca="1" si="195"/>
        <v>28127.792470115081</v>
      </c>
      <c r="AN876" s="10">
        <f t="shared" ca="1" si="196"/>
        <v>0.59913908874604793</v>
      </c>
      <c r="AO876" s="158"/>
      <c r="AP876" s="158"/>
      <c r="AQ876" s="1"/>
      <c r="AR876" s="1"/>
      <c r="AS876" s="1"/>
      <c r="AT876" s="1"/>
      <c r="AU876" s="1"/>
      <c r="BC876" s="23"/>
      <c r="BD876" s="23"/>
    </row>
    <row r="877" spans="34:56">
      <c r="AH877" s="6">
        <f t="shared" si="197"/>
        <v>847</v>
      </c>
      <c r="AI877" s="7">
        <f t="shared" ca="1" si="198"/>
        <v>43517</v>
      </c>
      <c r="AJ877" s="210">
        <f t="shared" ca="1" si="199"/>
        <v>3.9169178082191785</v>
      </c>
      <c r="AK877" s="8">
        <f t="shared" ca="1" si="200"/>
        <v>1.0001088032724506</v>
      </c>
      <c r="AL877" s="98">
        <f t="shared" ca="1" si="201"/>
        <v>3.635485305047359</v>
      </c>
      <c r="AM877" s="106">
        <f t="shared" ca="1" si="195"/>
        <v>28130.275803949986</v>
      </c>
      <c r="AN877" s="10">
        <f t="shared" ca="1" si="196"/>
        <v>0.59931890691033995</v>
      </c>
      <c r="AO877" s="158"/>
      <c r="AP877" s="158"/>
      <c r="AQ877" s="1"/>
      <c r="AR877" s="1"/>
      <c r="AS877" s="1"/>
      <c r="AT877" s="1"/>
      <c r="AU877" s="1"/>
      <c r="BC877" s="23"/>
      <c r="BD877" s="23"/>
    </row>
    <row r="878" spans="34:56">
      <c r="AH878" s="6">
        <f t="shared" si="197"/>
        <v>848</v>
      </c>
      <c r="AI878" s="7">
        <f t="shared" ca="1" si="198"/>
        <v>43518</v>
      </c>
      <c r="AJ878" s="210">
        <f t="shared" ca="1" si="199"/>
        <v>3.9180136986301375</v>
      </c>
      <c r="AK878" s="8">
        <f t="shared" ca="1" si="200"/>
        <v>1.0001088337138508</v>
      </c>
      <c r="AL878" s="98">
        <f t="shared" ca="1" si="201"/>
        <v>3.6359756849551284</v>
      </c>
      <c r="AM878" s="106">
        <f t="shared" ca="1" si="195"/>
        <v>28132.759357032344</v>
      </c>
      <c r="AN878" s="10">
        <f t="shared" ca="1" si="196"/>
        <v>0.59949961927969753</v>
      </c>
      <c r="AO878" s="158"/>
      <c r="AP878" s="158"/>
      <c r="AQ878" s="1"/>
      <c r="AR878" s="1"/>
      <c r="AS878" s="1"/>
      <c r="AT878" s="1"/>
      <c r="AU878" s="1"/>
      <c r="BC878" s="23"/>
      <c r="BD878" s="23"/>
    </row>
    <row r="879" spans="34:56">
      <c r="AH879" s="6">
        <f t="shared" si="197"/>
        <v>849</v>
      </c>
      <c r="AI879" s="7">
        <f t="shared" ca="1" si="198"/>
        <v>43519</v>
      </c>
      <c r="AJ879" s="210">
        <f t="shared" ca="1" si="199"/>
        <v>3.9191095890410965</v>
      </c>
      <c r="AK879" s="8">
        <f t="shared" ca="1" si="200"/>
        <v>1.0001088641552511</v>
      </c>
      <c r="AL879" s="98">
        <f t="shared" ca="1" si="201"/>
        <v>3.6364662681540372</v>
      </c>
      <c r="AM879" s="106">
        <f t="shared" ca="1" si="195"/>
        <v>28135.243129381517</v>
      </c>
      <c r="AN879" s="10">
        <f t="shared" ca="1" si="196"/>
        <v>0.59968122270024349</v>
      </c>
      <c r="AO879" s="158"/>
      <c r="AP879" s="158"/>
      <c r="AQ879" s="1"/>
      <c r="AR879" s="1"/>
      <c r="AS879" s="1"/>
      <c r="AT879" s="1"/>
      <c r="AU879" s="1"/>
      <c r="BC879" s="23"/>
      <c r="BD879" s="23"/>
    </row>
    <row r="880" spans="34:56">
      <c r="AH880" s="6">
        <f t="shared" si="197"/>
        <v>850</v>
      </c>
      <c r="AI880" s="7">
        <f t="shared" ca="1" si="198"/>
        <v>43520</v>
      </c>
      <c r="AJ880" s="210">
        <f t="shared" ca="1" si="199"/>
        <v>3.9202054794520551</v>
      </c>
      <c r="AK880" s="8">
        <f t="shared" ca="1" si="200"/>
        <v>1.0001088945966514</v>
      </c>
      <c r="AL880" s="98">
        <f t="shared" ca="1" si="201"/>
        <v>3.6369570539376062</v>
      </c>
      <c r="AM880" s="106">
        <f t="shared" ca="1" si="195"/>
        <v>28137.727121016866</v>
      </c>
      <c r="AN880" s="10">
        <f t="shared" ca="1" si="196"/>
        <v>0.59986371403302208</v>
      </c>
      <c r="AO880" s="158"/>
      <c r="AP880" s="158"/>
      <c r="AQ880" s="1"/>
      <c r="AR880" s="1"/>
      <c r="AS880" s="1"/>
      <c r="AT880" s="1"/>
      <c r="AU880" s="1"/>
      <c r="BC880" s="23"/>
      <c r="BD880" s="23"/>
    </row>
    <row r="881" spans="34:56">
      <c r="AH881" s="6">
        <f t="shared" si="197"/>
        <v>851</v>
      </c>
      <c r="AI881" s="7">
        <f t="shared" ca="1" si="198"/>
        <v>43521</v>
      </c>
      <c r="AJ881" s="210">
        <f t="shared" ca="1" si="199"/>
        <v>3.9213013698630141</v>
      </c>
      <c r="AK881" s="8">
        <f t="shared" ca="1" si="200"/>
        <v>1.0001089250380517</v>
      </c>
      <c r="AL881" s="98">
        <f t="shared" ca="1" si="201"/>
        <v>3.6374480416026644</v>
      </c>
      <c r="AM881" s="106">
        <f t="shared" ca="1" si="195"/>
        <v>28140.211331957737</v>
      </c>
      <c r="AN881" s="10">
        <f t="shared" ca="1" si="196"/>
        <v>0.60004709015388791</v>
      </c>
      <c r="AO881" s="158"/>
      <c r="AP881" s="158"/>
      <c r="AQ881" s="1"/>
      <c r="AR881" s="1"/>
      <c r="AS881" s="1"/>
      <c r="AT881" s="1"/>
      <c r="AU881" s="1"/>
      <c r="BC881" s="23"/>
      <c r="BD881" s="23"/>
    </row>
    <row r="882" spans="34:56">
      <c r="AH882" s="6">
        <f t="shared" si="197"/>
        <v>852</v>
      </c>
      <c r="AI882" s="7">
        <f t="shared" ca="1" si="198"/>
        <v>43522</v>
      </c>
      <c r="AJ882" s="210">
        <f t="shared" ca="1" si="199"/>
        <v>3.9223972602739732</v>
      </c>
      <c r="AK882" s="8">
        <f t="shared" ca="1" si="200"/>
        <v>1.000108955479452</v>
      </c>
      <c r="AL882" s="98">
        <f t="shared" ca="1" si="201"/>
        <v>3.6379392304493274</v>
      </c>
      <c r="AM882" s="106">
        <f t="shared" ca="1" si="195"/>
        <v>28142.695762223502</v>
      </c>
      <c r="AN882" s="10">
        <f t="shared" ca="1" si="196"/>
        <v>0.60023134795328392</v>
      </c>
      <c r="AO882" s="158"/>
      <c r="AP882" s="158"/>
      <c r="AQ882" s="1"/>
      <c r="AR882" s="1"/>
      <c r="AS882" s="1"/>
      <c r="AT882" s="1"/>
      <c r="AU882" s="1"/>
      <c r="BC882" s="23"/>
      <c r="BD882" s="23"/>
    </row>
    <row r="883" spans="34:56">
      <c r="AH883" s="6">
        <f t="shared" si="197"/>
        <v>853</v>
      </c>
      <c r="AI883" s="7">
        <f t="shared" ca="1" si="198"/>
        <v>43523</v>
      </c>
      <c r="AJ883" s="210">
        <f t="shared" ca="1" si="199"/>
        <v>3.9234931506849322</v>
      </c>
      <c r="AK883" s="8">
        <f t="shared" ca="1" si="200"/>
        <v>1.0001089859208523</v>
      </c>
      <c r="AL883" s="98">
        <f t="shared" ca="1" si="201"/>
        <v>3.6384306197810412</v>
      </c>
      <c r="AM883" s="106">
        <f t="shared" ca="1" si="195"/>
        <v>28145.180411833528</v>
      </c>
      <c r="AN883" s="10">
        <f t="shared" ca="1" si="196"/>
        <v>0.60041648433635242</v>
      </c>
      <c r="AO883" s="158"/>
      <c r="AP883" s="158"/>
      <c r="AQ883" s="1"/>
      <c r="AR883" s="1"/>
      <c r="AS883" s="1"/>
      <c r="AT883" s="1"/>
      <c r="AU883" s="1"/>
      <c r="BC883" s="23"/>
      <c r="BD883" s="23"/>
    </row>
    <row r="884" spans="34:56">
      <c r="AH884" s="6">
        <f t="shared" si="197"/>
        <v>854</v>
      </c>
      <c r="AI884" s="7">
        <f t="shared" ca="1" si="198"/>
        <v>43524</v>
      </c>
      <c r="AJ884" s="210">
        <f t="shared" ca="1" si="199"/>
        <v>3.9245890410958908</v>
      </c>
      <c r="AK884" s="8">
        <f t="shared" ca="1" si="200"/>
        <v>1.0001090163622526</v>
      </c>
      <c r="AL884" s="98">
        <f t="shared" ca="1" si="201"/>
        <v>3.6389222089044715</v>
      </c>
      <c r="AM884" s="106">
        <f t="shared" ca="1" si="195"/>
        <v>28147.665280807178</v>
      </c>
      <c r="AN884" s="10">
        <f t="shared" ca="1" si="196"/>
        <v>0.6006024962226908</v>
      </c>
      <c r="AO884" s="158"/>
      <c r="AP884" s="158"/>
      <c r="AQ884" s="1"/>
      <c r="AR884" s="1"/>
      <c r="AS884" s="1"/>
      <c r="AT884" s="1"/>
      <c r="AU884" s="1"/>
      <c r="BC884" s="23"/>
      <c r="BD884" s="23"/>
    </row>
    <row r="885" spans="34:56">
      <c r="AH885" s="6">
        <f t="shared" si="197"/>
        <v>855</v>
      </c>
      <c r="AI885" s="7">
        <f t="shared" ca="1" si="198"/>
        <v>43525</v>
      </c>
      <c r="AJ885" s="210">
        <f t="shared" ca="1" si="199"/>
        <v>3.9256849315068498</v>
      </c>
      <c r="AK885" s="8">
        <f t="shared" ca="1" si="200"/>
        <v>1.0001090468036529</v>
      </c>
      <c r="AL885" s="98">
        <f t="shared" ca="1" si="201"/>
        <v>3.6394139971295481</v>
      </c>
      <c r="AM885" s="106">
        <f t="shared" ca="1" si="195"/>
        <v>28150.150369163814</v>
      </c>
      <c r="AN885" s="10">
        <f t="shared" ca="1" si="196"/>
        <v>0.60078938054639597</v>
      </c>
      <c r="AO885" s="158"/>
      <c r="AP885" s="158"/>
      <c r="AQ885" s="1"/>
      <c r="AR885" s="1"/>
      <c r="AS885" s="1"/>
      <c r="AT885" s="1"/>
      <c r="AU885" s="1"/>
      <c r="BC885" s="23"/>
      <c r="BD885" s="23"/>
    </row>
    <row r="886" spans="34:56">
      <c r="AH886" s="6">
        <f t="shared" si="197"/>
        <v>856</v>
      </c>
      <c r="AI886" s="7">
        <f t="shared" ca="1" si="198"/>
        <v>43526</v>
      </c>
      <c r="AJ886" s="210">
        <f t="shared" ca="1" si="199"/>
        <v>3.9267808219178089</v>
      </c>
      <c r="AK886" s="8">
        <f t="shared" ca="1" si="200"/>
        <v>1.0001090772450534</v>
      </c>
      <c r="AL886" s="98">
        <f t="shared" ca="1" si="201"/>
        <v>3.6399059837694425</v>
      </c>
      <c r="AM886" s="106">
        <f t="shared" ca="1" si="195"/>
        <v>28152.635676922811</v>
      </c>
      <c r="AN886" s="10">
        <f t="shared" ca="1" si="196"/>
        <v>0.60097713425590893</v>
      </c>
      <c r="AO886" s="158"/>
      <c r="AP886" s="158"/>
      <c r="AQ886" s="1"/>
      <c r="AR886" s="1"/>
      <c r="AS886" s="1"/>
      <c r="AT886" s="1"/>
      <c r="AU886" s="1"/>
      <c r="BC886" s="23"/>
      <c r="BD886" s="23"/>
    </row>
    <row r="887" spans="34:56">
      <c r="AH887" s="6">
        <f t="shared" si="197"/>
        <v>857</v>
      </c>
      <c r="AI887" s="7">
        <f t="shared" ca="1" si="198"/>
        <v>43527</v>
      </c>
      <c r="AJ887" s="210">
        <f t="shared" ca="1" si="199"/>
        <v>3.9278767123287675</v>
      </c>
      <c r="AK887" s="8">
        <f t="shared" ca="1" si="200"/>
        <v>1.0001091076864537</v>
      </c>
      <c r="AL887" s="98">
        <f t="shared" ca="1" si="201"/>
        <v>3.640398168140524</v>
      </c>
      <c r="AM887" s="106">
        <f t="shared" ca="1" si="195"/>
        <v>28155.121204103532</v>
      </c>
      <c r="AN887" s="10">
        <f t="shared" ca="1" si="196"/>
        <v>0.60116575431388153</v>
      </c>
      <c r="AO887" s="158"/>
      <c r="AP887" s="158"/>
      <c r="AQ887" s="1"/>
      <c r="AR887" s="1"/>
      <c r="AS887" s="1"/>
      <c r="AT887" s="1"/>
      <c r="AU887" s="1"/>
      <c r="BC887" s="23"/>
      <c r="BD887" s="23"/>
    </row>
    <row r="888" spans="34:56">
      <c r="AH888" s="6">
        <f t="shared" si="197"/>
        <v>858</v>
      </c>
      <c r="AI888" s="7">
        <f t="shared" ca="1" si="198"/>
        <v>43528</v>
      </c>
      <c r="AJ888" s="210">
        <f t="shared" ca="1" si="199"/>
        <v>3.9289726027397265</v>
      </c>
      <c r="AK888" s="8">
        <f t="shared" ca="1" si="200"/>
        <v>1.000109138127854</v>
      </c>
      <c r="AL888" s="98">
        <f t="shared" ca="1" si="201"/>
        <v>3.6408905495623145</v>
      </c>
      <c r="AM888" s="106">
        <f t="shared" ca="1" si="195"/>
        <v>28157.606950725356</v>
      </c>
      <c r="AN888" s="10">
        <f t="shared" ca="1" si="196"/>
        <v>0.60135523769717647</v>
      </c>
      <c r="AO888" s="158"/>
      <c r="AP888" s="158"/>
      <c r="AQ888" s="1"/>
      <c r="AR888" s="1"/>
      <c r="AS888" s="1"/>
      <c r="AT888" s="1"/>
      <c r="AU888" s="1"/>
      <c r="BC888" s="23"/>
      <c r="BD888" s="23"/>
    </row>
    <row r="889" spans="34:56">
      <c r="AH889" s="6">
        <f t="shared" si="197"/>
        <v>859</v>
      </c>
      <c r="AI889" s="7">
        <f t="shared" ca="1" si="198"/>
        <v>43529</v>
      </c>
      <c r="AJ889" s="210">
        <f t="shared" ca="1" si="199"/>
        <v>3.9300684931506855</v>
      </c>
      <c r="AK889" s="8">
        <f t="shared" ca="1" si="200"/>
        <v>1.0001091685692542</v>
      </c>
      <c r="AL889" s="98">
        <f t="shared" ca="1" si="201"/>
        <v>3.6413831273575337</v>
      </c>
      <c r="AM889" s="106">
        <f t="shared" ca="1" si="195"/>
        <v>28160.092916807651</v>
      </c>
      <c r="AN889" s="10">
        <f t="shared" ca="1" si="196"/>
        <v>0.60154558139673409</v>
      </c>
      <c r="AO889" s="158"/>
      <c r="AP889" s="158"/>
      <c r="AQ889" s="1"/>
      <c r="AR889" s="1"/>
      <c r="AS889" s="1"/>
      <c r="AT889" s="1"/>
      <c r="AU889" s="1"/>
      <c r="BC889" s="23"/>
      <c r="BD889" s="23"/>
    </row>
    <row r="890" spans="34:56">
      <c r="AH890" s="6">
        <f t="shared" si="197"/>
        <v>860</v>
      </c>
      <c r="AI890" s="7">
        <f t="shared" ca="1" si="198"/>
        <v>43530</v>
      </c>
      <c r="AJ890" s="210">
        <f t="shared" ca="1" si="199"/>
        <v>3.9311643835616445</v>
      </c>
      <c r="AK890" s="8">
        <f t="shared" ca="1" si="200"/>
        <v>1.0001091990106545</v>
      </c>
      <c r="AL890" s="98">
        <f t="shared" ca="1" si="201"/>
        <v>3.641875900852054</v>
      </c>
      <c r="AM890" s="106">
        <f t="shared" ca="1" si="195"/>
        <v>28162.5791023698</v>
      </c>
      <c r="AN890" s="10">
        <f t="shared" ca="1" si="196"/>
        <v>0.60173678241752793</v>
      </c>
      <c r="AO890" s="158"/>
      <c r="AP890" s="158"/>
      <c r="AQ890" s="1"/>
      <c r="AR890" s="1"/>
      <c r="AS890" s="1"/>
      <c r="AT890" s="1"/>
      <c r="AU890" s="1"/>
      <c r="BC890" s="23"/>
      <c r="BD890" s="23"/>
    </row>
    <row r="891" spans="34:56">
      <c r="AH891" s="6">
        <f t="shared" si="197"/>
        <v>861</v>
      </c>
      <c r="AI891" s="7">
        <f t="shared" ca="1" si="198"/>
        <v>43531</v>
      </c>
      <c r="AJ891" s="210">
        <f t="shared" ca="1" si="199"/>
        <v>3.9322602739726031</v>
      </c>
      <c r="AK891" s="8">
        <f t="shared" ca="1" si="200"/>
        <v>1.0001092294520548</v>
      </c>
      <c r="AL891" s="98">
        <f t="shared" ca="1" si="201"/>
        <v>3.6423688693749012</v>
      </c>
      <c r="AM891" s="106">
        <f t="shared" ca="1" si="195"/>
        <v>28165.065507431184</v>
      </c>
      <c r="AN891" s="10">
        <f t="shared" ca="1" si="196"/>
        <v>0.60192883777849815</v>
      </c>
      <c r="AO891" s="158"/>
      <c r="AP891" s="158"/>
      <c r="AQ891" s="1"/>
      <c r="AR891" s="1"/>
      <c r="AS891" s="1"/>
      <c r="AT891" s="1"/>
      <c r="AU891" s="1"/>
      <c r="BC891" s="23"/>
      <c r="BD891" s="23"/>
    </row>
    <row r="892" spans="34:56">
      <c r="AH892" s="6">
        <f t="shared" si="197"/>
        <v>862</v>
      </c>
      <c r="AI892" s="7">
        <f t="shared" ca="1" si="198"/>
        <v>43532</v>
      </c>
      <c r="AJ892" s="210">
        <f t="shared" ca="1" si="199"/>
        <v>3.9333561643835622</v>
      </c>
      <c r="AK892" s="8">
        <f t="shared" ca="1" si="200"/>
        <v>1.0001092598934551</v>
      </c>
      <c r="AL892" s="98">
        <f t="shared" ca="1" si="201"/>
        <v>3.6428620322581651</v>
      </c>
      <c r="AM892" s="106">
        <f t="shared" ca="1" si="195"/>
        <v>28167.552132011166</v>
      </c>
      <c r="AN892" s="10">
        <f t="shared" ca="1" si="196"/>
        <v>0.60212174451241829</v>
      </c>
      <c r="AO892" s="158"/>
      <c r="AP892" s="158"/>
      <c r="AQ892" s="1"/>
      <c r="AR892" s="1"/>
      <c r="AS892" s="1"/>
      <c r="AT892" s="1"/>
      <c r="AU892" s="1"/>
      <c r="BC892" s="23"/>
      <c r="BD892" s="23"/>
    </row>
    <row r="893" spans="34:56">
      <c r="AH893" s="6">
        <f t="shared" si="197"/>
        <v>863</v>
      </c>
      <c r="AI893" s="7">
        <f t="shared" ca="1" si="198"/>
        <v>43533</v>
      </c>
      <c r="AJ893" s="210">
        <f t="shared" ca="1" si="199"/>
        <v>3.9344520547945212</v>
      </c>
      <c r="AK893" s="8">
        <f t="shared" ca="1" si="200"/>
        <v>1.0001092903348554</v>
      </c>
      <c r="AL893" s="98">
        <f t="shared" ca="1" si="201"/>
        <v>3.6433553888370662</v>
      </c>
      <c r="AM893" s="106">
        <f t="shared" ca="1" si="195"/>
        <v>28170.038976129137</v>
      </c>
      <c r="AN893" s="10">
        <f t="shared" ca="1" si="196"/>
        <v>0.60231549966582865</v>
      </c>
      <c r="AO893" s="158"/>
      <c r="AP893" s="158"/>
      <c r="AQ893" s="1"/>
      <c r="AR893" s="1"/>
      <c r="AS893" s="1"/>
      <c r="AT893" s="1"/>
      <c r="AU893" s="1"/>
      <c r="BC893" s="23"/>
      <c r="BD893" s="23"/>
    </row>
    <row r="894" spans="34:56">
      <c r="AH894" s="6">
        <f t="shared" si="197"/>
        <v>864</v>
      </c>
      <c r="AI894" s="7">
        <f t="shared" ca="1" si="198"/>
        <v>43534</v>
      </c>
      <c r="AJ894" s="210">
        <f t="shared" ca="1" si="199"/>
        <v>3.9355479452054798</v>
      </c>
      <c r="AK894" s="8">
        <f t="shared" ca="1" si="200"/>
        <v>1.0001093207762557</v>
      </c>
      <c r="AL894" s="98">
        <f t="shared" ca="1" si="201"/>
        <v>3.6438489384499118</v>
      </c>
      <c r="AM894" s="106">
        <f t="shared" ca="1" si="195"/>
        <v>28172.285346626817</v>
      </c>
      <c r="AN894" s="10">
        <f t="shared" ca="1" si="196"/>
        <v>0.60287320223897378</v>
      </c>
      <c r="AO894" s="158"/>
      <c r="AP894" s="158"/>
      <c r="AQ894" s="1"/>
      <c r="AR894" s="1"/>
      <c r="AS894" s="1"/>
      <c r="AT894" s="1"/>
      <c r="AU894" s="1"/>
      <c r="BC894" s="23"/>
      <c r="BD894" s="23"/>
    </row>
    <row r="895" spans="34:56">
      <c r="AH895" s="6">
        <f t="shared" si="197"/>
        <v>865</v>
      </c>
      <c r="AI895" s="7">
        <f t="shared" ca="1" si="198"/>
        <v>43535</v>
      </c>
      <c r="AJ895" s="210">
        <f t="shared" ca="1" si="199"/>
        <v>3.9366438356164388</v>
      </c>
      <c r="AK895" s="8">
        <f t="shared" ca="1" si="200"/>
        <v>1.000109351217656</v>
      </c>
      <c r="AL895" s="98">
        <f t="shared" ca="1" si="201"/>
        <v>3.6443426804380286</v>
      </c>
      <c r="AM895" s="106">
        <f t="shared" ca="1" si="195"/>
        <v>28174.531896257387</v>
      </c>
      <c r="AN895" s="10">
        <f t="shared" ca="1" si="196"/>
        <v>0.60343091053880471</v>
      </c>
      <c r="AO895" s="158"/>
      <c r="AP895" s="158"/>
      <c r="AQ895" s="1"/>
      <c r="AR895" s="1"/>
      <c r="AS895" s="1"/>
      <c r="AT895" s="1"/>
      <c r="AU895" s="1"/>
      <c r="BC895" s="23"/>
      <c r="BD895" s="23"/>
    </row>
    <row r="896" spans="34:56">
      <c r="AH896" s="6">
        <f t="shared" si="197"/>
        <v>866</v>
      </c>
      <c r="AI896" s="7">
        <f t="shared" ca="1" si="198"/>
        <v>43536</v>
      </c>
      <c r="AJ896" s="210">
        <f t="shared" ca="1" si="199"/>
        <v>3.9377397260273979</v>
      </c>
      <c r="AK896" s="8">
        <f t="shared" ca="1" si="200"/>
        <v>1.0001093816590563</v>
      </c>
      <c r="AL896" s="98">
        <f t="shared" ca="1" si="201"/>
        <v>3.6448366141458521</v>
      </c>
      <c r="AM896" s="106">
        <f t="shared" ca="1" si="195"/>
        <v>28176.778625035127</v>
      </c>
      <c r="AN896" s="10">
        <f t="shared" ca="1" si="196"/>
        <v>0.60398862455623981</v>
      </c>
      <c r="AO896" s="158"/>
      <c r="AP896" s="158"/>
      <c r="AQ896" s="1"/>
      <c r="AR896" s="1"/>
      <c r="AS896" s="1"/>
      <c r="AT896" s="1"/>
      <c r="AU896" s="1"/>
      <c r="BC896" s="23"/>
      <c r="BD896" s="23"/>
    </row>
    <row r="897" spans="34:56">
      <c r="AH897" s="6">
        <f t="shared" si="197"/>
        <v>867</v>
      </c>
      <c r="AI897" s="7">
        <f t="shared" ca="1" si="198"/>
        <v>43537</v>
      </c>
      <c r="AJ897" s="210">
        <f t="shared" ca="1" si="199"/>
        <v>3.9388356164383564</v>
      </c>
      <c r="AK897" s="8">
        <f t="shared" ca="1" si="200"/>
        <v>1.0001094121004566</v>
      </c>
      <c r="AL897" s="98">
        <f t="shared" ca="1" si="201"/>
        <v>3.6453307389207712</v>
      </c>
      <c r="AM897" s="106">
        <f t="shared" ca="1" si="195"/>
        <v>28179.025532974323</v>
      </c>
      <c r="AN897" s="10">
        <f t="shared" ca="1" si="196"/>
        <v>0.60454634428219745</v>
      </c>
      <c r="AO897" s="158"/>
      <c r="AP897" s="158"/>
      <c r="AQ897" s="1"/>
      <c r="AR897" s="1"/>
      <c r="AS897" s="1"/>
      <c r="AT897" s="1"/>
      <c r="AU897" s="1"/>
      <c r="BC897" s="23"/>
      <c r="BD897" s="23"/>
    </row>
    <row r="898" spans="34:56">
      <c r="AH898" s="6">
        <f t="shared" si="197"/>
        <v>868</v>
      </c>
      <c r="AI898" s="7">
        <f t="shared" ca="1" si="198"/>
        <v>43538</v>
      </c>
      <c r="AJ898" s="210">
        <f t="shared" ca="1" si="199"/>
        <v>3.9399315068493155</v>
      </c>
      <c r="AK898" s="8">
        <f t="shared" ca="1" si="200"/>
        <v>1.0001094425418569</v>
      </c>
      <c r="AL898" s="98">
        <f t="shared" ca="1" si="201"/>
        <v>3.6458250541132387</v>
      </c>
      <c r="AM898" s="106">
        <f t="shared" ca="1" si="195"/>
        <v>28181.272620089261</v>
      </c>
      <c r="AN898" s="10">
        <f t="shared" ca="1" si="196"/>
        <v>0.60510406970766262</v>
      </c>
      <c r="AO898" s="158"/>
      <c r="AP898" s="158"/>
      <c r="AQ898" s="1"/>
      <c r="AR898" s="1"/>
      <c r="AS898" s="1"/>
      <c r="AT898" s="1"/>
      <c r="AU898" s="1"/>
      <c r="BC898" s="23"/>
      <c r="BD898" s="23"/>
    </row>
    <row r="899" spans="34:56">
      <c r="AH899" s="6">
        <f t="shared" si="197"/>
        <v>869</v>
      </c>
      <c r="AI899" s="7">
        <f t="shared" ca="1" si="198"/>
        <v>43539</v>
      </c>
      <c r="AJ899" s="210">
        <f t="shared" ca="1" si="199"/>
        <v>3.9410273972602745</v>
      </c>
      <c r="AK899" s="8">
        <f t="shared" ca="1" si="200"/>
        <v>1.0001094729832571</v>
      </c>
      <c r="AL899" s="98">
        <f t="shared" ca="1" si="201"/>
        <v>3.6463195590766828</v>
      </c>
      <c r="AM899" s="106">
        <f t="shared" ca="1" si="195"/>
        <v>28183.519886394235</v>
      </c>
      <c r="AN899" s="10">
        <f t="shared" ca="1" si="196"/>
        <v>0.60566180082366472</v>
      </c>
      <c r="AO899" s="158"/>
      <c r="AP899" s="158"/>
      <c r="AQ899" s="1"/>
      <c r="AR899" s="1"/>
      <c r="AS899" s="1"/>
      <c r="AT899" s="1"/>
      <c r="AU899" s="1"/>
      <c r="BC899" s="23"/>
      <c r="BD899" s="23"/>
    </row>
    <row r="900" spans="34:56">
      <c r="AH900" s="6">
        <f t="shared" si="197"/>
        <v>870</v>
      </c>
      <c r="AI900" s="7">
        <f t="shared" ca="1" si="198"/>
        <v>43540</v>
      </c>
      <c r="AJ900" s="210">
        <f t="shared" ca="1" si="199"/>
        <v>3.9421232876712335</v>
      </c>
      <c r="AK900" s="8">
        <f t="shared" ca="1" si="200"/>
        <v>1.0001095034246574</v>
      </c>
      <c r="AL900" s="98">
        <f t="shared" ca="1" si="201"/>
        <v>3.6468142531674852</v>
      </c>
      <c r="AM900" s="106">
        <f t="shared" ca="1" si="195"/>
        <v>28185.767331903531</v>
      </c>
      <c r="AN900" s="10">
        <f t="shared" ca="1" si="196"/>
        <v>0.60621953762123315</v>
      </c>
      <c r="AO900" s="158"/>
      <c r="AP900" s="158"/>
      <c r="AQ900" s="1"/>
      <c r="AR900" s="1"/>
      <c r="AS900" s="1"/>
      <c r="AT900" s="1"/>
      <c r="AU900" s="1"/>
      <c r="BC900" s="23"/>
      <c r="BD900" s="23"/>
    </row>
    <row r="901" spans="34:56">
      <c r="AH901" s="6">
        <f t="shared" si="197"/>
        <v>871</v>
      </c>
      <c r="AI901" s="7">
        <f t="shared" ca="1" si="198"/>
        <v>43541</v>
      </c>
      <c r="AJ901" s="210">
        <f t="shared" ca="1" si="199"/>
        <v>3.9432191780821921</v>
      </c>
      <c r="AK901" s="8">
        <f t="shared" ca="1" si="200"/>
        <v>1.0001095338660579</v>
      </c>
      <c r="AL901" s="98">
        <f t="shared" ca="1" si="201"/>
        <v>3.6473091357450027</v>
      </c>
      <c r="AM901" s="106">
        <f t="shared" ca="1" si="195"/>
        <v>28188.014956631436</v>
      </c>
      <c r="AN901" s="10">
        <f t="shared" ca="1" si="196"/>
        <v>0.60677728009148613</v>
      </c>
      <c r="AO901" s="158"/>
      <c r="AP901" s="158"/>
      <c r="AQ901" s="1"/>
      <c r="AR901" s="1"/>
      <c r="AS901" s="1"/>
      <c r="AT901" s="1"/>
      <c r="AU901" s="1"/>
      <c r="BC901" s="23"/>
      <c r="BD901" s="23"/>
    </row>
    <row r="902" spans="34:56">
      <c r="AH902" s="6">
        <f t="shared" si="197"/>
        <v>872</v>
      </c>
      <c r="AI902" s="7">
        <f t="shared" ca="1" si="198"/>
        <v>43542</v>
      </c>
      <c r="AJ902" s="210">
        <f t="shared" ca="1" si="199"/>
        <v>3.9443150684931512</v>
      </c>
      <c r="AK902" s="8">
        <f t="shared" ca="1" si="200"/>
        <v>1.0001095643074582</v>
      </c>
      <c r="AL902" s="98">
        <f t="shared" ca="1" si="201"/>
        <v>3.6478042061715454</v>
      </c>
      <c r="AM902" s="106">
        <f t="shared" ca="1" si="195"/>
        <v>28190.26276059225</v>
      </c>
      <c r="AN902" s="10">
        <f t="shared" ca="1" si="196"/>
        <v>0.60733502822556407</v>
      </c>
      <c r="AO902" s="158"/>
      <c r="AP902" s="158"/>
      <c r="AQ902" s="1"/>
      <c r="AR902" s="1"/>
      <c r="AS902" s="1"/>
      <c r="AT902" s="1"/>
      <c r="AU902" s="1"/>
      <c r="BC902" s="23"/>
      <c r="BD902" s="23"/>
    </row>
    <row r="903" spans="34:56">
      <c r="AH903" s="6">
        <f t="shared" si="197"/>
        <v>873</v>
      </c>
      <c r="AI903" s="7">
        <f t="shared" ca="1" si="198"/>
        <v>43543</v>
      </c>
      <c r="AJ903" s="210">
        <f t="shared" ca="1" si="199"/>
        <v>3.9454109589041102</v>
      </c>
      <c r="AK903" s="8">
        <f t="shared" ca="1" si="200"/>
        <v>1.0001095947488585</v>
      </c>
      <c r="AL903" s="98">
        <f t="shared" ca="1" si="201"/>
        <v>3.6482994638123101</v>
      </c>
      <c r="AM903" s="106">
        <f t="shared" ca="1" si="195"/>
        <v>28192.510743800256</v>
      </c>
      <c r="AN903" s="10">
        <f t="shared" ca="1" si="196"/>
        <v>0.6078927820146518</v>
      </c>
      <c r="AO903" s="158"/>
      <c r="AP903" s="158"/>
      <c r="AQ903" s="1"/>
      <c r="AR903" s="1"/>
      <c r="AS903" s="1"/>
      <c r="AT903" s="1"/>
      <c r="AU903" s="1"/>
      <c r="BC903" s="23"/>
      <c r="BD903" s="23"/>
    </row>
    <row r="904" spans="34:56">
      <c r="AH904" s="6">
        <f t="shared" si="197"/>
        <v>874</v>
      </c>
      <c r="AI904" s="7">
        <f t="shared" ca="1" si="198"/>
        <v>43544</v>
      </c>
      <c r="AJ904" s="210">
        <f t="shared" ca="1" si="199"/>
        <v>3.9465068493150688</v>
      </c>
      <c r="AK904" s="8">
        <f t="shared" ca="1" si="200"/>
        <v>1.0001096251902588</v>
      </c>
      <c r="AL904" s="98">
        <f t="shared" ca="1" si="201"/>
        <v>3.6487949080354243</v>
      </c>
      <c r="AM904" s="106">
        <f t="shared" ca="1" si="195"/>
        <v>28194.758906269755</v>
      </c>
      <c r="AN904" s="10">
        <f t="shared" ca="1" si="196"/>
        <v>0.60845054144997857</v>
      </c>
      <c r="AO904" s="158"/>
      <c r="AP904" s="158"/>
      <c r="AQ904" s="1"/>
      <c r="AR904" s="1"/>
      <c r="AS904" s="1"/>
      <c r="AT904" s="1"/>
      <c r="AU904" s="1"/>
      <c r="BC904" s="23"/>
      <c r="BD904" s="23"/>
    </row>
    <row r="905" spans="34:56">
      <c r="AH905" s="6">
        <f t="shared" si="197"/>
        <v>875</v>
      </c>
      <c r="AI905" s="7">
        <f t="shared" ca="1" si="198"/>
        <v>43545</v>
      </c>
      <c r="AJ905" s="210">
        <f t="shared" ca="1" si="199"/>
        <v>3.9476027397260278</v>
      </c>
      <c r="AK905" s="8">
        <f t="shared" ca="1" si="200"/>
        <v>1.0001096556316591</v>
      </c>
      <c r="AL905" s="98">
        <f t="shared" ca="1" si="201"/>
        <v>3.6492905382119023</v>
      </c>
      <c r="AM905" s="106">
        <f t="shared" ca="1" si="195"/>
        <v>28197.007248015037</v>
      </c>
      <c r="AN905" s="10">
        <f t="shared" ca="1" si="196"/>
        <v>0.60900830652281801</v>
      </c>
      <c r="AO905" s="158"/>
      <c r="AP905" s="158"/>
      <c r="AQ905" s="1"/>
      <c r="AR905" s="1"/>
      <c r="AS905" s="1"/>
      <c r="AT905" s="1"/>
      <c r="AU905" s="1"/>
      <c r="BC905" s="23"/>
      <c r="BD905" s="23"/>
    </row>
    <row r="906" spans="34:56">
      <c r="AH906" s="6">
        <f t="shared" si="197"/>
        <v>876</v>
      </c>
      <c r="AI906" s="7">
        <f t="shared" ca="1" si="198"/>
        <v>43546</v>
      </c>
      <c r="AJ906" s="210">
        <f t="shared" ca="1" si="199"/>
        <v>3.9486986301369869</v>
      </c>
      <c r="AK906" s="8">
        <f t="shared" ca="1" si="200"/>
        <v>1.0001096860730594</v>
      </c>
      <c r="AL906" s="98">
        <f t="shared" ca="1" si="201"/>
        <v>3.6497863537156228</v>
      </c>
      <c r="AM906" s="106">
        <f t="shared" ca="1" si="195"/>
        <v>28199.2557690504</v>
      </c>
      <c r="AN906" s="10">
        <f t="shared" ca="1" si="196"/>
        <v>0.60956607722442158</v>
      </c>
      <c r="AO906" s="158"/>
      <c r="AP906" s="158"/>
      <c r="AQ906" s="1"/>
      <c r="AR906" s="1"/>
      <c r="AS906" s="1"/>
      <c r="AT906" s="1"/>
      <c r="AU906" s="1"/>
      <c r="BC906" s="23"/>
      <c r="BD906" s="23"/>
    </row>
    <row r="907" spans="34:56">
      <c r="AH907" s="6">
        <f t="shared" si="197"/>
        <v>877</v>
      </c>
      <c r="AI907" s="7">
        <f t="shared" ca="1" si="198"/>
        <v>43547</v>
      </c>
      <c r="AJ907" s="210">
        <f t="shared" ca="1" si="199"/>
        <v>3.9497945205479459</v>
      </c>
      <c r="AK907" s="8">
        <f t="shared" ca="1" si="200"/>
        <v>1.0001097165144597</v>
      </c>
      <c r="AL907" s="98">
        <f t="shared" ca="1" si="201"/>
        <v>3.6502823539233509</v>
      </c>
      <c r="AM907" s="106">
        <f t="shared" ca="1" si="195"/>
        <v>28201.50446939014</v>
      </c>
      <c r="AN907" s="10">
        <f t="shared" ca="1" si="196"/>
        <v>0.61012385354621834</v>
      </c>
      <c r="AO907" s="158"/>
      <c r="AP907" s="158"/>
      <c r="AQ907" s="1"/>
      <c r="AR907" s="1"/>
      <c r="AS907" s="1"/>
      <c r="AT907" s="1"/>
      <c r="AU907" s="1"/>
      <c r="BC907" s="23"/>
      <c r="BD907" s="23"/>
    </row>
    <row r="908" spans="34:56">
      <c r="AH908" s="6">
        <f t="shared" si="197"/>
        <v>878</v>
      </c>
      <c r="AI908" s="7">
        <f t="shared" ca="1" si="198"/>
        <v>43548</v>
      </c>
      <c r="AJ908" s="210">
        <f t="shared" ca="1" si="199"/>
        <v>3.9508904109589045</v>
      </c>
      <c r="AK908" s="8">
        <f t="shared" ca="1" si="200"/>
        <v>1.00010974695586</v>
      </c>
      <c r="AL908" s="98">
        <f t="shared" ca="1" si="201"/>
        <v>3.6507785382146496</v>
      </c>
      <c r="AM908" s="106">
        <f t="shared" ca="1" si="195"/>
        <v>28203.753349048555</v>
      </c>
      <c r="AN908" s="10">
        <f t="shared" ca="1" si="196"/>
        <v>0.61068163547950416</v>
      </c>
      <c r="AO908" s="158"/>
      <c r="AP908" s="158"/>
      <c r="AQ908" s="1"/>
      <c r="AR908" s="1"/>
      <c r="AS908" s="1"/>
      <c r="AT908" s="1"/>
      <c r="AU908" s="1"/>
      <c r="BC908" s="23"/>
      <c r="BD908" s="23"/>
    </row>
    <row r="909" spans="34:56">
      <c r="AH909" s="6">
        <f t="shared" si="197"/>
        <v>879</v>
      </c>
      <c r="AI909" s="7">
        <f t="shared" ca="1" si="198"/>
        <v>43549</v>
      </c>
      <c r="AJ909" s="210">
        <f t="shared" ca="1" si="199"/>
        <v>3.9519863013698635</v>
      </c>
      <c r="AK909" s="8">
        <f t="shared" ca="1" si="200"/>
        <v>1.0001097773972603</v>
      </c>
      <c r="AL909" s="98">
        <f t="shared" ca="1" si="201"/>
        <v>3.6512749059719241</v>
      </c>
      <c r="AM909" s="106">
        <f t="shared" ca="1" si="195"/>
        <v>28206.002408039953</v>
      </c>
      <c r="AN909" s="10">
        <f t="shared" ca="1" si="196"/>
        <v>0.61123942301575251</v>
      </c>
      <c r="AO909" s="158"/>
      <c r="AP909" s="158"/>
      <c r="AQ909" s="1"/>
      <c r="AR909" s="1"/>
      <c r="AS909" s="1"/>
      <c r="AT909" s="1"/>
      <c r="AU909" s="1"/>
      <c r="BC909" s="23"/>
      <c r="BD909" s="23"/>
    </row>
    <row r="910" spans="34:56">
      <c r="AH910" s="6">
        <f t="shared" si="197"/>
        <v>880</v>
      </c>
      <c r="AI910" s="7">
        <f t="shared" ca="1" si="198"/>
        <v>43550</v>
      </c>
      <c r="AJ910" s="210">
        <f t="shared" ca="1" si="199"/>
        <v>3.9530821917808225</v>
      </c>
      <c r="AK910" s="8">
        <f t="shared" ca="1" si="200"/>
        <v>1.0001098078386605</v>
      </c>
      <c r="AL910" s="98">
        <f t="shared" ca="1" si="201"/>
        <v>3.6517714565803994</v>
      </c>
      <c r="AM910" s="106">
        <f t="shared" ca="1" si="195"/>
        <v>28208.251646378616</v>
      </c>
      <c r="AN910" s="10">
        <f t="shared" ca="1" si="196"/>
        <v>0.61179721614641469</v>
      </c>
      <c r="AO910" s="158"/>
      <c r="AP910" s="158"/>
      <c r="AQ910" s="1"/>
      <c r="AR910" s="1"/>
      <c r="AS910" s="1"/>
      <c r="AT910" s="1"/>
      <c r="AU910" s="1"/>
      <c r="BC910" s="23"/>
      <c r="BD910" s="23"/>
    </row>
    <row r="911" spans="34:56">
      <c r="AH911" s="6">
        <f t="shared" si="197"/>
        <v>881</v>
      </c>
      <c r="AI911" s="7">
        <f t="shared" ca="1" si="198"/>
        <v>43551</v>
      </c>
      <c r="AJ911" s="210">
        <f t="shared" ca="1" si="199"/>
        <v>3.9541780821917811</v>
      </c>
      <c r="AK911" s="8">
        <f t="shared" ca="1" si="200"/>
        <v>1.0001098382800608</v>
      </c>
      <c r="AL911" s="98">
        <f t="shared" ca="1" si="201"/>
        <v>3.6522681894280984</v>
      </c>
      <c r="AM911" s="106">
        <f t="shared" ca="1" si="195"/>
        <v>28210.501064078868</v>
      </c>
      <c r="AN911" s="10">
        <f t="shared" ca="1" si="196"/>
        <v>0.61235501486298638</v>
      </c>
      <c r="AO911" s="158"/>
      <c r="AP911" s="158"/>
      <c r="AQ911" s="1"/>
      <c r="AR911" s="1"/>
      <c r="AS911" s="1"/>
      <c r="AT911" s="1"/>
      <c r="AU911" s="1"/>
      <c r="BC911" s="23"/>
      <c r="BD911" s="23"/>
    </row>
    <row r="912" spans="34:56">
      <c r="AH912" s="6">
        <f t="shared" si="197"/>
        <v>882</v>
      </c>
      <c r="AI912" s="7">
        <f t="shared" ca="1" si="198"/>
        <v>43552</v>
      </c>
      <c r="AJ912" s="210">
        <f t="shared" ca="1" si="199"/>
        <v>3.9552739726027402</v>
      </c>
      <c r="AK912" s="8">
        <f t="shared" ca="1" si="200"/>
        <v>1.0001098687214611</v>
      </c>
      <c r="AL912" s="98">
        <f t="shared" ca="1" si="201"/>
        <v>3.6527651039057751</v>
      </c>
      <c r="AM912" s="106">
        <f t="shared" ca="1" si="195"/>
        <v>28212.750661154994</v>
      </c>
      <c r="AN912" s="10">
        <f t="shared" ca="1" si="196"/>
        <v>0.61291281915702989</v>
      </c>
      <c r="AO912" s="158"/>
      <c r="AP912" s="158"/>
      <c r="AQ912" s="1"/>
      <c r="AR912" s="1"/>
      <c r="AS912" s="1"/>
      <c r="AT912" s="1"/>
      <c r="AU912" s="1"/>
      <c r="BC912" s="23"/>
      <c r="BD912" s="23"/>
    </row>
    <row r="913" spans="34:56">
      <c r="AH913" s="6">
        <f t="shared" si="197"/>
        <v>883</v>
      </c>
      <c r="AI913" s="7">
        <f t="shared" ca="1" si="198"/>
        <v>43553</v>
      </c>
      <c r="AJ913" s="210">
        <f t="shared" ca="1" si="199"/>
        <v>3.9563698630136992</v>
      </c>
      <c r="AK913" s="8">
        <f t="shared" ca="1" si="200"/>
        <v>1.0001098991628614</v>
      </c>
      <c r="AL913" s="98">
        <f t="shared" ca="1" si="201"/>
        <v>3.6532621994069814</v>
      </c>
      <c r="AM913" s="106">
        <f t="shared" ca="1" si="195"/>
        <v>28215.000437621307</v>
      </c>
      <c r="AN913" s="10">
        <f t="shared" ca="1" si="196"/>
        <v>0.61347062902006311</v>
      </c>
      <c r="AO913" s="158"/>
      <c r="AP913" s="158"/>
      <c r="AQ913" s="1"/>
      <c r="AR913" s="1"/>
      <c r="AS913" s="1"/>
      <c r="AT913" s="1"/>
      <c r="AU913" s="1"/>
      <c r="BC913" s="23"/>
      <c r="BD913" s="23"/>
    </row>
    <row r="914" spans="34:56">
      <c r="AH914" s="6">
        <f t="shared" si="197"/>
        <v>884</v>
      </c>
      <c r="AI914" s="7">
        <f t="shared" ca="1" si="198"/>
        <v>43554</v>
      </c>
      <c r="AJ914" s="210">
        <f t="shared" ca="1" si="199"/>
        <v>3.9574657534246582</v>
      </c>
      <c r="AK914" s="8">
        <f t="shared" ca="1" si="200"/>
        <v>1.0001099296042617</v>
      </c>
      <c r="AL914" s="98">
        <f t="shared" ca="1" si="201"/>
        <v>3.6537594753280223</v>
      </c>
      <c r="AM914" s="106">
        <f t="shared" ca="1" si="195"/>
        <v>28217.250393492111</v>
      </c>
      <c r="AN914" s="10">
        <f t="shared" ca="1" si="196"/>
        <v>0.61402844444375937</v>
      </c>
      <c r="AO914" s="158"/>
      <c r="AP914" s="158"/>
      <c r="AQ914" s="1"/>
      <c r="AR914" s="1"/>
      <c r="AS914" s="1"/>
      <c r="AT914" s="1"/>
      <c r="AU914" s="1"/>
      <c r="BC914" s="23"/>
      <c r="BD914" s="23"/>
    </row>
    <row r="915" spans="34:56">
      <c r="AH915" s="6">
        <f t="shared" si="197"/>
        <v>885</v>
      </c>
      <c r="AI915" s="7">
        <f t="shared" ca="1" si="198"/>
        <v>43555</v>
      </c>
      <c r="AJ915" s="210">
        <f t="shared" ca="1" si="199"/>
        <v>3.9585616438356168</v>
      </c>
      <c r="AK915" s="8">
        <f t="shared" ca="1" si="200"/>
        <v>1.000109960045662</v>
      </c>
      <c r="AL915" s="98">
        <f t="shared" ca="1" si="201"/>
        <v>3.6542569310679118</v>
      </c>
      <c r="AM915" s="106">
        <f t="shared" ca="1" si="195"/>
        <v>28219.500528781711</v>
      </c>
      <c r="AN915" s="10">
        <f t="shared" ca="1" si="196"/>
        <v>0.61458626541974759</v>
      </c>
      <c r="AO915" s="158"/>
      <c r="AP915" s="158"/>
      <c r="AQ915" s="1"/>
      <c r="AR915" s="1"/>
      <c r="AS915" s="1"/>
      <c r="AT915" s="1"/>
      <c r="AU915" s="1"/>
      <c r="BC915" s="23"/>
      <c r="BD915" s="23"/>
    </row>
    <row r="916" spans="34:56">
      <c r="AH916" s="6">
        <f t="shared" si="197"/>
        <v>886</v>
      </c>
      <c r="AI916" s="7">
        <f t="shared" ca="1" si="198"/>
        <v>43556</v>
      </c>
      <c r="AJ916" s="210">
        <f t="shared" ca="1" si="199"/>
        <v>3.9596575342465758</v>
      </c>
      <c r="AK916" s="8">
        <f t="shared" ca="1" si="200"/>
        <v>1.0001099904870625</v>
      </c>
      <c r="AL916" s="98">
        <f t="shared" ca="1" si="201"/>
        <v>3.6547545660283953</v>
      </c>
      <c r="AM916" s="106">
        <f t="shared" ca="1" si="195"/>
        <v>28221.750843504415</v>
      </c>
      <c r="AN916" s="10">
        <f t="shared" ca="1" si="196"/>
        <v>0.61514409193974551</v>
      </c>
      <c r="AO916" s="158"/>
      <c r="AP916" s="158"/>
      <c r="AQ916" s="1"/>
      <c r="AR916" s="1"/>
      <c r="AS916" s="1"/>
      <c r="AT916" s="1"/>
      <c r="AU916" s="1"/>
      <c r="BC916" s="23"/>
      <c r="BD916" s="23"/>
    </row>
    <row r="917" spans="34:56">
      <c r="AH917" s="6">
        <f t="shared" si="197"/>
        <v>887</v>
      </c>
      <c r="AI917" s="7">
        <f t="shared" ca="1" si="198"/>
        <v>43557</v>
      </c>
      <c r="AJ917" s="210">
        <f t="shared" ca="1" si="199"/>
        <v>3.9607534246575349</v>
      </c>
      <c r="AK917" s="8">
        <f t="shared" ca="1" si="200"/>
        <v>1.0001100209284628</v>
      </c>
      <c r="AL917" s="98">
        <f t="shared" ca="1" si="201"/>
        <v>3.6552523796138825</v>
      </c>
      <c r="AM917" s="106">
        <f t="shared" ca="1" si="195"/>
        <v>28224.00133767453</v>
      </c>
      <c r="AN917" s="10">
        <f t="shared" ca="1" si="196"/>
        <v>0.61570192399542645</v>
      </c>
      <c r="AO917" s="158"/>
      <c r="AP917" s="158"/>
      <c r="AQ917" s="1"/>
      <c r="AR917" s="1"/>
      <c r="AS917" s="1"/>
      <c r="AT917" s="1"/>
      <c r="AU917" s="1"/>
      <c r="BC917" s="23"/>
      <c r="BD917" s="23"/>
    </row>
    <row r="918" spans="34:56">
      <c r="AH918" s="6">
        <f t="shared" si="197"/>
        <v>888</v>
      </c>
      <c r="AI918" s="7">
        <f t="shared" ca="1" si="198"/>
        <v>43558</v>
      </c>
      <c r="AJ918" s="210">
        <f t="shared" ca="1" si="199"/>
        <v>3.9618493150684935</v>
      </c>
      <c r="AK918" s="8">
        <f t="shared" ca="1" si="200"/>
        <v>1.0001100513698631</v>
      </c>
      <c r="AL918" s="98">
        <f t="shared" ca="1" si="201"/>
        <v>3.655750371231492</v>
      </c>
      <c r="AM918" s="106">
        <f t="shared" ca="1" si="195"/>
        <v>28226.252011306373</v>
      </c>
      <c r="AN918" s="10">
        <f t="shared" ca="1" si="196"/>
        <v>0.61625976157859697</v>
      </c>
      <c r="AO918" s="158"/>
      <c r="AP918" s="158"/>
      <c r="AQ918" s="1"/>
      <c r="AR918" s="1"/>
      <c r="AS918" s="1"/>
      <c r="AT918" s="1"/>
      <c r="AU918" s="1"/>
      <c r="BC918" s="23"/>
      <c r="BD918" s="23"/>
    </row>
    <row r="919" spans="34:56">
      <c r="AH919" s="6">
        <f t="shared" si="197"/>
        <v>889</v>
      </c>
      <c r="AI919" s="7">
        <f t="shared" ca="1" si="198"/>
        <v>43559</v>
      </c>
      <c r="AJ919" s="210">
        <f t="shared" ca="1" si="199"/>
        <v>3.9629452054794525</v>
      </c>
      <c r="AK919" s="8">
        <f t="shared" ca="1" si="200"/>
        <v>1.0001100818112634</v>
      </c>
      <c r="AL919" s="98">
        <f t="shared" ca="1" si="201"/>
        <v>3.6562485402910294</v>
      </c>
      <c r="AM919" s="106">
        <f t="shared" ca="1" si="195"/>
        <v>28228.50286441424</v>
      </c>
      <c r="AN919" s="10">
        <f t="shared" ca="1" si="196"/>
        <v>0.61681760468108582</v>
      </c>
      <c r="AO919" s="158"/>
      <c r="AP919" s="158"/>
      <c r="AQ919" s="1"/>
      <c r="AR919" s="1"/>
      <c r="AS919" s="1"/>
      <c r="AT919" s="1"/>
      <c r="AU919" s="1"/>
      <c r="BC919" s="23"/>
      <c r="BD919" s="23"/>
    </row>
    <row r="920" spans="34:56">
      <c r="AH920" s="6">
        <f t="shared" si="197"/>
        <v>890</v>
      </c>
      <c r="AI920" s="7">
        <f t="shared" ca="1" si="198"/>
        <v>43560</v>
      </c>
      <c r="AJ920" s="210">
        <f t="shared" ca="1" si="199"/>
        <v>3.9640410958904115</v>
      </c>
      <c r="AK920" s="8">
        <f t="shared" ca="1" si="200"/>
        <v>1.0001101122526637</v>
      </c>
      <c r="AL920" s="98">
        <f t="shared" ca="1" si="201"/>
        <v>3.6567468862049202</v>
      </c>
      <c r="AM920" s="106">
        <f t="shared" ca="1" si="195"/>
        <v>28230.753897012462</v>
      </c>
      <c r="AN920" s="10">
        <f t="shared" ca="1" si="196"/>
        <v>0.61737545329465515</v>
      </c>
      <c r="AO920" s="158"/>
      <c r="AP920" s="158"/>
      <c r="AQ920" s="1"/>
      <c r="AR920" s="1"/>
      <c r="AS920" s="1"/>
      <c r="AT920" s="1"/>
      <c r="AU920" s="1"/>
      <c r="BC920" s="23"/>
      <c r="BD920" s="23"/>
    </row>
    <row r="921" spans="34:56">
      <c r="AH921" s="6">
        <f t="shared" si="197"/>
        <v>891</v>
      </c>
      <c r="AI921" s="7">
        <f t="shared" ca="1" si="198"/>
        <v>43561</v>
      </c>
      <c r="AJ921" s="210">
        <f t="shared" ca="1" si="199"/>
        <v>3.9651369863013706</v>
      </c>
      <c r="AK921" s="8">
        <f t="shared" ca="1" si="200"/>
        <v>1.000110142694064</v>
      </c>
      <c r="AL921" s="98">
        <f t="shared" ca="1" si="201"/>
        <v>3.6572454083882322</v>
      </c>
      <c r="AM921" s="106">
        <f t="shared" ca="1" si="195"/>
        <v>28233.005109115333</v>
      </c>
      <c r="AN921" s="10">
        <f t="shared" ca="1" si="196"/>
        <v>0.61793330741124475</v>
      </c>
      <c r="AO921" s="158"/>
      <c r="AP921" s="158"/>
      <c r="AQ921" s="1"/>
      <c r="AR921" s="1"/>
      <c r="AS921" s="1"/>
      <c r="AT921" s="1"/>
      <c r="AU921" s="1"/>
      <c r="BC921" s="23"/>
      <c r="BD921" s="23"/>
    </row>
    <row r="922" spans="34:56">
      <c r="AH922" s="6">
        <f t="shared" si="197"/>
        <v>892</v>
      </c>
      <c r="AI922" s="7">
        <f t="shared" ca="1" si="198"/>
        <v>43562</v>
      </c>
      <c r="AJ922" s="210">
        <f t="shared" ca="1" si="199"/>
        <v>3.9662328767123292</v>
      </c>
      <c r="AK922" s="8">
        <f t="shared" ca="1" si="200"/>
        <v>1.0001101731354642</v>
      </c>
      <c r="AL922" s="98">
        <f t="shared" ca="1" si="201"/>
        <v>3.6577441062586757</v>
      </c>
      <c r="AM922" s="106">
        <f t="shared" ca="1" si="195"/>
        <v>28235.256500737181</v>
      </c>
      <c r="AN922" s="10">
        <f t="shared" ca="1" si="196"/>
        <v>0.61849116702274998</v>
      </c>
      <c r="AO922" s="158"/>
      <c r="AP922" s="158"/>
      <c r="AQ922" s="1"/>
      <c r="AR922" s="1"/>
      <c r="AS922" s="1"/>
      <c r="AT922" s="1"/>
      <c r="AU922" s="1"/>
      <c r="BC922" s="23"/>
      <c r="BD922" s="23"/>
    </row>
    <row r="923" spans="34:56">
      <c r="AH923" s="6">
        <f t="shared" si="197"/>
        <v>893</v>
      </c>
      <c r="AI923" s="7">
        <f t="shared" ca="1" si="198"/>
        <v>43563</v>
      </c>
      <c r="AJ923" s="210">
        <f t="shared" ca="1" si="199"/>
        <v>3.9673287671232882</v>
      </c>
      <c r="AK923" s="8">
        <f t="shared" ca="1" si="200"/>
        <v>1.0001102035768645</v>
      </c>
      <c r="AL923" s="98">
        <f t="shared" ca="1" si="201"/>
        <v>3.6582429792365589</v>
      </c>
      <c r="AM923" s="106">
        <f t="shared" ca="1" si="195"/>
        <v>28237.50807189232</v>
      </c>
      <c r="AN923" s="10">
        <f t="shared" ca="1" si="196"/>
        <v>0.61904903212108842</v>
      </c>
      <c r="AO923" s="158"/>
      <c r="AP923" s="158"/>
      <c r="AQ923" s="1"/>
      <c r="AR923" s="1"/>
      <c r="AS923" s="1"/>
      <c r="AT923" s="1"/>
      <c r="AU923" s="1"/>
      <c r="BC923" s="23"/>
      <c r="BD923" s="23"/>
    </row>
    <row r="924" spans="34:56">
      <c r="AH924" s="6">
        <f t="shared" si="197"/>
        <v>894</v>
      </c>
      <c r="AI924" s="7">
        <f t="shared" ca="1" si="198"/>
        <v>43564</v>
      </c>
      <c r="AJ924" s="210">
        <f t="shared" ca="1" si="199"/>
        <v>3.9684246575342472</v>
      </c>
      <c r="AK924" s="8">
        <f t="shared" ca="1" si="200"/>
        <v>1.0001102340182648</v>
      </c>
      <c r="AL924" s="98">
        <f t="shared" ca="1" si="201"/>
        <v>3.6587420267447879</v>
      </c>
      <c r="AM924" s="106">
        <f t="shared" ca="1" si="195"/>
        <v>28239.759822595057</v>
      </c>
      <c r="AN924" s="10">
        <f t="shared" ca="1" si="196"/>
        <v>0.61960690269831087</v>
      </c>
      <c r="AO924" s="158"/>
      <c r="AP924" s="158"/>
      <c r="AQ924" s="1"/>
      <c r="AR924" s="1"/>
      <c r="AS924" s="1"/>
      <c r="AT924" s="1"/>
      <c r="AU924" s="1"/>
      <c r="BC924" s="23"/>
      <c r="BD924" s="23"/>
    </row>
    <row r="925" spans="34:56">
      <c r="AH925" s="6">
        <f t="shared" si="197"/>
        <v>895</v>
      </c>
      <c r="AI925" s="7">
        <f t="shared" ca="1" si="198"/>
        <v>43565</v>
      </c>
      <c r="AJ925" s="210">
        <f t="shared" ca="1" si="199"/>
        <v>3.9695205479452058</v>
      </c>
      <c r="AK925" s="8">
        <f t="shared" ca="1" si="200"/>
        <v>1.0001102644596651</v>
      </c>
      <c r="AL925" s="98">
        <f t="shared" ca="1" si="201"/>
        <v>3.6592412482088665</v>
      </c>
      <c r="AM925" s="106">
        <f t="shared" ca="1" si="195"/>
        <v>28242.086820294495</v>
      </c>
      <c r="AN925" s="10">
        <f t="shared" ca="1" si="196"/>
        <v>0.62005570757268647</v>
      </c>
      <c r="AO925" s="158"/>
      <c r="AP925" s="158"/>
      <c r="AQ925" s="1"/>
      <c r="AR925" s="1"/>
      <c r="AS925" s="1"/>
      <c r="AT925" s="1"/>
      <c r="AU925" s="1"/>
      <c r="BC925" s="23"/>
      <c r="BD925" s="23"/>
    </row>
    <row r="926" spans="34:56">
      <c r="AH926" s="6">
        <f t="shared" si="197"/>
        <v>896</v>
      </c>
      <c r="AI926" s="7">
        <f t="shared" ca="1" si="198"/>
        <v>43566</v>
      </c>
      <c r="AJ926" s="210">
        <f t="shared" ca="1" si="199"/>
        <v>3.9706164383561648</v>
      </c>
      <c r="AK926" s="8">
        <f t="shared" ca="1" si="200"/>
        <v>1.0001102949010654</v>
      </c>
      <c r="AL926" s="98">
        <f t="shared" ca="1" si="201"/>
        <v>3.6597406430568302</v>
      </c>
      <c r="AM926" s="106">
        <f t="shared" ca="1" si="195"/>
        <v>28244.414009741969</v>
      </c>
      <c r="AN926" s="10">
        <f t="shared" ca="1" si="196"/>
        <v>0.62050476028210344</v>
      </c>
      <c r="AO926" s="158"/>
      <c r="AP926" s="158"/>
      <c r="AQ926" s="1"/>
      <c r="AR926" s="1"/>
      <c r="AS926" s="1"/>
      <c r="AT926" s="1"/>
      <c r="AU926" s="1"/>
      <c r="BC926" s="23"/>
      <c r="BD926" s="23"/>
    </row>
    <row r="927" spans="34:56">
      <c r="AH927" s="6">
        <f t="shared" si="197"/>
        <v>897</v>
      </c>
      <c r="AI927" s="7">
        <f t="shared" ca="1" si="198"/>
        <v>43567</v>
      </c>
      <c r="AJ927" s="210">
        <f t="shared" ca="1" si="199"/>
        <v>3.9717123287671239</v>
      </c>
      <c r="AK927" s="8">
        <f t="shared" ca="1" si="200"/>
        <v>1.0001103253424657</v>
      </c>
      <c r="AL927" s="98">
        <f t="shared" ca="1" si="201"/>
        <v>3.66024021071929</v>
      </c>
      <c r="AM927" s="106">
        <f t="shared" ref="AM927:AM990" ca="1" si="202">Geom_Interp(AI927,$AZ$2:$AZ$109,$BA$2:$BA$109)</f>
        <v>28246.741390953266</v>
      </c>
      <c r="AN927" s="10">
        <f t="shared" ref="AN927:AN990" ca="1" si="203">100*(((1+AL927/100)^(AH927/365)*$AM$29/AM927)^(365/AH927)-1)</f>
        <v>0.6209540600077057</v>
      </c>
      <c r="AO927" s="158"/>
      <c r="AP927" s="158"/>
      <c r="AQ927" s="1"/>
      <c r="AR927" s="1"/>
      <c r="AS927" s="1"/>
      <c r="AT927" s="1"/>
      <c r="AU927" s="1"/>
      <c r="BC927" s="23"/>
      <c r="BD927" s="23"/>
    </row>
    <row r="928" spans="34:56">
      <c r="AH928" s="6">
        <f t="shared" ref="AH928:AH991" si="204">$AI$29+AH927</f>
        <v>898</v>
      </c>
      <c r="AI928" s="7">
        <f t="shared" ref="AI928:AI991" ca="1" si="205">+AH928+$C$1</f>
        <v>43568</v>
      </c>
      <c r="AJ928" s="210">
        <f t="shared" ref="AJ928:AJ991" ca="1" si="206">IF(AH928&lt;365,VLOOKUP(LOOKUP(AI928,$AI$2:$AI$23),$AI$2:$AK$23,3,0),Lin_Interp(AH928,$AJ$2:$AJ$23,$AK$2:$AK$23))</f>
        <v>3.9728082191780829</v>
      </c>
      <c r="AK928" s="8">
        <f t="shared" ca="1" si="200"/>
        <v>1.000110355783866</v>
      </c>
      <c r="AL928" s="98">
        <f t="shared" ca="1" si="201"/>
        <v>3.6607399506293659</v>
      </c>
      <c r="AM928" s="106">
        <f t="shared" ca="1" si="202"/>
        <v>28249.068963944195</v>
      </c>
      <c r="AN928" s="10">
        <f t="shared" ca="1" si="203"/>
        <v>0.62140360593416766</v>
      </c>
      <c r="AO928" s="158"/>
      <c r="AP928" s="158"/>
      <c r="AQ928" s="1"/>
      <c r="AR928" s="1"/>
      <c r="AS928" s="1"/>
      <c r="AT928" s="1"/>
      <c r="AU928" s="1"/>
      <c r="BC928" s="23"/>
      <c r="BD928" s="23"/>
    </row>
    <row r="929" spans="34:56">
      <c r="AH929" s="6">
        <f t="shared" si="204"/>
        <v>899</v>
      </c>
      <c r="AI929" s="7">
        <f t="shared" ca="1" si="205"/>
        <v>43569</v>
      </c>
      <c r="AJ929" s="210">
        <f t="shared" ca="1" si="206"/>
        <v>3.9739041095890415</v>
      </c>
      <c r="AK929" s="8">
        <f t="shared" ref="AK929:AK992" ca="1" si="207">+(1+AJ929/36000)</f>
        <v>1.0001103862252663</v>
      </c>
      <c r="AL929" s="98">
        <f t="shared" ref="AL929:AL992" ca="1" si="208">100*(((1+AL928/100)^(AH928/365)*AK929)^(365/AH929)-1)</f>
        <v>3.6612398622227316</v>
      </c>
      <c r="AM929" s="106">
        <f t="shared" ca="1" si="202"/>
        <v>28251.39672873056</v>
      </c>
      <c r="AN929" s="10">
        <f t="shared" ca="1" si="203"/>
        <v>0.62185339724987188</v>
      </c>
      <c r="AO929" s="158"/>
      <c r="AP929" s="158"/>
      <c r="AQ929" s="1"/>
      <c r="AR929" s="1"/>
      <c r="AS929" s="1"/>
      <c r="AT929" s="1"/>
      <c r="AU929" s="1"/>
      <c r="BC929" s="23"/>
      <c r="BD929" s="23"/>
    </row>
    <row r="930" spans="34:56">
      <c r="AH930" s="6">
        <f t="shared" si="204"/>
        <v>900</v>
      </c>
      <c r="AI930" s="7">
        <f t="shared" ca="1" si="205"/>
        <v>43570</v>
      </c>
      <c r="AJ930" s="210">
        <f t="shared" ca="1" si="206"/>
        <v>3.9750000000000005</v>
      </c>
      <c r="AK930" s="8">
        <f t="shared" ca="1" si="207"/>
        <v>1.0001104166666666</v>
      </c>
      <c r="AL930" s="98">
        <f t="shared" ca="1" si="208"/>
        <v>3.6617399449375698</v>
      </c>
      <c r="AM930" s="106">
        <f t="shared" ca="1" si="202"/>
        <v>28253.724685328158</v>
      </c>
      <c r="AN930" s="10">
        <f t="shared" ca="1" si="203"/>
        <v>0.62230343314677583</v>
      </c>
      <c r="AO930" s="158"/>
      <c r="AP930" s="158"/>
      <c r="AQ930" s="1"/>
      <c r="AR930" s="1"/>
      <c r="AS930" s="1"/>
      <c r="AT930" s="1"/>
      <c r="AU930" s="1"/>
      <c r="BC930" s="23"/>
      <c r="BD930" s="23"/>
    </row>
    <row r="931" spans="34:56">
      <c r="AH931" s="6">
        <f t="shared" si="204"/>
        <v>901</v>
      </c>
      <c r="AI931" s="7">
        <f t="shared" ca="1" si="205"/>
        <v>43571</v>
      </c>
      <c r="AJ931" s="210">
        <f t="shared" ca="1" si="206"/>
        <v>3.9755464480874321</v>
      </c>
      <c r="AK931" s="8">
        <f t="shared" ca="1" si="207"/>
        <v>1.0001104318457803</v>
      </c>
      <c r="AL931" s="98">
        <f t="shared" ca="1" si="208"/>
        <v>3.6622395573587596</v>
      </c>
      <c r="AM931" s="106">
        <f t="shared" ca="1" si="202"/>
        <v>28256.052833752809</v>
      </c>
      <c r="AN931" s="10">
        <f t="shared" ca="1" si="203"/>
        <v>0.62275309075519036</v>
      </c>
      <c r="AO931" s="158"/>
      <c r="AP931" s="158"/>
      <c r="AQ931" s="1"/>
      <c r="AR931" s="1"/>
      <c r="AS931" s="1"/>
      <c r="AT931" s="1"/>
      <c r="AU931" s="1"/>
      <c r="BC931" s="23"/>
      <c r="BD931" s="23"/>
    </row>
    <row r="932" spans="34:56">
      <c r="AH932" s="6">
        <f t="shared" si="204"/>
        <v>902</v>
      </c>
      <c r="AI932" s="7">
        <f t="shared" ca="1" si="205"/>
        <v>43572</v>
      </c>
      <c r="AJ932" s="210">
        <f t="shared" ca="1" si="206"/>
        <v>3.9760928961748641</v>
      </c>
      <c r="AK932" s="8">
        <f t="shared" ca="1" si="207"/>
        <v>1.0001104470248938</v>
      </c>
      <c r="AL932" s="98">
        <f t="shared" ca="1" si="208"/>
        <v>3.6627387010516488</v>
      </c>
      <c r="AM932" s="106">
        <f t="shared" ca="1" si="202"/>
        <v>28258.381174020302</v>
      </c>
      <c r="AN932" s="10">
        <f t="shared" ca="1" si="203"/>
        <v>0.62320237133492995</v>
      </c>
      <c r="AO932" s="158"/>
      <c r="AP932" s="158"/>
      <c r="AQ932" s="1"/>
      <c r="AR932" s="1"/>
      <c r="AS932" s="1"/>
      <c r="AT932" s="1"/>
      <c r="AU932" s="1"/>
      <c r="BC932" s="23"/>
      <c r="BD932" s="23"/>
    </row>
    <row r="933" spans="34:56">
      <c r="AH933" s="6">
        <f t="shared" si="204"/>
        <v>903</v>
      </c>
      <c r="AI933" s="7">
        <f t="shared" ca="1" si="205"/>
        <v>43573</v>
      </c>
      <c r="AJ933" s="210">
        <f t="shared" ca="1" si="206"/>
        <v>3.9766393442622956</v>
      </c>
      <c r="AK933" s="8">
        <f t="shared" ca="1" si="207"/>
        <v>1.0001104622040073</v>
      </c>
      <c r="AL933" s="98">
        <f t="shared" ca="1" si="208"/>
        <v>3.6632373775747018</v>
      </c>
      <c r="AM933" s="106">
        <f t="shared" ca="1" si="202"/>
        <v>28260.709706146463</v>
      </c>
      <c r="AN933" s="10">
        <f t="shared" ca="1" si="203"/>
        <v>0.62365127614014693</v>
      </c>
      <c r="AO933" s="158"/>
      <c r="AP933" s="158"/>
      <c r="AQ933" s="1"/>
      <c r="AR933" s="1"/>
      <c r="AS933" s="1"/>
      <c r="AT933" s="1"/>
      <c r="AU933" s="1"/>
      <c r="BC933" s="23"/>
      <c r="BD933" s="23"/>
    </row>
    <row r="934" spans="34:56">
      <c r="AH934" s="6">
        <f t="shared" si="204"/>
        <v>904</v>
      </c>
      <c r="AI934" s="7">
        <f t="shared" ca="1" si="205"/>
        <v>43574</v>
      </c>
      <c r="AJ934" s="210">
        <f t="shared" ca="1" si="206"/>
        <v>3.9771857923497271</v>
      </c>
      <c r="AK934" s="8">
        <f t="shared" ca="1" si="207"/>
        <v>1.0001104773831209</v>
      </c>
      <c r="AL934" s="98">
        <f t="shared" ca="1" si="208"/>
        <v>3.6637355884794554</v>
      </c>
      <c r="AM934" s="106">
        <f t="shared" ca="1" si="202"/>
        <v>28263.038430147088</v>
      </c>
      <c r="AN934" s="10">
        <f t="shared" ca="1" si="203"/>
        <v>0.62409980641946472</v>
      </c>
      <c r="AO934" s="158"/>
      <c r="AP934" s="158"/>
      <c r="AQ934" s="1"/>
      <c r="AR934" s="1"/>
      <c r="AS934" s="1"/>
      <c r="AT934" s="1"/>
      <c r="AU934" s="1"/>
      <c r="BC934" s="23"/>
      <c r="BD934" s="23"/>
    </row>
    <row r="935" spans="34:56">
      <c r="AH935" s="6">
        <f t="shared" si="204"/>
        <v>905</v>
      </c>
      <c r="AI935" s="7">
        <f t="shared" ca="1" si="205"/>
        <v>43575</v>
      </c>
      <c r="AJ935" s="210">
        <f t="shared" ca="1" si="206"/>
        <v>3.9777322404371591</v>
      </c>
      <c r="AK935" s="8">
        <f t="shared" ca="1" si="207"/>
        <v>1.0001104925622344</v>
      </c>
      <c r="AL935" s="98">
        <f t="shared" ca="1" si="208"/>
        <v>3.6642333353106071</v>
      </c>
      <c r="AM935" s="106">
        <f t="shared" ca="1" si="202"/>
        <v>28265.367346037991</v>
      </c>
      <c r="AN935" s="10">
        <f t="shared" ca="1" si="203"/>
        <v>0.62454796341606666</v>
      </c>
      <c r="AO935" s="158"/>
      <c r="AP935" s="158"/>
      <c r="AQ935" s="1"/>
      <c r="AR935" s="1"/>
      <c r="AS935" s="1"/>
      <c r="AT935" s="1"/>
      <c r="AU935" s="1"/>
      <c r="BC935" s="23"/>
      <c r="BD935" s="23"/>
    </row>
    <row r="936" spans="34:56">
      <c r="AH936" s="6">
        <f t="shared" si="204"/>
        <v>906</v>
      </c>
      <c r="AI936" s="7">
        <f t="shared" ca="1" si="205"/>
        <v>43576</v>
      </c>
      <c r="AJ936" s="210">
        <f t="shared" ca="1" si="206"/>
        <v>3.9782786885245907</v>
      </c>
      <c r="AK936" s="8">
        <f t="shared" ca="1" si="207"/>
        <v>1.0001105077413479</v>
      </c>
      <c r="AL936" s="98">
        <f t="shared" ca="1" si="208"/>
        <v>3.6647306196060603</v>
      </c>
      <c r="AM936" s="106">
        <f t="shared" ca="1" si="202"/>
        <v>28267.696453834978</v>
      </c>
      <c r="AN936" s="10">
        <f t="shared" ca="1" si="203"/>
        <v>0.62499574836760718</v>
      </c>
      <c r="AO936" s="158"/>
      <c r="AP936" s="158"/>
      <c r="AQ936" s="1"/>
      <c r="AR936" s="1"/>
      <c r="AS936" s="1"/>
      <c r="AT936" s="1"/>
      <c r="AU936" s="1"/>
      <c r="BC936" s="23"/>
      <c r="BD936" s="23"/>
    </row>
    <row r="937" spans="34:56">
      <c r="AH937" s="6">
        <f t="shared" si="204"/>
        <v>907</v>
      </c>
      <c r="AI937" s="7">
        <f t="shared" ca="1" si="205"/>
        <v>43577</v>
      </c>
      <c r="AJ937" s="210">
        <f t="shared" ca="1" si="206"/>
        <v>3.9788251366120222</v>
      </c>
      <c r="AK937" s="8">
        <f t="shared" ca="1" si="207"/>
        <v>1.0001105229204614</v>
      </c>
      <c r="AL937" s="98">
        <f t="shared" ca="1" si="208"/>
        <v>3.6652274428969012</v>
      </c>
      <c r="AM937" s="106">
        <f t="shared" ca="1" si="202"/>
        <v>28270.02575355388</v>
      </c>
      <c r="AN937" s="10">
        <f t="shared" ca="1" si="203"/>
        <v>0.62544316250621179</v>
      </c>
      <c r="AO937" s="158"/>
      <c r="AP937" s="158"/>
      <c r="AQ937" s="1"/>
      <c r="AR937" s="1"/>
      <c r="AS937" s="1"/>
      <c r="AT937" s="1"/>
      <c r="AU937" s="1"/>
      <c r="BC937" s="23"/>
      <c r="BD937" s="23"/>
    </row>
    <row r="938" spans="34:56">
      <c r="AH938" s="6">
        <f t="shared" si="204"/>
        <v>908</v>
      </c>
      <c r="AI938" s="7">
        <f t="shared" ca="1" si="205"/>
        <v>43578</v>
      </c>
      <c r="AJ938" s="210">
        <f t="shared" ca="1" si="206"/>
        <v>3.9793715846994542</v>
      </c>
      <c r="AK938" s="8">
        <f t="shared" ca="1" si="207"/>
        <v>1.000110538099575</v>
      </c>
      <c r="AL938" s="98">
        <f t="shared" ca="1" si="208"/>
        <v>3.6657238067075104</v>
      </c>
      <c r="AM938" s="106">
        <f t="shared" ca="1" si="202"/>
        <v>28272.355245210496</v>
      </c>
      <c r="AN938" s="10">
        <f t="shared" ca="1" si="203"/>
        <v>0.62589020705867693</v>
      </c>
      <c r="AO938" s="158"/>
      <c r="AP938" s="158"/>
      <c r="AQ938" s="1"/>
      <c r="AR938" s="1"/>
      <c r="AS938" s="1"/>
      <c r="AT938" s="1"/>
      <c r="AU938" s="1"/>
      <c r="BC938" s="23"/>
      <c r="BD938" s="23"/>
    </row>
    <row r="939" spans="34:56">
      <c r="AH939" s="6">
        <f t="shared" si="204"/>
        <v>909</v>
      </c>
      <c r="AI939" s="7">
        <f t="shared" ca="1" si="205"/>
        <v>43579</v>
      </c>
      <c r="AJ939" s="210">
        <f t="shared" ca="1" si="206"/>
        <v>3.9799180327868857</v>
      </c>
      <c r="AK939" s="8">
        <f t="shared" ca="1" si="207"/>
        <v>1.0001105532786885</v>
      </c>
      <c r="AL939" s="98">
        <f t="shared" ca="1" si="208"/>
        <v>3.6662197125555629</v>
      </c>
      <c r="AM939" s="106">
        <f t="shared" ca="1" si="202"/>
        <v>28274.68492882065</v>
      </c>
      <c r="AN939" s="10">
        <f t="shared" ca="1" si="203"/>
        <v>0.62633688324640335</v>
      </c>
      <c r="AO939" s="158"/>
      <c r="AP939" s="158"/>
      <c r="AQ939" s="1"/>
      <c r="AR939" s="1"/>
      <c r="AS939" s="1"/>
      <c r="AT939" s="1"/>
      <c r="AU939" s="1"/>
      <c r="BC939" s="23"/>
      <c r="BD939" s="23"/>
    </row>
    <row r="940" spans="34:56">
      <c r="AH940" s="6">
        <f t="shared" si="204"/>
        <v>910</v>
      </c>
      <c r="AI940" s="7">
        <f t="shared" ca="1" si="205"/>
        <v>43580</v>
      </c>
      <c r="AJ940" s="210">
        <f t="shared" ca="1" si="206"/>
        <v>3.9804644808743173</v>
      </c>
      <c r="AK940" s="8">
        <f t="shared" ca="1" si="207"/>
        <v>1.000110568457802</v>
      </c>
      <c r="AL940" s="98">
        <f t="shared" ca="1" si="208"/>
        <v>3.6667151619520499</v>
      </c>
      <c r="AM940" s="106">
        <f t="shared" ca="1" si="202"/>
        <v>28277.014804400158</v>
      </c>
      <c r="AN940" s="10">
        <f t="shared" ca="1" si="203"/>
        <v>0.62678319228537394</v>
      </c>
      <c r="AO940" s="158"/>
      <c r="AP940" s="158"/>
      <c r="AQ940" s="1"/>
      <c r="AR940" s="1"/>
      <c r="AS940" s="1"/>
      <c r="AT940" s="1"/>
      <c r="AU940" s="1"/>
      <c r="BC940" s="23"/>
      <c r="BD940" s="23"/>
    </row>
    <row r="941" spans="34:56">
      <c r="AH941" s="6">
        <f t="shared" si="204"/>
        <v>911</v>
      </c>
      <c r="AI941" s="7">
        <f t="shared" ca="1" si="205"/>
        <v>43581</v>
      </c>
      <c r="AJ941" s="210">
        <f t="shared" ca="1" si="206"/>
        <v>3.9810109289617492</v>
      </c>
      <c r="AK941" s="8">
        <f t="shared" ca="1" si="207"/>
        <v>1.0001105836369155</v>
      </c>
      <c r="AL941" s="98">
        <f t="shared" ca="1" si="208"/>
        <v>3.6672101564013682</v>
      </c>
      <c r="AM941" s="106">
        <f t="shared" ca="1" si="202"/>
        <v>28279.344871964833</v>
      </c>
      <c r="AN941" s="10">
        <f t="shared" ca="1" si="203"/>
        <v>0.62722913538626468</v>
      </c>
      <c r="AO941" s="158"/>
      <c r="AP941" s="158"/>
      <c r="AQ941" s="1"/>
      <c r="AR941" s="1"/>
      <c r="AS941" s="1"/>
      <c r="AT941" s="1"/>
      <c r="AU941" s="1"/>
      <c r="BC941" s="23"/>
      <c r="BD941" s="23"/>
    </row>
    <row r="942" spans="34:56">
      <c r="AH942" s="6">
        <f t="shared" si="204"/>
        <v>912</v>
      </c>
      <c r="AI942" s="7">
        <f t="shared" ca="1" si="205"/>
        <v>43582</v>
      </c>
      <c r="AJ942" s="210">
        <f t="shared" ca="1" si="206"/>
        <v>3.9815573770491808</v>
      </c>
      <c r="AK942" s="8">
        <f t="shared" ca="1" si="207"/>
        <v>1.000110598816029</v>
      </c>
      <c r="AL942" s="98">
        <f t="shared" ca="1" si="208"/>
        <v>3.6677046974012972</v>
      </c>
      <c r="AM942" s="106">
        <f t="shared" ca="1" si="202"/>
        <v>28281.675131530497</v>
      </c>
      <c r="AN942" s="10">
        <f t="shared" ca="1" si="203"/>
        <v>0.62767471375448913</v>
      </c>
      <c r="AO942" s="158"/>
      <c r="AP942" s="158"/>
      <c r="AQ942" s="1"/>
      <c r="AR942" s="1"/>
      <c r="AS942" s="1"/>
      <c r="AT942" s="1"/>
      <c r="AU942" s="1"/>
      <c r="BC942" s="23"/>
      <c r="BD942" s="23"/>
    </row>
    <row r="943" spans="34:56">
      <c r="AH943" s="6">
        <f t="shared" si="204"/>
        <v>913</v>
      </c>
      <c r="AI943" s="7">
        <f t="shared" ca="1" si="205"/>
        <v>43583</v>
      </c>
      <c r="AJ943" s="210">
        <f t="shared" ca="1" si="206"/>
        <v>3.9821038251366123</v>
      </c>
      <c r="AK943" s="8">
        <f t="shared" ca="1" si="207"/>
        <v>1.0001106139951428</v>
      </c>
      <c r="AL943" s="98">
        <f t="shared" ca="1" si="208"/>
        <v>3.6681987864430665</v>
      </c>
      <c r="AM943" s="106">
        <f t="shared" ca="1" si="202"/>
        <v>28284.005583112979</v>
      </c>
      <c r="AN943" s="10">
        <f t="shared" ca="1" si="203"/>
        <v>0.62811992859010957</v>
      </c>
      <c r="AO943" s="158"/>
      <c r="AP943" s="158"/>
      <c r="AQ943" s="1"/>
      <c r="AR943" s="1"/>
      <c r="AS943" s="1"/>
      <c r="AT943" s="1"/>
      <c r="AU943" s="1"/>
      <c r="BC943" s="23"/>
      <c r="BD943" s="23"/>
    </row>
    <row r="944" spans="34:56">
      <c r="AH944" s="6">
        <f t="shared" si="204"/>
        <v>914</v>
      </c>
      <c r="AI944" s="7">
        <f t="shared" ca="1" si="205"/>
        <v>43584</v>
      </c>
      <c r="AJ944" s="210">
        <f t="shared" ca="1" si="206"/>
        <v>3.9826502732240443</v>
      </c>
      <c r="AK944" s="8">
        <f t="shared" ca="1" si="207"/>
        <v>1.0001106291742563</v>
      </c>
      <c r="AL944" s="98">
        <f t="shared" ca="1" si="208"/>
        <v>3.6686924250113773</v>
      </c>
      <c r="AM944" s="106">
        <f t="shared" ca="1" si="202"/>
        <v>28286.336226728094</v>
      </c>
      <c r="AN944" s="10">
        <f t="shared" ca="1" si="203"/>
        <v>0.62856478108792579</v>
      </c>
      <c r="AO944" s="158"/>
      <c r="AP944" s="158"/>
      <c r="AQ944" s="1"/>
      <c r="AR944" s="1"/>
      <c r="AS944" s="1"/>
      <c r="AT944" s="1"/>
      <c r="AU944" s="1"/>
      <c r="BC944" s="23"/>
      <c r="BD944" s="23"/>
    </row>
    <row r="945" spans="34:56">
      <c r="AH945" s="6">
        <f t="shared" si="204"/>
        <v>915</v>
      </c>
      <c r="AI945" s="7">
        <f t="shared" ca="1" si="205"/>
        <v>43585</v>
      </c>
      <c r="AJ945" s="210">
        <f t="shared" ca="1" si="206"/>
        <v>3.9831967213114758</v>
      </c>
      <c r="AK945" s="8">
        <f t="shared" ca="1" si="207"/>
        <v>1.0001106443533698</v>
      </c>
      <c r="AL945" s="98">
        <f t="shared" ca="1" si="208"/>
        <v>3.669185614584447</v>
      </c>
      <c r="AM945" s="106">
        <f t="shared" ca="1" si="202"/>
        <v>28288.667062391662</v>
      </c>
      <c r="AN945" s="10">
        <f t="shared" ca="1" si="203"/>
        <v>0.62900927243763061</v>
      </c>
      <c r="AO945" s="158"/>
      <c r="AP945" s="158"/>
      <c r="AQ945" s="1"/>
      <c r="AR945" s="1"/>
      <c r="AS945" s="1"/>
      <c r="AT945" s="1"/>
      <c r="AU945" s="1"/>
      <c r="BC945" s="23"/>
      <c r="BD945" s="23"/>
    </row>
    <row r="946" spans="34:56">
      <c r="AH946" s="6">
        <f t="shared" si="204"/>
        <v>916</v>
      </c>
      <c r="AI946" s="7">
        <f t="shared" ca="1" si="205"/>
        <v>43586</v>
      </c>
      <c r="AJ946" s="210">
        <f t="shared" ca="1" si="206"/>
        <v>3.9837431693989078</v>
      </c>
      <c r="AK946" s="8">
        <f t="shared" ca="1" si="207"/>
        <v>1.0001106595324833</v>
      </c>
      <c r="AL946" s="98">
        <f t="shared" ca="1" si="208"/>
        <v>3.6696783566340541</v>
      </c>
      <c r="AM946" s="106">
        <f t="shared" ca="1" si="202"/>
        <v>28290.998090119516</v>
      </c>
      <c r="AN946" s="10">
        <f t="shared" ca="1" si="203"/>
        <v>0.62945340382360992</v>
      </c>
      <c r="AO946" s="158"/>
      <c r="AP946" s="158"/>
      <c r="AQ946" s="1"/>
      <c r="AR946" s="1"/>
      <c r="AS946" s="1"/>
      <c r="AT946" s="1"/>
      <c r="AU946" s="1"/>
      <c r="BC946" s="23"/>
      <c r="BD946" s="23"/>
    </row>
    <row r="947" spans="34:56">
      <c r="AH947" s="6">
        <f t="shared" si="204"/>
        <v>917</v>
      </c>
      <c r="AI947" s="7">
        <f t="shared" ca="1" si="205"/>
        <v>43587</v>
      </c>
      <c r="AJ947" s="210">
        <f t="shared" ca="1" si="206"/>
        <v>3.9842896174863394</v>
      </c>
      <c r="AK947" s="8">
        <f t="shared" ca="1" si="207"/>
        <v>1.0001106747115969</v>
      </c>
      <c r="AL947" s="98">
        <f t="shared" ca="1" si="208"/>
        <v>3.6701706526255595</v>
      </c>
      <c r="AM947" s="106">
        <f t="shared" ca="1" si="202"/>
        <v>28293.329309927478</v>
      </c>
      <c r="AN947" s="10">
        <f t="shared" ca="1" si="203"/>
        <v>0.62989717642516485</v>
      </c>
      <c r="AO947" s="158"/>
      <c r="AP947" s="158"/>
      <c r="AQ947" s="1"/>
      <c r="AR947" s="1"/>
      <c r="AS947" s="1"/>
      <c r="AT947" s="1"/>
      <c r="AU947" s="1"/>
      <c r="BC947" s="23"/>
      <c r="BD947" s="23"/>
    </row>
    <row r="948" spans="34:56">
      <c r="AH948" s="6">
        <f t="shared" si="204"/>
        <v>918</v>
      </c>
      <c r="AI948" s="7">
        <f t="shared" ca="1" si="205"/>
        <v>43588</v>
      </c>
      <c r="AJ948" s="210">
        <f t="shared" ca="1" si="206"/>
        <v>3.9848360655737709</v>
      </c>
      <c r="AK948" s="8">
        <f t="shared" ca="1" si="207"/>
        <v>1.0001106898907104</v>
      </c>
      <c r="AL948" s="98">
        <f t="shared" ca="1" si="208"/>
        <v>3.6706625040179297</v>
      </c>
      <c r="AM948" s="106">
        <f t="shared" ca="1" si="202"/>
        <v>28295.66072183138</v>
      </c>
      <c r="AN948" s="10">
        <f t="shared" ca="1" si="203"/>
        <v>0.63034059141640064</v>
      </c>
      <c r="AO948" s="158"/>
      <c r="AP948" s="158"/>
      <c r="AQ948" s="1"/>
      <c r="AR948" s="1"/>
      <c r="AS948" s="1"/>
      <c r="AT948" s="1"/>
      <c r="AU948" s="1"/>
      <c r="BC948" s="23"/>
      <c r="BD948" s="23"/>
    </row>
    <row r="949" spans="34:56">
      <c r="AH949" s="6">
        <f t="shared" si="204"/>
        <v>919</v>
      </c>
      <c r="AI949" s="7">
        <f t="shared" ca="1" si="205"/>
        <v>43589</v>
      </c>
      <c r="AJ949" s="210">
        <f t="shared" ca="1" si="206"/>
        <v>3.9853825136612029</v>
      </c>
      <c r="AK949" s="8">
        <f t="shared" ca="1" si="207"/>
        <v>1.0001107050698239</v>
      </c>
      <c r="AL949" s="98">
        <f t="shared" ca="1" si="208"/>
        <v>3.6711539122638248</v>
      </c>
      <c r="AM949" s="106">
        <f t="shared" ca="1" si="202"/>
        <v>28297.992325847044</v>
      </c>
      <c r="AN949" s="10">
        <f t="shared" ca="1" si="203"/>
        <v>0.63078364996635994</v>
      </c>
      <c r="AO949" s="158"/>
      <c r="AP949" s="158"/>
      <c r="AQ949" s="1"/>
      <c r="AR949" s="1"/>
      <c r="AS949" s="1"/>
      <c r="AT949" s="1"/>
      <c r="AU949" s="1"/>
      <c r="BC949" s="23"/>
      <c r="BD949" s="23"/>
    </row>
    <row r="950" spans="34:56">
      <c r="AH950" s="6">
        <f t="shared" si="204"/>
        <v>920</v>
      </c>
      <c r="AI950" s="7">
        <f t="shared" ca="1" si="205"/>
        <v>43590</v>
      </c>
      <c r="AJ950" s="210">
        <f t="shared" ca="1" si="206"/>
        <v>3.9859289617486344</v>
      </c>
      <c r="AK950" s="8">
        <f t="shared" ca="1" si="207"/>
        <v>1.0001107202489374</v>
      </c>
      <c r="AL950" s="98">
        <f t="shared" ca="1" si="208"/>
        <v>3.6716448788095546</v>
      </c>
      <c r="AM950" s="106">
        <f t="shared" ca="1" si="202"/>
        <v>28300.32412199031</v>
      </c>
      <c r="AN950" s="10">
        <f t="shared" ca="1" si="203"/>
        <v>0.63122635323900056</v>
      </c>
      <c r="AO950" s="158"/>
      <c r="AP950" s="158"/>
      <c r="AQ950" s="1"/>
      <c r="AR950" s="1"/>
      <c r="AS950" s="1"/>
      <c r="AT950" s="1"/>
      <c r="AU950" s="1"/>
      <c r="BC950" s="23"/>
      <c r="BD950" s="23"/>
    </row>
    <row r="951" spans="34:56">
      <c r="AH951" s="6">
        <f t="shared" si="204"/>
        <v>921</v>
      </c>
      <c r="AI951" s="7">
        <f t="shared" ca="1" si="205"/>
        <v>43591</v>
      </c>
      <c r="AJ951" s="210">
        <f t="shared" ca="1" si="206"/>
        <v>3.986475409836066</v>
      </c>
      <c r="AK951" s="8">
        <f t="shared" ca="1" si="207"/>
        <v>1.000110735428051</v>
      </c>
      <c r="AL951" s="98">
        <f t="shared" ca="1" si="208"/>
        <v>3.6721354050951671</v>
      </c>
      <c r="AM951" s="106">
        <f t="shared" ca="1" si="202"/>
        <v>28302.656110276999</v>
      </c>
      <c r="AN951" s="10">
        <f t="shared" ca="1" si="203"/>
        <v>0.63166870239321771</v>
      </c>
      <c r="AO951" s="158"/>
      <c r="AP951" s="158"/>
      <c r="AQ951" s="1"/>
      <c r="AR951" s="1"/>
      <c r="AS951" s="1"/>
      <c r="AT951" s="1"/>
      <c r="AU951" s="1"/>
      <c r="BC951" s="23"/>
      <c r="BD951" s="23"/>
    </row>
    <row r="952" spans="34:56">
      <c r="AH952" s="6">
        <f t="shared" si="204"/>
        <v>922</v>
      </c>
      <c r="AI952" s="7">
        <f t="shared" ca="1" si="205"/>
        <v>43592</v>
      </c>
      <c r="AJ952" s="210">
        <f t="shared" ca="1" si="206"/>
        <v>3.9870218579234979</v>
      </c>
      <c r="AK952" s="8">
        <f t="shared" ca="1" si="207"/>
        <v>1.0001107506071645</v>
      </c>
      <c r="AL952" s="98">
        <f t="shared" ca="1" si="208"/>
        <v>3.672625492554471</v>
      </c>
      <c r="AM952" s="106">
        <f t="shared" ca="1" si="202"/>
        <v>28304.988290722951</v>
      </c>
      <c r="AN952" s="10">
        <f t="shared" ca="1" si="203"/>
        <v>0.63211069858286617</v>
      </c>
      <c r="AO952" s="158"/>
      <c r="AP952" s="158"/>
      <c r="AQ952" s="1"/>
      <c r="AR952" s="1"/>
      <c r="AS952" s="1"/>
      <c r="AT952" s="1"/>
      <c r="AU952" s="1"/>
      <c r="BC952" s="23"/>
      <c r="BD952" s="23"/>
    </row>
    <row r="953" spans="34:56">
      <c r="AH953" s="6">
        <f t="shared" si="204"/>
        <v>923</v>
      </c>
      <c r="AI953" s="7">
        <f t="shared" ca="1" si="205"/>
        <v>43593</v>
      </c>
      <c r="AJ953" s="210">
        <f t="shared" ca="1" si="206"/>
        <v>3.9875683060109295</v>
      </c>
      <c r="AK953" s="8">
        <f t="shared" ca="1" si="207"/>
        <v>1.000110765786278</v>
      </c>
      <c r="AL953" s="98">
        <f t="shared" ca="1" si="208"/>
        <v>3.6731151426150799</v>
      </c>
      <c r="AM953" s="106">
        <f t="shared" ca="1" si="202"/>
        <v>28307.320663344002</v>
      </c>
      <c r="AN953" s="10">
        <f t="shared" ca="1" si="203"/>
        <v>0.63255234295684915</v>
      </c>
      <c r="AO953" s="158"/>
      <c r="AP953" s="158"/>
      <c r="AQ953" s="1"/>
      <c r="AR953" s="1"/>
      <c r="AS953" s="1"/>
      <c r="AT953" s="1"/>
      <c r="AU953" s="1"/>
      <c r="BC953" s="23"/>
      <c r="BD953" s="23"/>
    </row>
    <row r="954" spans="34:56">
      <c r="AH954" s="6">
        <f t="shared" si="204"/>
        <v>924</v>
      </c>
      <c r="AI954" s="7">
        <f t="shared" ca="1" si="205"/>
        <v>43594</v>
      </c>
      <c r="AJ954" s="210">
        <f t="shared" ca="1" si="206"/>
        <v>3.988114754098361</v>
      </c>
      <c r="AK954" s="8">
        <f t="shared" ca="1" si="207"/>
        <v>1.0001107809653915</v>
      </c>
      <c r="AL954" s="98">
        <f t="shared" ca="1" si="208"/>
        <v>3.6736043566984122</v>
      </c>
      <c r="AM954" s="106">
        <f t="shared" ca="1" si="202"/>
        <v>28309.653228155981</v>
      </c>
      <c r="AN954" s="10">
        <f t="shared" ca="1" si="203"/>
        <v>0.63299363665909603</v>
      </c>
      <c r="AO954" s="158"/>
      <c r="AP954" s="158"/>
      <c r="AQ954" s="1"/>
      <c r="AR954" s="1"/>
      <c r="AS954" s="1"/>
      <c r="AT954" s="1"/>
      <c r="AU954" s="1"/>
      <c r="BC954" s="23"/>
      <c r="BD954" s="23"/>
    </row>
    <row r="955" spans="34:56">
      <c r="AH955" s="6">
        <f t="shared" si="204"/>
        <v>925</v>
      </c>
      <c r="AI955" s="7">
        <f t="shared" ca="1" si="205"/>
        <v>43595</v>
      </c>
      <c r="AJ955" s="210">
        <f t="shared" ca="1" si="206"/>
        <v>3.988661202185793</v>
      </c>
      <c r="AK955" s="8">
        <f t="shared" ca="1" si="207"/>
        <v>1.0001107961445053</v>
      </c>
      <c r="AL955" s="98">
        <f t="shared" ca="1" si="208"/>
        <v>3.6740931362197582</v>
      </c>
      <c r="AM955" s="106">
        <f t="shared" ca="1" si="202"/>
        <v>28311.910731948046</v>
      </c>
      <c r="AN955" s="10">
        <f t="shared" ca="1" si="203"/>
        <v>0.63354012858913844</v>
      </c>
      <c r="AO955" s="158"/>
      <c r="AP955" s="158"/>
      <c r="AQ955" s="1"/>
      <c r="AR955" s="1"/>
      <c r="AS955" s="1"/>
      <c r="AT955" s="1"/>
      <c r="AU955" s="1"/>
      <c r="BC955" s="23"/>
      <c r="BD955" s="23"/>
    </row>
    <row r="956" spans="34:56">
      <c r="AH956" s="6">
        <f t="shared" si="204"/>
        <v>926</v>
      </c>
      <c r="AI956" s="7">
        <f t="shared" ca="1" si="205"/>
        <v>43596</v>
      </c>
      <c r="AJ956" s="210">
        <f t="shared" ca="1" si="206"/>
        <v>3.9892076502732245</v>
      </c>
      <c r="AK956" s="8">
        <f t="shared" ca="1" si="207"/>
        <v>1.0001108113236188</v>
      </c>
      <c r="AL956" s="98">
        <f t="shared" ca="1" si="208"/>
        <v>3.6745814825882794</v>
      </c>
      <c r="AM956" s="106">
        <f t="shared" ca="1" si="202"/>
        <v>28314.168415760811</v>
      </c>
      <c r="AN956" s="10">
        <f t="shared" ca="1" si="203"/>
        <v>0.63408604518908618</v>
      </c>
      <c r="AO956" s="158"/>
      <c r="AP956" s="158"/>
      <c r="AQ956" s="1"/>
      <c r="AR956" s="1"/>
      <c r="AS956" s="1"/>
      <c r="AT956" s="1"/>
      <c r="AU956" s="1"/>
      <c r="BC956" s="23"/>
      <c r="BD956" s="23"/>
    </row>
    <row r="957" spans="34:56">
      <c r="AH957" s="6">
        <f t="shared" si="204"/>
        <v>927</v>
      </c>
      <c r="AI957" s="7">
        <f t="shared" ca="1" si="205"/>
        <v>43597</v>
      </c>
      <c r="AJ957" s="210">
        <f t="shared" ca="1" si="206"/>
        <v>3.9897540983606561</v>
      </c>
      <c r="AK957" s="8">
        <f t="shared" ca="1" si="207"/>
        <v>1.0001108265027323</v>
      </c>
      <c r="AL957" s="98">
        <f t="shared" ca="1" si="208"/>
        <v>3.675069397207098</v>
      </c>
      <c r="AM957" s="106">
        <f t="shared" ca="1" si="202"/>
        <v>28316.426279608615</v>
      </c>
      <c r="AN957" s="10">
        <f t="shared" ca="1" si="203"/>
        <v>0.63463138832104971</v>
      </c>
      <c r="AO957" s="158"/>
      <c r="AP957" s="158"/>
      <c r="AQ957" s="1"/>
      <c r="AR957" s="1"/>
      <c r="AS957" s="1"/>
      <c r="AT957" s="1"/>
      <c r="AU957" s="1"/>
      <c r="BC957" s="23"/>
      <c r="BD957" s="23"/>
    </row>
    <row r="958" spans="34:56">
      <c r="AH958" s="6">
        <f t="shared" si="204"/>
        <v>928</v>
      </c>
      <c r="AI958" s="7">
        <f t="shared" ca="1" si="205"/>
        <v>43598</v>
      </c>
      <c r="AJ958" s="210">
        <f t="shared" ca="1" si="206"/>
        <v>3.9903005464480881</v>
      </c>
      <c r="AK958" s="8">
        <f t="shared" ca="1" si="207"/>
        <v>1.0001108416818458</v>
      </c>
      <c r="AL958" s="98">
        <f t="shared" ca="1" si="208"/>
        <v>3.675556881473252</v>
      </c>
      <c r="AM958" s="106">
        <f t="shared" ca="1" si="202"/>
        <v>28318.684323505826</v>
      </c>
      <c r="AN958" s="10">
        <f t="shared" ca="1" si="203"/>
        <v>0.63517615983914588</v>
      </c>
      <c r="AO958" s="158"/>
      <c r="AP958" s="158"/>
      <c r="AQ958" s="1"/>
      <c r="AR958" s="1"/>
      <c r="AS958" s="1"/>
      <c r="AT958" s="1"/>
      <c r="AU958" s="1"/>
      <c r="BC958" s="23"/>
      <c r="BD958" s="23"/>
    </row>
    <row r="959" spans="34:56">
      <c r="AH959" s="6">
        <f t="shared" si="204"/>
        <v>929</v>
      </c>
      <c r="AI959" s="7">
        <f t="shared" ca="1" si="205"/>
        <v>43599</v>
      </c>
      <c r="AJ959" s="210">
        <f t="shared" ca="1" si="206"/>
        <v>3.9908469945355196</v>
      </c>
      <c r="AK959" s="8">
        <f t="shared" ca="1" si="207"/>
        <v>1.0001108568609594</v>
      </c>
      <c r="AL959" s="98">
        <f t="shared" ca="1" si="208"/>
        <v>3.6760439367778064</v>
      </c>
      <c r="AM959" s="106">
        <f t="shared" ca="1" si="202"/>
        <v>28320.942547466799</v>
      </c>
      <c r="AN959" s="10">
        <f t="shared" ca="1" si="203"/>
        <v>0.63572036158949796</v>
      </c>
      <c r="AO959" s="158"/>
      <c r="AP959" s="158"/>
      <c r="AQ959" s="1"/>
      <c r="AR959" s="1"/>
      <c r="AS959" s="1"/>
      <c r="AT959" s="1"/>
      <c r="AU959" s="1"/>
      <c r="BC959" s="23"/>
      <c r="BD959" s="23"/>
    </row>
    <row r="960" spans="34:56">
      <c r="AH960" s="6">
        <f t="shared" si="204"/>
        <v>930</v>
      </c>
      <c r="AI960" s="7">
        <f t="shared" ca="1" si="205"/>
        <v>43600</v>
      </c>
      <c r="AJ960" s="210">
        <f t="shared" ca="1" si="206"/>
        <v>3.9913934426229511</v>
      </c>
      <c r="AK960" s="8">
        <f t="shared" ca="1" si="207"/>
        <v>1.0001108720400729</v>
      </c>
      <c r="AL960" s="98">
        <f t="shared" ca="1" si="208"/>
        <v>3.6765305645058088</v>
      </c>
      <c r="AM960" s="106">
        <f t="shared" ca="1" si="202"/>
        <v>28323.200951505893</v>
      </c>
      <c r="AN960" s="10">
        <f t="shared" ca="1" si="203"/>
        <v>0.63626399541028</v>
      </c>
      <c r="AO960" s="158"/>
      <c r="AP960" s="158"/>
      <c r="AQ960" s="1"/>
      <c r="AR960" s="1"/>
      <c r="AS960" s="1"/>
      <c r="AT960" s="1"/>
      <c r="AU960" s="1"/>
      <c r="BC960" s="23"/>
      <c r="BD960" s="23"/>
    </row>
    <row r="961" spans="34:56">
      <c r="AH961" s="6">
        <f t="shared" si="204"/>
        <v>931</v>
      </c>
      <c r="AI961" s="7">
        <f t="shared" ca="1" si="205"/>
        <v>43601</v>
      </c>
      <c r="AJ961" s="210">
        <f t="shared" ca="1" si="206"/>
        <v>3.9919398907103831</v>
      </c>
      <c r="AK961" s="8">
        <f t="shared" ca="1" si="207"/>
        <v>1.0001108872191864</v>
      </c>
      <c r="AL961" s="98">
        <f t="shared" ca="1" si="208"/>
        <v>3.6770167660364006</v>
      </c>
      <c r="AM961" s="106">
        <f t="shared" ca="1" si="202"/>
        <v>28325.45953563747</v>
      </c>
      <c r="AN961" s="10">
        <f t="shared" ca="1" si="203"/>
        <v>0.63680706313180568</v>
      </c>
      <c r="AO961" s="158"/>
      <c r="AP961" s="158"/>
      <c r="AQ961" s="1"/>
      <c r="AR961" s="1"/>
      <c r="AS961" s="1"/>
      <c r="AT961" s="1"/>
      <c r="AU961" s="1"/>
      <c r="BC961" s="23"/>
      <c r="BD961" s="23"/>
    </row>
    <row r="962" spans="34:56">
      <c r="AH962" s="6">
        <f t="shared" si="204"/>
        <v>932</v>
      </c>
      <c r="AI962" s="7">
        <f t="shared" ca="1" si="205"/>
        <v>43602</v>
      </c>
      <c r="AJ962" s="210">
        <f t="shared" ca="1" si="206"/>
        <v>3.9924863387978147</v>
      </c>
      <c r="AK962" s="8">
        <f t="shared" ca="1" si="207"/>
        <v>1.0001109023982999</v>
      </c>
      <c r="AL962" s="98">
        <f t="shared" ca="1" si="208"/>
        <v>3.6775025427428165</v>
      </c>
      <c r="AM962" s="106">
        <f t="shared" ca="1" si="202"/>
        <v>28327.718299875884</v>
      </c>
      <c r="AN962" s="10">
        <f t="shared" ca="1" si="203"/>
        <v>0.63734956657659492</v>
      </c>
      <c r="AO962" s="158"/>
      <c r="AP962" s="158"/>
      <c r="AQ962" s="1"/>
      <c r="AR962" s="1"/>
      <c r="AS962" s="1"/>
      <c r="AT962" s="1"/>
      <c r="AU962" s="1"/>
      <c r="BC962" s="23"/>
      <c r="BD962" s="23"/>
    </row>
    <row r="963" spans="34:56">
      <c r="AH963" s="6">
        <f t="shared" si="204"/>
        <v>933</v>
      </c>
      <c r="AI963" s="7">
        <f t="shared" ca="1" si="205"/>
        <v>43603</v>
      </c>
      <c r="AJ963" s="210">
        <f t="shared" ca="1" si="206"/>
        <v>3.9930327868852462</v>
      </c>
      <c r="AK963" s="8">
        <f t="shared" ca="1" si="207"/>
        <v>1.0001109175774134</v>
      </c>
      <c r="AL963" s="98">
        <f t="shared" ca="1" si="208"/>
        <v>3.6779878959923407</v>
      </c>
      <c r="AM963" s="106">
        <f t="shared" ca="1" si="202"/>
        <v>28329.977244235506</v>
      </c>
      <c r="AN963" s="10">
        <f t="shared" ca="1" si="203"/>
        <v>0.63789150755924062</v>
      </c>
      <c r="AO963" s="158"/>
      <c r="AP963" s="158"/>
      <c r="AQ963" s="1"/>
      <c r="AR963" s="1"/>
      <c r="AS963" s="1"/>
      <c r="AT963" s="1"/>
      <c r="AU963" s="1"/>
      <c r="BC963" s="23"/>
      <c r="BD963" s="23"/>
    </row>
    <row r="964" spans="34:56">
      <c r="AH964" s="6">
        <f t="shared" si="204"/>
        <v>934</v>
      </c>
      <c r="AI964" s="7">
        <f t="shared" ca="1" si="205"/>
        <v>43604</v>
      </c>
      <c r="AJ964" s="210">
        <f t="shared" ca="1" si="206"/>
        <v>3.9935792349726782</v>
      </c>
      <c r="AK964" s="8">
        <f t="shared" ca="1" si="207"/>
        <v>1.000110932756527</v>
      </c>
      <c r="AL964" s="98">
        <f t="shared" ca="1" si="208"/>
        <v>3.6784728271464839</v>
      </c>
      <c r="AM964" s="106">
        <f t="shared" ca="1" si="202"/>
        <v>28332.236368730693</v>
      </c>
      <c r="AN964" s="10">
        <f t="shared" ca="1" si="203"/>
        <v>0.63843288788667518</v>
      </c>
      <c r="AO964" s="158"/>
      <c r="AP964" s="158"/>
      <c r="AQ964" s="1"/>
      <c r="AR964" s="1"/>
      <c r="AS964" s="1"/>
      <c r="AT964" s="1"/>
      <c r="AU964" s="1"/>
      <c r="BC964" s="23"/>
      <c r="BD964" s="23"/>
    </row>
    <row r="965" spans="34:56">
      <c r="AH965" s="6">
        <f t="shared" si="204"/>
        <v>935</v>
      </c>
      <c r="AI965" s="7">
        <f t="shared" ca="1" si="205"/>
        <v>43605</v>
      </c>
      <c r="AJ965" s="210">
        <f t="shared" ca="1" si="206"/>
        <v>3.9941256830601097</v>
      </c>
      <c r="AK965" s="8">
        <f t="shared" ca="1" si="207"/>
        <v>1.0001109479356405</v>
      </c>
      <c r="AL965" s="98">
        <f t="shared" ca="1" si="208"/>
        <v>3.6789573375608953</v>
      </c>
      <c r="AM965" s="106">
        <f t="shared" ca="1" si="202"/>
        <v>28334.495673375815</v>
      </c>
      <c r="AN965" s="10">
        <f t="shared" ca="1" si="203"/>
        <v>0.63897370935808162</v>
      </c>
      <c r="AO965" s="158"/>
      <c r="AP965" s="158"/>
      <c r="AQ965" s="1"/>
      <c r="AR965" s="1"/>
      <c r="AS965" s="1"/>
      <c r="AT965" s="1"/>
      <c r="AU965" s="1"/>
      <c r="BC965" s="23"/>
      <c r="BD965" s="23"/>
    </row>
    <row r="966" spans="34:56">
      <c r="AH966" s="6">
        <f t="shared" si="204"/>
        <v>936</v>
      </c>
      <c r="AI966" s="7">
        <f t="shared" ca="1" si="205"/>
        <v>43606</v>
      </c>
      <c r="AJ966" s="210">
        <f t="shared" ca="1" si="206"/>
        <v>3.9946721311475413</v>
      </c>
      <c r="AK966" s="8">
        <f t="shared" ca="1" si="207"/>
        <v>1.000110963114754</v>
      </c>
      <c r="AL966" s="98">
        <f t="shared" ca="1" si="208"/>
        <v>3.6794414285854504</v>
      </c>
      <c r="AM966" s="106">
        <f t="shared" ca="1" si="202"/>
        <v>28336.755158185239</v>
      </c>
      <c r="AN966" s="10">
        <f t="shared" ca="1" si="203"/>
        <v>0.63951397376493802</v>
      </c>
      <c r="AO966" s="158"/>
      <c r="AP966" s="158"/>
      <c r="AQ966" s="1"/>
      <c r="AR966" s="1"/>
      <c r="AS966" s="1"/>
      <c r="AT966" s="1"/>
      <c r="AU966" s="1"/>
      <c r="BC966" s="23"/>
      <c r="BD966" s="23"/>
    </row>
    <row r="967" spans="34:56">
      <c r="AH967" s="6">
        <f t="shared" si="204"/>
        <v>937</v>
      </c>
      <c r="AI967" s="7">
        <f t="shared" ca="1" si="205"/>
        <v>43607</v>
      </c>
      <c r="AJ967" s="210">
        <f t="shared" ca="1" si="206"/>
        <v>3.9952185792349733</v>
      </c>
      <c r="AK967" s="8">
        <f t="shared" ca="1" si="207"/>
        <v>1.0001109782938677</v>
      </c>
      <c r="AL967" s="98">
        <f t="shared" ca="1" si="208"/>
        <v>3.6799251015642742</v>
      </c>
      <c r="AM967" s="106">
        <f t="shared" ca="1" si="202"/>
        <v>28339.014823173322</v>
      </c>
      <c r="AN967" s="10">
        <f t="shared" ca="1" si="203"/>
        <v>0.64005368289115072</v>
      </c>
      <c r="AO967" s="158"/>
      <c r="AP967" s="158"/>
      <c r="AQ967" s="1"/>
      <c r="AR967" s="1"/>
      <c r="AS967" s="1"/>
      <c r="AT967" s="1"/>
      <c r="AU967" s="1"/>
      <c r="BC967" s="23"/>
      <c r="BD967" s="23"/>
    </row>
    <row r="968" spans="34:56">
      <c r="AH968" s="6">
        <f t="shared" si="204"/>
        <v>938</v>
      </c>
      <c r="AI968" s="7">
        <f t="shared" ca="1" si="205"/>
        <v>43608</v>
      </c>
      <c r="AJ968" s="210">
        <f t="shared" ca="1" si="206"/>
        <v>3.9957650273224048</v>
      </c>
      <c r="AK968" s="8">
        <f t="shared" ca="1" si="207"/>
        <v>1.0001109934729813</v>
      </c>
      <c r="AL968" s="98">
        <f t="shared" ca="1" si="208"/>
        <v>3.6804083578357405</v>
      </c>
      <c r="AM968" s="106">
        <f t="shared" ca="1" si="202"/>
        <v>28341.274668354439</v>
      </c>
      <c r="AN968" s="10">
        <f t="shared" ca="1" si="203"/>
        <v>0.64059283851294335</v>
      </c>
      <c r="AO968" s="158"/>
      <c r="AP968" s="158"/>
      <c r="AQ968" s="1"/>
      <c r="AR968" s="1"/>
      <c r="AS968" s="1"/>
      <c r="AT968" s="1"/>
      <c r="AU968" s="1"/>
      <c r="BC968" s="23"/>
      <c r="BD968" s="23"/>
    </row>
    <row r="969" spans="34:56">
      <c r="AH969" s="6">
        <f t="shared" si="204"/>
        <v>939</v>
      </c>
      <c r="AI969" s="7">
        <f t="shared" ca="1" si="205"/>
        <v>43609</v>
      </c>
      <c r="AJ969" s="210">
        <f t="shared" ca="1" si="206"/>
        <v>3.9963114754098363</v>
      </c>
      <c r="AK969" s="8">
        <f t="shared" ca="1" si="207"/>
        <v>1.0001110086520948</v>
      </c>
      <c r="AL969" s="98">
        <f t="shared" ca="1" si="208"/>
        <v>3.6808911987325388</v>
      </c>
      <c r="AM969" s="106">
        <f t="shared" ca="1" si="202"/>
        <v>28343.534693742957</v>
      </c>
      <c r="AN969" s="10">
        <f t="shared" ca="1" si="203"/>
        <v>0.64113144239903441</v>
      </c>
      <c r="AO969" s="158"/>
      <c r="AP969" s="158"/>
      <c r="AQ969" s="1"/>
      <c r="AR969" s="1"/>
      <c r="AS969" s="1"/>
      <c r="AT969" s="1"/>
      <c r="AU969" s="1"/>
      <c r="BC969" s="23"/>
      <c r="BD969" s="23"/>
    </row>
    <row r="970" spans="34:56">
      <c r="AH970" s="6">
        <f t="shared" si="204"/>
        <v>940</v>
      </c>
      <c r="AI970" s="7">
        <f t="shared" ca="1" si="205"/>
        <v>43610</v>
      </c>
      <c r="AJ970" s="210">
        <f t="shared" ca="1" si="206"/>
        <v>3.9968579234972683</v>
      </c>
      <c r="AK970" s="8">
        <f t="shared" ca="1" si="207"/>
        <v>1.0001110238312083</v>
      </c>
      <c r="AL970" s="98">
        <f t="shared" ca="1" si="208"/>
        <v>3.6813736255816965</v>
      </c>
      <c r="AM970" s="106">
        <f t="shared" ca="1" si="202"/>
        <v>28345.794899353252</v>
      </c>
      <c r="AN970" s="10">
        <f t="shared" ca="1" si="203"/>
        <v>0.64166949631059289</v>
      </c>
      <c r="AO970" s="158"/>
      <c r="AP970" s="158"/>
      <c r="AQ970" s="1"/>
      <c r="AR970" s="1"/>
      <c r="AS970" s="1"/>
      <c r="AT970" s="1"/>
      <c r="AU970" s="1"/>
      <c r="BC970" s="23"/>
      <c r="BD970" s="23"/>
    </row>
    <row r="971" spans="34:56">
      <c r="AH971" s="6">
        <f t="shared" si="204"/>
        <v>941</v>
      </c>
      <c r="AI971" s="7">
        <f t="shared" ca="1" si="205"/>
        <v>43611</v>
      </c>
      <c r="AJ971" s="210">
        <f t="shared" ca="1" si="206"/>
        <v>3.9974043715846999</v>
      </c>
      <c r="AK971" s="8">
        <f t="shared" ca="1" si="207"/>
        <v>1.0001110390103218</v>
      </c>
      <c r="AL971" s="98">
        <f t="shared" ca="1" si="208"/>
        <v>3.6818556397046009</v>
      </c>
      <c r="AM971" s="106">
        <f t="shared" ca="1" si="202"/>
        <v>28348.055285199684</v>
      </c>
      <c r="AN971" s="10">
        <f t="shared" ca="1" si="203"/>
        <v>0.64220700200134928</v>
      </c>
      <c r="AO971" s="158"/>
      <c r="AP971" s="158"/>
      <c r="AQ971" s="1"/>
      <c r="AR971" s="1"/>
      <c r="AS971" s="1"/>
      <c r="AT971" s="1"/>
      <c r="AU971" s="1"/>
      <c r="BC971" s="23"/>
      <c r="BD971" s="23"/>
    </row>
    <row r="972" spans="34:56">
      <c r="AH972" s="6">
        <f t="shared" si="204"/>
        <v>942</v>
      </c>
      <c r="AI972" s="7">
        <f t="shared" ca="1" si="205"/>
        <v>43612</v>
      </c>
      <c r="AJ972" s="210">
        <f t="shared" ca="1" si="206"/>
        <v>3.9979508196721314</v>
      </c>
      <c r="AK972" s="8">
        <f t="shared" ca="1" si="207"/>
        <v>1.0001110541894354</v>
      </c>
      <c r="AL972" s="98">
        <f t="shared" ca="1" si="208"/>
        <v>3.6823372424170442</v>
      </c>
      <c r="AM972" s="106">
        <f t="shared" ca="1" si="202"/>
        <v>28350.31585129664</v>
      </c>
      <c r="AN972" s="10">
        <f t="shared" ca="1" si="203"/>
        <v>0.64274396121757338</v>
      </c>
      <c r="AO972" s="158"/>
      <c r="AP972" s="158"/>
      <c r="AQ972" s="1"/>
      <c r="AR972" s="1"/>
      <c r="AS972" s="1"/>
      <c r="AT972" s="1"/>
      <c r="AU972" s="1"/>
      <c r="BC972" s="23"/>
      <c r="BD972" s="23"/>
    </row>
    <row r="973" spans="34:56">
      <c r="AH973" s="6">
        <f t="shared" si="204"/>
        <v>943</v>
      </c>
      <c r="AI973" s="7">
        <f t="shared" ca="1" si="205"/>
        <v>43613</v>
      </c>
      <c r="AJ973" s="210">
        <f t="shared" ca="1" si="206"/>
        <v>3.9984972677595634</v>
      </c>
      <c r="AK973" s="8">
        <f t="shared" ca="1" si="207"/>
        <v>1.0001110693685489</v>
      </c>
      <c r="AL973" s="98">
        <f t="shared" ca="1" si="208"/>
        <v>3.6828184350292226</v>
      </c>
      <c r="AM973" s="106">
        <f t="shared" ca="1" si="202"/>
        <v>28352.576597658481</v>
      </c>
      <c r="AN973" s="10">
        <f t="shared" ca="1" si="203"/>
        <v>0.64328037569811869</v>
      </c>
      <c r="AO973" s="158"/>
      <c r="AP973" s="158"/>
      <c r="AQ973" s="1"/>
      <c r="AR973" s="1"/>
      <c r="AS973" s="1"/>
      <c r="AT973" s="1"/>
      <c r="AU973" s="1"/>
      <c r="BC973" s="23"/>
      <c r="BD973" s="23"/>
    </row>
    <row r="974" spans="34:56">
      <c r="AH974" s="6">
        <f t="shared" si="204"/>
        <v>944</v>
      </c>
      <c r="AI974" s="7">
        <f t="shared" ca="1" si="205"/>
        <v>43614</v>
      </c>
      <c r="AJ974" s="210">
        <f t="shared" ca="1" si="206"/>
        <v>3.9990437158469949</v>
      </c>
      <c r="AK974" s="8">
        <f t="shared" ca="1" si="207"/>
        <v>1.0001110845476624</v>
      </c>
      <c r="AL974" s="98">
        <f t="shared" ca="1" si="208"/>
        <v>3.6832992188458036</v>
      </c>
      <c r="AM974" s="106">
        <f t="shared" ca="1" si="202"/>
        <v>28354.83752429959</v>
      </c>
      <c r="AN974" s="10">
        <f t="shared" ca="1" si="203"/>
        <v>0.64381624717453345</v>
      </c>
      <c r="AO974" s="158"/>
      <c r="AP974" s="158"/>
      <c r="AQ974" s="1"/>
      <c r="AR974" s="1"/>
      <c r="AS974" s="1"/>
      <c r="AT974" s="1"/>
      <c r="AU974" s="1"/>
      <c r="BC974" s="23"/>
      <c r="BD974" s="23"/>
    </row>
    <row r="975" spans="34:56">
      <c r="AH975" s="6">
        <f t="shared" si="204"/>
        <v>945</v>
      </c>
      <c r="AI975" s="7">
        <f t="shared" ca="1" si="205"/>
        <v>43615</v>
      </c>
      <c r="AJ975" s="210">
        <f t="shared" ca="1" si="206"/>
        <v>3.9995901639344265</v>
      </c>
      <c r="AK975" s="8">
        <f t="shared" ca="1" si="207"/>
        <v>1.0001110997267759</v>
      </c>
      <c r="AL975" s="98">
        <f t="shared" ca="1" si="208"/>
        <v>3.6837795951659258</v>
      </c>
      <c r="AM975" s="106">
        <f t="shared" ca="1" si="202"/>
        <v>28357.098631234341</v>
      </c>
      <c r="AN975" s="10">
        <f t="shared" ca="1" si="203"/>
        <v>0.64435157737101623</v>
      </c>
      <c r="AO975" s="158"/>
      <c r="AP975" s="158"/>
      <c r="AQ975" s="1"/>
      <c r="AR975" s="1"/>
      <c r="AS975" s="1"/>
      <c r="AT975" s="1"/>
      <c r="AU975" s="1"/>
      <c r="BC975" s="23"/>
      <c r="BD975" s="23"/>
    </row>
    <row r="976" spans="34:56">
      <c r="AH976" s="6">
        <f t="shared" si="204"/>
        <v>946</v>
      </c>
      <c r="AI976" s="7">
        <f t="shared" ca="1" si="205"/>
        <v>43616</v>
      </c>
      <c r="AJ976" s="210">
        <f t="shared" ca="1" si="206"/>
        <v>4.0001366120218584</v>
      </c>
      <c r="AK976" s="8">
        <f t="shared" ca="1" si="207"/>
        <v>1.0001111149058894</v>
      </c>
      <c r="AL976" s="98">
        <f t="shared" ca="1" si="208"/>
        <v>3.6842595652832433</v>
      </c>
      <c r="AM976" s="106">
        <f t="shared" ca="1" si="202"/>
        <v>28359.359918477108</v>
      </c>
      <c r="AN976" s="10">
        <f t="shared" ca="1" si="203"/>
        <v>0.6448863680044381</v>
      </c>
      <c r="AO976" s="158"/>
      <c r="AP976" s="158"/>
      <c r="AQ976" s="1"/>
      <c r="AR976" s="1"/>
      <c r="AS976" s="1"/>
      <c r="AT976" s="1"/>
      <c r="AU976" s="1"/>
      <c r="BC976" s="23"/>
      <c r="BD976" s="23"/>
    </row>
    <row r="977" spans="34:56">
      <c r="AH977" s="6">
        <f t="shared" si="204"/>
        <v>947</v>
      </c>
      <c r="AI977" s="7">
        <f t="shared" ca="1" si="205"/>
        <v>43617</v>
      </c>
      <c r="AJ977" s="210">
        <f t="shared" ca="1" si="206"/>
        <v>4.0006830601092904</v>
      </c>
      <c r="AK977" s="8">
        <f t="shared" ca="1" si="207"/>
        <v>1.000111130085003</v>
      </c>
      <c r="AL977" s="98">
        <f t="shared" ca="1" si="208"/>
        <v>3.68473913048597</v>
      </c>
      <c r="AM977" s="106">
        <f t="shared" ca="1" si="202"/>
        <v>28361.621386042276</v>
      </c>
      <c r="AN977" s="10">
        <f t="shared" ca="1" si="203"/>
        <v>0.64542062078449813</v>
      </c>
      <c r="AO977" s="158"/>
      <c r="AP977" s="158"/>
      <c r="AQ977" s="1"/>
      <c r="AR977" s="1"/>
      <c r="AS977" s="1"/>
      <c r="AT977" s="1"/>
      <c r="AU977" s="1"/>
      <c r="BC977" s="23"/>
      <c r="BD977" s="23"/>
    </row>
    <row r="978" spans="34:56">
      <c r="AH978" s="6">
        <f t="shared" si="204"/>
        <v>948</v>
      </c>
      <c r="AI978" s="7">
        <f t="shared" ca="1" si="205"/>
        <v>43618</v>
      </c>
      <c r="AJ978" s="210">
        <f t="shared" ca="1" si="206"/>
        <v>4.0012295081967215</v>
      </c>
      <c r="AK978" s="8">
        <f t="shared" ca="1" si="207"/>
        <v>1.0001111452641165</v>
      </c>
      <c r="AL978" s="98">
        <f t="shared" ca="1" si="208"/>
        <v>3.6852182920568355</v>
      </c>
      <c r="AM978" s="106">
        <f t="shared" ca="1" si="202"/>
        <v>28363.883033944214</v>
      </c>
      <c r="AN978" s="10">
        <f t="shared" ca="1" si="203"/>
        <v>0.64595433741365671</v>
      </c>
      <c r="AO978" s="158"/>
      <c r="AP978" s="158"/>
      <c r="AQ978" s="1"/>
      <c r="AR978" s="1"/>
      <c r="AS978" s="1"/>
      <c r="AT978" s="1"/>
      <c r="AU978" s="1"/>
      <c r="BC978" s="23"/>
      <c r="BD978" s="23"/>
    </row>
    <row r="979" spans="34:56">
      <c r="AH979" s="6">
        <f t="shared" si="204"/>
        <v>949</v>
      </c>
      <c r="AI979" s="7">
        <f t="shared" ca="1" si="205"/>
        <v>43619</v>
      </c>
      <c r="AJ979" s="210">
        <f t="shared" ca="1" si="206"/>
        <v>4.0017759562841535</v>
      </c>
      <c r="AK979" s="8">
        <f t="shared" ca="1" si="207"/>
        <v>1.00011116044323</v>
      </c>
      <c r="AL979" s="98">
        <f t="shared" ca="1" si="208"/>
        <v>3.6856970512732179</v>
      </c>
      <c r="AM979" s="106">
        <f t="shared" ca="1" si="202"/>
        <v>28366.144862197318</v>
      </c>
      <c r="AN979" s="10">
        <f t="shared" ca="1" si="203"/>
        <v>0.64648751958720219</v>
      </c>
      <c r="AO979" s="158"/>
      <c r="AP979" s="158"/>
      <c r="AQ979" s="1"/>
      <c r="AR979" s="1"/>
      <c r="AS979" s="1"/>
      <c r="AT979" s="1"/>
      <c r="AU979" s="1"/>
      <c r="BC979" s="23"/>
      <c r="BD979" s="23"/>
    </row>
    <row r="980" spans="34:56">
      <c r="AH980" s="6">
        <f t="shared" si="204"/>
        <v>950</v>
      </c>
      <c r="AI980" s="7">
        <f t="shared" ca="1" si="205"/>
        <v>43620</v>
      </c>
      <c r="AJ980" s="210">
        <f t="shared" ca="1" si="206"/>
        <v>4.0023224043715855</v>
      </c>
      <c r="AK980" s="8">
        <f t="shared" ca="1" si="207"/>
        <v>1.0001111756223438</v>
      </c>
      <c r="AL980" s="98">
        <f t="shared" ca="1" si="208"/>
        <v>3.686175409407122</v>
      </c>
      <c r="AM980" s="106">
        <f t="shared" ca="1" si="202"/>
        <v>28368.406870815954</v>
      </c>
      <c r="AN980" s="10">
        <f t="shared" ca="1" si="203"/>
        <v>0.64702016899333969</v>
      </c>
      <c r="AO980" s="158"/>
      <c r="AP980" s="158"/>
      <c r="AQ980" s="1"/>
      <c r="AR980" s="1"/>
      <c r="AS980" s="1"/>
      <c r="AT980" s="1"/>
      <c r="AU980" s="1"/>
      <c r="BC980" s="23"/>
      <c r="BD980" s="23"/>
    </row>
    <row r="981" spans="34:56">
      <c r="AH981" s="6">
        <f t="shared" si="204"/>
        <v>951</v>
      </c>
      <c r="AI981" s="7">
        <f t="shared" ca="1" si="205"/>
        <v>43621</v>
      </c>
      <c r="AJ981" s="210">
        <f t="shared" ca="1" si="206"/>
        <v>4.0028688524590166</v>
      </c>
      <c r="AK981" s="8">
        <f t="shared" ca="1" si="207"/>
        <v>1.0001111908014573</v>
      </c>
      <c r="AL981" s="98">
        <f t="shared" ca="1" si="208"/>
        <v>3.6866533677251789</v>
      </c>
      <c r="AM981" s="106">
        <f t="shared" ca="1" si="202"/>
        <v>28370.669059814518</v>
      </c>
      <c r="AN981" s="10">
        <f t="shared" ca="1" si="203"/>
        <v>0.64755228731310233</v>
      </c>
      <c r="AO981" s="158"/>
      <c r="AP981" s="158"/>
      <c r="AQ981" s="1"/>
      <c r="AR981" s="1"/>
      <c r="AS981" s="1"/>
      <c r="AT981" s="1"/>
      <c r="AU981" s="1"/>
      <c r="BC981" s="23"/>
      <c r="BD981" s="23"/>
    </row>
    <row r="982" spans="34:56">
      <c r="AH982" s="6">
        <f t="shared" si="204"/>
        <v>952</v>
      </c>
      <c r="AI982" s="7">
        <f t="shared" ca="1" si="205"/>
        <v>43622</v>
      </c>
      <c r="AJ982" s="210">
        <f t="shared" ca="1" si="206"/>
        <v>4.0034153005464486</v>
      </c>
      <c r="AK982" s="8">
        <f t="shared" ca="1" si="207"/>
        <v>1.0001112059805708</v>
      </c>
      <c r="AL982" s="98">
        <f t="shared" ca="1" si="208"/>
        <v>3.6871309274887132</v>
      </c>
      <c r="AM982" s="106">
        <f t="shared" ca="1" si="202"/>
        <v>28372.931429207376</v>
      </c>
      <c r="AN982" s="10">
        <f t="shared" ca="1" si="203"/>
        <v>0.64808387622055097</v>
      </c>
      <c r="AO982" s="158"/>
      <c r="AP982" s="158"/>
      <c r="AQ982" s="1"/>
      <c r="AR982" s="1"/>
      <c r="AS982" s="1"/>
      <c r="AT982" s="1"/>
      <c r="AU982" s="1"/>
      <c r="BC982" s="23"/>
      <c r="BD982" s="23"/>
    </row>
    <row r="983" spans="34:56">
      <c r="AH983" s="6">
        <f t="shared" si="204"/>
        <v>953</v>
      </c>
      <c r="AI983" s="7">
        <f t="shared" ca="1" si="205"/>
        <v>43623</v>
      </c>
      <c r="AJ983" s="210">
        <f t="shared" ca="1" si="206"/>
        <v>4.0039617486338805</v>
      </c>
      <c r="AK983" s="8">
        <f t="shared" ca="1" si="207"/>
        <v>1.0001112211596843</v>
      </c>
      <c r="AL983" s="98">
        <f t="shared" ca="1" si="208"/>
        <v>3.6876080899537644</v>
      </c>
      <c r="AM983" s="106">
        <f t="shared" ca="1" si="202"/>
        <v>28375.193979008935</v>
      </c>
      <c r="AN983" s="10">
        <f t="shared" ca="1" si="203"/>
        <v>0.64861493738266329</v>
      </c>
      <c r="AO983" s="158"/>
      <c r="AP983" s="158"/>
      <c r="AQ983" s="1"/>
      <c r="AR983" s="1"/>
      <c r="AS983" s="1"/>
      <c r="AT983" s="1"/>
      <c r="AU983" s="1"/>
      <c r="BC983" s="23"/>
      <c r="BD983" s="23"/>
    </row>
    <row r="984" spans="34:56">
      <c r="AH984" s="6">
        <f t="shared" si="204"/>
        <v>954</v>
      </c>
      <c r="AI984" s="7">
        <f t="shared" ca="1" si="205"/>
        <v>43624</v>
      </c>
      <c r="AJ984" s="210">
        <f t="shared" ca="1" si="206"/>
        <v>4.0045081967213116</v>
      </c>
      <c r="AK984" s="8">
        <f t="shared" ca="1" si="207"/>
        <v>1.0001112363387978</v>
      </c>
      <c r="AL984" s="98">
        <f t="shared" ca="1" si="208"/>
        <v>3.6880848563710877</v>
      </c>
      <c r="AM984" s="106">
        <f t="shared" ca="1" si="202"/>
        <v>28377.456709233571</v>
      </c>
      <c r="AN984" s="10">
        <f t="shared" ca="1" si="203"/>
        <v>0.64914547245942256</v>
      </c>
      <c r="AO984" s="158"/>
      <c r="AP984" s="158"/>
      <c r="AQ984" s="1"/>
      <c r="AR984" s="1"/>
      <c r="AS984" s="1"/>
      <c r="AT984" s="1"/>
      <c r="AU984" s="1"/>
      <c r="BC984" s="23"/>
      <c r="BD984" s="23"/>
    </row>
    <row r="985" spans="34:56">
      <c r="AH985" s="6">
        <f t="shared" si="204"/>
        <v>955</v>
      </c>
      <c r="AI985" s="7">
        <f t="shared" ca="1" si="205"/>
        <v>43625</v>
      </c>
      <c r="AJ985" s="210">
        <f t="shared" ca="1" si="206"/>
        <v>4.0050546448087436</v>
      </c>
      <c r="AK985" s="8">
        <f t="shared" ca="1" si="207"/>
        <v>1.0001112515179114</v>
      </c>
      <c r="AL985" s="98">
        <f t="shared" ca="1" si="208"/>
        <v>3.6885612279862423</v>
      </c>
      <c r="AM985" s="106">
        <f t="shared" ca="1" si="202"/>
        <v>28379.719619895666</v>
      </c>
      <c r="AN985" s="10">
        <f t="shared" ca="1" si="203"/>
        <v>0.64967548310399525</v>
      </c>
      <c r="AO985" s="158"/>
      <c r="AP985" s="158"/>
      <c r="AQ985" s="1"/>
      <c r="AR985" s="1"/>
      <c r="AS985" s="1"/>
      <c r="AT985" s="1"/>
      <c r="AU985" s="1"/>
      <c r="BC985" s="23"/>
      <c r="BD985" s="23"/>
    </row>
    <row r="986" spans="34:56">
      <c r="AH986" s="6">
        <f t="shared" si="204"/>
        <v>956</v>
      </c>
      <c r="AI986" s="7">
        <f t="shared" ca="1" si="205"/>
        <v>43626</v>
      </c>
      <c r="AJ986" s="210">
        <f t="shared" ca="1" si="206"/>
        <v>4.0056010928961756</v>
      </c>
      <c r="AK986" s="8">
        <f t="shared" ca="1" si="207"/>
        <v>1.0001112666970249</v>
      </c>
      <c r="AL986" s="98">
        <f t="shared" ca="1" si="208"/>
        <v>3.6890372060395693</v>
      </c>
      <c r="AM986" s="106">
        <f t="shared" ca="1" si="202"/>
        <v>28382.058150488032</v>
      </c>
      <c r="AN986" s="10">
        <f t="shared" ca="1" si="203"/>
        <v>0.65010282886210913</v>
      </c>
      <c r="AO986" s="158"/>
      <c r="AP986" s="158"/>
      <c r="AQ986" s="1"/>
      <c r="AR986" s="1"/>
      <c r="AS986" s="1"/>
      <c r="AT986" s="1"/>
      <c r="AU986" s="1"/>
      <c r="BC986" s="23"/>
      <c r="BD986" s="23"/>
    </row>
    <row r="987" spans="34:56">
      <c r="AH987" s="6">
        <f t="shared" si="204"/>
        <v>957</v>
      </c>
      <c r="AI987" s="7">
        <f t="shared" ca="1" si="205"/>
        <v>43627</v>
      </c>
      <c r="AJ987" s="210">
        <f t="shared" ca="1" si="206"/>
        <v>4.0061475409836067</v>
      </c>
      <c r="AK987" s="8">
        <f t="shared" ca="1" si="207"/>
        <v>1.0001112818761384</v>
      </c>
      <c r="AL987" s="98">
        <f t="shared" ca="1" si="208"/>
        <v>3.6895127917662141</v>
      </c>
      <c r="AM987" s="106">
        <f t="shared" ca="1" si="202"/>
        <v>28384.396873778762</v>
      </c>
      <c r="AN987" s="10">
        <f t="shared" ca="1" si="203"/>
        <v>0.65052986596738638</v>
      </c>
      <c r="AO987" s="158"/>
      <c r="AP987" s="158"/>
      <c r="AQ987" s="1"/>
      <c r="AR987" s="1"/>
      <c r="AS987" s="1"/>
      <c r="AT987" s="1"/>
      <c r="AU987" s="1"/>
      <c r="BC987" s="23"/>
      <c r="BD987" s="23"/>
    </row>
    <row r="988" spans="34:56">
      <c r="AH988" s="6">
        <f t="shared" si="204"/>
        <v>958</v>
      </c>
      <c r="AI988" s="7">
        <f t="shared" ca="1" si="205"/>
        <v>43628</v>
      </c>
      <c r="AJ988" s="210">
        <f t="shared" ca="1" si="206"/>
        <v>4.0066939890710387</v>
      </c>
      <c r="AK988" s="8">
        <f t="shared" ca="1" si="207"/>
        <v>1.0001112970552519</v>
      </c>
      <c r="AL988" s="98">
        <f t="shared" ca="1" si="208"/>
        <v>3.6899879863961482</v>
      </c>
      <c r="AM988" s="106">
        <f t="shared" ca="1" si="202"/>
        <v>28386.735789783717</v>
      </c>
      <c r="AN988" s="10">
        <f t="shared" ca="1" si="203"/>
        <v>0.65095659538814132</v>
      </c>
      <c r="AO988" s="158"/>
      <c r="AP988" s="158"/>
      <c r="AQ988" s="1"/>
      <c r="AR988" s="1"/>
      <c r="AS988" s="1"/>
      <c r="AT988" s="1"/>
      <c r="AU988" s="1"/>
      <c r="BC988" s="23"/>
      <c r="BD988" s="23"/>
    </row>
    <row r="989" spans="34:56">
      <c r="AH989" s="6">
        <f t="shared" si="204"/>
        <v>959</v>
      </c>
      <c r="AI989" s="7">
        <f t="shared" ca="1" si="205"/>
        <v>43629</v>
      </c>
      <c r="AJ989" s="210">
        <f t="shared" ca="1" si="206"/>
        <v>4.0072404371584707</v>
      </c>
      <c r="AK989" s="8">
        <f t="shared" ca="1" si="207"/>
        <v>1.0001113122343654</v>
      </c>
      <c r="AL989" s="98">
        <f t="shared" ca="1" si="208"/>
        <v>3.6904627911542809</v>
      </c>
      <c r="AM989" s="106">
        <f t="shared" ca="1" si="202"/>
        <v>28389.074898518793</v>
      </c>
      <c r="AN989" s="10">
        <f t="shared" ca="1" si="203"/>
        <v>0.65138301808862487</v>
      </c>
      <c r="AO989" s="158"/>
      <c r="AP989" s="158"/>
      <c r="AQ989" s="1"/>
      <c r="AR989" s="1"/>
      <c r="AS989" s="1"/>
      <c r="AT989" s="1"/>
      <c r="AU989" s="1"/>
      <c r="BC989" s="23"/>
      <c r="BD989" s="23"/>
    </row>
    <row r="990" spans="34:56">
      <c r="AH990" s="6">
        <f t="shared" si="204"/>
        <v>960</v>
      </c>
      <c r="AI990" s="7">
        <f t="shared" ca="1" si="205"/>
        <v>43630</v>
      </c>
      <c r="AJ990" s="210">
        <f t="shared" ca="1" si="206"/>
        <v>4.0077868852459018</v>
      </c>
      <c r="AK990" s="8">
        <f t="shared" ca="1" si="207"/>
        <v>1.000111327413479</v>
      </c>
      <c r="AL990" s="98">
        <f t="shared" ca="1" si="208"/>
        <v>3.6909372072603919</v>
      </c>
      <c r="AM990" s="106">
        <f t="shared" ca="1" si="202"/>
        <v>28391.414199999865</v>
      </c>
      <c r="AN990" s="10">
        <f t="shared" ca="1" si="203"/>
        <v>0.6518091350290911</v>
      </c>
      <c r="AO990" s="158"/>
      <c r="AP990" s="158"/>
      <c r="AQ990" s="1"/>
      <c r="AR990" s="1"/>
      <c r="AS990" s="1"/>
      <c r="AT990" s="1"/>
      <c r="AU990" s="1"/>
      <c r="BC990" s="23"/>
      <c r="BD990" s="23"/>
    </row>
    <row r="991" spans="34:56">
      <c r="AH991" s="6">
        <f t="shared" si="204"/>
        <v>961</v>
      </c>
      <c r="AI991" s="7">
        <f t="shared" ca="1" si="205"/>
        <v>43631</v>
      </c>
      <c r="AJ991" s="210">
        <f t="shared" ca="1" si="206"/>
        <v>4.0083333333333337</v>
      </c>
      <c r="AK991" s="8">
        <f t="shared" ca="1" si="207"/>
        <v>1.0001113425925925</v>
      </c>
      <c r="AL991" s="98">
        <f t="shared" ca="1" si="208"/>
        <v>3.691411235929154</v>
      </c>
      <c r="AM991" s="106">
        <f t="shared" ref="AM991:AM1054" ca="1" si="209">Geom_Interp(AI991,$AZ$2:$AZ$109,$BA$2:$BA$109)</f>
        <v>28393.753694242809</v>
      </c>
      <c r="AN991" s="10">
        <f t="shared" ref="AN991:AN1054" ca="1" si="210">100*(((1+AL991/100)^(AH991/365)*$AM$29/AM991)^(365/AH991)-1)</f>
        <v>0.65223494716573072</v>
      </c>
      <c r="AO991" s="158"/>
      <c r="AP991" s="158"/>
      <c r="AQ991" s="1"/>
      <c r="AR991" s="1"/>
      <c r="AS991" s="1"/>
      <c r="AT991" s="1"/>
      <c r="AU991" s="1"/>
      <c r="BC991" s="23"/>
      <c r="BD991" s="23"/>
    </row>
    <row r="992" spans="34:56">
      <c r="AH992" s="6">
        <f t="shared" ref="AH992:AH1055" si="211">$AI$29+AH991</f>
        <v>962</v>
      </c>
      <c r="AI992" s="7">
        <f t="shared" ref="AI992:AI1055" ca="1" si="212">+AH992+$C$1</f>
        <v>43632</v>
      </c>
      <c r="AJ992" s="210">
        <f t="shared" ref="AJ992:AJ1055" ca="1" si="213">IF(AH992&lt;365,VLOOKUP(LOOKUP(AI992,$AI$2:$AI$23),$AI$2:$AK$23,3,0),Lin_Interp(AH992,$AJ$2:$AJ$23,$AK$2:$AK$23))</f>
        <v>4.0088797814207657</v>
      </c>
      <c r="AK992" s="8">
        <f t="shared" ca="1" si="207"/>
        <v>1.0001113577717062</v>
      </c>
      <c r="AL992" s="98">
        <f t="shared" ca="1" si="208"/>
        <v>3.6918848783702662</v>
      </c>
      <c r="AM992" s="106">
        <f t="shared" ca="1" si="209"/>
        <v>28396.093381263527</v>
      </c>
      <c r="AN992" s="10">
        <f t="shared" ca="1" si="210"/>
        <v>0.65266045545084861</v>
      </c>
      <c r="AO992" s="158"/>
      <c r="AP992" s="158"/>
      <c r="AQ992" s="1"/>
      <c r="AR992" s="1"/>
      <c r="AS992" s="1"/>
      <c r="AT992" s="1"/>
      <c r="AU992" s="1"/>
      <c r="BC992" s="23"/>
      <c r="BD992" s="23"/>
    </row>
    <row r="993" spans="34:56">
      <c r="AH993" s="6">
        <f t="shared" si="211"/>
        <v>963</v>
      </c>
      <c r="AI993" s="7">
        <f t="shared" ca="1" si="212"/>
        <v>43633</v>
      </c>
      <c r="AJ993" s="210">
        <f t="shared" ca="1" si="213"/>
        <v>4.0094262295081968</v>
      </c>
      <c r="AK993" s="8">
        <f t="shared" ref="AK993:AK1056" ca="1" si="214">+(1+AJ993/36000)</f>
        <v>1.0001113729508198</v>
      </c>
      <c r="AL993" s="98">
        <f t="shared" ref="AL993:AL1056" ca="1" si="215">100*(((1+AL992/100)^(AH992/365)*AK993)^(365/AH993)-1)</f>
        <v>3.6923581357883206</v>
      </c>
      <c r="AM993" s="106">
        <f t="shared" ca="1" si="209"/>
        <v>28398.433261077884</v>
      </c>
      <c r="AN993" s="10">
        <f t="shared" ca="1" si="210"/>
        <v>0.65308566083275288</v>
      </c>
      <c r="AO993" s="158"/>
      <c r="AP993" s="158"/>
      <c r="AQ993" s="1"/>
      <c r="AR993" s="1"/>
      <c r="AS993" s="1"/>
      <c r="AT993" s="1"/>
      <c r="AU993" s="1"/>
      <c r="BC993" s="23"/>
      <c r="BD993" s="23"/>
    </row>
    <row r="994" spans="34:56">
      <c r="AH994" s="6">
        <f t="shared" si="211"/>
        <v>964</v>
      </c>
      <c r="AI994" s="7">
        <f t="shared" ca="1" si="212"/>
        <v>43634</v>
      </c>
      <c r="AJ994" s="210">
        <f t="shared" ca="1" si="213"/>
        <v>4.0099726775956288</v>
      </c>
      <c r="AK994" s="8">
        <f t="shared" ca="1" si="214"/>
        <v>1.0001113881299333</v>
      </c>
      <c r="AL994" s="98">
        <f t="shared" ca="1" si="215"/>
        <v>3.6928310093830019</v>
      </c>
      <c r="AM994" s="106">
        <f t="shared" ca="1" si="209"/>
        <v>28400.773333701782</v>
      </c>
      <c r="AN994" s="10">
        <f t="shared" ca="1" si="210"/>
        <v>0.65351056425584364</v>
      </c>
      <c r="AO994" s="158"/>
      <c r="AP994" s="158"/>
      <c r="AQ994" s="1"/>
      <c r="AR994" s="1"/>
      <c r="AS994" s="1"/>
      <c r="AT994" s="1"/>
      <c r="AU994" s="1"/>
      <c r="BC994" s="23"/>
      <c r="BD994" s="23"/>
    </row>
    <row r="995" spans="34:56">
      <c r="AH995" s="6">
        <f t="shared" si="211"/>
        <v>965</v>
      </c>
      <c r="AI995" s="7">
        <f t="shared" ca="1" si="212"/>
        <v>43635</v>
      </c>
      <c r="AJ995" s="210">
        <f t="shared" ca="1" si="213"/>
        <v>4.0105191256830608</v>
      </c>
      <c r="AK995" s="8">
        <f t="shared" ca="1" si="214"/>
        <v>1.0001114033090468</v>
      </c>
      <c r="AL995" s="98">
        <f t="shared" ca="1" si="215"/>
        <v>3.6933035003489545</v>
      </c>
      <c r="AM995" s="106">
        <f t="shared" ca="1" si="209"/>
        <v>28403.1135991511</v>
      </c>
      <c r="AN995" s="10">
        <f t="shared" ca="1" si="210"/>
        <v>0.65393516666056861</v>
      </c>
      <c r="AO995" s="158"/>
      <c r="AP995" s="158"/>
      <c r="AQ995" s="1"/>
      <c r="AR995" s="1"/>
      <c r="AS995" s="1"/>
      <c r="AT995" s="1"/>
      <c r="AU995" s="1"/>
      <c r="BC995" s="23"/>
      <c r="BD995" s="23"/>
    </row>
    <row r="996" spans="34:56">
      <c r="AH996" s="6">
        <f t="shared" si="211"/>
        <v>966</v>
      </c>
      <c r="AI996" s="7">
        <f t="shared" ca="1" si="212"/>
        <v>43636</v>
      </c>
      <c r="AJ996" s="210">
        <f t="shared" ca="1" si="213"/>
        <v>4.0110655737704919</v>
      </c>
      <c r="AK996" s="8">
        <f t="shared" ca="1" si="214"/>
        <v>1.0001114184881603</v>
      </c>
      <c r="AL996" s="98">
        <f t="shared" ca="1" si="215"/>
        <v>3.6937756098759156</v>
      </c>
      <c r="AM996" s="106">
        <f t="shared" ca="1" si="209"/>
        <v>28405.454057441726</v>
      </c>
      <c r="AN996" s="10">
        <f t="shared" ca="1" si="210"/>
        <v>0.65435946898353414</v>
      </c>
      <c r="AO996" s="158"/>
      <c r="AP996" s="158"/>
      <c r="AQ996" s="1"/>
      <c r="AR996" s="1"/>
      <c r="AS996" s="1"/>
      <c r="AT996" s="1"/>
      <c r="AU996" s="1"/>
      <c r="BC996" s="23"/>
      <c r="BD996" s="23"/>
    </row>
    <row r="997" spans="34:56">
      <c r="AH997" s="6">
        <f t="shared" si="211"/>
        <v>967</v>
      </c>
      <c r="AI997" s="7">
        <f t="shared" ca="1" si="212"/>
        <v>43637</v>
      </c>
      <c r="AJ997" s="210">
        <f t="shared" ca="1" si="213"/>
        <v>4.0116120218579239</v>
      </c>
      <c r="AK997" s="8">
        <f t="shared" ca="1" si="214"/>
        <v>1.0001114336672738</v>
      </c>
      <c r="AL997" s="98">
        <f t="shared" ca="1" si="215"/>
        <v>3.694247339148693</v>
      </c>
      <c r="AM997" s="106">
        <f t="shared" ca="1" si="209"/>
        <v>28407.794708589554</v>
      </c>
      <c r="AN997" s="10">
        <f t="shared" ca="1" si="210"/>
        <v>0.65478347215741639</v>
      </c>
      <c r="AO997" s="158"/>
      <c r="AP997" s="158"/>
      <c r="AQ997" s="1"/>
      <c r="AR997" s="1"/>
      <c r="AS997" s="1"/>
      <c r="AT997" s="1"/>
      <c r="AU997" s="1"/>
      <c r="BC997" s="23"/>
      <c r="BD997" s="23"/>
    </row>
    <row r="998" spans="34:56">
      <c r="AH998" s="6">
        <f t="shared" si="211"/>
        <v>968</v>
      </c>
      <c r="AI998" s="7">
        <f t="shared" ca="1" si="212"/>
        <v>43638</v>
      </c>
      <c r="AJ998" s="210">
        <f t="shared" ca="1" si="213"/>
        <v>4.0121584699453559</v>
      </c>
      <c r="AK998" s="8">
        <f t="shared" ca="1" si="214"/>
        <v>1.0001114488463874</v>
      </c>
      <c r="AL998" s="98">
        <f t="shared" ca="1" si="215"/>
        <v>3.6947186893472095</v>
      </c>
      <c r="AM998" s="106">
        <f t="shared" ca="1" si="209"/>
        <v>28410.135552610478</v>
      </c>
      <c r="AN998" s="10">
        <f t="shared" ca="1" si="210"/>
        <v>0.65520717711109455</v>
      </c>
      <c r="AO998" s="158"/>
      <c r="AP998" s="158"/>
      <c r="AQ998" s="1"/>
      <c r="AR998" s="1"/>
      <c r="AS998" s="1"/>
      <c r="AT998" s="1"/>
      <c r="AU998" s="1"/>
      <c r="BC998" s="23"/>
      <c r="BD998" s="23"/>
    </row>
    <row r="999" spans="34:56">
      <c r="AH999" s="6">
        <f t="shared" si="211"/>
        <v>969</v>
      </c>
      <c r="AI999" s="7">
        <f t="shared" ca="1" si="212"/>
        <v>43639</v>
      </c>
      <c r="AJ999" s="210">
        <f t="shared" ca="1" si="213"/>
        <v>4.0127049180327869</v>
      </c>
      <c r="AK999" s="8">
        <f t="shared" ca="1" si="214"/>
        <v>1.0001114640255009</v>
      </c>
      <c r="AL999" s="98">
        <f t="shared" ca="1" si="215"/>
        <v>3.6951896616465474</v>
      </c>
      <c r="AM999" s="106">
        <f t="shared" ca="1" si="209"/>
        <v>28412.476589520389</v>
      </c>
      <c r="AN999" s="10">
        <f t="shared" ca="1" si="210"/>
        <v>0.65563058476958425</v>
      </c>
      <c r="AO999" s="158"/>
      <c r="AP999" s="158"/>
      <c r="AQ999" s="1"/>
      <c r="AR999" s="1"/>
      <c r="AS999" s="1"/>
      <c r="AT999" s="1"/>
      <c r="AU999" s="1"/>
      <c r="BC999" s="23"/>
      <c r="BD999" s="23"/>
    </row>
    <row r="1000" spans="34:56">
      <c r="AH1000" s="6">
        <f t="shared" si="211"/>
        <v>970</v>
      </c>
      <c r="AI1000" s="7">
        <f t="shared" ca="1" si="212"/>
        <v>43640</v>
      </c>
      <c r="AJ1000" s="210">
        <f t="shared" ca="1" si="213"/>
        <v>4.0132513661202189</v>
      </c>
      <c r="AK1000" s="8">
        <f t="shared" ca="1" si="214"/>
        <v>1.0001114792046144</v>
      </c>
      <c r="AL1000" s="98">
        <f t="shared" ca="1" si="215"/>
        <v>3.6956602572168817</v>
      </c>
      <c r="AM1000" s="106">
        <f t="shared" ca="1" si="209"/>
        <v>28414.817819335181</v>
      </c>
      <c r="AN1000" s="10">
        <f t="shared" ca="1" si="210"/>
        <v>0.65605369605410413</v>
      </c>
      <c r="AO1000" s="158"/>
      <c r="AP1000" s="158"/>
      <c r="AQ1000" s="1"/>
      <c r="AR1000" s="1"/>
      <c r="AS1000" s="1"/>
      <c r="AT1000" s="1"/>
      <c r="AU1000" s="1"/>
      <c r="BC1000" s="23"/>
      <c r="BD1000" s="23"/>
    </row>
    <row r="1001" spans="34:56">
      <c r="AH1001" s="6">
        <f t="shared" si="211"/>
        <v>971</v>
      </c>
      <c r="AI1001" s="7">
        <f t="shared" ca="1" si="212"/>
        <v>43641</v>
      </c>
      <c r="AJ1001" s="210">
        <f t="shared" ca="1" si="213"/>
        <v>4.0137978142076509</v>
      </c>
      <c r="AK1001" s="8">
        <f t="shared" ca="1" si="214"/>
        <v>1.0001114943837279</v>
      </c>
      <c r="AL1001" s="98">
        <f t="shared" ca="1" si="215"/>
        <v>3.6961304772236359</v>
      </c>
      <c r="AM1001" s="106">
        <f t="shared" ca="1" si="209"/>
        <v>28417.159242070753</v>
      </c>
      <c r="AN1001" s="10">
        <f t="shared" ca="1" si="210"/>
        <v>0.6564765118820759</v>
      </c>
      <c r="AO1001" s="158"/>
      <c r="AP1001" s="158"/>
      <c r="AQ1001" s="1"/>
      <c r="AR1001" s="1"/>
      <c r="AS1001" s="1"/>
      <c r="AT1001" s="1"/>
      <c r="AU1001" s="1"/>
      <c r="BC1001" s="23"/>
      <c r="BD1001" s="23"/>
    </row>
    <row r="1002" spans="34:56">
      <c r="AH1002" s="6">
        <f t="shared" si="211"/>
        <v>972</v>
      </c>
      <c r="AI1002" s="7">
        <f t="shared" ca="1" si="212"/>
        <v>43642</v>
      </c>
      <c r="AJ1002" s="210">
        <f t="shared" ca="1" si="213"/>
        <v>4.014344262295082</v>
      </c>
      <c r="AK1002" s="8">
        <f t="shared" ca="1" si="214"/>
        <v>1.0001115095628414</v>
      </c>
      <c r="AL1002" s="98">
        <f t="shared" ca="1" si="215"/>
        <v>3.6966003228274147</v>
      </c>
      <c r="AM1002" s="106">
        <f t="shared" ca="1" si="209"/>
        <v>28419.500857742991</v>
      </c>
      <c r="AN1002" s="10">
        <f t="shared" ca="1" si="210"/>
        <v>0.65689903316714648</v>
      </c>
      <c r="AO1002" s="158"/>
      <c r="AP1002" s="158"/>
      <c r="AQ1002" s="1"/>
      <c r="AR1002" s="1"/>
      <c r="AS1002" s="1"/>
      <c r="AT1002" s="1"/>
      <c r="AU1002" s="1"/>
      <c r="BC1002" s="23"/>
      <c r="BD1002" s="23"/>
    </row>
    <row r="1003" spans="34:56">
      <c r="AH1003" s="6">
        <f t="shared" si="211"/>
        <v>973</v>
      </c>
      <c r="AI1003" s="7">
        <f t="shared" ca="1" si="212"/>
        <v>43643</v>
      </c>
      <c r="AJ1003" s="210">
        <f t="shared" ca="1" si="213"/>
        <v>4.014890710382514</v>
      </c>
      <c r="AK1003" s="8">
        <f t="shared" ca="1" si="214"/>
        <v>1.000111524741955</v>
      </c>
      <c r="AL1003" s="98">
        <f t="shared" ca="1" si="215"/>
        <v>3.6970697951840492</v>
      </c>
      <c r="AM1003" s="106">
        <f t="shared" ca="1" si="209"/>
        <v>28421.842666367804</v>
      </c>
      <c r="AN1003" s="10">
        <f t="shared" ca="1" si="210"/>
        <v>0.65732126081923248</v>
      </c>
      <c r="AO1003" s="158"/>
      <c r="AP1003" s="158"/>
      <c r="AQ1003" s="1"/>
      <c r="AR1003" s="1"/>
      <c r="AS1003" s="1"/>
      <c r="AT1003" s="1"/>
      <c r="AU1003" s="1"/>
      <c r="BC1003" s="23"/>
      <c r="BD1003" s="23"/>
    </row>
    <row r="1004" spans="34:56">
      <c r="AH1004" s="6">
        <f t="shared" si="211"/>
        <v>974</v>
      </c>
      <c r="AI1004" s="7">
        <f t="shared" ca="1" si="212"/>
        <v>43644</v>
      </c>
      <c r="AJ1004" s="210">
        <f t="shared" ca="1" si="213"/>
        <v>4.015437158469946</v>
      </c>
      <c r="AK1004" s="8">
        <f t="shared" ca="1" si="214"/>
        <v>1.0001115399210687</v>
      </c>
      <c r="AL1004" s="98">
        <f t="shared" ca="1" si="215"/>
        <v>3.6975388954446631</v>
      </c>
      <c r="AM1004" s="106">
        <f t="shared" ca="1" si="209"/>
        <v>28424.18466796109</v>
      </c>
      <c r="AN1004" s="10">
        <f t="shared" ca="1" si="210"/>
        <v>0.65774319574447571</v>
      </c>
      <c r="AO1004" s="158"/>
      <c r="AP1004" s="158"/>
      <c r="AQ1004" s="1"/>
      <c r="AR1004" s="1"/>
      <c r="AS1004" s="1"/>
      <c r="AT1004" s="1"/>
      <c r="AU1004" s="1"/>
      <c r="BC1004" s="23"/>
      <c r="BD1004" s="23"/>
    </row>
    <row r="1005" spans="34:56">
      <c r="AH1005" s="6">
        <f t="shared" si="211"/>
        <v>975</v>
      </c>
      <c r="AI1005" s="7">
        <f t="shared" ca="1" si="212"/>
        <v>43645</v>
      </c>
      <c r="AJ1005" s="210">
        <f t="shared" ca="1" si="213"/>
        <v>4.0159836065573771</v>
      </c>
      <c r="AK1005" s="8">
        <f t="shared" ca="1" si="214"/>
        <v>1.0001115551001822</v>
      </c>
      <c r="AL1005" s="98">
        <f t="shared" ca="1" si="215"/>
        <v>3.698007624755606</v>
      </c>
      <c r="AM1005" s="106">
        <f t="shared" ca="1" si="209"/>
        <v>28426.526862538747</v>
      </c>
      <c r="AN1005" s="10">
        <f t="shared" ca="1" si="210"/>
        <v>0.65816483884535426</v>
      </c>
      <c r="AO1005" s="158"/>
      <c r="AP1005" s="158"/>
      <c r="AQ1005" s="1"/>
      <c r="AR1005" s="1"/>
      <c r="AS1005" s="1"/>
      <c r="AT1005" s="1"/>
      <c r="AU1005" s="1"/>
      <c r="BC1005" s="23"/>
      <c r="BD1005" s="23"/>
    </row>
    <row r="1006" spans="34:56">
      <c r="AH1006" s="6">
        <f t="shared" si="211"/>
        <v>976</v>
      </c>
      <c r="AI1006" s="7">
        <f t="shared" ca="1" si="212"/>
        <v>43646</v>
      </c>
      <c r="AJ1006" s="210">
        <f t="shared" ca="1" si="213"/>
        <v>4.0165300546448091</v>
      </c>
      <c r="AK1006" s="8">
        <f t="shared" ca="1" si="214"/>
        <v>1.0001115702792958</v>
      </c>
      <c r="AL1006" s="98">
        <f t="shared" ca="1" si="215"/>
        <v>3.6984759842585646</v>
      </c>
      <c r="AM1006" s="106">
        <f t="shared" ca="1" si="209"/>
        <v>28428.869250116673</v>
      </c>
      <c r="AN1006" s="10">
        <f t="shared" ca="1" si="210"/>
        <v>0.65858619102057148</v>
      </c>
      <c r="AO1006" s="158"/>
      <c r="AP1006" s="158"/>
      <c r="AQ1006" s="1"/>
      <c r="AR1006" s="1"/>
      <c r="AS1006" s="1"/>
      <c r="AT1006" s="1"/>
      <c r="AU1006" s="1"/>
      <c r="BC1006" s="23"/>
      <c r="BD1006" s="23"/>
    </row>
    <row r="1007" spans="34:56">
      <c r="AH1007" s="6">
        <f t="shared" si="211"/>
        <v>977</v>
      </c>
      <c r="AI1007" s="7">
        <f t="shared" ca="1" si="212"/>
        <v>43647</v>
      </c>
      <c r="AJ1007" s="210">
        <f t="shared" ca="1" si="213"/>
        <v>4.017076502732241</v>
      </c>
      <c r="AK1007" s="8">
        <f t="shared" ca="1" si="214"/>
        <v>1.0001115854584093</v>
      </c>
      <c r="AL1007" s="98">
        <f t="shared" ca="1" si="215"/>
        <v>3.6989439750905628</v>
      </c>
      <c r="AM1007" s="106">
        <f t="shared" ca="1" si="209"/>
        <v>28431.211830710781</v>
      </c>
      <c r="AN1007" s="10">
        <f t="shared" ca="1" si="210"/>
        <v>0.65900725316523356</v>
      </c>
      <c r="AO1007" s="158"/>
      <c r="AP1007" s="158"/>
      <c r="AQ1007" s="1"/>
      <c r="AR1007" s="1"/>
      <c r="AS1007" s="1"/>
      <c r="AT1007" s="1"/>
      <c r="AU1007" s="1"/>
      <c r="BC1007" s="23"/>
      <c r="BD1007" s="23"/>
    </row>
    <row r="1008" spans="34:56">
      <c r="AH1008" s="6">
        <f t="shared" si="211"/>
        <v>978</v>
      </c>
      <c r="AI1008" s="7">
        <f t="shared" ca="1" si="212"/>
        <v>43648</v>
      </c>
      <c r="AJ1008" s="210">
        <f t="shared" ca="1" si="213"/>
        <v>4.0176229508196721</v>
      </c>
      <c r="AK1008" s="8">
        <f t="shared" ca="1" si="214"/>
        <v>1.0001116006375228</v>
      </c>
      <c r="AL1008" s="98">
        <f t="shared" ca="1" si="215"/>
        <v>3.6994115983839615</v>
      </c>
      <c r="AM1008" s="106">
        <f t="shared" ca="1" si="209"/>
        <v>28433.554604336972</v>
      </c>
      <c r="AN1008" s="10">
        <f t="shared" ca="1" si="210"/>
        <v>0.65942802617073859</v>
      </c>
      <c r="AO1008" s="158"/>
      <c r="AP1008" s="158"/>
      <c r="AQ1008" s="1"/>
      <c r="AR1008" s="1"/>
      <c r="AS1008" s="1"/>
      <c r="AT1008" s="1"/>
      <c r="AU1008" s="1"/>
      <c r="BC1008" s="23"/>
      <c r="BD1008" s="23"/>
    </row>
    <row r="1009" spans="34:56">
      <c r="AH1009" s="6">
        <f t="shared" si="211"/>
        <v>979</v>
      </c>
      <c r="AI1009" s="7">
        <f t="shared" ca="1" si="212"/>
        <v>43649</v>
      </c>
      <c r="AJ1009" s="210">
        <f t="shared" ca="1" si="213"/>
        <v>4.0181693989071041</v>
      </c>
      <c r="AK1009" s="8">
        <f t="shared" ca="1" si="214"/>
        <v>1.0001116158166363</v>
      </c>
      <c r="AL1009" s="98">
        <f t="shared" ca="1" si="215"/>
        <v>3.699878855266503</v>
      </c>
      <c r="AM1009" s="106">
        <f t="shared" ca="1" si="209"/>
        <v>28435.897571011155</v>
      </c>
      <c r="AN1009" s="10">
        <f t="shared" ca="1" si="210"/>
        <v>0.65984851092484309</v>
      </c>
      <c r="AO1009" s="158"/>
      <c r="AP1009" s="158"/>
      <c r="AQ1009" s="1"/>
      <c r="AR1009" s="1"/>
      <c r="AS1009" s="1"/>
      <c r="AT1009" s="1"/>
      <c r="AU1009" s="1"/>
      <c r="BC1009" s="23"/>
      <c r="BD1009" s="23"/>
    </row>
    <row r="1010" spans="34:56">
      <c r="AH1010" s="6">
        <f t="shared" si="211"/>
        <v>980</v>
      </c>
      <c r="AI1010" s="7">
        <f t="shared" ca="1" si="212"/>
        <v>43650</v>
      </c>
      <c r="AJ1010" s="210">
        <f t="shared" ca="1" si="213"/>
        <v>4.0187158469945361</v>
      </c>
      <c r="AK1010" s="8">
        <f t="shared" ca="1" si="214"/>
        <v>1.0001116309957498</v>
      </c>
      <c r="AL1010" s="98">
        <f t="shared" ca="1" si="215"/>
        <v>3.700345746861311</v>
      </c>
      <c r="AM1010" s="106">
        <f t="shared" ca="1" si="209"/>
        <v>28438.240730749229</v>
      </c>
      <c r="AN1010" s="10">
        <f t="shared" ca="1" si="210"/>
        <v>0.66026870831175088</v>
      </c>
      <c r="AO1010" s="158"/>
      <c r="AP1010" s="158"/>
      <c r="AQ1010" s="1"/>
      <c r="AR1010" s="1"/>
      <c r="AS1010" s="1"/>
      <c r="AT1010" s="1"/>
      <c r="AU1010" s="1"/>
      <c r="BC1010" s="23"/>
      <c r="BD1010" s="23"/>
    </row>
    <row r="1011" spans="34:56">
      <c r="AH1011" s="6">
        <f t="shared" si="211"/>
        <v>981</v>
      </c>
      <c r="AI1011" s="7">
        <f t="shared" ca="1" si="212"/>
        <v>43651</v>
      </c>
      <c r="AJ1011" s="210">
        <f t="shared" ca="1" si="213"/>
        <v>4.0192622950819672</v>
      </c>
      <c r="AK1011" s="8">
        <f t="shared" ca="1" si="214"/>
        <v>1.0001116461748634</v>
      </c>
      <c r="AL1011" s="98">
        <f t="shared" ca="1" si="215"/>
        <v>3.7008122742869798</v>
      </c>
      <c r="AM1011" s="106">
        <f t="shared" ca="1" si="209"/>
        <v>28440.584083567112</v>
      </c>
      <c r="AN1011" s="10">
        <f t="shared" ca="1" si="210"/>
        <v>0.66068861921195765</v>
      </c>
      <c r="AO1011" s="158"/>
      <c r="AP1011" s="158"/>
      <c r="AQ1011" s="1"/>
      <c r="AR1011" s="1"/>
      <c r="AS1011" s="1"/>
      <c r="AT1011" s="1"/>
      <c r="AU1011" s="1"/>
      <c r="BC1011" s="23"/>
      <c r="BD1011" s="23"/>
    </row>
    <row r="1012" spans="34:56">
      <c r="AH1012" s="6">
        <f t="shared" si="211"/>
        <v>982</v>
      </c>
      <c r="AI1012" s="7">
        <f t="shared" ca="1" si="212"/>
        <v>43652</v>
      </c>
      <c r="AJ1012" s="210">
        <f t="shared" ca="1" si="213"/>
        <v>4.0198087431693992</v>
      </c>
      <c r="AK1012" s="8">
        <f t="shared" ca="1" si="214"/>
        <v>1.0001116613539769</v>
      </c>
      <c r="AL1012" s="98">
        <f t="shared" ca="1" si="215"/>
        <v>3.7012784386575293</v>
      </c>
      <c r="AM1012" s="106">
        <f t="shared" ca="1" si="209"/>
        <v>28442.92762948071</v>
      </c>
      <c r="AN1012" s="10">
        <f t="shared" ca="1" si="210"/>
        <v>0.66110824450247296</v>
      </c>
      <c r="AO1012" s="158"/>
      <c r="AP1012" s="158"/>
      <c r="AQ1012" s="1"/>
      <c r="AR1012" s="1"/>
      <c r="AS1012" s="1"/>
      <c r="AT1012" s="1"/>
      <c r="AU1012" s="1"/>
      <c r="BC1012" s="23"/>
      <c r="BD1012" s="23"/>
    </row>
    <row r="1013" spans="34:56">
      <c r="AH1013" s="6">
        <f t="shared" si="211"/>
        <v>983</v>
      </c>
      <c r="AI1013" s="7">
        <f t="shared" ca="1" si="212"/>
        <v>43653</v>
      </c>
      <c r="AJ1013" s="210">
        <f t="shared" ca="1" si="213"/>
        <v>4.0203551912568312</v>
      </c>
      <c r="AK1013" s="8">
        <f t="shared" ca="1" si="214"/>
        <v>1.0001116765330904</v>
      </c>
      <c r="AL1013" s="98">
        <f t="shared" ca="1" si="215"/>
        <v>3.7017442410824497</v>
      </c>
      <c r="AM1013" s="106">
        <f t="shared" ca="1" si="209"/>
        <v>28445.271368505932</v>
      </c>
      <c r="AN1013" s="10">
        <f t="shared" ca="1" si="210"/>
        <v>0.66152758505668707</v>
      </c>
      <c r="AO1013" s="158"/>
      <c r="AP1013" s="158"/>
      <c r="AQ1013" s="1"/>
      <c r="AR1013" s="1"/>
      <c r="AS1013" s="1"/>
      <c r="AT1013" s="1"/>
      <c r="AU1013" s="1"/>
      <c r="BC1013" s="23"/>
      <c r="BD1013" s="23"/>
    </row>
    <row r="1014" spans="34:56">
      <c r="AH1014" s="6">
        <f t="shared" si="211"/>
        <v>984</v>
      </c>
      <c r="AI1014" s="7">
        <f t="shared" ca="1" si="212"/>
        <v>43654</v>
      </c>
      <c r="AJ1014" s="210">
        <f t="shared" ca="1" si="213"/>
        <v>4.0209016393442623</v>
      </c>
      <c r="AK1014" s="8">
        <f t="shared" ca="1" si="214"/>
        <v>1.0001116917122039</v>
      </c>
      <c r="AL1014" s="98">
        <f t="shared" ca="1" si="215"/>
        <v>3.7022096826667017</v>
      </c>
      <c r="AM1014" s="106">
        <f t="shared" ca="1" si="209"/>
        <v>28447.615300658694</v>
      </c>
      <c r="AN1014" s="10">
        <f t="shared" ca="1" si="210"/>
        <v>0.66194664174445972</v>
      </c>
      <c r="AO1014" s="158"/>
      <c r="AP1014" s="158"/>
      <c r="AQ1014" s="1"/>
      <c r="AR1014" s="1"/>
      <c r="AS1014" s="1"/>
      <c r="AT1014" s="1"/>
      <c r="AU1014" s="1"/>
      <c r="BC1014" s="23"/>
      <c r="BD1014" s="23"/>
    </row>
    <row r="1015" spans="34:56">
      <c r="AH1015" s="6">
        <f t="shared" si="211"/>
        <v>985</v>
      </c>
      <c r="AI1015" s="7">
        <f t="shared" ca="1" si="212"/>
        <v>43655</v>
      </c>
      <c r="AJ1015" s="210">
        <f t="shared" ca="1" si="213"/>
        <v>4.0214480874316942</v>
      </c>
      <c r="AK1015" s="8">
        <f t="shared" ca="1" si="214"/>
        <v>1.0001117068913175</v>
      </c>
      <c r="AL1015" s="98">
        <f t="shared" ca="1" si="215"/>
        <v>3.7026747645108049</v>
      </c>
      <c r="AM1015" s="106">
        <f t="shared" ca="1" si="209"/>
        <v>28449.959425954909</v>
      </c>
      <c r="AN1015" s="10">
        <f t="shared" ca="1" si="210"/>
        <v>0.66236541543209793</v>
      </c>
      <c r="AO1015" s="158"/>
      <c r="AP1015" s="158"/>
      <c r="AQ1015" s="1"/>
      <c r="AR1015" s="1"/>
      <c r="AS1015" s="1"/>
      <c r="AT1015" s="1"/>
      <c r="AU1015" s="1"/>
      <c r="BC1015" s="23"/>
      <c r="BD1015" s="23"/>
    </row>
    <row r="1016" spans="34:56">
      <c r="AH1016" s="6">
        <f t="shared" si="211"/>
        <v>986</v>
      </c>
      <c r="AI1016" s="7">
        <f t="shared" ca="1" si="212"/>
        <v>43656</v>
      </c>
      <c r="AJ1016" s="210">
        <f t="shared" ca="1" si="213"/>
        <v>4.0219945355191262</v>
      </c>
      <c r="AK1016" s="8">
        <f t="shared" ca="1" si="214"/>
        <v>1.0001117220704312</v>
      </c>
      <c r="AL1016" s="98">
        <f t="shared" ca="1" si="215"/>
        <v>3.7031394877107937</v>
      </c>
      <c r="AM1016" s="106">
        <f t="shared" ca="1" si="209"/>
        <v>28452.228118219369</v>
      </c>
      <c r="AN1016" s="10">
        <f t="shared" ca="1" si="210"/>
        <v>0.6628829537869807</v>
      </c>
      <c r="AO1016" s="158"/>
      <c r="AP1016" s="158"/>
      <c r="AQ1016" s="1"/>
      <c r="AR1016" s="1"/>
      <c r="AS1016" s="1"/>
      <c r="AT1016" s="1"/>
      <c r="AU1016" s="1"/>
      <c r="BC1016" s="23"/>
      <c r="BD1016" s="23"/>
    </row>
    <row r="1017" spans="34:56">
      <c r="AH1017" s="6">
        <f t="shared" si="211"/>
        <v>987</v>
      </c>
      <c r="AI1017" s="7">
        <f t="shared" ca="1" si="212"/>
        <v>43657</v>
      </c>
      <c r="AJ1017" s="210">
        <f t="shared" ca="1" si="213"/>
        <v>4.0225409836065573</v>
      </c>
      <c r="AK1017" s="8">
        <f t="shared" ca="1" si="214"/>
        <v>1.0001117372495447</v>
      </c>
      <c r="AL1017" s="98">
        <f t="shared" ca="1" si="215"/>
        <v>3.7036038533582616</v>
      </c>
      <c r="AM1017" s="106">
        <f t="shared" ca="1" si="209"/>
        <v>28454.496991396725</v>
      </c>
      <c r="AN1017" s="10">
        <f t="shared" ca="1" si="210"/>
        <v>0.66340001108045055</v>
      </c>
      <c r="AO1017" s="158"/>
      <c r="AP1017" s="158"/>
      <c r="AQ1017" s="1"/>
      <c r="AR1017" s="1"/>
      <c r="AS1017" s="1"/>
      <c r="AT1017" s="1"/>
      <c r="AU1017" s="1"/>
      <c r="BC1017" s="23"/>
      <c r="BD1017" s="23"/>
    </row>
    <row r="1018" spans="34:56">
      <c r="AH1018" s="6">
        <f t="shared" si="211"/>
        <v>988</v>
      </c>
      <c r="AI1018" s="7">
        <f t="shared" ca="1" si="212"/>
        <v>43658</v>
      </c>
      <c r="AJ1018" s="210">
        <f t="shared" ca="1" si="213"/>
        <v>4.0230874316939893</v>
      </c>
      <c r="AK1018" s="8">
        <f t="shared" ca="1" si="214"/>
        <v>1.0001117524286582</v>
      </c>
      <c r="AL1018" s="98">
        <f t="shared" ca="1" si="215"/>
        <v>3.7040678625404055</v>
      </c>
      <c r="AM1018" s="106">
        <f t="shared" ca="1" si="209"/>
        <v>28456.766045501408</v>
      </c>
      <c r="AN1018" s="10">
        <f t="shared" ca="1" si="210"/>
        <v>0.66391658877384963</v>
      </c>
      <c r="AO1018" s="158"/>
      <c r="AP1018" s="158"/>
      <c r="AQ1018" s="1"/>
      <c r="AR1018" s="1"/>
      <c r="AS1018" s="1"/>
      <c r="AT1018" s="1"/>
      <c r="AU1018" s="1"/>
      <c r="BC1018" s="23"/>
      <c r="BD1018" s="23"/>
    </row>
    <row r="1019" spans="34:56">
      <c r="AH1019" s="6">
        <f t="shared" si="211"/>
        <v>989</v>
      </c>
      <c r="AI1019" s="7">
        <f t="shared" ca="1" si="212"/>
        <v>43659</v>
      </c>
      <c r="AJ1019" s="210">
        <f t="shared" ca="1" si="213"/>
        <v>4.0236338797814213</v>
      </c>
      <c r="AK1019" s="8">
        <f t="shared" ca="1" si="214"/>
        <v>1.0001117676077718</v>
      </c>
      <c r="AL1019" s="98">
        <f t="shared" ca="1" si="215"/>
        <v>3.7045315163400039</v>
      </c>
      <c r="AM1019" s="106">
        <f t="shared" ca="1" si="209"/>
        <v>28459.03528054784</v>
      </c>
      <c r="AN1019" s="10">
        <f t="shared" ca="1" si="210"/>
        <v>0.66443268832263591</v>
      </c>
      <c r="AO1019" s="158"/>
      <c r="AP1019" s="158"/>
      <c r="AQ1019" s="1"/>
      <c r="AR1019" s="1"/>
      <c r="AS1019" s="1"/>
      <c r="AT1019" s="1"/>
      <c r="AU1019" s="1"/>
      <c r="BC1019" s="23"/>
      <c r="BD1019" s="23"/>
    </row>
    <row r="1020" spans="34:56">
      <c r="AH1020" s="6">
        <f t="shared" si="211"/>
        <v>990</v>
      </c>
      <c r="AI1020" s="7">
        <f t="shared" ca="1" si="212"/>
        <v>43660</v>
      </c>
      <c r="AJ1020" s="210">
        <f t="shared" ca="1" si="213"/>
        <v>4.0241803278688524</v>
      </c>
      <c r="AK1020" s="8">
        <f t="shared" ca="1" si="214"/>
        <v>1.0001117827868853</v>
      </c>
      <c r="AL1020" s="98">
        <f t="shared" ca="1" si="215"/>
        <v>3.7049948158354606</v>
      </c>
      <c r="AM1020" s="106">
        <f t="shared" ca="1" si="209"/>
        <v>28461.304696550451</v>
      </c>
      <c r="AN1020" s="10">
        <f t="shared" ca="1" si="210"/>
        <v>0.664948311176361</v>
      </c>
      <c r="AO1020" s="158"/>
      <c r="AP1020" s="158"/>
      <c r="AQ1020" s="1"/>
      <c r="AR1020" s="1"/>
      <c r="AS1020" s="1"/>
      <c r="AT1020" s="1"/>
      <c r="AU1020" s="1"/>
      <c r="BC1020" s="23"/>
      <c r="BD1020" s="23"/>
    </row>
    <row r="1021" spans="34:56">
      <c r="AH1021" s="6">
        <f t="shared" si="211"/>
        <v>991</v>
      </c>
      <c r="AI1021" s="7">
        <f t="shared" ca="1" si="212"/>
        <v>43661</v>
      </c>
      <c r="AJ1021" s="210">
        <f t="shared" ca="1" si="213"/>
        <v>4.0247267759562844</v>
      </c>
      <c r="AK1021" s="8">
        <f t="shared" ca="1" si="214"/>
        <v>1.0001117979659988</v>
      </c>
      <c r="AL1021" s="98">
        <f t="shared" ca="1" si="215"/>
        <v>3.7054577621008722</v>
      </c>
      <c r="AM1021" s="106">
        <f t="shared" ca="1" si="209"/>
        <v>28463.574293523674</v>
      </c>
      <c r="AN1021" s="10">
        <f t="shared" ca="1" si="210"/>
        <v>0.6654634587787811</v>
      </c>
      <c r="AO1021" s="158"/>
      <c r="AP1021" s="158"/>
      <c r="AQ1021" s="1"/>
      <c r="AR1021" s="1"/>
      <c r="AS1021" s="1"/>
      <c r="AT1021" s="1"/>
      <c r="AU1021" s="1"/>
      <c r="BC1021" s="23"/>
      <c r="BD1021" s="23"/>
    </row>
    <row r="1022" spans="34:56">
      <c r="AH1022" s="6">
        <f t="shared" si="211"/>
        <v>992</v>
      </c>
      <c r="AI1022" s="7">
        <f t="shared" ca="1" si="212"/>
        <v>43662</v>
      </c>
      <c r="AJ1022" s="210">
        <f t="shared" ca="1" si="213"/>
        <v>4.0252732240437163</v>
      </c>
      <c r="AK1022" s="8">
        <f t="shared" ca="1" si="214"/>
        <v>1.0001118131451123</v>
      </c>
      <c r="AL1022" s="98">
        <f t="shared" ca="1" si="215"/>
        <v>3.7059203562059606</v>
      </c>
      <c r="AM1022" s="106">
        <f t="shared" ca="1" si="209"/>
        <v>28465.844071481941</v>
      </c>
      <c r="AN1022" s="10">
        <f t="shared" ca="1" si="210"/>
        <v>0.66597813256779048</v>
      </c>
      <c r="AO1022" s="158"/>
      <c r="AP1022" s="158"/>
      <c r="AQ1022" s="1"/>
      <c r="AR1022" s="1"/>
      <c r="AS1022" s="1"/>
      <c r="AT1022" s="1"/>
      <c r="AU1022" s="1"/>
      <c r="BC1022" s="23"/>
      <c r="BD1022" s="23"/>
    </row>
    <row r="1023" spans="34:56">
      <c r="AH1023" s="6">
        <f t="shared" si="211"/>
        <v>993</v>
      </c>
      <c r="AI1023" s="7">
        <f t="shared" ca="1" si="212"/>
        <v>43663</v>
      </c>
      <c r="AJ1023" s="210">
        <f t="shared" ca="1" si="213"/>
        <v>4.0258196721311483</v>
      </c>
      <c r="AK1023" s="8">
        <f t="shared" ca="1" si="214"/>
        <v>1.0001118283242258</v>
      </c>
      <c r="AL1023" s="98">
        <f t="shared" ca="1" si="215"/>
        <v>3.7063825992161847</v>
      </c>
      <c r="AM1023" s="106">
        <f t="shared" ca="1" si="209"/>
        <v>28468.114030439679</v>
      </c>
      <c r="AN1023" s="10">
        <f t="shared" ca="1" si="210"/>
        <v>0.66649233397553242</v>
      </c>
      <c r="AO1023" s="158"/>
      <c r="AP1023" s="158"/>
      <c r="AQ1023" s="1"/>
      <c r="AR1023" s="1"/>
      <c r="AS1023" s="1"/>
      <c r="AT1023" s="1"/>
      <c r="AU1023" s="1"/>
      <c r="BC1023" s="23"/>
      <c r="BD1023" s="23"/>
    </row>
    <row r="1024" spans="34:56">
      <c r="AH1024" s="6">
        <f t="shared" si="211"/>
        <v>994</v>
      </c>
      <c r="AI1024" s="7">
        <f t="shared" ca="1" si="212"/>
        <v>43664</v>
      </c>
      <c r="AJ1024" s="210">
        <f t="shared" ca="1" si="213"/>
        <v>4.0263661202185794</v>
      </c>
      <c r="AK1024" s="8">
        <f t="shared" ca="1" si="214"/>
        <v>1.0001118435033394</v>
      </c>
      <c r="AL1024" s="98">
        <f t="shared" ca="1" si="215"/>
        <v>3.7068444921926735</v>
      </c>
      <c r="AM1024" s="106">
        <f t="shared" ca="1" si="209"/>
        <v>28470.384170411326</v>
      </c>
      <c r="AN1024" s="10">
        <f t="shared" ca="1" si="210"/>
        <v>0.66700606442837707</v>
      </c>
      <c r="AO1024" s="158"/>
      <c r="AP1024" s="158"/>
      <c r="AQ1024" s="1"/>
      <c r="AR1024" s="1"/>
      <c r="AS1024" s="1"/>
      <c r="AT1024" s="1"/>
      <c r="AU1024" s="1"/>
      <c r="BC1024" s="23"/>
      <c r="BD1024" s="23"/>
    </row>
    <row r="1025" spans="34:56">
      <c r="AH1025" s="6">
        <f t="shared" si="211"/>
        <v>995</v>
      </c>
      <c r="AI1025" s="7">
        <f t="shared" ca="1" si="212"/>
        <v>43665</v>
      </c>
      <c r="AJ1025" s="210">
        <f t="shared" ca="1" si="213"/>
        <v>4.0269125683060114</v>
      </c>
      <c r="AK1025" s="8">
        <f t="shared" ca="1" si="214"/>
        <v>1.0001118586824529</v>
      </c>
      <c r="AL1025" s="98">
        <f t="shared" ca="1" si="215"/>
        <v>3.7073060361923371</v>
      </c>
      <c r="AM1025" s="106">
        <f t="shared" ca="1" si="209"/>
        <v>28472.654491411315</v>
      </c>
      <c r="AN1025" s="10">
        <f t="shared" ca="1" si="210"/>
        <v>0.66751932534696579</v>
      </c>
      <c r="AO1025" s="158"/>
      <c r="AP1025" s="158"/>
      <c r="AQ1025" s="1"/>
      <c r="AR1025" s="1"/>
      <c r="AS1025" s="1"/>
      <c r="AT1025" s="1"/>
      <c r="AU1025" s="1"/>
      <c r="BC1025" s="23"/>
      <c r="BD1025" s="23"/>
    </row>
    <row r="1026" spans="34:56">
      <c r="AH1026" s="6">
        <f t="shared" si="211"/>
        <v>996</v>
      </c>
      <c r="AI1026" s="7">
        <f t="shared" ca="1" si="212"/>
        <v>43666</v>
      </c>
      <c r="AJ1026" s="210">
        <f t="shared" ca="1" si="213"/>
        <v>4.0274590163934434</v>
      </c>
      <c r="AK1026" s="8">
        <f t="shared" ca="1" si="214"/>
        <v>1.0001118738615664</v>
      </c>
      <c r="AL1026" s="98">
        <f t="shared" ca="1" si="215"/>
        <v>3.7077672322678001</v>
      </c>
      <c r="AM1026" s="106">
        <f t="shared" ca="1" si="209"/>
        <v>28474.924993454086</v>
      </c>
      <c r="AN1026" s="10">
        <f t="shared" ca="1" si="210"/>
        <v>0.66803211814621122</v>
      </c>
      <c r="AO1026" s="158"/>
      <c r="AP1026" s="158"/>
      <c r="AQ1026" s="1"/>
      <c r="AR1026" s="1"/>
      <c r="AS1026" s="1"/>
      <c r="AT1026" s="1"/>
      <c r="AU1026" s="1"/>
      <c r="BC1026" s="23"/>
      <c r="BD1026" s="23"/>
    </row>
    <row r="1027" spans="34:56">
      <c r="AH1027" s="6">
        <f t="shared" si="211"/>
        <v>997</v>
      </c>
      <c r="AI1027" s="7">
        <f t="shared" ca="1" si="212"/>
        <v>43667</v>
      </c>
      <c r="AJ1027" s="210">
        <f t="shared" ca="1" si="213"/>
        <v>4.0280054644808745</v>
      </c>
      <c r="AK1027" s="8">
        <f t="shared" ca="1" si="214"/>
        <v>1.0001118890406799</v>
      </c>
      <c r="AL1027" s="98">
        <f t="shared" ca="1" si="215"/>
        <v>3.7082280814675128</v>
      </c>
      <c r="AM1027" s="106">
        <f t="shared" ca="1" si="209"/>
        <v>28477.195676554071</v>
      </c>
      <c r="AN1027" s="10">
        <f t="shared" ca="1" si="210"/>
        <v>0.66854444423545267</v>
      </c>
      <c r="AO1027" s="158"/>
      <c r="AP1027" s="158"/>
      <c r="AQ1027" s="1"/>
      <c r="AR1027" s="1"/>
      <c r="AS1027" s="1"/>
      <c r="AT1027" s="1"/>
      <c r="AU1027" s="1"/>
      <c r="BC1027" s="23"/>
      <c r="BD1027" s="23"/>
    </row>
    <row r="1028" spans="34:56">
      <c r="AH1028" s="6">
        <f t="shared" si="211"/>
        <v>998</v>
      </c>
      <c r="AI1028" s="7">
        <f t="shared" ca="1" si="212"/>
        <v>43668</v>
      </c>
      <c r="AJ1028" s="210">
        <f t="shared" ca="1" si="213"/>
        <v>4.0285519125683065</v>
      </c>
      <c r="AK1028" s="8">
        <f t="shared" ca="1" si="214"/>
        <v>1.0001119042197935</v>
      </c>
      <c r="AL1028" s="98">
        <f t="shared" ca="1" si="215"/>
        <v>3.7086885848357065</v>
      </c>
      <c r="AM1028" s="106">
        <f t="shared" ca="1" si="209"/>
        <v>28479.466540725705</v>
      </c>
      <c r="AN1028" s="10">
        <f t="shared" ca="1" si="210"/>
        <v>0.66905630501830071</v>
      </c>
      <c r="AO1028" s="158"/>
      <c r="AP1028" s="158"/>
      <c r="AQ1028" s="1"/>
      <c r="AR1028" s="1"/>
      <c r="AS1028" s="1"/>
      <c r="AT1028" s="1"/>
      <c r="AU1028" s="1"/>
      <c r="BC1028" s="23"/>
      <c r="BD1028" s="23"/>
    </row>
    <row r="1029" spans="34:56">
      <c r="AH1029" s="6">
        <f t="shared" si="211"/>
        <v>999</v>
      </c>
      <c r="AI1029" s="7">
        <f t="shared" ca="1" si="212"/>
        <v>43669</v>
      </c>
      <c r="AJ1029" s="210">
        <f t="shared" ca="1" si="213"/>
        <v>4.0290983606557385</v>
      </c>
      <c r="AK1029" s="8">
        <f t="shared" ca="1" si="214"/>
        <v>1.0001119193989072</v>
      </c>
      <c r="AL1029" s="98">
        <f t="shared" ca="1" si="215"/>
        <v>3.7091487434124382</v>
      </c>
      <c r="AM1029" s="106">
        <f t="shared" ca="1" si="209"/>
        <v>28481.737585983432</v>
      </c>
      <c r="AN1029" s="10">
        <f t="shared" ca="1" si="210"/>
        <v>0.66956770189277037</v>
      </c>
      <c r="AO1029" s="158"/>
      <c r="AP1029" s="158"/>
      <c r="AQ1029" s="1"/>
      <c r="AR1029" s="1"/>
      <c r="AS1029" s="1"/>
      <c r="AT1029" s="1"/>
      <c r="AU1029" s="1"/>
      <c r="BC1029" s="23"/>
      <c r="BD1029" s="23"/>
    </row>
    <row r="1030" spans="34:56">
      <c r="AH1030" s="6">
        <f t="shared" si="211"/>
        <v>1000</v>
      </c>
      <c r="AI1030" s="7">
        <f t="shared" ca="1" si="212"/>
        <v>43670</v>
      </c>
      <c r="AJ1030" s="210">
        <f t="shared" ca="1" si="213"/>
        <v>4.0296448087431695</v>
      </c>
      <c r="AK1030" s="8">
        <f t="shared" ca="1" si="214"/>
        <v>1.0001119345780207</v>
      </c>
      <c r="AL1030" s="98">
        <f t="shared" ca="1" si="215"/>
        <v>3.7096085582335903</v>
      </c>
      <c r="AM1030" s="106">
        <f t="shared" ca="1" si="209"/>
        <v>28484.008812341694</v>
      </c>
      <c r="AN1030" s="10">
        <f t="shared" ca="1" si="210"/>
        <v>0.67007863625130337</v>
      </c>
      <c r="AO1030" s="158"/>
      <c r="AP1030" s="158"/>
      <c r="AQ1030" s="1"/>
      <c r="AR1030" s="1"/>
      <c r="AS1030" s="1"/>
      <c r="AT1030" s="1"/>
      <c r="AU1030" s="1"/>
      <c r="BC1030" s="23"/>
      <c r="BD1030" s="23"/>
    </row>
    <row r="1031" spans="34:56">
      <c r="AH1031" s="6">
        <f t="shared" si="211"/>
        <v>1001</v>
      </c>
      <c r="AI1031" s="7">
        <f t="shared" ca="1" si="212"/>
        <v>43671</v>
      </c>
      <c r="AJ1031" s="210">
        <f t="shared" ca="1" si="213"/>
        <v>4.0301912568306015</v>
      </c>
      <c r="AK1031" s="8">
        <f t="shared" ca="1" si="214"/>
        <v>1.0001119497571342</v>
      </c>
      <c r="AL1031" s="98">
        <f t="shared" ca="1" si="215"/>
        <v>3.7100680303309375</v>
      </c>
      <c r="AM1031" s="106">
        <f t="shared" ca="1" si="209"/>
        <v>28486.280219814933</v>
      </c>
      <c r="AN1031" s="10">
        <f t="shared" ca="1" si="210"/>
        <v>0.67058910948076811</v>
      </c>
      <c r="AO1031" s="158"/>
      <c r="AP1031" s="158"/>
      <c r="AQ1031" s="1"/>
      <c r="AR1031" s="1"/>
      <c r="AS1031" s="1"/>
      <c r="AT1031" s="1"/>
      <c r="AU1031" s="1"/>
      <c r="BC1031" s="23"/>
      <c r="BD1031" s="23"/>
    </row>
    <row r="1032" spans="34:56">
      <c r="AH1032" s="6">
        <f t="shared" si="211"/>
        <v>1002</v>
      </c>
      <c r="AI1032" s="7">
        <f t="shared" ca="1" si="212"/>
        <v>43672</v>
      </c>
      <c r="AJ1032" s="210">
        <f t="shared" ca="1" si="213"/>
        <v>4.0307377049180335</v>
      </c>
      <c r="AK1032" s="8">
        <f t="shared" ca="1" si="214"/>
        <v>1.0001119649362478</v>
      </c>
      <c r="AL1032" s="98">
        <f t="shared" ca="1" si="215"/>
        <v>3.7105271607321244</v>
      </c>
      <c r="AM1032" s="106">
        <f t="shared" ca="1" si="209"/>
        <v>28488.551808417578</v>
      </c>
      <c r="AN1032" s="10">
        <f t="shared" ca="1" si="210"/>
        <v>0.67109912296252627</v>
      </c>
      <c r="AO1032" s="158"/>
      <c r="AP1032" s="158"/>
      <c r="AQ1032" s="1"/>
      <c r="AR1032" s="1"/>
      <c r="AS1032" s="1"/>
      <c r="AT1032" s="1"/>
      <c r="AU1032" s="1"/>
      <c r="BC1032" s="23"/>
      <c r="BD1032" s="23"/>
    </row>
    <row r="1033" spans="34:56">
      <c r="AH1033" s="6">
        <f t="shared" si="211"/>
        <v>1003</v>
      </c>
      <c r="AI1033" s="7">
        <f t="shared" ca="1" si="212"/>
        <v>43673</v>
      </c>
      <c r="AJ1033" s="210">
        <f t="shared" ca="1" si="213"/>
        <v>4.0312841530054646</v>
      </c>
      <c r="AK1033" s="8">
        <f t="shared" ca="1" si="214"/>
        <v>1.0001119801153613</v>
      </c>
      <c r="AL1033" s="98">
        <f t="shared" ca="1" si="215"/>
        <v>3.7109859504606879</v>
      </c>
      <c r="AM1033" s="106">
        <f t="shared" ca="1" si="209"/>
        <v>28490.823578164094</v>
      </c>
      <c r="AN1033" s="10">
        <f t="shared" ca="1" si="210"/>
        <v>0.67160867807241065</v>
      </c>
      <c r="AO1033" s="158"/>
      <c r="AP1033" s="158"/>
      <c r="AQ1033" s="1"/>
      <c r="AR1033" s="1"/>
      <c r="AS1033" s="1"/>
      <c r="AT1033" s="1"/>
      <c r="AU1033" s="1"/>
      <c r="BC1033" s="23"/>
      <c r="BD1033" s="23"/>
    </row>
    <row r="1034" spans="34:56">
      <c r="AH1034" s="6">
        <f t="shared" si="211"/>
        <v>1004</v>
      </c>
      <c r="AI1034" s="7">
        <f t="shared" ca="1" si="212"/>
        <v>43674</v>
      </c>
      <c r="AJ1034" s="210">
        <f t="shared" ca="1" si="213"/>
        <v>4.0318306010928966</v>
      </c>
      <c r="AK1034" s="8">
        <f t="shared" ca="1" si="214"/>
        <v>1.0001119952944748</v>
      </c>
      <c r="AL1034" s="98">
        <f t="shared" ca="1" si="215"/>
        <v>3.7114444005361236</v>
      </c>
      <c r="AM1034" s="106">
        <f t="shared" ca="1" si="209"/>
        <v>28493.095529068913</v>
      </c>
      <c r="AN1034" s="10">
        <f t="shared" ca="1" si="210"/>
        <v>0.67211777618079172</v>
      </c>
      <c r="AO1034" s="158"/>
      <c r="AP1034" s="158"/>
      <c r="AQ1034" s="1"/>
      <c r="AR1034" s="1"/>
      <c r="AS1034" s="1"/>
      <c r="AT1034" s="1"/>
      <c r="AU1034" s="1"/>
      <c r="BC1034" s="23"/>
      <c r="BD1034" s="23"/>
    </row>
    <row r="1035" spans="34:56">
      <c r="AH1035" s="6">
        <f t="shared" si="211"/>
        <v>1005</v>
      </c>
      <c r="AI1035" s="7">
        <f t="shared" ca="1" si="212"/>
        <v>43675</v>
      </c>
      <c r="AJ1035" s="210">
        <f t="shared" ca="1" si="213"/>
        <v>4.0323770491803286</v>
      </c>
      <c r="AK1035" s="8">
        <f t="shared" ca="1" si="214"/>
        <v>1.0001120104735883</v>
      </c>
      <c r="AL1035" s="98">
        <f t="shared" ca="1" si="215"/>
        <v>3.7119025119738192</v>
      </c>
      <c r="AM1035" s="106">
        <f t="shared" ca="1" si="209"/>
        <v>28495.36766114648</v>
      </c>
      <c r="AN1035" s="10">
        <f t="shared" ca="1" si="210"/>
        <v>0.67262641865257766</v>
      </c>
      <c r="AO1035" s="158"/>
      <c r="AP1035" s="158"/>
      <c r="AQ1035" s="1"/>
      <c r="AR1035" s="1"/>
      <c r="AS1035" s="1"/>
      <c r="AT1035" s="1"/>
      <c r="AU1035" s="1"/>
      <c r="BC1035" s="23"/>
      <c r="BD1035" s="23"/>
    </row>
    <row r="1036" spans="34:56">
      <c r="AH1036" s="6">
        <f t="shared" si="211"/>
        <v>1006</v>
      </c>
      <c r="AI1036" s="7">
        <f t="shared" ca="1" si="212"/>
        <v>43676</v>
      </c>
      <c r="AJ1036" s="210">
        <f t="shared" ca="1" si="213"/>
        <v>4.0329234972677597</v>
      </c>
      <c r="AK1036" s="8">
        <f t="shared" ca="1" si="214"/>
        <v>1.0001120256527019</v>
      </c>
      <c r="AL1036" s="98">
        <f t="shared" ca="1" si="215"/>
        <v>3.71236028578521</v>
      </c>
      <c r="AM1036" s="106">
        <f t="shared" ca="1" si="209"/>
        <v>28497.639974411253</v>
      </c>
      <c r="AN1036" s="10">
        <f t="shared" ca="1" si="210"/>
        <v>0.67313460684728099</v>
      </c>
      <c r="AO1036" s="158"/>
      <c r="AP1036" s="158"/>
      <c r="AQ1036" s="1"/>
      <c r="AR1036" s="1"/>
      <c r="AS1036" s="1"/>
      <c r="AT1036" s="1"/>
      <c r="AU1036" s="1"/>
      <c r="BC1036" s="23"/>
      <c r="BD1036" s="23"/>
    </row>
    <row r="1037" spans="34:56">
      <c r="AH1037" s="6">
        <f t="shared" si="211"/>
        <v>1007</v>
      </c>
      <c r="AI1037" s="7">
        <f t="shared" ca="1" si="212"/>
        <v>43677</v>
      </c>
      <c r="AJ1037" s="210">
        <f t="shared" ca="1" si="213"/>
        <v>4.0334699453551917</v>
      </c>
      <c r="AK1037" s="8">
        <f t="shared" ca="1" si="214"/>
        <v>1.0001120408318154</v>
      </c>
      <c r="AL1037" s="98">
        <f t="shared" ca="1" si="215"/>
        <v>3.7128177229776238</v>
      </c>
      <c r="AM1037" s="106">
        <f t="shared" ca="1" si="209"/>
        <v>28499.912468877672</v>
      </c>
      <c r="AN1037" s="10">
        <f t="shared" ca="1" si="210"/>
        <v>0.67364234211901852</v>
      </c>
      <c r="AO1037" s="158"/>
      <c r="AP1037" s="158"/>
      <c r="AQ1037" s="1"/>
      <c r="AR1037" s="1"/>
      <c r="AS1037" s="1"/>
      <c r="AT1037" s="1"/>
      <c r="AU1037" s="1"/>
      <c r="BC1037" s="23"/>
      <c r="BD1037" s="23"/>
    </row>
    <row r="1038" spans="34:56">
      <c r="AH1038" s="6">
        <f t="shared" si="211"/>
        <v>1008</v>
      </c>
      <c r="AI1038" s="7">
        <f t="shared" ca="1" si="212"/>
        <v>43678</v>
      </c>
      <c r="AJ1038" s="210">
        <f t="shared" ca="1" si="213"/>
        <v>4.0340163934426236</v>
      </c>
      <c r="AK1038" s="8">
        <f t="shared" ca="1" si="214"/>
        <v>1.0001120560109289</v>
      </c>
      <c r="AL1038" s="98">
        <f t="shared" ca="1" si="215"/>
        <v>3.71327482455448</v>
      </c>
      <c r="AM1038" s="106">
        <f t="shared" ca="1" si="209"/>
        <v>28502.185144560186</v>
      </c>
      <c r="AN1038" s="10">
        <f t="shared" ca="1" si="210"/>
        <v>0.67414962581653359</v>
      </c>
      <c r="AO1038" s="158"/>
      <c r="AP1038" s="158"/>
      <c r="AQ1038" s="1"/>
      <c r="AR1038" s="1"/>
      <c r="AS1038" s="1"/>
      <c r="AT1038" s="1"/>
      <c r="AU1038" s="1"/>
      <c r="BC1038" s="23"/>
      <c r="BD1038" s="23"/>
    </row>
    <row r="1039" spans="34:56">
      <c r="AH1039" s="6">
        <f t="shared" si="211"/>
        <v>1009</v>
      </c>
      <c r="AI1039" s="7">
        <f t="shared" ca="1" si="212"/>
        <v>43679</v>
      </c>
      <c r="AJ1039" s="210">
        <f t="shared" ca="1" si="213"/>
        <v>4.0345628415300547</v>
      </c>
      <c r="AK1039" s="8">
        <f t="shared" ca="1" si="214"/>
        <v>1.0001120711900424</v>
      </c>
      <c r="AL1039" s="98">
        <f t="shared" ca="1" si="215"/>
        <v>3.713731591515157</v>
      </c>
      <c r="AM1039" s="106">
        <f t="shared" ca="1" si="209"/>
        <v>28504.458001473249</v>
      </c>
      <c r="AN1039" s="10">
        <f t="shared" ca="1" si="210"/>
        <v>0.67465645928321827</v>
      </c>
      <c r="AO1039" s="158"/>
      <c r="AP1039" s="158"/>
      <c r="AQ1039" s="1"/>
      <c r="AR1039" s="1"/>
      <c r="AS1039" s="1"/>
      <c r="AT1039" s="1"/>
      <c r="AU1039" s="1"/>
      <c r="BC1039" s="23"/>
      <c r="BD1039" s="23"/>
    </row>
    <row r="1040" spans="34:56">
      <c r="AH1040" s="6">
        <f t="shared" si="211"/>
        <v>1010</v>
      </c>
      <c r="AI1040" s="7">
        <f t="shared" ca="1" si="212"/>
        <v>43680</v>
      </c>
      <c r="AJ1040" s="210">
        <f t="shared" ca="1" si="213"/>
        <v>4.0351092896174867</v>
      </c>
      <c r="AK1040" s="8">
        <f t="shared" ca="1" si="214"/>
        <v>1.0001120863691559</v>
      </c>
      <c r="AL1040" s="98">
        <f t="shared" ca="1" si="215"/>
        <v>3.7141880248551251</v>
      </c>
      <c r="AM1040" s="106">
        <f t="shared" ca="1" si="209"/>
        <v>28506.731039631315</v>
      </c>
      <c r="AN1040" s="10">
        <f t="shared" ca="1" si="210"/>
        <v>0.67516284385713554</v>
      </c>
      <c r="AO1040" s="158"/>
      <c r="AP1040" s="158"/>
      <c r="AQ1040" s="1"/>
      <c r="AR1040" s="1"/>
      <c r="AS1040" s="1"/>
      <c r="AT1040" s="1"/>
      <c r="AU1040" s="1"/>
      <c r="BC1040" s="23"/>
      <c r="BD1040" s="23"/>
    </row>
    <row r="1041" spans="34:56">
      <c r="AH1041" s="6">
        <f t="shared" si="211"/>
        <v>1011</v>
      </c>
      <c r="AI1041" s="7">
        <f t="shared" ca="1" si="212"/>
        <v>43681</v>
      </c>
      <c r="AJ1041" s="210">
        <f t="shared" ca="1" si="213"/>
        <v>4.0356557377049187</v>
      </c>
      <c r="AK1041" s="8">
        <f t="shared" ca="1" si="214"/>
        <v>1.0001121015482697</v>
      </c>
      <c r="AL1041" s="98">
        <f t="shared" ca="1" si="215"/>
        <v>3.7146441255658802</v>
      </c>
      <c r="AM1041" s="106">
        <f t="shared" ca="1" si="209"/>
        <v>28509.00425904883</v>
      </c>
      <c r="AN1041" s="10">
        <f t="shared" ca="1" si="210"/>
        <v>0.67566878087110815</v>
      </c>
      <c r="AO1041" s="158"/>
      <c r="AP1041" s="158"/>
      <c r="AQ1041" s="1"/>
      <c r="AR1041" s="1"/>
      <c r="AS1041" s="1"/>
      <c r="AT1041" s="1"/>
      <c r="AU1041" s="1"/>
      <c r="BC1041" s="23"/>
      <c r="BD1041" s="23"/>
    </row>
    <row r="1042" spans="34:56">
      <c r="AH1042" s="6">
        <f t="shared" si="211"/>
        <v>1012</v>
      </c>
      <c r="AI1042" s="7">
        <f t="shared" ca="1" si="212"/>
        <v>43682</v>
      </c>
      <c r="AJ1042" s="210">
        <f t="shared" ca="1" si="213"/>
        <v>4.0362021857923498</v>
      </c>
      <c r="AK1042" s="8">
        <f t="shared" ca="1" si="214"/>
        <v>1.0001121167273832</v>
      </c>
      <c r="AL1042" s="98">
        <f t="shared" ca="1" si="215"/>
        <v>3.7150998946350322</v>
      </c>
      <c r="AM1042" s="106">
        <f t="shared" ca="1" si="209"/>
        <v>28511.277659740255</v>
      </c>
      <c r="AN1042" s="10">
        <f t="shared" ca="1" si="210"/>
        <v>0.67617427165267419</v>
      </c>
      <c r="AO1042" s="158"/>
      <c r="AP1042" s="158"/>
      <c r="AQ1042" s="1"/>
      <c r="AR1042" s="1"/>
      <c r="AS1042" s="1"/>
      <c r="AT1042" s="1"/>
      <c r="AU1042" s="1"/>
      <c r="BC1042" s="23"/>
      <c r="BD1042" s="23"/>
    </row>
    <row r="1043" spans="34:56">
      <c r="AH1043" s="6">
        <f t="shared" si="211"/>
        <v>1013</v>
      </c>
      <c r="AI1043" s="7">
        <f t="shared" ca="1" si="212"/>
        <v>43683</v>
      </c>
      <c r="AJ1043" s="210">
        <f t="shared" ca="1" si="213"/>
        <v>4.0367486338797818</v>
      </c>
      <c r="AK1043" s="8">
        <f t="shared" ca="1" si="214"/>
        <v>1.0001121319064967</v>
      </c>
      <c r="AL1043" s="98">
        <f t="shared" ca="1" si="215"/>
        <v>3.7155553330462832</v>
      </c>
      <c r="AM1043" s="106">
        <f t="shared" ca="1" si="209"/>
        <v>28513.551241720037</v>
      </c>
      <c r="AN1043" s="10">
        <f t="shared" ca="1" si="210"/>
        <v>0.67667931752410926</v>
      </c>
      <c r="AO1043" s="158"/>
      <c r="AP1043" s="158"/>
      <c r="AQ1043" s="1"/>
      <c r="AR1043" s="1"/>
      <c r="AS1043" s="1"/>
      <c r="AT1043" s="1"/>
      <c r="AU1043" s="1"/>
      <c r="BC1043" s="23"/>
      <c r="BD1043" s="23"/>
    </row>
    <row r="1044" spans="34:56">
      <c r="AH1044" s="6">
        <f t="shared" si="211"/>
        <v>1014</v>
      </c>
      <c r="AI1044" s="7">
        <f t="shared" ca="1" si="212"/>
        <v>43684</v>
      </c>
      <c r="AJ1044" s="210">
        <f t="shared" ca="1" si="213"/>
        <v>4.0372950819672138</v>
      </c>
      <c r="AK1044" s="8">
        <f t="shared" ca="1" si="214"/>
        <v>1.0001121470856102</v>
      </c>
      <c r="AL1044" s="98">
        <f t="shared" ca="1" si="215"/>
        <v>3.7160104417794715</v>
      </c>
      <c r="AM1044" s="106">
        <f t="shared" ca="1" si="209"/>
        <v>28515.825005002647</v>
      </c>
      <c r="AN1044" s="10">
        <f t="shared" ca="1" si="210"/>
        <v>0.67718391980253756</v>
      </c>
      <c r="AO1044" s="158"/>
      <c r="AP1044" s="158"/>
      <c r="AQ1044" s="1"/>
      <c r="AR1044" s="1"/>
      <c r="AS1044" s="1"/>
      <c r="AT1044" s="1"/>
      <c r="AU1044" s="1"/>
      <c r="BC1044" s="23"/>
      <c r="BD1044" s="23"/>
    </row>
    <row r="1045" spans="34:56">
      <c r="AH1045" s="6">
        <f t="shared" si="211"/>
        <v>1015</v>
      </c>
      <c r="AI1045" s="7">
        <f t="shared" ca="1" si="212"/>
        <v>43685</v>
      </c>
      <c r="AJ1045" s="210">
        <f t="shared" ca="1" si="213"/>
        <v>4.0378415300546449</v>
      </c>
      <c r="AK1045" s="8">
        <f t="shared" ca="1" si="214"/>
        <v>1.0001121622647238</v>
      </c>
      <c r="AL1045" s="98">
        <f t="shared" ca="1" si="215"/>
        <v>3.7164652218105498</v>
      </c>
      <c r="AM1045" s="106">
        <f t="shared" ca="1" si="209"/>
        <v>28518.098949602529</v>
      </c>
      <c r="AN1045" s="10">
        <f t="shared" ca="1" si="210"/>
        <v>0.67768807979984302</v>
      </c>
      <c r="AO1045" s="158"/>
      <c r="AP1045" s="158"/>
      <c r="AQ1045" s="1"/>
      <c r="AR1045" s="1"/>
      <c r="AS1045" s="1"/>
      <c r="AT1045" s="1"/>
      <c r="AU1045" s="1"/>
      <c r="BC1045" s="23"/>
      <c r="BD1045" s="23"/>
    </row>
    <row r="1046" spans="34:56">
      <c r="AH1046" s="6">
        <f t="shared" si="211"/>
        <v>1016</v>
      </c>
      <c r="AI1046" s="7">
        <f t="shared" ca="1" si="212"/>
        <v>43686</v>
      </c>
      <c r="AJ1046" s="210">
        <f t="shared" ca="1" si="213"/>
        <v>4.0383879781420768</v>
      </c>
      <c r="AK1046" s="8">
        <f t="shared" ca="1" si="214"/>
        <v>1.0001121774438373</v>
      </c>
      <c r="AL1046" s="98">
        <f t="shared" ca="1" si="215"/>
        <v>3.7169196741116517</v>
      </c>
      <c r="AM1046" s="106">
        <f t="shared" ca="1" si="209"/>
        <v>28520.373075534146</v>
      </c>
      <c r="AN1046" s="10">
        <f t="shared" ca="1" si="210"/>
        <v>0.67819179882273595</v>
      </c>
      <c r="AO1046" s="158"/>
      <c r="AP1046" s="158"/>
      <c r="AQ1046" s="1"/>
      <c r="AR1046" s="1"/>
      <c r="AS1046" s="1"/>
      <c r="AT1046" s="1"/>
      <c r="AU1046" s="1"/>
      <c r="BC1046" s="23"/>
      <c r="BD1046" s="23"/>
    </row>
    <row r="1047" spans="34:56">
      <c r="AH1047" s="6">
        <f t="shared" si="211"/>
        <v>1017</v>
      </c>
      <c r="AI1047" s="7">
        <f t="shared" ca="1" si="212"/>
        <v>43687</v>
      </c>
      <c r="AJ1047" s="210">
        <f t="shared" ca="1" si="213"/>
        <v>4.0389344262295088</v>
      </c>
      <c r="AK1047" s="8">
        <f t="shared" ca="1" si="214"/>
        <v>1.0001121926229508</v>
      </c>
      <c r="AL1047" s="98">
        <f t="shared" ca="1" si="215"/>
        <v>3.7173737996510692</v>
      </c>
      <c r="AM1047" s="106">
        <f t="shared" ca="1" si="209"/>
        <v>28522.64738281196</v>
      </c>
      <c r="AN1047" s="10">
        <f t="shared" ca="1" si="210"/>
        <v>0.67869507817288621</v>
      </c>
      <c r="AO1047" s="158"/>
      <c r="AP1047" s="158"/>
      <c r="AQ1047" s="1"/>
      <c r="AR1047" s="1"/>
      <c r="AS1047" s="1"/>
      <c r="AT1047" s="1"/>
      <c r="AU1047" s="1"/>
      <c r="BC1047" s="23"/>
      <c r="BD1047" s="23"/>
    </row>
    <row r="1048" spans="34:56">
      <c r="AH1048" s="6">
        <f t="shared" si="211"/>
        <v>1018</v>
      </c>
      <c r="AI1048" s="7">
        <f t="shared" ca="1" si="212"/>
        <v>43688</v>
      </c>
      <c r="AJ1048" s="210">
        <f t="shared" ca="1" si="213"/>
        <v>4.0394808743169399</v>
      </c>
      <c r="AK1048" s="8">
        <f t="shared" ca="1" si="214"/>
        <v>1.0001122078020643</v>
      </c>
      <c r="AL1048" s="98">
        <f t="shared" ca="1" si="215"/>
        <v>3.7178275993933196</v>
      </c>
      <c r="AM1048" s="106">
        <f t="shared" ca="1" si="209"/>
        <v>28524.921871450431</v>
      </c>
      <c r="AN1048" s="10">
        <f t="shared" ca="1" si="210"/>
        <v>0.67919791914674565</v>
      </c>
      <c r="AO1048" s="158"/>
      <c r="AP1048" s="158"/>
      <c r="AQ1048" s="1"/>
      <c r="AR1048" s="1"/>
      <c r="AS1048" s="1"/>
      <c r="AT1048" s="1"/>
      <c r="AU1048" s="1"/>
      <c r="BC1048" s="23"/>
      <c r="BD1048" s="23"/>
    </row>
    <row r="1049" spans="34:56">
      <c r="AH1049" s="6">
        <f t="shared" si="211"/>
        <v>1019</v>
      </c>
      <c r="AI1049" s="7">
        <f t="shared" ca="1" si="212"/>
        <v>43689</v>
      </c>
      <c r="AJ1049" s="210">
        <f t="shared" ca="1" si="213"/>
        <v>4.0400273224043719</v>
      </c>
      <c r="AK1049" s="8">
        <f t="shared" ca="1" si="214"/>
        <v>1.0001122229811779</v>
      </c>
      <c r="AL1049" s="98">
        <f t="shared" ca="1" si="215"/>
        <v>3.7182810742991235</v>
      </c>
      <c r="AM1049" s="106">
        <f t="shared" ca="1" si="209"/>
        <v>28527.196541464022</v>
      </c>
      <c r="AN1049" s="10">
        <f t="shared" ca="1" si="210"/>
        <v>0.6797003230357479</v>
      </c>
      <c r="AO1049" s="158"/>
      <c r="AP1049" s="158"/>
      <c r="AQ1049" s="1"/>
      <c r="AR1049" s="1"/>
      <c r="AS1049" s="1"/>
      <c r="AT1049" s="1"/>
      <c r="AU1049" s="1"/>
      <c r="BC1049" s="23"/>
      <c r="BD1049" s="23"/>
    </row>
    <row r="1050" spans="34:56">
      <c r="AH1050" s="6">
        <f t="shared" si="211"/>
        <v>1020</v>
      </c>
      <c r="AI1050" s="7">
        <f t="shared" ca="1" si="212"/>
        <v>43690</v>
      </c>
      <c r="AJ1050" s="210">
        <f t="shared" ca="1" si="213"/>
        <v>4.0405737704918039</v>
      </c>
      <c r="AK1050" s="8">
        <f t="shared" ca="1" si="214"/>
        <v>1.0001122381602914</v>
      </c>
      <c r="AL1050" s="98">
        <f t="shared" ca="1" si="215"/>
        <v>3.7187342253254485</v>
      </c>
      <c r="AM1050" s="106">
        <f t="shared" ca="1" si="209"/>
        <v>28529.471392867195</v>
      </c>
      <c r="AN1050" s="10">
        <f t="shared" ca="1" si="210"/>
        <v>0.68020229112626396</v>
      </c>
      <c r="AO1050" s="158"/>
      <c r="AP1050" s="158"/>
      <c r="AQ1050" s="1"/>
      <c r="AR1050" s="1"/>
      <c r="AS1050" s="1"/>
      <c r="AT1050" s="1"/>
      <c r="AU1050" s="1"/>
      <c r="BC1050" s="23"/>
      <c r="BD1050" s="23"/>
    </row>
    <row r="1051" spans="34:56">
      <c r="AH1051" s="6">
        <f t="shared" si="211"/>
        <v>1021</v>
      </c>
      <c r="AI1051" s="7">
        <f t="shared" ca="1" si="212"/>
        <v>43691</v>
      </c>
      <c r="AJ1051" s="210">
        <f t="shared" ca="1" si="213"/>
        <v>4.041120218579235</v>
      </c>
      <c r="AK1051" s="8">
        <f t="shared" ca="1" si="214"/>
        <v>1.0001122533394049</v>
      </c>
      <c r="AL1051" s="98">
        <f t="shared" ca="1" si="215"/>
        <v>3.7191870534254878</v>
      </c>
      <c r="AM1051" s="106">
        <f t="shared" ca="1" si="209"/>
        <v>28531.74642567441</v>
      </c>
      <c r="AN1051" s="10">
        <f t="shared" ca="1" si="210"/>
        <v>0.68070382469962443</v>
      </c>
      <c r="AO1051" s="158"/>
      <c r="AP1051" s="158"/>
      <c r="AQ1051" s="1"/>
      <c r="AR1051" s="1"/>
      <c r="AS1051" s="1"/>
      <c r="AT1051" s="1"/>
      <c r="AU1051" s="1"/>
      <c r="BC1051" s="23"/>
      <c r="BD1051" s="23"/>
    </row>
    <row r="1052" spans="34:56">
      <c r="AH1052" s="6">
        <f t="shared" si="211"/>
        <v>1022</v>
      </c>
      <c r="AI1052" s="7">
        <f t="shared" ca="1" si="212"/>
        <v>43692</v>
      </c>
      <c r="AJ1052" s="210">
        <f t="shared" ca="1" si="213"/>
        <v>4.041666666666667</v>
      </c>
      <c r="AK1052" s="8">
        <f t="shared" ca="1" si="214"/>
        <v>1.0001122685185184</v>
      </c>
      <c r="AL1052" s="98">
        <f t="shared" ca="1" si="215"/>
        <v>3.7196395595487486</v>
      </c>
      <c r="AM1052" s="106">
        <f t="shared" ca="1" si="209"/>
        <v>28534.021639900144</v>
      </c>
      <c r="AN1052" s="10">
        <f t="shared" ca="1" si="210"/>
        <v>0.68120492503211949</v>
      </c>
      <c r="AO1052" s="158"/>
      <c r="AP1052" s="158"/>
      <c r="AQ1052" s="1"/>
      <c r="AR1052" s="1"/>
      <c r="AS1052" s="1"/>
      <c r="AT1052" s="1"/>
      <c r="AU1052" s="1"/>
      <c r="BC1052" s="23"/>
      <c r="BD1052" s="23"/>
    </row>
    <row r="1053" spans="34:56">
      <c r="AH1053" s="6">
        <f t="shared" si="211"/>
        <v>1023</v>
      </c>
      <c r="AI1053" s="7">
        <f t="shared" ca="1" si="212"/>
        <v>43693</v>
      </c>
      <c r="AJ1053" s="210">
        <f t="shared" ca="1" si="213"/>
        <v>4.0422131147540989</v>
      </c>
      <c r="AK1053" s="8">
        <f t="shared" ca="1" si="214"/>
        <v>1.0001122836976322</v>
      </c>
      <c r="AL1053" s="98">
        <f t="shared" ca="1" si="215"/>
        <v>3.7200917446410076</v>
      </c>
      <c r="AM1053" s="106">
        <f t="shared" ca="1" si="209"/>
        <v>28536.297035558859</v>
      </c>
      <c r="AN1053" s="10">
        <f t="shared" ca="1" si="210"/>
        <v>0.68170559339510994</v>
      </c>
      <c r="AO1053" s="158"/>
      <c r="AP1053" s="158"/>
      <c r="AQ1053" s="1"/>
      <c r="AR1053" s="1"/>
      <c r="AS1053" s="1"/>
      <c r="AT1053" s="1"/>
      <c r="AU1053" s="1"/>
      <c r="BC1053" s="23"/>
      <c r="BD1053" s="23"/>
    </row>
    <row r="1054" spans="34:56">
      <c r="AH1054" s="6">
        <f t="shared" si="211"/>
        <v>1024</v>
      </c>
      <c r="AI1054" s="7">
        <f t="shared" ca="1" si="212"/>
        <v>43694</v>
      </c>
      <c r="AJ1054" s="210">
        <f t="shared" ca="1" si="213"/>
        <v>4.04275956284153</v>
      </c>
      <c r="AK1054" s="8">
        <f t="shared" ca="1" si="214"/>
        <v>1.0001122988767457</v>
      </c>
      <c r="AL1054" s="98">
        <f t="shared" ca="1" si="215"/>
        <v>3.7205436096443334</v>
      </c>
      <c r="AM1054" s="106">
        <f t="shared" ca="1" si="209"/>
        <v>28538.572612665015</v>
      </c>
      <c r="AN1054" s="10">
        <f t="shared" ca="1" si="210"/>
        <v>0.68220583105498278</v>
      </c>
      <c r="AO1054" s="158"/>
      <c r="AP1054" s="158"/>
      <c r="AQ1054" s="1"/>
      <c r="AR1054" s="1"/>
      <c r="AS1054" s="1"/>
      <c r="AT1054" s="1"/>
      <c r="AU1054" s="1"/>
      <c r="BC1054" s="23"/>
      <c r="BD1054" s="23"/>
    </row>
    <row r="1055" spans="34:56">
      <c r="AH1055" s="6">
        <f t="shared" si="211"/>
        <v>1025</v>
      </c>
      <c r="AI1055" s="7">
        <f t="shared" ca="1" si="212"/>
        <v>43695</v>
      </c>
      <c r="AJ1055" s="210">
        <f t="shared" ca="1" si="213"/>
        <v>4.043306010928962</v>
      </c>
      <c r="AK1055" s="8">
        <f t="shared" ca="1" si="214"/>
        <v>1.0001123140558592</v>
      </c>
      <c r="AL1055" s="98">
        <f t="shared" ca="1" si="215"/>
        <v>3.720995155497131</v>
      </c>
      <c r="AM1055" s="106">
        <f t="shared" ref="AM1055:AM1118" ca="1" si="216">Geom_Interp(AI1055,$AZ$2:$AZ$109,$BA$2:$BA$109)</f>
        <v>28540.848371233093</v>
      </c>
      <c r="AN1055" s="10">
        <f t="shared" ref="AN1055:AN1118" ca="1" si="217">100*(((1+AL1055/100)^(AH1055/365)*$AM$29/AM1055)^(365/AH1055)-1)</f>
        <v>0.68270563927310679</v>
      </c>
      <c r="AO1055" s="158"/>
      <c r="AP1055" s="158"/>
      <c r="AQ1055" s="1"/>
      <c r="AR1055" s="1"/>
      <c r="AS1055" s="1"/>
      <c r="AT1055" s="1"/>
      <c r="AU1055" s="1"/>
      <c r="BC1055" s="23"/>
      <c r="BD1055" s="23"/>
    </row>
    <row r="1056" spans="34:56">
      <c r="AH1056" s="6">
        <f t="shared" ref="AH1056:AH1119" si="218">$AI$29+AH1055</f>
        <v>1026</v>
      </c>
      <c r="AI1056" s="7">
        <f t="shared" ref="AI1056:AI1119" ca="1" si="219">+AH1056+$C$1</f>
        <v>43696</v>
      </c>
      <c r="AJ1056" s="210">
        <f t="shared" ref="AJ1056:AJ1119" ca="1" si="220">IF(AH1056&lt;365,VLOOKUP(LOOKUP(AI1056,$AI$2:$AI$23),$AI$2:$AK$23,3,0),Lin_Interp(AH1056,$AJ$2:$AJ$23,$AK$2:$AK$23))</f>
        <v>4.043852459016394</v>
      </c>
      <c r="AK1056" s="8">
        <f t="shared" ca="1" si="214"/>
        <v>1.0001123292349727</v>
      </c>
      <c r="AL1056" s="98">
        <f t="shared" ca="1" si="215"/>
        <v>3.721446383134186</v>
      </c>
      <c r="AM1056" s="106">
        <f t="shared" ca="1" si="216"/>
        <v>28543.124311277559</v>
      </c>
      <c r="AN1056" s="10">
        <f t="shared" ca="1" si="217"/>
        <v>0.6832050193060768</v>
      </c>
      <c r="AO1056" s="158"/>
      <c r="AP1056" s="158"/>
      <c r="AQ1056" s="1"/>
      <c r="AR1056" s="1"/>
      <c r="AS1056" s="1"/>
      <c r="AT1056" s="1"/>
      <c r="AU1056" s="1"/>
      <c r="BC1056" s="23"/>
      <c r="BD1056" s="23"/>
    </row>
    <row r="1057" spans="34:56">
      <c r="AH1057" s="6">
        <f t="shared" si="218"/>
        <v>1027</v>
      </c>
      <c r="AI1057" s="7">
        <f t="shared" ca="1" si="219"/>
        <v>43697</v>
      </c>
      <c r="AJ1057" s="210">
        <f t="shared" ca="1" si="220"/>
        <v>4.0443989071038251</v>
      </c>
      <c r="AK1057" s="8">
        <f t="shared" ref="AK1057:AK1120" ca="1" si="221">+(1+AJ1057/36000)</f>
        <v>1.0001123444140863</v>
      </c>
      <c r="AL1057" s="98">
        <f t="shared" ref="AL1057:AL1120" ca="1" si="222">100*(((1+AL1056/100)^(AH1056/365)*AK1057)^(365/AH1057)-1)</f>
        <v>3.7218972934865757</v>
      </c>
      <c r="AM1057" s="106">
        <f t="shared" ca="1" si="216"/>
        <v>28545.400432812883</v>
      </c>
      <c r="AN1057" s="10">
        <f t="shared" ca="1" si="217"/>
        <v>0.68370397240546943</v>
      </c>
      <c r="AO1057" s="158"/>
      <c r="AP1057" s="158"/>
      <c r="AQ1057" s="1"/>
      <c r="AR1057" s="1"/>
      <c r="AS1057" s="1"/>
      <c r="AT1057" s="1"/>
      <c r="AU1057" s="1"/>
      <c r="BC1057" s="23"/>
      <c r="BD1057" s="23"/>
    </row>
    <row r="1058" spans="34:56">
      <c r="AH1058" s="6">
        <f t="shared" si="218"/>
        <v>1028</v>
      </c>
      <c r="AI1058" s="7">
        <f t="shared" ca="1" si="219"/>
        <v>43698</v>
      </c>
      <c r="AJ1058" s="210">
        <f t="shared" ca="1" si="220"/>
        <v>4.0449453551912571</v>
      </c>
      <c r="AK1058" s="8">
        <f t="shared" ca="1" si="221"/>
        <v>1.0001123595931998</v>
      </c>
      <c r="AL1058" s="98">
        <f t="shared" ca="1" si="222"/>
        <v>3.722347887481825</v>
      </c>
      <c r="AM1058" s="106">
        <f t="shared" ca="1" si="216"/>
        <v>28547.67673585354</v>
      </c>
      <c r="AN1058" s="10">
        <f t="shared" ca="1" si="217"/>
        <v>0.68420249981808734</v>
      </c>
      <c r="AO1058" s="158"/>
      <c r="AP1058" s="158"/>
      <c r="AQ1058" s="1"/>
      <c r="AR1058" s="1"/>
      <c r="AS1058" s="1"/>
      <c r="AT1058" s="1"/>
      <c r="AU1058" s="1"/>
      <c r="BC1058" s="23"/>
      <c r="BD1058" s="23"/>
    </row>
    <row r="1059" spans="34:56">
      <c r="AH1059" s="6">
        <f t="shared" si="218"/>
        <v>1029</v>
      </c>
      <c r="AI1059" s="7">
        <f t="shared" ca="1" si="219"/>
        <v>43699</v>
      </c>
      <c r="AJ1059" s="210">
        <f t="shared" ca="1" si="220"/>
        <v>4.0454918032786891</v>
      </c>
      <c r="AK1059" s="8">
        <f t="shared" ca="1" si="221"/>
        <v>1.0001123747723133</v>
      </c>
      <c r="AL1059" s="98">
        <f t="shared" ca="1" si="222"/>
        <v>3.722798166043817</v>
      </c>
      <c r="AM1059" s="106">
        <f t="shared" ca="1" si="216"/>
        <v>28549.953220414001</v>
      </c>
      <c r="AN1059" s="10">
        <f t="shared" ca="1" si="217"/>
        <v>0.68470060278582601</v>
      </c>
      <c r="AO1059" s="158"/>
      <c r="AP1059" s="158"/>
      <c r="AQ1059" s="1"/>
      <c r="AR1059" s="1"/>
      <c r="AS1059" s="1"/>
      <c r="AT1059" s="1"/>
      <c r="AU1059" s="1"/>
      <c r="BC1059" s="23"/>
      <c r="BD1059" s="23"/>
    </row>
    <row r="1060" spans="34:56">
      <c r="AH1060" s="6">
        <f t="shared" si="218"/>
        <v>1030</v>
      </c>
      <c r="AI1060" s="7">
        <f t="shared" ca="1" si="219"/>
        <v>43700</v>
      </c>
      <c r="AJ1060" s="210">
        <f t="shared" ca="1" si="220"/>
        <v>4.0460382513661202</v>
      </c>
      <c r="AK1060" s="8">
        <f t="shared" ca="1" si="221"/>
        <v>1.0001123899514268</v>
      </c>
      <c r="AL1060" s="98">
        <f t="shared" ca="1" si="222"/>
        <v>3.7232481300928599</v>
      </c>
      <c r="AM1060" s="106">
        <f t="shared" ca="1" si="216"/>
        <v>28552.22988650874</v>
      </c>
      <c r="AN1060" s="10">
        <f t="shared" ca="1" si="217"/>
        <v>0.68519828254585136</v>
      </c>
      <c r="AO1060" s="158"/>
      <c r="AP1060" s="158"/>
      <c r="AQ1060" s="1"/>
      <c r="AR1060" s="1"/>
      <c r="AS1060" s="1"/>
      <c r="AT1060" s="1"/>
      <c r="AU1060" s="1"/>
      <c r="BC1060" s="23"/>
      <c r="BD1060" s="23"/>
    </row>
    <row r="1061" spans="34:56">
      <c r="AH1061" s="6">
        <f t="shared" si="218"/>
        <v>1031</v>
      </c>
      <c r="AI1061" s="7">
        <f t="shared" ca="1" si="219"/>
        <v>43701</v>
      </c>
      <c r="AJ1061" s="210">
        <f t="shared" ca="1" si="220"/>
        <v>4.0465846994535521</v>
      </c>
      <c r="AK1061" s="8">
        <f t="shared" ca="1" si="221"/>
        <v>1.0001124051305403</v>
      </c>
      <c r="AL1061" s="98">
        <f t="shared" ca="1" si="222"/>
        <v>3.7236977805457094</v>
      </c>
      <c r="AM1061" s="106">
        <f t="shared" ca="1" si="216"/>
        <v>28554.506734152237</v>
      </c>
      <c r="AN1061" s="10">
        <f t="shared" ca="1" si="217"/>
        <v>0.68569554033044433</v>
      </c>
      <c r="AO1061" s="158"/>
      <c r="AP1061" s="158"/>
      <c r="AQ1061" s="1"/>
      <c r="AR1061" s="1"/>
      <c r="AS1061" s="1"/>
      <c r="AT1061" s="1"/>
      <c r="AU1061" s="1"/>
      <c r="BC1061" s="23"/>
      <c r="BD1061" s="23"/>
    </row>
    <row r="1062" spans="34:56">
      <c r="AH1062" s="6">
        <f t="shared" si="218"/>
        <v>1032</v>
      </c>
      <c r="AI1062" s="7">
        <f t="shared" ca="1" si="219"/>
        <v>43702</v>
      </c>
      <c r="AJ1062" s="210">
        <f t="shared" ca="1" si="220"/>
        <v>4.0471311475409841</v>
      </c>
      <c r="AK1062" s="8">
        <f t="shared" ca="1" si="221"/>
        <v>1.0001124203096539</v>
      </c>
      <c r="AL1062" s="98">
        <f t="shared" ca="1" si="222"/>
        <v>3.7241471183155239</v>
      </c>
      <c r="AM1062" s="106">
        <f t="shared" ca="1" si="216"/>
        <v>28556.783763358973</v>
      </c>
      <c r="AN1062" s="10">
        <f t="shared" ca="1" si="217"/>
        <v>0.68619237736713412</v>
      </c>
      <c r="AO1062" s="158"/>
      <c r="AP1062" s="158"/>
      <c r="AQ1062" s="1"/>
      <c r="AR1062" s="1"/>
      <c r="AS1062" s="1"/>
      <c r="AT1062" s="1"/>
      <c r="AU1062" s="1"/>
      <c r="BC1062" s="23"/>
      <c r="BD1062" s="23"/>
    </row>
    <row r="1063" spans="34:56">
      <c r="AH1063" s="6">
        <f t="shared" si="218"/>
        <v>1033</v>
      </c>
      <c r="AI1063" s="7">
        <f t="shared" ca="1" si="219"/>
        <v>43703</v>
      </c>
      <c r="AJ1063" s="210">
        <f t="shared" ca="1" si="220"/>
        <v>4.0476775956284152</v>
      </c>
      <c r="AK1063" s="8">
        <f t="shared" ca="1" si="221"/>
        <v>1.0001124354887674</v>
      </c>
      <c r="AL1063" s="98">
        <f t="shared" ca="1" si="222"/>
        <v>3.7245961443119979</v>
      </c>
      <c r="AM1063" s="106">
        <f t="shared" ca="1" si="216"/>
        <v>28559.060974143413</v>
      </c>
      <c r="AN1063" s="10">
        <f t="shared" ca="1" si="217"/>
        <v>0.68668879487874257</v>
      </c>
      <c r="AO1063" s="158"/>
      <c r="AP1063" s="158"/>
      <c r="AQ1063" s="1"/>
      <c r="AR1063" s="1"/>
      <c r="AS1063" s="1"/>
      <c r="AT1063" s="1"/>
      <c r="AU1063" s="1"/>
      <c r="BC1063" s="23"/>
      <c r="BD1063" s="23"/>
    </row>
    <row r="1064" spans="34:56">
      <c r="AH1064" s="6">
        <f t="shared" si="218"/>
        <v>1034</v>
      </c>
      <c r="AI1064" s="7">
        <f t="shared" ca="1" si="219"/>
        <v>43704</v>
      </c>
      <c r="AJ1064" s="210">
        <f t="shared" ca="1" si="220"/>
        <v>4.0482240437158472</v>
      </c>
      <c r="AK1064" s="8">
        <f t="shared" ca="1" si="221"/>
        <v>1.0001124506678809</v>
      </c>
      <c r="AL1064" s="98">
        <f t="shared" ca="1" si="222"/>
        <v>3.7250448594412511</v>
      </c>
      <c r="AM1064" s="106">
        <f t="shared" ca="1" si="216"/>
        <v>28561.338366520049</v>
      </c>
      <c r="AN1064" s="10">
        <f t="shared" ca="1" si="217"/>
        <v>0.68718479408333977</v>
      </c>
      <c r="AO1064" s="158"/>
      <c r="AP1064" s="158"/>
      <c r="AQ1064" s="1"/>
      <c r="AR1064" s="1"/>
      <c r="AS1064" s="1"/>
      <c r="AT1064" s="1"/>
      <c r="AU1064" s="1"/>
      <c r="BC1064" s="23"/>
      <c r="BD1064" s="23"/>
    </row>
    <row r="1065" spans="34:56">
      <c r="AH1065" s="6">
        <f t="shared" si="218"/>
        <v>1035</v>
      </c>
      <c r="AI1065" s="7">
        <f t="shared" ca="1" si="219"/>
        <v>43705</v>
      </c>
      <c r="AJ1065" s="210">
        <f t="shared" ca="1" si="220"/>
        <v>4.0487704918032792</v>
      </c>
      <c r="AK1065" s="8">
        <f t="shared" ca="1" si="221"/>
        <v>1.0001124658469944</v>
      </c>
      <c r="AL1065" s="98">
        <f t="shared" ca="1" si="222"/>
        <v>3.7254932646059613</v>
      </c>
      <c r="AM1065" s="106">
        <f t="shared" ca="1" si="216"/>
        <v>28563.615940503358</v>
      </c>
      <c r="AN1065" s="10">
        <f t="shared" ca="1" si="217"/>
        <v>0.68768037619431066</v>
      </c>
      <c r="AO1065" s="158"/>
      <c r="AP1065" s="158"/>
      <c r="AQ1065" s="1"/>
      <c r="AR1065" s="1"/>
      <c r="AS1065" s="1"/>
      <c r="AT1065" s="1"/>
      <c r="AU1065" s="1"/>
      <c r="BC1065" s="23"/>
      <c r="BD1065" s="23"/>
    </row>
    <row r="1066" spans="34:56">
      <c r="AH1066" s="6">
        <f t="shared" si="218"/>
        <v>1036</v>
      </c>
      <c r="AI1066" s="7">
        <f t="shared" ca="1" si="219"/>
        <v>43706</v>
      </c>
      <c r="AJ1066" s="210">
        <f t="shared" ca="1" si="220"/>
        <v>4.0493169398907103</v>
      </c>
      <c r="AK1066" s="8">
        <f t="shared" ca="1" si="221"/>
        <v>1.0001124810261082</v>
      </c>
      <c r="AL1066" s="98">
        <f t="shared" ca="1" si="222"/>
        <v>3.7259413607052538</v>
      </c>
      <c r="AM1066" s="106">
        <f t="shared" ca="1" si="216"/>
        <v>28565.893696107818</v>
      </c>
      <c r="AN1066" s="10">
        <f t="shared" ca="1" si="217"/>
        <v>0.68817554242033285</v>
      </c>
      <c r="AO1066" s="158"/>
      <c r="AP1066" s="158"/>
      <c r="AQ1066" s="1"/>
      <c r="AR1066" s="1"/>
      <c r="AS1066" s="1"/>
      <c r="AT1066" s="1"/>
      <c r="AU1066" s="1"/>
      <c r="BC1066" s="23"/>
      <c r="BD1066" s="23"/>
    </row>
    <row r="1067" spans="34:56">
      <c r="AH1067" s="6">
        <f t="shared" si="218"/>
        <v>1037</v>
      </c>
      <c r="AI1067" s="7">
        <f t="shared" ca="1" si="219"/>
        <v>43707</v>
      </c>
      <c r="AJ1067" s="210">
        <f t="shared" ca="1" si="220"/>
        <v>4.0498633879781423</v>
      </c>
      <c r="AK1067" s="8">
        <f t="shared" ca="1" si="221"/>
        <v>1.0001124962052217</v>
      </c>
      <c r="AL1067" s="98">
        <f t="shared" ca="1" si="222"/>
        <v>3.7263891486348344</v>
      </c>
      <c r="AM1067" s="106">
        <f t="shared" ca="1" si="216"/>
        <v>28568.17163334792</v>
      </c>
      <c r="AN1067" s="10">
        <f t="shared" ca="1" si="217"/>
        <v>0.68867029396542101</v>
      </c>
      <c r="AO1067" s="158"/>
      <c r="AP1067" s="158"/>
      <c r="AQ1067" s="1"/>
      <c r="AR1067" s="1"/>
      <c r="AS1067" s="1"/>
      <c r="AT1067" s="1"/>
      <c r="AU1067" s="1"/>
      <c r="BC1067" s="23"/>
      <c r="BD1067" s="23"/>
    </row>
    <row r="1068" spans="34:56">
      <c r="AH1068" s="6">
        <f t="shared" si="218"/>
        <v>1038</v>
      </c>
      <c r="AI1068" s="7">
        <f t="shared" ca="1" si="219"/>
        <v>43708</v>
      </c>
      <c r="AJ1068" s="210">
        <f t="shared" ca="1" si="220"/>
        <v>4.0504098360655743</v>
      </c>
      <c r="AK1068" s="8">
        <f t="shared" ca="1" si="221"/>
        <v>1.0001125113843352</v>
      </c>
      <c r="AL1068" s="98">
        <f t="shared" ca="1" si="222"/>
        <v>3.7268366292869448</v>
      </c>
      <c r="AM1068" s="106">
        <f t="shared" ca="1" si="216"/>
        <v>28570.449752238143</v>
      </c>
      <c r="AN1068" s="10">
        <f t="shared" ca="1" si="217"/>
        <v>0.68916463202899347</v>
      </c>
      <c r="AO1068" s="158"/>
      <c r="AP1068" s="158"/>
      <c r="AQ1068" s="1"/>
      <c r="AR1068" s="1"/>
      <c r="AS1068" s="1"/>
      <c r="AT1068" s="1"/>
      <c r="AU1068" s="1"/>
      <c r="BC1068" s="23"/>
      <c r="BD1068" s="23"/>
    </row>
    <row r="1069" spans="34:56">
      <c r="AH1069" s="6">
        <f t="shared" si="218"/>
        <v>1039</v>
      </c>
      <c r="AI1069" s="7">
        <f t="shared" ca="1" si="219"/>
        <v>43709</v>
      </c>
      <c r="AJ1069" s="210">
        <f t="shared" ca="1" si="220"/>
        <v>4.0509562841530053</v>
      </c>
      <c r="AK1069" s="8">
        <f t="shared" ca="1" si="221"/>
        <v>1.0001125265634487</v>
      </c>
      <c r="AL1069" s="98">
        <f t="shared" ca="1" si="222"/>
        <v>3.7272838035504074</v>
      </c>
      <c r="AM1069" s="106">
        <f t="shared" ca="1" si="216"/>
        <v>28572.728052792972</v>
      </c>
      <c r="AN1069" s="10">
        <f t="shared" ca="1" si="217"/>
        <v>0.68965855780585006</v>
      </c>
      <c r="AO1069" s="158"/>
      <c r="AP1069" s="158"/>
      <c r="AQ1069" s="1"/>
      <c r="AR1069" s="1"/>
      <c r="AS1069" s="1"/>
      <c r="AT1069" s="1"/>
      <c r="AU1069" s="1"/>
      <c r="BC1069" s="23"/>
      <c r="BD1069" s="23"/>
    </row>
    <row r="1070" spans="34:56">
      <c r="AH1070" s="6">
        <f t="shared" si="218"/>
        <v>1040</v>
      </c>
      <c r="AI1070" s="7">
        <f t="shared" ca="1" si="219"/>
        <v>43710</v>
      </c>
      <c r="AJ1070" s="210">
        <f t="shared" ca="1" si="220"/>
        <v>4.0515027322404373</v>
      </c>
      <c r="AK1070" s="8">
        <f t="shared" ca="1" si="221"/>
        <v>1.0001125417425623</v>
      </c>
      <c r="AL1070" s="98">
        <f t="shared" ca="1" si="222"/>
        <v>3.7277306723106252</v>
      </c>
      <c r="AM1070" s="106">
        <f t="shared" ca="1" si="216"/>
        <v>28575.006535026892</v>
      </c>
      <c r="AN1070" s="10">
        <f t="shared" ca="1" si="217"/>
        <v>0.69015207248617205</v>
      </c>
      <c r="AO1070" s="158"/>
      <c r="AP1070" s="158"/>
      <c r="AQ1070" s="1"/>
      <c r="AR1070" s="1"/>
      <c r="AS1070" s="1"/>
      <c r="AT1070" s="1"/>
      <c r="AU1070" s="1"/>
      <c r="BC1070" s="23"/>
      <c r="BD1070" s="23"/>
    </row>
    <row r="1071" spans="34:56">
      <c r="AH1071" s="6">
        <f t="shared" si="218"/>
        <v>1041</v>
      </c>
      <c r="AI1071" s="7">
        <f t="shared" ca="1" si="219"/>
        <v>43711</v>
      </c>
      <c r="AJ1071" s="210">
        <f t="shared" ca="1" si="220"/>
        <v>4.0520491803278693</v>
      </c>
      <c r="AK1071" s="8">
        <f t="shared" ca="1" si="221"/>
        <v>1.0001125569216758</v>
      </c>
      <c r="AL1071" s="98">
        <f t="shared" ca="1" si="222"/>
        <v>3.7281772364495813</v>
      </c>
      <c r="AM1071" s="106">
        <f t="shared" ca="1" si="216"/>
        <v>28577.2851989544</v>
      </c>
      <c r="AN1071" s="10">
        <f t="shared" ca="1" si="217"/>
        <v>0.69064517725556662</v>
      </c>
      <c r="AO1071" s="158"/>
      <c r="AP1071" s="158"/>
      <c r="AQ1071" s="1"/>
      <c r="AR1071" s="1"/>
      <c r="AS1071" s="1"/>
      <c r="AT1071" s="1"/>
      <c r="AU1071" s="1"/>
      <c r="BC1071" s="23"/>
      <c r="BD1071" s="23"/>
    </row>
    <row r="1072" spans="34:56">
      <c r="AH1072" s="6">
        <f t="shared" si="218"/>
        <v>1042</v>
      </c>
      <c r="AI1072" s="7">
        <f t="shared" ca="1" si="219"/>
        <v>43712</v>
      </c>
      <c r="AJ1072" s="210">
        <f t="shared" ca="1" si="220"/>
        <v>4.0525956284153004</v>
      </c>
      <c r="AK1072" s="8">
        <f t="shared" ca="1" si="221"/>
        <v>1.0001125721007893</v>
      </c>
      <c r="AL1072" s="98">
        <f t="shared" ca="1" si="222"/>
        <v>3.7286234968459064</v>
      </c>
      <c r="AM1072" s="106">
        <f t="shared" ca="1" si="216"/>
        <v>28579.564044589973</v>
      </c>
      <c r="AN1072" s="10">
        <f t="shared" ca="1" si="217"/>
        <v>0.69113787329513343</v>
      </c>
      <c r="AO1072" s="158"/>
      <c r="AP1072" s="158"/>
      <c r="AQ1072" s="1"/>
      <c r="AR1072" s="1"/>
      <c r="AS1072" s="1"/>
      <c r="AT1072" s="1"/>
      <c r="AU1072" s="1"/>
      <c r="BC1072" s="23"/>
      <c r="BD1072" s="23"/>
    </row>
    <row r="1073" spans="34:56">
      <c r="AH1073" s="6">
        <f t="shared" si="218"/>
        <v>1043</v>
      </c>
      <c r="AI1073" s="7">
        <f t="shared" ca="1" si="219"/>
        <v>43713</v>
      </c>
      <c r="AJ1073" s="210">
        <f t="shared" ca="1" si="220"/>
        <v>4.0531420765027324</v>
      </c>
      <c r="AK1073" s="8">
        <f t="shared" ca="1" si="221"/>
        <v>1.0001125872799028</v>
      </c>
      <c r="AL1073" s="98">
        <f t="shared" ca="1" si="222"/>
        <v>3.7290694543748337</v>
      </c>
      <c r="AM1073" s="106">
        <f t="shared" ca="1" si="216"/>
        <v>28581.843071948111</v>
      </c>
      <c r="AN1073" s="10">
        <f t="shared" ca="1" si="217"/>
        <v>0.69163016178144243</v>
      </c>
      <c r="AO1073" s="158"/>
      <c r="AP1073" s="158"/>
      <c r="AQ1073" s="1"/>
      <c r="AR1073" s="1"/>
      <c r="AS1073" s="1"/>
      <c r="AT1073" s="1"/>
      <c r="AU1073" s="1"/>
      <c r="BC1073" s="23"/>
      <c r="BD1073" s="23"/>
    </row>
    <row r="1074" spans="34:56">
      <c r="AH1074" s="6">
        <f t="shared" si="218"/>
        <v>1044</v>
      </c>
      <c r="AI1074" s="7">
        <f t="shared" ca="1" si="219"/>
        <v>43714</v>
      </c>
      <c r="AJ1074" s="210">
        <f t="shared" ca="1" si="220"/>
        <v>4.0536885245901644</v>
      </c>
      <c r="AK1074" s="8">
        <f t="shared" ca="1" si="221"/>
        <v>1.0001126024590163</v>
      </c>
      <c r="AL1074" s="98">
        <f t="shared" ca="1" si="222"/>
        <v>3.7295151099082657</v>
      </c>
      <c r="AM1074" s="106">
        <f t="shared" ca="1" si="216"/>
        <v>28584.122281043296</v>
      </c>
      <c r="AN1074" s="10">
        <f t="shared" ca="1" si="217"/>
        <v>0.69212204388651166</v>
      </c>
      <c r="AO1074" s="158"/>
      <c r="AP1074" s="158"/>
      <c r="AQ1074" s="1"/>
      <c r="AR1074" s="1"/>
      <c r="AS1074" s="1"/>
      <c r="AT1074" s="1"/>
      <c r="AU1074" s="1"/>
      <c r="BC1074" s="23"/>
      <c r="BD1074" s="23"/>
    </row>
    <row r="1075" spans="34:56">
      <c r="AH1075" s="6">
        <f t="shared" si="218"/>
        <v>1045</v>
      </c>
      <c r="AI1075" s="7">
        <f t="shared" ca="1" si="219"/>
        <v>43715</v>
      </c>
      <c r="AJ1075" s="210">
        <f t="shared" ca="1" si="220"/>
        <v>4.0542349726775955</v>
      </c>
      <c r="AK1075" s="8">
        <f t="shared" ca="1" si="221"/>
        <v>1.0001126176381299</v>
      </c>
      <c r="AL1075" s="98">
        <f t="shared" ca="1" si="222"/>
        <v>3.7299604643147743</v>
      </c>
      <c r="AM1075" s="106">
        <f t="shared" ca="1" si="216"/>
        <v>28586.401671890028</v>
      </c>
      <c r="AN1075" s="10">
        <f t="shared" ca="1" si="217"/>
        <v>0.69261352077796268</v>
      </c>
      <c r="AO1075" s="158"/>
      <c r="AP1075" s="158"/>
      <c r="AQ1075" s="1"/>
      <c r="AR1075" s="1"/>
      <c r="AS1075" s="1"/>
      <c r="AT1075" s="1"/>
      <c r="AU1075" s="1"/>
      <c r="BC1075" s="23"/>
      <c r="BD1075" s="23"/>
    </row>
    <row r="1076" spans="34:56">
      <c r="AH1076" s="6">
        <f t="shared" si="218"/>
        <v>1046</v>
      </c>
      <c r="AI1076" s="7">
        <f t="shared" ca="1" si="219"/>
        <v>43716</v>
      </c>
      <c r="AJ1076" s="210">
        <f t="shared" ca="1" si="220"/>
        <v>4.0547814207650275</v>
      </c>
      <c r="AK1076" s="8">
        <f t="shared" ca="1" si="221"/>
        <v>1.0001126328172434</v>
      </c>
      <c r="AL1076" s="98">
        <f t="shared" ca="1" si="222"/>
        <v>3.7304055184596008</v>
      </c>
      <c r="AM1076" s="106">
        <f t="shared" ca="1" si="216"/>
        <v>28588.681244502794</v>
      </c>
      <c r="AN1076" s="10">
        <f t="shared" ca="1" si="217"/>
        <v>0.69310459361886512</v>
      </c>
      <c r="AO1076" s="158"/>
      <c r="AP1076" s="158"/>
      <c r="AQ1076" s="1"/>
      <c r="AR1076" s="1"/>
      <c r="AS1076" s="1"/>
      <c r="AT1076" s="1"/>
      <c r="AU1076" s="1"/>
      <c r="BC1076" s="23"/>
      <c r="BD1076" s="23"/>
    </row>
    <row r="1077" spans="34:56">
      <c r="AH1077" s="6">
        <f t="shared" si="218"/>
        <v>1047</v>
      </c>
      <c r="AI1077" s="7">
        <f t="shared" ca="1" si="219"/>
        <v>43717</v>
      </c>
      <c r="AJ1077" s="210">
        <f t="shared" ca="1" si="220"/>
        <v>4.0553278688524594</v>
      </c>
      <c r="AK1077" s="8">
        <f t="shared" ca="1" si="221"/>
        <v>1.0001126479963569</v>
      </c>
      <c r="AL1077" s="98">
        <f t="shared" ca="1" si="222"/>
        <v>3.7308502732046778</v>
      </c>
      <c r="AM1077" s="106">
        <f t="shared" ca="1" si="216"/>
        <v>28590.960998896095</v>
      </c>
      <c r="AN1077" s="10">
        <f t="shared" ca="1" si="217"/>
        <v>0.69359526356791434</v>
      </c>
      <c r="AO1077" s="158"/>
      <c r="AP1077" s="158"/>
      <c r="AQ1077" s="1"/>
      <c r="AR1077" s="1"/>
      <c r="AS1077" s="1"/>
      <c r="AT1077" s="1"/>
      <c r="AU1077" s="1"/>
      <c r="BC1077" s="23"/>
      <c r="BD1077" s="23"/>
    </row>
    <row r="1078" spans="34:56">
      <c r="AH1078" s="6">
        <f t="shared" si="218"/>
        <v>1048</v>
      </c>
      <c r="AI1078" s="7">
        <f t="shared" ca="1" si="219"/>
        <v>43718</v>
      </c>
      <c r="AJ1078" s="210">
        <f t="shared" ca="1" si="220"/>
        <v>4.0558743169398905</v>
      </c>
      <c r="AK1078" s="8">
        <f t="shared" ca="1" si="221"/>
        <v>1.0001126631754707</v>
      </c>
      <c r="AL1078" s="98">
        <f t="shared" ca="1" si="222"/>
        <v>3.731294729408674</v>
      </c>
      <c r="AM1078" s="106">
        <f t="shared" ca="1" si="216"/>
        <v>28593.316936088446</v>
      </c>
      <c r="AN1078" s="10">
        <f t="shared" ca="1" si="217"/>
        <v>0.69399231572599973</v>
      </c>
      <c r="AO1078" s="158"/>
      <c r="AP1078" s="158"/>
      <c r="AQ1078" s="1"/>
      <c r="AR1078" s="1"/>
      <c r="AS1078" s="1"/>
      <c r="AT1078" s="1"/>
      <c r="AU1078" s="1"/>
      <c r="BC1078" s="23"/>
      <c r="BD1078" s="23"/>
    </row>
    <row r="1079" spans="34:56">
      <c r="AH1079" s="6">
        <f t="shared" si="218"/>
        <v>1049</v>
      </c>
      <c r="AI1079" s="7">
        <f t="shared" ca="1" si="219"/>
        <v>43719</v>
      </c>
      <c r="AJ1079" s="210">
        <f t="shared" ca="1" si="220"/>
        <v>4.0564207650273225</v>
      </c>
      <c r="AK1079" s="8">
        <f t="shared" ca="1" si="221"/>
        <v>1.0001126783545842</v>
      </c>
      <c r="AL1079" s="98">
        <f t="shared" ca="1" si="222"/>
        <v>3.7317388879269719</v>
      </c>
      <c r="AM1079" s="106">
        <f t="shared" ca="1" si="216"/>
        <v>28595.673067413492</v>
      </c>
      <c r="AN1079" s="10">
        <f t="shared" ca="1" si="217"/>
        <v>0.69438914419992503</v>
      </c>
      <c r="AO1079" s="158"/>
      <c r="AP1079" s="158"/>
      <c r="AQ1079" s="1"/>
      <c r="AR1079" s="1"/>
      <c r="AS1079" s="1"/>
      <c r="AT1079" s="1"/>
      <c r="AU1079" s="1"/>
      <c r="BC1079" s="23"/>
      <c r="BD1079" s="23"/>
    </row>
    <row r="1080" spans="34:56">
      <c r="AH1080" s="6">
        <f t="shared" si="218"/>
        <v>1050</v>
      </c>
      <c r="AI1080" s="7">
        <f t="shared" ca="1" si="219"/>
        <v>43720</v>
      </c>
      <c r="AJ1080" s="210">
        <f t="shared" ca="1" si="220"/>
        <v>4.0569672131147545</v>
      </c>
      <c r="AK1080" s="8">
        <f t="shared" ca="1" si="221"/>
        <v>1.0001126935336977</v>
      </c>
      <c r="AL1080" s="98">
        <f t="shared" ca="1" si="222"/>
        <v>3.7321827496116899</v>
      </c>
      <c r="AM1080" s="106">
        <f t="shared" ca="1" si="216"/>
        <v>28598.029392887216</v>
      </c>
      <c r="AN1080" s="10">
        <f t="shared" ca="1" si="217"/>
        <v>0.6947857496305998</v>
      </c>
      <c r="AO1080" s="158"/>
      <c r="AP1080" s="158"/>
      <c r="AQ1080" s="1"/>
      <c r="AR1080" s="1"/>
      <c r="AS1080" s="1"/>
      <c r="AT1080" s="1"/>
      <c r="AU1080" s="1"/>
      <c r="BC1080" s="23"/>
      <c r="BD1080" s="23"/>
    </row>
    <row r="1081" spans="34:56">
      <c r="AH1081" s="6">
        <f t="shared" si="218"/>
        <v>1051</v>
      </c>
      <c r="AI1081" s="7">
        <f t="shared" ca="1" si="219"/>
        <v>43721</v>
      </c>
      <c r="AJ1081" s="210">
        <f t="shared" ca="1" si="220"/>
        <v>4.0575136612021856</v>
      </c>
      <c r="AK1081" s="8">
        <f t="shared" ca="1" si="221"/>
        <v>1.0001127087128112</v>
      </c>
      <c r="AL1081" s="98">
        <f t="shared" ca="1" si="222"/>
        <v>3.7326263153117045</v>
      </c>
      <c r="AM1081" s="106">
        <f t="shared" ca="1" si="216"/>
        <v>28600.38591252562</v>
      </c>
      <c r="AN1081" s="10">
        <f t="shared" ca="1" si="217"/>
        <v>0.6951821326565133</v>
      </c>
      <c r="AO1081" s="158"/>
      <c r="AP1081" s="158"/>
      <c r="AQ1081" s="1"/>
      <c r="AR1081" s="1"/>
      <c r="AS1081" s="1"/>
      <c r="AT1081" s="1"/>
      <c r="AU1081" s="1"/>
      <c r="BC1081" s="23"/>
      <c r="BD1081" s="23"/>
    </row>
    <row r="1082" spans="34:56">
      <c r="AH1082" s="6">
        <f t="shared" si="218"/>
        <v>1052</v>
      </c>
      <c r="AI1082" s="7">
        <f t="shared" ca="1" si="219"/>
        <v>43722</v>
      </c>
      <c r="AJ1082" s="210">
        <f t="shared" ca="1" si="220"/>
        <v>4.0580601092896176</v>
      </c>
      <c r="AK1082" s="8">
        <f t="shared" ca="1" si="221"/>
        <v>1.0001127238919247</v>
      </c>
      <c r="AL1082" s="98">
        <f t="shared" ca="1" si="222"/>
        <v>3.7330695858726948</v>
      </c>
      <c r="AM1082" s="106">
        <f t="shared" ca="1" si="216"/>
        <v>28602.742626344701</v>
      </c>
      <c r="AN1082" s="10">
        <f t="shared" ca="1" si="217"/>
        <v>0.69557829391366788</v>
      </c>
      <c r="AO1082" s="158"/>
      <c r="AP1082" s="158"/>
      <c r="AQ1082" s="1"/>
      <c r="AR1082" s="1"/>
      <c r="AS1082" s="1"/>
      <c r="AT1082" s="1"/>
      <c r="AU1082" s="1"/>
      <c r="BC1082" s="23"/>
      <c r="BD1082" s="23"/>
    </row>
    <row r="1083" spans="34:56">
      <c r="AH1083" s="6">
        <f t="shared" si="218"/>
        <v>1053</v>
      </c>
      <c r="AI1083" s="7">
        <f t="shared" ca="1" si="219"/>
        <v>43723</v>
      </c>
      <c r="AJ1083" s="210">
        <f t="shared" ca="1" si="220"/>
        <v>4.0586065573770496</v>
      </c>
      <c r="AK1083" s="8">
        <f t="shared" ca="1" si="221"/>
        <v>1.0001127390710383</v>
      </c>
      <c r="AL1083" s="98">
        <f t="shared" ca="1" si="222"/>
        <v>3.7335125621370979</v>
      </c>
      <c r="AM1083" s="106">
        <f t="shared" ca="1" si="216"/>
        <v>28605.099534360466</v>
      </c>
      <c r="AN1083" s="10">
        <f t="shared" ca="1" si="217"/>
        <v>0.69597423403573444</v>
      </c>
      <c r="AO1083" s="158"/>
      <c r="AP1083" s="158"/>
      <c r="AQ1083" s="1"/>
      <c r="AR1083" s="1"/>
      <c r="AS1083" s="1"/>
      <c r="AT1083" s="1"/>
      <c r="AU1083" s="1"/>
      <c r="BC1083" s="23"/>
      <c r="BD1083" s="23"/>
    </row>
    <row r="1084" spans="34:56">
      <c r="AH1084" s="6">
        <f t="shared" si="218"/>
        <v>1054</v>
      </c>
      <c r="AI1084" s="7">
        <f t="shared" ca="1" si="219"/>
        <v>43724</v>
      </c>
      <c r="AJ1084" s="210">
        <f t="shared" ca="1" si="220"/>
        <v>4.0591530054644815</v>
      </c>
      <c r="AK1084" s="8">
        <f t="shared" ca="1" si="221"/>
        <v>1.0001127542501518</v>
      </c>
      <c r="AL1084" s="98">
        <f t="shared" ca="1" si="222"/>
        <v>3.733955244944176</v>
      </c>
      <c r="AM1084" s="106">
        <f t="shared" ca="1" si="216"/>
        <v>28607.456636588919</v>
      </c>
      <c r="AN1084" s="10">
        <f t="shared" ca="1" si="217"/>
        <v>0.69636995365391918</v>
      </c>
      <c r="AO1084" s="158"/>
      <c r="AP1084" s="158"/>
      <c r="AQ1084" s="1"/>
      <c r="AR1084" s="1"/>
      <c r="AS1084" s="1"/>
      <c r="AT1084" s="1"/>
      <c r="AU1084" s="1"/>
      <c r="BC1084" s="23"/>
      <c r="BD1084" s="23"/>
    </row>
    <row r="1085" spans="34:56">
      <c r="AH1085" s="6">
        <f t="shared" si="218"/>
        <v>1055</v>
      </c>
      <c r="AI1085" s="7">
        <f t="shared" ca="1" si="219"/>
        <v>43725</v>
      </c>
      <c r="AJ1085" s="210">
        <f t="shared" ca="1" si="220"/>
        <v>4.0596994535519126</v>
      </c>
      <c r="AK1085" s="8">
        <f t="shared" ca="1" si="221"/>
        <v>1.0001127694292653</v>
      </c>
      <c r="AL1085" s="98">
        <f t="shared" ca="1" si="222"/>
        <v>3.7343976351300157</v>
      </c>
      <c r="AM1085" s="106">
        <f t="shared" ca="1" si="216"/>
        <v>28609.813933046051</v>
      </c>
      <c r="AN1085" s="10">
        <f t="shared" ca="1" si="217"/>
        <v>0.69676545339707463</v>
      </c>
      <c r="AO1085" s="158"/>
      <c r="AP1085" s="158"/>
      <c r="AQ1085" s="1"/>
      <c r="AR1085" s="1"/>
      <c r="AS1085" s="1"/>
      <c r="AT1085" s="1"/>
      <c r="AU1085" s="1"/>
      <c r="BC1085" s="23"/>
      <c r="BD1085" s="23"/>
    </row>
    <row r="1086" spans="34:56">
      <c r="AH1086" s="6">
        <f t="shared" si="218"/>
        <v>1056</v>
      </c>
      <c r="AI1086" s="7">
        <f t="shared" ca="1" si="219"/>
        <v>43726</v>
      </c>
      <c r="AJ1086" s="210">
        <f t="shared" ca="1" si="220"/>
        <v>4.0602459016393446</v>
      </c>
      <c r="AK1086" s="8">
        <f t="shared" ca="1" si="221"/>
        <v>1.0001127846083788</v>
      </c>
      <c r="AL1086" s="98">
        <f t="shared" ca="1" si="222"/>
        <v>3.7348397335275285</v>
      </c>
      <c r="AM1086" s="106">
        <f t="shared" ca="1" si="216"/>
        <v>28612.171423747881</v>
      </c>
      <c r="AN1086" s="10">
        <f t="shared" ca="1" si="217"/>
        <v>0.69716073389163302</v>
      </c>
      <c r="AO1086" s="158"/>
      <c r="AP1086" s="158"/>
      <c r="AQ1086" s="1"/>
      <c r="AR1086" s="1"/>
      <c r="AS1086" s="1"/>
      <c r="AT1086" s="1"/>
      <c r="AU1086" s="1"/>
      <c r="BC1086" s="23"/>
      <c r="BD1086" s="23"/>
    </row>
    <row r="1087" spans="34:56">
      <c r="AH1087" s="6">
        <f t="shared" si="218"/>
        <v>1057</v>
      </c>
      <c r="AI1087" s="7">
        <f t="shared" ca="1" si="219"/>
        <v>43727</v>
      </c>
      <c r="AJ1087" s="210">
        <f t="shared" ca="1" si="220"/>
        <v>4.0607923497267766</v>
      </c>
      <c r="AK1087" s="8">
        <f t="shared" ca="1" si="221"/>
        <v>1.0001127997874923</v>
      </c>
      <c r="AL1087" s="98">
        <f t="shared" ca="1" si="222"/>
        <v>3.735281540966473</v>
      </c>
      <c r="AM1087" s="106">
        <f t="shared" ca="1" si="216"/>
        <v>28614.529108710405</v>
      </c>
      <c r="AN1087" s="10">
        <f t="shared" ca="1" si="217"/>
        <v>0.69755579576169513</v>
      </c>
      <c r="AO1087" s="158"/>
      <c r="AP1087" s="158"/>
      <c r="AQ1087" s="1"/>
      <c r="AR1087" s="1"/>
      <c r="AS1087" s="1"/>
      <c r="AT1087" s="1"/>
      <c r="AU1087" s="1"/>
      <c r="BC1087" s="23"/>
      <c r="BD1087" s="23"/>
    </row>
    <row r="1088" spans="34:56">
      <c r="AH1088" s="6">
        <f t="shared" si="218"/>
        <v>1058</v>
      </c>
      <c r="AI1088" s="7">
        <f t="shared" ca="1" si="219"/>
        <v>43728</v>
      </c>
      <c r="AJ1088" s="210">
        <f t="shared" ca="1" si="220"/>
        <v>4.0613387978142077</v>
      </c>
      <c r="AK1088" s="8">
        <f t="shared" ca="1" si="221"/>
        <v>1.0001128149666059</v>
      </c>
      <c r="AL1088" s="98">
        <f t="shared" ca="1" si="222"/>
        <v>3.7357230582734546</v>
      </c>
      <c r="AM1088" s="106">
        <f t="shared" ca="1" si="216"/>
        <v>28616.886987949634</v>
      </c>
      <c r="AN1088" s="10">
        <f t="shared" ca="1" si="217"/>
        <v>0.69795063962898585</v>
      </c>
      <c r="AO1088" s="158"/>
      <c r="AP1088" s="158"/>
      <c r="AQ1088" s="1"/>
      <c r="AR1088" s="1"/>
      <c r="AS1088" s="1"/>
      <c r="AT1088" s="1"/>
      <c r="AU1088" s="1"/>
      <c r="BC1088" s="23"/>
      <c r="BD1088" s="23"/>
    </row>
    <row r="1089" spans="34:56">
      <c r="AH1089" s="6">
        <f t="shared" si="218"/>
        <v>1059</v>
      </c>
      <c r="AI1089" s="7">
        <f t="shared" ca="1" si="219"/>
        <v>43729</v>
      </c>
      <c r="AJ1089" s="210">
        <f t="shared" ca="1" si="220"/>
        <v>4.0618852459016397</v>
      </c>
      <c r="AK1089" s="8">
        <f t="shared" ca="1" si="221"/>
        <v>1.0001128301457194</v>
      </c>
      <c r="AL1089" s="98">
        <f t="shared" ca="1" si="222"/>
        <v>3.7361642862720146</v>
      </c>
      <c r="AM1089" s="106">
        <f t="shared" ca="1" si="216"/>
        <v>28619.245061481572</v>
      </c>
      <c r="AN1089" s="10">
        <f t="shared" ca="1" si="217"/>
        <v>0.69834526611287639</v>
      </c>
      <c r="AO1089" s="158"/>
      <c r="AP1089" s="158"/>
      <c r="AQ1089" s="1"/>
      <c r="AR1089" s="1"/>
      <c r="AS1089" s="1"/>
      <c r="AT1089" s="1"/>
      <c r="AU1089" s="1"/>
      <c r="BC1089" s="23"/>
      <c r="BD1089" s="23"/>
    </row>
    <row r="1090" spans="34:56">
      <c r="AH1090" s="6">
        <f t="shared" si="218"/>
        <v>1060</v>
      </c>
      <c r="AI1090" s="7">
        <f t="shared" ca="1" si="219"/>
        <v>43730</v>
      </c>
      <c r="AJ1090" s="210">
        <f t="shared" ca="1" si="220"/>
        <v>4.0624316939890717</v>
      </c>
      <c r="AK1090" s="8">
        <f t="shared" ca="1" si="221"/>
        <v>1.0001128453248331</v>
      </c>
      <c r="AL1090" s="98">
        <f t="shared" ca="1" si="222"/>
        <v>3.7366052257825411</v>
      </c>
      <c r="AM1090" s="106">
        <f t="shared" ca="1" si="216"/>
        <v>28621.603329322243</v>
      </c>
      <c r="AN1090" s="10">
        <f t="shared" ca="1" si="217"/>
        <v>0.69873967583042873</v>
      </c>
      <c r="AO1090" s="158"/>
      <c r="AP1090" s="158"/>
      <c r="AQ1090" s="1"/>
      <c r="AR1090" s="1"/>
      <c r="AS1090" s="1"/>
      <c r="AT1090" s="1"/>
      <c r="AU1090" s="1"/>
      <c r="BC1090" s="23"/>
      <c r="BD1090" s="23"/>
    </row>
    <row r="1091" spans="34:56">
      <c r="AH1091" s="6">
        <f t="shared" si="218"/>
        <v>1061</v>
      </c>
      <c r="AI1091" s="7">
        <f t="shared" ca="1" si="219"/>
        <v>43731</v>
      </c>
      <c r="AJ1091" s="210">
        <f t="shared" ca="1" si="220"/>
        <v>4.0629781420765028</v>
      </c>
      <c r="AK1091" s="8">
        <f t="shared" ca="1" si="221"/>
        <v>1.0001128605039467</v>
      </c>
      <c r="AL1091" s="98">
        <f t="shared" ca="1" si="222"/>
        <v>3.7370458776223581</v>
      </c>
      <c r="AM1091" s="106">
        <f t="shared" ca="1" si="216"/>
        <v>28623.961791487643</v>
      </c>
      <c r="AN1091" s="10">
        <f t="shared" ca="1" si="217"/>
        <v>0.69913386939635114</v>
      </c>
      <c r="AO1091" s="158"/>
      <c r="AP1091" s="158"/>
      <c r="AQ1091" s="1"/>
      <c r="AR1091" s="1"/>
      <c r="AS1091" s="1"/>
      <c r="AT1091" s="1"/>
      <c r="AU1091" s="1"/>
      <c r="BC1091" s="23"/>
      <c r="BD1091" s="23"/>
    </row>
    <row r="1092" spans="34:56">
      <c r="AH1092" s="6">
        <f t="shared" si="218"/>
        <v>1062</v>
      </c>
      <c r="AI1092" s="7">
        <f t="shared" ca="1" si="219"/>
        <v>43732</v>
      </c>
      <c r="AJ1092" s="210">
        <f t="shared" ca="1" si="220"/>
        <v>4.0635245901639347</v>
      </c>
      <c r="AK1092" s="8">
        <f t="shared" ca="1" si="221"/>
        <v>1.0001128756830602</v>
      </c>
      <c r="AL1092" s="98">
        <f t="shared" ca="1" si="222"/>
        <v>3.7374862426057032</v>
      </c>
      <c r="AM1092" s="106">
        <f t="shared" ca="1" si="216"/>
        <v>28626.320447993792</v>
      </c>
      <c r="AN1092" s="10">
        <f t="shared" ca="1" si="217"/>
        <v>0.69952784742304264</v>
      </c>
      <c r="AO1092" s="158"/>
      <c r="AP1092" s="158"/>
      <c r="AQ1092" s="1"/>
      <c r="AR1092" s="1"/>
      <c r="AS1092" s="1"/>
      <c r="AT1092" s="1"/>
      <c r="AU1092" s="1"/>
      <c r="BC1092" s="23"/>
      <c r="BD1092" s="23"/>
    </row>
    <row r="1093" spans="34:56">
      <c r="AH1093" s="6">
        <f t="shared" si="218"/>
        <v>1063</v>
      </c>
      <c r="AI1093" s="7">
        <f t="shared" ca="1" si="219"/>
        <v>43733</v>
      </c>
      <c r="AJ1093" s="210">
        <f t="shared" ca="1" si="220"/>
        <v>4.0640710382513667</v>
      </c>
      <c r="AK1093" s="8">
        <f t="shared" ca="1" si="221"/>
        <v>1.0001128908621737</v>
      </c>
      <c r="AL1093" s="98">
        <f t="shared" ca="1" si="222"/>
        <v>3.7379263215437275</v>
      </c>
      <c r="AM1093" s="106">
        <f t="shared" ca="1" si="216"/>
        <v>28628.679298856707</v>
      </c>
      <c r="AN1093" s="10">
        <f t="shared" ca="1" si="217"/>
        <v>0.69992161052061519</v>
      </c>
      <c r="AO1093" s="158"/>
      <c r="AP1093" s="158"/>
      <c r="AQ1093" s="1"/>
      <c r="AR1093" s="1"/>
      <c r="AS1093" s="1"/>
      <c r="AT1093" s="1"/>
      <c r="AU1093" s="1"/>
      <c r="BC1093" s="23"/>
      <c r="BD1093" s="23"/>
    </row>
    <row r="1094" spans="34:56">
      <c r="AH1094" s="6">
        <f t="shared" si="218"/>
        <v>1064</v>
      </c>
      <c r="AI1094" s="7">
        <f t="shared" ca="1" si="219"/>
        <v>43734</v>
      </c>
      <c r="AJ1094" s="210">
        <f t="shared" ca="1" si="220"/>
        <v>4.0646174863387978</v>
      </c>
      <c r="AK1094" s="8">
        <f t="shared" ca="1" si="221"/>
        <v>1.0001129060412872</v>
      </c>
      <c r="AL1094" s="98">
        <f t="shared" ca="1" si="222"/>
        <v>3.7383661152445846</v>
      </c>
      <c r="AM1094" s="106">
        <f t="shared" ca="1" si="216"/>
        <v>28631.038344092391</v>
      </c>
      <c r="AN1094" s="10">
        <f t="shared" ca="1" si="217"/>
        <v>0.70031515929687149</v>
      </c>
      <c r="AO1094" s="158"/>
      <c r="AP1094" s="158"/>
      <c r="AQ1094" s="1"/>
      <c r="AR1094" s="1"/>
      <c r="AS1094" s="1"/>
      <c r="AT1094" s="1"/>
      <c r="AU1094" s="1"/>
      <c r="BC1094" s="23"/>
      <c r="BD1094" s="23"/>
    </row>
    <row r="1095" spans="34:56">
      <c r="AH1095" s="6">
        <f t="shared" si="218"/>
        <v>1065</v>
      </c>
      <c r="AI1095" s="7">
        <f t="shared" ca="1" si="219"/>
        <v>43735</v>
      </c>
      <c r="AJ1095" s="210">
        <f t="shared" ca="1" si="220"/>
        <v>4.0651639344262298</v>
      </c>
      <c r="AK1095" s="8">
        <f t="shared" ca="1" si="221"/>
        <v>1.0001129212204007</v>
      </c>
      <c r="AL1095" s="98">
        <f t="shared" ca="1" si="222"/>
        <v>3.7388056245133638</v>
      </c>
      <c r="AM1095" s="106">
        <f t="shared" ca="1" si="216"/>
        <v>28633.397583716869</v>
      </c>
      <c r="AN1095" s="10">
        <f t="shared" ca="1" si="217"/>
        <v>0.70070849435734939</v>
      </c>
      <c r="AO1095" s="158"/>
      <c r="AP1095" s="158"/>
      <c r="AQ1095" s="1"/>
      <c r="AR1095" s="1"/>
      <c r="AS1095" s="1"/>
      <c r="AT1095" s="1"/>
      <c r="AU1095" s="1"/>
      <c r="BC1095" s="23"/>
      <c r="BD1095" s="23"/>
    </row>
    <row r="1096" spans="34:56">
      <c r="AH1096" s="6">
        <f t="shared" si="218"/>
        <v>1066</v>
      </c>
      <c r="AI1096" s="7">
        <f t="shared" ca="1" si="219"/>
        <v>43736</v>
      </c>
      <c r="AJ1096" s="210">
        <f t="shared" ca="1" si="220"/>
        <v>4.0657103825136618</v>
      </c>
      <c r="AK1096" s="8">
        <f t="shared" ca="1" si="221"/>
        <v>1.0001129363995143</v>
      </c>
      <c r="AL1096" s="98">
        <f t="shared" ca="1" si="222"/>
        <v>3.7392448501521347</v>
      </c>
      <c r="AM1096" s="106">
        <f t="shared" ca="1" si="216"/>
        <v>28635.757017746164</v>
      </c>
      <c r="AN1096" s="10">
        <f t="shared" ca="1" si="217"/>
        <v>0.70110161630529966</v>
      </c>
      <c r="AO1096" s="158"/>
      <c r="AP1096" s="158"/>
      <c r="AQ1096" s="1"/>
      <c r="AR1096" s="1"/>
      <c r="AS1096" s="1"/>
      <c r="AT1096" s="1"/>
      <c r="AU1096" s="1"/>
      <c r="BC1096" s="23"/>
      <c r="BD1096" s="23"/>
    </row>
    <row r="1097" spans="34:56">
      <c r="AH1097" s="6">
        <f t="shared" si="218"/>
        <v>1067</v>
      </c>
      <c r="AI1097" s="7">
        <f t="shared" ca="1" si="219"/>
        <v>43737</v>
      </c>
      <c r="AJ1097" s="210">
        <f t="shared" ca="1" si="220"/>
        <v>4.0662568306010929</v>
      </c>
      <c r="AK1097" s="8">
        <f t="shared" ca="1" si="221"/>
        <v>1.0001129515786278</v>
      </c>
      <c r="AL1097" s="98">
        <f t="shared" ca="1" si="222"/>
        <v>3.7396837929599913</v>
      </c>
      <c r="AM1097" s="106">
        <f t="shared" ca="1" si="216"/>
        <v>28638.116646196286</v>
      </c>
      <c r="AN1097" s="10">
        <f t="shared" ca="1" si="217"/>
        <v>0.70149452574175264</v>
      </c>
      <c r="AO1097" s="158"/>
      <c r="AP1097" s="158"/>
      <c r="AQ1097" s="1"/>
      <c r="AR1097" s="1"/>
      <c r="AS1097" s="1"/>
      <c r="AT1097" s="1"/>
      <c r="AU1097" s="1"/>
      <c r="BC1097" s="23"/>
      <c r="BD1097" s="23"/>
    </row>
    <row r="1098" spans="34:56">
      <c r="AH1098" s="6">
        <f t="shared" si="218"/>
        <v>1068</v>
      </c>
      <c r="AI1098" s="7">
        <f t="shared" ca="1" si="219"/>
        <v>43738</v>
      </c>
      <c r="AJ1098" s="210">
        <f t="shared" ca="1" si="220"/>
        <v>4.0668032786885249</v>
      </c>
      <c r="AK1098" s="8">
        <f t="shared" ca="1" si="221"/>
        <v>1.0001129667577413</v>
      </c>
      <c r="AL1098" s="98">
        <f t="shared" ca="1" si="222"/>
        <v>3.7401224537329858</v>
      </c>
      <c r="AM1098" s="106">
        <f t="shared" ca="1" si="216"/>
        <v>28640.476469083256</v>
      </c>
      <c r="AN1098" s="10">
        <f t="shared" ca="1" si="217"/>
        <v>0.7018872232654072</v>
      </c>
      <c r="AO1098" s="158"/>
      <c r="AP1098" s="158"/>
      <c r="AQ1098" s="1"/>
      <c r="AR1098" s="1"/>
      <c r="AS1098" s="1"/>
      <c r="AT1098" s="1"/>
      <c r="AU1098" s="1"/>
      <c r="BC1098" s="23"/>
      <c r="BD1098" s="23"/>
    </row>
    <row r="1099" spans="34:56">
      <c r="AH1099" s="6">
        <f t="shared" si="218"/>
        <v>1069</v>
      </c>
      <c r="AI1099" s="7">
        <f t="shared" ca="1" si="219"/>
        <v>43739</v>
      </c>
      <c r="AJ1099" s="210">
        <f t="shared" ca="1" si="220"/>
        <v>4.0673497267759569</v>
      </c>
      <c r="AK1099" s="8">
        <f t="shared" ca="1" si="221"/>
        <v>1.0001129819368548</v>
      </c>
      <c r="AL1099" s="98">
        <f t="shared" ca="1" si="222"/>
        <v>3.7405608332642393</v>
      </c>
      <c r="AM1099" s="106">
        <f t="shared" ca="1" si="216"/>
        <v>28642.836486423104</v>
      </c>
      <c r="AN1099" s="10">
        <f t="shared" ca="1" si="217"/>
        <v>0.70227970947278617</v>
      </c>
      <c r="AO1099" s="158"/>
      <c r="AP1099" s="158"/>
      <c r="AQ1099" s="1"/>
      <c r="AR1099" s="1"/>
      <c r="AS1099" s="1"/>
      <c r="AT1099" s="1"/>
      <c r="AU1099" s="1"/>
      <c r="BC1099" s="23"/>
      <c r="BD1099" s="23"/>
    </row>
    <row r="1100" spans="34:56">
      <c r="AH1100" s="6">
        <f t="shared" si="218"/>
        <v>1070</v>
      </c>
      <c r="AI1100" s="7">
        <f t="shared" ca="1" si="219"/>
        <v>43740</v>
      </c>
      <c r="AJ1100" s="210">
        <f t="shared" ca="1" si="220"/>
        <v>4.0678961748633879</v>
      </c>
      <c r="AK1100" s="8">
        <f t="shared" ca="1" si="221"/>
        <v>1.0001129971159683</v>
      </c>
      <c r="AL1100" s="98">
        <f t="shared" ca="1" si="222"/>
        <v>3.7409989323438975</v>
      </c>
      <c r="AM1100" s="106">
        <f t="shared" ca="1" si="216"/>
        <v>28645.196698231844</v>
      </c>
      <c r="AN1100" s="10">
        <f t="shared" ca="1" si="217"/>
        <v>0.70267198495819194</v>
      </c>
      <c r="AO1100" s="158"/>
      <c r="AP1100" s="158"/>
      <c r="AQ1100" s="1"/>
      <c r="AR1100" s="1"/>
      <c r="AS1100" s="1"/>
      <c r="AT1100" s="1"/>
      <c r="AU1100" s="1"/>
      <c r="BC1100" s="23"/>
      <c r="BD1100" s="23"/>
    </row>
    <row r="1101" spans="34:56">
      <c r="AH1101" s="6">
        <f t="shared" si="218"/>
        <v>1071</v>
      </c>
      <c r="AI1101" s="7">
        <f t="shared" ca="1" si="219"/>
        <v>43741</v>
      </c>
      <c r="AJ1101" s="210">
        <f t="shared" ca="1" si="220"/>
        <v>4.0684426229508199</v>
      </c>
      <c r="AK1101" s="8">
        <f t="shared" ca="1" si="221"/>
        <v>1.0001130122950819</v>
      </c>
      <c r="AL1101" s="98">
        <f t="shared" ca="1" si="222"/>
        <v>3.7414367517591307</v>
      </c>
      <c r="AM1101" s="106">
        <f t="shared" ca="1" si="216"/>
        <v>28647.557104525513</v>
      </c>
      <c r="AN1101" s="10">
        <f t="shared" ca="1" si="217"/>
        <v>0.70306405031363983</v>
      </c>
      <c r="AO1101" s="158"/>
      <c r="AP1101" s="158"/>
      <c r="AQ1101" s="1"/>
      <c r="AR1101" s="1"/>
      <c r="AS1101" s="1"/>
      <c r="AT1101" s="1"/>
      <c r="AU1101" s="1"/>
      <c r="BC1101" s="23"/>
      <c r="BD1101" s="23"/>
    </row>
    <row r="1102" spans="34:56">
      <c r="AH1102" s="6">
        <f t="shared" si="218"/>
        <v>1072</v>
      </c>
      <c r="AI1102" s="7">
        <f t="shared" ca="1" si="219"/>
        <v>43742</v>
      </c>
      <c r="AJ1102" s="210">
        <f t="shared" ca="1" si="220"/>
        <v>4.0689890710382519</v>
      </c>
      <c r="AK1102" s="8">
        <f t="shared" ca="1" si="221"/>
        <v>1.0001130274741956</v>
      </c>
      <c r="AL1102" s="98">
        <f t="shared" ca="1" si="222"/>
        <v>3.741874292294245</v>
      </c>
      <c r="AM1102" s="106">
        <f t="shared" ca="1" si="216"/>
        <v>28649.917705320117</v>
      </c>
      <c r="AN1102" s="10">
        <f t="shared" ca="1" si="217"/>
        <v>0.70345590612905795</v>
      </c>
      <c r="AO1102" s="158"/>
      <c r="AP1102" s="158"/>
      <c r="AQ1102" s="1"/>
      <c r="AR1102" s="1"/>
      <c r="AS1102" s="1"/>
      <c r="AT1102" s="1"/>
      <c r="AU1102" s="1"/>
      <c r="BC1102" s="23"/>
      <c r="BD1102" s="23"/>
    </row>
    <row r="1103" spans="34:56">
      <c r="AH1103" s="6">
        <f t="shared" si="218"/>
        <v>1073</v>
      </c>
      <c r="AI1103" s="7">
        <f t="shared" ca="1" si="219"/>
        <v>43743</v>
      </c>
      <c r="AJ1103" s="210">
        <f t="shared" ca="1" si="220"/>
        <v>4.069535519125683</v>
      </c>
      <c r="AK1103" s="8">
        <f t="shared" ca="1" si="221"/>
        <v>1.0001130426533091</v>
      </c>
      <c r="AL1103" s="98">
        <f t="shared" ca="1" si="222"/>
        <v>3.7423115547305486</v>
      </c>
      <c r="AM1103" s="106">
        <f t="shared" ca="1" si="216"/>
        <v>28652.278500631703</v>
      </c>
      <c r="AN1103" s="10">
        <f t="shared" ca="1" si="217"/>
        <v>0.70384755299206514</v>
      </c>
      <c r="AO1103" s="158"/>
      <c r="AP1103" s="158"/>
      <c r="AQ1103" s="1"/>
      <c r="AR1103" s="1"/>
      <c r="AS1103" s="1"/>
      <c r="AT1103" s="1"/>
      <c r="AU1103" s="1"/>
      <c r="BC1103" s="23"/>
      <c r="BD1103" s="23"/>
    </row>
    <row r="1104" spans="34:56">
      <c r="AH1104" s="6">
        <f t="shared" si="218"/>
        <v>1074</v>
      </c>
      <c r="AI1104" s="7">
        <f t="shared" ca="1" si="219"/>
        <v>43744</v>
      </c>
      <c r="AJ1104" s="210">
        <f t="shared" ca="1" si="220"/>
        <v>4.070081967213115</v>
      </c>
      <c r="AK1104" s="8">
        <f t="shared" ca="1" si="221"/>
        <v>1.0001130578324227</v>
      </c>
      <c r="AL1104" s="98">
        <f t="shared" ca="1" si="222"/>
        <v>3.7427485398464633</v>
      </c>
      <c r="AM1104" s="106">
        <f t="shared" ca="1" si="216"/>
        <v>28654.639490476289</v>
      </c>
      <c r="AN1104" s="10">
        <f t="shared" ca="1" si="217"/>
        <v>0.7042389914881042</v>
      </c>
      <c r="AO1104" s="158"/>
      <c r="AP1104" s="158"/>
      <c r="AQ1104" s="1"/>
      <c r="AR1104" s="1"/>
      <c r="AS1104" s="1"/>
      <c r="AT1104" s="1"/>
      <c r="AU1104" s="1"/>
      <c r="BC1104" s="23"/>
      <c r="BD1104" s="23"/>
    </row>
    <row r="1105" spans="34:56">
      <c r="AH1105" s="6">
        <f t="shared" si="218"/>
        <v>1075</v>
      </c>
      <c r="AI1105" s="7">
        <f t="shared" ca="1" si="219"/>
        <v>43745</v>
      </c>
      <c r="AJ1105" s="210">
        <f t="shared" ca="1" si="220"/>
        <v>4.070628415300547</v>
      </c>
      <c r="AK1105" s="8">
        <f t="shared" ca="1" si="221"/>
        <v>1.0001130730115362</v>
      </c>
      <c r="AL1105" s="98">
        <f t="shared" ca="1" si="222"/>
        <v>3.7431852484175465</v>
      </c>
      <c r="AM1105" s="106">
        <f t="shared" ca="1" si="216"/>
        <v>28657.000674869905</v>
      </c>
      <c r="AN1105" s="10">
        <f t="shared" ca="1" si="217"/>
        <v>0.70463022220050853</v>
      </c>
      <c r="AO1105" s="158"/>
      <c r="AP1105" s="158"/>
      <c r="AQ1105" s="1"/>
      <c r="AR1105" s="1"/>
      <c r="AS1105" s="1"/>
      <c r="AT1105" s="1"/>
      <c r="AU1105" s="1"/>
      <c r="BC1105" s="23"/>
      <c r="BD1105" s="23"/>
    </row>
    <row r="1106" spans="34:56">
      <c r="AH1106" s="6">
        <f t="shared" si="218"/>
        <v>1076</v>
      </c>
      <c r="AI1106" s="7">
        <f t="shared" ca="1" si="219"/>
        <v>43746</v>
      </c>
      <c r="AJ1106" s="210">
        <f t="shared" ca="1" si="220"/>
        <v>4.0711748633879781</v>
      </c>
      <c r="AK1106" s="8">
        <f t="shared" ca="1" si="221"/>
        <v>1.0001130881906497</v>
      </c>
      <c r="AL1106" s="98">
        <f t="shared" ca="1" si="222"/>
        <v>3.7436216812164469</v>
      </c>
      <c r="AM1106" s="106">
        <f t="shared" ca="1" si="216"/>
        <v>28659.362053828587</v>
      </c>
      <c r="AN1106" s="10">
        <f t="shared" ca="1" si="217"/>
        <v>0.70502124571039104</v>
      </c>
      <c r="AO1106" s="158"/>
      <c r="AP1106" s="158"/>
      <c r="AQ1106" s="1"/>
      <c r="AR1106" s="1"/>
      <c r="AS1106" s="1"/>
      <c r="AT1106" s="1"/>
      <c r="AU1106" s="1"/>
      <c r="BC1106" s="23"/>
      <c r="BD1106" s="23"/>
    </row>
    <row r="1107" spans="34:56">
      <c r="AH1107" s="6">
        <f t="shared" si="218"/>
        <v>1077</v>
      </c>
      <c r="AI1107" s="7">
        <f t="shared" ca="1" si="219"/>
        <v>43747</v>
      </c>
      <c r="AJ1107" s="210">
        <f t="shared" ca="1" si="220"/>
        <v>4.0717213114754101</v>
      </c>
      <c r="AK1107" s="8">
        <f t="shared" ca="1" si="221"/>
        <v>1.0001131033697632</v>
      </c>
      <c r="AL1107" s="98">
        <f t="shared" ca="1" si="222"/>
        <v>3.7440578390129264</v>
      </c>
      <c r="AM1107" s="106">
        <f t="shared" ca="1" si="216"/>
        <v>28661.723627368363</v>
      </c>
      <c r="AN1107" s="10">
        <f t="shared" ca="1" si="217"/>
        <v>0.70541206259668865</v>
      </c>
      <c r="AO1107" s="158"/>
      <c r="AP1107" s="158"/>
      <c r="AQ1107" s="1"/>
      <c r="AR1107" s="1"/>
      <c r="AS1107" s="1"/>
      <c r="AT1107" s="1"/>
      <c r="AU1107" s="1"/>
      <c r="BC1107" s="23"/>
      <c r="BD1107" s="23"/>
    </row>
    <row r="1108" spans="34:56">
      <c r="AH1108" s="6">
        <f t="shared" si="218"/>
        <v>1078</v>
      </c>
      <c r="AI1108" s="7">
        <f t="shared" ca="1" si="219"/>
        <v>43748</v>
      </c>
      <c r="AJ1108" s="210">
        <f t="shared" ca="1" si="220"/>
        <v>4.072267759562842</v>
      </c>
      <c r="AK1108" s="8">
        <f t="shared" ca="1" si="221"/>
        <v>1.0001131185488767</v>
      </c>
      <c r="AL1108" s="98">
        <f t="shared" ca="1" si="222"/>
        <v>3.7444937225739494</v>
      </c>
      <c r="AM1108" s="106">
        <f t="shared" ca="1" si="216"/>
        <v>28664.009206398754</v>
      </c>
      <c r="AN1108" s="10">
        <f t="shared" ca="1" si="217"/>
        <v>0.70589330597872202</v>
      </c>
      <c r="AO1108" s="158"/>
      <c r="AP1108" s="158"/>
      <c r="AQ1108" s="1"/>
      <c r="AR1108" s="1"/>
      <c r="AS1108" s="1"/>
      <c r="AT1108" s="1"/>
      <c r="AU1108" s="1"/>
      <c r="BC1108" s="23"/>
      <c r="BD1108" s="23"/>
    </row>
    <row r="1109" spans="34:56">
      <c r="AH1109" s="6">
        <f t="shared" si="218"/>
        <v>1079</v>
      </c>
      <c r="AI1109" s="7">
        <f t="shared" ca="1" si="219"/>
        <v>43749</v>
      </c>
      <c r="AJ1109" s="210">
        <f t="shared" ca="1" si="220"/>
        <v>4.0728142076502731</v>
      </c>
      <c r="AK1109" s="8">
        <f t="shared" ca="1" si="221"/>
        <v>1.0001131337279903</v>
      </c>
      <c r="AL1109" s="98">
        <f t="shared" ca="1" si="222"/>
        <v>3.7449293326635935</v>
      </c>
      <c r="AM1109" s="106">
        <f t="shared" ca="1" si="216"/>
        <v>28666.294967688653</v>
      </c>
      <c r="AN1109" s="10">
        <f t="shared" ca="1" si="217"/>
        <v>0.70637417667849256</v>
      </c>
      <c r="AO1109" s="158"/>
      <c r="AP1109" s="158"/>
      <c r="AQ1109" s="1"/>
      <c r="AR1109" s="1"/>
      <c r="AS1109" s="1"/>
      <c r="AT1109" s="1"/>
      <c r="AU1109" s="1"/>
      <c r="BC1109" s="23"/>
      <c r="BD1109" s="23"/>
    </row>
    <row r="1110" spans="34:56">
      <c r="AH1110" s="6">
        <f t="shared" si="218"/>
        <v>1080</v>
      </c>
      <c r="AI1110" s="7">
        <f t="shared" ca="1" si="219"/>
        <v>43750</v>
      </c>
      <c r="AJ1110" s="210">
        <f t="shared" ca="1" si="220"/>
        <v>4.0733606557377051</v>
      </c>
      <c r="AK1110" s="8">
        <f t="shared" ca="1" si="221"/>
        <v>1.0001131489071038</v>
      </c>
      <c r="AL1110" s="98">
        <f t="shared" ca="1" si="222"/>
        <v>3.7453646700431387</v>
      </c>
      <c r="AM1110" s="106">
        <f t="shared" ca="1" si="216"/>
        <v>28668.580911252586</v>
      </c>
      <c r="AN1110" s="10">
        <f t="shared" ca="1" si="217"/>
        <v>0.70685467573228244</v>
      </c>
      <c r="AO1110" s="158"/>
      <c r="AP1110" s="158"/>
      <c r="AQ1110" s="1"/>
      <c r="AR1110" s="1"/>
      <c r="AS1110" s="1"/>
      <c r="AT1110" s="1"/>
      <c r="AU1110" s="1"/>
      <c r="BC1110" s="23"/>
      <c r="BD1110" s="23"/>
    </row>
    <row r="1111" spans="34:56">
      <c r="AH1111" s="6">
        <f t="shared" si="218"/>
        <v>1081</v>
      </c>
      <c r="AI1111" s="7">
        <f t="shared" ca="1" si="219"/>
        <v>43751</v>
      </c>
      <c r="AJ1111" s="210">
        <f t="shared" ca="1" si="220"/>
        <v>4.0739071038251371</v>
      </c>
      <c r="AK1111" s="8">
        <f t="shared" ca="1" si="221"/>
        <v>1.0001131640862173</v>
      </c>
      <c r="AL1111" s="98">
        <f t="shared" ca="1" si="222"/>
        <v>3.7457997354710226</v>
      </c>
      <c r="AM1111" s="106">
        <f t="shared" ca="1" si="216"/>
        <v>28670.86703710509</v>
      </c>
      <c r="AN1111" s="10">
        <f t="shared" ca="1" si="217"/>
        <v>0.70733480417251027</v>
      </c>
      <c r="AO1111" s="158"/>
      <c r="AP1111" s="158"/>
      <c r="AQ1111" s="1"/>
      <c r="AR1111" s="1"/>
      <c r="AS1111" s="1"/>
      <c r="AT1111" s="1"/>
      <c r="AU1111" s="1"/>
      <c r="BC1111" s="23"/>
      <c r="BD1111" s="23"/>
    </row>
    <row r="1112" spans="34:56">
      <c r="AH1112" s="6">
        <f t="shared" si="218"/>
        <v>1082</v>
      </c>
      <c r="AI1112" s="7">
        <f t="shared" ca="1" si="219"/>
        <v>43752</v>
      </c>
      <c r="AJ1112" s="210">
        <f t="shared" ca="1" si="220"/>
        <v>4.0744535519125682</v>
      </c>
      <c r="AK1112" s="8">
        <f t="shared" ca="1" si="221"/>
        <v>1.0001131792653308</v>
      </c>
      <c r="AL1112" s="98">
        <f t="shared" ca="1" si="222"/>
        <v>3.7462345297028854</v>
      </c>
      <c r="AM1112" s="106">
        <f t="shared" ca="1" si="216"/>
        <v>28673.1533452607</v>
      </c>
      <c r="AN1112" s="10">
        <f t="shared" ca="1" si="217"/>
        <v>0.70781456302775325</v>
      </c>
      <c r="AO1112" s="158"/>
      <c r="AP1112" s="158"/>
      <c r="AQ1112" s="1"/>
      <c r="AR1112" s="1"/>
      <c r="AS1112" s="1"/>
      <c r="AT1112" s="1"/>
      <c r="AU1112" s="1"/>
      <c r="BC1112" s="23"/>
      <c r="BD1112" s="23"/>
    </row>
    <row r="1113" spans="34:56">
      <c r="AH1113" s="6">
        <f t="shared" si="218"/>
        <v>1083</v>
      </c>
      <c r="AI1113" s="7">
        <f t="shared" ca="1" si="219"/>
        <v>43753</v>
      </c>
      <c r="AJ1113" s="210">
        <f t="shared" ca="1" si="220"/>
        <v>4.0750000000000002</v>
      </c>
      <c r="AK1113" s="8">
        <f t="shared" ca="1" si="221"/>
        <v>1.0001131944444444</v>
      </c>
      <c r="AL1113" s="98">
        <f t="shared" ca="1" si="222"/>
        <v>3.7466690534915914</v>
      </c>
      <c r="AM1113" s="106">
        <f t="shared" ca="1" si="216"/>
        <v>28675.43983573396</v>
      </c>
      <c r="AN1113" s="10">
        <f t="shared" ca="1" si="217"/>
        <v>0.70829395332285827</v>
      </c>
      <c r="AO1113" s="158"/>
      <c r="AP1113" s="158"/>
      <c r="AQ1113" s="1"/>
      <c r="AR1113" s="1"/>
      <c r="AS1113" s="1"/>
      <c r="AT1113" s="1"/>
      <c r="AU1113" s="1"/>
      <c r="BC1113" s="23"/>
      <c r="BD1113" s="23"/>
    </row>
    <row r="1114" spans="34:56">
      <c r="AH1114" s="6">
        <f t="shared" si="218"/>
        <v>1084</v>
      </c>
      <c r="AI1114" s="7">
        <f t="shared" ca="1" si="219"/>
        <v>43754</v>
      </c>
      <c r="AJ1114" s="210">
        <f t="shared" ca="1" si="220"/>
        <v>4.0755464480874322</v>
      </c>
      <c r="AK1114" s="8">
        <f t="shared" ca="1" si="221"/>
        <v>1.0001132096235579</v>
      </c>
      <c r="AL1114" s="98">
        <f t="shared" ca="1" si="222"/>
        <v>3.7471033075872517</v>
      </c>
      <c r="AM1114" s="106">
        <f t="shared" ca="1" si="216"/>
        <v>28677.726508539406</v>
      </c>
      <c r="AN1114" s="10">
        <f t="shared" ca="1" si="217"/>
        <v>0.70877297607887524</v>
      </c>
      <c r="AO1114" s="158"/>
      <c r="AP1114" s="158"/>
      <c r="AQ1114" s="1"/>
      <c r="AR1114" s="1"/>
      <c r="AS1114" s="1"/>
      <c r="AT1114" s="1"/>
      <c r="AU1114" s="1"/>
      <c r="BC1114" s="23"/>
      <c r="BD1114" s="23"/>
    </row>
    <row r="1115" spans="34:56">
      <c r="AH1115" s="6">
        <f t="shared" si="218"/>
        <v>1085</v>
      </c>
      <c r="AI1115" s="7">
        <f t="shared" ca="1" si="219"/>
        <v>43755</v>
      </c>
      <c r="AJ1115" s="210">
        <f t="shared" ca="1" si="220"/>
        <v>4.0760928961748633</v>
      </c>
      <c r="AK1115" s="8">
        <f t="shared" ca="1" si="221"/>
        <v>1.0001132248026716</v>
      </c>
      <c r="AL1115" s="98">
        <f t="shared" ca="1" si="222"/>
        <v>3.7475372927371575</v>
      </c>
      <c r="AM1115" s="106">
        <f t="shared" ca="1" si="216"/>
        <v>28680.013363691571</v>
      </c>
      <c r="AN1115" s="10">
        <f t="shared" ca="1" si="217"/>
        <v>0.70925163231307931</v>
      </c>
      <c r="AO1115" s="158"/>
      <c r="AP1115" s="158"/>
      <c r="AQ1115" s="1"/>
      <c r="AR1115" s="1"/>
      <c r="AS1115" s="1"/>
      <c r="AT1115" s="1"/>
      <c r="AU1115" s="1"/>
      <c r="BC1115" s="23"/>
      <c r="BD1115" s="23"/>
    </row>
    <row r="1116" spans="34:56">
      <c r="AH1116" s="6">
        <f t="shared" si="218"/>
        <v>1086</v>
      </c>
      <c r="AI1116" s="7">
        <f t="shared" ca="1" si="219"/>
        <v>43756</v>
      </c>
      <c r="AJ1116" s="210">
        <f t="shared" ca="1" si="220"/>
        <v>4.0766393442622952</v>
      </c>
      <c r="AK1116" s="8">
        <f t="shared" ca="1" si="221"/>
        <v>1.0001132399817851</v>
      </c>
      <c r="AL1116" s="98">
        <f t="shared" ca="1" si="222"/>
        <v>3.7479710096858909</v>
      </c>
      <c r="AM1116" s="106">
        <f t="shared" ca="1" si="216"/>
        <v>28682.300401205004</v>
      </c>
      <c r="AN1116" s="10">
        <f t="shared" ca="1" si="217"/>
        <v>0.70972992303897087</v>
      </c>
      <c r="AO1116" s="158"/>
      <c r="AP1116" s="158"/>
      <c r="AQ1116" s="1"/>
      <c r="AR1116" s="1"/>
      <c r="AS1116" s="1"/>
      <c r="AT1116" s="1"/>
      <c r="AU1116" s="1"/>
      <c r="BC1116" s="23"/>
      <c r="BD1116" s="23"/>
    </row>
    <row r="1117" spans="34:56">
      <c r="AH1117" s="6">
        <f t="shared" si="218"/>
        <v>1087</v>
      </c>
      <c r="AI1117" s="7">
        <f t="shared" ca="1" si="219"/>
        <v>43757</v>
      </c>
      <c r="AJ1117" s="210">
        <f t="shared" ca="1" si="220"/>
        <v>4.0771857923497272</v>
      </c>
      <c r="AK1117" s="8">
        <f t="shared" ca="1" si="221"/>
        <v>1.0001132551608987</v>
      </c>
      <c r="AL1117" s="98">
        <f t="shared" ca="1" si="222"/>
        <v>3.7484044591752808</v>
      </c>
      <c r="AM1117" s="106">
        <f t="shared" ca="1" si="216"/>
        <v>28684.587621094244</v>
      </c>
      <c r="AN1117" s="10">
        <f t="shared" ca="1" si="217"/>
        <v>0.71020784926638658</v>
      </c>
      <c r="AO1117" s="158"/>
      <c r="AP1117" s="158"/>
      <c r="AQ1117" s="1"/>
      <c r="AR1117" s="1"/>
      <c r="AS1117" s="1"/>
      <c r="AT1117" s="1"/>
      <c r="AU1117" s="1"/>
      <c r="BC1117" s="23"/>
      <c r="BD1117" s="23"/>
    </row>
    <row r="1118" spans="34:56">
      <c r="AH1118" s="6">
        <f t="shared" si="218"/>
        <v>1088</v>
      </c>
      <c r="AI1118" s="7">
        <f t="shared" ca="1" si="219"/>
        <v>43758</v>
      </c>
      <c r="AJ1118" s="210">
        <f t="shared" ca="1" si="220"/>
        <v>4.0777322404371583</v>
      </c>
      <c r="AK1118" s="8">
        <f t="shared" ca="1" si="221"/>
        <v>1.0001132703400122</v>
      </c>
      <c r="AL1118" s="98">
        <f t="shared" ca="1" si="222"/>
        <v>3.7488376419444247</v>
      </c>
      <c r="AM1118" s="106">
        <f t="shared" ca="1" si="216"/>
        <v>28686.875023373836</v>
      </c>
      <c r="AN1118" s="10">
        <f t="shared" ca="1" si="217"/>
        <v>0.71068541200141055</v>
      </c>
      <c r="AO1118" s="158"/>
      <c r="AP1118" s="158"/>
      <c r="AQ1118" s="1"/>
      <c r="AR1118" s="1"/>
      <c r="AS1118" s="1"/>
      <c r="AT1118" s="1"/>
      <c r="AU1118" s="1"/>
      <c r="BC1118" s="23"/>
      <c r="BD1118" s="23"/>
    </row>
    <row r="1119" spans="34:56">
      <c r="AH1119" s="6">
        <f t="shared" si="218"/>
        <v>1089</v>
      </c>
      <c r="AI1119" s="7">
        <f t="shared" ca="1" si="219"/>
        <v>43759</v>
      </c>
      <c r="AJ1119" s="210">
        <f t="shared" ca="1" si="220"/>
        <v>4.0782786885245903</v>
      </c>
      <c r="AK1119" s="8">
        <f t="shared" ca="1" si="221"/>
        <v>1.0001132855191257</v>
      </c>
      <c r="AL1119" s="98">
        <f t="shared" ca="1" si="222"/>
        <v>3.7492705587297337</v>
      </c>
      <c r="AM1119" s="106">
        <f t="shared" ref="AM1119:AM1182" ca="1" si="223">Geom_Interp(AI1119,$AZ$2:$AZ$109,$BA$2:$BA$109)</f>
        <v>28689.162608058323</v>
      </c>
      <c r="AN1119" s="10">
        <f t="shared" ref="AN1119:AN1182" ca="1" si="224">100*(((1+AL1119/100)^(AH1119/365)*$AM$29/AM1119)^(365/AH1119)-1)</f>
        <v>0.71116261224646315</v>
      </c>
      <c r="AO1119" s="158"/>
      <c r="AP1119" s="158"/>
      <c r="AQ1119" s="1"/>
      <c r="AR1119" s="1"/>
      <c r="AS1119" s="1"/>
      <c r="AT1119" s="1"/>
      <c r="AU1119" s="1"/>
      <c r="BC1119" s="23"/>
      <c r="BD1119" s="23"/>
    </row>
    <row r="1120" spans="34:56">
      <c r="AH1120" s="6">
        <f t="shared" ref="AH1120:AH1183" si="225">$AI$29+AH1119</f>
        <v>1090</v>
      </c>
      <c r="AI1120" s="7">
        <f t="shared" ref="AI1120:AI1183" ca="1" si="226">+AH1120+$C$1</f>
        <v>43760</v>
      </c>
      <c r="AJ1120" s="210">
        <f t="shared" ref="AJ1120:AJ1183" ca="1" si="227">IF(AH1120&lt;365,VLOOKUP(LOOKUP(AI1120,$AI$2:$AI$23),$AI$2:$AK$23,3,0),Lin_Interp(AH1120,$AJ$2:$AJ$23,$AK$2:$AK$23))</f>
        <v>4.0788251366120223</v>
      </c>
      <c r="AK1120" s="8">
        <f t="shared" ca="1" si="221"/>
        <v>1.0001133006982392</v>
      </c>
      <c r="AL1120" s="98">
        <f t="shared" ca="1" si="222"/>
        <v>3.7497032102648875</v>
      </c>
      <c r="AM1120" s="106">
        <f t="shared" ca="1" si="223"/>
        <v>28691.450375162247</v>
      </c>
      <c r="AN1120" s="10">
        <f t="shared" ca="1" si="224"/>
        <v>0.71163945100027881</v>
      </c>
      <c r="AO1120" s="158"/>
      <c r="AP1120" s="158"/>
      <c r="AQ1120" s="1"/>
      <c r="AR1120" s="1"/>
      <c r="AS1120" s="1"/>
      <c r="AT1120" s="1"/>
      <c r="AU1120" s="1"/>
      <c r="BC1120" s="23"/>
      <c r="BD1120" s="23"/>
    </row>
    <row r="1121" spans="34:56">
      <c r="AH1121" s="6">
        <f t="shared" si="225"/>
        <v>1091</v>
      </c>
      <c r="AI1121" s="7">
        <f t="shared" ca="1" si="226"/>
        <v>43761</v>
      </c>
      <c r="AJ1121" s="210">
        <f t="shared" ca="1" si="227"/>
        <v>4.0793715846994534</v>
      </c>
      <c r="AK1121" s="8">
        <f t="shared" ref="AK1121:AK1184" ca="1" si="228">+(1+AJ1121/36000)</f>
        <v>1.0001133158773527</v>
      </c>
      <c r="AL1121" s="98">
        <f t="shared" ref="AL1121:AL1184" ca="1" si="229">100*(((1+AL1120/100)^(AH1120/365)*AK1121)^(365/AH1121)-1)</f>
        <v>3.7501355972809014</v>
      </c>
      <c r="AM1121" s="106">
        <f t="shared" ca="1" si="223"/>
        <v>28693.73832470016</v>
      </c>
      <c r="AN1121" s="10">
        <f t="shared" ca="1" si="224"/>
        <v>0.71211592925792822</v>
      </c>
      <c r="AO1121" s="158"/>
      <c r="AP1121" s="158"/>
      <c r="AQ1121" s="1"/>
      <c r="AR1121" s="1"/>
      <c r="AS1121" s="1"/>
      <c r="AT1121" s="1"/>
      <c r="AU1121" s="1"/>
      <c r="BC1121" s="23"/>
      <c r="BD1121" s="23"/>
    </row>
    <row r="1122" spans="34:56">
      <c r="AH1122" s="6">
        <f t="shared" si="225"/>
        <v>1092</v>
      </c>
      <c r="AI1122" s="7">
        <f t="shared" ca="1" si="226"/>
        <v>43762</v>
      </c>
      <c r="AJ1122" s="210">
        <f t="shared" ca="1" si="227"/>
        <v>4.0799180327868854</v>
      </c>
      <c r="AK1122" s="8">
        <f t="shared" ca="1" si="228"/>
        <v>1.0001133310564663</v>
      </c>
      <c r="AL1122" s="98">
        <f t="shared" ca="1" si="229"/>
        <v>3.7505677205061039</v>
      </c>
      <c r="AM1122" s="106">
        <f t="shared" ca="1" si="223"/>
        <v>28696.026456686606</v>
      </c>
      <c r="AN1122" s="10">
        <f t="shared" ca="1" si="224"/>
        <v>0.71259204801084053</v>
      </c>
      <c r="AO1122" s="158"/>
      <c r="AP1122" s="158"/>
      <c r="AQ1122" s="1"/>
      <c r="AR1122" s="1"/>
      <c r="AS1122" s="1"/>
      <c r="AT1122" s="1"/>
      <c r="AU1122" s="1"/>
      <c r="BC1122" s="23"/>
      <c r="BD1122" s="23"/>
    </row>
    <row r="1123" spans="34:56">
      <c r="AH1123" s="6">
        <f t="shared" si="225"/>
        <v>1093</v>
      </c>
      <c r="AI1123" s="7">
        <f t="shared" ca="1" si="226"/>
        <v>43763</v>
      </c>
      <c r="AJ1123" s="210">
        <f t="shared" ca="1" si="227"/>
        <v>4.0804644808743173</v>
      </c>
      <c r="AK1123" s="8">
        <f t="shared" ca="1" si="228"/>
        <v>1.0001133462355798</v>
      </c>
      <c r="AL1123" s="98">
        <f t="shared" ca="1" si="229"/>
        <v>3.7509995806661589</v>
      </c>
      <c r="AM1123" s="106">
        <f t="shared" ca="1" si="223"/>
        <v>28698.314771136142</v>
      </c>
      <c r="AN1123" s="10">
        <f t="shared" ca="1" si="224"/>
        <v>0.71306780824684779</v>
      </c>
      <c r="AO1123" s="158"/>
      <c r="AP1123" s="158"/>
      <c r="AQ1123" s="1"/>
      <c r="AR1123" s="1"/>
      <c r="AS1123" s="1"/>
      <c r="AT1123" s="1"/>
      <c r="AU1123" s="1"/>
      <c r="BC1123" s="23"/>
      <c r="BD1123" s="23"/>
    </row>
    <row r="1124" spans="34:56">
      <c r="AH1124" s="6">
        <f t="shared" si="225"/>
        <v>1094</v>
      </c>
      <c r="AI1124" s="7">
        <f t="shared" ca="1" si="226"/>
        <v>43764</v>
      </c>
      <c r="AJ1124" s="210">
        <f t="shared" ca="1" si="227"/>
        <v>4.0810109289617484</v>
      </c>
      <c r="AK1124" s="8">
        <f t="shared" ca="1" si="228"/>
        <v>1.0001133614146933</v>
      </c>
      <c r="AL1124" s="98">
        <f t="shared" ca="1" si="229"/>
        <v>3.7514311784840881</v>
      </c>
      <c r="AM1124" s="106">
        <f t="shared" ca="1" si="223"/>
        <v>28700.603268063303</v>
      </c>
      <c r="AN1124" s="10">
        <f t="shared" ca="1" si="224"/>
        <v>0.71354321095014051</v>
      </c>
      <c r="AO1124" s="158"/>
      <c r="AP1124" s="158"/>
      <c r="AQ1124" s="1"/>
      <c r="AR1124" s="1"/>
      <c r="AS1124" s="1"/>
      <c r="AT1124" s="1"/>
      <c r="AU1124" s="1"/>
      <c r="BC1124" s="23"/>
      <c r="BD1124" s="23"/>
    </row>
    <row r="1125" spans="34:56">
      <c r="AH1125" s="6">
        <f t="shared" si="225"/>
        <v>1095</v>
      </c>
      <c r="AI1125" s="7">
        <f t="shared" ca="1" si="226"/>
        <v>43765</v>
      </c>
      <c r="AJ1125" s="210">
        <f t="shared" ca="1" si="227"/>
        <v>4.0815573770491804</v>
      </c>
      <c r="AK1125" s="8">
        <f t="shared" ca="1" si="228"/>
        <v>1.0001133765938068</v>
      </c>
      <c r="AL1125" s="98">
        <f t="shared" ca="1" si="229"/>
        <v>3.7518625146802487</v>
      </c>
      <c r="AM1125" s="106">
        <f t="shared" ca="1" si="223"/>
        <v>28702.891947482658</v>
      </c>
      <c r="AN1125" s="10">
        <f t="shared" ca="1" si="224"/>
        <v>0.71401825710133426</v>
      </c>
      <c r="AO1125" s="158"/>
      <c r="AP1125" s="158"/>
      <c r="AQ1125" s="1"/>
      <c r="AR1125" s="1"/>
      <c r="AS1125" s="1"/>
      <c r="AT1125" s="1"/>
      <c r="AU1125" s="1"/>
      <c r="BC1125" s="23"/>
      <c r="BD1125" s="23"/>
    </row>
    <row r="1126" spans="34:56">
      <c r="AH1126" s="6">
        <f t="shared" si="225"/>
        <v>1096</v>
      </c>
      <c r="AI1126" s="7">
        <f t="shared" ca="1" si="226"/>
        <v>43766</v>
      </c>
      <c r="AJ1126" s="210">
        <f t="shared" ca="1" si="227"/>
        <v>4.0821038251366124</v>
      </c>
      <c r="AK1126" s="8">
        <f t="shared" ca="1" si="228"/>
        <v>1.0001133917729204</v>
      </c>
      <c r="AL1126" s="98">
        <f t="shared" ca="1" si="229"/>
        <v>3.7522935899723997</v>
      </c>
      <c r="AM1126" s="106">
        <f t="shared" ca="1" si="223"/>
        <v>28705.180809408746</v>
      </c>
      <c r="AN1126" s="10">
        <f t="shared" ca="1" si="224"/>
        <v>0.71449294767744753</v>
      </c>
      <c r="AO1126" s="158"/>
      <c r="AP1126" s="158"/>
      <c r="AQ1126" s="1"/>
      <c r="AR1126" s="1"/>
      <c r="AS1126" s="1"/>
      <c r="AT1126" s="1"/>
      <c r="AU1126" s="1"/>
      <c r="BC1126" s="23"/>
      <c r="BD1126" s="23"/>
    </row>
    <row r="1127" spans="34:56">
      <c r="AH1127" s="6">
        <f t="shared" si="225"/>
        <v>1097</v>
      </c>
      <c r="AI1127" s="7">
        <f t="shared" ca="1" si="226"/>
        <v>43767</v>
      </c>
      <c r="AJ1127" s="210">
        <f t="shared" ca="1" si="227"/>
        <v>4.0826502732240435</v>
      </c>
      <c r="AK1127" s="8">
        <f t="shared" ca="1" si="228"/>
        <v>1.0001134069520341</v>
      </c>
      <c r="AL1127" s="98">
        <f t="shared" ca="1" si="229"/>
        <v>3.7527244050757025</v>
      </c>
      <c r="AM1127" s="106">
        <f t="shared" ca="1" si="223"/>
        <v>28707.469853856124</v>
      </c>
      <c r="AN1127" s="10">
        <f t="shared" ca="1" si="224"/>
        <v>0.71496728365199047</v>
      </c>
      <c r="AO1127" s="158"/>
      <c r="AP1127" s="158"/>
      <c r="AQ1127" s="1"/>
      <c r="AR1127" s="1"/>
      <c r="AS1127" s="1"/>
      <c r="AT1127" s="1"/>
      <c r="AU1127" s="1"/>
      <c r="BC1127" s="23"/>
      <c r="BD1127" s="23"/>
    </row>
    <row r="1128" spans="34:56">
      <c r="AH1128" s="6">
        <f t="shared" si="225"/>
        <v>1098</v>
      </c>
      <c r="AI1128" s="7">
        <f t="shared" ca="1" si="226"/>
        <v>43768</v>
      </c>
      <c r="AJ1128" s="210">
        <f t="shared" ca="1" si="227"/>
        <v>4.0831967213114755</v>
      </c>
      <c r="AK1128" s="8">
        <f t="shared" ca="1" si="228"/>
        <v>1.0001134221311476</v>
      </c>
      <c r="AL1128" s="98">
        <f t="shared" ca="1" si="229"/>
        <v>3.7531549607026538</v>
      </c>
      <c r="AM1128" s="106">
        <f t="shared" ca="1" si="223"/>
        <v>28709.759080839354</v>
      </c>
      <c r="AN1128" s="10">
        <f t="shared" ca="1" si="224"/>
        <v>0.71544126599487612</v>
      </c>
      <c r="AO1128" s="158"/>
      <c r="AP1128" s="158"/>
      <c r="AQ1128" s="1"/>
      <c r="AR1128" s="1"/>
      <c r="AS1128" s="1"/>
      <c r="AT1128" s="1"/>
      <c r="AU1128" s="1"/>
      <c r="BC1128" s="23"/>
      <c r="BD1128" s="23"/>
    </row>
    <row r="1129" spans="34:56">
      <c r="AH1129" s="6">
        <f t="shared" si="225"/>
        <v>1099</v>
      </c>
      <c r="AI1129" s="7">
        <f t="shared" ca="1" si="226"/>
        <v>43769</v>
      </c>
      <c r="AJ1129" s="210">
        <f t="shared" ca="1" si="227"/>
        <v>4.0837431693989075</v>
      </c>
      <c r="AK1129" s="8">
        <f t="shared" ca="1" si="228"/>
        <v>1.0001134373102611</v>
      </c>
      <c r="AL1129" s="98">
        <f t="shared" ca="1" si="229"/>
        <v>3.7535852575632189</v>
      </c>
      <c r="AM1129" s="106">
        <f t="shared" ca="1" si="223"/>
        <v>28712.048490372985</v>
      </c>
      <c r="AN1129" s="10">
        <f t="shared" ca="1" si="224"/>
        <v>0.71591489567250921</v>
      </c>
      <c r="AO1129" s="158"/>
      <c r="AP1129" s="158"/>
      <c r="AQ1129" s="1"/>
      <c r="AR1129" s="1"/>
      <c r="AS1129" s="1"/>
      <c r="AT1129" s="1"/>
      <c r="AU1129" s="1"/>
      <c r="BC1129" s="23"/>
      <c r="BD1129" s="23"/>
    </row>
    <row r="1130" spans="34:56">
      <c r="AH1130" s="6">
        <f t="shared" si="225"/>
        <v>1100</v>
      </c>
      <c r="AI1130" s="7">
        <f t="shared" ca="1" si="226"/>
        <v>43770</v>
      </c>
      <c r="AJ1130" s="210">
        <f t="shared" ca="1" si="227"/>
        <v>4.0842896174863386</v>
      </c>
      <c r="AK1130" s="8">
        <f t="shared" ca="1" si="228"/>
        <v>1.0001134524893747</v>
      </c>
      <c r="AL1130" s="98">
        <f t="shared" ca="1" si="229"/>
        <v>3.7540152963647433</v>
      </c>
      <c r="AM1130" s="106">
        <f t="shared" ca="1" si="223"/>
        <v>28714.338082471579</v>
      </c>
      <c r="AN1130" s="10">
        <f t="shared" ca="1" si="224"/>
        <v>0.71638817364780838</v>
      </c>
      <c r="AO1130" s="158"/>
      <c r="AP1130" s="158"/>
      <c r="AQ1130" s="1"/>
      <c r="AR1130" s="1"/>
      <c r="AS1130" s="1"/>
      <c r="AT1130" s="1"/>
      <c r="AU1130" s="1"/>
      <c r="BC1130" s="23"/>
      <c r="BD1130" s="23"/>
    </row>
    <row r="1131" spans="34:56">
      <c r="AH1131" s="6">
        <f t="shared" si="225"/>
        <v>1101</v>
      </c>
      <c r="AI1131" s="7">
        <f t="shared" ca="1" si="226"/>
        <v>43771</v>
      </c>
      <c r="AJ1131" s="210">
        <f t="shared" ca="1" si="227"/>
        <v>4.0848360655737705</v>
      </c>
      <c r="AK1131" s="8">
        <f t="shared" ca="1" si="228"/>
        <v>1.0001134676684882</v>
      </c>
      <c r="AL1131" s="98">
        <f t="shared" ca="1" si="229"/>
        <v>3.7544450778120186</v>
      </c>
      <c r="AM1131" s="106">
        <f t="shared" ca="1" si="223"/>
        <v>28716.627857149684</v>
      </c>
      <c r="AN1131" s="10">
        <f t="shared" ca="1" si="224"/>
        <v>0.71686110088016175</v>
      </c>
      <c r="AO1131" s="158"/>
      <c r="AP1131" s="158"/>
      <c r="AQ1131" s="1"/>
      <c r="AR1131" s="1"/>
      <c r="AS1131" s="1"/>
      <c r="AT1131" s="1"/>
      <c r="AU1131" s="1"/>
      <c r="BC1131" s="23"/>
      <c r="BD1131" s="23"/>
    </row>
    <row r="1132" spans="34:56">
      <c r="AH1132" s="6">
        <f t="shared" si="225"/>
        <v>1102</v>
      </c>
      <c r="AI1132" s="7">
        <f t="shared" ca="1" si="226"/>
        <v>43772</v>
      </c>
      <c r="AJ1132" s="210">
        <f t="shared" ca="1" si="227"/>
        <v>4.0853825136612025</v>
      </c>
      <c r="AK1132" s="8">
        <f t="shared" ca="1" si="228"/>
        <v>1.0001134828476017</v>
      </c>
      <c r="AL1132" s="98">
        <f t="shared" ca="1" si="229"/>
        <v>3.7548746026072832</v>
      </c>
      <c r="AM1132" s="106">
        <f t="shared" ca="1" si="223"/>
        <v>28718.917814421875</v>
      </c>
      <c r="AN1132" s="10">
        <f t="shared" ca="1" si="224"/>
        <v>0.71733367832551576</v>
      </c>
      <c r="AO1132" s="158"/>
      <c r="AP1132" s="158"/>
      <c r="AQ1132" s="1"/>
      <c r="AR1132" s="1"/>
      <c r="AS1132" s="1"/>
      <c r="AT1132" s="1"/>
      <c r="AU1132" s="1"/>
      <c r="BC1132" s="23"/>
      <c r="BD1132" s="23"/>
    </row>
    <row r="1133" spans="34:56">
      <c r="AH1133" s="6">
        <f t="shared" si="225"/>
        <v>1103</v>
      </c>
      <c r="AI1133" s="7">
        <f t="shared" ca="1" si="226"/>
        <v>43773</v>
      </c>
      <c r="AJ1133" s="210">
        <f t="shared" ca="1" si="227"/>
        <v>4.0859289617486336</v>
      </c>
      <c r="AK1133" s="8">
        <f t="shared" ca="1" si="228"/>
        <v>1.0001134980267152</v>
      </c>
      <c r="AL1133" s="98">
        <f t="shared" ca="1" si="229"/>
        <v>3.7553038714502218</v>
      </c>
      <c r="AM1133" s="106">
        <f t="shared" ca="1" si="223"/>
        <v>28721.207954302696</v>
      </c>
      <c r="AN1133" s="10">
        <f t="shared" ca="1" si="224"/>
        <v>0.71780590693628632</v>
      </c>
      <c r="AO1133" s="158"/>
      <c r="AP1133" s="158"/>
      <c r="AQ1133" s="1"/>
      <c r="AR1133" s="1"/>
      <c r="AS1133" s="1"/>
      <c r="AT1133" s="1"/>
      <c r="AU1133" s="1"/>
      <c r="BC1133" s="23"/>
      <c r="BD1133" s="23"/>
    </row>
    <row r="1134" spans="34:56">
      <c r="AH1134" s="6">
        <f t="shared" si="225"/>
        <v>1104</v>
      </c>
      <c r="AI1134" s="7">
        <f t="shared" ca="1" si="226"/>
        <v>43774</v>
      </c>
      <c r="AJ1134" s="210">
        <f t="shared" ca="1" si="227"/>
        <v>4.0864754098360656</v>
      </c>
      <c r="AK1134" s="8">
        <f t="shared" ca="1" si="228"/>
        <v>1.0001135132058288</v>
      </c>
      <c r="AL1134" s="98">
        <f t="shared" ca="1" si="229"/>
        <v>3.7557328850380101</v>
      </c>
      <c r="AM1134" s="106">
        <f t="shared" ca="1" si="223"/>
        <v>28723.498276806728</v>
      </c>
      <c r="AN1134" s="10">
        <f t="shared" ca="1" si="224"/>
        <v>0.71827778766153649</v>
      </c>
      <c r="AO1134" s="158"/>
      <c r="AP1134" s="158"/>
      <c r="AQ1134" s="1"/>
      <c r="AR1134" s="1"/>
      <c r="AS1134" s="1"/>
      <c r="AT1134" s="1"/>
      <c r="AU1134" s="1"/>
      <c r="BC1134" s="23"/>
      <c r="BD1134" s="23"/>
    </row>
    <row r="1135" spans="34:56">
      <c r="AH1135" s="6">
        <f t="shared" si="225"/>
        <v>1105</v>
      </c>
      <c r="AI1135" s="7">
        <f t="shared" ca="1" si="226"/>
        <v>43775</v>
      </c>
      <c r="AJ1135" s="210">
        <f t="shared" ca="1" si="227"/>
        <v>4.0870218579234976</v>
      </c>
      <c r="AK1135" s="8">
        <f t="shared" ca="1" si="228"/>
        <v>1.0001135283849423</v>
      </c>
      <c r="AL1135" s="98">
        <f t="shared" ca="1" si="229"/>
        <v>3.7561616440652701</v>
      </c>
      <c r="AM1135" s="106">
        <f t="shared" ca="1" si="223"/>
        <v>28725.788781948508</v>
      </c>
      <c r="AN1135" s="10">
        <f t="shared" ca="1" si="224"/>
        <v>0.71874932144684323</v>
      </c>
      <c r="AO1135" s="158"/>
      <c r="AP1135" s="158"/>
      <c r="AQ1135" s="1"/>
      <c r="AR1135" s="1"/>
      <c r="AS1135" s="1"/>
      <c r="AT1135" s="1"/>
      <c r="AU1135" s="1"/>
      <c r="BC1135" s="23"/>
      <c r="BD1135" s="23"/>
    </row>
    <row r="1136" spans="34:56">
      <c r="AH1136" s="6">
        <f t="shared" si="225"/>
        <v>1106</v>
      </c>
      <c r="AI1136" s="7">
        <f t="shared" ca="1" si="226"/>
        <v>43776</v>
      </c>
      <c r="AJ1136" s="210">
        <f t="shared" ca="1" si="227"/>
        <v>4.0875683060109287</v>
      </c>
      <c r="AK1136" s="8">
        <f t="shared" ca="1" si="228"/>
        <v>1.0001135435640558</v>
      </c>
      <c r="AL1136" s="98">
        <f t="shared" ca="1" si="229"/>
        <v>3.7565901492241371</v>
      </c>
      <c r="AM1136" s="106">
        <f t="shared" ca="1" si="223"/>
        <v>28728.079469742628</v>
      </c>
      <c r="AN1136" s="10">
        <f t="shared" ca="1" si="224"/>
        <v>0.71922050923434178</v>
      </c>
      <c r="AO1136" s="158"/>
      <c r="AP1136" s="158"/>
      <c r="AQ1136" s="1"/>
      <c r="AR1136" s="1"/>
      <c r="AS1136" s="1"/>
      <c r="AT1136" s="1"/>
      <c r="AU1136" s="1"/>
      <c r="BC1136" s="23"/>
      <c r="BD1136" s="23"/>
    </row>
    <row r="1137" spans="34:56">
      <c r="AH1137" s="6">
        <f t="shared" si="225"/>
        <v>1107</v>
      </c>
      <c r="AI1137" s="7">
        <f t="shared" ca="1" si="226"/>
        <v>43777</v>
      </c>
      <c r="AJ1137" s="210">
        <f t="shared" ca="1" si="227"/>
        <v>4.0881147540983607</v>
      </c>
      <c r="AK1137" s="8">
        <f t="shared" ca="1" si="228"/>
        <v>1.0001135587431693</v>
      </c>
      <c r="AL1137" s="98">
        <f t="shared" ca="1" si="229"/>
        <v>3.7570184012042152</v>
      </c>
      <c r="AM1137" s="106">
        <f t="shared" ca="1" si="223"/>
        <v>28730.370340203634</v>
      </c>
      <c r="AN1137" s="10">
        <f t="shared" ca="1" si="224"/>
        <v>0.71969135196283673</v>
      </c>
      <c r="AO1137" s="158"/>
      <c r="AP1137" s="158"/>
      <c r="AQ1137" s="1"/>
      <c r="AR1137" s="1"/>
      <c r="AS1137" s="1"/>
      <c r="AT1137" s="1"/>
      <c r="AU1137" s="1"/>
      <c r="BC1137" s="23"/>
      <c r="BD1137" s="23"/>
    </row>
    <row r="1138" spans="34:56">
      <c r="AH1138" s="6">
        <f t="shared" si="225"/>
        <v>1108</v>
      </c>
      <c r="AI1138" s="7">
        <f t="shared" ca="1" si="226"/>
        <v>43778</v>
      </c>
      <c r="AJ1138" s="210">
        <f t="shared" ca="1" si="227"/>
        <v>4.0886612021857927</v>
      </c>
      <c r="AK1138" s="8">
        <f t="shared" ca="1" si="228"/>
        <v>1.0001135739222828</v>
      </c>
      <c r="AL1138" s="98">
        <f t="shared" ca="1" si="229"/>
        <v>3.7574464006926656</v>
      </c>
      <c r="AM1138" s="106">
        <f t="shared" ca="1" si="223"/>
        <v>28732.661393346101</v>
      </c>
      <c r="AN1138" s="10">
        <f t="shared" ca="1" si="224"/>
        <v>0.72016185056766879</v>
      </c>
      <c r="AO1138" s="158"/>
      <c r="AP1138" s="158"/>
      <c r="AQ1138" s="1"/>
      <c r="AR1138" s="1"/>
      <c r="AS1138" s="1"/>
      <c r="AT1138" s="1"/>
      <c r="AU1138" s="1"/>
      <c r="BC1138" s="23"/>
      <c r="BD1138" s="23"/>
    </row>
    <row r="1139" spans="34:56">
      <c r="AH1139" s="6">
        <f t="shared" si="225"/>
        <v>1109</v>
      </c>
      <c r="AI1139" s="7">
        <f t="shared" ca="1" si="226"/>
        <v>43779</v>
      </c>
      <c r="AJ1139" s="210">
        <f t="shared" ca="1" si="227"/>
        <v>4.0892076502732237</v>
      </c>
      <c r="AK1139" s="8">
        <f t="shared" ca="1" si="228"/>
        <v>1.0001135891013966</v>
      </c>
      <c r="AL1139" s="98">
        <f t="shared" ca="1" si="229"/>
        <v>3.7578741483741629</v>
      </c>
      <c r="AM1139" s="106">
        <f t="shared" ca="1" si="223"/>
        <v>28735.029006859142</v>
      </c>
      <c r="AN1139" s="10">
        <f t="shared" ca="1" si="224"/>
        <v>0.72054389400519891</v>
      </c>
      <c r="AO1139" s="158"/>
      <c r="AP1139" s="158"/>
      <c r="AQ1139" s="1"/>
      <c r="AR1139" s="1"/>
      <c r="AS1139" s="1"/>
      <c r="AT1139" s="1"/>
      <c r="AU1139" s="1"/>
      <c r="BC1139" s="23"/>
      <c r="BD1139" s="23"/>
    </row>
    <row r="1140" spans="34:56">
      <c r="AH1140" s="6">
        <f t="shared" si="225"/>
        <v>1110</v>
      </c>
      <c r="AI1140" s="7">
        <f t="shared" ca="1" si="226"/>
        <v>43780</v>
      </c>
      <c r="AJ1140" s="210">
        <f t="shared" ca="1" si="227"/>
        <v>4.0897540983606557</v>
      </c>
      <c r="AK1140" s="8">
        <f t="shared" ca="1" si="228"/>
        <v>1.0001136042805101</v>
      </c>
      <c r="AL1140" s="98">
        <f t="shared" ca="1" si="229"/>
        <v>3.7583016449308726</v>
      </c>
      <c r="AM1140" s="106">
        <f t="shared" ca="1" si="223"/>
        <v>28737.396815467026</v>
      </c>
      <c r="AN1140" s="10">
        <f t="shared" ca="1" si="224"/>
        <v>0.72092575319566699</v>
      </c>
      <c r="AO1140" s="158"/>
      <c r="AP1140" s="158"/>
      <c r="AQ1140" s="1"/>
      <c r="AR1140" s="1"/>
      <c r="AS1140" s="1"/>
      <c r="AT1140" s="1"/>
      <c r="AU1140" s="1"/>
      <c r="BC1140" s="23"/>
      <c r="BD1140" s="23"/>
    </row>
    <row r="1141" spans="34:56">
      <c r="AH1141" s="6">
        <f t="shared" si="225"/>
        <v>1111</v>
      </c>
      <c r="AI1141" s="7">
        <f t="shared" ca="1" si="226"/>
        <v>43781</v>
      </c>
      <c r="AJ1141" s="210">
        <f t="shared" ca="1" si="227"/>
        <v>4.0903005464480877</v>
      </c>
      <c r="AK1141" s="8">
        <f t="shared" ca="1" si="228"/>
        <v>1.0001136194596236</v>
      </c>
      <c r="AL1141" s="98">
        <f t="shared" ca="1" si="229"/>
        <v>3.758728891042562</v>
      </c>
      <c r="AM1141" s="106">
        <f t="shared" ca="1" si="223"/>
        <v>28739.764819185806</v>
      </c>
      <c r="AN1141" s="10">
        <f t="shared" ca="1" si="224"/>
        <v>0.72130742863845132</v>
      </c>
      <c r="AO1141" s="158"/>
      <c r="AP1141" s="158"/>
      <c r="AQ1141" s="1"/>
      <c r="AR1141" s="1"/>
      <c r="AS1141" s="1"/>
      <c r="AT1141" s="1"/>
      <c r="AU1141" s="1"/>
      <c r="BC1141" s="23"/>
      <c r="BD1141" s="23"/>
    </row>
    <row r="1142" spans="34:56">
      <c r="AH1142" s="6">
        <f t="shared" si="225"/>
        <v>1112</v>
      </c>
      <c r="AI1142" s="7">
        <f t="shared" ca="1" si="226"/>
        <v>43782</v>
      </c>
      <c r="AJ1142" s="210">
        <f t="shared" ca="1" si="227"/>
        <v>4.0908469945355188</v>
      </c>
      <c r="AK1142" s="8">
        <f t="shared" ca="1" si="228"/>
        <v>1.0001136346387371</v>
      </c>
      <c r="AL1142" s="98">
        <f t="shared" ca="1" si="229"/>
        <v>3.7591558873865116</v>
      </c>
      <c r="AM1142" s="106">
        <f t="shared" ca="1" si="223"/>
        <v>28742.133018031578</v>
      </c>
      <c r="AN1142" s="10">
        <f t="shared" ca="1" si="224"/>
        <v>0.72168892083099845</v>
      </c>
      <c r="AO1142" s="158"/>
      <c r="AP1142" s="158"/>
      <c r="AQ1142" s="1"/>
      <c r="AR1142" s="1"/>
      <c r="AS1142" s="1"/>
      <c r="AT1142" s="1"/>
      <c r="AU1142" s="1"/>
      <c r="BC1142" s="23"/>
      <c r="BD1142" s="23"/>
    </row>
    <row r="1143" spans="34:56">
      <c r="AH1143" s="6">
        <f t="shared" si="225"/>
        <v>1113</v>
      </c>
      <c r="AI1143" s="7">
        <f t="shared" ca="1" si="226"/>
        <v>43783</v>
      </c>
      <c r="AJ1143" s="210">
        <f t="shared" ca="1" si="227"/>
        <v>4.0913934426229508</v>
      </c>
      <c r="AK1143" s="8">
        <f t="shared" ca="1" si="228"/>
        <v>1.0001136498178507</v>
      </c>
      <c r="AL1143" s="98">
        <f t="shared" ca="1" si="229"/>
        <v>3.7595826346376038</v>
      </c>
      <c r="AM1143" s="106">
        <f t="shared" ca="1" si="223"/>
        <v>28744.50141202041</v>
      </c>
      <c r="AN1143" s="10">
        <f t="shared" ca="1" si="224"/>
        <v>0.72207023026908956</v>
      </c>
      <c r="AO1143" s="158"/>
      <c r="AP1143" s="158"/>
      <c r="AQ1143" s="1"/>
      <c r="AR1143" s="1"/>
      <c r="AS1143" s="1"/>
      <c r="AT1143" s="1"/>
      <c r="AU1143" s="1"/>
      <c r="BC1143" s="23"/>
      <c r="BD1143" s="23"/>
    </row>
    <row r="1144" spans="34:56">
      <c r="AH1144" s="6">
        <f t="shared" si="225"/>
        <v>1114</v>
      </c>
      <c r="AI1144" s="7">
        <f t="shared" ca="1" si="226"/>
        <v>43784</v>
      </c>
      <c r="AJ1144" s="210">
        <f t="shared" ca="1" si="227"/>
        <v>4.0919398907103828</v>
      </c>
      <c r="AK1144" s="8">
        <f t="shared" ca="1" si="228"/>
        <v>1.0001136649969642</v>
      </c>
      <c r="AL1144" s="98">
        <f t="shared" ca="1" si="229"/>
        <v>3.7600091334682784</v>
      </c>
      <c r="AM1144" s="106">
        <f t="shared" ca="1" si="223"/>
        <v>28746.870001168387</v>
      </c>
      <c r="AN1144" s="10">
        <f t="shared" ca="1" si="224"/>
        <v>0.72245135744666289</v>
      </c>
      <c r="AO1144" s="158"/>
      <c r="AP1144" s="158"/>
      <c r="AQ1144" s="1"/>
      <c r="AR1144" s="1"/>
      <c r="AS1144" s="1"/>
      <c r="AT1144" s="1"/>
      <c r="AU1144" s="1"/>
      <c r="BC1144" s="23"/>
      <c r="BD1144" s="23"/>
    </row>
    <row r="1145" spans="34:56">
      <c r="AH1145" s="6">
        <f t="shared" si="225"/>
        <v>1115</v>
      </c>
      <c r="AI1145" s="7">
        <f t="shared" ca="1" si="226"/>
        <v>43785</v>
      </c>
      <c r="AJ1145" s="210">
        <f t="shared" ca="1" si="227"/>
        <v>4.0924863387978148</v>
      </c>
      <c r="AK1145" s="8">
        <f t="shared" ca="1" si="228"/>
        <v>1.0001136801760777</v>
      </c>
      <c r="AL1145" s="98">
        <f t="shared" ca="1" si="229"/>
        <v>3.760435384548555</v>
      </c>
      <c r="AM1145" s="106">
        <f t="shared" ca="1" si="223"/>
        <v>28749.238785491594</v>
      </c>
      <c r="AN1145" s="10">
        <f t="shared" ca="1" si="224"/>
        <v>0.7228323028559025</v>
      </c>
      <c r="AO1145" s="158"/>
      <c r="AP1145" s="158"/>
      <c r="AQ1145" s="1"/>
      <c r="AR1145" s="1"/>
      <c r="AS1145" s="1"/>
      <c r="AT1145" s="1"/>
      <c r="AU1145" s="1"/>
      <c r="BC1145" s="23"/>
      <c r="BD1145" s="23"/>
    </row>
    <row r="1146" spans="34:56">
      <c r="AH1146" s="6">
        <f t="shared" si="225"/>
        <v>1116</v>
      </c>
      <c r="AI1146" s="7">
        <f t="shared" ca="1" si="226"/>
        <v>43786</v>
      </c>
      <c r="AJ1146" s="210">
        <f t="shared" ca="1" si="227"/>
        <v>4.0930327868852459</v>
      </c>
      <c r="AK1146" s="8">
        <f t="shared" ca="1" si="228"/>
        <v>1.0001136953551912</v>
      </c>
      <c r="AL1146" s="98">
        <f t="shared" ca="1" si="229"/>
        <v>3.7608613885460995</v>
      </c>
      <c r="AM1146" s="106">
        <f t="shared" ca="1" si="223"/>
        <v>28751.607765006102</v>
      </c>
      <c r="AN1146" s="10">
        <f t="shared" ca="1" si="224"/>
        <v>0.72321306698723831</v>
      </c>
      <c r="AO1146" s="158"/>
      <c r="AP1146" s="158"/>
      <c r="AQ1146" s="1"/>
      <c r="AR1146" s="1"/>
      <c r="AS1146" s="1"/>
      <c r="AT1146" s="1"/>
      <c r="AU1146" s="1"/>
      <c r="BC1146" s="23"/>
      <c r="BD1146" s="23"/>
    </row>
    <row r="1147" spans="34:56">
      <c r="AH1147" s="6">
        <f t="shared" si="225"/>
        <v>1117</v>
      </c>
      <c r="AI1147" s="7">
        <f t="shared" ca="1" si="226"/>
        <v>43787</v>
      </c>
      <c r="AJ1147" s="210">
        <f t="shared" ca="1" si="227"/>
        <v>4.0935792349726778</v>
      </c>
      <c r="AK1147" s="8">
        <f t="shared" ca="1" si="228"/>
        <v>1.0001137105343048</v>
      </c>
      <c r="AL1147" s="98">
        <f t="shared" ca="1" si="229"/>
        <v>3.7612871461261355</v>
      </c>
      <c r="AM1147" s="106">
        <f t="shared" ca="1" si="223"/>
        <v>28753.976939728011</v>
      </c>
      <c r="AN1147" s="10">
        <f t="shared" ca="1" si="224"/>
        <v>0.72359365032932388</v>
      </c>
      <c r="AO1147" s="158"/>
      <c r="AP1147" s="158"/>
      <c r="AQ1147" s="1"/>
      <c r="AR1147" s="1"/>
      <c r="AS1147" s="1"/>
      <c r="AT1147" s="1"/>
      <c r="AU1147" s="1"/>
      <c r="BC1147" s="23"/>
      <c r="BD1147" s="23"/>
    </row>
    <row r="1148" spans="34:56">
      <c r="AH1148" s="6">
        <f t="shared" si="225"/>
        <v>1118</v>
      </c>
      <c r="AI1148" s="7">
        <f t="shared" ca="1" si="226"/>
        <v>43788</v>
      </c>
      <c r="AJ1148" s="210">
        <f t="shared" ca="1" si="227"/>
        <v>4.0941256830601098</v>
      </c>
      <c r="AK1148" s="8">
        <f t="shared" ca="1" si="228"/>
        <v>1.0001137257134183</v>
      </c>
      <c r="AL1148" s="98">
        <f t="shared" ca="1" si="229"/>
        <v>3.7617126579515325</v>
      </c>
      <c r="AM1148" s="106">
        <f t="shared" ca="1" si="223"/>
        <v>28756.346309673398</v>
      </c>
      <c r="AN1148" s="10">
        <f t="shared" ca="1" si="224"/>
        <v>0.72397405336910303</v>
      </c>
      <c r="AO1148" s="158"/>
      <c r="AP1148" s="158"/>
      <c r="AQ1148" s="1"/>
      <c r="AR1148" s="1"/>
      <c r="AS1148" s="1"/>
      <c r="AT1148" s="1"/>
      <c r="AU1148" s="1"/>
      <c r="BC1148" s="23"/>
      <c r="BD1148" s="23"/>
    </row>
    <row r="1149" spans="34:56">
      <c r="AH1149" s="6">
        <f t="shared" si="225"/>
        <v>1119</v>
      </c>
      <c r="AI1149" s="7">
        <f t="shared" ca="1" si="226"/>
        <v>43789</v>
      </c>
      <c r="AJ1149" s="210">
        <f t="shared" ca="1" si="227"/>
        <v>4.0946721311475409</v>
      </c>
      <c r="AK1149" s="8">
        <f t="shared" ca="1" si="228"/>
        <v>1.0001137408925318</v>
      </c>
      <c r="AL1149" s="98">
        <f t="shared" ca="1" si="229"/>
        <v>3.7621379246828068</v>
      </c>
      <c r="AM1149" s="106">
        <f t="shared" ca="1" si="223"/>
        <v>28758.715874858342</v>
      </c>
      <c r="AN1149" s="10">
        <f t="shared" ca="1" si="224"/>
        <v>0.72435427659174323</v>
      </c>
      <c r="AO1149" s="158"/>
      <c r="AP1149" s="158"/>
      <c r="AQ1149" s="1"/>
      <c r="AR1149" s="1"/>
      <c r="AS1149" s="1"/>
      <c r="AT1149" s="1"/>
      <c r="AU1149" s="1"/>
      <c r="BC1149" s="23"/>
      <c r="BD1149" s="23"/>
    </row>
    <row r="1150" spans="34:56">
      <c r="AH1150" s="6">
        <f t="shared" si="225"/>
        <v>1120</v>
      </c>
      <c r="AI1150" s="7">
        <f t="shared" ca="1" si="226"/>
        <v>43790</v>
      </c>
      <c r="AJ1150" s="210">
        <f t="shared" ca="1" si="227"/>
        <v>4.0952185792349729</v>
      </c>
      <c r="AK1150" s="8">
        <f t="shared" ca="1" si="228"/>
        <v>1.0001137560716453</v>
      </c>
      <c r="AL1150" s="98">
        <f t="shared" ca="1" si="229"/>
        <v>3.7625629469780986</v>
      </c>
      <c r="AM1150" s="106">
        <f t="shared" ca="1" si="223"/>
        <v>28761.085635298939</v>
      </c>
      <c r="AN1150" s="10">
        <f t="shared" ca="1" si="224"/>
        <v>0.72473432048070219</v>
      </c>
      <c r="AO1150" s="158"/>
      <c r="AP1150" s="158"/>
      <c r="AQ1150" s="1"/>
      <c r="AR1150" s="1"/>
      <c r="AS1150" s="1"/>
      <c r="AT1150" s="1"/>
      <c r="AU1150" s="1"/>
      <c r="BC1150" s="23"/>
      <c r="BD1150" s="23"/>
    </row>
    <row r="1151" spans="34:56">
      <c r="AH1151" s="6">
        <f t="shared" si="225"/>
        <v>1121</v>
      </c>
      <c r="AI1151" s="7">
        <f t="shared" ca="1" si="226"/>
        <v>43791</v>
      </c>
      <c r="AJ1151" s="210">
        <f t="shared" ca="1" si="227"/>
        <v>4.0957650273224049</v>
      </c>
      <c r="AK1151" s="8">
        <f t="shared" ca="1" si="228"/>
        <v>1.0001137712507591</v>
      </c>
      <c r="AL1151" s="98">
        <f t="shared" ca="1" si="229"/>
        <v>3.7629877254931943</v>
      </c>
      <c r="AM1151" s="106">
        <f t="shared" ca="1" si="223"/>
        <v>28763.455591011283</v>
      </c>
      <c r="AN1151" s="10">
        <f t="shared" ca="1" si="224"/>
        <v>0.72511418551770568</v>
      </c>
      <c r="AO1151" s="158"/>
      <c r="AP1151" s="158"/>
      <c r="AQ1151" s="1"/>
      <c r="AR1151" s="1"/>
      <c r="AS1151" s="1"/>
      <c r="AT1151" s="1"/>
      <c r="AU1151" s="1"/>
      <c r="BC1151" s="23"/>
      <c r="BD1151" s="23"/>
    </row>
    <row r="1152" spans="34:56">
      <c r="AH1152" s="6">
        <f t="shared" si="225"/>
        <v>1122</v>
      </c>
      <c r="AI1152" s="7">
        <f t="shared" ca="1" si="226"/>
        <v>43792</v>
      </c>
      <c r="AJ1152" s="210">
        <f t="shared" ca="1" si="227"/>
        <v>4.096311475409836</v>
      </c>
      <c r="AK1152" s="8">
        <f t="shared" ca="1" si="228"/>
        <v>1.0001137864298726</v>
      </c>
      <c r="AL1152" s="98">
        <f t="shared" ca="1" si="229"/>
        <v>3.763412260881549</v>
      </c>
      <c r="AM1152" s="106">
        <f t="shared" ca="1" si="223"/>
        <v>28765.825742011457</v>
      </c>
      <c r="AN1152" s="10">
        <f t="shared" ca="1" si="224"/>
        <v>0.72549387218272532</v>
      </c>
      <c r="AO1152" s="158"/>
      <c r="AP1152" s="158"/>
      <c r="AQ1152" s="1"/>
      <c r="AR1152" s="1"/>
      <c r="AS1152" s="1"/>
      <c r="AT1152" s="1"/>
      <c r="AU1152" s="1"/>
      <c r="BC1152" s="23"/>
      <c r="BD1152" s="23"/>
    </row>
    <row r="1153" spans="34:56">
      <c r="AH1153" s="6">
        <f t="shared" si="225"/>
        <v>1123</v>
      </c>
      <c r="AI1153" s="7">
        <f t="shared" ca="1" si="226"/>
        <v>43793</v>
      </c>
      <c r="AJ1153" s="210">
        <f t="shared" ca="1" si="227"/>
        <v>4.096857923497268</v>
      </c>
      <c r="AK1153" s="8">
        <f t="shared" ca="1" si="228"/>
        <v>1.0001138016089861</v>
      </c>
      <c r="AL1153" s="98">
        <f t="shared" ca="1" si="229"/>
        <v>3.7638365537943086</v>
      </c>
      <c r="AM1153" s="106">
        <f t="shared" ca="1" si="223"/>
        <v>28768.196088315559</v>
      </c>
      <c r="AN1153" s="10">
        <f t="shared" ca="1" si="224"/>
        <v>0.7258733809540896</v>
      </c>
      <c r="AO1153" s="158"/>
      <c r="AP1153" s="158"/>
      <c r="AQ1153" s="1"/>
      <c r="AR1153" s="1"/>
      <c r="AS1153" s="1"/>
      <c r="AT1153" s="1"/>
      <c r="AU1153" s="1"/>
      <c r="BC1153" s="23"/>
      <c r="BD1153" s="23"/>
    </row>
    <row r="1154" spans="34:56">
      <c r="AH1154" s="6">
        <f t="shared" si="225"/>
        <v>1124</v>
      </c>
      <c r="AI1154" s="7">
        <f t="shared" ca="1" si="226"/>
        <v>43794</v>
      </c>
      <c r="AJ1154" s="210">
        <f t="shared" ca="1" si="227"/>
        <v>4.0974043715846999</v>
      </c>
      <c r="AK1154" s="8">
        <f t="shared" ca="1" si="228"/>
        <v>1.0001138167880996</v>
      </c>
      <c r="AL1154" s="98">
        <f t="shared" ca="1" si="229"/>
        <v>3.7642606048802874</v>
      </c>
      <c r="AM1154" s="106">
        <f t="shared" ca="1" si="223"/>
        <v>28770.56662993968</v>
      </c>
      <c r="AN1154" s="10">
        <f t="shared" ca="1" si="224"/>
        <v>0.72625271230837285</v>
      </c>
      <c r="AO1154" s="158"/>
      <c r="AP1154" s="158"/>
      <c r="AQ1154" s="1"/>
      <c r="AR1154" s="1"/>
      <c r="AS1154" s="1"/>
      <c r="AT1154" s="1"/>
      <c r="AU1154" s="1"/>
      <c r="BC1154" s="23"/>
      <c r="BD1154" s="23"/>
    </row>
    <row r="1155" spans="34:56">
      <c r="AH1155" s="6">
        <f t="shared" si="225"/>
        <v>1125</v>
      </c>
      <c r="AI1155" s="7">
        <f t="shared" ca="1" si="226"/>
        <v>43795</v>
      </c>
      <c r="AJ1155" s="210">
        <f t="shared" ca="1" si="227"/>
        <v>4.097950819672131</v>
      </c>
      <c r="AK1155" s="8">
        <f t="shared" ca="1" si="228"/>
        <v>1.0001138319672132</v>
      </c>
      <c r="AL1155" s="98">
        <f t="shared" ca="1" si="229"/>
        <v>3.7646844147860126</v>
      </c>
      <c r="AM1155" s="106">
        <f t="shared" ca="1" si="223"/>
        <v>28772.937366899907</v>
      </c>
      <c r="AN1155" s="10">
        <f t="shared" ca="1" si="224"/>
        <v>0.72663186672055069</v>
      </c>
      <c r="AO1155" s="158"/>
      <c r="AP1155" s="158"/>
      <c r="AQ1155" s="1"/>
      <c r="AR1155" s="1"/>
      <c r="AS1155" s="1"/>
      <c r="AT1155" s="1"/>
      <c r="AU1155" s="1"/>
      <c r="BC1155" s="23"/>
      <c r="BD1155" s="23"/>
    </row>
    <row r="1156" spans="34:56">
      <c r="AH1156" s="6">
        <f t="shared" si="225"/>
        <v>1126</v>
      </c>
      <c r="AI1156" s="7">
        <f t="shared" ca="1" si="226"/>
        <v>43796</v>
      </c>
      <c r="AJ1156" s="210">
        <f t="shared" ca="1" si="227"/>
        <v>4.098497267759563</v>
      </c>
      <c r="AK1156" s="8">
        <f t="shared" ca="1" si="228"/>
        <v>1.0001138471463267</v>
      </c>
      <c r="AL1156" s="98">
        <f t="shared" ca="1" si="229"/>
        <v>3.76510798415568</v>
      </c>
      <c r="AM1156" s="106">
        <f t="shared" ca="1" si="223"/>
        <v>28775.308299212345</v>
      </c>
      <c r="AN1156" s="10">
        <f t="shared" ca="1" si="224"/>
        <v>0.72701084466375576</v>
      </c>
      <c r="AO1156" s="158"/>
      <c r="AP1156" s="158"/>
      <c r="AQ1156" s="1"/>
      <c r="AR1156" s="1"/>
      <c r="AS1156" s="1"/>
      <c r="AT1156" s="1"/>
      <c r="AU1156" s="1"/>
      <c r="BC1156" s="23"/>
      <c r="BD1156" s="23"/>
    </row>
    <row r="1157" spans="34:56">
      <c r="AH1157" s="6">
        <f t="shared" si="225"/>
        <v>1127</v>
      </c>
      <c r="AI1157" s="7">
        <f t="shared" ca="1" si="226"/>
        <v>43797</v>
      </c>
      <c r="AJ1157" s="210">
        <f t="shared" ca="1" si="227"/>
        <v>4.099043715846995</v>
      </c>
      <c r="AK1157" s="8">
        <f t="shared" ca="1" si="228"/>
        <v>1.0001138623254402</v>
      </c>
      <c r="AL1157" s="98">
        <f t="shared" ca="1" si="229"/>
        <v>3.7655313136312429</v>
      </c>
      <c r="AM1157" s="106">
        <f t="shared" ca="1" si="223"/>
        <v>28777.67942689309</v>
      </c>
      <c r="AN1157" s="10">
        <f t="shared" ca="1" si="224"/>
        <v>0.7273896466095664</v>
      </c>
      <c r="AO1157" s="158"/>
      <c r="AP1157" s="158"/>
      <c r="AQ1157" s="1"/>
      <c r="AR1157" s="1"/>
      <c r="AS1157" s="1"/>
      <c r="AT1157" s="1"/>
      <c r="AU1157" s="1"/>
      <c r="BC1157" s="23"/>
      <c r="BD1157" s="23"/>
    </row>
    <row r="1158" spans="34:56">
      <c r="AH1158" s="6">
        <f t="shared" si="225"/>
        <v>1128</v>
      </c>
      <c r="AI1158" s="7">
        <f t="shared" ca="1" si="226"/>
        <v>43798</v>
      </c>
      <c r="AJ1158" s="210">
        <f t="shared" ca="1" si="227"/>
        <v>4.0995901639344261</v>
      </c>
      <c r="AK1158" s="8">
        <f t="shared" ca="1" si="228"/>
        <v>1.0001138775045537</v>
      </c>
      <c r="AL1158" s="98">
        <f t="shared" ca="1" si="229"/>
        <v>3.7659544038523451</v>
      </c>
      <c r="AM1158" s="106">
        <f t="shared" ca="1" si="223"/>
        <v>28780.050749958242</v>
      </c>
      <c r="AN1158" s="10">
        <f t="shared" ca="1" si="224"/>
        <v>0.72776827302782898</v>
      </c>
      <c r="AO1158" s="158"/>
      <c r="AP1158" s="158"/>
      <c r="AQ1158" s="1"/>
      <c r="AR1158" s="1"/>
      <c r="AS1158" s="1"/>
      <c r="AT1158" s="1"/>
      <c r="AU1158" s="1"/>
      <c r="BC1158" s="23"/>
      <c r="BD1158" s="23"/>
    </row>
    <row r="1159" spans="34:56">
      <c r="AH1159" s="6">
        <f t="shared" si="225"/>
        <v>1129</v>
      </c>
      <c r="AI1159" s="7">
        <f t="shared" ca="1" si="226"/>
        <v>43799</v>
      </c>
      <c r="AJ1159" s="210">
        <f t="shared" ca="1" si="227"/>
        <v>4.1001366120218581</v>
      </c>
      <c r="AK1159" s="8">
        <f t="shared" ca="1" si="228"/>
        <v>1.0001138926836672</v>
      </c>
      <c r="AL1159" s="98">
        <f t="shared" ca="1" si="229"/>
        <v>3.7663772554563879</v>
      </c>
      <c r="AM1159" s="106">
        <f t="shared" ca="1" si="223"/>
        <v>28782.422268423892</v>
      </c>
      <c r="AN1159" s="10">
        <f t="shared" ca="1" si="224"/>
        <v>0.72814672438679118</v>
      </c>
      <c r="AO1159" s="158"/>
      <c r="AP1159" s="158"/>
      <c r="AQ1159" s="1"/>
      <c r="AR1159" s="1"/>
      <c r="AS1159" s="1"/>
      <c r="AT1159" s="1"/>
      <c r="AU1159" s="1"/>
      <c r="BC1159" s="23"/>
      <c r="BD1159" s="23"/>
    </row>
    <row r="1160" spans="34:56">
      <c r="AH1160" s="6">
        <f t="shared" si="225"/>
        <v>1130</v>
      </c>
      <c r="AI1160" s="7">
        <f t="shared" ca="1" si="226"/>
        <v>43800</v>
      </c>
      <c r="AJ1160" s="210">
        <f t="shared" ca="1" si="227"/>
        <v>4.1006830601092901</v>
      </c>
      <c r="AK1160" s="8">
        <f t="shared" ca="1" si="228"/>
        <v>1.0001139078627808</v>
      </c>
      <c r="AL1160" s="98">
        <f t="shared" ca="1" si="229"/>
        <v>3.7667998690785298</v>
      </c>
      <c r="AM1160" s="106">
        <f t="shared" ca="1" si="223"/>
        <v>28784.793982306153</v>
      </c>
      <c r="AN1160" s="10">
        <f t="shared" ca="1" si="224"/>
        <v>0.7285250011529687</v>
      </c>
      <c r="AO1160" s="158"/>
      <c r="AP1160" s="158"/>
      <c r="AQ1160" s="1"/>
      <c r="AR1160" s="1"/>
      <c r="AS1160" s="1"/>
      <c r="AT1160" s="1"/>
      <c r="AU1160" s="1"/>
      <c r="BC1160" s="23"/>
      <c r="BD1160" s="23"/>
    </row>
    <row r="1161" spans="34:56">
      <c r="AH1161" s="6">
        <f t="shared" si="225"/>
        <v>1131</v>
      </c>
      <c r="AI1161" s="7">
        <f t="shared" ca="1" si="226"/>
        <v>43801</v>
      </c>
      <c r="AJ1161" s="210">
        <f t="shared" ca="1" si="227"/>
        <v>4.1012295081967212</v>
      </c>
      <c r="AK1161" s="8">
        <f t="shared" ca="1" si="228"/>
        <v>1.0001139230418943</v>
      </c>
      <c r="AL1161" s="98">
        <f t="shared" ca="1" si="229"/>
        <v>3.7672222453516424</v>
      </c>
      <c r="AM1161" s="106">
        <f t="shared" ca="1" si="223"/>
        <v>28787.16589162112</v>
      </c>
      <c r="AN1161" s="10">
        <f t="shared" ca="1" si="224"/>
        <v>0.72890310379127854</v>
      </c>
      <c r="AO1161" s="158"/>
      <c r="AP1161" s="158"/>
      <c r="AQ1161" s="1"/>
      <c r="AR1161" s="1"/>
      <c r="AS1161" s="1"/>
      <c r="AT1161" s="1"/>
      <c r="AU1161" s="1"/>
      <c r="BC1161" s="23"/>
      <c r="BD1161" s="23"/>
    </row>
    <row r="1162" spans="34:56">
      <c r="AH1162" s="6">
        <f t="shared" si="225"/>
        <v>1132</v>
      </c>
      <c r="AI1162" s="7">
        <f t="shared" ca="1" si="226"/>
        <v>43802</v>
      </c>
      <c r="AJ1162" s="210">
        <f t="shared" ca="1" si="227"/>
        <v>4.1017759562841531</v>
      </c>
      <c r="AK1162" s="8">
        <f t="shared" ca="1" si="228"/>
        <v>1.0001139382210078</v>
      </c>
      <c r="AL1162" s="98">
        <f t="shared" ca="1" si="229"/>
        <v>3.767644384906399</v>
      </c>
      <c r="AM1162" s="106">
        <f t="shared" ca="1" si="223"/>
        <v>28789.537996384905</v>
      </c>
      <c r="AN1162" s="10">
        <f t="shared" ca="1" si="224"/>
        <v>0.72928103276495015</v>
      </c>
      <c r="AO1162" s="158"/>
      <c r="AP1162" s="158"/>
      <c r="AQ1162" s="1"/>
      <c r="AR1162" s="1"/>
      <c r="AS1162" s="1"/>
      <c r="AT1162" s="1"/>
      <c r="AU1162" s="1"/>
    </row>
    <row r="1163" spans="34:56">
      <c r="AH1163" s="6">
        <f t="shared" si="225"/>
        <v>1133</v>
      </c>
      <c r="AI1163" s="7">
        <f t="shared" ca="1" si="226"/>
        <v>43803</v>
      </c>
      <c r="AJ1163" s="210">
        <f t="shared" ca="1" si="227"/>
        <v>4.1023224043715851</v>
      </c>
      <c r="AK1163" s="8">
        <f t="shared" ca="1" si="228"/>
        <v>1.0001139534001213</v>
      </c>
      <c r="AL1163" s="98">
        <f t="shared" ca="1" si="229"/>
        <v>3.7680662883712079</v>
      </c>
      <c r="AM1163" s="106">
        <f t="shared" ca="1" si="223"/>
        <v>28791.910296613598</v>
      </c>
      <c r="AN1163" s="10">
        <f t="shared" ca="1" si="224"/>
        <v>0.72965878853561428</v>
      </c>
      <c r="AO1163" s="158"/>
      <c r="AP1163" s="158"/>
      <c r="AQ1163" s="1"/>
      <c r="AR1163" s="1"/>
      <c r="AS1163" s="1"/>
      <c r="AT1163" s="1"/>
      <c r="AU1163" s="1"/>
    </row>
    <row r="1164" spans="34:56">
      <c r="AH1164" s="6">
        <f t="shared" si="225"/>
        <v>1134</v>
      </c>
      <c r="AI1164" s="7">
        <f t="shared" ca="1" si="226"/>
        <v>43804</v>
      </c>
      <c r="AJ1164" s="210">
        <f t="shared" ca="1" si="227"/>
        <v>4.1028688524590162</v>
      </c>
      <c r="AK1164" s="8">
        <f t="shared" ca="1" si="228"/>
        <v>1.0001139685792351</v>
      </c>
      <c r="AL1164" s="98">
        <f t="shared" ca="1" si="229"/>
        <v>3.7684879563723239</v>
      </c>
      <c r="AM1164" s="106">
        <f t="shared" ca="1" si="223"/>
        <v>28794.282792323324</v>
      </c>
      <c r="AN1164" s="10">
        <f t="shared" ca="1" si="224"/>
        <v>0.73003637156328072</v>
      </c>
      <c r="AO1164" s="158"/>
      <c r="AP1164" s="158"/>
      <c r="AQ1164" s="1"/>
      <c r="AR1164" s="1"/>
      <c r="AS1164" s="1"/>
      <c r="AT1164" s="1"/>
      <c r="AU1164" s="1"/>
    </row>
    <row r="1165" spans="34:56">
      <c r="AH1165" s="6">
        <f t="shared" si="225"/>
        <v>1135</v>
      </c>
      <c r="AI1165" s="7">
        <f t="shared" ca="1" si="226"/>
        <v>43805</v>
      </c>
      <c r="AJ1165" s="210">
        <f t="shared" ca="1" si="227"/>
        <v>4.1034153005464482</v>
      </c>
      <c r="AK1165" s="8">
        <f t="shared" ca="1" si="228"/>
        <v>1.0001139837583486</v>
      </c>
      <c r="AL1165" s="98">
        <f t="shared" ca="1" si="229"/>
        <v>3.7689093895337589</v>
      </c>
      <c r="AM1165" s="106">
        <f t="shared" ca="1" si="223"/>
        <v>28796.655483530176</v>
      </c>
      <c r="AN1165" s="10">
        <f t="shared" ca="1" si="224"/>
        <v>0.73041378230633835</v>
      </c>
      <c r="AO1165" s="158"/>
      <c r="AP1165" s="158"/>
      <c r="AQ1165" s="1"/>
      <c r="AR1165" s="1"/>
      <c r="AS1165" s="1"/>
      <c r="AT1165" s="1"/>
      <c r="AU1165" s="1"/>
    </row>
    <row r="1166" spans="34:56">
      <c r="AH1166" s="6">
        <f t="shared" si="225"/>
        <v>1136</v>
      </c>
      <c r="AI1166" s="7">
        <f t="shared" ca="1" si="226"/>
        <v>43806</v>
      </c>
      <c r="AJ1166" s="210">
        <f t="shared" ca="1" si="227"/>
        <v>4.1039617486338802</v>
      </c>
      <c r="AK1166" s="8">
        <f t="shared" ca="1" si="228"/>
        <v>1.0001139989374621</v>
      </c>
      <c r="AL1166" s="98">
        <f t="shared" ca="1" si="229"/>
        <v>3.7693305884773265</v>
      </c>
      <c r="AM1166" s="106">
        <f t="shared" ca="1" si="223"/>
        <v>28799.028370250271</v>
      </c>
      <c r="AN1166" s="10">
        <f t="shared" ca="1" si="224"/>
        <v>0.73079102122151074</v>
      </c>
      <c r="AO1166" s="158"/>
      <c r="AP1166" s="158"/>
      <c r="AQ1166" s="1"/>
      <c r="AR1166" s="1"/>
      <c r="AS1166" s="1"/>
      <c r="AT1166" s="1"/>
      <c r="AU1166" s="1"/>
    </row>
    <row r="1167" spans="34:56">
      <c r="AH1167" s="6">
        <f t="shared" si="225"/>
        <v>1137</v>
      </c>
      <c r="AI1167" s="7">
        <f t="shared" ca="1" si="226"/>
        <v>43807</v>
      </c>
      <c r="AJ1167" s="210">
        <f t="shared" ca="1" si="227"/>
        <v>4.1045081967213113</v>
      </c>
      <c r="AK1167" s="8">
        <f t="shared" ca="1" si="228"/>
        <v>1.0001140141165756</v>
      </c>
      <c r="AL1167" s="98">
        <f t="shared" ca="1" si="229"/>
        <v>3.7697515538226645</v>
      </c>
      <c r="AM1167" s="106">
        <f t="shared" ca="1" si="223"/>
        <v>28801.401452499722</v>
      </c>
      <c r="AN1167" s="10">
        <f t="shared" ca="1" si="224"/>
        <v>0.73116808876398931</v>
      </c>
      <c r="AO1167" s="158"/>
      <c r="AP1167" s="158"/>
      <c r="AQ1167" s="1"/>
      <c r="AR1167" s="1"/>
      <c r="AS1167" s="1"/>
      <c r="AT1167" s="1"/>
      <c r="AU1167" s="1"/>
    </row>
    <row r="1168" spans="34:56">
      <c r="AH1168" s="6">
        <f t="shared" si="225"/>
        <v>1138</v>
      </c>
      <c r="AI1168" s="7">
        <f t="shared" ca="1" si="226"/>
        <v>43808</v>
      </c>
      <c r="AJ1168" s="210">
        <f t="shared" ca="1" si="227"/>
        <v>4.1050546448087433</v>
      </c>
      <c r="AK1168" s="8">
        <f t="shared" ca="1" si="228"/>
        <v>1.0001140292956892</v>
      </c>
      <c r="AL1168" s="98">
        <f t="shared" ca="1" si="229"/>
        <v>3.7701722861872122</v>
      </c>
      <c r="AM1168" s="106">
        <f t="shared" ca="1" si="223"/>
        <v>28803.774730294634</v>
      </c>
      <c r="AN1168" s="10">
        <f t="shared" ca="1" si="224"/>
        <v>0.73154498538727797</v>
      </c>
      <c r="AO1168" s="158"/>
      <c r="AP1168" s="158"/>
      <c r="AQ1168" s="1"/>
      <c r="AR1168" s="1"/>
      <c r="AS1168" s="1"/>
      <c r="AT1168" s="1"/>
      <c r="AU1168" s="1"/>
    </row>
    <row r="1169" spans="34:47">
      <c r="AH1169" s="6">
        <f t="shared" si="225"/>
        <v>1139</v>
      </c>
      <c r="AI1169" s="7">
        <f t="shared" ca="1" si="226"/>
        <v>43809</v>
      </c>
      <c r="AJ1169" s="210">
        <f t="shared" ca="1" si="227"/>
        <v>4.1056010928961753</v>
      </c>
      <c r="AK1169" s="8">
        <f t="shared" ca="1" si="228"/>
        <v>1.0001140444748027</v>
      </c>
      <c r="AL1169" s="98">
        <f t="shared" ca="1" si="229"/>
        <v>3.7705927861862776</v>
      </c>
      <c r="AM1169" s="106">
        <f t="shared" ca="1" si="223"/>
        <v>28806.071636941826</v>
      </c>
      <c r="AN1169" s="10">
        <f t="shared" ca="1" si="224"/>
        <v>0.73200751243747142</v>
      </c>
      <c r="AO1169" s="158"/>
      <c r="AP1169" s="158"/>
      <c r="AQ1169" s="1"/>
      <c r="AR1169" s="1"/>
      <c r="AS1169" s="1"/>
      <c r="AT1169" s="1"/>
      <c r="AU1169" s="1"/>
    </row>
    <row r="1170" spans="34:47">
      <c r="AH1170" s="6">
        <f t="shared" si="225"/>
        <v>1140</v>
      </c>
      <c r="AI1170" s="7">
        <f t="shared" ca="1" si="226"/>
        <v>43810</v>
      </c>
      <c r="AJ1170" s="210">
        <f t="shared" ca="1" si="227"/>
        <v>4.1061475409836063</v>
      </c>
      <c r="AK1170" s="8">
        <f t="shared" ca="1" si="228"/>
        <v>1.0001140596539162</v>
      </c>
      <c r="AL1170" s="98">
        <f t="shared" ca="1" si="229"/>
        <v>3.7710130544329923</v>
      </c>
      <c r="AM1170" s="106">
        <f t="shared" ca="1" si="223"/>
        <v>28808.368726751825</v>
      </c>
      <c r="AN1170" s="10">
        <f t="shared" ca="1" si="224"/>
        <v>0.73246971965679197</v>
      </c>
      <c r="AO1170" s="158"/>
      <c r="AP1170" s="158"/>
      <c r="AQ1170" s="1"/>
      <c r="AR1170" s="1"/>
      <c r="AS1170" s="1"/>
      <c r="AT1170" s="1"/>
      <c r="AU1170" s="1"/>
    </row>
    <row r="1171" spans="34:47">
      <c r="AH1171" s="6">
        <f t="shared" si="225"/>
        <v>1141</v>
      </c>
      <c r="AI1171" s="7">
        <f t="shared" ca="1" si="226"/>
        <v>43811</v>
      </c>
      <c r="AJ1171" s="210">
        <f t="shared" ca="1" si="227"/>
        <v>4.1066939890710383</v>
      </c>
      <c r="AK1171" s="8">
        <f t="shared" ca="1" si="228"/>
        <v>1.0001140748330297</v>
      </c>
      <c r="AL1171" s="98">
        <f t="shared" ca="1" si="229"/>
        <v>3.7714330915383343</v>
      </c>
      <c r="AM1171" s="106">
        <f t="shared" ca="1" si="223"/>
        <v>28810.665999739234</v>
      </c>
      <c r="AN1171" s="10">
        <f t="shared" ca="1" si="224"/>
        <v>0.73293160788727718</v>
      </c>
      <c r="AO1171" s="158"/>
      <c r="AP1171" s="158"/>
      <c r="AQ1171" s="1"/>
      <c r="AR1171" s="1"/>
      <c r="AS1171" s="1"/>
      <c r="AT1171" s="1"/>
      <c r="AU1171" s="1"/>
    </row>
    <row r="1172" spans="34:47">
      <c r="AH1172" s="6">
        <f t="shared" si="225"/>
        <v>1142</v>
      </c>
      <c r="AI1172" s="7">
        <f t="shared" ca="1" si="226"/>
        <v>43812</v>
      </c>
      <c r="AJ1172" s="210">
        <f t="shared" ca="1" si="227"/>
        <v>4.1072404371584703</v>
      </c>
      <c r="AK1172" s="8">
        <f t="shared" ca="1" si="228"/>
        <v>1.0001140900121432</v>
      </c>
      <c r="AL1172" s="98">
        <f t="shared" ca="1" si="229"/>
        <v>3.7718528981111721</v>
      </c>
      <c r="AM1172" s="106">
        <f t="shared" ca="1" si="223"/>
        <v>28812.963455918656</v>
      </c>
      <c r="AN1172" s="10">
        <f t="shared" ca="1" si="224"/>
        <v>0.73339317796812242</v>
      </c>
      <c r="AO1172" s="158"/>
      <c r="AP1172" s="158"/>
      <c r="AQ1172" s="1"/>
      <c r="AR1172" s="1"/>
      <c r="AS1172" s="1"/>
      <c r="AT1172" s="1"/>
      <c r="AU1172" s="1"/>
    </row>
    <row r="1173" spans="34:47">
      <c r="AH1173" s="6">
        <f t="shared" si="225"/>
        <v>1143</v>
      </c>
      <c r="AI1173" s="7">
        <f t="shared" ca="1" si="226"/>
        <v>43813</v>
      </c>
      <c r="AJ1173" s="210">
        <f t="shared" ca="1" si="227"/>
        <v>4.1077868852459014</v>
      </c>
      <c r="AK1173" s="8">
        <f t="shared" ca="1" si="228"/>
        <v>1.0001141051912568</v>
      </c>
      <c r="AL1173" s="98">
        <f t="shared" ca="1" si="229"/>
        <v>3.7722724747581982</v>
      </c>
      <c r="AM1173" s="106">
        <f t="shared" ca="1" si="223"/>
        <v>28815.261095304704</v>
      </c>
      <c r="AN1173" s="10">
        <f t="shared" ca="1" si="224"/>
        <v>0.73385443073550327</v>
      </c>
      <c r="AO1173" s="158"/>
      <c r="AP1173" s="158"/>
      <c r="AQ1173" s="1"/>
      <c r="AR1173" s="1"/>
      <c r="AS1173" s="1"/>
      <c r="AT1173" s="1"/>
      <c r="AU1173" s="1"/>
    </row>
    <row r="1174" spans="34:47">
      <c r="AH1174" s="6">
        <f t="shared" si="225"/>
        <v>1144</v>
      </c>
      <c r="AI1174" s="7">
        <f t="shared" ca="1" si="226"/>
        <v>43814</v>
      </c>
      <c r="AJ1174" s="210">
        <f t="shared" ca="1" si="227"/>
        <v>4.1083333333333334</v>
      </c>
      <c r="AK1174" s="8">
        <f t="shared" ca="1" si="228"/>
        <v>1.0001141203703703</v>
      </c>
      <c r="AL1174" s="98">
        <f t="shared" ca="1" si="229"/>
        <v>3.7726918220840178</v>
      </c>
      <c r="AM1174" s="106">
        <f t="shared" ca="1" si="223"/>
        <v>28817.558917911989</v>
      </c>
      <c r="AN1174" s="10">
        <f t="shared" ca="1" si="224"/>
        <v>0.73431536702268652</v>
      </c>
      <c r="AO1174" s="158"/>
      <c r="AP1174" s="158"/>
      <c r="AQ1174" s="1"/>
      <c r="AR1174" s="1"/>
      <c r="AS1174" s="1"/>
      <c r="AT1174" s="1"/>
      <c r="AU1174" s="1"/>
    </row>
    <row r="1175" spans="34:47">
      <c r="AH1175" s="6">
        <f t="shared" si="225"/>
        <v>1145</v>
      </c>
      <c r="AI1175" s="7">
        <f t="shared" ca="1" si="226"/>
        <v>43815</v>
      </c>
      <c r="AJ1175" s="210">
        <f t="shared" ca="1" si="227"/>
        <v>4.1088797814207654</v>
      </c>
      <c r="AK1175" s="8">
        <f t="shared" ca="1" si="228"/>
        <v>1.0001141355494838</v>
      </c>
      <c r="AL1175" s="98">
        <f t="shared" ca="1" si="229"/>
        <v>3.7731109406911267</v>
      </c>
      <c r="AM1175" s="106">
        <f t="shared" ca="1" si="223"/>
        <v>28819.85692375512</v>
      </c>
      <c r="AN1175" s="10">
        <f t="shared" ca="1" si="224"/>
        <v>0.73477598766005237</v>
      </c>
      <c r="AO1175" s="158"/>
      <c r="AP1175" s="158"/>
      <c r="AQ1175" s="1"/>
      <c r="AR1175" s="1"/>
      <c r="AS1175" s="1"/>
      <c r="AT1175" s="1"/>
      <c r="AU1175" s="1"/>
    </row>
    <row r="1176" spans="34:47">
      <c r="AH1176" s="6">
        <f t="shared" si="225"/>
        <v>1146</v>
      </c>
      <c r="AI1176" s="7">
        <f t="shared" ca="1" si="226"/>
        <v>43816</v>
      </c>
      <c r="AJ1176" s="210">
        <f t="shared" ca="1" si="227"/>
        <v>4.1094262295081965</v>
      </c>
      <c r="AK1176" s="8">
        <f t="shared" ca="1" si="228"/>
        <v>1.0001141507285976</v>
      </c>
      <c r="AL1176" s="98">
        <f t="shared" ca="1" si="229"/>
        <v>3.7735298311799115</v>
      </c>
      <c r="AM1176" s="106">
        <f t="shared" ca="1" si="223"/>
        <v>28822.155112848708</v>
      </c>
      <c r="AN1176" s="10">
        <f t="shared" ca="1" si="224"/>
        <v>0.73523629347509445</v>
      </c>
      <c r="AO1176" s="158"/>
      <c r="AP1176" s="158"/>
      <c r="AQ1176" s="1"/>
      <c r="AR1176" s="1"/>
      <c r="AS1176" s="1"/>
      <c r="AT1176" s="1"/>
      <c r="AU1176" s="1"/>
    </row>
    <row r="1177" spans="34:47">
      <c r="AH1177" s="6">
        <f t="shared" si="225"/>
        <v>1147</v>
      </c>
      <c r="AI1177" s="7">
        <f t="shared" ca="1" si="226"/>
        <v>43817</v>
      </c>
      <c r="AJ1177" s="210">
        <f t="shared" ca="1" si="227"/>
        <v>4.1099726775956285</v>
      </c>
      <c r="AK1177" s="8">
        <f t="shared" ca="1" si="228"/>
        <v>1.0001141659077111</v>
      </c>
      <c r="AL1177" s="98">
        <f t="shared" ca="1" si="229"/>
        <v>3.773948494148649</v>
      </c>
      <c r="AM1177" s="106">
        <f t="shared" ca="1" si="223"/>
        <v>28824.453485207367</v>
      </c>
      <c r="AN1177" s="10">
        <f t="shared" ca="1" si="224"/>
        <v>0.73569628529237541</v>
      </c>
      <c r="AO1177" s="158"/>
      <c r="AP1177" s="158"/>
      <c r="AQ1177" s="1"/>
      <c r="AR1177" s="1"/>
      <c r="AS1177" s="1"/>
      <c r="AT1177" s="1"/>
      <c r="AU1177" s="1"/>
    </row>
    <row r="1178" spans="34:47">
      <c r="AH1178" s="6">
        <f t="shared" si="225"/>
        <v>1148</v>
      </c>
      <c r="AI1178" s="7">
        <f t="shared" ca="1" si="226"/>
        <v>43818</v>
      </c>
      <c r="AJ1178" s="210">
        <f t="shared" ca="1" si="227"/>
        <v>4.1105191256830604</v>
      </c>
      <c r="AK1178" s="8">
        <f t="shared" ca="1" si="228"/>
        <v>1.0001141810868246</v>
      </c>
      <c r="AL1178" s="98">
        <f t="shared" ca="1" si="229"/>
        <v>3.7743669301935512</v>
      </c>
      <c r="AM1178" s="106">
        <f t="shared" ca="1" si="223"/>
        <v>28826.752040845709</v>
      </c>
      <c r="AN1178" s="10">
        <f t="shared" ca="1" si="224"/>
        <v>0.73615596393363791</v>
      </c>
      <c r="AO1178" s="158"/>
      <c r="AP1178" s="158"/>
      <c r="AQ1178" s="1"/>
      <c r="AR1178" s="1"/>
      <c r="AS1178" s="1"/>
      <c r="AT1178" s="1"/>
      <c r="AU1178" s="1"/>
    </row>
    <row r="1179" spans="34:47">
      <c r="AH1179" s="6">
        <f t="shared" si="225"/>
        <v>1149</v>
      </c>
      <c r="AI1179" s="7">
        <f t="shared" ca="1" si="226"/>
        <v>43819</v>
      </c>
      <c r="AJ1179" s="210">
        <f t="shared" ca="1" si="227"/>
        <v>4.1110655737704915</v>
      </c>
      <c r="AK1179" s="8">
        <f t="shared" ca="1" si="228"/>
        <v>1.0001141962659381</v>
      </c>
      <c r="AL1179" s="98">
        <f t="shared" ca="1" si="229"/>
        <v>3.7747851399087651</v>
      </c>
      <c r="AM1179" s="106">
        <f t="shared" ca="1" si="223"/>
        <v>28829.050779778354</v>
      </c>
      <c r="AN1179" s="10">
        <f t="shared" ca="1" si="224"/>
        <v>0.73661533021773806</v>
      </c>
      <c r="AO1179" s="158"/>
      <c r="AP1179" s="158"/>
      <c r="AQ1179" s="1"/>
      <c r="AR1179" s="1"/>
      <c r="AS1179" s="1"/>
      <c r="AT1179" s="1"/>
      <c r="AU1179" s="1"/>
    </row>
    <row r="1180" spans="34:47">
      <c r="AH1180" s="6">
        <f t="shared" si="225"/>
        <v>1150</v>
      </c>
      <c r="AI1180" s="7">
        <f t="shared" ca="1" si="226"/>
        <v>43820</v>
      </c>
      <c r="AJ1180" s="210">
        <f t="shared" ca="1" si="227"/>
        <v>4.1116120218579235</v>
      </c>
      <c r="AK1180" s="8">
        <f t="shared" ca="1" si="228"/>
        <v>1.0001142114450516</v>
      </c>
      <c r="AL1180" s="98">
        <f t="shared" ca="1" si="229"/>
        <v>3.7752031238863726</v>
      </c>
      <c r="AM1180" s="106">
        <f t="shared" ca="1" si="223"/>
        <v>28831.349702019914</v>
      </c>
      <c r="AN1180" s="10">
        <f t="shared" ca="1" si="224"/>
        <v>0.73707438496071198</v>
      </c>
      <c r="AO1180" s="158"/>
      <c r="AP1180" s="158"/>
      <c r="AQ1180" s="1"/>
      <c r="AR1180" s="1"/>
      <c r="AS1180" s="1"/>
      <c r="AT1180" s="1"/>
      <c r="AU1180" s="1"/>
    </row>
    <row r="1181" spans="34:47">
      <c r="AH1181" s="6">
        <f t="shared" si="225"/>
        <v>1151</v>
      </c>
      <c r="AI1181" s="7">
        <f t="shared" ca="1" si="226"/>
        <v>43821</v>
      </c>
      <c r="AJ1181" s="210">
        <f t="shared" ca="1" si="227"/>
        <v>4.1121584699453555</v>
      </c>
      <c r="AK1181" s="8">
        <f t="shared" ca="1" si="228"/>
        <v>1.0001142266241652</v>
      </c>
      <c r="AL1181" s="98">
        <f t="shared" ca="1" si="229"/>
        <v>3.7756208827163684</v>
      </c>
      <c r="AM1181" s="106">
        <f t="shared" ca="1" si="223"/>
        <v>28833.648807585007</v>
      </c>
      <c r="AN1181" s="10">
        <f t="shared" ca="1" si="224"/>
        <v>0.73753312897575363</v>
      </c>
      <c r="AO1181" s="158"/>
      <c r="AP1181" s="158"/>
      <c r="AQ1181" s="1"/>
      <c r="AR1181" s="1"/>
      <c r="AS1181" s="1"/>
      <c r="AT1181" s="1"/>
      <c r="AU1181" s="1"/>
    </row>
    <row r="1182" spans="34:47">
      <c r="AH1182" s="6">
        <f t="shared" si="225"/>
        <v>1152</v>
      </c>
      <c r="AI1182" s="7">
        <f t="shared" ca="1" si="226"/>
        <v>43822</v>
      </c>
      <c r="AJ1182" s="210">
        <f t="shared" ca="1" si="227"/>
        <v>4.1127049180327866</v>
      </c>
      <c r="AK1182" s="8">
        <f t="shared" ca="1" si="228"/>
        <v>1.0001142418032787</v>
      </c>
      <c r="AL1182" s="98">
        <f t="shared" ca="1" si="229"/>
        <v>3.7760384169867489</v>
      </c>
      <c r="AM1182" s="106">
        <f t="shared" ca="1" si="223"/>
        <v>28835.948096488253</v>
      </c>
      <c r="AN1182" s="10">
        <f t="shared" ca="1" si="224"/>
        <v>0.73799156307321478</v>
      </c>
      <c r="AO1182" s="158"/>
      <c r="AP1182" s="158"/>
      <c r="AQ1182" s="1"/>
      <c r="AR1182" s="1"/>
      <c r="AS1182" s="1"/>
      <c r="AT1182" s="1"/>
      <c r="AU1182" s="1"/>
    </row>
    <row r="1183" spans="34:47">
      <c r="AH1183" s="6">
        <f t="shared" si="225"/>
        <v>1153</v>
      </c>
      <c r="AI1183" s="7">
        <f t="shared" ca="1" si="226"/>
        <v>43823</v>
      </c>
      <c r="AJ1183" s="210">
        <f t="shared" ca="1" si="227"/>
        <v>4.1132513661202186</v>
      </c>
      <c r="AK1183" s="8">
        <f t="shared" ca="1" si="228"/>
        <v>1.0001142569823922</v>
      </c>
      <c r="AL1183" s="98">
        <f t="shared" ca="1" si="229"/>
        <v>3.7764557272834232</v>
      </c>
      <c r="AM1183" s="106">
        <f t="shared" ref="AM1183:AM1246" ca="1" si="230">Geom_Interp(AI1183,$AZ$2:$AZ$109,$BA$2:$BA$109)</f>
        <v>28838.247568744271</v>
      </c>
      <c r="AN1183" s="10">
        <f t="shared" ref="AN1183:AN1246" ca="1" si="231">100*(((1+AL1183/100)^(AH1183/365)*$AM$29/AM1183)^(365/AH1183)-1)</f>
        <v>0.73844968806067168</v>
      </c>
      <c r="AO1183" s="158"/>
      <c r="AP1183" s="158"/>
      <c r="AQ1183" s="1"/>
      <c r="AR1183" s="1"/>
      <c r="AS1183" s="1"/>
      <c r="AT1183" s="1"/>
      <c r="AU1183" s="1"/>
    </row>
    <row r="1184" spans="34:47">
      <c r="AH1184" s="6">
        <f t="shared" ref="AH1184:AH1247" si="232">$AI$29+AH1183</f>
        <v>1154</v>
      </c>
      <c r="AI1184" s="7">
        <f t="shared" ref="AI1184:AI1247" ca="1" si="233">+AH1184+$C$1</f>
        <v>43824</v>
      </c>
      <c r="AJ1184" s="210">
        <f t="shared" ref="AJ1184:AJ1247" ca="1" si="234">IF(AH1184&lt;365,VLOOKUP(LOOKUP(AI1184,$AI$2:$AI$23),$AI$2:$AK$23,3,0),Lin_Interp(AH1184,$AJ$2:$AJ$23,$AK$2:$AK$23))</f>
        <v>4.1137978142076506</v>
      </c>
      <c r="AK1184" s="8">
        <f t="shared" ca="1" si="228"/>
        <v>1.0001142721615057</v>
      </c>
      <c r="AL1184" s="98">
        <f t="shared" ca="1" si="229"/>
        <v>3.7768728141902796</v>
      </c>
      <c r="AM1184" s="106">
        <f t="shared" ca="1" si="230"/>
        <v>28840.547224367689</v>
      </c>
      <c r="AN1184" s="10">
        <f t="shared" ca="1" si="231"/>
        <v>0.73890750474283617</v>
      </c>
      <c r="AO1184" s="158"/>
      <c r="AP1184" s="158"/>
      <c r="AQ1184" s="1"/>
      <c r="AR1184" s="1"/>
      <c r="AS1184" s="1"/>
      <c r="AT1184" s="1"/>
      <c r="AU1184" s="1"/>
    </row>
    <row r="1185" spans="34:47">
      <c r="AH1185" s="6">
        <f t="shared" si="232"/>
        <v>1155</v>
      </c>
      <c r="AI1185" s="7">
        <f t="shared" ca="1" si="233"/>
        <v>43825</v>
      </c>
      <c r="AJ1185" s="210">
        <f t="shared" ca="1" si="234"/>
        <v>4.1143442622950817</v>
      </c>
      <c r="AK1185" s="8">
        <f t="shared" ref="AK1185:AK1248" ca="1" si="235">+(1+AJ1185/36000)</f>
        <v>1.0001142873406192</v>
      </c>
      <c r="AL1185" s="98">
        <f t="shared" ref="AL1185:AL1248" ca="1" si="236">100*(((1+AL1184/100)^(AH1184/365)*AK1185)^(365/AH1185)-1)</f>
        <v>3.7772896782892085</v>
      </c>
      <c r="AM1185" s="106">
        <f t="shared" ca="1" si="230"/>
        <v>28842.847063373112</v>
      </c>
      <c r="AN1185" s="10">
        <f t="shared" ca="1" si="231"/>
        <v>0.73936501392173337</v>
      </c>
      <c r="AO1185" s="158"/>
      <c r="AP1185" s="158"/>
      <c r="AQ1185" s="1"/>
      <c r="AR1185" s="1"/>
      <c r="AS1185" s="1"/>
      <c r="AT1185" s="1"/>
      <c r="AU1185" s="1"/>
    </row>
    <row r="1186" spans="34:47">
      <c r="AH1186" s="6">
        <f t="shared" si="232"/>
        <v>1156</v>
      </c>
      <c r="AI1186" s="7">
        <f t="shared" ca="1" si="233"/>
        <v>43826</v>
      </c>
      <c r="AJ1186" s="210">
        <f t="shared" ca="1" si="234"/>
        <v>4.1148907103825136</v>
      </c>
      <c r="AK1186" s="8">
        <f t="shared" ca="1" si="235"/>
        <v>1.0001143025197328</v>
      </c>
      <c r="AL1186" s="98">
        <f t="shared" ca="1" si="236"/>
        <v>3.7777063201600791</v>
      </c>
      <c r="AM1186" s="106">
        <f t="shared" ca="1" si="230"/>
        <v>28845.147085775185</v>
      </c>
      <c r="AN1186" s="10">
        <f t="shared" ca="1" si="231"/>
        <v>0.73982221639656842</v>
      </c>
      <c r="AO1186" s="158"/>
      <c r="AP1186" s="158"/>
      <c r="AQ1186" s="1"/>
      <c r="AR1186" s="1"/>
      <c r="AS1186" s="1"/>
      <c r="AT1186" s="1"/>
      <c r="AU1186" s="1"/>
    </row>
    <row r="1187" spans="34:47">
      <c r="AH1187" s="6">
        <f t="shared" si="232"/>
        <v>1157</v>
      </c>
      <c r="AI1187" s="7">
        <f t="shared" ca="1" si="233"/>
        <v>43827</v>
      </c>
      <c r="AJ1187" s="210">
        <f t="shared" ca="1" si="234"/>
        <v>4.1154371584699456</v>
      </c>
      <c r="AK1187" s="8">
        <f t="shared" ca="1" si="235"/>
        <v>1.0001143176988463</v>
      </c>
      <c r="AL1187" s="98">
        <f t="shared" ca="1" si="236"/>
        <v>3.7781227403807627</v>
      </c>
      <c r="AM1187" s="106">
        <f t="shared" ca="1" si="230"/>
        <v>28847.447291588516</v>
      </c>
      <c r="AN1187" s="10">
        <f t="shared" ca="1" si="231"/>
        <v>0.74027911296377091</v>
      </c>
      <c r="AO1187" s="158"/>
      <c r="AP1187" s="158"/>
      <c r="AQ1187" s="1"/>
      <c r="AR1187" s="1"/>
      <c r="AS1187" s="1"/>
      <c r="AT1187" s="1"/>
      <c r="AU1187" s="1"/>
    </row>
    <row r="1188" spans="34:47">
      <c r="AH1188" s="6">
        <f t="shared" si="232"/>
        <v>1158</v>
      </c>
      <c r="AI1188" s="7">
        <f t="shared" ca="1" si="233"/>
        <v>43828</v>
      </c>
      <c r="AJ1188" s="210">
        <f t="shared" ca="1" si="234"/>
        <v>4.1159836065573767</v>
      </c>
      <c r="AK1188" s="8">
        <f t="shared" ca="1" si="235"/>
        <v>1.00011433287796</v>
      </c>
      <c r="AL1188" s="98">
        <f t="shared" ca="1" si="236"/>
        <v>3.7785389395271318</v>
      </c>
      <c r="AM1188" s="106">
        <f t="shared" ca="1" si="230"/>
        <v>28849.747680827739</v>
      </c>
      <c r="AN1188" s="10">
        <f t="shared" ca="1" si="231"/>
        <v>0.74073570441703929</v>
      </c>
      <c r="AO1188" s="158"/>
      <c r="AP1188" s="158"/>
      <c r="AQ1188" s="1"/>
      <c r="AR1188" s="1"/>
      <c r="AS1188" s="1"/>
      <c r="AT1188" s="1"/>
      <c r="AU1188" s="1"/>
    </row>
    <row r="1189" spans="34:47">
      <c r="AH1189" s="6">
        <f t="shared" si="232"/>
        <v>1159</v>
      </c>
      <c r="AI1189" s="7">
        <f t="shared" ca="1" si="233"/>
        <v>43829</v>
      </c>
      <c r="AJ1189" s="210">
        <f t="shared" ca="1" si="234"/>
        <v>4.1165300546448087</v>
      </c>
      <c r="AK1189" s="8">
        <f t="shared" ca="1" si="235"/>
        <v>1.0001143480570736</v>
      </c>
      <c r="AL1189" s="98">
        <f t="shared" ca="1" si="236"/>
        <v>3.7789549181730608</v>
      </c>
      <c r="AM1189" s="106">
        <f t="shared" ca="1" si="230"/>
        <v>28852.048253507481</v>
      </c>
      <c r="AN1189" s="10">
        <f t="shared" ca="1" si="231"/>
        <v>0.74119199154736304</v>
      </c>
      <c r="AO1189" s="158"/>
      <c r="AP1189" s="158"/>
      <c r="AQ1189" s="1"/>
      <c r="AR1189" s="1"/>
      <c r="AS1189" s="1"/>
      <c r="AT1189" s="1"/>
      <c r="AU1189" s="1"/>
    </row>
    <row r="1190" spans="34:47">
      <c r="AH1190" s="6">
        <f t="shared" si="232"/>
        <v>1160</v>
      </c>
      <c r="AI1190" s="7">
        <f t="shared" ca="1" si="233"/>
        <v>43830</v>
      </c>
      <c r="AJ1190" s="210">
        <f t="shared" ca="1" si="234"/>
        <v>4.1170765027322407</v>
      </c>
      <c r="AK1190" s="8">
        <f t="shared" ca="1" si="235"/>
        <v>1.0001143632361871</v>
      </c>
      <c r="AL1190" s="98">
        <f t="shared" ca="1" si="236"/>
        <v>3.77937067689047</v>
      </c>
      <c r="AM1190" s="106">
        <f t="shared" ca="1" si="230"/>
        <v>28854.34900964237</v>
      </c>
      <c r="AN1190" s="10">
        <f t="shared" ca="1" si="231"/>
        <v>0.74164797514295611</v>
      </c>
      <c r="AO1190" s="158"/>
      <c r="AP1190" s="158"/>
      <c r="AQ1190" s="1"/>
      <c r="AR1190" s="1"/>
      <c r="AS1190" s="1"/>
      <c r="AT1190" s="1"/>
      <c r="AU1190" s="1"/>
    </row>
    <row r="1191" spans="34:47">
      <c r="AH1191" s="6">
        <f t="shared" si="232"/>
        <v>1161</v>
      </c>
      <c r="AI1191" s="7">
        <f t="shared" ca="1" si="233"/>
        <v>43831</v>
      </c>
      <c r="AJ1191" s="210">
        <f t="shared" ca="1" si="234"/>
        <v>4.1176229508196718</v>
      </c>
      <c r="AK1191" s="8">
        <f t="shared" ca="1" si="235"/>
        <v>1.0001143784153006</v>
      </c>
      <c r="AL1191" s="98">
        <f t="shared" ca="1" si="236"/>
        <v>3.7797862162492812</v>
      </c>
      <c r="AM1191" s="106">
        <f t="shared" ca="1" si="230"/>
        <v>28856.649949247032</v>
      </c>
      <c r="AN1191" s="10">
        <f t="shared" ca="1" si="231"/>
        <v>0.74210365598932349</v>
      </c>
      <c r="AO1191" s="158"/>
      <c r="AP1191" s="158"/>
      <c r="AQ1191" s="1"/>
      <c r="AR1191" s="1"/>
      <c r="AS1191" s="1"/>
      <c r="AT1191" s="1"/>
      <c r="AU1191" s="1"/>
    </row>
    <row r="1192" spans="34:47">
      <c r="AH1192" s="6">
        <f t="shared" si="232"/>
        <v>1162</v>
      </c>
      <c r="AI1192" s="7">
        <f t="shared" ca="1" si="233"/>
        <v>43832</v>
      </c>
      <c r="AJ1192" s="210">
        <f t="shared" ca="1" si="234"/>
        <v>4.1181693989071038</v>
      </c>
      <c r="AK1192" s="8">
        <f t="shared" ca="1" si="235"/>
        <v>1.0001143935944141</v>
      </c>
      <c r="AL1192" s="98">
        <f t="shared" ca="1" si="236"/>
        <v>3.7802015368174624</v>
      </c>
      <c r="AM1192" s="106">
        <f t="shared" ca="1" si="230"/>
        <v>28858.951072336095</v>
      </c>
      <c r="AN1192" s="10">
        <f t="shared" ca="1" si="231"/>
        <v>0.74255903486932784</v>
      </c>
      <c r="AO1192" s="158"/>
      <c r="AP1192" s="158"/>
      <c r="AQ1192" s="1"/>
      <c r="AR1192" s="1"/>
      <c r="AS1192" s="1"/>
      <c r="AT1192" s="1"/>
      <c r="AU1192" s="1"/>
    </row>
    <row r="1193" spans="34:47">
      <c r="AH1193" s="6">
        <f t="shared" si="232"/>
        <v>1163</v>
      </c>
      <c r="AI1193" s="7">
        <f t="shared" ca="1" si="233"/>
        <v>43833</v>
      </c>
      <c r="AJ1193" s="210">
        <f t="shared" ca="1" si="234"/>
        <v>4.1187158469945357</v>
      </c>
      <c r="AK1193" s="8">
        <f t="shared" ca="1" si="235"/>
        <v>1.0001144087735276</v>
      </c>
      <c r="AL1193" s="98">
        <f t="shared" ca="1" si="236"/>
        <v>3.7806166391610496</v>
      </c>
      <c r="AM1193" s="106">
        <f t="shared" ca="1" si="230"/>
        <v>28861.252378924204</v>
      </c>
      <c r="AN1193" s="10">
        <f t="shared" ca="1" si="231"/>
        <v>0.74301411256303407</v>
      </c>
      <c r="AO1193" s="158"/>
      <c r="AP1193" s="158"/>
      <c r="AQ1193" s="1"/>
      <c r="AR1193" s="1"/>
      <c r="AS1193" s="1"/>
      <c r="AT1193" s="1"/>
      <c r="AU1193" s="1"/>
    </row>
    <row r="1194" spans="34:47">
      <c r="AH1194" s="6">
        <f t="shared" si="232"/>
        <v>1164</v>
      </c>
      <c r="AI1194" s="7">
        <f t="shared" ca="1" si="233"/>
        <v>43834</v>
      </c>
      <c r="AJ1194" s="210">
        <f t="shared" ca="1" si="234"/>
        <v>4.1192622950819668</v>
      </c>
      <c r="AK1194" s="8">
        <f t="shared" ca="1" si="235"/>
        <v>1.0001144239526412</v>
      </c>
      <c r="AL1194" s="98">
        <f t="shared" ca="1" si="236"/>
        <v>3.7810315238441472</v>
      </c>
      <c r="AM1194" s="106">
        <f t="shared" ca="1" si="230"/>
        <v>28863.553869025975</v>
      </c>
      <c r="AN1194" s="10">
        <f t="shared" ca="1" si="231"/>
        <v>0.74346888984799797</v>
      </c>
      <c r="AO1194" s="158"/>
      <c r="AP1194" s="158"/>
      <c r="AQ1194" s="1"/>
      <c r="AR1194" s="1"/>
      <c r="AS1194" s="1"/>
      <c r="AT1194" s="1"/>
      <c r="AU1194" s="1"/>
    </row>
    <row r="1195" spans="34:47">
      <c r="AH1195" s="6">
        <f t="shared" si="232"/>
        <v>1165</v>
      </c>
      <c r="AI1195" s="7">
        <f t="shared" ca="1" si="233"/>
        <v>43835</v>
      </c>
      <c r="AJ1195" s="210">
        <f t="shared" ca="1" si="234"/>
        <v>4.1198087431693988</v>
      </c>
      <c r="AK1195" s="8">
        <f t="shared" ca="1" si="235"/>
        <v>1.0001144391317547</v>
      </c>
      <c r="AL1195" s="98">
        <f t="shared" ca="1" si="236"/>
        <v>3.7814461914288611</v>
      </c>
      <c r="AM1195" s="106">
        <f t="shared" ca="1" si="230"/>
        <v>28865.855542656052</v>
      </c>
      <c r="AN1195" s="10">
        <f t="shared" ca="1" si="231"/>
        <v>0.74392336749893317</v>
      </c>
      <c r="AO1195" s="158"/>
      <c r="AP1195" s="158"/>
      <c r="AQ1195" s="1"/>
      <c r="AR1195" s="1"/>
      <c r="AS1195" s="1"/>
      <c r="AT1195" s="1"/>
      <c r="AU1195" s="1"/>
    </row>
    <row r="1196" spans="34:47">
      <c r="AH1196" s="6">
        <f t="shared" si="232"/>
        <v>1166</v>
      </c>
      <c r="AI1196" s="7">
        <f t="shared" ca="1" si="233"/>
        <v>43836</v>
      </c>
      <c r="AJ1196" s="210">
        <f t="shared" ca="1" si="234"/>
        <v>4.1203551912568308</v>
      </c>
      <c r="AK1196" s="8">
        <f t="shared" ca="1" si="235"/>
        <v>1.0001144543108682</v>
      </c>
      <c r="AL1196" s="98">
        <f t="shared" ca="1" si="236"/>
        <v>3.781860642475432</v>
      </c>
      <c r="AM1196" s="106">
        <f t="shared" ca="1" si="230"/>
        <v>28868.157399829062</v>
      </c>
      <c r="AN1196" s="10">
        <f t="shared" ca="1" si="231"/>
        <v>0.74437754628797759</v>
      </c>
      <c r="AO1196" s="158"/>
      <c r="AP1196" s="158"/>
      <c r="AQ1196" s="1"/>
      <c r="AR1196" s="1"/>
      <c r="AS1196" s="1"/>
      <c r="AT1196" s="1"/>
      <c r="AU1196" s="1"/>
    </row>
    <row r="1197" spans="34:47">
      <c r="AH1197" s="6">
        <f t="shared" si="232"/>
        <v>1167</v>
      </c>
      <c r="AI1197" s="7">
        <f t="shared" ca="1" si="233"/>
        <v>43837</v>
      </c>
      <c r="AJ1197" s="210">
        <f t="shared" ca="1" si="234"/>
        <v>4.1209016393442619</v>
      </c>
      <c r="AK1197" s="8">
        <f t="shared" ca="1" si="235"/>
        <v>1.0001144694899817</v>
      </c>
      <c r="AL1197" s="98">
        <f t="shared" ca="1" si="236"/>
        <v>3.7822748775421466</v>
      </c>
      <c r="AM1197" s="106">
        <f t="shared" ca="1" si="230"/>
        <v>28870.459440559658</v>
      </c>
      <c r="AN1197" s="10">
        <f t="shared" ca="1" si="231"/>
        <v>0.74483142698462679</v>
      </c>
      <c r="AO1197" s="158"/>
      <c r="AP1197" s="158"/>
      <c r="AQ1197" s="1"/>
      <c r="AR1197" s="1"/>
      <c r="AS1197" s="1"/>
      <c r="AT1197" s="1"/>
      <c r="AU1197" s="1"/>
    </row>
    <row r="1198" spans="34:47">
      <c r="AH1198" s="6">
        <f t="shared" si="232"/>
        <v>1168</v>
      </c>
      <c r="AI1198" s="7">
        <f t="shared" ca="1" si="233"/>
        <v>43838</v>
      </c>
      <c r="AJ1198" s="210">
        <f t="shared" ca="1" si="234"/>
        <v>4.1214480874316939</v>
      </c>
      <c r="AK1198" s="8">
        <f t="shared" ca="1" si="235"/>
        <v>1.0001144846690952</v>
      </c>
      <c r="AL1198" s="98">
        <f t="shared" ca="1" si="236"/>
        <v>3.7826888971854045</v>
      </c>
      <c r="AM1198" s="106">
        <f t="shared" ca="1" si="230"/>
        <v>28872.761664862461</v>
      </c>
      <c r="AN1198" s="10">
        <f t="shared" ca="1" si="231"/>
        <v>0.74528501035575623</v>
      </c>
      <c r="AO1198" s="158"/>
      <c r="AP1198" s="158"/>
      <c r="AQ1198" s="1"/>
      <c r="AR1198" s="1"/>
      <c r="AS1198" s="1"/>
      <c r="AT1198" s="1"/>
      <c r="AU1198" s="1"/>
    </row>
    <row r="1199" spans="34:47">
      <c r="AH1199" s="6">
        <f t="shared" si="232"/>
        <v>1169</v>
      </c>
      <c r="AI1199" s="7">
        <f t="shared" ca="1" si="233"/>
        <v>43839</v>
      </c>
      <c r="AJ1199" s="210">
        <f t="shared" ca="1" si="234"/>
        <v>4.1219945355191259</v>
      </c>
      <c r="AK1199" s="8">
        <f t="shared" ca="1" si="235"/>
        <v>1.0001144998482088</v>
      </c>
      <c r="AL1199" s="98">
        <f t="shared" ca="1" si="236"/>
        <v>3.7831027019596952</v>
      </c>
      <c r="AM1199" s="106">
        <f t="shared" ca="1" si="230"/>
        <v>28875.064072752113</v>
      </c>
      <c r="AN1199" s="10">
        <f t="shared" ca="1" si="231"/>
        <v>0.74573829716559903</v>
      </c>
      <c r="AO1199" s="158"/>
      <c r="AP1199" s="158"/>
      <c r="AQ1199" s="1"/>
      <c r="AR1199" s="1"/>
      <c r="AS1199" s="1"/>
      <c r="AT1199" s="1"/>
      <c r="AU1199" s="1"/>
    </row>
    <row r="1200" spans="34:47">
      <c r="AH1200" s="6">
        <f t="shared" si="232"/>
        <v>1170</v>
      </c>
      <c r="AI1200" s="7">
        <f t="shared" ca="1" si="233"/>
        <v>43840</v>
      </c>
      <c r="AJ1200" s="210">
        <f t="shared" ca="1" si="234"/>
        <v>4.122540983606557</v>
      </c>
      <c r="AK1200" s="8">
        <f t="shared" ca="1" si="235"/>
        <v>1.0001145150273225</v>
      </c>
      <c r="AL1200" s="98">
        <f t="shared" ca="1" si="236"/>
        <v>3.7835162924176213</v>
      </c>
      <c r="AM1200" s="106">
        <f t="shared" ca="1" si="230"/>
        <v>28877.366664243258</v>
      </c>
      <c r="AN1200" s="10">
        <f t="shared" ca="1" si="231"/>
        <v>0.74619128817574598</v>
      </c>
      <c r="AO1200" s="158"/>
      <c r="AP1200" s="158"/>
      <c r="AQ1200" s="1"/>
      <c r="AR1200" s="1"/>
      <c r="AS1200" s="1"/>
      <c r="AT1200" s="1"/>
      <c r="AU1200" s="1"/>
    </row>
    <row r="1201" spans="34:47">
      <c r="AH1201" s="6">
        <f t="shared" si="232"/>
        <v>1171</v>
      </c>
      <c r="AI1201" s="7">
        <f t="shared" ca="1" si="233"/>
        <v>43841</v>
      </c>
      <c r="AJ1201" s="210">
        <f t="shared" ca="1" si="234"/>
        <v>4.1230874316939889</v>
      </c>
      <c r="AK1201" s="8">
        <f t="shared" ca="1" si="235"/>
        <v>1.000114530206436</v>
      </c>
      <c r="AL1201" s="98">
        <f t="shared" ca="1" si="236"/>
        <v>3.7839296691098756</v>
      </c>
      <c r="AM1201" s="106">
        <f t="shared" ca="1" si="230"/>
        <v>28879.669439350535</v>
      </c>
      <c r="AN1201" s="10">
        <f t="shared" ca="1" si="231"/>
        <v>0.74664398414527877</v>
      </c>
      <c r="AO1201" s="158"/>
      <c r="AP1201" s="158"/>
      <c r="AQ1201" s="1"/>
      <c r="AR1201" s="1"/>
      <c r="AS1201" s="1"/>
      <c r="AT1201" s="1"/>
      <c r="AU1201" s="1"/>
    </row>
    <row r="1202" spans="34:47">
      <c r="AH1202" s="6">
        <f t="shared" si="232"/>
        <v>1172</v>
      </c>
      <c r="AI1202" s="7">
        <f t="shared" ca="1" si="233"/>
        <v>43842</v>
      </c>
      <c r="AJ1202" s="210">
        <f t="shared" ca="1" si="234"/>
        <v>4.1236338797814209</v>
      </c>
      <c r="AK1202" s="8">
        <f t="shared" ca="1" si="235"/>
        <v>1.0001145453855496</v>
      </c>
      <c r="AL1202" s="98">
        <f t="shared" ca="1" si="236"/>
        <v>3.7843428325852857</v>
      </c>
      <c r="AM1202" s="106">
        <f t="shared" ca="1" si="230"/>
        <v>28881.972398088586</v>
      </c>
      <c r="AN1202" s="10">
        <f t="shared" ca="1" si="231"/>
        <v>0.74709638583059235</v>
      </c>
      <c r="AO1202" s="158"/>
      <c r="AP1202" s="158"/>
      <c r="AQ1202" s="1"/>
      <c r="AR1202" s="1"/>
      <c r="AS1202" s="1"/>
      <c r="AT1202" s="1"/>
      <c r="AU1202" s="1"/>
    </row>
    <row r="1203" spans="34:47">
      <c r="AH1203" s="6">
        <f t="shared" si="232"/>
        <v>1173</v>
      </c>
      <c r="AI1203" s="7">
        <f t="shared" ca="1" si="233"/>
        <v>43843</v>
      </c>
      <c r="AJ1203" s="210">
        <f t="shared" ca="1" si="234"/>
        <v>4.124180327868852</v>
      </c>
      <c r="AK1203" s="8">
        <f t="shared" ca="1" si="235"/>
        <v>1.0001145605646631</v>
      </c>
      <c r="AL1203" s="98">
        <f t="shared" ca="1" si="236"/>
        <v>3.7847557833908141</v>
      </c>
      <c r="AM1203" s="106">
        <f t="shared" ca="1" si="230"/>
        <v>28884.275540472056</v>
      </c>
      <c r="AN1203" s="10">
        <f t="shared" ca="1" si="231"/>
        <v>0.74754849398557255</v>
      </c>
      <c r="AO1203" s="158"/>
      <c r="AP1203" s="158"/>
      <c r="AQ1203" s="1"/>
      <c r="AR1203" s="1"/>
      <c r="AS1203" s="1"/>
      <c r="AT1203" s="1"/>
      <c r="AU1203" s="1"/>
    </row>
    <row r="1204" spans="34:47">
      <c r="AH1204" s="6">
        <f t="shared" si="232"/>
        <v>1174</v>
      </c>
      <c r="AI1204" s="7">
        <f t="shared" ca="1" si="233"/>
        <v>43844</v>
      </c>
      <c r="AJ1204" s="210">
        <f t="shared" ca="1" si="234"/>
        <v>4.124726775956284</v>
      </c>
      <c r="AK1204" s="8">
        <f t="shared" ca="1" si="235"/>
        <v>1.0001145757437766</v>
      </c>
      <c r="AL1204" s="98">
        <f t="shared" ca="1" si="236"/>
        <v>3.7851685220715581</v>
      </c>
      <c r="AM1204" s="106">
        <f t="shared" ca="1" si="230"/>
        <v>28886.578866515585</v>
      </c>
      <c r="AN1204" s="10">
        <f t="shared" ca="1" si="231"/>
        <v>0.74800030936148509</v>
      </c>
      <c r="AO1204" s="158"/>
      <c r="AP1204" s="158"/>
      <c r="AQ1204" s="1"/>
      <c r="AR1204" s="1"/>
      <c r="AS1204" s="1"/>
      <c r="AT1204" s="1"/>
      <c r="AU1204" s="1"/>
    </row>
    <row r="1205" spans="34:47">
      <c r="AH1205" s="6">
        <f t="shared" si="232"/>
        <v>1175</v>
      </c>
      <c r="AI1205" s="7">
        <f t="shared" ca="1" si="233"/>
        <v>43845</v>
      </c>
      <c r="AJ1205" s="210">
        <f t="shared" ca="1" si="234"/>
        <v>4.125273224043716</v>
      </c>
      <c r="AK1205" s="8">
        <f t="shared" ca="1" si="235"/>
        <v>1.0001145909228901</v>
      </c>
      <c r="AL1205" s="98">
        <f t="shared" ca="1" si="236"/>
        <v>3.7855810491707498</v>
      </c>
      <c r="AM1205" s="106">
        <f t="shared" ca="1" si="230"/>
        <v>28888.882376233822</v>
      </c>
      <c r="AN1205" s="10">
        <f t="shared" ca="1" si="231"/>
        <v>0.7484518327071088</v>
      </c>
      <c r="AO1205" s="158"/>
      <c r="AP1205" s="158"/>
      <c r="AQ1205" s="1"/>
      <c r="AR1205" s="1"/>
      <c r="AS1205" s="1"/>
      <c r="AT1205" s="1"/>
      <c r="AU1205" s="1"/>
    </row>
    <row r="1206" spans="34:47">
      <c r="AH1206" s="6">
        <f t="shared" si="232"/>
        <v>1176</v>
      </c>
      <c r="AI1206" s="7">
        <f t="shared" ca="1" si="233"/>
        <v>43846</v>
      </c>
      <c r="AJ1206" s="210">
        <f t="shared" ca="1" si="234"/>
        <v>4.125819672131148</v>
      </c>
      <c r="AK1206" s="8">
        <f t="shared" ca="1" si="235"/>
        <v>1.0001146061020036</v>
      </c>
      <c r="AL1206" s="98">
        <f t="shared" ca="1" si="236"/>
        <v>3.7859933652297784</v>
      </c>
      <c r="AM1206" s="106">
        <f t="shared" ca="1" si="230"/>
        <v>28891.186069641415</v>
      </c>
      <c r="AN1206" s="10">
        <f t="shared" ca="1" si="231"/>
        <v>0.74890306476858015</v>
      </c>
      <c r="AO1206" s="158"/>
      <c r="AP1206" s="158"/>
      <c r="AQ1206" s="1"/>
      <c r="AR1206" s="1"/>
      <c r="AS1206" s="1"/>
      <c r="AT1206" s="1"/>
      <c r="AU1206" s="1"/>
    </row>
    <row r="1207" spans="34:47">
      <c r="AH1207" s="6">
        <f t="shared" si="232"/>
        <v>1177</v>
      </c>
      <c r="AI1207" s="7">
        <f t="shared" ca="1" si="233"/>
        <v>43847</v>
      </c>
      <c r="AJ1207" s="210">
        <f t="shared" ca="1" si="234"/>
        <v>4.1263661202185791</v>
      </c>
      <c r="AK1207" s="8">
        <f t="shared" ca="1" si="235"/>
        <v>1.0001146212811172</v>
      </c>
      <c r="AL1207" s="98">
        <f t="shared" ca="1" si="236"/>
        <v>3.7864054707882122</v>
      </c>
      <c r="AM1207" s="106">
        <f t="shared" ca="1" si="230"/>
        <v>28893.489946753009</v>
      </c>
      <c r="AN1207" s="10">
        <f t="shared" ca="1" si="231"/>
        <v>0.74935400628961535</v>
      </c>
      <c r="AO1207" s="158"/>
      <c r="AP1207" s="158"/>
      <c r="AQ1207" s="1"/>
      <c r="AR1207" s="1"/>
      <c r="AS1207" s="1"/>
      <c r="AT1207" s="1"/>
      <c r="AU1207" s="1"/>
    </row>
    <row r="1208" spans="34:47">
      <c r="AH1208" s="6">
        <f t="shared" si="232"/>
        <v>1178</v>
      </c>
      <c r="AI1208" s="7">
        <f t="shared" ca="1" si="233"/>
        <v>43848</v>
      </c>
      <c r="AJ1208" s="210">
        <f t="shared" ca="1" si="234"/>
        <v>4.1269125683060111</v>
      </c>
      <c r="AK1208" s="8">
        <f t="shared" ca="1" si="235"/>
        <v>1.0001146364602307</v>
      </c>
      <c r="AL1208" s="98">
        <f t="shared" ca="1" si="236"/>
        <v>3.7868173663837768</v>
      </c>
      <c r="AM1208" s="106">
        <f t="shared" ca="1" si="230"/>
        <v>28895.794007583256</v>
      </c>
      <c r="AN1208" s="10">
        <f t="shared" ca="1" si="231"/>
        <v>0.74980465801133267</v>
      </c>
      <c r="AO1208" s="158"/>
      <c r="AP1208" s="158"/>
      <c r="AQ1208" s="1"/>
      <c r="AR1208" s="1"/>
      <c r="AS1208" s="1"/>
      <c r="AT1208" s="1"/>
      <c r="AU1208" s="1"/>
    </row>
    <row r="1209" spans="34:47">
      <c r="AH1209" s="6">
        <f t="shared" si="232"/>
        <v>1179</v>
      </c>
      <c r="AI1209" s="7">
        <f t="shared" ca="1" si="233"/>
        <v>43849</v>
      </c>
      <c r="AJ1209" s="210">
        <f t="shared" ca="1" si="234"/>
        <v>4.127459016393443</v>
      </c>
      <c r="AK1209" s="8">
        <f t="shared" ca="1" si="235"/>
        <v>1.0001146516393442</v>
      </c>
      <c r="AL1209" s="98">
        <f t="shared" ca="1" si="236"/>
        <v>3.7872290525523766</v>
      </c>
      <c r="AM1209" s="106">
        <f t="shared" ca="1" si="230"/>
        <v>28898.098252146803</v>
      </c>
      <c r="AN1209" s="10">
        <f t="shared" ca="1" si="231"/>
        <v>0.7502550206723857</v>
      </c>
      <c r="AO1209" s="158"/>
      <c r="AP1209" s="158"/>
      <c r="AQ1209" s="1"/>
      <c r="AR1209" s="1"/>
      <c r="AS1209" s="1"/>
      <c r="AT1209" s="1"/>
      <c r="AU1209" s="1"/>
    </row>
    <row r="1210" spans="34:47">
      <c r="AH1210" s="6">
        <f t="shared" si="232"/>
        <v>1180</v>
      </c>
      <c r="AI1210" s="7">
        <f t="shared" ca="1" si="233"/>
        <v>43850</v>
      </c>
      <c r="AJ1210" s="210">
        <f t="shared" ca="1" si="234"/>
        <v>4.1280054644808741</v>
      </c>
      <c r="AK1210" s="8">
        <f t="shared" ca="1" si="235"/>
        <v>1.0001146668184577</v>
      </c>
      <c r="AL1210" s="98">
        <f t="shared" ca="1" si="236"/>
        <v>3.7876405298280957</v>
      </c>
      <c r="AM1210" s="106">
        <f t="shared" ca="1" si="230"/>
        <v>28900.402680458305</v>
      </c>
      <c r="AN1210" s="10">
        <f t="shared" ca="1" si="231"/>
        <v>0.7507050950088523</v>
      </c>
      <c r="AO1210" s="158"/>
      <c r="AP1210" s="158"/>
      <c r="AQ1210" s="1"/>
      <c r="AR1210" s="1"/>
      <c r="AS1210" s="1"/>
      <c r="AT1210" s="1"/>
      <c r="AU1210" s="1"/>
    </row>
    <row r="1211" spans="34:47">
      <c r="AH1211" s="6">
        <f t="shared" si="232"/>
        <v>1181</v>
      </c>
      <c r="AI1211" s="7">
        <f t="shared" ca="1" si="233"/>
        <v>43851</v>
      </c>
      <c r="AJ1211" s="210">
        <f t="shared" ca="1" si="234"/>
        <v>4.1285519125683061</v>
      </c>
      <c r="AK1211" s="8">
        <f t="shared" ca="1" si="235"/>
        <v>1.0001146819975713</v>
      </c>
      <c r="AL1211" s="98">
        <f t="shared" ca="1" si="236"/>
        <v>3.7880517987431972</v>
      </c>
      <c r="AM1211" s="106">
        <f t="shared" ca="1" si="230"/>
        <v>28902.707292532414</v>
      </c>
      <c r="AN1211" s="10">
        <f t="shared" ca="1" si="231"/>
        <v>0.75115488175439005</v>
      </c>
      <c r="AO1211" s="158"/>
      <c r="AP1211" s="158"/>
      <c r="AQ1211" s="1"/>
      <c r="AR1211" s="1"/>
      <c r="AS1211" s="1"/>
      <c r="AT1211" s="1"/>
      <c r="AU1211" s="1"/>
    </row>
    <row r="1212" spans="34:47">
      <c r="AH1212" s="6">
        <f t="shared" si="232"/>
        <v>1182</v>
      </c>
      <c r="AI1212" s="7">
        <f t="shared" ca="1" si="233"/>
        <v>43852</v>
      </c>
      <c r="AJ1212" s="210">
        <f t="shared" ca="1" si="234"/>
        <v>4.1290983606557381</v>
      </c>
      <c r="AK1212" s="8">
        <f t="shared" ca="1" si="235"/>
        <v>1.0001146971766848</v>
      </c>
      <c r="AL1212" s="98">
        <f t="shared" ca="1" si="236"/>
        <v>3.7884628598281678</v>
      </c>
      <c r="AM1212" s="106">
        <f t="shared" ca="1" si="230"/>
        <v>28905.012088383781</v>
      </c>
      <c r="AN1212" s="10">
        <f t="shared" ca="1" si="231"/>
        <v>0.75160438164016963</v>
      </c>
      <c r="AO1212" s="158"/>
      <c r="AP1212" s="158"/>
      <c r="AQ1212" s="1"/>
      <c r="AR1212" s="1"/>
      <c r="AS1212" s="1"/>
      <c r="AT1212" s="1"/>
      <c r="AU1212" s="1"/>
    </row>
    <row r="1213" spans="34:47">
      <c r="AH1213" s="6">
        <f t="shared" si="232"/>
        <v>1183</v>
      </c>
      <c r="AI1213" s="7">
        <f t="shared" ca="1" si="233"/>
        <v>43853</v>
      </c>
      <c r="AJ1213" s="210">
        <f t="shared" ca="1" si="234"/>
        <v>4.1296448087431692</v>
      </c>
      <c r="AK1213" s="8">
        <f t="shared" ca="1" si="235"/>
        <v>1.0001147123557985</v>
      </c>
      <c r="AL1213" s="98">
        <f t="shared" ca="1" si="236"/>
        <v>3.7888737136117179</v>
      </c>
      <c r="AM1213" s="106">
        <f t="shared" ca="1" si="230"/>
        <v>28907.317068027063</v>
      </c>
      <c r="AN1213" s="10">
        <f t="shared" ca="1" si="231"/>
        <v>0.75205359539487482</v>
      </c>
      <c r="AO1213" s="158"/>
      <c r="AP1213" s="158"/>
      <c r="AQ1213" s="1"/>
      <c r="AR1213" s="1"/>
      <c r="AS1213" s="1"/>
      <c r="AT1213" s="1"/>
      <c r="AU1213" s="1"/>
    </row>
    <row r="1214" spans="34:47">
      <c r="AH1214" s="6">
        <f t="shared" si="232"/>
        <v>1184</v>
      </c>
      <c r="AI1214" s="7">
        <f t="shared" ca="1" si="233"/>
        <v>43854</v>
      </c>
      <c r="AJ1214" s="210">
        <f t="shared" ca="1" si="234"/>
        <v>4.1301912568306012</v>
      </c>
      <c r="AK1214" s="8">
        <f t="shared" ca="1" si="235"/>
        <v>1.000114727534912</v>
      </c>
      <c r="AL1214" s="98">
        <f t="shared" ca="1" si="236"/>
        <v>3.7892843606207371</v>
      </c>
      <c r="AM1214" s="106">
        <f t="shared" ca="1" si="230"/>
        <v>28909.622231476915</v>
      </c>
      <c r="AN1214" s="10">
        <f t="shared" ca="1" si="231"/>
        <v>0.75250252374472471</v>
      </c>
      <c r="AO1214" s="158"/>
      <c r="AP1214" s="158"/>
      <c r="AQ1214" s="1"/>
      <c r="AR1214" s="1"/>
      <c r="AS1214" s="1"/>
      <c r="AT1214" s="1"/>
      <c r="AU1214" s="1"/>
    </row>
    <row r="1215" spans="34:47">
      <c r="AH1215" s="6">
        <f t="shared" si="232"/>
        <v>1185</v>
      </c>
      <c r="AI1215" s="7">
        <f t="shared" ca="1" si="233"/>
        <v>43855</v>
      </c>
      <c r="AJ1215" s="210">
        <f t="shared" ca="1" si="234"/>
        <v>4.1307377049180332</v>
      </c>
      <c r="AK1215" s="8">
        <f t="shared" ca="1" si="235"/>
        <v>1.0001147427140256</v>
      </c>
      <c r="AL1215" s="98">
        <f t="shared" ca="1" si="236"/>
        <v>3.7896948013803389</v>
      </c>
      <c r="AM1215" s="106">
        <f t="shared" ca="1" si="230"/>
        <v>28911.927578748</v>
      </c>
      <c r="AN1215" s="10">
        <f t="shared" ca="1" si="231"/>
        <v>0.75295116741347368</v>
      </c>
      <c r="AO1215" s="158"/>
      <c r="AP1215" s="158"/>
      <c r="AQ1215" s="1"/>
      <c r="AR1215" s="1"/>
      <c r="AS1215" s="1"/>
      <c r="AT1215" s="1"/>
      <c r="AU1215" s="1"/>
    </row>
    <row r="1216" spans="34:47">
      <c r="AH1216" s="6">
        <f t="shared" si="232"/>
        <v>1186</v>
      </c>
      <c r="AI1216" s="7">
        <f t="shared" ca="1" si="233"/>
        <v>43856</v>
      </c>
      <c r="AJ1216" s="210">
        <f t="shared" ca="1" si="234"/>
        <v>4.1312841530054643</v>
      </c>
      <c r="AK1216" s="8">
        <f t="shared" ca="1" si="235"/>
        <v>1.0001147578931391</v>
      </c>
      <c r="AL1216" s="98">
        <f t="shared" ca="1" si="236"/>
        <v>3.7901050364138822</v>
      </c>
      <c r="AM1216" s="106">
        <f t="shared" ca="1" si="230"/>
        <v>28914.233109854962</v>
      </c>
      <c r="AN1216" s="10">
        <f t="shared" ca="1" si="231"/>
        <v>0.75339952712252245</v>
      </c>
      <c r="AO1216" s="158"/>
      <c r="AP1216" s="158"/>
      <c r="AQ1216" s="1"/>
      <c r="AR1216" s="1"/>
      <c r="AS1216" s="1"/>
      <c r="AT1216" s="1"/>
      <c r="AU1216" s="1"/>
    </row>
    <row r="1217" spans="34:47">
      <c r="AH1217" s="6">
        <f t="shared" si="232"/>
        <v>1187</v>
      </c>
      <c r="AI1217" s="7">
        <f t="shared" ca="1" si="233"/>
        <v>43857</v>
      </c>
      <c r="AJ1217" s="210">
        <f t="shared" ca="1" si="234"/>
        <v>4.1318306010928962</v>
      </c>
      <c r="AK1217" s="8">
        <f t="shared" ca="1" si="235"/>
        <v>1.0001147730722526</v>
      </c>
      <c r="AL1217" s="98">
        <f t="shared" ca="1" si="236"/>
        <v>3.7905150662429499</v>
      </c>
      <c r="AM1217" s="106">
        <f t="shared" ca="1" si="230"/>
        <v>28916.538824812476</v>
      </c>
      <c r="AN1217" s="10">
        <f t="shared" ca="1" si="231"/>
        <v>0.75384760359069602</v>
      </c>
      <c r="AO1217" s="158"/>
      <c r="AP1217" s="158"/>
      <c r="AQ1217" s="1"/>
      <c r="AR1217" s="1"/>
      <c r="AS1217" s="1"/>
      <c r="AT1217" s="1"/>
      <c r="AU1217" s="1"/>
    </row>
    <row r="1218" spans="34:47">
      <c r="AH1218" s="6">
        <f t="shared" si="232"/>
        <v>1188</v>
      </c>
      <c r="AI1218" s="7">
        <f t="shared" ca="1" si="233"/>
        <v>43858</v>
      </c>
      <c r="AJ1218" s="210">
        <f t="shared" ca="1" si="234"/>
        <v>4.1323770491803282</v>
      </c>
      <c r="AK1218" s="8">
        <f t="shared" ca="1" si="235"/>
        <v>1.0001147882513661</v>
      </c>
      <c r="AL1218" s="98">
        <f t="shared" ca="1" si="236"/>
        <v>3.7909248913873927</v>
      </c>
      <c r="AM1218" s="106">
        <f t="shared" ca="1" si="230"/>
        <v>28918.8447236352</v>
      </c>
      <c r="AN1218" s="10">
        <f t="shared" ca="1" si="231"/>
        <v>0.75429539753453234</v>
      </c>
      <c r="AO1218" s="158"/>
      <c r="AP1218" s="158"/>
      <c r="AQ1218" s="1"/>
      <c r="AR1218" s="1"/>
      <c r="AS1218" s="1"/>
      <c r="AT1218" s="1"/>
      <c r="AU1218" s="1"/>
    </row>
    <row r="1219" spans="34:47">
      <c r="AH1219" s="6">
        <f t="shared" si="232"/>
        <v>1189</v>
      </c>
      <c r="AI1219" s="7">
        <f t="shared" ca="1" si="233"/>
        <v>43859</v>
      </c>
      <c r="AJ1219" s="210">
        <f t="shared" ca="1" si="234"/>
        <v>4.1329234972677593</v>
      </c>
      <c r="AK1219" s="8">
        <f t="shared" ca="1" si="235"/>
        <v>1.0001148034304796</v>
      </c>
      <c r="AL1219" s="98">
        <f t="shared" ca="1" si="236"/>
        <v>3.7913345123653075</v>
      </c>
      <c r="AM1219" s="106">
        <f t="shared" ca="1" si="230"/>
        <v>28921.150806337788</v>
      </c>
      <c r="AN1219" s="10">
        <f t="shared" ca="1" si="231"/>
        <v>0.75474290966814905</v>
      </c>
      <c r="AO1219" s="158"/>
      <c r="AP1219" s="158"/>
      <c r="AQ1219" s="1"/>
      <c r="AR1219" s="1"/>
      <c r="AS1219" s="1"/>
      <c r="AT1219" s="1"/>
      <c r="AU1219" s="1"/>
    </row>
    <row r="1220" spans="34:47">
      <c r="AH1220" s="6">
        <f t="shared" si="232"/>
        <v>1190</v>
      </c>
      <c r="AI1220" s="7">
        <f t="shared" ca="1" si="233"/>
        <v>43860</v>
      </c>
      <c r="AJ1220" s="210">
        <f t="shared" ca="1" si="234"/>
        <v>4.1334699453551913</v>
      </c>
      <c r="AK1220" s="8">
        <f t="shared" ca="1" si="235"/>
        <v>1.0001148186095932</v>
      </c>
      <c r="AL1220" s="98">
        <f t="shared" ca="1" si="236"/>
        <v>3.7917439296930366</v>
      </c>
      <c r="AM1220" s="106">
        <f t="shared" ca="1" si="230"/>
        <v>28923.457072934914</v>
      </c>
      <c r="AN1220" s="10">
        <f t="shared" ca="1" si="231"/>
        <v>0.75519014070317692</v>
      </c>
      <c r="AO1220" s="158"/>
      <c r="AP1220" s="158"/>
      <c r="AQ1220" s="1"/>
      <c r="AR1220" s="1"/>
      <c r="AS1220" s="1"/>
      <c r="AT1220" s="1"/>
      <c r="AU1220" s="1"/>
    </row>
    <row r="1221" spans="34:47">
      <c r="AH1221" s="6">
        <f t="shared" si="232"/>
        <v>1191</v>
      </c>
      <c r="AI1221" s="7">
        <f t="shared" ca="1" si="233"/>
        <v>43861</v>
      </c>
      <c r="AJ1221" s="210">
        <f t="shared" ca="1" si="234"/>
        <v>4.1340163934426233</v>
      </c>
      <c r="AK1221" s="8">
        <f t="shared" ca="1" si="235"/>
        <v>1.0001148337887067</v>
      </c>
      <c r="AL1221" s="98">
        <f t="shared" ca="1" si="236"/>
        <v>3.792153143885213</v>
      </c>
      <c r="AM1221" s="106">
        <f t="shared" ca="1" si="230"/>
        <v>28925.763523441234</v>
      </c>
      <c r="AN1221" s="10">
        <f t="shared" ca="1" si="231"/>
        <v>0.75563709134898183</v>
      </c>
      <c r="AO1221" s="158"/>
      <c r="AP1221" s="158"/>
      <c r="AQ1221" s="1"/>
      <c r="AR1221" s="1"/>
      <c r="AS1221" s="1"/>
      <c r="AT1221" s="1"/>
      <c r="AU1221" s="1"/>
    </row>
    <row r="1222" spans="34:47">
      <c r="AH1222" s="6">
        <f t="shared" si="232"/>
        <v>1192</v>
      </c>
      <c r="AI1222" s="7">
        <f t="shared" ca="1" si="233"/>
        <v>43862</v>
      </c>
      <c r="AJ1222" s="210">
        <f t="shared" ca="1" si="234"/>
        <v>4.1345628415300544</v>
      </c>
      <c r="AK1222" s="8">
        <f t="shared" ca="1" si="235"/>
        <v>1.0001148489678202</v>
      </c>
      <c r="AL1222" s="98">
        <f t="shared" ca="1" si="236"/>
        <v>3.7925621554546929</v>
      </c>
      <c r="AM1222" s="106">
        <f t="shared" ca="1" si="230"/>
        <v>28928.070157871418</v>
      </c>
      <c r="AN1222" s="10">
        <f t="shared" ca="1" si="231"/>
        <v>0.75608376231239838</v>
      </c>
      <c r="AO1222" s="158"/>
      <c r="AP1222" s="158"/>
      <c r="AQ1222" s="1"/>
      <c r="AR1222" s="1"/>
      <c r="AS1222" s="1"/>
      <c r="AT1222" s="1"/>
      <c r="AU1222" s="1"/>
    </row>
    <row r="1223" spans="34:47">
      <c r="AH1223" s="6">
        <f t="shared" si="232"/>
        <v>1193</v>
      </c>
      <c r="AI1223" s="7">
        <f t="shared" ca="1" si="233"/>
        <v>43863</v>
      </c>
      <c r="AJ1223" s="210">
        <f t="shared" ca="1" si="234"/>
        <v>4.1351092896174864</v>
      </c>
      <c r="AK1223" s="8">
        <f t="shared" ca="1" si="235"/>
        <v>1.0001148641469337</v>
      </c>
      <c r="AL1223" s="98">
        <f t="shared" ca="1" si="236"/>
        <v>3.7929709649126675</v>
      </c>
      <c r="AM1223" s="106">
        <f t="shared" ca="1" si="230"/>
        <v>28930.376976240128</v>
      </c>
      <c r="AN1223" s="10">
        <f t="shared" ca="1" si="231"/>
        <v>0.75653015429804071</v>
      </c>
      <c r="AO1223" s="158"/>
      <c r="AP1223" s="158"/>
      <c r="AQ1223" s="1"/>
      <c r="AR1223" s="1"/>
      <c r="AS1223" s="1"/>
      <c r="AT1223" s="1"/>
      <c r="AU1223" s="1"/>
    </row>
    <row r="1224" spans="34:47">
      <c r="AH1224" s="6">
        <f t="shared" si="232"/>
        <v>1194</v>
      </c>
      <c r="AI1224" s="7">
        <f t="shared" ca="1" si="233"/>
        <v>43864</v>
      </c>
      <c r="AJ1224" s="210">
        <f t="shared" ca="1" si="234"/>
        <v>4.1356557377049183</v>
      </c>
      <c r="AK1224" s="8">
        <f t="shared" ca="1" si="235"/>
        <v>1.0001148793260473</v>
      </c>
      <c r="AL1224" s="98">
        <f t="shared" ca="1" si="236"/>
        <v>3.7933795727685959</v>
      </c>
      <c r="AM1224" s="106">
        <f t="shared" ca="1" si="230"/>
        <v>28932.68397856204</v>
      </c>
      <c r="AN1224" s="10">
        <f t="shared" ca="1" si="231"/>
        <v>0.75697626800805828</v>
      </c>
      <c r="AO1224" s="158"/>
      <c r="AP1224" s="158"/>
      <c r="AQ1224" s="1"/>
      <c r="AR1224" s="1"/>
      <c r="AS1224" s="1"/>
      <c r="AT1224" s="1"/>
      <c r="AU1224" s="1"/>
    </row>
    <row r="1225" spans="34:47">
      <c r="AH1225" s="6">
        <f t="shared" si="232"/>
        <v>1195</v>
      </c>
      <c r="AI1225" s="7">
        <f t="shared" ca="1" si="233"/>
        <v>43865</v>
      </c>
      <c r="AJ1225" s="210">
        <f t="shared" ca="1" si="234"/>
        <v>4.1362021857923494</v>
      </c>
      <c r="AK1225" s="8">
        <f t="shared" ca="1" si="235"/>
        <v>1.000114894505161</v>
      </c>
      <c r="AL1225" s="98">
        <f t="shared" ca="1" si="236"/>
        <v>3.7937879795302498</v>
      </c>
      <c r="AM1225" s="106">
        <f t="shared" ca="1" si="230"/>
        <v>28934.991164851814</v>
      </c>
      <c r="AN1225" s="10">
        <f t="shared" ca="1" si="231"/>
        <v>0.75742210414235789</v>
      </c>
      <c r="AO1225" s="158"/>
      <c r="AP1225" s="158"/>
      <c r="AQ1225" s="1"/>
      <c r="AR1225" s="1"/>
      <c r="AS1225" s="1"/>
      <c r="AT1225" s="1"/>
      <c r="AU1225" s="1"/>
    </row>
    <row r="1226" spans="34:47">
      <c r="AH1226" s="6">
        <f t="shared" si="232"/>
        <v>1196</v>
      </c>
      <c r="AI1226" s="7">
        <f t="shared" ca="1" si="233"/>
        <v>43866</v>
      </c>
      <c r="AJ1226" s="210">
        <f t="shared" ca="1" si="234"/>
        <v>4.1367486338797814</v>
      </c>
      <c r="AK1226" s="8">
        <f t="shared" ca="1" si="235"/>
        <v>1.0001149096842745</v>
      </c>
      <c r="AL1226" s="98">
        <f t="shared" ca="1" si="236"/>
        <v>3.794196185703691</v>
      </c>
      <c r="AM1226" s="106">
        <f t="shared" ca="1" si="230"/>
        <v>28937.298535124126</v>
      </c>
      <c r="AN1226" s="10">
        <f t="shared" ca="1" si="231"/>
        <v>0.75786766339842604</v>
      </c>
      <c r="AO1226" s="158"/>
      <c r="AP1226" s="158"/>
      <c r="AQ1226" s="1"/>
      <c r="AR1226" s="1"/>
      <c r="AS1226" s="1"/>
      <c r="AT1226" s="1"/>
      <c r="AU1226" s="1"/>
    </row>
    <row r="1227" spans="34:47">
      <c r="AH1227" s="6">
        <f t="shared" si="232"/>
        <v>1197</v>
      </c>
      <c r="AI1227" s="7">
        <f t="shared" ca="1" si="233"/>
        <v>43867</v>
      </c>
      <c r="AJ1227" s="210">
        <f t="shared" ca="1" si="234"/>
        <v>4.1372950819672134</v>
      </c>
      <c r="AK1227" s="8">
        <f t="shared" ca="1" si="235"/>
        <v>1.000114924863388</v>
      </c>
      <c r="AL1227" s="98">
        <f t="shared" ca="1" si="236"/>
        <v>3.7946041917932716</v>
      </c>
      <c r="AM1227" s="106">
        <f t="shared" ca="1" si="230"/>
        <v>28939.606089393641</v>
      </c>
      <c r="AN1227" s="10">
        <f t="shared" ca="1" si="231"/>
        <v>0.75831294647141778</v>
      </c>
      <c r="AO1227" s="158"/>
      <c r="AP1227" s="158"/>
      <c r="AQ1227" s="1"/>
      <c r="AR1227" s="1"/>
      <c r="AS1227" s="1"/>
      <c r="AT1227" s="1"/>
      <c r="AU1227" s="1"/>
    </row>
    <row r="1228" spans="34:47">
      <c r="AH1228" s="6">
        <f t="shared" si="232"/>
        <v>1198</v>
      </c>
      <c r="AI1228" s="7">
        <f t="shared" ca="1" si="233"/>
        <v>43868</v>
      </c>
      <c r="AJ1228" s="210">
        <f t="shared" ca="1" si="234"/>
        <v>4.1378415300546445</v>
      </c>
      <c r="AK1228" s="8">
        <f t="shared" ca="1" si="235"/>
        <v>1.0001149400425016</v>
      </c>
      <c r="AL1228" s="98">
        <f t="shared" ca="1" si="236"/>
        <v>3.7950119983016783</v>
      </c>
      <c r="AM1228" s="106">
        <f t="shared" ca="1" si="230"/>
        <v>28941.913827675042</v>
      </c>
      <c r="AN1228" s="10">
        <f t="shared" ca="1" si="231"/>
        <v>0.7587579540542233</v>
      </c>
      <c r="AO1228" s="158"/>
      <c r="AP1228" s="158"/>
      <c r="AQ1228" s="1"/>
      <c r="AR1228" s="1"/>
      <c r="AS1228" s="1"/>
      <c r="AT1228" s="1"/>
      <c r="AU1228" s="1"/>
    </row>
    <row r="1229" spans="34:47">
      <c r="AH1229" s="6">
        <f t="shared" si="232"/>
        <v>1199</v>
      </c>
      <c r="AI1229" s="7">
        <f t="shared" ca="1" si="233"/>
        <v>43869</v>
      </c>
      <c r="AJ1229" s="210">
        <f t="shared" ca="1" si="234"/>
        <v>4.1383879781420765</v>
      </c>
      <c r="AK1229" s="8">
        <f t="shared" ca="1" si="235"/>
        <v>1.0001149552216151</v>
      </c>
      <c r="AL1229" s="98">
        <f t="shared" ca="1" si="236"/>
        <v>3.7954196057299328</v>
      </c>
      <c r="AM1229" s="106">
        <f t="shared" ca="1" si="230"/>
        <v>28944.221749982997</v>
      </c>
      <c r="AN1229" s="10">
        <f t="shared" ca="1" si="231"/>
        <v>0.75920268683735692</v>
      </c>
      <c r="AO1229" s="158"/>
      <c r="AP1229" s="158"/>
      <c r="AQ1229" s="1"/>
      <c r="AR1229" s="1"/>
      <c r="AS1229" s="1"/>
      <c r="AT1229" s="1"/>
      <c r="AU1229" s="1"/>
    </row>
    <row r="1230" spans="34:47">
      <c r="AH1230" s="6">
        <f t="shared" si="232"/>
        <v>1200</v>
      </c>
      <c r="AI1230" s="7">
        <f t="shared" ca="1" si="233"/>
        <v>43870</v>
      </c>
      <c r="AJ1230" s="210">
        <f t="shared" ca="1" si="234"/>
        <v>4.1389344262295085</v>
      </c>
      <c r="AK1230" s="8">
        <f t="shared" ca="1" si="235"/>
        <v>1.0001149704007286</v>
      </c>
      <c r="AL1230" s="98">
        <f t="shared" ca="1" si="236"/>
        <v>3.7958270145773687</v>
      </c>
      <c r="AM1230" s="106">
        <f t="shared" ca="1" si="230"/>
        <v>28946.529856332174</v>
      </c>
      <c r="AN1230" s="10">
        <f t="shared" ca="1" si="231"/>
        <v>0.7596471455091125</v>
      </c>
      <c r="AO1230" s="158"/>
      <c r="AP1230" s="158"/>
      <c r="AQ1230" s="1"/>
      <c r="AR1230" s="1"/>
      <c r="AS1230" s="1"/>
      <c r="AT1230" s="1"/>
      <c r="AU1230" s="1"/>
    </row>
    <row r="1231" spans="34:47">
      <c r="AH1231" s="6">
        <f t="shared" si="232"/>
        <v>1201</v>
      </c>
      <c r="AI1231" s="7">
        <f t="shared" ca="1" si="233"/>
        <v>43871</v>
      </c>
      <c r="AJ1231" s="210">
        <f t="shared" ca="1" si="234"/>
        <v>4.1394808743169396</v>
      </c>
      <c r="AK1231" s="8">
        <f t="shared" ca="1" si="235"/>
        <v>1.0001149855798421</v>
      </c>
      <c r="AL1231" s="98">
        <f t="shared" ca="1" si="236"/>
        <v>3.796234225341677</v>
      </c>
      <c r="AM1231" s="106">
        <f t="shared" ca="1" si="230"/>
        <v>28948.997345963824</v>
      </c>
      <c r="AN1231" s="10">
        <f t="shared" ca="1" si="231"/>
        <v>0.75992292897926195</v>
      </c>
      <c r="AO1231" s="158"/>
      <c r="AP1231" s="158"/>
      <c r="AQ1231" s="1"/>
      <c r="AR1231" s="1"/>
      <c r="AS1231" s="1"/>
      <c r="AT1231" s="1"/>
      <c r="AU1231" s="1"/>
    </row>
    <row r="1232" spans="34:47">
      <c r="AH1232" s="6">
        <f t="shared" si="232"/>
        <v>1202</v>
      </c>
      <c r="AI1232" s="7">
        <f t="shared" ca="1" si="233"/>
        <v>43872</v>
      </c>
      <c r="AJ1232" s="210">
        <f t="shared" ca="1" si="234"/>
        <v>4.1400273224043715</v>
      </c>
      <c r="AK1232" s="8">
        <f t="shared" ca="1" si="235"/>
        <v>1.0001150007589557</v>
      </c>
      <c r="AL1232" s="98">
        <f t="shared" ca="1" si="236"/>
        <v>3.796641238518883</v>
      </c>
      <c r="AM1232" s="106">
        <f t="shared" ca="1" si="230"/>
        <v>28951.465045931745</v>
      </c>
      <c r="AN1232" s="10">
        <f t="shared" ca="1" si="231"/>
        <v>0.76019871870842692</v>
      </c>
      <c r="AO1232" s="158"/>
      <c r="AP1232" s="158"/>
      <c r="AQ1232" s="1"/>
      <c r="AR1232" s="1"/>
      <c r="AS1232" s="1"/>
      <c r="AT1232" s="1"/>
      <c r="AU1232" s="1"/>
    </row>
    <row r="1233" spans="34:47">
      <c r="AH1233" s="6">
        <f t="shared" si="232"/>
        <v>1203</v>
      </c>
      <c r="AI1233" s="7">
        <f t="shared" ca="1" si="233"/>
        <v>43873</v>
      </c>
      <c r="AJ1233" s="210">
        <f t="shared" ca="1" si="234"/>
        <v>4.1405737704918035</v>
      </c>
      <c r="AK1233" s="8">
        <f t="shared" ca="1" si="235"/>
        <v>1.0001150159380692</v>
      </c>
      <c r="AL1233" s="98">
        <f t="shared" ca="1" si="236"/>
        <v>3.7970480546033469</v>
      </c>
      <c r="AM1233" s="106">
        <f t="shared" ca="1" si="230"/>
        <v>28953.932956253866</v>
      </c>
      <c r="AN1233" s="10">
        <f t="shared" ca="1" si="231"/>
        <v>0.76047451468292948</v>
      </c>
      <c r="AO1233" s="158"/>
      <c r="AP1233" s="158"/>
      <c r="AQ1233" s="1"/>
      <c r="AR1233" s="1"/>
      <c r="AS1233" s="1"/>
      <c r="AT1233" s="1"/>
      <c r="AU1233" s="1"/>
    </row>
    <row r="1234" spans="34:47">
      <c r="AH1234" s="6">
        <f t="shared" si="232"/>
        <v>1204</v>
      </c>
      <c r="AI1234" s="7">
        <f t="shared" ca="1" si="233"/>
        <v>43874</v>
      </c>
      <c r="AJ1234" s="210">
        <f t="shared" ca="1" si="234"/>
        <v>4.1411202185792346</v>
      </c>
      <c r="AK1234" s="8">
        <f t="shared" ca="1" si="235"/>
        <v>1.0001150311171827</v>
      </c>
      <c r="AL1234" s="98">
        <f t="shared" ca="1" si="236"/>
        <v>3.7974546740878301</v>
      </c>
      <c r="AM1234" s="106">
        <f t="shared" ca="1" si="230"/>
        <v>28956.40107694811</v>
      </c>
      <c r="AN1234" s="10">
        <f t="shared" ca="1" si="231"/>
        <v>0.76075031688913608</v>
      </c>
      <c r="AO1234" s="158"/>
      <c r="AP1234" s="158"/>
      <c r="AQ1234" s="1"/>
      <c r="AR1234" s="1"/>
      <c r="AS1234" s="1"/>
      <c r="AT1234" s="1"/>
      <c r="AU1234" s="1"/>
    </row>
    <row r="1235" spans="34:47">
      <c r="AH1235" s="6">
        <f t="shared" si="232"/>
        <v>1205</v>
      </c>
      <c r="AI1235" s="7">
        <f t="shared" ca="1" si="233"/>
        <v>43875</v>
      </c>
      <c r="AJ1235" s="210">
        <f t="shared" ca="1" si="234"/>
        <v>4.1416666666666666</v>
      </c>
      <c r="AK1235" s="8">
        <f t="shared" ca="1" si="235"/>
        <v>1.0001150462962962</v>
      </c>
      <c r="AL1235" s="98">
        <f t="shared" ca="1" si="236"/>
        <v>3.7978610974634064</v>
      </c>
      <c r="AM1235" s="106">
        <f t="shared" ca="1" si="230"/>
        <v>28958.869408032424</v>
      </c>
      <c r="AN1235" s="10">
        <f t="shared" ca="1" si="231"/>
        <v>0.76102612531343539</v>
      </c>
      <c r="AO1235" s="158"/>
      <c r="AP1235" s="158"/>
      <c r="AQ1235" s="1"/>
      <c r="AR1235" s="1"/>
      <c r="AS1235" s="1"/>
      <c r="AT1235" s="1"/>
      <c r="AU1235" s="1"/>
    </row>
    <row r="1236" spans="34:47">
      <c r="AH1236" s="6">
        <f t="shared" si="232"/>
        <v>1206</v>
      </c>
      <c r="AI1236" s="7">
        <f t="shared" ca="1" si="233"/>
        <v>43876</v>
      </c>
      <c r="AJ1236" s="210">
        <f t="shared" ca="1" si="234"/>
        <v>4.1422131147540986</v>
      </c>
      <c r="AK1236" s="8">
        <f t="shared" ca="1" si="235"/>
        <v>1.0001150614754097</v>
      </c>
      <c r="AL1236" s="98">
        <f t="shared" ca="1" si="236"/>
        <v>3.7982673252195731</v>
      </c>
      <c r="AM1236" s="106">
        <f t="shared" ca="1" si="230"/>
        <v>28961.337949524732</v>
      </c>
      <c r="AN1236" s="10">
        <f t="shared" ca="1" si="231"/>
        <v>0.76130193994228268</v>
      </c>
      <c r="AO1236" s="158"/>
      <c r="AP1236" s="158"/>
      <c r="AQ1236" s="1"/>
      <c r="AR1236" s="1"/>
      <c r="AS1236" s="1"/>
      <c r="AT1236" s="1"/>
      <c r="AU1236" s="1"/>
    </row>
    <row r="1237" spans="34:47">
      <c r="AH1237" s="6">
        <f t="shared" si="232"/>
        <v>1207</v>
      </c>
      <c r="AI1237" s="7">
        <f t="shared" ca="1" si="233"/>
        <v>43877</v>
      </c>
      <c r="AJ1237" s="210">
        <f t="shared" ca="1" si="234"/>
        <v>4.1427595628415297</v>
      </c>
      <c r="AK1237" s="8">
        <f t="shared" ca="1" si="235"/>
        <v>1.0001150766545235</v>
      </c>
      <c r="AL1237" s="98">
        <f t="shared" ca="1" si="236"/>
        <v>3.7986733578441845</v>
      </c>
      <c r="AM1237" s="106">
        <f t="shared" ca="1" si="230"/>
        <v>28963.806701442969</v>
      </c>
      <c r="AN1237" s="10">
        <f t="shared" ca="1" si="231"/>
        <v>0.76157776076219985</v>
      </c>
      <c r="AO1237" s="158"/>
      <c r="AP1237" s="158"/>
      <c r="AQ1237" s="1"/>
      <c r="AR1237" s="1"/>
      <c r="AS1237" s="1"/>
      <c r="AT1237" s="1"/>
      <c r="AU1237" s="1"/>
    </row>
    <row r="1238" spans="34:47">
      <c r="AH1238" s="6">
        <f t="shared" si="232"/>
        <v>1208</v>
      </c>
      <c r="AI1238" s="7">
        <f t="shared" ca="1" si="233"/>
        <v>43878</v>
      </c>
      <c r="AJ1238" s="210">
        <f t="shared" ca="1" si="234"/>
        <v>4.1433060109289617</v>
      </c>
      <c r="AK1238" s="8">
        <f t="shared" ca="1" si="235"/>
        <v>1.000115091833637</v>
      </c>
      <c r="AL1238" s="98">
        <f t="shared" ca="1" si="236"/>
        <v>3.7990791958234738</v>
      </c>
      <c r="AM1238" s="106">
        <f t="shared" ca="1" si="230"/>
        <v>28966.275663805078</v>
      </c>
      <c r="AN1238" s="10">
        <f t="shared" ca="1" si="231"/>
        <v>0.76185358775968659</v>
      </c>
      <c r="AO1238" s="158"/>
      <c r="AP1238" s="158"/>
      <c r="AQ1238" s="1"/>
      <c r="AR1238" s="1"/>
      <c r="AS1238" s="1"/>
      <c r="AT1238" s="1"/>
      <c r="AU1238" s="1"/>
    </row>
    <row r="1239" spans="34:47">
      <c r="AH1239" s="6">
        <f t="shared" si="232"/>
        <v>1209</v>
      </c>
      <c r="AI1239" s="7">
        <f t="shared" ca="1" si="233"/>
        <v>43879</v>
      </c>
      <c r="AJ1239" s="210">
        <f t="shared" ca="1" si="234"/>
        <v>4.1438524590163937</v>
      </c>
      <c r="AK1239" s="8">
        <f t="shared" ca="1" si="235"/>
        <v>1.0001151070127505</v>
      </c>
      <c r="AL1239" s="98">
        <f t="shared" ca="1" si="236"/>
        <v>3.7994848396420533</v>
      </c>
      <c r="AM1239" s="106">
        <f t="shared" ca="1" si="230"/>
        <v>28968.744836629001</v>
      </c>
      <c r="AN1239" s="10">
        <f t="shared" ca="1" si="231"/>
        <v>0.7621294209213314</v>
      </c>
      <c r="AO1239" s="158"/>
      <c r="AP1239" s="158"/>
      <c r="AQ1239" s="1"/>
      <c r="AR1239" s="1"/>
      <c r="AS1239" s="1"/>
      <c r="AT1239" s="1"/>
      <c r="AU1239" s="1"/>
    </row>
    <row r="1240" spans="34:47">
      <c r="AH1240" s="6">
        <f t="shared" si="232"/>
        <v>1210</v>
      </c>
      <c r="AI1240" s="7">
        <f t="shared" ca="1" si="233"/>
        <v>43880</v>
      </c>
      <c r="AJ1240" s="210">
        <f t="shared" ca="1" si="234"/>
        <v>4.1443989071038247</v>
      </c>
      <c r="AK1240" s="8">
        <f t="shared" ca="1" si="235"/>
        <v>1.000115122191864</v>
      </c>
      <c r="AL1240" s="98">
        <f t="shared" ca="1" si="236"/>
        <v>3.7998902897829812</v>
      </c>
      <c r="AM1240" s="106">
        <f t="shared" ca="1" si="230"/>
        <v>28971.214219932666</v>
      </c>
      <c r="AN1240" s="10">
        <f t="shared" ca="1" si="231"/>
        <v>0.76240526023378941</v>
      </c>
      <c r="AO1240" s="158"/>
      <c r="AP1240" s="158"/>
      <c r="AQ1240" s="1"/>
      <c r="AR1240" s="1"/>
      <c r="AS1240" s="1"/>
      <c r="AT1240" s="1"/>
      <c r="AU1240" s="1"/>
    </row>
    <row r="1241" spans="34:47">
      <c r="AH1241" s="6">
        <f t="shared" si="232"/>
        <v>1211</v>
      </c>
      <c r="AI1241" s="7">
        <f t="shared" ca="1" si="233"/>
        <v>43881</v>
      </c>
      <c r="AJ1241" s="210">
        <f t="shared" ca="1" si="234"/>
        <v>4.1449453551912567</v>
      </c>
      <c r="AK1241" s="8">
        <f t="shared" ca="1" si="235"/>
        <v>1.0001151373709776</v>
      </c>
      <c r="AL1241" s="98">
        <f t="shared" ca="1" si="236"/>
        <v>3.8002955467276722</v>
      </c>
      <c r="AM1241" s="106">
        <f t="shared" ca="1" si="230"/>
        <v>28973.683813734024</v>
      </c>
      <c r="AN1241" s="10">
        <f t="shared" ca="1" si="231"/>
        <v>0.76268110568371572</v>
      </c>
      <c r="AO1241" s="158"/>
      <c r="AP1241" s="158"/>
      <c r="AQ1241" s="1"/>
      <c r="AR1241" s="1"/>
      <c r="AS1241" s="1"/>
      <c r="AT1241" s="1"/>
      <c r="AU1241" s="1"/>
    </row>
    <row r="1242" spans="34:47">
      <c r="AH1242" s="6">
        <f t="shared" si="232"/>
        <v>1212</v>
      </c>
      <c r="AI1242" s="7">
        <f t="shared" ca="1" si="233"/>
        <v>43882</v>
      </c>
      <c r="AJ1242" s="210">
        <f t="shared" ca="1" si="234"/>
        <v>4.1454918032786887</v>
      </c>
      <c r="AK1242" s="8">
        <f t="shared" ca="1" si="235"/>
        <v>1.0001151525500911</v>
      </c>
      <c r="AL1242" s="98">
        <f t="shared" ca="1" si="236"/>
        <v>3.8007006109559871</v>
      </c>
      <c r="AM1242" s="106">
        <f t="shared" ca="1" si="230"/>
        <v>28976.153618051016</v>
      </c>
      <c r="AN1242" s="10">
        <f t="shared" ca="1" si="231"/>
        <v>0.76295695725783208</v>
      </c>
      <c r="AO1242" s="158"/>
      <c r="AP1242" s="158"/>
      <c r="AQ1242" s="1"/>
      <c r="AR1242" s="1"/>
      <c r="AS1242" s="1"/>
      <c r="AT1242" s="1"/>
      <c r="AU1242" s="1"/>
    </row>
    <row r="1243" spans="34:47">
      <c r="AH1243" s="6">
        <f t="shared" si="232"/>
        <v>1213</v>
      </c>
      <c r="AI1243" s="7">
        <f t="shared" ca="1" si="233"/>
        <v>43883</v>
      </c>
      <c r="AJ1243" s="210">
        <f t="shared" ca="1" si="234"/>
        <v>4.1460382513661198</v>
      </c>
      <c r="AK1243" s="8">
        <f t="shared" ca="1" si="235"/>
        <v>1.0001151677292046</v>
      </c>
      <c r="AL1243" s="98">
        <f t="shared" ca="1" si="236"/>
        <v>3.8011054829461877</v>
      </c>
      <c r="AM1243" s="106">
        <f t="shared" ca="1" si="230"/>
        <v>28978.623632901588</v>
      </c>
      <c r="AN1243" s="10">
        <f t="shared" ca="1" si="231"/>
        <v>0.76323281494288242</v>
      </c>
      <c r="AO1243" s="158"/>
      <c r="AP1243" s="158"/>
      <c r="AQ1243" s="1"/>
      <c r="AR1243" s="1"/>
      <c r="AS1243" s="1"/>
      <c r="AT1243" s="1"/>
      <c r="AU1243" s="1"/>
    </row>
    <row r="1244" spans="34:47">
      <c r="AH1244" s="6">
        <f t="shared" si="232"/>
        <v>1214</v>
      </c>
      <c r="AI1244" s="7">
        <f t="shared" ca="1" si="233"/>
        <v>43884</v>
      </c>
      <c r="AJ1244" s="210">
        <f t="shared" ca="1" si="234"/>
        <v>4.1465846994535518</v>
      </c>
      <c r="AK1244" s="8">
        <f t="shared" ca="1" si="235"/>
        <v>1.0001151829083181</v>
      </c>
      <c r="AL1244" s="98">
        <f t="shared" ca="1" si="236"/>
        <v>3.8015101631749815</v>
      </c>
      <c r="AM1244" s="106">
        <f t="shared" ca="1" si="230"/>
        <v>28981.093858303688</v>
      </c>
      <c r="AN1244" s="10">
        <f t="shared" ca="1" si="231"/>
        <v>0.7635086787256995</v>
      </c>
      <c r="AO1244" s="158"/>
      <c r="AP1244" s="158"/>
      <c r="AQ1244" s="1"/>
      <c r="AR1244" s="1"/>
      <c r="AS1244" s="1"/>
      <c r="AT1244" s="1"/>
      <c r="AU1244" s="1"/>
    </row>
    <row r="1245" spans="34:47">
      <c r="AH1245" s="6">
        <f t="shared" si="232"/>
        <v>1215</v>
      </c>
      <c r="AI1245" s="7">
        <f t="shared" ca="1" si="233"/>
        <v>43885</v>
      </c>
      <c r="AJ1245" s="210">
        <f t="shared" ca="1" si="234"/>
        <v>4.1471311475409838</v>
      </c>
      <c r="AK1245" s="8">
        <f t="shared" ca="1" si="235"/>
        <v>1.0001151980874317</v>
      </c>
      <c r="AL1245" s="98">
        <f t="shared" ca="1" si="236"/>
        <v>3.8019146521174774</v>
      </c>
      <c r="AM1245" s="106">
        <f t="shared" ca="1" si="230"/>
        <v>28983.564294275257</v>
      </c>
      <c r="AN1245" s="10">
        <f t="shared" ca="1" si="231"/>
        <v>0.76378454859313827</v>
      </c>
      <c r="AO1245" s="158"/>
      <c r="AP1245" s="158"/>
      <c r="AQ1245" s="1"/>
      <c r="AR1245" s="1"/>
      <c r="AS1245" s="1"/>
      <c r="AT1245" s="1"/>
      <c r="AU1245" s="1"/>
    </row>
    <row r="1246" spans="34:47">
      <c r="AH1246" s="6">
        <f t="shared" si="232"/>
        <v>1216</v>
      </c>
      <c r="AI1246" s="7">
        <f t="shared" ca="1" si="233"/>
        <v>43886</v>
      </c>
      <c r="AJ1246" s="210">
        <f t="shared" ca="1" si="234"/>
        <v>4.1476775956284149</v>
      </c>
      <c r="AK1246" s="8">
        <f t="shared" ca="1" si="235"/>
        <v>1.0001152132665452</v>
      </c>
      <c r="AL1246" s="98">
        <f t="shared" ca="1" si="236"/>
        <v>3.8023189502472299</v>
      </c>
      <c r="AM1246" s="106">
        <f t="shared" ca="1" si="230"/>
        <v>28986.034940834252</v>
      </c>
      <c r="AN1246" s="10">
        <f t="shared" ca="1" si="231"/>
        <v>0.76406042453203149</v>
      </c>
      <c r="AO1246" s="158"/>
      <c r="AP1246" s="158"/>
      <c r="AQ1246" s="1"/>
      <c r="AR1246" s="1"/>
      <c r="AS1246" s="1"/>
      <c r="AT1246" s="1"/>
      <c r="AU1246" s="1"/>
    </row>
    <row r="1247" spans="34:47">
      <c r="AH1247" s="6">
        <f t="shared" si="232"/>
        <v>1217</v>
      </c>
      <c r="AI1247" s="7">
        <f t="shared" ca="1" si="233"/>
        <v>43887</v>
      </c>
      <c r="AJ1247" s="210">
        <f t="shared" ca="1" si="234"/>
        <v>4.1482240437158469</v>
      </c>
      <c r="AK1247" s="8">
        <f t="shared" ca="1" si="235"/>
        <v>1.0001152284456587</v>
      </c>
      <c r="AL1247" s="98">
        <f t="shared" ca="1" si="236"/>
        <v>3.8027230580362614</v>
      </c>
      <c r="AM1247" s="106">
        <f t="shared" ref="AM1247:AM1310" ca="1" si="237">Geom_Interp(AI1247,$AZ$2:$AZ$109,$BA$2:$BA$109)</f>
        <v>28988.505797998627</v>
      </c>
      <c r="AN1247" s="10">
        <f t="shared" ref="AN1247:AN1310" ca="1" si="238">100*(((1+AL1247/100)^(AH1247/365)*$AM$29/AM1247)^(365/AH1247)-1)</f>
        <v>0.76433630652936735</v>
      </c>
      <c r="AO1247" s="158"/>
      <c r="AP1247" s="158"/>
      <c r="AQ1247" s="1"/>
      <c r="AR1247" s="1"/>
      <c r="AS1247" s="1"/>
      <c r="AT1247" s="1"/>
      <c r="AU1247" s="1"/>
    </row>
    <row r="1248" spans="34:47">
      <c r="AH1248" s="6">
        <f t="shared" ref="AH1248:AH1311" si="239">$AI$29+AH1247</f>
        <v>1218</v>
      </c>
      <c r="AI1248" s="7">
        <f t="shared" ref="AI1248:AI1311" ca="1" si="240">+AH1248+$C$1</f>
        <v>43888</v>
      </c>
      <c r="AJ1248" s="210">
        <f t="shared" ref="AJ1248:AJ1311" ca="1" si="241">IF(AH1248&lt;365,VLOOKUP(LOOKUP(AI1248,$AI$2:$AI$23),$AI$2:$AK$23,3,0),Lin_Interp(AH1248,$AJ$2:$AJ$23,$AK$2:$AK$23))</f>
        <v>4.1487704918032788</v>
      </c>
      <c r="AK1248" s="8">
        <f t="shared" ca="1" si="235"/>
        <v>1.0001152436247722</v>
      </c>
      <c r="AL1248" s="98">
        <f t="shared" ca="1" si="236"/>
        <v>3.8031269759550179</v>
      </c>
      <c r="AM1248" s="106">
        <f t="shared" ca="1" si="237"/>
        <v>28990.976865786324</v>
      </c>
      <c r="AN1248" s="10">
        <f t="shared" ca="1" si="238"/>
        <v>0.76461219457211183</v>
      </c>
      <c r="AO1248" s="158"/>
      <c r="AP1248" s="158"/>
      <c r="AQ1248" s="1"/>
      <c r="AR1248" s="1"/>
      <c r="AS1248" s="1"/>
      <c r="AT1248" s="1"/>
      <c r="AU1248" s="1"/>
    </row>
    <row r="1249" spans="34:47">
      <c r="AH1249" s="6">
        <f t="shared" si="239"/>
        <v>1219</v>
      </c>
      <c r="AI1249" s="7">
        <f t="shared" ca="1" si="240"/>
        <v>43889</v>
      </c>
      <c r="AJ1249" s="210">
        <f t="shared" ca="1" si="241"/>
        <v>4.1493169398907099</v>
      </c>
      <c r="AK1249" s="8">
        <f t="shared" ref="AK1249:AK1312" ca="1" si="242">+(1+AJ1249/36000)</f>
        <v>1.0001152588038857</v>
      </c>
      <c r="AL1249" s="98">
        <f t="shared" ref="AL1249:AL1312" ca="1" si="243">100*(((1+AL1248/100)^(AH1248/365)*AK1249)^(365/AH1249)-1)</f>
        <v>3.8035307044724131</v>
      </c>
      <c r="AM1249" s="106">
        <f t="shared" ca="1" si="237"/>
        <v>28993.448144215305</v>
      </c>
      <c r="AN1249" s="10">
        <f t="shared" ca="1" si="238"/>
        <v>0.76488808864725311</v>
      </c>
      <c r="AO1249" s="158"/>
      <c r="AP1249" s="158"/>
      <c r="AQ1249" s="1"/>
      <c r="AR1249" s="1"/>
      <c r="AS1249" s="1"/>
      <c r="AT1249" s="1"/>
      <c r="AU1249" s="1"/>
    </row>
    <row r="1250" spans="34:47">
      <c r="AH1250" s="6">
        <f t="shared" si="239"/>
        <v>1220</v>
      </c>
      <c r="AI1250" s="7">
        <f t="shared" ca="1" si="240"/>
        <v>43890</v>
      </c>
      <c r="AJ1250" s="210">
        <f t="shared" ca="1" si="241"/>
        <v>4.1498633879781419</v>
      </c>
      <c r="AK1250" s="8">
        <f t="shared" ca="1" si="242"/>
        <v>1.0001152739829995</v>
      </c>
      <c r="AL1250" s="98">
        <f t="shared" ca="1" si="243"/>
        <v>3.8039342440558288</v>
      </c>
      <c r="AM1250" s="106">
        <f t="shared" ca="1" si="237"/>
        <v>28995.919633303522</v>
      </c>
      <c r="AN1250" s="10">
        <f t="shared" ca="1" si="238"/>
        <v>0.7651639887418682</v>
      </c>
      <c r="AO1250" s="158"/>
      <c r="AP1250" s="158"/>
      <c r="AQ1250" s="1"/>
      <c r="AR1250" s="1"/>
      <c r="AS1250" s="1"/>
      <c r="AT1250" s="1"/>
      <c r="AU1250" s="1"/>
    </row>
    <row r="1251" spans="34:47">
      <c r="AH1251" s="6">
        <f t="shared" si="239"/>
        <v>1221</v>
      </c>
      <c r="AI1251" s="7">
        <f t="shared" ca="1" si="240"/>
        <v>43891</v>
      </c>
      <c r="AJ1251" s="210">
        <f t="shared" ca="1" si="241"/>
        <v>4.1504098360655739</v>
      </c>
      <c r="AK1251" s="8">
        <f t="shared" ca="1" si="242"/>
        <v>1.000115289162113</v>
      </c>
      <c r="AL1251" s="98">
        <f t="shared" ca="1" si="243"/>
        <v>3.8043375951711145</v>
      </c>
      <c r="AM1251" s="106">
        <f t="shared" ca="1" si="237"/>
        <v>28998.391333068928</v>
      </c>
      <c r="AN1251" s="10">
        <f t="shared" ca="1" si="238"/>
        <v>0.76543989484307851</v>
      </c>
      <c r="AO1251" s="158"/>
      <c r="AP1251" s="158"/>
      <c r="AQ1251" s="1"/>
      <c r="AR1251" s="1"/>
      <c r="AS1251" s="1"/>
      <c r="AT1251" s="1"/>
      <c r="AU1251" s="1"/>
    </row>
    <row r="1252" spans="34:47">
      <c r="AH1252" s="6">
        <f t="shared" si="239"/>
        <v>1222</v>
      </c>
      <c r="AI1252" s="7">
        <f t="shared" ca="1" si="240"/>
        <v>43892</v>
      </c>
      <c r="AJ1252" s="210">
        <f t="shared" ca="1" si="241"/>
        <v>4.150956284153005</v>
      </c>
      <c r="AK1252" s="8">
        <f t="shared" ca="1" si="242"/>
        <v>1.0001153043412265</v>
      </c>
      <c r="AL1252" s="98">
        <f t="shared" ca="1" si="243"/>
        <v>3.8047407582825876</v>
      </c>
      <c r="AM1252" s="106">
        <f t="shared" ca="1" si="237"/>
        <v>29000.863243529497</v>
      </c>
      <c r="AN1252" s="10">
        <f t="shared" ca="1" si="238"/>
        <v>0.76571580693802765</v>
      </c>
      <c r="AO1252" s="158"/>
      <c r="AP1252" s="158"/>
      <c r="AQ1252" s="1"/>
      <c r="AR1252" s="1"/>
      <c r="AS1252" s="1"/>
      <c r="AT1252" s="1"/>
      <c r="AU1252" s="1"/>
    </row>
    <row r="1253" spans="34:47">
      <c r="AH1253" s="6">
        <f t="shared" si="239"/>
        <v>1223</v>
      </c>
      <c r="AI1253" s="7">
        <f t="shared" ca="1" si="240"/>
        <v>43893</v>
      </c>
      <c r="AJ1253" s="210">
        <f t="shared" ca="1" si="241"/>
        <v>4.151502732240437</v>
      </c>
      <c r="AK1253" s="8">
        <f t="shared" ca="1" si="242"/>
        <v>1.0001153195203401</v>
      </c>
      <c r="AL1253" s="98">
        <f t="shared" ca="1" si="243"/>
        <v>3.805143733853078</v>
      </c>
      <c r="AM1253" s="106">
        <f t="shared" ca="1" si="237"/>
        <v>29003.335364703173</v>
      </c>
      <c r="AN1253" s="10">
        <f t="shared" ca="1" si="238"/>
        <v>0.76599172501390367</v>
      </c>
      <c r="AO1253" s="158"/>
      <c r="AP1253" s="158"/>
      <c r="AQ1253" s="1"/>
      <c r="AR1253" s="1"/>
      <c r="AS1253" s="1"/>
      <c r="AT1253" s="1"/>
      <c r="AU1253" s="1"/>
    </row>
    <row r="1254" spans="34:47">
      <c r="AH1254" s="6">
        <f t="shared" si="239"/>
        <v>1224</v>
      </c>
      <c r="AI1254" s="7">
        <f t="shared" ca="1" si="240"/>
        <v>43894</v>
      </c>
      <c r="AJ1254" s="210">
        <f t="shared" ca="1" si="241"/>
        <v>4.152049180327869</v>
      </c>
      <c r="AK1254" s="8">
        <f t="shared" ca="1" si="242"/>
        <v>1.0001153346994536</v>
      </c>
      <c r="AL1254" s="98">
        <f t="shared" ca="1" si="243"/>
        <v>3.8055465223438611</v>
      </c>
      <c r="AM1254" s="106">
        <f t="shared" ca="1" si="237"/>
        <v>29005.807696607928</v>
      </c>
      <c r="AN1254" s="10">
        <f t="shared" ca="1" si="238"/>
        <v>0.76626764905791678</v>
      </c>
      <c r="AO1254" s="158"/>
      <c r="AP1254" s="158"/>
      <c r="AQ1254" s="1"/>
      <c r="AR1254" s="1"/>
      <c r="AS1254" s="1"/>
      <c r="AT1254" s="1"/>
      <c r="AU1254" s="1"/>
    </row>
    <row r="1255" spans="34:47">
      <c r="AH1255" s="6">
        <f t="shared" si="239"/>
        <v>1225</v>
      </c>
      <c r="AI1255" s="7">
        <f t="shared" ca="1" si="240"/>
        <v>43895</v>
      </c>
      <c r="AJ1255" s="210">
        <f t="shared" ca="1" si="241"/>
        <v>4.1525956284153001</v>
      </c>
      <c r="AK1255" s="8">
        <f t="shared" ca="1" si="242"/>
        <v>1.0001153498785671</v>
      </c>
      <c r="AL1255" s="98">
        <f t="shared" ca="1" si="243"/>
        <v>3.8059491242147248</v>
      </c>
      <c r="AM1255" s="106">
        <f t="shared" ca="1" si="237"/>
        <v>29008.280239261723</v>
      </c>
      <c r="AN1255" s="10">
        <f t="shared" ca="1" si="238"/>
        <v>0.76654357905736603</v>
      </c>
      <c r="AO1255" s="158"/>
      <c r="AP1255" s="158"/>
      <c r="AQ1255" s="1"/>
      <c r="AR1255" s="1"/>
      <c r="AS1255" s="1"/>
      <c r="AT1255" s="1"/>
      <c r="AU1255" s="1"/>
    </row>
    <row r="1256" spans="34:47">
      <c r="AH1256" s="6">
        <f t="shared" si="239"/>
        <v>1226</v>
      </c>
      <c r="AI1256" s="7">
        <f t="shared" ca="1" si="240"/>
        <v>43896</v>
      </c>
      <c r="AJ1256" s="210">
        <f t="shared" ca="1" si="241"/>
        <v>4.153142076502732</v>
      </c>
      <c r="AK1256" s="8">
        <f t="shared" ca="1" si="242"/>
        <v>1.0001153650576806</v>
      </c>
      <c r="AL1256" s="98">
        <f t="shared" ca="1" si="243"/>
        <v>3.8063515399239689</v>
      </c>
      <c r="AM1256" s="106">
        <f t="shared" ca="1" si="237"/>
        <v>29010.752992682515</v>
      </c>
      <c r="AN1256" s="10">
        <f t="shared" ca="1" si="238"/>
        <v>0.76681951499955048</v>
      </c>
      <c r="AO1256" s="158"/>
      <c r="AP1256" s="158"/>
      <c r="AQ1256" s="1"/>
      <c r="AR1256" s="1"/>
      <c r="AS1256" s="1"/>
      <c r="AT1256" s="1"/>
      <c r="AU1256" s="1"/>
    </row>
    <row r="1257" spans="34:47">
      <c r="AH1257" s="6">
        <f t="shared" si="239"/>
        <v>1227</v>
      </c>
      <c r="AI1257" s="7">
        <f t="shared" ca="1" si="240"/>
        <v>43897</v>
      </c>
      <c r="AJ1257" s="210">
        <f t="shared" ca="1" si="241"/>
        <v>4.153688524590164</v>
      </c>
      <c r="AK1257" s="8">
        <f t="shared" ca="1" si="242"/>
        <v>1.0001153802367941</v>
      </c>
      <c r="AL1257" s="98">
        <f t="shared" ca="1" si="243"/>
        <v>3.806753769928406</v>
      </c>
      <c r="AM1257" s="106">
        <f t="shared" ca="1" si="237"/>
        <v>29013.22595688828</v>
      </c>
      <c r="AN1257" s="10">
        <f t="shared" ca="1" si="238"/>
        <v>0.76709545687183578</v>
      </c>
      <c r="AO1257" s="158"/>
      <c r="AP1257" s="158"/>
      <c r="AQ1257" s="1"/>
      <c r="AR1257" s="1"/>
      <c r="AS1257" s="1"/>
      <c r="AT1257" s="1"/>
      <c r="AU1257" s="1"/>
    </row>
    <row r="1258" spans="34:47">
      <c r="AH1258" s="6">
        <f t="shared" si="239"/>
        <v>1228</v>
      </c>
      <c r="AI1258" s="7">
        <f t="shared" ca="1" si="240"/>
        <v>43898</v>
      </c>
      <c r="AJ1258" s="210">
        <f t="shared" ca="1" si="241"/>
        <v>4.1542349726775951</v>
      </c>
      <c r="AK1258" s="8">
        <f t="shared" ca="1" si="242"/>
        <v>1.0001153954159077</v>
      </c>
      <c r="AL1258" s="98">
        <f t="shared" ca="1" si="243"/>
        <v>3.8071558146833162</v>
      </c>
      <c r="AM1258" s="106">
        <f t="shared" ca="1" si="237"/>
        <v>29015.699131896985</v>
      </c>
      <c r="AN1258" s="10">
        <f t="shared" ca="1" si="238"/>
        <v>0.7673714046616098</v>
      </c>
      <c r="AO1258" s="158"/>
      <c r="AP1258" s="158"/>
      <c r="AQ1258" s="1"/>
      <c r="AR1258" s="1"/>
      <c r="AS1258" s="1"/>
      <c r="AT1258" s="1"/>
      <c r="AU1258" s="1"/>
    </row>
    <row r="1259" spans="34:47">
      <c r="AH1259" s="6">
        <f t="shared" si="239"/>
        <v>1229</v>
      </c>
      <c r="AI1259" s="7">
        <f t="shared" ca="1" si="240"/>
        <v>43899</v>
      </c>
      <c r="AJ1259" s="210">
        <f t="shared" ca="1" si="241"/>
        <v>4.1547814207650271</v>
      </c>
      <c r="AK1259" s="8">
        <f t="shared" ca="1" si="242"/>
        <v>1.0001154105950212</v>
      </c>
      <c r="AL1259" s="98">
        <f t="shared" ca="1" si="243"/>
        <v>3.8075576746425588</v>
      </c>
      <c r="AM1259" s="106">
        <f t="shared" ca="1" si="237"/>
        <v>29018.172517726598</v>
      </c>
      <c r="AN1259" s="10">
        <f t="shared" ca="1" si="238"/>
        <v>0.76764735835630482</v>
      </c>
      <c r="AO1259" s="158"/>
      <c r="AP1259" s="158"/>
      <c r="AQ1259" s="1"/>
      <c r="AR1259" s="1"/>
      <c r="AS1259" s="1"/>
      <c r="AT1259" s="1"/>
      <c r="AU1259" s="1"/>
    </row>
    <row r="1260" spans="34:47">
      <c r="AH1260" s="6">
        <f t="shared" si="239"/>
        <v>1230</v>
      </c>
      <c r="AI1260" s="7">
        <f t="shared" ca="1" si="240"/>
        <v>43900</v>
      </c>
      <c r="AJ1260" s="210">
        <f t="shared" ca="1" si="241"/>
        <v>4.1553278688524591</v>
      </c>
      <c r="AK1260" s="8">
        <f t="shared" ca="1" si="242"/>
        <v>1.0001154257741347</v>
      </c>
      <c r="AL1260" s="98">
        <f t="shared" ca="1" si="243"/>
        <v>3.8079593502584608</v>
      </c>
      <c r="AM1260" s="106">
        <f t="shared" ca="1" si="237"/>
        <v>29020.486521150437</v>
      </c>
      <c r="AN1260" s="10">
        <f t="shared" ca="1" si="238"/>
        <v>0.76808776232391018</v>
      </c>
      <c r="AO1260" s="158"/>
      <c r="AP1260" s="158"/>
      <c r="AQ1260" s="1"/>
      <c r="AR1260" s="1"/>
      <c r="AS1260" s="1"/>
      <c r="AT1260" s="1"/>
      <c r="AU1260" s="1"/>
    </row>
    <row r="1261" spans="34:47">
      <c r="AH1261" s="6">
        <f t="shared" si="239"/>
        <v>1231</v>
      </c>
      <c r="AI1261" s="7">
        <f t="shared" ca="1" si="240"/>
        <v>43901</v>
      </c>
      <c r="AJ1261" s="210">
        <f t="shared" ca="1" si="241"/>
        <v>4.1558743169398902</v>
      </c>
      <c r="AK1261" s="8">
        <f t="shared" ca="1" si="242"/>
        <v>1.0001154409532482</v>
      </c>
      <c r="AL1261" s="98">
        <f t="shared" ca="1" si="243"/>
        <v>3.8083608419819281</v>
      </c>
      <c r="AM1261" s="106">
        <f t="shared" ca="1" si="237"/>
        <v>29022.800709100433</v>
      </c>
      <c r="AN1261" s="10">
        <f t="shared" ca="1" si="238"/>
        <v>0.76852790616706024</v>
      </c>
      <c r="AO1261" s="158"/>
      <c r="AP1261" s="158"/>
      <c r="AQ1261" s="1"/>
      <c r="AR1261" s="1"/>
      <c r="AS1261" s="1"/>
      <c r="AT1261" s="1"/>
      <c r="AU1261" s="1"/>
    </row>
    <row r="1262" spans="34:47">
      <c r="AH1262" s="6">
        <f t="shared" si="239"/>
        <v>1232</v>
      </c>
      <c r="AI1262" s="7">
        <f t="shared" ca="1" si="240"/>
        <v>43902</v>
      </c>
      <c r="AJ1262" s="210">
        <f t="shared" ca="1" si="241"/>
        <v>4.1564207650273222</v>
      </c>
      <c r="AK1262" s="8">
        <f t="shared" ca="1" si="242"/>
        <v>1.000115456132362</v>
      </c>
      <c r="AL1262" s="98">
        <f t="shared" ca="1" si="243"/>
        <v>3.8087621502623792</v>
      </c>
      <c r="AM1262" s="106">
        <f t="shared" ca="1" si="237"/>
        <v>29025.115081591299</v>
      </c>
      <c r="AN1262" s="10">
        <f t="shared" ca="1" si="238"/>
        <v>0.76896779052049169</v>
      </c>
      <c r="AO1262" s="158"/>
      <c r="AP1262" s="158"/>
      <c r="AQ1262" s="1"/>
      <c r="AR1262" s="1"/>
      <c r="AS1262" s="1"/>
      <c r="AT1262" s="1"/>
      <c r="AU1262" s="1"/>
    </row>
    <row r="1263" spans="34:47">
      <c r="AH1263" s="6">
        <f t="shared" si="239"/>
        <v>1233</v>
      </c>
      <c r="AI1263" s="7">
        <f t="shared" ca="1" si="240"/>
        <v>43903</v>
      </c>
      <c r="AJ1263" s="210">
        <f t="shared" ca="1" si="241"/>
        <v>4.1569672131147541</v>
      </c>
      <c r="AK1263" s="8">
        <f t="shared" ca="1" si="242"/>
        <v>1.0001154713114755</v>
      </c>
      <c r="AL1263" s="98">
        <f t="shared" ca="1" si="243"/>
        <v>3.8091632755477889</v>
      </c>
      <c r="AM1263" s="106">
        <f t="shared" ca="1" si="237"/>
        <v>29027.42963863775</v>
      </c>
      <c r="AN1263" s="10">
        <f t="shared" ca="1" si="238"/>
        <v>0.76940741601678742</v>
      </c>
      <c r="AO1263" s="158"/>
      <c r="AP1263" s="158"/>
      <c r="AQ1263" s="1"/>
      <c r="AR1263" s="1"/>
      <c r="AS1263" s="1"/>
      <c r="AT1263" s="1"/>
      <c r="AU1263" s="1"/>
    </row>
    <row r="1264" spans="34:47">
      <c r="AH1264" s="6">
        <f t="shared" si="239"/>
        <v>1234</v>
      </c>
      <c r="AI1264" s="7">
        <f t="shared" ca="1" si="240"/>
        <v>43904</v>
      </c>
      <c r="AJ1264" s="210">
        <f t="shared" ca="1" si="241"/>
        <v>4.1575136612021852</v>
      </c>
      <c r="AK1264" s="8">
        <f t="shared" ca="1" si="242"/>
        <v>1.000115486490589</v>
      </c>
      <c r="AL1264" s="98">
        <f t="shared" ca="1" si="243"/>
        <v>3.8095642182846667</v>
      </c>
      <c r="AM1264" s="106">
        <f t="shared" ca="1" si="237"/>
        <v>29029.744380254506</v>
      </c>
      <c r="AN1264" s="10">
        <f t="shared" ca="1" si="238"/>
        <v>0.76984678328655409</v>
      </c>
      <c r="AO1264" s="158"/>
      <c r="AP1264" s="158"/>
      <c r="AQ1264" s="1"/>
      <c r="AR1264" s="1"/>
      <c r="AS1264" s="1"/>
      <c r="AT1264" s="1"/>
      <c r="AU1264" s="1"/>
    </row>
    <row r="1265" spans="34:47">
      <c r="AH1265" s="6">
        <f t="shared" si="239"/>
        <v>1235</v>
      </c>
      <c r="AI1265" s="7">
        <f t="shared" ca="1" si="240"/>
        <v>43905</v>
      </c>
      <c r="AJ1265" s="210">
        <f t="shared" ca="1" si="241"/>
        <v>4.1580601092896172</v>
      </c>
      <c r="AK1265" s="8">
        <f t="shared" ca="1" si="242"/>
        <v>1.0001155016697025</v>
      </c>
      <c r="AL1265" s="98">
        <f t="shared" ca="1" si="243"/>
        <v>3.8099649789180789</v>
      </c>
      <c r="AM1265" s="106">
        <f t="shared" ca="1" si="237"/>
        <v>29032.059306456285</v>
      </c>
      <c r="AN1265" s="10">
        <f t="shared" ca="1" si="238"/>
        <v>0.77028589295828898</v>
      </c>
      <c r="AO1265" s="158"/>
      <c r="AP1265" s="158"/>
      <c r="AQ1265" s="1"/>
      <c r="AR1265" s="1"/>
      <c r="AS1265" s="1"/>
      <c r="AT1265" s="1"/>
      <c r="AU1265" s="1"/>
    </row>
    <row r="1266" spans="34:47">
      <c r="AH1266" s="6">
        <f t="shared" si="239"/>
        <v>1236</v>
      </c>
      <c r="AI1266" s="7">
        <f t="shared" ca="1" si="240"/>
        <v>43906</v>
      </c>
      <c r="AJ1266" s="210">
        <f t="shared" ca="1" si="241"/>
        <v>4.1586065573770492</v>
      </c>
      <c r="AK1266" s="8">
        <f t="shared" ca="1" si="242"/>
        <v>1.0001155168488161</v>
      </c>
      <c r="AL1266" s="98">
        <f t="shared" ca="1" si="243"/>
        <v>3.8103655578916706</v>
      </c>
      <c r="AM1266" s="106">
        <f t="shared" ca="1" si="237"/>
        <v>29034.374417257808</v>
      </c>
      <c r="AN1266" s="10">
        <f t="shared" ca="1" si="238"/>
        <v>0.77072474565851312</v>
      </c>
      <c r="AO1266" s="158"/>
      <c r="AP1266" s="158"/>
      <c r="AQ1266" s="1"/>
      <c r="AR1266" s="1"/>
      <c r="AS1266" s="1"/>
      <c r="AT1266" s="1"/>
      <c r="AU1266" s="1"/>
    </row>
    <row r="1267" spans="34:47">
      <c r="AH1267" s="6">
        <f t="shared" si="239"/>
        <v>1237</v>
      </c>
      <c r="AI1267" s="7">
        <f t="shared" ca="1" si="240"/>
        <v>43907</v>
      </c>
      <c r="AJ1267" s="210">
        <f t="shared" ca="1" si="241"/>
        <v>4.1591530054644812</v>
      </c>
      <c r="AK1267" s="8">
        <f t="shared" ca="1" si="242"/>
        <v>1.0001155320279296</v>
      </c>
      <c r="AL1267" s="98">
        <f t="shared" ca="1" si="243"/>
        <v>3.8107659556476214</v>
      </c>
      <c r="AM1267" s="106">
        <f t="shared" ca="1" si="237"/>
        <v>29036.689712673793</v>
      </c>
      <c r="AN1267" s="10">
        <f t="shared" ca="1" si="238"/>
        <v>0.77116334201168257</v>
      </c>
      <c r="AO1267" s="158"/>
      <c r="AP1267" s="158"/>
      <c r="AQ1267" s="1"/>
      <c r="AR1267" s="1"/>
      <c r="AS1267" s="1"/>
      <c r="AT1267" s="1"/>
      <c r="AU1267" s="1"/>
    </row>
    <row r="1268" spans="34:47">
      <c r="AH1268" s="6">
        <f t="shared" si="239"/>
        <v>1238</v>
      </c>
      <c r="AI1268" s="7">
        <f t="shared" ca="1" si="240"/>
        <v>43908</v>
      </c>
      <c r="AJ1268" s="210">
        <f t="shared" ca="1" si="241"/>
        <v>4.1596994535519123</v>
      </c>
      <c r="AK1268" s="8">
        <f t="shared" ca="1" si="242"/>
        <v>1.0001155472070431</v>
      </c>
      <c r="AL1268" s="98">
        <f t="shared" ca="1" si="243"/>
        <v>3.8111661726267121</v>
      </c>
      <c r="AM1268" s="106">
        <f t="shared" ca="1" si="237"/>
        <v>29039.00519271896</v>
      </c>
      <c r="AN1268" s="10">
        <f t="shared" ca="1" si="238"/>
        <v>0.77160168264027718</v>
      </c>
      <c r="AO1268" s="158"/>
      <c r="AP1268" s="158"/>
      <c r="AQ1268" s="1"/>
      <c r="AR1268" s="1"/>
      <c r="AS1268" s="1"/>
      <c r="AT1268" s="1"/>
      <c r="AU1268" s="1"/>
    </row>
    <row r="1269" spans="34:47">
      <c r="AH1269" s="6">
        <f t="shared" si="239"/>
        <v>1239</v>
      </c>
      <c r="AI1269" s="7">
        <f t="shared" ca="1" si="240"/>
        <v>43909</v>
      </c>
      <c r="AJ1269" s="210">
        <f t="shared" ca="1" si="241"/>
        <v>4.1602459016393443</v>
      </c>
      <c r="AK1269" s="8">
        <f t="shared" ca="1" si="242"/>
        <v>1.0001155623861566</v>
      </c>
      <c r="AL1269" s="98">
        <f t="shared" ca="1" si="243"/>
        <v>3.81156620926828</v>
      </c>
      <c r="AM1269" s="106">
        <f t="shared" ca="1" si="237"/>
        <v>29041.320857408034</v>
      </c>
      <c r="AN1269" s="10">
        <f t="shared" ca="1" si="238"/>
        <v>0.77203976816471176</v>
      </c>
      <c r="AO1269" s="158"/>
      <c r="AP1269" s="158"/>
      <c r="AQ1269" s="1"/>
      <c r="AR1269" s="1"/>
      <c r="AS1269" s="1"/>
      <c r="AT1269" s="1"/>
      <c r="AU1269" s="1"/>
    </row>
    <row r="1270" spans="34:47">
      <c r="AH1270" s="6">
        <f t="shared" si="239"/>
        <v>1240</v>
      </c>
      <c r="AI1270" s="7">
        <f t="shared" ca="1" si="240"/>
        <v>43910</v>
      </c>
      <c r="AJ1270" s="210">
        <f t="shared" ca="1" si="241"/>
        <v>4.1607923497267763</v>
      </c>
      <c r="AK1270" s="8">
        <f t="shared" ca="1" si="242"/>
        <v>1.0001155775652701</v>
      </c>
      <c r="AL1270" s="98">
        <f t="shared" ca="1" si="243"/>
        <v>3.8119660660102639</v>
      </c>
      <c r="AM1270" s="106">
        <f t="shared" ca="1" si="237"/>
        <v>29043.636706755744</v>
      </c>
      <c r="AN1270" s="10">
        <f t="shared" ca="1" si="238"/>
        <v>0.77247759920346937</v>
      </c>
      <c r="AO1270" s="158"/>
      <c r="AP1270" s="158"/>
      <c r="AQ1270" s="1"/>
      <c r="AR1270" s="1"/>
      <c r="AS1270" s="1"/>
      <c r="AT1270" s="1"/>
      <c r="AU1270" s="1"/>
    </row>
    <row r="1271" spans="34:47">
      <c r="AH1271" s="6">
        <f t="shared" si="239"/>
        <v>1241</v>
      </c>
      <c r="AI1271" s="7">
        <f t="shared" ca="1" si="240"/>
        <v>43911</v>
      </c>
      <c r="AJ1271" s="210">
        <f t="shared" ca="1" si="241"/>
        <v>4.1613387978142073</v>
      </c>
      <c r="AK1271" s="8">
        <f t="shared" ca="1" si="242"/>
        <v>1.0001155927443837</v>
      </c>
      <c r="AL1271" s="98">
        <f t="shared" ca="1" si="243"/>
        <v>3.8123657432891811</v>
      </c>
      <c r="AM1271" s="106">
        <f t="shared" ca="1" si="237"/>
        <v>29045.952740776811</v>
      </c>
      <c r="AN1271" s="10">
        <f t="shared" ca="1" si="238"/>
        <v>0.77291517637303464</v>
      </c>
      <c r="AO1271" s="158"/>
      <c r="AP1271" s="158"/>
      <c r="AQ1271" s="1"/>
      <c r="AR1271" s="1"/>
      <c r="AS1271" s="1"/>
      <c r="AT1271" s="1"/>
      <c r="AU1271" s="1"/>
    </row>
    <row r="1272" spans="34:47">
      <c r="AH1272" s="6">
        <f t="shared" si="239"/>
        <v>1242</v>
      </c>
      <c r="AI1272" s="7">
        <f t="shared" ca="1" si="240"/>
        <v>43912</v>
      </c>
      <c r="AJ1272" s="210">
        <f t="shared" ca="1" si="241"/>
        <v>4.1618852459016393</v>
      </c>
      <c r="AK1272" s="8">
        <f t="shared" ca="1" si="242"/>
        <v>1.0001156079234972</v>
      </c>
      <c r="AL1272" s="98">
        <f t="shared" ca="1" si="243"/>
        <v>3.8127652415401503</v>
      </c>
      <c r="AM1272" s="106">
        <f t="shared" ca="1" si="237"/>
        <v>29048.268959485955</v>
      </c>
      <c r="AN1272" s="10">
        <f t="shared" ca="1" si="238"/>
        <v>0.7733525002878272</v>
      </c>
      <c r="AO1272" s="158"/>
      <c r="AP1272" s="158"/>
      <c r="AQ1272" s="1"/>
      <c r="AR1272" s="1"/>
      <c r="AS1272" s="1"/>
      <c r="AT1272" s="1"/>
      <c r="AU1272" s="1"/>
    </row>
    <row r="1273" spans="34:47">
      <c r="AH1273" s="6">
        <f t="shared" si="239"/>
        <v>1243</v>
      </c>
      <c r="AI1273" s="7">
        <f t="shared" ca="1" si="240"/>
        <v>43913</v>
      </c>
      <c r="AJ1273" s="210">
        <f t="shared" ca="1" si="241"/>
        <v>4.1624316939890713</v>
      </c>
      <c r="AK1273" s="8">
        <f t="shared" ca="1" si="242"/>
        <v>1.0001156231026107</v>
      </c>
      <c r="AL1273" s="98">
        <f t="shared" ca="1" si="243"/>
        <v>3.813164561196869</v>
      </c>
      <c r="AM1273" s="106">
        <f t="shared" ca="1" si="237"/>
        <v>29050.585362897913</v>
      </c>
      <c r="AN1273" s="10">
        <f t="shared" ca="1" si="238"/>
        <v>0.77378957156040151</v>
      </c>
      <c r="AO1273" s="158"/>
      <c r="AP1273" s="158"/>
      <c r="AQ1273" s="1"/>
      <c r="AR1273" s="1"/>
      <c r="AS1273" s="1"/>
      <c r="AT1273" s="1"/>
      <c r="AU1273" s="1"/>
    </row>
    <row r="1274" spans="34:47">
      <c r="AH1274" s="6">
        <f t="shared" si="239"/>
        <v>1244</v>
      </c>
      <c r="AI1274" s="7">
        <f t="shared" ca="1" si="240"/>
        <v>43914</v>
      </c>
      <c r="AJ1274" s="210">
        <f t="shared" ca="1" si="241"/>
        <v>4.1629781420765024</v>
      </c>
      <c r="AK1274" s="8">
        <f t="shared" ca="1" si="242"/>
        <v>1.0001156382817245</v>
      </c>
      <c r="AL1274" s="98">
        <f t="shared" ca="1" si="243"/>
        <v>3.8135637026917024</v>
      </c>
      <c r="AM1274" s="106">
        <f t="shared" ca="1" si="237"/>
        <v>29052.901951027408</v>
      </c>
      <c r="AN1274" s="10">
        <f t="shared" ca="1" si="238"/>
        <v>0.7742263908012692</v>
      </c>
      <c r="AO1274" s="158"/>
      <c r="AP1274" s="158"/>
      <c r="AQ1274" s="1"/>
      <c r="AR1274" s="1"/>
      <c r="AS1274" s="1"/>
      <c r="AT1274" s="1"/>
      <c r="AU1274" s="1"/>
    </row>
    <row r="1275" spans="34:47">
      <c r="AH1275" s="6">
        <f t="shared" si="239"/>
        <v>1245</v>
      </c>
      <c r="AI1275" s="7">
        <f t="shared" ca="1" si="240"/>
        <v>43915</v>
      </c>
      <c r="AJ1275" s="210">
        <f t="shared" ca="1" si="241"/>
        <v>4.1635245901639344</v>
      </c>
      <c r="AK1275" s="8">
        <f t="shared" ca="1" si="242"/>
        <v>1.000115653460838</v>
      </c>
      <c r="AL1275" s="98">
        <f t="shared" ca="1" si="243"/>
        <v>3.8139626664555504</v>
      </c>
      <c r="AM1275" s="106">
        <f t="shared" ca="1" si="237"/>
        <v>29055.218723889178</v>
      </c>
      <c r="AN1275" s="10">
        <f t="shared" ca="1" si="238"/>
        <v>0.77466295861898793</v>
      </c>
      <c r="AO1275" s="158"/>
      <c r="AP1275" s="158"/>
      <c r="AQ1275" s="1"/>
      <c r="AR1275" s="1"/>
      <c r="AS1275" s="1"/>
      <c r="AT1275" s="1"/>
      <c r="AU1275" s="1"/>
    </row>
    <row r="1276" spans="34:47">
      <c r="AH1276" s="6">
        <f t="shared" si="239"/>
        <v>1246</v>
      </c>
      <c r="AI1276" s="7">
        <f t="shared" ca="1" si="240"/>
        <v>43916</v>
      </c>
      <c r="AJ1276" s="210">
        <f t="shared" ca="1" si="241"/>
        <v>4.1640710382513664</v>
      </c>
      <c r="AK1276" s="8">
        <f t="shared" ca="1" si="242"/>
        <v>1.0001156686399515</v>
      </c>
      <c r="AL1276" s="98">
        <f t="shared" ca="1" si="243"/>
        <v>3.8143614529179803</v>
      </c>
      <c r="AM1276" s="106">
        <f t="shared" ca="1" si="237"/>
        <v>29057.535681497939</v>
      </c>
      <c r="AN1276" s="10">
        <f t="shared" ca="1" si="238"/>
        <v>0.77509927562022796</v>
      </c>
      <c r="AO1276" s="158"/>
      <c r="AP1276" s="158"/>
      <c r="AQ1276" s="1"/>
      <c r="AR1276" s="1"/>
      <c r="AS1276" s="1"/>
      <c r="AT1276" s="1"/>
      <c r="AU1276" s="1"/>
    </row>
    <row r="1277" spans="34:47">
      <c r="AH1277" s="6">
        <f t="shared" si="239"/>
        <v>1247</v>
      </c>
      <c r="AI1277" s="7">
        <f t="shared" ca="1" si="240"/>
        <v>43917</v>
      </c>
      <c r="AJ1277" s="210">
        <f t="shared" ca="1" si="241"/>
        <v>4.1646174863387975</v>
      </c>
      <c r="AK1277" s="8">
        <f t="shared" ca="1" si="242"/>
        <v>1.000115683819065</v>
      </c>
      <c r="AL1277" s="98">
        <f t="shared" ca="1" si="243"/>
        <v>3.8147600625071609</v>
      </c>
      <c r="AM1277" s="106">
        <f t="shared" ca="1" si="237"/>
        <v>29059.852823868441</v>
      </c>
      <c r="AN1277" s="10">
        <f t="shared" ca="1" si="238"/>
        <v>0.77553534240961675</v>
      </c>
      <c r="AO1277" s="158"/>
      <c r="AP1277" s="158"/>
      <c r="AQ1277" s="1"/>
      <c r="AR1277" s="1"/>
      <c r="AS1277" s="1"/>
      <c r="AT1277" s="1"/>
      <c r="AU1277" s="1"/>
    </row>
    <row r="1278" spans="34:47">
      <c r="AH1278" s="6">
        <f t="shared" si="239"/>
        <v>1248</v>
      </c>
      <c r="AI1278" s="7">
        <f t="shared" ca="1" si="240"/>
        <v>43918</v>
      </c>
      <c r="AJ1278" s="210">
        <f t="shared" ca="1" si="241"/>
        <v>4.1651639344262295</v>
      </c>
      <c r="AK1278" s="8">
        <f t="shared" ca="1" si="242"/>
        <v>1.0001156989981785</v>
      </c>
      <c r="AL1278" s="98">
        <f t="shared" ca="1" si="243"/>
        <v>3.8151584956499063</v>
      </c>
      <c r="AM1278" s="106">
        <f t="shared" ca="1" si="237"/>
        <v>29062.170151015405</v>
      </c>
      <c r="AN1278" s="10">
        <f t="shared" ca="1" si="238"/>
        <v>0.77597115958993879</v>
      </c>
      <c r="AO1278" s="158"/>
      <c r="AP1278" s="158"/>
      <c r="AQ1278" s="1"/>
      <c r="AR1278" s="1"/>
      <c r="AS1278" s="1"/>
      <c r="AT1278" s="1"/>
      <c r="AU1278" s="1"/>
    </row>
    <row r="1279" spans="34:47">
      <c r="AH1279" s="6">
        <f t="shared" si="239"/>
        <v>1249</v>
      </c>
      <c r="AI1279" s="7">
        <f t="shared" ca="1" si="240"/>
        <v>43919</v>
      </c>
      <c r="AJ1279" s="210">
        <f t="shared" ca="1" si="241"/>
        <v>4.1657103825136614</v>
      </c>
      <c r="AK1279" s="8">
        <f t="shared" ca="1" si="242"/>
        <v>1.0001157141772921</v>
      </c>
      <c r="AL1279" s="98">
        <f t="shared" ca="1" si="243"/>
        <v>3.8155567527716538</v>
      </c>
      <c r="AM1279" s="106">
        <f t="shared" ca="1" si="237"/>
        <v>29064.487662953568</v>
      </c>
      <c r="AN1279" s="10">
        <f t="shared" ca="1" si="238"/>
        <v>0.77640672776200237</v>
      </c>
      <c r="AO1279" s="158"/>
      <c r="AP1279" s="158"/>
      <c r="AQ1279" s="1"/>
      <c r="AR1279" s="1"/>
      <c r="AS1279" s="1"/>
      <c r="AT1279" s="1"/>
      <c r="AU1279" s="1"/>
    </row>
    <row r="1280" spans="34:47">
      <c r="AH1280" s="6">
        <f t="shared" si="239"/>
        <v>1250</v>
      </c>
      <c r="AI1280" s="7">
        <f t="shared" ca="1" si="240"/>
        <v>43920</v>
      </c>
      <c r="AJ1280" s="210">
        <f t="shared" ca="1" si="241"/>
        <v>4.1662568306010925</v>
      </c>
      <c r="AK1280" s="8">
        <f t="shared" ca="1" si="242"/>
        <v>1.0001157293564056</v>
      </c>
      <c r="AL1280" s="98">
        <f t="shared" ca="1" si="243"/>
        <v>3.8159548342964644</v>
      </c>
      <c r="AM1280" s="106">
        <f t="shared" ca="1" si="237"/>
        <v>29066.805359697675</v>
      </c>
      <c r="AN1280" s="10">
        <f t="shared" ca="1" si="238"/>
        <v>0.776842047524684</v>
      </c>
      <c r="AO1280" s="158"/>
      <c r="AP1280" s="158"/>
      <c r="AQ1280" s="1"/>
      <c r="AR1280" s="1"/>
      <c r="AS1280" s="1"/>
      <c r="AT1280" s="1"/>
      <c r="AU1280" s="1"/>
    </row>
    <row r="1281" spans="34:47">
      <c r="AH1281" s="6">
        <f t="shared" si="239"/>
        <v>1251</v>
      </c>
      <c r="AI1281" s="7">
        <f t="shared" ca="1" si="240"/>
        <v>43921</v>
      </c>
      <c r="AJ1281" s="210">
        <f t="shared" ca="1" si="241"/>
        <v>4.1668032786885245</v>
      </c>
      <c r="AK1281" s="8">
        <f t="shared" ca="1" si="242"/>
        <v>1.0001157445355191</v>
      </c>
      <c r="AL1281" s="98">
        <f t="shared" ca="1" si="243"/>
        <v>3.8163527406470665</v>
      </c>
      <c r="AM1281" s="106">
        <f t="shared" ca="1" si="237"/>
        <v>29069.123241262452</v>
      </c>
      <c r="AN1281" s="10">
        <f t="shared" ca="1" si="238"/>
        <v>0.7772771194749506</v>
      </c>
      <c r="AO1281" s="158"/>
      <c r="AP1281" s="158"/>
      <c r="AQ1281" s="1"/>
      <c r="AR1281" s="1"/>
      <c r="AS1281" s="1"/>
      <c r="AT1281" s="1"/>
      <c r="AU1281" s="1"/>
    </row>
    <row r="1282" spans="34:47">
      <c r="AH1282" s="6">
        <f t="shared" si="239"/>
        <v>1252</v>
      </c>
      <c r="AI1282" s="7">
        <f t="shared" ca="1" si="240"/>
        <v>43922</v>
      </c>
      <c r="AJ1282" s="210">
        <f t="shared" ca="1" si="241"/>
        <v>4.1673497267759565</v>
      </c>
      <c r="AK1282" s="8">
        <f t="shared" ca="1" si="242"/>
        <v>1.0001157597146326</v>
      </c>
      <c r="AL1282" s="98">
        <f t="shared" ca="1" si="243"/>
        <v>3.8167504722448342</v>
      </c>
      <c r="AM1282" s="106">
        <f t="shared" ca="1" si="237"/>
        <v>29071.441307662644</v>
      </c>
      <c r="AN1282" s="10">
        <f t="shared" ca="1" si="238"/>
        <v>0.7777119442079039</v>
      </c>
      <c r="AO1282" s="158"/>
      <c r="AP1282" s="158"/>
      <c r="AQ1282" s="1"/>
      <c r="AR1282" s="1"/>
      <c r="AS1282" s="1"/>
      <c r="AT1282" s="1"/>
      <c r="AU1282" s="1"/>
    </row>
    <row r="1283" spans="34:47">
      <c r="AH1283" s="6">
        <f t="shared" si="239"/>
        <v>1253</v>
      </c>
      <c r="AI1283" s="7">
        <f t="shared" ca="1" si="240"/>
        <v>43923</v>
      </c>
      <c r="AJ1283" s="210">
        <f t="shared" ca="1" si="241"/>
        <v>4.1678961748633876</v>
      </c>
      <c r="AK1283" s="8">
        <f t="shared" ca="1" si="242"/>
        <v>1.0001157748937461</v>
      </c>
      <c r="AL1283" s="98">
        <f t="shared" ca="1" si="243"/>
        <v>3.8171480295098092</v>
      </c>
      <c r="AM1283" s="106">
        <f t="shared" ca="1" si="237"/>
        <v>29073.759558912981</v>
      </c>
      <c r="AN1283" s="10">
        <f t="shared" ca="1" si="238"/>
        <v>0.77814652231675829</v>
      </c>
      <c r="AO1283" s="158"/>
      <c r="AP1283" s="158"/>
      <c r="AQ1283" s="1"/>
      <c r="AR1283" s="1"/>
      <c r="AS1283" s="1"/>
      <c r="AT1283" s="1"/>
      <c r="AU1283" s="1"/>
    </row>
    <row r="1284" spans="34:47">
      <c r="AH1284" s="6">
        <f t="shared" si="239"/>
        <v>1254</v>
      </c>
      <c r="AI1284" s="7">
        <f t="shared" ca="1" si="240"/>
        <v>43924</v>
      </c>
      <c r="AJ1284" s="210">
        <f t="shared" ca="1" si="241"/>
        <v>4.1684426229508196</v>
      </c>
      <c r="AK1284" s="8">
        <f t="shared" ca="1" si="242"/>
        <v>1.0001157900728597</v>
      </c>
      <c r="AL1284" s="98">
        <f t="shared" ca="1" si="243"/>
        <v>3.8175454128606567</v>
      </c>
      <c r="AM1284" s="106">
        <f t="shared" ca="1" si="237"/>
        <v>29076.077995028219</v>
      </c>
      <c r="AN1284" s="10">
        <f t="shared" ca="1" si="238"/>
        <v>0.77858085439270752</v>
      </c>
      <c r="AO1284" s="158"/>
      <c r="AP1284" s="158"/>
      <c r="AQ1284" s="1"/>
      <c r="AR1284" s="1"/>
      <c r="AS1284" s="1"/>
      <c r="AT1284" s="1"/>
      <c r="AU1284" s="1"/>
    </row>
    <row r="1285" spans="34:47">
      <c r="AH1285" s="6">
        <f t="shared" si="239"/>
        <v>1255</v>
      </c>
      <c r="AI1285" s="7">
        <f t="shared" ca="1" si="240"/>
        <v>43925</v>
      </c>
      <c r="AJ1285" s="210">
        <f t="shared" ca="1" si="241"/>
        <v>4.1689890710382516</v>
      </c>
      <c r="AK1285" s="8">
        <f t="shared" ca="1" si="242"/>
        <v>1.0001158052519732</v>
      </c>
      <c r="AL1285" s="98">
        <f t="shared" ca="1" si="243"/>
        <v>3.8179426227147539</v>
      </c>
      <c r="AM1285" s="106">
        <f t="shared" ca="1" si="237"/>
        <v>29078.396616023085</v>
      </c>
      <c r="AN1285" s="10">
        <f t="shared" ca="1" si="238"/>
        <v>0.77901494102523561</v>
      </c>
      <c r="AO1285" s="158"/>
      <c r="AP1285" s="158"/>
      <c r="AQ1285" s="1"/>
      <c r="AR1285" s="1"/>
      <c r="AS1285" s="1"/>
      <c r="AT1285" s="1"/>
      <c r="AU1285" s="1"/>
    </row>
    <row r="1286" spans="34:47">
      <c r="AH1286" s="6">
        <f t="shared" si="239"/>
        <v>1256</v>
      </c>
      <c r="AI1286" s="7">
        <f t="shared" ca="1" si="240"/>
        <v>43926</v>
      </c>
      <c r="AJ1286" s="210">
        <f t="shared" ca="1" si="241"/>
        <v>4.1695355191256827</v>
      </c>
      <c r="AK1286" s="8">
        <f t="shared" ca="1" si="242"/>
        <v>1.0001158204310869</v>
      </c>
      <c r="AL1286" s="98">
        <f t="shared" ca="1" si="243"/>
        <v>3.8183396594881236</v>
      </c>
      <c r="AM1286" s="106">
        <f t="shared" ca="1" si="237"/>
        <v>29080.715421912333</v>
      </c>
      <c r="AN1286" s="10">
        <f t="shared" ca="1" si="238"/>
        <v>0.77944878280182817</v>
      </c>
      <c r="AO1286" s="158"/>
      <c r="AP1286" s="158"/>
      <c r="AQ1286" s="1"/>
      <c r="AR1286" s="1"/>
      <c r="AS1286" s="1"/>
      <c r="AT1286" s="1"/>
      <c r="AU1286" s="1"/>
    </row>
    <row r="1287" spans="34:47">
      <c r="AH1287" s="6">
        <f t="shared" si="239"/>
        <v>1257</v>
      </c>
      <c r="AI1287" s="7">
        <f t="shared" ca="1" si="240"/>
        <v>43927</v>
      </c>
      <c r="AJ1287" s="210">
        <f t="shared" ca="1" si="241"/>
        <v>4.1700819672131146</v>
      </c>
      <c r="AK1287" s="8">
        <f t="shared" ca="1" si="242"/>
        <v>1.0001158356102005</v>
      </c>
      <c r="AL1287" s="98">
        <f t="shared" ca="1" si="243"/>
        <v>3.8187365235954562</v>
      </c>
      <c r="AM1287" s="106">
        <f t="shared" ca="1" si="237"/>
        <v>29083.034412710691</v>
      </c>
      <c r="AN1287" s="10">
        <f t="shared" ca="1" si="238"/>
        <v>0.77988238030817225</v>
      </c>
      <c r="AO1287" s="158"/>
      <c r="AP1287" s="158"/>
      <c r="AQ1287" s="1"/>
      <c r="AR1287" s="1"/>
      <c r="AS1287" s="1"/>
      <c r="AT1287" s="1"/>
      <c r="AU1287" s="1"/>
    </row>
    <row r="1288" spans="34:47">
      <c r="AH1288" s="6">
        <f t="shared" si="239"/>
        <v>1258</v>
      </c>
      <c r="AI1288" s="7">
        <f t="shared" ca="1" si="240"/>
        <v>43928</v>
      </c>
      <c r="AJ1288" s="210">
        <f t="shared" ca="1" si="241"/>
        <v>4.1706284153005466</v>
      </c>
      <c r="AK1288" s="8">
        <f t="shared" ca="1" si="242"/>
        <v>1.000115850789314</v>
      </c>
      <c r="AL1288" s="98">
        <f t="shared" ca="1" si="243"/>
        <v>3.8191332154501545</v>
      </c>
      <c r="AM1288" s="106">
        <f t="shared" ca="1" si="237"/>
        <v>29085.353588432925</v>
      </c>
      <c r="AN1288" s="10">
        <f t="shared" ca="1" si="238"/>
        <v>0.78031573412804534</v>
      </c>
      <c r="AO1288" s="158"/>
      <c r="AP1288" s="158"/>
      <c r="AQ1288" s="1"/>
      <c r="AR1288" s="1"/>
      <c r="AS1288" s="1"/>
      <c r="AT1288" s="1"/>
      <c r="AU1288" s="1"/>
    </row>
    <row r="1289" spans="34:47">
      <c r="AH1289" s="6">
        <f t="shared" si="239"/>
        <v>1259</v>
      </c>
      <c r="AI1289" s="7">
        <f t="shared" ca="1" si="240"/>
        <v>43929</v>
      </c>
      <c r="AJ1289" s="210">
        <f t="shared" ca="1" si="241"/>
        <v>4.1711748633879777</v>
      </c>
      <c r="AK1289" s="8">
        <f t="shared" ca="1" si="242"/>
        <v>1.0001158659684275</v>
      </c>
      <c r="AL1289" s="98">
        <f t="shared" ca="1" si="243"/>
        <v>3.8195297354642888</v>
      </c>
      <c r="AM1289" s="106">
        <f t="shared" ca="1" si="237"/>
        <v>29087.672949093769</v>
      </c>
      <c r="AN1289" s="10">
        <f t="shared" ca="1" si="238"/>
        <v>0.78074884484342633</v>
      </c>
      <c r="AO1289" s="158"/>
      <c r="AP1289" s="158"/>
      <c r="AQ1289" s="1"/>
      <c r="AR1289" s="1"/>
      <c r="AS1289" s="1"/>
      <c r="AT1289" s="1"/>
      <c r="AU1289" s="1"/>
    </row>
    <row r="1290" spans="34:47">
      <c r="AH1290" s="6">
        <f t="shared" si="239"/>
        <v>1260</v>
      </c>
      <c r="AI1290" s="7">
        <f t="shared" ca="1" si="240"/>
        <v>43930</v>
      </c>
      <c r="AJ1290" s="210">
        <f t="shared" ca="1" si="241"/>
        <v>4.1717213114754097</v>
      </c>
      <c r="AK1290" s="8">
        <f t="shared" ca="1" si="242"/>
        <v>1.000115881147541</v>
      </c>
      <c r="AL1290" s="98">
        <f t="shared" ca="1" si="243"/>
        <v>3.8199260840486415</v>
      </c>
      <c r="AM1290" s="106">
        <f t="shared" ca="1" si="237"/>
        <v>29089.992494707971</v>
      </c>
      <c r="AN1290" s="10">
        <f t="shared" ca="1" si="238"/>
        <v>0.78118171303440676</v>
      </c>
      <c r="AO1290" s="158"/>
      <c r="AP1290" s="158"/>
      <c r="AQ1290" s="1"/>
      <c r="AR1290" s="1"/>
      <c r="AS1290" s="1"/>
      <c r="AT1290" s="1"/>
      <c r="AU1290" s="1"/>
    </row>
    <row r="1291" spans="34:47">
      <c r="AH1291" s="6">
        <f t="shared" si="239"/>
        <v>1261</v>
      </c>
      <c r="AI1291" s="7">
        <f t="shared" ca="1" si="240"/>
        <v>43931</v>
      </c>
      <c r="AJ1291" s="210">
        <f t="shared" ca="1" si="241"/>
        <v>4.1722677595628417</v>
      </c>
      <c r="AK1291" s="8">
        <f t="shared" ca="1" si="242"/>
        <v>1.0001158963266545</v>
      </c>
      <c r="AL1291" s="98">
        <f t="shared" ca="1" si="243"/>
        <v>3.8203222616126409</v>
      </c>
      <c r="AM1291" s="106">
        <f t="shared" ca="1" si="237"/>
        <v>29092.389552828758</v>
      </c>
      <c r="AN1291" s="10">
        <f t="shared" ca="1" si="238"/>
        <v>0.78153680133359327</v>
      </c>
      <c r="AO1291" s="158"/>
      <c r="AP1291" s="158"/>
      <c r="AQ1291" s="1"/>
      <c r="AR1291" s="1"/>
      <c r="AS1291" s="1"/>
      <c r="AT1291" s="1"/>
      <c r="AU1291" s="1"/>
    </row>
    <row r="1292" spans="34:47">
      <c r="AH1292" s="6">
        <f t="shared" si="239"/>
        <v>1262</v>
      </c>
      <c r="AI1292" s="7">
        <f t="shared" ca="1" si="240"/>
        <v>43932</v>
      </c>
      <c r="AJ1292" s="210">
        <f t="shared" ca="1" si="241"/>
        <v>4.1728142076502728</v>
      </c>
      <c r="AK1292" s="8">
        <f t="shared" ca="1" si="242"/>
        <v>1.0001159115057681</v>
      </c>
      <c r="AL1292" s="98">
        <f t="shared" ca="1" si="243"/>
        <v>3.8207182685644936</v>
      </c>
      <c r="AM1292" s="106">
        <f t="shared" ca="1" si="237"/>
        <v>29094.786808470664</v>
      </c>
      <c r="AN1292" s="10">
        <f t="shared" ca="1" si="238"/>
        <v>0.78189177053884507</v>
      </c>
      <c r="AO1292" s="158"/>
      <c r="AP1292" s="158"/>
      <c r="AQ1292" s="1"/>
      <c r="AR1292" s="1"/>
      <c r="AS1292" s="1"/>
      <c r="AT1292" s="1"/>
      <c r="AU1292" s="1"/>
    </row>
    <row r="1293" spans="34:47">
      <c r="AH1293" s="6">
        <f t="shared" si="239"/>
        <v>1263</v>
      </c>
      <c r="AI1293" s="7">
        <f t="shared" ca="1" si="240"/>
        <v>43933</v>
      </c>
      <c r="AJ1293" s="210">
        <f t="shared" ca="1" si="241"/>
        <v>4.1733606557377048</v>
      </c>
      <c r="AK1293" s="8">
        <f t="shared" ca="1" si="242"/>
        <v>1.0001159266848816</v>
      </c>
      <c r="AL1293" s="98">
        <f t="shared" ca="1" si="243"/>
        <v>3.821114105311052</v>
      </c>
      <c r="AM1293" s="106">
        <f t="shared" ca="1" si="237"/>
        <v>29097.184261649953</v>
      </c>
      <c r="AN1293" s="10">
        <f t="shared" ca="1" si="238"/>
        <v>0.78224662093473452</v>
      </c>
      <c r="AO1293" s="158"/>
      <c r="AP1293" s="158"/>
      <c r="AQ1293" s="1"/>
      <c r="AR1293" s="1"/>
      <c r="AS1293" s="1"/>
      <c r="AT1293" s="1"/>
      <c r="AU1293" s="1"/>
    </row>
    <row r="1294" spans="34:47">
      <c r="AH1294" s="6">
        <f t="shared" si="239"/>
        <v>1264</v>
      </c>
      <c r="AI1294" s="7">
        <f t="shared" ca="1" si="240"/>
        <v>43934</v>
      </c>
      <c r="AJ1294" s="210">
        <f t="shared" ca="1" si="241"/>
        <v>4.1739071038251367</v>
      </c>
      <c r="AK1294" s="8">
        <f t="shared" ca="1" si="242"/>
        <v>1.0001159418639951</v>
      </c>
      <c r="AL1294" s="98">
        <f t="shared" ca="1" si="243"/>
        <v>3.821509772257925</v>
      </c>
      <c r="AM1294" s="106">
        <f t="shared" ca="1" si="237"/>
        <v>29099.581912382902</v>
      </c>
      <c r="AN1294" s="10">
        <f t="shared" ca="1" si="238"/>
        <v>0.78260135280499021</v>
      </c>
      <c r="AO1294" s="158"/>
      <c r="AP1294" s="158"/>
      <c r="AQ1294" s="1"/>
      <c r="AR1294" s="1"/>
      <c r="AS1294" s="1"/>
      <c r="AT1294" s="1"/>
      <c r="AU1294" s="1"/>
    </row>
    <row r="1295" spans="34:47">
      <c r="AH1295" s="6">
        <f t="shared" si="239"/>
        <v>1265</v>
      </c>
      <c r="AI1295" s="7">
        <f t="shared" ca="1" si="240"/>
        <v>43935</v>
      </c>
      <c r="AJ1295" s="210">
        <f t="shared" ca="1" si="241"/>
        <v>4.1744535519125678</v>
      </c>
      <c r="AK1295" s="8">
        <f t="shared" ca="1" si="242"/>
        <v>1.0001159570431086</v>
      </c>
      <c r="AL1295" s="98">
        <f t="shared" ca="1" si="243"/>
        <v>3.8219052698093892</v>
      </c>
      <c r="AM1295" s="106">
        <f t="shared" ca="1" si="237"/>
        <v>29101.979760685797</v>
      </c>
      <c r="AN1295" s="10">
        <f t="shared" ca="1" si="238"/>
        <v>0.78295596643229715</v>
      </c>
      <c r="AO1295" s="158"/>
      <c r="AP1295" s="158"/>
      <c r="AQ1295" s="1"/>
      <c r="AR1295" s="1"/>
      <c r="AS1295" s="1"/>
      <c r="AT1295" s="1"/>
      <c r="AU1295" s="1"/>
    </row>
    <row r="1296" spans="34:47">
      <c r="AH1296" s="6">
        <f t="shared" si="239"/>
        <v>1266</v>
      </c>
      <c r="AI1296" s="7">
        <f t="shared" ca="1" si="240"/>
        <v>43936</v>
      </c>
      <c r="AJ1296" s="210">
        <f t="shared" ca="1" si="241"/>
        <v>4.1749999999999998</v>
      </c>
      <c r="AK1296" s="8">
        <f t="shared" ca="1" si="242"/>
        <v>1.0001159722222221</v>
      </c>
      <c r="AL1296" s="98">
        <f t="shared" ca="1" si="243"/>
        <v>3.8223005983684999</v>
      </c>
      <c r="AM1296" s="106">
        <f t="shared" ca="1" si="237"/>
        <v>29104.377806574914</v>
      </c>
      <c r="AN1296" s="10">
        <f t="shared" ca="1" si="238"/>
        <v>0.78331046209865196</v>
      </c>
      <c r="AO1296" s="158"/>
      <c r="AP1296" s="158"/>
      <c r="AQ1296" s="1"/>
      <c r="AR1296" s="1"/>
      <c r="AS1296" s="1"/>
      <c r="AT1296" s="1"/>
      <c r="AU1296" s="1"/>
    </row>
    <row r="1297" spans="34:47">
      <c r="AH1297" s="6">
        <f t="shared" si="239"/>
        <v>1267</v>
      </c>
      <c r="AI1297" s="7">
        <f t="shared" ca="1" si="240"/>
        <v>43937</v>
      </c>
      <c r="AJ1297" s="210">
        <f t="shared" ca="1" si="241"/>
        <v>4.1749999999999998</v>
      </c>
      <c r="AK1297" s="8">
        <f t="shared" ca="1" si="242"/>
        <v>1.0001159722222221</v>
      </c>
      <c r="AL1297" s="98">
        <f t="shared" ca="1" si="243"/>
        <v>3.8226953043906109</v>
      </c>
      <c r="AM1297" s="106">
        <f t="shared" ca="1" si="237"/>
        <v>29106.776050066539</v>
      </c>
      <c r="AN1297" s="10">
        <f t="shared" ca="1" si="238"/>
        <v>0.78366439942620936</v>
      </c>
      <c r="AO1297" s="158"/>
      <c r="AP1297" s="158"/>
      <c r="AQ1297" s="1"/>
      <c r="AR1297" s="1"/>
      <c r="AS1297" s="1"/>
      <c r="AT1297" s="1"/>
      <c r="AU1297" s="1"/>
    </row>
    <row r="1298" spans="34:47">
      <c r="AH1298" s="6">
        <f t="shared" si="239"/>
        <v>1268</v>
      </c>
      <c r="AI1298" s="7">
        <f t="shared" ca="1" si="240"/>
        <v>43938</v>
      </c>
      <c r="AJ1298" s="210">
        <f t="shared" ca="1" si="241"/>
        <v>4.1749999999999998</v>
      </c>
      <c r="AK1298" s="8">
        <f t="shared" ca="1" si="242"/>
        <v>1.0001159722222221</v>
      </c>
      <c r="AL1298" s="98">
        <f t="shared" ca="1" si="243"/>
        <v>3.8230893893450357</v>
      </c>
      <c r="AM1298" s="106">
        <f t="shared" ca="1" si="237"/>
        <v>29109.174491176946</v>
      </c>
      <c r="AN1298" s="10">
        <f t="shared" ca="1" si="238"/>
        <v>0.78401777973304831</v>
      </c>
      <c r="AO1298" s="158"/>
      <c r="AP1298" s="158"/>
      <c r="AQ1298" s="1"/>
      <c r="AR1298" s="1"/>
      <c r="AS1298" s="1"/>
      <c r="AT1298" s="1"/>
      <c r="AU1298" s="1"/>
    </row>
    <row r="1299" spans="34:47">
      <c r="AH1299" s="6">
        <f t="shared" si="239"/>
        <v>1269</v>
      </c>
      <c r="AI1299" s="7">
        <f t="shared" ca="1" si="240"/>
        <v>43939</v>
      </c>
      <c r="AJ1299" s="210">
        <f t="shared" ca="1" si="241"/>
        <v>4.1749999999999998</v>
      </c>
      <c r="AK1299" s="8">
        <f t="shared" ca="1" si="242"/>
        <v>1.0001159722222221</v>
      </c>
      <c r="AL1299" s="98">
        <f t="shared" ca="1" si="243"/>
        <v>3.8234828546964916</v>
      </c>
      <c r="AM1299" s="106">
        <f t="shared" ca="1" si="237"/>
        <v>29111.573129922432</v>
      </c>
      <c r="AN1299" s="10">
        <f t="shared" ca="1" si="238"/>
        <v>0.78437060433305117</v>
      </c>
      <c r="AO1299" s="158"/>
      <c r="AP1299" s="158"/>
      <c r="AQ1299" s="1"/>
      <c r="AR1299" s="1"/>
      <c r="AS1299" s="1"/>
      <c r="AT1299" s="1"/>
      <c r="AU1299" s="1"/>
    </row>
    <row r="1300" spans="34:47">
      <c r="AH1300" s="6">
        <f t="shared" si="239"/>
        <v>1270</v>
      </c>
      <c r="AI1300" s="7">
        <f t="shared" ca="1" si="240"/>
        <v>43940</v>
      </c>
      <c r="AJ1300" s="210">
        <f t="shared" ca="1" si="241"/>
        <v>4.1749999999999998</v>
      </c>
      <c r="AK1300" s="8">
        <f t="shared" ca="1" si="242"/>
        <v>1.0001159722222221</v>
      </c>
      <c r="AL1300" s="98">
        <f t="shared" ca="1" si="243"/>
        <v>3.8238757019050995</v>
      </c>
      <c r="AM1300" s="106">
        <f t="shared" ca="1" si="237"/>
        <v>29113.97196631927</v>
      </c>
      <c r="AN1300" s="10">
        <f t="shared" ca="1" si="238"/>
        <v>0.78472287453603684</v>
      </c>
      <c r="AO1300" s="158"/>
      <c r="AP1300" s="158"/>
      <c r="AQ1300" s="1"/>
      <c r="AR1300" s="1"/>
      <c r="AS1300" s="1"/>
      <c r="AT1300" s="1"/>
      <c r="AU1300" s="1"/>
    </row>
    <row r="1301" spans="34:47">
      <c r="AH1301" s="6">
        <f t="shared" si="239"/>
        <v>1271</v>
      </c>
      <c r="AI1301" s="7">
        <f t="shared" ca="1" si="240"/>
        <v>43941</v>
      </c>
      <c r="AJ1301" s="210">
        <f t="shared" ca="1" si="241"/>
        <v>4.1749999999999998</v>
      </c>
      <c r="AK1301" s="8">
        <f t="shared" ca="1" si="242"/>
        <v>1.0001159722222221</v>
      </c>
      <c r="AL1301" s="98">
        <f t="shared" ca="1" si="243"/>
        <v>3.824267932426384</v>
      </c>
      <c r="AM1301" s="106">
        <f t="shared" ca="1" si="237"/>
        <v>29116.371000383751</v>
      </c>
      <c r="AN1301" s="10">
        <f t="shared" ca="1" si="238"/>
        <v>0.78507459164764981</v>
      </c>
      <c r="AO1301" s="158"/>
      <c r="AP1301" s="158"/>
      <c r="AQ1301" s="1"/>
      <c r="AR1301" s="1"/>
      <c r="AS1301" s="1"/>
      <c r="AT1301" s="1"/>
      <c r="AU1301" s="1"/>
    </row>
    <row r="1302" spans="34:47">
      <c r="AH1302" s="6">
        <f t="shared" si="239"/>
        <v>1272</v>
      </c>
      <c r="AI1302" s="7">
        <f t="shared" ca="1" si="240"/>
        <v>43942</v>
      </c>
      <c r="AJ1302" s="210">
        <f t="shared" ca="1" si="241"/>
        <v>4.1749999999999998</v>
      </c>
      <c r="AK1302" s="8">
        <f t="shared" ca="1" si="242"/>
        <v>1.0001159722222221</v>
      </c>
      <c r="AL1302" s="98">
        <f t="shared" ca="1" si="243"/>
        <v>3.8246595477112955</v>
      </c>
      <c r="AM1302" s="106">
        <f t="shared" ca="1" si="237"/>
        <v>29118.770232132159</v>
      </c>
      <c r="AN1302" s="10">
        <f t="shared" ca="1" si="238"/>
        <v>0.78542575696942674</v>
      </c>
      <c r="AO1302" s="158"/>
      <c r="AP1302" s="158"/>
      <c r="AQ1302" s="1"/>
      <c r="AR1302" s="1"/>
      <c r="AS1302" s="1"/>
      <c r="AT1302" s="1"/>
      <c r="AU1302" s="1"/>
    </row>
    <row r="1303" spans="34:47">
      <c r="AH1303" s="6">
        <f t="shared" si="239"/>
        <v>1273</v>
      </c>
      <c r="AI1303" s="7">
        <f t="shared" ca="1" si="240"/>
        <v>43943</v>
      </c>
      <c r="AJ1303" s="210">
        <f t="shared" ca="1" si="241"/>
        <v>4.1749999999999998</v>
      </c>
      <c r="AK1303" s="8">
        <f t="shared" ca="1" si="242"/>
        <v>1.0001159722222221</v>
      </c>
      <c r="AL1303" s="98">
        <f t="shared" ca="1" si="243"/>
        <v>3.8250505492062548</v>
      </c>
      <c r="AM1303" s="106">
        <f t="shared" ca="1" si="237"/>
        <v>29121.169661580792</v>
      </c>
      <c r="AN1303" s="10">
        <f t="shared" ca="1" si="238"/>
        <v>0.78577637179892967</v>
      </c>
      <c r="AO1303" s="158"/>
      <c r="AP1303" s="158"/>
      <c r="AQ1303" s="1"/>
      <c r="AR1303" s="1"/>
      <c r="AS1303" s="1"/>
      <c r="AT1303" s="1"/>
      <c r="AU1303" s="1"/>
    </row>
    <row r="1304" spans="34:47">
      <c r="AH1304" s="6">
        <f t="shared" si="239"/>
        <v>1274</v>
      </c>
      <c r="AI1304" s="7">
        <f t="shared" ca="1" si="240"/>
        <v>43944</v>
      </c>
      <c r="AJ1304" s="210">
        <f t="shared" ca="1" si="241"/>
        <v>4.1749999999999998</v>
      </c>
      <c r="AK1304" s="8">
        <f t="shared" ca="1" si="242"/>
        <v>1.0001159722222221</v>
      </c>
      <c r="AL1304" s="98">
        <f t="shared" ca="1" si="243"/>
        <v>3.8254409383531529</v>
      </c>
      <c r="AM1304" s="106">
        <f t="shared" ca="1" si="237"/>
        <v>29123.569288745941</v>
      </c>
      <c r="AN1304" s="10">
        <f t="shared" ca="1" si="238"/>
        <v>0.78612643742952404</v>
      </c>
      <c r="AO1304" s="158"/>
      <c r="AP1304" s="158"/>
      <c r="AQ1304" s="1"/>
      <c r="AR1304" s="1"/>
      <c r="AS1304" s="1"/>
      <c r="AT1304" s="1"/>
      <c r="AU1304" s="1"/>
    </row>
    <row r="1305" spans="34:47">
      <c r="AH1305" s="6">
        <f t="shared" si="239"/>
        <v>1275</v>
      </c>
      <c r="AI1305" s="7">
        <f t="shared" ca="1" si="240"/>
        <v>43945</v>
      </c>
      <c r="AJ1305" s="210">
        <f t="shared" ca="1" si="241"/>
        <v>4.1749999999999998</v>
      </c>
      <c r="AK1305" s="8">
        <f t="shared" ca="1" si="242"/>
        <v>1.0001159722222221</v>
      </c>
      <c r="AL1305" s="98">
        <f t="shared" ca="1" si="243"/>
        <v>3.8258307165893513</v>
      </c>
      <c r="AM1305" s="106">
        <f t="shared" ca="1" si="237"/>
        <v>29125.969113643892</v>
      </c>
      <c r="AN1305" s="10">
        <f t="shared" ca="1" si="238"/>
        <v>0.78647595515057844</v>
      </c>
      <c r="AO1305" s="158"/>
      <c r="AP1305" s="158"/>
      <c r="AQ1305" s="1"/>
      <c r="AR1305" s="1"/>
      <c r="AS1305" s="1"/>
      <c r="AT1305" s="1"/>
      <c r="AU1305" s="1"/>
    </row>
    <row r="1306" spans="34:47">
      <c r="AH1306" s="6">
        <f t="shared" si="239"/>
        <v>1276</v>
      </c>
      <c r="AI1306" s="7">
        <f t="shared" ca="1" si="240"/>
        <v>43946</v>
      </c>
      <c r="AJ1306" s="210">
        <f t="shared" ca="1" si="241"/>
        <v>4.1749999999999998</v>
      </c>
      <c r="AK1306" s="8">
        <f t="shared" ca="1" si="242"/>
        <v>1.0001159722222221</v>
      </c>
      <c r="AL1306" s="98">
        <f t="shared" ca="1" si="243"/>
        <v>3.8262198853477258</v>
      </c>
      <c r="AM1306" s="106">
        <f t="shared" ca="1" si="237"/>
        <v>29128.369136290941</v>
      </c>
      <c r="AN1306" s="10">
        <f t="shared" ca="1" si="238"/>
        <v>0.7868249262474869</v>
      </c>
      <c r="AO1306" s="158"/>
      <c r="AP1306" s="158"/>
      <c r="AQ1306" s="1"/>
      <c r="AR1306" s="1"/>
      <c r="AS1306" s="1"/>
      <c r="AT1306" s="1"/>
      <c r="AU1306" s="1"/>
    </row>
    <row r="1307" spans="34:47">
      <c r="AH1307" s="6">
        <f t="shared" si="239"/>
        <v>1277</v>
      </c>
      <c r="AI1307" s="7">
        <f t="shared" ca="1" si="240"/>
        <v>43947</v>
      </c>
      <c r="AJ1307" s="210">
        <f t="shared" ca="1" si="241"/>
        <v>4.1749999999999998</v>
      </c>
      <c r="AK1307" s="8">
        <f t="shared" ca="1" si="242"/>
        <v>1.0001159722222221</v>
      </c>
      <c r="AL1307" s="98">
        <f t="shared" ca="1" si="243"/>
        <v>3.8266084460566896</v>
      </c>
      <c r="AM1307" s="106">
        <f t="shared" ca="1" si="237"/>
        <v>29130.769356703378</v>
      </c>
      <c r="AN1307" s="10">
        <f t="shared" ca="1" si="238"/>
        <v>0.7871733520015578</v>
      </c>
      <c r="AO1307" s="158"/>
      <c r="AP1307" s="158"/>
      <c r="AQ1307" s="1"/>
      <c r="AR1307" s="1"/>
      <c r="AS1307" s="1"/>
      <c r="AT1307" s="1"/>
      <c r="AU1307" s="1"/>
    </row>
    <row r="1308" spans="34:47">
      <c r="AH1308" s="6">
        <f t="shared" si="239"/>
        <v>1278</v>
      </c>
      <c r="AI1308" s="7">
        <f t="shared" ca="1" si="240"/>
        <v>43948</v>
      </c>
      <c r="AJ1308" s="210">
        <f t="shared" ca="1" si="241"/>
        <v>4.1749999999999998</v>
      </c>
      <c r="AK1308" s="8">
        <f t="shared" ca="1" si="242"/>
        <v>1.0001159722222221</v>
      </c>
      <c r="AL1308" s="98">
        <f t="shared" ca="1" si="243"/>
        <v>3.8269964001401702</v>
      </c>
      <c r="AM1308" s="106">
        <f t="shared" ca="1" si="237"/>
        <v>29133.169774897506</v>
      </c>
      <c r="AN1308" s="10">
        <f t="shared" ca="1" si="238"/>
        <v>0.78752123369012494</v>
      </c>
      <c r="AO1308" s="158"/>
      <c r="AP1308" s="158"/>
      <c r="AQ1308" s="1"/>
      <c r="AR1308" s="1"/>
      <c r="AS1308" s="1"/>
      <c r="AT1308" s="1"/>
      <c r="AU1308" s="1"/>
    </row>
    <row r="1309" spans="34:47">
      <c r="AH1309" s="6">
        <f t="shared" si="239"/>
        <v>1279</v>
      </c>
      <c r="AI1309" s="7">
        <f t="shared" ca="1" si="240"/>
        <v>43949</v>
      </c>
      <c r="AJ1309" s="210">
        <f t="shared" ca="1" si="241"/>
        <v>4.1749999999999998</v>
      </c>
      <c r="AK1309" s="8">
        <f t="shared" ca="1" si="242"/>
        <v>1.0001159722222221</v>
      </c>
      <c r="AL1309" s="98">
        <f t="shared" ca="1" si="243"/>
        <v>3.8273837490176543</v>
      </c>
      <c r="AM1309" s="106">
        <f t="shared" ca="1" si="237"/>
        <v>29135.570390889621</v>
      </c>
      <c r="AN1309" s="10">
        <f t="shared" ca="1" si="238"/>
        <v>0.78786857258648091</v>
      </c>
      <c r="AO1309" s="158"/>
      <c r="AP1309" s="158"/>
      <c r="AQ1309" s="1"/>
      <c r="AR1309" s="1"/>
      <c r="AS1309" s="1"/>
      <c r="AT1309" s="1"/>
      <c r="AU1309" s="1"/>
    </row>
    <row r="1310" spans="34:47">
      <c r="AH1310" s="6">
        <f t="shared" si="239"/>
        <v>1280</v>
      </c>
      <c r="AI1310" s="7">
        <f t="shared" ca="1" si="240"/>
        <v>43950</v>
      </c>
      <c r="AJ1310" s="210">
        <f t="shared" ca="1" si="241"/>
        <v>4.1749999999999998</v>
      </c>
      <c r="AK1310" s="8">
        <f t="shared" ca="1" si="242"/>
        <v>1.0001159722222221</v>
      </c>
      <c r="AL1310" s="98">
        <f t="shared" ca="1" si="243"/>
        <v>3.8277704941042323</v>
      </c>
      <c r="AM1310" s="106">
        <f t="shared" ca="1" si="237"/>
        <v>29137.971204696019</v>
      </c>
      <c r="AN1310" s="10">
        <f t="shared" ca="1" si="238"/>
        <v>0.7882153699600325</v>
      </c>
      <c r="AO1310" s="158"/>
      <c r="AP1310" s="158"/>
      <c r="AQ1310" s="1"/>
      <c r="AR1310" s="1"/>
      <c r="AS1310" s="1"/>
      <c r="AT1310" s="1"/>
      <c r="AU1310" s="1"/>
    </row>
    <row r="1311" spans="34:47">
      <c r="AH1311" s="6">
        <f t="shared" si="239"/>
        <v>1281</v>
      </c>
      <c r="AI1311" s="7">
        <f t="shared" ca="1" si="240"/>
        <v>43951</v>
      </c>
      <c r="AJ1311" s="210">
        <f t="shared" ca="1" si="241"/>
        <v>4.1749999999999998</v>
      </c>
      <c r="AK1311" s="8">
        <f t="shared" ca="1" si="242"/>
        <v>1.0001159722222221</v>
      </c>
      <c r="AL1311" s="98">
        <f t="shared" ca="1" si="243"/>
        <v>3.8281566368105535</v>
      </c>
      <c r="AM1311" s="106">
        <f t="shared" ref="AM1311:AM1374" ca="1" si="244">Geom_Interp(AI1311,$AZ$2:$AZ$109,$BA$2:$BA$109)</f>
        <v>29140.372216333002</v>
      </c>
      <c r="AN1311" s="10">
        <f t="shared" ref="AN1311:AN1374" ca="1" si="245">100*(((1+AL1311/100)^(AH1311/365)*$AM$29/AM1311)^(365/AH1311)-1)</f>
        <v>0.78856162707618971</v>
      </c>
      <c r="AO1311" s="158"/>
      <c r="AP1311" s="158"/>
      <c r="AQ1311" s="1"/>
      <c r="AR1311" s="1"/>
      <c r="AS1311" s="1"/>
      <c r="AT1311" s="1"/>
      <c r="AU1311" s="1"/>
    </row>
    <row r="1312" spans="34:47">
      <c r="AH1312" s="6">
        <f t="shared" ref="AH1312:AH1375" si="246">$AI$29+AH1311</f>
        <v>1282</v>
      </c>
      <c r="AI1312" s="7">
        <f t="shared" ref="AI1312:AI1375" ca="1" si="247">+AH1312+$C$1</f>
        <v>43952</v>
      </c>
      <c r="AJ1312" s="210">
        <f t="shared" ref="AJ1312:AJ1375" ca="1" si="248">IF(AH1312&lt;365,VLOOKUP(LOOKUP(AI1312,$AI$2:$AI$23),$AI$2:$AK$23,3,0),Lin_Interp(AH1312,$AJ$2:$AJ$23,$AK$2:$AK$23))</f>
        <v>4.1749999999999998</v>
      </c>
      <c r="AK1312" s="8">
        <f t="shared" ca="1" si="242"/>
        <v>1.0001159722222221</v>
      </c>
      <c r="AL1312" s="98">
        <f t="shared" ca="1" si="243"/>
        <v>3.828542178542893</v>
      </c>
      <c r="AM1312" s="106">
        <f t="shared" ca="1" si="244"/>
        <v>29142.773425816871</v>
      </c>
      <c r="AN1312" s="10">
        <f t="shared" ca="1" si="245"/>
        <v>0.78890734519643235</v>
      </c>
      <c r="AO1312" s="158"/>
      <c r="AP1312" s="158"/>
      <c r="AQ1312" s="1"/>
      <c r="AR1312" s="1"/>
      <c r="AS1312" s="1"/>
      <c r="AT1312" s="1"/>
      <c r="AU1312" s="1"/>
    </row>
    <row r="1313" spans="34:47">
      <c r="AH1313" s="6">
        <f t="shared" si="246"/>
        <v>1283</v>
      </c>
      <c r="AI1313" s="7">
        <f t="shared" ca="1" si="247"/>
        <v>43953</v>
      </c>
      <c r="AJ1313" s="210">
        <f t="shared" ca="1" si="248"/>
        <v>4.1749999999999998</v>
      </c>
      <c r="AK1313" s="8">
        <f t="shared" ref="AK1313:AK1376" ca="1" si="249">+(1+AJ1313/36000)</f>
        <v>1.0001159722222221</v>
      </c>
      <c r="AL1313" s="98">
        <f t="shared" ref="AL1313:AL1376" ca="1" si="250">100*(((1+AL1312/100)^(AH1312/365)*AK1313)^(365/AH1313)-1)</f>
        <v>3.8289271207031295</v>
      </c>
      <c r="AM1313" s="106">
        <f t="shared" ca="1" si="244"/>
        <v>29145.174833163932</v>
      </c>
      <c r="AN1313" s="10">
        <f t="shared" ca="1" si="245"/>
        <v>0.78925252557828784</v>
      </c>
      <c r="AO1313" s="158"/>
      <c r="AP1313" s="158"/>
      <c r="AQ1313" s="1"/>
      <c r="AR1313" s="1"/>
      <c r="AS1313" s="1"/>
      <c r="AT1313" s="1"/>
      <c r="AU1313" s="1"/>
    </row>
    <row r="1314" spans="34:47">
      <c r="AH1314" s="6">
        <f t="shared" si="246"/>
        <v>1284</v>
      </c>
      <c r="AI1314" s="7">
        <f t="shared" ca="1" si="247"/>
        <v>43954</v>
      </c>
      <c r="AJ1314" s="210">
        <f t="shared" ca="1" si="248"/>
        <v>4.1749999999999998</v>
      </c>
      <c r="AK1314" s="8">
        <f t="shared" ca="1" si="249"/>
        <v>1.0001159722222221</v>
      </c>
      <c r="AL1314" s="98">
        <f t="shared" ca="1" si="250"/>
        <v>3.8293114646888338</v>
      </c>
      <c r="AM1314" s="106">
        <f t="shared" ca="1" si="244"/>
        <v>29147.576438390486</v>
      </c>
      <c r="AN1314" s="10">
        <f t="shared" ca="1" si="245"/>
        <v>0.78959716947539782</v>
      </c>
      <c r="AO1314" s="158"/>
      <c r="AP1314" s="158"/>
      <c r="AQ1314" s="1"/>
      <c r="AR1314" s="1"/>
      <c r="AS1314" s="1"/>
      <c r="AT1314" s="1"/>
      <c r="AU1314" s="1"/>
    </row>
    <row r="1315" spans="34:47">
      <c r="AH1315" s="6">
        <f t="shared" si="246"/>
        <v>1285</v>
      </c>
      <c r="AI1315" s="7">
        <f t="shared" ca="1" si="247"/>
        <v>43955</v>
      </c>
      <c r="AJ1315" s="210">
        <f t="shared" ca="1" si="248"/>
        <v>4.1749999999999998</v>
      </c>
      <c r="AK1315" s="8">
        <f t="shared" ca="1" si="249"/>
        <v>1.0001159722222221</v>
      </c>
      <c r="AL1315" s="98">
        <f t="shared" ca="1" si="250"/>
        <v>3.8296952118931804</v>
      </c>
      <c r="AM1315" s="106">
        <f t="shared" ca="1" si="244"/>
        <v>29149.978241512836</v>
      </c>
      <c r="AN1315" s="10">
        <f t="shared" ca="1" si="245"/>
        <v>0.78994127813754034</v>
      </c>
      <c r="AO1315" s="158"/>
      <c r="AP1315" s="158"/>
      <c r="AQ1315" s="1"/>
      <c r="AR1315" s="1"/>
      <c r="AS1315" s="1"/>
      <c r="AT1315" s="1"/>
      <c r="AU1315" s="1"/>
    </row>
    <row r="1316" spans="34:47">
      <c r="AH1316" s="6">
        <f t="shared" si="246"/>
        <v>1286</v>
      </c>
      <c r="AI1316" s="7">
        <f t="shared" ca="1" si="247"/>
        <v>43956</v>
      </c>
      <c r="AJ1316" s="210">
        <f t="shared" ca="1" si="248"/>
        <v>4.1749999999999998</v>
      </c>
      <c r="AK1316" s="8">
        <f t="shared" ca="1" si="249"/>
        <v>1.0001159722222221</v>
      </c>
      <c r="AL1316" s="98">
        <f t="shared" ca="1" si="250"/>
        <v>3.8300783637050584</v>
      </c>
      <c r="AM1316" s="106">
        <f t="shared" ca="1" si="244"/>
        <v>29152.380242547293</v>
      </c>
      <c r="AN1316" s="10">
        <f t="shared" ca="1" si="245"/>
        <v>0.79028485281054106</v>
      </c>
      <c r="AO1316" s="158"/>
      <c r="AP1316" s="158"/>
      <c r="AQ1316" s="1"/>
      <c r="AR1316" s="1"/>
      <c r="AS1316" s="1"/>
      <c r="AT1316" s="1"/>
      <c r="AU1316" s="1"/>
    </row>
    <row r="1317" spans="34:47">
      <c r="AH1317" s="6">
        <f t="shared" si="246"/>
        <v>1287</v>
      </c>
      <c r="AI1317" s="7">
        <f t="shared" ca="1" si="247"/>
        <v>43957</v>
      </c>
      <c r="AJ1317" s="210">
        <f t="shared" ca="1" si="248"/>
        <v>4.1749999999999998</v>
      </c>
      <c r="AK1317" s="8">
        <f t="shared" ca="1" si="249"/>
        <v>1.0001159722222221</v>
      </c>
      <c r="AL1317" s="98">
        <f t="shared" ca="1" si="250"/>
        <v>3.8304609215090268</v>
      </c>
      <c r="AM1317" s="106">
        <f t="shared" ca="1" si="244"/>
        <v>29154.782441510168</v>
      </c>
      <c r="AN1317" s="10">
        <f t="shared" ca="1" si="245"/>
        <v>0.79062789473640649</v>
      </c>
      <c r="AO1317" s="158"/>
      <c r="AP1317" s="158"/>
      <c r="AQ1317" s="1"/>
      <c r="AR1317" s="1"/>
      <c r="AS1317" s="1"/>
      <c r="AT1317" s="1"/>
      <c r="AU1317" s="1"/>
    </row>
    <row r="1318" spans="34:47">
      <c r="AH1318" s="6">
        <f t="shared" si="246"/>
        <v>1288</v>
      </c>
      <c r="AI1318" s="7">
        <f t="shared" ca="1" si="247"/>
        <v>43958</v>
      </c>
      <c r="AJ1318" s="210">
        <f t="shared" ca="1" si="248"/>
        <v>4.1749999999999998</v>
      </c>
      <c r="AK1318" s="8">
        <f t="shared" ca="1" si="249"/>
        <v>1.0001159722222221</v>
      </c>
      <c r="AL1318" s="98">
        <f t="shared" ca="1" si="250"/>
        <v>3.8308428866853816</v>
      </c>
      <c r="AM1318" s="106">
        <f t="shared" ca="1" si="244"/>
        <v>29157.184838417761</v>
      </c>
      <c r="AN1318" s="10">
        <f t="shared" ca="1" si="245"/>
        <v>0.79097040515330175</v>
      </c>
      <c r="AO1318" s="158"/>
      <c r="AP1318" s="158"/>
      <c r="AQ1318" s="1"/>
      <c r="AR1318" s="1"/>
      <c r="AS1318" s="1"/>
      <c r="AT1318" s="1"/>
      <c r="AU1318" s="1"/>
    </row>
    <row r="1319" spans="34:47">
      <c r="AH1319" s="6">
        <f t="shared" si="246"/>
        <v>1289</v>
      </c>
      <c r="AI1319" s="7">
        <f t="shared" ca="1" si="247"/>
        <v>43959</v>
      </c>
      <c r="AJ1319" s="210">
        <f t="shared" ca="1" si="248"/>
        <v>4.1749999999999998</v>
      </c>
      <c r="AK1319" s="8">
        <f t="shared" ca="1" si="249"/>
        <v>1.0001159722222221</v>
      </c>
      <c r="AL1319" s="98">
        <f t="shared" ca="1" si="250"/>
        <v>3.8312242606101332</v>
      </c>
      <c r="AM1319" s="106">
        <f t="shared" ca="1" si="244"/>
        <v>29159.587433286397</v>
      </c>
      <c r="AN1319" s="10">
        <f t="shared" ca="1" si="245"/>
        <v>0.791312385295595</v>
      </c>
      <c r="AO1319" s="158"/>
      <c r="AP1319" s="158"/>
      <c r="AQ1319" s="1"/>
      <c r="AR1319" s="1"/>
      <c r="AS1319" s="1"/>
      <c r="AT1319" s="1"/>
      <c r="AU1319" s="1"/>
    </row>
    <row r="1320" spans="34:47">
      <c r="AH1320" s="6">
        <f t="shared" si="246"/>
        <v>1290</v>
      </c>
      <c r="AI1320" s="7">
        <f t="shared" ca="1" si="247"/>
        <v>43960</v>
      </c>
      <c r="AJ1320" s="210">
        <f t="shared" ca="1" si="248"/>
        <v>4.1749999999999998</v>
      </c>
      <c r="AK1320" s="8">
        <f t="shared" ca="1" si="249"/>
        <v>1.0001159722222221</v>
      </c>
      <c r="AL1320" s="98">
        <f t="shared" ca="1" si="250"/>
        <v>3.8316050446550287</v>
      </c>
      <c r="AM1320" s="106">
        <f t="shared" ca="1" si="244"/>
        <v>29161.990226132373</v>
      </c>
      <c r="AN1320" s="10">
        <f t="shared" ca="1" si="245"/>
        <v>0.79165383639372422</v>
      </c>
      <c r="AO1320" s="158"/>
      <c r="AP1320" s="158"/>
      <c r="AQ1320" s="1"/>
      <c r="AR1320" s="1"/>
      <c r="AS1320" s="1"/>
      <c r="AT1320" s="1"/>
      <c r="AU1320" s="1"/>
    </row>
    <row r="1321" spans="34:47">
      <c r="AH1321" s="6">
        <f t="shared" si="246"/>
        <v>1291</v>
      </c>
      <c r="AI1321" s="7">
        <f t="shared" ca="1" si="247"/>
        <v>43961</v>
      </c>
      <c r="AJ1321" s="210">
        <f t="shared" ca="1" si="248"/>
        <v>4.1749999999999998</v>
      </c>
      <c r="AK1321" s="8">
        <f t="shared" ca="1" si="249"/>
        <v>1.0001159722222221</v>
      </c>
      <c r="AL1321" s="98">
        <f t="shared" ca="1" si="250"/>
        <v>3.8319852401875742</v>
      </c>
      <c r="AM1321" s="106">
        <f t="shared" ca="1" si="244"/>
        <v>29164.315698047874</v>
      </c>
      <c r="AN1321" s="10">
        <f t="shared" ca="1" si="245"/>
        <v>0.7920705036671194</v>
      </c>
      <c r="AO1321" s="158"/>
      <c r="AP1321" s="158"/>
      <c r="AQ1321" s="1"/>
      <c r="AR1321" s="1"/>
      <c r="AS1321" s="1"/>
      <c r="AT1321" s="1"/>
      <c r="AU1321" s="1"/>
    </row>
    <row r="1322" spans="34:47">
      <c r="AH1322" s="6">
        <f t="shared" si="246"/>
        <v>1292</v>
      </c>
      <c r="AI1322" s="7">
        <f t="shared" ca="1" si="247"/>
        <v>43962</v>
      </c>
      <c r="AJ1322" s="210">
        <f t="shared" ca="1" si="248"/>
        <v>4.1749999999999998</v>
      </c>
      <c r="AK1322" s="8">
        <f t="shared" ca="1" si="249"/>
        <v>1.0001159722222221</v>
      </c>
      <c r="AL1322" s="98">
        <f t="shared" ca="1" si="250"/>
        <v>3.8323648485710571</v>
      </c>
      <c r="AM1322" s="106">
        <f t="shared" ca="1" si="244"/>
        <v>29166.641355404074</v>
      </c>
      <c r="AN1322" s="10">
        <f t="shared" ca="1" si="245"/>
        <v>0.79248652766321648</v>
      </c>
      <c r="AO1322" s="158"/>
      <c r="AP1322" s="158"/>
      <c r="AQ1322" s="1"/>
      <c r="AR1322" s="1"/>
      <c r="AS1322" s="1"/>
      <c r="AT1322" s="1"/>
      <c r="AU1322" s="1"/>
    </row>
    <row r="1323" spans="34:47">
      <c r="AH1323" s="6">
        <f t="shared" si="246"/>
        <v>1293</v>
      </c>
      <c r="AI1323" s="7">
        <f t="shared" ca="1" si="247"/>
        <v>43963</v>
      </c>
      <c r="AJ1323" s="210">
        <f t="shared" ca="1" si="248"/>
        <v>4.1749999999999998</v>
      </c>
      <c r="AK1323" s="8">
        <f t="shared" ca="1" si="249"/>
        <v>1.0001159722222221</v>
      </c>
      <c r="AL1323" s="98">
        <f t="shared" ca="1" si="250"/>
        <v>3.8327438711645456</v>
      </c>
      <c r="AM1323" s="106">
        <f t="shared" ca="1" si="244"/>
        <v>29168.967198215749</v>
      </c>
      <c r="AN1323" s="10">
        <f t="shared" ca="1" si="245"/>
        <v>0.79290190987055809</v>
      </c>
      <c r="AO1323" s="158"/>
      <c r="AP1323" s="158"/>
      <c r="AQ1323" s="1"/>
      <c r="AR1323" s="1"/>
      <c r="AS1323" s="1"/>
      <c r="AT1323" s="1"/>
      <c r="AU1323" s="1"/>
    </row>
    <row r="1324" spans="34:47">
      <c r="AH1324" s="6">
        <f t="shared" si="246"/>
        <v>1294</v>
      </c>
      <c r="AI1324" s="7">
        <f t="shared" ca="1" si="247"/>
        <v>43964</v>
      </c>
      <c r="AJ1324" s="210">
        <f t="shared" ca="1" si="248"/>
        <v>4.1749999999999998</v>
      </c>
      <c r="AK1324" s="8">
        <f t="shared" ca="1" si="249"/>
        <v>1.0001159722222221</v>
      </c>
      <c r="AL1324" s="98">
        <f t="shared" ca="1" si="250"/>
        <v>3.8331223093229339</v>
      </c>
      <c r="AM1324" s="106">
        <f t="shared" ca="1" si="244"/>
        <v>29171.293226497688</v>
      </c>
      <c r="AN1324" s="10">
        <f t="shared" ca="1" si="245"/>
        <v>0.79331665177309052</v>
      </c>
      <c r="AO1324" s="158"/>
      <c r="AP1324" s="158"/>
      <c r="AQ1324" s="1"/>
      <c r="AR1324" s="1"/>
      <c r="AS1324" s="1"/>
      <c r="AT1324" s="1"/>
      <c r="AU1324" s="1"/>
    </row>
    <row r="1325" spans="34:47">
      <c r="AH1325" s="6">
        <f t="shared" si="246"/>
        <v>1295</v>
      </c>
      <c r="AI1325" s="7">
        <f t="shared" ca="1" si="247"/>
        <v>43965</v>
      </c>
      <c r="AJ1325" s="210">
        <f t="shared" ca="1" si="248"/>
        <v>4.1749999999999998</v>
      </c>
      <c r="AK1325" s="8">
        <f t="shared" ca="1" si="249"/>
        <v>1.0001159722222221</v>
      </c>
      <c r="AL1325" s="98">
        <f t="shared" ca="1" si="250"/>
        <v>3.8335001643969635</v>
      </c>
      <c r="AM1325" s="106">
        <f t="shared" ca="1" si="244"/>
        <v>29173.619440264683</v>
      </c>
      <c r="AN1325" s="10">
        <f t="shared" ca="1" si="245"/>
        <v>0.79373075485025257</v>
      </c>
      <c r="AO1325" s="158"/>
      <c r="AP1325" s="158"/>
      <c r="AQ1325" s="1"/>
      <c r="AR1325" s="1"/>
      <c r="AS1325" s="1"/>
      <c r="AT1325" s="1"/>
      <c r="AU1325" s="1"/>
    </row>
    <row r="1326" spans="34:47">
      <c r="AH1326" s="6">
        <f t="shared" si="246"/>
        <v>1296</v>
      </c>
      <c r="AI1326" s="7">
        <f t="shared" ca="1" si="247"/>
        <v>43966</v>
      </c>
      <c r="AJ1326" s="210">
        <f t="shared" ca="1" si="248"/>
        <v>4.1749999999999998</v>
      </c>
      <c r="AK1326" s="8">
        <f t="shared" ca="1" si="249"/>
        <v>1.0001159722222221</v>
      </c>
      <c r="AL1326" s="98">
        <f t="shared" ca="1" si="250"/>
        <v>3.8338774377331575</v>
      </c>
      <c r="AM1326" s="106">
        <f t="shared" ca="1" si="244"/>
        <v>29175.945839531534</v>
      </c>
      <c r="AN1326" s="10">
        <f t="shared" ca="1" si="245"/>
        <v>0.7941442205767979</v>
      </c>
      <c r="AO1326" s="158"/>
      <c r="AP1326" s="158"/>
      <c r="AQ1326" s="1"/>
      <c r="AR1326" s="1"/>
      <c r="AS1326" s="1"/>
      <c r="AT1326" s="1"/>
      <c r="AU1326" s="1"/>
    </row>
    <row r="1327" spans="34:47">
      <c r="AH1327" s="6">
        <f t="shared" si="246"/>
        <v>1297</v>
      </c>
      <c r="AI1327" s="7">
        <f t="shared" ca="1" si="247"/>
        <v>43967</v>
      </c>
      <c r="AJ1327" s="210">
        <f t="shared" ca="1" si="248"/>
        <v>4.1749999999999998</v>
      </c>
      <c r="AK1327" s="8">
        <f t="shared" ca="1" si="249"/>
        <v>1.0001159722222221</v>
      </c>
      <c r="AL1327" s="98">
        <f t="shared" ca="1" si="250"/>
        <v>3.8342541306739308</v>
      </c>
      <c r="AM1327" s="106">
        <f t="shared" ca="1" si="244"/>
        <v>29178.272424313025</v>
      </c>
      <c r="AN1327" s="10">
        <f t="shared" ca="1" si="245"/>
        <v>0.79455705042308367</v>
      </c>
      <c r="AO1327" s="158"/>
      <c r="AP1327" s="158"/>
      <c r="AQ1327" s="1"/>
      <c r="AR1327" s="1"/>
      <c r="AS1327" s="1"/>
      <c r="AT1327" s="1"/>
      <c r="AU1327" s="1"/>
    </row>
    <row r="1328" spans="34:47">
      <c r="AH1328" s="6">
        <f t="shared" si="246"/>
        <v>1298</v>
      </c>
      <c r="AI1328" s="7">
        <f t="shared" ca="1" si="247"/>
        <v>43968</v>
      </c>
      <c r="AJ1328" s="210">
        <f t="shared" ca="1" si="248"/>
        <v>4.1749999999999998</v>
      </c>
      <c r="AK1328" s="8">
        <f t="shared" ca="1" si="249"/>
        <v>1.0001159722222221</v>
      </c>
      <c r="AL1328" s="98">
        <f t="shared" ca="1" si="250"/>
        <v>3.8346302445575686</v>
      </c>
      <c r="AM1328" s="106">
        <f t="shared" ca="1" si="244"/>
        <v>29180.599194623948</v>
      </c>
      <c r="AN1328" s="10">
        <f t="shared" ca="1" si="245"/>
        <v>0.79496924585484852</v>
      </c>
      <c r="AO1328" s="158"/>
      <c r="AP1328" s="158"/>
      <c r="AQ1328" s="1"/>
      <c r="AR1328" s="1"/>
      <c r="AS1328" s="1"/>
      <c r="AT1328" s="1"/>
      <c r="AU1328" s="1"/>
    </row>
    <row r="1329" spans="34:47">
      <c r="AH1329" s="6">
        <f t="shared" si="246"/>
        <v>1299</v>
      </c>
      <c r="AI1329" s="7">
        <f t="shared" ca="1" si="247"/>
        <v>43969</v>
      </c>
      <c r="AJ1329" s="210">
        <f t="shared" ca="1" si="248"/>
        <v>4.1749999999999998</v>
      </c>
      <c r="AK1329" s="8">
        <f t="shared" ca="1" si="249"/>
        <v>1.0001159722222221</v>
      </c>
      <c r="AL1329" s="98">
        <f t="shared" ca="1" si="250"/>
        <v>3.8350057807182703</v>
      </c>
      <c r="AM1329" s="106">
        <f t="shared" ca="1" si="244"/>
        <v>29182.926150479103</v>
      </c>
      <c r="AN1329" s="10">
        <f t="shared" ca="1" si="245"/>
        <v>0.7953808083333902</v>
      </c>
      <c r="AO1329" s="158"/>
      <c r="AP1329" s="158"/>
      <c r="AQ1329" s="1"/>
      <c r="AR1329" s="1"/>
      <c r="AS1329" s="1"/>
      <c r="AT1329" s="1"/>
      <c r="AU1329" s="1"/>
    </row>
    <row r="1330" spans="34:47">
      <c r="AH1330" s="6">
        <f t="shared" si="246"/>
        <v>1300</v>
      </c>
      <c r="AI1330" s="7">
        <f t="shared" ca="1" si="247"/>
        <v>43970</v>
      </c>
      <c r="AJ1330" s="210">
        <f t="shared" ca="1" si="248"/>
        <v>4.1749999999999998</v>
      </c>
      <c r="AK1330" s="8">
        <f t="shared" ca="1" si="249"/>
        <v>1.0001159722222221</v>
      </c>
      <c r="AL1330" s="98">
        <f t="shared" ca="1" si="250"/>
        <v>3.8353807404860829</v>
      </c>
      <c r="AM1330" s="106">
        <f t="shared" ca="1" si="244"/>
        <v>29185.253291893281</v>
      </c>
      <c r="AN1330" s="10">
        <f t="shared" ca="1" si="245"/>
        <v>0.79579173931549896</v>
      </c>
      <c r="AO1330" s="158"/>
      <c r="AP1330" s="158"/>
      <c r="AQ1330" s="1"/>
      <c r="AR1330" s="1"/>
      <c r="AS1330" s="1"/>
      <c r="AT1330" s="1"/>
      <c r="AU1330" s="1"/>
    </row>
    <row r="1331" spans="34:47">
      <c r="AH1331" s="6">
        <f t="shared" si="246"/>
        <v>1301</v>
      </c>
      <c r="AI1331" s="7">
        <f t="shared" ca="1" si="247"/>
        <v>43971</v>
      </c>
      <c r="AJ1331" s="210">
        <f t="shared" ca="1" si="248"/>
        <v>4.1749999999999998</v>
      </c>
      <c r="AK1331" s="8">
        <f t="shared" ca="1" si="249"/>
        <v>1.0001159722222221</v>
      </c>
      <c r="AL1331" s="98">
        <f t="shared" ca="1" si="250"/>
        <v>3.8357551251870126</v>
      </c>
      <c r="AM1331" s="106">
        <f t="shared" ca="1" si="244"/>
        <v>29187.580618881286</v>
      </c>
      <c r="AN1331" s="10">
        <f t="shared" ca="1" si="245"/>
        <v>0.79620204025345753</v>
      </c>
      <c r="AO1331" s="158"/>
      <c r="AP1331" s="158"/>
      <c r="AQ1331" s="1"/>
      <c r="AR1331" s="1"/>
      <c r="AS1331" s="1"/>
      <c r="AT1331" s="1"/>
      <c r="AU1331" s="1"/>
    </row>
    <row r="1332" spans="34:47">
      <c r="AH1332" s="6">
        <f t="shared" si="246"/>
        <v>1302</v>
      </c>
      <c r="AI1332" s="7">
        <f t="shared" ca="1" si="247"/>
        <v>43972</v>
      </c>
      <c r="AJ1332" s="210">
        <f t="shared" ca="1" si="248"/>
        <v>4.1749999999999998</v>
      </c>
      <c r="AK1332" s="8">
        <f t="shared" ca="1" si="249"/>
        <v>1.0001159722222221</v>
      </c>
      <c r="AL1332" s="98">
        <f t="shared" ca="1" si="250"/>
        <v>3.8361289361430018</v>
      </c>
      <c r="AM1332" s="106">
        <f t="shared" ca="1" si="244"/>
        <v>29189.908131457913</v>
      </c>
      <c r="AN1332" s="10">
        <f t="shared" ca="1" si="245"/>
        <v>0.79661171259519659</v>
      </c>
      <c r="AO1332" s="158"/>
      <c r="AP1332" s="158"/>
      <c r="AQ1332" s="1"/>
      <c r="AR1332" s="1"/>
      <c r="AS1332" s="1"/>
      <c r="AT1332" s="1"/>
      <c r="AU1332" s="1"/>
    </row>
    <row r="1333" spans="34:47">
      <c r="AH1333" s="6">
        <f t="shared" si="246"/>
        <v>1303</v>
      </c>
      <c r="AI1333" s="7">
        <f t="shared" ca="1" si="247"/>
        <v>43973</v>
      </c>
      <c r="AJ1333" s="210">
        <f t="shared" ca="1" si="248"/>
        <v>4.1749999999999998</v>
      </c>
      <c r="AK1333" s="8">
        <f t="shared" ca="1" si="249"/>
        <v>1.0001159722222221</v>
      </c>
      <c r="AL1333" s="98">
        <f t="shared" ca="1" si="250"/>
        <v>3.8365021746719297</v>
      </c>
      <c r="AM1333" s="106">
        <f t="shared" ca="1" si="244"/>
        <v>29192.235829637957</v>
      </c>
      <c r="AN1333" s="10">
        <f t="shared" ca="1" si="245"/>
        <v>0.79702075778413928</v>
      </c>
      <c r="AO1333" s="158"/>
      <c r="AP1333" s="158"/>
      <c r="AQ1333" s="1"/>
      <c r="AR1333" s="1"/>
      <c r="AS1333" s="1"/>
      <c r="AT1333" s="1"/>
      <c r="AU1333" s="1"/>
    </row>
    <row r="1334" spans="34:47">
      <c r="AH1334" s="6">
        <f t="shared" si="246"/>
        <v>1304</v>
      </c>
      <c r="AI1334" s="7">
        <f t="shared" ca="1" si="247"/>
        <v>43974</v>
      </c>
      <c r="AJ1334" s="210">
        <f t="shared" ca="1" si="248"/>
        <v>4.1749999999999998</v>
      </c>
      <c r="AK1334" s="8">
        <f t="shared" ca="1" si="249"/>
        <v>1.0001159722222221</v>
      </c>
      <c r="AL1334" s="98">
        <f t="shared" ca="1" si="250"/>
        <v>3.8368748420876342</v>
      </c>
      <c r="AM1334" s="106">
        <f t="shared" ca="1" si="244"/>
        <v>29194.563713436219</v>
      </c>
      <c r="AN1334" s="10">
        <f t="shared" ca="1" si="245"/>
        <v>0.79742917725926787</v>
      </c>
      <c r="AO1334" s="158"/>
      <c r="AP1334" s="158"/>
      <c r="AQ1334" s="1"/>
      <c r="AR1334" s="1"/>
      <c r="AS1334" s="1"/>
      <c r="AT1334" s="1"/>
      <c r="AU1334" s="1"/>
    </row>
    <row r="1335" spans="34:47">
      <c r="AH1335" s="6">
        <f t="shared" si="246"/>
        <v>1305</v>
      </c>
      <c r="AI1335" s="7">
        <f t="shared" ca="1" si="247"/>
        <v>43975</v>
      </c>
      <c r="AJ1335" s="210">
        <f t="shared" ca="1" si="248"/>
        <v>4.1749999999999998</v>
      </c>
      <c r="AK1335" s="8">
        <f t="shared" ca="1" si="249"/>
        <v>1.0001159722222221</v>
      </c>
      <c r="AL1335" s="98">
        <f t="shared" ca="1" si="250"/>
        <v>3.8372469396999564</v>
      </c>
      <c r="AM1335" s="106">
        <f t="shared" ca="1" si="244"/>
        <v>29196.891782867508</v>
      </c>
      <c r="AN1335" s="10">
        <f t="shared" ca="1" si="245"/>
        <v>0.79783697245525698</v>
      </c>
      <c r="AO1335" s="158"/>
      <c r="AP1335" s="158"/>
      <c r="AQ1335" s="1"/>
      <c r="AR1335" s="1"/>
      <c r="AS1335" s="1"/>
      <c r="AT1335" s="1"/>
      <c r="AU1335" s="1"/>
    </row>
    <row r="1336" spans="34:47">
      <c r="AH1336" s="6">
        <f t="shared" si="246"/>
        <v>1306</v>
      </c>
      <c r="AI1336" s="7">
        <f t="shared" ca="1" si="247"/>
        <v>43976</v>
      </c>
      <c r="AJ1336" s="210">
        <f t="shared" ca="1" si="248"/>
        <v>4.1749999999999998</v>
      </c>
      <c r="AK1336" s="8">
        <f t="shared" ca="1" si="249"/>
        <v>1.0001159722222221</v>
      </c>
      <c r="AL1336" s="98">
        <f t="shared" ca="1" si="250"/>
        <v>3.8376184688147408</v>
      </c>
      <c r="AM1336" s="106">
        <f t="shared" ca="1" si="244"/>
        <v>29199.220037946623</v>
      </c>
      <c r="AN1336" s="10">
        <f t="shared" ca="1" si="245"/>
        <v>0.79824414480231809</v>
      </c>
      <c r="AO1336" s="158"/>
      <c r="AP1336" s="158"/>
      <c r="AQ1336" s="1"/>
      <c r="AR1336" s="1"/>
      <c r="AS1336" s="1"/>
      <c r="AT1336" s="1"/>
      <c r="AU1336" s="1"/>
    </row>
    <row r="1337" spans="34:47">
      <c r="AH1337" s="6">
        <f t="shared" si="246"/>
        <v>1307</v>
      </c>
      <c r="AI1337" s="7">
        <f t="shared" ca="1" si="247"/>
        <v>43977</v>
      </c>
      <c r="AJ1337" s="210">
        <f t="shared" ca="1" si="248"/>
        <v>4.1749999999999998</v>
      </c>
      <c r="AK1337" s="8">
        <f t="shared" ca="1" si="249"/>
        <v>1.0001159722222221</v>
      </c>
      <c r="AL1337" s="98">
        <f t="shared" ca="1" si="250"/>
        <v>3.8379894307338125</v>
      </c>
      <c r="AM1337" s="106">
        <f t="shared" ca="1" si="244"/>
        <v>29201.548478688361</v>
      </c>
      <c r="AN1337" s="10">
        <f t="shared" ca="1" si="245"/>
        <v>0.79865069572635505</v>
      </c>
      <c r="AO1337" s="158"/>
      <c r="AP1337" s="158"/>
      <c r="AQ1337" s="1"/>
      <c r="AR1337" s="1"/>
      <c r="AS1337" s="1"/>
      <c r="AT1337" s="1"/>
      <c r="AU1337" s="1"/>
    </row>
    <row r="1338" spans="34:47">
      <c r="AH1338" s="6">
        <f t="shared" si="246"/>
        <v>1308</v>
      </c>
      <c r="AI1338" s="7">
        <f t="shared" ca="1" si="247"/>
        <v>43978</v>
      </c>
      <c r="AJ1338" s="210">
        <f t="shared" ca="1" si="248"/>
        <v>4.1749999999999998</v>
      </c>
      <c r="AK1338" s="8">
        <f t="shared" ca="1" si="249"/>
        <v>1.0001159722222221</v>
      </c>
      <c r="AL1338" s="98">
        <f t="shared" ca="1" si="250"/>
        <v>3.8383598267550667</v>
      </c>
      <c r="AM1338" s="106">
        <f t="shared" ca="1" si="244"/>
        <v>29203.877105107542</v>
      </c>
      <c r="AN1338" s="10">
        <f t="shared" ca="1" si="245"/>
        <v>0.79905662664887522</v>
      </c>
      <c r="AO1338" s="158"/>
      <c r="AP1338" s="158"/>
      <c r="AQ1338" s="1"/>
      <c r="AR1338" s="1"/>
      <c r="AS1338" s="1"/>
      <c r="AT1338" s="1"/>
      <c r="AU1338" s="1"/>
    </row>
    <row r="1339" spans="34:47">
      <c r="AH1339" s="6">
        <f t="shared" si="246"/>
        <v>1309</v>
      </c>
      <c r="AI1339" s="7">
        <f t="shared" ca="1" si="247"/>
        <v>43979</v>
      </c>
      <c r="AJ1339" s="210">
        <f t="shared" ca="1" si="248"/>
        <v>4.1749999999999998</v>
      </c>
      <c r="AK1339" s="8">
        <f t="shared" ca="1" si="249"/>
        <v>1.0001159722222221</v>
      </c>
      <c r="AL1339" s="98">
        <f t="shared" ca="1" si="250"/>
        <v>3.8387296581724017</v>
      </c>
      <c r="AM1339" s="106">
        <f t="shared" ca="1" si="244"/>
        <v>29206.205917218962</v>
      </c>
      <c r="AN1339" s="10">
        <f t="shared" ca="1" si="245"/>
        <v>0.79946193898707829</v>
      </c>
      <c r="AO1339" s="158"/>
      <c r="AP1339" s="158"/>
      <c r="AQ1339" s="1"/>
      <c r="AR1339" s="1"/>
      <c r="AS1339" s="1"/>
      <c r="AT1339" s="1"/>
      <c r="AU1339" s="1"/>
    </row>
    <row r="1340" spans="34:47">
      <c r="AH1340" s="6">
        <f t="shared" si="246"/>
        <v>1310</v>
      </c>
      <c r="AI1340" s="7">
        <f t="shared" ca="1" si="247"/>
        <v>43980</v>
      </c>
      <c r="AJ1340" s="210">
        <f t="shared" ca="1" si="248"/>
        <v>4.1749999999999998</v>
      </c>
      <c r="AK1340" s="8">
        <f t="shared" ca="1" si="249"/>
        <v>1.0001159722222221</v>
      </c>
      <c r="AL1340" s="98">
        <f t="shared" ca="1" si="250"/>
        <v>3.839098926275808</v>
      </c>
      <c r="AM1340" s="106">
        <f t="shared" ca="1" si="244"/>
        <v>29208.534915037431</v>
      </c>
      <c r="AN1340" s="10">
        <f t="shared" ca="1" si="245"/>
        <v>0.79986663415385628</v>
      </c>
      <c r="AO1340" s="158"/>
      <c r="AP1340" s="158"/>
      <c r="AQ1340" s="1"/>
      <c r="AR1340" s="1"/>
      <c r="AS1340" s="1"/>
      <c r="AT1340" s="1"/>
      <c r="AU1340" s="1"/>
    </row>
    <row r="1341" spans="34:47">
      <c r="AH1341" s="6">
        <f t="shared" si="246"/>
        <v>1311</v>
      </c>
      <c r="AI1341" s="7">
        <f t="shared" ca="1" si="247"/>
        <v>43981</v>
      </c>
      <c r="AJ1341" s="210">
        <f t="shared" ca="1" si="248"/>
        <v>4.1749999999999998</v>
      </c>
      <c r="AK1341" s="8">
        <f t="shared" ca="1" si="249"/>
        <v>1.0001159722222221</v>
      </c>
      <c r="AL1341" s="98">
        <f t="shared" ca="1" si="250"/>
        <v>3.8394676323513233</v>
      </c>
      <c r="AM1341" s="106">
        <f t="shared" ca="1" si="244"/>
        <v>29210.86409857776</v>
      </c>
      <c r="AN1341" s="10">
        <f t="shared" ca="1" si="245"/>
        <v>0.80027071355779356</v>
      </c>
      <c r="AO1341" s="158"/>
      <c r="AP1341" s="158"/>
      <c r="AQ1341" s="1"/>
      <c r="AR1341" s="1"/>
      <c r="AS1341" s="1"/>
      <c r="AT1341" s="1"/>
      <c r="AU1341" s="1"/>
    </row>
    <row r="1342" spans="34:47">
      <c r="AH1342" s="6">
        <f t="shared" si="246"/>
        <v>1312</v>
      </c>
      <c r="AI1342" s="7">
        <f t="shared" ca="1" si="247"/>
        <v>43982</v>
      </c>
      <c r="AJ1342" s="210">
        <f t="shared" ca="1" si="248"/>
        <v>4.1749999999999998</v>
      </c>
      <c r="AK1342" s="8">
        <f t="shared" ca="1" si="249"/>
        <v>1.0001159722222221</v>
      </c>
      <c r="AL1342" s="98">
        <f t="shared" ca="1" si="250"/>
        <v>3.8398357776810776</v>
      </c>
      <c r="AM1342" s="106">
        <f t="shared" ca="1" si="244"/>
        <v>29213.193467854755</v>
      </c>
      <c r="AN1342" s="10">
        <f t="shared" ca="1" si="245"/>
        <v>0.8006741786031446</v>
      </c>
      <c r="AO1342" s="158"/>
      <c r="AP1342" s="158"/>
      <c r="AQ1342" s="1"/>
      <c r="AR1342" s="1"/>
      <c r="AS1342" s="1"/>
      <c r="AT1342" s="1"/>
      <c r="AU1342" s="1"/>
    </row>
    <row r="1343" spans="34:47">
      <c r="AH1343" s="6">
        <f t="shared" si="246"/>
        <v>1313</v>
      </c>
      <c r="AI1343" s="7">
        <f t="shared" ca="1" si="247"/>
        <v>43983</v>
      </c>
      <c r="AJ1343" s="210">
        <f t="shared" ca="1" si="248"/>
        <v>4.1749999999999998</v>
      </c>
      <c r="AK1343" s="8">
        <f t="shared" ca="1" si="249"/>
        <v>1.0001159722222221</v>
      </c>
      <c r="AL1343" s="98">
        <f t="shared" ca="1" si="250"/>
        <v>3.8402033635433153</v>
      </c>
      <c r="AM1343" s="106">
        <f t="shared" ca="1" si="244"/>
        <v>29215.523022883233</v>
      </c>
      <c r="AN1343" s="10">
        <f t="shared" ca="1" si="245"/>
        <v>0.80107703068996727</v>
      </c>
      <c r="AO1343" s="158"/>
      <c r="AP1343" s="158"/>
      <c r="AQ1343" s="1"/>
      <c r="AR1343" s="1"/>
      <c r="AS1343" s="1"/>
      <c r="AT1343" s="1"/>
      <c r="AU1343" s="1"/>
    </row>
    <row r="1344" spans="34:47">
      <c r="AH1344" s="6">
        <f t="shared" si="246"/>
        <v>1314</v>
      </c>
      <c r="AI1344" s="7">
        <f t="shared" ca="1" si="247"/>
        <v>43984</v>
      </c>
      <c r="AJ1344" s="210">
        <f t="shared" ca="1" si="248"/>
        <v>4.1749999999999998</v>
      </c>
      <c r="AK1344" s="8">
        <f t="shared" ca="1" si="249"/>
        <v>1.0001159722222221</v>
      </c>
      <c r="AL1344" s="98">
        <f t="shared" ca="1" si="250"/>
        <v>3.8405703912123945</v>
      </c>
      <c r="AM1344" s="106">
        <f t="shared" ca="1" si="244"/>
        <v>29217.852763677998</v>
      </c>
      <c r="AN1344" s="10">
        <f t="shared" ca="1" si="245"/>
        <v>0.80147927121405615</v>
      </c>
      <c r="AO1344" s="158"/>
      <c r="AP1344" s="158"/>
      <c r="AQ1344" s="1"/>
      <c r="AR1344" s="1"/>
      <c r="AS1344" s="1"/>
      <c r="AT1344" s="1"/>
      <c r="AU1344" s="1"/>
    </row>
    <row r="1345" spans="34:47">
      <c r="AH1345" s="6">
        <f t="shared" si="246"/>
        <v>1315</v>
      </c>
      <c r="AI1345" s="7">
        <f t="shared" ca="1" si="247"/>
        <v>43985</v>
      </c>
      <c r="AJ1345" s="210">
        <f t="shared" ca="1" si="248"/>
        <v>4.1749999999999998</v>
      </c>
      <c r="AK1345" s="8">
        <f t="shared" ca="1" si="249"/>
        <v>1.0001159722222221</v>
      </c>
      <c r="AL1345" s="98">
        <f t="shared" ca="1" si="250"/>
        <v>3.840936861958788</v>
      </c>
      <c r="AM1345" s="106">
        <f t="shared" ca="1" si="244"/>
        <v>29220.182690253878</v>
      </c>
      <c r="AN1345" s="10">
        <f t="shared" ca="1" si="245"/>
        <v>0.80188090156692038</v>
      </c>
      <c r="AO1345" s="158"/>
      <c r="AP1345" s="158"/>
      <c r="AQ1345" s="1"/>
      <c r="AR1345" s="1"/>
      <c r="AS1345" s="1"/>
      <c r="AT1345" s="1"/>
      <c r="AU1345" s="1"/>
    </row>
    <row r="1346" spans="34:47">
      <c r="AH1346" s="6">
        <f t="shared" si="246"/>
        <v>1316</v>
      </c>
      <c r="AI1346" s="7">
        <f t="shared" ca="1" si="247"/>
        <v>43986</v>
      </c>
      <c r="AJ1346" s="210">
        <f t="shared" ca="1" si="248"/>
        <v>4.1749999999999998</v>
      </c>
      <c r="AK1346" s="8">
        <f t="shared" ca="1" si="249"/>
        <v>1.0001159722222221</v>
      </c>
      <c r="AL1346" s="98">
        <f t="shared" ca="1" si="250"/>
        <v>3.8413027770491492</v>
      </c>
      <c r="AM1346" s="106">
        <f t="shared" ca="1" si="244"/>
        <v>29222.512802625668</v>
      </c>
      <c r="AN1346" s="10">
        <f t="shared" ca="1" si="245"/>
        <v>0.80228192313591684</v>
      </c>
      <c r="AO1346" s="158"/>
      <c r="AP1346" s="158"/>
      <c r="AQ1346" s="1"/>
      <c r="AR1346" s="1"/>
      <c r="AS1346" s="1"/>
      <c r="AT1346" s="1"/>
      <c r="AU1346" s="1"/>
    </row>
    <row r="1347" spans="34:47">
      <c r="AH1347" s="6">
        <f t="shared" si="246"/>
        <v>1317</v>
      </c>
      <c r="AI1347" s="7">
        <f t="shared" ca="1" si="247"/>
        <v>43987</v>
      </c>
      <c r="AJ1347" s="210">
        <f t="shared" ca="1" si="248"/>
        <v>4.1749999999999998</v>
      </c>
      <c r="AK1347" s="8">
        <f t="shared" ca="1" si="249"/>
        <v>1.0001159722222221</v>
      </c>
      <c r="AL1347" s="98">
        <f t="shared" ca="1" si="250"/>
        <v>3.8416681377462902</v>
      </c>
      <c r="AM1347" s="106">
        <f t="shared" ca="1" si="244"/>
        <v>29224.843100808204</v>
      </c>
      <c r="AN1347" s="10">
        <f t="shared" ca="1" si="245"/>
        <v>0.80268233730416139</v>
      </c>
      <c r="AO1347" s="158"/>
      <c r="AP1347" s="158"/>
      <c r="AQ1347" s="1"/>
      <c r="AR1347" s="1"/>
      <c r="AS1347" s="1"/>
      <c r="AT1347" s="1"/>
      <c r="AU1347" s="1"/>
    </row>
    <row r="1348" spans="34:47">
      <c r="AH1348" s="6">
        <f t="shared" si="246"/>
        <v>1318</v>
      </c>
      <c r="AI1348" s="7">
        <f t="shared" ca="1" si="247"/>
        <v>43988</v>
      </c>
      <c r="AJ1348" s="210">
        <f t="shared" ca="1" si="248"/>
        <v>4.1749999999999998</v>
      </c>
      <c r="AK1348" s="8">
        <f t="shared" ca="1" si="249"/>
        <v>1.0001159722222221</v>
      </c>
      <c r="AL1348" s="98">
        <f t="shared" ca="1" si="250"/>
        <v>3.8420329453091595</v>
      </c>
      <c r="AM1348" s="106">
        <f t="shared" ca="1" si="244"/>
        <v>29227.173584816283</v>
      </c>
      <c r="AN1348" s="10">
        <f t="shared" ca="1" si="245"/>
        <v>0.80308214545059542</v>
      </c>
      <c r="AO1348" s="158"/>
      <c r="AP1348" s="158"/>
      <c r="AQ1348" s="1"/>
      <c r="AR1348" s="1"/>
      <c r="AS1348" s="1"/>
      <c r="AT1348" s="1"/>
      <c r="AU1348" s="1"/>
    </row>
    <row r="1349" spans="34:47">
      <c r="AH1349" s="6">
        <f t="shared" si="246"/>
        <v>1319</v>
      </c>
      <c r="AI1349" s="7">
        <f t="shared" ca="1" si="247"/>
        <v>43989</v>
      </c>
      <c r="AJ1349" s="210">
        <f t="shared" ca="1" si="248"/>
        <v>4.1749999999999998</v>
      </c>
      <c r="AK1349" s="8">
        <f t="shared" ca="1" si="249"/>
        <v>1.0001159722222221</v>
      </c>
      <c r="AL1349" s="98">
        <f t="shared" ca="1" si="250"/>
        <v>3.8423972009929308</v>
      </c>
      <c r="AM1349" s="106">
        <f t="shared" ca="1" si="244"/>
        <v>29229.504254664746</v>
      </c>
      <c r="AN1349" s="10">
        <f t="shared" ca="1" si="245"/>
        <v>0.8034813489499415</v>
      </c>
      <c r="AO1349" s="158"/>
      <c r="AP1349" s="158"/>
      <c r="AQ1349" s="1"/>
      <c r="AR1349" s="1"/>
      <c r="AS1349" s="1"/>
      <c r="AT1349" s="1"/>
      <c r="AU1349" s="1"/>
    </row>
    <row r="1350" spans="34:47">
      <c r="AH1350" s="6">
        <f t="shared" si="246"/>
        <v>1320</v>
      </c>
      <c r="AI1350" s="7">
        <f t="shared" ca="1" si="247"/>
        <v>43990</v>
      </c>
      <c r="AJ1350" s="210">
        <f t="shared" ca="1" si="248"/>
        <v>4.1749999999999998</v>
      </c>
      <c r="AK1350" s="8">
        <f t="shared" ca="1" si="249"/>
        <v>1.0001159722222221</v>
      </c>
      <c r="AL1350" s="98">
        <f t="shared" ca="1" si="250"/>
        <v>3.8427609060489809</v>
      </c>
      <c r="AM1350" s="106">
        <f t="shared" ca="1" si="244"/>
        <v>29231.835110368393</v>
      </c>
      <c r="AN1350" s="10">
        <f t="shared" ca="1" si="245"/>
        <v>0.80387994917288097</v>
      </c>
      <c r="AO1350" s="158"/>
      <c r="AP1350" s="158"/>
      <c r="AQ1350" s="1"/>
      <c r="AR1350" s="1"/>
      <c r="AS1350" s="1"/>
      <c r="AT1350" s="1"/>
      <c r="AU1350" s="1"/>
    </row>
    <row r="1351" spans="34:47">
      <c r="AH1351" s="6">
        <f t="shared" si="246"/>
        <v>1321</v>
      </c>
      <c r="AI1351" s="7">
        <f t="shared" ca="1" si="247"/>
        <v>43991</v>
      </c>
      <c r="AJ1351" s="210">
        <f t="shared" ca="1" si="248"/>
        <v>4.1749999999999998</v>
      </c>
      <c r="AK1351" s="8">
        <f t="shared" ca="1" si="249"/>
        <v>1.0001159722222221</v>
      </c>
      <c r="AL1351" s="98">
        <f t="shared" ca="1" si="250"/>
        <v>3.8431240617249118</v>
      </c>
      <c r="AM1351" s="106">
        <f t="shared" ca="1" si="244"/>
        <v>29234.166151942052</v>
      </c>
      <c r="AN1351" s="10">
        <f t="shared" ca="1" si="245"/>
        <v>0.80427794748585413</v>
      </c>
      <c r="AO1351" s="158"/>
      <c r="AP1351" s="158"/>
      <c r="AQ1351" s="1"/>
      <c r="AR1351" s="1"/>
      <c r="AS1351" s="1"/>
      <c r="AT1351" s="1"/>
      <c r="AU1351" s="1"/>
    </row>
    <row r="1352" spans="34:47">
      <c r="AH1352" s="6">
        <f t="shared" si="246"/>
        <v>1322</v>
      </c>
      <c r="AI1352" s="7">
        <f t="shared" ca="1" si="247"/>
        <v>43992</v>
      </c>
      <c r="AJ1352" s="210">
        <f t="shared" ca="1" si="248"/>
        <v>4.1749999999999998</v>
      </c>
      <c r="AK1352" s="8">
        <f t="shared" ca="1" si="249"/>
        <v>1.0001159722222221</v>
      </c>
      <c r="AL1352" s="98">
        <f t="shared" ca="1" si="250"/>
        <v>3.8434866692645286</v>
      </c>
      <c r="AM1352" s="106">
        <f t="shared" ca="1" si="244"/>
        <v>29236.575090184018</v>
      </c>
      <c r="AN1352" s="10">
        <f t="shared" ca="1" si="245"/>
        <v>0.80460136815263539</v>
      </c>
      <c r="AO1352" s="158"/>
      <c r="AP1352" s="158"/>
      <c r="AQ1352" s="1"/>
      <c r="AR1352" s="1"/>
      <c r="AS1352" s="1"/>
      <c r="AT1352" s="1"/>
      <c r="AU1352" s="1"/>
    </row>
    <row r="1353" spans="34:47">
      <c r="AH1353" s="6">
        <f t="shared" si="246"/>
        <v>1323</v>
      </c>
      <c r="AI1353" s="7">
        <f t="shared" ca="1" si="247"/>
        <v>43993</v>
      </c>
      <c r="AJ1353" s="210">
        <f t="shared" ca="1" si="248"/>
        <v>4.1749999999999998</v>
      </c>
      <c r="AK1353" s="8">
        <f t="shared" ca="1" si="249"/>
        <v>1.0001159722222221</v>
      </c>
      <c r="AL1353" s="98">
        <f t="shared" ca="1" si="250"/>
        <v>3.8438487299079283</v>
      </c>
      <c r="AM1353" s="106">
        <f t="shared" ca="1" si="244"/>
        <v>29238.984226926041</v>
      </c>
      <c r="AN1353" s="10">
        <f t="shared" ca="1" si="245"/>
        <v>0.80492430093461742</v>
      </c>
      <c r="AO1353" s="158"/>
      <c r="AP1353" s="158"/>
      <c r="AQ1353" s="1"/>
      <c r="AR1353" s="1"/>
      <c r="AS1353" s="1"/>
      <c r="AT1353" s="1"/>
      <c r="AU1353" s="1"/>
    </row>
    <row r="1354" spans="34:47">
      <c r="AH1354" s="6">
        <f t="shared" si="246"/>
        <v>1324</v>
      </c>
      <c r="AI1354" s="7">
        <f t="shared" ca="1" si="247"/>
        <v>43994</v>
      </c>
      <c r="AJ1354" s="210">
        <f t="shared" ca="1" si="248"/>
        <v>4.1749999999999998</v>
      </c>
      <c r="AK1354" s="8">
        <f t="shared" ca="1" si="249"/>
        <v>1.0001159722222221</v>
      </c>
      <c r="AL1354" s="98">
        <f t="shared" ca="1" si="250"/>
        <v>3.8442102448914106</v>
      </c>
      <c r="AM1354" s="106">
        <f t="shared" ca="1" si="244"/>
        <v>29241.393562184461</v>
      </c>
      <c r="AN1354" s="10">
        <f t="shared" ca="1" si="245"/>
        <v>0.80524674693489562</v>
      </c>
      <c r="AO1354" s="158"/>
      <c r="AP1354" s="158"/>
      <c r="AQ1354" s="1"/>
      <c r="AR1354" s="1"/>
      <c r="AS1354" s="1"/>
      <c r="AT1354" s="1"/>
      <c r="AU1354" s="1"/>
    </row>
    <row r="1355" spans="34:47">
      <c r="AH1355" s="6">
        <f t="shared" si="246"/>
        <v>1325</v>
      </c>
      <c r="AI1355" s="7">
        <f t="shared" ca="1" si="247"/>
        <v>43995</v>
      </c>
      <c r="AJ1355" s="210">
        <f t="shared" ca="1" si="248"/>
        <v>4.1749999999999998</v>
      </c>
      <c r="AK1355" s="8">
        <f t="shared" ca="1" si="249"/>
        <v>1.0001159722222221</v>
      </c>
      <c r="AL1355" s="98">
        <f t="shared" ca="1" si="250"/>
        <v>3.8445712154476119</v>
      </c>
      <c r="AM1355" s="106">
        <f t="shared" ca="1" si="244"/>
        <v>29243.803095975651</v>
      </c>
      <c r="AN1355" s="10">
        <f t="shared" ca="1" si="245"/>
        <v>0.80556870725332352</v>
      </c>
      <c r="AO1355" s="158"/>
      <c r="AP1355" s="158"/>
      <c r="AQ1355" s="1"/>
      <c r="AR1355" s="1"/>
      <c r="AS1355" s="1"/>
      <c r="AT1355" s="1"/>
      <c r="AU1355" s="1"/>
    </row>
    <row r="1356" spans="34:47">
      <c r="AH1356" s="6">
        <f t="shared" si="246"/>
        <v>1326</v>
      </c>
      <c r="AI1356" s="7">
        <f t="shared" ca="1" si="247"/>
        <v>43996</v>
      </c>
      <c r="AJ1356" s="210">
        <f t="shared" ca="1" si="248"/>
        <v>4.1749999999999998</v>
      </c>
      <c r="AK1356" s="8">
        <f t="shared" ca="1" si="249"/>
        <v>1.0001159722222221</v>
      </c>
      <c r="AL1356" s="98">
        <f t="shared" ca="1" si="250"/>
        <v>3.8449316428054381</v>
      </c>
      <c r="AM1356" s="106">
        <f t="shared" ca="1" si="244"/>
        <v>29246.212828315965</v>
      </c>
      <c r="AN1356" s="10">
        <f t="shared" ca="1" si="245"/>
        <v>0.8058901829864018</v>
      </c>
      <c r="AO1356" s="158"/>
      <c r="AP1356" s="158"/>
      <c r="AQ1356" s="1"/>
      <c r="AR1356" s="1"/>
      <c r="AS1356" s="1"/>
      <c r="AT1356" s="1"/>
      <c r="AU1356" s="1"/>
    </row>
    <row r="1357" spans="34:47">
      <c r="AH1357" s="6">
        <f t="shared" si="246"/>
        <v>1327</v>
      </c>
      <c r="AI1357" s="7">
        <f t="shared" ca="1" si="247"/>
        <v>43997</v>
      </c>
      <c r="AJ1357" s="210">
        <f t="shared" ca="1" si="248"/>
        <v>4.1749999999999998</v>
      </c>
      <c r="AK1357" s="8">
        <f t="shared" ca="1" si="249"/>
        <v>1.0001159722222221</v>
      </c>
      <c r="AL1357" s="98">
        <f t="shared" ca="1" si="250"/>
        <v>3.8452915281900646</v>
      </c>
      <c r="AM1357" s="106">
        <f t="shared" ca="1" si="244"/>
        <v>29248.622759221762</v>
      </c>
      <c r="AN1357" s="10">
        <f t="shared" ca="1" si="245"/>
        <v>0.80621117522730046</v>
      </c>
      <c r="AO1357" s="158"/>
      <c r="AP1357" s="158"/>
      <c r="AQ1357" s="1"/>
      <c r="AR1357" s="1"/>
      <c r="AS1357" s="1"/>
      <c r="AT1357" s="1"/>
      <c r="AU1357" s="1"/>
    </row>
    <row r="1358" spans="34:47">
      <c r="AH1358" s="6">
        <f t="shared" si="246"/>
        <v>1328</v>
      </c>
      <c r="AI1358" s="7">
        <f t="shared" ca="1" si="247"/>
        <v>43998</v>
      </c>
      <c r="AJ1358" s="210">
        <f t="shared" ca="1" si="248"/>
        <v>4.1749999999999998</v>
      </c>
      <c r="AK1358" s="8">
        <f t="shared" ca="1" si="249"/>
        <v>1.0001159722222221</v>
      </c>
      <c r="AL1358" s="98">
        <f t="shared" ca="1" si="250"/>
        <v>3.8456508728230476</v>
      </c>
      <c r="AM1358" s="106">
        <f t="shared" ca="1" si="244"/>
        <v>29251.032888709411</v>
      </c>
      <c r="AN1358" s="10">
        <f t="shared" ca="1" si="245"/>
        <v>0.80653168506599204</v>
      </c>
      <c r="AO1358" s="158"/>
      <c r="AP1358" s="158"/>
      <c r="AQ1358" s="1"/>
      <c r="AR1358" s="1"/>
      <c r="AS1358" s="1"/>
      <c r="AT1358" s="1"/>
      <c r="AU1358" s="1"/>
    </row>
    <row r="1359" spans="34:47">
      <c r="AH1359" s="6">
        <f t="shared" si="246"/>
        <v>1329</v>
      </c>
      <c r="AI1359" s="7">
        <f t="shared" ca="1" si="247"/>
        <v>43999</v>
      </c>
      <c r="AJ1359" s="210">
        <f t="shared" ca="1" si="248"/>
        <v>4.1749999999999998</v>
      </c>
      <c r="AK1359" s="8">
        <f t="shared" ca="1" si="249"/>
        <v>1.0001159722222221</v>
      </c>
      <c r="AL1359" s="98">
        <f t="shared" ca="1" si="250"/>
        <v>3.846009677922213</v>
      </c>
      <c r="AM1359" s="106">
        <f t="shared" ca="1" si="244"/>
        <v>29253.443216795265</v>
      </c>
      <c r="AN1359" s="10">
        <f t="shared" ca="1" si="245"/>
        <v>0.80685171358907404</v>
      </c>
      <c r="AO1359" s="158"/>
      <c r="AP1359" s="158"/>
      <c r="AQ1359" s="1"/>
      <c r="AR1359" s="1"/>
      <c r="AS1359" s="1"/>
      <c r="AT1359" s="1"/>
      <c r="AU1359" s="1"/>
    </row>
    <row r="1360" spans="34:47">
      <c r="AH1360" s="6">
        <f t="shared" si="246"/>
        <v>1330</v>
      </c>
      <c r="AI1360" s="7">
        <f t="shared" ca="1" si="247"/>
        <v>44000</v>
      </c>
      <c r="AJ1360" s="210">
        <f t="shared" ca="1" si="248"/>
        <v>4.1749999999999998</v>
      </c>
      <c r="AK1360" s="8">
        <f t="shared" ca="1" si="249"/>
        <v>1.0001159722222221</v>
      </c>
      <c r="AL1360" s="98">
        <f t="shared" ca="1" si="250"/>
        <v>3.8463679447017896</v>
      </c>
      <c r="AM1360" s="106">
        <f t="shared" ca="1" si="244"/>
        <v>29255.853743495703</v>
      </c>
      <c r="AN1360" s="10">
        <f t="shared" ca="1" si="245"/>
        <v>0.80717126187994648</v>
      </c>
      <c r="AO1360" s="158"/>
      <c r="AP1360" s="158"/>
      <c r="AQ1360" s="1"/>
      <c r="AR1360" s="1"/>
      <c r="AS1360" s="1"/>
      <c r="AT1360" s="1"/>
      <c r="AU1360" s="1"/>
    </row>
    <row r="1361" spans="34:47">
      <c r="AH1361" s="6">
        <f t="shared" si="246"/>
        <v>1331</v>
      </c>
      <c r="AI1361" s="7">
        <f t="shared" ca="1" si="247"/>
        <v>44001</v>
      </c>
      <c r="AJ1361" s="210">
        <f t="shared" ca="1" si="248"/>
        <v>4.1749999999999998</v>
      </c>
      <c r="AK1361" s="8">
        <f t="shared" ca="1" si="249"/>
        <v>1.0001159722222221</v>
      </c>
      <c r="AL1361" s="98">
        <f t="shared" ca="1" si="250"/>
        <v>3.8467256743723199</v>
      </c>
      <c r="AM1361" s="106">
        <f t="shared" ca="1" si="244"/>
        <v>29258.264468827078</v>
      </c>
      <c r="AN1361" s="10">
        <f t="shared" ca="1" si="245"/>
        <v>0.80749033101876755</v>
      </c>
      <c r="AO1361" s="158"/>
      <c r="AP1361" s="158"/>
      <c r="AQ1361" s="1"/>
      <c r="AR1361" s="1"/>
      <c r="AS1361" s="1"/>
      <c r="AT1361" s="1"/>
      <c r="AU1361" s="1"/>
    </row>
    <row r="1362" spans="34:47">
      <c r="AH1362" s="6">
        <f t="shared" si="246"/>
        <v>1332</v>
      </c>
      <c r="AI1362" s="7">
        <f t="shared" ca="1" si="247"/>
        <v>44002</v>
      </c>
      <c r="AJ1362" s="210">
        <f t="shared" ca="1" si="248"/>
        <v>4.1749999999999998</v>
      </c>
      <c r="AK1362" s="8">
        <f t="shared" ca="1" si="249"/>
        <v>1.0001159722222221</v>
      </c>
      <c r="AL1362" s="98">
        <f t="shared" ca="1" si="250"/>
        <v>3.8470828681407498</v>
      </c>
      <c r="AM1362" s="106">
        <f t="shared" ca="1" si="244"/>
        <v>29260.675392805759</v>
      </c>
      <c r="AN1362" s="10">
        <f t="shared" ca="1" si="245"/>
        <v>0.80780892208243138</v>
      </c>
      <c r="AO1362" s="158"/>
      <c r="AP1362" s="158"/>
      <c r="AQ1362" s="1"/>
      <c r="AR1362" s="1"/>
      <c r="AS1362" s="1"/>
      <c r="AT1362" s="1"/>
      <c r="AU1362" s="1"/>
    </row>
    <row r="1363" spans="34:47">
      <c r="AH1363" s="6">
        <f t="shared" si="246"/>
        <v>1333</v>
      </c>
      <c r="AI1363" s="7">
        <f t="shared" ca="1" si="247"/>
        <v>44003</v>
      </c>
      <c r="AJ1363" s="210">
        <f t="shared" ca="1" si="248"/>
        <v>4.1749999999999998</v>
      </c>
      <c r="AK1363" s="8">
        <f t="shared" ca="1" si="249"/>
        <v>1.0001159722222221</v>
      </c>
      <c r="AL1363" s="98">
        <f t="shared" ca="1" si="250"/>
        <v>3.8474395272104056</v>
      </c>
      <c r="AM1363" s="106">
        <f t="shared" ca="1" si="244"/>
        <v>29263.086515448118</v>
      </c>
      <c r="AN1363" s="10">
        <f t="shared" ca="1" si="245"/>
        <v>0.80812703614461245</v>
      </c>
      <c r="AO1363" s="158"/>
      <c r="AP1363" s="158"/>
      <c r="AQ1363" s="1"/>
      <c r="AR1363" s="1"/>
      <c r="AS1363" s="1"/>
      <c r="AT1363" s="1"/>
      <c r="AU1363" s="1"/>
    </row>
    <row r="1364" spans="34:47">
      <c r="AH1364" s="6">
        <f t="shared" si="246"/>
        <v>1334</v>
      </c>
      <c r="AI1364" s="7">
        <f t="shared" ca="1" si="247"/>
        <v>44004</v>
      </c>
      <c r="AJ1364" s="210">
        <f t="shared" ca="1" si="248"/>
        <v>4.1749999999999998</v>
      </c>
      <c r="AK1364" s="8">
        <f t="shared" ca="1" si="249"/>
        <v>1.0001159722222221</v>
      </c>
      <c r="AL1364" s="98">
        <f t="shared" ca="1" si="250"/>
        <v>3.8477956527809942</v>
      </c>
      <c r="AM1364" s="106">
        <f t="shared" ca="1" si="244"/>
        <v>29265.49783677053</v>
      </c>
      <c r="AN1364" s="10">
        <f t="shared" ca="1" si="245"/>
        <v>0.8084446742757434</v>
      </c>
      <c r="AO1364" s="158"/>
      <c r="AP1364" s="158"/>
      <c r="AQ1364" s="1"/>
      <c r="AR1364" s="1"/>
      <c r="AS1364" s="1"/>
      <c r="AT1364" s="1"/>
      <c r="AU1364" s="1"/>
    </row>
    <row r="1365" spans="34:47">
      <c r="AH1365" s="6">
        <f t="shared" si="246"/>
        <v>1335</v>
      </c>
      <c r="AI1365" s="7">
        <f t="shared" ca="1" si="247"/>
        <v>44005</v>
      </c>
      <c r="AJ1365" s="210">
        <f t="shared" ca="1" si="248"/>
        <v>4.1749999999999998</v>
      </c>
      <c r="AK1365" s="8">
        <f t="shared" ca="1" si="249"/>
        <v>1.0001159722222221</v>
      </c>
      <c r="AL1365" s="98">
        <f t="shared" ca="1" si="250"/>
        <v>3.8481512460486478</v>
      </c>
      <c r="AM1365" s="106">
        <f t="shared" ca="1" si="244"/>
        <v>29267.909356789358</v>
      </c>
      <c r="AN1365" s="10">
        <f t="shared" ca="1" si="245"/>
        <v>0.80876183754312603</v>
      </c>
      <c r="AO1365" s="158"/>
      <c r="AP1365" s="158"/>
      <c r="AQ1365" s="1"/>
      <c r="AR1365" s="1"/>
      <c r="AS1365" s="1"/>
      <c r="AT1365" s="1"/>
      <c r="AU1365" s="1"/>
    </row>
    <row r="1366" spans="34:47">
      <c r="AH1366" s="6">
        <f t="shared" si="246"/>
        <v>1336</v>
      </c>
      <c r="AI1366" s="7">
        <f t="shared" ca="1" si="247"/>
        <v>44006</v>
      </c>
      <c r="AJ1366" s="210">
        <f t="shared" ca="1" si="248"/>
        <v>4.1749999999999998</v>
      </c>
      <c r="AK1366" s="8">
        <f t="shared" ca="1" si="249"/>
        <v>1.0001159722222221</v>
      </c>
      <c r="AL1366" s="98">
        <f t="shared" ca="1" si="250"/>
        <v>3.8485063082059234</v>
      </c>
      <c r="AM1366" s="106">
        <f t="shared" ca="1" si="244"/>
        <v>29270.321075520984</v>
      </c>
      <c r="AN1366" s="10">
        <f t="shared" ca="1" si="245"/>
        <v>0.80907852701079808</v>
      </c>
      <c r="AO1366" s="158"/>
      <c r="AP1366" s="158"/>
      <c r="AQ1366" s="1"/>
      <c r="AR1366" s="1"/>
      <c r="AS1366" s="1"/>
      <c r="AT1366" s="1"/>
      <c r="AU1366" s="1"/>
    </row>
    <row r="1367" spans="34:47">
      <c r="AH1367" s="6">
        <f t="shared" si="246"/>
        <v>1337</v>
      </c>
      <c r="AI1367" s="7">
        <f t="shared" ca="1" si="247"/>
        <v>44007</v>
      </c>
      <c r="AJ1367" s="210">
        <f t="shared" ca="1" si="248"/>
        <v>4.1749999999999998</v>
      </c>
      <c r="AK1367" s="8">
        <f t="shared" ca="1" si="249"/>
        <v>1.0001159722222221</v>
      </c>
      <c r="AL1367" s="98">
        <f t="shared" ca="1" si="250"/>
        <v>3.8488608404418478</v>
      </c>
      <c r="AM1367" s="106">
        <f t="shared" ca="1" si="244"/>
        <v>29272.732992981775</v>
      </c>
      <c r="AN1367" s="10">
        <f t="shared" ca="1" si="245"/>
        <v>0.80939474373971088</v>
      </c>
      <c r="AO1367" s="158"/>
      <c r="AP1367" s="158"/>
      <c r="AQ1367" s="1"/>
      <c r="AR1367" s="1"/>
      <c r="AS1367" s="1"/>
      <c r="AT1367" s="1"/>
      <c r="AU1367" s="1"/>
    </row>
    <row r="1368" spans="34:47">
      <c r="AH1368" s="6">
        <f t="shared" si="246"/>
        <v>1338</v>
      </c>
      <c r="AI1368" s="7">
        <f t="shared" ca="1" si="247"/>
        <v>44008</v>
      </c>
      <c r="AJ1368" s="210">
        <f t="shared" ca="1" si="248"/>
        <v>4.1749999999999998</v>
      </c>
      <c r="AK1368" s="8">
        <f t="shared" ca="1" si="249"/>
        <v>1.0001159722222221</v>
      </c>
      <c r="AL1368" s="98">
        <f t="shared" ca="1" si="250"/>
        <v>3.8492148439418505</v>
      </c>
      <c r="AM1368" s="106">
        <f t="shared" ca="1" si="244"/>
        <v>29275.145109188103</v>
      </c>
      <c r="AN1368" s="10">
        <f t="shared" ca="1" si="245"/>
        <v>0.80971048878752949</v>
      </c>
      <c r="AO1368" s="158"/>
      <c r="AP1368" s="158"/>
      <c r="AQ1368" s="1"/>
      <c r="AR1368" s="1"/>
      <c r="AS1368" s="1"/>
      <c r="AT1368" s="1"/>
      <c r="AU1368" s="1"/>
    </row>
    <row r="1369" spans="34:47">
      <c r="AH1369" s="6">
        <f t="shared" si="246"/>
        <v>1339</v>
      </c>
      <c r="AI1369" s="7">
        <f t="shared" ca="1" si="247"/>
        <v>44009</v>
      </c>
      <c r="AJ1369" s="210">
        <f t="shared" ca="1" si="248"/>
        <v>4.1749999999999998</v>
      </c>
      <c r="AK1369" s="8">
        <f t="shared" ca="1" si="249"/>
        <v>1.0001159722222221</v>
      </c>
      <c r="AL1369" s="98">
        <f t="shared" ca="1" si="250"/>
        <v>3.8495683198878528</v>
      </c>
      <c r="AM1369" s="106">
        <f t="shared" ca="1" si="244"/>
        <v>29277.557424156352</v>
      </c>
      <c r="AN1369" s="10">
        <f t="shared" ca="1" si="245"/>
        <v>0.81002576320887698</v>
      </c>
      <c r="AO1369" s="158"/>
      <c r="AP1369" s="158"/>
      <c r="AQ1369" s="1"/>
      <c r="AR1369" s="1"/>
      <c r="AS1369" s="1"/>
      <c r="AT1369" s="1"/>
      <c r="AU1369" s="1"/>
    </row>
    <row r="1370" spans="34:47">
      <c r="AH1370" s="6">
        <f t="shared" si="246"/>
        <v>1340</v>
      </c>
      <c r="AI1370" s="7">
        <f t="shared" ca="1" si="247"/>
        <v>44010</v>
      </c>
      <c r="AJ1370" s="210">
        <f t="shared" ca="1" si="248"/>
        <v>4.1749999999999998</v>
      </c>
      <c r="AK1370" s="8">
        <f t="shared" ca="1" si="249"/>
        <v>1.0001159722222221</v>
      </c>
      <c r="AL1370" s="98">
        <f t="shared" ca="1" si="250"/>
        <v>3.8499212694582674</v>
      </c>
      <c r="AM1370" s="106">
        <f t="shared" ca="1" si="244"/>
        <v>29279.969937902901</v>
      </c>
      <c r="AN1370" s="10">
        <f t="shared" ca="1" si="245"/>
        <v>0.81034056805515675</v>
      </c>
      <c r="AO1370" s="158"/>
      <c r="AP1370" s="158"/>
      <c r="AQ1370" s="1"/>
      <c r="AR1370" s="1"/>
      <c r="AS1370" s="1"/>
      <c r="AT1370" s="1"/>
      <c r="AU1370" s="1"/>
    </row>
    <row r="1371" spans="34:47">
      <c r="AH1371" s="6">
        <f t="shared" si="246"/>
        <v>1341</v>
      </c>
      <c r="AI1371" s="7">
        <f t="shared" ca="1" si="247"/>
        <v>44011</v>
      </c>
      <c r="AJ1371" s="210">
        <f t="shared" ca="1" si="248"/>
        <v>4.1749999999999998</v>
      </c>
      <c r="AK1371" s="8">
        <f t="shared" ca="1" si="249"/>
        <v>1.0001159722222221</v>
      </c>
      <c r="AL1371" s="98">
        <f t="shared" ca="1" si="250"/>
        <v>3.8502736938279991</v>
      </c>
      <c r="AM1371" s="106">
        <f t="shared" ca="1" si="244"/>
        <v>29282.382650444128</v>
      </c>
      <c r="AN1371" s="10">
        <f t="shared" ca="1" si="245"/>
        <v>0.810654904374708</v>
      </c>
      <c r="AO1371" s="158"/>
      <c r="AP1371" s="158"/>
      <c r="AQ1371" s="1"/>
      <c r="AR1371" s="1"/>
      <c r="AS1371" s="1"/>
      <c r="AT1371" s="1"/>
      <c r="AU1371" s="1"/>
    </row>
    <row r="1372" spans="34:47">
      <c r="AH1372" s="6">
        <f t="shared" si="246"/>
        <v>1342</v>
      </c>
      <c r="AI1372" s="7">
        <f t="shared" ca="1" si="247"/>
        <v>44012</v>
      </c>
      <c r="AJ1372" s="210">
        <f t="shared" ca="1" si="248"/>
        <v>4.1749999999999998</v>
      </c>
      <c r="AK1372" s="8">
        <f t="shared" ca="1" si="249"/>
        <v>1.0001159722222221</v>
      </c>
      <c r="AL1372" s="98">
        <f t="shared" ca="1" si="250"/>
        <v>3.850625594168422</v>
      </c>
      <c r="AM1372" s="106">
        <f t="shared" ca="1" si="244"/>
        <v>29284.795561796411</v>
      </c>
      <c r="AN1372" s="10">
        <f t="shared" ca="1" si="245"/>
        <v>0.81096877321271688</v>
      </c>
      <c r="AO1372" s="158"/>
      <c r="AP1372" s="158"/>
      <c r="AQ1372" s="1"/>
      <c r="AR1372" s="1"/>
      <c r="AS1372" s="1"/>
      <c r="AT1372" s="1"/>
      <c r="AU1372" s="1"/>
    </row>
    <row r="1373" spans="34:47">
      <c r="AH1373" s="6">
        <f t="shared" si="246"/>
        <v>1343</v>
      </c>
      <c r="AI1373" s="7">
        <f t="shared" ca="1" si="247"/>
        <v>44013</v>
      </c>
      <c r="AJ1373" s="210">
        <f t="shared" ca="1" si="248"/>
        <v>4.1749999999999998</v>
      </c>
      <c r="AK1373" s="8">
        <f t="shared" ca="1" si="249"/>
        <v>1.0001159722222221</v>
      </c>
      <c r="AL1373" s="98">
        <f t="shared" ca="1" si="250"/>
        <v>3.8509769716474684</v>
      </c>
      <c r="AM1373" s="106">
        <f t="shared" ca="1" si="244"/>
        <v>29287.208671976136</v>
      </c>
      <c r="AN1373" s="10">
        <f t="shared" ca="1" si="245"/>
        <v>0.81128217561123872</v>
      </c>
      <c r="AO1373" s="158"/>
      <c r="AP1373" s="158"/>
      <c r="AQ1373" s="1"/>
      <c r="AR1373" s="1"/>
      <c r="AS1373" s="1"/>
      <c r="AT1373" s="1"/>
      <c r="AU1373" s="1"/>
    </row>
    <row r="1374" spans="34:47">
      <c r="AH1374" s="6">
        <f t="shared" si="246"/>
        <v>1344</v>
      </c>
      <c r="AI1374" s="7">
        <f t="shared" ca="1" si="247"/>
        <v>44014</v>
      </c>
      <c r="AJ1374" s="210">
        <f t="shared" ca="1" si="248"/>
        <v>4.1749999999999998</v>
      </c>
      <c r="AK1374" s="8">
        <f t="shared" ca="1" si="249"/>
        <v>1.0001159722222221</v>
      </c>
      <c r="AL1374" s="98">
        <f t="shared" ca="1" si="250"/>
        <v>3.851327827429607</v>
      </c>
      <c r="AM1374" s="106">
        <f t="shared" ca="1" si="244"/>
        <v>29289.62198099968</v>
      </c>
      <c r="AN1374" s="10">
        <f t="shared" ca="1" si="245"/>
        <v>0.81159511260928685</v>
      </c>
      <c r="AO1374" s="158"/>
      <c r="AP1374" s="158"/>
      <c r="AQ1374" s="1"/>
      <c r="AR1374" s="1"/>
      <c r="AS1374" s="1"/>
      <c r="AT1374" s="1"/>
      <c r="AU1374" s="1"/>
    </row>
    <row r="1375" spans="34:47">
      <c r="AH1375" s="6">
        <f t="shared" si="246"/>
        <v>1345</v>
      </c>
      <c r="AI1375" s="7">
        <f t="shared" ca="1" si="247"/>
        <v>44015</v>
      </c>
      <c r="AJ1375" s="210">
        <f t="shared" ca="1" si="248"/>
        <v>4.1749999999999998</v>
      </c>
      <c r="AK1375" s="8">
        <f t="shared" ca="1" si="249"/>
        <v>1.0001159722222221</v>
      </c>
      <c r="AL1375" s="98">
        <f t="shared" ca="1" si="250"/>
        <v>3.8516781626757979</v>
      </c>
      <c r="AM1375" s="106">
        <f t="shared" ref="AM1375:AM1438" ca="1" si="251">Geom_Interp(AI1375,$AZ$2:$AZ$109,$BA$2:$BA$109)</f>
        <v>29292.035488883441</v>
      </c>
      <c r="AN1375" s="10">
        <f t="shared" ref="AN1375:AN1438" ca="1" si="252">100*(((1+AL1375/100)^(AH1375/365)*$AM$29/AM1375)^(365/AH1375)-1)</f>
        <v>0.81190758524274376</v>
      </c>
      <c r="AO1375" s="158"/>
      <c r="AP1375" s="158"/>
      <c r="AQ1375" s="1"/>
      <c r="AR1375" s="1"/>
      <c r="AS1375" s="1"/>
      <c r="AT1375" s="1"/>
      <c r="AU1375" s="1"/>
    </row>
    <row r="1376" spans="34:47">
      <c r="AH1376" s="6">
        <f t="shared" ref="AH1376:AH1439" si="253">$AI$29+AH1375</f>
        <v>1346</v>
      </c>
      <c r="AI1376" s="7">
        <f t="shared" ref="AI1376:AI1439" ca="1" si="254">+AH1376+$C$1</f>
        <v>44016</v>
      </c>
      <c r="AJ1376" s="210">
        <f t="shared" ref="AJ1376:AJ1439" ca="1" si="255">IF(AH1376&lt;365,VLOOKUP(LOOKUP(AI1376,$AI$2:$AI$23),$AI$2:$AK$23,3,0),Lin_Interp(AH1376,$AJ$2:$AJ$23,$AK$2:$AK$23))</f>
        <v>4.1749999999999998</v>
      </c>
      <c r="AK1376" s="8">
        <f t="shared" ca="1" si="249"/>
        <v>1.0001159722222221</v>
      </c>
      <c r="AL1376" s="98">
        <f t="shared" ca="1" si="250"/>
        <v>3.8520279785436262</v>
      </c>
      <c r="AM1376" s="106">
        <f t="shared" ca="1" si="251"/>
        <v>29294.449195643792</v>
      </c>
      <c r="AN1376" s="10">
        <f t="shared" ca="1" si="252"/>
        <v>0.81221959454447212</v>
      </c>
      <c r="AO1376" s="158"/>
      <c r="AP1376" s="158"/>
      <c r="AQ1376" s="1"/>
      <c r="AR1376" s="1"/>
      <c r="AS1376" s="1"/>
      <c r="AT1376" s="1"/>
      <c r="AU1376" s="1"/>
    </row>
    <row r="1377" spans="34:47">
      <c r="AH1377" s="6">
        <f t="shared" si="253"/>
        <v>1347</v>
      </c>
      <c r="AI1377" s="7">
        <f t="shared" ca="1" si="254"/>
        <v>44017</v>
      </c>
      <c r="AJ1377" s="210">
        <f t="shared" ca="1" si="255"/>
        <v>4.1749999999999998</v>
      </c>
      <c r="AK1377" s="8">
        <f t="shared" ref="AK1377:AK1440" ca="1" si="256">+(1+AJ1377/36000)</f>
        <v>1.0001159722222221</v>
      </c>
      <c r="AL1377" s="98">
        <f t="shared" ref="AL1377:AL1440" ca="1" si="257">100*(((1+AL1376/100)^(AH1376/365)*AK1377)^(365/AH1377)-1)</f>
        <v>3.8523772761872133</v>
      </c>
      <c r="AM1377" s="106">
        <f t="shared" ca="1" si="251"/>
        <v>29296.863101297127</v>
      </c>
      <c r="AN1377" s="10">
        <f t="shared" ca="1" si="252"/>
        <v>0.81253114154424821</v>
      </c>
      <c r="AO1377" s="158"/>
      <c r="AP1377" s="158"/>
      <c r="AQ1377" s="1"/>
      <c r="AR1377" s="1"/>
      <c r="AS1377" s="1"/>
      <c r="AT1377" s="1"/>
      <c r="AU1377" s="1"/>
    </row>
    <row r="1378" spans="34:47">
      <c r="AH1378" s="6">
        <f t="shared" si="253"/>
        <v>1348</v>
      </c>
      <c r="AI1378" s="7">
        <f t="shared" ca="1" si="254"/>
        <v>44018</v>
      </c>
      <c r="AJ1378" s="210">
        <f t="shared" ca="1" si="255"/>
        <v>4.1749999999999998</v>
      </c>
      <c r="AK1378" s="8">
        <f t="shared" ca="1" si="256"/>
        <v>1.0001159722222221</v>
      </c>
      <c r="AL1378" s="98">
        <f t="shared" ca="1" si="257"/>
        <v>3.8527260567572386</v>
      </c>
      <c r="AM1378" s="106">
        <f t="shared" ca="1" si="251"/>
        <v>29299.277205859838</v>
      </c>
      <c r="AN1378" s="10">
        <f t="shared" ca="1" si="252"/>
        <v>0.81284222726873967</v>
      </c>
      <c r="AO1378" s="158"/>
      <c r="AP1378" s="158"/>
      <c r="AQ1378" s="1"/>
      <c r="AR1378" s="1"/>
      <c r="AS1378" s="1"/>
      <c r="AT1378" s="1"/>
      <c r="AU1378" s="1"/>
    </row>
    <row r="1379" spans="34:47">
      <c r="AH1379" s="6">
        <f t="shared" si="253"/>
        <v>1349</v>
      </c>
      <c r="AI1379" s="7">
        <f t="shared" ca="1" si="254"/>
        <v>44019</v>
      </c>
      <c r="AJ1379" s="210">
        <f t="shared" ca="1" si="255"/>
        <v>4.1749999999999998</v>
      </c>
      <c r="AK1379" s="8">
        <f t="shared" ca="1" si="256"/>
        <v>1.0001159722222221</v>
      </c>
      <c r="AL1379" s="98">
        <f t="shared" ca="1" si="257"/>
        <v>3.8530743214010288</v>
      </c>
      <c r="AM1379" s="106">
        <f t="shared" ca="1" si="251"/>
        <v>29301.691509348308</v>
      </c>
      <c r="AN1379" s="10">
        <f t="shared" ca="1" si="252"/>
        <v>0.81315285274166094</v>
      </c>
      <c r="AO1379" s="158"/>
      <c r="AP1379" s="158"/>
      <c r="AQ1379" s="1"/>
      <c r="AR1379" s="1"/>
      <c r="AS1379" s="1"/>
      <c r="AT1379" s="1"/>
      <c r="AU1379" s="1"/>
    </row>
    <row r="1380" spans="34:47">
      <c r="AH1380" s="6">
        <f t="shared" si="253"/>
        <v>1350</v>
      </c>
      <c r="AI1380" s="7">
        <f t="shared" ca="1" si="254"/>
        <v>44020</v>
      </c>
      <c r="AJ1380" s="210">
        <f t="shared" ca="1" si="255"/>
        <v>4.1749999999999998</v>
      </c>
      <c r="AK1380" s="8">
        <f t="shared" ca="1" si="256"/>
        <v>1.0001159722222221</v>
      </c>
      <c r="AL1380" s="98">
        <f t="shared" ca="1" si="257"/>
        <v>3.8534220712624911</v>
      </c>
      <c r="AM1380" s="106">
        <f t="shared" ca="1" si="251"/>
        <v>29304.106011778938</v>
      </c>
      <c r="AN1380" s="10">
        <f t="shared" ca="1" si="252"/>
        <v>0.81346301898366224</v>
      </c>
      <c r="AO1380" s="158"/>
      <c r="AP1380" s="158"/>
      <c r="AQ1380" s="1"/>
      <c r="AR1380" s="1"/>
      <c r="AS1380" s="1"/>
      <c r="AT1380" s="1"/>
      <c r="AU1380" s="1"/>
    </row>
    <row r="1381" spans="34:47">
      <c r="AH1381" s="6">
        <f t="shared" si="253"/>
        <v>1351</v>
      </c>
      <c r="AI1381" s="7">
        <f t="shared" ca="1" si="254"/>
        <v>44021</v>
      </c>
      <c r="AJ1381" s="210">
        <f t="shared" ca="1" si="255"/>
        <v>4.1749999999999998</v>
      </c>
      <c r="AK1381" s="8">
        <f t="shared" ca="1" si="256"/>
        <v>1.0001159722222221</v>
      </c>
      <c r="AL1381" s="98">
        <f t="shared" ca="1" si="257"/>
        <v>3.8537693074821577</v>
      </c>
      <c r="AM1381" s="106">
        <f t="shared" ca="1" si="251"/>
        <v>29306.520713168109</v>
      </c>
      <c r="AN1381" s="10">
        <f t="shared" ca="1" si="252"/>
        <v>0.81377272701241843</v>
      </c>
      <c r="AO1381" s="158"/>
      <c r="AP1381" s="158"/>
      <c r="AQ1381" s="1"/>
      <c r="AR1381" s="1"/>
      <c r="AS1381" s="1"/>
      <c r="AT1381" s="1"/>
      <c r="AU1381" s="1"/>
    </row>
    <row r="1382" spans="34:47">
      <c r="AH1382" s="6">
        <f t="shared" si="253"/>
        <v>1352</v>
      </c>
      <c r="AI1382" s="7">
        <f t="shared" ca="1" si="254"/>
        <v>44022</v>
      </c>
      <c r="AJ1382" s="210">
        <f t="shared" ca="1" si="255"/>
        <v>4.1749999999999998</v>
      </c>
      <c r="AK1382" s="8">
        <f t="shared" ca="1" si="256"/>
        <v>1.0001159722222221</v>
      </c>
      <c r="AL1382" s="98">
        <f t="shared" ca="1" si="257"/>
        <v>3.8541160311972078</v>
      </c>
      <c r="AM1382" s="106">
        <f t="shared" ca="1" si="251"/>
        <v>29308.857710414562</v>
      </c>
      <c r="AN1382" s="10">
        <f t="shared" ca="1" si="252"/>
        <v>0.81415432023996814</v>
      </c>
      <c r="AO1382" s="158"/>
      <c r="AP1382" s="158"/>
      <c r="AQ1382" s="1"/>
      <c r="AR1382" s="1"/>
      <c r="AS1382" s="1"/>
      <c r="AT1382" s="1"/>
      <c r="AU1382" s="1"/>
    </row>
    <row r="1383" spans="34:47">
      <c r="AH1383" s="6">
        <f t="shared" si="253"/>
        <v>1353</v>
      </c>
      <c r="AI1383" s="7">
        <f t="shared" ca="1" si="254"/>
        <v>44023</v>
      </c>
      <c r="AJ1383" s="210">
        <f t="shared" ca="1" si="255"/>
        <v>4.1749999999999998</v>
      </c>
      <c r="AK1383" s="8">
        <f t="shared" ca="1" si="256"/>
        <v>1.0001159722222221</v>
      </c>
      <c r="AL1383" s="98">
        <f t="shared" ca="1" si="257"/>
        <v>3.8544622435414233</v>
      </c>
      <c r="AM1383" s="106">
        <f t="shared" ca="1" si="251"/>
        <v>29311.194894020777</v>
      </c>
      <c r="AN1383" s="10">
        <f t="shared" ca="1" si="252"/>
        <v>0.81453535083888529</v>
      </c>
      <c r="AO1383" s="158"/>
      <c r="AP1383" s="158"/>
      <c r="AQ1383" s="1"/>
      <c r="AR1383" s="1"/>
      <c r="AS1383" s="1"/>
      <c r="AT1383" s="1"/>
      <c r="AU1383" s="1"/>
    </row>
    <row r="1384" spans="34:47">
      <c r="AH1384" s="6">
        <f t="shared" si="253"/>
        <v>1354</v>
      </c>
      <c r="AI1384" s="7">
        <f t="shared" ca="1" si="254"/>
        <v>44024</v>
      </c>
      <c r="AJ1384" s="210">
        <f t="shared" ca="1" si="255"/>
        <v>4.1749999999999998</v>
      </c>
      <c r="AK1384" s="8">
        <f t="shared" ca="1" si="256"/>
        <v>1.0001159722222221</v>
      </c>
      <c r="AL1384" s="98">
        <f t="shared" ca="1" si="257"/>
        <v>3.8548079456452999</v>
      </c>
      <c r="AM1384" s="106">
        <f t="shared" ca="1" si="251"/>
        <v>29313.532264001609</v>
      </c>
      <c r="AN1384" s="10">
        <f t="shared" ca="1" si="252"/>
        <v>0.81491582005255303</v>
      </c>
      <c r="AO1384" s="158"/>
      <c r="AP1384" s="158"/>
      <c r="AQ1384" s="1"/>
      <c r="AR1384" s="1"/>
      <c r="AS1384" s="1"/>
      <c r="AT1384" s="1"/>
      <c r="AU1384" s="1"/>
    </row>
    <row r="1385" spans="34:47">
      <c r="AH1385" s="6">
        <f t="shared" si="253"/>
        <v>1355</v>
      </c>
      <c r="AI1385" s="7">
        <f t="shared" ca="1" si="254"/>
        <v>44025</v>
      </c>
      <c r="AJ1385" s="210">
        <f t="shared" ca="1" si="255"/>
        <v>4.1749999999999998</v>
      </c>
      <c r="AK1385" s="8">
        <f t="shared" ca="1" si="256"/>
        <v>1.0001159722222221</v>
      </c>
      <c r="AL1385" s="98">
        <f t="shared" ca="1" si="257"/>
        <v>3.8551531386359583</v>
      </c>
      <c r="AM1385" s="106">
        <f t="shared" ca="1" si="251"/>
        <v>29315.869820371925</v>
      </c>
      <c r="AN1385" s="10">
        <f t="shared" ca="1" si="252"/>
        <v>0.81529572912075743</v>
      </c>
      <c r="AO1385" s="158"/>
      <c r="AP1385" s="158"/>
      <c r="AQ1385" s="1"/>
      <c r="AR1385" s="1"/>
      <c r="AS1385" s="1"/>
      <c r="AT1385" s="1"/>
      <c r="AU1385" s="1"/>
    </row>
    <row r="1386" spans="34:47">
      <c r="AH1386" s="6">
        <f t="shared" si="253"/>
        <v>1356</v>
      </c>
      <c r="AI1386" s="7">
        <f t="shared" ca="1" si="254"/>
        <v>44026</v>
      </c>
      <c r="AJ1386" s="210">
        <f t="shared" ca="1" si="255"/>
        <v>4.1749999999999998</v>
      </c>
      <c r="AK1386" s="8">
        <f t="shared" ca="1" si="256"/>
        <v>1.0001159722222221</v>
      </c>
      <c r="AL1386" s="98">
        <f t="shared" ca="1" si="257"/>
        <v>3.8554978236372328</v>
      </c>
      <c r="AM1386" s="106">
        <f t="shared" ca="1" si="251"/>
        <v>29318.207563146581</v>
      </c>
      <c r="AN1386" s="10">
        <f t="shared" ca="1" si="252"/>
        <v>0.81567507927957639</v>
      </c>
      <c r="AO1386" s="158"/>
      <c r="AP1386" s="158"/>
      <c r="AQ1386" s="1"/>
      <c r="AR1386" s="1"/>
      <c r="AS1386" s="1"/>
      <c r="AT1386" s="1"/>
      <c r="AU1386" s="1"/>
    </row>
    <row r="1387" spans="34:47">
      <c r="AH1387" s="6">
        <f t="shared" si="253"/>
        <v>1357</v>
      </c>
      <c r="AI1387" s="7">
        <f t="shared" ca="1" si="254"/>
        <v>44027</v>
      </c>
      <c r="AJ1387" s="210">
        <f t="shared" ca="1" si="255"/>
        <v>4.1749999999999998</v>
      </c>
      <c r="AK1387" s="8">
        <f t="shared" ca="1" si="256"/>
        <v>1.0001159722222221</v>
      </c>
      <c r="AL1387" s="98">
        <f t="shared" ca="1" si="257"/>
        <v>3.8558420017696493</v>
      </c>
      <c r="AM1387" s="106">
        <f t="shared" ca="1" si="251"/>
        <v>29320.54549234045</v>
      </c>
      <c r="AN1387" s="10">
        <f t="shared" ca="1" si="252"/>
        <v>0.81605387176149069</v>
      </c>
      <c r="AO1387" s="158"/>
      <c r="AP1387" s="158"/>
      <c r="AQ1387" s="1"/>
      <c r="AR1387" s="1"/>
      <c r="AS1387" s="1"/>
      <c r="AT1387" s="1"/>
      <c r="AU1387" s="1"/>
    </row>
    <row r="1388" spans="34:47">
      <c r="AH1388" s="6">
        <f t="shared" si="253"/>
        <v>1358</v>
      </c>
      <c r="AI1388" s="7">
        <f t="shared" ca="1" si="254"/>
        <v>44028</v>
      </c>
      <c r="AJ1388" s="210">
        <f t="shared" ca="1" si="255"/>
        <v>4.1749999999999998</v>
      </c>
      <c r="AK1388" s="8">
        <f t="shared" ca="1" si="256"/>
        <v>1.0001159722222221</v>
      </c>
      <c r="AL1388" s="98">
        <f t="shared" ca="1" si="257"/>
        <v>3.856185674150403</v>
      </c>
      <c r="AM1388" s="106">
        <f t="shared" ca="1" si="251"/>
        <v>29322.883607968397</v>
      </c>
      <c r="AN1388" s="10">
        <f t="shared" ca="1" si="252"/>
        <v>0.81643210779531739</v>
      </c>
      <c r="AO1388" s="158"/>
      <c r="AP1388" s="158"/>
      <c r="AQ1388" s="1"/>
      <c r="AR1388" s="1"/>
      <c r="AS1388" s="1"/>
      <c r="AT1388" s="1"/>
      <c r="AU1388" s="1"/>
    </row>
    <row r="1389" spans="34:47">
      <c r="AH1389" s="6">
        <f t="shared" si="253"/>
        <v>1359</v>
      </c>
      <c r="AI1389" s="7">
        <f t="shared" ca="1" si="254"/>
        <v>44029</v>
      </c>
      <c r="AJ1389" s="210">
        <f t="shared" ca="1" si="255"/>
        <v>4.1749999999999998</v>
      </c>
      <c r="AK1389" s="8">
        <f t="shared" ca="1" si="256"/>
        <v>1.0001159722222221</v>
      </c>
      <c r="AL1389" s="98">
        <f t="shared" ca="1" si="257"/>
        <v>3.8565288418934696</v>
      </c>
      <c r="AM1389" s="106">
        <f t="shared" ca="1" si="251"/>
        <v>29325.221910045278</v>
      </c>
      <c r="AN1389" s="10">
        <f t="shared" ca="1" si="252"/>
        <v>0.81680978860632081</v>
      </c>
      <c r="AO1389" s="158"/>
      <c r="AP1389" s="158"/>
      <c r="AQ1389" s="1"/>
      <c r="AR1389" s="1"/>
      <c r="AS1389" s="1"/>
      <c r="AT1389" s="1"/>
      <c r="AU1389" s="1"/>
    </row>
    <row r="1390" spans="34:47">
      <c r="AH1390" s="6">
        <f t="shared" si="253"/>
        <v>1360</v>
      </c>
      <c r="AI1390" s="7">
        <f t="shared" ca="1" si="254"/>
        <v>44030</v>
      </c>
      <c r="AJ1390" s="210">
        <f t="shared" ca="1" si="255"/>
        <v>4.1749999999999998</v>
      </c>
      <c r="AK1390" s="8">
        <f t="shared" ca="1" si="256"/>
        <v>1.0001159722222221</v>
      </c>
      <c r="AL1390" s="98">
        <f t="shared" ca="1" si="257"/>
        <v>3.8568715061094938</v>
      </c>
      <c r="AM1390" s="106">
        <f t="shared" ca="1" si="251"/>
        <v>29327.560398585978</v>
      </c>
      <c r="AN1390" s="10">
        <f t="shared" ca="1" si="252"/>
        <v>0.81718691541610156</v>
      </c>
      <c r="AO1390" s="158"/>
      <c r="AP1390" s="158"/>
      <c r="AQ1390" s="1"/>
      <c r="AR1390" s="1"/>
      <c r="AS1390" s="1"/>
      <c r="AT1390" s="1"/>
      <c r="AU1390" s="1"/>
    </row>
    <row r="1391" spans="34:47">
      <c r="AH1391" s="6">
        <f t="shared" si="253"/>
        <v>1361</v>
      </c>
      <c r="AI1391" s="7">
        <f t="shared" ca="1" si="254"/>
        <v>44031</v>
      </c>
      <c r="AJ1391" s="210">
        <f t="shared" ca="1" si="255"/>
        <v>4.1749999999999998</v>
      </c>
      <c r="AK1391" s="8">
        <f t="shared" ca="1" si="256"/>
        <v>1.0001159722222221</v>
      </c>
      <c r="AL1391" s="98">
        <f t="shared" ca="1" si="257"/>
        <v>3.857213667905901</v>
      </c>
      <c r="AM1391" s="106">
        <f t="shared" ca="1" si="251"/>
        <v>29329.899073605353</v>
      </c>
      <c r="AN1391" s="10">
        <f t="shared" ca="1" si="252"/>
        <v>0.81756348944272972</v>
      </c>
      <c r="AO1391" s="158"/>
      <c r="AP1391" s="158"/>
      <c r="AQ1391" s="1"/>
      <c r="AR1391" s="1"/>
      <c r="AS1391" s="1"/>
      <c r="AT1391" s="1"/>
      <c r="AU1391" s="1"/>
    </row>
    <row r="1392" spans="34:47">
      <c r="AH1392" s="6">
        <f t="shared" si="253"/>
        <v>1362</v>
      </c>
      <c r="AI1392" s="7">
        <f t="shared" ca="1" si="254"/>
        <v>44032</v>
      </c>
      <c r="AJ1392" s="210">
        <f t="shared" ca="1" si="255"/>
        <v>4.1749999999999998</v>
      </c>
      <c r="AK1392" s="8">
        <f t="shared" ca="1" si="256"/>
        <v>1.0001159722222221</v>
      </c>
      <c r="AL1392" s="98">
        <f t="shared" ca="1" si="257"/>
        <v>3.8575553283868746</v>
      </c>
      <c r="AM1392" s="106">
        <f t="shared" ca="1" si="251"/>
        <v>29332.237935118279</v>
      </c>
      <c r="AN1392" s="10">
        <f t="shared" ca="1" si="252"/>
        <v>0.81793951190074488</v>
      </c>
      <c r="AO1392" s="158"/>
      <c r="AP1392" s="158"/>
      <c r="AQ1392" s="1"/>
      <c r="AR1392" s="1"/>
      <c r="AS1392" s="1"/>
      <c r="AT1392" s="1"/>
      <c r="AU1392" s="1"/>
    </row>
    <row r="1393" spans="34:47">
      <c r="AH1393" s="6">
        <f t="shared" si="253"/>
        <v>1363</v>
      </c>
      <c r="AI1393" s="7">
        <f t="shared" ca="1" si="254"/>
        <v>44033</v>
      </c>
      <c r="AJ1393" s="210">
        <f t="shared" ca="1" si="255"/>
        <v>4.1749999999999998</v>
      </c>
      <c r="AK1393" s="8">
        <f t="shared" ca="1" si="256"/>
        <v>1.0001159722222221</v>
      </c>
      <c r="AL1393" s="98">
        <f t="shared" ca="1" si="257"/>
        <v>3.857896488653334</v>
      </c>
      <c r="AM1393" s="106">
        <f t="shared" ca="1" si="251"/>
        <v>29334.576983139628</v>
      </c>
      <c r="AN1393" s="10">
        <f t="shared" ca="1" si="252"/>
        <v>0.81831498400102287</v>
      </c>
      <c r="AO1393" s="158"/>
      <c r="AP1393" s="158"/>
      <c r="AQ1393" s="1"/>
      <c r="AR1393" s="1"/>
      <c r="AS1393" s="1"/>
      <c r="AT1393" s="1"/>
      <c r="AU1393" s="1"/>
    </row>
    <row r="1394" spans="34:47">
      <c r="AH1394" s="6">
        <f t="shared" si="253"/>
        <v>1364</v>
      </c>
      <c r="AI1394" s="7">
        <f t="shared" ca="1" si="254"/>
        <v>44034</v>
      </c>
      <c r="AJ1394" s="210">
        <f t="shared" ca="1" si="255"/>
        <v>4.1749999999999998</v>
      </c>
      <c r="AK1394" s="8">
        <f t="shared" ca="1" si="256"/>
        <v>1.0001159722222221</v>
      </c>
      <c r="AL1394" s="98">
        <f t="shared" ca="1" si="257"/>
        <v>3.8582371498030232</v>
      </c>
      <c r="AM1394" s="106">
        <f t="shared" ca="1" si="251"/>
        <v>29336.916217684269</v>
      </c>
      <c r="AN1394" s="10">
        <f t="shared" ca="1" si="252"/>
        <v>0.81868990695097565</v>
      </c>
      <c r="AO1394" s="158"/>
      <c r="AP1394" s="158"/>
      <c r="AQ1394" s="1"/>
      <c r="AR1394" s="1"/>
      <c r="AS1394" s="1"/>
      <c r="AT1394" s="1"/>
      <c r="AU1394" s="1"/>
    </row>
    <row r="1395" spans="34:47">
      <c r="AH1395" s="6">
        <f t="shared" si="253"/>
        <v>1365</v>
      </c>
      <c r="AI1395" s="7">
        <f t="shared" ca="1" si="254"/>
        <v>44035</v>
      </c>
      <c r="AJ1395" s="210">
        <f t="shared" ca="1" si="255"/>
        <v>4.1749999999999998</v>
      </c>
      <c r="AK1395" s="8">
        <f t="shared" ca="1" si="256"/>
        <v>1.0001159722222221</v>
      </c>
      <c r="AL1395" s="98">
        <f t="shared" ca="1" si="257"/>
        <v>3.8585773129304224</v>
      </c>
      <c r="AM1395" s="106">
        <f t="shared" ca="1" si="251"/>
        <v>29339.255638767077</v>
      </c>
      <c r="AN1395" s="10">
        <f t="shared" ca="1" si="252"/>
        <v>0.81906428195448466</v>
      </c>
      <c r="AO1395" s="158"/>
      <c r="AP1395" s="158"/>
      <c r="AQ1395" s="1"/>
      <c r="AR1395" s="1"/>
      <c r="AS1395" s="1"/>
      <c r="AT1395" s="1"/>
      <c r="AU1395" s="1"/>
    </row>
    <row r="1396" spans="34:47">
      <c r="AH1396" s="6">
        <f t="shared" si="253"/>
        <v>1366</v>
      </c>
      <c r="AI1396" s="7">
        <f t="shared" ca="1" si="254"/>
        <v>44036</v>
      </c>
      <c r="AJ1396" s="210">
        <f t="shared" ca="1" si="255"/>
        <v>4.1749999999999998</v>
      </c>
      <c r="AK1396" s="8">
        <f t="shared" ca="1" si="256"/>
        <v>1.0001159722222221</v>
      </c>
      <c r="AL1396" s="98">
        <f t="shared" ca="1" si="257"/>
        <v>3.8589169791268585</v>
      </c>
      <c r="AM1396" s="106">
        <f t="shared" ca="1" si="251"/>
        <v>29341.595246402929</v>
      </c>
      <c r="AN1396" s="10">
        <f t="shared" ca="1" si="252"/>
        <v>0.81943811021187862</v>
      </c>
      <c r="AO1396" s="158"/>
      <c r="AP1396" s="158"/>
      <c r="AQ1396" s="1"/>
      <c r="AR1396" s="1"/>
      <c r="AS1396" s="1"/>
      <c r="AT1396" s="1"/>
      <c r="AU1396" s="1"/>
    </row>
    <row r="1397" spans="34:47">
      <c r="AH1397" s="6">
        <f t="shared" si="253"/>
        <v>1367</v>
      </c>
      <c r="AI1397" s="7">
        <f t="shared" ca="1" si="254"/>
        <v>44037</v>
      </c>
      <c r="AJ1397" s="210">
        <f t="shared" ca="1" si="255"/>
        <v>4.1749999999999998</v>
      </c>
      <c r="AK1397" s="8">
        <f t="shared" ca="1" si="256"/>
        <v>1.0001159722222221</v>
      </c>
      <c r="AL1397" s="98">
        <f t="shared" ca="1" si="257"/>
        <v>3.8592561494804389</v>
      </c>
      <c r="AM1397" s="106">
        <f t="shared" ca="1" si="251"/>
        <v>29343.935040606706</v>
      </c>
      <c r="AN1397" s="10">
        <f t="shared" ca="1" si="252"/>
        <v>0.81981139292000016</v>
      </c>
      <c r="AO1397" s="158"/>
      <c r="AP1397" s="158"/>
      <c r="AQ1397" s="1"/>
      <c r="AR1397" s="1"/>
      <c r="AS1397" s="1"/>
      <c r="AT1397" s="1"/>
      <c r="AU1397" s="1"/>
    </row>
    <row r="1398" spans="34:47">
      <c r="AH1398" s="6">
        <f t="shared" si="253"/>
        <v>1368</v>
      </c>
      <c r="AI1398" s="7">
        <f t="shared" ca="1" si="254"/>
        <v>44038</v>
      </c>
      <c r="AJ1398" s="210">
        <f t="shared" ca="1" si="255"/>
        <v>4.1749999999999998</v>
      </c>
      <c r="AK1398" s="8">
        <f t="shared" ca="1" si="256"/>
        <v>1.0001159722222221</v>
      </c>
      <c r="AL1398" s="98">
        <f t="shared" ca="1" si="257"/>
        <v>3.8595948250761403</v>
      </c>
      <c r="AM1398" s="106">
        <f t="shared" ca="1" si="251"/>
        <v>29346.27502139327</v>
      </c>
      <c r="AN1398" s="10">
        <f t="shared" ca="1" si="252"/>
        <v>0.82018413127225021</v>
      </c>
      <c r="AO1398" s="158"/>
      <c r="AP1398" s="158"/>
      <c r="AQ1398" s="1"/>
      <c r="AR1398" s="1"/>
      <c r="AS1398" s="1"/>
      <c r="AT1398" s="1"/>
      <c r="AU1398" s="1"/>
    </row>
    <row r="1399" spans="34:47">
      <c r="AH1399" s="6">
        <f t="shared" si="253"/>
        <v>1369</v>
      </c>
      <c r="AI1399" s="7">
        <f t="shared" ca="1" si="254"/>
        <v>44039</v>
      </c>
      <c r="AJ1399" s="210">
        <f t="shared" ca="1" si="255"/>
        <v>4.1749999999999998</v>
      </c>
      <c r="AK1399" s="8">
        <f t="shared" ca="1" si="256"/>
        <v>1.0001159722222221</v>
      </c>
      <c r="AL1399" s="98">
        <f t="shared" ca="1" si="257"/>
        <v>3.8599330069957194</v>
      </c>
      <c r="AM1399" s="106">
        <f t="shared" ca="1" si="251"/>
        <v>29348.61518877752</v>
      </c>
      <c r="AN1399" s="10">
        <f t="shared" ca="1" si="252"/>
        <v>0.82055632645843257</v>
      </c>
      <c r="AO1399" s="158"/>
      <c r="AP1399" s="158"/>
      <c r="AQ1399" s="1"/>
      <c r="AR1399" s="1"/>
      <c r="AS1399" s="1"/>
      <c r="AT1399" s="1"/>
      <c r="AU1399" s="1"/>
    </row>
    <row r="1400" spans="34:47">
      <c r="AH1400" s="6">
        <f t="shared" si="253"/>
        <v>1370</v>
      </c>
      <c r="AI1400" s="7">
        <f t="shared" ca="1" si="254"/>
        <v>44040</v>
      </c>
      <c r="AJ1400" s="210">
        <f t="shared" ca="1" si="255"/>
        <v>4.1749999999999998</v>
      </c>
      <c r="AK1400" s="8">
        <f t="shared" ca="1" si="256"/>
        <v>1.0001159722222221</v>
      </c>
      <c r="AL1400" s="98">
        <f t="shared" ca="1" si="257"/>
        <v>3.8602706963178246</v>
      </c>
      <c r="AM1400" s="106">
        <f t="shared" ca="1" si="251"/>
        <v>29350.955542774318</v>
      </c>
      <c r="AN1400" s="10">
        <f t="shared" ca="1" si="252"/>
        <v>0.8209279796649982</v>
      </c>
      <c r="AO1400" s="158"/>
      <c r="AP1400" s="158"/>
      <c r="AQ1400" s="1"/>
      <c r="AR1400" s="1"/>
      <c r="AS1400" s="1"/>
      <c r="AT1400" s="1"/>
      <c r="AU1400" s="1"/>
    </row>
    <row r="1401" spans="34:47">
      <c r="AH1401" s="6">
        <f t="shared" si="253"/>
        <v>1371</v>
      </c>
      <c r="AI1401" s="7">
        <f t="shared" ca="1" si="254"/>
        <v>44041</v>
      </c>
      <c r="AJ1401" s="210">
        <f t="shared" ca="1" si="255"/>
        <v>4.1749999999999998</v>
      </c>
      <c r="AK1401" s="8">
        <f t="shared" ca="1" si="256"/>
        <v>1.0001159722222221</v>
      </c>
      <c r="AL1401" s="98">
        <f t="shared" ca="1" si="257"/>
        <v>3.8606078941179733</v>
      </c>
      <c r="AM1401" s="106">
        <f t="shared" ca="1" si="251"/>
        <v>29353.296083398556</v>
      </c>
      <c r="AN1401" s="10">
        <f t="shared" ca="1" si="252"/>
        <v>0.82129909207491192</v>
      </c>
      <c r="AO1401" s="158"/>
      <c r="AP1401" s="158"/>
      <c r="AQ1401" s="1"/>
      <c r="AR1401" s="1"/>
      <c r="AS1401" s="1"/>
      <c r="AT1401" s="1"/>
      <c r="AU1401" s="1"/>
    </row>
    <row r="1402" spans="34:47">
      <c r="AH1402" s="6">
        <f t="shared" si="253"/>
        <v>1372</v>
      </c>
      <c r="AI1402" s="7">
        <f t="shared" ca="1" si="254"/>
        <v>44042</v>
      </c>
      <c r="AJ1402" s="210">
        <f t="shared" ca="1" si="255"/>
        <v>4.1749999999999998</v>
      </c>
      <c r="AK1402" s="8">
        <f t="shared" ca="1" si="256"/>
        <v>1.0001159722222221</v>
      </c>
      <c r="AL1402" s="98">
        <f t="shared" ca="1" si="257"/>
        <v>3.8609446014684856</v>
      </c>
      <c r="AM1402" s="106">
        <f t="shared" ca="1" si="251"/>
        <v>29355.636810665117</v>
      </c>
      <c r="AN1402" s="10">
        <f t="shared" ca="1" si="252"/>
        <v>0.82166966486767468</v>
      </c>
      <c r="AO1402" s="158"/>
      <c r="AP1402" s="158"/>
      <c r="AQ1402" s="1"/>
      <c r="AR1402" s="1"/>
      <c r="AS1402" s="1"/>
      <c r="AT1402" s="1"/>
      <c r="AU1402" s="1"/>
    </row>
    <row r="1403" spans="34:47">
      <c r="AH1403" s="6">
        <f t="shared" si="253"/>
        <v>1373</v>
      </c>
      <c r="AI1403" s="7">
        <f t="shared" ca="1" si="254"/>
        <v>44043</v>
      </c>
      <c r="AJ1403" s="210">
        <f t="shared" ca="1" si="255"/>
        <v>4.1749999999999998</v>
      </c>
      <c r="AK1403" s="8">
        <f t="shared" ca="1" si="256"/>
        <v>1.0001159722222221</v>
      </c>
      <c r="AL1403" s="98">
        <f t="shared" ca="1" si="257"/>
        <v>3.8612808194386394</v>
      </c>
      <c r="AM1403" s="106">
        <f t="shared" ca="1" si="251"/>
        <v>29357.977724588876</v>
      </c>
      <c r="AN1403" s="10">
        <f t="shared" ca="1" si="252"/>
        <v>0.82203969921939013</v>
      </c>
      <c r="AO1403" s="158"/>
      <c r="AP1403" s="158"/>
      <c r="AQ1403" s="1"/>
      <c r="AR1403" s="1"/>
      <c r="AS1403" s="1"/>
      <c r="AT1403" s="1"/>
      <c r="AU1403" s="1"/>
    </row>
    <row r="1404" spans="34:47">
      <c r="AH1404" s="6">
        <f t="shared" si="253"/>
        <v>1374</v>
      </c>
      <c r="AI1404" s="7">
        <f t="shared" ca="1" si="254"/>
        <v>44044</v>
      </c>
      <c r="AJ1404" s="210">
        <f t="shared" ca="1" si="255"/>
        <v>4.1749999999999998</v>
      </c>
      <c r="AK1404" s="8">
        <f t="shared" ca="1" si="256"/>
        <v>1.0001159722222221</v>
      </c>
      <c r="AL1404" s="98">
        <f t="shared" ca="1" si="257"/>
        <v>3.861616549094582</v>
      </c>
      <c r="AM1404" s="106">
        <f t="shared" ca="1" si="251"/>
        <v>29360.318825184724</v>
      </c>
      <c r="AN1404" s="10">
        <f t="shared" ca="1" si="252"/>
        <v>0.82240919630272025</v>
      </c>
      <c r="AO1404" s="158"/>
      <c r="AP1404" s="158"/>
      <c r="AQ1404" s="1"/>
      <c r="AR1404" s="1"/>
      <c r="AS1404" s="1"/>
      <c r="AT1404" s="1"/>
      <c r="AU1404" s="1"/>
    </row>
    <row r="1405" spans="34:47">
      <c r="AH1405" s="6">
        <f t="shared" si="253"/>
        <v>1375</v>
      </c>
      <c r="AI1405" s="7">
        <f t="shared" ca="1" si="254"/>
        <v>44045</v>
      </c>
      <c r="AJ1405" s="210">
        <f t="shared" ca="1" si="255"/>
        <v>4.1749999999999998</v>
      </c>
      <c r="AK1405" s="8">
        <f t="shared" ca="1" si="256"/>
        <v>1.0001159722222221</v>
      </c>
      <c r="AL1405" s="98">
        <f t="shared" ca="1" si="257"/>
        <v>3.8619517914993517</v>
      </c>
      <c r="AM1405" s="106">
        <f t="shared" ca="1" si="251"/>
        <v>29362.660112467544</v>
      </c>
      <c r="AN1405" s="10">
        <f t="shared" ca="1" si="252"/>
        <v>0.82277815728695192</v>
      </c>
      <c r="AO1405" s="158"/>
      <c r="AP1405" s="158"/>
      <c r="AQ1405" s="1"/>
      <c r="AR1405" s="1"/>
      <c r="AS1405" s="1"/>
      <c r="AT1405" s="1"/>
      <c r="AU1405" s="1"/>
    </row>
    <row r="1406" spans="34:47">
      <c r="AH1406" s="6">
        <f t="shared" si="253"/>
        <v>1376</v>
      </c>
      <c r="AI1406" s="7">
        <f t="shared" ca="1" si="254"/>
        <v>44046</v>
      </c>
      <c r="AJ1406" s="210">
        <f t="shared" ca="1" si="255"/>
        <v>4.1749999999999998</v>
      </c>
      <c r="AK1406" s="8">
        <f t="shared" ca="1" si="256"/>
        <v>1.0001159722222221</v>
      </c>
      <c r="AL1406" s="98">
        <f t="shared" ca="1" si="257"/>
        <v>3.8622865477129009</v>
      </c>
      <c r="AM1406" s="106">
        <f t="shared" ca="1" si="251"/>
        <v>29365.001586452228</v>
      </c>
      <c r="AN1406" s="10">
        <f t="shared" ca="1" si="252"/>
        <v>0.82314658333795254</v>
      </c>
      <c r="AO1406" s="158"/>
      <c r="AP1406" s="158"/>
      <c r="AQ1406" s="1"/>
      <c r="AR1406" s="1"/>
      <c r="AS1406" s="1"/>
      <c r="AT1406" s="1"/>
      <c r="AU1406" s="1"/>
    </row>
    <row r="1407" spans="34:47">
      <c r="AH1407" s="6">
        <f t="shared" si="253"/>
        <v>1377</v>
      </c>
      <c r="AI1407" s="7">
        <f t="shared" ca="1" si="254"/>
        <v>44047</v>
      </c>
      <c r="AJ1407" s="210">
        <f t="shared" ca="1" si="255"/>
        <v>4.1749999999999998</v>
      </c>
      <c r="AK1407" s="8">
        <f t="shared" ca="1" si="256"/>
        <v>1.0001159722222221</v>
      </c>
      <c r="AL1407" s="98">
        <f t="shared" ca="1" si="257"/>
        <v>3.8626208187921396</v>
      </c>
      <c r="AM1407" s="106">
        <f t="shared" ca="1" si="251"/>
        <v>29367.343247153654</v>
      </c>
      <c r="AN1407" s="10">
        <f t="shared" ca="1" si="252"/>
        <v>0.82351447561821445</v>
      </c>
      <c r="AO1407" s="158"/>
      <c r="AP1407" s="158"/>
      <c r="AQ1407" s="1"/>
      <c r="AR1407" s="1"/>
      <c r="AS1407" s="1"/>
      <c r="AT1407" s="1"/>
      <c r="AU1407" s="1"/>
    </row>
    <row r="1408" spans="34:47">
      <c r="AH1408" s="6">
        <f t="shared" si="253"/>
        <v>1378</v>
      </c>
      <c r="AI1408" s="7">
        <f t="shared" ca="1" si="254"/>
        <v>44048</v>
      </c>
      <c r="AJ1408" s="210">
        <f t="shared" ca="1" si="255"/>
        <v>4.1749999999999998</v>
      </c>
      <c r="AK1408" s="8">
        <f t="shared" ca="1" si="256"/>
        <v>1.0001159722222221</v>
      </c>
      <c r="AL1408" s="98">
        <f t="shared" ca="1" si="257"/>
        <v>3.8629546057909137</v>
      </c>
      <c r="AM1408" s="106">
        <f t="shared" ca="1" si="251"/>
        <v>29369.685094586726</v>
      </c>
      <c r="AN1408" s="10">
        <f t="shared" ca="1" si="252"/>
        <v>0.82388183528692149</v>
      </c>
      <c r="AO1408" s="158"/>
      <c r="AP1408" s="158"/>
      <c r="AQ1408" s="1"/>
      <c r="AR1408" s="1"/>
      <c r="AS1408" s="1"/>
      <c r="AT1408" s="1"/>
      <c r="AU1408" s="1"/>
    </row>
    <row r="1409" spans="34:47">
      <c r="AH1409" s="6">
        <f t="shared" si="253"/>
        <v>1379</v>
      </c>
      <c r="AI1409" s="7">
        <f t="shared" ca="1" si="254"/>
        <v>44049</v>
      </c>
      <c r="AJ1409" s="210">
        <f t="shared" ca="1" si="255"/>
        <v>4.1749999999999998</v>
      </c>
      <c r="AK1409" s="8">
        <f t="shared" ca="1" si="256"/>
        <v>1.0001159722222221</v>
      </c>
      <c r="AL1409" s="98">
        <f t="shared" ca="1" si="257"/>
        <v>3.8632879097599826</v>
      </c>
      <c r="AM1409" s="106">
        <f t="shared" ca="1" si="251"/>
        <v>29372.027128766316</v>
      </c>
      <c r="AN1409" s="10">
        <f t="shared" ca="1" si="252"/>
        <v>0.82424866349981585</v>
      </c>
      <c r="AO1409" s="158"/>
      <c r="AP1409" s="158"/>
      <c r="AQ1409" s="1"/>
      <c r="AR1409" s="1"/>
      <c r="AS1409" s="1"/>
      <c r="AT1409" s="1"/>
      <c r="AU1409" s="1"/>
    </row>
    <row r="1410" spans="34:47">
      <c r="AH1410" s="6">
        <f t="shared" si="253"/>
        <v>1380</v>
      </c>
      <c r="AI1410" s="7">
        <f t="shared" ca="1" si="254"/>
        <v>44050</v>
      </c>
      <c r="AJ1410" s="210">
        <f t="shared" ca="1" si="255"/>
        <v>4.1749999999999998</v>
      </c>
      <c r="AK1410" s="8">
        <f t="shared" ca="1" si="256"/>
        <v>1.0001159722222221</v>
      </c>
      <c r="AL1410" s="98">
        <f t="shared" ca="1" si="257"/>
        <v>3.8636207317470861</v>
      </c>
      <c r="AM1410" s="106">
        <f t="shared" ca="1" si="251"/>
        <v>29374.369349707336</v>
      </c>
      <c r="AN1410" s="10">
        <f t="shared" ca="1" si="252"/>
        <v>0.82461496140935342</v>
      </c>
      <c r="AO1410" s="158"/>
      <c r="AP1410" s="158"/>
      <c r="AQ1410" s="1"/>
      <c r="AR1410" s="1"/>
      <c r="AS1410" s="1"/>
      <c r="AT1410" s="1"/>
      <c r="AU1410" s="1"/>
    </row>
    <row r="1411" spans="34:47">
      <c r="AH1411" s="6">
        <f t="shared" si="253"/>
        <v>1381</v>
      </c>
      <c r="AI1411" s="7">
        <f t="shared" ca="1" si="254"/>
        <v>44051</v>
      </c>
      <c r="AJ1411" s="210">
        <f t="shared" ca="1" si="255"/>
        <v>4.1749999999999998</v>
      </c>
      <c r="AK1411" s="8">
        <f t="shared" ca="1" si="256"/>
        <v>1.0001159722222221</v>
      </c>
      <c r="AL1411" s="98">
        <f t="shared" ca="1" si="257"/>
        <v>3.863953072796944</v>
      </c>
      <c r="AM1411" s="106">
        <f t="shared" ca="1" si="251"/>
        <v>29376.711757424666</v>
      </c>
      <c r="AN1411" s="10">
        <f t="shared" ca="1" si="252"/>
        <v>0.82498073016465945</v>
      </c>
      <c r="AO1411" s="158"/>
      <c r="AP1411" s="158"/>
      <c r="AQ1411" s="1"/>
      <c r="AR1411" s="1"/>
      <c r="AS1411" s="1"/>
      <c r="AT1411" s="1"/>
      <c r="AU1411" s="1"/>
    </row>
    <row r="1412" spans="34:47">
      <c r="AH1412" s="6">
        <f t="shared" si="253"/>
        <v>1382</v>
      </c>
      <c r="AI1412" s="7">
        <f t="shared" ca="1" si="254"/>
        <v>44052</v>
      </c>
      <c r="AJ1412" s="210">
        <f t="shared" ca="1" si="255"/>
        <v>4.1749999999999998</v>
      </c>
      <c r="AK1412" s="8">
        <f t="shared" ca="1" si="256"/>
        <v>1.0001159722222221</v>
      </c>
      <c r="AL1412" s="98">
        <f t="shared" ca="1" si="257"/>
        <v>3.8642849339512564</v>
      </c>
      <c r="AM1412" s="106">
        <f t="shared" ca="1" si="251"/>
        <v>29379.054351933199</v>
      </c>
      <c r="AN1412" s="10">
        <f t="shared" ca="1" si="252"/>
        <v>0.82534597091148409</v>
      </c>
      <c r="AO1412" s="158"/>
      <c r="AP1412" s="158"/>
      <c r="AQ1412" s="1"/>
      <c r="AR1412" s="1"/>
      <c r="AS1412" s="1"/>
      <c r="AT1412" s="1"/>
      <c r="AU1412" s="1"/>
    </row>
    <row r="1413" spans="34:47">
      <c r="AH1413" s="6">
        <f t="shared" si="253"/>
        <v>1383</v>
      </c>
      <c r="AI1413" s="7">
        <f t="shared" ca="1" si="254"/>
        <v>44053</v>
      </c>
      <c r="AJ1413" s="210">
        <f t="shared" ca="1" si="255"/>
        <v>4.1749999999999998</v>
      </c>
      <c r="AK1413" s="8">
        <f t="shared" ca="1" si="256"/>
        <v>1.0001159722222221</v>
      </c>
      <c r="AL1413" s="98">
        <f t="shared" ca="1" si="257"/>
        <v>3.8646163162487257</v>
      </c>
      <c r="AM1413" s="106">
        <f t="shared" ca="1" si="251"/>
        <v>29381.397133247836</v>
      </c>
      <c r="AN1413" s="10">
        <f t="shared" ca="1" si="252"/>
        <v>0.82571068479238008</v>
      </c>
      <c r="AO1413" s="158"/>
      <c r="AP1413" s="158"/>
      <c r="AQ1413" s="1"/>
      <c r="AR1413" s="1"/>
      <c r="AS1413" s="1"/>
      <c r="AT1413" s="1"/>
      <c r="AU1413" s="1"/>
    </row>
    <row r="1414" spans="34:47">
      <c r="AH1414" s="6">
        <f t="shared" si="253"/>
        <v>1384</v>
      </c>
      <c r="AI1414" s="7">
        <f t="shared" ca="1" si="254"/>
        <v>44054</v>
      </c>
      <c r="AJ1414" s="210">
        <f t="shared" ca="1" si="255"/>
        <v>4.1749999999999998</v>
      </c>
      <c r="AK1414" s="8">
        <f t="shared" ca="1" si="256"/>
        <v>1.0001159722222221</v>
      </c>
      <c r="AL1414" s="98">
        <f t="shared" ca="1" si="257"/>
        <v>3.8649472207250346</v>
      </c>
      <c r="AM1414" s="106">
        <f t="shared" ca="1" si="251"/>
        <v>29383.740101383479</v>
      </c>
      <c r="AN1414" s="10">
        <f t="shared" ca="1" si="252"/>
        <v>0.82607487294650284</v>
      </c>
      <c r="AO1414" s="158"/>
      <c r="AP1414" s="158"/>
      <c r="AQ1414" s="1"/>
      <c r="AR1414" s="1"/>
      <c r="AS1414" s="1"/>
      <c r="AT1414" s="1"/>
      <c r="AU1414" s="1"/>
    </row>
    <row r="1415" spans="34:47">
      <c r="AH1415" s="6">
        <f t="shared" si="253"/>
        <v>1385</v>
      </c>
      <c r="AI1415" s="7">
        <f t="shared" ca="1" si="254"/>
        <v>44055</v>
      </c>
      <c r="AJ1415" s="210">
        <f t="shared" ca="1" si="255"/>
        <v>4.1749999999999998</v>
      </c>
      <c r="AK1415" s="8">
        <f t="shared" ca="1" si="256"/>
        <v>1.0001159722222221</v>
      </c>
      <c r="AL1415" s="98">
        <f t="shared" ca="1" si="257"/>
        <v>3.8652776484128903</v>
      </c>
      <c r="AM1415" s="106">
        <f t="shared" ca="1" si="251"/>
        <v>29386.083256355014</v>
      </c>
      <c r="AN1415" s="10">
        <f t="shared" ca="1" si="252"/>
        <v>0.82643853650974375</v>
      </c>
      <c r="AO1415" s="158"/>
      <c r="AP1415" s="158"/>
      <c r="AQ1415" s="1"/>
      <c r="AR1415" s="1"/>
      <c r="AS1415" s="1"/>
      <c r="AT1415" s="1"/>
      <c r="AU1415" s="1"/>
    </row>
    <row r="1416" spans="34:47">
      <c r="AH1416" s="6">
        <f t="shared" si="253"/>
        <v>1386</v>
      </c>
      <c r="AI1416" s="7">
        <f t="shared" ca="1" si="254"/>
        <v>44056</v>
      </c>
      <c r="AJ1416" s="210">
        <f t="shared" ca="1" si="255"/>
        <v>4.1749999999999998</v>
      </c>
      <c r="AK1416" s="8">
        <f t="shared" ca="1" si="256"/>
        <v>1.0001159722222221</v>
      </c>
      <c r="AL1416" s="98">
        <f t="shared" ca="1" si="257"/>
        <v>3.865607600342047</v>
      </c>
      <c r="AM1416" s="106">
        <f t="shared" ca="1" si="251"/>
        <v>29388.426598177342</v>
      </c>
      <c r="AN1416" s="10">
        <f t="shared" ca="1" si="252"/>
        <v>0.82680167661481896</v>
      </c>
      <c r="AO1416" s="158"/>
      <c r="AP1416" s="158"/>
      <c r="AQ1416" s="1"/>
      <c r="AR1416" s="1"/>
      <c r="AS1416" s="1"/>
      <c r="AT1416" s="1"/>
      <c r="AU1416" s="1"/>
    </row>
    <row r="1417" spans="34:47">
      <c r="AH1417" s="6">
        <f t="shared" si="253"/>
        <v>1387</v>
      </c>
      <c r="AI1417" s="7">
        <f t="shared" ca="1" si="254"/>
        <v>44057</v>
      </c>
      <c r="AJ1417" s="210">
        <f t="shared" ca="1" si="255"/>
        <v>4.1749999999999998</v>
      </c>
      <c r="AK1417" s="8">
        <f t="shared" ca="1" si="256"/>
        <v>1.0001159722222221</v>
      </c>
      <c r="AL1417" s="98">
        <f t="shared" ca="1" si="257"/>
        <v>3.865937077539261</v>
      </c>
      <c r="AM1417" s="106">
        <f t="shared" ca="1" si="251"/>
        <v>29390.770126865365</v>
      </c>
      <c r="AN1417" s="10">
        <f t="shared" ca="1" si="252"/>
        <v>0.82716429439104733</v>
      </c>
      <c r="AO1417" s="158"/>
      <c r="AP1417" s="158"/>
      <c r="AQ1417" s="1"/>
      <c r="AR1417" s="1"/>
      <c r="AS1417" s="1"/>
      <c r="AT1417" s="1"/>
      <c r="AU1417" s="1"/>
    </row>
    <row r="1418" spans="34:47">
      <c r="AH1418" s="6">
        <f t="shared" si="253"/>
        <v>1388</v>
      </c>
      <c r="AI1418" s="7">
        <f t="shared" ca="1" si="254"/>
        <v>44058</v>
      </c>
      <c r="AJ1418" s="210">
        <f t="shared" ca="1" si="255"/>
        <v>4.1749999999999998</v>
      </c>
      <c r="AK1418" s="8">
        <f t="shared" ca="1" si="256"/>
        <v>1.0001159722222221</v>
      </c>
      <c r="AL1418" s="98">
        <f t="shared" ca="1" si="257"/>
        <v>3.86626608102838</v>
      </c>
      <c r="AM1418" s="106">
        <f t="shared" ca="1" si="251"/>
        <v>29393.113842433992</v>
      </c>
      <c r="AN1418" s="10">
        <f t="shared" ca="1" si="252"/>
        <v>0.82752639096461689</v>
      </c>
      <c r="AO1418" s="158"/>
      <c r="AP1418" s="158"/>
      <c r="AQ1418" s="1"/>
      <c r="AR1418" s="1"/>
      <c r="AS1418" s="1"/>
      <c r="AT1418" s="1"/>
      <c r="AU1418" s="1"/>
    </row>
    <row r="1419" spans="34:47">
      <c r="AH1419" s="6">
        <f t="shared" si="253"/>
        <v>1389</v>
      </c>
      <c r="AI1419" s="7">
        <f t="shared" ca="1" si="254"/>
        <v>44059</v>
      </c>
      <c r="AJ1419" s="210">
        <f t="shared" ca="1" si="255"/>
        <v>4.1749999999999998</v>
      </c>
      <c r="AK1419" s="8">
        <f t="shared" ca="1" si="256"/>
        <v>1.0001159722222221</v>
      </c>
      <c r="AL1419" s="98">
        <f t="shared" ca="1" si="257"/>
        <v>3.8665946118302541</v>
      </c>
      <c r="AM1419" s="106">
        <f t="shared" ca="1" si="251"/>
        <v>29395.457744898114</v>
      </c>
      <c r="AN1419" s="10">
        <f t="shared" ca="1" si="252"/>
        <v>0.827887967458385</v>
      </c>
      <c r="AO1419" s="158"/>
      <c r="AP1419" s="158"/>
      <c r="AQ1419" s="1"/>
      <c r="AR1419" s="1"/>
      <c r="AS1419" s="1"/>
      <c r="AT1419" s="1"/>
      <c r="AU1419" s="1"/>
    </row>
    <row r="1420" spans="34:47">
      <c r="AH1420" s="6">
        <f t="shared" si="253"/>
        <v>1390</v>
      </c>
      <c r="AI1420" s="7">
        <f t="shared" ca="1" si="254"/>
        <v>44060</v>
      </c>
      <c r="AJ1420" s="210">
        <f t="shared" ca="1" si="255"/>
        <v>4.1749999999999998</v>
      </c>
      <c r="AK1420" s="8">
        <f t="shared" ca="1" si="256"/>
        <v>1.0001159722222221</v>
      </c>
      <c r="AL1420" s="98">
        <f t="shared" ca="1" si="257"/>
        <v>3.8669226709628468</v>
      </c>
      <c r="AM1420" s="106">
        <f t="shared" ca="1" si="251"/>
        <v>29397.801834272639</v>
      </c>
      <c r="AN1420" s="10">
        <f t="shared" ca="1" si="252"/>
        <v>0.82824902499205599</v>
      </c>
      <c r="AO1420" s="158"/>
      <c r="AP1420" s="158"/>
      <c r="AQ1420" s="1"/>
      <c r="AR1420" s="1"/>
      <c r="AS1420" s="1"/>
      <c r="AT1420" s="1"/>
      <c r="AU1420" s="1"/>
    </row>
    <row r="1421" spans="34:47">
      <c r="AH1421" s="6">
        <f t="shared" si="253"/>
        <v>1391</v>
      </c>
      <c r="AI1421" s="7">
        <f t="shared" ca="1" si="254"/>
        <v>44061</v>
      </c>
      <c r="AJ1421" s="210">
        <f t="shared" ca="1" si="255"/>
        <v>4.1749999999999998</v>
      </c>
      <c r="AK1421" s="8">
        <f t="shared" ca="1" si="256"/>
        <v>1.0001159722222221</v>
      </c>
      <c r="AL1421" s="98">
        <f t="shared" ca="1" si="257"/>
        <v>3.8672502594411906</v>
      </c>
      <c r="AM1421" s="106">
        <f t="shared" ca="1" si="251"/>
        <v>29400.146110572477</v>
      </c>
      <c r="AN1421" s="10">
        <f t="shared" ca="1" si="252"/>
        <v>0.82860956468209235</v>
      </c>
      <c r="AO1421" s="158"/>
      <c r="AP1421" s="158"/>
      <c r="AQ1421" s="1"/>
      <c r="AR1421" s="1"/>
      <c r="AS1421" s="1"/>
      <c r="AT1421" s="1"/>
      <c r="AU1421" s="1"/>
    </row>
    <row r="1422" spans="34:47">
      <c r="AH1422" s="6">
        <f t="shared" si="253"/>
        <v>1392</v>
      </c>
      <c r="AI1422" s="7">
        <f t="shared" ca="1" si="254"/>
        <v>44062</v>
      </c>
      <c r="AJ1422" s="210">
        <f t="shared" ca="1" si="255"/>
        <v>4.1749999999999998</v>
      </c>
      <c r="AK1422" s="8">
        <f t="shared" ca="1" si="256"/>
        <v>1.0001159722222221</v>
      </c>
      <c r="AL1422" s="98">
        <f t="shared" ca="1" si="257"/>
        <v>3.867577378277387</v>
      </c>
      <c r="AM1422" s="106">
        <f t="shared" ca="1" si="251"/>
        <v>29402.490573812524</v>
      </c>
      <c r="AN1422" s="10">
        <f t="shared" ca="1" si="252"/>
        <v>0.8289695876417813</v>
      </c>
      <c r="AO1422" s="158"/>
      <c r="AP1422" s="158"/>
      <c r="AQ1422" s="1"/>
      <c r="AR1422" s="1"/>
      <c r="AS1422" s="1"/>
      <c r="AT1422" s="1"/>
      <c r="AU1422" s="1"/>
    </row>
    <row r="1423" spans="34:47">
      <c r="AH1423" s="6">
        <f t="shared" si="253"/>
        <v>1393</v>
      </c>
      <c r="AI1423" s="7">
        <f t="shared" ca="1" si="254"/>
        <v>44063</v>
      </c>
      <c r="AJ1423" s="210">
        <f t="shared" ca="1" si="255"/>
        <v>4.1749999999999998</v>
      </c>
      <c r="AK1423" s="8">
        <f t="shared" ca="1" si="256"/>
        <v>1.0001159722222221</v>
      </c>
      <c r="AL1423" s="98">
        <f t="shared" ca="1" si="257"/>
        <v>3.8679040284806732</v>
      </c>
      <c r="AM1423" s="106">
        <f t="shared" ca="1" si="251"/>
        <v>29404.835224007697</v>
      </c>
      <c r="AN1423" s="10">
        <f t="shared" ca="1" si="252"/>
        <v>0.82932909498116825</v>
      </c>
      <c r="AO1423" s="158"/>
      <c r="AP1423" s="158"/>
      <c r="AQ1423" s="1"/>
      <c r="AR1423" s="1"/>
      <c r="AS1423" s="1"/>
      <c r="AT1423" s="1"/>
      <c r="AU1423" s="1"/>
    </row>
    <row r="1424" spans="34:47">
      <c r="AH1424" s="6">
        <f t="shared" si="253"/>
        <v>1394</v>
      </c>
      <c r="AI1424" s="7">
        <f t="shared" ca="1" si="254"/>
        <v>44064</v>
      </c>
      <c r="AJ1424" s="210">
        <f t="shared" ca="1" si="255"/>
        <v>4.1749999999999998</v>
      </c>
      <c r="AK1424" s="8">
        <f t="shared" ca="1" si="256"/>
        <v>1.0001159722222221</v>
      </c>
      <c r="AL1424" s="98">
        <f t="shared" ca="1" si="257"/>
        <v>3.8682302110573552</v>
      </c>
      <c r="AM1424" s="106">
        <f t="shared" ca="1" si="251"/>
        <v>29407.180061172898</v>
      </c>
      <c r="AN1424" s="10">
        <f t="shared" ca="1" si="252"/>
        <v>0.82968808780716774</v>
      </c>
      <c r="AO1424" s="158"/>
      <c r="AP1424" s="158"/>
      <c r="AQ1424" s="1"/>
      <c r="AR1424" s="1"/>
      <c r="AS1424" s="1"/>
      <c r="AT1424" s="1"/>
      <c r="AU1424" s="1"/>
    </row>
    <row r="1425" spans="34:47">
      <c r="AH1425" s="6">
        <f t="shared" si="253"/>
        <v>1395</v>
      </c>
      <c r="AI1425" s="7">
        <f t="shared" ca="1" si="254"/>
        <v>44065</v>
      </c>
      <c r="AJ1425" s="210">
        <f t="shared" ca="1" si="255"/>
        <v>4.1749999999999998</v>
      </c>
      <c r="AK1425" s="8">
        <f t="shared" ca="1" si="256"/>
        <v>1.0001159722222221</v>
      </c>
      <c r="AL1425" s="98">
        <f t="shared" ca="1" si="257"/>
        <v>3.8685559270108971</v>
      </c>
      <c r="AM1425" s="106">
        <f t="shared" ca="1" si="251"/>
        <v>29409.525085323035</v>
      </c>
      <c r="AN1425" s="10">
        <f t="shared" ca="1" si="252"/>
        <v>0.83004656722354131</v>
      </c>
      <c r="AO1425" s="158"/>
      <c r="AP1425" s="158"/>
      <c r="AQ1425" s="1"/>
      <c r="AR1425" s="1"/>
      <c r="AS1425" s="1"/>
      <c r="AT1425" s="1"/>
      <c r="AU1425" s="1"/>
    </row>
    <row r="1426" spans="34:47">
      <c r="AH1426" s="6">
        <f t="shared" si="253"/>
        <v>1396</v>
      </c>
      <c r="AI1426" s="7">
        <f t="shared" ca="1" si="254"/>
        <v>44066</v>
      </c>
      <c r="AJ1426" s="210">
        <f t="shared" ca="1" si="255"/>
        <v>4.1749999999999998</v>
      </c>
      <c r="AK1426" s="8">
        <f t="shared" ca="1" si="256"/>
        <v>1.0001159722222221</v>
      </c>
      <c r="AL1426" s="98">
        <f t="shared" ca="1" si="257"/>
        <v>3.8688811773418763</v>
      </c>
      <c r="AM1426" s="106">
        <f t="shared" ca="1" si="251"/>
        <v>29411.870296473026</v>
      </c>
      <c r="AN1426" s="10">
        <f t="shared" ca="1" si="252"/>
        <v>0.83040453433085304</v>
      </c>
      <c r="AO1426" s="158"/>
      <c r="AP1426" s="158"/>
      <c r="AQ1426" s="1"/>
      <c r="AR1426" s="1"/>
      <c r="AS1426" s="1"/>
      <c r="AT1426" s="1"/>
      <c r="AU1426" s="1"/>
    </row>
    <row r="1427" spans="34:47">
      <c r="AH1427" s="6">
        <f t="shared" si="253"/>
        <v>1397</v>
      </c>
      <c r="AI1427" s="7">
        <f t="shared" ca="1" si="254"/>
        <v>44067</v>
      </c>
      <c r="AJ1427" s="210">
        <f t="shared" ca="1" si="255"/>
        <v>4.1749999999999998</v>
      </c>
      <c r="AK1427" s="8">
        <f t="shared" ca="1" si="256"/>
        <v>1.0001159722222221</v>
      </c>
      <c r="AL1427" s="98">
        <f t="shared" ca="1" si="257"/>
        <v>3.869205963048028</v>
      </c>
      <c r="AM1427" s="106">
        <f t="shared" ca="1" si="251"/>
        <v>29414.215694637776</v>
      </c>
      <c r="AN1427" s="10">
        <f t="shared" ca="1" si="252"/>
        <v>0.83076199022653618</v>
      </c>
      <c r="AO1427" s="158"/>
      <c r="AP1427" s="158"/>
      <c r="AQ1427" s="1"/>
      <c r="AR1427" s="1"/>
      <c r="AS1427" s="1"/>
      <c r="AT1427" s="1"/>
      <c r="AU1427" s="1"/>
    </row>
    <row r="1428" spans="34:47">
      <c r="AH1428" s="6">
        <f t="shared" si="253"/>
        <v>1398</v>
      </c>
      <c r="AI1428" s="7">
        <f t="shared" ca="1" si="254"/>
        <v>44068</v>
      </c>
      <c r="AJ1428" s="210">
        <f t="shared" ca="1" si="255"/>
        <v>4.1749999999999998</v>
      </c>
      <c r="AK1428" s="8">
        <f t="shared" ca="1" si="256"/>
        <v>1.0001159722222221</v>
      </c>
      <c r="AL1428" s="98">
        <f t="shared" ca="1" si="257"/>
        <v>3.8695302851242008</v>
      </c>
      <c r="AM1428" s="106">
        <f t="shared" ca="1" si="251"/>
        <v>29416.561279832207</v>
      </c>
      <c r="AN1428" s="10">
        <f t="shared" ca="1" si="252"/>
        <v>0.83111893600489317</v>
      </c>
      <c r="AO1428" s="158"/>
      <c r="AP1428" s="158"/>
      <c r="AQ1428" s="1"/>
      <c r="AR1428" s="1"/>
      <c r="AS1428" s="1"/>
      <c r="AT1428" s="1"/>
      <c r="AU1428" s="1"/>
    </row>
    <row r="1429" spans="34:47">
      <c r="AH1429" s="6">
        <f t="shared" si="253"/>
        <v>1399</v>
      </c>
      <c r="AI1429" s="7">
        <f t="shared" ca="1" si="254"/>
        <v>44069</v>
      </c>
      <c r="AJ1429" s="210">
        <f t="shared" ca="1" si="255"/>
        <v>4.1749999999999998</v>
      </c>
      <c r="AK1429" s="8">
        <f t="shared" ca="1" si="256"/>
        <v>1.0001159722222221</v>
      </c>
      <c r="AL1429" s="98">
        <f t="shared" ca="1" si="257"/>
        <v>3.8698541445624457</v>
      </c>
      <c r="AM1429" s="106">
        <f t="shared" ca="1" si="251"/>
        <v>29418.907052071216</v>
      </c>
      <c r="AN1429" s="10">
        <f t="shared" ca="1" si="252"/>
        <v>0.83147537275714001</v>
      </c>
      <c r="AO1429" s="158"/>
      <c r="AP1429" s="158"/>
      <c r="AQ1429" s="1"/>
      <c r="AR1429" s="1"/>
      <c r="AS1429" s="1"/>
      <c r="AT1429" s="1"/>
      <c r="AU1429" s="1"/>
    </row>
    <row r="1430" spans="34:47">
      <c r="AH1430" s="6">
        <f t="shared" si="253"/>
        <v>1400</v>
      </c>
      <c r="AI1430" s="7">
        <f t="shared" ca="1" si="254"/>
        <v>44070</v>
      </c>
      <c r="AJ1430" s="210">
        <f t="shared" ca="1" si="255"/>
        <v>4.1749999999999998</v>
      </c>
      <c r="AK1430" s="8">
        <f t="shared" ca="1" si="256"/>
        <v>1.0001159722222221</v>
      </c>
      <c r="AL1430" s="98">
        <f t="shared" ca="1" si="257"/>
        <v>3.8701775423519491</v>
      </c>
      <c r="AM1430" s="106">
        <f t="shared" ca="1" si="251"/>
        <v>29421.253011369743</v>
      </c>
      <c r="AN1430" s="10">
        <f t="shared" ca="1" si="252"/>
        <v>0.83183130157129526</v>
      </c>
      <c r="AO1430" s="158"/>
      <c r="AP1430" s="158"/>
      <c r="AQ1430" s="1"/>
      <c r="AR1430" s="1"/>
      <c r="AS1430" s="1"/>
      <c r="AT1430" s="1"/>
      <c r="AU1430" s="1"/>
    </row>
    <row r="1431" spans="34:47">
      <c r="AH1431" s="6">
        <f t="shared" si="253"/>
        <v>1401</v>
      </c>
      <c r="AI1431" s="7">
        <f t="shared" ca="1" si="254"/>
        <v>44071</v>
      </c>
      <c r="AJ1431" s="210">
        <f t="shared" ca="1" si="255"/>
        <v>4.1749999999999998</v>
      </c>
      <c r="AK1431" s="8">
        <f t="shared" ca="1" si="256"/>
        <v>1.0001159722222221</v>
      </c>
      <c r="AL1431" s="98">
        <f t="shared" ca="1" si="257"/>
        <v>3.870500479479122</v>
      </c>
      <c r="AM1431" s="106">
        <f t="shared" ca="1" si="251"/>
        <v>29423.599157742683</v>
      </c>
      <c r="AN1431" s="10">
        <f t="shared" ca="1" si="252"/>
        <v>0.83218672353237988</v>
      </c>
      <c r="AO1431" s="158"/>
      <c r="AP1431" s="158"/>
      <c r="AQ1431" s="1"/>
      <c r="AR1431" s="1"/>
      <c r="AS1431" s="1"/>
      <c r="AT1431" s="1"/>
      <c r="AU1431" s="1"/>
    </row>
    <row r="1432" spans="34:47">
      <c r="AH1432" s="6">
        <f t="shared" si="253"/>
        <v>1402</v>
      </c>
      <c r="AI1432" s="7">
        <f t="shared" ca="1" si="254"/>
        <v>44072</v>
      </c>
      <c r="AJ1432" s="210">
        <f t="shared" ca="1" si="255"/>
        <v>4.1749999999999998</v>
      </c>
      <c r="AK1432" s="8">
        <f t="shared" ca="1" si="256"/>
        <v>1.0001159722222221</v>
      </c>
      <c r="AL1432" s="98">
        <f t="shared" ca="1" si="257"/>
        <v>3.8708229569275332</v>
      </c>
      <c r="AM1432" s="106">
        <f t="shared" ca="1" si="251"/>
        <v>29425.945491204966</v>
      </c>
      <c r="AN1432" s="10">
        <f t="shared" ca="1" si="252"/>
        <v>0.83254163972226181</v>
      </c>
      <c r="AO1432" s="158"/>
      <c r="AP1432" s="158"/>
      <c r="AQ1432" s="1"/>
      <c r="AR1432" s="1"/>
      <c r="AS1432" s="1"/>
      <c r="AT1432" s="1"/>
      <c r="AU1432" s="1"/>
    </row>
    <row r="1433" spans="34:47">
      <c r="AH1433" s="6">
        <f t="shared" si="253"/>
        <v>1403</v>
      </c>
      <c r="AI1433" s="7">
        <f t="shared" ca="1" si="254"/>
        <v>44073</v>
      </c>
      <c r="AJ1433" s="210">
        <f t="shared" ca="1" si="255"/>
        <v>4.1749999999999998</v>
      </c>
      <c r="AK1433" s="8">
        <f t="shared" ca="1" si="256"/>
        <v>1.0001159722222221</v>
      </c>
      <c r="AL1433" s="98">
        <f t="shared" ca="1" si="257"/>
        <v>3.8711449756779759</v>
      </c>
      <c r="AM1433" s="106">
        <f t="shared" ca="1" si="251"/>
        <v>29428.292011771511</v>
      </c>
      <c r="AN1433" s="10">
        <f t="shared" ca="1" si="252"/>
        <v>0.83289605121976695</v>
      </c>
      <c r="AO1433" s="158"/>
      <c r="AP1433" s="158"/>
      <c r="AQ1433" s="1"/>
      <c r="AR1433" s="1"/>
      <c r="AS1433" s="1"/>
      <c r="AT1433" s="1"/>
      <c r="AU1433" s="1"/>
    </row>
    <row r="1434" spans="34:47">
      <c r="AH1434" s="6">
        <f t="shared" si="253"/>
        <v>1404</v>
      </c>
      <c r="AI1434" s="7">
        <f t="shared" ca="1" si="254"/>
        <v>44074</v>
      </c>
      <c r="AJ1434" s="210">
        <f t="shared" ca="1" si="255"/>
        <v>4.1749999999999998</v>
      </c>
      <c r="AK1434" s="8">
        <f t="shared" ca="1" si="256"/>
        <v>1.0001159722222221</v>
      </c>
      <c r="AL1434" s="98">
        <f t="shared" ca="1" si="257"/>
        <v>3.8714665367084233</v>
      </c>
      <c r="AM1434" s="106">
        <f t="shared" ca="1" si="251"/>
        <v>29430.638719457231</v>
      </c>
      <c r="AN1434" s="10">
        <f t="shared" ca="1" si="252"/>
        <v>0.83324995910063482</v>
      </c>
      <c r="AO1434" s="158"/>
      <c r="AP1434" s="158"/>
      <c r="AQ1434" s="1"/>
      <c r="AR1434" s="1"/>
      <c r="AS1434" s="1"/>
      <c r="AT1434" s="1"/>
      <c r="AU1434" s="1"/>
    </row>
    <row r="1435" spans="34:47">
      <c r="AH1435" s="6">
        <f t="shared" si="253"/>
        <v>1405</v>
      </c>
      <c r="AI1435" s="7">
        <f t="shared" ca="1" si="254"/>
        <v>44075</v>
      </c>
      <c r="AJ1435" s="210">
        <f t="shared" ca="1" si="255"/>
        <v>4.1749999999999998</v>
      </c>
      <c r="AK1435" s="8">
        <f t="shared" ca="1" si="256"/>
        <v>1.0001159722222221</v>
      </c>
      <c r="AL1435" s="98">
        <f t="shared" ca="1" si="257"/>
        <v>3.8717876409941177</v>
      </c>
      <c r="AM1435" s="106">
        <f t="shared" ca="1" si="251"/>
        <v>29432.985614277055</v>
      </c>
      <c r="AN1435" s="10">
        <f t="shared" ca="1" si="252"/>
        <v>0.83360336443754068</v>
      </c>
      <c r="AO1435" s="158"/>
      <c r="AP1435" s="158"/>
      <c r="AQ1435" s="1"/>
      <c r="AR1435" s="1"/>
      <c r="AS1435" s="1"/>
      <c r="AT1435" s="1"/>
      <c r="AU1435" s="1"/>
    </row>
    <row r="1436" spans="34:47">
      <c r="AH1436" s="6">
        <f t="shared" si="253"/>
        <v>1406</v>
      </c>
      <c r="AI1436" s="7">
        <f t="shared" ca="1" si="254"/>
        <v>44076</v>
      </c>
      <c r="AJ1436" s="210">
        <f t="shared" ca="1" si="255"/>
        <v>4.1749999999999998</v>
      </c>
      <c r="AK1436" s="8">
        <f t="shared" ca="1" si="256"/>
        <v>1.0001159722222221</v>
      </c>
      <c r="AL1436" s="98">
        <f t="shared" ca="1" si="257"/>
        <v>3.872108289507481</v>
      </c>
      <c r="AM1436" s="106">
        <f t="shared" ca="1" si="251"/>
        <v>29435.3326962459</v>
      </c>
      <c r="AN1436" s="10">
        <f t="shared" ca="1" si="252"/>
        <v>0.83395626830016223</v>
      </c>
      <c r="AO1436" s="158"/>
      <c r="AP1436" s="158"/>
      <c r="AQ1436" s="1"/>
      <c r="AR1436" s="1"/>
      <c r="AS1436" s="1"/>
      <c r="AT1436" s="1"/>
      <c r="AU1436" s="1"/>
    </row>
    <row r="1437" spans="34:47">
      <c r="AH1437" s="6">
        <f t="shared" si="253"/>
        <v>1407</v>
      </c>
      <c r="AI1437" s="7">
        <f t="shared" ca="1" si="254"/>
        <v>44077</v>
      </c>
      <c r="AJ1437" s="210">
        <f t="shared" ca="1" si="255"/>
        <v>4.1749999999999998</v>
      </c>
      <c r="AK1437" s="8">
        <f t="shared" ca="1" si="256"/>
        <v>1.0001159722222221</v>
      </c>
      <c r="AL1437" s="98">
        <f t="shared" ca="1" si="257"/>
        <v>3.8724284832182265</v>
      </c>
      <c r="AM1437" s="106">
        <f t="shared" ca="1" si="251"/>
        <v>29437.679965378695</v>
      </c>
      <c r="AN1437" s="10">
        <f t="shared" ca="1" si="252"/>
        <v>0.83430867175509071</v>
      </c>
      <c r="AO1437" s="158"/>
      <c r="AP1437" s="158"/>
      <c r="AQ1437" s="1"/>
      <c r="AR1437" s="1"/>
      <c r="AS1437" s="1"/>
      <c r="AT1437" s="1"/>
      <c r="AU1437" s="1"/>
    </row>
    <row r="1438" spans="34:47">
      <c r="AH1438" s="6">
        <f t="shared" si="253"/>
        <v>1408</v>
      </c>
      <c r="AI1438" s="7">
        <f t="shared" ca="1" si="254"/>
        <v>44078</v>
      </c>
      <c r="AJ1438" s="210">
        <f t="shared" ca="1" si="255"/>
        <v>4.1749999999999998</v>
      </c>
      <c r="AK1438" s="8">
        <f t="shared" ca="1" si="256"/>
        <v>1.0001159722222221</v>
      </c>
      <c r="AL1438" s="98">
        <f t="shared" ca="1" si="257"/>
        <v>3.8727482230932697</v>
      </c>
      <c r="AM1438" s="106">
        <f t="shared" ca="1" si="251"/>
        <v>29440.02742169036</v>
      </c>
      <c r="AN1438" s="10">
        <f t="shared" ca="1" si="252"/>
        <v>0.8346605758659198</v>
      </c>
      <c r="AO1438" s="158"/>
      <c r="AP1438" s="158"/>
      <c r="AQ1438" s="1"/>
      <c r="AR1438" s="1"/>
      <c r="AS1438" s="1"/>
      <c r="AT1438" s="1"/>
      <c r="AU1438" s="1"/>
    </row>
    <row r="1439" spans="34:47">
      <c r="AH1439" s="6">
        <f t="shared" si="253"/>
        <v>1409</v>
      </c>
      <c r="AI1439" s="7">
        <f t="shared" ca="1" si="254"/>
        <v>44079</v>
      </c>
      <c r="AJ1439" s="210">
        <f t="shared" ca="1" si="255"/>
        <v>4.1749999999999998</v>
      </c>
      <c r="AK1439" s="8">
        <f t="shared" ca="1" si="256"/>
        <v>1.0001159722222221</v>
      </c>
      <c r="AL1439" s="98">
        <f t="shared" ca="1" si="257"/>
        <v>3.873067510096817</v>
      </c>
      <c r="AM1439" s="106">
        <f t="shared" ref="AM1439:AM1502" ca="1" si="258">Geom_Interp(AI1439,$AZ$2:$AZ$109,$BA$2:$BA$109)</f>
        <v>29442.375065195825</v>
      </c>
      <c r="AN1439" s="10">
        <f t="shared" ref="AN1439:AN1502" ca="1" si="259">100*(((1+AL1439/100)^(AH1439/365)*$AM$29/AM1439)^(365/AH1439)-1)</f>
        <v>0.83501198169320112</v>
      </c>
      <c r="AO1439" s="158"/>
      <c r="AP1439" s="158"/>
      <c r="AQ1439" s="1"/>
      <c r="AR1439" s="1"/>
      <c r="AS1439" s="1"/>
      <c r="AT1439" s="1"/>
      <c r="AU1439" s="1"/>
    </row>
    <row r="1440" spans="34:47">
      <c r="AH1440" s="6">
        <f t="shared" ref="AH1440:AH1503" si="260">$AI$29+AH1439</f>
        <v>1410</v>
      </c>
      <c r="AI1440" s="7">
        <f t="shared" ref="AI1440:AI1503" ca="1" si="261">+AH1440+$C$1</f>
        <v>44080</v>
      </c>
      <c r="AJ1440" s="210">
        <f t="shared" ref="AJ1440:AJ1503" ca="1" si="262">IF(AH1440&lt;365,VLOOKUP(LOOKUP(AI1440,$AI$2:$AI$23),$AI$2:$AK$23,3,0),Lin_Interp(AH1440,$AJ$2:$AJ$23,$AK$2:$AK$23))</f>
        <v>4.1749999999999998</v>
      </c>
      <c r="AK1440" s="8">
        <f t="shared" ca="1" si="256"/>
        <v>1.0001159722222221</v>
      </c>
      <c r="AL1440" s="98">
        <f t="shared" ca="1" si="257"/>
        <v>3.8733863451903439</v>
      </c>
      <c r="AM1440" s="106">
        <f t="shared" ca="1" si="258"/>
        <v>29444.722895910014</v>
      </c>
      <c r="AN1440" s="10">
        <f t="shared" ca="1" si="259"/>
        <v>0.83536289029455535</v>
      </c>
      <c r="AO1440" s="158"/>
      <c r="AP1440" s="158"/>
      <c r="AQ1440" s="1"/>
      <c r="AR1440" s="1"/>
      <c r="AS1440" s="1"/>
      <c r="AT1440" s="1"/>
      <c r="AU1440" s="1"/>
    </row>
    <row r="1441" spans="34:47">
      <c r="AH1441" s="6">
        <f t="shared" si="260"/>
        <v>1411</v>
      </c>
      <c r="AI1441" s="7">
        <f t="shared" ca="1" si="261"/>
        <v>44081</v>
      </c>
      <c r="AJ1441" s="210">
        <f t="shared" ca="1" si="262"/>
        <v>4.1749999999999998</v>
      </c>
      <c r="AK1441" s="8">
        <f t="shared" ref="AK1441:AK1504" ca="1" si="263">+(1+AJ1441/36000)</f>
        <v>1.0001159722222221</v>
      </c>
      <c r="AL1441" s="98">
        <f t="shared" ref="AL1441:AL1504" ca="1" si="264">100*(((1+AL1440/100)^(AH1440/365)*AK1441)^(365/AH1441)-1)</f>
        <v>3.8737047293326166</v>
      </c>
      <c r="AM1441" s="106">
        <f t="shared" ca="1" si="258"/>
        <v>29447.07091384786</v>
      </c>
      <c r="AN1441" s="10">
        <f t="shared" ca="1" si="259"/>
        <v>0.83571330272453892</v>
      </c>
      <c r="AO1441" s="158"/>
      <c r="AP1441" s="158"/>
      <c r="AQ1441" s="1"/>
      <c r="AR1441" s="1"/>
      <c r="AS1441" s="1"/>
      <c r="AT1441" s="1"/>
      <c r="AU1441" s="1"/>
    </row>
    <row r="1442" spans="34:47">
      <c r="AH1442" s="6">
        <f t="shared" si="260"/>
        <v>1412</v>
      </c>
      <c r="AI1442" s="7">
        <f t="shared" ca="1" si="261"/>
        <v>44082</v>
      </c>
      <c r="AJ1442" s="210">
        <f t="shared" ca="1" si="262"/>
        <v>4.1749999999999998</v>
      </c>
      <c r="AK1442" s="8">
        <f t="shared" ca="1" si="263"/>
        <v>1.0001159722222221</v>
      </c>
      <c r="AL1442" s="98">
        <f t="shared" ca="1" si="264"/>
        <v>3.8740226634796482</v>
      </c>
      <c r="AM1442" s="106">
        <f t="shared" ca="1" si="258"/>
        <v>29449.419119024289</v>
      </c>
      <c r="AN1442" s="10">
        <f t="shared" ca="1" si="259"/>
        <v>0.83606322003477729</v>
      </c>
      <c r="AO1442" s="158"/>
      <c r="AP1442" s="158"/>
      <c r="AQ1442" s="1"/>
      <c r="AR1442" s="1"/>
      <c r="AS1442" s="1"/>
      <c r="AT1442" s="1"/>
      <c r="AU1442" s="1"/>
    </row>
    <row r="1443" spans="34:47">
      <c r="AH1443" s="6">
        <f t="shared" si="260"/>
        <v>1413</v>
      </c>
      <c r="AI1443" s="7">
        <f t="shared" ca="1" si="261"/>
        <v>44083</v>
      </c>
      <c r="AJ1443" s="210">
        <f t="shared" ca="1" si="262"/>
        <v>4.1749999999999998</v>
      </c>
      <c r="AK1443" s="8">
        <f t="shared" ca="1" si="263"/>
        <v>1.0001159722222221</v>
      </c>
      <c r="AL1443" s="98">
        <f t="shared" ca="1" si="264"/>
        <v>3.8743401485848095</v>
      </c>
      <c r="AM1443" s="106">
        <f t="shared" ca="1" si="258"/>
        <v>29451.767511454233</v>
      </c>
      <c r="AN1443" s="10">
        <f t="shared" ca="1" si="259"/>
        <v>0.8364126432738983</v>
      </c>
      <c r="AO1443" s="158"/>
      <c r="AP1443" s="158"/>
      <c r="AQ1443" s="1"/>
      <c r="AR1443" s="1"/>
      <c r="AS1443" s="1"/>
      <c r="AT1443" s="1"/>
      <c r="AU1443" s="1"/>
    </row>
    <row r="1444" spans="34:47">
      <c r="AH1444" s="6">
        <f t="shared" si="260"/>
        <v>1414</v>
      </c>
      <c r="AI1444" s="7">
        <f t="shared" ca="1" si="261"/>
        <v>44084</v>
      </c>
      <c r="AJ1444" s="210">
        <f t="shared" ca="1" si="262"/>
        <v>4.1749999999999998</v>
      </c>
      <c r="AK1444" s="8">
        <f t="shared" ca="1" si="263"/>
        <v>1.0001159722222221</v>
      </c>
      <c r="AL1444" s="98">
        <f t="shared" ca="1" si="264"/>
        <v>3.8746571855987177</v>
      </c>
      <c r="AM1444" s="106">
        <f t="shared" ca="1" si="258"/>
        <v>29454.194380367924</v>
      </c>
      <c r="AN1444" s="10">
        <f t="shared" ca="1" si="259"/>
        <v>0.83669238759240816</v>
      </c>
      <c r="AO1444" s="158"/>
      <c r="AP1444" s="158"/>
      <c r="AQ1444" s="1"/>
      <c r="AR1444" s="1"/>
      <c r="AS1444" s="1"/>
      <c r="AT1444" s="1"/>
      <c r="AU1444" s="1"/>
    </row>
    <row r="1445" spans="34:47">
      <c r="AH1445" s="6">
        <f t="shared" si="260"/>
        <v>1415</v>
      </c>
      <c r="AI1445" s="7">
        <f t="shared" ca="1" si="261"/>
        <v>44085</v>
      </c>
      <c r="AJ1445" s="210">
        <f t="shared" ca="1" si="262"/>
        <v>4.1749999999999998</v>
      </c>
      <c r="AK1445" s="8">
        <f t="shared" ca="1" si="263"/>
        <v>1.0001159722222221</v>
      </c>
      <c r="AL1445" s="98">
        <f t="shared" ca="1" si="264"/>
        <v>3.8749737754693481</v>
      </c>
      <c r="AM1445" s="106">
        <f t="shared" ca="1" si="258"/>
        <v>29456.621449259183</v>
      </c>
      <c r="AN1445" s="10">
        <f t="shared" ca="1" si="259"/>
        <v>0.83697173728702889</v>
      </c>
      <c r="AO1445" s="158"/>
      <c r="AP1445" s="158"/>
      <c r="AQ1445" s="1"/>
      <c r="AR1445" s="1"/>
      <c r="AS1445" s="1"/>
      <c r="AT1445" s="1"/>
      <c r="AU1445" s="1"/>
    </row>
    <row r="1446" spans="34:47">
      <c r="AH1446" s="6">
        <f t="shared" si="260"/>
        <v>1416</v>
      </c>
      <c r="AI1446" s="7">
        <f t="shared" ca="1" si="261"/>
        <v>44086</v>
      </c>
      <c r="AJ1446" s="210">
        <f t="shared" ca="1" si="262"/>
        <v>4.1749999999999998</v>
      </c>
      <c r="AK1446" s="8">
        <f t="shared" ca="1" si="263"/>
        <v>1.0001159722222221</v>
      </c>
      <c r="AL1446" s="98">
        <f t="shared" ca="1" si="264"/>
        <v>3.8752899191420109</v>
      </c>
      <c r="AM1446" s="106">
        <f t="shared" ca="1" si="258"/>
        <v>29459.048718144481</v>
      </c>
      <c r="AN1446" s="10">
        <f t="shared" ca="1" si="259"/>
        <v>0.83725069319218193</v>
      </c>
      <c r="AO1446" s="158"/>
      <c r="AP1446" s="158"/>
      <c r="AQ1446" s="1"/>
      <c r="AR1446" s="1"/>
      <c r="AS1446" s="1"/>
      <c r="AT1446" s="1"/>
      <c r="AU1446" s="1"/>
    </row>
    <row r="1447" spans="34:47">
      <c r="AH1447" s="6">
        <f t="shared" si="260"/>
        <v>1417</v>
      </c>
      <c r="AI1447" s="7">
        <f t="shared" ca="1" si="261"/>
        <v>44087</v>
      </c>
      <c r="AJ1447" s="210">
        <f t="shared" ca="1" si="262"/>
        <v>4.1749999999999998</v>
      </c>
      <c r="AK1447" s="8">
        <f t="shared" ca="1" si="263"/>
        <v>1.0001159722222221</v>
      </c>
      <c r="AL1447" s="98">
        <f t="shared" ca="1" si="264"/>
        <v>3.8756056175593523</v>
      </c>
      <c r="AM1447" s="106">
        <f t="shared" ca="1" si="258"/>
        <v>29461.476187040302</v>
      </c>
      <c r="AN1447" s="10">
        <f t="shared" ca="1" si="259"/>
        <v>0.83752925613995721</v>
      </c>
      <c r="AO1447" s="158"/>
      <c r="AP1447" s="158"/>
      <c r="AQ1447" s="1"/>
      <c r="AR1447" s="1"/>
      <c r="AS1447" s="1"/>
      <c r="AT1447" s="1"/>
      <c r="AU1447" s="1"/>
    </row>
    <row r="1448" spans="34:47">
      <c r="AH1448" s="6">
        <f t="shared" si="260"/>
        <v>1418</v>
      </c>
      <c r="AI1448" s="7">
        <f t="shared" ca="1" si="261"/>
        <v>44088</v>
      </c>
      <c r="AJ1448" s="210">
        <f t="shared" ca="1" si="262"/>
        <v>4.1749999999999998</v>
      </c>
      <c r="AK1448" s="8">
        <f t="shared" ca="1" si="263"/>
        <v>1.0001159722222221</v>
      </c>
      <c r="AL1448" s="98">
        <f t="shared" ca="1" si="264"/>
        <v>3.8759208716613314</v>
      </c>
      <c r="AM1448" s="106">
        <f t="shared" ca="1" si="258"/>
        <v>29463.903855963126</v>
      </c>
      <c r="AN1448" s="10">
        <f t="shared" ca="1" si="259"/>
        <v>0.83780742696009103</v>
      </c>
      <c r="AO1448" s="158"/>
      <c r="AP1448" s="158"/>
      <c r="AQ1448" s="1"/>
      <c r="AR1448" s="1"/>
      <c r="AS1448" s="1"/>
      <c r="AT1448" s="1"/>
      <c r="AU1448" s="1"/>
    </row>
    <row r="1449" spans="34:47">
      <c r="AH1449" s="6">
        <f t="shared" si="260"/>
        <v>1419</v>
      </c>
      <c r="AI1449" s="7">
        <f t="shared" ca="1" si="261"/>
        <v>44089</v>
      </c>
      <c r="AJ1449" s="210">
        <f t="shared" ca="1" si="262"/>
        <v>4.1749999999999998</v>
      </c>
      <c r="AK1449" s="8">
        <f t="shared" ca="1" si="263"/>
        <v>1.0001159722222221</v>
      </c>
      <c r="AL1449" s="98">
        <f t="shared" ca="1" si="264"/>
        <v>3.8762356823852873</v>
      </c>
      <c r="AM1449" s="106">
        <f t="shared" ca="1" si="258"/>
        <v>29466.331724929434</v>
      </c>
      <c r="AN1449" s="10">
        <f t="shared" ca="1" si="259"/>
        <v>0.83808520647996598</v>
      </c>
      <c r="AO1449" s="158"/>
      <c r="AP1449" s="158"/>
      <c r="AQ1449" s="1"/>
      <c r="AR1449" s="1"/>
      <c r="AS1449" s="1"/>
      <c r="AT1449" s="1"/>
      <c r="AU1449" s="1"/>
    </row>
    <row r="1450" spans="34:47">
      <c r="AH1450" s="6">
        <f t="shared" si="260"/>
        <v>1420</v>
      </c>
      <c r="AI1450" s="7">
        <f t="shared" ca="1" si="261"/>
        <v>44090</v>
      </c>
      <c r="AJ1450" s="210">
        <f t="shared" ca="1" si="262"/>
        <v>4.1749999999999998</v>
      </c>
      <c r="AK1450" s="8">
        <f t="shared" ca="1" si="263"/>
        <v>1.0001159722222221</v>
      </c>
      <c r="AL1450" s="98">
        <f t="shared" ca="1" si="264"/>
        <v>3.8765500506659167</v>
      </c>
      <c r="AM1450" s="106">
        <f t="shared" ca="1" si="258"/>
        <v>29468.759793955716</v>
      </c>
      <c r="AN1450" s="10">
        <f t="shared" ca="1" si="259"/>
        <v>0.83836259552465542</v>
      </c>
      <c r="AO1450" s="158"/>
      <c r="AP1450" s="158"/>
      <c r="AQ1450" s="1"/>
      <c r="AR1450" s="1"/>
      <c r="AS1450" s="1"/>
      <c r="AT1450" s="1"/>
      <c r="AU1450" s="1"/>
    </row>
    <row r="1451" spans="34:47">
      <c r="AH1451" s="6">
        <f t="shared" si="260"/>
        <v>1421</v>
      </c>
      <c r="AI1451" s="7">
        <f t="shared" ca="1" si="261"/>
        <v>44091</v>
      </c>
      <c r="AJ1451" s="210">
        <f t="shared" ca="1" si="262"/>
        <v>4.1749999999999998</v>
      </c>
      <c r="AK1451" s="8">
        <f t="shared" ca="1" si="263"/>
        <v>1.0001159722222221</v>
      </c>
      <c r="AL1451" s="98">
        <f t="shared" ca="1" si="264"/>
        <v>3.8768639774352964</v>
      </c>
      <c r="AM1451" s="106">
        <f t="shared" ca="1" si="258"/>
        <v>29471.188063058449</v>
      </c>
      <c r="AN1451" s="10">
        <f t="shared" ca="1" si="259"/>
        <v>0.83863959491694562</v>
      </c>
      <c r="AO1451" s="158"/>
      <c r="AP1451" s="158"/>
      <c r="AQ1451" s="1"/>
      <c r="AR1451" s="1"/>
      <c r="AS1451" s="1"/>
      <c r="AT1451" s="1"/>
      <c r="AU1451" s="1"/>
    </row>
    <row r="1452" spans="34:47">
      <c r="AH1452" s="6">
        <f t="shared" si="260"/>
        <v>1422</v>
      </c>
      <c r="AI1452" s="7">
        <f t="shared" ca="1" si="261"/>
        <v>44092</v>
      </c>
      <c r="AJ1452" s="210">
        <f t="shared" ca="1" si="262"/>
        <v>4.1749999999999998</v>
      </c>
      <c r="AK1452" s="8">
        <f t="shared" ca="1" si="263"/>
        <v>1.0001159722222221</v>
      </c>
      <c r="AL1452" s="98">
        <f t="shared" ca="1" si="264"/>
        <v>3.8771774636228828</v>
      </c>
      <c r="AM1452" s="106">
        <f t="shared" ca="1" si="258"/>
        <v>29473.616532254131</v>
      </c>
      <c r="AN1452" s="10">
        <f t="shared" ca="1" si="259"/>
        <v>0.83891620547724699</v>
      </c>
      <c r="AO1452" s="158"/>
      <c r="AP1452" s="158"/>
      <c r="AQ1452" s="1"/>
      <c r="AR1452" s="1"/>
      <c r="AS1452" s="1"/>
      <c r="AT1452" s="1"/>
      <c r="AU1452" s="1"/>
    </row>
    <row r="1453" spans="34:47">
      <c r="AH1453" s="6">
        <f t="shared" si="260"/>
        <v>1423</v>
      </c>
      <c r="AI1453" s="7">
        <f t="shared" ca="1" si="261"/>
        <v>44093</v>
      </c>
      <c r="AJ1453" s="210">
        <f t="shared" ca="1" si="262"/>
        <v>4.1749999999999998</v>
      </c>
      <c r="AK1453" s="8">
        <f t="shared" ca="1" si="263"/>
        <v>1.0001159722222221</v>
      </c>
      <c r="AL1453" s="98">
        <f t="shared" ca="1" si="264"/>
        <v>3.8774905101555568</v>
      </c>
      <c r="AM1453" s="106">
        <f t="shared" ca="1" si="258"/>
        <v>29476.045201559238</v>
      </c>
      <c r="AN1453" s="10">
        <f t="shared" ca="1" si="259"/>
        <v>0.83919242802374949</v>
      </c>
      <c r="AO1453" s="158"/>
      <c r="AP1453" s="158"/>
      <c r="AQ1453" s="1"/>
      <c r="AR1453" s="1"/>
      <c r="AS1453" s="1"/>
      <c r="AT1453" s="1"/>
      <c r="AU1453" s="1"/>
    </row>
    <row r="1454" spans="34:47">
      <c r="AH1454" s="6">
        <f t="shared" si="260"/>
        <v>1424</v>
      </c>
      <c r="AI1454" s="7">
        <f t="shared" ca="1" si="261"/>
        <v>44094</v>
      </c>
      <c r="AJ1454" s="210">
        <f t="shared" ca="1" si="262"/>
        <v>4.1749999999999998</v>
      </c>
      <c r="AK1454" s="8">
        <f t="shared" ca="1" si="263"/>
        <v>1.0001159722222221</v>
      </c>
      <c r="AL1454" s="98">
        <f t="shared" ca="1" si="264"/>
        <v>3.8778031179575345</v>
      </c>
      <c r="AM1454" s="106">
        <f t="shared" ca="1" si="258"/>
        <v>29478.474070990265</v>
      </c>
      <c r="AN1454" s="10">
        <f t="shared" ca="1" si="259"/>
        <v>0.83946826337228941</v>
      </c>
      <c r="AO1454" s="158"/>
      <c r="AP1454" s="158"/>
      <c r="AQ1454" s="1"/>
      <c r="AR1454" s="1"/>
      <c r="AS1454" s="1"/>
      <c r="AT1454" s="1"/>
      <c r="AU1454" s="1"/>
    </row>
    <row r="1455" spans="34:47">
      <c r="AH1455" s="6">
        <f t="shared" si="260"/>
        <v>1425</v>
      </c>
      <c r="AI1455" s="7">
        <f t="shared" ca="1" si="261"/>
        <v>44095</v>
      </c>
      <c r="AJ1455" s="210">
        <f t="shared" ca="1" si="262"/>
        <v>4.1749999999999998</v>
      </c>
      <c r="AK1455" s="8">
        <f t="shared" ca="1" si="263"/>
        <v>1.0001159722222221</v>
      </c>
      <c r="AL1455" s="98">
        <f t="shared" ca="1" si="264"/>
        <v>3.878115287950501</v>
      </c>
      <c r="AM1455" s="106">
        <f t="shared" ca="1" si="258"/>
        <v>29480.903140563696</v>
      </c>
      <c r="AN1455" s="10">
        <f t="shared" ca="1" si="259"/>
        <v>0.83974371233641598</v>
      </c>
      <c r="AO1455" s="158"/>
      <c r="AP1455" s="158"/>
      <c r="AQ1455" s="1"/>
      <c r="AR1455" s="1"/>
      <c r="AS1455" s="1"/>
      <c r="AT1455" s="1"/>
      <c r="AU1455" s="1"/>
    </row>
    <row r="1456" spans="34:47">
      <c r="AH1456" s="6">
        <f t="shared" si="260"/>
        <v>1426</v>
      </c>
      <c r="AI1456" s="7">
        <f t="shared" ca="1" si="261"/>
        <v>44096</v>
      </c>
      <c r="AJ1456" s="210">
        <f t="shared" ca="1" si="262"/>
        <v>4.1749999999999998</v>
      </c>
      <c r="AK1456" s="8">
        <f t="shared" ca="1" si="263"/>
        <v>1.0001159722222221</v>
      </c>
      <c r="AL1456" s="98">
        <f t="shared" ca="1" si="264"/>
        <v>3.8784270210535432</v>
      </c>
      <c r="AM1456" s="106">
        <f t="shared" ca="1" si="258"/>
        <v>29483.332410296032</v>
      </c>
      <c r="AN1456" s="10">
        <f t="shared" ca="1" si="259"/>
        <v>0.84001877572743577</v>
      </c>
      <c r="AO1456" s="158"/>
      <c r="AP1456" s="158"/>
      <c r="AQ1456" s="1"/>
      <c r="AR1456" s="1"/>
      <c r="AS1456" s="1"/>
      <c r="AT1456" s="1"/>
      <c r="AU1456" s="1"/>
    </row>
    <row r="1457" spans="34:47">
      <c r="AH1457" s="6">
        <f t="shared" si="260"/>
        <v>1427</v>
      </c>
      <c r="AI1457" s="7">
        <f t="shared" ca="1" si="261"/>
        <v>44097</v>
      </c>
      <c r="AJ1457" s="210">
        <f t="shared" ca="1" si="262"/>
        <v>4.1749999999999998</v>
      </c>
      <c r="AK1457" s="8">
        <f t="shared" ca="1" si="263"/>
        <v>1.0001159722222221</v>
      </c>
      <c r="AL1457" s="98">
        <f t="shared" ca="1" si="264"/>
        <v>3.8787383181831725</v>
      </c>
      <c r="AM1457" s="106">
        <f t="shared" ca="1" si="258"/>
        <v>29485.761880203765</v>
      </c>
      <c r="AN1457" s="10">
        <f t="shared" ca="1" si="259"/>
        <v>0.84029345435436831</v>
      </c>
      <c r="AO1457" s="158"/>
      <c r="AP1457" s="158"/>
      <c r="AQ1457" s="1"/>
      <c r="AR1457" s="1"/>
      <c r="AS1457" s="1"/>
      <c r="AT1457" s="1"/>
      <c r="AU1457" s="1"/>
    </row>
    <row r="1458" spans="34:47">
      <c r="AH1458" s="6">
        <f t="shared" si="260"/>
        <v>1428</v>
      </c>
      <c r="AI1458" s="7">
        <f t="shared" ca="1" si="261"/>
        <v>44098</v>
      </c>
      <c r="AJ1458" s="210">
        <f t="shared" ca="1" si="262"/>
        <v>4.1749999999999998</v>
      </c>
      <c r="AK1458" s="8">
        <f t="shared" ca="1" si="263"/>
        <v>1.0001159722222221</v>
      </c>
      <c r="AL1458" s="98">
        <f t="shared" ca="1" si="264"/>
        <v>3.8790491802533467</v>
      </c>
      <c r="AM1458" s="106">
        <f t="shared" ca="1" si="258"/>
        <v>29488.191550303389</v>
      </c>
      <c r="AN1458" s="10">
        <f t="shared" ca="1" si="259"/>
        <v>0.84056774902396825</v>
      </c>
      <c r="AO1458" s="158"/>
      <c r="AP1458" s="158"/>
      <c r="AQ1458" s="1"/>
      <c r="AR1458" s="1"/>
      <c r="AS1458" s="1"/>
      <c r="AT1458" s="1"/>
      <c r="AU1458" s="1"/>
    </row>
    <row r="1459" spans="34:47">
      <c r="AH1459" s="6">
        <f t="shared" si="260"/>
        <v>1429</v>
      </c>
      <c r="AI1459" s="7">
        <f t="shared" ca="1" si="261"/>
        <v>44099</v>
      </c>
      <c r="AJ1459" s="210">
        <f t="shared" ca="1" si="262"/>
        <v>4.1749999999999998</v>
      </c>
      <c r="AK1459" s="8">
        <f t="shared" ca="1" si="263"/>
        <v>1.0001159722222221</v>
      </c>
      <c r="AL1459" s="98">
        <f t="shared" ca="1" si="264"/>
        <v>3.8793596081754478</v>
      </c>
      <c r="AM1459" s="106">
        <f t="shared" ca="1" si="258"/>
        <v>29490.621420611398</v>
      </c>
      <c r="AN1459" s="10">
        <f t="shared" ca="1" si="259"/>
        <v>0.8408416605407254</v>
      </c>
      <c r="AO1459" s="158"/>
      <c r="AP1459" s="158"/>
      <c r="AQ1459" s="1"/>
      <c r="AR1459" s="1"/>
      <c r="AS1459" s="1"/>
      <c r="AT1459" s="1"/>
      <c r="AU1459" s="1"/>
    </row>
    <row r="1460" spans="34:47">
      <c r="AH1460" s="6">
        <f t="shared" si="260"/>
        <v>1430</v>
      </c>
      <c r="AI1460" s="7">
        <f t="shared" ca="1" si="261"/>
        <v>44100</v>
      </c>
      <c r="AJ1460" s="210">
        <f t="shared" ca="1" si="262"/>
        <v>4.1749999999999998</v>
      </c>
      <c r="AK1460" s="8">
        <f t="shared" ca="1" si="263"/>
        <v>1.0001159722222221</v>
      </c>
      <c r="AL1460" s="98">
        <f t="shared" ca="1" si="264"/>
        <v>3.8796696028583488</v>
      </c>
      <c r="AM1460" s="106">
        <f t="shared" ca="1" si="258"/>
        <v>29493.051491144288</v>
      </c>
      <c r="AN1460" s="10">
        <f t="shared" ca="1" si="259"/>
        <v>0.84111518970693133</v>
      </c>
      <c r="AO1460" s="158"/>
      <c r="AP1460" s="158"/>
      <c r="AQ1460" s="1"/>
      <c r="AR1460" s="1"/>
      <c r="AS1460" s="1"/>
      <c r="AT1460" s="1"/>
      <c r="AU1460" s="1"/>
    </row>
    <row r="1461" spans="34:47">
      <c r="AH1461" s="6">
        <f t="shared" si="260"/>
        <v>1431</v>
      </c>
      <c r="AI1461" s="7">
        <f t="shared" ca="1" si="261"/>
        <v>44101</v>
      </c>
      <c r="AJ1461" s="210">
        <f t="shared" ca="1" si="262"/>
        <v>4.1749999999999998</v>
      </c>
      <c r="AK1461" s="8">
        <f t="shared" ca="1" si="263"/>
        <v>1.0001159722222221</v>
      </c>
      <c r="AL1461" s="98">
        <f t="shared" ca="1" si="264"/>
        <v>3.8799791652083693</v>
      </c>
      <c r="AM1461" s="106">
        <f t="shared" ca="1" si="258"/>
        <v>29495.481761918563</v>
      </c>
      <c r="AN1461" s="10">
        <f t="shared" ca="1" si="259"/>
        <v>0.84138833732256835</v>
      </c>
      <c r="AO1461" s="158"/>
      <c r="AP1461" s="158"/>
      <c r="AQ1461" s="1"/>
      <c r="AR1461" s="1"/>
      <c r="AS1461" s="1"/>
      <c r="AT1461" s="1"/>
      <c r="AU1461" s="1"/>
    </row>
    <row r="1462" spans="34:47">
      <c r="AH1462" s="6">
        <f t="shared" si="260"/>
        <v>1432</v>
      </c>
      <c r="AI1462" s="7">
        <f t="shared" ca="1" si="261"/>
        <v>44102</v>
      </c>
      <c r="AJ1462" s="210">
        <f t="shared" ca="1" si="262"/>
        <v>4.1749999999999998</v>
      </c>
      <c r="AK1462" s="8">
        <f t="shared" ca="1" si="263"/>
        <v>1.0001159722222221</v>
      </c>
      <c r="AL1462" s="98">
        <f t="shared" ca="1" si="264"/>
        <v>3.8802882961293195</v>
      </c>
      <c r="AM1462" s="106">
        <f t="shared" ca="1" si="258"/>
        <v>29497.912232950719</v>
      </c>
      <c r="AN1462" s="10">
        <f t="shared" ca="1" si="259"/>
        <v>0.84166110418546491</v>
      </c>
      <c r="AO1462" s="158"/>
      <c r="AP1462" s="158"/>
      <c r="AQ1462" s="1"/>
      <c r="AR1462" s="1"/>
      <c r="AS1462" s="1"/>
      <c r="AT1462" s="1"/>
      <c r="AU1462" s="1"/>
    </row>
    <row r="1463" spans="34:47">
      <c r="AH1463" s="6">
        <f t="shared" si="260"/>
        <v>1433</v>
      </c>
      <c r="AI1463" s="7">
        <f t="shared" ca="1" si="261"/>
        <v>44103</v>
      </c>
      <c r="AJ1463" s="210">
        <f t="shared" ca="1" si="262"/>
        <v>4.1749999999999998</v>
      </c>
      <c r="AK1463" s="8">
        <f t="shared" ca="1" si="263"/>
        <v>1.0001159722222221</v>
      </c>
      <c r="AL1463" s="98">
        <f t="shared" ca="1" si="264"/>
        <v>3.8805969965224563</v>
      </c>
      <c r="AM1463" s="106">
        <f t="shared" ca="1" si="258"/>
        <v>29500.342904257261</v>
      </c>
      <c r="AN1463" s="10">
        <f t="shared" ca="1" si="259"/>
        <v>0.84193349109116244</v>
      </c>
      <c r="AO1463" s="158"/>
      <c r="AP1463" s="158"/>
      <c r="AQ1463" s="1"/>
      <c r="AR1463" s="1"/>
      <c r="AS1463" s="1"/>
      <c r="AT1463" s="1"/>
      <c r="AU1463" s="1"/>
    </row>
    <row r="1464" spans="34:47">
      <c r="AH1464" s="6">
        <f t="shared" si="260"/>
        <v>1434</v>
      </c>
      <c r="AI1464" s="7">
        <f t="shared" ca="1" si="261"/>
        <v>44104</v>
      </c>
      <c r="AJ1464" s="210">
        <f t="shared" ca="1" si="262"/>
        <v>4.1749999999999998</v>
      </c>
      <c r="AK1464" s="8">
        <f t="shared" ca="1" si="263"/>
        <v>1.0001159722222221</v>
      </c>
      <c r="AL1464" s="98">
        <f t="shared" ca="1" si="264"/>
        <v>3.8809052672865718</v>
      </c>
      <c r="AM1464" s="106">
        <f t="shared" ca="1" si="258"/>
        <v>29502.773775854683</v>
      </c>
      <c r="AN1464" s="10">
        <f t="shared" ca="1" si="259"/>
        <v>0.84220549883302631</v>
      </c>
      <c r="AO1464" s="158"/>
      <c r="AP1464" s="158"/>
      <c r="AQ1464" s="1"/>
      <c r="AR1464" s="1"/>
      <c r="AS1464" s="1"/>
      <c r="AT1464" s="1"/>
      <c r="AU1464" s="1"/>
    </row>
    <row r="1465" spans="34:47">
      <c r="AH1465" s="6">
        <f t="shared" si="260"/>
        <v>1435</v>
      </c>
      <c r="AI1465" s="7">
        <f t="shared" ca="1" si="261"/>
        <v>44105</v>
      </c>
      <c r="AJ1465" s="210">
        <f t="shared" ca="1" si="262"/>
        <v>4.1749999999999998</v>
      </c>
      <c r="AK1465" s="8">
        <f t="shared" ca="1" si="263"/>
        <v>1.0001159722222221</v>
      </c>
      <c r="AL1465" s="98">
        <f t="shared" ca="1" si="264"/>
        <v>3.8812131093179048</v>
      </c>
      <c r="AM1465" s="106">
        <f t="shared" ca="1" si="258"/>
        <v>29505.204847759502</v>
      </c>
      <c r="AN1465" s="10">
        <f t="shared" ca="1" si="259"/>
        <v>0.84247712820220144</v>
      </c>
      <c r="AO1465" s="158"/>
      <c r="AP1465" s="158"/>
      <c r="AQ1465" s="1"/>
      <c r="AR1465" s="1"/>
      <c r="AS1465" s="1"/>
      <c r="AT1465" s="1"/>
      <c r="AU1465" s="1"/>
    </row>
    <row r="1466" spans="34:47">
      <c r="AH1466" s="6">
        <f t="shared" si="260"/>
        <v>1436</v>
      </c>
      <c r="AI1466" s="7">
        <f t="shared" ca="1" si="261"/>
        <v>44106</v>
      </c>
      <c r="AJ1466" s="210">
        <f t="shared" ca="1" si="262"/>
        <v>4.1749999999999998</v>
      </c>
      <c r="AK1466" s="8">
        <f t="shared" ca="1" si="263"/>
        <v>1.0001159722222221</v>
      </c>
      <c r="AL1466" s="98">
        <f t="shared" ca="1" si="264"/>
        <v>3.8815205235102512</v>
      </c>
      <c r="AM1466" s="106">
        <f t="shared" ca="1" si="258"/>
        <v>29507.636119988216</v>
      </c>
      <c r="AN1466" s="10">
        <f t="shared" ca="1" si="259"/>
        <v>0.84274837998761232</v>
      </c>
      <c r="AO1466" s="158"/>
      <c r="AP1466" s="158"/>
      <c r="AQ1466" s="1"/>
      <c r="AR1466" s="1"/>
      <c r="AS1466" s="1"/>
      <c r="AT1466" s="1"/>
      <c r="AU1466" s="1"/>
    </row>
    <row r="1467" spans="34:47">
      <c r="AH1467" s="6">
        <f t="shared" si="260"/>
        <v>1437</v>
      </c>
      <c r="AI1467" s="7">
        <f t="shared" ca="1" si="261"/>
        <v>44107</v>
      </c>
      <c r="AJ1467" s="210">
        <f t="shared" ca="1" si="262"/>
        <v>4.1749999999999998</v>
      </c>
      <c r="AK1467" s="8">
        <f t="shared" ca="1" si="263"/>
        <v>1.0001159722222221</v>
      </c>
      <c r="AL1467" s="98">
        <f t="shared" ca="1" si="264"/>
        <v>3.8818275107548983</v>
      </c>
      <c r="AM1467" s="106">
        <f t="shared" ca="1" si="258"/>
        <v>29510.067592557334</v>
      </c>
      <c r="AN1467" s="10">
        <f t="shared" ca="1" si="259"/>
        <v>0.84301925497602959</v>
      </c>
      <c r="AO1467" s="158"/>
      <c r="AP1467" s="158"/>
      <c r="AQ1467" s="1"/>
      <c r="AR1467" s="1"/>
      <c r="AS1467" s="1"/>
      <c r="AT1467" s="1"/>
      <c r="AU1467" s="1"/>
    </row>
    <row r="1468" spans="34:47">
      <c r="AH1468" s="6">
        <f t="shared" si="260"/>
        <v>1438</v>
      </c>
      <c r="AI1468" s="7">
        <f t="shared" ca="1" si="261"/>
        <v>44108</v>
      </c>
      <c r="AJ1468" s="210">
        <f t="shared" ca="1" si="262"/>
        <v>4.1749999999999998</v>
      </c>
      <c r="AK1468" s="8">
        <f t="shared" ca="1" si="263"/>
        <v>1.0001159722222221</v>
      </c>
      <c r="AL1468" s="98">
        <f t="shared" ca="1" si="264"/>
        <v>3.8821340719406905</v>
      </c>
      <c r="AM1468" s="106">
        <f t="shared" ca="1" si="258"/>
        <v>29512.499265483362</v>
      </c>
      <c r="AN1468" s="10">
        <f t="shared" ca="1" si="259"/>
        <v>0.84328975395202566</v>
      </c>
      <c r="AO1468" s="158"/>
      <c r="AP1468" s="158"/>
      <c r="AQ1468" s="1"/>
      <c r="AR1468" s="1"/>
      <c r="AS1468" s="1"/>
      <c r="AT1468" s="1"/>
      <c r="AU1468" s="1"/>
    </row>
    <row r="1469" spans="34:47">
      <c r="AH1469" s="6">
        <f t="shared" si="260"/>
        <v>1439</v>
      </c>
      <c r="AI1469" s="7">
        <f t="shared" ca="1" si="261"/>
        <v>44109</v>
      </c>
      <c r="AJ1469" s="210">
        <f t="shared" ca="1" si="262"/>
        <v>4.1749999999999998</v>
      </c>
      <c r="AK1469" s="8">
        <f t="shared" ca="1" si="263"/>
        <v>1.0001159722222221</v>
      </c>
      <c r="AL1469" s="98">
        <f t="shared" ca="1" si="264"/>
        <v>3.8824402079539633</v>
      </c>
      <c r="AM1469" s="106">
        <f t="shared" ca="1" si="258"/>
        <v>29514.931138782817</v>
      </c>
      <c r="AN1469" s="10">
        <f t="shared" ca="1" si="259"/>
        <v>0.8435598776979969</v>
      </c>
      <c r="AO1469" s="158"/>
      <c r="AP1469" s="158"/>
      <c r="AQ1469" s="1"/>
      <c r="AR1469" s="1"/>
      <c r="AS1469" s="1"/>
      <c r="AT1469" s="1"/>
      <c r="AU1469" s="1"/>
    </row>
    <row r="1470" spans="34:47">
      <c r="AH1470" s="6">
        <f t="shared" si="260"/>
        <v>1440</v>
      </c>
      <c r="AI1470" s="7">
        <f t="shared" ca="1" si="261"/>
        <v>44110</v>
      </c>
      <c r="AJ1470" s="210">
        <f t="shared" ca="1" si="262"/>
        <v>4.1749999999999998</v>
      </c>
      <c r="AK1470" s="8">
        <f t="shared" ca="1" si="263"/>
        <v>1.0001159722222221</v>
      </c>
      <c r="AL1470" s="98">
        <f t="shared" ca="1" si="264"/>
        <v>3.8827459196786096</v>
      </c>
      <c r="AM1470" s="106">
        <f t="shared" ca="1" si="258"/>
        <v>29517.363212472199</v>
      </c>
      <c r="AN1470" s="10">
        <f t="shared" ca="1" si="259"/>
        <v>0.84382962699414144</v>
      </c>
      <c r="AO1470" s="158"/>
      <c r="AP1470" s="158"/>
      <c r="AQ1470" s="1"/>
      <c r="AR1470" s="1"/>
      <c r="AS1470" s="1"/>
      <c r="AT1470" s="1"/>
      <c r="AU1470" s="1"/>
    </row>
    <row r="1471" spans="34:47">
      <c r="AH1471" s="6">
        <f t="shared" si="260"/>
        <v>1441</v>
      </c>
      <c r="AI1471" s="7">
        <f t="shared" ca="1" si="261"/>
        <v>44111</v>
      </c>
      <c r="AJ1471" s="210">
        <f t="shared" ca="1" si="262"/>
        <v>4.1749999999999998</v>
      </c>
      <c r="AK1471" s="8">
        <f t="shared" ca="1" si="263"/>
        <v>1.0001159722222221</v>
      </c>
      <c r="AL1471" s="98">
        <f t="shared" ca="1" si="264"/>
        <v>3.8830512079961021</v>
      </c>
      <c r="AM1471" s="106">
        <f t="shared" ca="1" si="258"/>
        <v>29519.795486568029</v>
      </c>
      <c r="AN1471" s="10">
        <f t="shared" ca="1" si="259"/>
        <v>0.84409900261854798</v>
      </c>
      <c r="AO1471" s="158"/>
      <c r="AP1471" s="158"/>
      <c r="AQ1471" s="1"/>
      <c r="AR1471" s="1"/>
      <c r="AS1471" s="1"/>
      <c r="AT1471" s="1"/>
      <c r="AU1471" s="1"/>
    </row>
    <row r="1472" spans="34:47">
      <c r="AH1472" s="6">
        <f t="shared" si="260"/>
        <v>1442</v>
      </c>
      <c r="AI1472" s="7">
        <f t="shared" ca="1" si="261"/>
        <v>44112</v>
      </c>
      <c r="AJ1472" s="210">
        <f t="shared" ca="1" si="262"/>
        <v>4.1749999999999998</v>
      </c>
      <c r="AK1472" s="8">
        <f t="shared" ca="1" si="263"/>
        <v>1.0001159722222221</v>
      </c>
      <c r="AL1472" s="98">
        <f t="shared" ca="1" si="264"/>
        <v>3.8833560737854267</v>
      </c>
      <c r="AM1472" s="106">
        <f t="shared" ca="1" si="258"/>
        <v>29522.227961086821</v>
      </c>
      <c r="AN1472" s="10">
        <f t="shared" ca="1" si="259"/>
        <v>0.84436800534710699</v>
      </c>
      <c r="AO1472" s="158"/>
      <c r="AP1472" s="158"/>
      <c r="AQ1472" s="1"/>
      <c r="AR1472" s="1"/>
      <c r="AS1472" s="1"/>
      <c r="AT1472" s="1"/>
      <c r="AU1472" s="1"/>
    </row>
    <row r="1473" spans="34:47">
      <c r="AH1473" s="6">
        <f t="shared" si="260"/>
        <v>1443</v>
      </c>
      <c r="AI1473" s="7">
        <f t="shared" ca="1" si="261"/>
        <v>44113</v>
      </c>
      <c r="AJ1473" s="210">
        <f t="shared" ca="1" si="262"/>
        <v>4.1749999999999998</v>
      </c>
      <c r="AK1473" s="8">
        <f t="shared" ca="1" si="263"/>
        <v>1.0001159722222221</v>
      </c>
      <c r="AL1473" s="98">
        <f t="shared" ca="1" si="264"/>
        <v>3.8836605179231709</v>
      </c>
      <c r="AM1473" s="106">
        <f t="shared" ca="1" si="258"/>
        <v>29524.660636045082</v>
      </c>
      <c r="AN1473" s="10">
        <f t="shared" ca="1" si="259"/>
        <v>0.8446366359535773</v>
      </c>
      <c r="AO1473" s="158"/>
      <c r="AP1473" s="158"/>
      <c r="AQ1473" s="1"/>
      <c r="AR1473" s="1"/>
      <c r="AS1473" s="1"/>
      <c r="AT1473" s="1"/>
      <c r="AU1473" s="1"/>
    </row>
    <row r="1474" spans="34:47">
      <c r="AH1474" s="6">
        <f t="shared" si="260"/>
        <v>1444</v>
      </c>
      <c r="AI1474" s="7">
        <f t="shared" ca="1" si="261"/>
        <v>44114</v>
      </c>
      <c r="AJ1474" s="210">
        <f t="shared" ca="1" si="262"/>
        <v>4.1749999999999998</v>
      </c>
      <c r="AK1474" s="8">
        <f t="shared" ca="1" si="263"/>
        <v>1.0001159722222221</v>
      </c>
      <c r="AL1474" s="98">
        <f t="shared" ca="1" si="264"/>
        <v>3.8839645412835022</v>
      </c>
      <c r="AM1474" s="106">
        <f t="shared" ca="1" si="258"/>
        <v>29527.015028478228</v>
      </c>
      <c r="AN1474" s="10">
        <f t="shared" ca="1" si="259"/>
        <v>0.84497264924185966</v>
      </c>
      <c r="AO1474" s="158"/>
      <c r="AP1474" s="158"/>
      <c r="AQ1474" s="1"/>
      <c r="AR1474" s="1"/>
      <c r="AS1474" s="1"/>
      <c r="AT1474" s="1"/>
      <c r="AU1474" s="1"/>
    </row>
    <row r="1475" spans="34:47">
      <c r="AH1475" s="6">
        <f t="shared" si="260"/>
        <v>1445</v>
      </c>
      <c r="AI1475" s="7">
        <f t="shared" ca="1" si="261"/>
        <v>44115</v>
      </c>
      <c r="AJ1475" s="210">
        <f t="shared" ca="1" si="262"/>
        <v>4.1749999999999998</v>
      </c>
      <c r="AK1475" s="8">
        <f t="shared" ca="1" si="263"/>
        <v>1.0001159722222221</v>
      </c>
      <c r="AL1475" s="98">
        <f t="shared" ca="1" si="264"/>
        <v>3.8842681447381455</v>
      </c>
      <c r="AM1475" s="106">
        <f t="shared" ca="1" si="258"/>
        <v>29529.369608658282</v>
      </c>
      <c r="AN1475" s="10">
        <f t="shared" ca="1" si="259"/>
        <v>0.84530819857711048</v>
      </c>
      <c r="AO1475" s="158"/>
      <c r="AP1475" s="158"/>
      <c r="AQ1475" s="1"/>
      <c r="AR1475" s="1"/>
      <c r="AS1475" s="1"/>
      <c r="AT1475" s="1"/>
      <c r="AU1475" s="1"/>
    </row>
    <row r="1476" spans="34:47">
      <c r="AH1476" s="6">
        <f t="shared" si="260"/>
        <v>1446</v>
      </c>
      <c r="AI1476" s="7">
        <f t="shared" ca="1" si="261"/>
        <v>44116</v>
      </c>
      <c r="AJ1476" s="210">
        <f t="shared" ca="1" si="262"/>
        <v>4.1749999999999998</v>
      </c>
      <c r="AK1476" s="8">
        <f t="shared" ca="1" si="263"/>
        <v>1.0001159722222221</v>
      </c>
      <c r="AL1476" s="98">
        <f t="shared" ca="1" si="264"/>
        <v>3.8845713291564721</v>
      </c>
      <c r="AM1476" s="106">
        <f t="shared" ca="1" si="258"/>
        <v>29531.724376600218</v>
      </c>
      <c r="AN1476" s="10">
        <f t="shared" ca="1" si="259"/>
        <v>0.84564328491960605</v>
      </c>
      <c r="AO1476" s="158"/>
      <c r="AP1476" s="158"/>
      <c r="AQ1476" s="1"/>
      <c r="AR1476" s="1"/>
      <c r="AS1476" s="1"/>
      <c r="AT1476" s="1"/>
      <c r="AU1476" s="1"/>
    </row>
    <row r="1477" spans="34:47">
      <c r="AH1477" s="6">
        <f t="shared" si="260"/>
        <v>1447</v>
      </c>
      <c r="AI1477" s="7">
        <f t="shared" ca="1" si="261"/>
        <v>44117</v>
      </c>
      <c r="AJ1477" s="210">
        <f t="shared" ca="1" si="262"/>
        <v>4.1749999999999998</v>
      </c>
      <c r="AK1477" s="8">
        <f t="shared" ca="1" si="263"/>
        <v>1.0001159722222221</v>
      </c>
      <c r="AL1477" s="98">
        <f t="shared" ca="1" si="264"/>
        <v>3.8848740954053884</v>
      </c>
      <c r="AM1477" s="106">
        <f t="shared" ca="1" si="258"/>
        <v>29534.079332319001</v>
      </c>
      <c r="AN1477" s="10">
        <f t="shared" ca="1" si="259"/>
        <v>0.84597790922691374</v>
      </c>
      <c r="AO1477" s="158"/>
      <c r="AP1477" s="158"/>
      <c r="AQ1477" s="1"/>
      <c r="AR1477" s="1"/>
      <c r="AS1477" s="1"/>
      <c r="AT1477" s="1"/>
      <c r="AU1477" s="1"/>
    </row>
    <row r="1478" spans="34:47">
      <c r="AH1478" s="6">
        <f t="shared" si="260"/>
        <v>1448</v>
      </c>
      <c r="AI1478" s="7">
        <f t="shared" ca="1" si="261"/>
        <v>44118</v>
      </c>
      <c r="AJ1478" s="210">
        <f t="shared" ca="1" si="262"/>
        <v>4.1749999999999998</v>
      </c>
      <c r="AK1478" s="8">
        <f t="shared" ca="1" si="263"/>
        <v>1.0001159722222221</v>
      </c>
      <c r="AL1478" s="98">
        <f t="shared" ca="1" si="264"/>
        <v>3.8851764443494474</v>
      </c>
      <c r="AM1478" s="106">
        <f t="shared" ca="1" si="258"/>
        <v>29536.43447582961</v>
      </c>
      <c r="AN1478" s="10">
        <f t="shared" ca="1" si="259"/>
        <v>0.84631207245400297</v>
      </c>
      <c r="AO1478" s="158"/>
      <c r="AP1478" s="158"/>
      <c r="AQ1478" s="1"/>
      <c r="AR1478" s="1"/>
      <c r="AS1478" s="1"/>
      <c r="AT1478" s="1"/>
      <c r="AU1478" s="1"/>
    </row>
    <row r="1479" spans="34:47">
      <c r="AH1479" s="6">
        <f t="shared" si="260"/>
        <v>1449</v>
      </c>
      <c r="AI1479" s="7">
        <f t="shared" ca="1" si="261"/>
        <v>44119</v>
      </c>
      <c r="AJ1479" s="210">
        <f t="shared" ca="1" si="262"/>
        <v>4.1749999999999998</v>
      </c>
      <c r="AK1479" s="8">
        <f t="shared" ca="1" si="263"/>
        <v>1.0001159722222221</v>
      </c>
      <c r="AL1479" s="98">
        <f t="shared" ca="1" si="264"/>
        <v>3.8854783768508039</v>
      </c>
      <c r="AM1479" s="106">
        <f t="shared" ca="1" si="258"/>
        <v>29538.789807147019</v>
      </c>
      <c r="AN1479" s="10">
        <f t="shared" ca="1" si="259"/>
        <v>0.84664577555317866</v>
      </c>
      <c r="AO1479" s="158"/>
      <c r="AP1479" s="158"/>
      <c r="AQ1479" s="1"/>
      <c r="AR1479" s="1"/>
      <c r="AS1479" s="1"/>
      <c r="AT1479" s="1"/>
      <c r="AU1479" s="1"/>
    </row>
    <row r="1480" spans="34:47">
      <c r="AH1480" s="6">
        <f t="shared" si="260"/>
        <v>1450</v>
      </c>
      <c r="AI1480" s="7">
        <f t="shared" ca="1" si="261"/>
        <v>44120</v>
      </c>
      <c r="AJ1480" s="210">
        <f t="shared" ca="1" si="262"/>
        <v>4.1749999999999998</v>
      </c>
      <c r="AK1480" s="8">
        <f t="shared" ca="1" si="263"/>
        <v>1.0001159722222221</v>
      </c>
      <c r="AL1480" s="98">
        <f t="shared" ca="1" si="264"/>
        <v>3.8857798937692589</v>
      </c>
      <c r="AM1480" s="106">
        <f t="shared" ca="1" si="258"/>
        <v>29541.145326286209</v>
      </c>
      <c r="AN1480" s="10">
        <f t="shared" ca="1" si="259"/>
        <v>0.84697901947416998</v>
      </c>
      <c r="AO1480" s="158"/>
      <c r="AP1480" s="158"/>
      <c r="AQ1480" s="1"/>
      <c r="AR1480" s="1"/>
      <c r="AS1480" s="1"/>
      <c r="AT1480" s="1"/>
      <c r="AU1480" s="1"/>
    </row>
    <row r="1481" spans="34:47">
      <c r="AH1481" s="6">
        <f t="shared" si="260"/>
        <v>1451</v>
      </c>
      <c r="AI1481" s="7">
        <f t="shared" ca="1" si="261"/>
        <v>44121</v>
      </c>
      <c r="AJ1481" s="210">
        <f t="shared" ca="1" si="262"/>
        <v>4.1749999999999998</v>
      </c>
      <c r="AK1481" s="8">
        <f t="shared" ca="1" si="263"/>
        <v>1.0001159722222221</v>
      </c>
      <c r="AL1481" s="98">
        <f t="shared" ca="1" si="264"/>
        <v>3.88608099596226</v>
      </c>
      <c r="AM1481" s="106">
        <f t="shared" ca="1" si="258"/>
        <v>29543.50103326215</v>
      </c>
      <c r="AN1481" s="10">
        <f t="shared" ca="1" si="259"/>
        <v>0.84731180516406379</v>
      </c>
      <c r="AO1481" s="158"/>
      <c r="AP1481" s="158"/>
      <c r="AQ1481" s="1"/>
      <c r="AR1481" s="1"/>
      <c r="AS1481" s="1"/>
      <c r="AT1481" s="1"/>
      <c r="AU1481" s="1"/>
    </row>
    <row r="1482" spans="34:47">
      <c r="AH1482" s="6">
        <f t="shared" si="260"/>
        <v>1452</v>
      </c>
      <c r="AI1482" s="7">
        <f t="shared" ca="1" si="261"/>
        <v>44122</v>
      </c>
      <c r="AJ1482" s="210">
        <f t="shared" ca="1" si="262"/>
        <v>4.1749999999999998</v>
      </c>
      <c r="AK1482" s="8">
        <f t="shared" ca="1" si="263"/>
        <v>1.0001159722222221</v>
      </c>
      <c r="AL1482" s="98">
        <f t="shared" ca="1" si="264"/>
        <v>3.8863816842848564</v>
      </c>
      <c r="AM1482" s="106">
        <f t="shared" ca="1" si="258"/>
        <v>29545.856928089826</v>
      </c>
      <c r="AN1482" s="10">
        <f t="shared" ca="1" si="259"/>
        <v>0.84764413356737123</v>
      </c>
      <c r="AO1482" s="158"/>
      <c r="AP1482" s="158"/>
      <c r="AQ1482" s="1"/>
      <c r="AR1482" s="1"/>
      <c r="AS1482" s="1"/>
      <c r="AT1482" s="1"/>
      <c r="AU1482" s="1"/>
    </row>
    <row r="1483" spans="34:47">
      <c r="AH1483" s="6">
        <f t="shared" si="260"/>
        <v>1453</v>
      </c>
      <c r="AI1483" s="7">
        <f t="shared" ca="1" si="261"/>
        <v>44123</v>
      </c>
      <c r="AJ1483" s="210">
        <f t="shared" ca="1" si="262"/>
        <v>4.1749999999999998</v>
      </c>
      <c r="AK1483" s="8">
        <f t="shared" ca="1" si="263"/>
        <v>1.0001159722222221</v>
      </c>
      <c r="AL1483" s="98">
        <f t="shared" ca="1" si="264"/>
        <v>3.8866819595897661</v>
      </c>
      <c r="AM1483" s="106">
        <f t="shared" ca="1" si="258"/>
        <v>29548.213010784217</v>
      </c>
      <c r="AN1483" s="10">
        <f t="shared" ca="1" si="259"/>
        <v>0.8479760056259833</v>
      </c>
      <c r="AO1483" s="158"/>
      <c r="AP1483" s="158"/>
      <c r="AQ1483" s="1"/>
      <c r="AR1483" s="1"/>
      <c r="AS1483" s="1"/>
      <c r="AT1483" s="1"/>
      <c r="AU1483" s="1"/>
    </row>
    <row r="1484" spans="34:47">
      <c r="AH1484" s="6">
        <f t="shared" si="260"/>
        <v>1454</v>
      </c>
      <c r="AI1484" s="7">
        <f t="shared" ca="1" si="261"/>
        <v>44124</v>
      </c>
      <c r="AJ1484" s="210">
        <f t="shared" ca="1" si="262"/>
        <v>4.1749999999999998</v>
      </c>
      <c r="AK1484" s="8">
        <f t="shared" ca="1" si="263"/>
        <v>1.0001159722222221</v>
      </c>
      <c r="AL1484" s="98">
        <f t="shared" ca="1" si="264"/>
        <v>3.8869818227273756</v>
      </c>
      <c r="AM1484" s="106">
        <f t="shared" ca="1" si="258"/>
        <v>29550.569281360302</v>
      </c>
      <c r="AN1484" s="10">
        <f t="shared" ca="1" si="259"/>
        <v>0.84830742227919309</v>
      </c>
      <c r="AO1484" s="158"/>
      <c r="AP1484" s="158"/>
      <c r="AQ1484" s="1"/>
      <c r="AR1484" s="1"/>
      <c r="AS1484" s="1"/>
      <c r="AT1484" s="1"/>
      <c r="AU1484" s="1"/>
    </row>
    <row r="1485" spans="34:47">
      <c r="AH1485" s="6">
        <f t="shared" si="260"/>
        <v>1455</v>
      </c>
      <c r="AI1485" s="7">
        <f t="shared" ca="1" si="261"/>
        <v>44125</v>
      </c>
      <c r="AJ1485" s="210">
        <f t="shared" ca="1" si="262"/>
        <v>4.1749999999999998</v>
      </c>
      <c r="AK1485" s="8">
        <f t="shared" ca="1" si="263"/>
        <v>1.0001159722222221</v>
      </c>
      <c r="AL1485" s="98">
        <f t="shared" ca="1" si="264"/>
        <v>3.8872812745457397</v>
      </c>
      <c r="AM1485" s="106">
        <f t="shared" ca="1" si="258"/>
        <v>29552.925739833066</v>
      </c>
      <c r="AN1485" s="10">
        <f t="shared" ca="1" si="259"/>
        <v>0.84863838446376239</v>
      </c>
      <c r="AO1485" s="158"/>
      <c r="AP1485" s="158"/>
      <c r="AQ1485" s="1"/>
      <c r="AR1485" s="1"/>
      <c r="AS1485" s="1"/>
      <c r="AT1485" s="1"/>
      <c r="AU1485" s="1"/>
    </row>
    <row r="1486" spans="34:47">
      <c r="AH1486" s="6">
        <f t="shared" si="260"/>
        <v>1456</v>
      </c>
      <c r="AI1486" s="7">
        <f t="shared" ca="1" si="261"/>
        <v>44126</v>
      </c>
      <c r="AJ1486" s="210">
        <f t="shared" ca="1" si="262"/>
        <v>4.1749999999999998</v>
      </c>
      <c r="AK1486" s="8">
        <f t="shared" ca="1" si="263"/>
        <v>1.0001159722222221</v>
      </c>
      <c r="AL1486" s="98">
        <f t="shared" ca="1" si="264"/>
        <v>3.8875803158905597</v>
      </c>
      <c r="AM1486" s="106">
        <f t="shared" ca="1" si="258"/>
        <v>29555.282386217488</v>
      </c>
      <c r="AN1486" s="10">
        <f t="shared" ca="1" si="259"/>
        <v>0.84896889311385504</v>
      </c>
      <c r="AO1486" s="158"/>
      <c r="AP1486" s="158"/>
      <c r="AQ1486" s="1"/>
      <c r="AR1486" s="1"/>
      <c r="AS1486" s="1"/>
      <c r="AT1486" s="1"/>
      <c r="AU1486" s="1"/>
    </row>
    <row r="1487" spans="34:47">
      <c r="AH1487" s="6">
        <f t="shared" si="260"/>
        <v>1457</v>
      </c>
      <c r="AI1487" s="7">
        <f t="shared" ca="1" si="261"/>
        <v>44127</v>
      </c>
      <c r="AJ1487" s="210">
        <f t="shared" ca="1" si="262"/>
        <v>4.1749999999999998</v>
      </c>
      <c r="AK1487" s="8">
        <f t="shared" ca="1" si="263"/>
        <v>1.0001159722222221</v>
      </c>
      <c r="AL1487" s="98">
        <f t="shared" ca="1" si="264"/>
        <v>3.88787894760525</v>
      </c>
      <c r="AM1487" s="106">
        <f t="shared" ca="1" si="258"/>
        <v>29557.639220528552</v>
      </c>
      <c r="AN1487" s="10">
        <f t="shared" ca="1" si="259"/>
        <v>0.84929894916105919</v>
      </c>
      <c r="AO1487" s="158"/>
      <c r="AP1487" s="158"/>
      <c r="AQ1487" s="1"/>
      <c r="AR1487" s="1"/>
      <c r="AS1487" s="1"/>
      <c r="AT1487" s="1"/>
      <c r="AU1487" s="1"/>
    </row>
    <row r="1488" spans="34:47">
      <c r="AH1488" s="6">
        <f t="shared" si="260"/>
        <v>1458</v>
      </c>
      <c r="AI1488" s="7">
        <f t="shared" ca="1" si="261"/>
        <v>44128</v>
      </c>
      <c r="AJ1488" s="210">
        <f t="shared" ca="1" si="262"/>
        <v>4.1749999999999998</v>
      </c>
      <c r="AK1488" s="8">
        <f t="shared" ca="1" si="263"/>
        <v>1.0001159722222221</v>
      </c>
      <c r="AL1488" s="98">
        <f t="shared" ca="1" si="264"/>
        <v>3.8881771705309154</v>
      </c>
      <c r="AM1488" s="106">
        <f t="shared" ca="1" si="258"/>
        <v>29559.996242781246</v>
      </c>
      <c r="AN1488" s="10">
        <f t="shared" ca="1" si="259"/>
        <v>0.84962855353449829</v>
      </c>
      <c r="AO1488" s="158"/>
      <c r="AP1488" s="158"/>
      <c r="AQ1488" s="1"/>
      <c r="AR1488" s="1"/>
      <c r="AS1488" s="1"/>
      <c r="AT1488" s="1"/>
      <c r="AU1488" s="1"/>
    </row>
    <row r="1489" spans="34:47">
      <c r="AH1489" s="6">
        <f t="shared" si="260"/>
        <v>1459</v>
      </c>
      <c r="AI1489" s="7">
        <f t="shared" ca="1" si="261"/>
        <v>44129</v>
      </c>
      <c r="AJ1489" s="210">
        <f t="shared" ca="1" si="262"/>
        <v>4.1749999999999998</v>
      </c>
      <c r="AK1489" s="8">
        <f t="shared" ca="1" si="263"/>
        <v>1.0001159722222221</v>
      </c>
      <c r="AL1489" s="98">
        <f t="shared" ca="1" si="264"/>
        <v>3.8884749855063516</v>
      </c>
      <c r="AM1489" s="106">
        <f t="shared" ca="1" si="258"/>
        <v>29562.353452990566</v>
      </c>
      <c r="AN1489" s="10">
        <f t="shared" ca="1" si="259"/>
        <v>0.84995770716060903</v>
      </c>
      <c r="AO1489" s="158"/>
      <c r="AP1489" s="158"/>
      <c r="AQ1489" s="1"/>
      <c r="AR1489" s="1"/>
      <c r="AS1489" s="1"/>
      <c r="AT1489" s="1"/>
      <c r="AU1489" s="1"/>
    </row>
    <row r="1490" spans="34:47">
      <c r="AH1490" s="6">
        <f t="shared" si="260"/>
        <v>1460</v>
      </c>
      <c r="AI1490" s="7">
        <f t="shared" ca="1" si="261"/>
        <v>44130</v>
      </c>
      <c r="AJ1490" s="210">
        <f t="shared" ca="1" si="262"/>
        <v>4.1749999999999998</v>
      </c>
      <c r="AK1490" s="8">
        <f t="shared" ca="1" si="263"/>
        <v>1.0001159722222221</v>
      </c>
      <c r="AL1490" s="98">
        <f t="shared" ca="1" si="264"/>
        <v>3.8887723933680673</v>
      </c>
      <c r="AM1490" s="106">
        <f t="shared" ca="1" si="258"/>
        <v>29564.71085117148</v>
      </c>
      <c r="AN1490" s="10">
        <f t="shared" ca="1" si="259"/>
        <v>0.85028641096349666</v>
      </c>
      <c r="AO1490" s="158"/>
      <c r="AP1490" s="158"/>
      <c r="AQ1490" s="1"/>
      <c r="AR1490" s="1"/>
      <c r="AS1490" s="1"/>
      <c r="AT1490" s="1"/>
      <c r="AU1490" s="1"/>
    </row>
    <row r="1491" spans="34:47">
      <c r="AH1491" s="6">
        <f t="shared" si="260"/>
        <v>1461</v>
      </c>
      <c r="AI1491" s="7">
        <f t="shared" ca="1" si="261"/>
        <v>44131</v>
      </c>
      <c r="AJ1491" s="210">
        <f t="shared" ca="1" si="262"/>
        <v>4.1749999999999998</v>
      </c>
      <c r="AK1491" s="8">
        <f t="shared" ca="1" si="263"/>
        <v>1.0001159722222221</v>
      </c>
      <c r="AL1491" s="98">
        <f t="shared" ca="1" si="264"/>
        <v>3.8890693949502619</v>
      </c>
      <c r="AM1491" s="106">
        <f t="shared" ca="1" si="258"/>
        <v>29567.068437339</v>
      </c>
      <c r="AN1491" s="10">
        <f t="shared" ca="1" si="259"/>
        <v>0.85061466586451306</v>
      </c>
      <c r="AO1491" s="158"/>
      <c r="AP1491" s="158"/>
      <c r="AQ1491" s="1"/>
      <c r="AR1491" s="1"/>
      <c r="AS1491" s="1"/>
      <c r="AT1491" s="1"/>
      <c r="AU1491" s="1"/>
    </row>
    <row r="1492" spans="34:47">
      <c r="AH1492" s="6">
        <f t="shared" si="260"/>
        <v>1462</v>
      </c>
      <c r="AI1492" s="7">
        <f t="shared" ca="1" si="261"/>
        <v>44132</v>
      </c>
      <c r="AJ1492" s="210">
        <f t="shared" ca="1" si="262"/>
        <v>4.1749999999999998</v>
      </c>
      <c r="AK1492" s="8">
        <f t="shared" ca="1" si="263"/>
        <v>1.0001159722222221</v>
      </c>
      <c r="AL1492" s="98">
        <f t="shared" ca="1" si="264"/>
        <v>3.8893659910848921</v>
      </c>
      <c r="AM1492" s="106">
        <f t="shared" ca="1" si="258"/>
        <v>29569.4262115081</v>
      </c>
      <c r="AN1492" s="10">
        <f t="shared" ca="1" si="259"/>
        <v>0.85094247278267865</v>
      </c>
      <c r="AO1492" s="158"/>
      <c r="AP1492" s="158"/>
      <c r="AQ1492" s="1"/>
      <c r="AR1492" s="1"/>
      <c r="AS1492" s="1"/>
      <c r="AT1492" s="1"/>
      <c r="AU1492" s="1"/>
    </row>
    <row r="1493" spans="34:47">
      <c r="AH1493" s="6">
        <f t="shared" si="260"/>
        <v>1463</v>
      </c>
      <c r="AI1493" s="7">
        <f t="shared" ca="1" si="261"/>
        <v>44133</v>
      </c>
      <c r="AJ1493" s="210">
        <f t="shared" ca="1" si="262"/>
        <v>4.1749999999999998</v>
      </c>
      <c r="AK1493" s="8">
        <f t="shared" ca="1" si="263"/>
        <v>1.0001159722222221</v>
      </c>
      <c r="AL1493" s="98">
        <f t="shared" ca="1" si="264"/>
        <v>3.8896621826016053</v>
      </c>
      <c r="AM1493" s="106">
        <f t="shared" ca="1" si="258"/>
        <v>29571.784173693781</v>
      </c>
      <c r="AN1493" s="10">
        <f t="shared" ca="1" si="259"/>
        <v>0.85126983263439371</v>
      </c>
      <c r="AO1493" s="158"/>
      <c r="AP1493" s="158"/>
      <c r="AQ1493" s="1"/>
      <c r="AR1493" s="1"/>
      <c r="AS1493" s="1"/>
      <c r="AT1493" s="1"/>
      <c r="AU1493" s="1"/>
    </row>
    <row r="1494" spans="34:47">
      <c r="AH1494" s="6">
        <f t="shared" si="260"/>
        <v>1464</v>
      </c>
      <c r="AI1494" s="7">
        <f t="shared" ca="1" si="261"/>
        <v>44134</v>
      </c>
      <c r="AJ1494" s="210">
        <f t="shared" ca="1" si="262"/>
        <v>4.1749999999999998</v>
      </c>
      <c r="AK1494" s="8">
        <f t="shared" ca="1" si="263"/>
        <v>1.0001159722222221</v>
      </c>
      <c r="AL1494" s="98">
        <f t="shared" ca="1" si="264"/>
        <v>3.8899579703278286</v>
      </c>
      <c r="AM1494" s="106">
        <f t="shared" ca="1" si="258"/>
        <v>29574.142323911034</v>
      </c>
      <c r="AN1494" s="10">
        <f t="shared" ca="1" si="259"/>
        <v>0.85159674633363824</v>
      </c>
      <c r="AO1494" s="158"/>
      <c r="AP1494" s="158"/>
      <c r="AQ1494" s="1"/>
      <c r="AR1494" s="1"/>
      <c r="AS1494" s="1"/>
      <c r="AT1494" s="1"/>
      <c r="AU1494" s="1"/>
    </row>
    <row r="1495" spans="34:47">
      <c r="AH1495" s="6">
        <f t="shared" si="260"/>
        <v>1465</v>
      </c>
      <c r="AI1495" s="7">
        <f t="shared" ca="1" si="261"/>
        <v>44135</v>
      </c>
      <c r="AJ1495" s="210">
        <f t="shared" ca="1" si="262"/>
        <v>4.1749999999999998</v>
      </c>
      <c r="AK1495" s="8">
        <f t="shared" ca="1" si="263"/>
        <v>1.0001159722222221</v>
      </c>
      <c r="AL1495" s="98">
        <f t="shared" ca="1" si="264"/>
        <v>3.890253355088702</v>
      </c>
      <c r="AM1495" s="106">
        <f t="shared" ca="1" si="258"/>
        <v>29576.500662174851</v>
      </c>
      <c r="AN1495" s="10">
        <f t="shared" ca="1" si="259"/>
        <v>0.85192321479183875</v>
      </c>
      <c r="AO1495" s="158"/>
      <c r="AP1495" s="158"/>
      <c r="AQ1495" s="1"/>
      <c r="AR1495" s="1"/>
      <c r="AS1495" s="1"/>
      <c r="AT1495" s="1"/>
      <c r="AU1495" s="1"/>
    </row>
    <row r="1496" spans="34:47">
      <c r="AH1496" s="6">
        <f t="shared" si="260"/>
        <v>1466</v>
      </c>
      <c r="AI1496" s="7">
        <f t="shared" ca="1" si="261"/>
        <v>44136</v>
      </c>
      <c r="AJ1496" s="210">
        <f t="shared" ca="1" si="262"/>
        <v>4.1749999999999998</v>
      </c>
      <c r="AK1496" s="8">
        <f t="shared" ca="1" si="263"/>
        <v>1.0001159722222221</v>
      </c>
      <c r="AL1496" s="98">
        <f t="shared" ca="1" si="264"/>
        <v>3.8905483377071226</v>
      </c>
      <c r="AM1496" s="106">
        <f t="shared" ca="1" si="258"/>
        <v>29578.859188500228</v>
      </c>
      <c r="AN1496" s="10">
        <f t="shared" ca="1" si="259"/>
        <v>0.85224923891797921</v>
      </c>
      <c r="AO1496" s="158"/>
      <c r="AP1496" s="158"/>
      <c r="AQ1496" s="1"/>
      <c r="AR1496" s="1"/>
      <c r="AS1496" s="1"/>
      <c r="AT1496" s="1"/>
      <c r="AU1496" s="1"/>
    </row>
    <row r="1497" spans="34:47">
      <c r="AH1497" s="6">
        <f t="shared" si="260"/>
        <v>1467</v>
      </c>
      <c r="AI1497" s="7">
        <f t="shared" ca="1" si="261"/>
        <v>44137</v>
      </c>
      <c r="AJ1497" s="210">
        <f t="shared" ca="1" si="262"/>
        <v>4.1749999999999998</v>
      </c>
      <c r="AK1497" s="8">
        <f t="shared" ca="1" si="263"/>
        <v>1.0001159722222221</v>
      </c>
      <c r="AL1497" s="98">
        <f t="shared" ca="1" si="264"/>
        <v>3.8908429190037896</v>
      </c>
      <c r="AM1497" s="106">
        <f t="shared" ca="1" si="258"/>
        <v>29581.217902902161</v>
      </c>
      <c r="AN1497" s="10">
        <f t="shared" ca="1" si="259"/>
        <v>0.85257481961860115</v>
      </c>
      <c r="AO1497" s="158"/>
      <c r="AP1497" s="158"/>
      <c r="AQ1497" s="1"/>
      <c r="AR1497" s="1"/>
      <c r="AS1497" s="1"/>
      <c r="AT1497" s="1"/>
      <c r="AU1497" s="1"/>
    </row>
    <row r="1498" spans="34:47">
      <c r="AH1498" s="6">
        <f t="shared" si="260"/>
        <v>1468</v>
      </c>
      <c r="AI1498" s="7">
        <f t="shared" ca="1" si="261"/>
        <v>44138</v>
      </c>
      <c r="AJ1498" s="210">
        <f t="shared" ca="1" si="262"/>
        <v>4.1749999999999998</v>
      </c>
      <c r="AK1498" s="8">
        <f t="shared" ca="1" si="263"/>
        <v>1.0001159722222221</v>
      </c>
      <c r="AL1498" s="98">
        <f t="shared" ca="1" si="264"/>
        <v>3.8911370997971151</v>
      </c>
      <c r="AM1498" s="106">
        <f t="shared" ca="1" si="258"/>
        <v>29583.576805395656</v>
      </c>
      <c r="AN1498" s="10">
        <f t="shared" ca="1" si="259"/>
        <v>0.85289995779769257</v>
      </c>
      <c r="AO1498" s="158"/>
      <c r="AP1498" s="158"/>
      <c r="AQ1498" s="1"/>
      <c r="AR1498" s="1"/>
      <c r="AS1498" s="1"/>
      <c r="AT1498" s="1"/>
      <c r="AU1498" s="1"/>
    </row>
    <row r="1499" spans="34:47">
      <c r="AH1499" s="6">
        <f t="shared" si="260"/>
        <v>1469</v>
      </c>
      <c r="AI1499" s="7">
        <f t="shared" ca="1" si="261"/>
        <v>44139</v>
      </c>
      <c r="AJ1499" s="210">
        <f t="shared" ca="1" si="262"/>
        <v>4.1749999999999998</v>
      </c>
      <c r="AK1499" s="8">
        <f t="shared" ca="1" si="263"/>
        <v>1.0001159722222221</v>
      </c>
      <c r="AL1499" s="98">
        <f t="shared" ca="1" si="264"/>
        <v>3.8914308809033127</v>
      </c>
      <c r="AM1499" s="106">
        <f t="shared" ca="1" si="258"/>
        <v>29585.935895995703</v>
      </c>
      <c r="AN1499" s="10">
        <f t="shared" ca="1" si="259"/>
        <v>0.85322465435684336</v>
      </c>
      <c r="AO1499" s="158"/>
      <c r="AP1499" s="158"/>
      <c r="AQ1499" s="1"/>
      <c r="AR1499" s="1"/>
      <c r="AS1499" s="1"/>
      <c r="AT1499" s="1"/>
      <c r="AU1499" s="1"/>
    </row>
    <row r="1500" spans="34:47">
      <c r="AH1500" s="6">
        <f t="shared" si="260"/>
        <v>1470</v>
      </c>
      <c r="AI1500" s="7">
        <f t="shared" ca="1" si="261"/>
        <v>44140</v>
      </c>
      <c r="AJ1500" s="210">
        <f t="shared" ca="1" si="262"/>
        <v>4.1749999999999998</v>
      </c>
      <c r="AK1500" s="8">
        <f t="shared" ca="1" si="263"/>
        <v>1.0001159722222221</v>
      </c>
      <c r="AL1500" s="98">
        <f t="shared" ca="1" si="264"/>
        <v>3.8917242631363758</v>
      </c>
      <c r="AM1500" s="106">
        <f t="shared" ca="1" si="258"/>
        <v>29588.295174717307</v>
      </c>
      <c r="AN1500" s="10">
        <f t="shared" ca="1" si="259"/>
        <v>0.85354891019520096</v>
      </c>
      <c r="AO1500" s="158"/>
      <c r="AP1500" s="158"/>
      <c r="AQ1500" s="1"/>
      <c r="AR1500" s="1"/>
      <c r="AS1500" s="1"/>
      <c r="AT1500" s="1"/>
      <c r="AU1500" s="1"/>
    </row>
    <row r="1501" spans="34:47">
      <c r="AH1501" s="6">
        <f t="shared" si="260"/>
        <v>1471</v>
      </c>
      <c r="AI1501" s="7">
        <f t="shared" ca="1" si="261"/>
        <v>44141</v>
      </c>
      <c r="AJ1501" s="210">
        <f t="shared" ca="1" si="262"/>
        <v>4.1749999999999998</v>
      </c>
      <c r="AK1501" s="8">
        <f t="shared" ca="1" si="263"/>
        <v>1.0001159722222221</v>
      </c>
      <c r="AL1501" s="98">
        <f t="shared" ca="1" si="264"/>
        <v>3.8920172473080772</v>
      </c>
      <c r="AM1501" s="106">
        <f t="shared" ca="1" si="258"/>
        <v>29590.654641575456</v>
      </c>
      <c r="AN1501" s="10">
        <f t="shared" ca="1" si="259"/>
        <v>0.8538727262094481</v>
      </c>
      <c r="AO1501" s="158"/>
      <c r="AP1501" s="158"/>
      <c r="AQ1501" s="1"/>
      <c r="AR1501" s="1"/>
      <c r="AS1501" s="1"/>
      <c r="AT1501" s="1"/>
      <c r="AU1501" s="1"/>
    </row>
    <row r="1502" spans="34:47">
      <c r="AH1502" s="6">
        <f t="shared" si="260"/>
        <v>1472</v>
      </c>
      <c r="AI1502" s="7">
        <f t="shared" ca="1" si="261"/>
        <v>44142</v>
      </c>
      <c r="AJ1502" s="210">
        <f t="shared" ca="1" si="262"/>
        <v>4.1749999999999998</v>
      </c>
      <c r="AK1502" s="8">
        <f t="shared" ca="1" si="263"/>
        <v>1.0001159722222221</v>
      </c>
      <c r="AL1502" s="98">
        <f t="shared" ca="1" si="264"/>
        <v>3.892309834228036</v>
      </c>
      <c r="AM1502" s="106">
        <f t="shared" ca="1" si="258"/>
        <v>29593.014296585174</v>
      </c>
      <c r="AN1502" s="10">
        <f t="shared" ca="1" si="259"/>
        <v>0.85419610329386941</v>
      </c>
      <c r="AO1502" s="158"/>
      <c r="AP1502" s="158"/>
      <c r="AQ1502" s="1"/>
      <c r="AR1502" s="1"/>
      <c r="AS1502" s="1"/>
      <c r="AT1502" s="1"/>
      <c r="AU1502" s="1"/>
    </row>
    <row r="1503" spans="34:47">
      <c r="AH1503" s="6">
        <f t="shared" si="260"/>
        <v>1473</v>
      </c>
      <c r="AI1503" s="7">
        <f t="shared" ca="1" si="261"/>
        <v>44143</v>
      </c>
      <c r="AJ1503" s="210">
        <f t="shared" ca="1" si="262"/>
        <v>4.1749999999999998</v>
      </c>
      <c r="AK1503" s="8">
        <f t="shared" ca="1" si="263"/>
        <v>1.0001159722222221</v>
      </c>
      <c r="AL1503" s="98">
        <f t="shared" ca="1" si="264"/>
        <v>3.8926020247036286</v>
      </c>
      <c r="AM1503" s="106">
        <f t="shared" ref="AM1503:AM1566" ca="1" si="265">Geom_Interp(AI1503,$AZ$2:$AZ$109,$BA$2:$BA$109)</f>
        <v>29595.37413976145</v>
      </c>
      <c r="AN1503" s="10">
        <f t="shared" ref="AN1503:AN1566" ca="1" si="266">100*(((1+AL1503/100)^(AH1503/365)*$AM$29/AM1503)^(365/AH1503)-1)</f>
        <v>0.85451904234030707</v>
      </c>
      <c r="AO1503" s="158"/>
      <c r="AP1503" s="158"/>
      <c r="AQ1503" s="1"/>
      <c r="AR1503" s="1"/>
      <c r="AS1503" s="1"/>
      <c r="AT1503" s="1"/>
      <c r="AU1503" s="1"/>
    </row>
    <row r="1504" spans="34:47">
      <c r="AH1504" s="6">
        <f t="shared" ref="AH1504:AH1567" si="267">$AI$29+AH1503</f>
        <v>1474</v>
      </c>
      <c r="AI1504" s="7">
        <f t="shared" ref="AI1504:AI1567" ca="1" si="268">+AH1504+$C$1</f>
        <v>44144</v>
      </c>
      <c r="AJ1504" s="210">
        <f t="shared" ref="AJ1504:AJ1567" ca="1" si="269">IF(AH1504&lt;365,VLOOKUP(LOOKUP(AI1504,$AI$2:$AI$23),$AI$2:$AK$23,3,0),Lin_Interp(AH1504,$AJ$2:$AJ$23,$AK$2:$AK$23))</f>
        <v>4.1749999999999998</v>
      </c>
      <c r="AK1504" s="8">
        <f t="shared" ca="1" si="263"/>
        <v>1.0001159722222221</v>
      </c>
      <c r="AL1504" s="98">
        <f t="shared" ca="1" si="264"/>
        <v>3.8928938195400331</v>
      </c>
      <c r="AM1504" s="106">
        <f t="shared" ca="1" si="265"/>
        <v>29597.734171119293</v>
      </c>
      <c r="AN1504" s="10">
        <f t="shared" ca="1" si="266"/>
        <v>0.85484154423818293</v>
      </c>
      <c r="AO1504" s="158"/>
      <c r="AP1504" s="158"/>
      <c r="AQ1504" s="1"/>
      <c r="AR1504" s="1"/>
      <c r="AS1504" s="1"/>
      <c r="AT1504" s="1"/>
      <c r="AU1504" s="1"/>
    </row>
    <row r="1505" spans="34:47">
      <c r="AH1505" s="6">
        <f t="shared" si="267"/>
        <v>1475</v>
      </c>
      <c r="AI1505" s="7">
        <f t="shared" ca="1" si="268"/>
        <v>44145</v>
      </c>
      <c r="AJ1505" s="210">
        <f t="shared" ca="1" si="269"/>
        <v>4.1749999999999998</v>
      </c>
      <c r="AK1505" s="8">
        <f t="shared" ref="AK1505:AK1568" ca="1" si="270">+(1+AJ1505/36000)</f>
        <v>1.0001159722222221</v>
      </c>
      <c r="AL1505" s="98">
        <f t="shared" ref="AL1505:AL1568" ca="1" si="271">100*(((1+AL1504/100)^(AH1504/365)*AK1505)^(365/AH1505)-1)</f>
        <v>3.8931852195403183</v>
      </c>
      <c r="AM1505" s="106">
        <f t="shared" ca="1" si="265"/>
        <v>29600.173067900196</v>
      </c>
      <c r="AN1505" s="10">
        <f t="shared" ca="1" si="266"/>
        <v>0.85509727312180761</v>
      </c>
      <c r="AO1505" s="158"/>
      <c r="AP1505" s="158"/>
      <c r="AQ1505" s="1"/>
      <c r="AR1505" s="1"/>
      <c r="AS1505" s="1"/>
      <c r="AT1505" s="1"/>
      <c r="AU1505" s="1"/>
    </row>
    <row r="1506" spans="34:47">
      <c r="AH1506" s="6">
        <f t="shared" si="267"/>
        <v>1476</v>
      </c>
      <c r="AI1506" s="7">
        <f t="shared" ca="1" si="268"/>
        <v>44146</v>
      </c>
      <c r="AJ1506" s="210">
        <f t="shared" ca="1" si="269"/>
        <v>4.1749999999999998</v>
      </c>
      <c r="AK1506" s="8">
        <f t="shared" ca="1" si="270"/>
        <v>1.0001159722222221</v>
      </c>
      <c r="AL1506" s="98">
        <f t="shared" ca="1" si="271"/>
        <v>3.8934762255053101</v>
      </c>
      <c r="AM1506" s="106">
        <f t="shared" ca="1" si="265"/>
        <v>29602.612165649782</v>
      </c>
      <c r="AN1506" s="10">
        <f t="shared" ca="1" si="266"/>
        <v>0.85535265613643219</v>
      </c>
      <c r="AO1506" s="158"/>
      <c r="AP1506" s="158"/>
      <c r="AQ1506" s="1"/>
      <c r="AR1506" s="1"/>
      <c r="AS1506" s="1"/>
      <c r="AT1506" s="1"/>
      <c r="AU1506" s="1"/>
    </row>
    <row r="1507" spans="34:47">
      <c r="AH1507" s="6">
        <f t="shared" si="267"/>
        <v>1477</v>
      </c>
      <c r="AI1507" s="7">
        <f t="shared" ca="1" si="268"/>
        <v>44147</v>
      </c>
      <c r="AJ1507" s="210">
        <f t="shared" ca="1" si="269"/>
        <v>4.1749999999999998</v>
      </c>
      <c r="AK1507" s="8">
        <f t="shared" ca="1" si="270"/>
        <v>1.0001159722222221</v>
      </c>
      <c r="AL1507" s="98">
        <f t="shared" ca="1" si="271"/>
        <v>3.8937668382337032</v>
      </c>
      <c r="AM1507" s="106">
        <f t="shared" ca="1" si="265"/>
        <v>29605.0514643846</v>
      </c>
      <c r="AN1507" s="10">
        <f t="shared" ca="1" si="266"/>
        <v>0.85560769398327352</v>
      </c>
      <c r="AO1507" s="158"/>
      <c r="AP1507" s="158"/>
      <c r="AQ1507" s="1"/>
      <c r="AR1507" s="1"/>
      <c r="AS1507" s="1"/>
      <c r="AT1507" s="1"/>
      <c r="AU1507" s="1"/>
    </row>
    <row r="1508" spans="34:47">
      <c r="AH1508" s="6">
        <f t="shared" si="267"/>
        <v>1478</v>
      </c>
      <c r="AI1508" s="7">
        <f t="shared" ca="1" si="268"/>
        <v>44148</v>
      </c>
      <c r="AJ1508" s="210">
        <f t="shared" ca="1" si="269"/>
        <v>4.1749999999999998</v>
      </c>
      <c r="AK1508" s="8">
        <f t="shared" ca="1" si="270"/>
        <v>1.0001159722222221</v>
      </c>
      <c r="AL1508" s="98">
        <f t="shared" ca="1" si="271"/>
        <v>3.8940570585220158</v>
      </c>
      <c r="AM1508" s="106">
        <f t="shared" ca="1" si="265"/>
        <v>29607.490964121222</v>
      </c>
      <c r="AN1508" s="10">
        <f t="shared" ca="1" si="266"/>
        <v>0.85586238736161668</v>
      </c>
      <c r="AO1508" s="158"/>
      <c r="AP1508" s="158"/>
      <c r="AQ1508" s="1"/>
      <c r="AR1508" s="1"/>
      <c r="AS1508" s="1"/>
      <c r="AT1508" s="1"/>
      <c r="AU1508" s="1"/>
    </row>
    <row r="1509" spans="34:47">
      <c r="AH1509" s="6">
        <f t="shared" si="267"/>
        <v>1479</v>
      </c>
      <c r="AI1509" s="7">
        <f t="shared" ca="1" si="268"/>
        <v>44149</v>
      </c>
      <c r="AJ1509" s="210">
        <f t="shared" ca="1" si="269"/>
        <v>4.1749999999999998</v>
      </c>
      <c r="AK1509" s="8">
        <f t="shared" ca="1" si="270"/>
        <v>1.0001159722222221</v>
      </c>
      <c r="AL1509" s="98">
        <f t="shared" ca="1" si="271"/>
        <v>3.8943468871646569</v>
      </c>
      <c r="AM1509" s="106">
        <f t="shared" ca="1" si="265"/>
        <v>29609.930664876203</v>
      </c>
      <c r="AN1509" s="10">
        <f t="shared" ca="1" si="266"/>
        <v>0.85611673696888158</v>
      </c>
      <c r="AO1509" s="158"/>
      <c r="AP1509" s="158"/>
      <c r="AQ1509" s="1"/>
      <c r="AR1509" s="1"/>
      <c r="AS1509" s="1"/>
      <c r="AT1509" s="1"/>
      <c r="AU1509" s="1"/>
    </row>
    <row r="1510" spans="34:47">
      <c r="AH1510" s="6">
        <f t="shared" si="267"/>
        <v>1480</v>
      </c>
      <c r="AI1510" s="7">
        <f t="shared" ca="1" si="268"/>
        <v>44150</v>
      </c>
      <c r="AJ1510" s="210">
        <f t="shared" ca="1" si="269"/>
        <v>4.1749999999999998</v>
      </c>
      <c r="AK1510" s="8">
        <f t="shared" ca="1" si="270"/>
        <v>1.0001159722222221</v>
      </c>
      <c r="AL1510" s="98">
        <f t="shared" ca="1" si="271"/>
        <v>3.8946363249538596</v>
      </c>
      <c r="AM1510" s="106">
        <f t="shared" ca="1" si="265"/>
        <v>29612.370566666108</v>
      </c>
      <c r="AN1510" s="10">
        <f t="shared" ca="1" si="266"/>
        <v>0.85637074350062292</v>
      </c>
      <c r="AO1510" s="158"/>
      <c r="AP1510" s="158"/>
      <c r="AQ1510" s="1"/>
      <c r="AR1510" s="1"/>
      <c r="AS1510" s="1"/>
      <c r="AT1510" s="1"/>
      <c r="AU1510" s="1"/>
    </row>
    <row r="1511" spans="34:47">
      <c r="AH1511" s="6">
        <f t="shared" si="267"/>
        <v>1481</v>
      </c>
      <c r="AI1511" s="7">
        <f t="shared" ca="1" si="268"/>
        <v>44151</v>
      </c>
      <c r="AJ1511" s="210">
        <f t="shared" ca="1" si="269"/>
        <v>4.1749999999999998</v>
      </c>
      <c r="AK1511" s="8">
        <f t="shared" ca="1" si="270"/>
        <v>1.0001159722222221</v>
      </c>
      <c r="AL1511" s="98">
        <f t="shared" ca="1" si="271"/>
        <v>3.8949253726797251</v>
      </c>
      <c r="AM1511" s="106">
        <f t="shared" ca="1" si="265"/>
        <v>29614.810669507511</v>
      </c>
      <c r="AN1511" s="10">
        <f t="shared" ca="1" si="266"/>
        <v>0.85662440765048586</v>
      </c>
      <c r="AO1511" s="158"/>
      <c r="AP1511" s="158"/>
      <c r="AQ1511" s="1"/>
      <c r="AR1511" s="1"/>
      <c r="AS1511" s="1"/>
      <c r="AT1511" s="1"/>
      <c r="AU1511" s="1"/>
    </row>
    <row r="1512" spans="34:47">
      <c r="AH1512" s="6">
        <f t="shared" si="267"/>
        <v>1482</v>
      </c>
      <c r="AI1512" s="7">
        <f t="shared" ca="1" si="268"/>
        <v>44152</v>
      </c>
      <c r="AJ1512" s="210">
        <f t="shared" ca="1" si="269"/>
        <v>4.1749999999999998</v>
      </c>
      <c r="AK1512" s="8">
        <f t="shared" ca="1" si="270"/>
        <v>1.0001159722222221</v>
      </c>
      <c r="AL1512" s="98">
        <f t="shared" ca="1" si="271"/>
        <v>3.895214031130223</v>
      </c>
      <c r="AM1512" s="106">
        <f t="shared" ca="1" si="265"/>
        <v>29617.250973416969</v>
      </c>
      <c r="AN1512" s="10">
        <f t="shared" ca="1" si="266"/>
        <v>0.85687773011027257</v>
      </c>
      <c r="AO1512" s="158"/>
      <c r="AP1512" s="158"/>
      <c r="AQ1512" s="1"/>
      <c r="AR1512" s="1"/>
      <c r="AS1512" s="1"/>
      <c r="AT1512" s="1"/>
      <c r="AU1512" s="1"/>
    </row>
    <row r="1513" spans="34:47">
      <c r="AH1513" s="6">
        <f t="shared" si="267"/>
        <v>1483</v>
      </c>
      <c r="AI1513" s="7">
        <f t="shared" ca="1" si="268"/>
        <v>44153</v>
      </c>
      <c r="AJ1513" s="210">
        <f t="shared" ca="1" si="269"/>
        <v>4.1749999999999998</v>
      </c>
      <c r="AK1513" s="8">
        <f t="shared" ca="1" si="270"/>
        <v>1.0001159722222221</v>
      </c>
      <c r="AL1513" s="98">
        <f t="shared" ca="1" si="271"/>
        <v>3.8955023010912138</v>
      </c>
      <c r="AM1513" s="106">
        <f t="shared" ca="1" si="265"/>
        <v>29619.69147841106</v>
      </c>
      <c r="AN1513" s="10">
        <f t="shared" ca="1" si="266"/>
        <v>0.85713071156989784</v>
      </c>
      <c r="AO1513" s="158"/>
      <c r="AP1513" s="158"/>
      <c r="AQ1513" s="1"/>
      <c r="AR1513" s="1"/>
      <c r="AS1513" s="1"/>
      <c r="AT1513" s="1"/>
      <c r="AU1513" s="1"/>
    </row>
    <row r="1514" spans="34:47">
      <c r="AH1514" s="6">
        <f t="shared" si="267"/>
        <v>1484</v>
      </c>
      <c r="AI1514" s="7">
        <f t="shared" ca="1" si="268"/>
        <v>44154</v>
      </c>
      <c r="AJ1514" s="210">
        <f t="shared" ca="1" si="269"/>
        <v>4.1749999999999998</v>
      </c>
      <c r="AK1514" s="8">
        <f t="shared" ca="1" si="270"/>
        <v>1.0001159722222221</v>
      </c>
      <c r="AL1514" s="98">
        <f t="shared" ca="1" si="271"/>
        <v>3.8957901833464259</v>
      </c>
      <c r="AM1514" s="106">
        <f t="shared" ca="1" si="265"/>
        <v>29622.132184506347</v>
      </c>
      <c r="AN1514" s="10">
        <f t="shared" ca="1" si="266"/>
        <v>0.85738335271738908</v>
      </c>
      <c r="AO1514" s="158"/>
      <c r="AP1514" s="158"/>
      <c r="AQ1514" s="1"/>
      <c r="AR1514" s="1"/>
      <c r="AS1514" s="1"/>
      <c r="AT1514" s="1"/>
      <c r="AU1514" s="1"/>
    </row>
    <row r="1515" spans="34:47">
      <c r="AH1515" s="6">
        <f t="shared" si="267"/>
        <v>1485</v>
      </c>
      <c r="AI1515" s="7">
        <f t="shared" ca="1" si="268"/>
        <v>44155</v>
      </c>
      <c r="AJ1515" s="210">
        <f t="shared" ca="1" si="269"/>
        <v>4.1749999999999998</v>
      </c>
      <c r="AK1515" s="8">
        <f t="shared" ca="1" si="270"/>
        <v>1.0001159722222221</v>
      </c>
      <c r="AL1515" s="98">
        <f t="shared" ca="1" si="271"/>
        <v>3.8960776786775009</v>
      </c>
      <c r="AM1515" s="106">
        <f t="shared" ca="1" si="265"/>
        <v>29624.573091719398</v>
      </c>
      <c r="AN1515" s="10">
        <f t="shared" ca="1" si="266"/>
        <v>0.85763565423906396</v>
      </c>
      <c r="AO1515" s="158"/>
      <c r="AP1515" s="158"/>
      <c r="AQ1515" s="1"/>
      <c r="AR1515" s="1"/>
      <c r="AS1515" s="1"/>
      <c r="AT1515" s="1"/>
      <c r="AU1515" s="1"/>
    </row>
    <row r="1516" spans="34:47">
      <c r="AH1516" s="6">
        <f t="shared" si="267"/>
        <v>1486</v>
      </c>
      <c r="AI1516" s="7">
        <f t="shared" ca="1" si="268"/>
        <v>44156</v>
      </c>
      <c r="AJ1516" s="210">
        <f t="shared" ca="1" si="269"/>
        <v>4.1749999999999998</v>
      </c>
      <c r="AK1516" s="8">
        <f t="shared" ca="1" si="270"/>
        <v>1.0001159722222221</v>
      </c>
      <c r="AL1516" s="98">
        <f t="shared" ca="1" si="271"/>
        <v>3.8963647878639929</v>
      </c>
      <c r="AM1516" s="106">
        <f t="shared" ca="1" si="265"/>
        <v>29627.014200066784</v>
      </c>
      <c r="AN1516" s="10">
        <f t="shared" ca="1" si="266"/>
        <v>0.85788761681924175</v>
      </c>
      <c r="AO1516" s="158"/>
      <c r="AP1516" s="158"/>
      <c r="AQ1516" s="1"/>
      <c r="AR1516" s="1"/>
      <c r="AS1516" s="1"/>
      <c r="AT1516" s="1"/>
      <c r="AU1516" s="1"/>
    </row>
    <row r="1517" spans="34:47">
      <c r="AH1517" s="6">
        <f t="shared" si="267"/>
        <v>1487</v>
      </c>
      <c r="AI1517" s="7">
        <f t="shared" ca="1" si="268"/>
        <v>44157</v>
      </c>
      <c r="AJ1517" s="210">
        <f t="shared" ca="1" si="269"/>
        <v>4.1749999999999998</v>
      </c>
      <c r="AK1517" s="8">
        <f t="shared" ca="1" si="270"/>
        <v>1.0001159722222221</v>
      </c>
      <c r="AL1517" s="98">
        <f t="shared" ca="1" si="271"/>
        <v>3.8966515116833245</v>
      </c>
      <c r="AM1517" s="106">
        <f t="shared" ca="1" si="265"/>
        <v>29629.455509565094</v>
      </c>
      <c r="AN1517" s="10">
        <f t="shared" ca="1" si="266"/>
        <v>0.85813924114046536</v>
      </c>
      <c r="AO1517" s="158"/>
      <c r="AP1517" s="158"/>
      <c r="AQ1517" s="1"/>
      <c r="AR1517" s="1"/>
      <c r="AS1517" s="1"/>
      <c r="AT1517" s="1"/>
      <c r="AU1517" s="1"/>
    </row>
    <row r="1518" spans="34:47">
      <c r="AH1518" s="6">
        <f t="shared" si="267"/>
        <v>1488</v>
      </c>
      <c r="AI1518" s="7">
        <f t="shared" ca="1" si="268"/>
        <v>44158</v>
      </c>
      <c r="AJ1518" s="210">
        <f t="shared" ca="1" si="269"/>
        <v>4.1749999999999998</v>
      </c>
      <c r="AK1518" s="8">
        <f t="shared" ca="1" si="270"/>
        <v>1.0001159722222221</v>
      </c>
      <c r="AL1518" s="98">
        <f t="shared" ca="1" si="271"/>
        <v>3.8969378509108754</v>
      </c>
      <c r="AM1518" s="106">
        <f t="shared" ca="1" si="265"/>
        <v>29631.897020230892</v>
      </c>
      <c r="AN1518" s="10">
        <f t="shared" ca="1" si="266"/>
        <v>0.85839052788345693</v>
      </c>
      <c r="AO1518" s="158"/>
      <c r="AP1518" s="158"/>
      <c r="AQ1518" s="1"/>
      <c r="AR1518" s="1"/>
      <c r="AS1518" s="1"/>
      <c r="AT1518" s="1"/>
      <c r="AU1518" s="1"/>
    </row>
    <row r="1519" spans="34:47">
      <c r="AH1519" s="6">
        <f t="shared" si="267"/>
        <v>1489</v>
      </c>
      <c r="AI1519" s="7">
        <f t="shared" ca="1" si="268"/>
        <v>44159</v>
      </c>
      <c r="AJ1519" s="210">
        <f t="shared" ca="1" si="269"/>
        <v>4.1749999999999998</v>
      </c>
      <c r="AK1519" s="8">
        <f t="shared" ca="1" si="270"/>
        <v>1.0001159722222221</v>
      </c>
      <c r="AL1519" s="98">
        <f t="shared" ca="1" si="271"/>
        <v>3.8972238063198938</v>
      </c>
      <c r="AM1519" s="106">
        <f t="shared" ca="1" si="265"/>
        <v>29634.338732080756</v>
      </c>
      <c r="AN1519" s="10">
        <f t="shared" ca="1" si="266"/>
        <v>0.85864147772709565</v>
      </c>
      <c r="AO1519" s="158"/>
      <c r="AP1519" s="158"/>
      <c r="AQ1519" s="1"/>
      <c r="AR1519" s="1"/>
      <c r="AS1519" s="1"/>
      <c r="AT1519" s="1"/>
      <c r="AU1519" s="1"/>
    </row>
    <row r="1520" spans="34:47">
      <c r="AH1520" s="6">
        <f t="shared" si="267"/>
        <v>1490</v>
      </c>
      <c r="AI1520" s="7">
        <f t="shared" ca="1" si="268"/>
        <v>44160</v>
      </c>
      <c r="AJ1520" s="210">
        <f t="shared" ca="1" si="269"/>
        <v>4.1749999999999998</v>
      </c>
      <c r="AK1520" s="8">
        <f t="shared" ca="1" si="270"/>
        <v>1.0001159722222221</v>
      </c>
      <c r="AL1520" s="98">
        <f t="shared" ca="1" si="271"/>
        <v>3.8975093786816073</v>
      </c>
      <c r="AM1520" s="106">
        <f t="shared" ca="1" si="265"/>
        <v>29636.780645131264</v>
      </c>
      <c r="AN1520" s="10">
        <f t="shared" ca="1" si="266"/>
        <v>0.85889209134846212</v>
      </c>
      <c r="AO1520" s="158"/>
      <c r="AP1520" s="158"/>
      <c r="AQ1520" s="1"/>
      <c r="AR1520" s="1"/>
      <c r="AS1520" s="1"/>
      <c r="AT1520" s="1"/>
      <c r="AU1520" s="1"/>
    </row>
    <row r="1521" spans="34:47">
      <c r="AH1521" s="6">
        <f t="shared" si="267"/>
        <v>1491</v>
      </c>
      <c r="AI1521" s="7">
        <f t="shared" ca="1" si="268"/>
        <v>44161</v>
      </c>
      <c r="AJ1521" s="210">
        <f t="shared" ca="1" si="269"/>
        <v>4.1749999999999998</v>
      </c>
      <c r="AK1521" s="8">
        <f t="shared" ca="1" si="270"/>
        <v>1.0001159722222221</v>
      </c>
      <c r="AL1521" s="98">
        <f t="shared" ca="1" si="271"/>
        <v>3.8977945687651339</v>
      </c>
      <c r="AM1521" s="106">
        <f t="shared" ca="1" si="265"/>
        <v>29639.222759398992</v>
      </c>
      <c r="AN1521" s="10">
        <f t="shared" ca="1" si="266"/>
        <v>0.85914236942279398</v>
      </c>
      <c r="AO1521" s="158"/>
      <c r="AP1521" s="158"/>
      <c r="AQ1521" s="1"/>
      <c r="AR1521" s="1"/>
      <c r="AS1521" s="1"/>
      <c r="AT1521" s="1"/>
      <c r="AU1521" s="1"/>
    </row>
    <row r="1522" spans="34:47">
      <c r="AH1522" s="6">
        <f t="shared" si="267"/>
        <v>1492</v>
      </c>
      <c r="AI1522" s="7">
        <f t="shared" ca="1" si="268"/>
        <v>44162</v>
      </c>
      <c r="AJ1522" s="210">
        <f t="shared" ca="1" si="269"/>
        <v>4.1749999999999998</v>
      </c>
      <c r="AK1522" s="8">
        <f t="shared" ca="1" si="270"/>
        <v>1.0001159722222221</v>
      </c>
      <c r="AL1522" s="98">
        <f t="shared" ca="1" si="271"/>
        <v>3.898079377337571</v>
      </c>
      <c r="AM1522" s="106">
        <f t="shared" ca="1" si="265"/>
        <v>29641.665074900528</v>
      </c>
      <c r="AN1522" s="10">
        <f t="shared" ca="1" si="266"/>
        <v>0.85939231262350813</v>
      </c>
      <c r="AO1522" s="158"/>
      <c r="AP1522" s="158"/>
      <c r="AQ1522" s="1"/>
      <c r="AR1522" s="1"/>
      <c r="AS1522" s="1"/>
      <c r="AT1522" s="1"/>
      <c r="AU1522" s="1"/>
    </row>
    <row r="1523" spans="34:47">
      <c r="AH1523" s="6">
        <f t="shared" si="267"/>
        <v>1493</v>
      </c>
      <c r="AI1523" s="7">
        <f t="shared" ca="1" si="268"/>
        <v>44163</v>
      </c>
      <c r="AJ1523" s="210">
        <f t="shared" ca="1" si="269"/>
        <v>4.1749999999999998</v>
      </c>
      <c r="AK1523" s="8">
        <f t="shared" ca="1" si="270"/>
        <v>1.0001159722222221</v>
      </c>
      <c r="AL1523" s="98">
        <f t="shared" ca="1" si="271"/>
        <v>3.8983638051639735</v>
      </c>
      <c r="AM1523" s="106">
        <f t="shared" ca="1" si="265"/>
        <v>29644.107591652446</v>
      </c>
      <c r="AN1523" s="10">
        <f t="shared" ca="1" si="266"/>
        <v>0.85964192162231168</v>
      </c>
      <c r="AO1523" s="158"/>
      <c r="AP1523" s="158"/>
      <c r="AQ1523" s="1"/>
      <c r="AR1523" s="1"/>
      <c r="AS1523" s="1"/>
      <c r="AT1523" s="1"/>
      <c r="AU1523" s="1"/>
    </row>
    <row r="1524" spans="34:47">
      <c r="AH1524" s="6">
        <f t="shared" si="267"/>
        <v>1494</v>
      </c>
      <c r="AI1524" s="7">
        <f t="shared" ca="1" si="268"/>
        <v>44164</v>
      </c>
      <c r="AJ1524" s="210">
        <f t="shared" ca="1" si="269"/>
        <v>4.1749999999999998</v>
      </c>
      <c r="AK1524" s="8">
        <f t="shared" ca="1" si="270"/>
        <v>1.0001159722222221</v>
      </c>
      <c r="AL1524" s="98">
        <f t="shared" ca="1" si="271"/>
        <v>3.8986478530073088</v>
      </c>
      <c r="AM1524" s="106">
        <f t="shared" ca="1" si="265"/>
        <v>29646.550309671336</v>
      </c>
      <c r="AN1524" s="10">
        <f t="shared" ca="1" si="266"/>
        <v>0.85989119708900219</v>
      </c>
      <c r="AO1524" s="158"/>
      <c r="AP1524" s="158"/>
      <c r="AQ1524" s="1"/>
      <c r="AR1524" s="1"/>
      <c r="AS1524" s="1"/>
      <c r="AT1524" s="1"/>
      <c r="AU1524" s="1"/>
    </row>
    <row r="1525" spans="34:47">
      <c r="AH1525" s="6">
        <f t="shared" si="267"/>
        <v>1495</v>
      </c>
      <c r="AI1525" s="7">
        <f t="shared" ca="1" si="268"/>
        <v>44165</v>
      </c>
      <c r="AJ1525" s="210">
        <f t="shared" ca="1" si="269"/>
        <v>4.1749999999999998</v>
      </c>
      <c r="AK1525" s="8">
        <f t="shared" ca="1" si="270"/>
        <v>1.0001159722222221</v>
      </c>
      <c r="AL1525" s="98">
        <f t="shared" ca="1" si="271"/>
        <v>3.8989315216285236</v>
      </c>
      <c r="AM1525" s="106">
        <f t="shared" ca="1" si="265"/>
        <v>29648.993228973774</v>
      </c>
      <c r="AN1525" s="10">
        <f t="shared" ca="1" si="266"/>
        <v>0.86014013969166747</v>
      </c>
      <c r="AO1525" s="158"/>
      <c r="AP1525" s="158"/>
      <c r="AQ1525" s="1"/>
      <c r="AR1525" s="1"/>
      <c r="AS1525" s="1"/>
      <c r="AT1525" s="1"/>
      <c r="AU1525" s="1"/>
    </row>
    <row r="1526" spans="34:47">
      <c r="AH1526" s="6">
        <f t="shared" si="267"/>
        <v>1496</v>
      </c>
      <c r="AI1526" s="7">
        <f t="shared" ca="1" si="268"/>
        <v>44166</v>
      </c>
      <c r="AJ1526" s="210">
        <f t="shared" ca="1" si="269"/>
        <v>4.1749999999999998</v>
      </c>
      <c r="AK1526" s="8">
        <f t="shared" ca="1" si="270"/>
        <v>1.0001159722222221</v>
      </c>
      <c r="AL1526" s="98">
        <f t="shared" ca="1" si="271"/>
        <v>3.8992148117865444</v>
      </c>
      <c r="AM1526" s="106">
        <f t="shared" ca="1" si="265"/>
        <v>29651.436349576357</v>
      </c>
      <c r="AN1526" s="10">
        <f t="shared" ca="1" si="266"/>
        <v>0.86038875009657456</v>
      </c>
      <c r="AO1526" s="158"/>
      <c r="AP1526" s="158"/>
      <c r="AQ1526" s="1"/>
      <c r="AR1526" s="1"/>
      <c r="AS1526" s="1"/>
      <c r="AT1526" s="1"/>
      <c r="AU1526" s="1"/>
    </row>
    <row r="1527" spans="34:47">
      <c r="AH1527" s="6">
        <f t="shared" si="267"/>
        <v>1497</v>
      </c>
      <c r="AI1527" s="7">
        <f t="shared" ca="1" si="268"/>
        <v>44167</v>
      </c>
      <c r="AJ1527" s="210">
        <f t="shared" ca="1" si="269"/>
        <v>4.1749999999999998</v>
      </c>
      <c r="AK1527" s="8">
        <f t="shared" ca="1" si="270"/>
        <v>1.0001159722222221</v>
      </c>
      <c r="AL1527" s="98">
        <f t="shared" ca="1" si="271"/>
        <v>3.8994977242382767</v>
      </c>
      <c r="AM1527" s="106">
        <f t="shared" ca="1" si="265"/>
        <v>29653.879671495662</v>
      </c>
      <c r="AN1527" s="10">
        <f t="shared" ca="1" si="266"/>
        <v>0.86063702896823635</v>
      </c>
      <c r="AO1527" s="158"/>
      <c r="AP1527" s="158"/>
      <c r="AQ1527" s="1"/>
      <c r="AR1527" s="1"/>
      <c r="AS1527" s="1"/>
      <c r="AT1527" s="1"/>
      <c r="AU1527" s="1"/>
    </row>
    <row r="1528" spans="34:47">
      <c r="AH1528" s="6">
        <f t="shared" si="267"/>
        <v>1498</v>
      </c>
      <c r="AI1528" s="7">
        <f t="shared" ca="1" si="268"/>
        <v>44168</v>
      </c>
      <c r="AJ1528" s="210">
        <f t="shared" ca="1" si="269"/>
        <v>4.1749999999999998</v>
      </c>
      <c r="AK1528" s="8">
        <f t="shared" ca="1" si="270"/>
        <v>1.0001159722222221</v>
      </c>
      <c r="AL1528" s="98">
        <f t="shared" ca="1" si="271"/>
        <v>3.8997802597385833</v>
      </c>
      <c r="AM1528" s="106">
        <f t="shared" ca="1" si="265"/>
        <v>29656.323194748289</v>
      </c>
      <c r="AN1528" s="10">
        <f t="shared" ca="1" si="266"/>
        <v>0.86088497696934496</v>
      </c>
      <c r="AO1528" s="158"/>
      <c r="AP1528" s="158"/>
      <c r="AQ1528" s="1"/>
      <c r="AR1528" s="1"/>
      <c r="AS1528" s="1"/>
      <c r="AT1528" s="1"/>
      <c r="AU1528" s="1"/>
    </row>
    <row r="1529" spans="34:47">
      <c r="AH1529" s="6">
        <f t="shared" si="267"/>
        <v>1499</v>
      </c>
      <c r="AI1529" s="7">
        <f t="shared" ca="1" si="268"/>
        <v>44169</v>
      </c>
      <c r="AJ1529" s="210">
        <f t="shared" ca="1" si="269"/>
        <v>4.1749999999999998</v>
      </c>
      <c r="AK1529" s="8">
        <f t="shared" ca="1" si="270"/>
        <v>1.0001159722222221</v>
      </c>
      <c r="AL1529" s="98">
        <f t="shared" ca="1" si="271"/>
        <v>3.900062419040351</v>
      </c>
      <c r="AM1529" s="106">
        <f t="shared" ca="1" si="265"/>
        <v>29658.766919350819</v>
      </c>
      <c r="AN1529" s="10">
        <f t="shared" ca="1" si="266"/>
        <v>0.86113259476090498</v>
      </c>
      <c r="AO1529" s="158"/>
      <c r="AP1529" s="158"/>
      <c r="AQ1529" s="1"/>
      <c r="AR1529" s="1"/>
      <c r="AS1529" s="1"/>
      <c r="AT1529" s="1"/>
      <c r="AU1529" s="1"/>
    </row>
    <row r="1530" spans="34:47">
      <c r="AH1530" s="6">
        <f t="shared" si="267"/>
        <v>1500</v>
      </c>
      <c r="AI1530" s="7">
        <f t="shared" ca="1" si="268"/>
        <v>44170</v>
      </c>
      <c r="AJ1530" s="210">
        <f t="shared" ca="1" si="269"/>
        <v>4.1749999999999998</v>
      </c>
      <c r="AK1530" s="8">
        <f t="shared" ca="1" si="270"/>
        <v>1.0001159722222221</v>
      </c>
      <c r="AL1530" s="98">
        <f t="shared" ca="1" si="271"/>
        <v>3.9003442028944457</v>
      </c>
      <c r="AM1530" s="106">
        <f t="shared" ca="1" si="265"/>
        <v>29661.210845319845</v>
      </c>
      <c r="AN1530" s="10">
        <f t="shared" ca="1" si="266"/>
        <v>0.86137988300212243</v>
      </c>
      <c r="AO1530" s="158"/>
      <c r="AP1530" s="158"/>
      <c r="AQ1530" s="1"/>
      <c r="AR1530" s="1"/>
      <c r="AS1530" s="1"/>
      <c r="AT1530" s="1"/>
      <c r="AU1530" s="1"/>
    </row>
    <row r="1531" spans="34:47">
      <c r="AH1531" s="6">
        <f t="shared" si="267"/>
        <v>1501</v>
      </c>
      <c r="AI1531" s="7">
        <f t="shared" ca="1" si="268"/>
        <v>44171</v>
      </c>
      <c r="AJ1531" s="210">
        <f t="shared" ca="1" si="269"/>
        <v>4.1749999999999998</v>
      </c>
      <c r="AK1531" s="8">
        <f t="shared" ca="1" si="270"/>
        <v>1.0001159722222221</v>
      </c>
      <c r="AL1531" s="98">
        <f t="shared" ca="1" si="271"/>
        <v>3.9006256120497351</v>
      </c>
      <c r="AM1531" s="106">
        <f t="shared" ca="1" si="265"/>
        <v>29663.654972671964</v>
      </c>
      <c r="AN1531" s="10">
        <f t="shared" ca="1" si="266"/>
        <v>0.86162684235040476</v>
      </c>
      <c r="AO1531" s="158"/>
      <c r="AP1531" s="158"/>
      <c r="AQ1531" s="1"/>
      <c r="AR1531" s="1"/>
      <c r="AS1531" s="1"/>
      <c r="AT1531" s="1"/>
      <c r="AU1531" s="1"/>
    </row>
    <row r="1532" spans="34:47">
      <c r="AH1532" s="6">
        <f t="shared" si="267"/>
        <v>1502</v>
      </c>
      <c r="AI1532" s="7">
        <f t="shared" ca="1" si="268"/>
        <v>44172</v>
      </c>
      <c r="AJ1532" s="210">
        <f t="shared" ca="1" si="269"/>
        <v>4.1749999999999998</v>
      </c>
      <c r="AK1532" s="8">
        <f t="shared" ca="1" si="270"/>
        <v>1.0001159722222221</v>
      </c>
      <c r="AL1532" s="98">
        <f t="shared" ca="1" si="271"/>
        <v>3.9009066472530884</v>
      </c>
      <c r="AM1532" s="106">
        <f t="shared" ca="1" si="265"/>
        <v>29666.099301423768</v>
      </c>
      <c r="AN1532" s="10">
        <f t="shared" ca="1" si="266"/>
        <v>0.86187347346149412</v>
      </c>
      <c r="AO1532" s="158"/>
      <c r="AP1532" s="158"/>
      <c r="AQ1532" s="1"/>
      <c r="AR1532" s="1"/>
      <c r="AS1532" s="1"/>
      <c r="AT1532" s="1"/>
      <c r="AU1532" s="1"/>
    </row>
    <row r="1533" spans="34:47">
      <c r="AH1533" s="6">
        <f t="shared" si="267"/>
        <v>1503</v>
      </c>
      <c r="AI1533" s="7">
        <f t="shared" ca="1" si="268"/>
        <v>44173</v>
      </c>
      <c r="AJ1533" s="210">
        <f t="shared" ca="1" si="269"/>
        <v>4.1749999999999998</v>
      </c>
      <c r="AK1533" s="8">
        <f t="shared" ca="1" si="270"/>
        <v>1.0001159722222221</v>
      </c>
      <c r="AL1533" s="98">
        <f t="shared" ca="1" si="271"/>
        <v>3.9011873092493987</v>
      </c>
      <c r="AM1533" s="106">
        <f t="shared" ca="1" si="265"/>
        <v>29668.543831591855</v>
      </c>
      <c r="AN1533" s="10">
        <f t="shared" ca="1" si="266"/>
        <v>0.86211977698933406</v>
      </c>
      <c r="AO1533" s="158"/>
      <c r="AP1533" s="158"/>
      <c r="AQ1533" s="1"/>
      <c r="AR1533" s="1"/>
      <c r="AS1533" s="1"/>
      <c r="AT1533" s="1"/>
      <c r="AU1533" s="1"/>
    </row>
    <row r="1534" spans="34:47">
      <c r="AH1534" s="6">
        <f t="shared" si="267"/>
        <v>1504</v>
      </c>
      <c r="AI1534" s="7">
        <f t="shared" ca="1" si="268"/>
        <v>44174</v>
      </c>
      <c r="AJ1534" s="210">
        <f t="shared" ca="1" si="269"/>
        <v>4.1749999999999998</v>
      </c>
      <c r="AK1534" s="8">
        <f t="shared" ca="1" si="270"/>
        <v>1.0001159722222221</v>
      </c>
      <c r="AL1534" s="98">
        <f t="shared" ca="1" si="271"/>
        <v>3.901467598781605</v>
      </c>
      <c r="AM1534" s="106">
        <f t="shared" ca="1" si="265"/>
        <v>29670.988563192812</v>
      </c>
      <c r="AN1534" s="10">
        <f t="shared" ca="1" si="266"/>
        <v>0.86236575358615841</v>
      </c>
      <c r="AO1534" s="158"/>
      <c r="AP1534" s="158"/>
      <c r="AQ1534" s="1"/>
      <c r="AR1534" s="1"/>
      <c r="AS1534" s="1"/>
      <c r="AT1534" s="1"/>
      <c r="AU1534" s="1"/>
    </row>
    <row r="1535" spans="34:47">
      <c r="AH1535" s="6">
        <f t="shared" si="267"/>
        <v>1505</v>
      </c>
      <c r="AI1535" s="7">
        <f t="shared" ca="1" si="268"/>
        <v>44175</v>
      </c>
      <c r="AJ1535" s="210">
        <f t="shared" ca="1" si="269"/>
        <v>4.1749999999999998</v>
      </c>
      <c r="AK1535" s="8">
        <f t="shared" ca="1" si="270"/>
        <v>1.0001159722222221</v>
      </c>
      <c r="AL1535" s="98">
        <f t="shared" ca="1" si="271"/>
        <v>3.9017475165906479</v>
      </c>
      <c r="AM1535" s="106">
        <f t="shared" ca="1" si="265"/>
        <v>29673.354624290627</v>
      </c>
      <c r="AN1535" s="10">
        <f t="shared" ca="1" si="266"/>
        <v>0.86267642317130466</v>
      </c>
      <c r="AO1535" s="158"/>
      <c r="AP1535" s="158"/>
      <c r="AQ1535" s="1"/>
      <c r="AR1535" s="1"/>
      <c r="AS1535" s="1"/>
      <c r="AT1535" s="1"/>
      <c r="AU1535" s="1"/>
    </row>
    <row r="1536" spans="34:47">
      <c r="AH1536" s="6">
        <f t="shared" si="267"/>
        <v>1506</v>
      </c>
      <c r="AI1536" s="7">
        <f t="shared" ca="1" si="268"/>
        <v>44176</v>
      </c>
      <c r="AJ1536" s="210">
        <f t="shared" ca="1" si="269"/>
        <v>4.1749999999999998</v>
      </c>
      <c r="AK1536" s="8">
        <f t="shared" ca="1" si="270"/>
        <v>1.0001159722222221</v>
      </c>
      <c r="AL1536" s="98">
        <f t="shared" ca="1" si="271"/>
        <v>3.9020270634155141</v>
      </c>
      <c r="AM1536" s="106">
        <f t="shared" ca="1" si="265"/>
        <v>29675.72087406585</v>
      </c>
      <c r="AN1536" s="10">
        <f t="shared" ca="1" si="266"/>
        <v>0.8629866811356468</v>
      </c>
      <c r="AO1536" s="158"/>
      <c r="AP1536" s="158"/>
      <c r="AQ1536" s="1"/>
      <c r="AR1536" s="1"/>
      <c r="AS1536" s="1"/>
      <c r="AT1536" s="1"/>
      <c r="AU1536" s="1"/>
    </row>
    <row r="1537" spans="34:47">
      <c r="AH1537" s="6">
        <f t="shared" si="267"/>
        <v>1507</v>
      </c>
      <c r="AI1537" s="7">
        <f t="shared" ca="1" si="268"/>
        <v>44177</v>
      </c>
      <c r="AJ1537" s="210">
        <f t="shared" ca="1" si="269"/>
        <v>4.1749999999999998</v>
      </c>
      <c r="AK1537" s="8">
        <f t="shared" ca="1" si="270"/>
        <v>1.0001159722222221</v>
      </c>
      <c r="AL1537" s="98">
        <f t="shared" ca="1" si="271"/>
        <v>3.902306239993214</v>
      </c>
      <c r="AM1537" s="106">
        <f t="shared" ca="1" si="265"/>
        <v>29678.08731253352</v>
      </c>
      <c r="AN1537" s="10">
        <f t="shared" ca="1" si="266"/>
        <v>0.86329652829668646</v>
      </c>
      <c r="AO1537" s="158"/>
      <c r="AP1537" s="158"/>
      <c r="AQ1537" s="1"/>
      <c r="AR1537" s="1"/>
      <c r="AS1537" s="1"/>
      <c r="AT1537" s="1"/>
      <c r="AU1537" s="1"/>
    </row>
    <row r="1538" spans="34:47">
      <c r="AH1538" s="6">
        <f t="shared" si="267"/>
        <v>1508</v>
      </c>
      <c r="AI1538" s="7">
        <f t="shared" ca="1" si="268"/>
        <v>44178</v>
      </c>
      <c r="AJ1538" s="210">
        <f t="shared" ca="1" si="269"/>
        <v>4.1749999999999998</v>
      </c>
      <c r="AK1538" s="8">
        <f t="shared" ca="1" si="270"/>
        <v>1.0001159722222221</v>
      </c>
      <c r="AL1538" s="98">
        <f t="shared" ca="1" si="271"/>
        <v>3.9025850470588264</v>
      </c>
      <c r="AM1538" s="106">
        <f t="shared" ca="1" si="265"/>
        <v>29680.453939708688</v>
      </c>
      <c r="AN1538" s="10">
        <f t="shared" ca="1" si="266"/>
        <v>0.86360596546979362</v>
      </c>
      <c r="AO1538" s="158"/>
      <c r="AP1538" s="158"/>
      <c r="AQ1538" s="1"/>
      <c r="AR1538" s="1"/>
      <c r="AS1538" s="1"/>
      <c r="AT1538" s="1"/>
      <c r="AU1538" s="1"/>
    </row>
    <row r="1539" spans="34:47">
      <c r="AH1539" s="6">
        <f t="shared" si="267"/>
        <v>1509</v>
      </c>
      <c r="AI1539" s="7">
        <f t="shared" ca="1" si="268"/>
        <v>44179</v>
      </c>
      <c r="AJ1539" s="210">
        <f t="shared" ca="1" si="269"/>
        <v>4.1749999999999998</v>
      </c>
      <c r="AK1539" s="8">
        <f t="shared" ca="1" si="270"/>
        <v>1.0001159722222221</v>
      </c>
      <c r="AL1539" s="98">
        <f t="shared" ca="1" si="271"/>
        <v>3.902863485345498</v>
      </c>
      <c r="AM1539" s="106">
        <f t="shared" ca="1" si="265"/>
        <v>29682.820755606401</v>
      </c>
      <c r="AN1539" s="10">
        <f t="shared" ca="1" si="266"/>
        <v>0.86391499346814005</v>
      </c>
      <c r="AO1539" s="158"/>
      <c r="AP1539" s="158"/>
      <c r="AQ1539" s="1"/>
      <c r="AR1539" s="1"/>
      <c r="AS1539" s="1"/>
      <c r="AT1539" s="1"/>
      <c r="AU1539" s="1"/>
    </row>
    <row r="1540" spans="34:47">
      <c r="AH1540" s="6">
        <f t="shared" si="267"/>
        <v>1510</v>
      </c>
      <c r="AI1540" s="7">
        <f t="shared" ca="1" si="268"/>
        <v>44180</v>
      </c>
      <c r="AJ1540" s="210">
        <f t="shared" ca="1" si="269"/>
        <v>4.1749999999999998</v>
      </c>
      <c r="AK1540" s="8">
        <f t="shared" ca="1" si="270"/>
        <v>1.0001159722222221</v>
      </c>
      <c r="AL1540" s="98">
        <f t="shared" ca="1" si="271"/>
        <v>3.9031415555844218</v>
      </c>
      <c r="AM1540" s="106">
        <f t="shared" ca="1" si="265"/>
        <v>29685.187760241708</v>
      </c>
      <c r="AN1540" s="10">
        <f t="shared" ca="1" si="266"/>
        <v>0.86422361310285467</v>
      </c>
      <c r="AO1540" s="158"/>
      <c r="AP1540" s="158"/>
      <c r="AQ1540" s="1"/>
      <c r="AR1540" s="1"/>
      <c r="AS1540" s="1"/>
      <c r="AT1540" s="1"/>
      <c r="AU1540" s="1"/>
    </row>
    <row r="1541" spans="34:47">
      <c r="AH1541" s="6">
        <f t="shared" si="267"/>
        <v>1511</v>
      </c>
      <c r="AI1541" s="7">
        <f t="shared" ca="1" si="268"/>
        <v>44181</v>
      </c>
      <c r="AJ1541" s="210">
        <f t="shared" ca="1" si="269"/>
        <v>4.1749999999999998</v>
      </c>
      <c r="AK1541" s="8">
        <f t="shared" ca="1" si="270"/>
        <v>1.0001159722222221</v>
      </c>
      <c r="AL1541" s="98">
        <f t="shared" ca="1" si="271"/>
        <v>3.9034192585048588</v>
      </c>
      <c r="AM1541" s="106">
        <f t="shared" ca="1" si="265"/>
        <v>29687.554953629664</v>
      </c>
      <c r="AN1541" s="10">
        <f t="shared" ca="1" si="266"/>
        <v>0.86453182518277938</v>
      </c>
      <c r="AO1541" s="158"/>
      <c r="AP1541" s="158"/>
      <c r="AQ1541" s="1"/>
      <c r="AR1541" s="1"/>
      <c r="AS1541" s="1"/>
      <c r="AT1541" s="1"/>
      <c r="AU1541" s="1"/>
    </row>
    <row r="1542" spans="34:47">
      <c r="AH1542" s="6">
        <f t="shared" si="267"/>
        <v>1512</v>
      </c>
      <c r="AI1542" s="7">
        <f t="shared" ca="1" si="268"/>
        <v>44182</v>
      </c>
      <c r="AJ1542" s="210">
        <f t="shared" ca="1" si="269"/>
        <v>4.1749999999999998</v>
      </c>
      <c r="AK1542" s="8">
        <f t="shared" ca="1" si="270"/>
        <v>1.0001159722222221</v>
      </c>
      <c r="AL1542" s="98">
        <f t="shared" ca="1" si="271"/>
        <v>3.9036965948341162</v>
      </c>
      <c r="AM1542" s="106">
        <f t="shared" ca="1" si="265"/>
        <v>29689.922335785312</v>
      </c>
      <c r="AN1542" s="10">
        <f t="shared" ca="1" si="266"/>
        <v>0.86483963051469104</v>
      </c>
      <c r="AO1542" s="158"/>
      <c r="AP1542" s="158"/>
      <c r="AQ1542" s="1"/>
      <c r="AR1542" s="1"/>
      <c r="AS1542" s="1"/>
      <c r="AT1542" s="1"/>
      <c r="AU1542" s="1"/>
    </row>
    <row r="1543" spans="34:47">
      <c r="AH1543" s="6">
        <f t="shared" si="267"/>
        <v>1513</v>
      </c>
      <c r="AI1543" s="7">
        <f t="shared" ca="1" si="268"/>
        <v>44183</v>
      </c>
      <c r="AJ1543" s="210">
        <f t="shared" ca="1" si="269"/>
        <v>4.1749999999999998</v>
      </c>
      <c r="AK1543" s="8">
        <f t="shared" ca="1" si="270"/>
        <v>1.0001159722222221</v>
      </c>
      <c r="AL1543" s="98">
        <f t="shared" ca="1" si="271"/>
        <v>3.903973565297636</v>
      </c>
      <c r="AM1543" s="106">
        <f t="shared" ca="1" si="265"/>
        <v>29692.289906723716</v>
      </c>
      <c r="AN1543" s="10">
        <f t="shared" ca="1" si="266"/>
        <v>0.86514702990325709</v>
      </c>
      <c r="AO1543" s="158"/>
      <c r="AP1543" s="158"/>
      <c r="AQ1543" s="1"/>
      <c r="AR1543" s="1"/>
      <c r="AS1543" s="1"/>
      <c r="AT1543" s="1"/>
      <c r="AU1543" s="1"/>
    </row>
    <row r="1544" spans="34:47">
      <c r="AH1544" s="6">
        <f t="shared" si="267"/>
        <v>1514</v>
      </c>
      <c r="AI1544" s="7">
        <f t="shared" ca="1" si="268"/>
        <v>44184</v>
      </c>
      <c r="AJ1544" s="210">
        <f t="shared" ca="1" si="269"/>
        <v>4.1749999999999998</v>
      </c>
      <c r="AK1544" s="8">
        <f t="shared" ca="1" si="270"/>
        <v>1.0001159722222221</v>
      </c>
      <c r="AL1544" s="98">
        <f t="shared" ca="1" si="271"/>
        <v>3.9042501706189281</v>
      </c>
      <c r="AM1544" s="106">
        <f t="shared" ca="1" si="265"/>
        <v>29694.65766645992</v>
      </c>
      <c r="AN1544" s="10">
        <f t="shared" ca="1" si="266"/>
        <v>0.86545402415101336</v>
      </c>
      <c r="AO1544" s="158"/>
      <c r="AP1544" s="158"/>
      <c r="AQ1544" s="1"/>
      <c r="AR1544" s="1"/>
      <c r="AS1544" s="1"/>
      <c r="AT1544" s="1"/>
      <c r="AU1544" s="1"/>
    </row>
    <row r="1545" spans="34:47">
      <c r="AH1545" s="6">
        <f t="shared" si="267"/>
        <v>1515</v>
      </c>
      <c r="AI1545" s="7">
        <f t="shared" ca="1" si="268"/>
        <v>44185</v>
      </c>
      <c r="AJ1545" s="210">
        <f t="shared" ca="1" si="269"/>
        <v>4.1749999999999998</v>
      </c>
      <c r="AK1545" s="8">
        <f t="shared" ca="1" si="270"/>
        <v>1.0001159722222221</v>
      </c>
      <c r="AL1545" s="98">
        <f t="shared" ca="1" si="271"/>
        <v>3.904526411519571</v>
      </c>
      <c r="AM1545" s="106">
        <f t="shared" ca="1" si="265"/>
        <v>29697.025615008988</v>
      </c>
      <c r="AN1545" s="10">
        <f t="shared" ca="1" si="266"/>
        <v>0.86576061405834182</v>
      </c>
      <c r="AO1545" s="158"/>
      <c r="AP1545" s="158"/>
      <c r="AQ1545" s="1"/>
      <c r="AR1545" s="1"/>
      <c r="AS1545" s="1"/>
      <c r="AT1545" s="1"/>
      <c r="AU1545" s="1"/>
    </row>
    <row r="1546" spans="34:47">
      <c r="AH1546" s="6">
        <f t="shared" si="267"/>
        <v>1516</v>
      </c>
      <c r="AI1546" s="7">
        <f t="shared" ca="1" si="268"/>
        <v>44186</v>
      </c>
      <c r="AJ1546" s="210">
        <f t="shared" ca="1" si="269"/>
        <v>4.1749999999999998</v>
      </c>
      <c r="AK1546" s="8">
        <f t="shared" ca="1" si="270"/>
        <v>1.0001159722222221</v>
      </c>
      <c r="AL1546" s="98">
        <f t="shared" ca="1" si="271"/>
        <v>3.9048022887192779</v>
      </c>
      <c r="AM1546" s="106">
        <f t="shared" ca="1" si="265"/>
        <v>29699.393752385971</v>
      </c>
      <c r="AN1546" s="10">
        <f t="shared" ca="1" si="266"/>
        <v>0.86606680042355944</v>
      </c>
      <c r="AO1546" s="158"/>
      <c r="AP1546" s="158"/>
      <c r="AQ1546" s="1"/>
      <c r="AR1546" s="1"/>
      <c r="AS1546" s="1"/>
      <c r="AT1546" s="1"/>
      <c r="AU1546" s="1"/>
    </row>
    <row r="1547" spans="34:47">
      <c r="AH1547" s="6">
        <f t="shared" si="267"/>
        <v>1517</v>
      </c>
      <c r="AI1547" s="7">
        <f t="shared" ca="1" si="268"/>
        <v>44187</v>
      </c>
      <c r="AJ1547" s="210">
        <f t="shared" ca="1" si="269"/>
        <v>4.1749999999999998</v>
      </c>
      <c r="AK1547" s="8">
        <f t="shared" ca="1" si="270"/>
        <v>1.0001159722222221</v>
      </c>
      <c r="AL1547" s="98">
        <f t="shared" ca="1" si="271"/>
        <v>3.9050778029358524</v>
      </c>
      <c r="AM1547" s="106">
        <f t="shared" ca="1" si="265"/>
        <v>29701.762078605927</v>
      </c>
      <c r="AN1547" s="10">
        <f t="shared" ca="1" si="266"/>
        <v>0.86637258404289597</v>
      </c>
      <c r="AO1547" s="158"/>
      <c r="AP1547" s="158"/>
      <c r="AQ1547" s="1"/>
      <c r="AR1547" s="1"/>
      <c r="AS1547" s="1"/>
      <c r="AT1547" s="1"/>
      <c r="AU1547" s="1"/>
    </row>
    <row r="1548" spans="34:47">
      <c r="AH1548" s="6">
        <f t="shared" si="267"/>
        <v>1518</v>
      </c>
      <c r="AI1548" s="7">
        <f t="shared" ca="1" si="268"/>
        <v>44188</v>
      </c>
      <c r="AJ1548" s="210">
        <f t="shared" ca="1" si="269"/>
        <v>4.1749999999999998</v>
      </c>
      <c r="AK1548" s="8">
        <f t="shared" ca="1" si="270"/>
        <v>1.0001159722222221</v>
      </c>
      <c r="AL1548" s="98">
        <f t="shared" ca="1" si="271"/>
        <v>3.9053529548852106</v>
      </c>
      <c r="AM1548" s="106">
        <f t="shared" ca="1" si="265"/>
        <v>29704.130593683916</v>
      </c>
      <c r="AN1548" s="10">
        <f t="shared" ca="1" si="266"/>
        <v>0.86667796571042732</v>
      </c>
      <c r="AO1548" s="158"/>
      <c r="AP1548" s="158"/>
      <c r="AQ1548" s="1"/>
      <c r="AR1548" s="1"/>
      <c r="AS1548" s="1"/>
      <c r="AT1548" s="1"/>
      <c r="AU1548" s="1"/>
    </row>
    <row r="1549" spans="34:47">
      <c r="AH1549" s="6">
        <f t="shared" si="267"/>
        <v>1519</v>
      </c>
      <c r="AI1549" s="7">
        <f t="shared" ca="1" si="268"/>
        <v>44189</v>
      </c>
      <c r="AJ1549" s="210">
        <f t="shared" ca="1" si="269"/>
        <v>4.1749999999999998</v>
      </c>
      <c r="AK1549" s="8">
        <f t="shared" ca="1" si="270"/>
        <v>1.0001159722222221</v>
      </c>
      <c r="AL1549" s="98">
        <f t="shared" ca="1" si="271"/>
        <v>3.9056277452813815</v>
      </c>
      <c r="AM1549" s="106">
        <f t="shared" ca="1" si="265"/>
        <v>29706.499297634997</v>
      </c>
      <c r="AN1549" s="10">
        <f t="shared" ca="1" si="266"/>
        <v>0.86698294621820882</v>
      </c>
      <c r="AO1549" s="158"/>
      <c r="AP1549" s="158"/>
      <c r="AQ1549" s="1"/>
      <c r="AR1549" s="1"/>
      <c r="AS1549" s="1"/>
      <c r="AT1549" s="1"/>
      <c r="AU1549" s="1"/>
    </row>
    <row r="1550" spans="34:47">
      <c r="AH1550" s="6">
        <f t="shared" si="267"/>
        <v>1520</v>
      </c>
      <c r="AI1550" s="7">
        <f t="shared" ca="1" si="268"/>
        <v>44190</v>
      </c>
      <c r="AJ1550" s="210">
        <f t="shared" ca="1" si="269"/>
        <v>4.1749999999999998</v>
      </c>
      <c r="AK1550" s="8">
        <f t="shared" ca="1" si="270"/>
        <v>1.0001159722222221</v>
      </c>
      <c r="AL1550" s="98">
        <f t="shared" ca="1" si="271"/>
        <v>3.9059021748365286</v>
      </c>
      <c r="AM1550" s="106">
        <f t="shared" ca="1" si="265"/>
        <v>29708.868190474237</v>
      </c>
      <c r="AN1550" s="10">
        <f t="shared" ca="1" si="266"/>
        <v>0.86728752635616413</v>
      </c>
      <c r="AO1550" s="158"/>
      <c r="AP1550" s="158"/>
      <c r="AQ1550" s="1"/>
      <c r="AR1550" s="1"/>
      <c r="AS1550" s="1"/>
      <c r="AT1550" s="1"/>
      <c r="AU1550" s="1"/>
    </row>
    <row r="1551" spans="34:47">
      <c r="AH1551" s="6">
        <f t="shared" si="267"/>
        <v>1521</v>
      </c>
      <c r="AI1551" s="7">
        <f t="shared" ca="1" si="268"/>
        <v>44191</v>
      </c>
      <c r="AJ1551" s="210">
        <f t="shared" ca="1" si="269"/>
        <v>4.1749999999999998</v>
      </c>
      <c r="AK1551" s="8">
        <f t="shared" ca="1" si="270"/>
        <v>1.0001159722222221</v>
      </c>
      <c r="AL1551" s="98">
        <f t="shared" ca="1" si="271"/>
        <v>3.9061762442609282</v>
      </c>
      <c r="AM1551" s="106">
        <f t="shared" ca="1" si="265"/>
        <v>29711.237272216684</v>
      </c>
      <c r="AN1551" s="10">
        <f t="shared" ca="1" si="266"/>
        <v>0.86759170691215193</v>
      </c>
      <c r="AO1551" s="158"/>
      <c r="AP1551" s="158"/>
      <c r="AQ1551" s="1"/>
      <c r="AR1551" s="1"/>
      <c r="AS1551" s="1"/>
      <c r="AT1551" s="1"/>
      <c r="AU1551" s="1"/>
    </row>
    <row r="1552" spans="34:47">
      <c r="AH1552" s="6">
        <f t="shared" si="267"/>
        <v>1522</v>
      </c>
      <c r="AI1552" s="7">
        <f t="shared" ca="1" si="268"/>
        <v>44192</v>
      </c>
      <c r="AJ1552" s="210">
        <f t="shared" ca="1" si="269"/>
        <v>4.1749999999999998</v>
      </c>
      <c r="AK1552" s="8">
        <f t="shared" ca="1" si="270"/>
        <v>1.0001159722222221</v>
      </c>
      <c r="AL1552" s="98">
        <f t="shared" ca="1" si="271"/>
        <v>3.9064499542630138</v>
      </c>
      <c r="AM1552" s="106">
        <f t="shared" ca="1" si="265"/>
        <v>29713.60654287742</v>
      </c>
      <c r="AN1552" s="10">
        <f t="shared" ca="1" si="266"/>
        <v>0.86789548867201027</v>
      </c>
      <c r="AO1552" s="158"/>
      <c r="AP1552" s="158"/>
      <c r="AQ1552" s="1"/>
      <c r="AR1552" s="1"/>
      <c r="AS1552" s="1"/>
      <c r="AT1552" s="1"/>
      <c r="AU1552" s="1"/>
    </row>
    <row r="1553" spans="34:47">
      <c r="AH1553" s="6">
        <f t="shared" si="267"/>
        <v>1523</v>
      </c>
      <c r="AI1553" s="7">
        <f t="shared" ca="1" si="268"/>
        <v>44193</v>
      </c>
      <c r="AJ1553" s="210">
        <f t="shared" ca="1" si="269"/>
        <v>4.1749999999999998</v>
      </c>
      <c r="AK1553" s="8">
        <f t="shared" ca="1" si="270"/>
        <v>1.0001159722222221</v>
      </c>
      <c r="AL1553" s="98">
        <f t="shared" ca="1" si="271"/>
        <v>3.9067233055493533</v>
      </c>
      <c r="AM1553" s="106">
        <f t="shared" ca="1" si="265"/>
        <v>29715.9760024715</v>
      </c>
      <c r="AN1553" s="10">
        <f t="shared" ca="1" si="266"/>
        <v>0.8681988724194678</v>
      </c>
      <c r="AO1553" s="158"/>
      <c r="AP1553" s="158"/>
      <c r="AQ1553" s="1"/>
      <c r="AR1553" s="1"/>
      <c r="AS1553" s="1"/>
      <c r="AT1553" s="1"/>
      <c r="AU1553" s="1"/>
    </row>
    <row r="1554" spans="34:47">
      <c r="AH1554" s="6">
        <f t="shared" si="267"/>
        <v>1524</v>
      </c>
      <c r="AI1554" s="7">
        <f t="shared" ca="1" si="268"/>
        <v>44194</v>
      </c>
      <c r="AJ1554" s="210">
        <f t="shared" ca="1" si="269"/>
        <v>4.1749999999999998</v>
      </c>
      <c r="AK1554" s="8">
        <f t="shared" ca="1" si="270"/>
        <v>1.0001159722222221</v>
      </c>
      <c r="AL1554" s="98">
        <f t="shared" ca="1" si="271"/>
        <v>3.906996298824672</v>
      </c>
      <c r="AM1554" s="106">
        <f t="shared" ca="1" si="265"/>
        <v>29718.345651013991</v>
      </c>
      <c r="AN1554" s="10">
        <f t="shared" ca="1" si="266"/>
        <v>0.86850185893621035</v>
      </c>
      <c r="AO1554" s="158"/>
      <c r="AP1554" s="158"/>
      <c r="AQ1554" s="1"/>
      <c r="AR1554" s="1"/>
      <c r="AS1554" s="1"/>
      <c r="AT1554" s="1"/>
      <c r="AU1554" s="1"/>
    </row>
    <row r="1555" spans="34:47">
      <c r="AH1555" s="6">
        <f t="shared" si="267"/>
        <v>1525</v>
      </c>
      <c r="AI1555" s="7">
        <f t="shared" ca="1" si="268"/>
        <v>44195</v>
      </c>
      <c r="AJ1555" s="210">
        <f t="shared" ca="1" si="269"/>
        <v>4.1749999999999998</v>
      </c>
      <c r="AK1555" s="8">
        <f t="shared" ca="1" si="270"/>
        <v>1.0001159722222221</v>
      </c>
      <c r="AL1555" s="98">
        <f t="shared" ca="1" si="271"/>
        <v>3.9072689347918521</v>
      </c>
      <c r="AM1555" s="106">
        <f t="shared" ca="1" si="265"/>
        <v>29720.715488519963</v>
      </c>
      <c r="AN1555" s="10">
        <f t="shared" ca="1" si="266"/>
        <v>0.86880444900192533</v>
      </c>
      <c r="AO1555" s="158"/>
      <c r="AP1555" s="158"/>
      <c r="AQ1555" s="1"/>
      <c r="AR1555" s="1"/>
      <c r="AS1555" s="1"/>
      <c r="AT1555" s="1"/>
      <c r="AU1555" s="1"/>
    </row>
    <row r="1556" spans="34:47">
      <c r="AH1556" s="6">
        <f t="shared" si="267"/>
        <v>1526</v>
      </c>
      <c r="AI1556" s="7">
        <f t="shared" ca="1" si="268"/>
        <v>44196</v>
      </c>
      <c r="AJ1556" s="210">
        <f t="shared" ca="1" si="269"/>
        <v>4.1749999999999998</v>
      </c>
      <c r="AK1556" s="8">
        <f t="shared" ca="1" si="270"/>
        <v>1.0001159722222221</v>
      </c>
      <c r="AL1556" s="98">
        <f t="shared" ca="1" si="271"/>
        <v>3.9075412141519328</v>
      </c>
      <c r="AM1556" s="106">
        <f t="shared" ca="1" si="265"/>
        <v>29723.085515004481</v>
      </c>
      <c r="AN1556" s="10">
        <f t="shared" ca="1" si="266"/>
        <v>0.86910664339419075</v>
      </c>
      <c r="AO1556" s="158"/>
      <c r="AP1556" s="158"/>
      <c r="AQ1556" s="1"/>
      <c r="AR1556" s="1"/>
      <c r="AS1556" s="1"/>
      <c r="AT1556" s="1"/>
      <c r="AU1556" s="1"/>
    </row>
    <row r="1557" spans="34:47">
      <c r="AH1557" s="6">
        <f t="shared" si="267"/>
        <v>1527</v>
      </c>
      <c r="AI1557" s="7">
        <f t="shared" ca="1" si="268"/>
        <v>44197</v>
      </c>
      <c r="AJ1557" s="210">
        <f t="shared" ca="1" si="269"/>
        <v>4.1749999999999998</v>
      </c>
      <c r="AK1557" s="8">
        <f t="shared" ca="1" si="270"/>
        <v>1.0001159722222221</v>
      </c>
      <c r="AL1557" s="98">
        <f t="shared" ca="1" si="271"/>
        <v>3.9078131376041103</v>
      </c>
      <c r="AM1557" s="106">
        <f t="shared" ca="1" si="265"/>
        <v>29725.455730482619</v>
      </c>
      <c r="AN1557" s="10">
        <f t="shared" ca="1" si="266"/>
        <v>0.86940844288860841</v>
      </c>
      <c r="AO1557" s="158"/>
      <c r="AP1557" s="158"/>
      <c r="AQ1557" s="1"/>
      <c r="AR1557" s="1"/>
      <c r="AS1557" s="1"/>
      <c r="AT1557" s="1"/>
      <c r="AU1557" s="1"/>
    </row>
    <row r="1558" spans="34:47">
      <c r="AH1558" s="6">
        <f t="shared" si="267"/>
        <v>1528</v>
      </c>
      <c r="AI1558" s="7">
        <f t="shared" ca="1" si="268"/>
        <v>44198</v>
      </c>
      <c r="AJ1558" s="210">
        <f t="shared" ca="1" si="269"/>
        <v>4.1749999999999998</v>
      </c>
      <c r="AK1558" s="8">
        <f t="shared" ca="1" si="270"/>
        <v>1.0001159722222221</v>
      </c>
      <c r="AL1558" s="98">
        <f t="shared" ca="1" si="271"/>
        <v>3.9080847058457602</v>
      </c>
      <c r="AM1558" s="106">
        <f t="shared" ca="1" si="265"/>
        <v>29727.826134969444</v>
      </c>
      <c r="AN1558" s="10">
        <f t="shared" ca="1" si="266"/>
        <v>0.86970984825873732</v>
      </c>
      <c r="AO1558" s="158"/>
      <c r="AP1558" s="158"/>
      <c r="AQ1558" s="1"/>
      <c r="AR1558" s="1"/>
      <c r="AS1558" s="1"/>
      <c r="AT1558" s="1"/>
      <c r="AU1558" s="1"/>
    </row>
    <row r="1559" spans="34:47">
      <c r="AH1559" s="6">
        <f t="shared" si="267"/>
        <v>1529</v>
      </c>
      <c r="AI1559" s="7">
        <f t="shared" ca="1" si="268"/>
        <v>44199</v>
      </c>
      <c r="AJ1559" s="210">
        <f t="shared" ca="1" si="269"/>
        <v>4.1749999999999998</v>
      </c>
      <c r="AK1559" s="8">
        <f t="shared" ca="1" si="270"/>
        <v>1.0001159722222221</v>
      </c>
      <c r="AL1559" s="98">
        <f t="shared" ca="1" si="271"/>
        <v>3.9083559195724149</v>
      </c>
      <c r="AM1559" s="106">
        <f t="shared" ca="1" si="265"/>
        <v>29730.196728480034</v>
      </c>
      <c r="AN1559" s="10">
        <f t="shared" ca="1" si="266"/>
        <v>0.87001086027604924</v>
      </c>
      <c r="AO1559" s="158"/>
      <c r="AP1559" s="158"/>
      <c r="AQ1559" s="1"/>
      <c r="AR1559" s="1"/>
      <c r="AS1559" s="1"/>
      <c r="AT1559" s="1"/>
      <c r="AU1559" s="1"/>
    </row>
    <row r="1560" spans="34:47">
      <c r="AH1560" s="6">
        <f t="shared" si="267"/>
        <v>1530</v>
      </c>
      <c r="AI1560" s="7">
        <f t="shared" ca="1" si="268"/>
        <v>44200</v>
      </c>
      <c r="AJ1560" s="210">
        <f t="shared" ca="1" si="269"/>
        <v>4.1749999999999998</v>
      </c>
      <c r="AK1560" s="8">
        <f t="shared" ca="1" si="270"/>
        <v>1.0001159722222221</v>
      </c>
      <c r="AL1560" s="98">
        <f t="shared" ca="1" si="271"/>
        <v>3.9086267794778529</v>
      </c>
      <c r="AM1560" s="106">
        <f t="shared" ca="1" si="265"/>
        <v>29732.567511029451</v>
      </c>
      <c r="AN1560" s="10">
        <f t="shared" ca="1" si="266"/>
        <v>0.87031147971012857</v>
      </c>
      <c r="AO1560" s="158"/>
      <c r="AP1560" s="158"/>
      <c r="AQ1560" s="1"/>
      <c r="AR1560" s="1"/>
      <c r="AS1560" s="1"/>
      <c r="AT1560" s="1"/>
      <c r="AU1560" s="1"/>
    </row>
    <row r="1561" spans="34:47">
      <c r="AH1561" s="6">
        <f t="shared" si="267"/>
        <v>1531</v>
      </c>
      <c r="AI1561" s="7">
        <f t="shared" ca="1" si="268"/>
        <v>44201</v>
      </c>
      <c r="AJ1561" s="210">
        <f t="shared" ca="1" si="269"/>
        <v>4.1749999999999998</v>
      </c>
      <c r="AK1561" s="8">
        <f t="shared" ca="1" si="270"/>
        <v>1.0001159722222221</v>
      </c>
      <c r="AL1561" s="98">
        <f t="shared" ca="1" si="271"/>
        <v>3.9088972862539872</v>
      </c>
      <c r="AM1561" s="106">
        <f t="shared" ca="1" si="265"/>
        <v>29734.938482632784</v>
      </c>
      <c r="AN1561" s="10">
        <f t="shared" ca="1" si="266"/>
        <v>0.87061170732847248</v>
      </c>
      <c r="AO1561" s="158"/>
      <c r="AP1561" s="158"/>
      <c r="AQ1561" s="1"/>
      <c r="AR1561" s="1"/>
      <c r="AS1561" s="1"/>
      <c r="AT1561" s="1"/>
      <c r="AU1561" s="1"/>
    </row>
    <row r="1562" spans="34:47">
      <c r="AH1562" s="6">
        <f t="shared" si="267"/>
        <v>1532</v>
      </c>
      <c r="AI1562" s="7">
        <f t="shared" ca="1" si="268"/>
        <v>44202</v>
      </c>
      <c r="AJ1562" s="210">
        <f t="shared" ca="1" si="269"/>
        <v>4.1749999999999998</v>
      </c>
      <c r="AK1562" s="8">
        <f t="shared" ca="1" si="270"/>
        <v>1.0001159722222221</v>
      </c>
      <c r="AL1562" s="98">
        <f t="shared" ca="1" si="271"/>
        <v>3.9091674405909549</v>
      </c>
      <c r="AM1562" s="106">
        <f t="shared" ca="1" si="265"/>
        <v>29737.309643305092</v>
      </c>
      <c r="AN1562" s="10">
        <f t="shared" ca="1" si="266"/>
        <v>0.87091154389660197</v>
      </c>
      <c r="AO1562" s="158"/>
      <c r="AP1562" s="158"/>
      <c r="AQ1562" s="1"/>
      <c r="AR1562" s="1"/>
      <c r="AS1562" s="1"/>
      <c r="AT1562" s="1"/>
      <c r="AU1562" s="1"/>
    </row>
    <row r="1563" spans="34:47">
      <c r="AH1563" s="6">
        <f t="shared" si="267"/>
        <v>1533</v>
      </c>
      <c r="AI1563" s="7">
        <f t="shared" ca="1" si="268"/>
        <v>44203</v>
      </c>
      <c r="AJ1563" s="210">
        <f t="shared" ca="1" si="269"/>
        <v>4.1749999999999998</v>
      </c>
      <c r="AK1563" s="8">
        <f t="shared" ca="1" si="270"/>
        <v>1.0001159722222221</v>
      </c>
      <c r="AL1563" s="98">
        <f t="shared" ca="1" si="271"/>
        <v>3.9094372431770941</v>
      </c>
      <c r="AM1563" s="106">
        <f t="shared" ca="1" si="265"/>
        <v>29739.680993061469</v>
      </c>
      <c r="AN1563" s="10">
        <f t="shared" ca="1" si="266"/>
        <v>0.8712109901780396</v>
      </c>
      <c r="AO1563" s="158"/>
      <c r="AP1563" s="158"/>
      <c r="AQ1563" s="1"/>
      <c r="AR1563" s="1"/>
      <c r="AS1563" s="1"/>
      <c r="AT1563" s="1"/>
      <c r="AU1563" s="1"/>
    </row>
    <row r="1564" spans="34:47">
      <c r="AH1564" s="6">
        <f t="shared" si="267"/>
        <v>1534</v>
      </c>
      <c r="AI1564" s="7">
        <f t="shared" ca="1" si="268"/>
        <v>44204</v>
      </c>
      <c r="AJ1564" s="210">
        <f t="shared" ca="1" si="269"/>
        <v>4.1749999999999998</v>
      </c>
      <c r="AK1564" s="8">
        <f t="shared" ca="1" si="270"/>
        <v>1.0001159722222221</v>
      </c>
      <c r="AL1564" s="98">
        <f t="shared" ca="1" si="271"/>
        <v>3.9097066946989223</v>
      </c>
      <c r="AM1564" s="106">
        <f t="shared" ca="1" si="265"/>
        <v>29742.052531916983</v>
      </c>
      <c r="AN1564" s="10">
        <f t="shared" ca="1" si="266"/>
        <v>0.87151004693428735</v>
      </c>
      <c r="AO1564" s="158"/>
      <c r="AP1564" s="158"/>
      <c r="AQ1564" s="1"/>
      <c r="AR1564" s="1"/>
      <c r="AS1564" s="1"/>
      <c r="AT1564" s="1"/>
      <c r="AU1564" s="1"/>
    </row>
    <row r="1565" spans="34:47">
      <c r="AH1565" s="6">
        <f t="shared" si="267"/>
        <v>1535</v>
      </c>
      <c r="AI1565" s="7">
        <f t="shared" ca="1" si="268"/>
        <v>44205</v>
      </c>
      <c r="AJ1565" s="210">
        <f t="shared" ca="1" si="269"/>
        <v>4.1749999999999998</v>
      </c>
      <c r="AK1565" s="8">
        <f t="shared" ca="1" si="270"/>
        <v>1.0001159722222221</v>
      </c>
      <c r="AL1565" s="98">
        <f t="shared" ca="1" si="271"/>
        <v>3.9099757958412029</v>
      </c>
      <c r="AM1565" s="106">
        <f t="shared" ca="1" si="265"/>
        <v>29744.424259886713</v>
      </c>
      <c r="AN1565" s="10">
        <f t="shared" ca="1" si="266"/>
        <v>0.87180871492493761</v>
      </c>
      <c r="AO1565" s="158"/>
      <c r="AP1565" s="158"/>
      <c r="AQ1565" s="1"/>
      <c r="AR1565" s="1"/>
      <c r="AS1565" s="1"/>
      <c r="AT1565" s="1"/>
      <c r="AU1565" s="1"/>
    </row>
    <row r="1566" spans="34:47">
      <c r="AH1566" s="6">
        <f t="shared" si="267"/>
        <v>1536</v>
      </c>
      <c r="AI1566" s="7">
        <f t="shared" ca="1" si="268"/>
        <v>44206</v>
      </c>
      <c r="AJ1566" s="210">
        <f t="shared" ca="1" si="269"/>
        <v>4.1749999999999998</v>
      </c>
      <c r="AK1566" s="8">
        <f t="shared" ca="1" si="270"/>
        <v>1.0001159722222221</v>
      </c>
      <c r="AL1566" s="98">
        <f t="shared" ca="1" si="271"/>
        <v>3.9102445472869229</v>
      </c>
      <c r="AM1566" s="106">
        <f t="shared" ca="1" si="265"/>
        <v>29746.796176985747</v>
      </c>
      <c r="AN1566" s="10">
        <f t="shared" ca="1" si="266"/>
        <v>0.87210699490758437</v>
      </c>
      <c r="AO1566" s="158"/>
      <c r="AP1566" s="158"/>
      <c r="AQ1566" s="1"/>
      <c r="AR1566" s="1"/>
      <c r="AS1566" s="1"/>
      <c r="AT1566" s="1"/>
      <c r="AU1566" s="1"/>
    </row>
    <row r="1567" spans="34:47">
      <c r="AH1567" s="6">
        <f t="shared" si="267"/>
        <v>1537</v>
      </c>
      <c r="AI1567" s="7">
        <f t="shared" ca="1" si="268"/>
        <v>44207</v>
      </c>
      <c r="AJ1567" s="210">
        <f t="shared" ca="1" si="269"/>
        <v>4.1749999999999998</v>
      </c>
      <c r="AK1567" s="8">
        <f t="shared" ca="1" si="270"/>
        <v>1.0001159722222221</v>
      </c>
      <c r="AL1567" s="98">
        <f t="shared" ca="1" si="271"/>
        <v>3.910512949717293</v>
      </c>
      <c r="AM1567" s="106">
        <f t="shared" ref="AM1567:AM1630" ca="1" si="272">Geom_Interp(AI1567,$AZ$2:$AZ$109,$BA$2:$BA$109)</f>
        <v>29749.168283229163</v>
      </c>
      <c r="AN1567" s="10">
        <f t="shared" ref="AN1567:AN1630" ca="1" si="273">100*(((1+AL1567/100)^(AH1567/365)*$AM$29/AM1567)^(365/AH1567)-1)</f>
        <v>0.8724048876378232</v>
      </c>
      <c r="AO1567" s="158"/>
      <c r="AP1567" s="158"/>
      <c r="AQ1567" s="1"/>
      <c r="AR1567" s="1"/>
      <c r="AS1567" s="1"/>
      <c r="AT1567" s="1"/>
      <c r="AU1567" s="1"/>
    </row>
    <row r="1568" spans="34:47">
      <c r="AH1568" s="6">
        <f t="shared" ref="AH1568:AH1631" si="274">$AI$29+AH1567</f>
        <v>1538</v>
      </c>
      <c r="AI1568" s="7">
        <f t="shared" ref="AI1568:AI1631" ca="1" si="275">+AH1568+$C$1</f>
        <v>44208</v>
      </c>
      <c r="AJ1568" s="210">
        <f t="shared" ref="AJ1568:AJ1631" ca="1" si="276">IF(AH1568&lt;365,VLOOKUP(LOOKUP(AI1568,$AI$2:$AI$23),$AI$2:$AK$23,3,0),Lin_Interp(AH1568,$AJ$2:$AJ$23,$AK$2:$AK$23))</f>
        <v>4.1749999999999998</v>
      </c>
      <c r="AK1568" s="8">
        <f t="shared" ca="1" si="270"/>
        <v>1.0001159722222221</v>
      </c>
      <c r="AL1568" s="98">
        <f t="shared" ca="1" si="271"/>
        <v>3.9107810038117252</v>
      </c>
      <c r="AM1568" s="106">
        <f t="shared" ca="1" si="272"/>
        <v>29751.540578632041</v>
      </c>
      <c r="AN1568" s="10">
        <f t="shared" ca="1" si="273"/>
        <v>0.87270239386931792</v>
      </c>
      <c r="AO1568" s="158"/>
      <c r="AP1568" s="158"/>
      <c r="AQ1568" s="1"/>
      <c r="AR1568" s="1"/>
      <c r="AS1568" s="1"/>
      <c r="AT1568" s="1"/>
      <c r="AU1568" s="1"/>
    </row>
    <row r="1569" spans="34:47">
      <c r="AH1569" s="6">
        <f t="shared" si="274"/>
        <v>1539</v>
      </c>
      <c r="AI1569" s="7">
        <f t="shared" ca="1" si="275"/>
        <v>44209</v>
      </c>
      <c r="AJ1569" s="210">
        <f t="shared" ca="1" si="276"/>
        <v>4.1749999999999998</v>
      </c>
      <c r="AK1569" s="8">
        <f t="shared" ref="AK1569:AK1632" ca="1" si="277">+(1+AJ1569/36000)</f>
        <v>1.0001159722222221</v>
      </c>
      <c r="AL1569" s="98">
        <f t="shared" ref="AL1569:AL1632" ca="1" si="278">100*(((1+AL1568/100)^(AH1568/365)*AK1569)^(365/AH1569)-1)</f>
        <v>3.9110487102478997</v>
      </c>
      <c r="AM1569" s="106">
        <f t="shared" ca="1" si="272"/>
        <v>29753.913063209468</v>
      </c>
      <c r="AN1569" s="10">
        <f t="shared" ca="1" si="273"/>
        <v>0.87299951435375611</v>
      </c>
      <c r="AO1569" s="158"/>
      <c r="AP1569" s="158"/>
      <c r="AQ1569" s="1"/>
      <c r="AR1569" s="1"/>
      <c r="AS1569" s="1"/>
      <c r="AT1569" s="1"/>
      <c r="AU1569" s="1"/>
    </row>
    <row r="1570" spans="34:47">
      <c r="AH1570" s="6">
        <f t="shared" si="274"/>
        <v>1540</v>
      </c>
      <c r="AI1570" s="7">
        <f t="shared" ca="1" si="275"/>
        <v>44210</v>
      </c>
      <c r="AJ1570" s="210">
        <f t="shared" ca="1" si="276"/>
        <v>4.1749999999999998</v>
      </c>
      <c r="AK1570" s="8">
        <f t="shared" ca="1" si="277"/>
        <v>1.0001159722222221</v>
      </c>
      <c r="AL1570" s="98">
        <f t="shared" ca="1" si="278"/>
        <v>3.9113160697017202</v>
      </c>
      <c r="AM1570" s="106">
        <f t="shared" ca="1" si="272"/>
        <v>29756.285736976522</v>
      </c>
      <c r="AN1570" s="10">
        <f t="shared" ca="1" si="273"/>
        <v>0.8732962498408936</v>
      </c>
      <c r="AO1570" s="158"/>
      <c r="AP1570" s="158"/>
      <c r="AQ1570" s="1"/>
      <c r="AR1570" s="1"/>
      <c r="AS1570" s="1"/>
      <c r="AT1570" s="1"/>
      <c r="AU1570" s="1"/>
    </row>
    <row r="1571" spans="34:47">
      <c r="AH1571" s="6">
        <f t="shared" si="274"/>
        <v>1541</v>
      </c>
      <c r="AI1571" s="7">
        <f t="shared" ca="1" si="275"/>
        <v>44211</v>
      </c>
      <c r="AJ1571" s="210">
        <f t="shared" ca="1" si="276"/>
        <v>4.1749999999999998</v>
      </c>
      <c r="AK1571" s="8">
        <f t="shared" ca="1" si="277"/>
        <v>1.0001159722222221</v>
      </c>
      <c r="AL1571" s="98">
        <f t="shared" ca="1" si="278"/>
        <v>3.9115830828473586</v>
      </c>
      <c r="AM1571" s="106">
        <f t="shared" ca="1" si="272"/>
        <v>29758.658599948307</v>
      </c>
      <c r="AN1571" s="10">
        <f t="shared" ca="1" si="273"/>
        <v>0.8735926010785322</v>
      </c>
      <c r="AO1571" s="158"/>
      <c r="AP1571" s="158"/>
      <c r="AQ1571" s="1"/>
      <c r="AR1571" s="1"/>
      <c r="AS1571" s="1"/>
      <c r="AT1571" s="1"/>
      <c r="AU1571" s="1"/>
    </row>
    <row r="1572" spans="34:47">
      <c r="AH1572" s="6">
        <f t="shared" si="274"/>
        <v>1542</v>
      </c>
      <c r="AI1572" s="7">
        <f t="shared" ca="1" si="275"/>
        <v>44212</v>
      </c>
      <c r="AJ1572" s="210">
        <f t="shared" ca="1" si="276"/>
        <v>4.1749999999999998</v>
      </c>
      <c r="AK1572" s="8">
        <f t="shared" ca="1" si="277"/>
        <v>1.0001159722222221</v>
      </c>
      <c r="AL1572" s="98">
        <f t="shared" ca="1" si="278"/>
        <v>3.9118497503572547</v>
      </c>
      <c r="AM1572" s="106">
        <f t="shared" ca="1" si="272"/>
        <v>29761.031652139896</v>
      </c>
      <c r="AN1572" s="10">
        <f t="shared" ca="1" si="273"/>
        <v>0.87388856881260857</v>
      </c>
      <c r="AO1572" s="158"/>
      <c r="AP1572" s="158"/>
      <c r="AQ1572" s="1"/>
      <c r="AR1572" s="1"/>
      <c r="AS1572" s="1"/>
      <c r="AT1572" s="1"/>
      <c r="AU1572" s="1"/>
    </row>
    <row r="1573" spans="34:47">
      <c r="AH1573" s="6">
        <f t="shared" si="274"/>
        <v>1543</v>
      </c>
      <c r="AI1573" s="7">
        <f t="shared" ca="1" si="275"/>
        <v>44213</v>
      </c>
      <c r="AJ1573" s="210">
        <f t="shared" ca="1" si="276"/>
        <v>4.1749999999999998</v>
      </c>
      <c r="AK1573" s="8">
        <f t="shared" ca="1" si="277"/>
        <v>1.0001159722222221</v>
      </c>
      <c r="AL1573" s="98">
        <f t="shared" ca="1" si="278"/>
        <v>3.9121160729020499</v>
      </c>
      <c r="AM1573" s="106">
        <f t="shared" ca="1" si="272"/>
        <v>29763.404893566381</v>
      </c>
      <c r="AN1573" s="10">
        <f t="shared" ca="1" si="273"/>
        <v>0.87418415378699432</v>
      </c>
      <c r="AO1573" s="158"/>
      <c r="AP1573" s="158"/>
      <c r="AQ1573" s="1"/>
      <c r="AR1573" s="1"/>
      <c r="AS1573" s="1"/>
      <c r="AT1573" s="1"/>
      <c r="AU1573" s="1"/>
    </row>
    <row r="1574" spans="34:47">
      <c r="AH1574" s="6">
        <f t="shared" si="274"/>
        <v>1544</v>
      </c>
      <c r="AI1574" s="7">
        <f t="shared" ca="1" si="275"/>
        <v>44214</v>
      </c>
      <c r="AJ1574" s="210">
        <f t="shared" ca="1" si="276"/>
        <v>4.1749999999999998</v>
      </c>
      <c r="AK1574" s="8">
        <f t="shared" ca="1" si="277"/>
        <v>1.0001159722222221</v>
      </c>
      <c r="AL1574" s="98">
        <f t="shared" ca="1" si="278"/>
        <v>3.9123820511507201</v>
      </c>
      <c r="AM1574" s="106">
        <f t="shared" ca="1" si="272"/>
        <v>29765.778324242856</v>
      </c>
      <c r="AN1574" s="10">
        <f t="shared" ca="1" si="273"/>
        <v>0.87447935674374033</v>
      </c>
      <c r="AO1574" s="158"/>
      <c r="AP1574" s="158"/>
      <c r="AQ1574" s="1"/>
      <c r="AR1574" s="1"/>
      <c r="AS1574" s="1"/>
      <c r="AT1574" s="1"/>
      <c r="AU1574" s="1"/>
    </row>
    <row r="1575" spans="34:47">
      <c r="AH1575" s="6">
        <f t="shared" si="274"/>
        <v>1545</v>
      </c>
      <c r="AI1575" s="7">
        <f t="shared" ca="1" si="275"/>
        <v>44215</v>
      </c>
      <c r="AJ1575" s="210">
        <f t="shared" ca="1" si="276"/>
        <v>4.1749999999999998</v>
      </c>
      <c r="AK1575" s="8">
        <f t="shared" ca="1" si="277"/>
        <v>1.0001159722222221</v>
      </c>
      <c r="AL1575" s="98">
        <f t="shared" ca="1" si="278"/>
        <v>3.9126476857704651</v>
      </c>
      <c r="AM1575" s="106">
        <f t="shared" ca="1" si="272"/>
        <v>29768.151944184407</v>
      </c>
      <c r="AN1575" s="10">
        <f t="shared" ca="1" si="273"/>
        <v>0.87477417842298788</v>
      </c>
      <c r="AO1575" s="158"/>
      <c r="AP1575" s="158"/>
      <c r="AQ1575" s="1"/>
      <c r="AR1575" s="1"/>
      <c r="AS1575" s="1"/>
      <c r="AT1575" s="1"/>
      <c r="AU1575" s="1"/>
    </row>
    <row r="1576" spans="34:47">
      <c r="AH1576" s="6">
        <f t="shared" si="274"/>
        <v>1546</v>
      </c>
      <c r="AI1576" s="7">
        <f t="shared" ca="1" si="275"/>
        <v>44216</v>
      </c>
      <c r="AJ1576" s="210">
        <f t="shared" ca="1" si="276"/>
        <v>4.1749999999999998</v>
      </c>
      <c r="AK1576" s="8">
        <f t="shared" ca="1" si="277"/>
        <v>1.0001159722222221</v>
      </c>
      <c r="AL1576" s="98">
        <f t="shared" ca="1" si="278"/>
        <v>3.9129129774267746</v>
      </c>
      <c r="AM1576" s="106">
        <f t="shared" ca="1" si="272"/>
        <v>29770.525753406135</v>
      </c>
      <c r="AN1576" s="10">
        <f t="shared" ca="1" si="273"/>
        <v>0.87506861956287985</v>
      </c>
      <c r="AO1576" s="158"/>
      <c r="AP1576" s="158"/>
      <c r="AQ1576" s="1"/>
      <c r="AR1576" s="1"/>
      <c r="AS1576" s="1"/>
      <c r="AT1576" s="1"/>
      <c r="AU1576" s="1"/>
    </row>
    <row r="1577" spans="34:47">
      <c r="AH1577" s="6">
        <f t="shared" si="274"/>
        <v>1547</v>
      </c>
      <c r="AI1577" s="7">
        <f t="shared" ca="1" si="275"/>
        <v>44217</v>
      </c>
      <c r="AJ1577" s="210">
        <f t="shared" ca="1" si="276"/>
        <v>4.1749999999999998</v>
      </c>
      <c r="AK1577" s="8">
        <f t="shared" ca="1" si="277"/>
        <v>1.0001159722222221</v>
      </c>
      <c r="AL1577" s="98">
        <f t="shared" ca="1" si="278"/>
        <v>3.9131779267834288</v>
      </c>
      <c r="AM1577" s="106">
        <f t="shared" ca="1" si="272"/>
        <v>29772.899751923127</v>
      </c>
      <c r="AN1577" s="10">
        <f t="shared" ca="1" si="273"/>
        <v>0.87536268089971614</v>
      </c>
      <c r="AO1577" s="158"/>
      <c r="AP1577" s="158"/>
      <c r="AQ1577" s="1"/>
      <c r="AR1577" s="1"/>
      <c r="AS1577" s="1"/>
      <c r="AT1577" s="1"/>
      <c r="AU1577" s="1"/>
    </row>
    <row r="1578" spans="34:47">
      <c r="AH1578" s="6">
        <f t="shared" si="274"/>
        <v>1548</v>
      </c>
      <c r="AI1578" s="7">
        <f t="shared" ca="1" si="275"/>
        <v>44218</v>
      </c>
      <c r="AJ1578" s="210">
        <f t="shared" ca="1" si="276"/>
        <v>4.1749999999999998</v>
      </c>
      <c r="AK1578" s="8">
        <f t="shared" ca="1" si="277"/>
        <v>1.0001159722222221</v>
      </c>
      <c r="AL1578" s="98">
        <f t="shared" ca="1" si="278"/>
        <v>3.9134425345024981</v>
      </c>
      <c r="AM1578" s="106">
        <f t="shared" ca="1" si="272"/>
        <v>29775.273939750477</v>
      </c>
      <c r="AN1578" s="10">
        <f t="shared" ca="1" si="273"/>
        <v>0.8756563631679315</v>
      </c>
      <c r="AO1578" s="158"/>
      <c r="AP1578" s="158"/>
      <c r="AQ1578" s="1"/>
      <c r="AR1578" s="1"/>
      <c r="AS1578" s="1"/>
      <c r="AT1578" s="1"/>
      <c r="AU1578" s="1"/>
    </row>
    <row r="1579" spans="34:47">
      <c r="AH1579" s="6">
        <f t="shared" si="274"/>
        <v>1549</v>
      </c>
      <c r="AI1579" s="7">
        <f t="shared" ca="1" si="275"/>
        <v>44219</v>
      </c>
      <c r="AJ1579" s="210">
        <f t="shared" ca="1" si="276"/>
        <v>4.1749999999999998</v>
      </c>
      <c r="AK1579" s="8">
        <f t="shared" ca="1" si="277"/>
        <v>1.0001159722222221</v>
      </c>
      <c r="AL1579" s="98">
        <f t="shared" ca="1" si="278"/>
        <v>3.913706801244321</v>
      </c>
      <c r="AM1579" s="106">
        <f t="shared" ca="1" si="272"/>
        <v>29777.648316903284</v>
      </c>
      <c r="AN1579" s="10">
        <f t="shared" ca="1" si="273"/>
        <v>0.87594966709998445</v>
      </c>
      <c r="AO1579" s="158"/>
      <c r="AP1579" s="158"/>
      <c r="AQ1579" s="1"/>
      <c r="AR1579" s="1"/>
      <c r="AS1579" s="1"/>
      <c r="AT1579" s="1"/>
      <c r="AU1579" s="1"/>
    </row>
    <row r="1580" spans="34:47">
      <c r="AH1580" s="6">
        <f t="shared" si="274"/>
        <v>1550</v>
      </c>
      <c r="AI1580" s="7">
        <f t="shared" ca="1" si="275"/>
        <v>44220</v>
      </c>
      <c r="AJ1580" s="210">
        <f t="shared" ca="1" si="276"/>
        <v>4.1749999999999998</v>
      </c>
      <c r="AK1580" s="8">
        <f t="shared" ca="1" si="277"/>
        <v>1.0001159722222221</v>
      </c>
      <c r="AL1580" s="98">
        <f t="shared" ca="1" si="278"/>
        <v>3.9139707276675706</v>
      </c>
      <c r="AM1580" s="106">
        <f t="shared" ca="1" si="272"/>
        <v>29780.022883396643</v>
      </c>
      <c r="AN1580" s="10">
        <f t="shared" ca="1" si="273"/>
        <v>0.87624259342649058</v>
      </c>
      <c r="AO1580" s="158"/>
      <c r="AP1580" s="158"/>
      <c r="AQ1580" s="1"/>
      <c r="AR1580" s="1"/>
      <c r="AS1580" s="1"/>
      <c r="AT1580" s="1"/>
      <c r="AU1580" s="1"/>
    </row>
    <row r="1581" spans="34:47">
      <c r="AH1581" s="6">
        <f t="shared" si="274"/>
        <v>1551</v>
      </c>
      <c r="AI1581" s="7">
        <f t="shared" ca="1" si="275"/>
        <v>44221</v>
      </c>
      <c r="AJ1581" s="210">
        <f t="shared" ca="1" si="276"/>
        <v>4.1749999999999998</v>
      </c>
      <c r="AK1581" s="8">
        <f t="shared" ca="1" si="277"/>
        <v>1.0001159722222221</v>
      </c>
      <c r="AL1581" s="98">
        <f t="shared" ca="1" si="278"/>
        <v>3.9142343144292102</v>
      </c>
      <c r="AM1581" s="106">
        <f t="shared" ca="1" si="272"/>
        <v>29782.397639245661</v>
      </c>
      <c r="AN1581" s="10">
        <f t="shared" ca="1" si="273"/>
        <v>0.87653514287622247</v>
      </c>
      <c r="AO1581" s="158"/>
      <c r="AP1581" s="158"/>
      <c r="AQ1581" s="1"/>
      <c r="AR1581" s="1"/>
      <c r="AS1581" s="1"/>
      <c r="AT1581" s="1"/>
      <c r="AU1581" s="1"/>
    </row>
    <row r="1582" spans="34:47">
      <c r="AH1582" s="6">
        <f t="shared" si="274"/>
        <v>1552</v>
      </c>
      <c r="AI1582" s="7">
        <f t="shared" ca="1" si="275"/>
        <v>44222</v>
      </c>
      <c r="AJ1582" s="210">
        <f t="shared" ca="1" si="276"/>
        <v>4.1749999999999998</v>
      </c>
      <c r="AK1582" s="8">
        <f t="shared" ca="1" si="277"/>
        <v>1.0001159722222221</v>
      </c>
      <c r="AL1582" s="98">
        <f t="shared" ca="1" si="278"/>
        <v>3.9144975621845157</v>
      </c>
      <c r="AM1582" s="106">
        <f t="shared" ca="1" si="272"/>
        <v>29784.77258446542</v>
      </c>
      <c r="AN1582" s="10">
        <f t="shared" ca="1" si="273"/>
        <v>0.87682731617602094</v>
      </c>
      <c r="AO1582" s="158"/>
      <c r="AP1582" s="158"/>
      <c r="AQ1582" s="1"/>
      <c r="AR1582" s="1"/>
      <c r="AS1582" s="1"/>
      <c r="AT1582" s="1"/>
      <c r="AU1582" s="1"/>
    </row>
    <row r="1583" spans="34:47">
      <c r="AH1583" s="6">
        <f t="shared" si="274"/>
        <v>1553</v>
      </c>
      <c r="AI1583" s="7">
        <f t="shared" ca="1" si="275"/>
        <v>44223</v>
      </c>
      <c r="AJ1583" s="210">
        <f t="shared" ca="1" si="276"/>
        <v>4.1749999999999998</v>
      </c>
      <c r="AK1583" s="8">
        <f t="shared" ca="1" si="277"/>
        <v>1.0001159722222221</v>
      </c>
      <c r="AL1583" s="98">
        <f t="shared" ca="1" si="278"/>
        <v>3.9147604715870532</v>
      </c>
      <c r="AM1583" s="106">
        <f t="shared" ca="1" si="272"/>
        <v>29787.147719071043</v>
      </c>
      <c r="AN1583" s="10">
        <f t="shared" ca="1" si="273"/>
        <v>0.87711911405086163</v>
      </c>
      <c r="AO1583" s="158"/>
      <c r="AP1583" s="158"/>
      <c r="AQ1583" s="1"/>
      <c r="AR1583" s="1"/>
      <c r="AS1583" s="1"/>
      <c r="AT1583" s="1"/>
      <c r="AU1583" s="1"/>
    </row>
    <row r="1584" spans="34:47">
      <c r="AH1584" s="6">
        <f t="shared" si="274"/>
        <v>1554</v>
      </c>
      <c r="AI1584" s="7">
        <f t="shared" ca="1" si="275"/>
        <v>44224</v>
      </c>
      <c r="AJ1584" s="210">
        <f t="shared" ca="1" si="276"/>
        <v>4.1749999999999998</v>
      </c>
      <c r="AK1584" s="8">
        <f t="shared" ca="1" si="277"/>
        <v>1.0001159722222221</v>
      </c>
      <c r="AL1584" s="98">
        <f t="shared" ca="1" si="278"/>
        <v>3.9150230432887456</v>
      </c>
      <c r="AM1584" s="106">
        <f t="shared" ca="1" si="272"/>
        <v>29789.523043077617</v>
      </c>
      <c r="AN1584" s="10">
        <f t="shared" ca="1" si="273"/>
        <v>0.87741053722389939</v>
      </c>
      <c r="AO1584" s="158"/>
      <c r="AP1584" s="158"/>
      <c r="AQ1584" s="1"/>
      <c r="AR1584" s="1"/>
      <c r="AS1584" s="1"/>
      <c r="AT1584" s="1"/>
      <c r="AU1584" s="1"/>
    </row>
    <row r="1585" spans="34:47">
      <c r="AH1585" s="6">
        <f t="shared" si="274"/>
        <v>1555</v>
      </c>
      <c r="AI1585" s="7">
        <f t="shared" ca="1" si="275"/>
        <v>44225</v>
      </c>
      <c r="AJ1585" s="210">
        <f t="shared" ca="1" si="276"/>
        <v>4.1749999999999998</v>
      </c>
      <c r="AK1585" s="8">
        <f t="shared" ca="1" si="277"/>
        <v>1.0001159722222221</v>
      </c>
      <c r="AL1585" s="98">
        <f t="shared" ca="1" si="278"/>
        <v>3.9152852779398284</v>
      </c>
      <c r="AM1585" s="106">
        <f t="shared" ca="1" si="272"/>
        <v>29791.898556500248</v>
      </c>
      <c r="AN1585" s="10">
        <f t="shared" ca="1" si="273"/>
        <v>0.87770158641640172</v>
      </c>
      <c r="AO1585" s="158"/>
      <c r="AP1585" s="158"/>
      <c r="AQ1585" s="1"/>
      <c r="AR1585" s="1"/>
      <c r="AS1585" s="1"/>
      <c r="AT1585" s="1"/>
      <c r="AU1585" s="1"/>
    </row>
    <row r="1586" spans="34:47">
      <c r="AH1586" s="6">
        <f t="shared" si="274"/>
        <v>1556</v>
      </c>
      <c r="AI1586" s="7">
        <f t="shared" ca="1" si="275"/>
        <v>44226</v>
      </c>
      <c r="AJ1586" s="210">
        <f t="shared" ca="1" si="276"/>
        <v>4.1749999999999998</v>
      </c>
      <c r="AK1586" s="8">
        <f t="shared" ca="1" si="277"/>
        <v>1.0001159722222221</v>
      </c>
      <c r="AL1586" s="98">
        <f t="shared" ca="1" si="278"/>
        <v>3.9155471761888494</v>
      </c>
      <c r="AM1586" s="106">
        <f t="shared" ca="1" si="272"/>
        <v>29794.27425935405</v>
      </c>
      <c r="AN1586" s="10">
        <f t="shared" ca="1" si="273"/>
        <v>0.87799226234779315</v>
      </c>
      <c r="AO1586" s="158"/>
      <c r="AP1586" s="158"/>
      <c r="AQ1586" s="1"/>
      <c r="AR1586" s="1"/>
      <c r="AS1586" s="1"/>
      <c r="AT1586" s="1"/>
      <c r="AU1586" s="1"/>
    </row>
    <row r="1587" spans="34:47">
      <c r="AH1587" s="6">
        <f t="shared" si="274"/>
        <v>1557</v>
      </c>
      <c r="AI1587" s="7">
        <f t="shared" ca="1" si="275"/>
        <v>44227</v>
      </c>
      <c r="AJ1587" s="210">
        <f t="shared" ca="1" si="276"/>
        <v>4.1749999999999998</v>
      </c>
      <c r="AK1587" s="8">
        <f t="shared" ca="1" si="277"/>
        <v>1.0001159722222221</v>
      </c>
      <c r="AL1587" s="98">
        <f t="shared" ca="1" si="278"/>
        <v>3.9158087386827356</v>
      </c>
      <c r="AM1587" s="106">
        <f t="shared" ca="1" si="272"/>
        <v>29796.650151654118</v>
      </c>
      <c r="AN1587" s="10">
        <f t="shared" ca="1" si="273"/>
        <v>0.87828256573565522</v>
      </c>
      <c r="AO1587" s="158"/>
      <c r="AP1587" s="158"/>
      <c r="AQ1587" s="1"/>
      <c r="AR1587" s="1"/>
      <c r="AS1587" s="1"/>
      <c r="AT1587" s="1"/>
      <c r="AU1587" s="1"/>
    </row>
    <row r="1588" spans="34:47">
      <c r="AH1588" s="6">
        <f t="shared" si="274"/>
        <v>1558</v>
      </c>
      <c r="AI1588" s="7">
        <f t="shared" ca="1" si="275"/>
        <v>44228</v>
      </c>
      <c r="AJ1588" s="210">
        <f t="shared" ca="1" si="276"/>
        <v>4.1749999999999998</v>
      </c>
      <c r="AK1588" s="8">
        <f t="shared" ca="1" si="277"/>
        <v>1.0001159722222221</v>
      </c>
      <c r="AL1588" s="98">
        <f t="shared" ca="1" si="278"/>
        <v>3.9160699660667264</v>
      </c>
      <c r="AM1588" s="106">
        <f t="shared" ca="1" si="272"/>
        <v>29799.026233415563</v>
      </c>
      <c r="AN1588" s="10">
        <f t="shared" ca="1" si="273"/>
        <v>0.87857249729572651</v>
      </c>
      <c r="AO1588" s="158"/>
      <c r="AP1588" s="158"/>
      <c r="AQ1588" s="1"/>
      <c r="AR1588" s="1"/>
      <c r="AS1588" s="1"/>
      <c r="AT1588" s="1"/>
      <c r="AU1588" s="1"/>
    </row>
    <row r="1589" spans="34:47">
      <c r="AH1589" s="6">
        <f t="shared" si="274"/>
        <v>1559</v>
      </c>
      <c r="AI1589" s="7">
        <f t="shared" ca="1" si="275"/>
        <v>44229</v>
      </c>
      <c r="AJ1589" s="210">
        <f t="shared" ca="1" si="276"/>
        <v>4.1749999999999998</v>
      </c>
      <c r="AK1589" s="8">
        <f t="shared" ca="1" si="277"/>
        <v>1.0001159722222221</v>
      </c>
      <c r="AL1589" s="98">
        <f t="shared" ca="1" si="278"/>
        <v>3.9163308589844181</v>
      </c>
      <c r="AM1589" s="106">
        <f t="shared" ca="1" si="272"/>
        <v>29801.402504653492</v>
      </c>
      <c r="AN1589" s="10">
        <f t="shared" ca="1" si="273"/>
        <v>0.87886205774194703</v>
      </c>
      <c r="AO1589" s="158"/>
      <c r="AP1589" s="158"/>
      <c r="AQ1589" s="1"/>
      <c r="AR1589" s="1"/>
      <c r="AS1589" s="1"/>
      <c r="AT1589" s="1"/>
      <c r="AU1589" s="1"/>
    </row>
    <row r="1590" spans="34:47">
      <c r="AH1590" s="6">
        <f t="shared" si="274"/>
        <v>1560</v>
      </c>
      <c r="AI1590" s="7">
        <f t="shared" ca="1" si="275"/>
        <v>44230</v>
      </c>
      <c r="AJ1590" s="210">
        <f t="shared" ca="1" si="276"/>
        <v>4.1749999999999998</v>
      </c>
      <c r="AK1590" s="8">
        <f t="shared" ca="1" si="277"/>
        <v>1.0001159722222221</v>
      </c>
      <c r="AL1590" s="98">
        <f t="shared" ca="1" si="278"/>
        <v>3.9165914180777417</v>
      </c>
      <c r="AM1590" s="106">
        <f t="shared" ca="1" si="272"/>
        <v>29803.778965383019</v>
      </c>
      <c r="AN1590" s="10">
        <f t="shared" ca="1" si="273"/>
        <v>0.87915124778634723</v>
      </c>
      <c r="AO1590" s="158"/>
      <c r="AP1590" s="158"/>
      <c r="AQ1590" s="1"/>
      <c r="AR1590" s="1"/>
      <c r="AS1590" s="1"/>
      <c r="AT1590" s="1"/>
      <c r="AU1590" s="1"/>
    </row>
    <row r="1591" spans="34:47">
      <c r="AH1591" s="6">
        <f t="shared" si="274"/>
        <v>1561</v>
      </c>
      <c r="AI1591" s="7">
        <f t="shared" ca="1" si="275"/>
        <v>44231</v>
      </c>
      <c r="AJ1591" s="210">
        <f t="shared" ca="1" si="276"/>
        <v>4.1749999999999998</v>
      </c>
      <c r="AK1591" s="8">
        <f t="shared" ca="1" si="277"/>
        <v>1.0001159722222221</v>
      </c>
      <c r="AL1591" s="98">
        <f t="shared" ca="1" si="278"/>
        <v>3.9168516439870071</v>
      </c>
      <c r="AM1591" s="106">
        <f t="shared" ca="1" si="272"/>
        <v>29806.155615619246</v>
      </c>
      <c r="AN1591" s="10">
        <f t="shared" ca="1" si="273"/>
        <v>0.8794400681392478</v>
      </c>
      <c r="AO1591" s="158"/>
      <c r="AP1591" s="158"/>
      <c r="AQ1591" s="1"/>
      <c r="AR1591" s="1"/>
      <c r="AS1591" s="1"/>
      <c r="AT1591" s="1"/>
      <c r="AU1591" s="1"/>
    </row>
    <row r="1592" spans="34:47">
      <c r="AH1592" s="6">
        <f t="shared" si="274"/>
        <v>1562</v>
      </c>
      <c r="AI1592" s="7">
        <f t="shared" ca="1" si="275"/>
        <v>44232</v>
      </c>
      <c r="AJ1592" s="210">
        <f t="shared" ca="1" si="276"/>
        <v>4.1749999999999998</v>
      </c>
      <c r="AK1592" s="8">
        <f t="shared" ca="1" si="277"/>
        <v>1.0001159722222221</v>
      </c>
      <c r="AL1592" s="98">
        <f t="shared" ca="1" si="278"/>
        <v>3.9171115373509036</v>
      </c>
      <c r="AM1592" s="106">
        <f t="shared" ca="1" si="272"/>
        <v>29808.532455377299</v>
      </c>
      <c r="AN1592" s="10">
        <f t="shared" ca="1" si="273"/>
        <v>0.87972851950905984</v>
      </c>
      <c r="AO1592" s="158"/>
      <c r="AP1592" s="158"/>
      <c r="AQ1592" s="1"/>
      <c r="AR1592" s="1"/>
      <c r="AS1592" s="1"/>
      <c r="AT1592" s="1"/>
      <c r="AU1592" s="1"/>
    </row>
    <row r="1593" spans="34:47">
      <c r="AH1593" s="6">
        <f t="shared" si="274"/>
        <v>1563</v>
      </c>
      <c r="AI1593" s="7">
        <f t="shared" ca="1" si="275"/>
        <v>44233</v>
      </c>
      <c r="AJ1593" s="210">
        <f t="shared" ca="1" si="276"/>
        <v>4.1749999999999998</v>
      </c>
      <c r="AK1593" s="8">
        <f t="shared" ca="1" si="277"/>
        <v>1.0001159722222221</v>
      </c>
      <c r="AL1593" s="98">
        <f t="shared" ca="1" si="278"/>
        <v>3.9173710988064547</v>
      </c>
      <c r="AM1593" s="106">
        <f t="shared" ca="1" si="272"/>
        <v>29810.909484672269</v>
      </c>
      <c r="AN1593" s="10">
        <f t="shared" ca="1" si="273"/>
        <v>0.88001660260246251</v>
      </c>
      <c r="AO1593" s="158"/>
      <c r="AP1593" s="158"/>
      <c r="AQ1593" s="1"/>
      <c r="AR1593" s="1"/>
      <c r="AS1593" s="1"/>
      <c r="AT1593" s="1"/>
      <c r="AU1593" s="1"/>
    </row>
    <row r="1594" spans="34:47">
      <c r="AH1594" s="6">
        <f t="shared" si="274"/>
        <v>1564</v>
      </c>
      <c r="AI1594" s="7">
        <f t="shared" ca="1" si="275"/>
        <v>44234</v>
      </c>
      <c r="AJ1594" s="210">
        <f t="shared" ca="1" si="276"/>
        <v>4.1749999999999998</v>
      </c>
      <c r="AK1594" s="8">
        <f t="shared" ca="1" si="277"/>
        <v>1.0001159722222221</v>
      </c>
      <c r="AL1594" s="98">
        <f t="shared" ca="1" si="278"/>
        <v>3.9176303289890635</v>
      </c>
      <c r="AM1594" s="106">
        <f t="shared" ca="1" si="272"/>
        <v>29813.286703519294</v>
      </c>
      <c r="AN1594" s="10">
        <f t="shared" ca="1" si="273"/>
        <v>0.88030431812424759</v>
      </c>
      <c r="AO1594" s="158"/>
      <c r="AP1594" s="158"/>
      <c r="AQ1594" s="1"/>
      <c r="AR1594" s="1"/>
      <c r="AS1594" s="1"/>
      <c r="AT1594" s="1"/>
      <c r="AU1594" s="1"/>
    </row>
    <row r="1595" spans="34:47">
      <c r="AH1595" s="6">
        <f t="shared" si="274"/>
        <v>1565</v>
      </c>
      <c r="AI1595" s="7">
        <f t="shared" ca="1" si="275"/>
        <v>44235</v>
      </c>
      <c r="AJ1595" s="210">
        <f t="shared" ca="1" si="276"/>
        <v>4.1749999999999998</v>
      </c>
      <c r="AK1595" s="8">
        <f t="shared" ca="1" si="277"/>
        <v>1.0001159722222221</v>
      </c>
      <c r="AL1595" s="98">
        <f t="shared" ca="1" si="278"/>
        <v>3.9178892285325118</v>
      </c>
      <c r="AM1595" s="106">
        <f t="shared" ca="1" si="272"/>
        <v>29815.664111933474</v>
      </c>
      <c r="AN1595" s="10">
        <f t="shared" ca="1" si="273"/>
        <v>0.88059166677745271</v>
      </c>
      <c r="AO1595" s="158"/>
      <c r="AP1595" s="158"/>
      <c r="AQ1595" s="1"/>
      <c r="AR1595" s="1"/>
      <c r="AS1595" s="1"/>
      <c r="AT1595" s="1"/>
      <c r="AU1595" s="1"/>
    </row>
    <row r="1596" spans="34:47">
      <c r="AH1596" s="6">
        <f t="shared" si="274"/>
        <v>1566</v>
      </c>
      <c r="AI1596" s="7">
        <f t="shared" ca="1" si="275"/>
        <v>44236</v>
      </c>
      <c r="AJ1596" s="210">
        <f t="shared" ca="1" si="276"/>
        <v>4.1749999999999998</v>
      </c>
      <c r="AK1596" s="8">
        <f t="shared" ca="1" si="277"/>
        <v>1.0001159722222221</v>
      </c>
      <c r="AL1596" s="98">
        <f t="shared" ca="1" si="278"/>
        <v>3.9181477980689827</v>
      </c>
      <c r="AM1596" s="106">
        <f t="shared" ca="1" si="272"/>
        <v>29818.041709929934</v>
      </c>
      <c r="AN1596" s="10">
        <f t="shared" ca="1" si="273"/>
        <v>0.88087864926336135</v>
      </c>
      <c r="AO1596" s="158"/>
      <c r="AP1596" s="158"/>
      <c r="AQ1596" s="1"/>
      <c r="AR1596" s="1"/>
      <c r="AS1596" s="1"/>
      <c r="AT1596" s="1"/>
      <c r="AU1596" s="1"/>
    </row>
    <row r="1597" spans="34:47">
      <c r="AH1597" s="6">
        <f t="shared" si="274"/>
        <v>1567</v>
      </c>
      <c r="AI1597" s="7">
        <f t="shared" ca="1" si="275"/>
        <v>44237</v>
      </c>
      <c r="AJ1597" s="210">
        <f t="shared" ca="1" si="276"/>
        <v>4.1749999999999998</v>
      </c>
      <c r="AK1597" s="8">
        <f t="shared" ca="1" si="277"/>
        <v>1.0001159722222221</v>
      </c>
      <c r="AL1597" s="98">
        <f t="shared" ca="1" si="278"/>
        <v>3.9184060382290609</v>
      </c>
      <c r="AM1597" s="106">
        <f t="shared" ca="1" si="272"/>
        <v>29820.674271726151</v>
      </c>
      <c r="AN1597" s="10">
        <f t="shared" ca="1" si="273"/>
        <v>0.88096450804462378</v>
      </c>
      <c r="AO1597" s="158"/>
      <c r="AP1597" s="158"/>
      <c r="AQ1597" s="1"/>
      <c r="AR1597" s="1"/>
      <c r="AS1597" s="1"/>
      <c r="AT1597" s="1"/>
      <c r="AU1597" s="1"/>
    </row>
    <row r="1598" spans="34:47">
      <c r="AH1598" s="6">
        <f t="shared" si="274"/>
        <v>1568</v>
      </c>
      <c r="AI1598" s="7">
        <f t="shared" ca="1" si="275"/>
        <v>44238</v>
      </c>
      <c r="AJ1598" s="210">
        <f t="shared" ca="1" si="276"/>
        <v>4.1749999999999998</v>
      </c>
      <c r="AK1598" s="8">
        <f t="shared" ca="1" si="277"/>
        <v>1.0001159722222221</v>
      </c>
      <c r="AL1598" s="98">
        <f t="shared" ca="1" si="278"/>
        <v>3.9186639496416875</v>
      </c>
      <c r="AM1598" s="106">
        <f t="shared" ca="1" si="272"/>
        <v>29823.307065944802</v>
      </c>
      <c r="AN1598" s="10">
        <f t="shared" ca="1" si="273"/>
        <v>0.88105025738509646</v>
      </c>
      <c r="AO1598" s="158"/>
      <c r="AP1598" s="158"/>
      <c r="AQ1598" s="1"/>
      <c r="AR1598" s="1"/>
      <c r="AS1598" s="1"/>
      <c r="AT1598" s="1"/>
      <c r="AU1598" s="1"/>
    </row>
    <row r="1599" spans="34:47">
      <c r="AH1599" s="6">
        <f t="shared" si="274"/>
        <v>1569</v>
      </c>
      <c r="AI1599" s="7">
        <f t="shared" ca="1" si="275"/>
        <v>44239</v>
      </c>
      <c r="AJ1599" s="210">
        <f t="shared" ca="1" si="276"/>
        <v>4.1749999999999998</v>
      </c>
      <c r="AK1599" s="8">
        <f t="shared" ca="1" si="277"/>
        <v>1.0001159722222221</v>
      </c>
      <c r="AL1599" s="98">
        <f t="shared" ca="1" si="278"/>
        <v>3.9189215329342275</v>
      </c>
      <c r="AM1599" s="106">
        <f t="shared" ca="1" si="272"/>
        <v>29825.940092606394</v>
      </c>
      <c r="AN1599" s="10">
        <f t="shared" ca="1" si="273"/>
        <v>0.88113589749385657</v>
      </c>
      <c r="AO1599" s="158"/>
      <c r="AP1599" s="158"/>
      <c r="AQ1599" s="1"/>
      <c r="AR1599" s="1"/>
      <c r="AS1599" s="1"/>
      <c r="AT1599" s="1"/>
      <c r="AU1599" s="1"/>
    </row>
    <row r="1600" spans="34:47">
      <c r="AH1600" s="6">
        <f t="shared" si="274"/>
        <v>1570</v>
      </c>
      <c r="AI1600" s="7">
        <f t="shared" ca="1" si="275"/>
        <v>44240</v>
      </c>
      <c r="AJ1600" s="210">
        <f t="shared" ca="1" si="276"/>
        <v>4.1749999999999998</v>
      </c>
      <c r="AK1600" s="8">
        <f t="shared" ca="1" si="277"/>
        <v>1.0001159722222221</v>
      </c>
      <c r="AL1600" s="98">
        <f t="shared" ca="1" si="278"/>
        <v>3.9191787887324248</v>
      </c>
      <c r="AM1600" s="106">
        <f t="shared" ca="1" si="272"/>
        <v>29828.573351731455</v>
      </c>
      <c r="AN1600" s="10">
        <f t="shared" ca="1" si="273"/>
        <v>0.88122142857947061</v>
      </c>
      <c r="AO1600" s="158"/>
      <c r="AP1600" s="158"/>
      <c r="AQ1600" s="1"/>
      <c r="AR1600" s="1"/>
      <c r="AS1600" s="1"/>
      <c r="AT1600" s="1"/>
      <c r="AU1600" s="1"/>
    </row>
    <row r="1601" spans="34:47">
      <c r="AH1601" s="6">
        <f t="shared" si="274"/>
        <v>1571</v>
      </c>
      <c r="AI1601" s="7">
        <f t="shared" ca="1" si="275"/>
        <v>44241</v>
      </c>
      <c r="AJ1601" s="210">
        <f t="shared" ca="1" si="276"/>
        <v>4.1749999999999998</v>
      </c>
      <c r="AK1601" s="8">
        <f t="shared" ca="1" si="277"/>
        <v>1.0001159722222221</v>
      </c>
      <c r="AL1601" s="98">
        <f t="shared" ca="1" si="278"/>
        <v>3.9194357176604688</v>
      </c>
      <c r="AM1601" s="106">
        <f t="shared" ca="1" si="272"/>
        <v>29831.206843340507</v>
      </c>
      <c r="AN1601" s="10">
        <f t="shared" ca="1" si="273"/>
        <v>0.88130685085003879</v>
      </c>
      <c r="AO1601" s="158"/>
      <c r="AP1601" s="158"/>
      <c r="AQ1601" s="1"/>
      <c r="AR1601" s="1"/>
      <c r="AS1601" s="1"/>
      <c r="AT1601" s="1"/>
      <c r="AU1601" s="1"/>
    </row>
    <row r="1602" spans="34:47">
      <c r="AH1602" s="6">
        <f t="shared" si="274"/>
        <v>1572</v>
      </c>
      <c r="AI1602" s="7">
        <f t="shared" ca="1" si="275"/>
        <v>44242</v>
      </c>
      <c r="AJ1602" s="210">
        <f t="shared" ca="1" si="276"/>
        <v>4.1749999999999998</v>
      </c>
      <c r="AK1602" s="8">
        <f t="shared" ca="1" si="277"/>
        <v>1.0001159722222221</v>
      </c>
      <c r="AL1602" s="98">
        <f t="shared" ca="1" si="278"/>
        <v>3.9196923203409284</v>
      </c>
      <c r="AM1602" s="106">
        <f t="shared" ca="1" si="272"/>
        <v>29833.840567454085</v>
      </c>
      <c r="AN1602" s="10">
        <f t="shared" ca="1" si="273"/>
        <v>0.88139216451306179</v>
      </c>
      <c r="AO1602" s="158"/>
      <c r="AP1602" s="158"/>
      <c r="AQ1602" s="1"/>
      <c r="AR1602" s="1"/>
      <c r="AS1602" s="1"/>
      <c r="AT1602" s="1"/>
      <c r="AU1602" s="1"/>
    </row>
    <row r="1603" spans="34:47">
      <c r="AH1603" s="6">
        <f t="shared" si="274"/>
        <v>1573</v>
      </c>
      <c r="AI1603" s="7">
        <f t="shared" ca="1" si="275"/>
        <v>44243</v>
      </c>
      <c r="AJ1603" s="210">
        <f t="shared" ca="1" si="276"/>
        <v>4.1749999999999998</v>
      </c>
      <c r="AK1603" s="8">
        <f t="shared" ca="1" si="277"/>
        <v>1.0001159722222221</v>
      </c>
      <c r="AL1603" s="98">
        <f t="shared" ca="1" si="278"/>
        <v>3.91994859739484</v>
      </c>
      <c r="AM1603" s="106">
        <f t="shared" ca="1" si="272"/>
        <v>29836.4745240927</v>
      </c>
      <c r="AN1603" s="10">
        <f t="shared" ca="1" si="273"/>
        <v>0.8814773697755518</v>
      </c>
      <c r="AO1603" s="158"/>
      <c r="AP1603" s="158"/>
      <c r="AQ1603" s="1"/>
      <c r="AR1603" s="1"/>
      <c r="AS1603" s="1"/>
      <c r="AT1603" s="1"/>
      <c r="AU1603" s="1"/>
    </row>
    <row r="1604" spans="34:47">
      <c r="AH1604" s="6">
        <f t="shared" si="274"/>
        <v>1574</v>
      </c>
      <c r="AI1604" s="7">
        <f t="shared" ca="1" si="275"/>
        <v>44244</v>
      </c>
      <c r="AJ1604" s="210">
        <f t="shared" ca="1" si="276"/>
        <v>4.1749999999999998</v>
      </c>
      <c r="AK1604" s="8">
        <f t="shared" ca="1" si="277"/>
        <v>1.0001159722222221</v>
      </c>
      <c r="AL1604" s="98">
        <f t="shared" ca="1" si="278"/>
        <v>3.9202045494416193</v>
      </c>
      <c r="AM1604" s="106">
        <f t="shared" ca="1" si="272"/>
        <v>29839.108713276888</v>
      </c>
      <c r="AN1604" s="10">
        <f t="shared" ca="1" si="273"/>
        <v>0.88156246684396589</v>
      </c>
      <c r="AO1604" s="158"/>
      <c r="AP1604" s="158"/>
      <c r="AQ1604" s="1"/>
      <c r="AR1604" s="1"/>
      <c r="AS1604" s="1"/>
      <c r="AT1604" s="1"/>
      <c r="AU1604" s="1"/>
    </row>
    <row r="1605" spans="34:47">
      <c r="AH1605" s="6">
        <f t="shared" si="274"/>
        <v>1575</v>
      </c>
      <c r="AI1605" s="7">
        <f t="shared" ca="1" si="275"/>
        <v>44245</v>
      </c>
      <c r="AJ1605" s="210">
        <f t="shared" ca="1" si="276"/>
        <v>4.1749999999999998</v>
      </c>
      <c r="AK1605" s="8">
        <f t="shared" ca="1" si="277"/>
        <v>1.0001159722222221</v>
      </c>
      <c r="AL1605" s="98">
        <f t="shared" ca="1" si="278"/>
        <v>3.9204601770991276</v>
      </c>
      <c r="AM1605" s="106">
        <f t="shared" ca="1" si="272"/>
        <v>29841.74313502718</v>
      </c>
      <c r="AN1605" s="10">
        <f t="shared" ca="1" si="273"/>
        <v>0.88164745592427263</v>
      </c>
      <c r="AO1605" s="158"/>
      <c r="AP1605" s="158"/>
      <c r="AQ1605" s="1"/>
      <c r="AR1605" s="1"/>
      <c r="AS1605" s="1"/>
      <c r="AT1605" s="1"/>
      <c r="AU1605" s="1"/>
    </row>
    <row r="1606" spans="34:47">
      <c r="AH1606" s="6">
        <f t="shared" si="274"/>
        <v>1576</v>
      </c>
      <c r="AI1606" s="7">
        <f t="shared" ca="1" si="275"/>
        <v>44246</v>
      </c>
      <c r="AJ1606" s="210">
        <f t="shared" ca="1" si="276"/>
        <v>4.1749999999999998</v>
      </c>
      <c r="AK1606" s="8">
        <f t="shared" ca="1" si="277"/>
        <v>1.0001159722222221</v>
      </c>
      <c r="AL1606" s="98">
        <f t="shared" ca="1" si="278"/>
        <v>3.920715480983672</v>
      </c>
      <c r="AM1606" s="106">
        <f t="shared" ca="1" si="272"/>
        <v>29844.377789364116</v>
      </c>
      <c r="AN1606" s="10">
        <f t="shared" ca="1" si="273"/>
        <v>0.88173233722186328</v>
      </c>
      <c r="AO1606" s="158"/>
      <c r="AP1606" s="158"/>
      <c r="AQ1606" s="1"/>
      <c r="AR1606" s="1"/>
      <c r="AS1606" s="1"/>
      <c r="AT1606" s="1"/>
      <c r="AU1606" s="1"/>
    </row>
    <row r="1607" spans="34:47">
      <c r="AH1607" s="6">
        <f t="shared" si="274"/>
        <v>1577</v>
      </c>
      <c r="AI1607" s="7">
        <f t="shared" ca="1" si="275"/>
        <v>44247</v>
      </c>
      <c r="AJ1607" s="210">
        <f t="shared" ca="1" si="276"/>
        <v>4.1749999999999998</v>
      </c>
      <c r="AK1607" s="8">
        <f t="shared" ca="1" si="277"/>
        <v>1.0001159722222221</v>
      </c>
      <c r="AL1607" s="98">
        <f t="shared" ca="1" si="278"/>
        <v>3.9209704617099606</v>
      </c>
      <c r="AM1607" s="106">
        <f t="shared" ca="1" si="272"/>
        <v>29847.012676308219</v>
      </c>
      <c r="AN1607" s="10">
        <f t="shared" ca="1" si="273"/>
        <v>0.88181711094164061</v>
      </c>
      <c r="AO1607" s="158"/>
      <c r="AP1607" s="158"/>
      <c r="AQ1607" s="1"/>
      <c r="AR1607" s="1"/>
      <c r="AS1607" s="1"/>
      <c r="AT1607" s="1"/>
      <c r="AU1607" s="1"/>
    </row>
    <row r="1608" spans="34:47">
      <c r="AH1608" s="6">
        <f t="shared" si="274"/>
        <v>1578</v>
      </c>
      <c r="AI1608" s="7">
        <f t="shared" ca="1" si="275"/>
        <v>44248</v>
      </c>
      <c r="AJ1608" s="210">
        <f t="shared" ca="1" si="276"/>
        <v>4.1749999999999998</v>
      </c>
      <c r="AK1608" s="8">
        <f t="shared" ca="1" si="277"/>
        <v>1.0001159722222221</v>
      </c>
      <c r="AL1608" s="98">
        <f t="shared" ca="1" si="278"/>
        <v>3.921225119891214</v>
      </c>
      <c r="AM1608" s="106">
        <f t="shared" ca="1" si="272"/>
        <v>29849.647795880031</v>
      </c>
      <c r="AN1608" s="10">
        <f t="shared" ca="1" si="273"/>
        <v>0.88190177728804109</v>
      </c>
      <c r="AO1608" s="158"/>
      <c r="AP1608" s="158"/>
      <c r="AQ1608" s="1"/>
      <c r="AR1608" s="1"/>
      <c r="AS1608" s="1"/>
      <c r="AT1608" s="1"/>
      <c r="AU1608" s="1"/>
    </row>
    <row r="1609" spans="34:47">
      <c r="AH1609" s="6">
        <f t="shared" si="274"/>
        <v>1579</v>
      </c>
      <c r="AI1609" s="7">
        <f t="shared" ca="1" si="275"/>
        <v>44249</v>
      </c>
      <c r="AJ1609" s="210">
        <f t="shared" ca="1" si="276"/>
        <v>4.1749999999999998</v>
      </c>
      <c r="AK1609" s="8">
        <f t="shared" ca="1" si="277"/>
        <v>1.0001159722222221</v>
      </c>
      <c r="AL1609" s="98">
        <f t="shared" ca="1" si="278"/>
        <v>3.921479456139032</v>
      </c>
      <c r="AM1609" s="106">
        <f t="shared" ca="1" si="272"/>
        <v>29852.283148100087</v>
      </c>
      <c r="AN1609" s="10">
        <f t="shared" ca="1" si="273"/>
        <v>0.88198633646490165</v>
      </c>
      <c r="AO1609" s="158"/>
      <c r="AP1609" s="158"/>
      <c r="AQ1609" s="1"/>
      <c r="AR1609" s="1"/>
      <c r="AS1609" s="1"/>
      <c r="AT1609" s="1"/>
      <c r="AU1609" s="1"/>
    </row>
    <row r="1610" spans="34:47">
      <c r="AH1610" s="6">
        <f t="shared" si="274"/>
        <v>1580</v>
      </c>
      <c r="AI1610" s="7">
        <f t="shared" ca="1" si="275"/>
        <v>44250</v>
      </c>
      <c r="AJ1610" s="210">
        <f t="shared" ca="1" si="276"/>
        <v>4.1749999999999998</v>
      </c>
      <c r="AK1610" s="8">
        <f t="shared" ca="1" si="277"/>
        <v>1.0001159722222221</v>
      </c>
      <c r="AL1610" s="98">
        <f t="shared" ca="1" si="278"/>
        <v>3.9217334710635265</v>
      </c>
      <c r="AM1610" s="106">
        <f t="shared" ca="1" si="272"/>
        <v>29854.918732988936</v>
      </c>
      <c r="AN1610" s="10">
        <f t="shared" ca="1" si="273"/>
        <v>0.88207078867554856</v>
      </c>
      <c r="AO1610" s="158"/>
      <c r="AP1610" s="158"/>
      <c r="AQ1610" s="1"/>
      <c r="AR1610" s="1"/>
      <c r="AS1610" s="1"/>
      <c r="AT1610" s="1"/>
      <c r="AU1610" s="1"/>
    </row>
    <row r="1611" spans="34:47">
      <c r="AH1611" s="6">
        <f t="shared" si="274"/>
        <v>1581</v>
      </c>
      <c r="AI1611" s="7">
        <f t="shared" ca="1" si="275"/>
        <v>44251</v>
      </c>
      <c r="AJ1611" s="210">
        <f t="shared" ca="1" si="276"/>
        <v>4.1749999999999998</v>
      </c>
      <c r="AK1611" s="8">
        <f t="shared" ca="1" si="277"/>
        <v>1.0001159722222221</v>
      </c>
      <c r="AL1611" s="98">
        <f t="shared" ca="1" si="278"/>
        <v>3.9219871652732108</v>
      </c>
      <c r="AM1611" s="106">
        <f t="shared" ca="1" si="272"/>
        <v>29857.554550567111</v>
      </c>
      <c r="AN1611" s="10">
        <f t="shared" ca="1" si="273"/>
        <v>0.88215513412286395</v>
      </c>
      <c r="AO1611" s="158"/>
      <c r="AP1611" s="158"/>
      <c r="AQ1611" s="1"/>
      <c r="AR1611" s="1"/>
      <c r="AS1611" s="1"/>
      <c r="AT1611" s="1"/>
      <c r="AU1611" s="1"/>
    </row>
    <row r="1612" spans="34:47">
      <c r="AH1612" s="6">
        <f t="shared" si="274"/>
        <v>1582</v>
      </c>
      <c r="AI1612" s="7">
        <f t="shared" ca="1" si="275"/>
        <v>44252</v>
      </c>
      <c r="AJ1612" s="210">
        <f t="shared" ca="1" si="276"/>
        <v>4.1749999999999998</v>
      </c>
      <c r="AK1612" s="8">
        <f t="shared" ca="1" si="277"/>
        <v>1.0001159722222221</v>
      </c>
      <c r="AL1612" s="98">
        <f t="shared" ca="1" si="278"/>
        <v>3.9222405393751103</v>
      </c>
      <c r="AM1612" s="106">
        <f t="shared" ca="1" si="272"/>
        <v>29860.190600855152</v>
      </c>
      <c r="AN1612" s="10">
        <f t="shared" ca="1" si="273"/>
        <v>0.88223937300913047</v>
      </c>
      <c r="AO1612" s="158"/>
      <c r="AP1612" s="158"/>
      <c r="AQ1612" s="1"/>
      <c r="AR1612" s="1"/>
      <c r="AS1612" s="1"/>
      <c r="AT1612" s="1"/>
      <c r="AU1612" s="1"/>
    </row>
    <row r="1613" spans="34:47">
      <c r="AH1613" s="6">
        <f t="shared" si="274"/>
        <v>1583</v>
      </c>
      <c r="AI1613" s="7">
        <f t="shared" ca="1" si="275"/>
        <v>44253</v>
      </c>
      <c r="AJ1613" s="210">
        <f t="shared" ca="1" si="276"/>
        <v>4.1749999999999998</v>
      </c>
      <c r="AK1613" s="8">
        <f t="shared" ca="1" si="277"/>
        <v>1.0001159722222221</v>
      </c>
      <c r="AL1613" s="98">
        <f t="shared" ca="1" si="278"/>
        <v>3.9224935939747185</v>
      </c>
      <c r="AM1613" s="106">
        <f t="shared" ca="1" si="272"/>
        <v>29862.826883873611</v>
      </c>
      <c r="AN1613" s="10">
        <f t="shared" ca="1" si="273"/>
        <v>0.88232350553620886</v>
      </c>
      <c r="AO1613" s="158"/>
      <c r="AP1613" s="158"/>
      <c r="AQ1613" s="1"/>
      <c r="AR1613" s="1"/>
      <c r="AS1613" s="1"/>
      <c r="AT1613" s="1"/>
      <c r="AU1613" s="1"/>
    </row>
    <row r="1614" spans="34:47">
      <c r="AH1614" s="6">
        <f t="shared" si="274"/>
        <v>1584</v>
      </c>
      <c r="AI1614" s="7">
        <f t="shared" ca="1" si="275"/>
        <v>44254</v>
      </c>
      <c r="AJ1614" s="210">
        <f t="shared" ca="1" si="276"/>
        <v>4.1749999999999998</v>
      </c>
      <c r="AK1614" s="8">
        <f t="shared" ca="1" si="277"/>
        <v>1.0001159722222221</v>
      </c>
      <c r="AL1614" s="98">
        <f t="shared" ca="1" si="278"/>
        <v>3.9227463296759746</v>
      </c>
      <c r="AM1614" s="106">
        <f t="shared" ca="1" si="272"/>
        <v>29865.463399643042</v>
      </c>
      <c r="AN1614" s="10">
        <f t="shared" ca="1" si="273"/>
        <v>0.88240753190536036</v>
      </c>
      <c r="AO1614" s="158"/>
      <c r="AP1614" s="158"/>
      <c r="AQ1614" s="1"/>
      <c r="AR1614" s="1"/>
      <c r="AS1614" s="1"/>
      <c r="AT1614" s="1"/>
      <c r="AU1614" s="1"/>
    </row>
    <row r="1615" spans="34:47">
      <c r="AH1615" s="6">
        <f t="shared" si="274"/>
        <v>1585</v>
      </c>
      <c r="AI1615" s="7">
        <f t="shared" ca="1" si="275"/>
        <v>44255</v>
      </c>
      <c r="AJ1615" s="210">
        <f t="shared" ca="1" si="276"/>
        <v>4.1749999999999998</v>
      </c>
      <c r="AK1615" s="8">
        <f t="shared" ca="1" si="277"/>
        <v>1.0001159722222221</v>
      </c>
      <c r="AL1615" s="98">
        <f t="shared" ca="1" si="278"/>
        <v>3.9229987470813077</v>
      </c>
      <c r="AM1615" s="106">
        <f t="shared" ca="1" si="272"/>
        <v>29868.100148183981</v>
      </c>
      <c r="AN1615" s="10">
        <f t="shared" ca="1" si="273"/>
        <v>0.88249145231742432</v>
      </c>
      <c r="AO1615" s="158"/>
      <c r="AP1615" s="158"/>
      <c r="AQ1615" s="1"/>
      <c r="AR1615" s="1"/>
      <c r="AS1615" s="1"/>
      <c r="AT1615" s="1"/>
      <c r="AU1615" s="1"/>
    </row>
    <row r="1616" spans="34:47">
      <c r="AH1616" s="6">
        <f t="shared" si="274"/>
        <v>1586</v>
      </c>
      <c r="AI1616" s="7">
        <f t="shared" ca="1" si="275"/>
        <v>44256</v>
      </c>
      <c r="AJ1616" s="210">
        <f t="shared" ca="1" si="276"/>
        <v>4.1749999999999998</v>
      </c>
      <c r="AK1616" s="8">
        <f t="shared" ca="1" si="277"/>
        <v>1.0001159722222221</v>
      </c>
      <c r="AL1616" s="98">
        <f t="shared" ca="1" si="278"/>
        <v>3.9232508467916372</v>
      </c>
      <c r="AM1616" s="106">
        <f t="shared" ca="1" si="272"/>
        <v>29870.737129516983</v>
      </c>
      <c r="AN1616" s="10">
        <f t="shared" ca="1" si="273"/>
        <v>0.88257526697266275</v>
      </c>
      <c r="AO1616" s="158"/>
      <c r="AP1616" s="158"/>
      <c r="AQ1616" s="1"/>
      <c r="AR1616" s="1"/>
      <c r="AS1616" s="1"/>
      <c r="AT1616" s="1"/>
      <c r="AU1616" s="1"/>
    </row>
    <row r="1617" spans="34:47">
      <c r="AH1617" s="6">
        <f t="shared" si="274"/>
        <v>1587</v>
      </c>
      <c r="AI1617" s="7">
        <f t="shared" ca="1" si="275"/>
        <v>44257</v>
      </c>
      <c r="AJ1617" s="210">
        <f t="shared" ca="1" si="276"/>
        <v>4.1749999999999998</v>
      </c>
      <c r="AK1617" s="8">
        <f t="shared" ca="1" si="277"/>
        <v>1.0001159722222221</v>
      </c>
      <c r="AL1617" s="98">
        <f t="shared" ca="1" si="278"/>
        <v>3.9235026294063502</v>
      </c>
      <c r="AM1617" s="106">
        <f t="shared" ca="1" si="272"/>
        <v>29873.374343662606</v>
      </c>
      <c r="AN1617" s="10">
        <f t="shared" ca="1" si="273"/>
        <v>0.8826589760708492</v>
      </c>
      <c r="AO1617" s="158"/>
      <c r="AP1617" s="158"/>
      <c r="AQ1617" s="1"/>
      <c r="AR1617" s="1"/>
      <c r="AS1617" s="1"/>
      <c r="AT1617" s="1"/>
      <c r="AU1617" s="1"/>
    </row>
    <row r="1618" spans="34:47">
      <c r="AH1618" s="6">
        <f t="shared" si="274"/>
        <v>1588</v>
      </c>
      <c r="AI1618" s="7">
        <f t="shared" ca="1" si="275"/>
        <v>44258</v>
      </c>
      <c r="AJ1618" s="210">
        <f t="shared" ca="1" si="276"/>
        <v>4.1749999999999998</v>
      </c>
      <c r="AK1618" s="8">
        <f t="shared" ca="1" si="277"/>
        <v>1.0001159722222221</v>
      </c>
      <c r="AL1618" s="98">
        <f t="shared" ca="1" si="278"/>
        <v>3.9237540955233685</v>
      </c>
      <c r="AM1618" s="106">
        <f t="shared" ca="1" si="272"/>
        <v>29876.011790641398</v>
      </c>
      <c r="AN1618" s="10">
        <f t="shared" ca="1" si="273"/>
        <v>0.8827425798112909</v>
      </c>
      <c r="AO1618" s="158"/>
      <c r="AP1618" s="158"/>
      <c r="AQ1618" s="1"/>
      <c r="AR1618" s="1"/>
      <c r="AS1618" s="1"/>
      <c r="AT1618" s="1"/>
      <c r="AU1618" s="1"/>
    </row>
    <row r="1619" spans="34:47">
      <c r="AH1619" s="6">
        <f t="shared" si="274"/>
        <v>1589</v>
      </c>
      <c r="AI1619" s="7">
        <f t="shared" ca="1" si="275"/>
        <v>44259</v>
      </c>
      <c r="AJ1619" s="210">
        <f t="shared" ca="1" si="276"/>
        <v>4.1749999999999998</v>
      </c>
      <c r="AK1619" s="8">
        <f t="shared" ca="1" si="277"/>
        <v>1.0001159722222221</v>
      </c>
      <c r="AL1619" s="98">
        <f t="shared" ca="1" si="278"/>
        <v>3.9240052457390595</v>
      </c>
      <c r="AM1619" s="106">
        <f t="shared" ca="1" si="272"/>
        <v>29878.649470473913</v>
      </c>
      <c r="AN1619" s="10">
        <f t="shared" ca="1" si="273"/>
        <v>0.88282607839278437</v>
      </c>
      <c r="AO1619" s="158"/>
      <c r="AP1619" s="158"/>
      <c r="AQ1619" s="1"/>
      <c r="AR1619" s="1"/>
      <c r="AS1619" s="1"/>
      <c r="AT1619" s="1"/>
      <c r="AU1619" s="1"/>
    </row>
    <row r="1620" spans="34:47">
      <c r="AH1620" s="6">
        <f t="shared" si="274"/>
        <v>1590</v>
      </c>
      <c r="AI1620" s="7">
        <f t="shared" ca="1" si="275"/>
        <v>44260</v>
      </c>
      <c r="AJ1620" s="210">
        <f t="shared" ca="1" si="276"/>
        <v>4.1749999999999998</v>
      </c>
      <c r="AK1620" s="8">
        <f t="shared" ca="1" si="277"/>
        <v>1.0001159722222221</v>
      </c>
      <c r="AL1620" s="98">
        <f t="shared" ca="1" si="278"/>
        <v>3.9242560806483473</v>
      </c>
      <c r="AM1620" s="106">
        <f t="shared" ca="1" si="272"/>
        <v>29881.287383180712</v>
      </c>
      <c r="AN1620" s="10">
        <f t="shared" ca="1" si="273"/>
        <v>0.88290947201359327</v>
      </c>
      <c r="AO1620" s="158"/>
      <c r="AP1620" s="158"/>
      <c r="AQ1620" s="1"/>
      <c r="AR1620" s="1"/>
      <c r="AS1620" s="1"/>
      <c r="AT1620" s="1"/>
      <c r="AU1620" s="1"/>
    </row>
    <row r="1621" spans="34:47">
      <c r="AH1621" s="6">
        <f t="shared" si="274"/>
        <v>1591</v>
      </c>
      <c r="AI1621" s="7">
        <f t="shared" ca="1" si="275"/>
        <v>44261</v>
      </c>
      <c r="AJ1621" s="210">
        <f t="shared" ca="1" si="276"/>
        <v>4.1749999999999998</v>
      </c>
      <c r="AK1621" s="8">
        <f t="shared" ca="1" si="277"/>
        <v>1.0001159722222221</v>
      </c>
      <c r="AL1621" s="98">
        <f t="shared" ca="1" si="278"/>
        <v>3.9245066008446239</v>
      </c>
      <c r="AM1621" s="106">
        <f t="shared" ca="1" si="272"/>
        <v>29883.925528782362</v>
      </c>
      <c r="AN1621" s="10">
        <f t="shared" ca="1" si="273"/>
        <v>0.8829927608714927</v>
      </c>
      <c r="AO1621" s="158"/>
      <c r="AP1621" s="158"/>
      <c r="AQ1621" s="1"/>
      <c r="AR1621" s="1"/>
      <c r="AS1621" s="1"/>
      <c r="AT1621" s="1"/>
      <c r="AU1621" s="1"/>
    </row>
    <row r="1622" spans="34:47">
      <c r="AH1622" s="6">
        <f t="shared" si="274"/>
        <v>1592</v>
      </c>
      <c r="AI1622" s="7">
        <f t="shared" ca="1" si="275"/>
        <v>44262</v>
      </c>
      <c r="AJ1622" s="210">
        <f t="shared" ca="1" si="276"/>
        <v>4.1749999999999998</v>
      </c>
      <c r="AK1622" s="8">
        <f t="shared" ca="1" si="277"/>
        <v>1.0001159722222221</v>
      </c>
      <c r="AL1622" s="98">
        <f t="shared" ca="1" si="278"/>
        <v>3.9247568069197936</v>
      </c>
      <c r="AM1622" s="106">
        <f t="shared" ca="1" si="272"/>
        <v>29886.563907299424</v>
      </c>
      <c r="AN1622" s="10">
        <f t="shared" ca="1" si="273"/>
        <v>0.88307594516379151</v>
      </c>
      <c r="AO1622" s="158"/>
      <c r="AP1622" s="158"/>
      <c r="AQ1622" s="1"/>
      <c r="AR1622" s="1"/>
      <c r="AS1622" s="1"/>
      <c r="AT1622" s="1"/>
      <c r="AU1622" s="1"/>
    </row>
    <row r="1623" spans="34:47">
      <c r="AH1623" s="6">
        <f t="shared" si="274"/>
        <v>1593</v>
      </c>
      <c r="AI1623" s="7">
        <f t="shared" ca="1" si="275"/>
        <v>44263</v>
      </c>
      <c r="AJ1623" s="210">
        <f t="shared" ca="1" si="276"/>
        <v>4.1749999999999998</v>
      </c>
      <c r="AK1623" s="8">
        <f t="shared" ca="1" si="277"/>
        <v>1.0001159722222221</v>
      </c>
      <c r="AL1623" s="98">
        <f t="shared" ca="1" si="278"/>
        <v>3.9250066994642951</v>
      </c>
      <c r="AM1623" s="106">
        <f t="shared" ca="1" si="272"/>
        <v>29889.202518752449</v>
      </c>
      <c r="AN1623" s="10">
        <f t="shared" ca="1" si="273"/>
        <v>0.88315902508726563</v>
      </c>
      <c r="AO1623" s="158"/>
      <c r="AP1623" s="158"/>
      <c r="AQ1623" s="1"/>
      <c r="AR1623" s="1"/>
      <c r="AS1623" s="1"/>
      <c r="AT1623" s="1"/>
      <c r="AU1623" s="1"/>
    </row>
    <row r="1624" spans="34:47">
      <c r="AH1624" s="6">
        <f t="shared" si="274"/>
        <v>1594</v>
      </c>
      <c r="AI1624" s="7">
        <f t="shared" ca="1" si="275"/>
        <v>44264</v>
      </c>
      <c r="AJ1624" s="210">
        <f t="shared" ca="1" si="276"/>
        <v>4.1749999999999998</v>
      </c>
      <c r="AK1624" s="8">
        <f t="shared" ca="1" si="277"/>
        <v>1.0001159722222221</v>
      </c>
      <c r="AL1624" s="98">
        <f t="shared" ca="1" si="278"/>
        <v>3.9252562790671019</v>
      </c>
      <c r="AM1624" s="106">
        <f t="shared" ca="1" si="272"/>
        <v>29891.84136316201</v>
      </c>
      <c r="AN1624" s="10">
        <f t="shared" ca="1" si="273"/>
        <v>0.88324200083822468</v>
      </c>
      <c r="AO1624" s="158"/>
      <c r="AP1624" s="158"/>
      <c r="AQ1624" s="1"/>
      <c r="AR1624" s="1"/>
      <c r="AS1624" s="1"/>
      <c r="AT1624" s="1"/>
      <c r="AU1624" s="1"/>
    </row>
    <row r="1625" spans="34:47">
      <c r="AH1625" s="6">
        <f t="shared" si="274"/>
        <v>1595</v>
      </c>
      <c r="AI1625" s="7">
        <f t="shared" ca="1" si="275"/>
        <v>44265</v>
      </c>
      <c r="AJ1625" s="210">
        <f t="shared" ca="1" si="276"/>
        <v>4.1749999999999998</v>
      </c>
      <c r="AK1625" s="8">
        <f t="shared" ca="1" si="277"/>
        <v>1.0001159722222221</v>
      </c>
      <c r="AL1625" s="98">
        <f t="shared" ca="1" si="278"/>
        <v>3.9255055463156552</v>
      </c>
      <c r="AM1625" s="106">
        <f t="shared" ca="1" si="272"/>
        <v>29894.225035780157</v>
      </c>
      <c r="AN1625" s="10">
        <f t="shared" ca="1" si="273"/>
        <v>0.8835221111780811</v>
      </c>
      <c r="AO1625" s="158"/>
      <c r="AP1625" s="158"/>
      <c r="AQ1625" s="1"/>
      <c r="AR1625" s="1"/>
      <c r="AS1625" s="1"/>
      <c r="AT1625" s="1"/>
      <c r="AU1625" s="1"/>
    </row>
    <row r="1626" spans="34:47">
      <c r="AH1626" s="6">
        <f t="shared" si="274"/>
        <v>1596</v>
      </c>
      <c r="AI1626" s="7">
        <f t="shared" ca="1" si="275"/>
        <v>44266</v>
      </c>
      <c r="AJ1626" s="210">
        <f t="shared" ca="1" si="276"/>
        <v>4.1749999999999998</v>
      </c>
      <c r="AK1626" s="8">
        <f t="shared" ca="1" si="277"/>
        <v>1.0001159722222221</v>
      </c>
      <c r="AL1626" s="98">
        <f t="shared" ca="1" si="278"/>
        <v>3.9257545017959972</v>
      </c>
      <c r="AM1626" s="106">
        <f t="shared" ca="1" si="272"/>
        <v>29896.60889848011</v>
      </c>
      <c r="AN1626" s="10">
        <f t="shared" ca="1" si="273"/>
        <v>0.88380187127876653</v>
      </c>
      <c r="AO1626" s="158"/>
      <c r="AP1626" s="158"/>
      <c r="AQ1626" s="1"/>
      <c r="AR1626" s="1"/>
      <c r="AS1626" s="1"/>
      <c r="AT1626" s="1"/>
      <c r="AU1626" s="1"/>
    </row>
    <row r="1627" spans="34:47">
      <c r="AH1627" s="6">
        <f t="shared" si="274"/>
        <v>1597</v>
      </c>
      <c r="AI1627" s="7">
        <f t="shared" ca="1" si="275"/>
        <v>44267</v>
      </c>
      <c r="AJ1627" s="210">
        <f t="shared" ca="1" si="276"/>
        <v>4.1749999999999998</v>
      </c>
      <c r="AK1627" s="8">
        <f t="shared" ca="1" si="277"/>
        <v>1.0001159722222221</v>
      </c>
      <c r="AL1627" s="98">
        <f t="shared" ca="1" si="278"/>
        <v>3.9260031460926603</v>
      </c>
      <c r="AM1627" s="106">
        <f t="shared" ca="1" si="272"/>
        <v>29898.992951277025</v>
      </c>
      <c r="AN1627" s="10">
        <f t="shared" ca="1" si="273"/>
        <v>0.88408128179675582</v>
      </c>
      <c r="AO1627" s="158"/>
      <c r="AP1627" s="158"/>
      <c r="AQ1627" s="1"/>
      <c r="AR1627" s="1"/>
      <c r="AS1627" s="1"/>
      <c r="AT1627" s="1"/>
      <c r="AU1627" s="1"/>
    </row>
    <row r="1628" spans="34:47">
      <c r="AH1628" s="6">
        <f t="shared" si="274"/>
        <v>1598</v>
      </c>
      <c r="AI1628" s="7">
        <f t="shared" ca="1" si="275"/>
        <v>44268</v>
      </c>
      <c r="AJ1628" s="210">
        <f t="shared" ca="1" si="276"/>
        <v>4.1749999999999998</v>
      </c>
      <c r="AK1628" s="8">
        <f t="shared" ca="1" si="277"/>
        <v>1.0001159722222221</v>
      </c>
      <c r="AL1628" s="98">
        <f t="shared" ca="1" si="278"/>
        <v>3.9262514797887338</v>
      </c>
      <c r="AM1628" s="106">
        <f t="shared" ca="1" si="272"/>
        <v>29901.377194186061</v>
      </c>
      <c r="AN1628" s="10">
        <f t="shared" ca="1" si="273"/>
        <v>0.88436034338688074</v>
      </c>
      <c r="AO1628" s="158"/>
      <c r="AP1628" s="158"/>
      <c r="AQ1628" s="1"/>
      <c r="AR1628" s="1"/>
      <c r="AS1628" s="1"/>
      <c r="AT1628" s="1"/>
      <c r="AU1628" s="1"/>
    </row>
    <row r="1629" spans="34:47">
      <c r="AH1629" s="6">
        <f t="shared" si="274"/>
        <v>1599</v>
      </c>
      <c r="AI1629" s="7">
        <f t="shared" ca="1" si="275"/>
        <v>44269</v>
      </c>
      <c r="AJ1629" s="210">
        <f t="shared" ca="1" si="276"/>
        <v>4.1749999999999998</v>
      </c>
      <c r="AK1629" s="8">
        <f t="shared" ca="1" si="277"/>
        <v>1.0001159722222221</v>
      </c>
      <c r="AL1629" s="98">
        <f t="shared" ca="1" si="278"/>
        <v>3.9264995034658412</v>
      </c>
      <c r="AM1629" s="106">
        <f t="shared" ca="1" si="272"/>
        <v>29903.761627222375</v>
      </c>
      <c r="AN1629" s="10">
        <f t="shared" ca="1" si="273"/>
        <v>0.8846390567023521</v>
      </c>
      <c r="AO1629" s="158"/>
      <c r="AP1629" s="158"/>
      <c r="AQ1629" s="1"/>
      <c r="AR1629" s="1"/>
      <c r="AS1629" s="1"/>
      <c r="AT1629" s="1"/>
      <c r="AU1629" s="1"/>
    </row>
    <row r="1630" spans="34:47">
      <c r="AH1630" s="6">
        <f t="shared" si="274"/>
        <v>1600</v>
      </c>
      <c r="AI1630" s="7">
        <f t="shared" ca="1" si="275"/>
        <v>44270</v>
      </c>
      <c r="AJ1630" s="210">
        <f t="shared" ca="1" si="276"/>
        <v>4.1749999999999998</v>
      </c>
      <c r="AK1630" s="8">
        <f t="shared" ca="1" si="277"/>
        <v>1.0001159722222221</v>
      </c>
      <c r="AL1630" s="98">
        <f t="shared" ca="1" si="278"/>
        <v>3.9267472177041629</v>
      </c>
      <c r="AM1630" s="106">
        <f t="shared" ca="1" si="272"/>
        <v>29906.146250401136</v>
      </c>
      <c r="AN1630" s="10">
        <f t="shared" ca="1" si="273"/>
        <v>0.88491742239473759</v>
      </c>
      <c r="AO1630" s="158"/>
      <c r="AP1630" s="158"/>
      <c r="AQ1630" s="1"/>
      <c r="AR1630" s="1"/>
      <c r="AS1630" s="1"/>
      <c r="AT1630" s="1"/>
      <c r="AU1630" s="1"/>
    </row>
    <row r="1631" spans="34:47">
      <c r="AH1631" s="6">
        <f t="shared" si="274"/>
        <v>1601</v>
      </c>
      <c r="AI1631" s="7">
        <f t="shared" ca="1" si="275"/>
        <v>44271</v>
      </c>
      <c r="AJ1631" s="210">
        <f t="shared" ca="1" si="276"/>
        <v>4.1749999999999998</v>
      </c>
      <c r="AK1631" s="8">
        <f t="shared" ca="1" si="277"/>
        <v>1.0001159722222221</v>
      </c>
      <c r="AL1631" s="98">
        <f t="shared" ca="1" si="278"/>
        <v>3.9269946230824138</v>
      </c>
      <c r="AM1631" s="106">
        <f t="shared" ref="AM1631:AM1694" ca="1" si="279">Geom_Interp(AI1631,$AZ$2:$AZ$109,$BA$2:$BA$109)</f>
        <v>29908.531063737504</v>
      </c>
      <c r="AN1631" s="10">
        <f t="shared" ref="AN1631:AN1694" ca="1" si="280">100*(((1+AL1631/100)^(AH1631/365)*$AM$29/AM1631)^(365/AH1631)-1)</f>
        <v>0.88519544111396176</v>
      </c>
      <c r="AO1631" s="158"/>
      <c r="AP1631" s="158"/>
      <c r="AQ1631" s="1"/>
      <c r="AR1631" s="1"/>
      <c r="AS1631" s="1"/>
      <c r="AT1631" s="1"/>
      <c r="AU1631" s="1"/>
    </row>
    <row r="1632" spans="34:47">
      <c r="AH1632" s="6">
        <f t="shared" ref="AH1632:AH1695" si="281">$AI$29+AH1631</f>
        <v>1602</v>
      </c>
      <c r="AI1632" s="7">
        <f t="shared" ref="AI1632:AI1695" ca="1" si="282">+AH1632+$C$1</f>
        <v>44272</v>
      </c>
      <c r="AJ1632" s="210">
        <f t="shared" ref="AJ1632:AJ1695" ca="1" si="283">IF(AH1632&lt;365,VLOOKUP(LOOKUP(AI1632,$AI$2:$AI$23),$AI$2:$AK$23,3,0),Lin_Interp(AH1632,$AJ$2:$AJ$23,$AK$2:$AK$23))</f>
        <v>4.1749999999999998</v>
      </c>
      <c r="AK1632" s="8">
        <f t="shared" ca="1" si="277"/>
        <v>1.0001159722222221</v>
      </c>
      <c r="AL1632" s="98">
        <f t="shared" ca="1" si="278"/>
        <v>3.9272417201779097</v>
      </c>
      <c r="AM1632" s="106">
        <f t="shared" ca="1" si="279"/>
        <v>29910.916067246635</v>
      </c>
      <c r="AN1632" s="10">
        <f t="shared" ca="1" si="280"/>
        <v>0.88547311350841706</v>
      </c>
      <c r="AO1632" s="158"/>
      <c r="AP1632" s="158"/>
      <c r="AQ1632" s="1"/>
      <c r="AR1632" s="1"/>
      <c r="AS1632" s="1"/>
      <c r="AT1632" s="1"/>
      <c r="AU1632" s="1"/>
    </row>
    <row r="1633" spans="34:47">
      <c r="AH1633" s="6">
        <f t="shared" si="281"/>
        <v>1603</v>
      </c>
      <c r="AI1633" s="7">
        <f t="shared" ca="1" si="282"/>
        <v>44273</v>
      </c>
      <c r="AJ1633" s="210">
        <f t="shared" ca="1" si="283"/>
        <v>4.1749999999999998</v>
      </c>
      <c r="AK1633" s="8">
        <f t="shared" ref="AK1633:AK1696" ca="1" si="284">+(1+AJ1633/36000)</f>
        <v>1.0001159722222221</v>
      </c>
      <c r="AL1633" s="98">
        <f t="shared" ref="AL1633:AL1696" ca="1" si="285">100*(((1+AL1632/100)^(AH1632/365)*AK1633)^(365/AH1633)-1)</f>
        <v>3.9274885095664791</v>
      </c>
      <c r="AM1633" s="106">
        <f t="shared" ca="1" si="279"/>
        <v>29913.301260943706</v>
      </c>
      <c r="AN1633" s="10">
        <f t="shared" ca="1" si="280"/>
        <v>0.88575044022474181</v>
      </c>
      <c r="AO1633" s="158"/>
      <c r="AP1633" s="158"/>
      <c r="AQ1633" s="1"/>
      <c r="AR1633" s="1"/>
      <c r="AS1633" s="1"/>
      <c r="AT1633" s="1"/>
      <c r="AU1633" s="1"/>
    </row>
    <row r="1634" spans="34:47">
      <c r="AH1634" s="6">
        <f t="shared" si="281"/>
        <v>1604</v>
      </c>
      <c r="AI1634" s="7">
        <f t="shared" ca="1" si="282"/>
        <v>44274</v>
      </c>
      <c r="AJ1634" s="210">
        <f t="shared" ca="1" si="283"/>
        <v>4.1749999999999998</v>
      </c>
      <c r="AK1634" s="8">
        <f t="shared" ca="1" si="284"/>
        <v>1.0001159722222221</v>
      </c>
      <c r="AL1634" s="98">
        <f t="shared" ca="1" si="285"/>
        <v>3.9277349918225513</v>
      </c>
      <c r="AM1634" s="106">
        <f t="shared" ca="1" si="279"/>
        <v>29915.686644843874</v>
      </c>
      <c r="AN1634" s="10">
        <f t="shared" ca="1" si="280"/>
        <v>0.88602742190810879</v>
      </c>
      <c r="AO1634" s="158"/>
      <c r="AP1634" s="158"/>
      <c r="AQ1634" s="1"/>
      <c r="AR1634" s="1"/>
      <c r="AS1634" s="1"/>
      <c r="AT1634" s="1"/>
      <c r="AU1634" s="1"/>
    </row>
    <row r="1635" spans="34:47">
      <c r="AH1635" s="6">
        <f t="shared" si="281"/>
        <v>1605</v>
      </c>
      <c r="AI1635" s="7">
        <f t="shared" ca="1" si="282"/>
        <v>44275</v>
      </c>
      <c r="AJ1635" s="210">
        <f t="shared" ca="1" si="283"/>
        <v>4.1749999999999998</v>
      </c>
      <c r="AK1635" s="8">
        <f t="shared" ca="1" si="284"/>
        <v>1.0001159722222221</v>
      </c>
      <c r="AL1635" s="98">
        <f t="shared" ca="1" si="285"/>
        <v>3.9279811675190901</v>
      </c>
      <c r="AM1635" s="106">
        <f t="shared" ca="1" si="279"/>
        <v>29918.072218962312</v>
      </c>
      <c r="AN1635" s="10">
        <f t="shared" ca="1" si="280"/>
        <v>0.88630405920198108</v>
      </c>
      <c r="AO1635" s="158"/>
      <c r="AP1635" s="158"/>
      <c r="AQ1635" s="1"/>
      <c r="AR1635" s="1"/>
      <c r="AS1635" s="1"/>
      <c r="AT1635" s="1"/>
      <c r="AU1635" s="1"/>
    </row>
    <row r="1636" spans="34:47">
      <c r="AH1636" s="6">
        <f t="shared" si="281"/>
        <v>1606</v>
      </c>
      <c r="AI1636" s="7">
        <f t="shared" ca="1" si="282"/>
        <v>44276</v>
      </c>
      <c r="AJ1636" s="210">
        <f t="shared" ca="1" si="283"/>
        <v>4.1749999999999998</v>
      </c>
      <c r="AK1636" s="8">
        <f t="shared" ca="1" si="284"/>
        <v>1.0001159722222221</v>
      </c>
      <c r="AL1636" s="98">
        <f t="shared" ca="1" si="285"/>
        <v>3.9282270372276828</v>
      </c>
      <c r="AM1636" s="106">
        <f t="shared" ca="1" si="279"/>
        <v>29920.457983314191</v>
      </c>
      <c r="AN1636" s="10">
        <f t="shared" ca="1" si="280"/>
        <v>0.88658035274826741</v>
      </c>
      <c r="AO1636" s="158"/>
      <c r="AP1636" s="158"/>
      <c r="AQ1636" s="1"/>
      <c r="AR1636" s="1"/>
      <c r="AS1636" s="1"/>
      <c r="AT1636" s="1"/>
      <c r="AU1636" s="1"/>
    </row>
    <row r="1637" spans="34:47">
      <c r="AH1637" s="6">
        <f t="shared" si="281"/>
        <v>1607</v>
      </c>
      <c r="AI1637" s="7">
        <f t="shared" ca="1" si="282"/>
        <v>44277</v>
      </c>
      <c r="AJ1637" s="210">
        <f t="shared" ca="1" si="283"/>
        <v>4.1749999999999998</v>
      </c>
      <c r="AK1637" s="8">
        <f t="shared" ca="1" si="284"/>
        <v>1.0001159722222221</v>
      </c>
      <c r="AL1637" s="98">
        <f t="shared" ca="1" si="285"/>
        <v>3.9284726015184734</v>
      </c>
      <c r="AM1637" s="106">
        <f t="shared" ca="1" si="279"/>
        <v>29922.843937914669</v>
      </c>
      <c r="AN1637" s="10">
        <f t="shared" ca="1" si="280"/>
        <v>0.88685630318727782</v>
      </c>
      <c r="AO1637" s="158"/>
      <c r="AP1637" s="158"/>
      <c r="AQ1637" s="1"/>
      <c r="AR1637" s="1"/>
      <c r="AS1637" s="1"/>
      <c r="AT1637" s="1"/>
      <c r="AU1637" s="1"/>
    </row>
    <row r="1638" spans="34:47">
      <c r="AH1638" s="6">
        <f t="shared" si="281"/>
        <v>1608</v>
      </c>
      <c r="AI1638" s="7">
        <f t="shared" ca="1" si="282"/>
        <v>44278</v>
      </c>
      <c r="AJ1638" s="210">
        <f t="shared" ca="1" si="283"/>
        <v>4.1749999999999998</v>
      </c>
      <c r="AK1638" s="8">
        <f t="shared" ca="1" si="284"/>
        <v>1.0001159722222221</v>
      </c>
      <c r="AL1638" s="98">
        <f t="shared" ca="1" si="285"/>
        <v>3.9287178609601847</v>
      </c>
      <c r="AM1638" s="106">
        <f t="shared" ca="1" si="279"/>
        <v>29925.230082778926</v>
      </c>
      <c r="AN1638" s="10">
        <f t="shared" ca="1" si="280"/>
        <v>0.88713191115774581</v>
      </c>
      <c r="AO1638" s="158"/>
      <c r="AP1638" s="158"/>
      <c r="AQ1638" s="1"/>
      <c r="AR1638" s="1"/>
      <c r="AS1638" s="1"/>
      <c r="AT1638" s="1"/>
      <c r="AU1638" s="1"/>
    </row>
    <row r="1639" spans="34:47">
      <c r="AH1639" s="6">
        <f t="shared" si="281"/>
        <v>1609</v>
      </c>
      <c r="AI1639" s="7">
        <f t="shared" ca="1" si="282"/>
        <v>44279</v>
      </c>
      <c r="AJ1639" s="210">
        <f t="shared" ca="1" si="283"/>
        <v>4.1749999999999998</v>
      </c>
      <c r="AK1639" s="8">
        <f t="shared" ca="1" si="284"/>
        <v>1.0001159722222221</v>
      </c>
      <c r="AL1639" s="98">
        <f t="shared" ca="1" si="285"/>
        <v>3.9289628161201406</v>
      </c>
      <c r="AM1639" s="106">
        <f t="shared" ca="1" si="279"/>
        <v>29927.61641792213</v>
      </c>
      <c r="AN1639" s="10">
        <f t="shared" ca="1" si="280"/>
        <v>0.88740717729680618</v>
      </c>
      <c r="AO1639" s="158"/>
      <c r="AP1639" s="158"/>
      <c r="AQ1639" s="1"/>
      <c r="AR1639" s="1"/>
      <c r="AS1639" s="1"/>
      <c r="AT1639" s="1"/>
      <c r="AU1639" s="1"/>
    </row>
    <row r="1640" spans="34:47">
      <c r="AH1640" s="6">
        <f t="shared" si="281"/>
        <v>1610</v>
      </c>
      <c r="AI1640" s="7">
        <f t="shared" ca="1" si="282"/>
        <v>44280</v>
      </c>
      <c r="AJ1640" s="210">
        <f t="shared" ca="1" si="283"/>
        <v>4.1749999999999998</v>
      </c>
      <c r="AK1640" s="8">
        <f t="shared" ca="1" si="284"/>
        <v>1.0001159722222221</v>
      </c>
      <c r="AL1640" s="98">
        <f t="shared" ca="1" si="285"/>
        <v>3.9292074675642441</v>
      </c>
      <c r="AM1640" s="106">
        <f t="shared" ca="1" si="279"/>
        <v>29930.002943359465</v>
      </c>
      <c r="AN1640" s="10">
        <f t="shared" ca="1" si="280"/>
        <v>0.887682102239995</v>
      </c>
      <c r="AO1640" s="158"/>
      <c r="AP1640" s="158"/>
      <c r="AQ1640" s="1"/>
      <c r="AR1640" s="1"/>
      <c r="AS1640" s="1"/>
      <c r="AT1640" s="1"/>
      <c r="AU1640" s="1"/>
    </row>
    <row r="1641" spans="34:47">
      <c r="AH1641" s="6">
        <f t="shared" si="281"/>
        <v>1611</v>
      </c>
      <c r="AI1641" s="7">
        <f t="shared" ca="1" si="282"/>
        <v>44281</v>
      </c>
      <c r="AJ1641" s="210">
        <f t="shared" ca="1" si="283"/>
        <v>4.1749999999999998</v>
      </c>
      <c r="AK1641" s="8">
        <f t="shared" ca="1" si="284"/>
        <v>1.0001159722222221</v>
      </c>
      <c r="AL1641" s="98">
        <f t="shared" ca="1" si="285"/>
        <v>3.9294518158569991</v>
      </c>
      <c r="AM1641" s="106">
        <f t="shared" ca="1" si="279"/>
        <v>29932.389659106087</v>
      </c>
      <c r="AN1641" s="10">
        <f t="shared" ca="1" si="280"/>
        <v>0.88795668662131622</v>
      </c>
      <c r="AO1641" s="158"/>
      <c r="AP1641" s="158"/>
      <c r="AQ1641" s="1"/>
      <c r="AR1641" s="1"/>
      <c r="AS1641" s="1"/>
      <c r="AT1641" s="1"/>
      <c r="AU1641" s="1"/>
    </row>
    <row r="1642" spans="34:47">
      <c r="AH1642" s="6">
        <f t="shared" si="281"/>
        <v>1612</v>
      </c>
      <c r="AI1642" s="7">
        <f t="shared" ca="1" si="282"/>
        <v>44282</v>
      </c>
      <c r="AJ1642" s="210">
        <f t="shared" ca="1" si="283"/>
        <v>4.1749999999999998</v>
      </c>
      <c r="AK1642" s="8">
        <f t="shared" ca="1" si="284"/>
        <v>1.0001159722222221</v>
      </c>
      <c r="AL1642" s="98">
        <f t="shared" ca="1" si="285"/>
        <v>3.9296958615615107</v>
      </c>
      <c r="AM1642" s="106">
        <f t="shared" ca="1" si="279"/>
        <v>29934.776565177192</v>
      </c>
      <c r="AN1642" s="10">
        <f t="shared" ca="1" si="280"/>
        <v>0.88823093107315287</v>
      </c>
      <c r="AO1642" s="158"/>
      <c r="AP1642" s="158"/>
      <c r="AQ1642" s="1"/>
      <c r="AR1642" s="1"/>
      <c r="AS1642" s="1"/>
      <c r="AT1642" s="1"/>
      <c r="AU1642" s="1"/>
    </row>
    <row r="1643" spans="34:47">
      <c r="AH1643" s="6">
        <f t="shared" si="281"/>
        <v>1613</v>
      </c>
      <c r="AI1643" s="7">
        <f t="shared" ca="1" si="282"/>
        <v>44283</v>
      </c>
      <c r="AJ1643" s="210">
        <f t="shared" ca="1" si="283"/>
        <v>4.1749999999999998</v>
      </c>
      <c r="AK1643" s="8">
        <f t="shared" ca="1" si="284"/>
        <v>1.0001159722222221</v>
      </c>
      <c r="AL1643" s="98">
        <f t="shared" ca="1" si="285"/>
        <v>3.9299396052395075</v>
      </c>
      <c r="AM1643" s="106">
        <f t="shared" ca="1" si="279"/>
        <v>29937.163661587943</v>
      </c>
      <c r="AN1643" s="10">
        <f t="shared" ca="1" si="280"/>
        <v>0.8885048362263559</v>
      </c>
      <c r="AO1643" s="158"/>
      <c r="AP1643" s="158"/>
      <c r="AQ1643" s="1"/>
      <c r="AR1643" s="1"/>
      <c r="AS1643" s="1"/>
      <c r="AT1643" s="1"/>
      <c r="AU1643" s="1"/>
    </row>
    <row r="1644" spans="34:47">
      <c r="AH1644" s="6">
        <f t="shared" si="281"/>
        <v>1614</v>
      </c>
      <c r="AI1644" s="7">
        <f t="shared" ca="1" si="282"/>
        <v>44284</v>
      </c>
      <c r="AJ1644" s="210">
        <f t="shared" ca="1" si="283"/>
        <v>4.1749999999999998</v>
      </c>
      <c r="AK1644" s="8">
        <f t="shared" ca="1" si="284"/>
        <v>1.0001159722222221</v>
      </c>
      <c r="AL1644" s="98">
        <f t="shared" ca="1" si="285"/>
        <v>3.9301830474513189</v>
      </c>
      <c r="AM1644" s="106">
        <f t="shared" ca="1" si="279"/>
        <v>29939.550948353521</v>
      </c>
      <c r="AN1644" s="10">
        <f t="shared" ca="1" si="280"/>
        <v>0.88877840271024411</v>
      </c>
      <c r="AO1644" s="158"/>
      <c r="AP1644" s="158"/>
      <c r="AQ1644" s="1"/>
      <c r="AR1644" s="1"/>
      <c r="AS1644" s="1"/>
      <c r="AT1644" s="1"/>
      <c r="AU1644" s="1"/>
    </row>
    <row r="1645" spans="34:47">
      <c r="AH1645" s="6">
        <f t="shared" si="281"/>
        <v>1615</v>
      </c>
      <c r="AI1645" s="7">
        <f t="shared" ca="1" si="282"/>
        <v>44285</v>
      </c>
      <c r="AJ1645" s="210">
        <f t="shared" ca="1" si="283"/>
        <v>4.1749999999999998</v>
      </c>
      <c r="AK1645" s="8">
        <f t="shared" ca="1" si="284"/>
        <v>1.0001159722222221</v>
      </c>
      <c r="AL1645" s="98">
        <f t="shared" ca="1" si="285"/>
        <v>3.9304261887558756</v>
      </c>
      <c r="AM1645" s="106">
        <f t="shared" ca="1" si="279"/>
        <v>29941.938425489112</v>
      </c>
      <c r="AN1645" s="10">
        <f t="shared" ca="1" si="280"/>
        <v>0.8890516311525154</v>
      </c>
      <c r="AO1645" s="158"/>
      <c r="AP1645" s="158"/>
      <c r="AQ1645" s="1"/>
      <c r="AR1645" s="1"/>
      <c r="AS1645" s="1"/>
      <c r="AT1645" s="1"/>
      <c r="AU1645" s="1"/>
    </row>
    <row r="1646" spans="34:47">
      <c r="AH1646" s="6">
        <f t="shared" si="281"/>
        <v>1616</v>
      </c>
      <c r="AI1646" s="7">
        <f t="shared" ca="1" si="282"/>
        <v>44286</v>
      </c>
      <c r="AJ1646" s="210">
        <f t="shared" ca="1" si="283"/>
        <v>4.1749999999999998</v>
      </c>
      <c r="AK1646" s="8">
        <f t="shared" ca="1" si="284"/>
        <v>1.0001159722222221</v>
      </c>
      <c r="AL1646" s="98">
        <f t="shared" ca="1" si="285"/>
        <v>3.9306690297107538</v>
      </c>
      <c r="AM1646" s="106">
        <f t="shared" ca="1" si="279"/>
        <v>29944.326093009891</v>
      </c>
      <c r="AN1646" s="10">
        <f t="shared" ca="1" si="280"/>
        <v>0.88932452217935776</v>
      </c>
      <c r="AO1646" s="158"/>
      <c r="AP1646" s="158"/>
      <c r="AQ1646" s="1"/>
      <c r="AR1646" s="1"/>
      <c r="AS1646" s="1"/>
      <c r="AT1646" s="1"/>
      <c r="AU1646" s="1"/>
    </row>
    <row r="1647" spans="34:47">
      <c r="AH1647" s="6">
        <f t="shared" si="281"/>
        <v>1617</v>
      </c>
      <c r="AI1647" s="7">
        <f t="shared" ca="1" si="282"/>
        <v>44287</v>
      </c>
      <c r="AJ1647" s="210">
        <f t="shared" ca="1" si="283"/>
        <v>4.1749999999999998</v>
      </c>
      <c r="AK1647" s="8">
        <f t="shared" ca="1" si="284"/>
        <v>1.0001159722222221</v>
      </c>
      <c r="AL1647" s="98">
        <f t="shared" ca="1" si="285"/>
        <v>3.9309115708721087</v>
      </c>
      <c r="AM1647" s="106">
        <f t="shared" ca="1" si="279"/>
        <v>29946.71395093104</v>
      </c>
      <c r="AN1647" s="10">
        <f t="shared" ca="1" si="280"/>
        <v>0.88959707641542707</v>
      </c>
      <c r="AO1647" s="158"/>
      <c r="AP1647" s="158"/>
      <c r="AQ1647" s="1"/>
      <c r="AR1647" s="1"/>
      <c r="AS1647" s="1"/>
      <c r="AT1647" s="1"/>
      <c r="AU1647" s="1"/>
    </row>
    <row r="1648" spans="34:47">
      <c r="AH1648" s="6">
        <f t="shared" si="281"/>
        <v>1618</v>
      </c>
      <c r="AI1648" s="7">
        <f t="shared" ca="1" si="282"/>
        <v>44288</v>
      </c>
      <c r="AJ1648" s="210">
        <f t="shared" ca="1" si="283"/>
        <v>4.1749999999999998</v>
      </c>
      <c r="AK1648" s="8">
        <f t="shared" ca="1" si="284"/>
        <v>1.0001159722222221</v>
      </c>
      <c r="AL1648" s="98">
        <f t="shared" ca="1" si="285"/>
        <v>3.9311538127947854</v>
      </c>
      <c r="AM1648" s="106">
        <f t="shared" ca="1" si="279"/>
        <v>29949.101999267743</v>
      </c>
      <c r="AN1648" s="10">
        <f t="shared" ca="1" si="280"/>
        <v>0.8898692944838027</v>
      </c>
      <c r="AO1648" s="158"/>
      <c r="AP1648" s="158"/>
      <c r="AQ1648" s="1"/>
      <c r="AR1648" s="1"/>
      <c r="AS1648" s="1"/>
      <c r="AT1648" s="1"/>
      <c r="AU1648" s="1"/>
    </row>
    <row r="1649" spans="34:47">
      <c r="AH1649" s="6">
        <f t="shared" si="281"/>
        <v>1619</v>
      </c>
      <c r="AI1649" s="7">
        <f t="shared" ca="1" si="282"/>
        <v>44289</v>
      </c>
      <c r="AJ1649" s="210">
        <f t="shared" ca="1" si="283"/>
        <v>4.1749999999999998</v>
      </c>
      <c r="AK1649" s="8">
        <f t="shared" ca="1" si="284"/>
        <v>1.0001159722222221</v>
      </c>
      <c r="AL1649" s="98">
        <f t="shared" ca="1" si="285"/>
        <v>3.9313957560322077</v>
      </c>
      <c r="AM1649" s="106">
        <f t="shared" ca="1" si="279"/>
        <v>29951.490238035192</v>
      </c>
      <c r="AN1649" s="10">
        <f t="shared" ca="1" si="280"/>
        <v>0.8901411770060319</v>
      </c>
      <c r="AO1649" s="158"/>
      <c r="AP1649" s="158"/>
      <c r="AQ1649" s="1"/>
      <c r="AR1649" s="1"/>
      <c r="AS1649" s="1"/>
      <c r="AT1649" s="1"/>
      <c r="AU1649" s="1"/>
    </row>
    <row r="1650" spans="34:47">
      <c r="AH1650" s="6">
        <f t="shared" si="281"/>
        <v>1620</v>
      </c>
      <c r="AI1650" s="7">
        <f t="shared" ca="1" si="282"/>
        <v>44290</v>
      </c>
      <c r="AJ1650" s="210">
        <f t="shared" ca="1" si="283"/>
        <v>4.1749999999999998</v>
      </c>
      <c r="AK1650" s="8">
        <f t="shared" ca="1" si="284"/>
        <v>1.0001159722222221</v>
      </c>
      <c r="AL1650" s="98">
        <f t="shared" ca="1" si="285"/>
        <v>3.9316374011364452</v>
      </c>
      <c r="AM1650" s="106">
        <f t="shared" ca="1" si="279"/>
        <v>29953.878667248555</v>
      </c>
      <c r="AN1650" s="10">
        <f t="shared" ca="1" si="280"/>
        <v>0.89041272460215204</v>
      </c>
      <c r="AO1650" s="158"/>
      <c r="AP1650" s="158"/>
      <c r="AQ1650" s="1"/>
      <c r="AR1650" s="1"/>
      <c r="AS1650" s="1"/>
      <c r="AT1650" s="1"/>
      <c r="AU1650" s="1"/>
    </row>
    <row r="1651" spans="34:47">
      <c r="AH1651" s="6">
        <f t="shared" si="281"/>
        <v>1621</v>
      </c>
      <c r="AI1651" s="7">
        <f t="shared" ca="1" si="282"/>
        <v>44291</v>
      </c>
      <c r="AJ1651" s="210">
        <f t="shared" ca="1" si="283"/>
        <v>4.1749999999999998</v>
      </c>
      <c r="AK1651" s="8">
        <f t="shared" ca="1" si="284"/>
        <v>1.0001159722222221</v>
      </c>
      <c r="AL1651" s="98">
        <f t="shared" ca="1" si="285"/>
        <v>3.9318787486582352</v>
      </c>
      <c r="AM1651" s="106">
        <f t="shared" ca="1" si="279"/>
        <v>29956.267286923037</v>
      </c>
      <c r="AN1651" s="10">
        <f t="shared" ca="1" si="280"/>
        <v>0.89068393789064615</v>
      </c>
      <c r="AO1651" s="158"/>
      <c r="AP1651" s="158"/>
      <c r="AQ1651" s="1"/>
      <c r="AR1651" s="1"/>
      <c r="AS1651" s="1"/>
      <c r="AT1651" s="1"/>
      <c r="AU1651" s="1"/>
    </row>
    <row r="1652" spans="34:47">
      <c r="AH1652" s="6">
        <f t="shared" si="281"/>
        <v>1622</v>
      </c>
      <c r="AI1652" s="7">
        <f t="shared" ca="1" si="282"/>
        <v>44292</v>
      </c>
      <c r="AJ1652" s="210">
        <f t="shared" ca="1" si="283"/>
        <v>4.1749999999999998</v>
      </c>
      <c r="AK1652" s="8">
        <f t="shared" ca="1" si="284"/>
        <v>1.0001159722222221</v>
      </c>
      <c r="AL1652" s="98">
        <f t="shared" ca="1" si="285"/>
        <v>3.9321197991469381</v>
      </c>
      <c r="AM1652" s="106">
        <f t="shared" ca="1" si="279"/>
        <v>29958.65609707381</v>
      </c>
      <c r="AN1652" s="10">
        <f t="shared" ca="1" si="280"/>
        <v>0.89095481748853178</v>
      </c>
      <c r="AO1652" s="158"/>
      <c r="AP1652" s="158"/>
      <c r="AQ1652" s="1"/>
      <c r="AR1652" s="1"/>
      <c r="AS1652" s="1"/>
      <c r="AT1652" s="1"/>
      <c r="AU1652" s="1"/>
    </row>
    <row r="1653" spans="34:47">
      <c r="AH1653" s="6">
        <f t="shared" si="281"/>
        <v>1623</v>
      </c>
      <c r="AI1653" s="7">
        <f t="shared" ca="1" si="282"/>
        <v>44293</v>
      </c>
      <c r="AJ1653" s="210">
        <f t="shared" ca="1" si="283"/>
        <v>4.1749999999999998</v>
      </c>
      <c r="AK1653" s="8">
        <f t="shared" ca="1" si="284"/>
        <v>1.0001159722222221</v>
      </c>
      <c r="AL1653" s="98">
        <f t="shared" ca="1" si="285"/>
        <v>3.9323605531505601</v>
      </c>
      <c r="AM1653" s="106">
        <f t="shared" ca="1" si="279"/>
        <v>29961.04509771608</v>
      </c>
      <c r="AN1653" s="10">
        <f t="shared" ca="1" si="280"/>
        <v>0.89122536401124997</v>
      </c>
      <c r="AO1653" s="158"/>
      <c r="AP1653" s="158"/>
      <c r="AQ1653" s="1"/>
      <c r="AR1653" s="1"/>
      <c r="AS1653" s="1"/>
      <c r="AT1653" s="1"/>
      <c r="AU1653" s="1"/>
    </row>
    <row r="1654" spans="34:47">
      <c r="AH1654" s="6">
        <f t="shared" si="281"/>
        <v>1624</v>
      </c>
      <c r="AI1654" s="7">
        <f t="shared" ca="1" si="282"/>
        <v>44294</v>
      </c>
      <c r="AJ1654" s="210">
        <f t="shared" ca="1" si="283"/>
        <v>4.1749999999999998</v>
      </c>
      <c r="AK1654" s="8">
        <f t="shared" ca="1" si="284"/>
        <v>1.0001159722222221</v>
      </c>
      <c r="AL1654" s="98">
        <f t="shared" ca="1" si="285"/>
        <v>3.932601011215775</v>
      </c>
      <c r="AM1654" s="106">
        <f t="shared" ca="1" si="279"/>
        <v>29963.434288865024</v>
      </c>
      <c r="AN1654" s="10">
        <f t="shared" ca="1" si="280"/>
        <v>0.89149557807273183</v>
      </c>
      <c r="AO1654" s="158"/>
      <c r="AP1654" s="158"/>
      <c r="AQ1654" s="1"/>
      <c r="AR1654" s="1"/>
      <c r="AS1654" s="1"/>
      <c r="AT1654" s="1"/>
      <c r="AU1654" s="1"/>
    </row>
    <row r="1655" spans="34:47">
      <c r="AH1655" s="6">
        <f t="shared" si="281"/>
        <v>1625</v>
      </c>
      <c r="AI1655" s="7">
        <f t="shared" ca="1" si="282"/>
        <v>44295</v>
      </c>
      <c r="AJ1655" s="210">
        <f t="shared" ca="1" si="283"/>
        <v>4.1749999999999998</v>
      </c>
      <c r="AK1655" s="8">
        <f t="shared" ca="1" si="284"/>
        <v>1.0001159722222221</v>
      </c>
      <c r="AL1655" s="98">
        <f t="shared" ca="1" si="285"/>
        <v>3.9328411738879021</v>
      </c>
      <c r="AM1655" s="106">
        <f t="shared" ca="1" si="279"/>
        <v>29965.823670535836</v>
      </c>
      <c r="AN1655" s="10">
        <f t="shared" ca="1" si="280"/>
        <v>0.89176546028546522</v>
      </c>
      <c r="AO1655" s="158"/>
      <c r="AP1655" s="158"/>
      <c r="AQ1655" s="1"/>
      <c r="AR1655" s="1"/>
      <c r="AS1655" s="1"/>
      <c r="AT1655" s="1"/>
      <c r="AU1655" s="1"/>
    </row>
    <row r="1656" spans="34:47">
      <c r="AH1656" s="6">
        <f t="shared" si="281"/>
        <v>1626</v>
      </c>
      <c r="AI1656" s="7">
        <f t="shared" ca="1" si="282"/>
        <v>44296</v>
      </c>
      <c r="AJ1656" s="210">
        <f t="shared" ca="1" si="283"/>
        <v>4.1749999999999998</v>
      </c>
      <c r="AK1656" s="8">
        <f t="shared" ca="1" si="284"/>
        <v>1.0001159722222221</v>
      </c>
      <c r="AL1656" s="98">
        <f t="shared" ca="1" si="285"/>
        <v>3.9330810417109063</v>
      </c>
      <c r="AM1656" s="106">
        <f t="shared" ca="1" si="279"/>
        <v>29968.29289843229</v>
      </c>
      <c r="AN1656" s="10">
        <f t="shared" ca="1" si="280"/>
        <v>0.89197481293019631</v>
      </c>
      <c r="AO1656" s="158"/>
      <c r="AP1656" s="158"/>
      <c r="AQ1656" s="1"/>
      <c r="AR1656" s="1"/>
      <c r="AS1656" s="1"/>
      <c r="AT1656" s="1"/>
      <c r="AU1656" s="1"/>
    </row>
    <row r="1657" spans="34:47">
      <c r="AH1657" s="6">
        <f t="shared" si="281"/>
        <v>1627</v>
      </c>
      <c r="AI1657" s="7">
        <f t="shared" ca="1" si="282"/>
        <v>44297</v>
      </c>
      <c r="AJ1657" s="210">
        <f t="shared" ca="1" si="283"/>
        <v>4.1749999999999998</v>
      </c>
      <c r="AK1657" s="8">
        <f t="shared" ca="1" si="284"/>
        <v>1.0001159722222221</v>
      </c>
      <c r="AL1657" s="98">
        <f t="shared" ca="1" si="285"/>
        <v>3.9333206152274647</v>
      </c>
      <c r="AM1657" s="106">
        <f t="shared" ca="1" si="279"/>
        <v>29970.762329796755</v>
      </c>
      <c r="AN1657" s="10">
        <f t="shared" ca="1" si="280"/>
        <v>0.89218390866048214</v>
      </c>
      <c r="AO1657" s="158"/>
      <c r="AP1657" s="158"/>
      <c r="AQ1657" s="1"/>
      <c r="AR1657" s="1"/>
      <c r="AS1657" s="1"/>
      <c r="AT1657" s="1"/>
      <c r="AU1657" s="1"/>
    </row>
    <row r="1658" spans="34:47">
      <c r="AH1658" s="6">
        <f t="shared" si="281"/>
        <v>1628</v>
      </c>
      <c r="AI1658" s="7">
        <f t="shared" ca="1" si="282"/>
        <v>44298</v>
      </c>
      <c r="AJ1658" s="210">
        <f t="shared" ca="1" si="283"/>
        <v>4.1749999999999998</v>
      </c>
      <c r="AK1658" s="8">
        <f t="shared" ca="1" si="284"/>
        <v>1.0001159722222221</v>
      </c>
      <c r="AL1658" s="98">
        <f t="shared" ca="1" si="285"/>
        <v>3.9335598949788775</v>
      </c>
      <c r="AM1658" s="106">
        <f t="shared" ca="1" si="279"/>
        <v>29973.231964645991</v>
      </c>
      <c r="AN1658" s="10">
        <f t="shared" ca="1" si="280"/>
        <v>0.89239274794896684</v>
      </c>
      <c r="AO1658" s="158"/>
      <c r="AP1658" s="158"/>
      <c r="AQ1658" s="1"/>
      <c r="AR1658" s="1"/>
      <c r="AS1658" s="1"/>
      <c r="AT1658" s="1"/>
      <c r="AU1658" s="1"/>
    </row>
    <row r="1659" spans="34:47">
      <c r="AH1659" s="6">
        <f t="shared" si="281"/>
        <v>1629</v>
      </c>
      <c r="AI1659" s="7">
        <f t="shared" ca="1" si="282"/>
        <v>44299</v>
      </c>
      <c r="AJ1659" s="210">
        <f t="shared" ca="1" si="283"/>
        <v>4.1749999999999998</v>
      </c>
      <c r="AK1659" s="8">
        <f t="shared" ca="1" si="284"/>
        <v>1.0001159722222221</v>
      </c>
      <c r="AL1659" s="98">
        <f t="shared" ca="1" si="285"/>
        <v>3.933798881505135</v>
      </c>
      <c r="AM1659" s="106">
        <f t="shared" ca="1" si="279"/>
        <v>29975.701802996766</v>
      </c>
      <c r="AN1659" s="10">
        <f t="shared" ca="1" si="280"/>
        <v>0.89260133126709551</v>
      </c>
      <c r="AO1659" s="158"/>
      <c r="AP1659" s="158"/>
      <c r="AQ1659" s="1"/>
      <c r="AR1659" s="1"/>
      <c r="AS1659" s="1"/>
      <c r="AT1659" s="1"/>
      <c r="AU1659" s="1"/>
    </row>
    <row r="1660" spans="34:47">
      <c r="AH1660" s="6">
        <f t="shared" si="281"/>
        <v>1630</v>
      </c>
      <c r="AI1660" s="7">
        <f t="shared" ca="1" si="282"/>
        <v>44300</v>
      </c>
      <c r="AJ1660" s="210">
        <f t="shared" ca="1" si="283"/>
        <v>4.1749999999999998</v>
      </c>
      <c r="AK1660" s="8">
        <f t="shared" ca="1" si="284"/>
        <v>1.0001159722222221</v>
      </c>
      <c r="AL1660" s="98">
        <f t="shared" ca="1" si="285"/>
        <v>3.9340375753449175</v>
      </c>
      <c r="AM1660" s="106">
        <f t="shared" ca="1" si="279"/>
        <v>29978.171844865847</v>
      </c>
      <c r="AN1660" s="10">
        <f t="shared" ca="1" si="280"/>
        <v>0.89280965908522525</v>
      </c>
      <c r="AO1660" s="158"/>
      <c r="AP1660" s="158"/>
      <c r="AQ1660" s="1"/>
      <c r="AR1660" s="1"/>
      <c r="AS1660" s="1"/>
      <c r="AT1660" s="1"/>
      <c r="AU1660" s="1"/>
    </row>
    <row r="1661" spans="34:47">
      <c r="AH1661" s="6">
        <f t="shared" si="281"/>
        <v>1631</v>
      </c>
      <c r="AI1661" s="7">
        <f t="shared" ca="1" si="282"/>
        <v>44301</v>
      </c>
      <c r="AJ1661" s="210">
        <f t="shared" ca="1" si="283"/>
        <v>4.1749999999999998</v>
      </c>
      <c r="AK1661" s="8">
        <f t="shared" ca="1" si="284"/>
        <v>1.0001159722222221</v>
      </c>
      <c r="AL1661" s="98">
        <f t="shared" ca="1" si="285"/>
        <v>3.9342759770355507</v>
      </c>
      <c r="AM1661" s="106">
        <f t="shared" ca="1" si="279"/>
        <v>29980.642090270008</v>
      </c>
      <c r="AN1661" s="10">
        <f t="shared" ca="1" si="280"/>
        <v>0.89301773187246969</v>
      </c>
      <c r="AO1661" s="158"/>
      <c r="AP1661" s="158"/>
      <c r="AQ1661" s="1"/>
      <c r="AR1661" s="1"/>
      <c r="AS1661" s="1"/>
      <c r="AT1661" s="1"/>
      <c r="AU1661" s="1"/>
    </row>
    <row r="1662" spans="34:47">
      <c r="AH1662" s="6">
        <f t="shared" si="281"/>
        <v>1632</v>
      </c>
      <c r="AI1662" s="7">
        <f t="shared" ca="1" si="282"/>
        <v>44302</v>
      </c>
      <c r="AJ1662" s="210">
        <f t="shared" ca="1" si="283"/>
        <v>4.1749999999999998</v>
      </c>
      <c r="AK1662" s="8">
        <f t="shared" ca="1" si="284"/>
        <v>1.0001159722222221</v>
      </c>
      <c r="AL1662" s="98">
        <f t="shared" ca="1" si="285"/>
        <v>3.9345140871130946</v>
      </c>
      <c r="AM1662" s="106">
        <f t="shared" ca="1" si="279"/>
        <v>29983.112539226022</v>
      </c>
      <c r="AN1662" s="10">
        <f t="shared" ca="1" si="280"/>
        <v>0.89322555009687665</v>
      </c>
      <c r="AO1662" s="158"/>
      <c r="AP1662" s="158"/>
      <c r="AQ1662" s="1"/>
      <c r="AR1662" s="1"/>
      <c r="AS1662" s="1"/>
      <c r="AT1662" s="1"/>
      <c r="AU1662" s="1"/>
    </row>
    <row r="1663" spans="34:47">
      <c r="AH1663" s="6">
        <f t="shared" si="281"/>
        <v>1633</v>
      </c>
      <c r="AI1663" s="7">
        <f t="shared" ca="1" si="282"/>
        <v>44303</v>
      </c>
      <c r="AJ1663" s="210">
        <f t="shared" ca="1" si="283"/>
        <v>4.1749999999999998</v>
      </c>
      <c r="AK1663" s="8">
        <f t="shared" ca="1" si="284"/>
        <v>1.0001159722222221</v>
      </c>
      <c r="AL1663" s="98">
        <f t="shared" ca="1" si="285"/>
        <v>3.9347519061122549</v>
      </c>
      <c r="AM1663" s="106">
        <f t="shared" ca="1" si="279"/>
        <v>29985.583191750655</v>
      </c>
      <c r="AN1663" s="10">
        <f t="shared" ca="1" si="280"/>
        <v>0.89343311422533933</v>
      </c>
      <c r="AO1663" s="158"/>
      <c r="AP1663" s="158"/>
      <c r="AQ1663" s="1"/>
      <c r="AR1663" s="1"/>
      <c r="AS1663" s="1"/>
      <c r="AT1663" s="1"/>
      <c r="AU1663" s="1"/>
    </row>
    <row r="1664" spans="34:47">
      <c r="AH1664" s="6">
        <f t="shared" si="281"/>
        <v>1634</v>
      </c>
      <c r="AI1664" s="7">
        <f t="shared" ca="1" si="282"/>
        <v>44304</v>
      </c>
      <c r="AJ1664" s="210">
        <f t="shared" ca="1" si="283"/>
        <v>4.1749999999999998</v>
      </c>
      <c r="AK1664" s="8">
        <f t="shared" ca="1" si="284"/>
        <v>1.0001159722222221</v>
      </c>
      <c r="AL1664" s="98">
        <f t="shared" ca="1" si="285"/>
        <v>3.9349894345664715</v>
      </c>
      <c r="AM1664" s="106">
        <f t="shared" ca="1" si="279"/>
        <v>29988.054047860693</v>
      </c>
      <c r="AN1664" s="10">
        <f t="shared" ca="1" si="280"/>
        <v>0.89364042472355187</v>
      </c>
      <c r="AO1664" s="158"/>
      <c r="AP1664" s="158"/>
      <c r="AQ1664" s="1"/>
      <c r="AR1664" s="1"/>
      <c r="AS1664" s="1"/>
      <c r="AT1664" s="1"/>
      <c r="AU1664" s="1"/>
    </row>
    <row r="1665" spans="34:47">
      <c r="AH1665" s="6">
        <f t="shared" si="281"/>
        <v>1635</v>
      </c>
      <c r="AI1665" s="7">
        <f t="shared" ca="1" si="282"/>
        <v>44305</v>
      </c>
      <c r="AJ1665" s="210">
        <f t="shared" ca="1" si="283"/>
        <v>4.1749999999999998</v>
      </c>
      <c r="AK1665" s="8">
        <f t="shared" ca="1" si="284"/>
        <v>1.0001159722222221</v>
      </c>
      <c r="AL1665" s="98">
        <f t="shared" ca="1" si="285"/>
        <v>3.9352266730078522</v>
      </c>
      <c r="AM1665" s="106">
        <f t="shared" ca="1" si="279"/>
        <v>29990.525107572903</v>
      </c>
      <c r="AN1665" s="10">
        <f t="shared" ca="1" si="280"/>
        <v>0.89384748205616482</v>
      </c>
      <c r="AO1665" s="158"/>
      <c r="AP1665" s="158"/>
      <c r="AQ1665" s="1"/>
      <c r="AR1665" s="1"/>
      <c r="AS1665" s="1"/>
      <c r="AT1665" s="1"/>
      <c r="AU1665" s="1"/>
    </row>
    <row r="1666" spans="34:47">
      <c r="AH1666" s="6">
        <f t="shared" si="281"/>
        <v>1636</v>
      </c>
      <c r="AI1666" s="7">
        <f t="shared" ca="1" si="282"/>
        <v>44306</v>
      </c>
      <c r="AJ1666" s="210">
        <f t="shared" ca="1" si="283"/>
        <v>4.1749999999999998</v>
      </c>
      <c r="AK1666" s="8">
        <f t="shared" ca="1" si="284"/>
        <v>1.0001159722222221</v>
      </c>
      <c r="AL1666" s="98">
        <f t="shared" ca="1" si="285"/>
        <v>3.9354636219671946</v>
      </c>
      <c r="AM1666" s="106">
        <f t="shared" ca="1" si="279"/>
        <v>29992.99637090406</v>
      </c>
      <c r="AN1666" s="10">
        <f t="shared" ca="1" si="280"/>
        <v>0.89405428668656306</v>
      </c>
      <c r="AO1666" s="158"/>
      <c r="AP1666" s="158"/>
      <c r="AQ1666" s="1"/>
      <c r="AR1666" s="1"/>
      <c r="AS1666" s="1"/>
      <c r="AT1666" s="1"/>
      <c r="AU1666" s="1"/>
    </row>
    <row r="1667" spans="34:47">
      <c r="AH1667" s="6">
        <f t="shared" si="281"/>
        <v>1637</v>
      </c>
      <c r="AI1667" s="7">
        <f t="shared" ca="1" si="282"/>
        <v>44307</v>
      </c>
      <c r="AJ1667" s="210">
        <f t="shared" ca="1" si="283"/>
        <v>4.1749999999999998</v>
      </c>
      <c r="AK1667" s="8">
        <f t="shared" ca="1" si="284"/>
        <v>1.0001159722222221</v>
      </c>
      <c r="AL1667" s="98">
        <f t="shared" ca="1" si="285"/>
        <v>3.9357002819740305</v>
      </c>
      <c r="AM1667" s="106">
        <f t="shared" ca="1" si="279"/>
        <v>29995.467837870943</v>
      </c>
      <c r="AN1667" s="10">
        <f t="shared" ca="1" si="280"/>
        <v>0.89426083907715448</v>
      </c>
      <c r="AO1667" s="158"/>
      <c r="AP1667" s="158"/>
      <c r="AQ1667" s="1"/>
      <c r="AR1667" s="1"/>
      <c r="AS1667" s="1"/>
      <c r="AT1667" s="1"/>
      <c r="AU1667" s="1"/>
    </row>
    <row r="1668" spans="34:47">
      <c r="AH1668" s="6">
        <f t="shared" si="281"/>
        <v>1638</v>
      </c>
      <c r="AI1668" s="7">
        <f t="shared" ca="1" si="282"/>
        <v>44308</v>
      </c>
      <c r="AJ1668" s="210">
        <f t="shared" ca="1" si="283"/>
        <v>4.1749999999999998</v>
      </c>
      <c r="AK1668" s="8">
        <f t="shared" ca="1" si="284"/>
        <v>1.0001159722222221</v>
      </c>
      <c r="AL1668" s="98">
        <f t="shared" ca="1" si="285"/>
        <v>3.9359366535566043</v>
      </c>
      <c r="AM1668" s="106">
        <f t="shared" ca="1" si="279"/>
        <v>29997.939508490344</v>
      </c>
      <c r="AN1668" s="10">
        <f t="shared" ca="1" si="280"/>
        <v>0.89446713968908131</v>
      </c>
      <c r="AO1668" s="158"/>
      <c r="AP1668" s="158"/>
      <c r="AQ1668" s="1"/>
      <c r="AR1668" s="1"/>
      <c r="AS1668" s="1"/>
      <c r="AT1668" s="1"/>
      <c r="AU1668" s="1"/>
    </row>
    <row r="1669" spans="34:47">
      <c r="AH1669" s="6">
        <f t="shared" si="281"/>
        <v>1639</v>
      </c>
      <c r="AI1669" s="7">
        <f t="shared" ca="1" si="282"/>
        <v>44309</v>
      </c>
      <c r="AJ1669" s="210">
        <f t="shared" ca="1" si="283"/>
        <v>4.1749999999999998</v>
      </c>
      <c r="AK1669" s="8">
        <f t="shared" ca="1" si="284"/>
        <v>1.0001159722222221</v>
      </c>
      <c r="AL1669" s="98">
        <f t="shared" ca="1" si="285"/>
        <v>3.9361727372418498</v>
      </c>
      <c r="AM1669" s="106">
        <f t="shared" ca="1" si="279"/>
        <v>30000.411382779032</v>
      </c>
      <c r="AN1669" s="10">
        <f t="shared" ca="1" si="280"/>
        <v>0.8946731889824644</v>
      </c>
      <c r="AO1669" s="158"/>
      <c r="AP1669" s="158"/>
      <c r="AQ1669" s="1"/>
      <c r="AR1669" s="1"/>
      <c r="AS1669" s="1"/>
      <c r="AT1669" s="1"/>
      <c r="AU1669" s="1"/>
    </row>
    <row r="1670" spans="34:47">
      <c r="AH1670" s="6">
        <f t="shared" si="281"/>
        <v>1640</v>
      </c>
      <c r="AI1670" s="7">
        <f t="shared" ca="1" si="282"/>
        <v>44310</v>
      </c>
      <c r="AJ1670" s="210">
        <f t="shared" ca="1" si="283"/>
        <v>4.1749999999999998</v>
      </c>
      <c r="AK1670" s="8">
        <f t="shared" ca="1" si="284"/>
        <v>1.0001159722222221</v>
      </c>
      <c r="AL1670" s="98">
        <f t="shared" ca="1" si="285"/>
        <v>3.9364085335554355</v>
      </c>
      <c r="AM1670" s="106">
        <f t="shared" ca="1" si="279"/>
        <v>30002.883460753794</v>
      </c>
      <c r="AN1670" s="10">
        <f t="shared" ca="1" si="280"/>
        <v>0.89487898741626992</v>
      </c>
      <c r="AO1670" s="158"/>
      <c r="AP1670" s="158"/>
      <c r="AQ1670" s="1"/>
      <c r="AR1670" s="1"/>
      <c r="AS1670" s="1"/>
      <c r="AT1670" s="1"/>
      <c r="AU1670" s="1"/>
    </row>
    <row r="1671" spans="34:47">
      <c r="AH1671" s="6">
        <f t="shared" si="281"/>
        <v>1641</v>
      </c>
      <c r="AI1671" s="7">
        <f t="shared" ca="1" si="282"/>
        <v>44311</v>
      </c>
      <c r="AJ1671" s="210">
        <f t="shared" ca="1" si="283"/>
        <v>4.1749999999999998</v>
      </c>
      <c r="AK1671" s="8">
        <f t="shared" ca="1" si="284"/>
        <v>1.0001159722222221</v>
      </c>
      <c r="AL1671" s="98">
        <f t="shared" ca="1" si="285"/>
        <v>3.936644043021742</v>
      </c>
      <c r="AM1671" s="106">
        <f t="shared" ca="1" si="279"/>
        <v>30005.355742431413</v>
      </c>
      <c r="AN1671" s="10">
        <f t="shared" ca="1" si="280"/>
        <v>0.89508453544830946</v>
      </c>
      <c r="AO1671" s="158"/>
      <c r="AP1671" s="158"/>
      <c r="AQ1671" s="1"/>
      <c r="AR1671" s="1"/>
      <c r="AS1671" s="1"/>
      <c r="AT1671" s="1"/>
      <c r="AU1671" s="1"/>
    </row>
    <row r="1672" spans="34:47">
      <c r="AH1672" s="6">
        <f t="shared" si="281"/>
        <v>1642</v>
      </c>
      <c r="AI1672" s="7">
        <f t="shared" ca="1" si="282"/>
        <v>44312</v>
      </c>
      <c r="AJ1672" s="210">
        <f t="shared" ca="1" si="283"/>
        <v>4.1749999999999998</v>
      </c>
      <c r="AK1672" s="8">
        <f t="shared" ca="1" si="284"/>
        <v>1.0001159722222221</v>
      </c>
      <c r="AL1672" s="98">
        <f t="shared" ca="1" si="285"/>
        <v>3.9368792661638619</v>
      </c>
      <c r="AM1672" s="106">
        <f t="shared" ca="1" si="279"/>
        <v>30007.828227828672</v>
      </c>
      <c r="AN1672" s="10">
        <f t="shared" ca="1" si="280"/>
        <v>0.89528983353530656</v>
      </c>
      <c r="AO1672" s="158"/>
      <c r="AP1672" s="158"/>
      <c r="AQ1672" s="1"/>
      <c r="AR1672" s="1"/>
      <c r="AS1672" s="1"/>
      <c r="AT1672" s="1"/>
      <c r="AU1672" s="1"/>
    </row>
    <row r="1673" spans="34:47">
      <c r="AH1673" s="6">
        <f t="shared" si="281"/>
        <v>1643</v>
      </c>
      <c r="AI1673" s="7">
        <f t="shared" ca="1" si="282"/>
        <v>44313</v>
      </c>
      <c r="AJ1673" s="210">
        <f t="shared" ca="1" si="283"/>
        <v>4.1749999999999998</v>
      </c>
      <c r="AK1673" s="8">
        <f t="shared" ca="1" si="284"/>
        <v>1.0001159722222221</v>
      </c>
      <c r="AL1673" s="98">
        <f t="shared" ca="1" si="285"/>
        <v>3.9371142035036444</v>
      </c>
      <c r="AM1673" s="106">
        <f t="shared" ca="1" si="279"/>
        <v>30010.300916962362</v>
      </c>
      <c r="AN1673" s="10">
        <f t="shared" ca="1" si="280"/>
        <v>0.89549488213291895</v>
      </c>
      <c r="AO1673" s="158"/>
      <c r="AP1673" s="158"/>
      <c r="AQ1673" s="1"/>
      <c r="AR1673" s="1"/>
      <c r="AS1673" s="1"/>
      <c r="AT1673" s="1"/>
      <c r="AU1673" s="1"/>
    </row>
    <row r="1674" spans="34:47">
      <c r="AH1674" s="6">
        <f t="shared" si="281"/>
        <v>1644</v>
      </c>
      <c r="AI1674" s="7">
        <f t="shared" ca="1" si="282"/>
        <v>44314</v>
      </c>
      <c r="AJ1674" s="210">
        <f t="shared" ca="1" si="283"/>
        <v>4.1749999999999998</v>
      </c>
      <c r="AK1674" s="8">
        <f t="shared" ca="1" si="284"/>
        <v>1.0001159722222221</v>
      </c>
      <c r="AL1674" s="98">
        <f t="shared" ca="1" si="285"/>
        <v>3.9373488555616509</v>
      </c>
      <c r="AM1674" s="106">
        <f t="shared" ca="1" si="279"/>
        <v>30012.77380984927</v>
      </c>
      <c r="AN1674" s="10">
        <f t="shared" ca="1" si="280"/>
        <v>0.89569968169562753</v>
      </c>
      <c r="AO1674" s="158"/>
      <c r="AP1674" s="158"/>
      <c r="AQ1674" s="1"/>
      <c r="AR1674" s="1"/>
      <c r="AS1674" s="1"/>
      <c r="AT1674" s="1"/>
      <c r="AU1674" s="1"/>
    </row>
    <row r="1675" spans="34:47">
      <c r="AH1675" s="6">
        <f t="shared" si="281"/>
        <v>1645</v>
      </c>
      <c r="AI1675" s="7">
        <f t="shared" ca="1" si="282"/>
        <v>44315</v>
      </c>
      <c r="AJ1675" s="210">
        <f t="shared" ca="1" si="283"/>
        <v>4.1749999999999998</v>
      </c>
      <c r="AK1675" s="8">
        <f t="shared" ca="1" si="284"/>
        <v>1.0001159722222221</v>
      </c>
      <c r="AL1675" s="98">
        <f t="shared" ca="1" si="285"/>
        <v>3.9375832228571994</v>
      </c>
      <c r="AM1675" s="106">
        <f t="shared" ca="1" si="279"/>
        <v>30015.246906506185</v>
      </c>
      <c r="AN1675" s="10">
        <f t="shared" ca="1" si="280"/>
        <v>0.89590423267686958</v>
      </c>
      <c r="AO1675" s="158"/>
      <c r="AP1675" s="158"/>
      <c r="AQ1675" s="1"/>
      <c r="AR1675" s="1"/>
      <c r="AS1675" s="1"/>
      <c r="AT1675" s="1"/>
      <c r="AU1675" s="1"/>
    </row>
    <row r="1676" spans="34:47">
      <c r="AH1676" s="6">
        <f t="shared" si="281"/>
        <v>1646</v>
      </c>
      <c r="AI1676" s="7">
        <f t="shared" ca="1" si="282"/>
        <v>44316</v>
      </c>
      <c r="AJ1676" s="210">
        <f t="shared" ca="1" si="283"/>
        <v>4.1749999999999998</v>
      </c>
      <c r="AK1676" s="8">
        <f t="shared" ca="1" si="284"/>
        <v>1.0001159722222221</v>
      </c>
      <c r="AL1676" s="98">
        <f t="shared" ca="1" si="285"/>
        <v>3.9378173059083421</v>
      </c>
      <c r="AM1676" s="106">
        <f t="shared" ca="1" si="279"/>
        <v>30017.720206949896</v>
      </c>
      <c r="AN1676" s="10">
        <f t="shared" ca="1" si="280"/>
        <v>0.89610853552892777</v>
      </c>
      <c r="AO1676" s="158"/>
      <c r="AP1676" s="158"/>
      <c r="AQ1676" s="1"/>
      <c r="AR1676" s="1"/>
      <c r="AS1676" s="1"/>
      <c r="AT1676" s="1"/>
      <c r="AU1676" s="1"/>
    </row>
    <row r="1677" spans="34:47">
      <c r="AH1677" s="6">
        <f t="shared" si="281"/>
        <v>1647</v>
      </c>
      <c r="AI1677" s="7">
        <f t="shared" ca="1" si="282"/>
        <v>44317</v>
      </c>
      <c r="AJ1677" s="210">
        <f t="shared" ca="1" si="283"/>
        <v>4.1749999999999998</v>
      </c>
      <c r="AK1677" s="8">
        <f t="shared" ca="1" si="284"/>
        <v>1.0001159722222221</v>
      </c>
      <c r="AL1677" s="98">
        <f t="shared" ca="1" si="285"/>
        <v>3.9380511052318434</v>
      </c>
      <c r="AM1677" s="106">
        <f t="shared" ca="1" si="279"/>
        <v>30020.1937111972</v>
      </c>
      <c r="AN1677" s="10">
        <f t="shared" ca="1" si="280"/>
        <v>0.89631259070304115</v>
      </c>
      <c r="AO1677" s="158"/>
      <c r="AP1677" s="158"/>
      <c r="AQ1677" s="1"/>
      <c r="AR1677" s="1"/>
      <c r="AS1677" s="1"/>
      <c r="AT1677" s="1"/>
      <c r="AU1677" s="1"/>
    </row>
    <row r="1678" spans="34:47">
      <c r="AH1678" s="6">
        <f t="shared" si="281"/>
        <v>1648</v>
      </c>
      <c r="AI1678" s="7">
        <f t="shared" ca="1" si="282"/>
        <v>44318</v>
      </c>
      <c r="AJ1678" s="210">
        <f t="shared" ca="1" si="283"/>
        <v>4.1749999999999998</v>
      </c>
      <c r="AK1678" s="8">
        <f t="shared" ca="1" si="284"/>
        <v>1.0001159722222221</v>
      </c>
      <c r="AL1678" s="98">
        <f t="shared" ca="1" si="285"/>
        <v>3.9382846213432687</v>
      </c>
      <c r="AM1678" s="106">
        <f t="shared" ca="1" si="279"/>
        <v>30022.667419264886</v>
      </c>
      <c r="AN1678" s="10">
        <f t="shared" ca="1" si="280"/>
        <v>0.89651639864931632</v>
      </c>
      <c r="AO1678" s="158"/>
      <c r="AP1678" s="158"/>
      <c r="AQ1678" s="1"/>
      <c r="AR1678" s="1"/>
      <c r="AS1678" s="1"/>
      <c r="AT1678" s="1"/>
      <c r="AU1678" s="1"/>
    </row>
    <row r="1679" spans="34:47">
      <c r="AH1679" s="6">
        <f t="shared" si="281"/>
        <v>1649</v>
      </c>
      <c r="AI1679" s="7">
        <f t="shared" ca="1" si="282"/>
        <v>44319</v>
      </c>
      <c r="AJ1679" s="210">
        <f t="shared" ca="1" si="283"/>
        <v>4.1749999999999998</v>
      </c>
      <c r="AK1679" s="8">
        <f t="shared" ca="1" si="284"/>
        <v>1.0001159722222221</v>
      </c>
      <c r="AL1679" s="98">
        <f t="shared" ca="1" si="285"/>
        <v>3.9385178547568955</v>
      </c>
      <c r="AM1679" s="106">
        <f t="shared" ca="1" si="279"/>
        <v>30025.141331169754</v>
      </c>
      <c r="AN1679" s="10">
        <f t="shared" ca="1" si="280"/>
        <v>0.89671995981677188</v>
      </c>
      <c r="AO1679" s="158"/>
      <c r="AP1679" s="158"/>
      <c r="AQ1679" s="1"/>
      <c r="AR1679" s="1"/>
      <c r="AS1679" s="1"/>
      <c r="AT1679" s="1"/>
      <c r="AU1679" s="1"/>
    </row>
    <row r="1680" spans="34:47">
      <c r="AH1680" s="6">
        <f t="shared" si="281"/>
        <v>1650</v>
      </c>
      <c r="AI1680" s="7">
        <f t="shared" ca="1" si="282"/>
        <v>44320</v>
      </c>
      <c r="AJ1680" s="210">
        <f t="shared" ca="1" si="283"/>
        <v>4.1749999999999998</v>
      </c>
      <c r="AK1680" s="8">
        <f t="shared" ca="1" si="284"/>
        <v>1.0001159722222221</v>
      </c>
      <c r="AL1680" s="98">
        <f t="shared" ca="1" si="285"/>
        <v>3.9387508059857579</v>
      </c>
      <c r="AM1680" s="106">
        <f t="shared" ca="1" si="279"/>
        <v>30027.615446928594</v>
      </c>
      <c r="AN1680" s="10">
        <f t="shared" ca="1" si="280"/>
        <v>0.89692327465336064</v>
      </c>
      <c r="AO1680" s="158"/>
      <c r="AP1680" s="158"/>
      <c r="AQ1680" s="1"/>
      <c r="AR1680" s="1"/>
      <c r="AS1680" s="1"/>
      <c r="AT1680" s="1"/>
      <c r="AU1680" s="1"/>
    </row>
    <row r="1681" spans="34:47">
      <c r="AH1681" s="6">
        <f t="shared" si="281"/>
        <v>1651</v>
      </c>
      <c r="AI1681" s="7">
        <f t="shared" ca="1" si="282"/>
        <v>44321</v>
      </c>
      <c r="AJ1681" s="210">
        <f t="shared" ca="1" si="283"/>
        <v>4.1749999999999998</v>
      </c>
      <c r="AK1681" s="8">
        <f t="shared" ca="1" si="284"/>
        <v>1.0001159722222221</v>
      </c>
      <c r="AL1681" s="98">
        <f t="shared" ca="1" si="285"/>
        <v>3.9389834755416908</v>
      </c>
      <c r="AM1681" s="106">
        <f t="shared" ca="1" si="279"/>
        <v>30030.089766558209</v>
      </c>
      <c r="AN1681" s="10">
        <f t="shared" ca="1" si="280"/>
        <v>0.89712634360594734</v>
      </c>
      <c r="AO1681" s="158"/>
      <c r="AP1681" s="158"/>
      <c r="AQ1681" s="1"/>
      <c r="AR1681" s="1"/>
      <c r="AS1681" s="1"/>
      <c r="AT1681" s="1"/>
      <c r="AU1681" s="1"/>
    </row>
    <row r="1682" spans="34:47">
      <c r="AH1682" s="6">
        <f t="shared" si="281"/>
        <v>1652</v>
      </c>
      <c r="AI1682" s="7">
        <f t="shared" ca="1" si="282"/>
        <v>44322</v>
      </c>
      <c r="AJ1682" s="210">
        <f t="shared" ca="1" si="283"/>
        <v>4.1749999999999998</v>
      </c>
      <c r="AK1682" s="8">
        <f t="shared" ca="1" si="284"/>
        <v>1.0001159722222221</v>
      </c>
      <c r="AL1682" s="98">
        <f t="shared" ca="1" si="285"/>
        <v>3.9392158639352415</v>
      </c>
      <c r="AM1682" s="106">
        <f t="shared" ca="1" si="279"/>
        <v>30032.564290075399</v>
      </c>
      <c r="AN1682" s="10">
        <f t="shared" ca="1" si="280"/>
        <v>0.89732916712033095</v>
      </c>
      <c r="AO1682" s="158"/>
      <c r="AP1682" s="158"/>
      <c r="AQ1682" s="1"/>
      <c r="AR1682" s="1"/>
      <c r="AS1682" s="1"/>
      <c r="AT1682" s="1"/>
      <c r="AU1682" s="1"/>
    </row>
    <row r="1683" spans="34:47">
      <c r="AH1683" s="6">
        <f t="shared" si="281"/>
        <v>1653</v>
      </c>
      <c r="AI1683" s="7">
        <f t="shared" ca="1" si="282"/>
        <v>44323</v>
      </c>
      <c r="AJ1683" s="210">
        <f t="shared" ca="1" si="283"/>
        <v>4.1749999999999998</v>
      </c>
      <c r="AK1683" s="8">
        <f t="shared" ca="1" si="284"/>
        <v>1.0001159722222221</v>
      </c>
      <c r="AL1683" s="98">
        <f t="shared" ca="1" si="285"/>
        <v>3.9394479716757358</v>
      </c>
      <c r="AM1683" s="106">
        <f t="shared" ca="1" si="279"/>
        <v>30035.039017496958</v>
      </c>
      <c r="AN1683" s="10">
        <f t="shared" ca="1" si="280"/>
        <v>0.89753174564115579</v>
      </c>
      <c r="AO1683" s="158"/>
      <c r="AP1683" s="158"/>
      <c r="AQ1683" s="1"/>
      <c r="AR1683" s="1"/>
      <c r="AS1683" s="1"/>
      <c r="AT1683" s="1"/>
      <c r="AU1683" s="1"/>
    </row>
    <row r="1684" spans="34:47">
      <c r="AH1684" s="6">
        <f t="shared" si="281"/>
        <v>1654</v>
      </c>
      <c r="AI1684" s="7">
        <f t="shared" ca="1" si="282"/>
        <v>44324</v>
      </c>
      <c r="AJ1684" s="210">
        <f t="shared" ca="1" si="283"/>
        <v>4.1749999999999998</v>
      </c>
      <c r="AK1684" s="8">
        <f t="shared" ca="1" si="284"/>
        <v>1.0001159722222221</v>
      </c>
      <c r="AL1684" s="98">
        <f t="shared" ca="1" si="285"/>
        <v>3.9396797992713006</v>
      </c>
      <c r="AM1684" s="106">
        <f t="shared" ca="1" si="279"/>
        <v>30037.5139488397</v>
      </c>
      <c r="AN1684" s="10">
        <f t="shared" ca="1" si="280"/>
        <v>0.89773407961208918</v>
      </c>
      <c r="AO1684" s="158"/>
      <c r="AP1684" s="158"/>
      <c r="AQ1684" s="1"/>
      <c r="AR1684" s="1"/>
      <c r="AS1684" s="1"/>
      <c r="AT1684" s="1"/>
      <c r="AU1684" s="1"/>
    </row>
    <row r="1685" spans="34:47">
      <c r="AH1685" s="6">
        <f t="shared" si="281"/>
        <v>1655</v>
      </c>
      <c r="AI1685" s="7">
        <f t="shared" ca="1" si="282"/>
        <v>44325</v>
      </c>
      <c r="AJ1685" s="210">
        <f t="shared" ca="1" si="283"/>
        <v>4.1749999999999998</v>
      </c>
      <c r="AK1685" s="8">
        <f t="shared" ca="1" si="284"/>
        <v>1.0001159722222221</v>
      </c>
      <c r="AL1685" s="98">
        <f t="shared" ca="1" si="285"/>
        <v>3.9399113472287972</v>
      </c>
      <c r="AM1685" s="106">
        <f t="shared" ca="1" si="279"/>
        <v>30039.989084120411</v>
      </c>
      <c r="AN1685" s="10">
        <f t="shared" ca="1" si="280"/>
        <v>0.89793616947571042</v>
      </c>
      <c r="AO1685" s="158"/>
      <c r="AP1685" s="158"/>
      <c r="AQ1685" s="1"/>
      <c r="AR1685" s="1"/>
      <c r="AS1685" s="1"/>
      <c r="AT1685" s="1"/>
      <c r="AU1685" s="1"/>
    </row>
    <row r="1686" spans="34:47">
      <c r="AH1686" s="6">
        <f t="shared" si="281"/>
        <v>1656</v>
      </c>
      <c r="AI1686" s="7">
        <f t="shared" ca="1" si="282"/>
        <v>44326</v>
      </c>
      <c r="AJ1686" s="210">
        <f t="shared" ca="1" si="283"/>
        <v>4.1749999999999998</v>
      </c>
      <c r="AK1686" s="8">
        <f t="shared" ca="1" si="284"/>
        <v>1.0001159722222221</v>
      </c>
      <c r="AL1686" s="98">
        <f t="shared" ca="1" si="285"/>
        <v>3.9401426160538877</v>
      </c>
      <c r="AM1686" s="106">
        <f t="shared" ca="1" si="279"/>
        <v>30042.384570519502</v>
      </c>
      <c r="AN1686" s="10">
        <f t="shared" ca="1" si="280"/>
        <v>0.89819712706451504</v>
      </c>
      <c r="AO1686" s="158"/>
      <c r="AP1686" s="158"/>
      <c r="AQ1686" s="1"/>
      <c r="AR1686" s="1"/>
      <c r="AS1686" s="1"/>
      <c r="AT1686" s="1"/>
      <c r="AU1686" s="1"/>
    </row>
    <row r="1687" spans="34:47">
      <c r="AH1687" s="6">
        <f t="shared" si="281"/>
        <v>1657</v>
      </c>
      <c r="AI1687" s="7">
        <f t="shared" ca="1" si="282"/>
        <v>44327</v>
      </c>
      <c r="AJ1687" s="210">
        <f t="shared" ca="1" si="283"/>
        <v>4.1749999999999998</v>
      </c>
      <c r="AK1687" s="8">
        <f t="shared" ca="1" si="284"/>
        <v>1.0001159722222221</v>
      </c>
      <c r="AL1687" s="98">
        <f t="shared" ca="1" si="285"/>
        <v>3.9403736062510131</v>
      </c>
      <c r="AM1687" s="106">
        <f t="shared" ca="1" si="279"/>
        <v>30044.780247942468</v>
      </c>
      <c r="AN1687" s="10">
        <f t="shared" ca="1" si="280"/>
        <v>0.89845777035109098</v>
      </c>
      <c r="AO1687" s="158"/>
      <c r="AP1687" s="158"/>
      <c r="AQ1687" s="1"/>
      <c r="AR1687" s="1"/>
      <c r="AS1687" s="1"/>
      <c r="AT1687" s="1"/>
      <c r="AU1687" s="1"/>
    </row>
    <row r="1688" spans="34:47">
      <c r="AH1688" s="6">
        <f t="shared" si="281"/>
        <v>1658</v>
      </c>
      <c r="AI1688" s="7">
        <f t="shared" ca="1" si="282"/>
        <v>44328</v>
      </c>
      <c r="AJ1688" s="210">
        <f t="shared" ca="1" si="283"/>
        <v>4.1749999999999998</v>
      </c>
      <c r="AK1688" s="8">
        <f t="shared" ca="1" si="284"/>
        <v>1.0001159722222221</v>
      </c>
      <c r="AL1688" s="98">
        <f t="shared" ca="1" si="285"/>
        <v>3.9406043183234152</v>
      </c>
      <c r="AM1688" s="106">
        <f t="shared" ca="1" si="279"/>
        <v>30047.176116404542</v>
      </c>
      <c r="AN1688" s="10">
        <f t="shared" ca="1" si="280"/>
        <v>0.89871809990287321</v>
      </c>
      <c r="AO1688" s="158"/>
      <c r="AP1688" s="158"/>
      <c r="AQ1688" s="1"/>
      <c r="AR1688" s="1"/>
      <c r="AS1688" s="1"/>
      <c r="AT1688" s="1"/>
      <c r="AU1688" s="1"/>
    </row>
    <row r="1689" spans="34:47">
      <c r="AH1689" s="6">
        <f t="shared" si="281"/>
        <v>1659</v>
      </c>
      <c r="AI1689" s="7">
        <f t="shared" ca="1" si="282"/>
        <v>44329</v>
      </c>
      <c r="AJ1689" s="210">
        <f t="shared" ca="1" si="283"/>
        <v>4.1749999999999998</v>
      </c>
      <c r="AK1689" s="8">
        <f t="shared" ca="1" si="284"/>
        <v>1.0001159722222221</v>
      </c>
      <c r="AL1689" s="98">
        <f t="shared" ca="1" si="285"/>
        <v>3.9408347527730703</v>
      </c>
      <c r="AM1689" s="106">
        <f t="shared" ca="1" si="279"/>
        <v>30049.572175920955</v>
      </c>
      <c r="AN1689" s="10">
        <f t="shared" ca="1" si="280"/>
        <v>0.89897811628600888</v>
      </c>
      <c r="AO1689" s="158"/>
      <c r="AP1689" s="158"/>
      <c r="AQ1689" s="1"/>
      <c r="AR1689" s="1"/>
      <c r="AS1689" s="1"/>
      <c r="AT1689" s="1"/>
      <c r="AU1689" s="1"/>
    </row>
    <row r="1690" spans="34:47">
      <c r="AH1690" s="6">
        <f t="shared" si="281"/>
        <v>1660</v>
      </c>
      <c r="AI1690" s="7">
        <f t="shared" ca="1" si="282"/>
        <v>44330</v>
      </c>
      <c r="AJ1690" s="210">
        <f t="shared" ca="1" si="283"/>
        <v>4.1749999999999998</v>
      </c>
      <c r="AK1690" s="8">
        <f t="shared" ca="1" si="284"/>
        <v>1.0001159722222221</v>
      </c>
      <c r="AL1690" s="98">
        <f t="shared" ca="1" si="285"/>
        <v>3.9410649101008222</v>
      </c>
      <c r="AM1690" s="106">
        <f t="shared" ca="1" si="279"/>
        <v>30051.968426506945</v>
      </c>
      <c r="AN1690" s="10">
        <f t="shared" ca="1" si="280"/>
        <v>0.89923782006524622</v>
      </c>
      <c r="AO1690" s="158"/>
      <c r="AP1690" s="158"/>
      <c r="AQ1690" s="1"/>
      <c r="AR1690" s="1"/>
      <c r="AS1690" s="1"/>
      <c r="AT1690" s="1"/>
      <c r="AU1690" s="1"/>
    </row>
    <row r="1691" spans="34:47">
      <c r="AH1691" s="6">
        <f t="shared" si="281"/>
        <v>1661</v>
      </c>
      <c r="AI1691" s="7">
        <f t="shared" ca="1" si="282"/>
        <v>44331</v>
      </c>
      <c r="AJ1691" s="210">
        <f t="shared" ca="1" si="283"/>
        <v>4.1749999999999998</v>
      </c>
      <c r="AK1691" s="8">
        <f t="shared" ca="1" si="284"/>
        <v>1.0001159722222221</v>
      </c>
      <c r="AL1691" s="98">
        <f t="shared" ca="1" si="285"/>
        <v>3.941294790806249</v>
      </c>
      <c r="AM1691" s="106">
        <f t="shared" ca="1" si="279"/>
        <v>30054.364868177745</v>
      </c>
      <c r="AN1691" s="10">
        <f t="shared" ca="1" si="280"/>
        <v>0.89949721180397901</v>
      </c>
      <c r="AO1691" s="158"/>
      <c r="AP1691" s="158"/>
      <c r="AQ1691" s="1"/>
      <c r="AR1691" s="1"/>
      <c r="AS1691" s="1"/>
      <c r="AT1691" s="1"/>
      <c r="AU1691" s="1"/>
    </row>
    <row r="1692" spans="34:47">
      <c r="AH1692" s="6">
        <f t="shared" si="281"/>
        <v>1662</v>
      </c>
      <c r="AI1692" s="7">
        <f t="shared" ca="1" si="282"/>
        <v>44332</v>
      </c>
      <c r="AJ1692" s="210">
        <f t="shared" ca="1" si="283"/>
        <v>4.1749999999999998</v>
      </c>
      <c r="AK1692" s="8">
        <f t="shared" ca="1" si="284"/>
        <v>1.0001159722222221</v>
      </c>
      <c r="AL1692" s="98">
        <f t="shared" ca="1" si="285"/>
        <v>3.9415243953877521</v>
      </c>
      <c r="AM1692" s="106">
        <f t="shared" ca="1" si="279"/>
        <v>30056.7615009486</v>
      </c>
      <c r="AN1692" s="10">
        <f t="shared" ca="1" si="280"/>
        <v>0.89975629206426877</v>
      </c>
      <c r="AO1692" s="158"/>
      <c r="AP1692" s="158"/>
      <c r="AQ1692" s="1"/>
      <c r="AR1692" s="1"/>
      <c r="AS1692" s="1"/>
      <c r="AT1692" s="1"/>
      <c r="AU1692" s="1"/>
    </row>
    <row r="1693" spans="34:47">
      <c r="AH1693" s="6">
        <f t="shared" si="281"/>
        <v>1663</v>
      </c>
      <c r="AI1693" s="7">
        <f t="shared" ca="1" si="282"/>
        <v>44333</v>
      </c>
      <c r="AJ1693" s="210">
        <f t="shared" ca="1" si="283"/>
        <v>4.1749999999999998</v>
      </c>
      <c r="AK1693" s="8">
        <f t="shared" ca="1" si="284"/>
        <v>1.0001159722222221</v>
      </c>
      <c r="AL1693" s="98">
        <f t="shared" ca="1" si="285"/>
        <v>3.941753724342556</v>
      </c>
      <c r="AM1693" s="106">
        <f t="shared" ca="1" si="279"/>
        <v>30059.158324834738</v>
      </c>
      <c r="AN1693" s="10">
        <f t="shared" ca="1" si="280"/>
        <v>0.90001506140682253</v>
      </c>
      <c r="AO1693" s="158"/>
      <c r="AP1693" s="158"/>
      <c r="AQ1693" s="1"/>
      <c r="AR1693" s="1"/>
      <c r="AS1693" s="1"/>
      <c r="AT1693" s="1"/>
      <c r="AU1693" s="1"/>
    </row>
    <row r="1694" spans="34:47">
      <c r="AH1694" s="6">
        <f t="shared" si="281"/>
        <v>1664</v>
      </c>
      <c r="AI1694" s="7">
        <f t="shared" ca="1" si="282"/>
        <v>44334</v>
      </c>
      <c r="AJ1694" s="210">
        <f t="shared" ca="1" si="283"/>
        <v>4.1749999999999998</v>
      </c>
      <c r="AK1694" s="8">
        <f t="shared" ca="1" si="284"/>
        <v>1.0001159722222221</v>
      </c>
      <c r="AL1694" s="98">
        <f t="shared" ca="1" si="285"/>
        <v>3.9419827781666417</v>
      </c>
      <c r="AM1694" s="106">
        <f t="shared" ca="1" si="279"/>
        <v>30061.555339851413</v>
      </c>
      <c r="AN1694" s="10">
        <f t="shared" ca="1" si="280"/>
        <v>0.90027352039094843</v>
      </c>
      <c r="AO1694" s="158"/>
      <c r="AP1694" s="158"/>
      <c r="AQ1694" s="1"/>
      <c r="AR1694" s="1"/>
      <c r="AS1694" s="1"/>
      <c r="AT1694" s="1"/>
      <c r="AU1694" s="1"/>
    </row>
    <row r="1695" spans="34:47">
      <c r="AH1695" s="6">
        <f t="shared" si="281"/>
        <v>1665</v>
      </c>
      <c r="AI1695" s="7">
        <f t="shared" ca="1" si="282"/>
        <v>44335</v>
      </c>
      <c r="AJ1695" s="210">
        <f t="shared" ca="1" si="283"/>
        <v>4.1749999999999998</v>
      </c>
      <c r="AK1695" s="8">
        <f t="shared" ca="1" si="284"/>
        <v>1.0001159722222221</v>
      </c>
      <c r="AL1695" s="98">
        <f t="shared" ca="1" si="285"/>
        <v>3.9422115573548577</v>
      </c>
      <c r="AM1695" s="106">
        <f t="shared" ref="AM1695:AM1758" ca="1" si="286">Geom_Interp(AI1695,$AZ$2:$AZ$109,$BA$2:$BA$109)</f>
        <v>30063.952546013854</v>
      </c>
      <c r="AN1695" s="10">
        <f t="shared" ref="AN1695:AN1758" ca="1" si="287">100*(((1+AL1695/100)^(AH1695/365)*$AM$29/AM1695)^(365/AH1695)-1)</f>
        <v>0.9005316695747112</v>
      </c>
      <c r="AO1695" s="158"/>
      <c r="AP1695" s="158"/>
      <c r="AQ1695" s="1"/>
      <c r="AR1695" s="1"/>
      <c r="AS1695" s="1"/>
      <c r="AT1695" s="1"/>
      <c r="AU1695" s="1"/>
    </row>
    <row r="1696" spans="34:47">
      <c r="AH1696" s="6">
        <f t="shared" ref="AH1696:AH1759" si="288">$AI$29+AH1695</f>
        <v>1666</v>
      </c>
      <c r="AI1696" s="7">
        <f t="shared" ref="AI1696:AI1759" ca="1" si="289">+AH1696+$C$1</f>
        <v>44336</v>
      </c>
      <c r="AJ1696" s="210">
        <f t="shared" ref="AJ1696:AJ1759" ca="1" si="290">IF(AH1696&lt;365,VLOOKUP(LOOKUP(AI1696,$AI$2:$AI$23),$AI$2:$AK$23,3,0),Lin_Interp(AH1696,$AJ$2:$AJ$23,$AK$2:$AK$23))</f>
        <v>4.1749999999999998</v>
      </c>
      <c r="AK1696" s="8">
        <f t="shared" ca="1" si="284"/>
        <v>1.0001159722222221</v>
      </c>
      <c r="AL1696" s="98">
        <f t="shared" ca="1" si="285"/>
        <v>3.9424400624008316</v>
      </c>
      <c r="AM1696" s="106">
        <f t="shared" ca="1" si="286"/>
        <v>30066.349943337311</v>
      </c>
      <c r="AN1696" s="10">
        <f t="shared" ca="1" si="287"/>
        <v>0.90078950951475445</v>
      </c>
      <c r="AO1696" s="158"/>
      <c r="AP1696" s="158"/>
      <c r="AQ1696" s="1"/>
      <c r="AR1696" s="1"/>
      <c r="AS1696" s="1"/>
      <c r="AT1696" s="1"/>
      <c r="AU1696" s="1"/>
    </row>
    <row r="1697" spans="34:47">
      <c r="AH1697" s="6">
        <f t="shared" si="288"/>
        <v>1667</v>
      </c>
      <c r="AI1697" s="7">
        <f t="shared" ca="1" si="289"/>
        <v>44337</v>
      </c>
      <c r="AJ1697" s="210">
        <f t="shared" ca="1" si="290"/>
        <v>4.1749999999999998</v>
      </c>
      <c r="AK1697" s="8">
        <f t="shared" ref="AK1697:AK1760" ca="1" si="291">+(1+AJ1697/36000)</f>
        <v>1.0001159722222221</v>
      </c>
      <c r="AL1697" s="98">
        <f t="shared" ref="AL1697:AL1760" ca="1" si="292">100*(((1+AL1696/100)^(AH1696/365)*AK1697)^(365/AH1697)-1)</f>
        <v>3.9426682937970137</v>
      </c>
      <c r="AM1697" s="106">
        <f t="shared" ca="1" si="286"/>
        <v>30068.747531837027</v>
      </c>
      <c r="AN1697" s="10">
        <f t="shared" ca="1" si="287"/>
        <v>0.90104704076643394</v>
      </c>
      <c r="AO1697" s="158"/>
      <c r="AP1697" s="158"/>
      <c r="AQ1697" s="1"/>
      <c r="AR1697" s="1"/>
      <c r="AS1697" s="1"/>
      <c r="AT1697" s="1"/>
      <c r="AU1697" s="1"/>
    </row>
    <row r="1698" spans="34:47">
      <c r="AH1698" s="6">
        <f t="shared" si="288"/>
        <v>1668</v>
      </c>
      <c r="AI1698" s="7">
        <f t="shared" ca="1" si="289"/>
        <v>44338</v>
      </c>
      <c r="AJ1698" s="210">
        <f t="shared" ca="1" si="290"/>
        <v>4.1749999999999998</v>
      </c>
      <c r="AK1698" s="8">
        <f t="shared" ca="1" si="291"/>
        <v>1.0001159722222221</v>
      </c>
      <c r="AL1698" s="98">
        <f t="shared" ca="1" si="292"/>
        <v>3.9428962520347</v>
      </c>
      <c r="AM1698" s="106">
        <f t="shared" ca="1" si="286"/>
        <v>30071.145311528242</v>
      </c>
      <c r="AN1698" s="10">
        <f t="shared" ca="1" si="287"/>
        <v>0.90130426388377316</v>
      </c>
      <c r="AO1698" s="158"/>
      <c r="AP1698" s="158"/>
      <c r="AQ1698" s="1"/>
      <c r="AR1698" s="1"/>
      <c r="AS1698" s="1"/>
      <c r="AT1698" s="1"/>
      <c r="AU1698" s="1"/>
    </row>
    <row r="1699" spans="34:47">
      <c r="AH1699" s="6">
        <f t="shared" si="288"/>
        <v>1669</v>
      </c>
      <c r="AI1699" s="7">
        <f t="shared" ca="1" si="289"/>
        <v>44339</v>
      </c>
      <c r="AJ1699" s="210">
        <f t="shared" ca="1" si="290"/>
        <v>4.1749999999999998</v>
      </c>
      <c r="AK1699" s="8">
        <f t="shared" ca="1" si="291"/>
        <v>1.0001159722222221</v>
      </c>
      <c r="AL1699" s="98">
        <f t="shared" ca="1" si="292"/>
        <v>3.9431239376039651</v>
      </c>
      <c r="AM1699" s="106">
        <f t="shared" ca="1" si="286"/>
        <v>30073.543282426206</v>
      </c>
      <c r="AN1699" s="10">
        <f t="shared" ca="1" si="287"/>
        <v>0.90156117941946334</v>
      </c>
      <c r="AO1699" s="158"/>
      <c r="AP1699" s="158"/>
      <c r="AQ1699" s="1"/>
      <c r="AR1699" s="1"/>
      <c r="AS1699" s="1"/>
      <c r="AT1699" s="1"/>
      <c r="AU1699" s="1"/>
    </row>
    <row r="1700" spans="34:47">
      <c r="AH1700" s="6">
        <f t="shared" si="288"/>
        <v>1670</v>
      </c>
      <c r="AI1700" s="7">
        <f t="shared" ca="1" si="289"/>
        <v>44340</v>
      </c>
      <c r="AJ1700" s="210">
        <f t="shared" ca="1" si="290"/>
        <v>4.1749999999999998</v>
      </c>
      <c r="AK1700" s="8">
        <f t="shared" ca="1" si="291"/>
        <v>1.0001159722222221</v>
      </c>
      <c r="AL1700" s="98">
        <f t="shared" ca="1" si="292"/>
        <v>3.9433513509937512</v>
      </c>
      <c r="AM1700" s="106">
        <f t="shared" ca="1" si="286"/>
        <v>30075.941444546163</v>
      </c>
      <c r="AN1700" s="10">
        <f t="shared" ca="1" si="287"/>
        <v>0.90181778792484124</v>
      </c>
      <c r="AO1700" s="158"/>
      <c r="AP1700" s="158"/>
      <c r="AQ1700" s="1"/>
      <c r="AR1700" s="1"/>
      <c r="AS1700" s="1"/>
      <c r="AT1700" s="1"/>
      <c r="AU1700" s="1"/>
    </row>
    <row r="1701" spans="34:47">
      <c r="AH1701" s="6">
        <f t="shared" si="288"/>
        <v>1671</v>
      </c>
      <c r="AI1701" s="7">
        <f t="shared" ca="1" si="289"/>
        <v>44341</v>
      </c>
      <c r="AJ1701" s="210">
        <f t="shared" ca="1" si="290"/>
        <v>4.1749999999999998</v>
      </c>
      <c r="AK1701" s="8">
        <f t="shared" ca="1" si="291"/>
        <v>1.0001159722222221</v>
      </c>
      <c r="AL1701" s="98">
        <f t="shared" ca="1" si="292"/>
        <v>3.9435784926918238</v>
      </c>
      <c r="AM1701" s="106">
        <f t="shared" ca="1" si="286"/>
        <v>30078.339797903373</v>
      </c>
      <c r="AN1701" s="10">
        <f t="shared" ca="1" si="287"/>
        <v>0.90207408995000016</v>
      </c>
      <c r="AO1701" s="158"/>
      <c r="AP1701" s="158"/>
      <c r="AQ1701" s="1"/>
      <c r="AR1701" s="1"/>
      <c r="AS1701" s="1"/>
      <c r="AT1701" s="1"/>
      <c r="AU1701" s="1"/>
    </row>
    <row r="1702" spans="34:47">
      <c r="AH1702" s="6">
        <f t="shared" si="288"/>
        <v>1672</v>
      </c>
      <c r="AI1702" s="7">
        <f t="shared" ca="1" si="289"/>
        <v>44342</v>
      </c>
      <c r="AJ1702" s="210">
        <f t="shared" ca="1" si="290"/>
        <v>4.1749999999999998</v>
      </c>
      <c r="AK1702" s="8">
        <f t="shared" ca="1" si="291"/>
        <v>1.0001159722222221</v>
      </c>
      <c r="AL1702" s="98">
        <f t="shared" ca="1" si="292"/>
        <v>3.9438053631847492</v>
      </c>
      <c r="AM1702" s="106">
        <f t="shared" ca="1" si="286"/>
        <v>30080.738342513065</v>
      </c>
      <c r="AN1702" s="10">
        <f t="shared" ca="1" si="287"/>
        <v>0.90233008604363452</v>
      </c>
      <c r="AO1702" s="158"/>
      <c r="AP1702" s="158"/>
      <c r="AQ1702" s="1"/>
      <c r="AR1702" s="1"/>
      <c r="AS1702" s="1"/>
      <c r="AT1702" s="1"/>
      <c r="AU1702" s="1"/>
    </row>
    <row r="1703" spans="34:47">
      <c r="AH1703" s="6">
        <f t="shared" si="288"/>
        <v>1673</v>
      </c>
      <c r="AI1703" s="7">
        <f t="shared" ca="1" si="289"/>
        <v>44343</v>
      </c>
      <c r="AJ1703" s="210">
        <f t="shared" ca="1" si="290"/>
        <v>4.1749999999999998</v>
      </c>
      <c r="AK1703" s="8">
        <f t="shared" ca="1" si="291"/>
        <v>1.0001159722222221</v>
      </c>
      <c r="AL1703" s="98">
        <f t="shared" ca="1" si="292"/>
        <v>3.9440319629580056</v>
      </c>
      <c r="AM1703" s="106">
        <f t="shared" ca="1" si="286"/>
        <v>30083.137078390515</v>
      </c>
      <c r="AN1703" s="10">
        <f t="shared" ca="1" si="287"/>
        <v>0.90258577675321749</v>
      </c>
      <c r="AO1703" s="158"/>
      <c r="AP1703" s="158"/>
      <c r="AQ1703" s="1"/>
      <c r="AR1703" s="1"/>
      <c r="AS1703" s="1"/>
      <c r="AT1703" s="1"/>
      <c r="AU1703" s="1"/>
    </row>
    <row r="1704" spans="34:47">
      <c r="AH1704" s="6">
        <f t="shared" si="288"/>
        <v>1674</v>
      </c>
      <c r="AI1704" s="7">
        <f t="shared" ca="1" si="289"/>
        <v>44344</v>
      </c>
      <c r="AJ1704" s="210">
        <f t="shared" ca="1" si="290"/>
        <v>4.1749999999999998</v>
      </c>
      <c r="AK1704" s="8">
        <f t="shared" ca="1" si="291"/>
        <v>1.0001159722222221</v>
      </c>
      <c r="AL1704" s="98">
        <f t="shared" ca="1" si="292"/>
        <v>3.944258292495828</v>
      </c>
      <c r="AM1704" s="106">
        <f t="shared" ca="1" si="286"/>
        <v>30085.536005550955</v>
      </c>
      <c r="AN1704" s="10">
        <f t="shared" ca="1" si="287"/>
        <v>0.90284116262484559</v>
      </c>
      <c r="AO1704" s="158"/>
      <c r="AP1704" s="158"/>
      <c r="AQ1704" s="1"/>
      <c r="AR1704" s="1"/>
      <c r="AS1704" s="1"/>
      <c r="AT1704" s="1"/>
      <c r="AU1704" s="1"/>
    </row>
    <row r="1705" spans="34:47">
      <c r="AH1705" s="6">
        <f t="shared" si="288"/>
        <v>1675</v>
      </c>
      <c r="AI1705" s="7">
        <f t="shared" ca="1" si="289"/>
        <v>44345</v>
      </c>
      <c r="AJ1705" s="210">
        <f t="shared" ca="1" si="290"/>
        <v>4.1749999999999998</v>
      </c>
      <c r="AK1705" s="8">
        <f t="shared" ca="1" si="291"/>
        <v>1.0001159722222221</v>
      </c>
      <c r="AL1705" s="98">
        <f t="shared" ca="1" si="292"/>
        <v>3.9444843522813633</v>
      </c>
      <c r="AM1705" s="106">
        <f t="shared" ca="1" si="286"/>
        <v>30087.935124009648</v>
      </c>
      <c r="AN1705" s="10">
        <f t="shared" ca="1" si="287"/>
        <v>0.90309624420334966</v>
      </c>
      <c r="AO1705" s="158"/>
      <c r="AP1705" s="158"/>
      <c r="AQ1705" s="1"/>
      <c r="AR1705" s="1"/>
      <c r="AS1705" s="1"/>
      <c r="AT1705" s="1"/>
      <c r="AU1705" s="1"/>
    </row>
    <row r="1706" spans="34:47">
      <c r="AH1706" s="6">
        <f t="shared" si="288"/>
        <v>1676</v>
      </c>
      <c r="AI1706" s="7">
        <f t="shared" ca="1" si="289"/>
        <v>44346</v>
      </c>
      <c r="AJ1706" s="210">
        <f t="shared" ca="1" si="290"/>
        <v>4.1749999999999998</v>
      </c>
      <c r="AK1706" s="8">
        <f t="shared" ca="1" si="291"/>
        <v>1.0001159722222221</v>
      </c>
      <c r="AL1706" s="98">
        <f t="shared" ca="1" si="292"/>
        <v>3.9447101427965814</v>
      </c>
      <c r="AM1706" s="106">
        <f t="shared" ca="1" si="286"/>
        <v>30090.334433781849</v>
      </c>
      <c r="AN1706" s="10">
        <f t="shared" ca="1" si="287"/>
        <v>0.90335102203225048</v>
      </c>
      <c r="AO1706" s="158"/>
      <c r="AP1706" s="158"/>
      <c r="AQ1706" s="1"/>
      <c r="AR1706" s="1"/>
      <c r="AS1706" s="1"/>
      <c r="AT1706" s="1"/>
      <c r="AU1706" s="1"/>
    </row>
    <row r="1707" spans="34:47">
      <c r="AH1707" s="6">
        <f t="shared" si="288"/>
        <v>1677</v>
      </c>
      <c r="AI1707" s="7">
        <f t="shared" ca="1" si="289"/>
        <v>44347</v>
      </c>
      <c r="AJ1707" s="210">
        <f t="shared" ca="1" si="290"/>
        <v>4.1749999999999998</v>
      </c>
      <c r="AK1707" s="8">
        <f t="shared" ca="1" si="291"/>
        <v>1.0001159722222221</v>
      </c>
      <c r="AL1707" s="98">
        <f t="shared" ca="1" si="292"/>
        <v>3.9449356645222977</v>
      </c>
      <c r="AM1707" s="106">
        <f t="shared" ca="1" si="286"/>
        <v>30092.73393488281</v>
      </c>
      <c r="AN1707" s="10">
        <f t="shared" ca="1" si="287"/>
        <v>0.90360549665375878</v>
      </c>
      <c r="AO1707" s="158"/>
      <c r="AP1707" s="158"/>
      <c r="AQ1707" s="1"/>
      <c r="AR1707" s="1"/>
      <c r="AS1707" s="1"/>
      <c r="AT1707" s="1"/>
      <c r="AU1707" s="1"/>
    </row>
    <row r="1708" spans="34:47">
      <c r="AH1708" s="6">
        <f t="shared" si="288"/>
        <v>1678</v>
      </c>
      <c r="AI1708" s="7">
        <f t="shared" ca="1" si="289"/>
        <v>44348</v>
      </c>
      <c r="AJ1708" s="210">
        <f t="shared" ca="1" si="290"/>
        <v>4.1749999999999998</v>
      </c>
      <c r="AK1708" s="8">
        <f t="shared" ca="1" si="291"/>
        <v>1.0001159722222221</v>
      </c>
      <c r="AL1708" s="98">
        <f t="shared" ca="1" si="292"/>
        <v>3.9451609179381952</v>
      </c>
      <c r="AM1708" s="106">
        <f t="shared" ca="1" si="286"/>
        <v>30095.133627327796</v>
      </c>
      <c r="AN1708" s="10">
        <f t="shared" ca="1" si="287"/>
        <v>0.90385966860886402</v>
      </c>
      <c r="AO1708" s="158"/>
      <c r="AP1708" s="158"/>
      <c r="AQ1708" s="1"/>
      <c r="AR1708" s="1"/>
      <c r="AS1708" s="1"/>
      <c r="AT1708" s="1"/>
      <c r="AU1708" s="1"/>
    </row>
    <row r="1709" spans="34:47">
      <c r="AH1709" s="6">
        <f t="shared" si="288"/>
        <v>1679</v>
      </c>
      <c r="AI1709" s="7">
        <f t="shared" ca="1" si="289"/>
        <v>44349</v>
      </c>
      <c r="AJ1709" s="210">
        <f t="shared" ca="1" si="290"/>
        <v>4.1749999999999998</v>
      </c>
      <c r="AK1709" s="8">
        <f t="shared" ca="1" si="291"/>
        <v>1.0001159722222221</v>
      </c>
      <c r="AL1709" s="98">
        <f t="shared" ca="1" si="292"/>
        <v>3.9453859035228245</v>
      </c>
      <c r="AM1709" s="106">
        <f t="shared" ca="1" si="286"/>
        <v>30097.533511132053</v>
      </c>
      <c r="AN1709" s="10">
        <f t="shared" ca="1" si="287"/>
        <v>0.90411353843720121</v>
      </c>
      <c r="AO1709" s="158"/>
      <c r="AP1709" s="158"/>
      <c r="AQ1709" s="1"/>
      <c r="AR1709" s="1"/>
      <c r="AS1709" s="1"/>
      <c r="AT1709" s="1"/>
      <c r="AU1709" s="1"/>
    </row>
    <row r="1710" spans="34:47">
      <c r="AH1710" s="6">
        <f t="shared" si="288"/>
        <v>1680</v>
      </c>
      <c r="AI1710" s="7">
        <f t="shared" ca="1" si="289"/>
        <v>44350</v>
      </c>
      <c r="AJ1710" s="210">
        <f t="shared" ca="1" si="290"/>
        <v>4.1749999999999998</v>
      </c>
      <c r="AK1710" s="8">
        <f t="shared" ca="1" si="291"/>
        <v>1.0001159722222221</v>
      </c>
      <c r="AL1710" s="98">
        <f t="shared" ca="1" si="292"/>
        <v>3.9456106217535591</v>
      </c>
      <c r="AM1710" s="106">
        <f t="shared" ca="1" si="286"/>
        <v>30099.933586310854</v>
      </c>
      <c r="AN1710" s="10">
        <f t="shared" ca="1" si="287"/>
        <v>0.9043671066771175</v>
      </c>
      <c r="AO1710" s="158"/>
      <c r="AP1710" s="158"/>
      <c r="AQ1710" s="1"/>
      <c r="AR1710" s="1"/>
      <c r="AS1710" s="1"/>
      <c r="AT1710" s="1"/>
      <c r="AU1710" s="1"/>
    </row>
    <row r="1711" spans="34:47">
      <c r="AH1711" s="6">
        <f t="shared" si="288"/>
        <v>1681</v>
      </c>
      <c r="AI1711" s="7">
        <f t="shared" ca="1" si="289"/>
        <v>44351</v>
      </c>
      <c r="AJ1711" s="210">
        <f t="shared" ca="1" si="290"/>
        <v>4.1749999999999998</v>
      </c>
      <c r="AK1711" s="8">
        <f t="shared" ca="1" si="291"/>
        <v>1.0001159722222221</v>
      </c>
      <c r="AL1711" s="98">
        <f t="shared" ca="1" si="292"/>
        <v>3.9458350731066849</v>
      </c>
      <c r="AM1711" s="106">
        <f t="shared" ca="1" si="286"/>
        <v>30102.333852879445</v>
      </c>
      <c r="AN1711" s="10">
        <f t="shared" ca="1" si="287"/>
        <v>0.90462037386571659</v>
      </c>
      <c r="AO1711" s="158"/>
      <c r="AP1711" s="158"/>
      <c r="AQ1711" s="1"/>
      <c r="AR1711" s="1"/>
      <c r="AS1711" s="1"/>
      <c r="AT1711" s="1"/>
      <c r="AU1711" s="1"/>
    </row>
    <row r="1712" spans="34:47">
      <c r="AH1712" s="6">
        <f t="shared" si="288"/>
        <v>1682</v>
      </c>
      <c r="AI1712" s="7">
        <f t="shared" ca="1" si="289"/>
        <v>44352</v>
      </c>
      <c r="AJ1712" s="210">
        <f t="shared" ca="1" si="290"/>
        <v>4.1749999999999998</v>
      </c>
      <c r="AK1712" s="8">
        <f t="shared" ca="1" si="291"/>
        <v>1.0001159722222221</v>
      </c>
      <c r="AL1712" s="98">
        <f t="shared" ca="1" si="292"/>
        <v>3.946059258057355</v>
      </c>
      <c r="AM1712" s="106">
        <f t="shared" ca="1" si="286"/>
        <v>30104.734310853106</v>
      </c>
      <c r="AN1712" s="10">
        <f t="shared" ca="1" si="287"/>
        <v>0.90487334053885871</v>
      </c>
      <c r="AO1712" s="158"/>
      <c r="AP1712" s="158"/>
      <c r="AQ1712" s="1"/>
      <c r="AR1712" s="1"/>
      <c r="AS1712" s="1"/>
      <c r="AT1712" s="1"/>
      <c r="AU1712" s="1"/>
    </row>
    <row r="1713" spans="34:47">
      <c r="AH1713" s="6">
        <f t="shared" si="288"/>
        <v>1683</v>
      </c>
      <c r="AI1713" s="7">
        <f t="shared" ca="1" si="289"/>
        <v>44353</v>
      </c>
      <c r="AJ1713" s="210">
        <f t="shared" ca="1" si="290"/>
        <v>4.1749999999999998</v>
      </c>
      <c r="AK1713" s="8">
        <f t="shared" ca="1" si="291"/>
        <v>1.0001159722222221</v>
      </c>
      <c r="AL1713" s="98">
        <f t="shared" ca="1" si="292"/>
        <v>3.9462831770795459</v>
      </c>
      <c r="AM1713" s="106">
        <f t="shared" ca="1" si="286"/>
        <v>30107.13496024708</v>
      </c>
      <c r="AN1713" s="10">
        <f t="shared" ca="1" si="287"/>
        <v>0.90512600723104963</v>
      </c>
      <c r="AO1713" s="158"/>
      <c r="AP1713" s="158"/>
      <c r="AQ1713" s="1"/>
      <c r="AR1713" s="1"/>
      <c r="AS1713" s="1"/>
      <c r="AT1713" s="1"/>
      <c r="AU1713" s="1"/>
    </row>
    <row r="1714" spans="34:47">
      <c r="AH1714" s="6">
        <f t="shared" si="288"/>
        <v>1684</v>
      </c>
      <c r="AI1714" s="7">
        <f t="shared" ca="1" si="289"/>
        <v>44354</v>
      </c>
      <c r="AJ1714" s="210">
        <f t="shared" ca="1" si="290"/>
        <v>4.1749999999999998</v>
      </c>
      <c r="AK1714" s="8">
        <f t="shared" ca="1" si="291"/>
        <v>1.0001159722222221</v>
      </c>
      <c r="AL1714" s="98">
        <f t="shared" ca="1" si="292"/>
        <v>3.9465068306461681</v>
      </c>
      <c r="AM1714" s="106">
        <f t="shared" ca="1" si="286"/>
        <v>30109.53580107665</v>
      </c>
      <c r="AN1714" s="10">
        <f t="shared" ca="1" si="287"/>
        <v>0.9053783744755961</v>
      </c>
      <c r="AO1714" s="158"/>
      <c r="AP1714" s="158"/>
      <c r="AQ1714" s="1"/>
      <c r="AR1714" s="1"/>
      <c r="AS1714" s="1"/>
      <c r="AT1714" s="1"/>
      <c r="AU1714" s="1"/>
    </row>
    <row r="1715" spans="34:47">
      <c r="AH1715" s="6">
        <f t="shared" si="288"/>
        <v>1685</v>
      </c>
      <c r="AI1715" s="7">
        <f t="shared" ca="1" si="289"/>
        <v>44355</v>
      </c>
      <c r="AJ1715" s="210">
        <f t="shared" ca="1" si="290"/>
        <v>4.1749999999999998</v>
      </c>
      <c r="AK1715" s="8">
        <f t="shared" ca="1" si="291"/>
        <v>1.0001159722222221</v>
      </c>
      <c r="AL1715" s="98">
        <f t="shared" ca="1" si="292"/>
        <v>3.9467302192289777</v>
      </c>
      <c r="AM1715" s="106">
        <f t="shared" ca="1" si="286"/>
        <v>30111.936833357071</v>
      </c>
      <c r="AN1715" s="10">
        <f t="shared" ca="1" si="287"/>
        <v>0.90563044280449478</v>
      </c>
      <c r="AO1715" s="158"/>
      <c r="AP1715" s="158"/>
      <c r="AQ1715" s="1"/>
      <c r="AR1715" s="1"/>
      <c r="AS1715" s="1"/>
      <c r="AT1715" s="1"/>
      <c r="AU1715" s="1"/>
    </row>
    <row r="1716" spans="34:47">
      <c r="AH1716" s="6">
        <f t="shared" si="288"/>
        <v>1686</v>
      </c>
      <c r="AI1716" s="7">
        <f t="shared" ca="1" si="289"/>
        <v>44356</v>
      </c>
      <c r="AJ1716" s="210">
        <f t="shared" ca="1" si="290"/>
        <v>4.1749999999999998</v>
      </c>
      <c r="AK1716" s="8">
        <f t="shared" ca="1" si="291"/>
        <v>1.0001159722222221</v>
      </c>
      <c r="AL1716" s="98">
        <f t="shared" ca="1" si="292"/>
        <v>3.9469533432986204</v>
      </c>
      <c r="AM1716" s="106">
        <f t="shared" ca="1" si="286"/>
        <v>30114.33805710361</v>
      </c>
      <c r="AN1716" s="10">
        <f t="shared" ca="1" si="287"/>
        <v>0.9058822127485433</v>
      </c>
      <c r="AO1716" s="158"/>
      <c r="AP1716" s="158"/>
      <c r="AQ1716" s="1"/>
      <c r="AR1716" s="1"/>
      <c r="AS1716" s="1"/>
      <c r="AT1716" s="1"/>
      <c r="AU1716" s="1"/>
    </row>
    <row r="1717" spans="34:47">
      <c r="AH1717" s="6">
        <f t="shared" si="288"/>
        <v>1687</v>
      </c>
      <c r="AI1717" s="7">
        <f t="shared" ca="1" si="289"/>
        <v>44357</v>
      </c>
      <c r="AJ1717" s="210">
        <f t="shared" ca="1" si="290"/>
        <v>4.1749999999999998</v>
      </c>
      <c r="AK1717" s="8">
        <f t="shared" ca="1" si="291"/>
        <v>1.0001159722222221</v>
      </c>
      <c r="AL1717" s="98">
        <f t="shared" ca="1" si="292"/>
        <v>3.9471762033246316</v>
      </c>
      <c r="AM1717" s="106">
        <f t="shared" ca="1" si="286"/>
        <v>30116.819522803715</v>
      </c>
      <c r="AN1717" s="10">
        <f t="shared" ca="1" si="287"/>
        <v>0.90607565510159027</v>
      </c>
      <c r="AO1717" s="158"/>
      <c r="AP1717" s="158"/>
      <c r="AQ1717" s="1"/>
      <c r="AR1717" s="1"/>
      <c r="AS1717" s="1"/>
      <c r="AT1717" s="1"/>
      <c r="AU1717" s="1"/>
    </row>
    <row r="1718" spans="34:47">
      <c r="AH1718" s="6">
        <f t="shared" si="288"/>
        <v>1688</v>
      </c>
      <c r="AI1718" s="7">
        <f t="shared" ca="1" si="289"/>
        <v>44358</v>
      </c>
      <c r="AJ1718" s="210">
        <f t="shared" ca="1" si="290"/>
        <v>4.1749999999999998</v>
      </c>
      <c r="AK1718" s="8">
        <f t="shared" ca="1" si="291"/>
        <v>1.0001159722222221</v>
      </c>
      <c r="AL1718" s="98">
        <f t="shared" ca="1" si="292"/>
        <v>3.9473987997754367</v>
      </c>
      <c r="AM1718" s="106">
        <f t="shared" ca="1" si="286"/>
        <v>30119.301192980249</v>
      </c>
      <c r="AN1718" s="10">
        <f t="shared" ca="1" si="287"/>
        <v>0.90626886862772427</v>
      </c>
      <c r="AO1718" s="158"/>
      <c r="AP1718" s="158"/>
      <c r="AQ1718" s="1"/>
      <c r="AR1718" s="1"/>
      <c r="AS1718" s="1"/>
      <c r="AT1718" s="1"/>
      <c r="AU1718" s="1"/>
    </row>
    <row r="1719" spans="34:47">
      <c r="AH1719" s="6">
        <f t="shared" si="288"/>
        <v>1689</v>
      </c>
      <c r="AI1719" s="7">
        <f t="shared" ca="1" si="289"/>
        <v>44359</v>
      </c>
      <c r="AJ1719" s="210">
        <f t="shared" ca="1" si="290"/>
        <v>4.1749999999999998</v>
      </c>
      <c r="AK1719" s="8">
        <f t="shared" ca="1" si="291"/>
        <v>1.0001159722222221</v>
      </c>
      <c r="AL1719" s="98">
        <f t="shared" ca="1" si="292"/>
        <v>3.9476211331183508</v>
      </c>
      <c r="AM1719" s="106">
        <f t="shared" ca="1" si="286"/>
        <v>30121.783067650042</v>
      </c>
      <c r="AN1719" s="10">
        <f t="shared" ca="1" si="287"/>
        <v>0.9064618537327318</v>
      </c>
      <c r="AO1719" s="158"/>
      <c r="AP1719" s="158"/>
      <c r="AQ1719" s="1"/>
      <c r="AR1719" s="1"/>
      <c r="AS1719" s="1"/>
      <c r="AT1719" s="1"/>
      <c r="AU1719" s="1"/>
    </row>
    <row r="1720" spans="34:47">
      <c r="AH1720" s="6">
        <f t="shared" si="288"/>
        <v>1690</v>
      </c>
      <c r="AI1720" s="7">
        <f t="shared" ca="1" si="289"/>
        <v>44360</v>
      </c>
      <c r="AJ1720" s="210">
        <f t="shared" ca="1" si="290"/>
        <v>4.1749999999999998</v>
      </c>
      <c r="AK1720" s="8">
        <f t="shared" ca="1" si="291"/>
        <v>1.0001159722222221</v>
      </c>
      <c r="AL1720" s="98">
        <f t="shared" ca="1" si="292"/>
        <v>3.947843203819601</v>
      </c>
      <c r="AM1720" s="106">
        <f t="shared" ca="1" si="286"/>
        <v>30124.265146829955</v>
      </c>
      <c r="AN1720" s="10">
        <f t="shared" ca="1" si="287"/>
        <v>0.90665461082144461</v>
      </c>
      <c r="AO1720" s="158"/>
      <c r="AP1720" s="158"/>
      <c r="AQ1720" s="1"/>
      <c r="AR1720" s="1"/>
      <c r="AS1720" s="1"/>
      <c r="AT1720" s="1"/>
      <c r="AU1720" s="1"/>
    </row>
    <row r="1721" spans="34:47">
      <c r="AH1721" s="6">
        <f t="shared" si="288"/>
        <v>1691</v>
      </c>
      <c r="AI1721" s="7">
        <f t="shared" ca="1" si="289"/>
        <v>44361</v>
      </c>
      <c r="AJ1721" s="210">
        <f t="shared" ca="1" si="290"/>
        <v>4.1749999999999998</v>
      </c>
      <c r="AK1721" s="8">
        <f t="shared" ca="1" si="291"/>
        <v>1.0001159722222221</v>
      </c>
      <c r="AL1721" s="98">
        <f t="shared" ca="1" si="292"/>
        <v>3.9480650123442818</v>
      </c>
      <c r="AM1721" s="106">
        <f t="shared" ca="1" si="286"/>
        <v>30126.747430536841</v>
      </c>
      <c r="AN1721" s="10">
        <f t="shared" ca="1" si="287"/>
        <v>0.9068471402977174</v>
      </c>
      <c r="AO1721" s="158"/>
      <c r="AP1721" s="158"/>
      <c r="AQ1721" s="1"/>
      <c r="AR1721" s="1"/>
      <c r="AS1721" s="1"/>
      <c r="AT1721" s="1"/>
      <c r="AU1721" s="1"/>
    </row>
    <row r="1722" spans="34:47">
      <c r="AH1722" s="6">
        <f t="shared" si="288"/>
        <v>1692</v>
      </c>
      <c r="AI1722" s="7">
        <f t="shared" ca="1" si="289"/>
        <v>44362</v>
      </c>
      <c r="AJ1722" s="210">
        <f t="shared" ca="1" si="290"/>
        <v>4.1749999999999998</v>
      </c>
      <c r="AK1722" s="8">
        <f t="shared" ca="1" si="291"/>
        <v>1.0001159722222221</v>
      </c>
      <c r="AL1722" s="98">
        <f t="shared" ca="1" si="292"/>
        <v>3.948286559156422</v>
      </c>
      <c r="AM1722" s="106">
        <f t="shared" ca="1" si="286"/>
        <v>30129.229918787547</v>
      </c>
      <c r="AN1722" s="10">
        <f t="shared" ca="1" si="287"/>
        <v>0.90703944256447233</v>
      </c>
      <c r="AO1722" s="158"/>
      <c r="AP1722" s="158"/>
      <c r="AQ1722" s="1"/>
      <c r="AR1722" s="1"/>
      <c r="AS1722" s="1"/>
      <c r="AT1722" s="1"/>
      <c r="AU1722" s="1"/>
    </row>
    <row r="1723" spans="34:47">
      <c r="AH1723" s="6">
        <f t="shared" si="288"/>
        <v>1693</v>
      </c>
      <c r="AI1723" s="7">
        <f t="shared" ca="1" si="289"/>
        <v>44363</v>
      </c>
      <c r="AJ1723" s="210">
        <f t="shared" ca="1" si="290"/>
        <v>4.1749999999999998</v>
      </c>
      <c r="AK1723" s="8">
        <f t="shared" ca="1" si="291"/>
        <v>1.0001159722222221</v>
      </c>
      <c r="AL1723" s="98">
        <f t="shared" ca="1" si="292"/>
        <v>3.9485078447189181</v>
      </c>
      <c r="AM1723" s="106">
        <f t="shared" ca="1" si="286"/>
        <v>30131.712611598941</v>
      </c>
      <c r="AN1723" s="10">
        <f t="shared" ca="1" si="287"/>
        <v>0.90723151802365454</v>
      </c>
      <c r="AO1723" s="158"/>
      <c r="AP1723" s="158"/>
      <c r="AQ1723" s="1"/>
      <c r="AR1723" s="1"/>
      <c r="AS1723" s="1"/>
      <c r="AT1723" s="1"/>
      <c r="AU1723" s="1"/>
    </row>
    <row r="1724" spans="34:47">
      <c r="AH1724" s="6">
        <f t="shared" si="288"/>
        <v>1694</v>
      </c>
      <c r="AI1724" s="7">
        <f t="shared" ca="1" si="289"/>
        <v>44364</v>
      </c>
      <c r="AJ1724" s="210">
        <f t="shared" ca="1" si="290"/>
        <v>4.1749999999999998</v>
      </c>
      <c r="AK1724" s="8">
        <f t="shared" ca="1" si="291"/>
        <v>1.0001159722222221</v>
      </c>
      <c r="AL1724" s="98">
        <f t="shared" ca="1" si="292"/>
        <v>3.9487288694936229</v>
      </c>
      <c r="AM1724" s="106">
        <f t="shared" ca="1" si="286"/>
        <v>30134.195508987861</v>
      </c>
      <c r="AN1724" s="10">
        <f t="shared" ca="1" si="287"/>
        <v>0.90742336707634319</v>
      </c>
      <c r="AO1724" s="158"/>
      <c r="AP1724" s="158"/>
      <c r="AQ1724" s="1"/>
      <c r="AR1724" s="1"/>
      <c r="AS1724" s="1"/>
      <c r="AT1724" s="1"/>
      <c r="AU1724" s="1"/>
    </row>
    <row r="1725" spans="34:47">
      <c r="AH1725" s="6">
        <f t="shared" si="288"/>
        <v>1695</v>
      </c>
      <c r="AI1725" s="7">
        <f t="shared" ca="1" si="289"/>
        <v>44365</v>
      </c>
      <c r="AJ1725" s="210">
        <f t="shared" ca="1" si="290"/>
        <v>4.1749999999999998</v>
      </c>
      <c r="AK1725" s="8">
        <f t="shared" ca="1" si="291"/>
        <v>1.0001159722222221</v>
      </c>
      <c r="AL1725" s="98">
        <f t="shared" ca="1" si="292"/>
        <v>3.9489496339412566</v>
      </c>
      <c r="AM1725" s="106">
        <f t="shared" ca="1" si="286"/>
        <v>30136.678610971183</v>
      </c>
      <c r="AN1725" s="10">
        <f t="shared" ca="1" si="287"/>
        <v>0.90761499012255165</v>
      </c>
      <c r="AO1725" s="158"/>
      <c r="AP1725" s="158"/>
      <c r="AQ1725" s="1"/>
      <c r="AR1725" s="1"/>
      <c r="AS1725" s="1"/>
      <c r="AT1725" s="1"/>
      <c r="AU1725" s="1"/>
    </row>
    <row r="1726" spans="34:47">
      <c r="AH1726" s="6">
        <f t="shared" si="288"/>
        <v>1696</v>
      </c>
      <c r="AI1726" s="7">
        <f t="shared" ca="1" si="289"/>
        <v>44366</v>
      </c>
      <c r="AJ1726" s="210">
        <f t="shared" ca="1" si="290"/>
        <v>4.1749999999999998</v>
      </c>
      <c r="AK1726" s="8">
        <f t="shared" ca="1" si="291"/>
        <v>1.0001159722222221</v>
      </c>
      <c r="AL1726" s="98">
        <f t="shared" ca="1" si="292"/>
        <v>3.9491701385214739</v>
      </c>
      <c r="AM1726" s="106">
        <f t="shared" ca="1" si="286"/>
        <v>30139.161917565754</v>
      </c>
      <c r="AN1726" s="10">
        <f t="shared" ca="1" si="287"/>
        <v>0.90780638756142729</v>
      </c>
      <c r="AO1726" s="158"/>
      <c r="AP1726" s="158"/>
      <c r="AQ1726" s="1"/>
      <c r="AR1726" s="1"/>
      <c r="AS1726" s="1"/>
      <c r="AT1726" s="1"/>
      <c r="AU1726" s="1"/>
    </row>
    <row r="1727" spans="34:47">
      <c r="AH1727" s="6">
        <f t="shared" si="288"/>
        <v>1697</v>
      </c>
      <c r="AI1727" s="7">
        <f t="shared" ca="1" si="289"/>
        <v>44367</v>
      </c>
      <c r="AJ1727" s="210">
        <f t="shared" ca="1" si="290"/>
        <v>4.1749999999999998</v>
      </c>
      <c r="AK1727" s="8">
        <f t="shared" ca="1" si="291"/>
        <v>1.0001159722222221</v>
      </c>
      <c r="AL1727" s="98">
        <f t="shared" ca="1" si="292"/>
        <v>3.9493903836928634</v>
      </c>
      <c r="AM1727" s="106">
        <f t="shared" ca="1" si="286"/>
        <v>30141.64542878843</v>
      </c>
      <c r="AN1727" s="10">
        <f t="shared" ca="1" si="287"/>
        <v>0.9079975597911627</v>
      </c>
      <c r="AO1727" s="158"/>
      <c r="AP1727" s="158"/>
      <c r="AQ1727" s="1"/>
      <c r="AR1727" s="1"/>
      <c r="AS1727" s="1"/>
      <c r="AT1727" s="1"/>
      <c r="AU1727" s="1"/>
    </row>
    <row r="1728" spans="34:47">
      <c r="AH1728" s="6">
        <f t="shared" si="288"/>
        <v>1698</v>
      </c>
      <c r="AI1728" s="7">
        <f t="shared" ca="1" si="289"/>
        <v>44368</v>
      </c>
      <c r="AJ1728" s="210">
        <f t="shared" ca="1" si="290"/>
        <v>4.1749999999999998</v>
      </c>
      <c r="AK1728" s="8">
        <f t="shared" ca="1" si="291"/>
        <v>1.0001159722222221</v>
      </c>
      <c r="AL1728" s="98">
        <f t="shared" ca="1" si="292"/>
        <v>3.9496103699129259</v>
      </c>
      <c r="AM1728" s="106">
        <f t="shared" ca="1" si="286"/>
        <v>30144.129144656083</v>
      </c>
      <c r="AN1728" s="10">
        <f t="shared" ca="1" si="287"/>
        <v>0.9081885072090623</v>
      </c>
      <c r="AO1728" s="158"/>
      <c r="AP1728" s="158"/>
      <c r="AQ1728" s="1"/>
      <c r="AR1728" s="1"/>
      <c r="AS1728" s="1"/>
      <c r="AT1728" s="1"/>
      <c r="AU1728" s="1"/>
    </row>
    <row r="1729" spans="34:47">
      <c r="AH1729" s="6">
        <f t="shared" si="288"/>
        <v>1699</v>
      </c>
      <c r="AI1729" s="7">
        <f t="shared" ca="1" si="289"/>
        <v>44369</v>
      </c>
      <c r="AJ1729" s="210">
        <f t="shared" ca="1" si="290"/>
        <v>4.1749999999999998</v>
      </c>
      <c r="AK1729" s="8">
        <f t="shared" ca="1" si="291"/>
        <v>1.0001159722222221</v>
      </c>
      <c r="AL1729" s="98">
        <f t="shared" ca="1" si="292"/>
        <v>3.949830097638074</v>
      </c>
      <c r="AM1729" s="106">
        <f t="shared" ca="1" si="286"/>
        <v>30146.613065185575</v>
      </c>
      <c r="AN1729" s="10">
        <f t="shared" ca="1" si="287"/>
        <v>0.90837923021138689</v>
      </c>
      <c r="AO1729" s="158"/>
      <c r="AP1729" s="158"/>
      <c r="AQ1729" s="1"/>
      <c r="AR1729" s="1"/>
      <c r="AS1729" s="1"/>
      <c r="AT1729" s="1"/>
      <c r="AU1729" s="1"/>
    </row>
    <row r="1730" spans="34:47">
      <c r="AH1730" s="6">
        <f t="shared" si="288"/>
        <v>1700</v>
      </c>
      <c r="AI1730" s="7">
        <f t="shared" ca="1" si="289"/>
        <v>44370</v>
      </c>
      <c r="AJ1730" s="210">
        <f t="shared" ca="1" si="290"/>
        <v>4.1749999999999998</v>
      </c>
      <c r="AK1730" s="8">
        <f t="shared" ca="1" si="291"/>
        <v>1.0001159722222221</v>
      </c>
      <c r="AL1730" s="98">
        <f t="shared" ca="1" si="292"/>
        <v>3.9500495673236546</v>
      </c>
      <c r="AM1730" s="106">
        <f t="shared" ca="1" si="286"/>
        <v>30149.097190393764</v>
      </c>
      <c r="AN1730" s="10">
        <f t="shared" ca="1" si="287"/>
        <v>0.9085697291935757</v>
      </c>
      <c r="AO1730" s="158"/>
      <c r="AP1730" s="158"/>
      <c r="AQ1730" s="1"/>
      <c r="AR1730" s="1"/>
      <c r="AS1730" s="1"/>
      <c r="AT1730" s="1"/>
      <c r="AU1730" s="1"/>
    </row>
    <row r="1731" spans="34:47">
      <c r="AH1731" s="6">
        <f t="shared" si="288"/>
        <v>1701</v>
      </c>
      <c r="AI1731" s="7">
        <f t="shared" ca="1" si="289"/>
        <v>44371</v>
      </c>
      <c r="AJ1731" s="210">
        <f t="shared" ca="1" si="290"/>
        <v>4.1749999999999998</v>
      </c>
      <c r="AK1731" s="8">
        <f t="shared" ca="1" si="291"/>
        <v>1.0001159722222221</v>
      </c>
      <c r="AL1731" s="98">
        <f t="shared" ca="1" si="292"/>
        <v>3.9502687794239488</v>
      </c>
      <c r="AM1731" s="106">
        <f t="shared" ca="1" si="286"/>
        <v>30151.581520297525</v>
      </c>
      <c r="AN1731" s="10">
        <f t="shared" ca="1" si="287"/>
        <v>0.90876000455004657</v>
      </c>
      <c r="AO1731" s="158"/>
      <c r="AP1731" s="158"/>
      <c r="AQ1731" s="1"/>
      <c r="AR1731" s="1"/>
      <c r="AS1731" s="1"/>
      <c r="AT1731" s="1"/>
      <c r="AU1731" s="1"/>
    </row>
    <row r="1732" spans="34:47">
      <c r="AH1732" s="6">
        <f t="shared" si="288"/>
        <v>1702</v>
      </c>
      <c r="AI1732" s="7">
        <f t="shared" ca="1" si="289"/>
        <v>44372</v>
      </c>
      <c r="AJ1732" s="210">
        <f t="shared" ca="1" si="290"/>
        <v>4.1749999999999998</v>
      </c>
      <c r="AK1732" s="8">
        <f t="shared" ca="1" si="291"/>
        <v>1.0001159722222221</v>
      </c>
      <c r="AL1732" s="98">
        <f t="shared" ca="1" si="292"/>
        <v>3.9504877343921718</v>
      </c>
      <c r="AM1732" s="106">
        <f t="shared" ca="1" si="286"/>
        <v>30154.066054913721</v>
      </c>
      <c r="AN1732" s="10">
        <f t="shared" ca="1" si="287"/>
        <v>0.90895005667435136</v>
      </c>
      <c r="AO1732" s="158"/>
      <c r="AP1732" s="158"/>
      <c r="AQ1732" s="1"/>
      <c r="AR1732" s="1"/>
      <c r="AS1732" s="1"/>
      <c r="AT1732" s="1"/>
      <c r="AU1732" s="1"/>
    </row>
    <row r="1733" spans="34:47">
      <c r="AH1733" s="6">
        <f t="shared" si="288"/>
        <v>1703</v>
      </c>
      <c r="AI1733" s="7">
        <f t="shared" ca="1" si="289"/>
        <v>44373</v>
      </c>
      <c r="AJ1733" s="210">
        <f t="shared" ca="1" si="290"/>
        <v>4.1749999999999998</v>
      </c>
      <c r="AK1733" s="8">
        <f t="shared" ca="1" si="291"/>
        <v>1.0001159722222221</v>
      </c>
      <c r="AL1733" s="98">
        <f t="shared" ca="1" si="292"/>
        <v>3.9507064326804731</v>
      </c>
      <c r="AM1733" s="106">
        <f t="shared" ca="1" si="286"/>
        <v>30156.550794259212</v>
      </c>
      <c r="AN1733" s="10">
        <f t="shared" ca="1" si="287"/>
        <v>0.90913988595913153</v>
      </c>
      <c r="AO1733" s="158"/>
      <c r="AP1733" s="158"/>
      <c r="AQ1733" s="1"/>
      <c r="AR1733" s="1"/>
      <c r="AS1733" s="1"/>
      <c r="AT1733" s="1"/>
      <c r="AU1733" s="1"/>
    </row>
    <row r="1734" spans="34:47">
      <c r="AH1734" s="6">
        <f t="shared" si="288"/>
        <v>1704</v>
      </c>
      <c r="AI1734" s="7">
        <f t="shared" ca="1" si="289"/>
        <v>44374</v>
      </c>
      <c r="AJ1734" s="210">
        <f t="shared" ca="1" si="290"/>
        <v>4.1749999999999998</v>
      </c>
      <c r="AK1734" s="8">
        <f t="shared" ca="1" si="291"/>
        <v>1.0001159722222221</v>
      </c>
      <c r="AL1734" s="98">
        <f t="shared" ca="1" si="292"/>
        <v>3.9509248747399361</v>
      </c>
      <c r="AM1734" s="106">
        <f t="shared" ca="1" si="286"/>
        <v>30159.035738350882</v>
      </c>
      <c r="AN1734" s="10">
        <f t="shared" ca="1" si="287"/>
        <v>0.90932949279605157</v>
      </c>
      <c r="AO1734" s="158"/>
      <c r="AP1734" s="158"/>
      <c r="AQ1734" s="1"/>
      <c r="AR1734" s="1"/>
      <c r="AS1734" s="1"/>
      <c r="AT1734" s="1"/>
      <c r="AU1734" s="1"/>
    </row>
    <row r="1735" spans="34:47">
      <c r="AH1735" s="6">
        <f t="shared" si="288"/>
        <v>1705</v>
      </c>
      <c r="AI1735" s="7">
        <f t="shared" ca="1" si="289"/>
        <v>44375</v>
      </c>
      <c r="AJ1735" s="210">
        <f t="shared" ca="1" si="290"/>
        <v>4.1749999999999998</v>
      </c>
      <c r="AK1735" s="8">
        <f t="shared" ca="1" si="291"/>
        <v>1.0001159722222221</v>
      </c>
      <c r="AL1735" s="98">
        <f t="shared" ca="1" si="292"/>
        <v>3.9511430610206011</v>
      </c>
      <c r="AM1735" s="106">
        <f t="shared" ca="1" si="286"/>
        <v>30161.520887205595</v>
      </c>
      <c r="AN1735" s="10">
        <f t="shared" ca="1" si="287"/>
        <v>0.90951887757590999</v>
      </c>
      <c r="AO1735" s="158"/>
      <c r="AP1735" s="158"/>
      <c r="AQ1735" s="1"/>
      <c r="AR1735" s="1"/>
      <c r="AS1735" s="1"/>
      <c r="AT1735" s="1"/>
      <c r="AU1735" s="1"/>
    </row>
    <row r="1736" spans="34:47">
      <c r="AH1736" s="6">
        <f t="shared" si="288"/>
        <v>1706</v>
      </c>
      <c r="AI1736" s="7">
        <f t="shared" ca="1" si="289"/>
        <v>44376</v>
      </c>
      <c r="AJ1736" s="210">
        <f t="shared" ca="1" si="290"/>
        <v>4.1749999999999998</v>
      </c>
      <c r="AK1736" s="8">
        <f t="shared" ca="1" si="291"/>
        <v>1.0001159722222221</v>
      </c>
      <c r="AL1736" s="98">
        <f t="shared" ca="1" si="292"/>
        <v>3.9513609919714643</v>
      </c>
      <c r="AM1736" s="106">
        <f t="shared" ca="1" si="286"/>
        <v>30164.006240840223</v>
      </c>
      <c r="AN1736" s="10">
        <f t="shared" ca="1" si="287"/>
        <v>0.90970804068855049</v>
      </c>
      <c r="AO1736" s="158"/>
      <c r="AP1736" s="158"/>
      <c r="AQ1736" s="1"/>
      <c r="AR1736" s="1"/>
      <c r="AS1736" s="1"/>
      <c r="AT1736" s="1"/>
      <c r="AU1736" s="1"/>
    </row>
    <row r="1737" spans="34:47">
      <c r="AH1737" s="6">
        <f t="shared" si="288"/>
        <v>1707</v>
      </c>
      <c r="AI1737" s="7">
        <f t="shared" ca="1" si="289"/>
        <v>44377</v>
      </c>
      <c r="AJ1737" s="210">
        <f t="shared" ca="1" si="290"/>
        <v>4.1749999999999998</v>
      </c>
      <c r="AK1737" s="8">
        <f t="shared" ca="1" si="291"/>
        <v>1.0001159722222221</v>
      </c>
      <c r="AL1737" s="98">
        <f t="shared" ca="1" si="292"/>
        <v>3.9515786680404563</v>
      </c>
      <c r="AM1737" s="106">
        <f t="shared" ca="1" si="286"/>
        <v>30166.49179927164</v>
      </c>
      <c r="AN1737" s="10">
        <f t="shared" ca="1" si="287"/>
        <v>0.90989698252295081</v>
      </c>
      <c r="AO1737" s="158"/>
      <c r="AP1737" s="158"/>
      <c r="AQ1737" s="1"/>
      <c r="AR1737" s="1"/>
      <c r="AS1737" s="1"/>
      <c r="AT1737" s="1"/>
      <c r="AU1737" s="1"/>
    </row>
    <row r="1738" spans="34:47">
      <c r="AH1738" s="6">
        <f t="shared" si="288"/>
        <v>1708</v>
      </c>
      <c r="AI1738" s="7">
        <f t="shared" ca="1" si="289"/>
        <v>44378</v>
      </c>
      <c r="AJ1738" s="210">
        <f t="shared" ca="1" si="290"/>
        <v>4.1749999999999998</v>
      </c>
      <c r="AK1738" s="8">
        <f ca="1">+(1+AJ1738/36000)</f>
        <v>1.0001159722222221</v>
      </c>
      <c r="AL1738" s="98">
        <f t="shared" ca="1" si="292"/>
        <v>3.951796089674442</v>
      </c>
      <c r="AM1738" s="106">
        <f t="shared" ca="1" si="286"/>
        <v>30168.977562516728</v>
      </c>
      <c r="AN1738" s="10">
        <f t="shared" ca="1" si="287"/>
        <v>0.91008570346711171</v>
      </c>
      <c r="AO1738" s="158"/>
      <c r="AP1738" s="158"/>
      <c r="AQ1738" s="1"/>
      <c r="AR1738" s="1"/>
      <c r="AS1738" s="1"/>
      <c r="AT1738" s="1"/>
      <c r="AU1738" s="1"/>
    </row>
    <row r="1739" spans="34:47">
      <c r="AH1739" s="6">
        <f t="shared" si="288"/>
        <v>1709</v>
      </c>
      <c r="AI1739" s="7">
        <f t="shared" ca="1" si="289"/>
        <v>44379</v>
      </c>
      <c r="AJ1739" s="210">
        <f t="shared" ca="1" si="290"/>
        <v>4.1749999999999998</v>
      </c>
      <c r="AK1739" s="8">
        <f t="shared" ca="1" si="291"/>
        <v>1.0001159722222221</v>
      </c>
      <c r="AL1739" s="98">
        <f t="shared" ca="1" si="292"/>
        <v>3.9520132573192868</v>
      </c>
      <c r="AM1739" s="106">
        <f t="shared" ca="1" si="286"/>
        <v>30171.463530592358</v>
      </c>
      <c r="AN1739" s="10">
        <f t="shared" ca="1" si="287"/>
        <v>0.91027420390821234</v>
      </c>
      <c r="AO1739" s="158"/>
      <c r="AP1739" s="158"/>
      <c r="AQ1739" s="1"/>
      <c r="AR1739" s="1"/>
      <c r="AS1739" s="1"/>
      <c r="AT1739" s="1"/>
      <c r="AU1739" s="1"/>
    </row>
    <row r="1740" spans="34:47">
      <c r="AH1740" s="6">
        <f t="shared" si="288"/>
        <v>1710</v>
      </c>
      <c r="AI1740" s="7">
        <f t="shared" ca="1" si="289"/>
        <v>44380</v>
      </c>
      <c r="AJ1740" s="210">
        <f t="shared" ca="1" si="290"/>
        <v>4.1749999999999998</v>
      </c>
      <c r="AK1740" s="8">
        <f t="shared" ca="1" si="291"/>
        <v>1.0001159722222221</v>
      </c>
      <c r="AL1740" s="98">
        <f t="shared" ca="1" si="292"/>
        <v>3.9522301714197683</v>
      </c>
      <c r="AM1740" s="106">
        <f t="shared" ca="1" si="286"/>
        <v>30173.949703515413</v>
      </c>
      <c r="AN1740" s="10">
        <f t="shared" ca="1" si="287"/>
        <v>0.9104624842324549</v>
      </c>
      <c r="AO1740" s="158"/>
      <c r="AP1740" s="158"/>
      <c r="AQ1740" s="1"/>
      <c r="AR1740" s="1"/>
      <c r="AS1740" s="1"/>
      <c r="AT1740" s="1"/>
      <c r="AU1740" s="1"/>
    </row>
    <row r="1741" spans="34:47">
      <c r="AH1741" s="6">
        <f t="shared" si="288"/>
        <v>1711</v>
      </c>
      <c r="AI1741" s="7">
        <f t="shared" ca="1" si="289"/>
        <v>44381</v>
      </c>
      <c r="AJ1741" s="210">
        <f t="shared" ca="1" si="290"/>
        <v>4.1749999999999998</v>
      </c>
      <c r="AK1741" s="8">
        <f t="shared" ca="1" si="291"/>
        <v>1.0001159722222221</v>
      </c>
      <c r="AL1741" s="98">
        <f t="shared" ca="1" si="292"/>
        <v>3.9524468324196649</v>
      </c>
      <c r="AM1741" s="106">
        <f t="shared" ca="1" si="286"/>
        <v>30176.436081302763</v>
      </c>
      <c r="AN1741" s="10">
        <f t="shared" ca="1" si="287"/>
        <v>0.9106505448251756</v>
      </c>
      <c r="AO1741" s="158"/>
      <c r="AP1741" s="158"/>
      <c r="AQ1741" s="1"/>
      <c r="AR1741" s="1"/>
      <c r="AS1741" s="1"/>
      <c r="AT1741" s="1"/>
      <c r="AU1741" s="1"/>
    </row>
    <row r="1742" spans="34:47">
      <c r="AH1742" s="6">
        <f t="shared" si="288"/>
        <v>1712</v>
      </c>
      <c r="AI1742" s="7">
        <f t="shared" ca="1" si="289"/>
        <v>44382</v>
      </c>
      <c r="AJ1742" s="210">
        <f t="shared" ca="1" si="290"/>
        <v>4.1749999999999998</v>
      </c>
      <c r="AK1742" s="8">
        <f t="shared" ca="1" si="291"/>
        <v>1.0001159722222221</v>
      </c>
      <c r="AL1742" s="98">
        <f t="shared" ca="1" si="292"/>
        <v>3.9526632407616891</v>
      </c>
      <c r="AM1742" s="106">
        <f t="shared" ca="1" si="286"/>
        <v>30178.922663971298</v>
      </c>
      <c r="AN1742" s="10">
        <f t="shared" ca="1" si="287"/>
        <v>0.91083838607080025</v>
      </c>
      <c r="AO1742" s="158"/>
      <c r="AP1742" s="158"/>
      <c r="AQ1742" s="1"/>
      <c r="AR1742" s="1"/>
      <c r="AS1742" s="1"/>
      <c r="AT1742" s="1"/>
      <c r="AU1742" s="1"/>
    </row>
    <row r="1743" spans="34:47">
      <c r="AH1743" s="6">
        <f t="shared" si="288"/>
        <v>1713</v>
      </c>
      <c r="AI1743" s="7">
        <f t="shared" ca="1" si="289"/>
        <v>44383</v>
      </c>
      <c r="AJ1743" s="210">
        <f t="shared" ca="1" si="290"/>
        <v>4.1749999999999998</v>
      </c>
      <c r="AK1743" s="8">
        <f t="shared" ca="1" si="291"/>
        <v>1.0001159722222221</v>
      </c>
      <c r="AL1743" s="98">
        <f t="shared" ca="1" si="292"/>
        <v>3.9528793968875542</v>
      </c>
      <c r="AM1743" s="106">
        <f t="shared" ca="1" si="286"/>
        <v>30181.4094515379</v>
      </c>
      <c r="AN1743" s="10">
        <f t="shared" ca="1" si="287"/>
        <v>0.91102600835286651</v>
      </c>
      <c r="AO1743" s="158"/>
      <c r="AP1743" s="158"/>
      <c r="AQ1743" s="1"/>
      <c r="AR1743" s="1"/>
      <c r="AS1743" s="1"/>
      <c r="AT1743" s="1"/>
      <c r="AU1743" s="1"/>
    </row>
    <row r="1744" spans="34:47">
      <c r="AH1744" s="6">
        <f t="shared" si="288"/>
        <v>1714</v>
      </c>
      <c r="AI1744" s="7">
        <f t="shared" ca="1" si="289"/>
        <v>44384</v>
      </c>
      <c r="AJ1744" s="210">
        <f t="shared" ca="1" si="290"/>
        <v>4.1749999999999998</v>
      </c>
      <c r="AK1744" s="8">
        <f t="shared" ca="1" si="291"/>
        <v>1.0001159722222221</v>
      </c>
      <c r="AL1744" s="98">
        <f t="shared" ca="1" si="292"/>
        <v>3.9530953012379078</v>
      </c>
      <c r="AM1744" s="106">
        <f t="shared" ca="1" si="286"/>
        <v>30183.89644401945</v>
      </c>
      <c r="AN1744" s="10">
        <f t="shared" ca="1" si="287"/>
        <v>0.91121341205402384</v>
      </c>
      <c r="AO1744" s="158"/>
      <c r="AP1744" s="158"/>
      <c r="AQ1744" s="1"/>
      <c r="AR1744" s="1"/>
      <c r="AS1744" s="1"/>
      <c r="AT1744" s="1"/>
      <c r="AU1744" s="1"/>
    </row>
    <row r="1745" spans="34:47">
      <c r="AH1745" s="6">
        <f t="shared" si="288"/>
        <v>1715</v>
      </c>
      <c r="AI1745" s="7">
        <f t="shared" ca="1" si="289"/>
        <v>44385</v>
      </c>
      <c r="AJ1745" s="210">
        <f t="shared" ca="1" si="290"/>
        <v>4.1749999999999998</v>
      </c>
      <c r="AK1745" s="8">
        <f t="shared" ca="1" si="291"/>
        <v>1.0001159722222221</v>
      </c>
      <c r="AL1745" s="98">
        <f t="shared" ca="1" si="292"/>
        <v>3.9533109542523981</v>
      </c>
      <c r="AM1745" s="106">
        <f t="shared" ca="1" si="286"/>
        <v>30186.38364143284</v>
      </c>
      <c r="AN1745" s="10">
        <f t="shared" ca="1" si="287"/>
        <v>0.91140059755598912</v>
      </c>
      <c r="AO1745" s="158"/>
      <c r="AP1745" s="158"/>
      <c r="AQ1745" s="1"/>
      <c r="AR1745" s="1"/>
      <c r="AS1745" s="1"/>
      <c r="AT1745" s="1"/>
      <c r="AU1745" s="1"/>
    </row>
    <row r="1746" spans="34:47">
      <c r="AH1746" s="6">
        <f t="shared" si="288"/>
        <v>1716</v>
      </c>
      <c r="AI1746" s="7">
        <f t="shared" ca="1" si="289"/>
        <v>44386</v>
      </c>
      <c r="AJ1746" s="210">
        <f t="shared" ca="1" si="290"/>
        <v>4.1749999999999998</v>
      </c>
      <c r="AK1746" s="8">
        <f t="shared" ca="1" si="291"/>
        <v>1.0001159722222221</v>
      </c>
      <c r="AL1746" s="98">
        <f t="shared" ca="1" si="292"/>
        <v>3.9535263563696521</v>
      </c>
      <c r="AM1746" s="106">
        <f t="shared" ca="1" si="286"/>
        <v>30188.871043794941</v>
      </c>
      <c r="AN1746" s="10">
        <f t="shared" ca="1" si="287"/>
        <v>0.91158756523965767</v>
      </c>
      <c r="AO1746" s="158"/>
      <c r="AP1746" s="158"/>
      <c r="AQ1746" s="1"/>
      <c r="AR1746" s="1"/>
      <c r="AS1746" s="1"/>
      <c r="AT1746" s="1"/>
      <c r="AU1746" s="1"/>
    </row>
    <row r="1747" spans="34:47">
      <c r="AH1747" s="6">
        <f t="shared" si="288"/>
        <v>1717</v>
      </c>
      <c r="AI1747" s="7">
        <f t="shared" ca="1" si="289"/>
        <v>44387</v>
      </c>
      <c r="AJ1747" s="210">
        <f t="shared" ca="1" si="290"/>
        <v>4.1749999999999998</v>
      </c>
      <c r="AK1747" s="8">
        <f t="shared" ca="1" si="291"/>
        <v>1.0001159722222221</v>
      </c>
      <c r="AL1747" s="98">
        <f t="shared" ca="1" si="292"/>
        <v>3.9537415080272531</v>
      </c>
      <c r="AM1747" s="106">
        <f t="shared" ca="1" si="286"/>
        <v>30191.278402525561</v>
      </c>
      <c r="AN1747" s="10">
        <f t="shared" ca="1" si="287"/>
        <v>0.91183133452528153</v>
      </c>
      <c r="AO1747" s="158"/>
      <c r="AP1747" s="158"/>
      <c r="AQ1747" s="1"/>
      <c r="AR1747" s="1"/>
      <c r="AS1747" s="1"/>
      <c r="AT1747" s="1"/>
      <c r="AU1747" s="1"/>
    </row>
    <row r="1748" spans="34:47">
      <c r="AH1748" s="6">
        <f t="shared" si="288"/>
        <v>1718</v>
      </c>
      <c r="AI1748" s="7">
        <f t="shared" ca="1" si="289"/>
        <v>44388</v>
      </c>
      <c r="AJ1748" s="210">
        <f t="shared" ca="1" si="290"/>
        <v>4.1749999999999998</v>
      </c>
      <c r="AK1748" s="8">
        <f t="shared" ca="1" si="291"/>
        <v>1.0001159722222221</v>
      </c>
      <c r="AL1748" s="98">
        <f t="shared" ca="1" si="292"/>
        <v>3.9539564096617852</v>
      </c>
      <c r="AM1748" s="106">
        <f t="shared" ca="1" si="286"/>
        <v>30193.685953226792</v>
      </c>
      <c r="AN1748" s="10">
        <f t="shared" ca="1" si="287"/>
        <v>0.91207482061608225</v>
      </c>
      <c r="AO1748" s="158"/>
      <c r="AP1748" s="158"/>
      <c r="AQ1748" s="1"/>
      <c r="AR1748" s="1"/>
      <c r="AS1748" s="1"/>
      <c r="AT1748" s="1"/>
      <c r="AU1748" s="1"/>
    </row>
    <row r="1749" spans="34:47">
      <c r="AH1749" s="6">
        <f t="shared" si="288"/>
        <v>1719</v>
      </c>
      <c r="AI1749" s="7">
        <f t="shared" ca="1" si="289"/>
        <v>44389</v>
      </c>
      <c r="AJ1749" s="210">
        <f t="shared" ca="1" si="290"/>
        <v>4.1749999999999998</v>
      </c>
      <c r="AK1749" s="8">
        <f t="shared" ca="1" si="291"/>
        <v>1.0001159722222221</v>
      </c>
      <c r="AL1749" s="98">
        <f t="shared" ca="1" si="292"/>
        <v>3.9541710617088333</v>
      </c>
      <c r="AM1749" s="106">
        <f t="shared" ca="1" si="286"/>
        <v>30196.093695913944</v>
      </c>
      <c r="AN1749" s="10">
        <f t="shared" ca="1" si="287"/>
        <v>0.9123180240053097</v>
      </c>
      <c r="AO1749" s="158"/>
      <c r="AP1749" s="158"/>
      <c r="AQ1749" s="1"/>
      <c r="AR1749" s="1"/>
      <c r="AS1749" s="1"/>
      <c r="AT1749" s="1"/>
      <c r="AU1749" s="1"/>
    </row>
    <row r="1750" spans="34:47">
      <c r="AH1750" s="6">
        <f t="shared" si="288"/>
        <v>1720</v>
      </c>
      <c r="AI1750" s="7">
        <f t="shared" ca="1" si="289"/>
        <v>44390</v>
      </c>
      <c r="AJ1750" s="210">
        <f t="shared" ca="1" si="290"/>
        <v>4.1749999999999998</v>
      </c>
      <c r="AK1750" s="8">
        <f t="shared" ca="1" si="291"/>
        <v>1.0001159722222221</v>
      </c>
      <c r="AL1750" s="98">
        <f t="shared" ca="1" si="292"/>
        <v>3.9543854646029164</v>
      </c>
      <c r="AM1750" s="106">
        <f t="shared" ca="1" si="286"/>
        <v>30198.501630602324</v>
      </c>
      <c r="AN1750" s="10">
        <f t="shared" ca="1" si="287"/>
        <v>0.91256094518499253</v>
      </c>
      <c r="AO1750" s="158"/>
      <c r="AP1750" s="158"/>
      <c r="AQ1750" s="1"/>
      <c r="AR1750" s="1"/>
      <c r="AS1750" s="1"/>
      <c r="AT1750" s="1"/>
      <c r="AU1750" s="1"/>
    </row>
    <row r="1751" spans="34:47">
      <c r="AH1751" s="6">
        <f t="shared" si="288"/>
        <v>1721</v>
      </c>
      <c r="AI1751" s="7">
        <f t="shared" ca="1" si="289"/>
        <v>44391</v>
      </c>
      <c r="AJ1751" s="210">
        <f t="shared" ca="1" si="290"/>
        <v>4.1749999999999998</v>
      </c>
      <c r="AK1751" s="8">
        <f t="shared" ca="1" si="291"/>
        <v>1.0001159722222221</v>
      </c>
      <c r="AL1751" s="98">
        <f t="shared" ca="1" si="292"/>
        <v>3.9545996187776211</v>
      </c>
      <c r="AM1751" s="106">
        <f t="shared" ca="1" si="286"/>
        <v>30200.909757307247</v>
      </c>
      <c r="AN1751" s="10">
        <f t="shared" ca="1" si="287"/>
        <v>0.91280358464609357</v>
      </c>
      <c r="AO1751" s="158"/>
      <c r="AP1751" s="158"/>
      <c r="AQ1751" s="1"/>
      <c r="AR1751" s="1"/>
      <c r="AS1751" s="1"/>
      <c r="AT1751" s="1"/>
      <c r="AU1751" s="1"/>
    </row>
    <row r="1752" spans="34:47">
      <c r="AH1752" s="6">
        <f t="shared" si="288"/>
        <v>1722</v>
      </c>
      <c r="AI1752" s="7">
        <f t="shared" ca="1" si="289"/>
        <v>44392</v>
      </c>
      <c r="AJ1752" s="210">
        <f t="shared" ca="1" si="290"/>
        <v>4.1749999999999998</v>
      </c>
      <c r="AK1752" s="8">
        <f t="shared" ca="1" si="291"/>
        <v>1.0001159722222221</v>
      </c>
      <c r="AL1752" s="98">
        <f t="shared" ca="1" si="292"/>
        <v>3.9548135246654459</v>
      </c>
      <c r="AM1752" s="106">
        <f t="shared" ca="1" si="286"/>
        <v>30203.318076044023</v>
      </c>
      <c r="AN1752" s="10">
        <f t="shared" ca="1" si="287"/>
        <v>0.91304594287835439</v>
      </c>
      <c r="AO1752" s="158"/>
      <c r="AP1752" s="158"/>
      <c r="AQ1752" s="1"/>
      <c r="AR1752" s="1"/>
      <c r="AS1752" s="1"/>
      <c r="AT1752" s="1"/>
      <c r="AU1752" s="1"/>
    </row>
    <row r="1753" spans="34:47">
      <c r="AH1753" s="6">
        <f t="shared" si="288"/>
        <v>1723</v>
      </c>
      <c r="AI1753" s="7">
        <f t="shared" ca="1" si="289"/>
        <v>44393</v>
      </c>
      <c r="AJ1753" s="210">
        <f t="shared" ca="1" si="290"/>
        <v>4.1749999999999998</v>
      </c>
      <c r="AK1753" s="8">
        <f t="shared" ca="1" si="291"/>
        <v>1.0001159722222221</v>
      </c>
      <c r="AL1753" s="98">
        <f t="shared" ca="1" si="292"/>
        <v>3.9550271826979566</v>
      </c>
      <c r="AM1753" s="106">
        <f t="shared" ca="1" si="286"/>
        <v>30205.726586827965</v>
      </c>
      <c r="AN1753" s="10">
        <f t="shared" ca="1" si="287"/>
        <v>0.91328802037045076</v>
      </c>
      <c r="AO1753" s="158"/>
      <c r="AP1753" s="158"/>
      <c r="AQ1753" s="1"/>
      <c r="AR1753" s="1"/>
      <c r="AS1753" s="1"/>
      <c r="AT1753" s="1"/>
      <c r="AU1753" s="1"/>
    </row>
    <row r="1754" spans="34:47">
      <c r="AH1754" s="6">
        <f t="shared" si="288"/>
        <v>1724</v>
      </c>
      <c r="AI1754" s="7">
        <f t="shared" ca="1" si="289"/>
        <v>44394</v>
      </c>
      <c r="AJ1754" s="210">
        <f t="shared" ca="1" si="290"/>
        <v>4.1749999999999998</v>
      </c>
      <c r="AK1754" s="8">
        <f t="shared" ca="1" si="291"/>
        <v>1.0001159722222221</v>
      </c>
      <c r="AL1754" s="98">
        <f t="shared" ca="1" si="292"/>
        <v>3.9552405933056978</v>
      </c>
      <c r="AM1754" s="106">
        <f t="shared" ca="1" si="286"/>
        <v>30208.135289674385</v>
      </c>
      <c r="AN1754" s="10">
        <f t="shared" ca="1" si="287"/>
        <v>0.91352981760990382</v>
      </c>
      <c r="AO1754" s="158"/>
      <c r="AP1754" s="158"/>
      <c r="AQ1754" s="1"/>
      <c r="AR1754" s="1"/>
      <c r="AS1754" s="1"/>
      <c r="AT1754" s="1"/>
      <c r="AU1754" s="1"/>
    </row>
    <row r="1755" spans="34:47">
      <c r="AH1755" s="6">
        <f t="shared" si="288"/>
        <v>1725</v>
      </c>
      <c r="AI1755" s="7">
        <f t="shared" ca="1" si="289"/>
        <v>44395</v>
      </c>
      <c r="AJ1755" s="210">
        <f t="shared" ca="1" si="290"/>
        <v>4.1749999999999998</v>
      </c>
      <c r="AK1755" s="8">
        <f t="shared" ca="1" si="291"/>
        <v>1.0001159722222221</v>
      </c>
      <c r="AL1755" s="98">
        <f t="shared" ca="1" si="292"/>
        <v>3.9554537569181925</v>
      </c>
      <c r="AM1755" s="106">
        <f t="shared" ca="1" si="286"/>
        <v>30210.544184598606</v>
      </c>
      <c r="AN1755" s="10">
        <f t="shared" ca="1" si="287"/>
        <v>0.91377133508308006</v>
      </c>
      <c r="AO1755" s="158"/>
      <c r="AP1755" s="158"/>
      <c r="AQ1755" s="1"/>
      <c r="AR1755" s="1"/>
      <c r="AS1755" s="1"/>
      <c r="AT1755" s="1"/>
      <c r="AU1755" s="1"/>
    </row>
    <row r="1756" spans="34:47">
      <c r="AH1756" s="6">
        <f t="shared" si="288"/>
        <v>1726</v>
      </c>
      <c r="AI1756" s="7">
        <f t="shared" ca="1" si="289"/>
        <v>44396</v>
      </c>
      <c r="AJ1756" s="210">
        <f t="shared" ca="1" si="290"/>
        <v>4.1749999999999998</v>
      </c>
      <c r="AK1756" s="8">
        <f t="shared" ca="1" si="291"/>
        <v>1.0001159722222221</v>
      </c>
      <c r="AL1756" s="98">
        <f t="shared" ca="1" si="292"/>
        <v>3.955666673964009</v>
      </c>
      <c r="AM1756" s="106">
        <f t="shared" ca="1" si="286"/>
        <v>30212.953271615937</v>
      </c>
      <c r="AN1756" s="10">
        <f t="shared" ca="1" si="287"/>
        <v>0.91401257327525798</v>
      </c>
      <c r="AO1756" s="158"/>
      <c r="AP1756" s="158"/>
      <c r="AQ1756" s="1"/>
      <c r="AR1756" s="1"/>
      <c r="AS1756" s="1"/>
      <c r="AT1756" s="1"/>
      <c r="AU1756" s="1"/>
    </row>
    <row r="1757" spans="34:47">
      <c r="AH1757" s="6">
        <f t="shared" si="288"/>
        <v>1727</v>
      </c>
      <c r="AI1757" s="7">
        <f t="shared" ca="1" si="289"/>
        <v>44397</v>
      </c>
      <c r="AJ1757" s="210">
        <f t="shared" ca="1" si="290"/>
        <v>4.1749999999999998</v>
      </c>
      <c r="AK1757" s="8">
        <f t="shared" ca="1" si="291"/>
        <v>1.0001159722222221</v>
      </c>
      <c r="AL1757" s="98">
        <f t="shared" ca="1" si="292"/>
        <v>3.9558793448706941</v>
      </c>
      <c r="AM1757" s="106">
        <f t="shared" ca="1" si="286"/>
        <v>30215.362550741705</v>
      </c>
      <c r="AN1757" s="10">
        <f t="shared" ca="1" si="287"/>
        <v>0.91425353267058362</v>
      </c>
      <c r="AO1757" s="158"/>
      <c r="AP1757" s="158"/>
      <c r="AQ1757" s="1"/>
      <c r="AR1757" s="1"/>
      <c r="AS1757" s="1"/>
      <c r="AT1757" s="1"/>
      <c r="AU1757" s="1"/>
    </row>
    <row r="1758" spans="34:47">
      <c r="AH1758" s="6">
        <f t="shared" si="288"/>
        <v>1728</v>
      </c>
      <c r="AI1758" s="7">
        <f t="shared" ca="1" si="289"/>
        <v>44398</v>
      </c>
      <c r="AJ1758" s="210">
        <f t="shared" ca="1" si="290"/>
        <v>4.1749999999999998</v>
      </c>
      <c r="AK1758" s="8">
        <f t="shared" ca="1" si="291"/>
        <v>1.0001159722222221</v>
      </c>
      <c r="AL1758" s="98">
        <f t="shared" ca="1" si="292"/>
        <v>3.9560917700648179</v>
      </c>
      <c r="AM1758" s="106">
        <f t="shared" ca="1" si="286"/>
        <v>30217.772021991223</v>
      </c>
      <c r="AN1758" s="10">
        <f t="shared" ca="1" si="287"/>
        <v>0.91449421375207063</v>
      </c>
      <c r="AO1758" s="158"/>
      <c r="AP1758" s="158"/>
      <c r="AQ1758" s="1"/>
      <c r="AR1758" s="1"/>
      <c r="AS1758" s="1"/>
      <c r="AT1758" s="1"/>
      <c r="AU1758" s="1"/>
    </row>
    <row r="1759" spans="34:47">
      <c r="AH1759" s="6">
        <f t="shared" si="288"/>
        <v>1729</v>
      </c>
      <c r="AI1759" s="7">
        <f t="shared" ca="1" si="289"/>
        <v>44399</v>
      </c>
      <c r="AJ1759" s="210">
        <f t="shared" ca="1" si="290"/>
        <v>4.1749999999999998</v>
      </c>
      <c r="AK1759" s="8">
        <f t="shared" ca="1" si="291"/>
        <v>1.0001159722222221</v>
      </c>
      <c r="AL1759" s="98">
        <f t="shared" ca="1" si="292"/>
        <v>3.9563039499719732</v>
      </c>
      <c r="AM1759" s="106">
        <f t="shared" ref="AM1759:AM1822" ca="1" si="293">Geom_Interp(AI1759,$AZ$2:$AZ$109,$BA$2:$BA$109)</f>
        <v>30220.181685379808</v>
      </c>
      <c r="AN1759" s="10">
        <f t="shared" ref="AN1759:AN1822" ca="1" si="294">100*(((1+AL1759/100)^(AH1759/365)*$AM$29/AM1759)^(365/AH1759)-1)</f>
        <v>0.9147346170016224</v>
      </c>
      <c r="AO1759" s="158"/>
      <c r="AP1759" s="158"/>
      <c r="AQ1759" s="1"/>
      <c r="AR1759" s="1"/>
      <c r="AS1759" s="1"/>
      <c r="AT1759" s="1"/>
      <c r="AU1759" s="1"/>
    </row>
    <row r="1760" spans="34:47">
      <c r="AH1760" s="6">
        <f t="shared" ref="AH1760:AH1823" si="295">$AI$29+AH1759</f>
        <v>1730</v>
      </c>
      <c r="AI1760" s="7">
        <f t="shared" ref="AI1760:AI1823" ca="1" si="296">+AH1760+$C$1</f>
        <v>44400</v>
      </c>
      <c r="AJ1760" s="210">
        <f t="shared" ref="AJ1760:AJ1823" ca="1" si="297">IF(AH1760&lt;365,VLOOKUP(LOOKUP(AI1760,$AI$2:$AI$23),$AI$2:$AK$23,3,0),Lin_Interp(AH1760,$AJ$2:$AJ$23,$AK$2:$AK$23))</f>
        <v>4.1749999999999998</v>
      </c>
      <c r="AK1760" s="8">
        <f t="shared" ca="1" si="291"/>
        <v>1.0001159722222221</v>
      </c>
      <c r="AL1760" s="98">
        <f t="shared" ca="1" si="292"/>
        <v>3.9565158850167537</v>
      </c>
      <c r="AM1760" s="106">
        <f t="shared" ca="1" si="293"/>
        <v>30222.591540922785</v>
      </c>
      <c r="AN1760" s="10">
        <f t="shared" ca="1" si="294"/>
        <v>0.91497474290007652</v>
      </c>
      <c r="AO1760" s="158"/>
      <c r="AP1760" s="158"/>
      <c r="AQ1760" s="1"/>
      <c r="AR1760" s="1"/>
      <c r="AS1760" s="1"/>
      <c r="AT1760" s="1"/>
      <c r="AU1760" s="1"/>
    </row>
    <row r="1761" spans="34:47">
      <c r="AH1761" s="6">
        <f t="shared" si="295"/>
        <v>1731</v>
      </c>
      <c r="AI1761" s="7">
        <f t="shared" ca="1" si="296"/>
        <v>44401</v>
      </c>
      <c r="AJ1761" s="210">
        <f t="shared" ca="1" si="297"/>
        <v>4.1749999999999998</v>
      </c>
      <c r="AK1761" s="8">
        <f t="shared" ref="AK1761:AK1824" ca="1" si="298">+(1+AJ1761/36000)</f>
        <v>1.0001159722222221</v>
      </c>
      <c r="AL1761" s="98">
        <f t="shared" ref="AL1761:AL1824" ca="1" si="299">100*(((1+AL1760/100)^(AH1760/365)*AK1761)^(365/AH1761)-1)</f>
        <v>3.956727575622776</v>
      </c>
      <c r="AM1761" s="106">
        <f t="shared" ca="1" si="293"/>
        <v>30225.001588635481</v>
      </c>
      <c r="AN1761" s="10">
        <f t="shared" ca="1" si="294"/>
        <v>0.91521459192707155</v>
      </c>
      <c r="AO1761" s="158"/>
      <c r="AP1761" s="158"/>
      <c r="AQ1761" s="1"/>
      <c r="AR1761" s="1"/>
      <c r="AS1761" s="1"/>
      <c r="AT1761" s="1"/>
      <c r="AU1761" s="1"/>
    </row>
    <row r="1762" spans="34:47">
      <c r="AH1762" s="6">
        <f t="shared" si="295"/>
        <v>1732</v>
      </c>
      <c r="AI1762" s="7">
        <f t="shared" ca="1" si="296"/>
        <v>44402</v>
      </c>
      <c r="AJ1762" s="210">
        <f t="shared" ca="1" si="297"/>
        <v>4.1749999999999998</v>
      </c>
      <c r="AK1762" s="8">
        <f t="shared" ca="1" si="298"/>
        <v>1.0001159722222221</v>
      </c>
      <c r="AL1762" s="98">
        <f t="shared" ca="1" si="299"/>
        <v>3.9569390222127021</v>
      </c>
      <c r="AM1762" s="106">
        <f t="shared" ca="1" si="293"/>
        <v>30227.411828533219</v>
      </c>
      <c r="AN1762" s="10">
        <f t="shared" ca="1" si="294"/>
        <v>0.91545416456122464</v>
      </c>
      <c r="AO1762" s="158"/>
      <c r="AP1762" s="158"/>
      <c r="AQ1762" s="1"/>
      <c r="AR1762" s="1"/>
      <c r="AS1762" s="1"/>
      <c r="AT1762" s="1"/>
      <c r="AU1762" s="1"/>
    </row>
    <row r="1763" spans="34:47">
      <c r="AH1763" s="6">
        <f t="shared" si="295"/>
        <v>1733</v>
      </c>
      <c r="AI1763" s="7">
        <f t="shared" ca="1" si="296"/>
        <v>44403</v>
      </c>
      <c r="AJ1763" s="210">
        <f t="shared" ca="1" si="297"/>
        <v>4.1749999999999998</v>
      </c>
      <c r="AK1763" s="8">
        <f t="shared" ca="1" si="298"/>
        <v>1.0001159722222221</v>
      </c>
      <c r="AL1763" s="98">
        <f t="shared" ca="1" si="299"/>
        <v>3.9571502252082169</v>
      </c>
      <c r="AM1763" s="106">
        <f t="shared" ca="1" si="293"/>
        <v>30229.822260631317</v>
      </c>
      <c r="AN1763" s="10">
        <f t="shared" ca="1" si="294"/>
        <v>0.91569346127999829</v>
      </c>
      <c r="AO1763" s="158"/>
      <c r="AP1763" s="158"/>
      <c r="AQ1763" s="1"/>
      <c r="AR1763" s="1"/>
      <c r="AS1763" s="1"/>
      <c r="AT1763" s="1"/>
      <c r="AU1763" s="1"/>
    </row>
    <row r="1764" spans="34:47">
      <c r="AH1764" s="6">
        <f t="shared" si="295"/>
        <v>1734</v>
      </c>
      <c r="AI1764" s="7">
        <f t="shared" ca="1" si="296"/>
        <v>44404</v>
      </c>
      <c r="AJ1764" s="210">
        <f t="shared" ca="1" si="297"/>
        <v>4.1749999999999998</v>
      </c>
      <c r="AK1764" s="8">
        <f t="shared" ca="1" si="298"/>
        <v>1.0001159722222221</v>
      </c>
      <c r="AL1764" s="98">
        <f t="shared" ca="1" si="299"/>
        <v>3.9573611850300061</v>
      </c>
      <c r="AM1764" s="106">
        <f t="shared" ca="1" si="293"/>
        <v>30232.232884945115</v>
      </c>
      <c r="AN1764" s="10">
        <f t="shared" ca="1" si="294"/>
        <v>0.91593248255981141</v>
      </c>
      <c r="AO1764" s="158"/>
      <c r="AP1764" s="158"/>
      <c r="AQ1764" s="1"/>
      <c r="AR1764" s="1"/>
      <c r="AS1764" s="1"/>
      <c r="AT1764" s="1"/>
      <c r="AU1764" s="1"/>
    </row>
    <row r="1765" spans="34:47">
      <c r="AH1765" s="6">
        <f t="shared" si="295"/>
        <v>1735</v>
      </c>
      <c r="AI1765" s="7">
        <f t="shared" ca="1" si="296"/>
        <v>44405</v>
      </c>
      <c r="AJ1765" s="210">
        <f t="shared" ca="1" si="297"/>
        <v>4.1749999999999998</v>
      </c>
      <c r="AK1765" s="8">
        <f t="shared" ca="1" si="298"/>
        <v>1.0001159722222221</v>
      </c>
      <c r="AL1765" s="98">
        <f t="shared" ca="1" si="299"/>
        <v>3.9575719020978006</v>
      </c>
      <c r="AM1765" s="106">
        <f t="shared" ca="1" si="293"/>
        <v>30234.643701489927</v>
      </c>
      <c r="AN1765" s="10">
        <f t="shared" ca="1" si="294"/>
        <v>0.91617122887590607</v>
      </c>
      <c r="AO1765" s="158"/>
      <c r="AP1765" s="158"/>
      <c r="AQ1765" s="1"/>
      <c r="AR1765" s="1"/>
      <c r="AS1765" s="1"/>
      <c r="AT1765" s="1"/>
      <c r="AU1765" s="1"/>
    </row>
    <row r="1766" spans="34:47">
      <c r="AH1766" s="6">
        <f t="shared" si="295"/>
        <v>1736</v>
      </c>
      <c r="AI1766" s="7">
        <f t="shared" ca="1" si="296"/>
        <v>44406</v>
      </c>
      <c r="AJ1766" s="210">
        <f t="shared" ca="1" si="297"/>
        <v>4.1749999999999998</v>
      </c>
      <c r="AK1766" s="8">
        <f t="shared" ca="1" si="298"/>
        <v>1.0001159722222221</v>
      </c>
      <c r="AL1766" s="98">
        <f t="shared" ca="1" si="299"/>
        <v>3.9577823768303766</v>
      </c>
      <c r="AM1766" s="106">
        <f t="shared" ca="1" si="293"/>
        <v>30237.054710281089</v>
      </c>
      <c r="AN1766" s="10">
        <f t="shared" ca="1" si="294"/>
        <v>0.91640970070250294</v>
      </c>
      <c r="AO1766" s="158"/>
      <c r="AP1766" s="158"/>
      <c r="AQ1766" s="1"/>
      <c r="AR1766" s="1"/>
      <c r="AS1766" s="1"/>
      <c r="AT1766" s="1"/>
      <c r="AU1766" s="1"/>
    </row>
    <row r="1767" spans="34:47">
      <c r="AH1767" s="6">
        <f t="shared" si="295"/>
        <v>1737</v>
      </c>
      <c r="AI1767" s="7">
        <f t="shared" ca="1" si="296"/>
        <v>44407</v>
      </c>
      <c r="AJ1767" s="210">
        <f t="shared" ca="1" si="297"/>
        <v>4.1749999999999998</v>
      </c>
      <c r="AK1767" s="8">
        <f t="shared" ca="1" si="298"/>
        <v>1.0001159722222221</v>
      </c>
      <c r="AL1767" s="98">
        <f t="shared" ca="1" si="299"/>
        <v>3.9579926096455331</v>
      </c>
      <c r="AM1767" s="106">
        <f t="shared" ca="1" si="293"/>
        <v>30239.465911333937</v>
      </c>
      <c r="AN1767" s="10">
        <f t="shared" ca="1" si="294"/>
        <v>0.91664789851266804</v>
      </c>
      <c r="AO1767" s="158"/>
      <c r="AP1767" s="158"/>
      <c r="AQ1767" s="1"/>
      <c r="AR1767" s="1"/>
      <c r="AS1767" s="1"/>
      <c r="AT1767" s="1"/>
      <c r="AU1767" s="1"/>
    </row>
    <row r="1768" spans="34:47">
      <c r="AH1768" s="6">
        <f t="shared" si="295"/>
        <v>1738</v>
      </c>
      <c r="AI1768" s="7">
        <f t="shared" ca="1" si="296"/>
        <v>44408</v>
      </c>
      <c r="AJ1768" s="210">
        <f t="shared" ca="1" si="297"/>
        <v>4.1749999999999998</v>
      </c>
      <c r="AK1768" s="8">
        <f t="shared" ca="1" si="298"/>
        <v>1.0001159722222221</v>
      </c>
      <c r="AL1768" s="98">
        <f t="shared" ca="1" si="299"/>
        <v>3.9582026009601146</v>
      </c>
      <c r="AM1768" s="106">
        <f t="shared" ca="1" si="293"/>
        <v>30241.877304663794</v>
      </c>
      <c r="AN1768" s="10">
        <f t="shared" ca="1" si="294"/>
        <v>0.91688582277844599</v>
      </c>
      <c r="AO1768" s="158"/>
      <c r="AP1768" s="158"/>
      <c r="AQ1768" s="1"/>
      <c r="AR1768" s="1"/>
      <c r="AS1768" s="1"/>
      <c r="AT1768" s="1"/>
      <c r="AU1768" s="1"/>
    </row>
    <row r="1769" spans="34:47">
      <c r="AH1769" s="6">
        <f t="shared" si="295"/>
        <v>1739</v>
      </c>
      <c r="AI1769" s="7">
        <f t="shared" ca="1" si="296"/>
        <v>44409</v>
      </c>
      <c r="AJ1769" s="210">
        <f t="shared" ca="1" si="297"/>
        <v>4.1749999999999998</v>
      </c>
      <c r="AK1769" s="8">
        <f t="shared" ca="1" si="298"/>
        <v>1.0001159722222221</v>
      </c>
      <c r="AL1769" s="98">
        <f t="shared" ca="1" si="299"/>
        <v>3.9584123511900104</v>
      </c>
      <c r="AM1769" s="106">
        <f t="shared" ca="1" si="293"/>
        <v>30244.288890285992</v>
      </c>
      <c r="AN1769" s="10">
        <f t="shared" ca="1" si="294"/>
        <v>0.91712347397077121</v>
      </c>
      <c r="AO1769" s="158"/>
      <c r="AP1769" s="158"/>
      <c r="AQ1769" s="1"/>
      <c r="AR1769" s="1"/>
      <c r="AS1769" s="1"/>
      <c r="AT1769" s="1"/>
      <c r="AU1769" s="1"/>
    </row>
    <row r="1770" spans="34:47">
      <c r="AH1770" s="6">
        <f t="shared" si="295"/>
        <v>1740</v>
      </c>
      <c r="AI1770" s="7">
        <f t="shared" ca="1" si="296"/>
        <v>44410</v>
      </c>
      <c r="AJ1770" s="210">
        <f t="shared" ca="1" si="297"/>
        <v>4.1749999999999998</v>
      </c>
      <c r="AK1770" s="8">
        <f t="shared" ca="1" si="298"/>
        <v>1.0001159722222221</v>
      </c>
      <c r="AL1770" s="98">
        <f t="shared" ca="1" si="299"/>
        <v>3.9586218607501555</v>
      </c>
      <c r="AM1770" s="106">
        <f t="shared" ca="1" si="293"/>
        <v>30246.700668215872</v>
      </c>
      <c r="AN1770" s="10">
        <f t="shared" ca="1" si="294"/>
        <v>0.91736085255949007</v>
      </c>
      <c r="AO1770" s="158"/>
      <c r="AP1770" s="158"/>
      <c r="AQ1770" s="1"/>
      <c r="AR1770" s="1"/>
      <c r="AS1770" s="1"/>
      <c r="AT1770" s="1"/>
      <c r="AU1770" s="1"/>
    </row>
    <row r="1771" spans="34:47">
      <c r="AH1771" s="6">
        <f t="shared" si="295"/>
        <v>1741</v>
      </c>
      <c r="AI1771" s="7">
        <f t="shared" ca="1" si="296"/>
        <v>44411</v>
      </c>
      <c r="AJ1771" s="210">
        <f t="shared" ca="1" si="297"/>
        <v>4.1749999999999998</v>
      </c>
      <c r="AK1771" s="8">
        <f t="shared" ca="1" si="298"/>
        <v>1.0001159722222221</v>
      </c>
      <c r="AL1771" s="98">
        <f t="shared" ca="1" si="299"/>
        <v>3.958831130054552</v>
      </c>
      <c r="AM1771" s="106">
        <f t="shared" ca="1" si="293"/>
        <v>30249.112638468767</v>
      </c>
      <c r="AN1771" s="10">
        <f t="shared" ca="1" si="294"/>
        <v>0.91759795901336094</v>
      </c>
      <c r="AO1771" s="158"/>
      <c r="AP1771" s="158"/>
      <c r="AQ1771" s="1"/>
      <c r="AR1771" s="1"/>
      <c r="AS1771" s="1"/>
      <c r="AT1771" s="1"/>
      <c r="AU1771" s="1"/>
    </row>
    <row r="1772" spans="34:47">
      <c r="AH1772" s="6">
        <f t="shared" si="295"/>
        <v>1742</v>
      </c>
      <c r="AI1772" s="7">
        <f t="shared" ca="1" si="296"/>
        <v>44412</v>
      </c>
      <c r="AJ1772" s="210">
        <f t="shared" ca="1" si="297"/>
        <v>4.1749999999999998</v>
      </c>
      <c r="AK1772" s="8">
        <f t="shared" ca="1" si="298"/>
        <v>1.0001159722222221</v>
      </c>
      <c r="AL1772" s="98">
        <f t="shared" ca="1" si="299"/>
        <v>3.9590401595162028</v>
      </c>
      <c r="AM1772" s="106">
        <f t="shared" ca="1" si="293"/>
        <v>30251.524801060008</v>
      </c>
      <c r="AN1772" s="10">
        <f t="shared" ca="1" si="294"/>
        <v>0.91783479380012079</v>
      </c>
      <c r="AO1772" s="158"/>
      <c r="AP1772" s="158"/>
      <c r="AQ1772" s="1"/>
      <c r="AR1772" s="1"/>
      <c r="AS1772" s="1"/>
      <c r="AT1772" s="1"/>
      <c r="AU1772" s="1"/>
    </row>
    <row r="1773" spans="34:47">
      <c r="AH1773" s="6">
        <f t="shared" si="295"/>
        <v>1743</v>
      </c>
      <c r="AI1773" s="7">
        <f t="shared" ca="1" si="296"/>
        <v>44413</v>
      </c>
      <c r="AJ1773" s="210">
        <f t="shared" ca="1" si="297"/>
        <v>4.1749999999999998</v>
      </c>
      <c r="AK1773" s="8">
        <f t="shared" ca="1" si="298"/>
        <v>1.0001159722222221</v>
      </c>
      <c r="AL1773" s="98">
        <f t="shared" ca="1" si="299"/>
        <v>3.9592489495472227</v>
      </c>
      <c r="AM1773" s="106">
        <f t="shared" ca="1" si="293"/>
        <v>30253.93715600494</v>
      </c>
      <c r="AN1773" s="10">
        <f t="shared" ca="1" si="294"/>
        <v>0.91807135738639634</v>
      </c>
      <c r="AO1773" s="158"/>
      <c r="AP1773" s="158"/>
      <c r="AQ1773" s="1"/>
      <c r="AR1773" s="1"/>
      <c r="AS1773" s="1"/>
      <c r="AT1773" s="1"/>
      <c r="AU1773" s="1"/>
    </row>
    <row r="1774" spans="34:47">
      <c r="AH1774" s="6">
        <f t="shared" si="295"/>
        <v>1744</v>
      </c>
      <c r="AI1774" s="7">
        <f t="shared" ca="1" si="296"/>
        <v>44414</v>
      </c>
      <c r="AJ1774" s="210">
        <f t="shared" ca="1" si="297"/>
        <v>4.1749999999999998</v>
      </c>
      <c r="AK1774" s="8">
        <f t="shared" ca="1" si="298"/>
        <v>1.0001159722222221</v>
      </c>
      <c r="AL1774" s="98">
        <f t="shared" ca="1" si="299"/>
        <v>3.9594575005587496</v>
      </c>
      <c r="AM1774" s="106">
        <f t="shared" ca="1" si="293"/>
        <v>30256.349703318894</v>
      </c>
      <c r="AN1774" s="10">
        <f t="shared" ca="1" si="294"/>
        <v>0.91830765023772631</v>
      </c>
      <c r="AO1774" s="158"/>
      <c r="AP1774" s="158"/>
      <c r="AQ1774" s="1"/>
      <c r="AR1774" s="1"/>
      <c r="AS1774" s="1"/>
      <c r="AT1774" s="1"/>
      <c r="AU1774" s="1"/>
    </row>
    <row r="1775" spans="34:47">
      <c r="AH1775" s="6">
        <f t="shared" si="295"/>
        <v>1745</v>
      </c>
      <c r="AI1775" s="7">
        <f t="shared" ca="1" si="296"/>
        <v>44415</v>
      </c>
      <c r="AJ1775" s="210">
        <f t="shared" ca="1" si="297"/>
        <v>4.1749999999999998</v>
      </c>
      <c r="AK1775" s="8">
        <f t="shared" ca="1" si="298"/>
        <v>1.0001159722222221</v>
      </c>
      <c r="AL1775" s="98">
        <f t="shared" ca="1" si="299"/>
        <v>3.9596658129609663</v>
      </c>
      <c r="AM1775" s="106">
        <f t="shared" ca="1" si="293"/>
        <v>30258.762443017222</v>
      </c>
      <c r="AN1775" s="10">
        <f t="shared" ca="1" si="294"/>
        <v>0.91854367281860583</v>
      </c>
      <c r="AO1775" s="158"/>
      <c r="AP1775" s="158"/>
      <c r="AQ1775" s="1"/>
      <c r="AR1775" s="1"/>
      <c r="AS1775" s="1"/>
      <c r="AT1775" s="1"/>
      <c r="AU1775" s="1"/>
    </row>
    <row r="1776" spans="34:47">
      <c r="AH1776" s="6">
        <f t="shared" si="295"/>
        <v>1746</v>
      </c>
      <c r="AI1776" s="7">
        <f t="shared" ca="1" si="296"/>
        <v>44416</v>
      </c>
      <c r="AJ1776" s="210">
        <f t="shared" ca="1" si="297"/>
        <v>4.1749999999999998</v>
      </c>
      <c r="AK1776" s="8">
        <f t="shared" ca="1" si="298"/>
        <v>1.0001159722222221</v>
      </c>
      <c r="AL1776" s="98">
        <f t="shared" ca="1" si="299"/>
        <v>3.9598738871631456</v>
      </c>
      <c r="AM1776" s="106">
        <f t="shared" ca="1" si="293"/>
        <v>30261.175375115254</v>
      </c>
      <c r="AN1776" s="10">
        <f t="shared" ca="1" si="294"/>
        <v>0.91877942559248638</v>
      </c>
      <c r="AO1776" s="158"/>
      <c r="AP1776" s="158"/>
      <c r="AQ1776" s="1"/>
      <c r="AR1776" s="1"/>
      <c r="AS1776" s="1"/>
      <c r="AT1776" s="1"/>
      <c r="AU1776" s="1"/>
    </row>
    <row r="1777" spans="34:47">
      <c r="AH1777" s="6">
        <f t="shared" si="295"/>
        <v>1747</v>
      </c>
      <c r="AI1777" s="7">
        <f t="shared" ca="1" si="296"/>
        <v>44417</v>
      </c>
      <c r="AJ1777" s="210">
        <f t="shared" ca="1" si="297"/>
        <v>4.1749999999999998</v>
      </c>
      <c r="AK1777" s="8">
        <f t="shared" ca="1" si="298"/>
        <v>1.0001159722222221</v>
      </c>
      <c r="AL1777" s="98">
        <f t="shared" ca="1" si="299"/>
        <v>3.9600817235736274</v>
      </c>
      <c r="AM1777" s="106">
        <f t="shared" ca="1" si="293"/>
        <v>30263.588499628335</v>
      </c>
      <c r="AN1777" s="10">
        <f t="shared" ca="1" si="294"/>
        <v>0.91901490902173144</v>
      </c>
      <c r="AO1777" s="158"/>
      <c r="AP1777" s="158"/>
      <c r="AQ1777" s="1"/>
      <c r="AR1777" s="1"/>
      <c r="AS1777" s="1"/>
      <c r="AT1777" s="1"/>
      <c r="AU1777" s="1"/>
    </row>
    <row r="1778" spans="34:47">
      <c r="AH1778" s="6">
        <f t="shared" si="295"/>
        <v>1748</v>
      </c>
      <c r="AI1778" s="7">
        <f t="shared" ca="1" si="296"/>
        <v>44418</v>
      </c>
      <c r="AJ1778" s="210">
        <f t="shared" ca="1" si="297"/>
        <v>4.1749999999999998</v>
      </c>
      <c r="AK1778" s="8">
        <f t="shared" ca="1" si="298"/>
        <v>1.0001159722222221</v>
      </c>
      <c r="AL1778" s="98">
        <f t="shared" ca="1" si="299"/>
        <v>3.9602893225998193</v>
      </c>
      <c r="AM1778" s="106">
        <f t="shared" ca="1" si="293"/>
        <v>30266.00181657181</v>
      </c>
      <c r="AN1778" s="10">
        <f t="shared" ca="1" si="294"/>
        <v>0.9192501235676831</v>
      </c>
      <c r="AO1778" s="158"/>
      <c r="AP1778" s="158"/>
      <c r="AQ1778" s="1"/>
      <c r="AR1778" s="1"/>
      <c r="AS1778" s="1"/>
      <c r="AT1778" s="1"/>
      <c r="AU1778" s="1"/>
    </row>
    <row r="1779" spans="34:47">
      <c r="AH1779" s="6">
        <f t="shared" si="295"/>
        <v>1749</v>
      </c>
      <c r="AI1779" s="7">
        <f t="shared" ca="1" si="296"/>
        <v>44419</v>
      </c>
      <c r="AJ1779" s="210">
        <f t="shared" ca="1" si="297"/>
        <v>4.1749999999999998</v>
      </c>
      <c r="AK1779" s="8">
        <f t="shared" ca="1" si="298"/>
        <v>1.0001159722222221</v>
      </c>
      <c r="AL1779" s="98">
        <f t="shared" ca="1" si="299"/>
        <v>3.9604966846481737</v>
      </c>
      <c r="AM1779" s="106">
        <f t="shared" ca="1" si="293"/>
        <v>30268.415325961028</v>
      </c>
      <c r="AN1779" s="10">
        <f t="shared" ca="1" si="294"/>
        <v>0.9194850696905954</v>
      </c>
      <c r="AO1779" s="158"/>
      <c r="AP1779" s="158"/>
      <c r="AQ1779" s="1"/>
      <c r="AR1779" s="1"/>
      <c r="AS1779" s="1"/>
      <c r="AT1779" s="1"/>
      <c r="AU1779" s="1"/>
    </row>
    <row r="1780" spans="34:47">
      <c r="AH1780" s="6">
        <f t="shared" si="295"/>
        <v>1750</v>
      </c>
      <c r="AI1780" s="7">
        <f t="shared" ca="1" si="296"/>
        <v>44420</v>
      </c>
      <c r="AJ1780" s="210">
        <f t="shared" ca="1" si="297"/>
        <v>4.1749999999999998</v>
      </c>
      <c r="AK1780" s="8">
        <f t="shared" ca="1" si="298"/>
        <v>1.0001159722222221</v>
      </c>
      <c r="AL1780" s="98">
        <f t="shared" ca="1" si="299"/>
        <v>3.9607038101242331</v>
      </c>
      <c r="AM1780" s="106">
        <f t="shared" ca="1" si="293"/>
        <v>30270.829027811335</v>
      </c>
      <c r="AN1780" s="10">
        <f t="shared" ca="1" si="294"/>
        <v>0.9197197478496788</v>
      </c>
      <c r="AO1780" s="158"/>
      <c r="AP1780" s="158"/>
      <c r="AQ1780" s="1"/>
      <c r="AR1780" s="1"/>
      <c r="AS1780" s="1"/>
      <c r="AT1780" s="1"/>
      <c r="AU1780" s="1"/>
    </row>
    <row r="1781" spans="34:47">
      <c r="AH1781" s="6">
        <f t="shared" si="295"/>
        <v>1751</v>
      </c>
      <c r="AI1781" s="7">
        <f t="shared" ca="1" si="296"/>
        <v>44421</v>
      </c>
      <c r="AJ1781" s="210">
        <f t="shared" ca="1" si="297"/>
        <v>4.1749999999999998</v>
      </c>
      <c r="AK1781" s="8">
        <f t="shared" ca="1" si="298"/>
        <v>1.0001159722222221</v>
      </c>
      <c r="AL1781" s="98">
        <f t="shared" ca="1" si="299"/>
        <v>3.9609106994326071</v>
      </c>
      <c r="AM1781" s="106">
        <f t="shared" ca="1" si="293"/>
        <v>30273.242922138066</v>
      </c>
      <c r="AN1781" s="10">
        <f t="shared" ca="1" si="294"/>
        <v>0.91995415850310014</v>
      </c>
      <c r="AO1781" s="158"/>
      <c r="AP1781" s="158"/>
      <c r="AQ1781" s="1"/>
      <c r="AR1781" s="1"/>
      <c r="AS1781" s="1"/>
      <c r="AT1781" s="1"/>
      <c r="AU1781" s="1"/>
    </row>
    <row r="1782" spans="34:47">
      <c r="AH1782" s="6">
        <f t="shared" si="295"/>
        <v>1752</v>
      </c>
      <c r="AI1782" s="7">
        <f t="shared" ca="1" si="296"/>
        <v>44422</v>
      </c>
      <c r="AJ1782" s="210">
        <f t="shared" ca="1" si="297"/>
        <v>4.1749999999999998</v>
      </c>
      <c r="AK1782" s="8">
        <f t="shared" ca="1" si="298"/>
        <v>1.0001159722222221</v>
      </c>
      <c r="AL1782" s="98">
        <f t="shared" ca="1" si="299"/>
        <v>3.961117352976995</v>
      </c>
      <c r="AM1782" s="106">
        <f t="shared" ca="1" si="293"/>
        <v>30275.657008956583</v>
      </c>
      <c r="AN1782" s="10">
        <f t="shared" ca="1" si="294"/>
        <v>0.92018830210800484</v>
      </c>
      <c r="AO1782" s="158"/>
      <c r="AP1782" s="158"/>
      <c r="AQ1782" s="1"/>
      <c r="AR1782" s="1"/>
      <c r="AS1782" s="1"/>
      <c r="AT1782" s="1"/>
      <c r="AU1782" s="1"/>
    </row>
    <row r="1783" spans="34:47">
      <c r="AH1783" s="6">
        <f t="shared" si="295"/>
        <v>1753</v>
      </c>
      <c r="AI1783" s="7">
        <f t="shared" ca="1" si="296"/>
        <v>44423</v>
      </c>
      <c r="AJ1783" s="210">
        <f t="shared" ca="1" si="297"/>
        <v>4.1749999999999998</v>
      </c>
      <c r="AK1783" s="8">
        <f t="shared" ca="1" si="298"/>
        <v>1.0001159722222221</v>
      </c>
      <c r="AL1783" s="98">
        <f t="shared" ca="1" si="299"/>
        <v>3.9613237711601634</v>
      </c>
      <c r="AM1783" s="106">
        <f t="shared" ca="1" si="293"/>
        <v>30278.071288282234</v>
      </c>
      <c r="AN1783" s="10">
        <f t="shared" ca="1" si="294"/>
        <v>0.92042217912047253</v>
      </c>
      <c r="AO1783" s="158"/>
      <c r="AP1783" s="158"/>
      <c r="AQ1783" s="1"/>
      <c r="AR1783" s="1"/>
      <c r="AS1783" s="1"/>
      <c r="AT1783" s="1"/>
      <c r="AU1783" s="1"/>
    </row>
    <row r="1784" spans="34:47">
      <c r="AH1784" s="6">
        <f t="shared" si="295"/>
        <v>1754</v>
      </c>
      <c r="AI1784" s="7">
        <f t="shared" ca="1" si="296"/>
        <v>44424</v>
      </c>
      <c r="AJ1784" s="210">
        <f t="shared" ca="1" si="297"/>
        <v>4.1749999999999998</v>
      </c>
      <c r="AK1784" s="8">
        <f t="shared" ca="1" si="298"/>
        <v>1.0001159722222221</v>
      </c>
      <c r="AL1784" s="98">
        <f t="shared" ca="1" si="299"/>
        <v>3.9615299543839688</v>
      </c>
      <c r="AM1784" s="106">
        <f t="shared" ca="1" si="293"/>
        <v>30280.485760130367</v>
      </c>
      <c r="AN1784" s="10">
        <f t="shared" ca="1" si="294"/>
        <v>0.92065578999553921</v>
      </c>
      <c r="AO1784" s="158"/>
      <c r="AP1784" s="158"/>
      <c r="AQ1784" s="1"/>
      <c r="AR1784" s="1"/>
      <c r="AS1784" s="1"/>
      <c r="AT1784" s="1"/>
      <c r="AU1784" s="1"/>
    </row>
    <row r="1785" spans="34:47">
      <c r="AH1785" s="6">
        <f t="shared" si="295"/>
        <v>1755</v>
      </c>
      <c r="AI1785" s="7">
        <f t="shared" ca="1" si="296"/>
        <v>44425</v>
      </c>
      <c r="AJ1785" s="210">
        <f t="shared" ca="1" si="297"/>
        <v>4.1749999999999998</v>
      </c>
      <c r="AK1785" s="8">
        <f t="shared" ca="1" si="298"/>
        <v>1.0001159722222221</v>
      </c>
      <c r="AL1785" s="98">
        <f t="shared" ca="1" si="299"/>
        <v>3.9617359030493571</v>
      </c>
      <c r="AM1785" s="106">
        <f t="shared" ca="1" si="293"/>
        <v>30282.900424516331</v>
      </c>
      <c r="AN1785" s="10">
        <f t="shared" ca="1" si="294"/>
        <v>0.92088913518724169</v>
      </c>
      <c r="AO1785" s="158"/>
      <c r="AP1785" s="158"/>
      <c r="AQ1785" s="1"/>
      <c r="AR1785" s="1"/>
      <c r="AS1785" s="1"/>
      <c r="AT1785" s="1"/>
      <c r="AU1785" s="1"/>
    </row>
    <row r="1786" spans="34:47">
      <c r="AH1786" s="6">
        <f t="shared" si="295"/>
        <v>1756</v>
      </c>
      <c r="AI1786" s="7">
        <f t="shared" ca="1" si="296"/>
        <v>44426</v>
      </c>
      <c r="AJ1786" s="210">
        <f t="shared" ca="1" si="297"/>
        <v>4.1749999999999998</v>
      </c>
      <c r="AK1786" s="8">
        <f t="shared" ca="1" si="298"/>
        <v>1.0001159722222221</v>
      </c>
      <c r="AL1786" s="98">
        <f t="shared" ca="1" si="299"/>
        <v>3.9619416175563638</v>
      </c>
      <c r="AM1786" s="106">
        <f t="shared" ca="1" si="293"/>
        <v>30285.315281455489</v>
      </c>
      <c r="AN1786" s="10">
        <f t="shared" ca="1" si="294"/>
        <v>0.92112221514852877</v>
      </c>
      <c r="AO1786" s="158"/>
      <c r="AP1786" s="158"/>
      <c r="AQ1786" s="1"/>
      <c r="AR1786" s="1"/>
      <c r="AS1786" s="1"/>
      <c r="AT1786" s="1"/>
      <c r="AU1786" s="1"/>
    </row>
    <row r="1787" spans="34:47">
      <c r="AH1787" s="6">
        <f t="shared" si="295"/>
        <v>1757</v>
      </c>
      <c r="AI1787" s="7">
        <f t="shared" ca="1" si="296"/>
        <v>44427</v>
      </c>
      <c r="AJ1787" s="210">
        <f t="shared" ca="1" si="297"/>
        <v>4.1749999999999998</v>
      </c>
      <c r="AK1787" s="8">
        <f t="shared" ca="1" si="298"/>
        <v>1.0001159722222221</v>
      </c>
      <c r="AL1787" s="98">
        <f t="shared" ca="1" si="299"/>
        <v>3.9621470983040918</v>
      </c>
      <c r="AM1787" s="106">
        <f t="shared" ca="1" si="293"/>
        <v>30287.73033096319</v>
      </c>
      <c r="AN1787" s="10">
        <f t="shared" ca="1" si="294"/>
        <v>0.92135503033137223</v>
      </c>
      <c r="AO1787" s="158"/>
      <c r="AP1787" s="158"/>
      <c r="AQ1787" s="1"/>
      <c r="AR1787" s="1"/>
      <c r="AS1787" s="1"/>
      <c r="AT1787" s="1"/>
      <c r="AU1787" s="1"/>
    </row>
    <row r="1788" spans="34:47">
      <c r="AH1788" s="6">
        <f t="shared" si="295"/>
        <v>1758</v>
      </c>
      <c r="AI1788" s="7">
        <f t="shared" ca="1" si="296"/>
        <v>44428</v>
      </c>
      <c r="AJ1788" s="210">
        <f t="shared" ca="1" si="297"/>
        <v>4.1749999999999998</v>
      </c>
      <c r="AK1788" s="8">
        <f t="shared" ca="1" si="298"/>
        <v>1.0001159722222221</v>
      </c>
      <c r="AL1788" s="98">
        <f t="shared" ca="1" si="299"/>
        <v>3.9623523456907561</v>
      </c>
      <c r="AM1788" s="106">
        <f t="shared" ca="1" si="293"/>
        <v>30290.14557305479</v>
      </c>
      <c r="AN1788" s="10">
        <f t="shared" ca="1" si="294"/>
        <v>0.92158758118667805</v>
      </c>
      <c r="AO1788" s="158"/>
      <c r="AP1788" s="158"/>
      <c r="AQ1788" s="1"/>
      <c r="AR1788" s="1"/>
      <c r="AS1788" s="1"/>
      <c r="AT1788" s="1"/>
      <c r="AU1788" s="1"/>
    </row>
    <row r="1789" spans="34:47">
      <c r="AH1789" s="6">
        <f t="shared" si="295"/>
        <v>1759</v>
      </c>
      <c r="AI1789" s="7">
        <f t="shared" ca="1" si="296"/>
        <v>44429</v>
      </c>
      <c r="AJ1789" s="210">
        <f t="shared" ca="1" si="297"/>
        <v>4.1749999999999998</v>
      </c>
      <c r="AK1789" s="8">
        <f t="shared" ca="1" si="298"/>
        <v>1.0001159722222221</v>
      </c>
      <c r="AL1789" s="98">
        <f t="shared" ca="1" si="299"/>
        <v>3.9625573601136832</v>
      </c>
      <c r="AM1789" s="106">
        <f t="shared" ca="1" si="293"/>
        <v>30292.561007745651</v>
      </c>
      <c r="AN1789" s="10">
        <f t="shared" ca="1" si="294"/>
        <v>0.92181986816437522</v>
      </c>
      <c r="AO1789" s="158"/>
      <c r="AP1789" s="158"/>
      <c r="AQ1789" s="1"/>
      <c r="AR1789" s="1"/>
      <c r="AS1789" s="1"/>
      <c r="AT1789" s="1"/>
      <c r="AU1789" s="1"/>
    </row>
    <row r="1790" spans="34:47">
      <c r="AH1790" s="6">
        <f t="shared" si="295"/>
        <v>1760</v>
      </c>
      <c r="AI1790" s="7">
        <f t="shared" ca="1" si="296"/>
        <v>44430</v>
      </c>
      <c r="AJ1790" s="210">
        <f t="shared" ca="1" si="297"/>
        <v>4.1749999999999998</v>
      </c>
      <c r="AK1790" s="8">
        <f t="shared" ca="1" si="298"/>
        <v>1.0001159722222221</v>
      </c>
      <c r="AL1790" s="98">
        <f t="shared" ca="1" si="299"/>
        <v>3.9627621419692893</v>
      </c>
      <c r="AM1790" s="106">
        <f t="shared" ca="1" si="293"/>
        <v>30294.976635051124</v>
      </c>
      <c r="AN1790" s="10">
        <f t="shared" ca="1" si="294"/>
        <v>0.92205189171332691</v>
      </c>
      <c r="AO1790" s="158"/>
      <c r="AP1790" s="158"/>
      <c r="AQ1790" s="1"/>
      <c r="AR1790" s="1"/>
      <c r="AS1790" s="1"/>
      <c r="AT1790" s="1"/>
      <c r="AU1790" s="1"/>
    </row>
    <row r="1791" spans="34:47">
      <c r="AH1791" s="6">
        <f t="shared" si="295"/>
        <v>1761</v>
      </c>
      <c r="AI1791" s="7">
        <f t="shared" ca="1" si="296"/>
        <v>44431</v>
      </c>
      <c r="AJ1791" s="210">
        <f t="shared" ca="1" si="297"/>
        <v>4.1749999999999998</v>
      </c>
      <c r="AK1791" s="8">
        <f t="shared" ca="1" si="298"/>
        <v>1.0001159722222221</v>
      </c>
      <c r="AL1791" s="98">
        <f t="shared" ca="1" si="299"/>
        <v>3.9629666916530581</v>
      </c>
      <c r="AM1791" s="106">
        <f t="shared" ca="1" si="293"/>
        <v>30297.39245498657</v>
      </c>
      <c r="AN1791" s="10">
        <f t="shared" ca="1" si="294"/>
        <v>0.92228365228139708</v>
      </c>
      <c r="AO1791" s="158"/>
      <c r="AP1791" s="158"/>
      <c r="AQ1791" s="1"/>
      <c r="AR1791" s="1"/>
      <c r="AS1791" s="1"/>
      <c r="AT1791" s="1"/>
      <c r="AU1791" s="1"/>
    </row>
    <row r="1792" spans="34:47">
      <c r="AH1792" s="6">
        <f t="shared" si="295"/>
        <v>1762</v>
      </c>
      <c r="AI1792" s="7">
        <f t="shared" ca="1" si="296"/>
        <v>44432</v>
      </c>
      <c r="AJ1792" s="210">
        <f t="shared" ca="1" si="297"/>
        <v>4.1749999999999998</v>
      </c>
      <c r="AK1792" s="8">
        <f t="shared" ca="1" si="298"/>
        <v>1.0001159722222221</v>
      </c>
      <c r="AL1792" s="98">
        <f t="shared" ca="1" si="299"/>
        <v>3.9631710095596295</v>
      </c>
      <c r="AM1792" s="106">
        <f t="shared" ca="1" si="293"/>
        <v>30299.808467567353</v>
      </c>
      <c r="AN1792" s="10">
        <f t="shared" ca="1" si="294"/>
        <v>0.92251515031547271</v>
      </c>
      <c r="AO1792" s="158"/>
      <c r="AP1792" s="158"/>
      <c r="AQ1792" s="1"/>
      <c r="AR1792" s="1"/>
      <c r="AS1792" s="1"/>
      <c r="AT1792" s="1"/>
      <c r="AU1792" s="1"/>
    </row>
    <row r="1793" spans="34:47">
      <c r="AH1793" s="6">
        <f t="shared" si="295"/>
        <v>1763</v>
      </c>
      <c r="AI1793" s="7">
        <f t="shared" ca="1" si="296"/>
        <v>44433</v>
      </c>
      <c r="AJ1793" s="210">
        <f t="shared" ca="1" si="297"/>
        <v>4.1749999999999998</v>
      </c>
      <c r="AK1793" s="8">
        <f t="shared" ca="1" si="298"/>
        <v>1.0001159722222221</v>
      </c>
      <c r="AL1793" s="98">
        <f t="shared" ca="1" si="299"/>
        <v>3.9633750960827108</v>
      </c>
      <c r="AM1793" s="106">
        <f t="shared" ca="1" si="293"/>
        <v>30302.224672808839</v>
      </c>
      <c r="AN1793" s="10">
        <f t="shared" ca="1" si="294"/>
        <v>0.92274638626133054</v>
      </c>
      <c r="AO1793" s="158"/>
      <c r="AP1793" s="158"/>
      <c r="AQ1793" s="1"/>
      <c r="AR1793" s="1"/>
      <c r="AS1793" s="1"/>
      <c r="AT1793" s="1"/>
      <c r="AU1793" s="1"/>
    </row>
    <row r="1794" spans="34:47">
      <c r="AH1794" s="6">
        <f t="shared" si="295"/>
        <v>1764</v>
      </c>
      <c r="AI1794" s="7">
        <f t="shared" ca="1" si="296"/>
        <v>44434</v>
      </c>
      <c r="AJ1794" s="210">
        <f t="shared" ca="1" si="297"/>
        <v>4.1749999999999998</v>
      </c>
      <c r="AK1794" s="8">
        <f t="shared" ca="1" si="298"/>
        <v>1.0001159722222221</v>
      </c>
      <c r="AL1794" s="98">
        <f t="shared" ca="1" si="299"/>
        <v>3.963578951615121</v>
      </c>
      <c r="AM1794" s="106">
        <f t="shared" ca="1" si="293"/>
        <v>30304.641070726379</v>
      </c>
      <c r="AN1794" s="10">
        <f t="shared" ca="1" si="294"/>
        <v>0.92297736056383695</v>
      </c>
      <c r="AO1794" s="158"/>
      <c r="AP1794" s="158"/>
      <c r="AQ1794" s="1"/>
      <c r="AR1794" s="1"/>
      <c r="AS1794" s="1"/>
      <c r="AT1794" s="1"/>
      <c r="AU1794" s="1"/>
    </row>
    <row r="1795" spans="34:47">
      <c r="AH1795" s="6">
        <f t="shared" si="295"/>
        <v>1765</v>
      </c>
      <c r="AI1795" s="7">
        <f t="shared" ca="1" si="296"/>
        <v>44435</v>
      </c>
      <c r="AJ1795" s="210">
        <f t="shared" ca="1" si="297"/>
        <v>4.1749999999999998</v>
      </c>
      <c r="AK1795" s="8">
        <f t="shared" ca="1" si="298"/>
        <v>1.0001159722222221</v>
      </c>
      <c r="AL1795" s="98">
        <f t="shared" ca="1" si="299"/>
        <v>3.9637825765488133</v>
      </c>
      <c r="AM1795" s="106">
        <f t="shared" ca="1" si="293"/>
        <v>30307.057661335355</v>
      </c>
      <c r="AN1795" s="10">
        <f t="shared" ca="1" si="294"/>
        <v>0.92320807366679247</v>
      </c>
      <c r="AO1795" s="158"/>
      <c r="AP1795" s="158"/>
      <c r="AQ1795" s="1"/>
      <c r="AR1795" s="1"/>
      <c r="AS1795" s="1"/>
      <c r="AT1795" s="1"/>
      <c r="AU1795" s="1"/>
    </row>
    <row r="1796" spans="34:47">
      <c r="AH1796" s="6">
        <f t="shared" si="295"/>
        <v>1766</v>
      </c>
      <c r="AI1796" s="7">
        <f t="shared" ca="1" si="296"/>
        <v>44436</v>
      </c>
      <c r="AJ1796" s="210">
        <f t="shared" ca="1" si="297"/>
        <v>4.1749999999999998</v>
      </c>
      <c r="AK1796" s="8">
        <f t="shared" ca="1" si="298"/>
        <v>1.0001159722222221</v>
      </c>
      <c r="AL1796" s="98">
        <f t="shared" ca="1" si="299"/>
        <v>3.9639859712748304</v>
      </c>
      <c r="AM1796" s="106">
        <f t="shared" ca="1" si="293"/>
        <v>30309.474444651118</v>
      </c>
      <c r="AN1796" s="10">
        <f t="shared" ca="1" si="294"/>
        <v>0.92343852601302068</v>
      </c>
      <c r="AO1796" s="158"/>
      <c r="AP1796" s="158"/>
      <c r="AQ1796" s="1"/>
      <c r="AR1796" s="1"/>
      <c r="AS1796" s="1"/>
      <c r="AT1796" s="1"/>
      <c r="AU1796" s="1"/>
    </row>
    <row r="1797" spans="34:47">
      <c r="AH1797" s="6">
        <f t="shared" si="295"/>
        <v>1767</v>
      </c>
      <c r="AI1797" s="7">
        <f t="shared" ca="1" si="296"/>
        <v>44437</v>
      </c>
      <c r="AJ1797" s="210">
        <f t="shared" ca="1" si="297"/>
        <v>4.1749999999999998</v>
      </c>
      <c r="AK1797" s="8">
        <f t="shared" ca="1" si="298"/>
        <v>1.0001159722222221</v>
      </c>
      <c r="AL1797" s="98">
        <f t="shared" ca="1" si="299"/>
        <v>3.9641891361833492</v>
      </c>
      <c r="AM1797" s="106">
        <f t="shared" ca="1" si="293"/>
        <v>30311.891420689037</v>
      </c>
      <c r="AN1797" s="10">
        <f t="shared" ca="1" si="294"/>
        <v>0.92366871804434592</v>
      </c>
      <c r="AO1797" s="158"/>
      <c r="AP1797" s="158"/>
      <c r="AQ1797" s="1"/>
      <c r="AR1797" s="1"/>
      <c r="AS1797" s="1"/>
      <c r="AT1797" s="1"/>
      <c r="AU1797" s="1"/>
    </row>
    <row r="1798" spans="34:47">
      <c r="AH1798" s="6">
        <f t="shared" si="295"/>
        <v>1768</v>
      </c>
      <c r="AI1798" s="7">
        <f t="shared" ca="1" si="296"/>
        <v>44438</v>
      </c>
      <c r="AJ1798" s="210">
        <f t="shared" ca="1" si="297"/>
        <v>4.1749999999999998</v>
      </c>
      <c r="AK1798" s="8">
        <f t="shared" ca="1" si="298"/>
        <v>1.0001159722222221</v>
      </c>
      <c r="AL1798" s="98">
        <f t="shared" ca="1" si="299"/>
        <v>3.9643920716636583</v>
      </c>
      <c r="AM1798" s="106">
        <f t="shared" ca="1" si="293"/>
        <v>30314.30858946449</v>
      </c>
      <c r="AN1798" s="10">
        <f t="shared" ca="1" si="294"/>
        <v>0.92389865020161555</v>
      </c>
      <c r="AO1798" s="158"/>
      <c r="AP1798" s="158"/>
      <c r="AQ1798" s="1"/>
      <c r="AR1798" s="1"/>
      <c r="AS1798" s="1"/>
      <c r="AT1798" s="1"/>
      <c r="AU1798" s="1"/>
    </row>
    <row r="1799" spans="34:47">
      <c r="AH1799" s="6">
        <f t="shared" si="295"/>
        <v>1769</v>
      </c>
      <c r="AI1799" s="7">
        <f t="shared" ca="1" si="296"/>
        <v>44439</v>
      </c>
      <c r="AJ1799" s="210">
        <f t="shared" ca="1" si="297"/>
        <v>4.1749999999999998</v>
      </c>
      <c r="AK1799" s="8">
        <f t="shared" ca="1" si="298"/>
        <v>1.0001159722222221</v>
      </c>
      <c r="AL1799" s="98">
        <f t="shared" ca="1" si="299"/>
        <v>3.9645947781041802</v>
      </c>
      <c r="AM1799" s="106">
        <f t="shared" ca="1" si="293"/>
        <v>30316.725950992837</v>
      </c>
      <c r="AN1799" s="10">
        <f t="shared" ca="1" si="294"/>
        <v>0.92412832292461111</v>
      </c>
      <c r="AO1799" s="158"/>
      <c r="AP1799" s="158"/>
      <c r="AQ1799" s="1"/>
      <c r="AR1799" s="1"/>
      <c r="AS1799" s="1"/>
      <c r="AT1799" s="1"/>
      <c r="AU1799" s="1"/>
    </row>
    <row r="1800" spans="34:47">
      <c r="AH1800" s="6">
        <f t="shared" si="295"/>
        <v>1770</v>
      </c>
      <c r="AI1800" s="7">
        <f t="shared" ca="1" si="296"/>
        <v>44440</v>
      </c>
      <c r="AJ1800" s="210">
        <f t="shared" ca="1" si="297"/>
        <v>4.1749999999999998</v>
      </c>
      <c r="AK1800" s="8">
        <f t="shared" ca="1" si="298"/>
        <v>1.0001159722222221</v>
      </c>
      <c r="AL1800" s="98">
        <f t="shared" ca="1" si="299"/>
        <v>3.9647972558924272</v>
      </c>
      <c r="AM1800" s="106">
        <f t="shared" ca="1" si="293"/>
        <v>30319.143505289452</v>
      </c>
      <c r="AN1800" s="10">
        <f t="shared" ca="1" si="294"/>
        <v>0.92435773665218157</v>
      </c>
      <c r="AO1800" s="158"/>
      <c r="AP1800" s="158"/>
      <c r="AQ1800" s="1"/>
      <c r="AR1800" s="1"/>
      <c r="AS1800" s="1"/>
      <c r="AT1800" s="1"/>
      <c r="AU1800" s="1"/>
    </row>
    <row r="1801" spans="34:47">
      <c r="AH1801" s="6">
        <f t="shared" si="295"/>
        <v>1771</v>
      </c>
      <c r="AI1801" s="7">
        <f t="shared" ca="1" si="296"/>
        <v>44441</v>
      </c>
      <c r="AJ1801" s="210">
        <f t="shared" ca="1" si="297"/>
        <v>4.1749999999999998</v>
      </c>
      <c r="AK1801" s="8">
        <f t="shared" ca="1" si="298"/>
        <v>1.0001159722222221</v>
      </c>
      <c r="AL1801" s="98">
        <f t="shared" ca="1" si="299"/>
        <v>3.9649995054150677</v>
      </c>
      <c r="AM1801" s="106">
        <f t="shared" ca="1" si="293"/>
        <v>30321.561252369705</v>
      </c>
      <c r="AN1801" s="10">
        <f t="shared" ca="1" si="294"/>
        <v>0.92458689182219889</v>
      </c>
      <c r="AO1801" s="158"/>
      <c r="AP1801" s="158"/>
      <c r="AQ1801" s="1"/>
      <c r="AR1801" s="1"/>
      <c r="AS1801" s="1"/>
      <c r="AT1801" s="1"/>
      <c r="AU1801" s="1"/>
    </row>
    <row r="1802" spans="34:47">
      <c r="AH1802" s="6">
        <f t="shared" si="295"/>
        <v>1772</v>
      </c>
      <c r="AI1802" s="7">
        <f t="shared" ca="1" si="296"/>
        <v>44442</v>
      </c>
      <c r="AJ1802" s="210">
        <f t="shared" ca="1" si="297"/>
        <v>4.1749999999999998</v>
      </c>
      <c r="AK1802" s="8">
        <f t="shared" ca="1" si="298"/>
        <v>1.0001159722222221</v>
      </c>
      <c r="AL1802" s="98">
        <f t="shared" ca="1" si="299"/>
        <v>3.9652015270579044</v>
      </c>
      <c r="AM1802" s="106">
        <f t="shared" ca="1" si="293"/>
        <v>30323.979192248979</v>
      </c>
      <c r="AN1802" s="10">
        <f t="shared" ca="1" si="294"/>
        <v>0.9248157888714692</v>
      </c>
      <c r="AO1802" s="158"/>
      <c r="AP1802" s="158"/>
      <c r="AQ1802" s="1"/>
      <c r="AR1802" s="1"/>
      <c r="AS1802" s="1"/>
      <c r="AT1802" s="1"/>
      <c r="AU1802" s="1"/>
    </row>
    <row r="1803" spans="34:47">
      <c r="AH1803" s="6">
        <f t="shared" si="295"/>
        <v>1773</v>
      </c>
      <c r="AI1803" s="7">
        <f t="shared" ca="1" si="296"/>
        <v>44443</v>
      </c>
      <c r="AJ1803" s="210">
        <f t="shared" ca="1" si="297"/>
        <v>4.1749999999999998</v>
      </c>
      <c r="AK1803" s="8">
        <f t="shared" ca="1" si="298"/>
        <v>1.0001159722222221</v>
      </c>
      <c r="AL1803" s="98">
        <f t="shared" ca="1" si="299"/>
        <v>3.9654033212058515</v>
      </c>
      <c r="AM1803" s="106">
        <f t="shared" ca="1" si="293"/>
        <v>30326.397324942631</v>
      </c>
      <c r="AN1803" s="10">
        <f t="shared" ca="1" si="294"/>
        <v>0.92504442823593269</v>
      </c>
      <c r="AO1803" s="158"/>
      <c r="AP1803" s="158"/>
      <c r="AQ1803" s="1"/>
      <c r="AR1803" s="1"/>
      <c r="AS1803" s="1"/>
      <c r="AT1803" s="1"/>
      <c r="AU1803" s="1"/>
    </row>
    <row r="1804" spans="34:47">
      <c r="AH1804" s="6">
        <f t="shared" si="295"/>
        <v>1774</v>
      </c>
      <c r="AI1804" s="7">
        <f t="shared" ca="1" si="296"/>
        <v>44444</v>
      </c>
      <c r="AJ1804" s="210">
        <f t="shared" ca="1" si="297"/>
        <v>4.1749999999999998</v>
      </c>
      <c r="AK1804" s="8">
        <f t="shared" ca="1" si="298"/>
        <v>1.0001159722222221</v>
      </c>
      <c r="AL1804" s="98">
        <f t="shared" ca="1" si="299"/>
        <v>3.9656048882429351</v>
      </c>
      <c r="AM1804" s="106">
        <f t="shared" ca="1" si="293"/>
        <v>30328.815650466055</v>
      </c>
      <c r="AN1804" s="10">
        <f t="shared" ca="1" si="294"/>
        <v>0.92527281035041931</v>
      </c>
      <c r="AO1804" s="158"/>
      <c r="AP1804" s="158"/>
      <c r="AQ1804" s="1"/>
      <c r="AR1804" s="1"/>
      <c r="AS1804" s="1"/>
      <c r="AT1804" s="1"/>
      <c r="AU1804" s="1"/>
    </row>
    <row r="1805" spans="34:47">
      <c r="AH1805" s="6">
        <f t="shared" si="295"/>
        <v>1775</v>
      </c>
      <c r="AI1805" s="7">
        <f t="shared" ca="1" si="296"/>
        <v>44445</v>
      </c>
      <c r="AJ1805" s="210">
        <f t="shared" ca="1" si="297"/>
        <v>4.1749999999999998</v>
      </c>
      <c r="AK1805" s="8">
        <f t="shared" ca="1" si="298"/>
        <v>1.0001159722222221</v>
      </c>
      <c r="AL1805" s="98">
        <f t="shared" ca="1" si="299"/>
        <v>3.9658062285523821</v>
      </c>
      <c r="AM1805" s="106">
        <f t="shared" ca="1" si="293"/>
        <v>30331.23416883461</v>
      </c>
      <c r="AN1805" s="10">
        <f t="shared" ca="1" si="294"/>
        <v>0.92550093564891522</v>
      </c>
      <c r="AO1805" s="158"/>
      <c r="AP1805" s="158"/>
      <c r="AQ1805" s="1"/>
      <c r="AR1805" s="1"/>
      <c r="AS1805" s="1"/>
      <c r="AT1805" s="1"/>
      <c r="AU1805" s="1"/>
    </row>
    <row r="1806" spans="34:47">
      <c r="AH1806" s="6">
        <f t="shared" si="295"/>
        <v>1776</v>
      </c>
      <c r="AI1806" s="7">
        <f t="shared" ca="1" si="296"/>
        <v>44446</v>
      </c>
      <c r="AJ1806" s="210">
        <f t="shared" ca="1" si="297"/>
        <v>4.1749999999999998</v>
      </c>
      <c r="AK1806" s="8">
        <f t="shared" ca="1" si="298"/>
        <v>1.0001159722222221</v>
      </c>
      <c r="AL1806" s="98">
        <f t="shared" ca="1" si="299"/>
        <v>3.9660073425165088</v>
      </c>
      <c r="AM1806" s="106">
        <f t="shared" ca="1" si="293"/>
        <v>30333.652880063688</v>
      </c>
      <c r="AN1806" s="10">
        <f t="shared" ca="1" si="294"/>
        <v>0.9257288045642964</v>
      </c>
      <c r="AO1806" s="158"/>
      <c r="AP1806" s="158"/>
      <c r="AQ1806" s="1"/>
      <c r="AR1806" s="1"/>
      <c r="AS1806" s="1"/>
      <c r="AT1806" s="1"/>
      <c r="AU1806" s="1"/>
    </row>
    <row r="1807" spans="34:47">
      <c r="AH1807" s="6">
        <f t="shared" si="295"/>
        <v>1777</v>
      </c>
      <c r="AI1807" s="7">
        <f t="shared" ca="1" si="296"/>
        <v>44447</v>
      </c>
      <c r="AJ1807" s="210">
        <f t="shared" ca="1" si="297"/>
        <v>4.1749999999999998</v>
      </c>
      <c r="AK1807" s="8">
        <f t="shared" ca="1" si="298"/>
        <v>1.0001159722222221</v>
      </c>
      <c r="AL1807" s="98">
        <f t="shared" ca="1" si="299"/>
        <v>3.9662082305167656</v>
      </c>
      <c r="AM1807" s="106">
        <f t="shared" ca="1" si="293"/>
        <v>30336.071784168664</v>
      </c>
      <c r="AN1807" s="10">
        <f t="shared" ca="1" si="294"/>
        <v>0.92595641752855062</v>
      </c>
      <c r="AO1807" s="158"/>
      <c r="AP1807" s="158"/>
      <c r="AQ1807" s="1"/>
      <c r="AR1807" s="1"/>
      <c r="AS1807" s="1"/>
      <c r="AT1807" s="1"/>
      <c r="AU1807" s="1"/>
    </row>
    <row r="1808" spans="34:47">
      <c r="AH1808" s="6">
        <f t="shared" si="295"/>
        <v>1778</v>
      </c>
      <c r="AI1808" s="7">
        <f t="shared" ca="1" si="296"/>
        <v>44448</v>
      </c>
      <c r="AJ1808" s="210">
        <f t="shared" ca="1" si="297"/>
        <v>4.1749999999999998</v>
      </c>
      <c r="AK1808" s="8">
        <f t="shared" ca="1" si="298"/>
        <v>1.0001159722222221</v>
      </c>
      <c r="AL1808" s="98">
        <f t="shared" ca="1" si="299"/>
        <v>3.9664088929337815</v>
      </c>
      <c r="AM1808" s="106">
        <f t="shared" ca="1" si="293"/>
        <v>30338.490881164915</v>
      </c>
      <c r="AN1808" s="10">
        <f t="shared" ca="1" si="294"/>
        <v>0.92618377497268867</v>
      </c>
      <c r="AO1808" s="158"/>
      <c r="AP1808" s="158"/>
      <c r="AQ1808" s="1"/>
      <c r="AR1808" s="1"/>
      <c r="AS1808" s="1"/>
      <c r="AT1808" s="1"/>
      <c r="AU1808" s="1"/>
    </row>
    <row r="1809" spans="34:47">
      <c r="AH1809" s="6">
        <f t="shared" si="295"/>
        <v>1779</v>
      </c>
      <c r="AI1809" s="7">
        <f t="shared" ca="1" si="296"/>
        <v>44449</v>
      </c>
      <c r="AJ1809" s="210">
        <f t="shared" ca="1" si="297"/>
        <v>4.1749999999999998</v>
      </c>
      <c r="AK1809" s="8">
        <f t="shared" ca="1" si="298"/>
        <v>1.0001159722222221</v>
      </c>
      <c r="AL1809" s="98">
        <f t="shared" ca="1" si="299"/>
        <v>3.9666093301473193</v>
      </c>
      <c r="AM1809" s="106">
        <f t="shared" ca="1" si="293"/>
        <v>30340.99081738705</v>
      </c>
      <c r="AN1809" s="10">
        <f t="shared" ca="1" si="294"/>
        <v>0.9263558375079084</v>
      </c>
      <c r="AO1809" s="158"/>
      <c r="AP1809" s="158"/>
      <c r="AQ1809" s="1"/>
      <c r="AR1809" s="1"/>
      <c r="AS1809" s="1"/>
      <c r="AT1809" s="1"/>
      <c r="AU1809" s="1"/>
    </row>
    <row r="1810" spans="34:47">
      <c r="AH1810" s="6">
        <f t="shared" si="295"/>
        <v>1780</v>
      </c>
      <c r="AI1810" s="7">
        <f t="shared" ca="1" si="296"/>
        <v>44450</v>
      </c>
      <c r="AJ1810" s="210">
        <f t="shared" ca="1" si="297"/>
        <v>4.1749999999999998</v>
      </c>
      <c r="AK1810" s="8">
        <f t="shared" ca="1" si="298"/>
        <v>1.0001159722222221</v>
      </c>
      <c r="AL1810" s="98">
        <f t="shared" ca="1" si="299"/>
        <v>3.9668095425362759</v>
      </c>
      <c r="AM1810" s="106">
        <f t="shared" ca="1" si="293"/>
        <v>30343.49095960761</v>
      </c>
      <c r="AN1810" s="10">
        <f t="shared" ca="1" si="294"/>
        <v>0.92652770700725195</v>
      </c>
      <c r="AO1810" s="158"/>
      <c r="AP1810" s="158"/>
      <c r="AQ1810" s="1"/>
      <c r="AR1810" s="1"/>
      <c r="AS1810" s="1"/>
      <c r="AT1810" s="1"/>
      <c r="AU1810" s="1"/>
    </row>
    <row r="1811" spans="34:47">
      <c r="AH1811" s="6">
        <f t="shared" si="295"/>
        <v>1781</v>
      </c>
      <c r="AI1811" s="7">
        <f t="shared" ca="1" si="296"/>
        <v>44451</v>
      </c>
      <c r="AJ1811" s="210">
        <f t="shared" ca="1" si="297"/>
        <v>4.1749999999999998</v>
      </c>
      <c r="AK1811" s="8">
        <f t="shared" ca="1" si="298"/>
        <v>1.0001159722222221</v>
      </c>
      <c r="AL1811" s="98">
        <f t="shared" ca="1" si="299"/>
        <v>3.9670095304787045</v>
      </c>
      <c r="AM1811" s="106">
        <f t="shared" ca="1" si="293"/>
        <v>30345.991307843553</v>
      </c>
      <c r="AN1811" s="10">
        <f t="shared" ca="1" si="294"/>
        <v>0.92669938379541517</v>
      </c>
      <c r="AO1811" s="158"/>
      <c r="AP1811" s="158"/>
      <c r="AQ1811" s="1"/>
      <c r="AR1811" s="1"/>
      <c r="AS1811" s="1"/>
      <c r="AT1811" s="1"/>
      <c r="AU1811" s="1"/>
    </row>
    <row r="1812" spans="34:47">
      <c r="AH1812" s="6">
        <f t="shared" si="295"/>
        <v>1782</v>
      </c>
      <c r="AI1812" s="7">
        <f t="shared" ca="1" si="296"/>
        <v>44452</v>
      </c>
      <c r="AJ1812" s="210">
        <f t="shared" ca="1" si="297"/>
        <v>4.1749999999999998</v>
      </c>
      <c r="AK1812" s="8">
        <f t="shared" ca="1" si="298"/>
        <v>1.0001159722222221</v>
      </c>
      <c r="AL1812" s="98">
        <f t="shared" ca="1" si="299"/>
        <v>3.9672092943518145</v>
      </c>
      <c r="AM1812" s="106">
        <f t="shared" ca="1" si="293"/>
        <v>30348.49186211187</v>
      </c>
      <c r="AN1812" s="10">
        <f t="shared" ca="1" si="294"/>
        <v>0.9268708681963389</v>
      </c>
      <c r="AO1812" s="158"/>
      <c r="AP1812" s="158"/>
      <c r="AQ1812" s="1"/>
      <c r="AR1812" s="1"/>
      <c r="AS1812" s="1"/>
      <c r="AT1812" s="1"/>
      <c r="AU1812" s="1"/>
    </row>
    <row r="1813" spans="34:47">
      <c r="AH1813" s="6">
        <f t="shared" si="295"/>
        <v>1783</v>
      </c>
      <c r="AI1813" s="7">
        <f t="shared" ca="1" si="296"/>
        <v>44453</v>
      </c>
      <c r="AJ1813" s="210">
        <f t="shared" ca="1" si="297"/>
        <v>4.1749999999999998</v>
      </c>
      <c r="AK1813" s="8">
        <f t="shared" ca="1" si="298"/>
        <v>1.0001159722222221</v>
      </c>
      <c r="AL1813" s="98">
        <f t="shared" ca="1" si="299"/>
        <v>3.9674088345319714</v>
      </c>
      <c r="AM1813" s="106">
        <f t="shared" ca="1" si="293"/>
        <v>30350.99262242953</v>
      </c>
      <c r="AN1813" s="10">
        <f t="shared" ca="1" si="294"/>
        <v>0.92704216053320909</v>
      </c>
      <c r="AO1813" s="158"/>
      <c r="AP1813" s="158"/>
      <c r="AQ1813" s="1"/>
      <c r="AR1813" s="1"/>
      <c r="AS1813" s="1"/>
      <c r="AT1813" s="1"/>
      <c r="AU1813" s="1"/>
    </row>
    <row r="1814" spans="34:47">
      <c r="AH1814" s="6">
        <f t="shared" si="295"/>
        <v>1784</v>
      </c>
      <c r="AI1814" s="7">
        <f t="shared" ca="1" si="296"/>
        <v>44454</v>
      </c>
      <c r="AJ1814" s="210">
        <f t="shared" ca="1" si="297"/>
        <v>4.1749999999999998</v>
      </c>
      <c r="AK1814" s="8">
        <f t="shared" ca="1" si="298"/>
        <v>1.0001159722222221</v>
      </c>
      <c r="AL1814" s="98">
        <f t="shared" ca="1" si="299"/>
        <v>3.9676081513947192</v>
      </c>
      <c r="AM1814" s="106">
        <f t="shared" ca="1" si="293"/>
        <v>30353.493588813511</v>
      </c>
      <c r="AN1814" s="10">
        <f t="shared" ca="1" si="294"/>
        <v>0.92721326112858993</v>
      </c>
      <c r="AO1814" s="158"/>
      <c r="AP1814" s="158"/>
      <c r="AQ1814" s="1"/>
      <c r="AR1814" s="1"/>
      <c r="AS1814" s="1"/>
      <c r="AT1814" s="1"/>
      <c r="AU1814" s="1"/>
    </row>
    <row r="1815" spans="34:47">
      <c r="AH1815" s="6">
        <f t="shared" si="295"/>
        <v>1785</v>
      </c>
      <c r="AI1815" s="7">
        <f t="shared" ca="1" si="296"/>
        <v>44455</v>
      </c>
      <c r="AJ1815" s="210">
        <f t="shared" ca="1" si="297"/>
        <v>4.1749999999999998</v>
      </c>
      <c r="AK1815" s="8">
        <f t="shared" ca="1" si="298"/>
        <v>1.0001159722222221</v>
      </c>
      <c r="AL1815" s="98">
        <f t="shared" ca="1" si="299"/>
        <v>3.967807245314714</v>
      </c>
      <c r="AM1815" s="106">
        <f t="shared" ca="1" si="293"/>
        <v>30355.994761280803</v>
      </c>
      <c r="AN1815" s="10">
        <f t="shared" ca="1" si="294"/>
        <v>0.92738417030415743</v>
      </c>
      <c r="AO1815" s="158"/>
      <c r="AP1815" s="158"/>
      <c r="AQ1815" s="1"/>
      <c r="AR1815" s="1"/>
      <c r="AS1815" s="1"/>
      <c r="AT1815" s="1"/>
      <c r="AU1815" s="1"/>
    </row>
    <row r="1816" spans="34:47">
      <c r="AH1816" s="6">
        <f t="shared" si="295"/>
        <v>1786</v>
      </c>
      <c r="AI1816" s="7">
        <f t="shared" ca="1" si="296"/>
        <v>44456</v>
      </c>
      <c r="AJ1816" s="210">
        <f t="shared" ca="1" si="297"/>
        <v>4.1749999999999998</v>
      </c>
      <c r="AK1816" s="8">
        <f t="shared" ca="1" si="298"/>
        <v>1.0001159722222221</v>
      </c>
      <c r="AL1816" s="98">
        <f t="shared" ca="1" si="299"/>
        <v>3.968006116665812</v>
      </c>
      <c r="AM1816" s="106">
        <f t="shared" ca="1" si="293"/>
        <v>30358.496139848376</v>
      </c>
      <c r="AN1816" s="10">
        <f t="shared" ca="1" si="294"/>
        <v>0.92755488838103251</v>
      </c>
      <c r="AO1816" s="158"/>
      <c r="AP1816" s="158"/>
      <c r="AQ1816" s="1"/>
      <c r="AR1816" s="1"/>
      <c r="AS1816" s="1"/>
      <c r="AT1816" s="1"/>
      <c r="AU1816" s="1"/>
    </row>
    <row r="1817" spans="34:47">
      <c r="AH1817" s="6">
        <f t="shared" si="295"/>
        <v>1787</v>
      </c>
      <c r="AI1817" s="7">
        <f t="shared" ca="1" si="296"/>
        <v>44457</v>
      </c>
      <c r="AJ1817" s="210">
        <f t="shared" ca="1" si="297"/>
        <v>4.1749999999999998</v>
      </c>
      <c r="AK1817" s="8">
        <f t="shared" ca="1" si="298"/>
        <v>1.0001159722222221</v>
      </c>
      <c r="AL1817" s="98">
        <f t="shared" ca="1" si="299"/>
        <v>3.968204765821004</v>
      </c>
      <c r="AM1817" s="106">
        <f t="shared" ca="1" si="293"/>
        <v>30360.997724533223</v>
      </c>
      <c r="AN1817" s="10">
        <f t="shared" ca="1" si="294"/>
        <v>0.92772541567949229</v>
      </c>
      <c r="AO1817" s="158"/>
      <c r="AP1817" s="158"/>
      <c r="AQ1817" s="1"/>
      <c r="AR1817" s="1"/>
      <c r="AS1817" s="1"/>
      <c r="AT1817" s="1"/>
      <c r="AU1817" s="1"/>
    </row>
    <row r="1818" spans="34:47">
      <c r="AH1818" s="6">
        <f t="shared" si="295"/>
        <v>1788</v>
      </c>
      <c r="AI1818" s="7">
        <f t="shared" ca="1" si="296"/>
        <v>44458</v>
      </c>
      <c r="AJ1818" s="210">
        <f t="shared" ca="1" si="297"/>
        <v>4.1749999999999998</v>
      </c>
      <c r="AK1818" s="8">
        <f t="shared" ca="1" si="298"/>
        <v>1.0001159722222221</v>
      </c>
      <c r="AL1818" s="98">
        <f t="shared" ca="1" si="299"/>
        <v>3.968403193152481</v>
      </c>
      <c r="AM1818" s="106">
        <f t="shared" ca="1" si="293"/>
        <v>30363.499515352323</v>
      </c>
      <c r="AN1818" s="10">
        <f t="shared" ca="1" si="294"/>
        <v>0.92789575251917</v>
      </c>
      <c r="AO1818" s="158"/>
      <c r="AP1818" s="158"/>
      <c r="AQ1818" s="1"/>
      <c r="AR1818" s="1"/>
      <c r="AS1818" s="1"/>
      <c r="AT1818" s="1"/>
      <c r="AU1818" s="1"/>
    </row>
    <row r="1819" spans="34:47">
      <c r="AH1819" s="6">
        <f t="shared" si="295"/>
        <v>1789</v>
      </c>
      <c r="AI1819" s="7">
        <f t="shared" ca="1" si="296"/>
        <v>44459</v>
      </c>
      <c r="AJ1819" s="210">
        <f t="shared" ca="1" si="297"/>
        <v>4.1749999999999998</v>
      </c>
      <c r="AK1819" s="8">
        <f t="shared" ca="1" si="298"/>
        <v>1.0001159722222221</v>
      </c>
      <c r="AL1819" s="98">
        <f t="shared" ca="1" si="299"/>
        <v>3.9686013990315905</v>
      </c>
      <c r="AM1819" s="106">
        <f t="shared" ca="1" si="293"/>
        <v>30366.001512322655</v>
      </c>
      <c r="AN1819" s="10">
        <f t="shared" ca="1" si="294"/>
        <v>0.92806589921896609</v>
      </c>
      <c r="AO1819" s="158"/>
      <c r="AP1819" s="158"/>
      <c r="AQ1819" s="1"/>
      <c r="AR1819" s="1"/>
      <c r="AS1819" s="1"/>
      <c r="AT1819" s="1"/>
      <c r="AU1819" s="1"/>
    </row>
    <row r="1820" spans="34:47">
      <c r="AH1820" s="6">
        <f t="shared" si="295"/>
        <v>1790</v>
      </c>
      <c r="AI1820" s="7">
        <f t="shared" ca="1" si="296"/>
        <v>44460</v>
      </c>
      <c r="AJ1820" s="210">
        <f t="shared" ca="1" si="297"/>
        <v>4.1749999999999998</v>
      </c>
      <c r="AK1820" s="8">
        <f t="shared" ca="1" si="298"/>
        <v>1.0001159722222221</v>
      </c>
      <c r="AL1820" s="98">
        <f t="shared" ca="1" si="299"/>
        <v>3.968799383828836</v>
      </c>
      <c r="AM1820" s="106">
        <f t="shared" ca="1" si="293"/>
        <v>30368.503715461215</v>
      </c>
      <c r="AN1820" s="10">
        <f t="shared" ca="1" si="294"/>
        <v>0.92823585609709269</v>
      </c>
      <c r="AO1820" s="158"/>
      <c r="AP1820" s="158"/>
      <c r="AQ1820" s="1"/>
      <c r="AR1820" s="1"/>
      <c r="AS1820" s="1"/>
      <c r="AT1820" s="1"/>
      <c r="AU1820" s="1"/>
    </row>
    <row r="1821" spans="34:47">
      <c r="AH1821" s="6">
        <f t="shared" si="295"/>
        <v>1791</v>
      </c>
      <c r="AI1821" s="7">
        <f t="shared" ca="1" si="296"/>
        <v>44461</v>
      </c>
      <c r="AJ1821" s="210">
        <f t="shared" ca="1" si="297"/>
        <v>4.1749999999999998</v>
      </c>
      <c r="AK1821" s="8">
        <f t="shared" ca="1" si="298"/>
        <v>1.0001159722222221</v>
      </c>
      <c r="AL1821" s="98">
        <f t="shared" ca="1" si="299"/>
        <v>3.9689971479139219</v>
      </c>
      <c r="AM1821" s="106">
        <f t="shared" ca="1" si="293"/>
        <v>30371.006124784995</v>
      </c>
      <c r="AN1821" s="10">
        <f t="shared" ca="1" si="294"/>
        <v>0.92840562347098476</v>
      </c>
      <c r="AO1821" s="158"/>
      <c r="AP1821" s="158"/>
      <c r="AQ1821" s="1"/>
      <c r="AR1821" s="1"/>
      <c r="AS1821" s="1"/>
      <c r="AT1821" s="1"/>
      <c r="AU1821" s="1"/>
    </row>
    <row r="1822" spans="34:47">
      <c r="AH1822" s="6">
        <f t="shared" si="295"/>
        <v>1792</v>
      </c>
      <c r="AI1822" s="7">
        <f t="shared" ca="1" si="296"/>
        <v>44462</v>
      </c>
      <c r="AJ1822" s="210">
        <f t="shared" ca="1" si="297"/>
        <v>4.1749999999999998</v>
      </c>
      <c r="AK1822" s="8">
        <f t="shared" ca="1" si="298"/>
        <v>1.0001159722222221</v>
      </c>
      <c r="AL1822" s="98">
        <f t="shared" ca="1" si="299"/>
        <v>3.9691946916557086</v>
      </c>
      <c r="AM1822" s="106">
        <f t="shared" ca="1" si="293"/>
        <v>30373.508740310976</v>
      </c>
      <c r="AN1822" s="10">
        <f t="shared" ca="1" si="294"/>
        <v>0.92857520165745555</v>
      </c>
      <c r="AO1822" s="158"/>
      <c r="AP1822" s="158"/>
      <c r="AQ1822" s="1"/>
      <c r="AR1822" s="1"/>
      <c r="AS1822" s="1"/>
      <c r="AT1822" s="1"/>
      <c r="AU1822" s="1"/>
    </row>
    <row r="1823" spans="34:47">
      <c r="AH1823" s="6">
        <f t="shared" si="295"/>
        <v>1793</v>
      </c>
      <c r="AI1823" s="7">
        <f t="shared" ca="1" si="296"/>
        <v>44463</v>
      </c>
      <c r="AJ1823" s="210">
        <f t="shared" ca="1" si="297"/>
        <v>4.1749999999999998</v>
      </c>
      <c r="AK1823" s="8">
        <f t="shared" ca="1" si="298"/>
        <v>1.0001159722222221</v>
      </c>
      <c r="AL1823" s="98">
        <f t="shared" ca="1" si="299"/>
        <v>3.9693920154222351</v>
      </c>
      <c r="AM1823" s="106">
        <f t="shared" ref="AM1823:AM1886" ca="1" si="300">Geom_Interp(AI1823,$AZ$2:$AZ$109,$BA$2:$BA$109)</f>
        <v>30376.011562056159</v>
      </c>
      <c r="AN1823" s="10">
        <f t="shared" ref="AN1823:AN1886" ca="1" si="301">100*(((1+AL1823/100)^(AH1823/365)*$AM$29/AM1823)^(365/AH1823)-1)</f>
        <v>0.92874459097256334</v>
      </c>
      <c r="AO1823" s="158"/>
      <c r="AP1823" s="158"/>
      <c r="AQ1823" s="1"/>
      <c r="AR1823" s="1"/>
      <c r="AS1823" s="1"/>
      <c r="AT1823" s="1"/>
      <c r="AU1823" s="1"/>
    </row>
    <row r="1824" spans="34:47">
      <c r="AH1824" s="6">
        <f t="shared" ref="AH1824:AH1887" si="302">$AI$29+AH1823</f>
        <v>1794</v>
      </c>
      <c r="AI1824" s="7">
        <f t="shared" ref="AI1824:AI1887" ca="1" si="303">+AH1824+$C$1</f>
        <v>44464</v>
      </c>
      <c r="AJ1824" s="210">
        <f t="shared" ref="AJ1824:AJ1887" ca="1" si="304">IF(AH1824&lt;365,VLOOKUP(LOOKUP(AI1824,$AI$2:$AI$23),$AI$2:$AK$23,3,0),Lin_Interp(AH1824,$AJ$2:$AJ$23,$AK$2:$AK$23))</f>
        <v>4.1749999999999998</v>
      </c>
      <c r="AK1824" s="8">
        <f t="shared" ca="1" si="298"/>
        <v>1.0001159722222221</v>
      </c>
      <c r="AL1824" s="98">
        <f t="shared" ca="1" si="299"/>
        <v>3.9695891195807409</v>
      </c>
      <c r="AM1824" s="106">
        <f t="shared" ca="1" si="300"/>
        <v>30378.514590037528</v>
      </c>
      <c r="AN1824" s="10">
        <f t="shared" ca="1" si="301"/>
        <v>0.92891379173165589</v>
      </c>
      <c r="AO1824" s="158"/>
      <c r="AP1824" s="158"/>
      <c r="AQ1824" s="1"/>
      <c r="AR1824" s="1"/>
      <c r="AS1824" s="1"/>
      <c r="AT1824" s="1"/>
      <c r="AU1824" s="1"/>
    </row>
    <row r="1825" spans="34:47">
      <c r="AH1825" s="6">
        <f t="shared" si="302"/>
        <v>1795</v>
      </c>
      <c r="AI1825" s="7">
        <f t="shared" ca="1" si="303"/>
        <v>44465</v>
      </c>
      <c r="AJ1825" s="210">
        <f t="shared" ca="1" si="304"/>
        <v>4.1749999999999998</v>
      </c>
      <c r="AK1825" s="8">
        <f t="shared" ref="AK1825:AK1888" ca="1" si="305">+(1+AJ1825/36000)</f>
        <v>1.0001159722222221</v>
      </c>
      <c r="AL1825" s="98">
        <f t="shared" ref="AL1825:AL1888" ca="1" si="306">100*(((1+AL1824/100)^(AH1824/365)*AK1825)^(365/AH1825)-1)</f>
        <v>3.9697860044976441</v>
      </c>
      <c r="AM1825" s="106">
        <f t="shared" ca="1" si="300"/>
        <v>30381.017824272076</v>
      </c>
      <c r="AN1825" s="10">
        <f t="shared" ca="1" si="301"/>
        <v>0.92908280424943701</v>
      </c>
      <c r="AO1825" s="158"/>
      <c r="AP1825" s="158"/>
      <c r="AQ1825" s="1"/>
      <c r="AR1825" s="1"/>
      <c r="AS1825" s="1"/>
      <c r="AT1825" s="1"/>
      <c r="AU1825" s="1"/>
    </row>
    <row r="1826" spans="34:47">
      <c r="AH1826" s="6">
        <f t="shared" si="302"/>
        <v>1796</v>
      </c>
      <c r="AI1826" s="7">
        <f t="shared" ca="1" si="303"/>
        <v>44466</v>
      </c>
      <c r="AJ1826" s="210">
        <f t="shared" ca="1" si="304"/>
        <v>4.1749999999999998</v>
      </c>
      <c r="AK1826" s="8">
        <f t="shared" ca="1" si="305"/>
        <v>1.0001159722222221</v>
      </c>
      <c r="AL1826" s="98">
        <f t="shared" ca="1" si="306"/>
        <v>3.9699826705385188</v>
      </c>
      <c r="AM1826" s="106">
        <f t="shared" ca="1" si="300"/>
        <v>30383.521264776806</v>
      </c>
      <c r="AN1826" s="10">
        <f t="shared" ca="1" si="301"/>
        <v>0.92925162883981116</v>
      </c>
      <c r="AO1826" s="158"/>
      <c r="AP1826" s="158"/>
      <c r="AQ1826" s="1"/>
      <c r="AR1826" s="1"/>
      <c r="AS1826" s="1"/>
      <c r="AT1826" s="1"/>
      <c r="AU1826" s="1"/>
    </row>
    <row r="1827" spans="34:47">
      <c r="AH1827" s="6">
        <f t="shared" si="302"/>
        <v>1797</v>
      </c>
      <c r="AI1827" s="7">
        <f t="shared" ca="1" si="303"/>
        <v>44467</v>
      </c>
      <c r="AJ1827" s="210">
        <f t="shared" ca="1" si="304"/>
        <v>4.1749999999999998</v>
      </c>
      <c r="AK1827" s="8">
        <f t="shared" ca="1" si="305"/>
        <v>1.0001159722222221</v>
      </c>
      <c r="AL1827" s="98">
        <f t="shared" ca="1" si="306"/>
        <v>3.9701791180681623</v>
      </c>
      <c r="AM1827" s="106">
        <f t="shared" ca="1" si="300"/>
        <v>30386.024911568711</v>
      </c>
      <c r="AN1827" s="10">
        <f t="shared" ca="1" si="301"/>
        <v>0.92942026581610548</v>
      </c>
      <c r="AO1827" s="158"/>
      <c r="AP1827" s="158"/>
      <c r="AQ1827" s="1"/>
      <c r="AR1827" s="1"/>
      <c r="AS1827" s="1"/>
      <c r="AT1827" s="1"/>
      <c r="AU1827" s="1"/>
    </row>
    <row r="1828" spans="34:47">
      <c r="AH1828" s="6">
        <f t="shared" si="302"/>
        <v>1798</v>
      </c>
      <c r="AI1828" s="7">
        <f t="shared" ca="1" si="303"/>
        <v>44468</v>
      </c>
      <c r="AJ1828" s="210">
        <f t="shared" ca="1" si="304"/>
        <v>4.1749999999999998</v>
      </c>
      <c r="AK1828" s="8">
        <f t="shared" ca="1" si="305"/>
        <v>1.0001159722222221</v>
      </c>
      <c r="AL1828" s="98">
        <f t="shared" ca="1" si="306"/>
        <v>3.9703753474505277</v>
      </c>
      <c r="AM1828" s="106">
        <f t="shared" ca="1" si="300"/>
        <v>30388.528764664792</v>
      </c>
      <c r="AN1828" s="10">
        <f t="shared" ca="1" si="301"/>
        <v>0.92958871549082556</v>
      </c>
      <c r="AO1828" s="158"/>
      <c r="AP1828" s="158"/>
      <c r="AQ1828" s="1"/>
      <c r="AR1828" s="1"/>
      <c r="AS1828" s="1"/>
      <c r="AT1828" s="1"/>
      <c r="AU1828" s="1"/>
    </row>
    <row r="1829" spans="34:47">
      <c r="AH1829" s="6">
        <f t="shared" si="302"/>
        <v>1799</v>
      </c>
      <c r="AI1829" s="7">
        <f t="shared" ca="1" si="303"/>
        <v>44469</v>
      </c>
      <c r="AJ1829" s="210">
        <f t="shared" ca="1" si="304"/>
        <v>4.1749999999999998</v>
      </c>
      <c r="AK1829" s="8">
        <f t="shared" ca="1" si="305"/>
        <v>1.0001159722222221</v>
      </c>
      <c r="AL1829" s="98">
        <f t="shared" ca="1" si="306"/>
        <v>3.9705713590487912</v>
      </c>
      <c r="AM1829" s="106">
        <f t="shared" ca="1" si="300"/>
        <v>30391.032824082042</v>
      </c>
      <c r="AN1829" s="10">
        <f t="shared" ca="1" si="301"/>
        <v>0.92975697817587744</v>
      </c>
      <c r="AO1829" s="158"/>
      <c r="AP1829" s="158"/>
      <c r="AQ1829" s="1"/>
      <c r="AR1829" s="1"/>
      <c r="AS1829" s="1"/>
      <c r="AT1829" s="1"/>
      <c r="AU1829" s="1"/>
    </row>
    <row r="1830" spans="34:47">
      <c r="AH1830" s="6">
        <f t="shared" si="302"/>
        <v>1800</v>
      </c>
      <c r="AI1830" s="7">
        <f t="shared" ca="1" si="303"/>
        <v>44470</v>
      </c>
      <c r="AJ1830" s="210">
        <f t="shared" ca="1" si="304"/>
        <v>4.1749999999999998</v>
      </c>
      <c r="AK1830" s="8">
        <f t="shared" ca="1" si="305"/>
        <v>1.0001159722222221</v>
      </c>
      <c r="AL1830" s="98">
        <f t="shared" ca="1" si="306"/>
        <v>3.9707671532253075</v>
      </c>
      <c r="AM1830" s="106">
        <f t="shared" ca="1" si="300"/>
        <v>30393.537089837471</v>
      </c>
      <c r="AN1830" s="10">
        <f t="shared" ca="1" si="301"/>
        <v>0.92992505418243443</v>
      </c>
      <c r="AO1830" s="158"/>
      <c r="AP1830" s="158"/>
      <c r="AQ1830" s="1"/>
      <c r="AR1830" s="1"/>
      <c r="AS1830" s="1"/>
      <c r="AT1830" s="1"/>
      <c r="AU1830" s="1"/>
    </row>
    <row r="1831" spans="34:47">
      <c r="AH1831" s="6">
        <f t="shared" si="302"/>
        <v>1801</v>
      </c>
      <c r="AI1831" s="7">
        <f t="shared" ca="1" si="303"/>
        <v>44471</v>
      </c>
      <c r="AJ1831" s="210">
        <f t="shared" ca="1" si="304"/>
        <v>4.1749999999999998</v>
      </c>
      <c r="AK1831" s="8">
        <f t="shared" ca="1" si="305"/>
        <v>1.0001159722222221</v>
      </c>
      <c r="AL1831" s="98">
        <f t="shared" ca="1" si="306"/>
        <v>3.9709627303416317</v>
      </c>
      <c r="AM1831" s="106">
        <f t="shared" ca="1" si="300"/>
        <v>30396.041561948077</v>
      </c>
      <c r="AN1831" s="10">
        <f t="shared" ca="1" si="301"/>
        <v>0.93009294382100371</v>
      </c>
      <c r="AO1831" s="158"/>
      <c r="AP1831" s="158"/>
      <c r="AQ1831" s="1"/>
      <c r="AR1831" s="1"/>
      <c r="AS1831" s="1"/>
      <c r="AT1831" s="1"/>
      <c r="AU1831" s="1"/>
    </row>
    <row r="1832" spans="34:47">
      <c r="AH1832" s="6">
        <f t="shared" si="302"/>
        <v>1802</v>
      </c>
      <c r="AI1832" s="7">
        <f t="shared" ca="1" si="303"/>
        <v>44472</v>
      </c>
      <c r="AJ1832" s="210">
        <f t="shared" ca="1" si="304"/>
        <v>4.1749999999999998</v>
      </c>
      <c r="AK1832" s="8">
        <f t="shared" ca="1" si="305"/>
        <v>1.0001159722222221</v>
      </c>
      <c r="AL1832" s="98">
        <f t="shared" ca="1" si="306"/>
        <v>3.9711580907585198</v>
      </c>
      <c r="AM1832" s="106">
        <f t="shared" ca="1" si="300"/>
        <v>30398.546240430867</v>
      </c>
      <c r="AN1832" s="10">
        <f t="shared" ca="1" si="301"/>
        <v>0.93026064740138192</v>
      </c>
      <c r="AO1832" s="158"/>
      <c r="AP1832" s="158"/>
      <c r="AQ1832" s="1"/>
      <c r="AR1832" s="1"/>
      <c r="AS1832" s="1"/>
      <c r="AT1832" s="1"/>
      <c r="AU1832" s="1"/>
    </row>
    <row r="1833" spans="34:47">
      <c r="AH1833" s="6">
        <f t="shared" si="302"/>
        <v>1803</v>
      </c>
      <c r="AI1833" s="7">
        <f t="shared" ca="1" si="303"/>
        <v>44473</v>
      </c>
      <c r="AJ1833" s="210">
        <f t="shared" ca="1" si="304"/>
        <v>4.1749999999999998</v>
      </c>
      <c r="AK1833" s="8">
        <f t="shared" ca="1" si="305"/>
        <v>1.0001159722222221</v>
      </c>
      <c r="AL1833" s="98">
        <f t="shared" ca="1" si="306"/>
        <v>3.971353234835906</v>
      </c>
      <c r="AM1833" s="106">
        <f t="shared" ca="1" si="300"/>
        <v>30401.051125302838</v>
      </c>
      <c r="AN1833" s="10">
        <f t="shared" ca="1" si="301"/>
        <v>0.93042816523265515</v>
      </c>
      <c r="AO1833" s="158"/>
      <c r="AP1833" s="158"/>
      <c r="AQ1833" s="1"/>
      <c r="AR1833" s="1"/>
      <c r="AS1833" s="1"/>
      <c r="AT1833" s="1"/>
      <c r="AU1833" s="1"/>
    </row>
    <row r="1834" spans="34:47">
      <c r="AH1834" s="6">
        <f t="shared" si="302"/>
        <v>1804</v>
      </c>
      <c r="AI1834" s="7">
        <f t="shared" ca="1" si="303"/>
        <v>44474</v>
      </c>
      <c r="AJ1834" s="210">
        <f t="shared" ca="1" si="304"/>
        <v>4.1749999999999998</v>
      </c>
      <c r="AK1834" s="8">
        <f t="shared" ca="1" si="305"/>
        <v>1.0001159722222221</v>
      </c>
      <c r="AL1834" s="98">
        <f t="shared" ca="1" si="306"/>
        <v>3.9715481629329696</v>
      </c>
      <c r="AM1834" s="106">
        <f t="shared" ca="1" si="300"/>
        <v>30403.556216581004</v>
      </c>
      <c r="AN1834" s="10">
        <f t="shared" ca="1" si="301"/>
        <v>0.93059549762328775</v>
      </c>
      <c r="AO1834" s="158"/>
      <c r="AP1834" s="158"/>
      <c r="AQ1834" s="1"/>
      <c r="AR1834" s="1"/>
      <c r="AS1834" s="1"/>
      <c r="AT1834" s="1"/>
      <c r="AU1834" s="1"/>
    </row>
    <row r="1835" spans="34:47">
      <c r="AH1835" s="6">
        <f t="shared" si="302"/>
        <v>1805</v>
      </c>
      <c r="AI1835" s="7">
        <f t="shared" ca="1" si="303"/>
        <v>44475</v>
      </c>
      <c r="AJ1835" s="210">
        <f t="shared" ca="1" si="304"/>
        <v>4.1749999999999998</v>
      </c>
      <c r="AK1835" s="8">
        <f t="shared" ca="1" si="305"/>
        <v>1.0001159722222221</v>
      </c>
      <c r="AL1835" s="98">
        <f t="shared" ca="1" si="306"/>
        <v>3.9717428754080908</v>
      </c>
      <c r="AM1835" s="106">
        <f t="shared" ca="1" si="300"/>
        <v>30406.061514282377</v>
      </c>
      <c r="AN1835" s="10">
        <f t="shared" ca="1" si="301"/>
        <v>0.93076264488105576</v>
      </c>
      <c r="AO1835" s="158"/>
      <c r="AP1835" s="158"/>
      <c r="AQ1835" s="1"/>
      <c r="AR1835" s="1"/>
      <c r="AS1835" s="1"/>
      <c r="AT1835" s="1"/>
      <c r="AU1835" s="1"/>
    </row>
    <row r="1836" spans="34:47">
      <c r="AH1836" s="6">
        <f t="shared" si="302"/>
        <v>1806</v>
      </c>
      <c r="AI1836" s="7">
        <f t="shared" ca="1" si="303"/>
        <v>44476</v>
      </c>
      <c r="AJ1836" s="210">
        <f t="shared" ca="1" si="304"/>
        <v>4.1749999999999998</v>
      </c>
      <c r="AK1836" s="8">
        <f t="shared" ca="1" si="305"/>
        <v>1.0001159722222221</v>
      </c>
      <c r="AL1836" s="98">
        <f t="shared" ca="1" si="306"/>
        <v>3.9719373726188056</v>
      </c>
      <c r="AM1836" s="106">
        <f t="shared" ca="1" si="300"/>
        <v>30408.567018423957</v>
      </c>
      <c r="AN1836" s="10">
        <f t="shared" ca="1" si="301"/>
        <v>0.93092960731298025</v>
      </c>
      <c r="AO1836" s="158"/>
      <c r="AP1836" s="158"/>
      <c r="AQ1836" s="1"/>
      <c r="AR1836" s="1"/>
      <c r="AS1836" s="1"/>
      <c r="AT1836" s="1"/>
      <c r="AU1836" s="1"/>
    </row>
    <row r="1837" spans="34:47">
      <c r="AH1837" s="6">
        <f t="shared" si="302"/>
        <v>1807</v>
      </c>
      <c r="AI1837" s="7">
        <f t="shared" ca="1" si="303"/>
        <v>44477</v>
      </c>
      <c r="AJ1837" s="210">
        <f t="shared" ca="1" si="304"/>
        <v>4.1749999999999998</v>
      </c>
      <c r="AK1837" s="8">
        <f t="shared" ca="1" si="305"/>
        <v>1.0001159722222221</v>
      </c>
      <c r="AL1837" s="98">
        <f t="shared" ca="1" si="306"/>
        <v>3.9721316549219177</v>
      </c>
      <c r="AM1837" s="106">
        <f t="shared" ca="1" si="300"/>
        <v>30411.072729022762</v>
      </c>
      <c r="AN1837" s="10">
        <f t="shared" ca="1" si="301"/>
        <v>0.93109638522548277</v>
      </c>
      <c r="AO1837" s="158"/>
      <c r="AP1837" s="158"/>
      <c r="AQ1837" s="1"/>
      <c r="AR1837" s="1"/>
      <c r="AS1837" s="1"/>
      <c r="AT1837" s="1"/>
      <c r="AU1837" s="1"/>
    </row>
    <row r="1838" spans="34:47">
      <c r="AH1838" s="6">
        <f t="shared" si="302"/>
        <v>1808</v>
      </c>
      <c r="AI1838" s="7">
        <f t="shared" ca="1" si="303"/>
        <v>44478</v>
      </c>
      <c r="AJ1838" s="210">
        <f t="shared" ca="1" si="304"/>
        <v>4.1749999999999998</v>
      </c>
      <c r="AK1838" s="8">
        <f t="shared" ca="1" si="305"/>
        <v>1.0001159722222221</v>
      </c>
      <c r="AL1838" s="98">
        <f t="shared" ca="1" si="306"/>
        <v>3.9723257226734088</v>
      </c>
      <c r="AM1838" s="106">
        <f t="shared" ca="1" si="300"/>
        <v>30413.578646095797</v>
      </c>
      <c r="AN1838" s="10">
        <f t="shared" ca="1" si="301"/>
        <v>0.93126297892427434</v>
      </c>
      <c r="AO1838" s="158"/>
      <c r="AP1838" s="158"/>
      <c r="AQ1838" s="1"/>
      <c r="AR1838" s="1"/>
      <c r="AS1838" s="1"/>
      <c r="AT1838" s="1"/>
      <c r="AU1838" s="1"/>
    </row>
    <row r="1839" spans="34:47">
      <c r="AH1839" s="6">
        <f t="shared" si="302"/>
        <v>1809</v>
      </c>
      <c r="AI1839" s="7">
        <f t="shared" ca="1" si="303"/>
        <v>44479</v>
      </c>
      <c r="AJ1839" s="210">
        <f t="shared" ca="1" si="304"/>
        <v>4.1749999999999998</v>
      </c>
      <c r="AK1839" s="8">
        <f t="shared" ca="1" si="305"/>
        <v>1.0001159722222221</v>
      </c>
      <c r="AL1839" s="98">
        <f t="shared" ca="1" si="306"/>
        <v>3.9725195762284837</v>
      </c>
      <c r="AM1839" s="106">
        <f t="shared" ca="1" si="300"/>
        <v>30416.003923741217</v>
      </c>
      <c r="AN1839" s="10">
        <f t="shared" ca="1" si="301"/>
        <v>0.9314835184874859</v>
      </c>
      <c r="AO1839" s="158"/>
      <c r="AP1839" s="158"/>
      <c r="AQ1839" s="1"/>
      <c r="AR1839" s="1"/>
      <c r="AS1839" s="1"/>
      <c r="AT1839" s="1"/>
      <c r="AU1839" s="1"/>
    </row>
    <row r="1840" spans="34:47">
      <c r="AH1840" s="6">
        <f t="shared" si="302"/>
        <v>1810</v>
      </c>
      <c r="AI1840" s="7">
        <f t="shared" ca="1" si="303"/>
        <v>44480</v>
      </c>
      <c r="AJ1840" s="210">
        <f t="shared" ca="1" si="304"/>
        <v>4.1749999999999998</v>
      </c>
      <c r="AK1840" s="8">
        <f t="shared" ca="1" si="305"/>
        <v>1.0001159722222221</v>
      </c>
      <c r="AL1840" s="98">
        <f t="shared" ca="1" si="306"/>
        <v>3.9727132159415701</v>
      </c>
      <c r="AM1840" s="106">
        <f t="shared" ca="1" si="300"/>
        <v>30418.429394786166</v>
      </c>
      <c r="AN1840" s="10">
        <f t="shared" ca="1" si="301"/>
        <v>0.93170381484164455</v>
      </c>
      <c r="AO1840" s="158"/>
      <c r="AP1840" s="158"/>
      <c r="AQ1840" s="1"/>
      <c r="AR1840" s="1"/>
      <c r="AS1840" s="1"/>
      <c r="AT1840" s="1"/>
      <c r="AU1840" s="1"/>
    </row>
    <row r="1841" spans="34:47">
      <c r="AH1841" s="6">
        <f t="shared" si="302"/>
        <v>1811</v>
      </c>
      <c r="AI1841" s="7">
        <f t="shared" ca="1" si="303"/>
        <v>44481</v>
      </c>
      <c r="AJ1841" s="210">
        <f t="shared" ca="1" si="304"/>
        <v>4.1749999999999998</v>
      </c>
      <c r="AK1841" s="8">
        <f t="shared" ca="1" si="305"/>
        <v>1.0001159722222221</v>
      </c>
      <c r="AL1841" s="98">
        <f t="shared" ca="1" si="306"/>
        <v>3.9729066421663184</v>
      </c>
      <c r="AM1841" s="106">
        <f t="shared" ca="1" si="300"/>
        <v>30420.85505924606</v>
      </c>
      <c r="AN1841" s="10">
        <f t="shared" ca="1" si="301"/>
        <v>0.93192386838885088</v>
      </c>
      <c r="AO1841" s="158"/>
      <c r="AP1841" s="158"/>
      <c r="AQ1841" s="1"/>
      <c r="AR1841" s="1"/>
      <c r="AS1841" s="1"/>
      <c r="AT1841" s="1"/>
      <c r="AU1841" s="1"/>
    </row>
    <row r="1842" spans="34:47">
      <c r="AH1842" s="6">
        <f t="shared" si="302"/>
        <v>1812</v>
      </c>
      <c r="AI1842" s="7">
        <f t="shared" ca="1" si="303"/>
        <v>44482</v>
      </c>
      <c r="AJ1842" s="210">
        <f t="shared" ca="1" si="304"/>
        <v>4.1749999999999998</v>
      </c>
      <c r="AK1842" s="8">
        <f t="shared" ca="1" si="305"/>
        <v>1.0001159722222221</v>
      </c>
      <c r="AL1842" s="98">
        <f t="shared" ca="1" si="306"/>
        <v>3.9730998552555796</v>
      </c>
      <c r="AM1842" s="106">
        <f t="shared" ca="1" si="300"/>
        <v>30423.280917136326</v>
      </c>
      <c r="AN1842" s="10">
        <f t="shared" ca="1" si="301"/>
        <v>0.9321436795303395</v>
      </c>
      <c r="AO1842" s="158"/>
      <c r="AP1842" s="158"/>
      <c r="AQ1842" s="1"/>
      <c r="AR1842" s="1"/>
      <c r="AS1842" s="1"/>
      <c r="AT1842" s="1"/>
      <c r="AU1842" s="1"/>
    </row>
    <row r="1843" spans="34:47">
      <c r="AH1843" s="6">
        <f t="shared" si="302"/>
        <v>1813</v>
      </c>
      <c r="AI1843" s="7">
        <f t="shared" ca="1" si="303"/>
        <v>44483</v>
      </c>
      <c r="AJ1843" s="210">
        <f t="shared" ca="1" si="304"/>
        <v>4.1749999999999998</v>
      </c>
      <c r="AK1843" s="8">
        <f t="shared" ca="1" si="305"/>
        <v>1.0001159722222221</v>
      </c>
      <c r="AL1843" s="98">
        <f t="shared" ca="1" si="306"/>
        <v>3.97329285556145</v>
      </c>
      <c r="AM1843" s="106">
        <f t="shared" ca="1" si="300"/>
        <v>30425.706968472383</v>
      </c>
      <c r="AN1843" s="10">
        <f t="shared" ca="1" si="301"/>
        <v>0.9323632486664124</v>
      </c>
      <c r="AO1843" s="158"/>
      <c r="AP1843" s="158"/>
      <c r="AQ1843" s="1"/>
      <c r="AR1843" s="1"/>
      <c r="AS1843" s="1"/>
      <c r="AT1843" s="1"/>
      <c r="AU1843" s="1"/>
    </row>
    <row r="1844" spans="34:47">
      <c r="AH1844" s="6">
        <f t="shared" si="302"/>
        <v>1814</v>
      </c>
      <c r="AI1844" s="7">
        <f t="shared" ca="1" si="303"/>
        <v>44484</v>
      </c>
      <c r="AJ1844" s="210">
        <f t="shared" ca="1" si="304"/>
        <v>4.1749999999999998</v>
      </c>
      <c r="AK1844" s="8">
        <f t="shared" ca="1" si="305"/>
        <v>1.0001159722222221</v>
      </c>
      <c r="AL1844" s="98">
        <f t="shared" ca="1" si="306"/>
        <v>3.9734856434352261</v>
      </c>
      <c r="AM1844" s="106">
        <f t="shared" ca="1" si="300"/>
        <v>30428.133213269663</v>
      </c>
      <c r="AN1844" s="10">
        <f t="shared" ca="1" si="301"/>
        <v>0.93258257619650564</v>
      </c>
      <c r="AO1844" s="158"/>
      <c r="AP1844" s="158"/>
      <c r="AQ1844" s="1"/>
      <c r="AR1844" s="1"/>
      <c r="AS1844" s="1"/>
      <c r="AT1844" s="1"/>
      <c r="AU1844" s="1"/>
    </row>
    <row r="1845" spans="34:47">
      <c r="AH1845" s="6">
        <f t="shared" si="302"/>
        <v>1815</v>
      </c>
      <c r="AI1845" s="7">
        <f t="shared" ca="1" si="303"/>
        <v>44485</v>
      </c>
      <c r="AJ1845" s="210">
        <f t="shared" ca="1" si="304"/>
        <v>4.1749999999999998</v>
      </c>
      <c r="AK1845" s="8">
        <f t="shared" ca="1" si="305"/>
        <v>1.0001159722222221</v>
      </c>
      <c r="AL1845" s="98">
        <f t="shared" ca="1" si="306"/>
        <v>3.97367821922745</v>
      </c>
      <c r="AM1845" s="106">
        <f t="shared" ca="1" si="300"/>
        <v>30430.559651543594</v>
      </c>
      <c r="AN1845" s="10">
        <f t="shared" ca="1" si="301"/>
        <v>0.93280166251918928</v>
      </c>
      <c r="AO1845" s="158"/>
      <c r="AP1845" s="158"/>
      <c r="AQ1845" s="1"/>
      <c r="AR1845" s="1"/>
      <c r="AS1845" s="1"/>
      <c r="AT1845" s="1"/>
      <c r="AU1845" s="1"/>
    </row>
    <row r="1846" spans="34:47">
      <c r="AH1846" s="6">
        <f t="shared" si="302"/>
        <v>1816</v>
      </c>
      <c r="AI1846" s="7">
        <f t="shared" ca="1" si="303"/>
        <v>44486</v>
      </c>
      <c r="AJ1846" s="210">
        <f t="shared" ca="1" si="304"/>
        <v>4.1749999999999998</v>
      </c>
      <c r="AK1846" s="8">
        <f t="shared" ca="1" si="305"/>
        <v>1.0001159722222221</v>
      </c>
      <c r="AL1846" s="98">
        <f t="shared" ca="1" si="306"/>
        <v>3.9738705832878862</v>
      </c>
      <c r="AM1846" s="106">
        <f t="shared" ca="1" si="300"/>
        <v>30432.986283309598</v>
      </c>
      <c r="AN1846" s="10">
        <f t="shared" ca="1" si="301"/>
        <v>0.933020508032123</v>
      </c>
      <c r="AO1846" s="158"/>
      <c r="AP1846" s="158"/>
      <c r="AQ1846" s="1"/>
      <c r="AR1846" s="1"/>
      <c r="AS1846" s="1"/>
      <c r="AT1846" s="1"/>
      <c r="AU1846" s="1"/>
    </row>
    <row r="1847" spans="34:47">
      <c r="AH1847" s="6">
        <f t="shared" si="302"/>
        <v>1817</v>
      </c>
      <c r="AI1847" s="7">
        <f t="shared" ca="1" si="303"/>
        <v>44487</v>
      </c>
      <c r="AJ1847" s="210">
        <f t="shared" ca="1" si="304"/>
        <v>4.1749999999999998</v>
      </c>
      <c r="AK1847" s="8">
        <f t="shared" ca="1" si="305"/>
        <v>1.0001159722222221</v>
      </c>
      <c r="AL1847" s="98">
        <f t="shared" ca="1" si="306"/>
        <v>3.9740627359655445</v>
      </c>
      <c r="AM1847" s="106">
        <f t="shared" ca="1" si="300"/>
        <v>30435.413108583114</v>
      </c>
      <c r="AN1847" s="10">
        <f t="shared" ca="1" si="301"/>
        <v>0.93323911313214492</v>
      </c>
      <c r="AO1847" s="158"/>
      <c r="AP1847" s="158"/>
      <c r="AQ1847" s="1"/>
      <c r="AR1847" s="1"/>
      <c r="AS1847" s="1"/>
      <c r="AT1847" s="1"/>
      <c r="AU1847" s="1"/>
    </row>
    <row r="1848" spans="34:47">
      <c r="AH1848" s="6">
        <f t="shared" si="302"/>
        <v>1818</v>
      </c>
      <c r="AI1848" s="7">
        <f t="shared" ca="1" si="303"/>
        <v>44488</v>
      </c>
      <c r="AJ1848" s="210">
        <f t="shared" ca="1" si="304"/>
        <v>4.1749999999999998</v>
      </c>
      <c r="AK1848" s="8">
        <f t="shared" ca="1" si="305"/>
        <v>1.0001159722222221</v>
      </c>
      <c r="AL1848" s="98">
        <f t="shared" ca="1" si="306"/>
        <v>3.9742546776086352</v>
      </c>
      <c r="AM1848" s="106">
        <f t="shared" ca="1" si="300"/>
        <v>30437.840127379564</v>
      </c>
      <c r="AN1848" s="10">
        <f t="shared" ca="1" si="301"/>
        <v>0.93345747821520497</v>
      </c>
      <c r="AO1848" s="158"/>
      <c r="AP1848" s="158"/>
      <c r="AQ1848" s="1"/>
      <c r="AR1848" s="1"/>
      <c r="AS1848" s="1"/>
      <c r="AT1848" s="1"/>
      <c r="AU1848" s="1"/>
    </row>
    <row r="1849" spans="34:47">
      <c r="AH1849" s="6">
        <f t="shared" si="302"/>
        <v>1819</v>
      </c>
      <c r="AI1849" s="7">
        <f t="shared" ca="1" si="303"/>
        <v>44489</v>
      </c>
      <c r="AJ1849" s="210">
        <f t="shared" ca="1" si="304"/>
        <v>4.1749999999999998</v>
      </c>
      <c r="AK1849" s="8">
        <f t="shared" ca="1" si="305"/>
        <v>1.0001159722222221</v>
      </c>
      <c r="AL1849" s="98">
        <f t="shared" ca="1" si="306"/>
        <v>3.974446408564658</v>
      </c>
      <c r="AM1849" s="106">
        <f t="shared" ca="1" si="300"/>
        <v>30440.267339714388</v>
      </c>
      <c r="AN1849" s="10">
        <f t="shared" ca="1" si="301"/>
        <v>0.93367560367636493</v>
      </c>
      <c r="AO1849" s="158"/>
      <c r="AP1849" s="158"/>
      <c r="AQ1849" s="1"/>
      <c r="AR1849" s="1"/>
      <c r="AS1849" s="1"/>
      <c r="AT1849" s="1"/>
      <c r="AU1849" s="1"/>
    </row>
    <row r="1850" spans="34:47">
      <c r="AH1850" s="6">
        <f t="shared" si="302"/>
        <v>1820</v>
      </c>
      <c r="AI1850" s="7">
        <f t="shared" ca="1" si="303"/>
        <v>44490</v>
      </c>
      <c r="AJ1850" s="210">
        <f t="shared" ca="1" si="304"/>
        <v>4.1749999999999998</v>
      </c>
      <c r="AK1850" s="8">
        <f t="shared" ca="1" si="305"/>
        <v>1.0001159722222221</v>
      </c>
      <c r="AL1850" s="98">
        <f t="shared" ca="1" si="306"/>
        <v>3.9746379291802914</v>
      </c>
      <c r="AM1850" s="106">
        <f t="shared" ca="1" si="300"/>
        <v>30442.694745603014</v>
      </c>
      <c r="AN1850" s="10">
        <f t="shared" ca="1" si="301"/>
        <v>0.93389348990982057</v>
      </c>
      <c r="AO1850" s="158"/>
      <c r="AP1850" s="158"/>
      <c r="AQ1850" s="1"/>
      <c r="AR1850" s="1"/>
      <c r="AS1850" s="1"/>
      <c r="AT1850" s="1"/>
      <c r="AU1850" s="1"/>
    </row>
    <row r="1851" spans="34:47">
      <c r="AH1851" s="6">
        <f t="shared" si="302"/>
        <v>1821</v>
      </c>
      <c r="AI1851" s="7">
        <f t="shared" ca="1" si="303"/>
        <v>44491</v>
      </c>
      <c r="AJ1851" s="210">
        <f t="shared" ca="1" si="304"/>
        <v>4.1749999999999998</v>
      </c>
      <c r="AK1851" s="8">
        <f t="shared" ca="1" si="305"/>
        <v>1.0001159722222221</v>
      </c>
      <c r="AL1851" s="98">
        <f t="shared" ca="1" si="306"/>
        <v>3.9748292398014806</v>
      </c>
      <c r="AM1851" s="106">
        <f t="shared" ca="1" si="300"/>
        <v>30445.122345060874</v>
      </c>
      <c r="AN1851" s="10">
        <f t="shared" ca="1" si="301"/>
        <v>0.93411113730892392</v>
      </c>
      <c r="AO1851" s="158"/>
      <c r="AP1851" s="158"/>
      <c r="AQ1851" s="1"/>
      <c r="AR1851" s="1"/>
      <c r="AS1851" s="1"/>
      <c r="AT1851" s="1"/>
      <c r="AU1851" s="1"/>
    </row>
    <row r="1852" spans="34:47">
      <c r="AH1852" s="6">
        <f t="shared" si="302"/>
        <v>1822</v>
      </c>
      <c r="AI1852" s="7">
        <f t="shared" ca="1" si="303"/>
        <v>44492</v>
      </c>
      <c r="AJ1852" s="210">
        <f t="shared" ca="1" si="304"/>
        <v>4.1749999999999998</v>
      </c>
      <c r="AK1852" s="8">
        <f t="shared" ca="1" si="305"/>
        <v>1.0001159722222221</v>
      </c>
      <c r="AL1852" s="98">
        <f t="shared" ca="1" si="306"/>
        <v>3.9750203407734164</v>
      </c>
      <c r="AM1852" s="106">
        <f t="shared" ca="1" si="300"/>
        <v>30447.550138103412</v>
      </c>
      <c r="AN1852" s="10">
        <f t="shared" ca="1" si="301"/>
        <v>0.93432854626613882</v>
      </c>
      <c r="AO1852" s="158"/>
      <c r="AP1852" s="158"/>
      <c r="AQ1852" s="1"/>
      <c r="AR1852" s="1"/>
      <c r="AS1852" s="1"/>
      <c r="AT1852" s="1"/>
      <c r="AU1852" s="1"/>
    </row>
    <row r="1853" spans="34:47">
      <c r="AH1853" s="6">
        <f t="shared" si="302"/>
        <v>1823</v>
      </c>
      <c r="AI1853" s="7">
        <f t="shared" ca="1" si="303"/>
        <v>44493</v>
      </c>
      <c r="AJ1853" s="210">
        <f t="shared" ca="1" si="304"/>
        <v>4.1749999999999998</v>
      </c>
      <c r="AK1853" s="8">
        <f t="shared" ca="1" si="305"/>
        <v>1.0001159722222221</v>
      </c>
      <c r="AL1853" s="98">
        <f t="shared" ca="1" si="306"/>
        <v>3.9752112324405342</v>
      </c>
      <c r="AM1853" s="106">
        <f t="shared" ca="1" si="300"/>
        <v>30449.978124746056</v>
      </c>
      <c r="AN1853" s="10">
        <f t="shared" ca="1" si="301"/>
        <v>0.93454571717310753</v>
      </c>
      <c r="AO1853" s="158"/>
      <c r="AP1853" s="158"/>
      <c r="AQ1853" s="1"/>
      <c r="AR1853" s="1"/>
      <c r="AS1853" s="1"/>
      <c r="AT1853" s="1"/>
      <c r="AU1853" s="1"/>
    </row>
    <row r="1854" spans="34:47">
      <c r="AH1854" s="6">
        <f t="shared" si="302"/>
        <v>1824</v>
      </c>
      <c r="AI1854" s="7">
        <f t="shared" ca="1" si="303"/>
        <v>44494</v>
      </c>
      <c r="AJ1854" s="210">
        <f t="shared" ca="1" si="304"/>
        <v>4.1749999999999998</v>
      </c>
      <c r="AK1854" s="8">
        <f t="shared" ca="1" si="305"/>
        <v>1.0001159722222221</v>
      </c>
      <c r="AL1854" s="98">
        <f t="shared" ca="1" si="306"/>
        <v>3.9754019151464925</v>
      </c>
      <c r="AM1854" s="106">
        <f t="shared" ca="1" si="300"/>
        <v>30452.406305004253</v>
      </c>
      <c r="AN1854" s="10">
        <f t="shared" ca="1" si="301"/>
        <v>0.93476265042056195</v>
      </c>
      <c r="AO1854" s="158"/>
      <c r="AP1854" s="158"/>
      <c r="AQ1854" s="1"/>
      <c r="AR1854" s="1"/>
      <c r="AS1854" s="1"/>
      <c r="AT1854" s="1"/>
      <c r="AU1854" s="1"/>
    </row>
    <row r="1855" spans="34:47">
      <c r="AH1855" s="6">
        <f t="shared" si="302"/>
        <v>1825</v>
      </c>
      <c r="AI1855" s="7">
        <f t="shared" ca="1" si="303"/>
        <v>44495</v>
      </c>
      <c r="AJ1855" s="210">
        <f t="shared" ca="1" si="304"/>
        <v>4.1749999999999998</v>
      </c>
      <c r="AK1855" s="8">
        <f t="shared" ca="1" si="305"/>
        <v>1.0001159722222221</v>
      </c>
      <c r="AL1855" s="98">
        <f t="shared" ca="1" si="306"/>
        <v>3.9755923892342171</v>
      </c>
      <c r="AM1855" s="106">
        <f t="shared" ca="1" si="300"/>
        <v>30454.834678893432</v>
      </c>
      <c r="AN1855" s="10">
        <f t="shared" ca="1" si="301"/>
        <v>0.93497934639843461</v>
      </c>
      <c r="AO1855" s="158"/>
      <c r="AP1855" s="158"/>
      <c r="AQ1855" s="1"/>
      <c r="AR1855" s="1"/>
      <c r="AS1855" s="1"/>
      <c r="AT1855" s="1"/>
      <c r="AU1855" s="1"/>
    </row>
    <row r="1856" spans="34:47">
      <c r="AH1856" s="6">
        <f t="shared" si="302"/>
        <v>1826</v>
      </c>
      <c r="AI1856" s="7">
        <f t="shared" ca="1" si="303"/>
        <v>44496</v>
      </c>
      <c r="AJ1856" s="210">
        <f t="shared" ca="1" si="304"/>
        <v>4.1749999999999998</v>
      </c>
      <c r="AK1856" s="8">
        <f t="shared" ca="1" si="305"/>
        <v>1.0001159722222221</v>
      </c>
      <c r="AL1856" s="98">
        <f t="shared" ca="1" si="306"/>
        <v>3.9757826550459008</v>
      </c>
      <c r="AM1856" s="106">
        <f t="shared" ca="1" si="300"/>
        <v>30457.263246429051</v>
      </c>
      <c r="AN1856" s="10">
        <f t="shared" ca="1" si="301"/>
        <v>0.93519580549576986</v>
      </c>
      <c r="AO1856" s="158"/>
      <c r="AP1856" s="158"/>
      <c r="AQ1856" s="1"/>
      <c r="AR1856" s="1"/>
      <c r="AS1856" s="1"/>
      <c r="AT1856" s="1"/>
      <c r="AU1856" s="1"/>
    </row>
    <row r="1857" spans="34:47">
      <c r="AH1857" s="6">
        <f t="shared" si="302"/>
        <v>1827</v>
      </c>
      <c r="AI1857" s="7">
        <f t="shared" ca="1" si="303"/>
        <v>44497</v>
      </c>
      <c r="AJ1857" s="210">
        <f t="shared" ca="1" si="304"/>
        <v>4.1749999999999998</v>
      </c>
      <c r="AK1857" s="8">
        <f t="shared" ca="1" si="305"/>
        <v>1.0001159722222221</v>
      </c>
      <c r="AL1857" s="98">
        <f t="shared" ca="1" si="306"/>
        <v>3.9759727129229594</v>
      </c>
      <c r="AM1857" s="106">
        <f t="shared" ca="1" si="300"/>
        <v>30459.692007626534</v>
      </c>
      <c r="AN1857" s="10">
        <f t="shared" ca="1" si="301"/>
        <v>0.93541202810079049</v>
      </c>
      <c r="AO1857" s="158"/>
      <c r="AP1857" s="158"/>
      <c r="AQ1857" s="1"/>
      <c r="AR1857" s="1"/>
      <c r="AS1857" s="1"/>
      <c r="AT1857" s="1"/>
      <c r="AU1857" s="1"/>
    </row>
    <row r="1858" spans="34:47">
      <c r="AH1858" s="6">
        <f t="shared" si="302"/>
        <v>1828</v>
      </c>
      <c r="AI1858" s="7">
        <f t="shared" ca="1" si="303"/>
        <v>44498</v>
      </c>
      <c r="AJ1858" s="210">
        <f t="shared" ca="1" si="304"/>
        <v>4.1749999999999998</v>
      </c>
      <c r="AK1858" s="8">
        <f t="shared" ca="1" si="305"/>
        <v>1.0001159722222221</v>
      </c>
      <c r="AL1858" s="98">
        <f t="shared" ca="1" si="306"/>
        <v>3.976162563206076</v>
      </c>
      <c r="AM1858" s="106">
        <f t="shared" ca="1" si="300"/>
        <v>30462.120962501329</v>
      </c>
      <c r="AN1858" s="10">
        <f t="shared" ca="1" si="301"/>
        <v>0.93562801460085332</v>
      </c>
      <c r="AO1858" s="158"/>
      <c r="AP1858" s="158"/>
      <c r="AQ1858" s="1"/>
      <c r="AR1858" s="1"/>
      <c r="AS1858" s="1"/>
      <c r="AT1858" s="1"/>
      <c r="AU1858" s="1"/>
    </row>
    <row r="1859" spans="34:47">
      <c r="AH1859" s="6">
        <f t="shared" si="302"/>
        <v>1829</v>
      </c>
      <c r="AI1859" s="7">
        <f t="shared" ca="1" si="303"/>
        <v>44499</v>
      </c>
      <c r="AJ1859" s="210">
        <f t="shared" ca="1" si="304"/>
        <v>4.1749999999999998</v>
      </c>
      <c r="AK1859" s="8">
        <f t="shared" ca="1" si="305"/>
        <v>1.0001159722222221</v>
      </c>
      <c r="AL1859" s="98">
        <f t="shared" ca="1" si="306"/>
        <v>3.9763522062351786</v>
      </c>
      <c r="AM1859" s="106">
        <f t="shared" ca="1" si="300"/>
        <v>30464.550111068893</v>
      </c>
      <c r="AN1859" s="10">
        <f t="shared" ca="1" si="301"/>
        <v>0.93584376538242697</v>
      </c>
      <c r="AO1859" s="158"/>
      <c r="AP1859" s="158"/>
      <c r="AQ1859" s="1"/>
      <c r="AR1859" s="1"/>
      <c r="AS1859" s="1"/>
      <c r="AT1859" s="1"/>
      <c r="AU1859" s="1"/>
    </row>
    <row r="1860" spans="34:47">
      <c r="AH1860" s="6">
        <f t="shared" si="302"/>
        <v>1830</v>
      </c>
      <c r="AI1860" s="7">
        <f t="shared" ca="1" si="303"/>
        <v>44500</v>
      </c>
      <c r="AJ1860" s="210">
        <f t="shared" ca="1" si="304"/>
        <v>4.1749999999999998</v>
      </c>
      <c r="AK1860" s="8">
        <f t="shared" ca="1" si="305"/>
        <v>1.0001159722222221</v>
      </c>
      <c r="AL1860" s="98">
        <f t="shared" ca="1" si="306"/>
        <v>3.9765416423494626</v>
      </c>
      <c r="AM1860" s="106">
        <f t="shared" ca="1" si="300"/>
        <v>30466.979453344655</v>
      </c>
      <c r="AN1860" s="10">
        <f t="shared" ca="1" si="301"/>
        <v>0.93605928083122514</v>
      </c>
      <c r="AO1860" s="158"/>
      <c r="AP1860" s="158"/>
      <c r="AQ1860" s="1"/>
      <c r="AR1860" s="1"/>
      <c r="AS1860" s="1"/>
      <c r="AT1860" s="1"/>
      <c r="AU1860" s="1"/>
    </row>
    <row r="1861" spans="34:47">
      <c r="AH1861" s="6">
        <f t="shared" si="302"/>
        <v>1831</v>
      </c>
      <c r="AI1861" s="7">
        <f t="shared" ca="1" si="303"/>
        <v>44501</v>
      </c>
      <c r="AJ1861" s="210">
        <f t="shared" ca="1" si="304"/>
        <v>4.1749999999999998</v>
      </c>
      <c r="AK1861" s="8">
        <f t="shared" ca="1" si="305"/>
        <v>1.0001159722222221</v>
      </c>
      <c r="AL1861" s="98">
        <f t="shared" ca="1" si="306"/>
        <v>3.9767308718873906</v>
      </c>
      <c r="AM1861" s="106">
        <f t="shared" ca="1" si="300"/>
        <v>30469.408989344069</v>
      </c>
      <c r="AN1861" s="10">
        <f t="shared" ca="1" si="301"/>
        <v>0.93627456133207332</v>
      </c>
      <c r="AO1861" s="158"/>
      <c r="AP1861" s="158"/>
      <c r="AQ1861" s="1"/>
      <c r="AR1861" s="1"/>
      <c r="AS1861" s="1"/>
      <c r="AT1861" s="1"/>
      <c r="AU1861" s="1"/>
    </row>
    <row r="1862" spans="34:47">
      <c r="AH1862" s="6">
        <f t="shared" si="302"/>
        <v>1832</v>
      </c>
      <c r="AI1862" s="7">
        <f t="shared" ca="1" si="303"/>
        <v>44502</v>
      </c>
      <c r="AJ1862" s="210">
        <f t="shared" ca="1" si="304"/>
        <v>4.1749999999999998</v>
      </c>
      <c r="AK1862" s="8">
        <f t="shared" ca="1" si="305"/>
        <v>1.0001159722222221</v>
      </c>
      <c r="AL1862" s="98">
        <f t="shared" ca="1" si="306"/>
        <v>3.9769198951866702</v>
      </c>
      <c r="AM1862" s="106">
        <f t="shared" ca="1" si="300"/>
        <v>30471.838719082582</v>
      </c>
      <c r="AN1862" s="10">
        <f t="shared" ca="1" si="301"/>
        <v>0.93648960726893105</v>
      </c>
      <c r="AO1862" s="158"/>
      <c r="AP1862" s="158"/>
      <c r="AQ1862" s="1"/>
      <c r="AR1862" s="1"/>
      <c r="AS1862" s="1"/>
      <c r="AT1862" s="1"/>
      <c r="AU1862" s="1"/>
    </row>
    <row r="1863" spans="34:47">
      <c r="AH1863" s="6">
        <f t="shared" si="302"/>
        <v>1833</v>
      </c>
      <c r="AI1863" s="7">
        <f t="shared" ca="1" si="303"/>
        <v>44503</v>
      </c>
      <c r="AJ1863" s="210">
        <f t="shared" ca="1" si="304"/>
        <v>4.1749999999999998</v>
      </c>
      <c r="AK1863" s="8">
        <f t="shared" ca="1" si="305"/>
        <v>1.0001159722222221</v>
      </c>
      <c r="AL1863" s="98">
        <f t="shared" ca="1" si="306"/>
        <v>3.9771087125842763</v>
      </c>
      <c r="AM1863" s="106">
        <f t="shared" ca="1" si="300"/>
        <v>30474.268642575651</v>
      </c>
      <c r="AN1863" s="10">
        <f t="shared" ca="1" si="301"/>
        <v>0.93670441902495849</v>
      </c>
      <c r="AO1863" s="158"/>
      <c r="AP1863" s="158"/>
      <c r="AQ1863" s="1"/>
      <c r="AR1863" s="1"/>
      <c r="AS1863" s="1"/>
      <c r="AT1863" s="1"/>
      <c r="AU1863" s="1"/>
    </row>
    <row r="1864" spans="34:47">
      <c r="AH1864" s="6">
        <f t="shared" si="302"/>
        <v>1834</v>
      </c>
      <c r="AI1864" s="7">
        <f t="shared" ca="1" si="303"/>
        <v>44504</v>
      </c>
      <c r="AJ1864" s="210">
        <f t="shared" ca="1" si="304"/>
        <v>4.1749999999999998</v>
      </c>
      <c r="AK1864" s="8">
        <f t="shared" ca="1" si="305"/>
        <v>1.0001159722222221</v>
      </c>
      <c r="AL1864" s="98">
        <f t="shared" ca="1" si="306"/>
        <v>3.9772973244164733</v>
      </c>
      <c r="AM1864" s="106">
        <f t="shared" ca="1" si="300"/>
        <v>30476.69875983871</v>
      </c>
      <c r="AN1864" s="10">
        <f t="shared" ca="1" si="301"/>
        <v>0.93691899698249426</v>
      </c>
      <c r="AO1864" s="158"/>
      <c r="AP1864" s="158"/>
      <c r="AQ1864" s="1"/>
      <c r="AR1864" s="1"/>
      <c r="AS1864" s="1"/>
      <c r="AT1864" s="1"/>
      <c r="AU1864" s="1"/>
    </row>
    <row r="1865" spans="34:47">
      <c r="AH1865" s="6">
        <f t="shared" si="302"/>
        <v>1835</v>
      </c>
      <c r="AI1865" s="7">
        <f t="shared" ca="1" si="303"/>
        <v>44505</v>
      </c>
      <c r="AJ1865" s="210">
        <f t="shared" ca="1" si="304"/>
        <v>4.1749999999999998</v>
      </c>
      <c r="AK1865" s="8">
        <f t="shared" ca="1" si="305"/>
        <v>1.0001159722222221</v>
      </c>
      <c r="AL1865" s="98">
        <f t="shared" ca="1" si="306"/>
        <v>3.9774857310187706</v>
      </c>
      <c r="AM1865" s="106">
        <f t="shared" ca="1" si="300"/>
        <v>30479.129070887229</v>
      </c>
      <c r="AN1865" s="10">
        <f t="shared" ca="1" si="301"/>
        <v>0.93713334152303318</v>
      </c>
      <c r="AO1865" s="158"/>
      <c r="AP1865" s="158"/>
      <c r="AQ1865" s="1"/>
      <c r="AR1865" s="1"/>
      <c r="AS1865" s="1"/>
      <c r="AT1865" s="1"/>
      <c r="AU1865" s="1"/>
    </row>
    <row r="1866" spans="34:47">
      <c r="AH1866" s="6">
        <f t="shared" si="302"/>
        <v>1836</v>
      </c>
      <c r="AI1866" s="7">
        <f t="shared" ca="1" si="303"/>
        <v>44506</v>
      </c>
      <c r="AJ1866" s="210">
        <f t="shared" ca="1" si="304"/>
        <v>4.1749999999999998</v>
      </c>
      <c r="AK1866" s="8">
        <f t="shared" ca="1" si="305"/>
        <v>1.0001159722222221</v>
      </c>
      <c r="AL1866" s="98">
        <f t="shared" ca="1" si="306"/>
        <v>3.9776739327259447</v>
      </c>
      <c r="AM1866" s="106">
        <f t="shared" ca="1" si="300"/>
        <v>30481.559575736646</v>
      </c>
      <c r="AN1866" s="10">
        <f t="shared" ca="1" si="301"/>
        <v>0.93734745302718192</v>
      </c>
      <c r="AO1866" s="158"/>
      <c r="AP1866" s="158"/>
      <c r="AQ1866" s="1"/>
      <c r="AR1866" s="1"/>
      <c r="AS1866" s="1"/>
      <c r="AT1866" s="1"/>
      <c r="AU1866" s="1"/>
    </row>
    <row r="1867" spans="34:47">
      <c r="AH1867" s="6">
        <f t="shared" si="302"/>
        <v>1837</v>
      </c>
      <c r="AI1867" s="7">
        <f t="shared" ca="1" si="303"/>
        <v>44507</v>
      </c>
      <c r="AJ1867" s="210">
        <f t="shared" ca="1" si="304"/>
        <v>4.1749999999999998</v>
      </c>
      <c r="AK1867" s="8">
        <f t="shared" ca="1" si="305"/>
        <v>1.0001159722222221</v>
      </c>
      <c r="AL1867" s="98">
        <f t="shared" ca="1" si="306"/>
        <v>3.9778619298720619</v>
      </c>
      <c r="AM1867" s="106">
        <f t="shared" ca="1" si="300"/>
        <v>30483.990274402426</v>
      </c>
      <c r="AN1867" s="10">
        <f t="shared" ca="1" si="301"/>
        <v>0.93756133187481439</v>
      </c>
      <c r="AO1867" s="158"/>
      <c r="AP1867" s="158"/>
      <c r="AQ1867" s="1"/>
      <c r="AR1867" s="1"/>
      <c r="AS1867" s="1"/>
      <c r="AT1867" s="1"/>
      <c r="AU1867" s="1"/>
    </row>
    <row r="1868" spans="34:47">
      <c r="AH1868" s="6">
        <f t="shared" si="302"/>
        <v>1838</v>
      </c>
      <c r="AI1868" s="7">
        <f t="shared" ca="1" si="303"/>
        <v>44508</v>
      </c>
      <c r="AJ1868" s="210">
        <f t="shared" ca="1" si="304"/>
        <v>4.1749999999999998</v>
      </c>
      <c r="AK1868" s="8">
        <f t="shared" ca="1" si="305"/>
        <v>1.0001159722222221</v>
      </c>
      <c r="AL1868" s="98">
        <f t="shared" ca="1" si="306"/>
        <v>3.9780497227904554</v>
      </c>
      <c r="AM1868" s="106">
        <f t="shared" ca="1" si="300"/>
        <v>30486.421166900021</v>
      </c>
      <c r="AN1868" s="10">
        <f t="shared" ca="1" si="301"/>
        <v>0.93777497844493851</v>
      </c>
      <c r="AO1868" s="158"/>
      <c r="AP1868" s="158"/>
      <c r="AQ1868" s="1"/>
      <c r="AR1868" s="1"/>
      <c r="AS1868" s="1"/>
      <c r="AT1868" s="1"/>
      <c r="AU1868" s="1"/>
    </row>
    <row r="1869" spans="34:47">
      <c r="AH1869" s="6">
        <f t="shared" si="302"/>
        <v>1839</v>
      </c>
      <c r="AI1869" s="7">
        <f t="shared" ca="1" si="303"/>
        <v>44509</v>
      </c>
      <c r="AJ1869" s="210">
        <f t="shared" ca="1" si="304"/>
        <v>4.1749999999999998</v>
      </c>
      <c r="AK1869" s="8">
        <f t="shared" ca="1" si="305"/>
        <v>1.0001159722222221</v>
      </c>
      <c r="AL1869" s="98">
        <f t="shared" ca="1" si="306"/>
        <v>3.978237311813726</v>
      </c>
      <c r="AM1869" s="106">
        <f t="shared" ca="1" si="300"/>
        <v>30488.852253244884</v>
      </c>
      <c r="AN1869" s="10">
        <f t="shared" ca="1" si="301"/>
        <v>0.93798839311569626</v>
      </c>
      <c r="AO1869" s="158"/>
      <c r="AP1869" s="158"/>
      <c r="AQ1869" s="1"/>
      <c r="AR1869" s="1"/>
      <c r="AS1869" s="1"/>
      <c r="AT1869" s="1"/>
      <c r="AU1869" s="1"/>
    </row>
    <row r="1870" spans="34:47">
      <c r="AH1870" s="6">
        <f t="shared" si="302"/>
        <v>1840</v>
      </c>
      <c r="AI1870" s="7">
        <f t="shared" ca="1" si="303"/>
        <v>44510</v>
      </c>
      <c r="AJ1870" s="210">
        <f t="shared" ca="1" si="304"/>
        <v>4.1749999999999998</v>
      </c>
      <c r="AK1870" s="8">
        <f t="shared" ca="1" si="305"/>
        <v>1.0001159722222221</v>
      </c>
      <c r="AL1870" s="98">
        <f t="shared" ca="1" si="306"/>
        <v>3.9784246972737636</v>
      </c>
      <c r="AM1870" s="106">
        <f t="shared" ca="1" si="300"/>
        <v>30491.364579464989</v>
      </c>
      <c r="AN1870" s="10">
        <f t="shared" ca="1" si="301"/>
        <v>0.938148354917967</v>
      </c>
      <c r="AO1870" s="158"/>
      <c r="AP1870" s="158"/>
      <c r="AQ1870" s="1"/>
      <c r="AR1870" s="1"/>
      <c r="AS1870" s="1"/>
      <c r="AT1870" s="1"/>
      <c r="AU1870" s="1"/>
    </row>
    <row r="1871" spans="34:47">
      <c r="AH1871" s="6">
        <f t="shared" si="302"/>
        <v>1841</v>
      </c>
      <c r="AI1871" s="7">
        <f t="shared" ca="1" si="303"/>
        <v>44511</v>
      </c>
      <c r="AJ1871" s="210">
        <f t="shared" ca="1" si="304"/>
        <v>4.1749999999999998</v>
      </c>
      <c r="AK1871" s="8">
        <f t="shared" ca="1" si="305"/>
        <v>1.0001159722222221</v>
      </c>
      <c r="AL1871" s="98">
        <f t="shared" ca="1" si="306"/>
        <v>3.9786118795017478</v>
      </c>
      <c r="AM1871" s="106">
        <f t="shared" ca="1" si="300"/>
        <v>30493.877112704475</v>
      </c>
      <c r="AN1871" s="10">
        <f t="shared" ca="1" si="301"/>
        <v>0.93830814319624256</v>
      </c>
      <c r="AO1871" s="158"/>
      <c r="AP1871" s="158"/>
      <c r="AQ1871" s="1"/>
      <c r="AR1871" s="1"/>
      <c r="AS1871" s="1"/>
      <c r="AT1871" s="1"/>
      <c r="AU1871" s="1"/>
    </row>
    <row r="1872" spans="34:47">
      <c r="AH1872" s="6">
        <f t="shared" si="302"/>
        <v>1842</v>
      </c>
      <c r="AI1872" s="7">
        <f t="shared" ca="1" si="303"/>
        <v>44512</v>
      </c>
      <c r="AJ1872" s="210">
        <f t="shared" ca="1" si="304"/>
        <v>4.1749999999999998</v>
      </c>
      <c r="AK1872" s="8">
        <f t="shared" ca="1" si="305"/>
        <v>1.0001159722222221</v>
      </c>
      <c r="AL1872" s="98">
        <f t="shared" ca="1" si="306"/>
        <v>3.9787988588281031</v>
      </c>
      <c r="AM1872" s="106">
        <f t="shared" ca="1" si="300"/>
        <v>30496.389852980385</v>
      </c>
      <c r="AN1872" s="10">
        <f t="shared" ca="1" si="301"/>
        <v>0.93846775823269724</v>
      </c>
      <c r="AO1872" s="158"/>
      <c r="AP1872" s="158"/>
      <c r="AQ1872" s="1"/>
      <c r="AR1872" s="1"/>
      <c r="AS1872" s="1"/>
      <c r="AT1872" s="1"/>
      <c r="AU1872" s="1"/>
    </row>
    <row r="1873" spans="34:47">
      <c r="AH1873" s="6">
        <f t="shared" si="302"/>
        <v>1843</v>
      </c>
      <c r="AI1873" s="7">
        <f t="shared" ca="1" si="303"/>
        <v>44513</v>
      </c>
      <c r="AJ1873" s="210">
        <f t="shared" ca="1" si="304"/>
        <v>4.1749999999999998</v>
      </c>
      <c r="AK1873" s="8">
        <f t="shared" ca="1" si="305"/>
        <v>1.0001159722222221</v>
      </c>
      <c r="AL1873" s="98">
        <f t="shared" ca="1" si="306"/>
        <v>3.9789856355825881</v>
      </c>
      <c r="AM1873" s="106">
        <f t="shared" ca="1" si="300"/>
        <v>30498.902800309785</v>
      </c>
      <c r="AN1873" s="10">
        <f t="shared" ca="1" si="301"/>
        <v>0.9386272003089724</v>
      </c>
      <c r="AO1873" s="158"/>
      <c r="AP1873" s="158"/>
      <c r="AQ1873" s="1"/>
      <c r="AR1873" s="1"/>
      <c r="AS1873" s="1"/>
      <c r="AT1873" s="1"/>
      <c r="AU1873" s="1"/>
    </row>
    <row r="1874" spans="34:47">
      <c r="AH1874" s="6">
        <f t="shared" si="302"/>
        <v>1844</v>
      </c>
      <c r="AI1874" s="7">
        <f t="shared" ca="1" si="303"/>
        <v>44514</v>
      </c>
      <c r="AJ1874" s="210">
        <f t="shared" ca="1" si="304"/>
        <v>4.1749999999999998</v>
      </c>
      <c r="AK1874" s="8">
        <f t="shared" ca="1" si="305"/>
        <v>1.0001159722222221</v>
      </c>
      <c r="AL1874" s="98">
        <f t="shared" ca="1" si="306"/>
        <v>3.9791722100942062</v>
      </c>
      <c r="AM1874" s="106">
        <f t="shared" ca="1" si="300"/>
        <v>30501.415954709737</v>
      </c>
      <c r="AN1874" s="10">
        <f t="shared" ca="1" si="301"/>
        <v>0.93878646970602109</v>
      </c>
      <c r="AO1874" s="158"/>
      <c r="AP1874" s="158"/>
      <c r="AQ1874" s="1"/>
      <c r="AR1874" s="1"/>
      <c r="AS1874" s="1"/>
      <c r="AT1874" s="1"/>
      <c r="AU1874" s="1"/>
    </row>
    <row r="1875" spans="34:47">
      <c r="AH1875" s="6">
        <f t="shared" si="302"/>
        <v>1845</v>
      </c>
      <c r="AI1875" s="7">
        <f t="shared" ca="1" si="303"/>
        <v>44515</v>
      </c>
      <c r="AJ1875" s="210">
        <f t="shared" ca="1" si="304"/>
        <v>4.1749999999999998</v>
      </c>
      <c r="AK1875" s="8">
        <f t="shared" ca="1" si="305"/>
        <v>1.0001159722222221</v>
      </c>
      <c r="AL1875" s="98">
        <f t="shared" ca="1" si="306"/>
        <v>3.9793585826912725</v>
      </c>
      <c r="AM1875" s="106">
        <f t="shared" ca="1" si="300"/>
        <v>30503.9293161973</v>
      </c>
      <c r="AN1875" s="10">
        <f t="shared" ca="1" si="301"/>
        <v>0.93894556670424123</v>
      </c>
      <c r="AO1875" s="158"/>
      <c r="AP1875" s="158"/>
      <c r="AQ1875" s="1"/>
      <c r="AR1875" s="1"/>
      <c r="AS1875" s="1"/>
      <c r="AT1875" s="1"/>
      <c r="AU1875" s="1"/>
    </row>
    <row r="1876" spans="34:47">
      <c r="AH1876" s="6">
        <f t="shared" si="302"/>
        <v>1846</v>
      </c>
      <c r="AI1876" s="7">
        <f t="shared" ca="1" si="303"/>
        <v>44516</v>
      </c>
      <c r="AJ1876" s="210">
        <f t="shared" ca="1" si="304"/>
        <v>4.1749999999999998</v>
      </c>
      <c r="AK1876" s="8">
        <f t="shared" ca="1" si="305"/>
        <v>1.0001159722222221</v>
      </c>
      <c r="AL1876" s="98">
        <f t="shared" ca="1" si="306"/>
        <v>3.9795447537013695</v>
      </c>
      <c r="AM1876" s="106">
        <f t="shared" ca="1" si="300"/>
        <v>30506.442884789551</v>
      </c>
      <c r="AN1876" s="10">
        <f t="shared" ca="1" si="301"/>
        <v>0.93910449158334242</v>
      </c>
      <c r="AO1876" s="158"/>
      <c r="AP1876" s="158"/>
      <c r="AQ1876" s="1"/>
      <c r="AR1876" s="1"/>
      <c r="AS1876" s="1"/>
      <c r="AT1876" s="1"/>
      <c r="AU1876" s="1"/>
    </row>
    <row r="1877" spans="34:47">
      <c r="AH1877" s="6">
        <f t="shared" si="302"/>
        <v>1847</v>
      </c>
      <c r="AI1877" s="7">
        <f t="shared" ca="1" si="303"/>
        <v>44517</v>
      </c>
      <c r="AJ1877" s="210">
        <f t="shared" ca="1" si="304"/>
        <v>4.1749999999999998</v>
      </c>
      <c r="AK1877" s="8">
        <f t="shared" ca="1" si="305"/>
        <v>1.0001159722222221</v>
      </c>
      <c r="AL1877" s="98">
        <f t="shared" ca="1" si="306"/>
        <v>3.9797307234513912</v>
      </c>
      <c r="AM1877" s="106">
        <f t="shared" ca="1" si="300"/>
        <v>30508.95666050354</v>
      </c>
      <c r="AN1877" s="10">
        <f t="shared" ca="1" si="301"/>
        <v>0.93926324462252353</v>
      </c>
      <c r="AO1877" s="158"/>
      <c r="AP1877" s="158"/>
      <c r="AQ1877" s="1"/>
      <c r="AR1877" s="1"/>
      <c r="AS1877" s="1"/>
      <c r="AT1877" s="1"/>
      <c r="AU1877" s="1"/>
    </row>
    <row r="1878" spans="34:47">
      <c r="AH1878" s="6">
        <f t="shared" si="302"/>
        <v>1848</v>
      </c>
      <c r="AI1878" s="7">
        <f t="shared" ca="1" si="303"/>
        <v>44518</v>
      </c>
      <c r="AJ1878" s="210">
        <f t="shared" ca="1" si="304"/>
        <v>4.1749999999999998</v>
      </c>
      <c r="AK1878" s="8">
        <f t="shared" ca="1" si="305"/>
        <v>1.0001159722222221</v>
      </c>
      <c r="AL1878" s="98">
        <f t="shared" ca="1" si="306"/>
        <v>3.9799164922675212</v>
      </c>
      <c r="AM1878" s="106">
        <f t="shared" ca="1" si="300"/>
        <v>30511.470643356348</v>
      </c>
      <c r="AN1878" s="10">
        <f t="shared" ca="1" si="301"/>
        <v>0.93942182610031733</v>
      </c>
      <c r="AO1878" s="158"/>
      <c r="AP1878" s="158"/>
      <c r="AQ1878" s="1"/>
      <c r="AR1878" s="1"/>
      <c r="AS1878" s="1"/>
      <c r="AT1878" s="1"/>
      <c r="AU1878" s="1"/>
    </row>
    <row r="1879" spans="34:47">
      <c r="AH1879" s="6">
        <f t="shared" si="302"/>
        <v>1849</v>
      </c>
      <c r="AI1879" s="7">
        <f t="shared" ca="1" si="303"/>
        <v>44519</v>
      </c>
      <c r="AJ1879" s="210">
        <f t="shared" ca="1" si="304"/>
        <v>4.1749999999999998</v>
      </c>
      <c r="AK1879" s="8">
        <f t="shared" ca="1" si="305"/>
        <v>1.0001159722222221</v>
      </c>
      <c r="AL1879" s="98">
        <f t="shared" ca="1" si="306"/>
        <v>3.9801020604752324</v>
      </c>
      <c r="AM1879" s="106">
        <f t="shared" ca="1" si="300"/>
        <v>30513.984833365033</v>
      </c>
      <c r="AN1879" s="10">
        <f t="shared" ca="1" si="301"/>
        <v>0.93958023629470144</v>
      </c>
      <c r="AO1879" s="158"/>
      <c r="AP1879" s="158"/>
      <c r="AQ1879" s="1"/>
      <c r="AR1879" s="1"/>
      <c r="AS1879" s="1"/>
      <c r="AT1879" s="1"/>
      <c r="AU1879" s="1"/>
    </row>
    <row r="1880" spans="34:47">
      <c r="AH1880" s="6">
        <f t="shared" si="302"/>
        <v>1850</v>
      </c>
      <c r="AI1880" s="7">
        <f t="shared" ca="1" si="303"/>
        <v>44520</v>
      </c>
      <c r="AJ1880" s="210">
        <f t="shared" ca="1" si="304"/>
        <v>4.1749999999999998</v>
      </c>
      <c r="AK1880" s="8">
        <f t="shared" ca="1" si="305"/>
        <v>1.0001159722222221</v>
      </c>
      <c r="AL1880" s="98">
        <f t="shared" ca="1" si="306"/>
        <v>3.9802874283993095</v>
      </c>
      <c r="AM1880" s="106">
        <f t="shared" ca="1" si="300"/>
        <v>30516.499230546666</v>
      </c>
      <c r="AN1880" s="10">
        <f t="shared" ca="1" si="301"/>
        <v>0.9397384754830318</v>
      </c>
      <c r="AO1880" s="158"/>
      <c r="AP1880" s="158"/>
      <c r="AQ1880" s="1"/>
      <c r="AR1880" s="1"/>
      <c r="AS1880" s="1"/>
      <c r="AT1880" s="1"/>
      <c r="AU1880" s="1"/>
    </row>
    <row r="1881" spans="34:47">
      <c r="AH1881" s="6">
        <f t="shared" si="302"/>
        <v>1851</v>
      </c>
      <c r="AI1881" s="7">
        <f t="shared" ca="1" si="303"/>
        <v>44521</v>
      </c>
      <c r="AJ1881" s="210">
        <f t="shared" ca="1" si="304"/>
        <v>4.1749999999999998</v>
      </c>
      <c r="AK1881" s="8">
        <f t="shared" ca="1" si="305"/>
        <v>1.0001159722222221</v>
      </c>
      <c r="AL1881" s="98">
        <f t="shared" ca="1" si="306"/>
        <v>3.9804725963638266</v>
      </c>
      <c r="AM1881" s="106">
        <f t="shared" ca="1" si="300"/>
        <v>30519.013834918318</v>
      </c>
      <c r="AN1881" s="10">
        <f t="shared" ca="1" si="301"/>
        <v>0.93989654394204258</v>
      </c>
      <c r="AO1881" s="158"/>
      <c r="AP1881" s="158"/>
      <c r="AQ1881" s="1"/>
      <c r="AR1881" s="1"/>
      <c r="AS1881" s="1"/>
      <c r="AT1881" s="1"/>
      <c r="AU1881" s="1"/>
    </row>
    <row r="1882" spans="34:47">
      <c r="AH1882" s="6">
        <f t="shared" si="302"/>
        <v>1852</v>
      </c>
      <c r="AI1882" s="7">
        <f t="shared" ca="1" si="303"/>
        <v>44522</v>
      </c>
      <c r="AJ1882" s="210">
        <f t="shared" ca="1" si="304"/>
        <v>4.1749999999999998</v>
      </c>
      <c r="AK1882" s="8">
        <f t="shared" ca="1" si="305"/>
        <v>1.0001159722222221</v>
      </c>
      <c r="AL1882" s="98">
        <f t="shared" ca="1" si="306"/>
        <v>3.9806575646921472</v>
      </c>
      <c r="AM1882" s="106">
        <f t="shared" ca="1" si="300"/>
        <v>30521.52864649707</v>
      </c>
      <c r="AN1882" s="10">
        <f t="shared" ca="1" si="301"/>
        <v>0.94005444194791288</v>
      </c>
      <c r="AO1882" s="158"/>
      <c r="AP1882" s="158"/>
      <c r="AQ1882" s="1"/>
      <c r="AR1882" s="1"/>
      <c r="AS1882" s="1"/>
      <c r="AT1882" s="1"/>
      <c r="AU1882" s="1"/>
    </row>
    <row r="1883" spans="34:47">
      <c r="AH1883" s="6">
        <f t="shared" si="302"/>
        <v>1853</v>
      </c>
      <c r="AI1883" s="7">
        <f t="shared" ca="1" si="303"/>
        <v>44523</v>
      </c>
      <c r="AJ1883" s="210">
        <f t="shared" ca="1" si="304"/>
        <v>4.1749999999999998</v>
      </c>
      <c r="AK1883" s="8">
        <f t="shared" ca="1" si="305"/>
        <v>1.0001159722222221</v>
      </c>
      <c r="AL1883" s="98">
        <f t="shared" ca="1" si="306"/>
        <v>3.9808423337069465</v>
      </c>
      <c r="AM1883" s="106">
        <f t="shared" ca="1" si="300"/>
        <v>30524.043665299992</v>
      </c>
      <c r="AN1883" s="10">
        <f t="shared" ca="1" si="301"/>
        <v>0.94021216977617783</v>
      </c>
      <c r="AO1883" s="158"/>
      <c r="AP1883" s="158"/>
      <c r="AQ1883" s="1"/>
      <c r="AR1883" s="1"/>
      <c r="AS1883" s="1"/>
      <c r="AT1883" s="1"/>
      <c r="AU1883" s="1"/>
    </row>
    <row r="1884" spans="34:47">
      <c r="AH1884" s="6">
        <f t="shared" si="302"/>
        <v>1854</v>
      </c>
      <c r="AI1884" s="7">
        <f t="shared" ca="1" si="303"/>
        <v>44524</v>
      </c>
      <c r="AJ1884" s="210">
        <f t="shared" ca="1" si="304"/>
        <v>4.1749999999999998</v>
      </c>
      <c r="AK1884" s="8">
        <f t="shared" ca="1" si="305"/>
        <v>1.0001159722222221</v>
      </c>
      <c r="AL1884" s="98">
        <f t="shared" ca="1" si="306"/>
        <v>3.9810269037302115</v>
      </c>
      <c r="AM1884" s="106">
        <f t="shared" ca="1" si="300"/>
        <v>30526.558891344161</v>
      </c>
      <c r="AN1884" s="10">
        <f t="shared" ca="1" si="301"/>
        <v>0.94036972770181748</v>
      </c>
      <c r="AO1884" s="158"/>
      <c r="AP1884" s="158"/>
      <c r="AQ1884" s="1"/>
      <c r="AR1884" s="1"/>
      <c r="AS1884" s="1"/>
      <c r="AT1884" s="1"/>
      <c r="AU1884" s="1"/>
    </row>
    <row r="1885" spans="34:47">
      <c r="AH1885" s="6">
        <f t="shared" si="302"/>
        <v>1855</v>
      </c>
      <c r="AI1885" s="7">
        <f t="shared" ca="1" si="303"/>
        <v>44525</v>
      </c>
      <c r="AJ1885" s="210">
        <f t="shared" ca="1" si="304"/>
        <v>4.1749999999999998</v>
      </c>
      <c r="AK1885" s="8">
        <f t="shared" ca="1" si="305"/>
        <v>1.0001159722222221</v>
      </c>
      <c r="AL1885" s="98">
        <f t="shared" ca="1" si="306"/>
        <v>3.9812112750832407</v>
      </c>
      <c r="AM1885" s="106">
        <f t="shared" ca="1" si="300"/>
        <v>30529.074324646648</v>
      </c>
      <c r="AN1885" s="10">
        <f t="shared" ca="1" si="301"/>
        <v>0.94052711599923455</v>
      </c>
      <c r="AO1885" s="158"/>
      <c r="AP1885" s="158"/>
      <c r="AQ1885" s="1"/>
      <c r="AR1885" s="1"/>
      <c r="AS1885" s="1"/>
      <c r="AT1885" s="1"/>
      <c r="AU1885" s="1"/>
    </row>
    <row r="1886" spans="34:47">
      <c r="AH1886" s="6">
        <f t="shared" si="302"/>
        <v>1856</v>
      </c>
      <c r="AI1886" s="7">
        <f t="shared" ca="1" si="303"/>
        <v>44526</v>
      </c>
      <c r="AJ1886" s="210">
        <f t="shared" ca="1" si="304"/>
        <v>4.1749999999999998</v>
      </c>
      <c r="AK1886" s="8">
        <f t="shared" ca="1" si="305"/>
        <v>1.0001159722222221</v>
      </c>
      <c r="AL1886" s="98">
        <f t="shared" ca="1" si="306"/>
        <v>3.981395448086622</v>
      </c>
      <c r="AM1886" s="106">
        <f t="shared" ca="1" si="300"/>
        <v>30531.589965224532</v>
      </c>
      <c r="AN1886" s="10">
        <f t="shared" ca="1" si="301"/>
        <v>0.94068433494221004</v>
      </c>
      <c r="AO1886" s="158"/>
      <c r="AP1886" s="158"/>
      <c r="AQ1886" s="1"/>
      <c r="AR1886" s="1"/>
      <c r="AS1886" s="1"/>
      <c r="AT1886" s="1"/>
      <c r="AU1886" s="1"/>
    </row>
    <row r="1887" spans="34:47">
      <c r="AH1887" s="6">
        <f t="shared" si="302"/>
        <v>1857</v>
      </c>
      <c r="AI1887" s="7">
        <f t="shared" ca="1" si="303"/>
        <v>44527</v>
      </c>
      <c r="AJ1887" s="210">
        <f t="shared" ca="1" si="304"/>
        <v>4.1749999999999998</v>
      </c>
      <c r="AK1887" s="8">
        <f t="shared" ca="1" si="305"/>
        <v>1.0001159722222221</v>
      </c>
      <c r="AL1887" s="98">
        <f t="shared" ca="1" si="306"/>
        <v>3.9815794230602775</v>
      </c>
      <c r="AM1887" s="106">
        <f t="shared" ref="AM1887:AM1950" ca="1" si="307">Geom_Interp(AI1887,$AZ$2:$AZ$109,$BA$2:$BA$109)</f>
        <v>30534.105813094899</v>
      </c>
      <c r="AN1887" s="10">
        <f t="shared" ref="AN1887:AN1950" ca="1" si="308">100*(((1+AL1887/100)^(AH1887/365)*$AM$29/AM1887)^(365/AH1887)-1)</f>
        <v>0.94084138480390322</v>
      </c>
      <c r="AO1887" s="158"/>
      <c r="AP1887" s="158"/>
      <c r="AQ1887" s="1"/>
      <c r="AR1887" s="1"/>
      <c r="AS1887" s="1"/>
      <c r="AT1887" s="1"/>
      <c r="AU1887" s="1"/>
    </row>
    <row r="1888" spans="34:47">
      <c r="AH1888" s="6">
        <f t="shared" ref="AH1888:AH1951" si="309">$AI$29+AH1887</f>
        <v>1858</v>
      </c>
      <c r="AI1888" s="7">
        <f t="shared" ref="AI1888:AI1951" ca="1" si="310">+AH1888+$C$1</f>
        <v>44528</v>
      </c>
      <c r="AJ1888" s="210">
        <f t="shared" ref="AJ1888:AJ1951" ca="1" si="311">IF(AH1888&lt;365,VLOOKUP(LOOKUP(AI1888,$AI$2:$AI$23),$AI$2:$AK$23,3,0),Lin_Interp(AH1888,$AJ$2:$AJ$23,$AK$2:$AK$23))</f>
        <v>4.1749999999999998</v>
      </c>
      <c r="AK1888" s="8">
        <f t="shared" ca="1" si="305"/>
        <v>1.0001159722222221</v>
      </c>
      <c r="AL1888" s="98">
        <f t="shared" ca="1" si="306"/>
        <v>3.9817632003234404</v>
      </c>
      <c r="AM1888" s="106">
        <f t="shared" ca="1" si="307"/>
        <v>30536.621868274826</v>
      </c>
      <c r="AN1888" s="10">
        <f t="shared" ca="1" si="308"/>
        <v>0.94099826585700708</v>
      </c>
      <c r="AO1888" s="158"/>
      <c r="AP1888" s="158"/>
      <c r="AQ1888" s="1"/>
      <c r="AR1888" s="1"/>
      <c r="AS1888" s="1"/>
      <c r="AT1888" s="1"/>
      <c r="AU1888" s="1"/>
    </row>
    <row r="1889" spans="34:47">
      <c r="AH1889" s="6">
        <f t="shared" si="309"/>
        <v>1859</v>
      </c>
      <c r="AI1889" s="7">
        <f t="shared" ca="1" si="310"/>
        <v>44529</v>
      </c>
      <c r="AJ1889" s="210">
        <f t="shared" ca="1" si="311"/>
        <v>4.1749999999999998</v>
      </c>
      <c r="AK1889" s="8">
        <f t="shared" ref="AK1889:AK1952" ca="1" si="312">+(1+AJ1889/36000)</f>
        <v>1.0001159722222221</v>
      </c>
      <c r="AL1889" s="98">
        <f t="shared" ref="AL1889:AL1952" ca="1" si="313">100*(((1+AL1888/100)^(AH1888/365)*AK1889)^(365/AH1889)-1)</f>
        <v>3.9819467801946118</v>
      </c>
      <c r="AM1889" s="106">
        <f t="shared" ca="1" si="307"/>
        <v>30539.138130781397</v>
      </c>
      <c r="AN1889" s="10">
        <f t="shared" ca="1" si="308"/>
        <v>0.94115497837345963</v>
      </c>
      <c r="AO1889" s="158"/>
      <c r="AP1889" s="158"/>
      <c r="AQ1889" s="1"/>
      <c r="AR1889" s="1"/>
      <c r="AS1889" s="1"/>
      <c r="AT1889" s="1"/>
      <c r="AU1889" s="1"/>
    </row>
    <row r="1890" spans="34:47">
      <c r="AH1890" s="6">
        <f t="shared" si="309"/>
        <v>1860</v>
      </c>
      <c r="AI1890" s="7">
        <f t="shared" ca="1" si="310"/>
        <v>44530</v>
      </c>
      <c r="AJ1890" s="210">
        <f t="shared" ca="1" si="311"/>
        <v>4.1749999999999998</v>
      </c>
      <c r="AK1890" s="8">
        <f t="shared" ca="1" si="312"/>
        <v>1.0001159722222221</v>
      </c>
      <c r="AL1890" s="98">
        <f t="shared" ca="1" si="313"/>
        <v>3.9821301629916706</v>
      </c>
      <c r="AM1890" s="106">
        <f t="shared" ca="1" si="307"/>
        <v>30541.654600631689</v>
      </c>
      <c r="AN1890" s="10">
        <f t="shared" ca="1" si="308"/>
        <v>0.94131152262473261</v>
      </c>
      <c r="AO1890" s="158"/>
      <c r="AP1890" s="158"/>
      <c r="AQ1890" s="1"/>
      <c r="AR1890" s="1"/>
      <c r="AS1890" s="1"/>
      <c r="AT1890" s="1"/>
      <c r="AU1890" s="1"/>
    </row>
    <row r="1891" spans="34:47">
      <c r="AH1891" s="6">
        <f t="shared" si="309"/>
        <v>1861</v>
      </c>
      <c r="AI1891" s="7">
        <f t="shared" ca="1" si="310"/>
        <v>44531</v>
      </c>
      <c r="AJ1891" s="210">
        <f t="shared" ca="1" si="311"/>
        <v>4.1749999999999998</v>
      </c>
      <c r="AK1891" s="8">
        <f t="shared" ca="1" si="312"/>
        <v>1.0001159722222221</v>
      </c>
      <c r="AL1891" s="98">
        <f t="shared" ca="1" si="313"/>
        <v>3.982313349031763</v>
      </c>
      <c r="AM1891" s="106">
        <f t="shared" ca="1" si="307"/>
        <v>30544.171277842801</v>
      </c>
      <c r="AN1891" s="10">
        <f t="shared" ca="1" si="308"/>
        <v>0.94146789888169824</v>
      </c>
      <c r="AO1891" s="158"/>
      <c r="AP1891" s="158"/>
      <c r="AQ1891" s="1"/>
      <c r="AR1891" s="1"/>
      <c r="AS1891" s="1"/>
      <c r="AT1891" s="1"/>
      <c r="AU1891" s="1"/>
    </row>
    <row r="1892" spans="34:47">
      <c r="AH1892" s="6">
        <f t="shared" si="309"/>
        <v>1862</v>
      </c>
      <c r="AI1892" s="7">
        <f t="shared" ca="1" si="310"/>
        <v>44532</v>
      </c>
      <c r="AJ1892" s="210">
        <f t="shared" ca="1" si="311"/>
        <v>4.1749999999999998</v>
      </c>
      <c r="AK1892" s="8">
        <f t="shared" ca="1" si="312"/>
        <v>1.0001159722222221</v>
      </c>
      <c r="AL1892" s="98">
        <f t="shared" ca="1" si="313"/>
        <v>3.9824963386313916</v>
      </c>
      <c r="AM1892" s="106">
        <f t="shared" ca="1" si="307"/>
        <v>30546.688162431812</v>
      </c>
      <c r="AN1892" s="10">
        <f t="shared" ca="1" si="308"/>
        <v>0.941624107414607</v>
      </c>
      <c r="AO1892" s="158"/>
      <c r="AP1892" s="158"/>
      <c r="AQ1892" s="1"/>
      <c r="AR1892" s="1"/>
      <c r="AS1892" s="1"/>
      <c r="AT1892" s="1"/>
      <c r="AU1892" s="1"/>
    </row>
    <row r="1893" spans="34:47">
      <c r="AH1893" s="6">
        <f t="shared" si="309"/>
        <v>1863</v>
      </c>
      <c r="AI1893" s="7">
        <f t="shared" ca="1" si="310"/>
        <v>44533</v>
      </c>
      <c r="AJ1893" s="210">
        <f t="shared" ca="1" si="311"/>
        <v>4.1749999999999998</v>
      </c>
      <c r="AK1893" s="8">
        <f t="shared" ca="1" si="312"/>
        <v>1.0001159722222221</v>
      </c>
      <c r="AL1893" s="98">
        <f t="shared" ca="1" si="313"/>
        <v>3.9826791321063704</v>
      </c>
      <c r="AM1893" s="106">
        <f t="shared" ca="1" si="307"/>
        <v>30549.20525441581</v>
      </c>
      <c r="AN1893" s="10">
        <f t="shared" ca="1" si="308"/>
        <v>0.94178014849319869</v>
      </c>
      <c r="AO1893" s="158"/>
      <c r="AP1893" s="158"/>
      <c r="AQ1893" s="1"/>
      <c r="AR1893" s="1"/>
      <c r="AS1893" s="1"/>
      <c r="AT1893" s="1"/>
      <c r="AU1893" s="1"/>
    </row>
    <row r="1894" spans="34:47">
      <c r="AH1894" s="6">
        <f t="shared" si="309"/>
        <v>1864</v>
      </c>
      <c r="AI1894" s="7">
        <f t="shared" ca="1" si="310"/>
        <v>44534</v>
      </c>
      <c r="AJ1894" s="210">
        <f t="shared" ca="1" si="311"/>
        <v>4.1749999999999998</v>
      </c>
      <c r="AK1894" s="8">
        <f t="shared" ca="1" si="312"/>
        <v>1.0001159722222221</v>
      </c>
      <c r="AL1894" s="98">
        <f t="shared" ca="1" si="313"/>
        <v>3.982861729771825</v>
      </c>
      <c r="AM1894" s="106">
        <f t="shared" ca="1" si="307"/>
        <v>30551.722553811884</v>
      </c>
      <c r="AN1894" s="10">
        <f t="shared" ca="1" si="308"/>
        <v>0.94193602238654695</v>
      </c>
      <c r="AO1894" s="158"/>
      <c r="AP1894" s="158"/>
      <c r="AQ1894" s="1"/>
      <c r="AR1894" s="1"/>
      <c r="AS1894" s="1"/>
      <c r="AT1894" s="1"/>
      <c r="AU1894" s="1"/>
    </row>
    <row r="1895" spans="34:47">
      <c r="AH1895" s="6">
        <f t="shared" si="309"/>
        <v>1865</v>
      </c>
      <c r="AI1895" s="7">
        <f t="shared" ca="1" si="310"/>
        <v>44535</v>
      </c>
      <c r="AJ1895" s="210">
        <f t="shared" ca="1" si="311"/>
        <v>4.1749999999999998</v>
      </c>
      <c r="AK1895" s="8">
        <f t="shared" ca="1" si="312"/>
        <v>1.0001159722222221</v>
      </c>
      <c r="AL1895" s="98">
        <f t="shared" ca="1" si="313"/>
        <v>3.9830441319422372</v>
      </c>
      <c r="AM1895" s="106">
        <f t="shared" ca="1" si="307"/>
        <v>30554.24006063713</v>
      </c>
      <c r="AN1895" s="10">
        <f t="shared" ca="1" si="308"/>
        <v>0.94209172936321472</v>
      </c>
      <c r="AO1895" s="158"/>
      <c r="AP1895" s="158"/>
      <c r="AQ1895" s="1"/>
      <c r="AR1895" s="1"/>
      <c r="AS1895" s="1"/>
      <c r="AT1895" s="1"/>
      <c r="AU1895" s="1"/>
    </row>
    <row r="1896" spans="34:47">
      <c r="AH1896" s="6">
        <f t="shared" si="309"/>
        <v>1866</v>
      </c>
      <c r="AI1896" s="7">
        <f t="shared" ca="1" si="310"/>
        <v>44536</v>
      </c>
      <c r="AJ1896" s="210">
        <f t="shared" ca="1" si="311"/>
        <v>4.1749999999999998</v>
      </c>
      <c r="AK1896" s="8">
        <f t="shared" ca="1" si="312"/>
        <v>1.0001159722222221</v>
      </c>
      <c r="AL1896" s="98">
        <f t="shared" ca="1" si="313"/>
        <v>3.9832263389313782</v>
      </c>
      <c r="AM1896" s="106">
        <f t="shared" ca="1" si="307"/>
        <v>30556.757774908638</v>
      </c>
      <c r="AN1896" s="10">
        <f t="shared" ca="1" si="308"/>
        <v>0.94224726969120987</v>
      </c>
      <c r="AO1896" s="158"/>
      <c r="AP1896" s="158"/>
      <c r="AQ1896" s="1"/>
      <c r="AR1896" s="1"/>
      <c r="AS1896" s="1"/>
      <c r="AT1896" s="1"/>
      <c r="AU1896" s="1"/>
    </row>
    <row r="1897" spans="34:47">
      <c r="AH1897" s="6">
        <f t="shared" si="309"/>
        <v>1867</v>
      </c>
      <c r="AI1897" s="7">
        <f t="shared" ca="1" si="310"/>
        <v>44537</v>
      </c>
      <c r="AJ1897" s="210">
        <f t="shared" ca="1" si="311"/>
        <v>4.1749999999999998</v>
      </c>
      <c r="AK1897" s="8">
        <f t="shared" ca="1" si="312"/>
        <v>1.0001159722222221</v>
      </c>
      <c r="AL1897" s="98">
        <f t="shared" ca="1" si="313"/>
        <v>3.9834083510523532</v>
      </c>
      <c r="AM1897" s="106">
        <f t="shared" ca="1" si="307"/>
        <v>30559.275696643494</v>
      </c>
      <c r="AN1897" s="10">
        <f t="shared" ca="1" si="308"/>
        <v>0.94240264363785187</v>
      </c>
      <c r="AO1897" s="158"/>
      <c r="AP1897" s="158"/>
      <c r="AQ1897" s="1"/>
      <c r="AR1897" s="1"/>
      <c r="AS1897" s="1"/>
      <c r="AT1897" s="1"/>
      <c r="AU1897" s="1"/>
    </row>
    <row r="1898" spans="34:47">
      <c r="AH1898" s="6">
        <f t="shared" si="309"/>
        <v>1868</v>
      </c>
      <c r="AI1898" s="7">
        <f t="shared" ca="1" si="310"/>
        <v>44538</v>
      </c>
      <c r="AJ1898" s="210">
        <f t="shared" ca="1" si="311"/>
        <v>4.1749999999999998</v>
      </c>
      <c r="AK1898" s="8">
        <f t="shared" ca="1" si="312"/>
        <v>1.0001159722222221</v>
      </c>
      <c r="AL1898" s="98">
        <f t="shared" ca="1" si="313"/>
        <v>3.9835901686176234</v>
      </c>
      <c r="AM1898" s="106">
        <f t="shared" ca="1" si="307"/>
        <v>30561.793825858811</v>
      </c>
      <c r="AN1898" s="10">
        <f t="shared" ca="1" si="308"/>
        <v>0.94255785147003834</v>
      </c>
      <c r="AO1898" s="158"/>
      <c r="AP1898" s="158"/>
      <c r="AQ1898" s="1"/>
      <c r="AR1898" s="1"/>
      <c r="AS1898" s="1"/>
      <c r="AT1898" s="1"/>
      <c r="AU1898" s="1"/>
    </row>
    <row r="1899" spans="34:47">
      <c r="AH1899" s="6">
        <f t="shared" si="309"/>
        <v>1869</v>
      </c>
      <c r="AI1899" s="7">
        <f t="shared" ca="1" si="310"/>
        <v>44539</v>
      </c>
      <c r="AJ1899" s="210">
        <f t="shared" ca="1" si="311"/>
        <v>4.1749999999999998</v>
      </c>
      <c r="AK1899" s="8">
        <f t="shared" ca="1" si="312"/>
        <v>1.0001159722222221</v>
      </c>
      <c r="AL1899" s="98">
        <f t="shared" ca="1" si="313"/>
        <v>3.9837717919389615</v>
      </c>
      <c r="AM1899" s="106">
        <f t="shared" ca="1" si="307"/>
        <v>30564.312162571667</v>
      </c>
      <c r="AN1899" s="10">
        <f t="shared" ca="1" si="308"/>
        <v>0.94271289345395637</v>
      </c>
      <c r="AO1899" s="158"/>
      <c r="AP1899" s="158"/>
      <c r="AQ1899" s="1"/>
      <c r="AR1899" s="1"/>
      <c r="AS1899" s="1"/>
      <c r="AT1899" s="1"/>
      <c r="AU1899" s="1"/>
    </row>
    <row r="1900" spans="34:47">
      <c r="AH1900" s="6">
        <f t="shared" si="309"/>
        <v>1870</v>
      </c>
      <c r="AI1900" s="7">
        <f t="shared" ca="1" si="310"/>
        <v>44540</v>
      </c>
      <c r="AJ1900" s="210">
        <f t="shared" ca="1" si="311"/>
        <v>4.1749999999999998</v>
      </c>
      <c r="AK1900" s="8">
        <f t="shared" ca="1" si="312"/>
        <v>1.0001159722222221</v>
      </c>
      <c r="AL1900" s="98">
        <f t="shared" ca="1" si="313"/>
        <v>3.9839532213274964</v>
      </c>
      <c r="AM1900" s="106">
        <f t="shared" ca="1" si="307"/>
        <v>30566.749460197774</v>
      </c>
      <c r="AN1900" s="10">
        <f t="shared" ca="1" si="308"/>
        <v>0.94292013983174883</v>
      </c>
      <c r="AO1900" s="158"/>
      <c r="AP1900" s="158"/>
      <c r="AQ1900" s="1"/>
      <c r="AR1900" s="1"/>
      <c r="AS1900" s="1"/>
      <c r="AT1900" s="1"/>
      <c r="AU1900" s="1"/>
    </row>
    <row r="1901" spans="34:47">
      <c r="AH1901" s="6">
        <f t="shared" si="309"/>
        <v>1871</v>
      </c>
      <c r="AI1901" s="7">
        <f t="shared" ca="1" si="310"/>
        <v>44541</v>
      </c>
      <c r="AJ1901" s="210">
        <f t="shared" ca="1" si="311"/>
        <v>4.1749999999999998</v>
      </c>
      <c r="AK1901" s="8">
        <f t="shared" ca="1" si="312"/>
        <v>1.0001159722222221</v>
      </c>
      <c r="AL1901" s="98">
        <f t="shared" ca="1" si="313"/>
        <v>3.9841344570936466</v>
      </c>
      <c r="AM1901" s="106">
        <f t="shared" ca="1" si="307"/>
        <v>30569.186952181921</v>
      </c>
      <c r="AN1901" s="10">
        <f t="shared" ca="1" si="308"/>
        <v>0.94312716509892258</v>
      </c>
      <c r="AO1901" s="158"/>
      <c r="AP1901" s="158"/>
      <c r="AQ1901" s="1"/>
      <c r="AR1901" s="1"/>
      <c r="AS1901" s="1"/>
      <c r="AT1901" s="1"/>
      <c r="AU1901" s="1"/>
    </row>
    <row r="1902" spans="34:47">
      <c r="AH1902" s="6">
        <f t="shared" si="309"/>
        <v>1872</v>
      </c>
      <c r="AI1902" s="7">
        <f t="shared" ca="1" si="310"/>
        <v>44542</v>
      </c>
      <c r="AJ1902" s="210">
        <f t="shared" ca="1" si="311"/>
        <v>4.1749999999999998</v>
      </c>
      <c r="AK1902" s="8">
        <f t="shared" ca="1" si="312"/>
        <v>1.0001159722222221</v>
      </c>
      <c r="AL1902" s="98">
        <f t="shared" ca="1" si="313"/>
        <v>3.9843154995472085</v>
      </c>
      <c r="AM1902" s="106">
        <f t="shared" ca="1" si="307"/>
        <v>30571.624638539604</v>
      </c>
      <c r="AN1902" s="10">
        <f t="shared" ca="1" si="308"/>
        <v>0.94333396960917248</v>
      </c>
      <c r="AO1902" s="158"/>
      <c r="AP1902" s="158"/>
      <c r="AQ1902" s="1"/>
      <c r="AR1902" s="1"/>
      <c r="AS1902" s="1"/>
      <c r="AT1902" s="1"/>
      <c r="AU1902" s="1"/>
    </row>
    <row r="1903" spans="34:47">
      <c r="AH1903" s="6">
        <f t="shared" si="309"/>
        <v>1873</v>
      </c>
      <c r="AI1903" s="7">
        <f t="shared" ca="1" si="310"/>
        <v>44543</v>
      </c>
      <c r="AJ1903" s="210">
        <f t="shared" ca="1" si="311"/>
        <v>4.1749999999999998</v>
      </c>
      <c r="AK1903" s="8">
        <f t="shared" ca="1" si="312"/>
        <v>1.0001159722222221</v>
      </c>
      <c r="AL1903" s="98">
        <f t="shared" ca="1" si="313"/>
        <v>3.9844963489973351</v>
      </c>
      <c r="AM1903" s="106">
        <f t="shared" ca="1" si="307"/>
        <v>30574.062519286319</v>
      </c>
      <c r="AN1903" s="10">
        <f t="shared" ca="1" si="308"/>
        <v>0.94354055371541623</v>
      </c>
      <c r="AO1903" s="158"/>
      <c r="AP1903" s="158"/>
      <c r="AQ1903" s="1"/>
      <c r="AR1903" s="1"/>
      <c r="AS1903" s="1"/>
      <c r="AT1903" s="1"/>
      <c r="AU1903" s="1"/>
    </row>
    <row r="1904" spans="34:47">
      <c r="AH1904" s="6">
        <f t="shared" si="309"/>
        <v>1874</v>
      </c>
      <c r="AI1904" s="7">
        <f t="shared" ca="1" si="310"/>
        <v>44544</v>
      </c>
      <c r="AJ1904" s="210">
        <f t="shared" ca="1" si="311"/>
        <v>4.1749999999999998</v>
      </c>
      <c r="AK1904" s="8">
        <f t="shared" ca="1" si="312"/>
        <v>1.0001159722222221</v>
      </c>
      <c r="AL1904" s="98">
        <f t="shared" ca="1" si="313"/>
        <v>3.9846770057524683</v>
      </c>
      <c r="AM1904" s="106">
        <f t="shared" ca="1" si="307"/>
        <v>30576.50059443757</v>
      </c>
      <c r="AN1904" s="10">
        <f t="shared" ca="1" si="308"/>
        <v>0.94374691776977215</v>
      </c>
      <c r="AO1904" s="158"/>
      <c r="AP1904" s="158"/>
      <c r="AQ1904" s="1"/>
      <c r="AR1904" s="1"/>
      <c r="AS1904" s="1"/>
      <c r="AT1904" s="1"/>
      <c r="AU1904" s="1"/>
    </row>
    <row r="1905" spans="34:47">
      <c r="AH1905" s="6">
        <f t="shared" si="309"/>
        <v>1875</v>
      </c>
      <c r="AI1905" s="7">
        <f t="shared" ca="1" si="310"/>
        <v>44545</v>
      </c>
      <c r="AJ1905" s="210">
        <f t="shared" ca="1" si="311"/>
        <v>4.1749999999999998</v>
      </c>
      <c r="AK1905" s="8">
        <f t="shared" ca="1" si="312"/>
        <v>1.0001159722222221</v>
      </c>
      <c r="AL1905" s="98">
        <f t="shared" ca="1" si="313"/>
        <v>3.9848574701204287</v>
      </c>
      <c r="AM1905" s="106">
        <f t="shared" ca="1" si="307"/>
        <v>30578.938864008865</v>
      </c>
      <c r="AN1905" s="10">
        <f t="shared" ca="1" si="308"/>
        <v>0.94395306212371466</v>
      </c>
      <c r="AO1905" s="158"/>
      <c r="AP1905" s="158"/>
      <c r="AQ1905" s="1"/>
      <c r="AR1905" s="1"/>
      <c r="AS1905" s="1"/>
      <c r="AT1905" s="1"/>
      <c r="AU1905" s="1"/>
    </row>
    <row r="1906" spans="34:47">
      <c r="AH1906" s="6">
        <f t="shared" si="309"/>
        <v>1876</v>
      </c>
      <c r="AI1906" s="7">
        <f t="shared" ca="1" si="310"/>
        <v>44546</v>
      </c>
      <c r="AJ1906" s="210">
        <f t="shared" ca="1" si="311"/>
        <v>4.1749999999999998</v>
      </c>
      <c r="AK1906" s="8">
        <f t="shared" ca="1" si="312"/>
        <v>1.0001159722222221</v>
      </c>
      <c r="AL1906" s="98">
        <f t="shared" ca="1" si="313"/>
        <v>3.9850377424083483</v>
      </c>
      <c r="AM1906" s="106">
        <f t="shared" ca="1" si="307"/>
        <v>30581.377328015704</v>
      </c>
      <c r="AN1906" s="10">
        <f t="shared" ca="1" si="308"/>
        <v>0.94415898712782997</v>
      </c>
      <c r="AO1906" s="158"/>
      <c r="AP1906" s="158"/>
      <c r="AQ1906" s="1"/>
      <c r="AR1906" s="1"/>
      <c r="AS1906" s="1"/>
      <c r="AT1906" s="1"/>
      <c r="AU1906" s="1"/>
    </row>
    <row r="1907" spans="34:47">
      <c r="AH1907" s="6">
        <f t="shared" si="309"/>
        <v>1877</v>
      </c>
      <c r="AI1907" s="7">
        <f t="shared" ca="1" si="310"/>
        <v>44547</v>
      </c>
      <c r="AJ1907" s="210">
        <f t="shared" ca="1" si="311"/>
        <v>4.1749999999999998</v>
      </c>
      <c r="AK1907" s="8">
        <f t="shared" ca="1" si="312"/>
        <v>1.0001159722222221</v>
      </c>
      <c r="AL1907" s="98">
        <f t="shared" ca="1" si="313"/>
        <v>3.9852178229227597</v>
      </c>
      <c r="AM1907" s="106">
        <f t="shared" ca="1" si="307"/>
        <v>30583.815986473586</v>
      </c>
      <c r="AN1907" s="10">
        <f t="shared" ca="1" si="308"/>
        <v>0.9443646931320826</v>
      </c>
      <c r="AO1907" s="158"/>
      <c r="AP1907" s="158"/>
      <c r="AQ1907" s="1"/>
      <c r="AR1907" s="1"/>
      <c r="AS1907" s="1"/>
      <c r="AT1907" s="1"/>
      <c r="AU1907" s="1"/>
    </row>
    <row r="1908" spans="34:47">
      <c r="AH1908" s="6">
        <f t="shared" si="309"/>
        <v>1878</v>
      </c>
      <c r="AI1908" s="7">
        <f t="shared" ca="1" si="310"/>
        <v>44548</v>
      </c>
      <c r="AJ1908" s="210">
        <f t="shared" ca="1" si="311"/>
        <v>4.1749999999999998</v>
      </c>
      <c r="AK1908" s="8">
        <f t="shared" ca="1" si="312"/>
        <v>1.0001159722222221</v>
      </c>
      <c r="AL1908" s="98">
        <f t="shared" ca="1" si="313"/>
        <v>3.985397711969485</v>
      </c>
      <c r="AM1908" s="106">
        <f t="shared" ca="1" si="307"/>
        <v>30586.254839398025</v>
      </c>
      <c r="AN1908" s="10">
        <f t="shared" ca="1" si="308"/>
        <v>0.94457018048561547</v>
      </c>
      <c r="AO1908" s="158"/>
      <c r="AP1908" s="158"/>
      <c r="AQ1908" s="1"/>
      <c r="AR1908" s="1"/>
      <c r="AS1908" s="1"/>
      <c r="AT1908" s="1"/>
      <c r="AU1908" s="1"/>
    </row>
    <row r="1909" spans="34:47">
      <c r="AH1909" s="6">
        <f t="shared" si="309"/>
        <v>1879</v>
      </c>
      <c r="AI1909" s="7">
        <f t="shared" ca="1" si="310"/>
        <v>44549</v>
      </c>
      <c r="AJ1909" s="210">
        <f t="shared" ca="1" si="311"/>
        <v>4.1749999999999998</v>
      </c>
      <c r="AK1909" s="8">
        <f t="shared" ca="1" si="312"/>
        <v>1.0001159722222221</v>
      </c>
      <c r="AL1909" s="98">
        <f t="shared" ca="1" si="313"/>
        <v>3.9855774098537466</v>
      </c>
      <c r="AM1909" s="106">
        <f t="shared" ca="1" si="307"/>
        <v>30588.693886804525</v>
      </c>
      <c r="AN1909" s="10">
        <f t="shared" ca="1" si="308"/>
        <v>0.94477544953688319</v>
      </c>
      <c r="AO1909" s="158"/>
      <c r="AP1909" s="158"/>
      <c r="AQ1909" s="1"/>
      <c r="AR1909" s="1"/>
      <c r="AS1909" s="1"/>
      <c r="AT1909" s="1"/>
      <c r="AU1909" s="1"/>
    </row>
    <row r="1910" spans="34:47">
      <c r="AH1910" s="6">
        <f t="shared" si="309"/>
        <v>1880</v>
      </c>
      <c r="AI1910" s="7">
        <f t="shared" ca="1" si="310"/>
        <v>44550</v>
      </c>
      <c r="AJ1910" s="210">
        <f t="shared" ca="1" si="311"/>
        <v>4.1749999999999998</v>
      </c>
      <c r="AK1910" s="8">
        <f t="shared" ca="1" si="312"/>
        <v>1.0001159722222221</v>
      </c>
      <c r="AL1910" s="98">
        <f t="shared" ca="1" si="313"/>
        <v>3.985756916880101</v>
      </c>
      <c r="AM1910" s="106">
        <f t="shared" ca="1" si="307"/>
        <v>30591.133128708596</v>
      </c>
      <c r="AN1910" s="10">
        <f t="shared" ca="1" si="308"/>
        <v>0.94498050063358541</v>
      </c>
      <c r="AO1910" s="158"/>
      <c r="AP1910" s="158"/>
      <c r="AQ1910" s="1"/>
      <c r="AR1910" s="1"/>
      <c r="AS1910" s="1"/>
      <c r="AT1910" s="1"/>
      <c r="AU1910" s="1"/>
    </row>
    <row r="1911" spans="34:47">
      <c r="AH1911" s="6">
        <f t="shared" si="309"/>
        <v>1881</v>
      </c>
      <c r="AI1911" s="7">
        <f t="shared" ca="1" si="310"/>
        <v>44551</v>
      </c>
      <c r="AJ1911" s="210">
        <f t="shared" ca="1" si="311"/>
        <v>4.1749999999999998</v>
      </c>
      <c r="AK1911" s="8">
        <f t="shared" ca="1" si="312"/>
        <v>1.0001159722222221</v>
      </c>
      <c r="AL1911" s="98">
        <f t="shared" ca="1" si="313"/>
        <v>3.9859362333524384</v>
      </c>
      <c r="AM1911" s="106">
        <f t="shared" ca="1" si="307"/>
        <v>30593.572565125753</v>
      </c>
      <c r="AN1911" s="10">
        <f t="shared" ca="1" si="308"/>
        <v>0.9451853341226446</v>
      </c>
      <c r="AO1911" s="158"/>
      <c r="AP1911" s="158"/>
      <c r="AQ1911" s="1"/>
      <c r="AR1911" s="1"/>
      <c r="AS1911" s="1"/>
      <c r="AT1911" s="1"/>
      <c r="AU1911" s="1"/>
    </row>
    <row r="1912" spans="34:47">
      <c r="AH1912" s="6">
        <f t="shared" si="309"/>
        <v>1882</v>
      </c>
      <c r="AI1912" s="7">
        <f t="shared" ca="1" si="310"/>
        <v>44552</v>
      </c>
      <c r="AJ1912" s="210">
        <f t="shared" ca="1" si="311"/>
        <v>4.1749999999999998</v>
      </c>
      <c r="AK1912" s="8">
        <f t="shared" ca="1" si="312"/>
        <v>1.0001159722222221</v>
      </c>
      <c r="AL1912" s="98">
        <f t="shared" ca="1" si="313"/>
        <v>3.9861153595740051</v>
      </c>
      <c r="AM1912" s="106">
        <f t="shared" ca="1" si="307"/>
        <v>30596.012196071493</v>
      </c>
      <c r="AN1912" s="10">
        <f t="shared" ca="1" si="308"/>
        <v>0.94538995035025053</v>
      </c>
      <c r="AO1912" s="158"/>
      <c r="AP1912" s="158"/>
      <c r="AQ1912" s="1"/>
      <c r="AR1912" s="1"/>
      <c r="AS1912" s="1"/>
      <c r="AT1912" s="1"/>
      <c r="AU1912" s="1"/>
    </row>
    <row r="1913" spans="34:47">
      <c r="AH1913" s="6">
        <f t="shared" si="309"/>
        <v>1883</v>
      </c>
      <c r="AI1913" s="7">
        <f t="shared" ca="1" si="310"/>
        <v>44553</v>
      </c>
      <c r="AJ1913" s="210">
        <f t="shared" ca="1" si="311"/>
        <v>4.1749999999999998</v>
      </c>
      <c r="AK1913" s="8">
        <f t="shared" ca="1" si="312"/>
        <v>1.0001159722222221</v>
      </c>
      <c r="AL1913" s="98">
        <f t="shared" ca="1" si="313"/>
        <v>3.9862942958474479</v>
      </c>
      <c r="AM1913" s="106">
        <f t="shared" ca="1" si="307"/>
        <v>30598.452021561337</v>
      </c>
      <c r="AN1913" s="10">
        <f t="shared" ca="1" si="308"/>
        <v>0.9455943496619712</v>
      </c>
      <c r="AO1913" s="158"/>
      <c r="AP1913" s="158"/>
      <c r="AQ1913" s="1"/>
      <c r="AR1913" s="1"/>
      <c r="AS1913" s="1"/>
      <c r="AT1913" s="1"/>
      <c r="AU1913" s="1"/>
    </row>
    <row r="1914" spans="34:47">
      <c r="AH1914" s="6">
        <f t="shared" si="309"/>
        <v>1884</v>
      </c>
      <c r="AI1914" s="7">
        <f t="shared" ca="1" si="310"/>
        <v>44554</v>
      </c>
      <c r="AJ1914" s="210">
        <f t="shared" ca="1" si="311"/>
        <v>4.1749999999999998</v>
      </c>
      <c r="AK1914" s="8">
        <f t="shared" ca="1" si="312"/>
        <v>1.0001159722222221</v>
      </c>
      <c r="AL1914" s="98">
        <f t="shared" ca="1" si="313"/>
        <v>3.9864730424747252</v>
      </c>
      <c r="AM1914" s="106">
        <f t="shared" ca="1" si="307"/>
        <v>30600.892041610801</v>
      </c>
      <c r="AN1914" s="10">
        <f t="shared" ca="1" si="308"/>
        <v>0.94579853240246425</v>
      </c>
      <c r="AO1914" s="158"/>
      <c r="AP1914" s="158"/>
      <c r="AQ1914" s="1"/>
      <c r="AR1914" s="1"/>
      <c r="AS1914" s="1"/>
      <c r="AT1914" s="1"/>
      <c r="AU1914" s="1"/>
    </row>
    <row r="1915" spans="34:47">
      <c r="AH1915" s="6">
        <f t="shared" si="309"/>
        <v>1885</v>
      </c>
      <c r="AI1915" s="7">
        <f t="shared" ca="1" si="310"/>
        <v>44555</v>
      </c>
      <c r="AJ1915" s="210">
        <f t="shared" ca="1" si="311"/>
        <v>4.1749999999999998</v>
      </c>
      <c r="AK1915" s="8">
        <f t="shared" ca="1" si="312"/>
        <v>1.0001159722222221</v>
      </c>
      <c r="AL1915" s="98">
        <f t="shared" ca="1" si="313"/>
        <v>3.9866515997571739</v>
      </c>
      <c r="AM1915" s="106">
        <f t="shared" ca="1" si="307"/>
        <v>30603.332256235401</v>
      </c>
      <c r="AN1915" s="10">
        <f t="shared" ca="1" si="308"/>
        <v>0.94600249891581001</v>
      </c>
      <c r="AO1915" s="158"/>
      <c r="AP1915" s="158"/>
      <c r="AQ1915" s="1"/>
      <c r="AR1915" s="1"/>
      <c r="AS1915" s="1"/>
      <c r="AT1915" s="1"/>
      <c r="AU1915" s="1"/>
    </row>
    <row r="1916" spans="34:47">
      <c r="AH1916" s="6">
        <f t="shared" si="309"/>
        <v>1886</v>
      </c>
      <c r="AI1916" s="7">
        <f t="shared" ca="1" si="310"/>
        <v>44556</v>
      </c>
      <c r="AJ1916" s="210">
        <f t="shared" ca="1" si="311"/>
        <v>4.1749999999999998</v>
      </c>
      <c r="AK1916" s="8">
        <f t="shared" ca="1" si="312"/>
        <v>1.0001159722222221</v>
      </c>
      <c r="AL1916" s="98">
        <f t="shared" ca="1" si="313"/>
        <v>3.9868299679954866</v>
      </c>
      <c r="AM1916" s="106">
        <f t="shared" ca="1" si="307"/>
        <v>30605.772665450637</v>
      </c>
      <c r="AN1916" s="10">
        <f t="shared" ca="1" si="308"/>
        <v>0.94620624954526722</v>
      </c>
      <c r="AO1916" s="158"/>
      <c r="AP1916" s="158"/>
      <c r="AQ1916" s="1"/>
      <c r="AR1916" s="1"/>
      <c r="AS1916" s="1"/>
      <c r="AT1916" s="1"/>
      <c r="AU1916" s="1"/>
    </row>
    <row r="1917" spans="34:47">
      <c r="AH1917" s="6">
        <f t="shared" si="309"/>
        <v>1887</v>
      </c>
      <c r="AI1917" s="7">
        <f t="shared" ca="1" si="310"/>
        <v>44557</v>
      </c>
      <c r="AJ1917" s="210">
        <f t="shared" ca="1" si="311"/>
        <v>4.1749999999999998</v>
      </c>
      <c r="AK1917" s="8">
        <f t="shared" ca="1" si="312"/>
        <v>1.0001159722222221</v>
      </c>
      <c r="AL1917" s="98">
        <f t="shared" ca="1" si="313"/>
        <v>3.9870081474897345</v>
      </c>
      <c r="AM1917" s="106">
        <f t="shared" ca="1" si="307"/>
        <v>30608.213269272048</v>
      </c>
      <c r="AN1917" s="10">
        <f t="shared" ca="1" si="308"/>
        <v>0.94640978463342851</v>
      </c>
      <c r="AO1917" s="158"/>
      <c r="AP1917" s="158"/>
      <c r="AQ1917" s="1"/>
      <c r="AR1917" s="1"/>
      <c r="AS1917" s="1"/>
      <c r="AT1917" s="1"/>
      <c r="AU1917" s="1"/>
    </row>
    <row r="1918" spans="34:47">
      <c r="AH1918" s="6">
        <f t="shared" si="309"/>
        <v>1888</v>
      </c>
      <c r="AI1918" s="7">
        <f t="shared" ca="1" si="310"/>
        <v>44558</v>
      </c>
      <c r="AJ1918" s="210">
        <f t="shared" ca="1" si="311"/>
        <v>4.1749999999999998</v>
      </c>
      <c r="AK1918" s="8">
        <f t="shared" ca="1" si="312"/>
        <v>1.0001159722222221</v>
      </c>
      <c r="AL1918" s="98">
        <f t="shared" ca="1" si="313"/>
        <v>3.9871861385393448</v>
      </c>
      <c r="AM1918" s="106">
        <f t="shared" ca="1" si="307"/>
        <v>30610.654067715142</v>
      </c>
      <c r="AN1918" s="10">
        <f t="shared" ca="1" si="308"/>
        <v>0.94661310452208713</v>
      </c>
      <c r="AO1918" s="158"/>
      <c r="AP1918" s="158"/>
      <c r="AQ1918" s="1"/>
      <c r="AR1918" s="1"/>
      <c r="AS1918" s="1"/>
      <c r="AT1918" s="1"/>
      <c r="AU1918" s="1"/>
    </row>
    <row r="1919" spans="34:47">
      <c r="AH1919" s="6">
        <f t="shared" si="309"/>
        <v>1889</v>
      </c>
      <c r="AI1919" s="7">
        <f t="shared" ca="1" si="310"/>
        <v>44559</v>
      </c>
      <c r="AJ1919" s="210">
        <f t="shared" ca="1" si="311"/>
        <v>4.1749999999999998</v>
      </c>
      <c r="AK1919" s="8">
        <f t="shared" ca="1" si="312"/>
        <v>1.0001159722222221</v>
      </c>
      <c r="AL1919" s="98">
        <f t="shared" ca="1" si="313"/>
        <v>3.9873639414431006</v>
      </c>
      <c r="AM1919" s="106">
        <f t="shared" ca="1" si="307"/>
        <v>30613.095060795433</v>
      </c>
      <c r="AN1919" s="10">
        <f t="shared" ca="1" si="308"/>
        <v>0.94681620955241463</v>
      </c>
      <c r="AO1919" s="158"/>
      <c r="AP1919" s="158"/>
      <c r="AQ1919" s="1"/>
      <c r="AR1919" s="1"/>
      <c r="AS1919" s="1"/>
      <c r="AT1919" s="1"/>
      <c r="AU1919" s="1"/>
    </row>
    <row r="1920" spans="34:47">
      <c r="AH1920" s="6">
        <f t="shared" si="309"/>
        <v>1890</v>
      </c>
      <c r="AI1920" s="7">
        <f t="shared" ca="1" si="310"/>
        <v>44560</v>
      </c>
      <c r="AJ1920" s="210">
        <f t="shared" ca="1" si="311"/>
        <v>4.1749999999999998</v>
      </c>
      <c r="AK1920" s="8">
        <f t="shared" ca="1" si="312"/>
        <v>1.0001159722222221</v>
      </c>
      <c r="AL1920" s="98">
        <f t="shared" ca="1" si="313"/>
        <v>3.9875415564991634</v>
      </c>
      <c r="AM1920" s="106">
        <f t="shared" ca="1" si="307"/>
        <v>30615.536248528457</v>
      </c>
      <c r="AN1920" s="10">
        <f t="shared" ca="1" si="308"/>
        <v>0.94701910006476098</v>
      </c>
      <c r="AO1920" s="158"/>
      <c r="AP1920" s="158"/>
      <c r="AQ1920" s="1"/>
      <c r="AR1920" s="1"/>
      <c r="AS1920" s="1"/>
      <c r="AT1920" s="1"/>
      <c r="AU1920" s="1"/>
    </row>
    <row r="1921" spans="34:47">
      <c r="AH1921" s="6">
        <f t="shared" si="309"/>
        <v>1891</v>
      </c>
      <c r="AI1921" s="7">
        <f t="shared" ca="1" si="310"/>
        <v>44561</v>
      </c>
      <c r="AJ1921" s="210">
        <f t="shared" ca="1" si="311"/>
        <v>4.1749999999999998</v>
      </c>
      <c r="AK1921" s="8">
        <f t="shared" ca="1" si="312"/>
        <v>1.0001159722222221</v>
      </c>
      <c r="AL1921" s="98">
        <f t="shared" ca="1" si="313"/>
        <v>3.9877189840050731</v>
      </c>
      <c r="AM1921" s="106">
        <f t="shared" ca="1" si="307"/>
        <v>30617.977630929727</v>
      </c>
      <c r="AN1921" s="10">
        <f t="shared" ca="1" si="308"/>
        <v>0.9472217763988322</v>
      </c>
      <c r="AO1921" s="158"/>
      <c r="AP1921" s="158"/>
      <c r="AQ1921" s="1"/>
      <c r="AR1921" s="1"/>
      <c r="AS1921" s="1"/>
      <c r="AT1921" s="1"/>
      <c r="AU1921" s="1"/>
    </row>
    <row r="1922" spans="34:47">
      <c r="AH1922" s="6">
        <f t="shared" si="309"/>
        <v>1892</v>
      </c>
      <c r="AI1922" s="7">
        <f t="shared" ca="1" si="310"/>
        <v>44562</v>
      </c>
      <c r="AJ1922" s="210">
        <f t="shared" ca="1" si="311"/>
        <v>4.1749999999999998</v>
      </c>
      <c r="AK1922" s="8">
        <f t="shared" ca="1" si="312"/>
        <v>1.0001159722222221</v>
      </c>
      <c r="AL1922" s="98">
        <f t="shared" ca="1" si="313"/>
        <v>3.9878962242577476</v>
      </c>
      <c r="AM1922" s="106">
        <f t="shared" ca="1" si="307"/>
        <v>30620.419208014762</v>
      </c>
      <c r="AN1922" s="10">
        <f t="shared" ca="1" si="308"/>
        <v>0.94742423889360161</v>
      </c>
      <c r="AO1922" s="158"/>
      <c r="AP1922" s="158"/>
      <c r="AQ1922" s="1"/>
      <c r="AR1922" s="1"/>
      <c r="AS1922" s="1"/>
      <c r="AT1922" s="1"/>
      <c r="AU1922" s="1"/>
    </row>
    <row r="1923" spans="34:47">
      <c r="AH1923" s="6">
        <f t="shared" si="309"/>
        <v>1893</v>
      </c>
      <c r="AI1923" s="7">
        <f t="shared" ca="1" si="310"/>
        <v>44563</v>
      </c>
      <c r="AJ1923" s="210">
        <f t="shared" ca="1" si="311"/>
        <v>4.1749999999999998</v>
      </c>
      <c r="AK1923" s="8">
        <f t="shared" ca="1" si="312"/>
        <v>1.0001159722222221</v>
      </c>
      <c r="AL1923" s="98">
        <f t="shared" ca="1" si="313"/>
        <v>3.9880732775534389</v>
      </c>
      <c r="AM1923" s="106">
        <f t="shared" ca="1" si="307"/>
        <v>30622.860979799094</v>
      </c>
      <c r="AN1923" s="10">
        <f t="shared" ca="1" si="308"/>
        <v>0.94762648788728754</v>
      </c>
      <c r="AO1923" s="158"/>
      <c r="AP1923" s="158"/>
      <c r="AQ1923" s="1"/>
      <c r="AR1923" s="1"/>
      <c r="AS1923" s="1"/>
      <c r="AT1923" s="1"/>
      <c r="AU1923" s="1"/>
    </row>
    <row r="1924" spans="34:47">
      <c r="AH1924" s="6">
        <f t="shared" si="309"/>
        <v>1894</v>
      </c>
      <c r="AI1924" s="7">
        <f t="shared" ca="1" si="310"/>
        <v>44564</v>
      </c>
      <c r="AJ1924" s="210">
        <f t="shared" ca="1" si="311"/>
        <v>4.1749999999999998</v>
      </c>
      <c r="AK1924" s="8">
        <f t="shared" ca="1" si="312"/>
        <v>1.0001159722222221</v>
      </c>
      <c r="AL1924" s="98">
        <f t="shared" ca="1" si="313"/>
        <v>3.9882501441878215</v>
      </c>
      <c r="AM1924" s="106">
        <f t="shared" ca="1" si="307"/>
        <v>30625.302946298256</v>
      </c>
      <c r="AN1924" s="10">
        <f t="shared" ca="1" si="308"/>
        <v>0.9478285237174422</v>
      </c>
      <c r="AO1924" s="158"/>
      <c r="AP1924" s="158"/>
      <c r="AQ1924" s="1"/>
      <c r="AR1924" s="1"/>
      <c r="AS1924" s="1"/>
      <c r="AT1924" s="1"/>
      <c r="AU1924" s="1"/>
    </row>
    <row r="1925" spans="34:47">
      <c r="AH1925" s="6">
        <f t="shared" si="309"/>
        <v>1895</v>
      </c>
      <c r="AI1925" s="7">
        <f t="shared" ca="1" si="310"/>
        <v>44565</v>
      </c>
      <c r="AJ1925" s="210">
        <f t="shared" ca="1" si="311"/>
        <v>4.1749999999999998</v>
      </c>
      <c r="AK1925" s="8">
        <f t="shared" ca="1" si="312"/>
        <v>1.0001159722222221</v>
      </c>
      <c r="AL1925" s="98">
        <f t="shared" ca="1" si="313"/>
        <v>3.988426824455904</v>
      </c>
      <c r="AM1925" s="106">
        <f t="shared" ca="1" si="307"/>
        <v>30627.745107527753</v>
      </c>
      <c r="AN1925" s="10">
        <f t="shared" ca="1" si="308"/>
        <v>0.94803034672088504</v>
      </c>
      <c r="AO1925" s="158"/>
      <c r="AP1925" s="158"/>
      <c r="AQ1925" s="1"/>
      <c r="AR1925" s="1"/>
      <c r="AS1925" s="1"/>
      <c r="AT1925" s="1"/>
      <c r="AU1925" s="1"/>
    </row>
    <row r="1926" spans="34:47">
      <c r="AH1926" s="6">
        <f t="shared" si="309"/>
        <v>1896</v>
      </c>
      <c r="AI1926" s="7">
        <f t="shared" ca="1" si="310"/>
        <v>44566</v>
      </c>
      <c r="AJ1926" s="210">
        <f t="shared" ca="1" si="311"/>
        <v>4.1749999999999998</v>
      </c>
      <c r="AK1926" s="8">
        <f t="shared" ca="1" si="312"/>
        <v>1.0001159722222221</v>
      </c>
      <c r="AL1926" s="98">
        <f t="shared" ca="1" si="313"/>
        <v>3.9886033186521175</v>
      </c>
      <c r="AM1926" s="106">
        <f t="shared" ca="1" si="307"/>
        <v>30630.187463503138</v>
      </c>
      <c r="AN1926" s="10">
        <f t="shared" ca="1" si="308"/>
        <v>0.948231957233725</v>
      </c>
      <c r="AO1926" s="158"/>
      <c r="AP1926" s="158"/>
      <c r="AQ1926" s="1"/>
      <c r="AR1926" s="1"/>
      <c r="AS1926" s="1"/>
      <c r="AT1926" s="1"/>
      <c r="AU1926" s="1"/>
    </row>
    <row r="1927" spans="34:47">
      <c r="AH1927" s="6">
        <f t="shared" si="309"/>
        <v>1897</v>
      </c>
      <c r="AI1927" s="7">
        <f t="shared" ca="1" si="310"/>
        <v>44567</v>
      </c>
      <c r="AJ1927" s="210">
        <f t="shared" ca="1" si="311"/>
        <v>4.1749999999999998</v>
      </c>
      <c r="AK1927" s="8">
        <f t="shared" ca="1" si="312"/>
        <v>1.0001159722222221</v>
      </c>
      <c r="AL1927" s="98">
        <f t="shared" ca="1" si="313"/>
        <v>3.9887796270702491</v>
      </c>
      <c r="AM1927" s="106">
        <f t="shared" ca="1" si="307"/>
        <v>30632.63001423992</v>
      </c>
      <c r="AN1927" s="10">
        <f t="shared" ca="1" si="308"/>
        <v>0.94843335559138264</v>
      </c>
      <c r="AO1927" s="158"/>
      <c r="AP1927" s="158"/>
      <c r="AQ1927" s="1"/>
      <c r="AR1927" s="1"/>
      <c r="AS1927" s="1"/>
      <c r="AT1927" s="1"/>
      <c r="AU1927" s="1"/>
    </row>
    <row r="1928" spans="34:47">
      <c r="AH1928" s="6">
        <f t="shared" si="309"/>
        <v>1898</v>
      </c>
      <c r="AI1928" s="7">
        <f t="shared" ca="1" si="310"/>
        <v>44568</v>
      </c>
      <c r="AJ1928" s="210">
        <f t="shared" ca="1" si="311"/>
        <v>4.1749999999999998</v>
      </c>
      <c r="AK1928" s="8">
        <f t="shared" ca="1" si="312"/>
        <v>1.0001159722222221</v>
      </c>
      <c r="AL1928" s="98">
        <f t="shared" ca="1" si="313"/>
        <v>3.9889557500034645</v>
      </c>
      <c r="AM1928" s="106">
        <f t="shared" ca="1" si="307"/>
        <v>30635.072759753646</v>
      </c>
      <c r="AN1928" s="10">
        <f t="shared" ca="1" si="308"/>
        <v>0.94863454212852361</v>
      </c>
      <c r="AO1928" s="158"/>
      <c r="AP1928" s="158"/>
      <c r="AQ1928" s="1"/>
      <c r="AR1928" s="1"/>
      <c r="AS1928" s="1"/>
      <c r="AT1928" s="1"/>
      <c r="AU1928" s="1"/>
    </row>
    <row r="1929" spans="34:47">
      <c r="AH1929" s="6">
        <f t="shared" si="309"/>
        <v>1899</v>
      </c>
      <c r="AI1929" s="7">
        <f t="shared" ca="1" si="310"/>
        <v>44569</v>
      </c>
      <c r="AJ1929" s="210">
        <f t="shared" ca="1" si="311"/>
        <v>4.1749999999999998</v>
      </c>
      <c r="AK1929" s="8">
        <f t="shared" ca="1" si="312"/>
        <v>1.0001159722222221</v>
      </c>
      <c r="AL1929" s="98">
        <f t="shared" ca="1" si="313"/>
        <v>3.9891316877443073</v>
      </c>
      <c r="AM1929" s="106">
        <f t="shared" ca="1" si="307"/>
        <v>30637.515700059837</v>
      </c>
      <c r="AN1929" s="10">
        <f t="shared" ca="1" si="308"/>
        <v>0.94883551717919179</v>
      </c>
      <c r="AO1929" s="158"/>
      <c r="AP1929" s="158"/>
      <c r="AQ1929" s="1"/>
      <c r="AR1929" s="1"/>
      <c r="AS1929" s="1"/>
      <c r="AT1929" s="1"/>
      <c r="AU1929" s="1"/>
    </row>
    <row r="1930" spans="34:47">
      <c r="AH1930" s="6">
        <f t="shared" si="309"/>
        <v>1900</v>
      </c>
      <c r="AI1930" s="7">
        <f t="shared" ca="1" si="310"/>
        <v>44570</v>
      </c>
      <c r="AJ1930" s="210">
        <f t="shared" ca="1" si="311"/>
        <v>4.1749999999999998</v>
      </c>
      <c r="AK1930" s="8">
        <f t="shared" ca="1" si="312"/>
        <v>1.0001159722222221</v>
      </c>
      <c r="AL1930" s="98">
        <f t="shared" ca="1" si="313"/>
        <v>3.9893074405847218</v>
      </c>
      <c r="AM1930" s="106">
        <f t="shared" ca="1" si="307"/>
        <v>30639.958835174031</v>
      </c>
      <c r="AN1930" s="10">
        <f t="shared" ca="1" si="308"/>
        <v>0.94903628107663174</v>
      </c>
      <c r="AO1930" s="158"/>
      <c r="AP1930" s="158"/>
      <c r="AQ1930" s="1"/>
      <c r="AR1930" s="1"/>
      <c r="AS1930" s="1"/>
      <c r="AT1930" s="1"/>
      <c r="AU1930" s="1"/>
    </row>
    <row r="1931" spans="34:47">
      <c r="AH1931" s="6">
        <f t="shared" si="309"/>
        <v>1901</v>
      </c>
      <c r="AI1931" s="7">
        <f t="shared" ca="1" si="310"/>
        <v>44571</v>
      </c>
      <c r="AJ1931" s="210">
        <f t="shared" ca="1" si="311"/>
        <v>4.1749999999999998</v>
      </c>
      <c r="AK1931" s="8">
        <f t="shared" ca="1" si="312"/>
        <v>1.0001159722222221</v>
      </c>
      <c r="AL1931" s="98">
        <f t="shared" ca="1" si="313"/>
        <v>3.9894830088160305</v>
      </c>
      <c r="AM1931" s="106">
        <f t="shared" ca="1" si="307"/>
        <v>30642.402165111762</v>
      </c>
      <c r="AN1931" s="10">
        <f t="shared" ca="1" si="308"/>
        <v>0.94923683415346627</v>
      </c>
      <c r="AO1931" s="158"/>
      <c r="AP1931" s="158"/>
      <c r="AQ1931" s="1"/>
      <c r="AR1931" s="1"/>
      <c r="AS1931" s="1"/>
      <c r="AT1931" s="1"/>
      <c r="AU1931" s="1"/>
    </row>
    <row r="1932" spans="34:47">
      <c r="AH1932" s="6">
        <f t="shared" si="309"/>
        <v>1902</v>
      </c>
      <c r="AI1932" s="7">
        <f t="shared" ca="1" si="310"/>
        <v>44572</v>
      </c>
      <c r="AJ1932" s="210">
        <f t="shared" ca="1" si="311"/>
        <v>4.1749999999999998</v>
      </c>
      <c r="AK1932" s="8">
        <f t="shared" ca="1" si="312"/>
        <v>1.0001159722222221</v>
      </c>
      <c r="AL1932" s="98">
        <f t="shared" ca="1" si="313"/>
        <v>3.9896583927289564</v>
      </c>
      <c r="AM1932" s="106">
        <f t="shared" ca="1" si="307"/>
        <v>30644.845689888571</v>
      </c>
      <c r="AN1932" s="10">
        <f t="shared" ca="1" si="308"/>
        <v>0.94943717674160766</v>
      </c>
      <c r="AO1932" s="158"/>
      <c r="AP1932" s="158"/>
      <c r="AQ1932" s="1"/>
      <c r="AR1932" s="1"/>
      <c r="AS1932" s="1"/>
      <c r="AT1932" s="1"/>
      <c r="AU1932" s="1"/>
    </row>
    <row r="1933" spans="34:47">
      <c r="AH1933" s="6">
        <f t="shared" si="309"/>
        <v>1903</v>
      </c>
      <c r="AI1933" s="7">
        <f t="shared" ca="1" si="310"/>
        <v>44573</v>
      </c>
      <c r="AJ1933" s="210">
        <f t="shared" ca="1" si="311"/>
        <v>4.1749999999999998</v>
      </c>
      <c r="AK1933" s="8">
        <f t="shared" ca="1" si="312"/>
        <v>1.0001159722222221</v>
      </c>
      <c r="AL1933" s="98">
        <f t="shared" ca="1" si="313"/>
        <v>3.989833592613623</v>
      </c>
      <c r="AM1933" s="106">
        <f t="shared" ca="1" si="307"/>
        <v>30647.289409519988</v>
      </c>
      <c r="AN1933" s="10">
        <f t="shared" ca="1" si="308"/>
        <v>0.94963730917223543</v>
      </c>
      <c r="AO1933" s="158"/>
      <c r="AP1933" s="158"/>
      <c r="AQ1933" s="1"/>
      <c r="AR1933" s="1"/>
      <c r="AS1933" s="1"/>
      <c r="AT1933" s="1"/>
      <c r="AU1933" s="1"/>
    </row>
    <row r="1934" spans="34:47">
      <c r="AH1934" s="6">
        <f t="shared" si="309"/>
        <v>1904</v>
      </c>
      <c r="AI1934" s="7">
        <f t="shared" ca="1" si="310"/>
        <v>44574</v>
      </c>
      <c r="AJ1934" s="210">
        <f t="shared" ca="1" si="311"/>
        <v>4.1749999999999998</v>
      </c>
      <c r="AK1934" s="8">
        <f t="shared" ca="1" si="312"/>
        <v>1.0001159722222221</v>
      </c>
      <c r="AL1934" s="98">
        <f t="shared" ca="1" si="313"/>
        <v>3.9900086087594877</v>
      </c>
      <c r="AM1934" s="106">
        <f t="shared" ca="1" si="307"/>
        <v>30649.733324021552</v>
      </c>
      <c r="AN1934" s="10">
        <f t="shared" ca="1" si="308"/>
        <v>0.94983723177584078</v>
      </c>
      <c r="AO1934" s="158"/>
      <c r="AP1934" s="158"/>
      <c r="AQ1934" s="1"/>
      <c r="AR1934" s="1"/>
      <c r="AS1934" s="1"/>
      <c r="AT1934" s="1"/>
      <c r="AU1934" s="1"/>
    </row>
    <row r="1935" spans="34:47">
      <c r="AH1935" s="6">
        <f t="shared" si="309"/>
        <v>1905</v>
      </c>
      <c r="AI1935" s="7">
        <f t="shared" ca="1" si="310"/>
        <v>44575</v>
      </c>
      <c r="AJ1935" s="210">
        <f t="shared" ca="1" si="311"/>
        <v>4.1749999999999998</v>
      </c>
      <c r="AK1935" s="8">
        <f t="shared" ca="1" si="312"/>
        <v>1.0001159722222221</v>
      </c>
      <c r="AL1935" s="98">
        <f t="shared" ca="1" si="313"/>
        <v>3.9901834414554749</v>
      </c>
      <c r="AM1935" s="106">
        <f t="shared" ca="1" si="307"/>
        <v>30652.177433408804</v>
      </c>
      <c r="AN1935" s="10">
        <f t="shared" ca="1" si="308"/>
        <v>0.95003694488229318</v>
      </c>
      <c r="AO1935" s="158"/>
      <c r="AP1935" s="158"/>
      <c r="AQ1935" s="1"/>
      <c r="AR1935" s="1"/>
      <c r="AS1935" s="1"/>
      <c r="AT1935" s="1"/>
      <c r="AU1935" s="1"/>
    </row>
    <row r="1936" spans="34:47">
      <c r="AH1936" s="6">
        <f t="shared" si="309"/>
        <v>1906</v>
      </c>
      <c r="AI1936" s="7">
        <f t="shared" ca="1" si="310"/>
        <v>44576</v>
      </c>
      <c r="AJ1936" s="210">
        <f t="shared" ca="1" si="311"/>
        <v>4.1749999999999998</v>
      </c>
      <c r="AK1936" s="8">
        <f t="shared" ca="1" si="312"/>
        <v>1.0001159722222221</v>
      </c>
      <c r="AL1936" s="98">
        <f t="shared" ca="1" si="313"/>
        <v>3.9903580909898428</v>
      </c>
      <c r="AM1936" s="106">
        <f t="shared" ca="1" si="307"/>
        <v>30654.621737697285</v>
      </c>
      <c r="AN1936" s="10">
        <f t="shared" ca="1" si="308"/>
        <v>0.95023644882064051</v>
      </c>
      <c r="AO1936" s="158"/>
      <c r="AP1936" s="158"/>
      <c r="AQ1936" s="1"/>
      <c r="AR1936" s="1"/>
      <c r="AS1936" s="1"/>
      <c r="AT1936" s="1"/>
      <c r="AU1936" s="1"/>
    </row>
    <row r="1937" spans="34:47">
      <c r="AH1937" s="6">
        <f t="shared" si="309"/>
        <v>1907</v>
      </c>
      <c r="AI1937" s="7">
        <f t="shared" ca="1" si="310"/>
        <v>44577</v>
      </c>
      <c r="AJ1937" s="210">
        <f t="shared" ca="1" si="311"/>
        <v>4.1749999999999998</v>
      </c>
      <c r="AK1937" s="8">
        <f t="shared" ca="1" si="312"/>
        <v>1.0001159722222221</v>
      </c>
      <c r="AL1937" s="98">
        <f t="shared" ca="1" si="313"/>
        <v>3.9905325576502726</v>
      </c>
      <c r="AM1937" s="106">
        <f t="shared" ca="1" si="307"/>
        <v>30657.066236902541</v>
      </c>
      <c r="AN1937" s="10">
        <f t="shared" ca="1" si="308"/>
        <v>0.95043574391937558</v>
      </c>
      <c r="AO1937" s="158"/>
      <c r="AP1937" s="158"/>
      <c r="AQ1937" s="1"/>
      <c r="AR1937" s="1"/>
      <c r="AS1937" s="1"/>
      <c r="AT1937" s="1"/>
      <c r="AU1937" s="1"/>
    </row>
    <row r="1938" spans="34:47">
      <c r="AH1938" s="6">
        <f t="shared" si="309"/>
        <v>1908</v>
      </c>
      <c r="AI1938" s="7">
        <f t="shared" ca="1" si="310"/>
        <v>44578</v>
      </c>
      <c r="AJ1938" s="210">
        <f t="shared" ca="1" si="311"/>
        <v>4.1749999999999998</v>
      </c>
      <c r="AK1938" s="8">
        <f t="shared" ca="1" si="312"/>
        <v>1.0001159722222221</v>
      </c>
      <c r="AL1938" s="98">
        <f t="shared" ca="1" si="313"/>
        <v>3.9907068417238456</v>
      </c>
      <c r="AM1938" s="106">
        <f t="shared" ca="1" si="307"/>
        <v>30659.510931040106</v>
      </c>
      <c r="AN1938" s="10">
        <f t="shared" ca="1" si="308"/>
        <v>0.950634830506214</v>
      </c>
      <c r="AO1938" s="158"/>
      <c r="AP1938" s="158"/>
      <c r="AQ1938" s="1"/>
      <c r="AR1938" s="1"/>
      <c r="AS1938" s="1"/>
      <c r="AT1938" s="1"/>
      <c r="AU1938" s="1"/>
    </row>
    <row r="1939" spans="34:47">
      <c r="AH1939" s="6">
        <f t="shared" si="309"/>
        <v>1909</v>
      </c>
      <c r="AI1939" s="7">
        <f t="shared" ca="1" si="310"/>
        <v>44579</v>
      </c>
      <c r="AJ1939" s="210">
        <f t="shared" ca="1" si="311"/>
        <v>4.1749999999999998</v>
      </c>
      <c r="AK1939" s="8">
        <f t="shared" ca="1" si="312"/>
        <v>1.0001159722222221</v>
      </c>
      <c r="AL1939" s="98">
        <f t="shared" ca="1" si="313"/>
        <v>3.9908809434970438</v>
      </c>
      <c r="AM1939" s="106">
        <f t="shared" ca="1" si="307"/>
        <v>30661.955820125535</v>
      </c>
      <c r="AN1939" s="10">
        <f t="shared" ca="1" si="308"/>
        <v>0.95083370890822749</v>
      </c>
      <c r="AO1939" s="158"/>
      <c r="AP1939" s="158"/>
      <c r="AQ1939" s="1"/>
      <c r="AR1939" s="1"/>
      <c r="AS1939" s="1"/>
      <c r="AT1939" s="1"/>
      <c r="AU1939" s="1"/>
    </row>
    <row r="1940" spans="34:47">
      <c r="AH1940" s="6">
        <f t="shared" si="309"/>
        <v>1910</v>
      </c>
      <c r="AI1940" s="7">
        <f t="shared" ca="1" si="310"/>
        <v>44580</v>
      </c>
      <c r="AJ1940" s="210">
        <f t="shared" ca="1" si="311"/>
        <v>4.1749999999999998</v>
      </c>
      <c r="AK1940" s="8">
        <f t="shared" ca="1" si="312"/>
        <v>1.0001159722222221</v>
      </c>
      <c r="AL1940" s="98">
        <f t="shared" ca="1" si="313"/>
        <v>3.9910548632557497</v>
      </c>
      <c r="AM1940" s="106">
        <f t="shared" ca="1" si="307"/>
        <v>30664.400904174367</v>
      </c>
      <c r="AN1940" s="10">
        <f t="shared" ca="1" si="308"/>
        <v>0.95103237945177721</v>
      </c>
      <c r="AO1940" s="158"/>
      <c r="AP1940" s="158"/>
      <c r="AQ1940" s="1"/>
      <c r="AR1940" s="1"/>
      <c r="AS1940" s="1"/>
      <c r="AT1940" s="1"/>
      <c r="AU1940" s="1"/>
    </row>
    <row r="1941" spans="34:47">
      <c r="AH1941" s="6">
        <f t="shared" si="309"/>
        <v>1911</v>
      </c>
      <c r="AI1941" s="7">
        <f t="shared" ca="1" si="310"/>
        <v>44581</v>
      </c>
      <c r="AJ1941" s="210">
        <f t="shared" ca="1" si="311"/>
        <v>4.1749999999999998</v>
      </c>
      <c r="AK1941" s="8">
        <f t="shared" ca="1" si="312"/>
        <v>1.0001159722222221</v>
      </c>
      <c r="AL1941" s="98">
        <f t="shared" ca="1" si="313"/>
        <v>3.991228601285246</v>
      </c>
      <c r="AM1941" s="106">
        <f t="shared" ca="1" si="307"/>
        <v>30666.846183202149</v>
      </c>
      <c r="AN1941" s="10">
        <f t="shared" ca="1" si="308"/>
        <v>0.95123084246260259</v>
      </c>
      <c r="AO1941" s="158"/>
      <c r="AP1941" s="158"/>
      <c r="AQ1941" s="1"/>
      <c r="AR1941" s="1"/>
      <c r="AS1941" s="1"/>
      <c r="AT1941" s="1"/>
      <c r="AU1941" s="1"/>
    </row>
    <row r="1942" spans="34:47">
      <c r="AH1942" s="6">
        <f t="shared" si="309"/>
        <v>1912</v>
      </c>
      <c r="AI1942" s="7">
        <f t="shared" ca="1" si="310"/>
        <v>44582</v>
      </c>
      <c r="AJ1942" s="210">
        <f t="shared" ca="1" si="311"/>
        <v>4.1749999999999998</v>
      </c>
      <c r="AK1942" s="8">
        <f t="shared" ca="1" si="312"/>
        <v>1.0001159722222221</v>
      </c>
      <c r="AL1942" s="98">
        <f t="shared" ca="1" si="313"/>
        <v>3.9914021578702163</v>
      </c>
      <c r="AM1942" s="106">
        <f t="shared" ca="1" si="307"/>
        <v>30669.291657224436</v>
      </c>
      <c r="AN1942" s="10">
        <f t="shared" ca="1" si="308"/>
        <v>0.95142909826566591</v>
      </c>
      <c r="AO1942" s="158"/>
      <c r="AP1942" s="158"/>
      <c r="AQ1942" s="1"/>
      <c r="AR1942" s="1"/>
      <c r="AS1942" s="1"/>
      <c r="AT1942" s="1"/>
      <c r="AU1942" s="1"/>
    </row>
    <row r="1943" spans="34:47">
      <c r="AH1943" s="6">
        <f t="shared" si="309"/>
        <v>1913</v>
      </c>
      <c r="AI1943" s="7">
        <f t="shared" ca="1" si="310"/>
        <v>44583</v>
      </c>
      <c r="AJ1943" s="210">
        <f t="shared" ca="1" si="311"/>
        <v>4.1749999999999998</v>
      </c>
      <c r="AK1943" s="8">
        <f t="shared" ca="1" si="312"/>
        <v>1.0001159722222221</v>
      </c>
      <c r="AL1943" s="98">
        <f t="shared" ca="1" si="313"/>
        <v>3.9915755332947445</v>
      </c>
      <c r="AM1943" s="106">
        <f t="shared" ca="1" si="307"/>
        <v>30671.737326256771</v>
      </c>
      <c r="AN1943" s="10">
        <f t="shared" ca="1" si="308"/>
        <v>0.95162714718535213</v>
      </c>
      <c r="AO1943" s="158"/>
      <c r="AP1943" s="158"/>
      <c r="AQ1943" s="1"/>
      <c r="AR1943" s="1"/>
      <c r="AS1943" s="1"/>
      <c r="AT1943" s="1"/>
      <c r="AU1943" s="1"/>
    </row>
    <row r="1944" spans="34:47">
      <c r="AH1944" s="6">
        <f t="shared" si="309"/>
        <v>1914</v>
      </c>
      <c r="AI1944" s="7">
        <f t="shared" ca="1" si="310"/>
        <v>44584</v>
      </c>
      <c r="AJ1944" s="210">
        <f t="shared" ca="1" si="311"/>
        <v>4.1749999999999998</v>
      </c>
      <c r="AK1944" s="8">
        <f t="shared" ca="1" si="312"/>
        <v>1.0001159722222221</v>
      </c>
      <c r="AL1944" s="98">
        <f t="shared" ca="1" si="313"/>
        <v>3.9917487278423147</v>
      </c>
      <c r="AM1944" s="106">
        <f t="shared" ca="1" si="307"/>
        <v>30674.183190314703</v>
      </c>
      <c r="AN1944" s="10">
        <f t="shared" ca="1" si="308"/>
        <v>0.95182498954529127</v>
      </c>
      <c r="AO1944" s="158"/>
      <c r="AP1944" s="158"/>
      <c r="AQ1944" s="1"/>
      <c r="AR1944" s="1"/>
      <c r="AS1944" s="1"/>
      <c r="AT1944" s="1"/>
      <c r="AU1944" s="1"/>
    </row>
    <row r="1945" spans="34:47">
      <c r="AH1945" s="6">
        <f t="shared" si="309"/>
        <v>1915</v>
      </c>
      <c r="AI1945" s="7">
        <f t="shared" ca="1" si="310"/>
        <v>44585</v>
      </c>
      <c r="AJ1945" s="210">
        <f t="shared" ca="1" si="311"/>
        <v>4.1749999999999998</v>
      </c>
      <c r="AK1945" s="8">
        <f t="shared" ca="1" si="312"/>
        <v>1.0001159722222221</v>
      </c>
      <c r="AL1945" s="98">
        <f t="shared" ca="1" si="313"/>
        <v>3.9919217417958563</v>
      </c>
      <c r="AM1945" s="106">
        <f t="shared" ca="1" si="307"/>
        <v>30676.629249413785</v>
      </c>
      <c r="AN1945" s="10">
        <f t="shared" ca="1" si="308"/>
        <v>0.9520226256684472</v>
      </c>
      <c r="AO1945" s="158"/>
      <c r="AP1945" s="158"/>
      <c r="AQ1945" s="1"/>
      <c r="AR1945" s="1"/>
      <c r="AS1945" s="1"/>
      <c r="AT1945" s="1"/>
      <c r="AU1945" s="1"/>
    </row>
    <row r="1946" spans="34:47">
      <c r="AH1946" s="6">
        <f t="shared" si="309"/>
        <v>1916</v>
      </c>
      <c r="AI1946" s="7">
        <f t="shared" ca="1" si="310"/>
        <v>44586</v>
      </c>
      <c r="AJ1946" s="210">
        <f t="shared" ca="1" si="311"/>
        <v>4.1749999999999998</v>
      </c>
      <c r="AK1946" s="8">
        <f t="shared" ca="1" si="312"/>
        <v>1.0001159722222221</v>
      </c>
      <c r="AL1946" s="98">
        <f t="shared" ca="1" si="313"/>
        <v>3.9920945754376769</v>
      </c>
      <c r="AM1946" s="106">
        <f t="shared" ca="1" si="307"/>
        <v>30679.07550356958</v>
      </c>
      <c r="AN1946" s="10">
        <f t="shared" ca="1" si="308"/>
        <v>0.95222005587718428</v>
      </c>
      <c r="AO1946" s="158"/>
      <c r="AP1946" s="158"/>
      <c r="AQ1946" s="1"/>
      <c r="AR1946" s="1"/>
      <c r="AS1946" s="1"/>
      <c r="AT1946" s="1"/>
      <c r="AU1946" s="1"/>
    </row>
    <row r="1947" spans="34:47">
      <c r="AH1947" s="6">
        <f t="shared" si="309"/>
        <v>1917</v>
      </c>
      <c r="AI1947" s="7">
        <f t="shared" ca="1" si="310"/>
        <v>44587</v>
      </c>
      <c r="AJ1947" s="210">
        <f t="shared" ca="1" si="311"/>
        <v>4.1749999999999998</v>
      </c>
      <c r="AK1947" s="8">
        <f t="shared" ca="1" si="312"/>
        <v>1.0001159722222221</v>
      </c>
      <c r="AL1947" s="98">
        <f t="shared" ca="1" si="313"/>
        <v>3.9922672290495065</v>
      </c>
      <c r="AM1947" s="106">
        <f t="shared" ca="1" si="307"/>
        <v>30681.521952797626</v>
      </c>
      <c r="AN1947" s="10">
        <f t="shared" ca="1" si="308"/>
        <v>0.95241728049311192</v>
      </c>
      <c r="AO1947" s="158"/>
      <c r="AP1947" s="158"/>
      <c r="AQ1947" s="1"/>
      <c r="AR1947" s="1"/>
      <c r="AS1947" s="1"/>
      <c r="AT1947" s="1"/>
      <c r="AU1947" s="1"/>
    </row>
    <row r="1948" spans="34:47">
      <c r="AH1948" s="6">
        <f t="shared" si="309"/>
        <v>1918</v>
      </c>
      <c r="AI1948" s="7">
        <f t="shared" ca="1" si="310"/>
        <v>44588</v>
      </c>
      <c r="AJ1948" s="210">
        <f t="shared" ca="1" si="311"/>
        <v>4.1749999999999998</v>
      </c>
      <c r="AK1948" s="8">
        <f t="shared" ca="1" si="312"/>
        <v>1.0001159722222221</v>
      </c>
      <c r="AL1948" s="98">
        <f t="shared" ca="1" si="313"/>
        <v>3.9924397029124981</v>
      </c>
      <c r="AM1948" s="106">
        <f t="shared" ca="1" si="307"/>
        <v>30683.968597113497</v>
      </c>
      <c r="AN1948" s="10">
        <f t="shared" ca="1" si="308"/>
        <v>0.95261429983721779</v>
      </c>
      <c r="AO1948" s="158"/>
      <c r="AP1948" s="158"/>
      <c r="AQ1948" s="1"/>
      <c r="AR1948" s="1"/>
      <c r="AS1948" s="1"/>
      <c r="AT1948" s="1"/>
      <c r="AU1948" s="1"/>
    </row>
    <row r="1949" spans="34:47">
      <c r="AH1949" s="6">
        <f t="shared" si="309"/>
        <v>1919</v>
      </c>
      <c r="AI1949" s="7">
        <f t="shared" ca="1" si="310"/>
        <v>44589</v>
      </c>
      <c r="AJ1949" s="210">
        <f t="shared" ca="1" si="311"/>
        <v>4.1749999999999998</v>
      </c>
      <c r="AK1949" s="8">
        <f t="shared" ca="1" si="312"/>
        <v>1.0001159722222221</v>
      </c>
      <c r="AL1949" s="98">
        <f t="shared" ca="1" si="313"/>
        <v>3.9926119973071827</v>
      </c>
      <c r="AM1949" s="106">
        <f t="shared" ca="1" si="307"/>
        <v>30686.415436532734</v>
      </c>
      <c r="AN1949" s="10">
        <f t="shared" ca="1" si="308"/>
        <v>0.95281111422977904</v>
      </c>
      <c r="AO1949" s="158"/>
      <c r="AP1949" s="158"/>
      <c r="AQ1949" s="1"/>
      <c r="AR1949" s="1"/>
      <c r="AS1949" s="1"/>
      <c r="AT1949" s="1"/>
      <c r="AU1949" s="1"/>
    </row>
    <row r="1950" spans="34:47">
      <c r="AH1950" s="6">
        <f t="shared" si="309"/>
        <v>1920</v>
      </c>
      <c r="AI1950" s="7">
        <f t="shared" ca="1" si="310"/>
        <v>44590</v>
      </c>
      <c r="AJ1950" s="210">
        <f t="shared" ca="1" si="311"/>
        <v>4.1749999999999998</v>
      </c>
      <c r="AK1950" s="8">
        <f t="shared" ca="1" si="312"/>
        <v>1.0001159722222221</v>
      </c>
      <c r="AL1950" s="98">
        <f t="shared" ca="1" si="313"/>
        <v>3.9927841125135588</v>
      </c>
      <c r="AM1950" s="106">
        <f t="shared" ca="1" si="307"/>
        <v>30688.862471070905</v>
      </c>
      <c r="AN1950" s="10">
        <f t="shared" ca="1" si="308"/>
        <v>0.95300772399047329</v>
      </c>
      <c r="AO1950" s="158"/>
      <c r="AP1950" s="158"/>
      <c r="AQ1950" s="1"/>
      <c r="AR1950" s="1"/>
      <c r="AS1950" s="1"/>
      <c r="AT1950" s="1"/>
      <c r="AU1950" s="1"/>
    </row>
    <row r="1951" spans="34:47">
      <c r="AH1951" s="6">
        <f t="shared" si="309"/>
        <v>1921</v>
      </c>
      <c r="AI1951" s="7">
        <f t="shared" ca="1" si="310"/>
        <v>44591</v>
      </c>
      <c r="AJ1951" s="210">
        <f t="shared" ca="1" si="311"/>
        <v>4.1749999999999998</v>
      </c>
      <c r="AK1951" s="8">
        <f t="shared" ca="1" si="312"/>
        <v>1.0001159722222221</v>
      </c>
      <c r="AL1951" s="98">
        <f t="shared" ca="1" si="313"/>
        <v>3.9929560488110027</v>
      </c>
      <c r="AM1951" s="106">
        <f t="shared" ref="AM1951:AM2014" ca="1" si="314">Geom_Interp(AI1951,$AZ$2:$AZ$109,$BA$2:$BA$109)</f>
        <v>30691.309700743564</v>
      </c>
      <c r="AN1951" s="10">
        <f t="shared" ref="AN1951:AN2014" ca="1" si="315">100*(((1+AL1951/100)^(AH1951/365)*$AM$29/AM1951)^(365/AH1951)-1)</f>
        <v>0.9532041294382454</v>
      </c>
      <c r="AO1951" s="158"/>
      <c r="AP1951" s="158"/>
      <c r="AQ1951" s="1"/>
      <c r="AR1951" s="1"/>
      <c r="AS1951" s="1"/>
      <c r="AT1951" s="1"/>
      <c r="AU1951" s="1"/>
    </row>
    <row r="1952" spans="34:47">
      <c r="AH1952" s="6">
        <f t="shared" ref="AH1952:AH2015" si="316">$AI$29+AH1951</f>
        <v>1922</v>
      </c>
      <c r="AI1952" s="7">
        <f t="shared" ref="AI1952:AI2015" ca="1" si="317">+AH1952+$C$1</f>
        <v>44592</v>
      </c>
      <c r="AJ1952" s="210">
        <f t="shared" ref="AJ1952:AJ2015" ca="1" si="318">IF(AH1952&lt;365,VLOOKUP(LOOKUP(AI1952,$AI$2:$AI$23),$AI$2:$AK$23,3,0),Lin_Interp(AH1952,$AJ$2:$AJ$23,$AK$2:$AK$23))</f>
        <v>4.1749999999999998</v>
      </c>
      <c r="AK1952" s="8">
        <f t="shared" ca="1" si="312"/>
        <v>1.0001159722222221</v>
      </c>
      <c r="AL1952" s="98">
        <f t="shared" ca="1" si="313"/>
        <v>3.993127806478336</v>
      </c>
      <c r="AM1952" s="106">
        <f t="shared" ca="1" si="314"/>
        <v>30693.757125566277</v>
      </c>
      <c r="AN1952" s="10">
        <f t="shared" ca="1" si="315"/>
        <v>0.95340033089139631</v>
      </c>
      <c r="AO1952" s="158"/>
      <c r="AP1952" s="158"/>
      <c r="AQ1952" s="1"/>
      <c r="AR1952" s="1"/>
      <c r="AS1952" s="1"/>
      <c r="AT1952" s="1"/>
      <c r="AU1952" s="1"/>
    </row>
    <row r="1953" spans="34:47">
      <c r="AH1953" s="6">
        <f t="shared" si="316"/>
        <v>1923</v>
      </c>
      <c r="AI1953" s="7">
        <f t="shared" ca="1" si="317"/>
        <v>44593</v>
      </c>
      <c r="AJ1953" s="210">
        <f t="shared" ca="1" si="318"/>
        <v>4.1749999999999998</v>
      </c>
      <c r="AK1953" s="8">
        <f t="shared" ref="AK1953:AK2016" ca="1" si="319">+(1+AJ1953/36000)</f>
        <v>1.0001159722222221</v>
      </c>
      <c r="AL1953" s="98">
        <f t="shared" ref="AL1953:AL2016" ca="1" si="320">100*(((1+AL1952/100)^(AH1952/365)*AK1953)^(365/AH1953)-1)</f>
        <v>3.9932993857937804</v>
      </c>
      <c r="AM1953" s="106">
        <f t="shared" ca="1" si="314"/>
        <v>30696.204745554602</v>
      </c>
      <c r="AN1953" s="10">
        <f t="shared" ca="1" si="315"/>
        <v>0.95359632866760524</v>
      </c>
      <c r="AO1953" s="158"/>
      <c r="AP1953" s="158"/>
      <c r="AQ1953" s="1"/>
      <c r="AR1953" s="1"/>
      <c r="AS1953" s="1"/>
      <c r="AT1953" s="1"/>
      <c r="AU1953" s="1"/>
    </row>
    <row r="1954" spans="34:47">
      <c r="AH1954" s="6">
        <f t="shared" si="316"/>
        <v>1924</v>
      </c>
      <c r="AI1954" s="7">
        <f t="shared" ca="1" si="317"/>
        <v>44594</v>
      </c>
      <c r="AJ1954" s="210">
        <f t="shared" ca="1" si="318"/>
        <v>4.1749999999999998</v>
      </c>
      <c r="AK1954" s="8">
        <f t="shared" ca="1" si="319"/>
        <v>1.0001159722222221</v>
      </c>
      <c r="AL1954" s="98">
        <f t="shared" ca="1" si="320"/>
        <v>3.9934707870350028</v>
      </c>
      <c r="AM1954" s="106">
        <f t="shared" ca="1" si="314"/>
        <v>30698.652560724098</v>
      </c>
      <c r="AN1954" s="10">
        <f t="shared" ca="1" si="315"/>
        <v>0.95379212308386307</v>
      </c>
      <c r="AO1954" s="158"/>
      <c r="AP1954" s="158"/>
      <c r="AQ1954" s="1"/>
      <c r="AR1954" s="1"/>
      <c r="AS1954" s="1"/>
      <c r="AT1954" s="1"/>
      <c r="AU1954" s="1"/>
    </row>
    <row r="1955" spans="34:47">
      <c r="AH1955" s="6">
        <f t="shared" si="316"/>
        <v>1925</v>
      </c>
      <c r="AI1955" s="7">
        <f t="shared" ca="1" si="317"/>
        <v>44595</v>
      </c>
      <c r="AJ1955" s="210">
        <f t="shared" ca="1" si="318"/>
        <v>4.1749999999999998</v>
      </c>
      <c r="AK1955" s="8">
        <f t="shared" ca="1" si="319"/>
        <v>1.0001159722222221</v>
      </c>
      <c r="AL1955" s="98">
        <f t="shared" ca="1" si="320"/>
        <v>3.9936420104790926</v>
      </c>
      <c r="AM1955" s="106">
        <f t="shared" ca="1" si="314"/>
        <v>30701.100571090341</v>
      </c>
      <c r="AN1955" s="10">
        <f t="shared" ca="1" si="315"/>
        <v>0.95398771445649455</v>
      </c>
      <c r="AO1955" s="158"/>
      <c r="AP1955" s="158"/>
      <c r="AQ1955" s="1"/>
      <c r="AR1955" s="1"/>
      <c r="AS1955" s="1"/>
      <c r="AT1955" s="1"/>
      <c r="AU1955" s="1"/>
    </row>
    <row r="1956" spans="34:47">
      <c r="AH1956" s="6">
        <f t="shared" si="316"/>
        <v>1926</v>
      </c>
      <c r="AI1956" s="7">
        <f t="shared" ca="1" si="317"/>
        <v>44596</v>
      </c>
      <c r="AJ1956" s="210">
        <f t="shared" ca="1" si="318"/>
        <v>4.1749999999999998</v>
      </c>
      <c r="AK1956" s="8">
        <f t="shared" ca="1" si="319"/>
        <v>1.0001159722222221</v>
      </c>
      <c r="AL1956" s="98">
        <f t="shared" ca="1" si="320"/>
        <v>3.9938130564025398</v>
      </c>
      <c r="AM1956" s="106">
        <f t="shared" ca="1" si="314"/>
        <v>30703.548776668886</v>
      </c>
      <c r="AN1956" s="10">
        <f t="shared" ca="1" si="315"/>
        <v>0.95418310310118049</v>
      </c>
      <c r="AO1956" s="158"/>
      <c r="AP1956" s="158"/>
      <c r="AQ1956" s="1"/>
      <c r="AR1956" s="1"/>
      <c r="AS1956" s="1"/>
      <c r="AT1956" s="1"/>
      <c r="AU1956" s="1"/>
    </row>
    <row r="1957" spans="34:47">
      <c r="AH1957" s="6">
        <f t="shared" si="316"/>
        <v>1927</v>
      </c>
      <c r="AI1957" s="7">
        <f t="shared" ca="1" si="317"/>
        <v>44597</v>
      </c>
      <c r="AJ1957" s="210">
        <f t="shared" ca="1" si="318"/>
        <v>4.1749999999999998</v>
      </c>
      <c r="AK1957" s="8">
        <f t="shared" ca="1" si="319"/>
        <v>1.0001159722222221</v>
      </c>
      <c r="AL1957" s="98">
        <f t="shared" ca="1" si="320"/>
        <v>3.993983925081257</v>
      </c>
      <c r="AM1957" s="106">
        <f t="shared" ca="1" si="314"/>
        <v>30705.997177475307</v>
      </c>
      <c r="AN1957" s="10">
        <f t="shared" ca="1" si="315"/>
        <v>0.95437828933291335</v>
      </c>
      <c r="AO1957" s="158"/>
      <c r="AP1957" s="158"/>
      <c r="AQ1957" s="1"/>
      <c r="AR1957" s="1"/>
      <c r="AS1957" s="1"/>
      <c r="AT1957" s="1"/>
      <c r="AU1957" s="1"/>
    </row>
    <row r="1958" spans="34:47">
      <c r="AH1958" s="6">
        <f t="shared" si="316"/>
        <v>1928</v>
      </c>
      <c r="AI1958" s="7">
        <f t="shared" ca="1" si="317"/>
        <v>44598</v>
      </c>
      <c r="AJ1958" s="210">
        <f t="shared" ca="1" si="318"/>
        <v>4.1749999999999998</v>
      </c>
      <c r="AK1958" s="8">
        <f t="shared" ca="1" si="319"/>
        <v>1.0001159722222221</v>
      </c>
      <c r="AL1958" s="98">
        <f t="shared" ca="1" si="320"/>
        <v>3.9941546167906239</v>
      </c>
      <c r="AM1958" s="106">
        <f t="shared" ca="1" si="314"/>
        <v>30708.445773525164</v>
      </c>
      <c r="AN1958" s="10">
        <f t="shared" ca="1" si="315"/>
        <v>0.95457327346613052</v>
      </c>
      <c r="AO1958" s="158"/>
      <c r="AP1958" s="158"/>
      <c r="AQ1958" s="1"/>
      <c r="AR1958" s="1"/>
      <c r="AS1958" s="1"/>
      <c r="AT1958" s="1"/>
      <c r="AU1958" s="1"/>
    </row>
    <row r="1959" spans="34:47">
      <c r="AH1959" s="6">
        <f t="shared" si="316"/>
        <v>1929</v>
      </c>
      <c r="AI1959" s="7">
        <f t="shared" ca="1" si="317"/>
        <v>44599</v>
      </c>
      <c r="AJ1959" s="210">
        <f t="shared" ca="1" si="318"/>
        <v>4.1749999999999998</v>
      </c>
      <c r="AK1959" s="8">
        <f t="shared" ca="1" si="319"/>
        <v>1.0001159722222221</v>
      </c>
      <c r="AL1959" s="98">
        <f t="shared" ca="1" si="320"/>
        <v>3.9943251318054207</v>
      </c>
      <c r="AM1959" s="106">
        <f t="shared" ca="1" si="314"/>
        <v>30710.894564834034</v>
      </c>
      <c r="AN1959" s="10">
        <f t="shared" ca="1" si="315"/>
        <v>0.95476805581447</v>
      </c>
      <c r="AO1959" s="158"/>
      <c r="AP1959" s="158"/>
      <c r="AQ1959" s="1"/>
      <c r="AR1959" s="1"/>
      <c r="AS1959" s="1"/>
      <c r="AT1959" s="1"/>
      <c r="AU1959" s="1"/>
    </row>
    <row r="1960" spans="34:47">
      <c r="AH1960" s="6">
        <f t="shared" si="316"/>
        <v>1930</v>
      </c>
      <c r="AI1960" s="7">
        <f t="shared" ca="1" si="317"/>
        <v>44600</v>
      </c>
      <c r="AJ1960" s="210">
        <f t="shared" ca="1" si="318"/>
        <v>4.1749999999999998</v>
      </c>
      <c r="AK1960" s="8">
        <f t="shared" ca="1" si="319"/>
        <v>1.0001159722222221</v>
      </c>
      <c r="AL1960" s="98">
        <f t="shared" ca="1" si="320"/>
        <v>3.9944954703998725</v>
      </c>
      <c r="AM1960" s="106">
        <f t="shared" ca="1" si="314"/>
        <v>30713.343551417485</v>
      </c>
      <c r="AN1960" s="10">
        <f t="shared" ca="1" si="315"/>
        <v>0.95496263669105907</v>
      </c>
      <c r="AO1960" s="158"/>
      <c r="AP1960" s="158"/>
      <c r="AQ1960" s="1"/>
      <c r="AR1960" s="1"/>
      <c r="AS1960" s="1"/>
      <c r="AT1960" s="1"/>
      <c r="AU1960" s="1"/>
    </row>
    <row r="1961" spans="34:47">
      <c r="AH1961" s="6">
        <f t="shared" si="316"/>
        <v>1931</v>
      </c>
      <c r="AI1961" s="7">
        <f t="shared" ca="1" si="317"/>
        <v>44601</v>
      </c>
      <c r="AJ1961" s="210">
        <f t="shared" ca="1" si="318"/>
        <v>4.1749999999999998</v>
      </c>
      <c r="AK1961" s="8">
        <f t="shared" ca="1" si="319"/>
        <v>1.0001159722222221</v>
      </c>
      <c r="AL1961" s="98">
        <f t="shared" ca="1" si="320"/>
        <v>3.9946656328476271</v>
      </c>
      <c r="AM1961" s="106">
        <f t="shared" ca="1" si="314"/>
        <v>30715.792733291088</v>
      </c>
      <c r="AN1961" s="10">
        <f t="shared" ca="1" si="315"/>
        <v>0.95515701640831452</v>
      </c>
      <c r="AO1961" s="158"/>
      <c r="AP1961" s="158"/>
      <c r="AQ1961" s="1"/>
      <c r="AR1961" s="1"/>
      <c r="AS1961" s="1"/>
      <c r="AT1961" s="1"/>
      <c r="AU1961" s="1"/>
    </row>
    <row r="1962" spans="34:47">
      <c r="AH1962" s="6">
        <f t="shared" si="316"/>
        <v>1932</v>
      </c>
      <c r="AI1962" s="7">
        <f t="shared" ca="1" si="317"/>
        <v>44602</v>
      </c>
      <c r="AJ1962" s="210">
        <f t="shared" ca="1" si="318"/>
        <v>4.1749999999999998</v>
      </c>
      <c r="AK1962" s="8">
        <f t="shared" ca="1" si="319"/>
        <v>1.0001159722222221</v>
      </c>
      <c r="AL1962" s="98">
        <f t="shared" ca="1" si="320"/>
        <v>3.9948356194217771</v>
      </c>
      <c r="AM1962" s="106">
        <f t="shared" ca="1" si="314"/>
        <v>30718.5045553241</v>
      </c>
      <c r="AN1962" s="10">
        <f t="shared" ca="1" si="315"/>
        <v>0.95518824519629231</v>
      </c>
      <c r="AO1962" s="158"/>
      <c r="AP1962" s="158"/>
      <c r="AQ1962" s="1"/>
      <c r="AR1962" s="1"/>
      <c r="AS1962" s="1"/>
      <c r="AT1962" s="1"/>
      <c r="AU1962" s="1"/>
    </row>
    <row r="1963" spans="34:47">
      <c r="AH1963" s="6">
        <f t="shared" si="316"/>
        <v>1933</v>
      </c>
      <c r="AI1963" s="7">
        <f t="shared" ca="1" si="317"/>
        <v>44603</v>
      </c>
      <c r="AJ1963" s="210">
        <f t="shared" ca="1" si="318"/>
        <v>4.1749999999999998</v>
      </c>
      <c r="AK1963" s="8">
        <f t="shared" ca="1" si="319"/>
        <v>1.0001159722222221</v>
      </c>
      <c r="AL1963" s="98">
        <f t="shared" ca="1" si="320"/>
        <v>3.9950054303948601</v>
      </c>
      <c r="AM1963" s="106">
        <f t="shared" ca="1" si="314"/>
        <v>30721.216616777234</v>
      </c>
      <c r="AN1963" s="10">
        <f t="shared" ca="1" si="315"/>
        <v>0.95521944168270867</v>
      </c>
      <c r="AO1963" s="158"/>
      <c r="AP1963" s="158"/>
      <c r="AQ1963" s="1"/>
      <c r="AR1963" s="1"/>
      <c r="AS1963" s="1"/>
      <c r="AT1963" s="1"/>
      <c r="AU1963" s="1"/>
    </row>
    <row r="1964" spans="34:47">
      <c r="AH1964" s="6">
        <f t="shared" si="316"/>
        <v>1934</v>
      </c>
      <c r="AI1964" s="7">
        <f t="shared" ca="1" si="317"/>
        <v>44604</v>
      </c>
      <c r="AJ1964" s="210">
        <f t="shared" ca="1" si="318"/>
        <v>4.1749999999999998</v>
      </c>
      <c r="AK1964" s="8">
        <f t="shared" ca="1" si="319"/>
        <v>1.0001159722222221</v>
      </c>
      <c r="AL1964" s="98">
        <f t="shared" ca="1" si="320"/>
        <v>3.9951750660388141</v>
      </c>
      <c r="AM1964" s="106">
        <f t="shared" ca="1" si="314"/>
        <v>30723.928917671619</v>
      </c>
      <c r="AN1964" s="10">
        <f t="shared" ca="1" si="315"/>
        <v>0.95525060591763467</v>
      </c>
      <c r="AO1964" s="158"/>
      <c r="AP1964" s="158"/>
      <c r="AQ1964" s="1"/>
      <c r="AR1964" s="1"/>
      <c r="AS1964" s="1"/>
      <c r="AT1964" s="1"/>
      <c r="AU1964" s="1"/>
    </row>
    <row r="1965" spans="34:47">
      <c r="AH1965" s="6">
        <f t="shared" si="316"/>
        <v>1935</v>
      </c>
      <c r="AI1965" s="7">
        <f t="shared" ca="1" si="317"/>
        <v>44605</v>
      </c>
      <c r="AJ1965" s="210">
        <f t="shared" ca="1" si="318"/>
        <v>4.1749999999999998</v>
      </c>
      <c r="AK1965" s="8">
        <f t="shared" ca="1" si="319"/>
        <v>1.0001159722222221</v>
      </c>
      <c r="AL1965" s="98">
        <f t="shared" ca="1" si="320"/>
        <v>3.9953445266250442</v>
      </c>
      <c r="AM1965" s="106">
        <f t="shared" ca="1" si="314"/>
        <v>30726.6414580284</v>
      </c>
      <c r="AN1965" s="10">
        <f t="shared" ca="1" si="315"/>
        <v>0.95528173795107474</v>
      </c>
      <c r="AO1965" s="158"/>
      <c r="AP1965" s="158"/>
      <c r="AQ1965" s="1"/>
      <c r="AR1965" s="1"/>
      <c r="AS1965" s="1"/>
      <c r="AT1965" s="1"/>
      <c r="AU1965" s="1"/>
    </row>
    <row r="1966" spans="34:47">
      <c r="AH1966" s="6">
        <f t="shared" si="316"/>
        <v>1936</v>
      </c>
      <c r="AI1966" s="7">
        <f t="shared" ca="1" si="317"/>
        <v>44606</v>
      </c>
      <c r="AJ1966" s="210">
        <f t="shared" ca="1" si="318"/>
        <v>4.1749999999999998</v>
      </c>
      <c r="AK1966" s="8">
        <f t="shared" ca="1" si="319"/>
        <v>1.0001159722222221</v>
      </c>
      <c r="AL1966" s="98">
        <f t="shared" ca="1" si="320"/>
        <v>3.9955138124244005</v>
      </c>
      <c r="AM1966" s="106">
        <f t="shared" ca="1" si="314"/>
        <v>30729.354237868723</v>
      </c>
      <c r="AN1966" s="10">
        <f t="shared" ca="1" si="315"/>
        <v>0.95531283783290011</v>
      </c>
      <c r="AO1966" s="158"/>
      <c r="AP1966" s="158"/>
      <c r="AQ1966" s="1"/>
      <c r="AR1966" s="1"/>
      <c r="AS1966" s="1"/>
      <c r="AT1966" s="1"/>
      <c r="AU1966" s="1"/>
    </row>
    <row r="1967" spans="34:47">
      <c r="AH1967" s="6">
        <f t="shared" si="316"/>
        <v>1937</v>
      </c>
      <c r="AI1967" s="7">
        <f t="shared" ca="1" si="317"/>
        <v>44607</v>
      </c>
      <c r="AJ1967" s="210">
        <f t="shared" ca="1" si="318"/>
        <v>4.1749999999999998</v>
      </c>
      <c r="AK1967" s="8">
        <f t="shared" ca="1" si="319"/>
        <v>1.0001159722222221</v>
      </c>
      <c r="AL1967" s="98">
        <f t="shared" ca="1" si="320"/>
        <v>3.9956829237071556</v>
      </c>
      <c r="AM1967" s="106">
        <f t="shared" ca="1" si="314"/>
        <v>30732.06725721373</v>
      </c>
      <c r="AN1967" s="10">
        <f t="shared" ca="1" si="315"/>
        <v>0.95534390561289317</v>
      </c>
      <c r="AO1967" s="158"/>
      <c r="AP1967" s="158"/>
      <c r="AQ1967" s="1"/>
      <c r="AR1967" s="1"/>
      <c r="AS1967" s="1"/>
      <c r="AT1967" s="1"/>
      <c r="AU1967" s="1"/>
    </row>
    <row r="1968" spans="34:47">
      <c r="AH1968" s="6">
        <f t="shared" si="316"/>
        <v>1938</v>
      </c>
      <c r="AI1968" s="7">
        <f t="shared" ca="1" si="317"/>
        <v>44608</v>
      </c>
      <c r="AJ1968" s="210">
        <f t="shared" ca="1" si="318"/>
        <v>4.1749999999999998</v>
      </c>
      <c r="AK1968" s="8">
        <f t="shared" ca="1" si="319"/>
        <v>1.0001159722222221</v>
      </c>
      <c r="AL1968" s="98">
        <f t="shared" ca="1" si="320"/>
        <v>3.9958518607430493</v>
      </c>
      <c r="AM1968" s="106">
        <f t="shared" ca="1" si="314"/>
        <v>30734.780516084556</v>
      </c>
      <c r="AN1968" s="10">
        <f t="shared" ca="1" si="315"/>
        <v>0.95537494134076972</v>
      </c>
      <c r="AO1968" s="158"/>
      <c r="AP1968" s="158"/>
      <c r="AQ1968" s="1"/>
      <c r="AR1968" s="1"/>
      <c r="AS1968" s="1"/>
      <c r="AT1968" s="1"/>
      <c r="AU1968" s="1"/>
    </row>
    <row r="1969" spans="34:47">
      <c r="AH1969" s="6">
        <f t="shared" si="316"/>
        <v>1939</v>
      </c>
      <c r="AI1969" s="7">
        <f t="shared" ca="1" si="317"/>
        <v>44609</v>
      </c>
      <c r="AJ1969" s="210">
        <f t="shared" ca="1" si="318"/>
        <v>4.1749999999999998</v>
      </c>
      <c r="AK1969" s="8">
        <f t="shared" ca="1" si="319"/>
        <v>1.0001159722222221</v>
      </c>
      <c r="AL1969" s="98">
        <f t="shared" ca="1" si="320"/>
        <v>3.9960206238012219</v>
      </c>
      <c r="AM1969" s="106">
        <f t="shared" ca="1" si="314"/>
        <v>30737.494014502357</v>
      </c>
      <c r="AN1969" s="10">
        <f t="shared" ca="1" si="315"/>
        <v>0.95540594506606791</v>
      </c>
      <c r="AO1969" s="158"/>
      <c r="AP1969" s="158"/>
      <c r="AQ1969" s="1"/>
      <c r="AR1969" s="1"/>
      <c r="AS1969" s="1"/>
      <c r="AT1969" s="1"/>
      <c r="AU1969" s="1"/>
    </row>
    <row r="1970" spans="34:47">
      <c r="AH1970" s="6">
        <f t="shared" si="316"/>
        <v>1940</v>
      </c>
      <c r="AI1970" s="7">
        <f t="shared" ca="1" si="317"/>
        <v>44610</v>
      </c>
      <c r="AJ1970" s="210">
        <f t="shared" ca="1" si="318"/>
        <v>4.1749999999999998</v>
      </c>
      <c r="AK1970" s="8">
        <f t="shared" ca="1" si="319"/>
        <v>1.0001159722222221</v>
      </c>
      <c r="AL1970" s="98">
        <f t="shared" ca="1" si="320"/>
        <v>3.996189213150303</v>
      </c>
      <c r="AM1970" s="106">
        <f t="shared" ca="1" si="314"/>
        <v>30740.207752488281</v>
      </c>
      <c r="AN1970" s="10">
        <f t="shared" ca="1" si="315"/>
        <v>0.95543691683825926</v>
      </c>
      <c r="AO1970" s="158"/>
      <c r="AP1970" s="158"/>
      <c r="AQ1970" s="1"/>
      <c r="AR1970" s="1"/>
      <c r="AS1970" s="1"/>
      <c r="AT1970" s="1"/>
      <c r="AU1970" s="1"/>
    </row>
    <row r="1971" spans="34:47">
      <c r="AH1971" s="6">
        <f t="shared" si="316"/>
        <v>1941</v>
      </c>
      <c r="AI1971" s="7">
        <f t="shared" ca="1" si="317"/>
        <v>44611</v>
      </c>
      <c r="AJ1971" s="210">
        <f t="shared" ca="1" si="318"/>
        <v>4.1749999999999998</v>
      </c>
      <c r="AK1971" s="8">
        <f t="shared" ca="1" si="319"/>
        <v>1.0001159722222221</v>
      </c>
      <c r="AL1971" s="98">
        <f t="shared" ca="1" si="320"/>
        <v>3.9963576290583669</v>
      </c>
      <c r="AM1971" s="106">
        <f t="shared" ca="1" si="314"/>
        <v>30742.921730063485</v>
      </c>
      <c r="AN1971" s="10">
        <f t="shared" ca="1" si="315"/>
        <v>0.95546785670672651</v>
      </c>
      <c r="AO1971" s="158"/>
      <c r="AP1971" s="158"/>
      <c r="AQ1971" s="1"/>
      <c r="AR1971" s="1"/>
      <c r="AS1971" s="1"/>
      <c r="AT1971" s="1"/>
      <c r="AU1971" s="1"/>
    </row>
    <row r="1972" spans="34:47">
      <c r="AH1972" s="6">
        <f t="shared" si="316"/>
        <v>1942</v>
      </c>
      <c r="AI1972" s="7">
        <f t="shared" ca="1" si="317"/>
        <v>44612</v>
      </c>
      <c r="AJ1972" s="210">
        <f t="shared" ca="1" si="318"/>
        <v>4.1749999999999998</v>
      </c>
      <c r="AK1972" s="8">
        <f t="shared" ca="1" si="319"/>
        <v>1.0001159722222221</v>
      </c>
      <c r="AL1972" s="98">
        <f t="shared" ca="1" si="320"/>
        <v>3.9965258717929109</v>
      </c>
      <c r="AM1972" s="106">
        <f t="shared" ca="1" si="314"/>
        <v>30745.635947249106</v>
      </c>
      <c r="AN1972" s="10">
        <f t="shared" ca="1" si="315"/>
        <v>0.95549876472074136</v>
      </c>
      <c r="AO1972" s="158"/>
      <c r="AP1972" s="158"/>
      <c r="AQ1972" s="1"/>
      <c r="AR1972" s="1"/>
      <c r="AS1972" s="1"/>
      <c r="AT1972" s="1"/>
      <c r="AU1972" s="1"/>
    </row>
    <row r="1973" spans="34:47">
      <c r="AH1973" s="6">
        <f t="shared" si="316"/>
        <v>1943</v>
      </c>
      <c r="AI1973" s="7">
        <f t="shared" ca="1" si="317"/>
        <v>44613</v>
      </c>
      <c r="AJ1973" s="210">
        <f t="shared" ca="1" si="318"/>
        <v>4.1749999999999998</v>
      </c>
      <c r="AK1973" s="8">
        <f t="shared" ca="1" si="319"/>
        <v>1.0001159722222221</v>
      </c>
      <c r="AL1973" s="98">
        <f t="shared" ca="1" si="320"/>
        <v>3.9966939416208991</v>
      </c>
      <c r="AM1973" s="106">
        <f t="shared" ca="1" si="314"/>
        <v>30748.35040406631</v>
      </c>
      <c r="AN1973" s="10">
        <f t="shared" ca="1" si="315"/>
        <v>0.95552964092948667</v>
      </c>
      <c r="AO1973" s="158"/>
      <c r="AP1973" s="158"/>
      <c r="AQ1973" s="1"/>
      <c r="AR1973" s="1"/>
      <c r="AS1973" s="1"/>
      <c r="AT1973" s="1"/>
      <c r="AU1973" s="1"/>
    </row>
    <row r="1974" spans="34:47">
      <c r="AH1974" s="6">
        <f t="shared" si="316"/>
        <v>1944</v>
      </c>
      <c r="AI1974" s="7">
        <f t="shared" ca="1" si="317"/>
        <v>44614</v>
      </c>
      <c r="AJ1974" s="210">
        <f t="shared" ca="1" si="318"/>
        <v>4.1749999999999998</v>
      </c>
      <c r="AK1974" s="8">
        <f t="shared" ca="1" si="319"/>
        <v>1.0001159722222221</v>
      </c>
      <c r="AL1974" s="98">
        <f t="shared" ca="1" si="320"/>
        <v>3.9968618388087407</v>
      </c>
      <c r="AM1974" s="106">
        <f t="shared" ca="1" si="314"/>
        <v>30751.065100536252</v>
      </c>
      <c r="AN1974" s="10">
        <f t="shared" ca="1" si="315"/>
        <v>0.9555604853819899</v>
      </c>
      <c r="AO1974" s="158"/>
      <c r="AP1974" s="158"/>
      <c r="AQ1974" s="1"/>
      <c r="AR1974" s="1"/>
      <c r="AS1974" s="1"/>
      <c r="AT1974" s="1"/>
      <c r="AU1974" s="1"/>
    </row>
    <row r="1975" spans="34:47">
      <c r="AH1975" s="6">
        <f t="shared" si="316"/>
        <v>1945</v>
      </c>
      <c r="AI1975" s="7">
        <f t="shared" ca="1" si="317"/>
        <v>44615</v>
      </c>
      <c r="AJ1975" s="210">
        <f t="shared" ca="1" si="318"/>
        <v>4.1749999999999998</v>
      </c>
      <c r="AK1975" s="8">
        <f t="shared" ca="1" si="319"/>
        <v>1.0001159722222221</v>
      </c>
      <c r="AL1975" s="98">
        <f t="shared" ca="1" si="320"/>
        <v>3.9970295636222897</v>
      </c>
      <c r="AM1975" s="106">
        <f t="shared" ca="1" si="314"/>
        <v>30753.780036680091</v>
      </c>
      <c r="AN1975" s="10">
        <f t="shared" ca="1" si="315"/>
        <v>0.95559129812725629</v>
      </c>
      <c r="AO1975" s="158"/>
      <c r="AP1975" s="158"/>
      <c r="AQ1975" s="1"/>
      <c r="AR1975" s="1"/>
      <c r="AS1975" s="1"/>
      <c r="AT1975" s="1"/>
      <c r="AU1975" s="1"/>
    </row>
    <row r="1976" spans="34:47">
      <c r="AH1976" s="6">
        <f t="shared" si="316"/>
        <v>1946</v>
      </c>
      <c r="AI1976" s="7">
        <f t="shared" ca="1" si="317"/>
        <v>44616</v>
      </c>
      <c r="AJ1976" s="210">
        <f t="shared" ca="1" si="318"/>
        <v>4.1749999999999998</v>
      </c>
      <c r="AK1976" s="8">
        <f t="shared" ca="1" si="319"/>
        <v>1.0001159722222221</v>
      </c>
      <c r="AL1976" s="98">
        <f t="shared" ca="1" si="320"/>
        <v>3.9971971163268893</v>
      </c>
      <c r="AM1976" s="106">
        <f t="shared" ca="1" si="314"/>
        <v>30756.495212518988</v>
      </c>
      <c r="AN1976" s="10">
        <f t="shared" ca="1" si="315"/>
        <v>0.95562207921413567</v>
      </c>
      <c r="AO1976" s="158"/>
      <c r="AP1976" s="158"/>
      <c r="AQ1976" s="1"/>
      <c r="AR1976" s="1"/>
      <c r="AS1976" s="1"/>
      <c r="AT1976" s="1"/>
      <c r="AU1976" s="1"/>
    </row>
    <row r="1977" spans="34:47">
      <c r="AH1977" s="6">
        <f t="shared" si="316"/>
        <v>1947</v>
      </c>
      <c r="AI1977" s="7">
        <f t="shared" ca="1" si="317"/>
        <v>44617</v>
      </c>
      <c r="AJ1977" s="210">
        <f t="shared" ca="1" si="318"/>
        <v>4.1749999999999998</v>
      </c>
      <c r="AK1977" s="8">
        <f t="shared" ca="1" si="319"/>
        <v>1.0001159722222221</v>
      </c>
      <c r="AL1977" s="98">
        <f t="shared" ca="1" si="320"/>
        <v>3.9973644971873057</v>
      </c>
      <c r="AM1977" s="106">
        <f t="shared" ca="1" si="314"/>
        <v>30759.210628074099</v>
      </c>
      <c r="AN1977" s="10">
        <f t="shared" ca="1" si="315"/>
        <v>0.95565282869138901</v>
      </c>
      <c r="AO1977" s="158"/>
      <c r="AP1977" s="158"/>
      <c r="AQ1977" s="1"/>
      <c r="AR1977" s="1"/>
      <c r="AS1977" s="1"/>
      <c r="AT1977" s="1"/>
      <c r="AU1977" s="1"/>
    </row>
    <row r="1978" spans="34:47">
      <c r="AH1978" s="6">
        <f t="shared" si="316"/>
        <v>1948</v>
      </c>
      <c r="AI1978" s="7">
        <f t="shared" ca="1" si="317"/>
        <v>44618</v>
      </c>
      <c r="AJ1978" s="210">
        <f t="shared" ca="1" si="318"/>
        <v>4.1749999999999998</v>
      </c>
      <c r="AK1978" s="8">
        <f t="shared" ca="1" si="319"/>
        <v>1.0001159722222221</v>
      </c>
      <c r="AL1978" s="98">
        <f t="shared" ca="1" si="320"/>
        <v>3.9975317064677718</v>
      </c>
      <c r="AM1978" s="106">
        <f t="shared" ca="1" si="314"/>
        <v>30761.926283366589</v>
      </c>
      <c r="AN1978" s="10">
        <f t="shared" ca="1" si="315"/>
        <v>0.95568354660768851</v>
      </c>
      <c r="AO1978" s="158"/>
      <c r="AP1978" s="158"/>
      <c r="AQ1978" s="1"/>
      <c r="AR1978" s="1"/>
      <c r="AS1978" s="1"/>
      <c r="AT1978" s="1"/>
      <c r="AU1978" s="1"/>
    </row>
    <row r="1979" spans="34:47">
      <c r="AH1979" s="6">
        <f t="shared" si="316"/>
        <v>1949</v>
      </c>
      <c r="AI1979" s="7">
        <f t="shared" ca="1" si="317"/>
        <v>44619</v>
      </c>
      <c r="AJ1979" s="210">
        <f t="shared" ca="1" si="318"/>
        <v>4.1749999999999998</v>
      </c>
      <c r="AK1979" s="8">
        <f t="shared" ca="1" si="319"/>
        <v>1.0001159722222221</v>
      </c>
      <c r="AL1979" s="98">
        <f t="shared" ca="1" si="320"/>
        <v>3.9976987444319656</v>
      </c>
      <c r="AM1979" s="106">
        <f t="shared" ca="1" si="314"/>
        <v>30764.642178417631</v>
      </c>
      <c r="AN1979" s="10">
        <f t="shared" ca="1" si="315"/>
        <v>0.9557142330115953</v>
      </c>
      <c r="AO1979" s="158"/>
      <c r="AP1979" s="158"/>
      <c r="AQ1979" s="1"/>
      <c r="AR1979" s="1"/>
      <c r="AS1979" s="1"/>
      <c r="AT1979" s="1"/>
      <c r="AU1979" s="1"/>
    </row>
    <row r="1980" spans="34:47">
      <c r="AH1980" s="6">
        <f t="shared" si="316"/>
        <v>1950</v>
      </c>
      <c r="AI1980" s="7">
        <f t="shared" ca="1" si="317"/>
        <v>44620</v>
      </c>
      <c r="AJ1980" s="210">
        <f t="shared" ca="1" si="318"/>
        <v>4.1749999999999998</v>
      </c>
      <c r="AK1980" s="8">
        <f t="shared" ca="1" si="319"/>
        <v>1.0001159722222221</v>
      </c>
      <c r="AL1980" s="98">
        <f t="shared" ca="1" si="320"/>
        <v>3.9978656113430544</v>
      </c>
      <c r="AM1980" s="106">
        <f t="shared" ca="1" si="314"/>
        <v>30767.358313248391</v>
      </c>
      <c r="AN1980" s="10">
        <f t="shared" ca="1" si="315"/>
        <v>0.95574488795158175</v>
      </c>
      <c r="AO1980" s="158"/>
      <c r="AP1980" s="158"/>
      <c r="AQ1980" s="1"/>
      <c r="AR1980" s="1"/>
      <c r="AS1980" s="1"/>
      <c r="AT1980" s="1"/>
      <c r="AU1980" s="1"/>
    </row>
    <row r="1981" spans="34:47">
      <c r="AH1981" s="6">
        <f t="shared" si="316"/>
        <v>1951</v>
      </c>
      <c r="AI1981" s="7">
        <f t="shared" ca="1" si="317"/>
        <v>44621</v>
      </c>
      <c r="AJ1981" s="210">
        <f t="shared" ca="1" si="318"/>
        <v>4.1749999999999998</v>
      </c>
      <c r="AK1981" s="8">
        <f t="shared" ca="1" si="319"/>
        <v>1.0001159722222221</v>
      </c>
      <c r="AL1981" s="98">
        <f t="shared" ca="1" si="320"/>
        <v>3.9980323074636503</v>
      </c>
      <c r="AM1981" s="106">
        <f t="shared" ca="1" si="314"/>
        <v>30770.074687880031</v>
      </c>
      <c r="AN1981" s="10">
        <f t="shared" ca="1" si="315"/>
        <v>0.95577551147603135</v>
      </c>
      <c r="AO1981" s="158"/>
      <c r="AP1981" s="158"/>
      <c r="AQ1981" s="1"/>
      <c r="AR1981" s="1"/>
      <c r="AS1981" s="1"/>
      <c r="AT1981" s="1"/>
      <c r="AU1981" s="1"/>
    </row>
    <row r="1982" spans="34:47">
      <c r="AH1982" s="6">
        <f t="shared" si="316"/>
        <v>1952</v>
      </c>
      <c r="AI1982" s="7">
        <f t="shared" ca="1" si="317"/>
        <v>44622</v>
      </c>
      <c r="AJ1982" s="210">
        <f t="shared" ca="1" si="318"/>
        <v>4.1749999999999998</v>
      </c>
      <c r="AK1982" s="8">
        <f t="shared" ca="1" si="319"/>
        <v>1.0001159722222221</v>
      </c>
      <c r="AL1982" s="98">
        <f t="shared" ca="1" si="320"/>
        <v>3.9981988330558327</v>
      </c>
      <c r="AM1982" s="106">
        <f t="shared" ca="1" si="314"/>
        <v>30772.791302333731</v>
      </c>
      <c r="AN1982" s="10">
        <f t="shared" ca="1" si="315"/>
        <v>0.9558061036331944</v>
      </c>
      <c r="AO1982" s="158"/>
      <c r="AP1982" s="158"/>
      <c r="AQ1982" s="1"/>
      <c r="AR1982" s="1"/>
      <c r="AS1982" s="1"/>
      <c r="AT1982" s="1"/>
      <c r="AU1982" s="1"/>
    </row>
    <row r="1983" spans="34:47">
      <c r="AH1983" s="6">
        <f t="shared" si="316"/>
        <v>1953</v>
      </c>
      <c r="AI1983" s="7">
        <f t="shared" ca="1" si="317"/>
        <v>44623</v>
      </c>
      <c r="AJ1983" s="210">
        <f t="shared" ca="1" si="318"/>
        <v>4.1749999999999998</v>
      </c>
      <c r="AK1983" s="8">
        <f t="shared" ca="1" si="319"/>
        <v>1.0001159722222221</v>
      </c>
      <c r="AL1983" s="98">
        <f t="shared" ca="1" si="320"/>
        <v>3.9983651883811255</v>
      </c>
      <c r="AM1983" s="106">
        <f t="shared" ca="1" si="314"/>
        <v>30775.508156630658</v>
      </c>
      <c r="AN1983" s="10">
        <f t="shared" ca="1" si="315"/>
        <v>0.95583666447123239</v>
      </c>
      <c r="AO1983" s="158"/>
      <c r="AP1983" s="158"/>
      <c r="AQ1983" s="1"/>
      <c r="AR1983" s="1"/>
      <c r="AS1983" s="1"/>
      <c r="AT1983" s="1"/>
      <c r="AU1983" s="1"/>
    </row>
    <row r="1984" spans="34:47">
      <c r="AH1984" s="6">
        <f t="shared" si="316"/>
        <v>1954</v>
      </c>
      <c r="AI1984" s="7">
        <f t="shared" ca="1" si="317"/>
        <v>44624</v>
      </c>
      <c r="AJ1984" s="210">
        <f t="shared" ca="1" si="318"/>
        <v>4.1749999999999998</v>
      </c>
      <c r="AK1984" s="8">
        <f t="shared" ca="1" si="319"/>
        <v>1.0001159722222221</v>
      </c>
      <c r="AL1984" s="98">
        <f t="shared" ca="1" si="320"/>
        <v>3.9985313737005423</v>
      </c>
      <c r="AM1984" s="106">
        <f t="shared" ca="1" si="314"/>
        <v>30778.225250791987</v>
      </c>
      <c r="AN1984" s="10">
        <f t="shared" ca="1" si="315"/>
        <v>0.95586719403824016</v>
      </c>
      <c r="AO1984" s="158"/>
      <c r="AP1984" s="158"/>
      <c r="AQ1984" s="1"/>
      <c r="AR1984" s="1"/>
      <c r="AS1984" s="1"/>
      <c r="AT1984" s="1"/>
      <c r="AU1984" s="1"/>
    </row>
    <row r="1985" spans="34:47">
      <c r="AH1985" s="6">
        <f t="shared" si="316"/>
        <v>1955</v>
      </c>
      <c r="AI1985" s="7">
        <f t="shared" ca="1" si="317"/>
        <v>44625</v>
      </c>
      <c r="AJ1985" s="210">
        <f t="shared" ca="1" si="318"/>
        <v>4.1749999999999998</v>
      </c>
      <c r="AK1985" s="8">
        <f t="shared" ca="1" si="319"/>
        <v>1.0001159722222221</v>
      </c>
      <c r="AL1985" s="98">
        <f t="shared" ca="1" si="320"/>
        <v>3.9986973892745414</v>
      </c>
      <c r="AM1985" s="106">
        <f t="shared" ca="1" si="314"/>
        <v>30780.9425848389</v>
      </c>
      <c r="AN1985" s="10">
        <f t="shared" ca="1" si="315"/>
        <v>0.95589769238213496</v>
      </c>
      <c r="AO1985" s="158"/>
      <c r="AP1985" s="158"/>
      <c r="AQ1985" s="1"/>
      <c r="AR1985" s="1"/>
      <c r="AS1985" s="1"/>
      <c r="AT1985" s="1"/>
      <c r="AU1985" s="1"/>
    </row>
    <row r="1986" spans="34:47">
      <c r="AH1986" s="6">
        <f t="shared" si="316"/>
        <v>1956</v>
      </c>
      <c r="AI1986" s="7">
        <f t="shared" ca="1" si="317"/>
        <v>44626</v>
      </c>
      <c r="AJ1986" s="210">
        <f t="shared" ca="1" si="318"/>
        <v>4.1749999999999998</v>
      </c>
      <c r="AK1986" s="8">
        <f t="shared" ca="1" si="319"/>
        <v>1.0001159722222221</v>
      </c>
      <c r="AL1986" s="98">
        <f t="shared" ca="1" si="320"/>
        <v>3.9988632353630704</v>
      </c>
      <c r="AM1986" s="106">
        <f t="shared" ca="1" si="314"/>
        <v>30783.660158792572</v>
      </c>
      <c r="AN1986" s="10">
        <f t="shared" ca="1" si="315"/>
        <v>0.95592815955083399</v>
      </c>
      <c r="AO1986" s="158"/>
      <c r="AP1986" s="158"/>
      <c r="AQ1986" s="1"/>
      <c r="AR1986" s="1"/>
      <c r="AS1986" s="1"/>
      <c r="AT1986" s="1"/>
      <c r="AU1986" s="1"/>
    </row>
    <row r="1987" spans="34:47">
      <c r="AH1987" s="6">
        <f t="shared" si="316"/>
        <v>1957</v>
      </c>
      <c r="AI1987" s="7">
        <f t="shared" ca="1" si="317"/>
        <v>44627</v>
      </c>
      <c r="AJ1987" s="210">
        <f t="shared" ca="1" si="318"/>
        <v>4.1749999999999998</v>
      </c>
      <c r="AK1987" s="8">
        <f t="shared" ca="1" si="319"/>
        <v>1.0001159722222221</v>
      </c>
      <c r="AL1987" s="98">
        <f t="shared" ca="1" si="320"/>
        <v>3.999028912225544</v>
      </c>
      <c r="AM1987" s="106">
        <f t="shared" ca="1" si="314"/>
        <v>30786.377972674196</v>
      </c>
      <c r="AN1987" s="10">
        <f t="shared" ca="1" si="315"/>
        <v>0.95595859559212126</v>
      </c>
      <c r="AO1987" s="158"/>
      <c r="AP1987" s="158"/>
      <c r="AQ1987" s="1"/>
      <c r="AR1987" s="1"/>
      <c r="AS1987" s="1"/>
      <c r="AT1987" s="1"/>
      <c r="AU1987" s="1"/>
    </row>
    <row r="1988" spans="34:47">
      <c r="AH1988" s="6">
        <f t="shared" si="316"/>
        <v>1958</v>
      </c>
      <c r="AI1988" s="7">
        <f t="shared" ca="1" si="317"/>
        <v>44628</v>
      </c>
      <c r="AJ1988" s="210">
        <f t="shared" ca="1" si="318"/>
        <v>4.1749999999999998</v>
      </c>
      <c r="AK1988" s="8">
        <f t="shared" ca="1" si="319"/>
        <v>1.0001159722222221</v>
      </c>
      <c r="AL1988" s="98">
        <f t="shared" ca="1" si="320"/>
        <v>3.999194420120844</v>
      </c>
      <c r="AM1988" s="106">
        <f t="shared" ca="1" si="314"/>
        <v>30789.096026504936</v>
      </c>
      <c r="AN1988" s="10">
        <f t="shared" ca="1" si="315"/>
        <v>0.95598900055364755</v>
      </c>
      <c r="AO1988" s="158"/>
      <c r="AP1988" s="158"/>
      <c r="AQ1988" s="1"/>
      <c r="AR1988" s="1"/>
      <c r="AS1988" s="1"/>
      <c r="AT1988" s="1"/>
      <c r="AU1988" s="1"/>
    </row>
    <row r="1989" spans="34:47">
      <c r="AH1989" s="6">
        <f t="shared" si="316"/>
        <v>1959</v>
      </c>
      <c r="AI1989" s="7">
        <f t="shared" ca="1" si="317"/>
        <v>44629</v>
      </c>
      <c r="AJ1989" s="210">
        <f t="shared" ca="1" si="318"/>
        <v>4.1749999999999998</v>
      </c>
      <c r="AK1989" s="8">
        <f t="shared" ca="1" si="319"/>
        <v>1.0001159722222221</v>
      </c>
      <c r="AL1989" s="98">
        <f t="shared" ca="1" si="320"/>
        <v>3.9993597593073194</v>
      </c>
      <c r="AM1989" s="106">
        <f t="shared" ca="1" si="314"/>
        <v>30791.814320305984</v>
      </c>
      <c r="AN1989" s="10">
        <f t="shared" ca="1" si="315"/>
        <v>0.95601937448301921</v>
      </c>
      <c r="AO1989" s="158"/>
      <c r="AP1989" s="158"/>
      <c r="AQ1989" s="1"/>
      <c r="AR1989" s="1"/>
      <c r="AS1989" s="1"/>
      <c r="AT1989" s="1"/>
      <c r="AU1989" s="1"/>
    </row>
    <row r="1990" spans="34:47">
      <c r="AH1990" s="6">
        <f t="shared" si="316"/>
        <v>1960</v>
      </c>
      <c r="AI1990" s="7">
        <f t="shared" ca="1" si="317"/>
        <v>44630</v>
      </c>
      <c r="AJ1990" s="210">
        <f t="shared" ca="1" si="318"/>
        <v>4.1749999999999998</v>
      </c>
      <c r="AK1990" s="8">
        <f t="shared" ca="1" si="319"/>
        <v>1.0001159722222221</v>
      </c>
      <c r="AL1990" s="98">
        <f t="shared" ca="1" si="320"/>
        <v>3.999524930042786</v>
      </c>
      <c r="AM1990" s="106">
        <f t="shared" ca="1" si="314"/>
        <v>30794.269759693831</v>
      </c>
      <c r="AN1990" s="10">
        <f t="shared" ca="1" si="315"/>
        <v>0.95621034101989189</v>
      </c>
      <c r="AO1990" s="158"/>
      <c r="AP1990" s="158"/>
      <c r="AQ1990" s="1"/>
      <c r="AR1990" s="1"/>
      <c r="AS1990" s="1"/>
      <c r="AT1990" s="1"/>
      <c r="AU1990" s="1"/>
    </row>
    <row r="1991" spans="34:47">
      <c r="AH1991" s="6">
        <f t="shared" si="316"/>
        <v>1961</v>
      </c>
      <c r="AI1991" s="7">
        <f t="shared" ca="1" si="317"/>
        <v>44631</v>
      </c>
      <c r="AJ1991" s="210">
        <f t="shared" ca="1" si="318"/>
        <v>4.1749999999999998</v>
      </c>
      <c r="AK1991" s="8">
        <f t="shared" ca="1" si="319"/>
        <v>1.0001159722222221</v>
      </c>
      <c r="AL1991" s="98">
        <f t="shared" ca="1" si="320"/>
        <v>3.9996899325845714</v>
      </c>
      <c r="AM1991" s="106">
        <f t="shared" ca="1" si="314"/>
        <v>30796.725394886402</v>
      </c>
      <c r="AN1991" s="10">
        <f t="shared" ca="1" si="315"/>
        <v>0.9564011131530048</v>
      </c>
      <c r="AO1991" s="158"/>
      <c r="AP1991" s="158"/>
      <c r="AQ1991" s="1"/>
      <c r="AR1991" s="1"/>
      <c r="AS1991" s="1"/>
      <c r="AT1991" s="1"/>
      <c r="AU1991" s="1"/>
    </row>
    <row r="1992" spans="34:47">
      <c r="AH1992" s="6">
        <f t="shared" si="316"/>
        <v>1962</v>
      </c>
      <c r="AI1992" s="7">
        <f t="shared" ca="1" si="317"/>
        <v>44632</v>
      </c>
      <c r="AJ1992" s="210">
        <f t="shared" ca="1" si="318"/>
        <v>4.1749999999999998</v>
      </c>
      <c r="AK1992" s="8">
        <f t="shared" ca="1" si="319"/>
        <v>1.0001159722222221</v>
      </c>
      <c r="AL1992" s="98">
        <f t="shared" ca="1" si="320"/>
        <v>3.9998547671894258</v>
      </c>
      <c r="AM1992" s="106">
        <f t="shared" ca="1" si="314"/>
        <v>30799.181225899305</v>
      </c>
      <c r="AN1992" s="10">
        <f t="shared" ca="1" si="315"/>
        <v>0.95659169117903176</v>
      </c>
      <c r="AO1992" s="158"/>
      <c r="AP1992" s="158"/>
      <c r="AQ1992" s="1"/>
      <c r="AR1992" s="1"/>
      <c r="AS1992" s="1"/>
      <c r="AT1992" s="1"/>
      <c r="AU1992" s="1"/>
    </row>
    <row r="1993" spans="34:47">
      <c r="AH1993" s="6">
        <f t="shared" si="316"/>
        <v>1963</v>
      </c>
      <c r="AI1993" s="7">
        <f t="shared" ca="1" si="317"/>
        <v>44633</v>
      </c>
      <c r="AJ1993" s="210">
        <f t="shared" ca="1" si="318"/>
        <v>4.1749999999999998</v>
      </c>
      <c r="AK1993" s="8">
        <f t="shared" ca="1" si="319"/>
        <v>1.0001159722222221</v>
      </c>
      <c r="AL1993" s="98">
        <f t="shared" ca="1" si="320"/>
        <v>4.0000194341136108</v>
      </c>
      <c r="AM1993" s="106">
        <f t="shared" ca="1" si="314"/>
        <v>30801.637252748154</v>
      </c>
      <c r="AN1993" s="10">
        <f t="shared" ca="1" si="315"/>
        <v>0.95678207539411364</v>
      </c>
      <c r="AO1993" s="158"/>
      <c r="AP1993" s="158"/>
      <c r="AQ1993" s="1"/>
      <c r="AR1993" s="1"/>
      <c r="AS1993" s="1"/>
      <c r="AT1993" s="1"/>
      <c r="AU1993" s="1"/>
    </row>
    <row r="1994" spans="34:47">
      <c r="AH1994" s="6">
        <f t="shared" si="316"/>
        <v>1964</v>
      </c>
      <c r="AI1994" s="7">
        <f t="shared" ca="1" si="317"/>
        <v>44634</v>
      </c>
      <c r="AJ1994" s="210">
        <f t="shared" ca="1" si="318"/>
        <v>4.1749999999999998</v>
      </c>
      <c r="AK1994" s="8">
        <f t="shared" ca="1" si="319"/>
        <v>1.0001159722222221</v>
      </c>
      <c r="AL1994" s="98">
        <f t="shared" ca="1" si="320"/>
        <v>4.0001839336128553</v>
      </c>
      <c r="AM1994" s="106">
        <f t="shared" ca="1" si="314"/>
        <v>30804.093475448568</v>
      </c>
      <c r="AN1994" s="10">
        <f t="shared" ca="1" si="315"/>
        <v>0.95697226609372521</v>
      </c>
      <c r="AO1994" s="158"/>
      <c r="AP1994" s="158"/>
      <c r="AQ1994" s="1"/>
      <c r="AR1994" s="1"/>
      <c r="AS1994" s="1"/>
      <c r="AT1994" s="1"/>
      <c r="AU1994" s="1"/>
    </row>
    <row r="1995" spans="34:47">
      <c r="AH1995" s="6">
        <f t="shared" si="316"/>
        <v>1965</v>
      </c>
      <c r="AI1995" s="7">
        <f t="shared" ca="1" si="317"/>
        <v>44635</v>
      </c>
      <c r="AJ1995" s="210">
        <f t="shared" ca="1" si="318"/>
        <v>4.1749999999999998</v>
      </c>
      <c r="AK1995" s="8">
        <f t="shared" ca="1" si="319"/>
        <v>1.0001159722222221</v>
      </c>
      <c r="AL1995" s="98">
        <f t="shared" ca="1" si="320"/>
        <v>4.0003482659423995</v>
      </c>
      <c r="AM1995" s="106">
        <f t="shared" ca="1" si="314"/>
        <v>30806.549894016171</v>
      </c>
      <c r="AN1995" s="10">
        <f t="shared" ca="1" si="315"/>
        <v>0.95716226357276391</v>
      </c>
      <c r="AO1995" s="158"/>
      <c r="AP1995" s="158"/>
      <c r="AQ1995" s="1"/>
      <c r="AR1995" s="1"/>
      <c r="AS1995" s="1"/>
      <c r="AT1995" s="1"/>
      <c r="AU1995" s="1"/>
    </row>
    <row r="1996" spans="34:47">
      <c r="AH1996" s="6">
        <f t="shared" si="316"/>
        <v>1966</v>
      </c>
      <c r="AI1996" s="7">
        <f t="shared" ca="1" si="317"/>
        <v>44636</v>
      </c>
      <c r="AJ1996" s="210">
        <f t="shared" ca="1" si="318"/>
        <v>4.1749999999999998</v>
      </c>
      <c r="AK1996" s="8">
        <f t="shared" ca="1" si="319"/>
        <v>1.0001159722222221</v>
      </c>
      <c r="AL1996" s="98">
        <f t="shared" ca="1" si="320"/>
        <v>4.0005124313569063</v>
      </c>
      <c r="AM1996" s="106">
        <f t="shared" ca="1" si="314"/>
        <v>30809.006508466577</v>
      </c>
      <c r="AN1996" s="10">
        <f t="shared" ca="1" si="315"/>
        <v>0.95735206812552764</v>
      </c>
      <c r="AO1996" s="158"/>
      <c r="AP1996" s="158"/>
      <c r="AQ1996" s="1"/>
      <c r="AR1996" s="1"/>
      <c r="AS1996" s="1"/>
      <c r="AT1996" s="1"/>
      <c r="AU1996" s="1"/>
    </row>
    <row r="1997" spans="34:47">
      <c r="AH1997" s="6">
        <f t="shared" si="316"/>
        <v>1967</v>
      </c>
      <c r="AI1997" s="7">
        <f t="shared" ca="1" si="317"/>
        <v>44637</v>
      </c>
      <c r="AJ1997" s="210">
        <f t="shared" ca="1" si="318"/>
        <v>4.1749999999999998</v>
      </c>
      <c r="AK1997" s="8">
        <f t="shared" ca="1" si="319"/>
        <v>1.0001159722222221</v>
      </c>
      <c r="AL1997" s="98">
        <f t="shared" ca="1" si="320"/>
        <v>4.0006764301105724</v>
      </c>
      <c r="AM1997" s="106">
        <f t="shared" ca="1" si="314"/>
        <v>30811.463318815404</v>
      </c>
      <c r="AN1997" s="10">
        <f t="shared" ca="1" si="315"/>
        <v>0.95754168004571483</v>
      </c>
      <c r="AO1997" s="158"/>
      <c r="AP1997" s="158"/>
      <c r="AQ1997" s="1"/>
      <c r="AR1997" s="1"/>
      <c r="AS1997" s="1"/>
      <c r="AT1997" s="1"/>
      <c r="AU1997" s="1"/>
    </row>
    <row r="1998" spans="34:47">
      <c r="AH1998" s="6">
        <f t="shared" si="316"/>
        <v>1968</v>
      </c>
      <c r="AI1998" s="7">
        <f t="shared" ca="1" si="317"/>
        <v>44638</v>
      </c>
      <c r="AJ1998" s="210">
        <f t="shared" ca="1" si="318"/>
        <v>4.1749999999999998</v>
      </c>
      <c r="AK1998" s="8">
        <f t="shared" ca="1" si="319"/>
        <v>1.0001159722222221</v>
      </c>
      <c r="AL1998" s="98">
        <f t="shared" ca="1" si="320"/>
        <v>4.0008402624570616</v>
      </c>
      <c r="AM1998" s="106">
        <f t="shared" ca="1" si="314"/>
        <v>30813.920325078278</v>
      </c>
      <c r="AN1998" s="10">
        <f t="shared" ca="1" si="315"/>
        <v>0.95773109962646874</v>
      </c>
      <c r="AO1998" s="158"/>
      <c r="AP1998" s="158"/>
      <c r="AQ1998" s="1"/>
      <c r="AR1998" s="1"/>
      <c r="AS1998" s="1"/>
      <c r="AT1998" s="1"/>
      <c r="AU1998" s="1"/>
    </row>
    <row r="1999" spans="34:47">
      <c r="AH1999" s="6">
        <f t="shared" si="316"/>
        <v>1969</v>
      </c>
      <c r="AI1999" s="7">
        <f t="shared" ca="1" si="317"/>
        <v>44639</v>
      </c>
      <c r="AJ1999" s="210">
        <f t="shared" ca="1" si="318"/>
        <v>4.1749999999999998</v>
      </c>
      <c r="AK1999" s="8">
        <f t="shared" ca="1" si="319"/>
        <v>1.0001159722222221</v>
      </c>
      <c r="AL1999" s="98">
        <f t="shared" ca="1" si="320"/>
        <v>4.0010039286495047</v>
      </c>
      <c r="AM1999" s="106">
        <f t="shared" ca="1" si="314"/>
        <v>30816.377527270819</v>
      </c>
      <c r="AN1999" s="10">
        <f t="shared" ca="1" si="315"/>
        <v>0.95792032716024433</v>
      </c>
      <c r="AO1999" s="158"/>
      <c r="AP1999" s="158"/>
      <c r="AQ1999" s="1"/>
      <c r="AR1999" s="1"/>
      <c r="AS1999" s="1"/>
      <c r="AT1999" s="1"/>
      <c r="AU1999" s="1"/>
    </row>
    <row r="2000" spans="34:47">
      <c r="AH2000" s="6">
        <f t="shared" si="316"/>
        <v>1970</v>
      </c>
      <c r="AI2000" s="7">
        <f t="shared" ca="1" si="317"/>
        <v>44640</v>
      </c>
      <c r="AJ2000" s="210">
        <f t="shared" ca="1" si="318"/>
        <v>4.1749999999999998</v>
      </c>
      <c r="AK2000" s="8">
        <f t="shared" ca="1" si="319"/>
        <v>1.0001159722222221</v>
      </c>
      <c r="AL2000" s="98">
        <f t="shared" ca="1" si="320"/>
        <v>4.0011674289405441</v>
      </c>
      <c r="AM2000" s="106">
        <f t="shared" ca="1" si="314"/>
        <v>30818.834925408653</v>
      </c>
      <c r="AN2000" s="10">
        <f t="shared" ca="1" si="315"/>
        <v>0.95810936293898585</v>
      </c>
      <c r="AO2000" s="158"/>
      <c r="AP2000" s="158"/>
      <c r="AQ2000" s="1"/>
      <c r="AR2000" s="1"/>
      <c r="AS2000" s="1"/>
      <c r="AT2000" s="1"/>
      <c r="AU2000" s="1"/>
    </row>
    <row r="2001" spans="34:47">
      <c r="AH2001" s="6">
        <f t="shared" si="316"/>
        <v>1971</v>
      </c>
      <c r="AI2001" s="7">
        <f t="shared" ca="1" si="317"/>
        <v>44641</v>
      </c>
      <c r="AJ2001" s="210">
        <f t="shared" ca="1" si="318"/>
        <v>4.1749999999999998</v>
      </c>
      <c r="AK2001" s="8">
        <f t="shared" ca="1" si="319"/>
        <v>1.0001159722222221</v>
      </c>
      <c r="AL2001" s="98">
        <f t="shared" ca="1" si="320"/>
        <v>4.0013307635823114</v>
      </c>
      <c r="AM2001" s="106">
        <f t="shared" ca="1" si="314"/>
        <v>30821.292519507409</v>
      </c>
      <c r="AN2001" s="10">
        <f t="shared" ca="1" si="315"/>
        <v>0.95829820725399362</v>
      </c>
      <c r="AO2001" s="158"/>
      <c r="AP2001" s="158"/>
      <c r="AQ2001" s="1"/>
      <c r="AR2001" s="1"/>
      <c r="AS2001" s="1"/>
      <c r="AT2001" s="1"/>
      <c r="AU2001" s="1"/>
    </row>
    <row r="2002" spans="34:47">
      <c r="AH2002" s="6">
        <f t="shared" si="316"/>
        <v>1972</v>
      </c>
      <c r="AI2002" s="7">
        <f t="shared" ca="1" si="317"/>
        <v>44642</v>
      </c>
      <c r="AJ2002" s="210">
        <f t="shared" ca="1" si="318"/>
        <v>4.1749999999999998</v>
      </c>
      <c r="AK2002" s="8">
        <f t="shared" ca="1" si="319"/>
        <v>1.0001159722222221</v>
      </c>
      <c r="AL2002" s="98">
        <f t="shared" ca="1" si="320"/>
        <v>4.0014939328264054</v>
      </c>
      <c r="AM2002" s="106">
        <f t="shared" ca="1" si="314"/>
        <v>30823.750309582701</v>
      </c>
      <c r="AN2002" s="10">
        <f t="shared" ca="1" si="315"/>
        <v>0.95848686039605724</v>
      </c>
      <c r="AO2002" s="158"/>
      <c r="AP2002" s="158"/>
      <c r="AQ2002" s="1"/>
      <c r="AR2002" s="1"/>
      <c r="AS2002" s="1"/>
      <c r="AT2002" s="1"/>
      <c r="AU2002" s="1"/>
    </row>
    <row r="2003" spans="34:47">
      <c r="AH2003" s="6">
        <f t="shared" si="316"/>
        <v>1973</v>
      </c>
      <c r="AI2003" s="7">
        <f t="shared" ca="1" si="317"/>
        <v>44643</v>
      </c>
      <c r="AJ2003" s="210">
        <f t="shared" ca="1" si="318"/>
        <v>4.1749999999999998</v>
      </c>
      <c r="AK2003" s="8">
        <f t="shared" ca="1" si="319"/>
        <v>1.0001159722222221</v>
      </c>
      <c r="AL2003" s="98">
        <f t="shared" ca="1" si="320"/>
        <v>4.0016569369239363</v>
      </c>
      <c r="AM2003" s="106">
        <f t="shared" ca="1" si="314"/>
        <v>30826.208295650165</v>
      </c>
      <c r="AN2003" s="10">
        <f t="shared" ca="1" si="315"/>
        <v>0.95867532265527799</v>
      </c>
      <c r="AO2003" s="158"/>
      <c r="AP2003" s="158"/>
      <c r="AQ2003" s="1"/>
      <c r="AR2003" s="1"/>
      <c r="AS2003" s="1"/>
      <c r="AT2003" s="1"/>
      <c r="AU2003" s="1"/>
    </row>
    <row r="2004" spans="34:47">
      <c r="AH2004" s="6">
        <f t="shared" si="316"/>
        <v>1974</v>
      </c>
      <c r="AI2004" s="7">
        <f t="shared" ca="1" si="317"/>
        <v>44644</v>
      </c>
      <c r="AJ2004" s="210">
        <f t="shared" ca="1" si="318"/>
        <v>4.1749999999999998</v>
      </c>
      <c r="AK2004" s="8">
        <f t="shared" ca="1" si="319"/>
        <v>1.0001159722222221</v>
      </c>
      <c r="AL2004" s="98">
        <f t="shared" ca="1" si="320"/>
        <v>4.0018197761255037</v>
      </c>
      <c r="AM2004" s="106">
        <f t="shared" ca="1" si="314"/>
        <v>30828.666477725434</v>
      </c>
      <c r="AN2004" s="10">
        <f t="shared" ca="1" si="315"/>
        <v>0.95886359432124646</v>
      </c>
      <c r="AO2004" s="158"/>
      <c r="AP2004" s="158"/>
      <c r="AQ2004" s="1"/>
      <c r="AR2004" s="1"/>
      <c r="AS2004" s="1"/>
      <c r="AT2004" s="1"/>
      <c r="AU2004" s="1"/>
    </row>
    <row r="2005" spans="34:47">
      <c r="AH2005" s="6">
        <f t="shared" si="316"/>
        <v>1975</v>
      </c>
      <c r="AI2005" s="7">
        <f t="shared" ca="1" si="317"/>
        <v>44645</v>
      </c>
      <c r="AJ2005" s="210">
        <f t="shared" ca="1" si="318"/>
        <v>4.1749999999999998</v>
      </c>
      <c r="AK2005" s="8">
        <f t="shared" ca="1" si="319"/>
        <v>1.0001159722222221</v>
      </c>
      <c r="AL2005" s="98">
        <f t="shared" ca="1" si="320"/>
        <v>4.0019824506811963</v>
      </c>
      <c r="AM2005" s="106">
        <f t="shared" ca="1" si="314"/>
        <v>30831.124855824135</v>
      </c>
      <c r="AN2005" s="10">
        <f t="shared" ca="1" si="315"/>
        <v>0.95905167568290928</v>
      </c>
      <c r="AO2005" s="158"/>
      <c r="AP2005" s="158"/>
      <c r="AQ2005" s="1"/>
      <c r="AR2005" s="1"/>
      <c r="AS2005" s="1"/>
      <c r="AT2005" s="1"/>
      <c r="AU2005" s="1"/>
    </row>
    <row r="2006" spans="34:47">
      <c r="AH2006" s="6">
        <f t="shared" si="316"/>
        <v>1976</v>
      </c>
      <c r="AI2006" s="7">
        <f t="shared" ca="1" si="317"/>
        <v>44646</v>
      </c>
      <c r="AJ2006" s="210">
        <f t="shared" ca="1" si="318"/>
        <v>4.1749999999999998</v>
      </c>
      <c r="AK2006" s="8">
        <f t="shared" ca="1" si="319"/>
        <v>1.0001159722222221</v>
      </c>
      <c r="AL2006" s="98">
        <f t="shared" ca="1" si="320"/>
        <v>4.0021449608405923</v>
      </c>
      <c r="AM2006" s="106">
        <f t="shared" ca="1" si="314"/>
        <v>30833.583429961891</v>
      </c>
      <c r="AN2006" s="10">
        <f t="shared" ca="1" si="315"/>
        <v>0.95923956702870239</v>
      </c>
      <c r="AO2006" s="158"/>
      <c r="AP2006" s="158"/>
      <c r="AQ2006" s="1"/>
      <c r="AR2006" s="1"/>
      <c r="AS2006" s="1"/>
      <c r="AT2006" s="1"/>
      <c r="AU2006" s="1"/>
    </row>
    <row r="2007" spans="34:47">
      <c r="AH2007" s="6">
        <f t="shared" si="316"/>
        <v>1977</v>
      </c>
      <c r="AI2007" s="7">
        <f t="shared" ca="1" si="317"/>
        <v>44647</v>
      </c>
      <c r="AJ2007" s="210">
        <f t="shared" ca="1" si="318"/>
        <v>4.1749999999999998</v>
      </c>
      <c r="AK2007" s="8">
        <f t="shared" ca="1" si="319"/>
        <v>1.0001159722222221</v>
      </c>
      <c r="AL2007" s="98">
        <f t="shared" ca="1" si="320"/>
        <v>4.0023073068527593</v>
      </c>
      <c r="AM2007" s="106">
        <f t="shared" ca="1" si="314"/>
        <v>30836.042200154348</v>
      </c>
      <c r="AN2007" s="10">
        <f t="shared" ca="1" si="315"/>
        <v>0.9594272686463956</v>
      </c>
      <c r="AO2007" s="158"/>
      <c r="AP2007" s="158"/>
      <c r="AQ2007" s="1"/>
      <c r="AR2007" s="1"/>
      <c r="AS2007" s="1"/>
      <c r="AT2007" s="1"/>
      <c r="AU2007" s="1"/>
    </row>
    <row r="2008" spans="34:47">
      <c r="AH2008" s="6">
        <f t="shared" si="316"/>
        <v>1978</v>
      </c>
      <c r="AI2008" s="7">
        <f t="shared" ca="1" si="317"/>
        <v>44648</v>
      </c>
      <c r="AJ2008" s="210">
        <f t="shared" ca="1" si="318"/>
        <v>4.1749999999999998</v>
      </c>
      <c r="AK2008" s="8">
        <f t="shared" ca="1" si="319"/>
        <v>1.0001159722222221</v>
      </c>
      <c r="AL2008" s="98">
        <f t="shared" ca="1" si="320"/>
        <v>4.002469488966276</v>
      </c>
      <c r="AM2008" s="106">
        <f t="shared" ca="1" si="314"/>
        <v>30838.501166417132</v>
      </c>
      <c r="AN2008" s="10">
        <f t="shared" ca="1" si="315"/>
        <v>0.95961478082322582</v>
      </c>
      <c r="AO2008" s="158"/>
      <c r="AP2008" s="158"/>
      <c r="AQ2008" s="1"/>
      <c r="AR2008" s="1"/>
      <c r="AS2008" s="1"/>
      <c r="AT2008" s="1"/>
      <c r="AU2008" s="1"/>
    </row>
    <row r="2009" spans="34:47">
      <c r="AH2009" s="6">
        <f t="shared" si="316"/>
        <v>1979</v>
      </c>
      <c r="AI2009" s="7">
        <f t="shared" ca="1" si="317"/>
        <v>44649</v>
      </c>
      <c r="AJ2009" s="210">
        <f t="shared" ca="1" si="318"/>
        <v>4.1749999999999998</v>
      </c>
      <c r="AK2009" s="8">
        <f t="shared" ca="1" si="319"/>
        <v>1.0001159722222221</v>
      </c>
      <c r="AL2009" s="98">
        <f t="shared" ca="1" si="320"/>
        <v>4.0026315074292329</v>
      </c>
      <c r="AM2009" s="106">
        <f t="shared" ca="1" si="314"/>
        <v>30840.960328765879</v>
      </c>
      <c r="AN2009" s="10">
        <f t="shared" ca="1" si="315"/>
        <v>0.95980210384587483</v>
      </c>
      <c r="AO2009" s="158"/>
      <c r="AP2009" s="158"/>
      <c r="AQ2009" s="1"/>
      <c r="AR2009" s="1"/>
      <c r="AS2009" s="1"/>
      <c r="AT2009" s="1"/>
      <c r="AU2009" s="1"/>
    </row>
    <row r="2010" spans="34:47">
      <c r="AH2010" s="6">
        <f t="shared" si="316"/>
        <v>1980</v>
      </c>
      <c r="AI2010" s="7">
        <f t="shared" ca="1" si="317"/>
        <v>44650</v>
      </c>
      <c r="AJ2010" s="210">
        <f t="shared" ca="1" si="318"/>
        <v>4.1749999999999998</v>
      </c>
      <c r="AK2010" s="8">
        <f t="shared" ca="1" si="319"/>
        <v>1.0001159722222221</v>
      </c>
      <c r="AL2010" s="98">
        <f t="shared" ca="1" si="320"/>
        <v>4.0027933624891876</v>
      </c>
      <c r="AM2010" s="106">
        <f t="shared" ca="1" si="314"/>
        <v>30843.419687216236</v>
      </c>
      <c r="AN2010" s="10">
        <f t="shared" ca="1" si="315"/>
        <v>0.95998923800035829</v>
      </c>
      <c r="AO2010" s="158"/>
      <c r="AP2010" s="158"/>
      <c r="AQ2010" s="1"/>
      <c r="AR2010" s="1"/>
      <c r="AS2010" s="1"/>
      <c r="AT2010" s="1"/>
      <c r="AU2010" s="1"/>
    </row>
    <row r="2011" spans="34:47">
      <c r="AH2011" s="6">
        <f t="shared" si="316"/>
        <v>1981</v>
      </c>
      <c r="AI2011" s="7">
        <f t="shared" ca="1" si="317"/>
        <v>44651</v>
      </c>
      <c r="AJ2011" s="210">
        <f t="shared" ca="1" si="318"/>
        <v>4.1749999999999998</v>
      </c>
      <c r="AK2011" s="8">
        <f t="shared" ca="1" si="319"/>
        <v>1.0001159722222221</v>
      </c>
      <c r="AL2011" s="98">
        <f t="shared" ca="1" si="320"/>
        <v>4.0029550543932091</v>
      </c>
      <c r="AM2011" s="106">
        <f t="shared" ca="1" si="314"/>
        <v>30845.879241783823</v>
      </c>
      <c r="AN2011" s="10">
        <f t="shared" ca="1" si="315"/>
        <v>0.96017618357220336</v>
      </c>
      <c r="AO2011" s="158"/>
      <c r="AP2011" s="158"/>
      <c r="AQ2011" s="1"/>
      <c r="AR2011" s="1"/>
      <c r="AS2011" s="1"/>
      <c r="AT2011" s="1"/>
      <c r="AU2011" s="1"/>
    </row>
    <row r="2012" spans="34:47">
      <c r="AH2012" s="6">
        <f t="shared" si="316"/>
        <v>1982</v>
      </c>
      <c r="AI2012" s="7">
        <f t="shared" ca="1" si="317"/>
        <v>44652</v>
      </c>
      <c r="AJ2012" s="210">
        <f t="shared" ca="1" si="318"/>
        <v>4.1749999999999998</v>
      </c>
      <c r="AK2012" s="8">
        <f t="shared" ca="1" si="319"/>
        <v>1.0001159722222221</v>
      </c>
      <c r="AL2012" s="98">
        <f t="shared" ca="1" si="320"/>
        <v>4.0031165833878779</v>
      </c>
      <c r="AM2012" s="106">
        <f t="shared" ca="1" si="314"/>
        <v>30848.338992484292</v>
      </c>
      <c r="AN2012" s="10">
        <f t="shared" ca="1" si="315"/>
        <v>0.96036294084631546</v>
      </c>
      <c r="AO2012" s="158"/>
      <c r="AP2012" s="158"/>
      <c r="AQ2012" s="1"/>
      <c r="AR2012" s="1"/>
      <c r="AS2012" s="1"/>
      <c r="AT2012" s="1"/>
      <c r="AU2012" s="1"/>
    </row>
    <row r="2013" spans="34:47">
      <c r="AH2013" s="6">
        <f t="shared" si="316"/>
        <v>1983</v>
      </c>
      <c r="AI2013" s="7">
        <f t="shared" ca="1" si="317"/>
        <v>44653</v>
      </c>
      <c r="AJ2013" s="210">
        <f t="shared" ca="1" si="318"/>
        <v>4.1749999999999998</v>
      </c>
      <c r="AK2013" s="8">
        <f t="shared" ca="1" si="319"/>
        <v>1.0001159722222221</v>
      </c>
      <c r="AL2013" s="98">
        <f t="shared" ca="1" si="320"/>
        <v>4.0032779497192861</v>
      </c>
      <c r="AM2013" s="106">
        <f t="shared" ca="1" si="314"/>
        <v>30850.798939333275</v>
      </c>
      <c r="AN2013" s="10">
        <f t="shared" ca="1" si="315"/>
        <v>0.96054951010706713</v>
      </c>
      <c r="AO2013" s="158"/>
      <c r="AP2013" s="158"/>
      <c r="AQ2013" s="1"/>
      <c r="AR2013" s="1"/>
      <c r="AS2013" s="1"/>
      <c r="AT2013" s="1"/>
      <c r="AU2013" s="1"/>
    </row>
    <row r="2014" spans="34:47">
      <c r="AH2014" s="6">
        <f t="shared" si="316"/>
        <v>1984</v>
      </c>
      <c r="AI2014" s="7">
        <f t="shared" ca="1" si="317"/>
        <v>44654</v>
      </c>
      <c r="AJ2014" s="210">
        <f t="shared" ca="1" si="318"/>
        <v>4.1749999999999998</v>
      </c>
      <c r="AK2014" s="8">
        <f t="shared" ca="1" si="319"/>
        <v>1.0001159722222221</v>
      </c>
      <c r="AL2014" s="98">
        <f t="shared" ca="1" si="320"/>
        <v>4.0034391536330149</v>
      </c>
      <c r="AM2014" s="106">
        <f t="shared" ca="1" si="314"/>
        <v>30853.259082346427</v>
      </c>
      <c r="AN2014" s="10">
        <f t="shared" ca="1" si="315"/>
        <v>0.96073589163818696</v>
      </c>
      <c r="AO2014" s="158"/>
      <c r="AP2014" s="158"/>
      <c r="AQ2014" s="1"/>
      <c r="AR2014" s="1"/>
      <c r="AS2014" s="1"/>
      <c r="AT2014" s="1"/>
      <c r="AU2014" s="1"/>
    </row>
    <row r="2015" spans="34:47">
      <c r="AH2015" s="6">
        <f t="shared" si="316"/>
        <v>1985</v>
      </c>
      <c r="AI2015" s="7">
        <f t="shared" ca="1" si="317"/>
        <v>44655</v>
      </c>
      <c r="AJ2015" s="210">
        <f t="shared" ca="1" si="318"/>
        <v>4.1749999999999998</v>
      </c>
      <c r="AK2015" s="8">
        <f t="shared" ca="1" si="319"/>
        <v>1.0001159722222221</v>
      </c>
      <c r="AL2015" s="98">
        <f t="shared" ca="1" si="320"/>
        <v>4.0036001953741573</v>
      </c>
      <c r="AM2015" s="106">
        <f t="shared" ref="AM2015:AM2078" ca="1" si="321">Geom_Interp(AI2015,$AZ$2:$AZ$109,$BA$2:$BA$109)</f>
        <v>30855.719421539372</v>
      </c>
      <c r="AN2015" s="10">
        <f t="shared" ref="AN2015:AN2078" ca="1" si="322">100*(((1+AL2015/100)^(AH2015/365)*$AM$29/AM2015)^(365/AH2015)-1)</f>
        <v>0.96092208572293725</v>
      </c>
      <c r="AO2015" s="158"/>
      <c r="AP2015" s="158"/>
      <c r="AQ2015" s="1"/>
      <c r="AR2015" s="1"/>
      <c r="AS2015" s="1"/>
      <c r="AT2015" s="1"/>
      <c r="AU2015" s="1"/>
    </row>
    <row r="2016" spans="34:47">
      <c r="AH2016" s="6">
        <f t="shared" ref="AH2016:AH2079" si="323">$AI$29+AH2015</f>
        <v>1986</v>
      </c>
      <c r="AI2016" s="7">
        <f t="shared" ref="AI2016:AI2079" ca="1" si="324">+AH2016+$C$1</f>
        <v>44656</v>
      </c>
      <c r="AJ2016" s="210">
        <f t="shared" ref="AJ2016:AJ2079" ca="1" si="325">IF(AH2016&lt;365,VLOOKUP(LOOKUP(AI2016,$AI$2:$AI$23),$AI$2:$AK$23,3,0),Lin_Interp(AH2016,$AJ$2:$AJ$23,$AK$2:$AK$23))</f>
        <v>4.1749999999999998</v>
      </c>
      <c r="AK2016" s="8">
        <f t="shared" ca="1" si="319"/>
        <v>1.0001159722222221</v>
      </c>
      <c r="AL2016" s="98">
        <f t="shared" ca="1" si="320"/>
        <v>4.0037610751872954</v>
      </c>
      <c r="AM2016" s="106">
        <f t="shared" ca="1" si="321"/>
        <v>30858.179956927772</v>
      </c>
      <c r="AN2016" s="10">
        <f t="shared" ca="1" si="322"/>
        <v>0.96110809264391417</v>
      </c>
      <c r="AO2016" s="158"/>
      <c r="AP2016" s="158"/>
      <c r="AQ2016" s="1"/>
      <c r="AR2016" s="1"/>
      <c r="AS2016" s="1"/>
      <c r="AT2016" s="1"/>
      <c r="AU2016" s="1"/>
    </row>
    <row r="2017" spans="34:47">
      <c r="AH2017" s="6">
        <f t="shared" si="323"/>
        <v>1987</v>
      </c>
      <c r="AI2017" s="7">
        <f t="shared" ca="1" si="324"/>
        <v>44657</v>
      </c>
      <c r="AJ2017" s="210">
        <f t="shared" ca="1" si="325"/>
        <v>4.1749999999999998</v>
      </c>
      <c r="AK2017" s="8">
        <f t="shared" ref="AK2017:AK2080" ca="1" si="326">+(1+AJ2017/36000)</f>
        <v>1.0001159722222221</v>
      </c>
      <c r="AL2017" s="98">
        <f t="shared" ref="AL2017:AL2080" ca="1" si="327">100*(((1+AL2016/100)^(AH2016/365)*AK2017)^(365/AH2017)-1)</f>
        <v>4.003921793316545</v>
      </c>
      <c r="AM2017" s="106">
        <f t="shared" ca="1" si="321"/>
        <v>30860.640688527255</v>
      </c>
      <c r="AN2017" s="10">
        <f t="shared" ca="1" si="322"/>
        <v>0.96129391268320319</v>
      </c>
      <c r="AO2017" s="158"/>
      <c r="AP2017" s="158"/>
      <c r="AQ2017" s="1"/>
      <c r="AR2017" s="1"/>
      <c r="AS2017" s="1"/>
      <c r="AT2017" s="1"/>
      <c r="AU2017" s="1"/>
    </row>
    <row r="2018" spans="34:47">
      <c r="AH2018" s="6">
        <f t="shared" si="323"/>
        <v>1988</v>
      </c>
      <c r="AI2018" s="7">
        <f t="shared" ca="1" si="324"/>
        <v>44658</v>
      </c>
      <c r="AJ2018" s="210">
        <f t="shared" ca="1" si="325"/>
        <v>4.1749999999999998</v>
      </c>
      <c r="AK2018" s="8">
        <f t="shared" ca="1" si="326"/>
        <v>1.0001159722222221</v>
      </c>
      <c r="AL2018" s="98">
        <f t="shared" ca="1" si="327"/>
        <v>4.0040823500055334</v>
      </c>
      <c r="AM2018" s="106">
        <f t="shared" ca="1" si="321"/>
        <v>30863.101616353484</v>
      </c>
      <c r="AN2018" s="10">
        <f t="shared" ca="1" si="322"/>
        <v>0.96147954612226805</v>
      </c>
      <c r="AO2018" s="158"/>
      <c r="AP2018" s="158"/>
      <c r="AQ2018" s="1"/>
      <c r="AR2018" s="1"/>
      <c r="AS2018" s="1"/>
      <c r="AT2018" s="1"/>
      <c r="AU2018" s="1"/>
    </row>
    <row r="2019" spans="34:47">
      <c r="AH2019" s="6">
        <f t="shared" si="323"/>
        <v>1989</v>
      </c>
      <c r="AI2019" s="7">
        <f t="shared" ca="1" si="324"/>
        <v>44659</v>
      </c>
      <c r="AJ2019" s="210">
        <f t="shared" ca="1" si="325"/>
        <v>4.1749999999999998</v>
      </c>
      <c r="AK2019" s="8">
        <f t="shared" ca="1" si="326"/>
        <v>1.0001159722222221</v>
      </c>
      <c r="AL2019" s="98">
        <f t="shared" ca="1" si="327"/>
        <v>4.004242745497355</v>
      </c>
      <c r="AM2019" s="106">
        <f t="shared" ca="1" si="321"/>
        <v>30865.562740422098</v>
      </c>
      <c r="AN2019" s="10">
        <f t="shared" ca="1" si="322"/>
        <v>0.96166499324208399</v>
      </c>
      <c r="AO2019" s="158"/>
      <c r="AP2019" s="158"/>
      <c r="AQ2019" s="1"/>
      <c r="AR2019" s="1"/>
      <c r="AS2019" s="1"/>
      <c r="AT2019" s="1"/>
      <c r="AU2019" s="1"/>
    </row>
    <row r="2020" spans="34:47">
      <c r="AH2020" s="6">
        <f t="shared" si="323"/>
        <v>1990</v>
      </c>
      <c r="AI2020" s="7">
        <f t="shared" ca="1" si="324"/>
        <v>44660</v>
      </c>
      <c r="AJ2020" s="210">
        <f t="shared" ca="1" si="325"/>
        <v>4.1749999999999998</v>
      </c>
      <c r="AK2020" s="8">
        <f t="shared" ca="1" si="326"/>
        <v>1.0001159722222221</v>
      </c>
      <c r="AL2020" s="98">
        <f t="shared" ca="1" si="327"/>
        <v>4.0044029800346825</v>
      </c>
      <c r="AM2020" s="106">
        <f t="shared" ca="1" si="321"/>
        <v>30868.024060748743</v>
      </c>
      <c r="AN2020" s="10">
        <f t="shared" ca="1" si="322"/>
        <v>0.96185025432298232</v>
      </c>
      <c r="AO2020" s="158"/>
      <c r="AP2020" s="158"/>
      <c r="AQ2020" s="1"/>
      <c r="AR2020" s="1"/>
      <c r="AS2020" s="1"/>
      <c r="AT2020" s="1"/>
      <c r="AU2020" s="1"/>
    </row>
    <row r="2021" spans="34:47">
      <c r="AH2021" s="6">
        <f t="shared" si="323"/>
        <v>1991</v>
      </c>
      <c r="AI2021" s="7">
        <f t="shared" ca="1" si="324"/>
        <v>44661</v>
      </c>
      <c r="AJ2021" s="210">
        <f t="shared" ca="1" si="325"/>
        <v>4.1749999999999998</v>
      </c>
      <c r="AK2021" s="8">
        <f t="shared" ca="1" si="326"/>
        <v>1.0001159722222221</v>
      </c>
      <c r="AL2021" s="98">
        <f t="shared" ca="1" si="327"/>
        <v>4.0045630538596555</v>
      </c>
      <c r="AM2021" s="106">
        <f t="shared" ca="1" si="321"/>
        <v>30870.567631282869</v>
      </c>
      <c r="AN2021" s="10">
        <f t="shared" ca="1" si="322"/>
        <v>0.96198613305900071</v>
      </c>
      <c r="AO2021" s="158"/>
      <c r="AP2021" s="158"/>
      <c r="AQ2021" s="1"/>
      <c r="AR2021" s="1"/>
      <c r="AS2021" s="1"/>
      <c r="AT2021" s="1"/>
      <c r="AU2021" s="1"/>
    </row>
    <row r="2022" spans="34:47">
      <c r="AH2022" s="6">
        <f t="shared" si="323"/>
        <v>1992</v>
      </c>
      <c r="AI2022" s="7">
        <f t="shared" ca="1" si="324"/>
        <v>44662</v>
      </c>
      <c r="AJ2022" s="210">
        <f t="shared" ca="1" si="325"/>
        <v>4.1749999999999998</v>
      </c>
      <c r="AK2022" s="8">
        <f t="shared" ca="1" si="326"/>
        <v>1.0001159722222221</v>
      </c>
      <c r="AL2022" s="98">
        <f t="shared" ca="1" si="327"/>
        <v>4.0047229672139251</v>
      </c>
      <c r="AM2022" s="106">
        <f t="shared" ca="1" si="321"/>
        <v>30873.111411410951</v>
      </c>
      <c r="AN2022" s="10">
        <f t="shared" ca="1" si="322"/>
        <v>0.96212187555313466</v>
      </c>
      <c r="AO2022" s="158"/>
      <c r="AP2022" s="158"/>
      <c r="AQ2022" s="1"/>
      <c r="AR2022" s="1"/>
      <c r="AS2022" s="1"/>
      <c r="AT2022" s="1"/>
      <c r="AU2022" s="1"/>
    </row>
    <row r="2023" spans="34:47">
      <c r="AH2023" s="6">
        <f t="shared" si="323"/>
        <v>1993</v>
      </c>
      <c r="AI2023" s="7">
        <f t="shared" ca="1" si="324"/>
        <v>44663</v>
      </c>
      <c r="AJ2023" s="210">
        <f t="shared" ca="1" si="325"/>
        <v>4.1749999999999998</v>
      </c>
      <c r="AK2023" s="8">
        <f t="shared" ca="1" si="326"/>
        <v>1.0001159722222221</v>
      </c>
      <c r="AL2023" s="98">
        <f t="shared" ca="1" si="327"/>
        <v>4.0048827203386761</v>
      </c>
      <c r="AM2023" s="106">
        <f t="shared" ca="1" si="321"/>
        <v>30875.655401150249</v>
      </c>
      <c r="AN2023" s="10">
        <f t="shared" ca="1" si="322"/>
        <v>0.96225748201026473</v>
      </c>
      <c r="AO2023" s="158"/>
      <c r="AP2023" s="158"/>
      <c r="AQ2023" s="1"/>
      <c r="AR2023" s="1"/>
      <c r="AS2023" s="1"/>
      <c r="AT2023" s="1"/>
      <c r="AU2023" s="1"/>
    </row>
    <row r="2024" spans="34:47">
      <c r="AH2024" s="6">
        <f t="shared" si="323"/>
        <v>1994</v>
      </c>
      <c r="AI2024" s="7">
        <f t="shared" ca="1" si="324"/>
        <v>44664</v>
      </c>
      <c r="AJ2024" s="210">
        <f t="shared" ca="1" si="325"/>
        <v>4.1749999999999998</v>
      </c>
      <c r="AK2024" s="8">
        <f t="shared" ca="1" si="326"/>
        <v>1.0001159722222221</v>
      </c>
      <c r="AL2024" s="98">
        <f t="shared" ca="1" si="327"/>
        <v>4.0050423134746271</v>
      </c>
      <c r="AM2024" s="106">
        <f t="shared" ca="1" si="321"/>
        <v>30878.199600518037</v>
      </c>
      <c r="AN2024" s="10">
        <f t="shared" ca="1" si="322"/>
        <v>0.96239295263473856</v>
      </c>
      <c r="AO2024" s="158"/>
      <c r="AP2024" s="158"/>
      <c r="AQ2024" s="1"/>
      <c r="AR2024" s="1"/>
      <c r="AS2024" s="1"/>
      <c r="AT2024" s="1"/>
      <c r="AU2024" s="1"/>
    </row>
    <row r="2025" spans="34:47">
      <c r="AH2025" s="6">
        <f t="shared" si="323"/>
        <v>1995</v>
      </c>
      <c r="AI2025" s="7">
        <f t="shared" ca="1" si="324"/>
        <v>44665</v>
      </c>
      <c r="AJ2025" s="210">
        <f t="shared" ca="1" si="325"/>
        <v>4.1749999999999998</v>
      </c>
      <c r="AK2025" s="8">
        <f t="shared" ca="1" si="326"/>
        <v>1.0001159722222221</v>
      </c>
      <c r="AL2025" s="98">
        <f t="shared" ca="1" si="327"/>
        <v>4.005201746861986</v>
      </c>
      <c r="AM2025" s="106">
        <f t="shared" ca="1" si="321"/>
        <v>30880.744009531594</v>
      </c>
      <c r="AN2025" s="10">
        <f t="shared" ca="1" si="322"/>
        <v>0.96252828763059295</v>
      </c>
      <c r="AO2025" s="158"/>
      <c r="AP2025" s="158"/>
      <c r="AQ2025" s="1"/>
      <c r="AR2025" s="1"/>
      <c r="AS2025" s="1"/>
      <c r="AT2025" s="1"/>
      <c r="AU2025" s="1"/>
    </row>
    <row r="2026" spans="34:47">
      <c r="AH2026" s="6">
        <f t="shared" si="323"/>
        <v>1996</v>
      </c>
      <c r="AI2026" s="7">
        <f t="shared" ca="1" si="324"/>
        <v>44666</v>
      </c>
      <c r="AJ2026" s="210">
        <f t="shared" ca="1" si="325"/>
        <v>4.1749999999999998</v>
      </c>
      <c r="AK2026" s="8">
        <f t="shared" ca="1" si="326"/>
        <v>1.0001159722222221</v>
      </c>
      <c r="AL2026" s="98">
        <f t="shared" ca="1" si="327"/>
        <v>4.0053610207404722</v>
      </c>
      <c r="AM2026" s="106">
        <f t="shared" ca="1" si="321"/>
        <v>30883.288628208185</v>
      </c>
      <c r="AN2026" s="10">
        <f t="shared" ca="1" si="322"/>
        <v>0.96266348720135397</v>
      </c>
      <c r="AO2026" s="158"/>
      <c r="AP2026" s="158"/>
      <c r="AQ2026" s="1"/>
      <c r="AR2026" s="1"/>
      <c r="AS2026" s="1"/>
      <c r="AT2026" s="1"/>
      <c r="AU2026" s="1"/>
    </row>
    <row r="2027" spans="34:47">
      <c r="AH2027" s="6">
        <f t="shared" si="323"/>
        <v>1997</v>
      </c>
      <c r="AI2027" s="7">
        <f t="shared" ca="1" si="324"/>
        <v>44667</v>
      </c>
      <c r="AJ2027" s="210">
        <f t="shared" ca="1" si="325"/>
        <v>4.1749999999999998</v>
      </c>
      <c r="AK2027" s="8">
        <f t="shared" ca="1" si="326"/>
        <v>1.0001159722222221</v>
      </c>
      <c r="AL2027" s="98">
        <f t="shared" ca="1" si="327"/>
        <v>4.0055201353493608</v>
      </c>
      <c r="AM2027" s="106">
        <f t="shared" ca="1" si="321"/>
        <v>30885.833456565102</v>
      </c>
      <c r="AN2027" s="10">
        <f t="shared" ca="1" si="322"/>
        <v>0.96279855155021465</v>
      </c>
      <c r="AO2027" s="158"/>
      <c r="AP2027" s="158"/>
      <c r="AQ2027" s="1"/>
      <c r="AR2027" s="1"/>
      <c r="AS2027" s="1"/>
      <c r="AT2027" s="1"/>
      <c r="AU2027" s="1"/>
    </row>
    <row r="2028" spans="34:47">
      <c r="AH2028" s="6">
        <f t="shared" si="323"/>
        <v>1998</v>
      </c>
      <c r="AI2028" s="7">
        <f t="shared" ca="1" si="324"/>
        <v>44668</v>
      </c>
      <c r="AJ2028" s="210">
        <f t="shared" ca="1" si="325"/>
        <v>4.1749999999999998</v>
      </c>
      <c r="AK2028" s="8">
        <f t="shared" ca="1" si="326"/>
        <v>1.0001159722222221</v>
      </c>
      <c r="AL2028" s="98">
        <f t="shared" ca="1" si="327"/>
        <v>4.0056790909274387</v>
      </c>
      <c r="AM2028" s="106">
        <f t="shared" ca="1" si="321"/>
        <v>30888.37849461961</v>
      </c>
      <c r="AN2028" s="10">
        <f t="shared" ca="1" si="322"/>
        <v>0.96293348087994612</v>
      </c>
      <c r="AO2028" s="158"/>
      <c r="AP2028" s="158"/>
      <c r="AQ2028" s="1"/>
      <c r="AR2028" s="1"/>
      <c r="AS2028" s="1"/>
      <c r="AT2028" s="1"/>
      <c r="AU2028" s="1"/>
    </row>
    <row r="2029" spans="34:47">
      <c r="AH2029" s="6">
        <f t="shared" si="323"/>
        <v>1999</v>
      </c>
      <c r="AI2029" s="7">
        <f t="shared" ca="1" si="324"/>
        <v>44669</v>
      </c>
      <c r="AJ2029" s="210">
        <f t="shared" ca="1" si="325"/>
        <v>4.1749999999999998</v>
      </c>
      <c r="AK2029" s="8">
        <f t="shared" ca="1" si="326"/>
        <v>1.0001159722222221</v>
      </c>
      <c r="AL2029" s="98">
        <f t="shared" ca="1" si="327"/>
        <v>4.0058378877129819</v>
      </c>
      <c r="AM2029" s="106">
        <f t="shared" ca="1" si="321"/>
        <v>30890.923742388997</v>
      </c>
      <c r="AN2029" s="10">
        <f t="shared" ca="1" si="322"/>
        <v>0.96306827539289763</v>
      </c>
      <c r="AO2029" s="158"/>
      <c r="AP2029" s="158"/>
      <c r="AQ2029" s="1"/>
      <c r="AR2029" s="1"/>
      <c r="AS2029" s="1"/>
      <c r="AT2029" s="1"/>
      <c r="AU2029" s="1"/>
    </row>
    <row r="2030" spans="34:47">
      <c r="AH2030" s="6">
        <f t="shared" si="323"/>
        <v>2000</v>
      </c>
      <c r="AI2030" s="7">
        <f t="shared" ca="1" si="324"/>
        <v>44670</v>
      </c>
      <c r="AJ2030" s="210">
        <f t="shared" ca="1" si="325"/>
        <v>4.1749999999999998</v>
      </c>
      <c r="AK2030" s="8">
        <f t="shared" ca="1" si="326"/>
        <v>1.0001159722222221</v>
      </c>
      <c r="AL2030" s="98">
        <f t="shared" ca="1" si="327"/>
        <v>4.0059965259438224</v>
      </c>
      <c r="AM2030" s="106">
        <f t="shared" ca="1" si="321"/>
        <v>30893.46919989054</v>
      </c>
      <c r="AN2030" s="10">
        <f t="shared" ca="1" si="322"/>
        <v>0.96320293529101875</v>
      </c>
      <c r="AO2030" s="158"/>
      <c r="AP2030" s="158"/>
      <c r="AQ2030" s="1"/>
      <c r="AR2030" s="1"/>
      <c r="AS2030" s="1"/>
      <c r="AT2030" s="1"/>
      <c r="AU2030" s="1"/>
    </row>
    <row r="2031" spans="34:47">
      <c r="AH2031" s="6">
        <f t="shared" si="323"/>
        <v>2001</v>
      </c>
      <c r="AI2031" s="7">
        <f t="shared" ca="1" si="324"/>
        <v>44671</v>
      </c>
      <c r="AJ2031" s="210">
        <f t="shared" ca="1" si="325"/>
        <v>4.1749999999999998</v>
      </c>
      <c r="AK2031" s="8">
        <f t="shared" ca="1" si="326"/>
        <v>1.0001159722222221</v>
      </c>
      <c r="AL2031" s="98">
        <f t="shared" ca="1" si="327"/>
        <v>4.0061550058573259</v>
      </c>
      <c r="AM2031" s="106">
        <f t="shared" ca="1" si="321"/>
        <v>30896.014867141515</v>
      </c>
      <c r="AN2031" s="10">
        <f t="shared" ca="1" si="322"/>
        <v>0.96333746077590376</v>
      </c>
      <c r="AO2031" s="158"/>
      <c r="AP2031" s="158"/>
      <c r="AQ2031" s="1"/>
      <c r="AR2031" s="1"/>
      <c r="AS2031" s="1"/>
      <c r="AT2031" s="1"/>
      <c r="AU2031" s="1"/>
    </row>
    <row r="2032" spans="34:47">
      <c r="AH2032" s="6">
        <f t="shared" si="323"/>
        <v>2002</v>
      </c>
      <c r="AI2032" s="7">
        <f t="shared" ca="1" si="324"/>
        <v>44672</v>
      </c>
      <c r="AJ2032" s="210">
        <f t="shared" ca="1" si="325"/>
        <v>4.1749999999999998</v>
      </c>
      <c r="AK2032" s="8">
        <f t="shared" ca="1" si="326"/>
        <v>1.0001159722222221</v>
      </c>
      <c r="AL2032" s="98">
        <f t="shared" ca="1" si="327"/>
        <v>4.0063133276903695</v>
      </c>
      <c r="AM2032" s="106">
        <f t="shared" ca="1" si="321"/>
        <v>30898.560744159211</v>
      </c>
      <c r="AN2032" s="10">
        <f t="shared" ca="1" si="322"/>
        <v>0.96347185204865848</v>
      </c>
      <c r="AO2032" s="158"/>
      <c r="AP2032" s="158"/>
      <c r="AQ2032" s="1"/>
      <c r="AR2032" s="1"/>
      <c r="AS2032" s="1"/>
      <c r="AT2032" s="1"/>
      <c r="AU2032" s="1"/>
    </row>
    <row r="2033" spans="34:47">
      <c r="AH2033" s="6">
        <f t="shared" si="323"/>
        <v>2003</v>
      </c>
      <c r="AI2033" s="7">
        <f t="shared" ca="1" si="324"/>
        <v>44673</v>
      </c>
      <c r="AJ2033" s="210">
        <f t="shared" ca="1" si="325"/>
        <v>4.1749999999999998</v>
      </c>
      <c r="AK2033" s="8">
        <f t="shared" ca="1" si="326"/>
        <v>1.0001159722222221</v>
      </c>
      <c r="AL2033" s="98">
        <f t="shared" ca="1" si="327"/>
        <v>4.006471491679342</v>
      </c>
      <c r="AM2033" s="106">
        <f t="shared" ca="1" si="321"/>
        <v>30901.106830960918</v>
      </c>
      <c r="AN2033" s="10">
        <f t="shared" ca="1" si="322"/>
        <v>0.96360610931003343</v>
      </c>
      <c r="AO2033" s="158"/>
      <c r="AP2033" s="158"/>
      <c r="AQ2033" s="1"/>
      <c r="AR2033" s="1"/>
      <c r="AS2033" s="1"/>
      <c r="AT2033" s="1"/>
      <c r="AU2033" s="1"/>
    </row>
    <row r="2034" spans="34:47">
      <c r="AH2034" s="6">
        <f t="shared" si="323"/>
        <v>2004</v>
      </c>
      <c r="AI2034" s="7">
        <f t="shared" ca="1" si="324"/>
        <v>44674</v>
      </c>
      <c r="AJ2034" s="210">
        <f t="shared" ca="1" si="325"/>
        <v>4.1749999999999998</v>
      </c>
      <c r="AK2034" s="8">
        <f t="shared" ca="1" si="326"/>
        <v>1.0001159722222221</v>
      </c>
      <c r="AL2034" s="98">
        <f t="shared" ca="1" si="327"/>
        <v>4.006629498060188</v>
      </c>
      <c r="AM2034" s="106">
        <f t="shared" ca="1" si="321"/>
        <v>30903.653127563917</v>
      </c>
      <c r="AN2034" s="10">
        <f t="shared" ca="1" si="322"/>
        <v>0.96374023276040166</v>
      </c>
      <c r="AO2034" s="158"/>
      <c r="AP2034" s="158"/>
      <c r="AQ2034" s="1"/>
      <c r="AR2034" s="1"/>
      <c r="AS2034" s="1"/>
      <c r="AT2034" s="1"/>
      <c r="AU2034" s="1"/>
    </row>
    <row r="2035" spans="34:47">
      <c r="AH2035" s="6">
        <f t="shared" si="323"/>
        <v>2005</v>
      </c>
      <c r="AI2035" s="7">
        <f t="shared" ca="1" si="324"/>
        <v>44675</v>
      </c>
      <c r="AJ2035" s="210">
        <f t="shared" ca="1" si="325"/>
        <v>4.1749999999999998</v>
      </c>
      <c r="AK2035" s="8">
        <f t="shared" ca="1" si="326"/>
        <v>1.0001159722222221</v>
      </c>
      <c r="AL2035" s="98">
        <f t="shared" ca="1" si="327"/>
        <v>4.0067873470683635</v>
      </c>
      <c r="AM2035" s="106">
        <f t="shared" ca="1" si="321"/>
        <v>30906.1996339855</v>
      </c>
      <c r="AN2035" s="10">
        <f t="shared" ca="1" si="322"/>
        <v>0.96387422259969213</v>
      </c>
      <c r="AO2035" s="158"/>
      <c r="AP2035" s="158"/>
      <c r="AQ2035" s="1"/>
      <c r="AR2035" s="1"/>
      <c r="AS2035" s="1"/>
      <c r="AT2035" s="1"/>
      <c r="AU2035" s="1"/>
    </row>
    <row r="2036" spans="34:47">
      <c r="AH2036" s="6">
        <f t="shared" si="323"/>
        <v>2006</v>
      </c>
      <c r="AI2036" s="7">
        <f t="shared" ca="1" si="324"/>
        <v>44676</v>
      </c>
      <c r="AJ2036" s="210">
        <f t="shared" ca="1" si="325"/>
        <v>4.1749999999999998</v>
      </c>
      <c r="AK2036" s="8">
        <f t="shared" ca="1" si="326"/>
        <v>1.0001159722222221</v>
      </c>
      <c r="AL2036" s="98">
        <f t="shared" ca="1" si="327"/>
        <v>4.0069450389388805</v>
      </c>
      <c r="AM2036" s="106">
        <f t="shared" ca="1" si="321"/>
        <v>30908.746350242953</v>
      </c>
      <c r="AN2036" s="10">
        <f t="shared" ca="1" si="322"/>
        <v>0.96400807902747854</v>
      </c>
      <c r="AO2036" s="158"/>
      <c r="AP2036" s="158"/>
      <c r="AQ2036" s="1"/>
      <c r="AR2036" s="1"/>
      <c r="AS2036" s="1"/>
      <c r="AT2036" s="1"/>
      <c r="AU2036" s="1"/>
    </row>
    <row r="2037" spans="34:47">
      <c r="AH2037" s="6">
        <f t="shared" si="323"/>
        <v>2007</v>
      </c>
      <c r="AI2037" s="7">
        <f t="shared" ca="1" si="324"/>
        <v>44677</v>
      </c>
      <c r="AJ2037" s="210">
        <f t="shared" ca="1" si="325"/>
        <v>4.1749999999999998</v>
      </c>
      <c r="AK2037" s="8">
        <f t="shared" ca="1" si="326"/>
        <v>1.0001159722222221</v>
      </c>
      <c r="AL2037" s="98">
        <f t="shared" ca="1" si="327"/>
        <v>4.0071025739062405</v>
      </c>
      <c r="AM2037" s="106">
        <f t="shared" ca="1" si="321"/>
        <v>30911.293276353561</v>
      </c>
      <c r="AN2037" s="10">
        <f t="shared" ca="1" si="322"/>
        <v>0.96414180224289048</v>
      </c>
      <c r="AO2037" s="158"/>
      <c r="AP2037" s="158"/>
      <c r="AQ2037" s="1"/>
      <c r="AR2037" s="1"/>
      <c r="AS2037" s="1"/>
      <c r="AT2037" s="1"/>
      <c r="AU2037" s="1"/>
    </row>
    <row r="2038" spans="34:47">
      <c r="AH2038" s="6">
        <f t="shared" si="323"/>
        <v>2008</v>
      </c>
      <c r="AI2038" s="7">
        <f t="shared" ca="1" si="324"/>
        <v>44678</v>
      </c>
      <c r="AJ2038" s="210">
        <f t="shared" ca="1" si="325"/>
        <v>4.1749999999999998</v>
      </c>
      <c r="AK2038" s="8">
        <f t="shared" ca="1" si="326"/>
        <v>1.0001159722222221</v>
      </c>
      <c r="AL2038" s="98">
        <f t="shared" ca="1" si="327"/>
        <v>4.0072599522045227</v>
      </c>
      <c r="AM2038" s="106">
        <f t="shared" ca="1" si="321"/>
        <v>30913.840412334626</v>
      </c>
      <c r="AN2038" s="10">
        <f t="shared" ca="1" si="322"/>
        <v>0.96427539244468008</v>
      </c>
      <c r="AO2038" s="158"/>
      <c r="AP2038" s="158"/>
      <c r="AQ2038" s="1"/>
      <c r="AR2038" s="1"/>
      <c r="AS2038" s="1"/>
      <c r="AT2038" s="1"/>
      <c r="AU2038" s="1"/>
    </row>
    <row r="2039" spans="34:47">
      <c r="AH2039" s="6">
        <f t="shared" si="323"/>
        <v>2009</v>
      </c>
      <c r="AI2039" s="7">
        <f t="shared" ca="1" si="324"/>
        <v>44679</v>
      </c>
      <c r="AJ2039" s="210">
        <f t="shared" ca="1" si="325"/>
        <v>4.1749999999999998</v>
      </c>
      <c r="AK2039" s="8">
        <f t="shared" ca="1" si="326"/>
        <v>1.0001159722222221</v>
      </c>
      <c r="AL2039" s="98">
        <f t="shared" ca="1" si="327"/>
        <v>4.0074171740673181</v>
      </c>
      <c r="AM2039" s="106">
        <f t="shared" ca="1" si="321"/>
        <v>30916.38775820344</v>
      </c>
      <c r="AN2039" s="10">
        <f t="shared" ca="1" si="322"/>
        <v>0.9644088498312442</v>
      </c>
      <c r="AO2039" s="158"/>
      <c r="AP2039" s="158"/>
      <c r="AQ2039" s="1"/>
      <c r="AR2039" s="1"/>
      <c r="AS2039" s="1"/>
      <c r="AT2039" s="1"/>
      <c r="AU2039" s="1"/>
    </row>
    <row r="2040" spans="34:47">
      <c r="AH2040" s="6">
        <f t="shared" si="323"/>
        <v>2010</v>
      </c>
      <c r="AI2040" s="7">
        <f t="shared" ca="1" si="324"/>
        <v>44680</v>
      </c>
      <c r="AJ2040" s="210">
        <f t="shared" ca="1" si="325"/>
        <v>4.1749999999999998</v>
      </c>
      <c r="AK2040" s="8">
        <f t="shared" ca="1" si="326"/>
        <v>1.0001159722222221</v>
      </c>
      <c r="AL2040" s="98">
        <f t="shared" ca="1" si="327"/>
        <v>4.0075742397277514</v>
      </c>
      <c r="AM2040" s="106">
        <f t="shared" ca="1" si="321"/>
        <v>30918.935313977297</v>
      </c>
      <c r="AN2040" s="10">
        <f t="shared" ca="1" si="322"/>
        <v>0.9645421746005356</v>
      </c>
      <c r="AO2040" s="158"/>
      <c r="AP2040" s="158"/>
      <c r="AQ2040" s="1"/>
      <c r="AR2040" s="1"/>
      <c r="AS2040" s="1"/>
      <c r="AT2040" s="1"/>
      <c r="AU2040" s="1"/>
    </row>
    <row r="2041" spans="34:47">
      <c r="AH2041" s="6">
        <f t="shared" si="323"/>
        <v>2011</v>
      </c>
      <c r="AI2041" s="7">
        <f t="shared" ca="1" si="324"/>
        <v>44681</v>
      </c>
      <c r="AJ2041" s="210">
        <f t="shared" ca="1" si="325"/>
        <v>4.1749999999999998</v>
      </c>
      <c r="AK2041" s="8">
        <f t="shared" ca="1" si="326"/>
        <v>1.0001159722222221</v>
      </c>
      <c r="AL2041" s="98">
        <f t="shared" ca="1" si="327"/>
        <v>4.0077311494185031</v>
      </c>
      <c r="AM2041" s="106">
        <f t="shared" ca="1" si="321"/>
        <v>30921.483079673486</v>
      </c>
      <c r="AN2041" s="10">
        <f t="shared" ca="1" si="322"/>
        <v>0.96467536695012956</v>
      </c>
      <c r="AO2041" s="158"/>
      <c r="AP2041" s="158"/>
      <c r="AQ2041" s="1"/>
      <c r="AR2041" s="1"/>
      <c r="AS2041" s="1"/>
      <c r="AT2041" s="1"/>
      <c r="AU2041" s="1"/>
    </row>
    <row r="2042" spans="34:47">
      <c r="AH2042" s="6">
        <f t="shared" si="323"/>
        <v>2012</v>
      </c>
      <c r="AI2042" s="7">
        <f t="shared" ca="1" si="324"/>
        <v>44682</v>
      </c>
      <c r="AJ2042" s="210">
        <f t="shared" ca="1" si="325"/>
        <v>4.1749999999999998</v>
      </c>
      <c r="AK2042" s="8">
        <f t="shared" ca="1" si="326"/>
        <v>1.0001159722222221</v>
      </c>
      <c r="AL2042" s="98">
        <f t="shared" ca="1" si="327"/>
        <v>4.0078879033717651</v>
      </c>
      <c r="AM2042" s="106">
        <f t="shared" ca="1" si="321"/>
        <v>30924.031055309319</v>
      </c>
      <c r="AN2042" s="10">
        <f t="shared" ca="1" si="322"/>
        <v>0.96480842707717951</v>
      </c>
      <c r="AO2042" s="158"/>
      <c r="AP2042" s="158"/>
      <c r="AQ2042" s="1"/>
      <c r="AR2042" s="1"/>
      <c r="AS2042" s="1"/>
      <c r="AT2042" s="1"/>
      <c r="AU2042" s="1"/>
    </row>
    <row r="2043" spans="34:47">
      <c r="AH2043" s="6">
        <f t="shared" si="323"/>
        <v>2013</v>
      </c>
      <c r="AI2043" s="7">
        <f t="shared" ca="1" si="324"/>
        <v>44683</v>
      </c>
      <c r="AJ2043" s="210">
        <f t="shared" ca="1" si="325"/>
        <v>4.1749999999999998</v>
      </c>
      <c r="AK2043" s="8">
        <f t="shared" ca="1" si="326"/>
        <v>1.0001159722222221</v>
      </c>
      <c r="AL2043" s="98">
        <f t="shared" ca="1" si="327"/>
        <v>4.0080445018193078</v>
      </c>
      <c r="AM2043" s="106">
        <f t="shared" ca="1" si="321"/>
        <v>30926.579240902083</v>
      </c>
      <c r="AN2043" s="10">
        <f t="shared" ca="1" si="322"/>
        <v>0.96494135517852797</v>
      </c>
      <c r="AO2043" s="158"/>
      <c r="AP2043" s="158"/>
      <c r="AQ2043" s="1"/>
      <c r="AR2043" s="1"/>
      <c r="AS2043" s="1"/>
      <c r="AT2043" s="1"/>
      <c r="AU2043" s="1"/>
    </row>
    <row r="2044" spans="34:47">
      <c r="AH2044" s="6">
        <f t="shared" si="323"/>
        <v>2014</v>
      </c>
      <c r="AI2044" s="7">
        <f t="shared" ca="1" si="324"/>
        <v>44684</v>
      </c>
      <c r="AJ2044" s="210">
        <f t="shared" ca="1" si="325"/>
        <v>4.1749999999999998</v>
      </c>
      <c r="AK2044" s="8">
        <f t="shared" ca="1" si="326"/>
        <v>1.0001159722222221</v>
      </c>
      <c r="AL2044" s="98">
        <f t="shared" ca="1" si="327"/>
        <v>4.0082009449923905</v>
      </c>
      <c r="AM2044" s="106">
        <f t="shared" ca="1" si="321"/>
        <v>30929.127636469089</v>
      </c>
      <c r="AN2044" s="10">
        <f t="shared" ca="1" si="322"/>
        <v>0.9650741514505512</v>
      </c>
      <c r="AO2044" s="158"/>
      <c r="AP2044" s="158"/>
      <c r="AQ2044" s="1"/>
      <c r="AR2044" s="1"/>
      <c r="AS2044" s="1"/>
      <c r="AT2044" s="1"/>
      <c r="AU2044" s="1"/>
    </row>
    <row r="2045" spans="34:47">
      <c r="AH2045" s="6">
        <f t="shared" si="323"/>
        <v>2015</v>
      </c>
      <c r="AI2045" s="7">
        <f t="shared" ca="1" si="324"/>
        <v>44685</v>
      </c>
      <c r="AJ2045" s="210">
        <f t="shared" ca="1" si="325"/>
        <v>4.1749999999999998</v>
      </c>
      <c r="AK2045" s="8">
        <f t="shared" ca="1" si="326"/>
        <v>1.0001159722222221</v>
      </c>
      <c r="AL2045" s="98">
        <f t="shared" ca="1" si="327"/>
        <v>4.0083572331218509</v>
      </c>
      <c r="AM2045" s="106">
        <f t="shared" ca="1" si="321"/>
        <v>30931.676242027628</v>
      </c>
      <c r="AN2045" s="10">
        <f t="shared" ca="1" si="322"/>
        <v>0.96520681608924797</v>
      </c>
      <c r="AO2045" s="158"/>
      <c r="AP2045" s="158"/>
      <c r="AQ2045" s="1"/>
      <c r="AR2045" s="1"/>
      <c r="AS2045" s="1"/>
      <c r="AT2045" s="1"/>
      <c r="AU2045" s="1"/>
    </row>
    <row r="2046" spans="34:47">
      <c r="AH2046" s="6">
        <f t="shared" si="323"/>
        <v>2016</v>
      </c>
      <c r="AI2046" s="7">
        <f t="shared" ca="1" si="324"/>
        <v>44686</v>
      </c>
      <c r="AJ2046" s="210">
        <f t="shared" ca="1" si="325"/>
        <v>4.1749999999999998</v>
      </c>
      <c r="AK2046" s="8">
        <f t="shared" ca="1" si="326"/>
        <v>1.0001159722222221</v>
      </c>
      <c r="AL2046" s="98">
        <f t="shared" ca="1" si="327"/>
        <v>4.0085133664380601</v>
      </c>
      <c r="AM2046" s="106">
        <f t="shared" ca="1" si="321"/>
        <v>30934.225057595013</v>
      </c>
      <c r="AN2046" s="10">
        <f t="shared" ca="1" si="322"/>
        <v>0.96533934929026177</v>
      </c>
      <c r="AO2046" s="158"/>
      <c r="AP2046" s="158"/>
      <c r="AQ2046" s="1"/>
      <c r="AR2046" s="1"/>
      <c r="AS2046" s="1"/>
      <c r="AT2046" s="1"/>
      <c r="AU2046" s="1"/>
    </row>
    <row r="2047" spans="34:47">
      <c r="AH2047" s="6">
        <f t="shared" si="323"/>
        <v>2017</v>
      </c>
      <c r="AI2047" s="7">
        <f t="shared" ca="1" si="324"/>
        <v>44687</v>
      </c>
      <c r="AJ2047" s="210">
        <f t="shared" ca="1" si="325"/>
        <v>4.1749999999999998</v>
      </c>
      <c r="AK2047" s="8">
        <f t="shared" ca="1" si="326"/>
        <v>1.0001159722222221</v>
      </c>
      <c r="AL2047" s="98">
        <f t="shared" ca="1" si="327"/>
        <v>4.0086693451709454</v>
      </c>
      <c r="AM2047" s="106">
        <f t="shared" ca="1" si="321"/>
        <v>30936.774083188546</v>
      </c>
      <c r="AN2047" s="10">
        <f t="shared" ca="1" si="322"/>
        <v>0.96547175124883644</v>
      </c>
      <c r="AO2047" s="158"/>
      <c r="AP2047" s="158"/>
      <c r="AQ2047" s="1"/>
      <c r="AR2047" s="1"/>
      <c r="AS2047" s="1"/>
      <c r="AT2047" s="1"/>
      <c r="AU2047" s="1"/>
    </row>
    <row r="2048" spans="34:47">
      <c r="AH2048" s="6">
        <f t="shared" si="323"/>
        <v>2018</v>
      </c>
      <c r="AI2048" s="7">
        <f t="shared" ca="1" si="324"/>
        <v>44688</v>
      </c>
      <c r="AJ2048" s="210">
        <f t="shared" ca="1" si="325"/>
        <v>4.1749999999999998</v>
      </c>
      <c r="AK2048" s="8">
        <f t="shared" ca="1" si="326"/>
        <v>1.0001159722222221</v>
      </c>
      <c r="AL2048" s="98">
        <f t="shared" ca="1" si="327"/>
        <v>4.0088251695499455</v>
      </c>
      <c r="AM2048" s="106">
        <f t="shared" ca="1" si="321"/>
        <v>30939.323318825529</v>
      </c>
      <c r="AN2048" s="10">
        <f t="shared" ca="1" si="322"/>
        <v>0.96560402215981611</v>
      </c>
      <c r="AO2048" s="158"/>
      <c r="AP2048" s="158"/>
      <c r="AQ2048" s="1"/>
      <c r="AR2048" s="1"/>
      <c r="AS2048" s="1"/>
      <c r="AT2048" s="1"/>
      <c r="AU2048" s="1"/>
    </row>
    <row r="2049" spans="34:47">
      <c r="AH2049" s="6">
        <f t="shared" si="323"/>
        <v>2019</v>
      </c>
      <c r="AI2049" s="7">
        <f t="shared" ca="1" si="324"/>
        <v>44689</v>
      </c>
      <c r="AJ2049" s="210">
        <f t="shared" ca="1" si="325"/>
        <v>4.1749999999999998</v>
      </c>
      <c r="AK2049" s="8">
        <f t="shared" ca="1" si="326"/>
        <v>1.0001159722222221</v>
      </c>
      <c r="AL2049" s="98">
        <f t="shared" ca="1" si="327"/>
        <v>4.0089808398040772</v>
      </c>
      <c r="AM2049" s="106">
        <f t="shared" ca="1" si="321"/>
        <v>30941.872764523279</v>
      </c>
      <c r="AN2049" s="10">
        <f t="shared" ca="1" si="322"/>
        <v>0.96573616221764524</v>
      </c>
      <c r="AO2049" s="158"/>
      <c r="AP2049" s="158"/>
      <c r="AQ2049" s="1"/>
      <c r="AR2049" s="1"/>
      <c r="AS2049" s="1"/>
      <c r="AT2049" s="1"/>
      <c r="AU2049" s="1"/>
    </row>
    <row r="2050" spans="34:47">
      <c r="AH2050" s="6">
        <f t="shared" si="323"/>
        <v>2020</v>
      </c>
      <c r="AI2050" s="7">
        <f t="shared" ca="1" si="324"/>
        <v>44690</v>
      </c>
      <c r="AJ2050" s="210">
        <f t="shared" ca="1" si="325"/>
        <v>4.1749999999999998</v>
      </c>
      <c r="AK2050" s="8">
        <f t="shared" ca="1" si="326"/>
        <v>1.0001159722222221</v>
      </c>
      <c r="AL2050" s="98">
        <f t="shared" ca="1" si="327"/>
        <v>4.0091363561618909</v>
      </c>
      <c r="AM2050" s="106">
        <f t="shared" ca="1" si="321"/>
        <v>30944.422420299095</v>
      </c>
      <c r="AN2050" s="10">
        <f t="shared" ca="1" si="322"/>
        <v>0.96586817161641303</v>
      </c>
      <c r="AO2050" s="158"/>
      <c r="AP2050" s="158"/>
      <c r="AQ2050" s="1"/>
      <c r="AR2050" s="1"/>
      <c r="AS2050" s="1"/>
      <c r="AT2050" s="1"/>
      <c r="AU2050" s="1"/>
    </row>
    <row r="2051" spans="34:47">
      <c r="AH2051" s="6">
        <f t="shared" si="323"/>
        <v>2021</v>
      </c>
      <c r="AI2051" s="7">
        <f t="shared" ca="1" si="324"/>
        <v>44691</v>
      </c>
      <c r="AJ2051" s="210">
        <f t="shared" ca="1" si="325"/>
        <v>4.1749999999999998</v>
      </c>
      <c r="AK2051" s="8">
        <f t="shared" ca="1" si="326"/>
        <v>1.0001159722222221</v>
      </c>
      <c r="AL2051" s="98">
        <f t="shared" ca="1" si="327"/>
        <v>4.0092917188514932</v>
      </c>
      <c r="AM2051" s="106">
        <f t="shared" ca="1" si="321"/>
        <v>30946.890029153012</v>
      </c>
      <c r="AN2051" s="10">
        <f t="shared" ca="1" si="322"/>
        <v>0.96604851878152598</v>
      </c>
      <c r="AO2051" s="158"/>
      <c r="AP2051" s="158"/>
      <c r="AQ2051" s="1"/>
      <c r="AR2051" s="1"/>
      <c r="AS2051" s="1"/>
      <c r="AT2051" s="1"/>
      <c r="AU2051" s="1"/>
    </row>
    <row r="2052" spans="34:47">
      <c r="AH2052" s="6">
        <f t="shared" si="323"/>
        <v>2022</v>
      </c>
      <c r="AI2052" s="7">
        <f t="shared" ca="1" si="324"/>
        <v>44692</v>
      </c>
      <c r="AJ2052" s="210">
        <f t="shared" ca="1" si="325"/>
        <v>4.1749999999999998</v>
      </c>
      <c r="AK2052" s="8">
        <f t="shared" ca="1" si="326"/>
        <v>1.0001159722222221</v>
      </c>
      <c r="AL2052" s="98">
        <f t="shared" ca="1" si="327"/>
        <v>4.0094469281005241</v>
      </c>
      <c r="AM2052" s="106">
        <f t="shared" ca="1" si="321"/>
        <v>30949.357834782088</v>
      </c>
      <c r="AN2052" s="10">
        <f t="shared" ca="1" si="322"/>
        <v>0.96622868788334149</v>
      </c>
      <c r="AO2052" s="158"/>
      <c r="AP2052" s="158"/>
      <c r="AQ2052" s="1"/>
      <c r="AR2052" s="1"/>
      <c r="AS2052" s="1"/>
      <c r="AT2052" s="1"/>
      <c r="AU2052" s="1"/>
    </row>
    <row r="2053" spans="34:47">
      <c r="AH2053" s="6">
        <f t="shared" si="323"/>
        <v>2023</v>
      </c>
      <c r="AI2053" s="7">
        <f t="shared" ca="1" si="324"/>
        <v>44693</v>
      </c>
      <c r="AJ2053" s="210">
        <f t="shared" ca="1" si="325"/>
        <v>4.1749999999999998</v>
      </c>
      <c r="AK2053" s="8">
        <f t="shared" ca="1" si="326"/>
        <v>1.0001159722222221</v>
      </c>
      <c r="AL2053" s="98">
        <f t="shared" ca="1" si="327"/>
        <v>4.0096019841361796</v>
      </c>
      <c r="AM2053" s="106">
        <f t="shared" ca="1" si="321"/>
        <v>30951.825837202003</v>
      </c>
      <c r="AN2053" s="10">
        <f t="shared" ca="1" si="322"/>
        <v>0.96640867918547091</v>
      </c>
      <c r="AO2053" s="158"/>
      <c r="AP2053" s="158"/>
      <c r="AQ2053" s="1"/>
      <c r="AR2053" s="1"/>
      <c r="AS2053" s="1"/>
      <c r="AT2053" s="1"/>
      <c r="AU2053" s="1"/>
    </row>
    <row r="2054" spans="34:47">
      <c r="AH2054" s="6">
        <f t="shared" si="323"/>
        <v>2024</v>
      </c>
      <c r="AI2054" s="7">
        <f t="shared" ca="1" si="324"/>
        <v>44694</v>
      </c>
      <c r="AJ2054" s="210">
        <f t="shared" ca="1" si="325"/>
        <v>4.1749999999999998</v>
      </c>
      <c r="AK2054" s="8">
        <f t="shared" ca="1" si="326"/>
        <v>1.0001159722222221</v>
      </c>
      <c r="AL2054" s="98">
        <f t="shared" ca="1" si="327"/>
        <v>4.009756887185234</v>
      </c>
      <c r="AM2054" s="106">
        <f t="shared" ca="1" si="321"/>
        <v>30954.294036428455</v>
      </c>
      <c r="AN2054" s="10">
        <f t="shared" ca="1" si="322"/>
        <v>0.96658849295099269</v>
      </c>
      <c r="AO2054" s="158"/>
      <c r="AP2054" s="158"/>
      <c r="AQ2054" s="1"/>
      <c r="AR2054" s="1"/>
      <c r="AS2054" s="1"/>
      <c r="AT2054" s="1"/>
      <c r="AU2054" s="1"/>
    </row>
    <row r="2055" spans="34:47">
      <c r="AH2055" s="6">
        <f t="shared" si="323"/>
        <v>2025</v>
      </c>
      <c r="AI2055" s="7">
        <f t="shared" ca="1" si="324"/>
        <v>44695</v>
      </c>
      <c r="AJ2055" s="210">
        <f t="shared" ca="1" si="325"/>
        <v>4.1749999999999998</v>
      </c>
      <c r="AK2055" s="8">
        <f t="shared" ca="1" si="326"/>
        <v>1.0001159722222221</v>
      </c>
      <c r="AL2055" s="98">
        <f t="shared" ca="1" si="327"/>
        <v>4.0099116374739729</v>
      </c>
      <c r="AM2055" s="106">
        <f t="shared" ca="1" si="321"/>
        <v>30956.762432477135</v>
      </c>
      <c r="AN2055" s="10">
        <f t="shared" ca="1" si="322"/>
        <v>0.96676812944240798</v>
      </c>
      <c r="AO2055" s="158"/>
      <c r="AP2055" s="158"/>
      <c r="AQ2055" s="1"/>
      <c r="AR2055" s="1"/>
      <c r="AS2055" s="1"/>
      <c r="AT2055" s="1"/>
      <c r="AU2055" s="1"/>
    </row>
    <row r="2056" spans="34:47">
      <c r="AH2056" s="6">
        <f t="shared" si="323"/>
        <v>2026</v>
      </c>
      <c r="AI2056" s="7">
        <f t="shared" ca="1" si="324"/>
        <v>44696</v>
      </c>
      <c r="AJ2056" s="210">
        <f t="shared" ca="1" si="325"/>
        <v>4.1749999999999998</v>
      </c>
      <c r="AK2056" s="8">
        <f t="shared" ca="1" si="326"/>
        <v>1.0001159722222221</v>
      </c>
      <c r="AL2056" s="98">
        <f t="shared" ca="1" si="327"/>
        <v>4.0100662352282601</v>
      </c>
      <c r="AM2056" s="106">
        <f t="shared" ca="1" si="321"/>
        <v>30959.231025363748</v>
      </c>
      <c r="AN2056" s="10">
        <f t="shared" ca="1" si="322"/>
        <v>0.96694758892177379</v>
      </c>
      <c r="AO2056" s="158"/>
      <c r="AP2056" s="158"/>
      <c r="AQ2056" s="1"/>
      <c r="AR2056" s="1"/>
      <c r="AS2056" s="1"/>
      <c r="AT2056" s="1"/>
      <c r="AU2056" s="1"/>
    </row>
    <row r="2057" spans="34:47">
      <c r="AH2057" s="6">
        <f t="shared" si="323"/>
        <v>2027</v>
      </c>
      <c r="AI2057" s="7">
        <f t="shared" ca="1" si="324"/>
        <v>44697</v>
      </c>
      <c r="AJ2057" s="210">
        <f t="shared" ca="1" si="325"/>
        <v>4.1749999999999998</v>
      </c>
      <c r="AK2057" s="8">
        <f t="shared" ca="1" si="326"/>
        <v>1.0001159722222221</v>
      </c>
      <c r="AL2057" s="98">
        <f t="shared" ca="1" si="327"/>
        <v>4.0102206806735152</v>
      </c>
      <c r="AM2057" s="106">
        <f t="shared" ca="1" si="321"/>
        <v>30961.699815103981</v>
      </c>
      <c r="AN2057" s="10">
        <f t="shared" ca="1" si="322"/>
        <v>0.96712687165059208</v>
      </c>
      <c r="AO2057" s="158"/>
      <c r="AP2057" s="158"/>
      <c r="AQ2057" s="1"/>
      <c r="AR2057" s="1"/>
      <c r="AS2057" s="1"/>
      <c r="AT2057" s="1"/>
      <c r="AU2057" s="1"/>
    </row>
    <row r="2058" spans="34:47">
      <c r="AH2058" s="6">
        <f t="shared" si="323"/>
        <v>2028</v>
      </c>
      <c r="AI2058" s="7">
        <f t="shared" ca="1" si="324"/>
        <v>44698</v>
      </c>
      <c r="AJ2058" s="210">
        <f t="shared" ca="1" si="325"/>
        <v>4.1749999999999998</v>
      </c>
      <c r="AK2058" s="8">
        <f t="shared" ca="1" si="326"/>
        <v>1.0001159722222221</v>
      </c>
      <c r="AL2058" s="98">
        <f t="shared" ca="1" si="327"/>
        <v>4.0103749740347139</v>
      </c>
      <c r="AM2058" s="106">
        <f t="shared" ca="1" si="321"/>
        <v>30964.168801713535</v>
      </c>
      <c r="AN2058" s="10">
        <f t="shared" ca="1" si="322"/>
        <v>0.96730597788987627</v>
      </c>
      <c r="AO2058" s="158"/>
      <c r="AP2058" s="158"/>
      <c r="AQ2058" s="1"/>
      <c r="AR2058" s="1"/>
      <c r="AS2058" s="1"/>
      <c r="AT2058" s="1"/>
      <c r="AU2058" s="1"/>
    </row>
    <row r="2059" spans="34:47">
      <c r="AH2059" s="6">
        <f t="shared" si="323"/>
        <v>2029</v>
      </c>
      <c r="AI2059" s="7">
        <f t="shared" ca="1" si="324"/>
        <v>44699</v>
      </c>
      <c r="AJ2059" s="210">
        <f t="shared" ca="1" si="325"/>
        <v>4.1749999999999998</v>
      </c>
      <c r="AK2059" s="8">
        <f t="shared" ca="1" si="326"/>
        <v>1.0001159722222221</v>
      </c>
      <c r="AL2059" s="98">
        <f t="shared" ca="1" si="327"/>
        <v>4.0105291155363654</v>
      </c>
      <c r="AM2059" s="106">
        <f t="shared" ca="1" si="321"/>
        <v>30966.637985208108</v>
      </c>
      <c r="AN2059" s="10">
        <f t="shared" ca="1" si="322"/>
        <v>0.96748490790008468</v>
      </c>
      <c r="AO2059" s="158"/>
      <c r="AP2059" s="158"/>
      <c r="AQ2059" s="1"/>
      <c r="AR2059" s="1"/>
      <c r="AS2059" s="1"/>
      <c r="AT2059" s="1"/>
      <c r="AU2059" s="1"/>
    </row>
    <row r="2060" spans="34:47">
      <c r="AH2060" s="6">
        <f t="shared" si="323"/>
        <v>2030</v>
      </c>
      <c r="AI2060" s="7">
        <f t="shared" ca="1" si="324"/>
        <v>44700</v>
      </c>
      <c r="AJ2060" s="210">
        <f t="shared" ca="1" si="325"/>
        <v>4.1749999999999998</v>
      </c>
      <c r="AK2060" s="8">
        <f t="shared" ca="1" si="326"/>
        <v>1.0001159722222221</v>
      </c>
      <c r="AL2060" s="98">
        <f t="shared" ca="1" si="327"/>
        <v>4.0106831054025793</v>
      </c>
      <c r="AM2060" s="106">
        <f t="shared" ca="1" si="321"/>
        <v>30969.107365603402</v>
      </c>
      <c r="AN2060" s="10">
        <f t="shared" ca="1" si="322"/>
        <v>0.96766366194120934</v>
      </c>
      <c r="AO2060" s="158"/>
      <c r="AP2060" s="158"/>
      <c r="AQ2060" s="1"/>
      <c r="AR2060" s="1"/>
      <c r="AS2060" s="1"/>
      <c r="AT2060" s="1"/>
      <c r="AU2060" s="1"/>
    </row>
    <row r="2061" spans="34:47">
      <c r="AH2061" s="6">
        <f t="shared" si="323"/>
        <v>2031</v>
      </c>
      <c r="AI2061" s="7">
        <f t="shared" ca="1" si="324"/>
        <v>44701</v>
      </c>
      <c r="AJ2061" s="210">
        <f t="shared" ca="1" si="325"/>
        <v>4.1749999999999998</v>
      </c>
      <c r="AK2061" s="8">
        <f t="shared" ca="1" si="326"/>
        <v>1.0001159722222221</v>
      </c>
      <c r="AL2061" s="98">
        <f t="shared" ca="1" si="327"/>
        <v>4.0108369438569769</v>
      </c>
      <c r="AM2061" s="106">
        <f t="shared" ca="1" si="321"/>
        <v>30971.576942915119</v>
      </c>
      <c r="AN2061" s="10">
        <f t="shared" ca="1" si="322"/>
        <v>0.96784224027266497</v>
      </c>
      <c r="AO2061" s="158"/>
      <c r="AP2061" s="158"/>
      <c r="AQ2061" s="1"/>
      <c r="AR2061" s="1"/>
      <c r="AS2061" s="1"/>
      <c r="AT2061" s="1"/>
      <c r="AU2061" s="1"/>
    </row>
    <row r="2062" spans="34:47">
      <c r="AH2062" s="6">
        <f t="shared" si="323"/>
        <v>2032</v>
      </c>
      <c r="AI2062" s="7">
        <f t="shared" ca="1" si="324"/>
        <v>44702</v>
      </c>
      <c r="AJ2062" s="210">
        <f t="shared" ca="1" si="325"/>
        <v>4.1749999999999998</v>
      </c>
      <c r="AK2062" s="8">
        <f t="shared" ca="1" si="326"/>
        <v>1.0001159722222221</v>
      </c>
      <c r="AL2062" s="98">
        <f t="shared" ca="1" si="327"/>
        <v>4.0109906311227794</v>
      </c>
      <c r="AM2062" s="106">
        <f t="shared" ca="1" si="321"/>
        <v>30974.046717158959</v>
      </c>
      <c r="AN2062" s="10">
        <f t="shared" ca="1" si="322"/>
        <v>0.96802064315342218</v>
      </c>
      <c r="AO2062" s="158"/>
      <c r="AP2062" s="158"/>
      <c r="AQ2062" s="1"/>
      <c r="AR2062" s="1"/>
      <c r="AS2062" s="1"/>
      <c r="AT2062" s="1"/>
      <c r="AU2062" s="1"/>
    </row>
    <row r="2063" spans="34:47">
      <c r="AH2063" s="6">
        <f t="shared" si="323"/>
        <v>2033</v>
      </c>
      <c r="AI2063" s="7">
        <f t="shared" ca="1" si="324"/>
        <v>44703</v>
      </c>
      <c r="AJ2063" s="210">
        <f t="shared" ca="1" si="325"/>
        <v>4.1749999999999998</v>
      </c>
      <c r="AK2063" s="8">
        <f t="shared" ca="1" si="326"/>
        <v>1.0001159722222221</v>
      </c>
      <c r="AL2063" s="98">
        <f t="shared" ca="1" si="327"/>
        <v>4.0111441674227422</v>
      </c>
      <c r="AM2063" s="106">
        <f t="shared" ca="1" si="321"/>
        <v>30976.516688350628</v>
      </c>
      <c r="AN2063" s="10">
        <f t="shared" ca="1" si="322"/>
        <v>0.9681988708419409</v>
      </c>
      <c r="AO2063" s="158"/>
      <c r="AP2063" s="158"/>
      <c r="AQ2063" s="1"/>
      <c r="AR2063" s="1"/>
      <c r="AS2063" s="1"/>
      <c r="AT2063" s="1"/>
      <c r="AU2063" s="1"/>
    </row>
    <row r="2064" spans="34:47">
      <c r="AH2064" s="6">
        <f t="shared" si="323"/>
        <v>2034</v>
      </c>
      <c r="AI2064" s="7">
        <f t="shared" ca="1" si="324"/>
        <v>44704</v>
      </c>
      <c r="AJ2064" s="210">
        <f t="shared" ca="1" si="325"/>
        <v>4.1749999999999998</v>
      </c>
      <c r="AK2064" s="8">
        <f t="shared" ca="1" si="326"/>
        <v>1.0001159722222221</v>
      </c>
      <c r="AL2064" s="98">
        <f t="shared" ca="1" si="327"/>
        <v>4.0112975529791983</v>
      </c>
      <c r="AM2064" s="106">
        <f t="shared" ca="1" si="321"/>
        <v>30978.986856505828</v>
      </c>
      <c r="AN2064" s="10">
        <f t="shared" ca="1" si="322"/>
        <v>0.96837692359612593</v>
      </c>
      <c r="AO2064" s="158"/>
      <c r="AP2064" s="158"/>
      <c r="AQ2064" s="1"/>
      <c r="AR2064" s="1"/>
      <c r="AS2064" s="1"/>
      <c r="AT2064" s="1"/>
      <c r="AU2064" s="1"/>
    </row>
    <row r="2065" spans="34:47">
      <c r="AH2065" s="6">
        <f t="shared" si="323"/>
        <v>2035</v>
      </c>
      <c r="AI2065" s="7">
        <f t="shared" ca="1" si="324"/>
        <v>44705</v>
      </c>
      <c r="AJ2065" s="210">
        <f t="shared" ca="1" si="325"/>
        <v>4.1749999999999998</v>
      </c>
      <c r="AK2065" s="8">
        <f t="shared" ca="1" si="326"/>
        <v>1.0001159722222221</v>
      </c>
      <c r="AL2065" s="98">
        <f t="shared" ca="1" si="327"/>
        <v>4.0114507880140593</v>
      </c>
      <c r="AM2065" s="106">
        <f t="shared" ca="1" si="321"/>
        <v>30981.457221640267</v>
      </c>
      <c r="AN2065" s="10">
        <f t="shared" ca="1" si="322"/>
        <v>0.96855480167341579</v>
      </c>
      <c r="AO2065" s="158"/>
      <c r="AP2065" s="158"/>
      <c r="AQ2065" s="1"/>
      <c r="AR2065" s="1"/>
      <c r="AS2065" s="1"/>
      <c r="AT2065" s="1"/>
      <c r="AU2065" s="1"/>
    </row>
    <row r="2066" spans="34:47">
      <c r="AH2066" s="6">
        <f t="shared" si="323"/>
        <v>2036</v>
      </c>
      <c r="AI2066" s="7">
        <f t="shared" ca="1" si="324"/>
        <v>44706</v>
      </c>
      <c r="AJ2066" s="210">
        <f t="shared" ca="1" si="325"/>
        <v>4.1749999999999998</v>
      </c>
      <c r="AK2066" s="8">
        <f t="shared" ca="1" si="326"/>
        <v>1.0001159722222221</v>
      </c>
      <c r="AL2066" s="98">
        <f t="shared" ca="1" si="327"/>
        <v>4.011603872748748</v>
      </c>
      <c r="AM2066" s="106">
        <f t="shared" ca="1" si="321"/>
        <v>30983.927783769661</v>
      </c>
      <c r="AN2066" s="10">
        <f t="shared" ca="1" si="322"/>
        <v>0.96873250533073829</v>
      </c>
      <c r="AO2066" s="158"/>
      <c r="AP2066" s="158"/>
      <c r="AQ2066" s="1"/>
      <c r="AR2066" s="1"/>
      <c r="AS2066" s="1"/>
      <c r="AT2066" s="1"/>
      <c r="AU2066" s="1"/>
    </row>
    <row r="2067" spans="34:47">
      <c r="AH2067" s="6">
        <f t="shared" si="323"/>
        <v>2037</v>
      </c>
      <c r="AI2067" s="7">
        <f t="shared" ca="1" si="324"/>
        <v>44707</v>
      </c>
      <c r="AJ2067" s="210">
        <f t="shared" ca="1" si="325"/>
        <v>4.1749999999999998</v>
      </c>
      <c r="AK2067" s="8">
        <f t="shared" ca="1" si="326"/>
        <v>1.0001159722222221</v>
      </c>
      <c r="AL2067" s="98">
        <f t="shared" ca="1" si="327"/>
        <v>4.0117568074043097</v>
      </c>
      <c r="AM2067" s="106">
        <f t="shared" ca="1" si="321"/>
        <v>30986.398542909701</v>
      </c>
      <c r="AN2067" s="10">
        <f t="shared" ca="1" si="322"/>
        <v>0.96891003482448834</v>
      </c>
      <c r="AO2067" s="158"/>
      <c r="AP2067" s="158"/>
      <c r="AQ2067" s="1"/>
      <c r="AR2067" s="1"/>
      <c r="AS2067" s="1"/>
      <c r="AT2067" s="1"/>
      <c r="AU2067" s="1"/>
    </row>
    <row r="2068" spans="34:47">
      <c r="AH2068" s="6">
        <f t="shared" si="323"/>
        <v>2038</v>
      </c>
      <c r="AI2068" s="7">
        <f t="shared" ca="1" si="324"/>
        <v>44708</v>
      </c>
      <c r="AJ2068" s="210">
        <f t="shared" ca="1" si="325"/>
        <v>4.1749999999999998</v>
      </c>
      <c r="AK2068" s="8">
        <f t="shared" ca="1" si="326"/>
        <v>1.0001159722222221</v>
      </c>
      <c r="AL2068" s="98">
        <f t="shared" ca="1" si="327"/>
        <v>4.0119095922013459</v>
      </c>
      <c r="AM2068" s="106">
        <f t="shared" ca="1" si="321"/>
        <v>30988.869499076114</v>
      </c>
      <c r="AN2068" s="10">
        <f t="shared" ca="1" si="322"/>
        <v>0.96908739041061676</v>
      </c>
      <c r="AO2068" s="158"/>
      <c r="AP2068" s="158"/>
      <c r="AQ2068" s="1"/>
      <c r="AR2068" s="1"/>
      <c r="AS2068" s="1"/>
      <c r="AT2068" s="1"/>
      <c r="AU2068" s="1"/>
    </row>
    <row r="2069" spans="34:47">
      <c r="AH2069" s="6">
        <f t="shared" si="323"/>
        <v>2039</v>
      </c>
      <c r="AI2069" s="7">
        <f t="shared" ca="1" si="324"/>
        <v>44709</v>
      </c>
      <c r="AJ2069" s="210">
        <f t="shared" ca="1" si="325"/>
        <v>4.1749999999999998</v>
      </c>
      <c r="AK2069" s="8">
        <f t="shared" ca="1" si="326"/>
        <v>1.0001159722222221</v>
      </c>
      <c r="AL2069" s="98">
        <f t="shared" ca="1" si="327"/>
        <v>4.0120622273599915</v>
      </c>
      <c r="AM2069" s="106">
        <f t="shared" ca="1" si="321"/>
        <v>30991.340652284605</v>
      </c>
      <c r="AN2069" s="10">
        <f t="shared" ca="1" si="322"/>
        <v>0.96926457234449703</v>
      </c>
      <c r="AO2069" s="158"/>
      <c r="AP2069" s="158"/>
      <c r="AQ2069" s="1"/>
      <c r="AR2069" s="1"/>
      <c r="AS2069" s="1"/>
      <c r="AT2069" s="1"/>
      <c r="AU2069" s="1"/>
    </row>
    <row r="2070" spans="34:47">
      <c r="AH2070" s="6">
        <f t="shared" si="323"/>
        <v>2040</v>
      </c>
      <c r="AI2070" s="7">
        <f t="shared" ca="1" si="324"/>
        <v>44710</v>
      </c>
      <c r="AJ2070" s="210">
        <f t="shared" ca="1" si="325"/>
        <v>4.1749999999999998</v>
      </c>
      <c r="AK2070" s="8">
        <f t="shared" ca="1" si="326"/>
        <v>1.0001159722222221</v>
      </c>
      <c r="AL2070" s="98">
        <f t="shared" ca="1" si="327"/>
        <v>4.0122147130999819</v>
      </c>
      <c r="AM2070" s="106">
        <f t="shared" ca="1" si="321"/>
        <v>30993.812002550887</v>
      </c>
      <c r="AN2070" s="10">
        <f t="shared" ca="1" si="322"/>
        <v>0.96944158088105858</v>
      </c>
      <c r="AO2070" s="158"/>
      <c r="AP2070" s="158"/>
      <c r="AQ2070" s="1"/>
      <c r="AR2070" s="1"/>
      <c r="AS2070" s="1"/>
      <c r="AT2070" s="1"/>
      <c r="AU2070" s="1"/>
    </row>
    <row r="2071" spans="34:47">
      <c r="AH2071" s="6">
        <f t="shared" si="323"/>
        <v>2041</v>
      </c>
      <c r="AI2071" s="7">
        <f t="shared" ca="1" si="324"/>
        <v>44711</v>
      </c>
      <c r="AJ2071" s="210">
        <f t="shared" ca="1" si="325"/>
        <v>4.1749999999999998</v>
      </c>
      <c r="AK2071" s="8">
        <f t="shared" ca="1" si="326"/>
        <v>1.0001159722222221</v>
      </c>
      <c r="AL2071" s="98">
        <f t="shared" ca="1" si="327"/>
        <v>4.0123670496406305</v>
      </c>
      <c r="AM2071" s="106">
        <f t="shared" ca="1" si="321"/>
        <v>30996.283549890675</v>
      </c>
      <c r="AN2071" s="10">
        <f t="shared" ca="1" si="322"/>
        <v>0.96961841627474232</v>
      </c>
      <c r="AO2071" s="158"/>
      <c r="AP2071" s="158"/>
      <c r="AQ2071" s="1"/>
      <c r="AR2071" s="1"/>
      <c r="AS2071" s="1"/>
      <c r="AT2071" s="1"/>
      <c r="AU2071" s="1"/>
    </row>
    <row r="2072" spans="34:47">
      <c r="AH2072" s="6">
        <f t="shared" si="323"/>
        <v>2042</v>
      </c>
      <c r="AI2072" s="7">
        <f t="shared" ca="1" si="324"/>
        <v>44712</v>
      </c>
      <c r="AJ2072" s="210">
        <f t="shared" ca="1" si="325"/>
        <v>4.1749999999999998</v>
      </c>
      <c r="AK2072" s="8">
        <f t="shared" ca="1" si="326"/>
        <v>1.0001159722222221</v>
      </c>
      <c r="AL2072" s="98">
        <f t="shared" ca="1" si="327"/>
        <v>4.0125192372007845</v>
      </c>
      <c r="AM2072" s="106">
        <f t="shared" ca="1" si="321"/>
        <v>30998.755294319682</v>
      </c>
      <c r="AN2072" s="10">
        <f t="shared" ca="1" si="322"/>
        <v>0.96979507877945625</v>
      </c>
      <c r="AO2072" s="158"/>
      <c r="AP2072" s="158"/>
      <c r="AQ2072" s="1"/>
      <c r="AR2072" s="1"/>
      <c r="AS2072" s="1"/>
      <c r="AT2072" s="1"/>
      <c r="AU2072" s="1"/>
    </row>
    <row r="2073" spans="34:47">
      <c r="AH2073" s="6">
        <f t="shared" si="323"/>
        <v>2043</v>
      </c>
      <c r="AI2073" s="7">
        <f t="shared" ca="1" si="324"/>
        <v>44713</v>
      </c>
      <c r="AJ2073" s="210">
        <f t="shared" ca="1" si="325"/>
        <v>4.1749999999999998</v>
      </c>
      <c r="AK2073" s="8">
        <f t="shared" ca="1" si="326"/>
        <v>1.0001159722222221</v>
      </c>
      <c r="AL2073" s="98">
        <f t="shared" ca="1" si="327"/>
        <v>4.0126712759988914</v>
      </c>
      <c r="AM2073" s="106">
        <f t="shared" ca="1" si="321"/>
        <v>31001.227235853632</v>
      </c>
      <c r="AN2073" s="10">
        <f t="shared" ca="1" si="322"/>
        <v>0.96997156864857548</v>
      </c>
      <c r="AO2073" s="158"/>
      <c r="AP2073" s="158"/>
      <c r="AQ2073" s="1"/>
      <c r="AR2073" s="1"/>
      <c r="AS2073" s="1"/>
      <c r="AT2073" s="1"/>
      <c r="AU2073" s="1"/>
    </row>
    <row r="2074" spans="34:47">
      <c r="AH2074" s="6">
        <f t="shared" si="323"/>
        <v>2044</v>
      </c>
      <c r="AI2074" s="7">
        <f t="shared" ca="1" si="324"/>
        <v>44714</v>
      </c>
      <c r="AJ2074" s="210">
        <f t="shared" ca="1" si="325"/>
        <v>4.1749999999999998</v>
      </c>
      <c r="AK2074" s="8">
        <f t="shared" ca="1" si="326"/>
        <v>1.0001159722222221</v>
      </c>
      <c r="AL2074" s="98">
        <f t="shared" ca="1" si="327"/>
        <v>4.0128231662529545</v>
      </c>
      <c r="AM2074" s="106">
        <f t="shared" ca="1" si="321"/>
        <v>31003.699374508229</v>
      </c>
      <c r="AN2074" s="10">
        <f t="shared" ca="1" si="322"/>
        <v>0.97014788613507541</v>
      </c>
      <c r="AO2074" s="158"/>
      <c r="AP2074" s="158"/>
      <c r="AQ2074" s="1"/>
      <c r="AR2074" s="1"/>
      <c r="AS2074" s="1"/>
      <c r="AT2074" s="1"/>
      <c r="AU2074" s="1"/>
    </row>
    <row r="2075" spans="34:47">
      <c r="AH2075" s="6">
        <f t="shared" si="323"/>
        <v>2045</v>
      </c>
      <c r="AI2075" s="7">
        <f t="shared" ca="1" si="324"/>
        <v>44715</v>
      </c>
      <c r="AJ2075" s="210">
        <f t="shared" ca="1" si="325"/>
        <v>4.1749999999999998</v>
      </c>
      <c r="AK2075" s="8">
        <f t="shared" ca="1" si="326"/>
        <v>1.0001159722222221</v>
      </c>
      <c r="AL2075" s="98">
        <f t="shared" ca="1" si="327"/>
        <v>4.0129749081805777</v>
      </c>
      <c r="AM2075" s="106">
        <f t="shared" ca="1" si="321"/>
        <v>31006.171710299208</v>
      </c>
      <c r="AN2075" s="10">
        <f t="shared" ca="1" si="322"/>
        <v>0.97032403149137636</v>
      </c>
      <c r="AO2075" s="158"/>
      <c r="AP2075" s="158"/>
      <c r="AQ2075" s="1"/>
      <c r="AR2075" s="1"/>
      <c r="AS2075" s="1"/>
      <c r="AT2075" s="1"/>
      <c r="AU2075" s="1"/>
    </row>
    <row r="2076" spans="34:47">
      <c r="AH2076" s="6">
        <f t="shared" si="323"/>
        <v>2046</v>
      </c>
      <c r="AI2076" s="7">
        <f t="shared" ca="1" si="324"/>
        <v>44716</v>
      </c>
      <c r="AJ2076" s="210">
        <f t="shared" ca="1" si="325"/>
        <v>4.1749999999999998</v>
      </c>
      <c r="AK2076" s="8">
        <f t="shared" ca="1" si="326"/>
        <v>1.0001159722222221</v>
      </c>
      <c r="AL2076" s="98">
        <f t="shared" ca="1" si="327"/>
        <v>4.0131265019989204</v>
      </c>
      <c r="AM2076" s="106">
        <f t="shared" ca="1" si="321"/>
        <v>31008.644243242277</v>
      </c>
      <c r="AN2076" s="10">
        <f t="shared" ca="1" si="322"/>
        <v>0.97050000496941013</v>
      </c>
      <c r="AO2076" s="158"/>
      <c r="AP2076" s="158"/>
      <c r="AQ2076" s="1"/>
      <c r="AR2076" s="1"/>
      <c r="AS2076" s="1"/>
      <c r="AT2076" s="1"/>
      <c r="AU2076" s="1"/>
    </row>
    <row r="2077" spans="34:47">
      <c r="AH2077" s="6">
        <f t="shared" si="323"/>
        <v>2047</v>
      </c>
      <c r="AI2077" s="7">
        <f t="shared" ca="1" si="324"/>
        <v>44717</v>
      </c>
      <c r="AJ2077" s="210">
        <f t="shared" ca="1" si="325"/>
        <v>4.1749999999999998</v>
      </c>
      <c r="AK2077" s="8">
        <f t="shared" ca="1" si="326"/>
        <v>1.0001159722222221</v>
      </c>
      <c r="AL2077" s="98">
        <f t="shared" ca="1" si="327"/>
        <v>4.0132779479247205</v>
      </c>
      <c r="AM2077" s="106">
        <f t="shared" ca="1" si="321"/>
        <v>31011.116973353164</v>
      </c>
      <c r="AN2077" s="10">
        <f t="shared" ca="1" si="322"/>
        <v>0.97067580682064225</v>
      </c>
      <c r="AO2077" s="158"/>
      <c r="AP2077" s="158"/>
      <c r="AQ2077" s="1"/>
      <c r="AR2077" s="1"/>
      <c r="AS2077" s="1"/>
      <c r="AT2077" s="1"/>
      <c r="AU2077" s="1"/>
    </row>
    <row r="2078" spans="34:47">
      <c r="AH2078" s="6">
        <f t="shared" si="323"/>
        <v>2048</v>
      </c>
      <c r="AI2078" s="7">
        <f t="shared" ca="1" si="324"/>
        <v>44718</v>
      </c>
      <c r="AJ2078" s="210">
        <f t="shared" ca="1" si="325"/>
        <v>4.1749999999999998</v>
      </c>
      <c r="AK2078" s="8">
        <f t="shared" ca="1" si="326"/>
        <v>1.0001159722222221</v>
      </c>
      <c r="AL2078" s="98">
        <f t="shared" ca="1" si="327"/>
        <v>4.0134292461742938</v>
      </c>
      <c r="AM2078" s="106">
        <f t="shared" ca="1" si="321"/>
        <v>31013.589900647585</v>
      </c>
      <c r="AN2078" s="10">
        <f t="shared" ca="1" si="322"/>
        <v>0.97085143729602752</v>
      </c>
      <c r="AO2078" s="158"/>
      <c r="AP2078" s="158"/>
      <c r="AQ2078" s="1"/>
      <c r="AR2078" s="1"/>
      <c r="AS2078" s="1"/>
      <c r="AT2078" s="1"/>
      <c r="AU2078" s="1"/>
    </row>
    <row r="2079" spans="34:47">
      <c r="AH2079" s="6">
        <f t="shared" si="323"/>
        <v>2049</v>
      </c>
      <c r="AI2079" s="7">
        <f t="shared" ca="1" si="324"/>
        <v>44719</v>
      </c>
      <c r="AJ2079" s="210">
        <f t="shared" ca="1" si="325"/>
        <v>4.1749999999999998</v>
      </c>
      <c r="AK2079" s="8">
        <f t="shared" ca="1" si="326"/>
        <v>1.0001159722222221</v>
      </c>
      <c r="AL2079" s="98">
        <f t="shared" ca="1" si="327"/>
        <v>4.0135803969635342</v>
      </c>
      <c r="AM2079" s="106">
        <f t="shared" ref="AM2079:AM2142" ca="1" si="328">Geom_Interp(AI2079,$AZ$2:$AZ$109,$BA$2:$BA$109)</f>
        <v>31016.063025141273</v>
      </c>
      <c r="AN2079" s="10">
        <f t="shared" ref="AN2079:AN2142" ca="1" si="329">100*(((1+AL2079/100)^(AH2079/365)*$AM$29/AM2079)^(365/AH2079)-1)</f>
        <v>0.97102689664603226</v>
      </c>
      <c r="AO2079" s="158"/>
      <c r="AP2079" s="158"/>
      <c r="AQ2079" s="1"/>
      <c r="AR2079" s="1"/>
      <c r="AS2079" s="1"/>
      <c r="AT2079" s="1"/>
      <c r="AU2079" s="1"/>
    </row>
    <row r="2080" spans="34:47">
      <c r="AH2080" s="6">
        <f t="shared" ref="AH2080:AH2143" si="330">$AI$29+AH2079</f>
        <v>2050</v>
      </c>
      <c r="AI2080" s="7">
        <f t="shared" ref="AI2080:AI2143" ca="1" si="331">+AH2080+$C$1</f>
        <v>44720</v>
      </c>
      <c r="AJ2080" s="210">
        <f t="shared" ref="AJ2080:AJ2143" ca="1" si="332">IF(AH2080&lt;365,VLOOKUP(LOOKUP(AI2080,$AI$2:$AI$23),$AI$2:$AK$23,3,0),Lin_Interp(AH2080,$AJ$2:$AJ$23,$AK$2:$AK$23))</f>
        <v>4.1749999999999998</v>
      </c>
      <c r="AK2080" s="8">
        <f t="shared" ca="1" si="326"/>
        <v>1.0001159722222221</v>
      </c>
      <c r="AL2080" s="98">
        <f t="shared" ca="1" si="327"/>
        <v>4.0137314005079361</v>
      </c>
      <c r="AM2080" s="106">
        <f t="shared" ca="1" si="328"/>
        <v>31018.536346849949</v>
      </c>
      <c r="AN2080" s="10">
        <f t="shared" ca="1" si="329"/>
        <v>0.97120218512063428</v>
      </c>
      <c r="AO2080" s="158"/>
      <c r="AP2080" s="158"/>
      <c r="AQ2080" s="1"/>
      <c r="AR2080" s="1"/>
      <c r="AS2080" s="1"/>
      <c r="AT2080" s="1"/>
      <c r="AU2080" s="1"/>
    </row>
    <row r="2081" spans="34:47">
      <c r="AH2081" s="6">
        <f t="shared" si="330"/>
        <v>2051</v>
      </c>
      <c r="AI2081" s="7">
        <f t="shared" ca="1" si="331"/>
        <v>44721</v>
      </c>
      <c r="AJ2081" s="210">
        <f t="shared" ca="1" si="332"/>
        <v>4.1749999999999998</v>
      </c>
      <c r="AK2081" s="8">
        <f t="shared" ref="AK2081:AK2144" ca="1" si="333">+(1+AJ2081/36000)</f>
        <v>1.0001159722222221</v>
      </c>
      <c r="AL2081" s="98">
        <f t="shared" ref="AL2081:AL2144" ca="1" si="334">100*(((1+AL2080/100)^(AH2080/365)*AK2081)^(365/AH2081)-1)</f>
        <v>4.0138822570225274</v>
      </c>
      <c r="AM2081" s="106">
        <f t="shared" ca="1" si="328"/>
        <v>31021.009865789336</v>
      </c>
      <c r="AN2081" s="10">
        <f t="shared" ca="1" si="329"/>
        <v>0.9713773029693451</v>
      </c>
      <c r="AO2081" s="158"/>
      <c r="AP2081" s="158"/>
      <c r="AQ2081" s="1"/>
      <c r="AR2081" s="1"/>
      <c r="AS2081" s="1"/>
      <c r="AT2081" s="1"/>
      <c r="AU2081" s="1"/>
    </row>
    <row r="2082" spans="34:47">
      <c r="AH2082" s="6">
        <f t="shared" si="330"/>
        <v>2052</v>
      </c>
      <c r="AI2082" s="7">
        <f t="shared" ca="1" si="331"/>
        <v>44722</v>
      </c>
      <c r="AJ2082" s="210">
        <f t="shared" ca="1" si="332"/>
        <v>4.1749999999999998</v>
      </c>
      <c r="AK2082" s="8">
        <f t="shared" ca="1" si="333"/>
        <v>1.0001159722222221</v>
      </c>
      <c r="AL2082" s="98">
        <f t="shared" ca="1" si="334"/>
        <v>4.0140329667219588</v>
      </c>
      <c r="AM2082" s="106">
        <f t="shared" ca="1" si="328"/>
        <v>31023.566042578565</v>
      </c>
      <c r="AN2082" s="10">
        <f t="shared" ca="1" si="329"/>
        <v>0.97150451182703712</v>
      </c>
      <c r="AO2082" s="158"/>
      <c r="AP2082" s="158"/>
      <c r="AQ2082" s="1"/>
      <c r="AR2082" s="1"/>
      <c r="AS2082" s="1"/>
      <c r="AT2082" s="1"/>
      <c r="AU2082" s="1"/>
    </row>
    <row r="2083" spans="34:47">
      <c r="AH2083" s="6">
        <f t="shared" si="330"/>
        <v>2053</v>
      </c>
      <c r="AI2083" s="7">
        <f t="shared" ca="1" si="331"/>
        <v>44723</v>
      </c>
      <c r="AJ2083" s="210">
        <f t="shared" ca="1" si="332"/>
        <v>4.1749999999999998</v>
      </c>
      <c r="AK2083" s="8">
        <f t="shared" ca="1" si="333"/>
        <v>1.0001159722222221</v>
      </c>
      <c r="AL2083" s="98">
        <f t="shared" ca="1" si="334"/>
        <v>4.0141835298204365</v>
      </c>
      <c r="AM2083" s="106">
        <f t="shared" ca="1" si="328"/>
        <v>31026.122430000523</v>
      </c>
      <c r="AN2083" s="10">
        <f t="shared" ca="1" si="329"/>
        <v>0.97163159691993073</v>
      </c>
      <c r="AO2083" s="158"/>
      <c r="AP2083" s="158"/>
      <c r="AQ2083" s="1"/>
      <c r="AR2083" s="1"/>
      <c r="AS2083" s="1"/>
      <c r="AT2083" s="1"/>
      <c r="AU2083" s="1"/>
    </row>
    <row r="2084" spans="34:47">
      <c r="AH2084" s="6">
        <f t="shared" si="330"/>
        <v>2054</v>
      </c>
      <c r="AI2084" s="7">
        <f t="shared" ca="1" si="331"/>
        <v>44724</v>
      </c>
      <c r="AJ2084" s="210">
        <f t="shared" ca="1" si="332"/>
        <v>4.1749999999999998</v>
      </c>
      <c r="AK2084" s="8">
        <f t="shared" ca="1" si="333"/>
        <v>1.0001159722222221</v>
      </c>
      <c r="AL2084" s="98">
        <f t="shared" ca="1" si="334"/>
        <v>4.0143339465317673</v>
      </c>
      <c r="AM2084" s="106">
        <f t="shared" ca="1" si="328"/>
        <v>31028.679028072558</v>
      </c>
      <c r="AN2084" s="10">
        <f t="shared" ca="1" si="329"/>
        <v>0.97175855842852599</v>
      </c>
      <c r="AO2084" s="158"/>
      <c r="AP2084" s="158"/>
      <c r="AQ2084" s="1"/>
      <c r="AR2084" s="1"/>
      <c r="AS2084" s="1"/>
      <c r="AT2084" s="1"/>
      <c r="AU2084" s="1"/>
    </row>
    <row r="2085" spans="34:47">
      <c r="AH2085" s="6">
        <f t="shared" si="330"/>
        <v>2055</v>
      </c>
      <c r="AI2085" s="7">
        <f t="shared" ca="1" si="331"/>
        <v>44725</v>
      </c>
      <c r="AJ2085" s="210">
        <f t="shared" ca="1" si="332"/>
        <v>4.1749999999999998</v>
      </c>
      <c r="AK2085" s="8">
        <f t="shared" ca="1" si="333"/>
        <v>1.0001159722222221</v>
      </c>
      <c r="AL2085" s="98">
        <f t="shared" ca="1" si="334"/>
        <v>4.0144842170693584</v>
      </c>
      <c r="AM2085" s="106">
        <f t="shared" ca="1" si="328"/>
        <v>31031.235836812029</v>
      </c>
      <c r="AN2085" s="10">
        <f t="shared" ca="1" si="329"/>
        <v>0.97188539653301209</v>
      </c>
      <c r="AO2085" s="158"/>
      <c r="AP2085" s="158"/>
      <c r="AQ2085" s="1"/>
      <c r="AR2085" s="1"/>
      <c r="AS2085" s="1"/>
      <c r="AT2085" s="1"/>
      <c r="AU2085" s="1"/>
    </row>
    <row r="2086" spans="34:47">
      <c r="AH2086" s="6">
        <f t="shared" si="330"/>
        <v>2056</v>
      </c>
      <c r="AI2086" s="7">
        <f t="shared" ca="1" si="331"/>
        <v>44726</v>
      </c>
      <c r="AJ2086" s="210">
        <f t="shared" ca="1" si="332"/>
        <v>4.1749999999999998</v>
      </c>
      <c r="AK2086" s="8">
        <f t="shared" ca="1" si="333"/>
        <v>1.0001159722222221</v>
      </c>
      <c r="AL2086" s="98">
        <f t="shared" ca="1" si="334"/>
        <v>4.0146343416461505</v>
      </c>
      <c r="AM2086" s="106">
        <f t="shared" ca="1" si="328"/>
        <v>31033.792856236298</v>
      </c>
      <c r="AN2086" s="10">
        <f t="shared" ca="1" si="329"/>
        <v>0.97201211141324517</v>
      </c>
      <c r="AO2086" s="158"/>
      <c r="AP2086" s="158"/>
      <c r="AQ2086" s="1"/>
      <c r="AR2086" s="1"/>
      <c r="AS2086" s="1"/>
      <c r="AT2086" s="1"/>
      <c r="AU2086" s="1"/>
    </row>
    <row r="2087" spans="34:47">
      <c r="AH2087" s="6">
        <f t="shared" si="330"/>
        <v>2057</v>
      </c>
      <c r="AI2087" s="7">
        <f t="shared" ca="1" si="331"/>
        <v>44727</v>
      </c>
      <c r="AJ2087" s="210">
        <f t="shared" ca="1" si="332"/>
        <v>4.1749999999999998</v>
      </c>
      <c r="AK2087" s="8">
        <f t="shared" ca="1" si="333"/>
        <v>1.0001159722222221</v>
      </c>
      <c r="AL2087" s="98">
        <f t="shared" ca="1" si="334"/>
        <v>4.0147843204747291</v>
      </c>
      <c r="AM2087" s="106">
        <f t="shared" ca="1" si="328"/>
        <v>31036.35008636272</v>
      </c>
      <c r="AN2087" s="10">
        <f t="shared" ca="1" si="329"/>
        <v>0.97213870324868168</v>
      </c>
      <c r="AO2087" s="158"/>
      <c r="AP2087" s="158"/>
      <c r="AQ2087" s="1"/>
      <c r="AR2087" s="1"/>
      <c r="AS2087" s="1"/>
      <c r="AT2087" s="1"/>
      <c r="AU2087" s="1"/>
    </row>
    <row r="2088" spans="34:47">
      <c r="AH2088" s="6">
        <f t="shared" si="330"/>
        <v>2058</v>
      </c>
      <c r="AI2088" s="7">
        <f t="shared" ca="1" si="331"/>
        <v>44728</v>
      </c>
      <c r="AJ2088" s="210">
        <f t="shared" ca="1" si="332"/>
        <v>4.1749999999999998</v>
      </c>
      <c r="AK2088" s="8">
        <f t="shared" ca="1" si="333"/>
        <v>1.0001159722222221</v>
      </c>
      <c r="AL2088" s="98">
        <f t="shared" ca="1" si="334"/>
        <v>4.0149341537672134</v>
      </c>
      <c r="AM2088" s="106">
        <f t="shared" ca="1" si="328"/>
        <v>31038.907527208667</v>
      </c>
      <c r="AN2088" s="10">
        <f t="shared" ca="1" si="329"/>
        <v>0.9722651722184672</v>
      </c>
      <c r="AO2088" s="158"/>
      <c r="AP2088" s="158"/>
      <c r="AQ2088" s="1"/>
      <c r="AR2088" s="1"/>
      <c r="AS2088" s="1"/>
      <c r="AT2088" s="1"/>
      <c r="AU2088" s="1"/>
    </row>
    <row r="2089" spans="34:47">
      <c r="AH2089" s="6">
        <f t="shared" si="330"/>
        <v>2059</v>
      </c>
      <c r="AI2089" s="7">
        <f t="shared" ca="1" si="331"/>
        <v>44729</v>
      </c>
      <c r="AJ2089" s="210">
        <f t="shared" ca="1" si="332"/>
        <v>4.1749999999999998</v>
      </c>
      <c r="AK2089" s="8">
        <f t="shared" ca="1" si="333"/>
        <v>1.0001159722222221</v>
      </c>
      <c r="AL2089" s="98">
        <f t="shared" ca="1" si="334"/>
        <v>4.0150838417353674</v>
      </c>
      <c r="AM2089" s="106">
        <f t="shared" ca="1" si="328"/>
        <v>31041.465178791492</v>
      </c>
      <c r="AN2089" s="10">
        <f t="shared" ca="1" si="329"/>
        <v>0.97239151850139205</v>
      </c>
      <c r="AO2089" s="158"/>
      <c r="AP2089" s="158"/>
      <c r="AQ2089" s="1"/>
      <c r="AR2089" s="1"/>
      <c r="AS2089" s="1"/>
      <c r="AT2089" s="1"/>
      <c r="AU2089" s="1"/>
    </row>
    <row r="2090" spans="34:47">
      <c r="AH2090" s="6">
        <f t="shared" si="330"/>
        <v>2060</v>
      </c>
      <c r="AI2090" s="7">
        <f t="shared" ca="1" si="331"/>
        <v>44730</v>
      </c>
      <c r="AJ2090" s="210">
        <f t="shared" ca="1" si="332"/>
        <v>4.1749999999999998</v>
      </c>
      <c r="AK2090" s="8">
        <f t="shared" ca="1" si="333"/>
        <v>1.0001159722222221</v>
      </c>
      <c r="AL2090" s="98">
        <f t="shared" ca="1" si="334"/>
        <v>4.0152333845904886</v>
      </c>
      <c r="AM2090" s="106">
        <f t="shared" ca="1" si="328"/>
        <v>31044.02304112857</v>
      </c>
      <c r="AN2090" s="10">
        <f t="shared" ca="1" si="329"/>
        <v>0.97251774227586907</v>
      </c>
      <c r="AO2090" s="158"/>
      <c r="AP2090" s="158"/>
      <c r="AQ2090" s="1"/>
      <c r="AR2090" s="1"/>
      <c r="AS2090" s="1"/>
      <c r="AT2090" s="1"/>
      <c r="AU2090" s="1"/>
    </row>
    <row r="2091" spans="34:47">
      <c r="AH2091" s="6">
        <f t="shared" si="330"/>
        <v>2061</v>
      </c>
      <c r="AI2091" s="7">
        <f t="shared" ca="1" si="331"/>
        <v>44731</v>
      </c>
      <c r="AJ2091" s="210">
        <f t="shared" ca="1" si="332"/>
        <v>4.1749999999999998</v>
      </c>
      <c r="AK2091" s="8">
        <f t="shared" ca="1" si="333"/>
        <v>1.0001159722222221</v>
      </c>
      <c r="AL2091" s="98">
        <f t="shared" ca="1" si="334"/>
        <v>4.0153827825434973</v>
      </c>
      <c r="AM2091" s="106">
        <f t="shared" ca="1" si="328"/>
        <v>31046.581114237262</v>
      </c>
      <c r="AN2091" s="10">
        <f t="shared" ca="1" si="329"/>
        <v>0.97264384372002244</v>
      </c>
      <c r="AO2091" s="158"/>
      <c r="AP2091" s="158"/>
      <c r="AQ2091" s="1"/>
      <c r="AR2091" s="1"/>
      <c r="AS2091" s="1"/>
      <c r="AT2091" s="1"/>
      <c r="AU2091" s="1"/>
    </row>
    <row r="2092" spans="34:47">
      <c r="AH2092" s="6">
        <f t="shared" si="330"/>
        <v>2062</v>
      </c>
      <c r="AI2092" s="7">
        <f t="shared" ca="1" si="331"/>
        <v>44732</v>
      </c>
      <c r="AJ2092" s="210">
        <f t="shared" ca="1" si="332"/>
        <v>4.1749999999999998</v>
      </c>
      <c r="AK2092" s="8">
        <f t="shared" ca="1" si="333"/>
        <v>1.0001159722222221</v>
      </c>
      <c r="AL2092" s="98">
        <f t="shared" ca="1" si="334"/>
        <v>4.015532035804914</v>
      </c>
      <c r="AM2092" s="106">
        <f t="shared" ca="1" si="328"/>
        <v>31049.139398134936</v>
      </c>
      <c r="AN2092" s="10">
        <f t="shared" ca="1" si="329"/>
        <v>0.97276982301157666</v>
      </c>
      <c r="AO2092" s="158"/>
      <c r="AP2092" s="158"/>
      <c r="AQ2092" s="1"/>
      <c r="AR2092" s="1"/>
      <c r="AS2092" s="1"/>
      <c r="AT2092" s="1"/>
      <c r="AU2092" s="1"/>
    </row>
    <row r="2093" spans="34:47">
      <c r="AH2093" s="6">
        <f t="shared" si="330"/>
        <v>2063</v>
      </c>
      <c r="AI2093" s="7">
        <f t="shared" ca="1" si="331"/>
        <v>44733</v>
      </c>
      <c r="AJ2093" s="210">
        <f t="shared" ca="1" si="332"/>
        <v>4.1749999999999998</v>
      </c>
      <c r="AK2093" s="8">
        <f t="shared" ca="1" si="333"/>
        <v>1.0001159722222221</v>
      </c>
      <c r="AL2093" s="98">
        <f t="shared" ca="1" si="334"/>
        <v>4.0156811445848151</v>
      </c>
      <c r="AM2093" s="106">
        <f t="shared" ca="1" si="328"/>
        <v>31051.697892838954</v>
      </c>
      <c r="AN2093" s="10">
        <f t="shared" ca="1" si="329"/>
        <v>0.97289568032796758</v>
      </c>
      <c r="AO2093" s="158"/>
      <c r="AP2093" s="158"/>
      <c r="AQ2093" s="1"/>
      <c r="AR2093" s="1"/>
      <c r="AS2093" s="1"/>
      <c r="AT2093" s="1"/>
      <c r="AU2093" s="1"/>
    </row>
    <row r="2094" spans="34:47">
      <c r="AH2094" s="6">
        <f t="shared" si="330"/>
        <v>2064</v>
      </c>
      <c r="AI2094" s="7">
        <f t="shared" ca="1" si="331"/>
        <v>44734</v>
      </c>
      <c r="AJ2094" s="210">
        <f t="shared" ca="1" si="332"/>
        <v>4.1749999999999998</v>
      </c>
      <c r="AK2094" s="8">
        <f t="shared" ca="1" si="333"/>
        <v>1.0001159722222221</v>
      </c>
      <c r="AL2094" s="98">
        <f t="shared" ca="1" si="334"/>
        <v>4.0158301090929216</v>
      </c>
      <c r="AM2094" s="106">
        <f t="shared" ca="1" si="328"/>
        <v>31054.256598366705</v>
      </c>
      <c r="AN2094" s="10">
        <f t="shared" ca="1" si="329"/>
        <v>0.97302141584625357</v>
      </c>
      <c r="AO2094" s="158"/>
      <c r="AP2094" s="158"/>
      <c r="AQ2094" s="1"/>
      <c r="AR2094" s="1"/>
      <c r="AS2094" s="1"/>
      <c r="AT2094" s="1"/>
      <c r="AU2094" s="1"/>
    </row>
    <row r="2095" spans="34:47">
      <c r="AH2095" s="6">
        <f t="shared" si="330"/>
        <v>2065</v>
      </c>
      <c r="AI2095" s="7">
        <f t="shared" ca="1" si="331"/>
        <v>44735</v>
      </c>
      <c r="AJ2095" s="210">
        <f t="shared" ca="1" si="332"/>
        <v>4.1749999999999998</v>
      </c>
      <c r="AK2095" s="8">
        <f t="shared" ca="1" si="333"/>
        <v>1.0001159722222221</v>
      </c>
      <c r="AL2095" s="98">
        <f t="shared" ca="1" si="334"/>
        <v>4.0159789295384885</v>
      </c>
      <c r="AM2095" s="106">
        <f t="shared" ca="1" si="328"/>
        <v>31056.815514735546</v>
      </c>
      <c r="AN2095" s="10">
        <f t="shared" ca="1" si="329"/>
        <v>0.97314702974311551</v>
      </c>
      <c r="AO2095" s="158"/>
      <c r="AP2095" s="158"/>
      <c r="AQ2095" s="1"/>
      <c r="AR2095" s="1"/>
      <c r="AS2095" s="1"/>
      <c r="AT2095" s="1"/>
      <c r="AU2095" s="1"/>
    </row>
    <row r="2096" spans="34:47">
      <c r="AH2096" s="6">
        <f t="shared" si="330"/>
        <v>2066</v>
      </c>
      <c r="AI2096" s="7">
        <f t="shared" ca="1" si="331"/>
        <v>44736</v>
      </c>
      <c r="AJ2096" s="210">
        <f t="shared" ca="1" si="332"/>
        <v>4.1749999999999998</v>
      </c>
      <c r="AK2096" s="8">
        <f t="shared" ca="1" si="333"/>
        <v>1.0001159722222221</v>
      </c>
      <c r="AL2096" s="98">
        <f t="shared" ca="1" si="334"/>
        <v>4.0161276061304152</v>
      </c>
      <c r="AM2096" s="106">
        <f t="shared" ca="1" si="328"/>
        <v>31059.374641962859</v>
      </c>
      <c r="AN2096" s="10">
        <f t="shared" ca="1" si="329"/>
        <v>0.97327252219496785</v>
      </c>
      <c r="AO2096" s="158"/>
      <c r="AP2096" s="158"/>
      <c r="AQ2096" s="1"/>
      <c r="AR2096" s="1"/>
      <c r="AS2096" s="1"/>
      <c r="AT2096" s="1"/>
      <c r="AU2096" s="1"/>
    </row>
    <row r="2097" spans="34:47">
      <c r="AH2097" s="6">
        <f t="shared" si="330"/>
        <v>2067</v>
      </c>
      <c r="AI2097" s="7">
        <f t="shared" ca="1" si="331"/>
        <v>44737</v>
      </c>
      <c r="AJ2097" s="210">
        <f t="shared" ca="1" si="332"/>
        <v>4.1749999999999998</v>
      </c>
      <c r="AK2097" s="8">
        <f t="shared" ca="1" si="333"/>
        <v>1.0001159722222221</v>
      </c>
      <c r="AL2097" s="98">
        <f t="shared" ca="1" si="334"/>
        <v>4.0162761390771795</v>
      </c>
      <c r="AM2097" s="106">
        <f t="shared" ca="1" si="328"/>
        <v>31061.933980066016</v>
      </c>
      <c r="AN2097" s="10">
        <f t="shared" ca="1" si="329"/>
        <v>0.97339789337784755</v>
      </c>
      <c r="AO2097" s="158"/>
      <c r="AP2097" s="158"/>
      <c r="AQ2097" s="1"/>
      <c r="AR2097" s="1"/>
      <c r="AS2097" s="1"/>
      <c r="AT2097" s="1"/>
      <c r="AU2097" s="1"/>
    </row>
    <row r="2098" spans="34:47">
      <c r="AH2098" s="6">
        <f t="shared" si="330"/>
        <v>2068</v>
      </c>
      <c r="AI2098" s="7">
        <f t="shared" ca="1" si="331"/>
        <v>44738</v>
      </c>
      <c r="AJ2098" s="210">
        <f t="shared" ca="1" si="332"/>
        <v>4.1749999999999998</v>
      </c>
      <c r="AK2098" s="8">
        <f t="shared" ca="1" si="333"/>
        <v>1.0001159722222221</v>
      </c>
      <c r="AL2098" s="98">
        <f t="shared" ca="1" si="334"/>
        <v>4.0164245285868594</v>
      </c>
      <c r="AM2098" s="106">
        <f t="shared" ca="1" si="328"/>
        <v>31064.493529062387</v>
      </c>
      <c r="AN2098" s="10">
        <f t="shared" ca="1" si="329"/>
        <v>0.97352314346743629</v>
      </c>
      <c r="AO2098" s="158"/>
      <c r="AP2098" s="158"/>
      <c r="AQ2098" s="1"/>
      <c r="AR2098" s="1"/>
      <c r="AS2098" s="1"/>
      <c r="AT2098" s="1"/>
      <c r="AU2098" s="1"/>
    </row>
    <row r="2099" spans="34:47">
      <c r="AH2099" s="6">
        <f t="shared" si="330"/>
        <v>2069</v>
      </c>
      <c r="AI2099" s="7">
        <f t="shared" ca="1" si="331"/>
        <v>44739</v>
      </c>
      <c r="AJ2099" s="210">
        <f t="shared" ca="1" si="332"/>
        <v>4.1749999999999998</v>
      </c>
      <c r="AK2099" s="8">
        <f t="shared" ca="1" si="333"/>
        <v>1.0001159722222221</v>
      </c>
      <c r="AL2099" s="98">
        <f t="shared" ca="1" si="334"/>
        <v>4.016572774867111</v>
      </c>
      <c r="AM2099" s="106">
        <f t="shared" ca="1" si="328"/>
        <v>31067.05328896936</v>
      </c>
      <c r="AN2099" s="10">
        <f t="shared" ca="1" si="329"/>
        <v>0.97364827263906051</v>
      </c>
      <c r="AO2099" s="158"/>
      <c r="AP2099" s="158"/>
      <c r="AQ2099" s="1"/>
      <c r="AR2099" s="1"/>
      <c r="AS2099" s="1"/>
      <c r="AT2099" s="1"/>
      <c r="AU2099" s="1"/>
    </row>
    <row r="2100" spans="34:47">
      <c r="AH2100" s="6">
        <f t="shared" si="330"/>
        <v>2070</v>
      </c>
      <c r="AI2100" s="7">
        <f t="shared" ca="1" si="331"/>
        <v>44740</v>
      </c>
      <c r="AJ2100" s="210">
        <f t="shared" ca="1" si="332"/>
        <v>4.1749999999999998</v>
      </c>
      <c r="AK2100" s="8">
        <f t="shared" ca="1" si="333"/>
        <v>1.0001159722222221</v>
      </c>
      <c r="AL2100" s="98">
        <f t="shared" ca="1" si="334"/>
        <v>4.016720878125235</v>
      </c>
      <c r="AM2100" s="106">
        <f t="shared" ca="1" si="328"/>
        <v>31069.613259804308</v>
      </c>
      <c r="AN2100" s="10">
        <f t="shared" ca="1" si="329"/>
        <v>0.97377328106782457</v>
      </c>
      <c r="AO2100" s="158"/>
      <c r="AP2100" s="158"/>
      <c r="AQ2100" s="1"/>
      <c r="AR2100" s="1"/>
      <c r="AS2100" s="1"/>
      <c r="AT2100" s="1"/>
      <c r="AU2100" s="1"/>
    </row>
    <row r="2101" spans="34:47">
      <c r="AH2101" s="6">
        <f t="shared" si="330"/>
        <v>2071</v>
      </c>
      <c r="AI2101" s="7">
        <f t="shared" ca="1" si="331"/>
        <v>44741</v>
      </c>
      <c r="AJ2101" s="210">
        <f t="shared" ca="1" si="332"/>
        <v>4.1749999999999998</v>
      </c>
      <c r="AK2101" s="8">
        <f t="shared" ca="1" si="333"/>
        <v>1.0001159722222221</v>
      </c>
      <c r="AL2101" s="98">
        <f t="shared" ca="1" si="334"/>
        <v>4.0168688385680884</v>
      </c>
      <c r="AM2101" s="106">
        <f t="shared" ca="1" si="328"/>
        <v>31072.173441584619</v>
      </c>
      <c r="AN2101" s="10">
        <f t="shared" ca="1" si="329"/>
        <v>0.97389816892834435</v>
      </c>
      <c r="AO2101" s="158"/>
      <c r="AP2101" s="158"/>
      <c r="AQ2101" s="1"/>
      <c r="AR2101" s="1"/>
      <c r="AS2101" s="1"/>
      <c r="AT2101" s="1"/>
      <c r="AU2101" s="1"/>
    </row>
    <row r="2102" spans="34:47">
      <c r="AH2102" s="6">
        <f t="shared" si="330"/>
        <v>2072</v>
      </c>
      <c r="AI2102" s="7">
        <f t="shared" ca="1" si="331"/>
        <v>44742</v>
      </c>
      <c r="AJ2102" s="210">
        <f t="shared" ca="1" si="332"/>
        <v>4.1749999999999998</v>
      </c>
      <c r="AK2102" s="8">
        <f t="shared" ca="1" si="333"/>
        <v>1.0001159722222221</v>
      </c>
      <c r="AL2102" s="98">
        <f t="shared" ca="1" si="334"/>
        <v>4.0170166564021281</v>
      </c>
      <c r="AM2102" s="106">
        <f t="shared" ca="1" si="328"/>
        <v>31074.733834327661</v>
      </c>
      <c r="AN2102" s="10">
        <f t="shared" ca="1" si="329"/>
        <v>0.97402293639494708</v>
      </c>
      <c r="AO2102" s="158"/>
      <c r="AP2102" s="158"/>
      <c r="AQ2102" s="1"/>
      <c r="AR2102" s="1"/>
      <c r="AS2102" s="1"/>
      <c r="AT2102" s="1"/>
      <c r="AU2102" s="1"/>
    </row>
    <row r="2103" spans="34:47">
      <c r="AH2103" s="6">
        <f t="shared" si="330"/>
        <v>2073</v>
      </c>
      <c r="AI2103" s="7">
        <f t="shared" ca="1" si="331"/>
        <v>44743</v>
      </c>
      <c r="AJ2103" s="210">
        <f t="shared" ca="1" si="332"/>
        <v>4.1749999999999998</v>
      </c>
      <c r="AK2103" s="8">
        <f t="shared" ca="1" si="333"/>
        <v>1.0001159722222221</v>
      </c>
      <c r="AL2103" s="98">
        <f t="shared" ca="1" si="334"/>
        <v>4.017164331833456</v>
      </c>
      <c r="AM2103" s="106">
        <f t="shared" ca="1" si="328"/>
        <v>31077.294438050834</v>
      </c>
      <c r="AN2103" s="10">
        <f t="shared" ca="1" si="329"/>
        <v>0.97414758364169352</v>
      </c>
      <c r="AO2103" s="158"/>
      <c r="AP2103" s="158"/>
      <c r="AQ2103" s="1"/>
      <c r="AR2103" s="1"/>
      <c r="AS2103" s="1"/>
      <c r="AT2103" s="1"/>
      <c r="AU2103" s="1"/>
    </row>
    <row r="2104" spans="34:47">
      <c r="AH2104" s="6">
        <f t="shared" si="330"/>
        <v>2074</v>
      </c>
      <c r="AI2104" s="7">
        <f t="shared" ca="1" si="331"/>
        <v>44744</v>
      </c>
      <c r="AJ2104" s="210">
        <f t="shared" ca="1" si="332"/>
        <v>4.1749999999999998</v>
      </c>
      <c r="AK2104" s="8">
        <f t="shared" ca="1" si="333"/>
        <v>1.0001159722222221</v>
      </c>
      <c r="AL2104" s="98">
        <f t="shared" ca="1" si="334"/>
        <v>4.017311865067752</v>
      </c>
      <c r="AM2104" s="106">
        <f t="shared" ca="1" si="328"/>
        <v>31079.855252771511</v>
      </c>
      <c r="AN2104" s="10">
        <f t="shared" ca="1" si="329"/>
        <v>0.97427211084224474</v>
      </c>
      <c r="AO2104" s="158"/>
      <c r="AP2104" s="158"/>
      <c r="AQ2104" s="1"/>
      <c r="AR2104" s="1"/>
      <c r="AS2104" s="1"/>
      <c r="AT2104" s="1"/>
      <c r="AU2104" s="1"/>
    </row>
    <row r="2105" spans="34:47">
      <c r="AH2105" s="6">
        <f t="shared" si="330"/>
        <v>2075</v>
      </c>
      <c r="AI2105" s="7">
        <f t="shared" ca="1" si="331"/>
        <v>44745</v>
      </c>
      <c r="AJ2105" s="210">
        <f t="shared" ca="1" si="332"/>
        <v>4.1749999999999998</v>
      </c>
      <c r="AK2105" s="8">
        <f t="shared" ca="1" si="333"/>
        <v>1.0001159722222221</v>
      </c>
      <c r="AL2105" s="98">
        <f t="shared" ca="1" si="334"/>
        <v>4.017459256310274</v>
      </c>
      <c r="AM2105" s="106">
        <f t="shared" ca="1" si="328"/>
        <v>31082.416278507088</v>
      </c>
      <c r="AN2105" s="10">
        <f t="shared" ca="1" si="329"/>
        <v>0.97439651816990658</v>
      </c>
      <c r="AO2105" s="158"/>
      <c r="AP2105" s="158"/>
      <c r="AQ2105" s="1"/>
      <c r="AR2105" s="1"/>
      <c r="AS2105" s="1"/>
      <c r="AT2105" s="1"/>
      <c r="AU2105" s="1"/>
    </row>
    <row r="2106" spans="34:47">
      <c r="AH2106" s="6">
        <f t="shared" si="330"/>
        <v>2076</v>
      </c>
      <c r="AI2106" s="7">
        <f t="shared" ca="1" si="331"/>
        <v>44746</v>
      </c>
      <c r="AJ2106" s="210">
        <f t="shared" ca="1" si="332"/>
        <v>4.1749999999999998</v>
      </c>
      <c r="AK2106" s="8">
        <f t="shared" ca="1" si="333"/>
        <v>1.0001159722222221</v>
      </c>
      <c r="AL2106" s="98">
        <f t="shared" ca="1" si="334"/>
        <v>4.0176065057659471</v>
      </c>
      <c r="AM2106" s="106">
        <f t="shared" ca="1" si="328"/>
        <v>31084.977515274943</v>
      </c>
      <c r="AN2106" s="10">
        <f t="shared" ca="1" si="329"/>
        <v>0.97452080579774059</v>
      </c>
      <c r="AO2106" s="158"/>
      <c r="AP2106" s="158"/>
      <c r="AQ2106" s="1"/>
      <c r="AR2106" s="1"/>
      <c r="AS2106" s="1"/>
      <c r="AT2106" s="1"/>
      <c r="AU2106" s="1"/>
    </row>
    <row r="2107" spans="34:47">
      <c r="AH2107" s="6">
        <f t="shared" si="330"/>
        <v>2077</v>
      </c>
      <c r="AI2107" s="7">
        <f t="shared" ca="1" si="331"/>
        <v>44747</v>
      </c>
      <c r="AJ2107" s="210">
        <f t="shared" ca="1" si="332"/>
        <v>4.1749999999999998</v>
      </c>
      <c r="AK2107" s="8">
        <f t="shared" ca="1" si="333"/>
        <v>1.0001159722222221</v>
      </c>
      <c r="AL2107" s="98">
        <f t="shared" ca="1" si="334"/>
        <v>4.0177536136392522</v>
      </c>
      <c r="AM2107" s="106">
        <f t="shared" ca="1" si="328"/>
        <v>31087.538963092476</v>
      </c>
      <c r="AN2107" s="10">
        <f t="shared" ca="1" si="329"/>
        <v>0.97464497389838645</v>
      </c>
      <c r="AO2107" s="158"/>
      <c r="AP2107" s="158"/>
      <c r="AQ2107" s="1"/>
      <c r="AR2107" s="1"/>
      <c r="AS2107" s="1"/>
      <c r="AT2107" s="1"/>
      <c r="AU2107" s="1"/>
    </row>
    <row r="2108" spans="34:47">
      <c r="AH2108" s="6">
        <f t="shared" si="330"/>
        <v>2078</v>
      </c>
      <c r="AI2108" s="7">
        <f t="shared" ca="1" si="331"/>
        <v>44748</v>
      </c>
      <c r="AJ2108" s="210">
        <f t="shared" ca="1" si="332"/>
        <v>4.1749999999999998</v>
      </c>
      <c r="AK2108" s="8">
        <f t="shared" ca="1" si="333"/>
        <v>1.0001159722222221</v>
      </c>
      <c r="AL2108" s="98">
        <f t="shared" ca="1" si="334"/>
        <v>4.0179005801342704</v>
      </c>
      <c r="AM2108" s="106">
        <f t="shared" ca="1" si="328"/>
        <v>31090.100621977072</v>
      </c>
      <c r="AN2108" s="10">
        <f t="shared" ca="1" si="329"/>
        <v>0.97476902264415077</v>
      </c>
      <c r="AO2108" s="158"/>
      <c r="AP2108" s="158"/>
      <c r="AQ2108" s="1"/>
      <c r="AR2108" s="1"/>
      <c r="AS2108" s="1"/>
      <c r="AT2108" s="1"/>
      <c r="AU2108" s="1"/>
    </row>
    <row r="2109" spans="34:47">
      <c r="AH2109" s="6">
        <f t="shared" si="330"/>
        <v>2079</v>
      </c>
      <c r="AI2109" s="7">
        <f t="shared" ca="1" si="331"/>
        <v>44749</v>
      </c>
      <c r="AJ2109" s="210">
        <f t="shared" ca="1" si="332"/>
        <v>4.1749999999999998</v>
      </c>
      <c r="AK2109" s="8">
        <f t="shared" ca="1" si="333"/>
        <v>1.0001159722222221</v>
      </c>
      <c r="AL2109" s="98">
        <f t="shared" ca="1" si="334"/>
        <v>4.0180474054547277</v>
      </c>
      <c r="AM2109" s="106">
        <f t="shared" ca="1" si="328"/>
        <v>31092.662491946121</v>
      </c>
      <c r="AN2109" s="10">
        <f t="shared" ca="1" si="329"/>
        <v>0.97489295220709593</v>
      </c>
      <c r="AO2109" s="158"/>
      <c r="AP2109" s="158"/>
      <c r="AQ2109" s="1"/>
      <c r="AR2109" s="1"/>
      <c r="AS2109" s="1"/>
      <c r="AT2109" s="1"/>
      <c r="AU2109" s="1"/>
    </row>
    <row r="2110" spans="34:47">
      <c r="AH2110" s="6">
        <f t="shared" si="330"/>
        <v>2080</v>
      </c>
      <c r="AI2110" s="7">
        <f t="shared" ca="1" si="331"/>
        <v>44750</v>
      </c>
      <c r="AJ2110" s="210">
        <f t="shared" ca="1" si="332"/>
        <v>4.1749999999999998</v>
      </c>
      <c r="AK2110" s="8">
        <f t="shared" ca="1" si="333"/>
        <v>1.0001159722222221</v>
      </c>
      <c r="AL2110" s="98">
        <f t="shared" ca="1" si="334"/>
        <v>4.0181940898039503</v>
      </c>
      <c r="AM2110" s="106">
        <f t="shared" ca="1" si="328"/>
        <v>31095.224573017022</v>
      </c>
      <c r="AN2110" s="10">
        <f t="shared" ca="1" si="329"/>
        <v>0.9750167627588846</v>
      </c>
      <c r="AO2110" s="158"/>
      <c r="AP2110" s="158"/>
      <c r="AQ2110" s="1"/>
      <c r="AR2110" s="1"/>
      <c r="AS2110" s="1"/>
      <c r="AT2110" s="1"/>
      <c r="AU2110" s="1"/>
    </row>
    <row r="2111" spans="34:47">
      <c r="AH2111" s="6">
        <f t="shared" si="330"/>
        <v>2081</v>
      </c>
      <c r="AI2111" s="7">
        <f t="shared" ca="1" si="331"/>
        <v>44751</v>
      </c>
      <c r="AJ2111" s="210">
        <f t="shared" ca="1" si="332"/>
        <v>4.1749999999999998</v>
      </c>
      <c r="AK2111" s="8">
        <f t="shared" ca="1" si="333"/>
        <v>1.0001159722222221</v>
      </c>
      <c r="AL2111" s="98">
        <f t="shared" ca="1" si="334"/>
        <v>4.0183406333848648</v>
      </c>
      <c r="AM2111" s="106">
        <f t="shared" ca="1" si="328"/>
        <v>31097.786865207163</v>
      </c>
      <c r="AN2111" s="10">
        <f t="shared" ca="1" si="329"/>
        <v>0.97514045447086861</v>
      </c>
      <c r="AO2111" s="158"/>
      <c r="AP2111" s="158"/>
      <c r="AQ2111" s="1"/>
      <c r="AR2111" s="1"/>
      <c r="AS2111" s="1"/>
      <c r="AT2111" s="1"/>
      <c r="AU2111" s="1"/>
    </row>
    <row r="2112" spans="34:47">
      <c r="AH2112" s="6">
        <f t="shared" si="330"/>
        <v>2082</v>
      </c>
      <c r="AI2112" s="7">
        <f t="shared" ca="1" si="331"/>
        <v>44752</v>
      </c>
      <c r="AJ2112" s="210">
        <f t="shared" ca="1" si="332"/>
        <v>4.1749999999999998</v>
      </c>
      <c r="AK2112" s="8">
        <f t="shared" ca="1" si="333"/>
        <v>1.0001159722222221</v>
      </c>
      <c r="AL2112" s="98">
        <f t="shared" ca="1" si="334"/>
        <v>4.018487036399998</v>
      </c>
      <c r="AM2112" s="106">
        <f t="shared" ca="1" si="328"/>
        <v>31100.266703840553</v>
      </c>
      <c r="AN2112" s="10">
        <f t="shared" ca="1" si="329"/>
        <v>0.97531108000359357</v>
      </c>
      <c r="AO2112" s="158"/>
      <c r="AP2112" s="158"/>
      <c r="AQ2112" s="1"/>
      <c r="AR2112" s="1"/>
      <c r="AS2112" s="1"/>
      <c r="AT2112" s="1"/>
      <c r="AU2112" s="1"/>
    </row>
    <row r="2113" spans="34:47">
      <c r="AH2113" s="6">
        <f t="shared" si="330"/>
        <v>2083</v>
      </c>
      <c r="AI2113" s="7">
        <f t="shared" ca="1" si="331"/>
        <v>44753</v>
      </c>
      <c r="AJ2113" s="210">
        <f t="shared" ca="1" si="332"/>
        <v>4.1749999999999998</v>
      </c>
      <c r="AK2113" s="8">
        <f t="shared" ca="1" si="333"/>
        <v>1.0001159722222221</v>
      </c>
      <c r="AL2113" s="98">
        <f t="shared" ca="1" si="334"/>
        <v>4.0186332990514995</v>
      </c>
      <c r="AM2113" s="106">
        <f t="shared" ca="1" si="328"/>
        <v>31102.746740224342</v>
      </c>
      <c r="AN2113" s="10">
        <f t="shared" ca="1" si="329"/>
        <v>0.97548154199746939</v>
      </c>
      <c r="AO2113" s="158"/>
      <c r="AP2113" s="158"/>
      <c r="AQ2113" s="1"/>
      <c r="AR2113" s="1"/>
      <c r="AS2113" s="1"/>
      <c r="AT2113" s="1"/>
      <c r="AU2113" s="1"/>
    </row>
    <row r="2114" spans="34:47">
      <c r="AH2114" s="6">
        <f t="shared" si="330"/>
        <v>2084</v>
      </c>
      <c r="AI2114" s="7">
        <f t="shared" ca="1" si="331"/>
        <v>44754</v>
      </c>
      <c r="AJ2114" s="210">
        <f t="shared" ca="1" si="332"/>
        <v>4.1749999999999998</v>
      </c>
      <c r="AK2114" s="8">
        <f t="shared" ca="1" si="333"/>
        <v>1.0001159722222221</v>
      </c>
      <c r="AL2114" s="98">
        <f t="shared" ca="1" si="334"/>
        <v>4.018779421541141</v>
      </c>
      <c r="AM2114" s="106">
        <f t="shared" ca="1" si="328"/>
        <v>31105.226974374295</v>
      </c>
      <c r="AN2114" s="10">
        <f t="shared" ca="1" si="329"/>
        <v>0.9756518406875303</v>
      </c>
      <c r="AO2114" s="158"/>
      <c r="AP2114" s="158"/>
      <c r="AQ2114" s="1"/>
      <c r="AR2114" s="1"/>
      <c r="AS2114" s="1"/>
      <c r="AT2114" s="1"/>
      <c r="AU2114" s="1"/>
    </row>
    <row r="2115" spans="34:47">
      <c r="AH2115" s="6">
        <f t="shared" si="330"/>
        <v>2085</v>
      </c>
      <c r="AI2115" s="7">
        <f t="shared" ca="1" si="331"/>
        <v>44755</v>
      </c>
      <c r="AJ2115" s="210">
        <f t="shared" ca="1" si="332"/>
        <v>4.1749999999999998</v>
      </c>
      <c r="AK2115" s="8">
        <f t="shared" ca="1" si="333"/>
        <v>1.0001159722222221</v>
      </c>
      <c r="AL2115" s="98">
        <f t="shared" ca="1" si="334"/>
        <v>4.0189254040702949</v>
      </c>
      <c r="AM2115" s="106">
        <f t="shared" ca="1" si="328"/>
        <v>31107.707406306181</v>
      </c>
      <c r="AN2115" s="10">
        <f t="shared" ca="1" si="329"/>
        <v>0.97582197630834422</v>
      </c>
      <c r="AO2115" s="158"/>
      <c r="AP2115" s="158"/>
      <c r="AQ2115" s="1"/>
      <c r="AR2115" s="1"/>
      <c r="AS2115" s="1"/>
      <c r="AT2115" s="1"/>
      <c r="AU2115" s="1"/>
    </row>
    <row r="2116" spans="34:47">
      <c r="AH2116" s="6">
        <f t="shared" si="330"/>
        <v>2086</v>
      </c>
      <c r="AI2116" s="7">
        <f t="shared" ca="1" si="331"/>
        <v>44756</v>
      </c>
      <c r="AJ2116" s="210">
        <f t="shared" ca="1" si="332"/>
        <v>4.1749999999999998</v>
      </c>
      <c r="AK2116" s="8">
        <f t="shared" ca="1" si="333"/>
        <v>1.0001159722222221</v>
      </c>
      <c r="AL2116" s="98">
        <f t="shared" ca="1" si="334"/>
        <v>4.0190712468399559</v>
      </c>
      <c r="AM2116" s="106">
        <f t="shared" ca="1" si="328"/>
        <v>31110.188036035772</v>
      </c>
      <c r="AN2116" s="10">
        <f t="shared" ca="1" si="329"/>
        <v>0.97599194909401277</v>
      </c>
      <c r="AO2116" s="158"/>
      <c r="AP2116" s="158"/>
      <c r="AQ2116" s="1"/>
      <c r="AR2116" s="1"/>
      <c r="AS2116" s="1"/>
      <c r="AT2116" s="1"/>
      <c r="AU2116" s="1"/>
    </row>
    <row r="2117" spans="34:47">
      <c r="AH2117" s="6">
        <f t="shared" si="330"/>
        <v>2087</v>
      </c>
      <c r="AI2117" s="7">
        <f t="shared" ca="1" si="331"/>
        <v>44757</v>
      </c>
      <c r="AJ2117" s="210">
        <f t="shared" ca="1" si="332"/>
        <v>4.1749999999999998</v>
      </c>
      <c r="AK2117" s="8">
        <f t="shared" ca="1" si="333"/>
        <v>1.0001159722222221</v>
      </c>
      <c r="AL2117" s="98">
        <f t="shared" ca="1" si="334"/>
        <v>4.0192169500507413</v>
      </c>
      <c r="AM2117" s="106">
        <f t="shared" ca="1" si="328"/>
        <v>31112.668863578845</v>
      </c>
      <c r="AN2117" s="10">
        <f t="shared" ca="1" si="329"/>
        <v>0.97616175927819349</v>
      </c>
      <c r="AO2117" s="158"/>
      <c r="AP2117" s="158"/>
      <c r="AQ2117" s="1"/>
      <c r="AR2117" s="1"/>
      <c r="AS2117" s="1"/>
      <c r="AT2117" s="1"/>
      <c r="AU2117" s="1"/>
    </row>
    <row r="2118" spans="34:47">
      <c r="AH2118" s="6">
        <f t="shared" si="330"/>
        <v>2088</v>
      </c>
      <c r="AI2118" s="7">
        <f t="shared" ca="1" si="331"/>
        <v>44758</v>
      </c>
      <c r="AJ2118" s="210">
        <f t="shared" ca="1" si="332"/>
        <v>4.1749999999999998</v>
      </c>
      <c r="AK2118" s="8">
        <f t="shared" ca="1" si="333"/>
        <v>1.0001159722222221</v>
      </c>
      <c r="AL2118" s="98">
        <f t="shared" ca="1" si="334"/>
        <v>4.0193625139028688</v>
      </c>
      <c r="AM2118" s="106">
        <f t="shared" ca="1" si="328"/>
        <v>31115.149888951175</v>
      </c>
      <c r="AN2118" s="10">
        <f t="shared" ca="1" si="329"/>
        <v>0.97633140709409982</v>
      </c>
      <c r="AO2118" s="158"/>
      <c r="AP2118" s="158"/>
      <c r="AQ2118" s="1"/>
      <c r="AR2118" s="1"/>
      <c r="AS2118" s="1"/>
      <c r="AT2118" s="1"/>
      <c r="AU2118" s="1"/>
    </row>
    <row r="2119" spans="34:47">
      <c r="AH2119" s="6">
        <f t="shared" si="330"/>
        <v>2089</v>
      </c>
      <c r="AI2119" s="7">
        <f t="shared" ca="1" si="331"/>
        <v>44759</v>
      </c>
      <c r="AJ2119" s="210">
        <f t="shared" ca="1" si="332"/>
        <v>4.1749999999999998</v>
      </c>
      <c r="AK2119" s="8">
        <f t="shared" ca="1" si="333"/>
        <v>1.0001159722222221</v>
      </c>
      <c r="AL2119" s="98">
        <f t="shared" ca="1" si="334"/>
        <v>4.0195079385961563</v>
      </c>
      <c r="AM2119" s="106">
        <f t="shared" ca="1" si="328"/>
        <v>31117.631112168528</v>
      </c>
      <c r="AN2119" s="10">
        <f t="shared" ca="1" si="329"/>
        <v>0.97650089277450114</v>
      </c>
      <c r="AO2119" s="158"/>
      <c r="AP2119" s="158"/>
      <c r="AQ2119" s="1"/>
      <c r="AR2119" s="1"/>
      <c r="AS2119" s="1"/>
      <c r="AT2119" s="1"/>
      <c r="AU2119" s="1"/>
    </row>
    <row r="2120" spans="34:47">
      <c r="AH2120" s="6">
        <f t="shared" si="330"/>
        <v>2090</v>
      </c>
      <c r="AI2120" s="7">
        <f t="shared" ca="1" si="331"/>
        <v>44760</v>
      </c>
      <c r="AJ2120" s="210">
        <f t="shared" ca="1" si="332"/>
        <v>4.1749999999999998</v>
      </c>
      <c r="AK2120" s="8">
        <f t="shared" ca="1" si="333"/>
        <v>1.0001159722222221</v>
      </c>
      <c r="AL2120" s="98">
        <f t="shared" ca="1" si="334"/>
        <v>4.0196532243300886</v>
      </c>
      <c r="AM2120" s="106">
        <f t="shared" ca="1" si="328"/>
        <v>31120.112533246695</v>
      </c>
      <c r="AN2120" s="10">
        <f t="shared" ca="1" si="329"/>
        <v>0.9766702165517227</v>
      </c>
      <c r="AO2120" s="158"/>
      <c r="AP2120" s="158"/>
      <c r="AQ2120" s="1"/>
      <c r="AR2120" s="1"/>
      <c r="AS2120" s="1"/>
      <c r="AT2120" s="1"/>
      <c r="AU2120" s="1"/>
    </row>
    <row r="2121" spans="34:47">
      <c r="AH2121" s="6">
        <f t="shared" si="330"/>
        <v>2091</v>
      </c>
      <c r="AI2121" s="7">
        <f t="shared" ca="1" si="331"/>
        <v>44761</v>
      </c>
      <c r="AJ2121" s="210">
        <f t="shared" ca="1" si="332"/>
        <v>4.1749999999999998</v>
      </c>
      <c r="AK2121" s="8">
        <f t="shared" ca="1" si="333"/>
        <v>1.0001159722222221</v>
      </c>
      <c r="AL2121" s="98">
        <f t="shared" ca="1" si="334"/>
        <v>4.0197983713037289</v>
      </c>
      <c r="AM2121" s="106">
        <f t="shared" ca="1" si="328"/>
        <v>31122.594152201444</v>
      </c>
      <c r="AN2121" s="10">
        <f t="shared" ca="1" si="329"/>
        <v>0.97683937865762349</v>
      </c>
      <c r="AO2121" s="158"/>
      <c r="AP2121" s="158"/>
      <c r="AQ2121" s="1"/>
      <c r="AR2121" s="1"/>
      <c r="AS2121" s="1"/>
      <c r="AT2121" s="1"/>
      <c r="AU2121" s="1"/>
    </row>
    <row r="2122" spans="34:47">
      <c r="AH2122" s="6">
        <f t="shared" si="330"/>
        <v>2092</v>
      </c>
      <c r="AI2122" s="7">
        <f t="shared" ca="1" si="331"/>
        <v>44762</v>
      </c>
      <c r="AJ2122" s="210">
        <f t="shared" ca="1" si="332"/>
        <v>4.1749999999999998</v>
      </c>
      <c r="AK2122" s="8">
        <f t="shared" ca="1" si="333"/>
        <v>1.0001159722222221</v>
      </c>
      <c r="AL2122" s="98">
        <f t="shared" ca="1" si="334"/>
        <v>4.0199433797157846</v>
      </c>
      <c r="AM2122" s="106">
        <f t="shared" ca="1" si="328"/>
        <v>31125.075969048557</v>
      </c>
      <c r="AN2122" s="10">
        <f t="shared" ca="1" si="329"/>
        <v>0.9770083793236628</v>
      </c>
      <c r="AO2122" s="158"/>
      <c r="AP2122" s="158"/>
      <c r="AQ2122" s="1"/>
      <c r="AR2122" s="1"/>
      <c r="AS2122" s="1"/>
      <c r="AT2122" s="1"/>
      <c r="AU2122" s="1"/>
    </row>
    <row r="2123" spans="34:47">
      <c r="AH2123" s="6">
        <f t="shared" si="330"/>
        <v>2093</v>
      </c>
      <c r="AI2123" s="7">
        <f t="shared" ca="1" si="331"/>
        <v>44763</v>
      </c>
      <c r="AJ2123" s="210">
        <f t="shared" ca="1" si="332"/>
        <v>4.1749999999999998</v>
      </c>
      <c r="AK2123" s="8">
        <f t="shared" ca="1" si="333"/>
        <v>1.0001159722222221</v>
      </c>
      <c r="AL2123" s="98">
        <f t="shared" ca="1" si="334"/>
        <v>4.020088249764564</v>
      </c>
      <c r="AM2123" s="106">
        <f t="shared" ca="1" si="328"/>
        <v>31127.557983803817</v>
      </c>
      <c r="AN2123" s="10">
        <f t="shared" ca="1" si="329"/>
        <v>0.97717721878083363</v>
      </c>
      <c r="AO2123" s="158"/>
      <c r="AP2123" s="158"/>
      <c r="AQ2123" s="1"/>
      <c r="AR2123" s="1"/>
      <c r="AS2123" s="1"/>
      <c r="AT2123" s="1"/>
      <c r="AU2123" s="1"/>
    </row>
    <row r="2124" spans="34:47">
      <c r="AH2124" s="6">
        <f t="shared" si="330"/>
        <v>2094</v>
      </c>
      <c r="AI2124" s="7">
        <f t="shared" ca="1" si="331"/>
        <v>44764</v>
      </c>
      <c r="AJ2124" s="210">
        <f t="shared" ca="1" si="332"/>
        <v>4.1749999999999998</v>
      </c>
      <c r="AK2124" s="8">
        <f t="shared" ca="1" si="333"/>
        <v>1.0001159722222221</v>
      </c>
      <c r="AL2124" s="98">
        <f t="shared" ca="1" si="334"/>
        <v>4.0202329816479976</v>
      </c>
      <c r="AM2124" s="106">
        <f t="shared" ca="1" si="328"/>
        <v>31130.040196483002</v>
      </c>
      <c r="AN2124" s="10">
        <f t="shared" ca="1" si="329"/>
        <v>0.9773458972596627</v>
      </c>
      <c r="AO2124" s="158"/>
      <c r="AP2124" s="158"/>
      <c r="AQ2124" s="1"/>
      <c r="AR2124" s="1"/>
      <c r="AS2124" s="1"/>
      <c r="AT2124" s="1"/>
      <c r="AU2124" s="1"/>
    </row>
    <row r="2125" spans="34:47">
      <c r="AH2125" s="6">
        <f t="shared" si="330"/>
        <v>2095</v>
      </c>
      <c r="AI2125" s="7">
        <f t="shared" ca="1" si="331"/>
        <v>44765</v>
      </c>
      <c r="AJ2125" s="210">
        <f t="shared" ca="1" si="332"/>
        <v>4.1749999999999998</v>
      </c>
      <c r="AK2125" s="8">
        <f t="shared" ca="1" si="333"/>
        <v>1.0001159722222221</v>
      </c>
      <c r="AL2125" s="98">
        <f t="shared" ca="1" si="334"/>
        <v>4.0203775755636606</v>
      </c>
      <c r="AM2125" s="106">
        <f t="shared" ca="1" si="328"/>
        <v>31132.522607101891</v>
      </c>
      <c r="AN2125" s="10">
        <f t="shared" ca="1" si="329"/>
        <v>0.97751441499029923</v>
      </c>
      <c r="AO2125" s="158"/>
      <c r="AP2125" s="158"/>
      <c r="AQ2125" s="1"/>
      <c r="AR2125" s="1"/>
      <c r="AS2125" s="1"/>
      <c r="AT2125" s="1"/>
      <c r="AU2125" s="1"/>
    </row>
    <row r="2126" spans="34:47">
      <c r="AH2126" s="6">
        <f t="shared" si="330"/>
        <v>2096</v>
      </c>
      <c r="AI2126" s="7">
        <f t="shared" ca="1" si="331"/>
        <v>44766</v>
      </c>
      <c r="AJ2126" s="210">
        <f t="shared" ca="1" si="332"/>
        <v>4.1749999999999998</v>
      </c>
      <c r="AK2126" s="8">
        <f t="shared" ca="1" si="333"/>
        <v>1.0001159722222221</v>
      </c>
      <c r="AL2126" s="98">
        <f t="shared" ca="1" si="334"/>
        <v>4.0205220317087509</v>
      </c>
      <c r="AM2126" s="106">
        <f t="shared" ca="1" si="328"/>
        <v>31135.005215676279</v>
      </c>
      <c r="AN2126" s="10">
        <f t="shared" ca="1" si="329"/>
        <v>0.97768277220240396</v>
      </c>
      <c r="AO2126" s="158"/>
      <c r="AP2126" s="158"/>
      <c r="AQ2126" s="1"/>
      <c r="AR2126" s="1"/>
      <c r="AS2126" s="1"/>
      <c r="AT2126" s="1"/>
      <c r="AU2126" s="1"/>
    </row>
    <row r="2127" spans="34:47">
      <c r="AH2127" s="6">
        <f t="shared" si="330"/>
        <v>2097</v>
      </c>
      <c r="AI2127" s="7">
        <f t="shared" ca="1" si="331"/>
        <v>44767</v>
      </c>
      <c r="AJ2127" s="210">
        <f t="shared" ca="1" si="332"/>
        <v>4.1749999999999998</v>
      </c>
      <c r="AK2127" s="8">
        <f t="shared" ca="1" si="333"/>
        <v>1.0001159722222221</v>
      </c>
      <c r="AL2127" s="98">
        <f t="shared" ca="1" si="334"/>
        <v>4.0206663502800444</v>
      </c>
      <c r="AM2127" s="106">
        <f t="shared" ca="1" si="328"/>
        <v>31137.488022221947</v>
      </c>
      <c r="AN2127" s="10">
        <f t="shared" ca="1" si="329"/>
        <v>0.97785096912521574</v>
      </c>
      <c r="AO2127" s="158"/>
      <c r="AP2127" s="158"/>
      <c r="AQ2127" s="1"/>
      <c r="AR2127" s="1"/>
      <c r="AS2127" s="1"/>
      <c r="AT2127" s="1"/>
      <c r="AU2127" s="1"/>
    </row>
    <row r="2128" spans="34:47">
      <c r="AH2128" s="6">
        <f t="shared" si="330"/>
        <v>2098</v>
      </c>
      <c r="AI2128" s="7">
        <f t="shared" ca="1" si="331"/>
        <v>44768</v>
      </c>
      <c r="AJ2128" s="210">
        <f t="shared" ca="1" si="332"/>
        <v>4.1749999999999998</v>
      </c>
      <c r="AK2128" s="8">
        <f t="shared" ca="1" si="333"/>
        <v>1.0001159722222221</v>
      </c>
      <c r="AL2128" s="98">
        <f t="shared" ca="1" si="334"/>
        <v>4.0208105314740061</v>
      </c>
      <c r="AM2128" s="106">
        <f t="shared" ca="1" si="328"/>
        <v>31139.971026754676</v>
      </c>
      <c r="AN2128" s="10">
        <f t="shared" ca="1" si="329"/>
        <v>0.97801900598755154</v>
      </c>
      <c r="AO2128" s="158"/>
      <c r="AP2128" s="158"/>
      <c r="AQ2128" s="1"/>
      <c r="AR2128" s="1"/>
      <c r="AS2128" s="1"/>
      <c r="AT2128" s="1"/>
      <c r="AU2128" s="1"/>
    </row>
    <row r="2129" spans="34:47">
      <c r="AH2129" s="6">
        <f t="shared" si="330"/>
        <v>2099</v>
      </c>
      <c r="AI2129" s="7">
        <f t="shared" ca="1" si="331"/>
        <v>44769</v>
      </c>
      <c r="AJ2129" s="210">
        <f t="shared" ca="1" si="332"/>
        <v>4.1749999999999998</v>
      </c>
      <c r="AK2129" s="8">
        <f t="shared" ca="1" si="333"/>
        <v>1.0001159722222221</v>
      </c>
      <c r="AL2129" s="98">
        <f t="shared" ca="1" si="334"/>
        <v>4.0209545754866793</v>
      </c>
      <c r="AM2129" s="106">
        <f t="shared" ca="1" si="328"/>
        <v>31142.454229290266</v>
      </c>
      <c r="AN2129" s="10">
        <f t="shared" ca="1" si="329"/>
        <v>0.97818688301773982</v>
      </c>
      <c r="AO2129" s="158"/>
      <c r="AP2129" s="158"/>
      <c r="AQ2129" s="1"/>
      <c r="AR2129" s="1"/>
      <c r="AS2129" s="1"/>
      <c r="AT2129" s="1"/>
      <c r="AU2129" s="1"/>
    </row>
    <row r="2130" spans="34:47">
      <c r="AH2130" s="6">
        <f t="shared" si="330"/>
        <v>2100</v>
      </c>
      <c r="AI2130" s="7">
        <f t="shared" ca="1" si="331"/>
        <v>44770</v>
      </c>
      <c r="AJ2130" s="210">
        <f t="shared" ca="1" si="332"/>
        <v>4.1749999999999998</v>
      </c>
      <c r="AK2130" s="8">
        <f t="shared" ca="1" si="333"/>
        <v>1.0001159722222221</v>
      </c>
      <c r="AL2130" s="98">
        <f t="shared" ca="1" si="334"/>
        <v>4.0210984825137741</v>
      </c>
      <c r="AM2130" s="106">
        <f t="shared" ca="1" si="328"/>
        <v>31144.937629844495</v>
      </c>
      <c r="AN2130" s="10">
        <f t="shared" ca="1" si="329"/>
        <v>0.97835460044375377</v>
      </c>
      <c r="AO2130" s="158"/>
      <c r="AP2130" s="158"/>
      <c r="AQ2130" s="1"/>
      <c r="AR2130" s="1"/>
      <c r="AS2130" s="1"/>
      <c r="AT2130" s="1"/>
      <c r="AU2130" s="1"/>
    </row>
    <row r="2131" spans="34:47">
      <c r="AH2131" s="6">
        <f t="shared" si="330"/>
        <v>2101</v>
      </c>
      <c r="AI2131" s="7">
        <f t="shared" ca="1" si="331"/>
        <v>44771</v>
      </c>
      <c r="AJ2131" s="210">
        <f t="shared" ca="1" si="332"/>
        <v>4.1749999999999998</v>
      </c>
      <c r="AK2131" s="8">
        <f t="shared" ca="1" si="333"/>
        <v>1.0001159722222221</v>
      </c>
      <c r="AL2131" s="98">
        <f t="shared" ca="1" si="334"/>
        <v>4.0212422527505787</v>
      </c>
      <c r="AM2131" s="106">
        <f t="shared" ca="1" si="328"/>
        <v>31147.421228433159</v>
      </c>
      <c r="AN2131" s="10">
        <f t="shared" ca="1" si="329"/>
        <v>0.97852215849307811</v>
      </c>
      <c r="AO2131" s="158"/>
      <c r="AP2131" s="158"/>
      <c r="AQ2131" s="1"/>
      <c r="AR2131" s="1"/>
      <c r="AS2131" s="1"/>
      <c r="AT2131" s="1"/>
      <c r="AU2131" s="1"/>
    </row>
    <row r="2132" spans="34:47">
      <c r="AH2132" s="6">
        <f t="shared" si="330"/>
        <v>2102</v>
      </c>
      <c r="AI2132" s="7">
        <f t="shared" ca="1" si="331"/>
        <v>44772</v>
      </c>
      <c r="AJ2132" s="210">
        <f t="shared" ca="1" si="332"/>
        <v>4.1749999999999998</v>
      </c>
      <c r="AK2132" s="8">
        <f t="shared" ca="1" si="333"/>
        <v>1.0001159722222221</v>
      </c>
      <c r="AL2132" s="98">
        <f t="shared" ca="1" si="334"/>
        <v>4.0213858863920704</v>
      </c>
      <c r="AM2132" s="106">
        <f t="shared" ca="1" si="328"/>
        <v>31149.905025072054</v>
      </c>
      <c r="AN2132" s="10">
        <f t="shared" ca="1" si="329"/>
        <v>0.97868955739279784</v>
      </c>
      <c r="AO2132" s="158"/>
      <c r="AP2132" s="158"/>
      <c r="AQ2132" s="1"/>
      <c r="AR2132" s="1"/>
      <c r="AS2132" s="1"/>
      <c r="AT2132" s="1"/>
      <c r="AU2132" s="1"/>
    </row>
    <row r="2133" spans="34:47">
      <c r="AH2133" s="6">
        <f t="shared" si="330"/>
        <v>2103</v>
      </c>
      <c r="AI2133" s="7">
        <f t="shared" ca="1" si="331"/>
        <v>44773</v>
      </c>
      <c r="AJ2133" s="210">
        <f t="shared" ca="1" si="332"/>
        <v>4.1749999999999998</v>
      </c>
      <c r="AK2133" s="8">
        <f t="shared" ca="1" si="333"/>
        <v>1.0001159722222221</v>
      </c>
      <c r="AL2133" s="98">
        <f t="shared" ca="1" si="334"/>
        <v>4.0215293836328048</v>
      </c>
      <c r="AM2133" s="106">
        <f t="shared" ca="1" si="328"/>
        <v>31152.389019776965</v>
      </c>
      <c r="AN2133" s="10">
        <f t="shared" ca="1" si="329"/>
        <v>0.97885679736955389</v>
      </c>
      <c r="AO2133" s="158"/>
      <c r="AP2133" s="158"/>
      <c r="AQ2133" s="1"/>
      <c r="AR2133" s="1"/>
      <c r="AS2133" s="1"/>
      <c r="AT2133" s="1"/>
      <c r="AU2133" s="1"/>
    </row>
    <row r="2134" spans="34:47">
      <c r="AH2134" s="6">
        <f t="shared" si="330"/>
        <v>2104</v>
      </c>
      <c r="AI2134" s="7">
        <f t="shared" ca="1" si="331"/>
        <v>44774</v>
      </c>
      <c r="AJ2134" s="210">
        <f t="shared" ca="1" si="332"/>
        <v>4.1749999999999998</v>
      </c>
      <c r="AK2134" s="8">
        <f t="shared" ca="1" si="333"/>
        <v>1.0001159722222221</v>
      </c>
      <c r="AL2134" s="98">
        <f t="shared" ca="1" si="334"/>
        <v>4.021672744666982</v>
      </c>
      <c r="AM2134" s="106">
        <f t="shared" ca="1" si="328"/>
        <v>31154.873212563693</v>
      </c>
      <c r="AN2134" s="10">
        <f t="shared" ca="1" si="329"/>
        <v>0.97902387864949869</v>
      </c>
      <c r="AO2134" s="158"/>
      <c r="AP2134" s="158"/>
      <c r="AQ2134" s="1"/>
      <c r="AR2134" s="1"/>
      <c r="AS2134" s="1"/>
      <c r="AT2134" s="1"/>
      <c r="AU2134" s="1"/>
    </row>
    <row r="2135" spans="34:47">
      <c r="AH2135" s="6">
        <f t="shared" si="330"/>
        <v>2105</v>
      </c>
      <c r="AI2135" s="7">
        <f t="shared" ca="1" si="331"/>
        <v>44775</v>
      </c>
      <c r="AJ2135" s="210">
        <f t="shared" ca="1" si="332"/>
        <v>4.1749999999999998</v>
      </c>
      <c r="AK2135" s="8">
        <f t="shared" ca="1" si="333"/>
        <v>1.0001159722222221</v>
      </c>
      <c r="AL2135" s="98">
        <f t="shared" ca="1" si="334"/>
        <v>4.021815969688447</v>
      </c>
      <c r="AM2135" s="106">
        <f t="shared" ca="1" si="328"/>
        <v>31157.357603448025</v>
      </c>
      <c r="AN2135" s="10">
        <f t="shared" ca="1" si="329"/>
        <v>0.97919080145845161</v>
      </c>
      <c r="AO2135" s="158"/>
      <c r="AP2135" s="158"/>
      <c r="AQ2135" s="1"/>
      <c r="AR2135" s="1"/>
      <c r="AS2135" s="1"/>
      <c r="AT2135" s="1"/>
      <c r="AU2135" s="1"/>
    </row>
    <row r="2136" spans="34:47">
      <c r="AH2136" s="6">
        <f t="shared" si="330"/>
        <v>2106</v>
      </c>
      <c r="AI2136" s="7">
        <f t="shared" ca="1" si="331"/>
        <v>44776</v>
      </c>
      <c r="AJ2136" s="210">
        <f t="shared" ca="1" si="332"/>
        <v>4.1749999999999998</v>
      </c>
      <c r="AK2136" s="8">
        <f t="shared" ca="1" si="333"/>
        <v>1.0001159722222221</v>
      </c>
      <c r="AL2136" s="98">
        <f t="shared" ca="1" si="334"/>
        <v>4.0219590588906673</v>
      </c>
      <c r="AM2136" s="106">
        <f t="shared" ca="1" si="328"/>
        <v>31159.842192445773</v>
      </c>
      <c r="AN2136" s="10">
        <f t="shared" ca="1" si="329"/>
        <v>0.97935756602176571</v>
      </c>
      <c r="AO2136" s="158"/>
      <c r="AP2136" s="158"/>
      <c r="AQ2136" s="1"/>
      <c r="AR2136" s="1"/>
      <c r="AS2136" s="1"/>
      <c r="AT2136" s="1"/>
      <c r="AU2136" s="1"/>
    </row>
    <row r="2137" spans="34:47">
      <c r="AH2137" s="6">
        <f t="shared" si="330"/>
        <v>2107</v>
      </c>
      <c r="AI2137" s="7">
        <f t="shared" ca="1" si="331"/>
        <v>44777</v>
      </c>
      <c r="AJ2137" s="210">
        <f t="shared" ca="1" si="332"/>
        <v>4.1749999999999998</v>
      </c>
      <c r="AK2137" s="8">
        <f t="shared" ca="1" si="333"/>
        <v>1.0001159722222221</v>
      </c>
      <c r="AL2137" s="98">
        <f t="shared" ca="1" si="334"/>
        <v>4.022102012466755</v>
      </c>
      <c r="AM2137" s="106">
        <f t="shared" ca="1" si="328"/>
        <v>31162.326979572717</v>
      </c>
      <c r="AN2137" s="10">
        <f t="shared" ca="1" si="329"/>
        <v>0.97952417256434998</v>
      </c>
      <c r="AO2137" s="158"/>
      <c r="AP2137" s="158"/>
      <c r="AQ2137" s="1"/>
      <c r="AR2137" s="1"/>
      <c r="AS2137" s="1"/>
      <c r="AT2137" s="1"/>
      <c r="AU2137" s="1"/>
    </row>
    <row r="2138" spans="34:47">
      <c r="AH2138" s="6">
        <f t="shared" si="330"/>
        <v>2108</v>
      </c>
      <c r="AI2138" s="7">
        <f t="shared" ca="1" si="331"/>
        <v>44778</v>
      </c>
      <c r="AJ2138" s="210">
        <f t="shared" ca="1" si="332"/>
        <v>4.1749999999999998</v>
      </c>
      <c r="AK2138" s="8">
        <f t="shared" ca="1" si="333"/>
        <v>1.0001159722222221</v>
      </c>
      <c r="AL2138" s="98">
        <f t="shared" ca="1" si="334"/>
        <v>4.0222448306094449</v>
      </c>
      <c r="AM2138" s="106">
        <f t="shared" ca="1" si="328"/>
        <v>31164.81196484467</v>
      </c>
      <c r="AN2138" s="10">
        <f t="shared" ca="1" si="329"/>
        <v>0.97969062131071372</v>
      </c>
      <c r="AO2138" s="158"/>
      <c r="AP2138" s="158"/>
      <c r="AQ2138" s="1"/>
      <c r="AR2138" s="1"/>
      <c r="AS2138" s="1"/>
      <c r="AT2138" s="1"/>
      <c r="AU2138" s="1"/>
    </row>
    <row r="2139" spans="34:47">
      <c r="AH2139" s="6">
        <f t="shared" si="330"/>
        <v>2109</v>
      </c>
      <c r="AI2139" s="7">
        <f t="shared" ca="1" si="331"/>
        <v>44779</v>
      </c>
      <c r="AJ2139" s="210">
        <f t="shared" ca="1" si="332"/>
        <v>4.1749999999999998</v>
      </c>
      <c r="AK2139" s="8">
        <f t="shared" ca="1" si="333"/>
        <v>1.0001159722222221</v>
      </c>
      <c r="AL2139" s="98">
        <f t="shared" ca="1" si="334"/>
        <v>4.0223875135110942</v>
      </c>
      <c r="AM2139" s="106">
        <f t="shared" ca="1" si="328"/>
        <v>31167.297148277423</v>
      </c>
      <c r="AN2139" s="10">
        <f t="shared" ca="1" si="329"/>
        <v>0.97985691248489992</v>
      </c>
      <c r="AO2139" s="158"/>
      <c r="AP2139" s="158"/>
      <c r="AQ2139" s="1"/>
      <c r="AR2139" s="1"/>
      <c r="AS2139" s="1"/>
      <c r="AT2139" s="1"/>
      <c r="AU2139" s="1"/>
    </row>
    <row r="2140" spans="34:47">
      <c r="AH2140" s="6">
        <f t="shared" si="330"/>
        <v>2110</v>
      </c>
      <c r="AI2140" s="7">
        <f t="shared" ca="1" si="331"/>
        <v>44780</v>
      </c>
      <c r="AJ2140" s="210">
        <f t="shared" ca="1" si="332"/>
        <v>4.1749999999999998</v>
      </c>
      <c r="AK2140" s="8">
        <f t="shared" ca="1" si="333"/>
        <v>1.0001159722222221</v>
      </c>
      <c r="AL2140" s="98">
        <f t="shared" ca="1" si="334"/>
        <v>4.0225300613637271</v>
      </c>
      <c r="AM2140" s="106">
        <f t="shared" ca="1" si="328"/>
        <v>31169.78252988679</v>
      </c>
      <c r="AN2140" s="10">
        <f t="shared" ca="1" si="329"/>
        <v>0.98002304631059634</v>
      </c>
      <c r="AO2140" s="158"/>
      <c r="AP2140" s="158"/>
      <c r="AQ2140" s="1"/>
      <c r="AR2140" s="1"/>
      <c r="AS2140" s="1"/>
      <c r="AT2140" s="1"/>
      <c r="AU2140" s="1"/>
    </row>
    <row r="2141" spans="34:47">
      <c r="AH2141" s="6">
        <f t="shared" si="330"/>
        <v>2111</v>
      </c>
      <c r="AI2141" s="7">
        <f t="shared" ca="1" si="331"/>
        <v>44781</v>
      </c>
      <c r="AJ2141" s="210">
        <f t="shared" ca="1" si="332"/>
        <v>4.1749999999999998</v>
      </c>
      <c r="AK2141" s="8">
        <f t="shared" ca="1" si="333"/>
        <v>1.0001159722222221</v>
      </c>
      <c r="AL2141" s="98">
        <f t="shared" ca="1" si="334"/>
        <v>4.0226724743589681</v>
      </c>
      <c r="AM2141" s="106">
        <f t="shared" ca="1" si="328"/>
        <v>31172.268109688564</v>
      </c>
      <c r="AN2141" s="10">
        <f t="shared" ca="1" si="329"/>
        <v>0.98018902301097999</v>
      </c>
      <c r="AO2141" s="158"/>
      <c r="AP2141" s="158"/>
      <c r="AQ2141" s="1"/>
      <c r="AR2141" s="1"/>
      <c r="AS2141" s="1"/>
      <c r="AT2141" s="1"/>
      <c r="AU2141" s="1"/>
    </row>
    <row r="2142" spans="34:47">
      <c r="AH2142" s="6">
        <f t="shared" si="330"/>
        <v>2112</v>
      </c>
      <c r="AI2142" s="7">
        <f t="shared" ca="1" si="331"/>
        <v>44782</v>
      </c>
      <c r="AJ2142" s="210">
        <f t="shared" ca="1" si="332"/>
        <v>4.1749999999999998</v>
      </c>
      <c r="AK2142" s="8">
        <f t="shared" ca="1" si="333"/>
        <v>1.0001159722222221</v>
      </c>
      <c r="AL2142" s="98">
        <f t="shared" ca="1" si="334"/>
        <v>4.0228147526881308</v>
      </c>
      <c r="AM2142" s="106">
        <f t="shared" ca="1" si="328"/>
        <v>31174.753887698549</v>
      </c>
      <c r="AN2142" s="10">
        <f t="shared" ca="1" si="329"/>
        <v>0.98035484280891705</v>
      </c>
      <c r="AO2142" s="158"/>
      <c r="AP2142" s="158"/>
      <c r="AQ2142" s="1"/>
      <c r="AR2142" s="1"/>
      <c r="AS2142" s="1"/>
      <c r="AT2142" s="1"/>
      <c r="AU2142" s="1"/>
    </row>
    <row r="2143" spans="34:47">
      <c r="AH2143" s="6">
        <f t="shared" si="330"/>
        <v>2113</v>
      </c>
      <c r="AI2143" s="7">
        <f t="shared" ca="1" si="331"/>
        <v>44783</v>
      </c>
      <c r="AJ2143" s="210">
        <f t="shared" ca="1" si="332"/>
        <v>4.1749999999999998</v>
      </c>
      <c r="AK2143" s="8">
        <f t="shared" ca="1" si="333"/>
        <v>1.0001159722222221</v>
      </c>
      <c r="AL2143" s="98">
        <f t="shared" ca="1" si="334"/>
        <v>4.022956896542107</v>
      </c>
      <c r="AM2143" s="106">
        <f t="shared" ref="AM2143:AM2206" ca="1" si="335">Geom_Interp(AI2143,$AZ$2:$AZ$109,$BA$2:$BA$109)</f>
        <v>31177.239863932558</v>
      </c>
      <c r="AN2143" s="10">
        <f t="shared" ref="AN2143:AN2206" ca="1" si="336">100*(((1+AL2143/100)^(AH2143/365)*$AM$29/AM2143)^(365/AH2143)-1)</f>
        <v>0.98052050592671858</v>
      </c>
      <c r="AO2143" s="158"/>
      <c r="AP2143" s="158"/>
      <c r="AQ2143" s="1"/>
      <c r="AR2143" s="1"/>
      <c r="AS2143" s="1"/>
      <c r="AT2143" s="1"/>
      <c r="AU2143" s="1"/>
    </row>
    <row r="2144" spans="34:47">
      <c r="AH2144" s="6">
        <f t="shared" ref="AH2144:AH2207" si="337">$AI$29+AH2143</f>
        <v>2114</v>
      </c>
      <c r="AI2144" s="7">
        <f t="shared" ref="AI2144:AI2207" ca="1" si="338">+AH2144+$C$1</f>
        <v>44784</v>
      </c>
      <c r="AJ2144" s="210">
        <f t="shared" ref="AJ2144:AJ2207" ca="1" si="339">IF(AH2144&lt;365,VLOOKUP(LOOKUP(AI2144,$AI$2:$AI$23),$AI$2:$AK$23,3,0),Lin_Interp(AH2144,$AJ$2:$AJ$23,$AK$2:$AK$23))</f>
        <v>4.1749999999999998</v>
      </c>
      <c r="AK2144" s="8">
        <f t="shared" ca="1" si="333"/>
        <v>1.0001159722222221</v>
      </c>
      <c r="AL2144" s="98">
        <f t="shared" ca="1" si="334"/>
        <v>4.0230989061114775</v>
      </c>
      <c r="AM2144" s="106">
        <f t="shared" ca="1" si="335"/>
        <v>31179.726038406396</v>
      </c>
      <c r="AN2144" s="10">
        <f t="shared" ca="1" si="336"/>
        <v>0.98068601258640697</v>
      </c>
      <c r="AO2144" s="158"/>
      <c r="AP2144" s="158"/>
      <c r="AQ2144" s="1"/>
      <c r="AR2144" s="1"/>
      <c r="AS2144" s="1"/>
      <c r="AT2144" s="1"/>
      <c r="AU2144" s="1"/>
    </row>
    <row r="2145" spans="34:47">
      <c r="AH2145" s="6">
        <f t="shared" si="337"/>
        <v>2115</v>
      </c>
      <c r="AI2145" s="7">
        <f t="shared" ca="1" si="338"/>
        <v>44785</v>
      </c>
      <c r="AJ2145" s="210">
        <f t="shared" ca="1" si="339"/>
        <v>4.1749999999999998</v>
      </c>
      <c r="AK2145" s="8">
        <f t="shared" ref="AK2145:AK2208" ca="1" si="340">+(1+AJ2145/36000)</f>
        <v>1.0001159722222221</v>
      </c>
      <c r="AL2145" s="98">
        <f t="shared" ref="AL2145:AL2208" ca="1" si="341">100*(((1+AL2144/100)^(AH2144/365)*AK2145)^(365/AH2145)-1)</f>
        <v>4.0232407815864235</v>
      </c>
      <c r="AM2145" s="106">
        <f t="shared" ca="1" si="335"/>
        <v>31182.212411135868</v>
      </c>
      <c r="AN2145" s="10">
        <f t="shared" ca="1" si="336"/>
        <v>0.98085136300947173</v>
      </c>
      <c r="AO2145" s="158"/>
      <c r="AP2145" s="158"/>
      <c r="AQ2145" s="1"/>
      <c r="AR2145" s="1"/>
      <c r="AS2145" s="1"/>
      <c r="AT2145" s="1"/>
      <c r="AU2145" s="1"/>
    </row>
    <row r="2146" spans="34:47">
      <c r="AH2146" s="6">
        <f t="shared" si="337"/>
        <v>2116</v>
      </c>
      <c r="AI2146" s="7">
        <f t="shared" ca="1" si="338"/>
        <v>44786</v>
      </c>
      <c r="AJ2146" s="210">
        <f t="shared" ca="1" si="339"/>
        <v>4.1749999999999998</v>
      </c>
      <c r="AK2146" s="8">
        <f t="shared" ca="1" si="340"/>
        <v>1.0001159722222221</v>
      </c>
      <c r="AL2146" s="98">
        <f t="shared" ca="1" si="341"/>
        <v>4.0233825231567932</v>
      </c>
      <c r="AM2146" s="106">
        <f t="shared" ca="1" si="335"/>
        <v>31184.698982136786</v>
      </c>
      <c r="AN2146" s="10">
        <f t="shared" ca="1" si="336"/>
        <v>0.98101655741706928</v>
      </c>
      <c r="AO2146" s="158"/>
      <c r="AP2146" s="158"/>
      <c r="AQ2146" s="1"/>
      <c r="AR2146" s="1"/>
      <c r="AS2146" s="1"/>
      <c r="AT2146" s="1"/>
      <c r="AU2146" s="1"/>
    </row>
    <row r="2147" spans="34:47">
      <c r="AH2147" s="6">
        <f t="shared" si="337"/>
        <v>2117</v>
      </c>
      <c r="AI2147" s="7">
        <f t="shared" ca="1" si="338"/>
        <v>44787</v>
      </c>
      <c r="AJ2147" s="210">
        <f t="shared" ca="1" si="339"/>
        <v>4.1749999999999998</v>
      </c>
      <c r="AK2147" s="8">
        <f t="shared" ca="1" si="340"/>
        <v>1.0001159722222221</v>
      </c>
      <c r="AL2147" s="98">
        <f t="shared" ca="1" si="341"/>
        <v>4.0235241310120795</v>
      </c>
      <c r="AM2147" s="106">
        <f t="shared" ca="1" si="335"/>
        <v>31187.18575142496</v>
      </c>
      <c r="AN2147" s="10">
        <f t="shared" ca="1" si="336"/>
        <v>0.98118159602988975</v>
      </c>
      <c r="AO2147" s="158"/>
      <c r="AP2147" s="158"/>
      <c r="AQ2147" s="1"/>
      <c r="AR2147" s="1"/>
      <c r="AS2147" s="1"/>
      <c r="AT2147" s="1"/>
      <c r="AU2147" s="1"/>
    </row>
    <row r="2148" spans="34:47">
      <c r="AH2148" s="6">
        <f t="shared" si="337"/>
        <v>2118</v>
      </c>
      <c r="AI2148" s="7">
        <f t="shared" ca="1" si="338"/>
        <v>44788</v>
      </c>
      <c r="AJ2148" s="210">
        <f t="shared" ca="1" si="339"/>
        <v>4.1749999999999998</v>
      </c>
      <c r="AK2148" s="8">
        <f t="shared" ca="1" si="340"/>
        <v>1.0001159722222221</v>
      </c>
      <c r="AL2148" s="98">
        <f t="shared" ca="1" si="341"/>
        <v>4.0236656053413977</v>
      </c>
      <c r="AM2148" s="106">
        <f t="shared" ca="1" si="335"/>
        <v>31189.672719016202</v>
      </c>
      <c r="AN2148" s="10">
        <f t="shared" ca="1" si="336"/>
        <v>0.98134647906824579</v>
      </c>
      <c r="AO2148" s="158"/>
      <c r="AP2148" s="158"/>
      <c r="AQ2148" s="1"/>
      <c r="AR2148" s="1"/>
      <c r="AS2148" s="1"/>
      <c r="AT2148" s="1"/>
      <c r="AU2148" s="1"/>
    </row>
    <row r="2149" spans="34:47">
      <c r="AH2149" s="6">
        <f t="shared" si="337"/>
        <v>2119</v>
      </c>
      <c r="AI2149" s="7">
        <f t="shared" ca="1" si="338"/>
        <v>44789</v>
      </c>
      <c r="AJ2149" s="210">
        <f t="shared" ca="1" si="339"/>
        <v>4.1749999999999998</v>
      </c>
      <c r="AK2149" s="8">
        <f t="shared" ca="1" si="340"/>
        <v>1.0001159722222221</v>
      </c>
      <c r="AL2149" s="98">
        <f t="shared" ca="1" si="341"/>
        <v>4.023806946333508</v>
      </c>
      <c r="AM2149" s="106">
        <f t="shared" ca="1" si="335"/>
        <v>31192.159884926328</v>
      </c>
      <c r="AN2149" s="10">
        <f t="shared" ca="1" si="336"/>
        <v>0.98151120675198378</v>
      </c>
      <c r="AO2149" s="158"/>
      <c r="AP2149" s="158"/>
      <c r="AQ2149" s="1"/>
      <c r="AR2149" s="1"/>
      <c r="AS2149" s="1"/>
      <c r="AT2149" s="1"/>
      <c r="AU2149" s="1"/>
    </row>
    <row r="2150" spans="34:47">
      <c r="AH2150" s="6">
        <f t="shared" si="337"/>
        <v>2120</v>
      </c>
      <c r="AI2150" s="7">
        <f t="shared" ca="1" si="338"/>
        <v>44790</v>
      </c>
      <c r="AJ2150" s="210">
        <f t="shared" ca="1" si="339"/>
        <v>4.1749999999999998</v>
      </c>
      <c r="AK2150" s="8">
        <f t="shared" ca="1" si="340"/>
        <v>1.0001159722222221</v>
      </c>
      <c r="AL2150" s="98">
        <f t="shared" ca="1" si="341"/>
        <v>4.0239481541768374</v>
      </c>
      <c r="AM2150" s="106">
        <f t="shared" ca="1" si="335"/>
        <v>31194.647249171147</v>
      </c>
      <c r="AN2150" s="10">
        <f t="shared" ca="1" si="336"/>
        <v>0.9816757793005948</v>
      </c>
      <c r="AO2150" s="158"/>
      <c r="AP2150" s="158"/>
      <c r="AQ2150" s="1"/>
      <c r="AR2150" s="1"/>
      <c r="AS2150" s="1"/>
      <c r="AT2150" s="1"/>
      <c r="AU2150" s="1"/>
    </row>
    <row r="2151" spans="34:47">
      <c r="AH2151" s="6">
        <f t="shared" si="337"/>
        <v>2121</v>
      </c>
      <c r="AI2151" s="7">
        <f t="shared" ca="1" si="338"/>
        <v>44791</v>
      </c>
      <c r="AJ2151" s="210">
        <f t="shared" ca="1" si="339"/>
        <v>4.1749999999999998</v>
      </c>
      <c r="AK2151" s="8">
        <f t="shared" ca="1" si="340"/>
        <v>1.0001159722222221</v>
      </c>
      <c r="AL2151" s="98">
        <f t="shared" ca="1" si="341"/>
        <v>4.0240892290594354</v>
      </c>
      <c r="AM2151" s="106">
        <f t="shared" ca="1" si="335"/>
        <v>31197.134811766478</v>
      </c>
      <c r="AN2151" s="10">
        <f t="shared" ca="1" si="336"/>
        <v>0.98184019693310365</v>
      </c>
      <c r="AO2151" s="158"/>
      <c r="AP2151" s="158"/>
      <c r="AQ2151" s="1"/>
      <c r="AR2151" s="1"/>
      <c r="AS2151" s="1"/>
      <c r="AT2151" s="1"/>
      <c r="AU2151" s="1"/>
    </row>
    <row r="2152" spans="34:47">
      <c r="AH2152" s="6">
        <f t="shared" si="337"/>
        <v>2122</v>
      </c>
      <c r="AI2152" s="7">
        <f t="shared" ca="1" si="338"/>
        <v>44792</v>
      </c>
      <c r="AJ2152" s="210">
        <f t="shared" ca="1" si="339"/>
        <v>4.1749999999999998</v>
      </c>
      <c r="AK2152" s="8">
        <f t="shared" ca="1" si="340"/>
        <v>1.0001159722222221</v>
      </c>
      <c r="AL2152" s="98">
        <f t="shared" ca="1" si="341"/>
        <v>4.0242301711690187</v>
      </c>
      <c r="AM2152" s="106">
        <f t="shared" ca="1" si="335"/>
        <v>31199.622572728138</v>
      </c>
      <c r="AN2152" s="10">
        <f t="shared" ca="1" si="336"/>
        <v>0.98200445986817986</v>
      </c>
      <c r="AO2152" s="158"/>
      <c r="AP2152" s="158"/>
      <c r="AQ2152" s="1"/>
      <c r="AR2152" s="1"/>
      <c r="AS2152" s="1"/>
      <c r="AT2152" s="1"/>
      <c r="AU2152" s="1"/>
    </row>
    <row r="2153" spans="34:47">
      <c r="AH2153" s="6">
        <f t="shared" si="337"/>
        <v>2123</v>
      </c>
      <c r="AI2153" s="7">
        <f t="shared" ca="1" si="338"/>
        <v>44793</v>
      </c>
      <c r="AJ2153" s="210">
        <f t="shared" ca="1" si="339"/>
        <v>4.1749999999999998</v>
      </c>
      <c r="AK2153" s="8">
        <f t="shared" ca="1" si="340"/>
        <v>1.0001159722222221</v>
      </c>
      <c r="AL2153" s="98">
        <f t="shared" ca="1" si="341"/>
        <v>4.0243709806929262</v>
      </c>
      <c r="AM2153" s="106">
        <f t="shared" ca="1" si="335"/>
        <v>31202.110532071951</v>
      </c>
      <c r="AN2153" s="10">
        <f t="shared" ca="1" si="336"/>
        <v>0.98216856832400445</v>
      </c>
      <c r="AO2153" s="158"/>
      <c r="AP2153" s="158"/>
      <c r="AQ2153" s="1"/>
      <c r="AR2153" s="1"/>
      <c r="AS2153" s="1"/>
      <c r="AT2153" s="1"/>
      <c r="AU2153" s="1"/>
    </row>
    <row r="2154" spans="34:47">
      <c r="AH2154" s="6">
        <f t="shared" si="337"/>
        <v>2124</v>
      </c>
      <c r="AI2154" s="7">
        <f t="shared" ca="1" si="338"/>
        <v>44794</v>
      </c>
      <c r="AJ2154" s="210">
        <f t="shared" ca="1" si="339"/>
        <v>4.1749999999999998</v>
      </c>
      <c r="AK2154" s="8">
        <f t="shared" ca="1" si="340"/>
        <v>1.0001159722222221</v>
      </c>
      <c r="AL2154" s="98">
        <f t="shared" ca="1" si="341"/>
        <v>4.0245116578181639</v>
      </c>
      <c r="AM2154" s="106">
        <f t="shared" ca="1" si="335"/>
        <v>31204.598689813731</v>
      </c>
      <c r="AN2154" s="10">
        <f t="shared" ca="1" si="336"/>
        <v>0.9823325225184032</v>
      </c>
      <c r="AO2154" s="158"/>
      <c r="AP2154" s="158"/>
      <c r="AQ2154" s="1"/>
      <c r="AR2154" s="1"/>
      <c r="AS2154" s="1"/>
      <c r="AT2154" s="1"/>
      <c r="AU2154" s="1"/>
    </row>
    <row r="2155" spans="34:47">
      <c r="AH2155" s="6">
        <f t="shared" si="337"/>
        <v>2125</v>
      </c>
      <c r="AI2155" s="7">
        <f t="shared" ca="1" si="338"/>
        <v>44795</v>
      </c>
      <c r="AJ2155" s="210">
        <f t="shared" ca="1" si="339"/>
        <v>4.1749999999999998</v>
      </c>
      <c r="AK2155" s="8">
        <f t="shared" ca="1" si="340"/>
        <v>1.0001159722222221</v>
      </c>
      <c r="AL2155" s="98">
        <f t="shared" ca="1" si="341"/>
        <v>4.0246522027313825</v>
      </c>
      <c r="AM2155" s="106">
        <f t="shared" ca="1" si="335"/>
        <v>31207.087045969296</v>
      </c>
      <c r="AN2155" s="10">
        <f t="shared" ca="1" si="336"/>
        <v>0.98249632266880216</v>
      </c>
      <c r="AO2155" s="158"/>
      <c r="AP2155" s="158"/>
      <c r="AQ2155" s="1"/>
      <c r="AR2155" s="1"/>
      <c r="AS2155" s="1"/>
      <c r="AT2155" s="1"/>
      <c r="AU2155" s="1"/>
    </row>
    <row r="2156" spans="34:47">
      <c r="AH2156" s="6">
        <f t="shared" si="337"/>
        <v>2126</v>
      </c>
      <c r="AI2156" s="7">
        <f t="shared" ca="1" si="338"/>
        <v>44796</v>
      </c>
      <c r="AJ2156" s="210">
        <f t="shared" ca="1" si="339"/>
        <v>4.1749999999999998</v>
      </c>
      <c r="AK2156" s="8">
        <f t="shared" ca="1" si="340"/>
        <v>1.0001159722222221</v>
      </c>
      <c r="AL2156" s="98">
        <f t="shared" ca="1" si="341"/>
        <v>4.0247926156188774</v>
      </c>
      <c r="AM2156" s="106">
        <f t="shared" ca="1" si="335"/>
        <v>31209.575600554468</v>
      </c>
      <c r="AN2156" s="10">
        <f t="shared" ca="1" si="336"/>
        <v>0.98265996899220553</v>
      </c>
      <c r="AO2156" s="158"/>
      <c r="AP2156" s="158"/>
      <c r="AQ2156" s="1"/>
      <c r="AR2156" s="1"/>
      <c r="AS2156" s="1"/>
      <c r="AT2156" s="1"/>
      <c r="AU2156" s="1"/>
    </row>
    <row r="2157" spans="34:47">
      <c r="AH2157" s="6">
        <f t="shared" si="337"/>
        <v>2127</v>
      </c>
      <c r="AI2157" s="7">
        <f t="shared" ca="1" si="338"/>
        <v>44797</v>
      </c>
      <c r="AJ2157" s="210">
        <f t="shared" ca="1" si="339"/>
        <v>4.1749999999999998</v>
      </c>
      <c r="AK2157" s="8">
        <f t="shared" ca="1" si="340"/>
        <v>1.0001159722222221</v>
      </c>
      <c r="AL2157" s="98">
        <f t="shared" ca="1" si="341"/>
        <v>4.0249328966665887</v>
      </c>
      <c r="AM2157" s="106">
        <f t="shared" ca="1" si="335"/>
        <v>31212.064353585076</v>
      </c>
      <c r="AN2157" s="10">
        <f t="shared" ca="1" si="336"/>
        <v>0.98282346170517343</v>
      </c>
      <c r="AO2157" s="158"/>
      <c r="AP2157" s="158"/>
      <c r="AQ2157" s="1"/>
      <c r="AR2157" s="1"/>
      <c r="AS2157" s="1"/>
      <c r="AT2157" s="1"/>
      <c r="AU2157" s="1"/>
    </row>
    <row r="2158" spans="34:47">
      <c r="AH2158" s="6">
        <f t="shared" si="337"/>
        <v>2128</v>
      </c>
      <c r="AI2158" s="7">
        <f t="shared" ca="1" si="338"/>
        <v>44798</v>
      </c>
      <c r="AJ2158" s="210">
        <f t="shared" ca="1" si="339"/>
        <v>4.1749999999999998</v>
      </c>
      <c r="AK2158" s="8">
        <f t="shared" ca="1" si="340"/>
        <v>1.0001159722222221</v>
      </c>
      <c r="AL2158" s="98">
        <f t="shared" ca="1" si="341"/>
        <v>4.0250730460601014</v>
      </c>
      <c r="AM2158" s="106">
        <f t="shared" ca="1" si="335"/>
        <v>31214.553305076945</v>
      </c>
      <c r="AN2158" s="10">
        <f t="shared" ca="1" si="336"/>
        <v>0.98298680102388847</v>
      </c>
      <c r="AO2158" s="158"/>
      <c r="AP2158" s="158"/>
      <c r="AQ2158" s="1"/>
      <c r="AR2158" s="1"/>
      <c r="AS2158" s="1"/>
      <c r="AT2158" s="1"/>
      <c r="AU2158" s="1"/>
    </row>
    <row r="2159" spans="34:47">
      <c r="AH2159" s="6">
        <f t="shared" si="337"/>
        <v>2129</v>
      </c>
      <c r="AI2159" s="7">
        <f t="shared" ca="1" si="338"/>
        <v>44799</v>
      </c>
      <c r="AJ2159" s="210">
        <f t="shared" ca="1" si="339"/>
        <v>4.1749999999999998</v>
      </c>
      <c r="AK2159" s="8">
        <f t="shared" ca="1" si="340"/>
        <v>1.0001159722222221</v>
      </c>
      <c r="AL2159" s="98">
        <f t="shared" ca="1" si="341"/>
        <v>4.0252130639846895</v>
      </c>
      <c r="AM2159" s="106">
        <f t="shared" ca="1" si="335"/>
        <v>31217.042455045892</v>
      </c>
      <c r="AN2159" s="10">
        <f t="shared" ca="1" si="336"/>
        <v>0.9831499871641558</v>
      </c>
      <c r="AO2159" s="158"/>
      <c r="AP2159" s="158"/>
      <c r="AQ2159" s="1"/>
      <c r="AR2159" s="1"/>
      <c r="AS2159" s="1"/>
      <c r="AT2159" s="1"/>
      <c r="AU2159" s="1"/>
    </row>
    <row r="2160" spans="34:47">
      <c r="AH2160" s="6">
        <f t="shared" si="337"/>
        <v>2130</v>
      </c>
      <c r="AI2160" s="7">
        <f t="shared" ca="1" si="338"/>
        <v>44800</v>
      </c>
      <c r="AJ2160" s="210">
        <f t="shared" ca="1" si="339"/>
        <v>4.1749999999999998</v>
      </c>
      <c r="AK2160" s="8">
        <f t="shared" ca="1" si="340"/>
        <v>1.0001159722222221</v>
      </c>
      <c r="AL2160" s="98">
        <f t="shared" ca="1" si="341"/>
        <v>4.0253529506252494</v>
      </c>
      <c r="AM2160" s="106">
        <f t="shared" ca="1" si="335"/>
        <v>31219.531803507758</v>
      </c>
      <c r="AN2160" s="10">
        <f t="shared" ca="1" si="336"/>
        <v>0.9833130203413365</v>
      </c>
      <c r="AO2160" s="158"/>
      <c r="AP2160" s="158"/>
      <c r="AQ2160" s="1"/>
      <c r="AR2160" s="1"/>
      <c r="AS2160" s="1"/>
      <c r="AT2160" s="1"/>
      <c r="AU2160" s="1"/>
    </row>
    <row r="2161" spans="34:47">
      <c r="AH2161" s="6">
        <f t="shared" si="337"/>
        <v>2131</v>
      </c>
      <c r="AI2161" s="7">
        <f t="shared" ca="1" si="338"/>
        <v>44801</v>
      </c>
      <c r="AJ2161" s="210">
        <f t="shared" ca="1" si="339"/>
        <v>4.1749999999999998</v>
      </c>
      <c r="AK2161" s="8">
        <f t="shared" ca="1" si="340"/>
        <v>1.0001159722222221</v>
      </c>
      <c r="AL2161" s="98">
        <f t="shared" ca="1" si="341"/>
        <v>4.0254927061663226</v>
      </c>
      <c r="AM2161" s="106">
        <f t="shared" ca="1" si="335"/>
        <v>31222.021350478361</v>
      </c>
      <c r="AN2161" s="10">
        <f t="shared" ca="1" si="336"/>
        <v>0.98347590077036973</v>
      </c>
      <c r="AO2161" s="158"/>
      <c r="AP2161" s="158"/>
      <c r="AQ2161" s="1"/>
      <c r="AR2161" s="1"/>
      <c r="AS2161" s="1"/>
      <c r="AT2161" s="1"/>
      <c r="AU2161" s="1"/>
    </row>
    <row r="2162" spans="34:47">
      <c r="AH2162" s="6">
        <f t="shared" si="337"/>
        <v>2132</v>
      </c>
      <c r="AI2162" s="7">
        <f t="shared" ca="1" si="338"/>
        <v>44802</v>
      </c>
      <c r="AJ2162" s="210">
        <f t="shared" ca="1" si="339"/>
        <v>4.1749999999999998</v>
      </c>
      <c r="AK2162" s="8">
        <f t="shared" ca="1" si="340"/>
        <v>1.0001159722222221</v>
      </c>
      <c r="AL2162" s="98">
        <f t="shared" ca="1" si="341"/>
        <v>4.0256323307921393</v>
      </c>
      <c r="AM2162" s="106">
        <f t="shared" ca="1" si="335"/>
        <v>31224.511095973528</v>
      </c>
      <c r="AN2162" s="10">
        <f t="shared" ca="1" si="336"/>
        <v>0.98363862866588381</v>
      </c>
      <c r="AO2162" s="158"/>
      <c r="AP2162" s="158"/>
      <c r="AQ2162" s="1"/>
      <c r="AR2162" s="1"/>
      <c r="AS2162" s="1"/>
      <c r="AT2162" s="1"/>
      <c r="AU2162" s="1"/>
    </row>
    <row r="2163" spans="34:47">
      <c r="AH2163" s="6">
        <f t="shared" si="337"/>
        <v>2133</v>
      </c>
      <c r="AI2163" s="7">
        <f t="shared" ca="1" si="338"/>
        <v>44803</v>
      </c>
      <c r="AJ2163" s="210">
        <f t="shared" ca="1" si="339"/>
        <v>4.1749999999999998</v>
      </c>
      <c r="AK2163" s="8">
        <f t="shared" ca="1" si="340"/>
        <v>1.0001159722222221</v>
      </c>
      <c r="AL2163" s="98">
        <f t="shared" ca="1" si="341"/>
        <v>4.0257718246865526</v>
      </c>
      <c r="AM2163" s="106">
        <f t="shared" ca="1" si="335"/>
        <v>31227.001040009105</v>
      </c>
      <c r="AN2163" s="10">
        <f t="shared" ca="1" si="336"/>
        <v>0.98380120424197415</v>
      </c>
      <c r="AO2163" s="158"/>
      <c r="AP2163" s="158"/>
      <c r="AQ2163" s="1"/>
      <c r="AR2163" s="1"/>
      <c r="AS2163" s="1"/>
      <c r="AT2163" s="1"/>
      <c r="AU2163" s="1"/>
    </row>
    <row r="2164" spans="34:47">
      <c r="AH2164" s="6">
        <f t="shared" si="337"/>
        <v>2134</v>
      </c>
      <c r="AI2164" s="7">
        <f t="shared" ca="1" si="338"/>
        <v>44804</v>
      </c>
      <c r="AJ2164" s="210">
        <f t="shared" ca="1" si="339"/>
        <v>4.1749999999999998</v>
      </c>
      <c r="AK2164" s="8">
        <f t="shared" ca="1" si="340"/>
        <v>1.0001159722222221</v>
      </c>
      <c r="AL2164" s="98">
        <f t="shared" ca="1" si="341"/>
        <v>4.0259111880330822</v>
      </c>
      <c r="AM2164" s="106">
        <f t="shared" ca="1" si="335"/>
        <v>31229.491182600912</v>
      </c>
      <c r="AN2164" s="10">
        <f t="shared" ca="1" si="336"/>
        <v>0.9839636277124697</v>
      </c>
      <c r="AO2164" s="158"/>
      <c r="AP2164" s="158"/>
      <c r="AQ2164" s="1"/>
      <c r="AR2164" s="1"/>
      <c r="AS2164" s="1"/>
      <c r="AT2164" s="1"/>
      <c r="AU2164" s="1"/>
    </row>
    <row r="2165" spans="34:47">
      <c r="AH2165" s="6">
        <f t="shared" si="337"/>
        <v>2135</v>
      </c>
      <c r="AI2165" s="7">
        <f t="shared" ca="1" si="338"/>
        <v>44805</v>
      </c>
      <c r="AJ2165" s="210">
        <f t="shared" ca="1" si="339"/>
        <v>4.1749999999999998</v>
      </c>
      <c r="AK2165" s="8">
        <f t="shared" ca="1" si="340"/>
        <v>1.0001159722222221</v>
      </c>
      <c r="AL2165" s="98">
        <f t="shared" ca="1" si="341"/>
        <v>4.0260504210149151</v>
      </c>
      <c r="AM2165" s="106">
        <f t="shared" ca="1" si="335"/>
        <v>31231.981523764785</v>
      </c>
      <c r="AN2165" s="10">
        <f t="shared" ca="1" si="336"/>
        <v>0.98412589929068872</v>
      </c>
      <c r="AO2165" s="158"/>
      <c r="AP2165" s="158"/>
      <c r="AQ2165" s="1"/>
      <c r="AR2165" s="1"/>
      <c r="AS2165" s="1"/>
      <c r="AT2165" s="1"/>
      <c r="AU2165" s="1"/>
    </row>
    <row r="2166" spans="34:47">
      <c r="AH2166" s="6">
        <f t="shared" si="337"/>
        <v>2136</v>
      </c>
      <c r="AI2166" s="7">
        <f t="shared" ca="1" si="338"/>
        <v>44806</v>
      </c>
      <c r="AJ2166" s="210">
        <f t="shared" ca="1" si="339"/>
        <v>4.1749999999999998</v>
      </c>
      <c r="AK2166" s="8">
        <f t="shared" ca="1" si="340"/>
        <v>1.0001159722222221</v>
      </c>
      <c r="AL2166" s="98">
        <f t="shared" ca="1" si="341"/>
        <v>4.0261895238148826</v>
      </c>
      <c r="AM2166" s="106">
        <f t="shared" ca="1" si="335"/>
        <v>31234.472063516558</v>
      </c>
      <c r="AN2166" s="10">
        <f t="shared" ca="1" si="336"/>
        <v>0.9842880191896386</v>
      </c>
      <c r="AO2166" s="158"/>
      <c r="AP2166" s="158"/>
      <c r="AQ2166" s="1"/>
      <c r="AR2166" s="1"/>
      <c r="AS2166" s="1"/>
      <c r="AT2166" s="1"/>
      <c r="AU2166" s="1"/>
    </row>
    <row r="2167" spans="34:47">
      <c r="AH2167" s="6">
        <f t="shared" si="337"/>
        <v>2137</v>
      </c>
      <c r="AI2167" s="7">
        <f t="shared" ca="1" si="338"/>
        <v>44807</v>
      </c>
      <c r="AJ2167" s="210">
        <f t="shared" ca="1" si="339"/>
        <v>4.1749999999999998</v>
      </c>
      <c r="AK2167" s="8">
        <f t="shared" ca="1" si="340"/>
        <v>1.0001159722222221</v>
      </c>
      <c r="AL2167" s="98">
        <f t="shared" ca="1" si="341"/>
        <v>4.0263284966154833</v>
      </c>
      <c r="AM2167" s="106">
        <f t="shared" ca="1" si="335"/>
        <v>31236.962801872072</v>
      </c>
      <c r="AN2167" s="10">
        <f t="shared" ca="1" si="336"/>
        <v>0.98444998762186042</v>
      </c>
      <c r="AO2167" s="158"/>
      <c r="AP2167" s="158"/>
      <c r="AQ2167" s="1"/>
      <c r="AR2167" s="1"/>
      <c r="AS2167" s="1"/>
      <c r="AT2167" s="1"/>
      <c r="AU2167" s="1"/>
    </row>
    <row r="2168" spans="34:47">
      <c r="AH2168" s="6">
        <f t="shared" si="337"/>
        <v>2138</v>
      </c>
      <c r="AI2168" s="7">
        <f t="shared" ca="1" si="338"/>
        <v>44808</v>
      </c>
      <c r="AJ2168" s="210">
        <f t="shared" ca="1" si="339"/>
        <v>4.1749999999999998</v>
      </c>
      <c r="AK2168" s="8">
        <f t="shared" ca="1" si="340"/>
        <v>1.0001159722222221</v>
      </c>
      <c r="AL2168" s="98">
        <f t="shared" ca="1" si="341"/>
        <v>4.0264673395988604</v>
      </c>
      <c r="AM2168" s="106">
        <f t="shared" ca="1" si="335"/>
        <v>31239.453738847158</v>
      </c>
      <c r="AN2168" s="10">
        <f t="shared" ca="1" si="336"/>
        <v>0.98461180479951782</v>
      </c>
      <c r="AO2168" s="158"/>
      <c r="AP2168" s="158"/>
      <c r="AQ2168" s="1"/>
      <c r="AR2168" s="1"/>
      <c r="AS2168" s="1"/>
      <c r="AT2168" s="1"/>
      <c r="AU2168" s="1"/>
    </row>
    <row r="2169" spans="34:47">
      <c r="AH2169" s="6">
        <f t="shared" si="337"/>
        <v>2139</v>
      </c>
      <c r="AI2169" s="7">
        <f t="shared" ca="1" si="338"/>
        <v>44809</v>
      </c>
      <c r="AJ2169" s="210">
        <f t="shared" ca="1" si="339"/>
        <v>4.1749999999999998</v>
      </c>
      <c r="AK2169" s="8">
        <f t="shared" ca="1" si="340"/>
        <v>1.0001159722222221</v>
      </c>
      <c r="AL2169" s="98">
        <f t="shared" ca="1" si="341"/>
        <v>4.0266060529468239</v>
      </c>
      <c r="AM2169" s="106">
        <f t="shared" ca="1" si="335"/>
        <v>31241.944874457662</v>
      </c>
      <c r="AN2169" s="10">
        <f t="shared" ca="1" si="336"/>
        <v>0.98477347093439693</v>
      </c>
      <c r="AO2169" s="158"/>
      <c r="AP2169" s="158"/>
      <c r="AQ2169" s="1"/>
      <c r="AR2169" s="1"/>
      <c r="AS2169" s="1"/>
      <c r="AT2169" s="1"/>
      <c r="AU2169" s="1"/>
    </row>
    <row r="2170" spans="34:47">
      <c r="AH2170" s="6">
        <f t="shared" si="337"/>
        <v>2140</v>
      </c>
      <c r="AI2170" s="7">
        <f t="shared" ca="1" si="338"/>
        <v>44810</v>
      </c>
      <c r="AJ2170" s="210">
        <f t="shared" ca="1" si="339"/>
        <v>4.1749999999999998</v>
      </c>
      <c r="AK2170" s="8">
        <f t="shared" ca="1" si="340"/>
        <v>1.0001159722222221</v>
      </c>
      <c r="AL2170" s="98">
        <f t="shared" ca="1" si="341"/>
        <v>4.026744636840851</v>
      </c>
      <c r="AM2170" s="106">
        <f t="shared" ca="1" si="335"/>
        <v>31244.436208719409</v>
      </c>
      <c r="AN2170" s="10">
        <f t="shared" ca="1" si="336"/>
        <v>0.98493498623788422</v>
      </c>
      <c r="AO2170" s="158"/>
      <c r="AP2170" s="158"/>
      <c r="AQ2170" s="1"/>
      <c r="AR2170" s="1"/>
      <c r="AS2170" s="1"/>
      <c r="AT2170" s="1"/>
      <c r="AU2170" s="1"/>
    </row>
    <row r="2171" spans="34:47">
      <c r="AH2171" s="6">
        <f t="shared" si="337"/>
        <v>2141</v>
      </c>
      <c r="AI2171" s="7">
        <f t="shared" ca="1" si="338"/>
        <v>44811</v>
      </c>
      <c r="AJ2171" s="210">
        <f t="shared" ca="1" si="339"/>
        <v>4.1749999999999998</v>
      </c>
      <c r="AK2171" s="8">
        <f t="shared" ca="1" si="340"/>
        <v>1.0001159722222221</v>
      </c>
      <c r="AL2171" s="98">
        <f t="shared" ca="1" si="341"/>
        <v>4.0268830914620857</v>
      </c>
      <c r="AM2171" s="106">
        <f t="shared" ca="1" si="335"/>
        <v>31246.927741648258</v>
      </c>
      <c r="AN2171" s="10">
        <f t="shared" ca="1" si="336"/>
        <v>0.98509635092096648</v>
      </c>
      <c r="AO2171" s="158"/>
      <c r="AP2171" s="158"/>
      <c r="AQ2171" s="1"/>
      <c r="AR2171" s="1"/>
      <c r="AS2171" s="1"/>
      <c r="AT2171" s="1"/>
      <c r="AU2171" s="1"/>
    </row>
    <row r="2172" spans="34:47">
      <c r="AH2172" s="6">
        <f t="shared" si="337"/>
        <v>2142</v>
      </c>
      <c r="AI2172" s="7">
        <f t="shared" ca="1" si="338"/>
        <v>44812</v>
      </c>
      <c r="AJ2172" s="210">
        <f t="shared" ca="1" si="339"/>
        <v>4.1749999999999998</v>
      </c>
      <c r="AK2172" s="8">
        <f t="shared" ca="1" si="340"/>
        <v>1.0001159722222221</v>
      </c>
      <c r="AL2172" s="98">
        <f t="shared" ca="1" si="341"/>
        <v>4.0270214169913165</v>
      </c>
      <c r="AM2172" s="106">
        <f t="shared" ca="1" si="335"/>
        <v>31249.419473260041</v>
      </c>
      <c r="AN2172" s="10">
        <f t="shared" ca="1" si="336"/>
        <v>0.9852575651942308</v>
      </c>
      <c r="AO2172" s="158"/>
      <c r="AP2172" s="158"/>
      <c r="AQ2172" s="1"/>
      <c r="AR2172" s="1"/>
      <c r="AS2172" s="1"/>
      <c r="AT2172" s="1"/>
      <c r="AU2172" s="1"/>
    </row>
    <row r="2173" spans="34:47">
      <c r="AH2173" s="6">
        <f t="shared" si="337"/>
        <v>2143</v>
      </c>
      <c r="AI2173" s="7">
        <f t="shared" ca="1" si="338"/>
        <v>44813</v>
      </c>
      <c r="AJ2173" s="210">
        <f t="shared" ca="1" si="339"/>
        <v>4.1749999999999998</v>
      </c>
      <c r="AK2173" s="8">
        <f t="shared" ca="1" si="340"/>
        <v>1.0001159722222221</v>
      </c>
      <c r="AL2173" s="98">
        <f t="shared" ca="1" si="341"/>
        <v>4.0271596136089993</v>
      </c>
      <c r="AM2173" s="106">
        <f t="shared" ca="1" si="335"/>
        <v>31251.911403570604</v>
      </c>
      <c r="AN2173" s="10">
        <f t="shared" ca="1" si="336"/>
        <v>0.98541862926788681</v>
      </c>
      <c r="AO2173" s="158"/>
      <c r="AP2173" s="158"/>
      <c r="AQ2173" s="1"/>
      <c r="AR2173" s="1"/>
      <c r="AS2173" s="1"/>
      <c r="AT2173" s="1"/>
      <c r="AU2173" s="1"/>
    </row>
    <row r="2174" spans="34:47">
      <c r="AH2174" s="6">
        <f t="shared" si="337"/>
        <v>2144</v>
      </c>
      <c r="AI2174" s="7">
        <f t="shared" ca="1" si="338"/>
        <v>44814</v>
      </c>
      <c r="AJ2174" s="210">
        <f t="shared" ca="1" si="339"/>
        <v>4.1749999999999998</v>
      </c>
      <c r="AK2174" s="8">
        <f t="shared" ca="1" si="340"/>
        <v>1.0001159722222221</v>
      </c>
      <c r="AL2174" s="98">
        <f t="shared" ca="1" si="341"/>
        <v>4.0272976814952566</v>
      </c>
      <c r="AM2174" s="106">
        <f t="shared" ca="1" si="335"/>
        <v>31254.486606985789</v>
      </c>
      <c r="AN2174" s="10">
        <f t="shared" ca="1" si="336"/>
        <v>0.98553384687505297</v>
      </c>
      <c r="AO2174" s="158"/>
      <c r="AP2174" s="158"/>
      <c r="AQ2174" s="1"/>
      <c r="AR2174" s="1"/>
      <c r="AS2174" s="1"/>
      <c r="AT2174" s="1"/>
      <c r="AU2174" s="1"/>
    </row>
    <row r="2175" spans="34:47">
      <c r="AH2175" s="6">
        <f t="shared" si="337"/>
        <v>2145</v>
      </c>
      <c r="AI2175" s="7">
        <f t="shared" ca="1" si="338"/>
        <v>44815</v>
      </c>
      <c r="AJ2175" s="210">
        <f t="shared" ca="1" si="339"/>
        <v>4.1749999999999998</v>
      </c>
      <c r="AK2175" s="8">
        <f t="shared" ca="1" si="340"/>
        <v>1.0001159722222221</v>
      </c>
      <c r="AL2175" s="98">
        <f t="shared" ca="1" si="341"/>
        <v>4.0274356208298778</v>
      </c>
      <c r="AM2175" s="106">
        <f t="shared" ca="1" si="335"/>
        <v>31257.062022601527</v>
      </c>
      <c r="AN2175" s="10">
        <f t="shared" ca="1" si="336"/>
        <v>0.98564895718447065</v>
      </c>
      <c r="AO2175" s="158"/>
      <c r="AP2175" s="158"/>
      <c r="AQ2175" s="1"/>
      <c r="AR2175" s="1"/>
      <c r="AS2175" s="1"/>
      <c r="AT2175" s="1"/>
      <c r="AU2175" s="1"/>
    </row>
    <row r="2176" spans="34:47">
      <c r="AH2176" s="6">
        <f t="shared" si="337"/>
        <v>2146</v>
      </c>
      <c r="AI2176" s="7">
        <f t="shared" ca="1" si="338"/>
        <v>44816</v>
      </c>
      <c r="AJ2176" s="210">
        <f t="shared" ca="1" si="339"/>
        <v>4.1749999999999998</v>
      </c>
      <c r="AK2176" s="8">
        <f t="shared" ca="1" si="340"/>
        <v>1.0001159722222221</v>
      </c>
      <c r="AL2176" s="98">
        <f t="shared" ca="1" si="341"/>
        <v>4.0275734317923195</v>
      </c>
      <c r="AM2176" s="106">
        <f t="shared" ca="1" si="335"/>
        <v>31259.637650435288</v>
      </c>
      <c r="AN2176" s="10">
        <f t="shared" ca="1" si="336"/>
        <v>0.98576396034595337</v>
      </c>
      <c r="AO2176" s="158"/>
      <c r="AP2176" s="158"/>
      <c r="AQ2176" s="1"/>
      <c r="AR2176" s="1"/>
      <c r="AS2176" s="1"/>
      <c r="AT2176" s="1"/>
      <c r="AU2176" s="1"/>
    </row>
    <row r="2177" spans="34:47">
      <c r="AH2177" s="6">
        <f t="shared" si="337"/>
        <v>2147</v>
      </c>
      <c r="AI2177" s="7">
        <f t="shared" ca="1" si="338"/>
        <v>44817</v>
      </c>
      <c r="AJ2177" s="210">
        <f t="shared" ca="1" si="339"/>
        <v>4.1749999999999998</v>
      </c>
      <c r="AK2177" s="8">
        <f t="shared" ca="1" si="340"/>
        <v>1.0001159722222221</v>
      </c>
      <c r="AL2177" s="98">
        <f t="shared" ca="1" si="341"/>
        <v>4.0277111145617051</v>
      </c>
      <c r="AM2177" s="106">
        <f t="shared" ca="1" si="335"/>
        <v>31262.213490504568</v>
      </c>
      <c r="AN2177" s="10">
        <f t="shared" ca="1" si="336"/>
        <v>0.98587885650909257</v>
      </c>
      <c r="AO2177" s="158"/>
      <c r="AP2177" s="158"/>
      <c r="AQ2177" s="1"/>
      <c r="AR2177" s="1"/>
      <c r="AS2177" s="1"/>
      <c r="AT2177" s="1"/>
      <c r="AU2177" s="1"/>
    </row>
    <row r="2178" spans="34:47">
      <c r="AH2178" s="6">
        <f t="shared" si="337"/>
        <v>2148</v>
      </c>
      <c r="AI2178" s="7">
        <f t="shared" ca="1" si="338"/>
        <v>44818</v>
      </c>
      <c r="AJ2178" s="210">
        <f t="shared" ca="1" si="339"/>
        <v>4.1749999999999998</v>
      </c>
      <c r="AK2178" s="8">
        <f t="shared" ca="1" si="340"/>
        <v>1.0001159722222221</v>
      </c>
      <c r="AL2178" s="98">
        <f t="shared" ca="1" si="341"/>
        <v>4.0278486693168025</v>
      </c>
      <c r="AM2178" s="106">
        <f t="shared" ca="1" si="335"/>
        <v>31264.789542826853</v>
      </c>
      <c r="AN2178" s="10">
        <f t="shared" ca="1" si="336"/>
        <v>0.98599364582308002</v>
      </c>
      <c r="AO2178" s="158"/>
      <c r="AP2178" s="158"/>
      <c r="AQ2178" s="1"/>
      <c r="AR2178" s="1"/>
      <c r="AS2178" s="1"/>
      <c r="AT2178" s="1"/>
      <c r="AU2178" s="1"/>
    </row>
    <row r="2179" spans="34:47">
      <c r="AH2179" s="6">
        <f t="shared" si="337"/>
        <v>2149</v>
      </c>
      <c r="AI2179" s="7">
        <f t="shared" ca="1" si="338"/>
        <v>44819</v>
      </c>
      <c r="AJ2179" s="210">
        <f t="shared" ca="1" si="339"/>
        <v>4.1749999999999998</v>
      </c>
      <c r="AK2179" s="8">
        <f t="shared" ca="1" si="340"/>
        <v>1.0001159722222221</v>
      </c>
      <c r="AL2179" s="98">
        <f t="shared" ca="1" si="341"/>
        <v>4.0279860962360914</v>
      </c>
      <c r="AM2179" s="106">
        <f t="shared" ca="1" si="335"/>
        <v>31267.365807419632</v>
      </c>
      <c r="AN2179" s="10">
        <f t="shared" ca="1" si="336"/>
        <v>0.98610832843690766</v>
      </c>
      <c r="AO2179" s="158"/>
      <c r="AP2179" s="158"/>
      <c r="AQ2179" s="1"/>
      <c r="AR2179" s="1"/>
      <c r="AS2179" s="1"/>
      <c r="AT2179" s="1"/>
      <c r="AU2179" s="1"/>
    </row>
    <row r="2180" spans="34:47">
      <c r="AH2180" s="6">
        <f t="shared" si="337"/>
        <v>2150</v>
      </c>
      <c r="AI2180" s="7">
        <f t="shared" ca="1" si="338"/>
        <v>44820</v>
      </c>
      <c r="AJ2180" s="210">
        <f t="shared" ca="1" si="339"/>
        <v>4.1749999999999998</v>
      </c>
      <c r="AK2180" s="8">
        <f t="shared" ca="1" si="340"/>
        <v>1.0001159722222221</v>
      </c>
      <c r="AL2180" s="98">
        <f t="shared" ca="1" si="341"/>
        <v>4.0281233954976736</v>
      </c>
      <c r="AM2180" s="106">
        <f t="shared" ca="1" si="335"/>
        <v>31269.942284300407</v>
      </c>
      <c r="AN2180" s="10">
        <f t="shared" ca="1" si="336"/>
        <v>0.98622290449930095</v>
      </c>
      <c r="AO2180" s="158"/>
      <c r="AP2180" s="158"/>
      <c r="AQ2180" s="1"/>
      <c r="AR2180" s="1"/>
      <c r="AS2180" s="1"/>
      <c r="AT2180" s="1"/>
      <c r="AU2180" s="1"/>
    </row>
    <row r="2181" spans="34:47">
      <c r="AH2181" s="6">
        <f t="shared" si="337"/>
        <v>2151</v>
      </c>
      <c r="AI2181" s="7">
        <f t="shared" ca="1" si="338"/>
        <v>44821</v>
      </c>
      <c r="AJ2181" s="210">
        <f t="shared" ca="1" si="339"/>
        <v>4.1749999999999998</v>
      </c>
      <c r="AK2181" s="8">
        <f t="shared" ca="1" si="340"/>
        <v>1.0001159722222221</v>
      </c>
      <c r="AL2181" s="98">
        <f t="shared" ca="1" si="341"/>
        <v>4.0282605672793625</v>
      </c>
      <c r="AM2181" s="106">
        <f t="shared" ca="1" si="335"/>
        <v>31272.518973486651</v>
      </c>
      <c r="AN2181" s="10">
        <f t="shared" ca="1" si="336"/>
        <v>0.98633737415869671</v>
      </c>
      <c r="AO2181" s="158"/>
      <c r="AP2181" s="158"/>
      <c r="AQ2181" s="1"/>
      <c r="AR2181" s="1"/>
      <c r="AS2181" s="1"/>
      <c r="AT2181" s="1"/>
      <c r="AU2181" s="1"/>
    </row>
    <row r="2182" spans="34:47">
      <c r="AH2182" s="6">
        <f t="shared" si="337"/>
        <v>2152</v>
      </c>
      <c r="AI2182" s="7">
        <f t="shared" ca="1" si="338"/>
        <v>44822</v>
      </c>
      <c r="AJ2182" s="210">
        <f t="shared" ca="1" si="339"/>
        <v>4.1749999999999998</v>
      </c>
      <c r="AK2182" s="8">
        <f t="shared" ca="1" si="340"/>
        <v>1.0001159722222221</v>
      </c>
      <c r="AL2182" s="98">
        <f t="shared" ca="1" si="341"/>
        <v>4.028397611758594</v>
      </c>
      <c r="AM2182" s="106">
        <f t="shared" ca="1" si="335"/>
        <v>31275.095874995881</v>
      </c>
      <c r="AN2182" s="10">
        <f t="shared" ca="1" si="336"/>
        <v>0.98645173756319871</v>
      </c>
      <c r="AO2182" s="158"/>
      <c r="AP2182" s="158"/>
      <c r="AQ2182" s="1"/>
      <c r="AR2182" s="1"/>
      <c r="AS2182" s="1"/>
      <c r="AT2182" s="1"/>
      <c r="AU2182" s="1"/>
    </row>
    <row r="2183" spans="34:47">
      <c r="AH2183" s="6">
        <f t="shared" si="337"/>
        <v>2153</v>
      </c>
      <c r="AI2183" s="7">
        <f t="shared" ca="1" si="338"/>
        <v>44823</v>
      </c>
      <c r="AJ2183" s="210">
        <f t="shared" ca="1" si="339"/>
        <v>4.1749999999999998</v>
      </c>
      <c r="AK2183" s="8">
        <f t="shared" ca="1" si="340"/>
        <v>1.0001159722222221</v>
      </c>
      <c r="AL2183" s="98">
        <f t="shared" ca="1" si="341"/>
        <v>4.0285345291125152</v>
      </c>
      <c r="AM2183" s="106">
        <f t="shared" ca="1" si="335"/>
        <v>31277.672988845577</v>
      </c>
      <c r="AN2183" s="10">
        <f t="shared" ca="1" si="336"/>
        <v>0.98656599486073304</v>
      </c>
      <c r="AO2183" s="158"/>
      <c r="AP2183" s="158"/>
      <c r="AQ2183" s="1"/>
      <c r="AR2183" s="1"/>
      <c r="AS2183" s="1"/>
      <c r="AT2183" s="1"/>
      <c r="AU2183" s="1"/>
    </row>
    <row r="2184" spans="34:47">
      <c r="AH2184" s="6">
        <f t="shared" si="337"/>
        <v>2154</v>
      </c>
      <c r="AI2184" s="7">
        <f t="shared" ca="1" si="338"/>
        <v>44824</v>
      </c>
      <c r="AJ2184" s="210">
        <f t="shared" ca="1" si="339"/>
        <v>4.1749999999999998</v>
      </c>
      <c r="AK2184" s="8">
        <f t="shared" ca="1" si="340"/>
        <v>1.0001159722222221</v>
      </c>
      <c r="AL2184" s="98">
        <f t="shared" ca="1" si="341"/>
        <v>4.028671319517918</v>
      </c>
      <c r="AM2184" s="106">
        <f t="shared" ca="1" si="335"/>
        <v>31280.250315053239</v>
      </c>
      <c r="AN2184" s="10">
        <f t="shared" ca="1" si="336"/>
        <v>0.98668014619882616</v>
      </c>
      <c r="AO2184" s="158"/>
      <c r="AP2184" s="158"/>
      <c r="AQ2184" s="1"/>
      <c r="AR2184" s="1"/>
      <c r="AS2184" s="1"/>
      <c r="AT2184" s="1"/>
      <c r="AU2184" s="1"/>
    </row>
    <row r="2185" spans="34:47">
      <c r="AH2185" s="6">
        <f t="shared" si="337"/>
        <v>2155</v>
      </c>
      <c r="AI2185" s="7">
        <f t="shared" ca="1" si="338"/>
        <v>44825</v>
      </c>
      <c r="AJ2185" s="210">
        <f t="shared" ca="1" si="339"/>
        <v>4.1749999999999998</v>
      </c>
      <c r="AK2185" s="8">
        <f t="shared" ca="1" si="340"/>
        <v>1.0001159722222221</v>
      </c>
      <c r="AL2185" s="98">
        <f t="shared" ca="1" si="341"/>
        <v>4.0288079831513057</v>
      </c>
      <c r="AM2185" s="106">
        <f t="shared" ca="1" si="335"/>
        <v>31282.827853636361</v>
      </c>
      <c r="AN2185" s="10">
        <f t="shared" ca="1" si="336"/>
        <v>0.98679419172491567</v>
      </c>
      <c r="AO2185" s="158"/>
      <c r="AP2185" s="158"/>
      <c r="AQ2185" s="1"/>
      <c r="AR2185" s="1"/>
      <c r="AS2185" s="1"/>
      <c r="AT2185" s="1"/>
      <c r="AU2185" s="1"/>
    </row>
    <row r="2186" spans="34:47">
      <c r="AH2186" s="6">
        <f t="shared" si="337"/>
        <v>2156</v>
      </c>
      <c r="AI2186" s="7">
        <f t="shared" ca="1" si="338"/>
        <v>44826</v>
      </c>
      <c r="AJ2186" s="210">
        <f t="shared" ca="1" si="339"/>
        <v>4.1749999999999998</v>
      </c>
      <c r="AK2186" s="8">
        <f t="shared" ca="1" si="340"/>
        <v>1.0001159722222221</v>
      </c>
      <c r="AL2186" s="98">
        <f t="shared" ca="1" si="341"/>
        <v>4.0289445201888041</v>
      </c>
      <c r="AM2186" s="106">
        <f t="shared" ca="1" si="335"/>
        <v>31285.405604612461</v>
      </c>
      <c r="AN2186" s="10">
        <f t="shared" ca="1" si="336"/>
        <v>0.9869081315859507</v>
      </c>
      <c r="AO2186" s="158"/>
      <c r="AP2186" s="158"/>
      <c r="AQ2186" s="1"/>
      <c r="AR2186" s="1"/>
      <c r="AS2186" s="1"/>
      <c r="AT2186" s="1"/>
      <c r="AU2186" s="1"/>
    </row>
    <row r="2187" spans="34:47">
      <c r="AH2187" s="6">
        <f t="shared" si="337"/>
        <v>2157</v>
      </c>
      <c r="AI2187" s="7">
        <f t="shared" ca="1" si="338"/>
        <v>44827</v>
      </c>
      <c r="AJ2187" s="210">
        <f t="shared" ca="1" si="339"/>
        <v>4.1749999999999998</v>
      </c>
      <c r="AK2187" s="8">
        <f t="shared" ca="1" si="340"/>
        <v>1.0001159722222221</v>
      </c>
      <c r="AL2187" s="98">
        <f t="shared" ca="1" si="341"/>
        <v>4.0290809308062503</v>
      </c>
      <c r="AM2187" s="106">
        <f t="shared" ca="1" si="335"/>
        <v>31287.983567999021</v>
      </c>
      <c r="AN2187" s="10">
        <f t="shared" ca="1" si="336"/>
        <v>0.98702196592879154</v>
      </c>
      <c r="AO2187" s="158"/>
      <c r="AP2187" s="158"/>
      <c r="AQ2187" s="1"/>
      <c r="AR2187" s="1"/>
      <c r="AS2187" s="1"/>
      <c r="AT2187" s="1"/>
      <c r="AU2187" s="1"/>
    </row>
    <row r="2188" spans="34:47">
      <c r="AH2188" s="6">
        <f t="shared" si="337"/>
        <v>2158</v>
      </c>
      <c r="AI2188" s="7">
        <f t="shared" ca="1" si="338"/>
        <v>44828</v>
      </c>
      <c r="AJ2188" s="210">
        <f t="shared" ca="1" si="339"/>
        <v>4.1749999999999998</v>
      </c>
      <c r="AK2188" s="8">
        <f t="shared" ca="1" si="340"/>
        <v>1.0001159722222221</v>
      </c>
      <c r="AL2188" s="98">
        <f t="shared" ca="1" si="341"/>
        <v>4.0292172151791261</v>
      </c>
      <c r="AM2188" s="106">
        <f t="shared" ca="1" si="335"/>
        <v>31290.561743813556</v>
      </c>
      <c r="AN2188" s="10">
        <f t="shared" ca="1" si="336"/>
        <v>0.98713569489989883</v>
      </c>
      <c r="AO2188" s="158"/>
      <c r="AP2188" s="158"/>
      <c r="AQ2188" s="1"/>
      <c r="AR2188" s="1"/>
      <c r="AS2188" s="1"/>
      <c r="AT2188" s="1"/>
      <c r="AU2188" s="1"/>
    </row>
    <row r="2189" spans="34:47">
      <c r="AH2189" s="6">
        <f t="shared" si="337"/>
        <v>2159</v>
      </c>
      <c r="AI2189" s="7">
        <f t="shared" ca="1" si="338"/>
        <v>44829</v>
      </c>
      <c r="AJ2189" s="210">
        <f t="shared" ca="1" si="339"/>
        <v>4.1749999999999998</v>
      </c>
      <c r="AK2189" s="8">
        <f t="shared" ca="1" si="340"/>
        <v>1.0001159722222221</v>
      </c>
      <c r="AL2189" s="98">
        <f t="shared" ca="1" si="341"/>
        <v>4.0293533734826026</v>
      </c>
      <c r="AM2189" s="106">
        <f t="shared" ca="1" si="335"/>
        <v>31293.140132073568</v>
      </c>
      <c r="AN2189" s="10">
        <f t="shared" ca="1" si="336"/>
        <v>0.98724931864551113</v>
      </c>
      <c r="AO2189" s="158"/>
      <c r="AP2189" s="158"/>
      <c r="AQ2189" s="1"/>
      <c r="AR2189" s="1"/>
      <c r="AS2189" s="1"/>
      <c r="AT2189" s="1"/>
      <c r="AU2189" s="1"/>
    </row>
    <row r="2190" spans="34:47">
      <c r="AH2190" s="6">
        <f t="shared" si="337"/>
        <v>2160</v>
      </c>
      <c r="AI2190" s="7">
        <f t="shared" ca="1" si="338"/>
        <v>44830</v>
      </c>
      <c r="AJ2190" s="210">
        <f t="shared" ca="1" si="339"/>
        <v>4.1749999999999998</v>
      </c>
      <c r="AK2190" s="8">
        <f t="shared" ca="1" si="340"/>
        <v>1.0001159722222221</v>
      </c>
      <c r="AL2190" s="98">
        <f t="shared" ca="1" si="341"/>
        <v>4.0294894058915398</v>
      </c>
      <c r="AM2190" s="106">
        <f t="shared" ca="1" si="335"/>
        <v>31295.718732796555</v>
      </c>
      <c r="AN2190" s="10">
        <f t="shared" ca="1" si="336"/>
        <v>0.98736283731162278</v>
      </c>
      <c r="AO2190" s="158"/>
      <c r="AP2190" s="158"/>
      <c r="AQ2190" s="1"/>
      <c r="AR2190" s="1"/>
      <c r="AS2190" s="1"/>
      <c r="AT2190" s="1"/>
      <c r="AU2190" s="1"/>
    </row>
    <row r="2191" spans="34:47">
      <c r="AH2191" s="6">
        <f t="shared" si="337"/>
        <v>2161</v>
      </c>
      <c r="AI2191" s="7">
        <f t="shared" ca="1" si="338"/>
        <v>44831</v>
      </c>
      <c r="AJ2191" s="210">
        <f t="shared" ca="1" si="339"/>
        <v>4.1749999999999998</v>
      </c>
      <c r="AK2191" s="8">
        <f t="shared" ca="1" si="340"/>
        <v>1.0001159722222221</v>
      </c>
      <c r="AL2191" s="98">
        <f t="shared" ca="1" si="341"/>
        <v>4.0296253125804649</v>
      </c>
      <c r="AM2191" s="106">
        <f t="shared" ca="1" si="335"/>
        <v>31298.297546000031</v>
      </c>
      <c r="AN2191" s="10">
        <f t="shared" ca="1" si="336"/>
        <v>0.98747625104393943</v>
      </c>
      <c r="AO2191" s="158"/>
      <c r="AP2191" s="158"/>
      <c r="AQ2191" s="1"/>
      <c r="AR2191" s="1"/>
      <c r="AS2191" s="1"/>
      <c r="AT2191" s="1"/>
      <c r="AU2191" s="1"/>
    </row>
    <row r="2192" spans="34:47">
      <c r="AH2192" s="6">
        <f t="shared" si="337"/>
        <v>2162</v>
      </c>
      <c r="AI2192" s="7">
        <f t="shared" ca="1" si="338"/>
        <v>44832</v>
      </c>
      <c r="AJ2192" s="210">
        <f t="shared" ca="1" si="339"/>
        <v>4.1749999999999998</v>
      </c>
      <c r="AK2192" s="8">
        <f t="shared" ca="1" si="340"/>
        <v>1.0001159722222221</v>
      </c>
      <c r="AL2192" s="98">
        <f t="shared" ca="1" si="341"/>
        <v>4.0297610937235717</v>
      </c>
      <c r="AM2192" s="106">
        <f t="shared" ca="1" si="335"/>
        <v>31300.876571701509</v>
      </c>
      <c r="AN2192" s="10">
        <f t="shared" ca="1" si="336"/>
        <v>0.98758955998785591</v>
      </c>
      <c r="AO2192" s="158"/>
      <c r="AP2192" s="158"/>
      <c r="AQ2192" s="1"/>
      <c r="AR2192" s="1"/>
      <c r="AS2192" s="1"/>
      <c r="AT2192" s="1"/>
      <c r="AU2192" s="1"/>
    </row>
    <row r="2193" spans="34:47">
      <c r="AH2193" s="6">
        <f t="shared" si="337"/>
        <v>2163</v>
      </c>
      <c r="AI2193" s="7">
        <f t="shared" ca="1" si="338"/>
        <v>44833</v>
      </c>
      <c r="AJ2193" s="210">
        <f t="shared" ca="1" si="339"/>
        <v>4.1749999999999998</v>
      </c>
      <c r="AK2193" s="8">
        <f t="shared" ca="1" si="340"/>
        <v>1.0001159722222221</v>
      </c>
      <c r="AL2193" s="98">
        <f t="shared" ca="1" si="341"/>
        <v>4.0298967494947657</v>
      </c>
      <c r="AM2193" s="106">
        <f t="shared" ca="1" si="335"/>
        <v>31303.455809918491</v>
      </c>
      <c r="AN2193" s="10">
        <f t="shared" ca="1" si="336"/>
        <v>0.98770276428858939</v>
      </c>
      <c r="AO2193" s="158"/>
      <c r="AP2193" s="158"/>
      <c r="AQ2193" s="1"/>
      <c r="AR2193" s="1"/>
      <c r="AS2193" s="1"/>
      <c r="AT2193" s="1"/>
      <c r="AU2193" s="1"/>
    </row>
    <row r="2194" spans="34:47">
      <c r="AH2194" s="6">
        <f t="shared" si="337"/>
        <v>2164</v>
      </c>
      <c r="AI2194" s="7">
        <f t="shared" ca="1" si="338"/>
        <v>44834</v>
      </c>
      <c r="AJ2194" s="210">
        <f t="shared" ca="1" si="339"/>
        <v>4.1749999999999998</v>
      </c>
      <c r="AK2194" s="8">
        <f t="shared" ca="1" si="340"/>
        <v>1.0001159722222221</v>
      </c>
      <c r="AL2194" s="98">
        <f t="shared" ca="1" si="341"/>
        <v>4.030032280067597</v>
      </c>
      <c r="AM2194" s="106">
        <f t="shared" ca="1" si="335"/>
        <v>31306.035260668486</v>
      </c>
      <c r="AN2194" s="10">
        <f t="shared" ca="1" si="336"/>
        <v>0.98781586409100175</v>
      </c>
      <c r="AO2194" s="158"/>
      <c r="AP2194" s="158"/>
      <c r="AQ2194" s="1"/>
      <c r="AR2194" s="1"/>
      <c r="AS2194" s="1"/>
      <c r="AT2194" s="1"/>
      <c r="AU2194" s="1"/>
    </row>
    <row r="2195" spans="34:47">
      <c r="AH2195" s="6">
        <f t="shared" si="337"/>
        <v>2165</v>
      </c>
      <c r="AI2195" s="7">
        <f t="shared" ca="1" si="338"/>
        <v>44835</v>
      </c>
      <c r="AJ2195" s="210">
        <f t="shared" ca="1" si="339"/>
        <v>4.1749999999999998</v>
      </c>
      <c r="AK2195" s="8">
        <f t="shared" ca="1" si="340"/>
        <v>1.0001159722222221</v>
      </c>
      <c r="AL2195" s="98">
        <f t="shared" ca="1" si="341"/>
        <v>4.0301676856152824</v>
      </c>
      <c r="AM2195" s="106">
        <f t="shared" ca="1" si="335"/>
        <v>31308.614923969017</v>
      </c>
      <c r="AN2195" s="10">
        <f t="shared" ca="1" si="336"/>
        <v>0.98792885953968845</v>
      </c>
      <c r="AO2195" s="158"/>
      <c r="AP2195" s="158"/>
      <c r="AQ2195" s="1"/>
      <c r="AR2195" s="1"/>
      <c r="AS2195" s="1"/>
      <c r="AT2195" s="1"/>
      <c r="AU2195" s="1"/>
    </row>
    <row r="2196" spans="34:47">
      <c r="AH2196" s="6">
        <f t="shared" si="337"/>
        <v>2166</v>
      </c>
      <c r="AI2196" s="7">
        <f t="shared" ca="1" si="338"/>
        <v>44836</v>
      </c>
      <c r="AJ2196" s="210">
        <f t="shared" ca="1" si="339"/>
        <v>4.1749999999999998</v>
      </c>
      <c r="AK2196" s="8">
        <f t="shared" ca="1" si="340"/>
        <v>1.0001159722222221</v>
      </c>
      <c r="AL2196" s="98">
        <f t="shared" ca="1" si="341"/>
        <v>4.0303029663107726</v>
      </c>
      <c r="AM2196" s="106">
        <f t="shared" ca="1" si="335"/>
        <v>31311.194799837594</v>
      </c>
      <c r="AN2196" s="10">
        <f t="shared" ca="1" si="336"/>
        <v>0.9880417507790451</v>
      </c>
      <c r="AO2196" s="158"/>
      <c r="AP2196" s="158"/>
      <c r="AQ2196" s="1"/>
      <c r="AR2196" s="1"/>
      <c r="AS2196" s="1"/>
      <c r="AT2196" s="1"/>
      <c r="AU2196" s="1"/>
    </row>
    <row r="2197" spans="34:47">
      <c r="AH2197" s="6">
        <f t="shared" si="337"/>
        <v>2167</v>
      </c>
      <c r="AI2197" s="7">
        <f t="shared" ca="1" si="338"/>
        <v>44837</v>
      </c>
      <c r="AJ2197" s="210">
        <f t="shared" ca="1" si="339"/>
        <v>4.1749999999999998</v>
      </c>
      <c r="AK2197" s="8">
        <f t="shared" ca="1" si="340"/>
        <v>1.0001159722222221</v>
      </c>
      <c r="AL2197" s="98">
        <f t="shared" ca="1" si="341"/>
        <v>4.0304381223266628</v>
      </c>
      <c r="AM2197" s="106">
        <f t="shared" ca="1" si="335"/>
        <v>31313.774888291737</v>
      </c>
      <c r="AN2197" s="10">
        <f t="shared" ca="1" si="336"/>
        <v>0.98815453795315644</v>
      </c>
      <c r="AO2197" s="158"/>
      <c r="AP2197" s="158"/>
      <c r="AQ2197" s="1"/>
      <c r="AR2197" s="1"/>
      <c r="AS2197" s="1"/>
      <c r="AT2197" s="1"/>
      <c r="AU2197" s="1"/>
    </row>
    <row r="2198" spans="34:47">
      <c r="AH2198" s="6">
        <f t="shared" si="337"/>
        <v>2168</v>
      </c>
      <c r="AI2198" s="7">
        <f t="shared" ca="1" si="338"/>
        <v>44838</v>
      </c>
      <c r="AJ2198" s="210">
        <f t="shared" ca="1" si="339"/>
        <v>4.1749999999999998</v>
      </c>
      <c r="AK2198" s="8">
        <f t="shared" ca="1" si="340"/>
        <v>1.0001159722222221</v>
      </c>
      <c r="AL2198" s="98">
        <f t="shared" ca="1" si="341"/>
        <v>4.0305731538352152</v>
      </c>
      <c r="AM2198" s="106">
        <f t="shared" ca="1" si="335"/>
        <v>31316.355189348949</v>
      </c>
      <c r="AN2198" s="10">
        <f t="shared" ca="1" si="336"/>
        <v>0.98826722120584076</v>
      </c>
      <c r="AO2198" s="158"/>
      <c r="AP2198" s="158"/>
      <c r="AQ2198" s="1"/>
      <c r="AR2198" s="1"/>
      <c r="AS2198" s="1"/>
      <c r="AT2198" s="1"/>
      <c r="AU2198" s="1"/>
    </row>
    <row r="2199" spans="34:47">
      <c r="AH2199" s="6">
        <f t="shared" si="337"/>
        <v>2169</v>
      </c>
      <c r="AI2199" s="7">
        <f t="shared" ca="1" si="338"/>
        <v>44839</v>
      </c>
      <c r="AJ2199" s="210">
        <f t="shared" ca="1" si="339"/>
        <v>4.1749999999999998</v>
      </c>
      <c r="AK2199" s="8">
        <f t="shared" ca="1" si="340"/>
        <v>1.0001159722222221</v>
      </c>
      <c r="AL2199" s="98">
        <f t="shared" ca="1" si="341"/>
        <v>4.0307080610084256</v>
      </c>
      <c r="AM2199" s="106">
        <f t="shared" ca="1" si="335"/>
        <v>31318.935703026767</v>
      </c>
      <c r="AN2199" s="10">
        <f t="shared" ca="1" si="336"/>
        <v>0.9883798006806721</v>
      </c>
      <c r="AO2199" s="158"/>
      <c r="AP2199" s="158"/>
      <c r="AQ2199" s="1"/>
      <c r="AR2199" s="1"/>
      <c r="AS2199" s="1"/>
      <c r="AT2199" s="1"/>
      <c r="AU2199" s="1"/>
    </row>
    <row r="2200" spans="34:47">
      <c r="AH2200" s="6">
        <f t="shared" si="337"/>
        <v>2170</v>
      </c>
      <c r="AI2200" s="7">
        <f t="shared" ca="1" si="338"/>
        <v>44840</v>
      </c>
      <c r="AJ2200" s="210">
        <f t="shared" ca="1" si="339"/>
        <v>4.1749999999999998</v>
      </c>
      <c r="AK2200" s="8">
        <f t="shared" ca="1" si="340"/>
        <v>1.0001159722222221</v>
      </c>
      <c r="AL2200" s="98">
        <f t="shared" ca="1" si="341"/>
        <v>4.0308428440179345</v>
      </c>
      <c r="AM2200" s="106">
        <f t="shared" ca="1" si="335"/>
        <v>31321.516429342704</v>
      </c>
      <c r="AN2200" s="10">
        <f t="shared" ca="1" si="336"/>
        <v>0.98849227652095806</v>
      </c>
      <c r="AO2200" s="158"/>
      <c r="AP2200" s="158"/>
      <c r="AQ2200" s="1"/>
      <c r="AR2200" s="1"/>
      <c r="AS2200" s="1"/>
      <c r="AT2200" s="1"/>
      <c r="AU2200" s="1"/>
    </row>
    <row r="2201" spans="34:47">
      <c r="AH2201" s="6">
        <f t="shared" si="337"/>
        <v>2171</v>
      </c>
      <c r="AI2201" s="7">
        <f t="shared" ca="1" si="338"/>
        <v>44841</v>
      </c>
      <c r="AJ2201" s="210">
        <f t="shared" ca="1" si="339"/>
        <v>4.1749999999999998</v>
      </c>
      <c r="AK2201" s="8">
        <f t="shared" ca="1" si="340"/>
        <v>1.0001159722222221</v>
      </c>
      <c r="AL2201" s="98">
        <f t="shared" ca="1" si="341"/>
        <v>4.0309775030350714</v>
      </c>
      <c r="AM2201" s="106">
        <f t="shared" ca="1" si="335"/>
        <v>31324.097368314277</v>
      </c>
      <c r="AN2201" s="10">
        <f t="shared" ca="1" si="336"/>
        <v>0.98860464886971755</v>
      </c>
      <c r="AO2201" s="158"/>
      <c r="AP2201" s="158"/>
      <c r="AQ2201" s="1"/>
      <c r="AR2201" s="1"/>
      <c r="AS2201" s="1"/>
      <c r="AT2201" s="1"/>
      <c r="AU2201" s="1"/>
    </row>
    <row r="2202" spans="34:47">
      <c r="AH2202" s="6">
        <f t="shared" si="337"/>
        <v>2172</v>
      </c>
      <c r="AI2202" s="7">
        <f t="shared" ca="1" si="338"/>
        <v>44842</v>
      </c>
      <c r="AJ2202" s="210">
        <f t="shared" ca="1" si="339"/>
        <v>4.1749999999999998</v>
      </c>
      <c r="AK2202" s="8">
        <f t="shared" ca="1" si="340"/>
        <v>1.0001159722222221</v>
      </c>
      <c r="AL2202" s="98">
        <f t="shared" ca="1" si="341"/>
        <v>4.0311120382308552</v>
      </c>
      <c r="AM2202" s="106">
        <f t="shared" ca="1" si="335"/>
        <v>31326.678519959019</v>
      </c>
      <c r="AN2202" s="10">
        <f t="shared" ca="1" si="336"/>
        <v>0.98871691786972526</v>
      </c>
      <c r="AO2202" s="158"/>
      <c r="AP2202" s="158"/>
      <c r="AQ2202" s="1"/>
      <c r="AR2202" s="1"/>
      <c r="AS2202" s="1"/>
      <c r="AT2202" s="1"/>
      <c r="AU2202" s="1"/>
    </row>
    <row r="2203" spans="34:47">
      <c r="AH2203" s="6">
        <f t="shared" si="337"/>
        <v>2173</v>
      </c>
      <c r="AI2203" s="7">
        <f t="shared" ca="1" si="338"/>
        <v>44843</v>
      </c>
      <c r="AJ2203" s="210">
        <f t="shared" ca="1" si="339"/>
        <v>4.1749999999999998</v>
      </c>
      <c r="AK2203" s="8">
        <f t="shared" ca="1" si="340"/>
        <v>1.0001159722222221</v>
      </c>
      <c r="AL2203" s="98">
        <f t="shared" ca="1" si="341"/>
        <v>4.0312464497759937</v>
      </c>
      <c r="AM2203" s="106">
        <f t="shared" ca="1" si="335"/>
        <v>31329.259884294443</v>
      </c>
      <c r="AN2203" s="10">
        <f t="shared" ca="1" si="336"/>
        <v>0.98882908366346722</v>
      </c>
      <c r="AO2203" s="158"/>
      <c r="AP2203" s="158"/>
      <c r="AQ2203" s="1"/>
      <c r="AR2203" s="1"/>
      <c r="AS2203" s="1"/>
      <c r="AT2203" s="1"/>
      <c r="AU2203" s="1"/>
    </row>
    <row r="2204" spans="34:47">
      <c r="AH2204" s="6">
        <f t="shared" si="337"/>
        <v>2174</v>
      </c>
      <c r="AI2204" s="7">
        <f t="shared" ca="1" si="338"/>
        <v>44844</v>
      </c>
      <c r="AJ2204" s="210">
        <f t="shared" ca="1" si="339"/>
        <v>4.1749999999999998</v>
      </c>
      <c r="AK2204" s="8">
        <f t="shared" ca="1" si="340"/>
        <v>1.0001159722222221</v>
      </c>
      <c r="AL2204" s="98">
        <f t="shared" ca="1" si="341"/>
        <v>4.0313807378408839</v>
      </c>
      <c r="AM2204" s="106">
        <f t="shared" ca="1" si="335"/>
        <v>31331.758181338966</v>
      </c>
      <c r="AN2204" s="10">
        <f t="shared" ca="1" si="336"/>
        <v>0.98898621380416607</v>
      </c>
      <c r="AO2204" s="158"/>
      <c r="AP2204" s="158"/>
      <c r="AQ2204" s="1"/>
      <c r="AR2204" s="1"/>
      <c r="AS2204" s="1"/>
      <c r="AT2204" s="1"/>
      <c r="AU2204" s="1"/>
    </row>
    <row r="2205" spans="34:47">
      <c r="AH2205" s="6">
        <f t="shared" si="337"/>
        <v>2175</v>
      </c>
      <c r="AI2205" s="7">
        <f t="shared" ca="1" si="338"/>
        <v>44845</v>
      </c>
      <c r="AJ2205" s="210">
        <f t="shared" ca="1" si="339"/>
        <v>4.1749999999999998</v>
      </c>
      <c r="AK2205" s="8">
        <f t="shared" ca="1" si="340"/>
        <v>1.0001159722222221</v>
      </c>
      <c r="AL2205" s="98">
        <f t="shared" ca="1" si="341"/>
        <v>4.0315149025956121</v>
      </c>
      <c r="AM2205" s="106">
        <f t="shared" ca="1" si="335"/>
        <v>31334.256677605827</v>
      </c>
      <c r="AN2205" s="10">
        <f t="shared" ca="1" si="336"/>
        <v>0.98914319970151432</v>
      </c>
      <c r="AO2205" s="158"/>
      <c r="AP2205" s="158"/>
      <c r="AQ2205" s="1"/>
      <c r="AR2205" s="1"/>
      <c r="AS2205" s="1"/>
      <c r="AT2205" s="1"/>
      <c r="AU2205" s="1"/>
    </row>
    <row r="2206" spans="34:47">
      <c r="AH2206" s="6">
        <f t="shared" si="337"/>
        <v>2176</v>
      </c>
      <c r="AI2206" s="7">
        <f t="shared" ca="1" si="338"/>
        <v>44846</v>
      </c>
      <c r="AJ2206" s="210">
        <f t="shared" ca="1" si="339"/>
        <v>4.1749999999999998</v>
      </c>
      <c r="AK2206" s="8">
        <f t="shared" ca="1" si="340"/>
        <v>1.0001159722222221</v>
      </c>
      <c r="AL2206" s="98">
        <f t="shared" ca="1" si="341"/>
        <v>4.0316489442099313</v>
      </c>
      <c r="AM2206" s="106">
        <f t="shared" ca="1" si="335"/>
        <v>31336.755373110896</v>
      </c>
      <c r="AN2206" s="10">
        <f t="shared" ca="1" si="336"/>
        <v>0.98930004155406426</v>
      </c>
      <c r="AO2206" s="158"/>
      <c r="AP2206" s="158"/>
      <c r="AQ2206" s="1"/>
      <c r="AR2206" s="1"/>
      <c r="AS2206" s="1"/>
      <c r="AT2206" s="1"/>
      <c r="AU2206" s="1"/>
    </row>
    <row r="2207" spans="34:47">
      <c r="AH2207" s="6">
        <f t="shared" si="337"/>
        <v>2177</v>
      </c>
      <c r="AI2207" s="7">
        <f t="shared" ca="1" si="338"/>
        <v>44847</v>
      </c>
      <c r="AJ2207" s="210">
        <f t="shared" ca="1" si="339"/>
        <v>4.1749999999999998</v>
      </c>
      <c r="AK2207" s="8">
        <f t="shared" ca="1" si="340"/>
        <v>1.0001159722222221</v>
      </c>
      <c r="AL2207" s="98">
        <f t="shared" ca="1" si="341"/>
        <v>4.0317828628533059</v>
      </c>
      <c r="AM2207" s="106">
        <f t="shared" ref="AM2207:AM2270" ca="1" si="342">Geom_Interp(AI2207,$AZ$2:$AZ$109,$BA$2:$BA$109)</f>
        <v>31339.25426787007</v>
      </c>
      <c r="AN2207" s="10">
        <f t="shared" ref="AN2207:AN2270" ca="1" si="343">100*(((1+AL2207/100)^(AH2207/365)*$AM$29/AM2207)^(365/AH2207)-1)</f>
        <v>0.98945673955994629</v>
      </c>
      <c r="AO2207" s="158"/>
      <c r="AP2207" s="158"/>
      <c r="AQ2207" s="1"/>
      <c r="AR2207" s="1"/>
      <c r="AS2207" s="1"/>
      <c r="AT2207" s="1"/>
      <c r="AU2207" s="1"/>
    </row>
    <row r="2208" spans="34:47">
      <c r="AH2208" s="6">
        <f t="shared" ref="AH2208:AH2271" si="344">$AI$29+AH2207</f>
        <v>2178</v>
      </c>
      <c r="AI2208" s="7">
        <f t="shared" ref="AI2208:AI2271" ca="1" si="345">+AH2208+$C$1</f>
        <v>44848</v>
      </c>
      <c r="AJ2208" s="210">
        <f t="shared" ref="AJ2208:AJ2271" ca="1" si="346">IF(AH2208&lt;365,VLOOKUP(LOOKUP(AI2208,$AI$2:$AI$23),$AI$2:$AK$23,3,0),Lin_Interp(AH2208,$AJ$2:$AJ$23,$AK$2:$AK$23))</f>
        <v>4.1749999999999998</v>
      </c>
      <c r="AK2208" s="8">
        <f t="shared" ca="1" si="340"/>
        <v>1.0001159722222221</v>
      </c>
      <c r="AL2208" s="98">
        <f t="shared" ca="1" si="341"/>
        <v>4.0319166586948674</v>
      </c>
      <c r="AM2208" s="106">
        <f t="shared" ca="1" si="342"/>
        <v>31341.753361899235</v>
      </c>
      <c r="AN2208" s="10">
        <f t="shared" ca="1" si="343"/>
        <v>0.98961329391700215</v>
      </c>
      <c r="AO2208" s="158"/>
      <c r="AP2208" s="158"/>
      <c r="AQ2208" s="1"/>
      <c r="AR2208" s="1"/>
      <c r="AS2208" s="1"/>
      <c r="AT2208" s="1"/>
      <c r="AU2208" s="1"/>
    </row>
    <row r="2209" spans="34:47">
      <c r="AH2209" s="6">
        <f t="shared" si="344"/>
        <v>2179</v>
      </c>
      <c r="AI2209" s="7">
        <f t="shared" ca="1" si="345"/>
        <v>44849</v>
      </c>
      <c r="AJ2209" s="210">
        <f t="shared" ca="1" si="346"/>
        <v>4.1749999999999998</v>
      </c>
      <c r="AK2209" s="8">
        <f t="shared" ref="AK2209:AK2272" ca="1" si="347">+(1+AJ2209/36000)</f>
        <v>1.0001159722222221</v>
      </c>
      <c r="AL2209" s="98">
        <f t="shared" ref="AL2209:AL2272" ca="1" si="348">100*(((1+AL2208/100)^(AH2208/365)*AK2209)^(365/AH2209)-1)</f>
        <v>4.0320503319034584</v>
      </c>
      <c r="AM2209" s="106">
        <f t="shared" ca="1" si="342"/>
        <v>31344.252655214284</v>
      </c>
      <c r="AN2209" s="10">
        <f t="shared" ca="1" si="343"/>
        <v>0.98976970482262949</v>
      </c>
      <c r="AO2209" s="158"/>
      <c r="AP2209" s="158"/>
      <c r="AQ2209" s="1"/>
      <c r="AR2209" s="1"/>
      <c r="AS2209" s="1"/>
      <c r="AT2209" s="1"/>
      <c r="AU2209" s="1"/>
    </row>
    <row r="2210" spans="34:47">
      <c r="AH2210" s="6">
        <f t="shared" si="344"/>
        <v>2180</v>
      </c>
      <c r="AI2210" s="7">
        <f t="shared" ca="1" si="345"/>
        <v>44850</v>
      </c>
      <c r="AJ2210" s="210">
        <f t="shared" ca="1" si="346"/>
        <v>4.1749999999999998</v>
      </c>
      <c r="AK2210" s="8">
        <f t="shared" ca="1" si="347"/>
        <v>1.0001159722222221</v>
      </c>
      <c r="AL2210" s="98">
        <f t="shared" ca="1" si="348"/>
        <v>4.0321838826476109</v>
      </c>
      <c r="AM2210" s="106">
        <f t="shared" ca="1" si="342"/>
        <v>31346.75214783111</v>
      </c>
      <c r="AN2210" s="10">
        <f t="shared" ca="1" si="343"/>
        <v>0.98992597247395953</v>
      </c>
      <c r="AO2210" s="158"/>
      <c r="AP2210" s="158"/>
      <c r="AQ2210" s="1"/>
      <c r="AR2210" s="1"/>
      <c r="AS2210" s="1"/>
      <c r="AT2210" s="1"/>
      <c r="AU2210" s="1"/>
    </row>
    <row r="2211" spans="34:47">
      <c r="AH2211" s="6">
        <f t="shared" si="344"/>
        <v>2181</v>
      </c>
      <c r="AI2211" s="7">
        <f t="shared" ca="1" si="345"/>
        <v>44851</v>
      </c>
      <c r="AJ2211" s="210">
        <f t="shared" ca="1" si="346"/>
        <v>4.1749999999999998</v>
      </c>
      <c r="AK2211" s="8">
        <f t="shared" ca="1" si="347"/>
        <v>1.0001159722222221</v>
      </c>
      <c r="AL2211" s="98">
        <f t="shared" ca="1" si="348"/>
        <v>4.0323173110955235</v>
      </c>
      <c r="AM2211" s="106">
        <f t="shared" ca="1" si="342"/>
        <v>31349.251839765602</v>
      </c>
      <c r="AN2211" s="10">
        <f t="shared" ca="1" si="343"/>
        <v>0.99008209706765715</v>
      </c>
      <c r="AO2211" s="158"/>
      <c r="AP2211" s="158"/>
      <c r="AQ2211" s="1"/>
      <c r="AR2211" s="1"/>
      <c r="AS2211" s="1"/>
      <c r="AT2211" s="1"/>
      <c r="AU2211" s="1"/>
    </row>
    <row r="2212" spans="34:47">
      <c r="AH2212" s="6">
        <f t="shared" si="344"/>
        <v>2182</v>
      </c>
      <c r="AI2212" s="7">
        <f t="shared" ca="1" si="345"/>
        <v>44852</v>
      </c>
      <c r="AJ2212" s="210">
        <f t="shared" ca="1" si="346"/>
        <v>4.1749999999999998</v>
      </c>
      <c r="AK2212" s="8">
        <f t="shared" ca="1" si="347"/>
        <v>1.0001159722222221</v>
      </c>
      <c r="AL2212" s="98">
        <f t="shared" ca="1" si="348"/>
        <v>4.0324506174151065</v>
      </c>
      <c r="AM2212" s="106">
        <f t="shared" ca="1" si="342"/>
        <v>31351.751731033655</v>
      </c>
      <c r="AN2212" s="10">
        <f t="shared" ca="1" si="343"/>
        <v>0.99023807880009862</v>
      </c>
      <c r="AO2212" s="158"/>
      <c r="AP2212" s="158"/>
      <c r="AQ2212" s="1"/>
      <c r="AR2212" s="1"/>
      <c r="AS2212" s="1"/>
      <c r="AT2212" s="1"/>
      <c r="AU2212" s="1"/>
    </row>
    <row r="2213" spans="34:47">
      <c r="AH2213" s="6">
        <f t="shared" si="344"/>
        <v>2183</v>
      </c>
      <c r="AI2213" s="7">
        <f t="shared" ca="1" si="345"/>
        <v>44853</v>
      </c>
      <c r="AJ2213" s="210">
        <f t="shared" ca="1" si="346"/>
        <v>4.1749999999999998</v>
      </c>
      <c r="AK2213" s="8">
        <f t="shared" ca="1" si="347"/>
        <v>1.0001159722222221</v>
      </c>
      <c r="AL2213" s="98">
        <f t="shared" ca="1" si="348"/>
        <v>4.0325838017739812</v>
      </c>
      <c r="AM2213" s="106">
        <f t="shared" ca="1" si="342"/>
        <v>31354.251821651167</v>
      </c>
      <c r="AN2213" s="10">
        <f t="shared" ca="1" si="343"/>
        <v>0.9903939178672827</v>
      </c>
      <c r="AO2213" s="158"/>
      <c r="AP2213" s="158"/>
      <c r="AQ2213" s="1"/>
      <c r="AR2213" s="1"/>
      <c r="AS2213" s="1"/>
      <c r="AT2213" s="1"/>
      <c r="AU2213" s="1"/>
    </row>
    <row r="2214" spans="34:47">
      <c r="AH2214" s="6">
        <f t="shared" si="344"/>
        <v>2184</v>
      </c>
      <c r="AI2214" s="7">
        <f t="shared" ca="1" si="345"/>
        <v>44854</v>
      </c>
      <c r="AJ2214" s="210">
        <f t="shared" ca="1" si="346"/>
        <v>4.1749999999999998</v>
      </c>
      <c r="AK2214" s="8">
        <f t="shared" ca="1" si="347"/>
        <v>1.0001159722222221</v>
      </c>
      <c r="AL2214" s="98">
        <f t="shared" ca="1" si="348"/>
        <v>4.032716864339414</v>
      </c>
      <c r="AM2214" s="106">
        <f t="shared" ca="1" si="342"/>
        <v>31356.752111634036</v>
      </c>
      <c r="AN2214" s="10">
        <f t="shared" ca="1" si="343"/>
        <v>0.99054961446480849</v>
      </c>
      <c r="AO2214" s="158"/>
      <c r="AP2214" s="158"/>
      <c r="AQ2214" s="1"/>
      <c r="AR2214" s="1"/>
      <c r="AS2214" s="1"/>
      <c r="AT2214" s="1"/>
      <c r="AU2214" s="1"/>
    </row>
    <row r="2215" spans="34:47">
      <c r="AH2215" s="6">
        <f t="shared" si="344"/>
        <v>2185</v>
      </c>
      <c r="AI2215" s="7">
        <f t="shared" ca="1" si="345"/>
        <v>44855</v>
      </c>
      <c r="AJ2215" s="210">
        <f t="shared" ca="1" si="346"/>
        <v>4.1749999999999998</v>
      </c>
      <c r="AK2215" s="8">
        <f t="shared" ca="1" si="347"/>
        <v>1.0001159722222221</v>
      </c>
      <c r="AL2215" s="98">
        <f t="shared" ca="1" si="348"/>
        <v>4.0328498052784045</v>
      </c>
      <c r="AM2215" s="106">
        <f t="shared" ca="1" si="342"/>
        <v>31359.252600998159</v>
      </c>
      <c r="AN2215" s="10">
        <f t="shared" ca="1" si="343"/>
        <v>0.99070516878800863</v>
      </c>
      <c r="AO2215" s="158"/>
      <c r="AP2215" s="158"/>
      <c r="AQ2215" s="1"/>
      <c r="AR2215" s="1"/>
      <c r="AS2215" s="1"/>
      <c r="AT2215" s="1"/>
      <c r="AU2215" s="1"/>
    </row>
    <row r="2216" spans="34:47">
      <c r="AH2216" s="6">
        <f t="shared" si="344"/>
        <v>2186</v>
      </c>
      <c r="AI2216" s="7">
        <f t="shared" ca="1" si="345"/>
        <v>44856</v>
      </c>
      <c r="AJ2216" s="210">
        <f t="shared" ca="1" si="346"/>
        <v>4.1749999999999998</v>
      </c>
      <c r="AK2216" s="8">
        <f t="shared" ca="1" si="347"/>
        <v>1.0001159722222221</v>
      </c>
      <c r="AL2216" s="98">
        <f t="shared" ca="1" si="348"/>
        <v>4.0329826247576417</v>
      </c>
      <c r="AM2216" s="106">
        <f t="shared" ca="1" si="342"/>
        <v>31361.753289759432</v>
      </c>
      <c r="AN2216" s="10">
        <f t="shared" ca="1" si="343"/>
        <v>0.99086058103181607</v>
      </c>
      <c r="AO2216" s="158"/>
      <c r="AP2216" s="158"/>
      <c r="AQ2216" s="1"/>
      <c r="AR2216" s="1"/>
      <c r="AS2216" s="1"/>
      <c r="AT2216" s="1"/>
      <c r="AU2216" s="1"/>
    </row>
    <row r="2217" spans="34:47">
      <c r="AH2217" s="6">
        <f t="shared" si="344"/>
        <v>2187</v>
      </c>
      <c r="AI2217" s="7">
        <f t="shared" ca="1" si="345"/>
        <v>44857</v>
      </c>
      <c r="AJ2217" s="210">
        <f t="shared" ca="1" si="346"/>
        <v>4.1749999999999998</v>
      </c>
      <c r="AK2217" s="8">
        <f t="shared" ca="1" si="347"/>
        <v>1.0001159722222221</v>
      </c>
      <c r="AL2217" s="98">
        <f t="shared" ca="1" si="348"/>
        <v>4.0331153229435035</v>
      </c>
      <c r="AM2217" s="106">
        <f t="shared" ca="1" si="342"/>
        <v>31364.254177933752</v>
      </c>
      <c r="AN2217" s="10">
        <f t="shared" ca="1" si="343"/>
        <v>0.99101585139074189</v>
      </c>
      <c r="AO2217" s="158"/>
      <c r="AP2217" s="158"/>
      <c r="AQ2217" s="1"/>
      <c r="AR2217" s="1"/>
      <c r="AS2217" s="1"/>
      <c r="AT2217" s="1"/>
      <c r="AU2217" s="1"/>
    </row>
    <row r="2218" spans="34:47">
      <c r="AH2218" s="6">
        <f t="shared" si="344"/>
        <v>2188</v>
      </c>
      <c r="AI2218" s="7">
        <f t="shared" ca="1" si="345"/>
        <v>44858</v>
      </c>
      <c r="AJ2218" s="210">
        <f t="shared" ca="1" si="346"/>
        <v>4.1749999999999998</v>
      </c>
      <c r="AK2218" s="8">
        <f t="shared" ca="1" si="347"/>
        <v>1.0001159722222221</v>
      </c>
      <c r="AL2218" s="98">
        <f t="shared" ca="1" si="348"/>
        <v>4.0332479000020793</v>
      </c>
      <c r="AM2218" s="106">
        <f t="shared" ca="1" si="342"/>
        <v>31366.755265537031</v>
      </c>
      <c r="AN2218" s="10">
        <f t="shared" ca="1" si="343"/>
        <v>0.99117098005907511</v>
      </c>
      <c r="AO2218" s="158"/>
      <c r="AP2218" s="158"/>
      <c r="AQ2218" s="1"/>
      <c r="AR2218" s="1"/>
      <c r="AS2218" s="1"/>
      <c r="AT2218" s="1"/>
      <c r="AU2218" s="1"/>
    </row>
    <row r="2219" spans="34:47">
      <c r="AH2219" s="6">
        <f t="shared" si="344"/>
        <v>2189</v>
      </c>
      <c r="AI2219" s="7">
        <f t="shared" ca="1" si="345"/>
        <v>44859</v>
      </c>
      <c r="AJ2219" s="210">
        <f t="shared" ca="1" si="346"/>
        <v>4.1749999999999998</v>
      </c>
      <c r="AK2219" s="8">
        <f t="shared" ca="1" si="347"/>
        <v>1.0001159722222221</v>
      </c>
      <c r="AL2219" s="98">
        <f t="shared" ca="1" si="348"/>
        <v>4.0333803560991255</v>
      </c>
      <c r="AM2219" s="106">
        <f t="shared" ca="1" si="342"/>
        <v>31369.256552585168</v>
      </c>
      <c r="AN2219" s="10">
        <f t="shared" ca="1" si="343"/>
        <v>0.99132596723061628</v>
      </c>
      <c r="AO2219" s="158"/>
      <c r="AP2219" s="158"/>
      <c r="AQ2219" s="1"/>
      <c r="AR2219" s="1"/>
      <c r="AS2219" s="1"/>
      <c r="AT2219" s="1"/>
      <c r="AU2219" s="1"/>
    </row>
    <row r="2220" spans="34:47">
      <c r="AH2220" s="6">
        <f t="shared" si="344"/>
        <v>2190</v>
      </c>
      <c r="AI2220" s="7">
        <f t="shared" ca="1" si="345"/>
        <v>44860</v>
      </c>
      <c r="AJ2220" s="210">
        <f t="shared" ca="1" si="346"/>
        <v>4.1749999999999998</v>
      </c>
      <c r="AK2220" s="8">
        <f t="shared" ca="1" si="347"/>
        <v>1.0001159722222221</v>
      </c>
      <c r="AL2220" s="98">
        <f t="shared" ca="1" si="348"/>
        <v>4.0335126914001096</v>
      </c>
      <c r="AM2220" s="106">
        <f t="shared" ca="1" si="342"/>
        <v>31371.75803909406</v>
      </c>
      <c r="AN2220" s="10">
        <f t="shared" ca="1" si="343"/>
        <v>0.99148081309889946</v>
      </c>
      <c r="AO2220" s="158"/>
      <c r="AP2220" s="158"/>
      <c r="AQ2220" s="1"/>
      <c r="AR2220" s="1"/>
      <c r="AS2220" s="1"/>
      <c r="AT2220" s="1"/>
      <c r="AU2220" s="1"/>
    </row>
    <row r="2221" spans="34:47">
      <c r="AH2221" s="6">
        <f t="shared" si="344"/>
        <v>2191</v>
      </c>
      <c r="AI2221" s="7">
        <f t="shared" ca="1" si="345"/>
        <v>44861</v>
      </c>
      <c r="AJ2221" s="210">
        <f t="shared" ca="1" si="346"/>
        <v>4.1749999999999998</v>
      </c>
      <c r="AK2221" s="8">
        <f t="shared" ca="1" si="347"/>
        <v>1.0001159722222221</v>
      </c>
      <c r="AL2221" s="98">
        <f t="shared" ca="1" si="348"/>
        <v>4.0336449060702106</v>
      </c>
      <c r="AM2221" s="106">
        <f t="shared" ca="1" si="342"/>
        <v>31374.259725079628</v>
      </c>
      <c r="AN2221" s="10">
        <f t="shared" ca="1" si="343"/>
        <v>0.99163551785705906</v>
      </c>
      <c r="AO2221" s="158"/>
      <c r="AP2221" s="158"/>
      <c r="AQ2221" s="1"/>
      <c r="AR2221" s="1"/>
      <c r="AS2221" s="1"/>
      <c r="AT2221" s="1"/>
      <c r="AU2221" s="1"/>
    </row>
    <row r="2222" spans="34:47">
      <c r="AH2222" s="6">
        <f t="shared" si="344"/>
        <v>2192</v>
      </c>
      <c r="AI2222" s="7">
        <f t="shared" ca="1" si="345"/>
        <v>44862</v>
      </c>
      <c r="AJ2222" s="210">
        <f t="shared" ca="1" si="346"/>
        <v>4.1749999999999998</v>
      </c>
      <c r="AK2222" s="8">
        <f t="shared" ca="1" si="347"/>
        <v>1.0001159722222221</v>
      </c>
      <c r="AL2222" s="98">
        <f t="shared" ca="1" si="348"/>
        <v>4.0337770002742745</v>
      </c>
      <c r="AM2222" s="106">
        <f t="shared" ca="1" si="342"/>
        <v>31376.761610557765</v>
      </c>
      <c r="AN2222" s="10">
        <f t="shared" ca="1" si="343"/>
        <v>0.9917900816978964</v>
      </c>
      <c r="AO2222" s="158"/>
      <c r="AP2222" s="158"/>
      <c r="AQ2222" s="1"/>
      <c r="AR2222" s="1"/>
      <c r="AS2222" s="1"/>
      <c r="AT2222" s="1"/>
      <c r="AU2222" s="1"/>
    </row>
    <row r="2223" spans="34:47">
      <c r="AH2223" s="6">
        <f t="shared" si="344"/>
        <v>2193</v>
      </c>
      <c r="AI2223" s="7">
        <f t="shared" ca="1" si="345"/>
        <v>44863</v>
      </c>
      <c r="AJ2223" s="210">
        <f t="shared" ca="1" si="346"/>
        <v>4.1749999999999998</v>
      </c>
      <c r="AK2223" s="8">
        <f t="shared" ca="1" si="347"/>
        <v>1.0001159722222221</v>
      </c>
      <c r="AL2223" s="98">
        <f t="shared" ca="1" si="348"/>
        <v>4.0339089741768808</v>
      </c>
      <c r="AM2223" s="106">
        <f t="shared" ca="1" si="342"/>
        <v>31379.263695544385</v>
      </c>
      <c r="AN2223" s="10">
        <f t="shared" ca="1" si="343"/>
        <v>0.99194450481387975</v>
      </c>
      <c r="AO2223" s="158"/>
      <c r="AP2223" s="158"/>
      <c r="AQ2223" s="1"/>
      <c r="AR2223" s="1"/>
      <c r="AS2223" s="1"/>
      <c r="AT2223" s="1"/>
      <c r="AU2223" s="1"/>
    </row>
    <row r="2224" spans="34:47">
      <c r="AH2224" s="6">
        <f t="shared" si="344"/>
        <v>2194</v>
      </c>
      <c r="AI2224" s="7">
        <f t="shared" ca="1" si="345"/>
        <v>44864</v>
      </c>
      <c r="AJ2224" s="210">
        <f t="shared" ca="1" si="346"/>
        <v>4.1749999999999998</v>
      </c>
      <c r="AK2224" s="8">
        <f t="shared" ca="1" si="347"/>
        <v>1.0001159722222221</v>
      </c>
      <c r="AL2224" s="98">
        <f t="shared" ca="1" si="348"/>
        <v>4.0340408279422979</v>
      </c>
      <c r="AM2224" s="106">
        <f t="shared" ca="1" si="342"/>
        <v>31381.765980055399</v>
      </c>
      <c r="AN2224" s="10">
        <f t="shared" ca="1" si="343"/>
        <v>0.99209878739709989</v>
      </c>
      <c r="AO2224" s="158"/>
      <c r="AP2224" s="158"/>
      <c r="AQ2224" s="1"/>
      <c r="AR2224" s="1"/>
      <c r="AS2224" s="1"/>
      <c r="AT2224" s="1"/>
      <c r="AU2224" s="1"/>
    </row>
    <row r="2225" spans="34:47">
      <c r="AH2225" s="6">
        <f t="shared" si="344"/>
        <v>2195</v>
      </c>
      <c r="AI2225" s="7">
        <f t="shared" ca="1" si="345"/>
        <v>44865</v>
      </c>
      <c r="AJ2225" s="210">
        <f t="shared" ca="1" si="346"/>
        <v>4.1749999999999998</v>
      </c>
      <c r="AK2225" s="8">
        <f t="shared" ca="1" si="347"/>
        <v>1.0001159722222221</v>
      </c>
      <c r="AL2225" s="98">
        <f t="shared" ca="1" si="348"/>
        <v>4.0341725617345059</v>
      </c>
      <c r="AM2225" s="106">
        <f t="shared" ca="1" si="342"/>
        <v>31384.268464106714</v>
      </c>
      <c r="AN2225" s="10">
        <f t="shared" ca="1" si="343"/>
        <v>0.99225292963929235</v>
      </c>
      <c r="AO2225" s="158"/>
      <c r="AP2225" s="158"/>
      <c r="AQ2225" s="1"/>
      <c r="AR2225" s="1"/>
      <c r="AS2225" s="1"/>
      <c r="AT2225" s="1"/>
      <c r="AU2225" s="1"/>
    </row>
    <row r="2226" spans="34:47">
      <c r="AH2226" s="6">
        <f t="shared" si="344"/>
        <v>2196</v>
      </c>
      <c r="AI2226" s="7">
        <f t="shared" ca="1" si="345"/>
        <v>44866</v>
      </c>
      <c r="AJ2226" s="210">
        <f t="shared" ca="1" si="346"/>
        <v>4.1749999999999998</v>
      </c>
      <c r="AK2226" s="8">
        <f t="shared" ca="1" si="347"/>
        <v>1.0001159722222221</v>
      </c>
      <c r="AL2226" s="98">
        <f t="shared" ca="1" si="348"/>
        <v>4.0343041757171516</v>
      </c>
      <c r="AM2226" s="106">
        <f t="shared" ca="1" si="342"/>
        <v>31386.771147714244</v>
      </c>
      <c r="AN2226" s="10">
        <f t="shared" ca="1" si="343"/>
        <v>0.99240693173188177</v>
      </c>
      <c r="AO2226" s="158"/>
      <c r="AP2226" s="158"/>
      <c r="AQ2226" s="1"/>
      <c r="AR2226" s="1"/>
      <c r="AS2226" s="1"/>
      <c r="AT2226" s="1"/>
      <c r="AU2226" s="1"/>
    </row>
    <row r="2227" spans="34:47">
      <c r="AH2227" s="6">
        <f t="shared" si="344"/>
        <v>2197</v>
      </c>
      <c r="AI2227" s="7">
        <f t="shared" ca="1" si="345"/>
        <v>44867</v>
      </c>
      <c r="AJ2227" s="210">
        <f t="shared" ca="1" si="346"/>
        <v>4.1749999999999998</v>
      </c>
      <c r="AK2227" s="8">
        <f t="shared" ca="1" si="347"/>
        <v>1.0001159722222221</v>
      </c>
      <c r="AL2227" s="98">
        <f t="shared" ca="1" si="348"/>
        <v>4.0344356700536155</v>
      </c>
      <c r="AM2227" s="106">
        <f t="shared" ca="1" si="342"/>
        <v>31389.274030893899</v>
      </c>
      <c r="AN2227" s="10">
        <f t="shared" ca="1" si="343"/>
        <v>0.99256079386589313</v>
      </c>
      <c r="AO2227" s="158"/>
      <c r="AP2227" s="158"/>
      <c r="AQ2227" s="1"/>
      <c r="AR2227" s="1"/>
      <c r="AS2227" s="1"/>
      <c r="AT2227" s="1"/>
      <c r="AU2227" s="1"/>
    </row>
    <row r="2228" spans="34:47">
      <c r="AH2228" s="6">
        <f t="shared" si="344"/>
        <v>2198</v>
      </c>
      <c r="AI2228" s="7">
        <f t="shared" ca="1" si="345"/>
        <v>44868</v>
      </c>
      <c r="AJ2228" s="210">
        <f t="shared" ca="1" si="346"/>
        <v>4.1749999999999998</v>
      </c>
      <c r="AK2228" s="8">
        <f t="shared" ca="1" si="347"/>
        <v>1.0001159722222221</v>
      </c>
      <c r="AL2228" s="98">
        <f t="shared" ca="1" si="348"/>
        <v>4.0345670449069893</v>
      </c>
      <c r="AM2228" s="106">
        <f t="shared" ca="1" si="342"/>
        <v>31391.777113661607</v>
      </c>
      <c r="AN2228" s="10">
        <f t="shared" ca="1" si="343"/>
        <v>0.99271451623206275</v>
      </c>
      <c r="AO2228" s="158"/>
      <c r="AP2228" s="158"/>
      <c r="AQ2228" s="1"/>
      <c r="AR2228" s="1"/>
      <c r="AS2228" s="1"/>
      <c r="AT2228" s="1"/>
      <c r="AU2228" s="1"/>
    </row>
    <row r="2229" spans="34:47">
      <c r="AH2229" s="6">
        <f t="shared" si="344"/>
        <v>2199</v>
      </c>
      <c r="AI2229" s="7">
        <f t="shared" ca="1" si="345"/>
        <v>44869</v>
      </c>
      <c r="AJ2229" s="210">
        <f t="shared" ca="1" si="346"/>
        <v>4.1749999999999998</v>
      </c>
      <c r="AK2229" s="8">
        <f t="shared" ca="1" si="347"/>
        <v>1.0001159722222221</v>
      </c>
      <c r="AL2229" s="98">
        <f t="shared" ca="1" si="348"/>
        <v>4.0346983004400316</v>
      </c>
      <c r="AM2229" s="106">
        <f t="shared" ca="1" si="342"/>
        <v>31394.28039603326</v>
      </c>
      <c r="AN2229" s="10">
        <f t="shared" ca="1" si="343"/>
        <v>0.99286809902074946</v>
      </c>
      <c r="AO2229" s="158"/>
      <c r="AP2229" s="158"/>
      <c r="AQ2229" s="1"/>
      <c r="AR2229" s="1"/>
      <c r="AS2229" s="1"/>
      <c r="AT2229" s="1"/>
      <c r="AU2229" s="1"/>
    </row>
    <row r="2230" spans="34:47">
      <c r="AH2230" s="6">
        <f t="shared" si="344"/>
        <v>2200</v>
      </c>
      <c r="AI2230" s="7">
        <f t="shared" ca="1" si="345"/>
        <v>44870</v>
      </c>
      <c r="AJ2230" s="210">
        <f t="shared" ca="1" si="346"/>
        <v>4.1749999999999998</v>
      </c>
      <c r="AK2230" s="8">
        <f t="shared" ca="1" si="347"/>
        <v>1.0001159722222221</v>
      </c>
      <c r="AL2230" s="98">
        <f t="shared" ca="1" si="348"/>
        <v>4.0348294368152349</v>
      </c>
      <c r="AM2230" s="106">
        <f t="shared" ca="1" si="342"/>
        <v>31396.783878024798</v>
      </c>
      <c r="AN2230" s="10">
        <f t="shared" ca="1" si="343"/>
        <v>0.99302154242193463</v>
      </c>
      <c r="AO2230" s="158"/>
      <c r="AP2230" s="158"/>
      <c r="AQ2230" s="1"/>
      <c r="AR2230" s="1"/>
      <c r="AS2230" s="1"/>
      <c r="AT2230" s="1"/>
      <c r="AU2230" s="1"/>
    </row>
    <row r="2231" spans="34:47">
      <c r="AH2231" s="6">
        <f t="shared" si="344"/>
        <v>2201</v>
      </c>
      <c r="AI2231" s="7">
        <f t="shared" ca="1" si="345"/>
        <v>44871</v>
      </c>
      <c r="AJ2231" s="210">
        <f t="shared" ca="1" si="346"/>
        <v>4.1749999999999998</v>
      </c>
      <c r="AK2231" s="8">
        <f t="shared" ca="1" si="347"/>
        <v>1.0001159722222221</v>
      </c>
      <c r="AL2231" s="98">
        <f t="shared" ca="1" si="348"/>
        <v>4.0349604541948025</v>
      </c>
      <c r="AM2231" s="106">
        <f t="shared" ca="1" si="342"/>
        <v>31399.287559652123</v>
      </c>
      <c r="AN2231" s="10">
        <f t="shared" ca="1" si="343"/>
        <v>0.99317484662535538</v>
      </c>
      <c r="AO2231" s="158"/>
      <c r="AP2231" s="158"/>
      <c r="AQ2231" s="1"/>
      <c r="AR2231" s="1"/>
      <c r="AS2231" s="1"/>
      <c r="AT2231" s="1"/>
      <c r="AU2231" s="1"/>
    </row>
    <row r="2232" spans="34:47">
      <c r="AH2232" s="6">
        <f t="shared" si="344"/>
        <v>2202</v>
      </c>
      <c r="AI2232" s="7">
        <f t="shared" ca="1" si="345"/>
        <v>44872</v>
      </c>
      <c r="AJ2232" s="210">
        <f t="shared" ca="1" si="346"/>
        <v>4.1749999999999998</v>
      </c>
      <c r="AK2232" s="8">
        <f t="shared" ca="1" si="347"/>
        <v>1.0001159722222221</v>
      </c>
      <c r="AL2232" s="98">
        <f t="shared" ca="1" si="348"/>
        <v>4.0350913527406052</v>
      </c>
      <c r="AM2232" s="106">
        <f t="shared" ca="1" si="342"/>
        <v>31401.791440931167</v>
      </c>
      <c r="AN2232" s="10">
        <f t="shared" ca="1" si="343"/>
        <v>0.99332801182026031</v>
      </c>
      <c r="AO2232" s="158"/>
      <c r="AP2232" s="158"/>
      <c r="AQ2232" s="1"/>
      <c r="AR2232" s="1"/>
      <c r="AS2232" s="1"/>
      <c r="AT2232" s="1"/>
      <c r="AU2232" s="1"/>
    </row>
    <row r="2233" spans="34:47">
      <c r="AH2233" s="6">
        <f t="shared" si="344"/>
        <v>2203</v>
      </c>
      <c r="AI2233" s="7">
        <f t="shared" ca="1" si="345"/>
        <v>44873</v>
      </c>
      <c r="AJ2233" s="210">
        <f t="shared" ca="1" si="346"/>
        <v>4.1749999999999998</v>
      </c>
      <c r="AK2233" s="8">
        <f t="shared" ca="1" si="347"/>
        <v>1.0001159722222221</v>
      </c>
      <c r="AL2233" s="98">
        <f t="shared" ca="1" si="348"/>
        <v>4.035222132614269</v>
      </c>
      <c r="AM2233" s="106">
        <f t="shared" ca="1" si="342"/>
        <v>31404.295521877841</v>
      </c>
      <c r="AN2233" s="10">
        <f t="shared" ca="1" si="343"/>
        <v>0.99348103819569822</v>
      </c>
      <c r="AO2233" s="158"/>
      <c r="AP2233" s="158"/>
      <c r="AQ2233" s="1"/>
      <c r="AR2233" s="1"/>
      <c r="AS2233" s="1"/>
      <c r="AT2233" s="1"/>
      <c r="AU2233" s="1"/>
    </row>
    <row r="2234" spans="34:47">
      <c r="AH2234" s="6">
        <f t="shared" si="344"/>
        <v>2204</v>
      </c>
      <c r="AI2234" s="7">
        <f t="shared" ca="1" si="345"/>
        <v>44874</v>
      </c>
      <c r="AJ2234" s="210">
        <f t="shared" ca="1" si="346"/>
        <v>4.1749999999999998</v>
      </c>
      <c r="AK2234" s="8">
        <f t="shared" ca="1" si="347"/>
        <v>1.0001159722222221</v>
      </c>
      <c r="AL2234" s="98">
        <f t="shared" ca="1" si="348"/>
        <v>4.035352793977065</v>
      </c>
      <c r="AM2234" s="106">
        <f t="shared" ca="1" si="342"/>
        <v>31406.799802508071</v>
      </c>
      <c r="AN2234" s="10">
        <f t="shared" ca="1" si="343"/>
        <v>0.99363392594025157</v>
      </c>
      <c r="AO2234" s="158"/>
      <c r="AP2234" s="158"/>
      <c r="AQ2234" s="1"/>
      <c r="AR2234" s="1"/>
      <c r="AS2234" s="1"/>
      <c r="AT2234" s="1"/>
      <c r="AU2234" s="1"/>
    </row>
    <row r="2235" spans="34:47">
      <c r="AH2235" s="6">
        <f t="shared" si="344"/>
        <v>2205</v>
      </c>
      <c r="AI2235" s="7">
        <f t="shared" ca="1" si="345"/>
        <v>44875</v>
      </c>
      <c r="AJ2235" s="210">
        <f t="shared" ca="1" si="346"/>
        <v>4.1749999999999998</v>
      </c>
      <c r="AK2235" s="8">
        <f t="shared" ca="1" si="347"/>
        <v>1.0001159722222221</v>
      </c>
      <c r="AL2235" s="98">
        <f t="shared" ca="1" si="348"/>
        <v>4.0354833369900422</v>
      </c>
      <c r="AM2235" s="106">
        <f t="shared" ca="1" si="342"/>
        <v>31409.38776895489</v>
      </c>
      <c r="AN2235" s="10">
        <f t="shared" ca="1" si="343"/>
        <v>0.99374223931982808</v>
      </c>
      <c r="AO2235" s="158"/>
      <c r="AP2235" s="158"/>
      <c r="AQ2235" s="1"/>
      <c r="AR2235" s="1"/>
      <c r="AS2235" s="1"/>
      <c r="AT2235" s="1"/>
      <c r="AU2235" s="1"/>
    </row>
    <row r="2236" spans="34:47">
      <c r="AH2236" s="6">
        <f t="shared" si="344"/>
        <v>2206</v>
      </c>
      <c r="AI2236" s="7">
        <f t="shared" ca="1" si="345"/>
        <v>44876</v>
      </c>
      <c r="AJ2236" s="210">
        <f t="shared" ca="1" si="346"/>
        <v>4.1749999999999998</v>
      </c>
      <c r="AK2236" s="8">
        <f t="shared" ca="1" si="347"/>
        <v>1.0001159722222221</v>
      </c>
      <c r="AL2236" s="98">
        <f t="shared" ca="1" si="348"/>
        <v>4.0356137618139165</v>
      </c>
      <c r="AM2236" s="106">
        <f t="shared" ca="1" si="342"/>
        <v>31411.975948653955</v>
      </c>
      <c r="AN2236" s="10">
        <f t="shared" ca="1" si="343"/>
        <v>0.99385045461652943</v>
      </c>
      <c r="AO2236" s="158"/>
      <c r="AP2236" s="158"/>
      <c r="AQ2236" s="1"/>
      <c r="AR2236" s="1"/>
      <c r="AS2236" s="1"/>
      <c r="AT2236" s="1"/>
      <c r="AU2236" s="1"/>
    </row>
    <row r="2237" spans="34:47">
      <c r="AH2237" s="6">
        <f t="shared" si="344"/>
        <v>2207</v>
      </c>
      <c r="AI2237" s="7">
        <f t="shared" ca="1" si="345"/>
        <v>44877</v>
      </c>
      <c r="AJ2237" s="210">
        <f t="shared" ca="1" si="346"/>
        <v>4.1749999999999998</v>
      </c>
      <c r="AK2237" s="8">
        <f t="shared" ca="1" si="347"/>
        <v>1.0001159722222221</v>
      </c>
      <c r="AL2237" s="98">
        <f t="shared" ca="1" si="348"/>
        <v>4.0357440686091151</v>
      </c>
      <c r="AM2237" s="106">
        <f t="shared" ca="1" si="342"/>
        <v>31414.564341622827</v>
      </c>
      <c r="AN2237" s="10">
        <f t="shared" ca="1" si="343"/>
        <v>0.99395857196351578</v>
      </c>
      <c r="AO2237" s="158"/>
      <c r="AP2237" s="158"/>
      <c r="AQ2237" s="1"/>
      <c r="AR2237" s="1"/>
      <c r="AS2237" s="1"/>
      <c r="AT2237" s="1"/>
      <c r="AU2237" s="1"/>
    </row>
    <row r="2238" spans="34:47">
      <c r="AH2238" s="6">
        <f t="shared" si="344"/>
        <v>2208</v>
      </c>
      <c r="AI2238" s="7">
        <f t="shared" ca="1" si="345"/>
        <v>44878</v>
      </c>
      <c r="AJ2238" s="210">
        <f t="shared" ca="1" si="346"/>
        <v>4.1749999999999998</v>
      </c>
      <c r="AK2238" s="8">
        <f t="shared" ca="1" si="347"/>
        <v>1.0001159722222221</v>
      </c>
      <c r="AL2238" s="98">
        <f t="shared" ca="1" si="348"/>
        <v>4.0358742575357986</v>
      </c>
      <c r="AM2238" s="106">
        <f t="shared" ca="1" si="342"/>
        <v>31417.15294787908</v>
      </c>
      <c r="AN2238" s="10">
        <f t="shared" ca="1" si="343"/>
        <v>0.99406659149370302</v>
      </c>
      <c r="AO2238" s="158"/>
      <c r="AP2238" s="158"/>
      <c r="AQ2238" s="1"/>
      <c r="AR2238" s="1"/>
      <c r="AS2238" s="1"/>
      <c r="AT2238" s="1"/>
      <c r="AU2238" s="1"/>
    </row>
    <row r="2239" spans="34:47">
      <c r="AH2239" s="6">
        <f t="shared" si="344"/>
        <v>2209</v>
      </c>
      <c r="AI2239" s="7">
        <f t="shared" ca="1" si="345"/>
        <v>44879</v>
      </c>
      <c r="AJ2239" s="210">
        <f t="shared" ca="1" si="346"/>
        <v>4.1749999999999998</v>
      </c>
      <c r="AK2239" s="8">
        <f t="shared" ca="1" si="347"/>
        <v>1.0001159722222221</v>
      </c>
      <c r="AL2239" s="98">
        <f t="shared" ca="1" si="348"/>
        <v>4.036004328753795</v>
      </c>
      <c r="AM2239" s="106">
        <f t="shared" ca="1" si="342"/>
        <v>31419.74176744029</v>
      </c>
      <c r="AN2239" s="10">
        <f t="shared" ca="1" si="343"/>
        <v>0.99417451333978502</v>
      </c>
      <c r="AO2239" s="158"/>
      <c r="AP2239" s="158"/>
      <c r="AQ2239" s="1"/>
      <c r="AR2239" s="1"/>
      <c r="AS2239" s="1"/>
      <c r="AT2239" s="1"/>
      <c r="AU2239" s="1"/>
    </row>
    <row r="2240" spans="34:47">
      <c r="AH2240" s="6">
        <f t="shared" si="344"/>
        <v>2210</v>
      </c>
      <c r="AI2240" s="7">
        <f t="shared" ca="1" si="345"/>
        <v>44880</v>
      </c>
      <c r="AJ2240" s="210">
        <f t="shared" ca="1" si="346"/>
        <v>4.1749999999999998</v>
      </c>
      <c r="AK2240" s="8">
        <f t="shared" ca="1" si="347"/>
        <v>1.0001159722222221</v>
      </c>
      <c r="AL2240" s="98">
        <f t="shared" ca="1" si="348"/>
        <v>4.0361342824226876</v>
      </c>
      <c r="AM2240" s="106">
        <f t="shared" ca="1" si="342"/>
        <v>31422.330800324034</v>
      </c>
      <c r="AN2240" s="10">
        <f t="shared" ca="1" si="343"/>
        <v>0.99428233763418916</v>
      </c>
      <c r="AO2240" s="158"/>
      <c r="AP2240" s="158"/>
      <c r="AQ2240" s="1"/>
      <c r="AR2240" s="1"/>
      <c r="AS2240" s="1"/>
      <c r="AT2240" s="1"/>
      <c r="AU2240" s="1"/>
    </row>
    <row r="2241" spans="34:47">
      <c r="AH2241" s="6">
        <f t="shared" si="344"/>
        <v>2211</v>
      </c>
      <c r="AI2241" s="7">
        <f t="shared" ca="1" si="345"/>
        <v>44881</v>
      </c>
      <c r="AJ2241" s="210">
        <f t="shared" ca="1" si="346"/>
        <v>4.1749999999999998</v>
      </c>
      <c r="AK2241" s="8">
        <f t="shared" ca="1" si="347"/>
        <v>1.0001159722222221</v>
      </c>
      <c r="AL2241" s="98">
        <f t="shared" ca="1" si="348"/>
        <v>4.0362641187017489</v>
      </c>
      <c r="AM2241" s="106">
        <f t="shared" ca="1" si="342"/>
        <v>31424.920046547897</v>
      </c>
      <c r="AN2241" s="10">
        <f t="shared" ca="1" si="343"/>
        <v>0.99439006450914302</v>
      </c>
      <c r="AO2241" s="158"/>
      <c r="AP2241" s="158"/>
      <c r="AQ2241" s="1"/>
      <c r="AR2241" s="1"/>
      <c r="AS2241" s="1"/>
      <c r="AT2241" s="1"/>
      <c r="AU2241" s="1"/>
    </row>
    <row r="2242" spans="34:47">
      <c r="AH2242" s="6">
        <f t="shared" si="344"/>
        <v>2212</v>
      </c>
      <c r="AI2242" s="7">
        <f t="shared" ca="1" si="345"/>
        <v>44882</v>
      </c>
      <c r="AJ2242" s="210">
        <f t="shared" ca="1" si="346"/>
        <v>4.1749999999999998</v>
      </c>
      <c r="AK2242" s="8">
        <f t="shared" ca="1" si="347"/>
        <v>1.0001159722222221</v>
      </c>
      <c r="AL2242" s="98">
        <f t="shared" ca="1" si="348"/>
        <v>4.0363938377499631</v>
      </c>
      <c r="AM2242" s="106">
        <f t="shared" ca="1" si="342"/>
        <v>31427.509506129449</v>
      </c>
      <c r="AN2242" s="10">
        <f t="shared" ca="1" si="343"/>
        <v>0.99449769409662991</v>
      </c>
      <c r="AO2242" s="158"/>
      <c r="AP2242" s="158"/>
      <c r="AQ2242" s="1"/>
      <c r="AR2242" s="1"/>
      <c r="AS2242" s="1"/>
      <c r="AT2242" s="1"/>
      <c r="AU2242" s="1"/>
    </row>
    <row r="2243" spans="34:47">
      <c r="AH2243" s="6">
        <f t="shared" si="344"/>
        <v>2213</v>
      </c>
      <c r="AI2243" s="7">
        <f t="shared" ca="1" si="345"/>
        <v>44883</v>
      </c>
      <c r="AJ2243" s="210">
        <f t="shared" ca="1" si="346"/>
        <v>4.1749999999999998</v>
      </c>
      <c r="AK2243" s="8">
        <f t="shared" ca="1" si="347"/>
        <v>1.0001159722222221</v>
      </c>
      <c r="AL2243" s="98">
        <f t="shared" ca="1" si="348"/>
        <v>4.0365234397260474</v>
      </c>
      <c r="AM2243" s="106">
        <f t="shared" ca="1" si="342"/>
        <v>31430.099179086279</v>
      </c>
      <c r="AN2243" s="10">
        <f t="shared" ca="1" si="343"/>
        <v>0.99460522652834449</v>
      </c>
      <c r="AO2243" s="158"/>
      <c r="AP2243" s="158"/>
      <c r="AQ2243" s="1"/>
      <c r="AR2243" s="1"/>
      <c r="AS2243" s="1"/>
      <c r="AT2243" s="1"/>
      <c r="AU2243" s="1"/>
    </row>
    <row r="2244" spans="34:47">
      <c r="AH2244" s="6">
        <f t="shared" si="344"/>
        <v>2214</v>
      </c>
      <c r="AI2244" s="7">
        <f t="shared" ca="1" si="345"/>
        <v>44884</v>
      </c>
      <c r="AJ2244" s="210">
        <f t="shared" ca="1" si="346"/>
        <v>4.1749999999999998</v>
      </c>
      <c r="AK2244" s="8">
        <f t="shared" ca="1" si="347"/>
        <v>1.0001159722222221</v>
      </c>
      <c r="AL2244" s="98">
        <f t="shared" ca="1" si="348"/>
        <v>4.0366529247884086</v>
      </c>
      <c r="AM2244" s="106">
        <f t="shared" ca="1" si="342"/>
        <v>31432.689065435967</v>
      </c>
      <c r="AN2244" s="10">
        <f t="shared" ca="1" si="343"/>
        <v>0.99471266193582597</v>
      </c>
      <c r="AO2244" s="158"/>
      <c r="AP2244" s="158"/>
      <c r="AQ2244" s="1"/>
      <c r="AR2244" s="1"/>
      <c r="AS2244" s="1"/>
      <c r="AT2244" s="1"/>
      <c r="AU2244" s="1"/>
    </row>
    <row r="2245" spans="34:47">
      <c r="AH2245" s="6">
        <f t="shared" si="344"/>
        <v>2215</v>
      </c>
      <c r="AI2245" s="7">
        <f t="shared" ca="1" si="345"/>
        <v>44885</v>
      </c>
      <c r="AJ2245" s="210">
        <f t="shared" ca="1" si="346"/>
        <v>4.1749999999999998</v>
      </c>
      <c r="AK2245" s="8">
        <f t="shared" ca="1" si="347"/>
        <v>1.0001159722222221</v>
      </c>
      <c r="AL2245" s="98">
        <f t="shared" ca="1" si="348"/>
        <v>4.0367822930951647</v>
      </c>
      <c r="AM2245" s="106">
        <f t="shared" ca="1" si="342"/>
        <v>31435.279165196087</v>
      </c>
      <c r="AN2245" s="10">
        <f t="shared" ca="1" si="343"/>
        <v>0.99482000045028052</v>
      </c>
      <c r="AO2245" s="158"/>
      <c r="AP2245" s="158"/>
      <c r="AQ2245" s="1"/>
      <c r="AR2245" s="1"/>
      <c r="AS2245" s="1"/>
      <c r="AT2245" s="1"/>
      <c r="AU2245" s="1"/>
    </row>
    <row r="2246" spans="34:47">
      <c r="AH2246" s="6">
        <f t="shared" si="344"/>
        <v>2216</v>
      </c>
      <c r="AI2246" s="7">
        <f t="shared" ca="1" si="345"/>
        <v>44886</v>
      </c>
      <c r="AJ2246" s="210">
        <f t="shared" ca="1" si="346"/>
        <v>4.1749999999999998</v>
      </c>
      <c r="AK2246" s="8">
        <f t="shared" ca="1" si="347"/>
        <v>1.0001159722222221</v>
      </c>
      <c r="AL2246" s="98">
        <f t="shared" ca="1" si="348"/>
        <v>4.0369115448041892</v>
      </c>
      <c r="AM2246" s="106">
        <f t="shared" ca="1" si="342"/>
        <v>31437.869478384233</v>
      </c>
      <c r="AN2246" s="10">
        <f t="shared" ca="1" si="343"/>
        <v>0.99492724220275885</v>
      </c>
      <c r="AO2246" s="158"/>
      <c r="AP2246" s="158"/>
      <c r="AQ2246" s="1"/>
      <c r="AR2246" s="1"/>
      <c r="AS2246" s="1"/>
      <c r="AT2246" s="1"/>
      <c r="AU2246" s="1"/>
    </row>
    <row r="2247" spans="34:47">
      <c r="AH2247" s="6">
        <f t="shared" si="344"/>
        <v>2217</v>
      </c>
      <c r="AI2247" s="7">
        <f t="shared" ca="1" si="345"/>
        <v>44887</v>
      </c>
      <c r="AJ2247" s="210">
        <f t="shared" ca="1" si="346"/>
        <v>4.1749999999999998</v>
      </c>
      <c r="AK2247" s="8">
        <f t="shared" ca="1" si="347"/>
        <v>1.0001159722222221</v>
      </c>
      <c r="AL2247" s="98">
        <f t="shared" ca="1" si="348"/>
        <v>4.037040680073023</v>
      </c>
      <c r="AM2247" s="106">
        <f t="shared" ca="1" si="342"/>
        <v>31440.460005017998</v>
      </c>
      <c r="AN2247" s="10">
        <f t="shared" ca="1" si="343"/>
        <v>0.99503438732402305</v>
      </c>
      <c r="AO2247" s="158"/>
      <c r="AP2247" s="158"/>
      <c r="AQ2247" s="1"/>
      <c r="AR2247" s="1"/>
      <c r="AS2247" s="1"/>
      <c r="AT2247" s="1"/>
      <c r="AU2247" s="1"/>
    </row>
    <row r="2248" spans="34:47">
      <c r="AH2248" s="6">
        <f t="shared" si="344"/>
        <v>2218</v>
      </c>
      <c r="AI2248" s="7">
        <f t="shared" ca="1" si="345"/>
        <v>44888</v>
      </c>
      <c r="AJ2248" s="210">
        <f t="shared" ca="1" si="346"/>
        <v>4.1749999999999998</v>
      </c>
      <c r="AK2248" s="8">
        <f t="shared" ca="1" si="347"/>
        <v>1.0001159722222221</v>
      </c>
      <c r="AL2248" s="98">
        <f t="shared" ca="1" si="348"/>
        <v>4.0371696990589401</v>
      </c>
      <c r="AM2248" s="106">
        <f t="shared" ca="1" si="342"/>
        <v>31443.050745114961</v>
      </c>
      <c r="AN2248" s="10">
        <f t="shared" ca="1" si="343"/>
        <v>0.99514143594461313</v>
      </c>
      <c r="AO2248" s="158"/>
      <c r="AP2248" s="158"/>
      <c r="AQ2248" s="1"/>
      <c r="AR2248" s="1"/>
      <c r="AS2248" s="1"/>
      <c r="AT2248" s="1"/>
      <c r="AU2248" s="1"/>
    </row>
    <row r="2249" spans="34:47">
      <c r="AH2249" s="6">
        <f t="shared" si="344"/>
        <v>2219</v>
      </c>
      <c r="AI2249" s="7">
        <f t="shared" ca="1" si="345"/>
        <v>44889</v>
      </c>
      <c r="AJ2249" s="210">
        <f t="shared" ca="1" si="346"/>
        <v>4.1749999999999998</v>
      </c>
      <c r="AK2249" s="8">
        <f t="shared" ca="1" si="347"/>
        <v>1.0001159722222221</v>
      </c>
      <c r="AL2249" s="98">
        <f t="shared" ca="1" si="348"/>
        <v>4.0372986019189261</v>
      </c>
      <c r="AM2249" s="106">
        <f t="shared" ca="1" si="342"/>
        <v>31445.641698692718</v>
      </c>
      <c r="AN2249" s="10">
        <f t="shared" ca="1" si="343"/>
        <v>0.99524838819486927</v>
      </c>
      <c r="AO2249" s="158"/>
      <c r="AP2249" s="158"/>
      <c r="AQ2249" s="1"/>
      <c r="AR2249" s="1"/>
      <c r="AS2249" s="1"/>
      <c r="AT2249" s="1"/>
      <c r="AU2249" s="1"/>
    </row>
    <row r="2250" spans="34:47">
      <c r="AH2250" s="6">
        <f t="shared" si="344"/>
        <v>2220</v>
      </c>
      <c r="AI2250" s="7">
        <f t="shared" ca="1" si="345"/>
        <v>44890</v>
      </c>
      <c r="AJ2250" s="210">
        <f t="shared" ca="1" si="346"/>
        <v>4.1749999999999998</v>
      </c>
      <c r="AK2250" s="8">
        <f t="shared" ca="1" si="347"/>
        <v>1.0001159722222221</v>
      </c>
      <c r="AL2250" s="98">
        <f t="shared" ca="1" si="348"/>
        <v>4.0374273888097223</v>
      </c>
      <c r="AM2250" s="106">
        <f t="shared" ca="1" si="342"/>
        <v>31448.232865768856</v>
      </c>
      <c r="AN2250" s="10">
        <f t="shared" ca="1" si="343"/>
        <v>0.995355244204843</v>
      </c>
      <c r="AO2250" s="158"/>
      <c r="AP2250" s="158"/>
      <c r="AQ2250" s="1"/>
      <c r="AR2250" s="1"/>
      <c r="AS2250" s="1"/>
      <c r="AT2250" s="1"/>
      <c r="AU2250" s="1"/>
    </row>
    <row r="2251" spans="34:47">
      <c r="AH2251" s="6">
        <f t="shared" si="344"/>
        <v>2221</v>
      </c>
      <c r="AI2251" s="7">
        <f t="shared" ca="1" si="345"/>
        <v>44891</v>
      </c>
      <c r="AJ2251" s="210">
        <f t="shared" ca="1" si="346"/>
        <v>4.1749999999999998</v>
      </c>
      <c r="AK2251" s="8">
        <f t="shared" ca="1" si="347"/>
        <v>1.0001159722222221</v>
      </c>
      <c r="AL2251" s="98">
        <f t="shared" ca="1" si="348"/>
        <v>4.0375560598877369</v>
      </c>
      <c r="AM2251" s="106">
        <f t="shared" ca="1" si="342"/>
        <v>31450.82424636096</v>
      </c>
      <c r="AN2251" s="10">
        <f t="shared" ca="1" si="343"/>
        <v>0.99546200410440822</v>
      </c>
      <c r="AO2251" s="158"/>
      <c r="AP2251" s="158"/>
      <c r="AQ2251" s="1"/>
      <c r="AR2251" s="1"/>
      <c r="AS2251" s="1"/>
      <c r="AT2251" s="1"/>
      <c r="AU2251" s="1"/>
    </row>
    <row r="2252" spans="34:47">
      <c r="AH2252" s="6">
        <f t="shared" si="344"/>
        <v>2222</v>
      </c>
      <c r="AI2252" s="7">
        <f t="shared" ca="1" si="345"/>
        <v>44892</v>
      </c>
      <c r="AJ2252" s="210">
        <f t="shared" ca="1" si="346"/>
        <v>4.1749999999999998</v>
      </c>
      <c r="AK2252" s="8">
        <f t="shared" ca="1" si="347"/>
        <v>1.0001159722222221</v>
      </c>
      <c r="AL2252" s="98">
        <f t="shared" ca="1" si="348"/>
        <v>4.0376846153091117</v>
      </c>
      <c r="AM2252" s="106">
        <f t="shared" ca="1" si="342"/>
        <v>31453.415840486639</v>
      </c>
      <c r="AN2252" s="10">
        <f t="shared" ca="1" si="343"/>
        <v>0.99556866802312793</v>
      </c>
      <c r="AO2252" s="158"/>
      <c r="AP2252" s="158"/>
      <c r="AQ2252" s="1"/>
      <c r="AR2252" s="1"/>
      <c r="AS2252" s="1"/>
      <c r="AT2252" s="1"/>
      <c r="AU2252" s="1"/>
    </row>
    <row r="2253" spans="34:47">
      <c r="AH2253" s="6">
        <f t="shared" si="344"/>
        <v>2223</v>
      </c>
      <c r="AI2253" s="7">
        <f t="shared" ca="1" si="345"/>
        <v>44893</v>
      </c>
      <c r="AJ2253" s="210">
        <f t="shared" ca="1" si="346"/>
        <v>4.1749999999999998</v>
      </c>
      <c r="AK2253" s="8">
        <f t="shared" ca="1" si="347"/>
        <v>1.0001159722222221</v>
      </c>
      <c r="AL2253" s="98">
        <f t="shared" ca="1" si="348"/>
        <v>4.037813055229722</v>
      </c>
      <c r="AM2253" s="106">
        <f t="shared" ca="1" si="342"/>
        <v>31456.007648163479</v>
      </c>
      <c r="AN2253" s="10">
        <f t="shared" ca="1" si="343"/>
        <v>0.99567523609040975</v>
      </c>
      <c r="AO2253" s="158"/>
      <c r="AP2253" s="158"/>
      <c r="AQ2253" s="1"/>
      <c r="AR2253" s="1"/>
      <c r="AS2253" s="1"/>
      <c r="AT2253" s="1"/>
      <c r="AU2253" s="1"/>
    </row>
    <row r="2254" spans="34:47">
      <c r="AH2254" s="6">
        <f t="shared" si="344"/>
        <v>2224</v>
      </c>
      <c r="AI2254" s="7">
        <f t="shared" ca="1" si="345"/>
        <v>44894</v>
      </c>
      <c r="AJ2254" s="210">
        <f t="shared" ca="1" si="346"/>
        <v>4.1749999999999998</v>
      </c>
      <c r="AK2254" s="8">
        <f t="shared" ca="1" si="347"/>
        <v>1.0001159722222221</v>
      </c>
      <c r="AL2254" s="98">
        <f t="shared" ca="1" si="348"/>
        <v>4.0379413798051544</v>
      </c>
      <c r="AM2254" s="106">
        <f t="shared" ca="1" si="342"/>
        <v>31458.599669409083</v>
      </c>
      <c r="AN2254" s="10">
        <f t="shared" ca="1" si="343"/>
        <v>0.99578170843539482</v>
      </c>
      <c r="AO2254" s="158"/>
      <c r="AP2254" s="158"/>
      <c r="AQ2254" s="1"/>
      <c r="AR2254" s="1"/>
      <c r="AS2254" s="1"/>
      <c r="AT2254" s="1"/>
      <c r="AU2254" s="1"/>
    </row>
    <row r="2255" spans="34:47">
      <c r="AH2255" s="6">
        <f t="shared" si="344"/>
        <v>2225</v>
      </c>
      <c r="AI2255" s="7">
        <f t="shared" ca="1" si="345"/>
        <v>44895</v>
      </c>
      <c r="AJ2255" s="210">
        <f t="shared" ca="1" si="346"/>
        <v>4.1749999999999998</v>
      </c>
      <c r="AK2255" s="8">
        <f t="shared" ca="1" si="347"/>
        <v>1.0001159722222221</v>
      </c>
      <c r="AL2255" s="98">
        <f t="shared" ca="1" si="348"/>
        <v>4.0380695891907292</v>
      </c>
      <c r="AM2255" s="106">
        <f t="shared" ca="1" si="342"/>
        <v>31461.191904241037</v>
      </c>
      <c r="AN2255" s="10">
        <f t="shared" ca="1" si="343"/>
        <v>0.99588808518700223</v>
      </c>
      <c r="AO2255" s="158"/>
      <c r="AP2255" s="158"/>
      <c r="AQ2255" s="1"/>
      <c r="AR2255" s="1"/>
      <c r="AS2255" s="1"/>
      <c r="AT2255" s="1"/>
      <c r="AU2255" s="1"/>
    </row>
    <row r="2256" spans="34:47">
      <c r="AH2256" s="6">
        <f t="shared" si="344"/>
        <v>2226</v>
      </c>
      <c r="AI2256" s="7">
        <f t="shared" ca="1" si="345"/>
        <v>44896</v>
      </c>
      <c r="AJ2256" s="210">
        <f t="shared" ca="1" si="346"/>
        <v>4.1749999999999998</v>
      </c>
      <c r="AK2256" s="8">
        <f t="shared" ca="1" si="347"/>
        <v>1.0001159722222221</v>
      </c>
      <c r="AL2256" s="98">
        <f t="shared" ca="1" si="348"/>
        <v>4.0381976835414779</v>
      </c>
      <c r="AM2256" s="106">
        <f t="shared" ca="1" si="342"/>
        <v>31463.784352676957</v>
      </c>
      <c r="AN2256" s="10">
        <f t="shared" ca="1" si="343"/>
        <v>0.99599436647392903</v>
      </c>
      <c r="AO2256" s="158"/>
      <c r="AP2256" s="158"/>
      <c r="AQ2256" s="1"/>
      <c r="AR2256" s="1"/>
      <c r="AS2256" s="1"/>
      <c r="AT2256" s="1"/>
      <c r="AU2256" s="1"/>
    </row>
    <row r="2257" spans="34:47">
      <c r="AH2257" s="6">
        <f t="shared" si="344"/>
        <v>2227</v>
      </c>
      <c r="AI2257" s="7">
        <f t="shared" ca="1" si="345"/>
        <v>44897</v>
      </c>
      <c r="AJ2257" s="210">
        <f t="shared" ca="1" si="346"/>
        <v>4.1749999999999998</v>
      </c>
      <c r="AK2257" s="8">
        <f t="shared" ca="1" si="347"/>
        <v>1.0001159722222221</v>
      </c>
      <c r="AL2257" s="98">
        <f t="shared" ca="1" si="348"/>
        <v>4.0383256630121434</v>
      </c>
      <c r="AM2257" s="106">
        <f t="shared" ca="1" si="342"/>
        <v>31466.377014734437</v>
      </c>
      <c r="AN2257" s="10">
        <f t="shared" ca="1" si="343"/>
        <v>0.99610055242458362</v>
      </c>
      <c r="AO2257" s="158"/>
      <c r="AP2257" s="158"/>
      <c r="AQ2257" s="1"/>
      <c r="AR2257" s="1"/>
      <c r="AS2257" s="1"/>
      <c r="AT2257" s="1"/>
      <c r="AU2257" s="1"/>
    </row>
    <row r="2258" spans="34:47">
      <c r="AH2258" s="6">
        <f t="shared" si="344"/>
        <v>2228</v>
      </c>
      <c r="AI2258" s="7">
        <f t="shared" ca="1" si="345"/>
        <v>44898</v>
      </c>
      <c r="AJ2258" s="210">
        <f t="shared" ca="1" si="346"/>
        <v>4.1749999999999998</v>
      </c>
      <c r="AK2258" s="8">
        <f t="shared" ca="1" si="347"/>
        <v>1.0001159722222221</v>
      </c>
      <c r="AL2258" s="98">
        <f t="shared" ca="1" si="348"/>
        <v>4.038453527757202</v>
      </c>
      <c r="AM2258" s="106">
        <f t="shared" ca="1" si="342"/>
        <v>31468.969890431079</v>
      </c>
      <c r="AN2258" s="10">
        <f t="shared" ca="1" si="343"/>
        <v>0.99620664316721896</v>
      </c>
      <c r="AO2258" s="158"/>
      <c r="AP2258" s="158"/>
      <c r="AQ2258" s="1"/>
      <c r="AR2258" s="1"/>
      <c r="AS2258" s="1"/>
      <c r="AT2258" s="1"/>
      <c r="AU2258" s="1"/>
    </row>
    <row r="2259" spans="34:47">
      <c r="AH2259" s="6">
        <f t="shared" si="344"/>
        <v>2229</v>
      </c>
      <c r="AI2259" s="7">
        <f t="shared" ca="1" si="345"/>
        <v>44899</v>
      </c>
      <c r="AJ2259" s="210">
        <f t="shared" ca="1" si="346"/>
        <v>4.1749999999999998</v>
      </c>
      <c r="AK2259" s="8">
        <f t="shared" ca="1" si="347"/>
        <v>1.0001159722222221</v>
      </c>
      <c r="AL2259" s="98">
        <f t="shared" ca="1" si="348"/>
        <v>4.0385812779308417</v>
      </c>
      <c r="AM2259" s="106">
        <f t="shared" ca="1" si="342"/>
        <v>31471.562979784485</v>
      </c>
      <c r="AN2259" s="10">
        <f t="shared" ca="1" si="343"/>
        <v>0.99631263882979937</v>
      </c>
      <c r="AO2259" s="158"/>
      <c r="AP2259" s="158"/>
      <c r="AQ2259" s="1"/>
      <c r="AR2259" s="1"/>
      <c r="AS2259" s="1"/>
      <c r="AT2259" s="1"/>
      <c r="AU2259" s="1"/>
    </row>
    <row r="2260" spans="34:47">
      <c r="AH2260" s="6">
        <f t="shared" si="344"/>
        <v>2230</v>
      </c>
      <c r="AI2260" s="7">
        <f t="shared" ca="1" si="345"/>
        <v>44900</v>
      </c>
      <c r="AJ2260" s="210">
        <f t="shared" ca="1" si="346"/>
        <v>4.1749999999999998</v>
      </c>
      <c r="AK2260" s="8">
        <f t="shared" ca="1" si="347"/>
        <v>1.0001159722222221</v>
      </c>
      <c r="AL2260" s="98">
        <f t="shared" ca="1" si="348"/>
        <v>4.0387089136869836</v>
      </c>
      <c r="AM2260" s="106">
        <f t="shared" ca="1" si="342"/>
        <v>31474.156282812266</v>
      </c>
      <c r="AN2260" s="10">
        <f t="shared" ca="1" si="343"/>
        <v>0.9964185395401115</v>
      </c>
      <c r="AO2260" s="158"/>
      <c r="AP2260" s="158"/>
      <c r="AQ2260" s="1"/>
      <c r="AR2260" s="1"/>
      <c r="AS2260" s="1"/>
      <c r="AT2260" s="1"/>
      <c r="AU2260" s="1"/>
    </row>
    <row r="2261" spans="34:47">
      <c r="AH2261" s="6">
        <f t="shared" si="344"/>
        <v>2231</v>
      </c>
      <c r="AI2261" s="7">
        <f t="shared" ca="1" si="345"/>
        <v>44901</v>
      </c>
      <c r="AJ2261" s="210">
        <f t="shared" ca="1" si="346"/>
        <v>4.1749999999999998</v>
      </c>
      <c r="AK2261" s="8">
        <f t="shared" ca="1" si="347"/>
        <v>1.0001159722222221</v>
      </c>
      <c r="AL2261" s="98">
        <f t="shared" ca="1" si="348"/>
        <v>4.0388364351792827</v>
      </c>
      <c r="AM2261" s="106">
        <f t="shared" ca="1" si="342"/>
        <v>31476.749799532026</v>
      </c>
      <c r="AN2261" s="10">
        <f t="shared" ca="1" si="343"/>
        <v>0.99652434542565338</v>
      </c>
      <c r="AO2261" s="158"/>
      <c r="AP2261" s="158"/>
      <c r="AQ2261" s="1"/>
      <c r="AR2261" s="1"/>
      <c r="AS2261" s="1"/>
      <c r="AT2261" s="1"/>
      <c r="AU2261" s="1"/>
    </row>
    <row r="2262" spans="34:47">
      <c r="AH2262" s="6">
        <f t="shared" si="344"/>
        <v>2232</v>
      </c>
      <c r="AI2262" s="7">
        <f t="shared" ca="1" si="345"/>
        <v>44902</v>
      </c>
      <c r="AJ2262" s="210">
        <f t="shared" ca="1" si="346"/>
        <v>4.1749999999999998</v>
      </c>
      <c r="AK2262" s="8">
        <f t="shared" ca="1" si="347"/>
        <v>1.0001159722222221</v>
      </c>
      <c r="AL2262" s="98">
        <f t="shared" ca="1" si="348"/>
        <v>4.0389638425611052</v>
      </c>
      <c r="AM2262" s="106">
        <f t="shared" ca="1" si="342"/>
        <v>31479.343529961374</v>
      </c>
      <c r="AN2262" s="10">
        <f t="shared" ca="1" si="343"/>
        <v>0.99663005661376758</v>
      </c>
      <c r="AO2262" s="158"/>
      <c r="AP2262" s="158"/>
      <c r="AQ2262" s="1"/>
      <c r="AR2262" s="1"/>
      <c r="AS2262" s="1"/>
      <c r="AT2262" s="1"/>
      <c r="AU2262" s="1"/>
    </row>
    <row r="2263" spans="34:47">
      <c r="AH2263" s="6">
        <f t="shared" si="344"/>
        <v>2233</v>
      </c>
      <c r="AI2263" s="7">
        <f t="shared" ca="1" si="345"/>
        <v>44903</v>
      </c>
      <c r="AJ2263" s="210">
        <f t="shared" ca="1" si="346"/>
        <v>4.1749999999999998</v>
      </c>
      <c r="AK2263" s="8">
        <f t="shared" ca="1" si="347"/>
        <v>1.0001159722222221</v>
      </c>
      <c r="AL2263" s="98">
        <f t="shared" ca="1" si="348"/>
        <v>4.0390911359855508</v>
      </c>
      <c r="AM2263" s="106">
        <f t="shared" ca="1" si="342"/>
        <v>31481.937474117924</v>
      </c>
      <c r="AN2263" s="10">
        <f t="shared" ca="1" si="343"/>
        <v>0.99673567323148582</v>
      </c>
      <c r="AO2263" s="158"/>
      <c r="AP2263" s="158"/>
      <c r="AQ2263" s="1"/>
      <c r="AR2263" s="1"/>
      <c r="AS2263" s="1"/>
      <c r="AT2263" s="1"/>
      <c r="AU2263" s="1"/>
    </row>
    <row r="2264" spans="34:47">
      <c r="AH2264" s="6">
        <f t="shared" si="344"/>
        <v>2234</v>
      </c>
      <c r="AI2264" s="7">
        <f t="shared" ca="1" si="345"/>
        <v>44904</v>
      </c>
      <c r="AJ2264" s="210">
        <f t="shared" ca="1" si="346"/>
        <v>4.1749999999999998</v>
      </c>
      <c r="AK2264" s="8">
        <f t="shared" ca="1" si="347"/>
        <v>1.0001159722222221</v>
      </c>
      <c r="AL2264" s="98">
        <f t="shared" ca="1" si="348"/>
        <v>4.0392183156054307</v>
      </c>
      <c r="AM2264" s="106">
        <f t="shared" ca="1" si="342"/>
        <v>31484.53163201928</v>
      </c>
      <c r="AN2264" s="10">
        <f t="shared" ca="1" si="343"/>
        <v>0.99684119540570659</v>
      </c>
      <c r="AO2264" s="158"/>
      <c r="AP2264" s="158"/>
      <c r="AQ2264" s="1"/>
      <c r="AR2264" s="1"/>
      <c r="AS2264" s="1"/>
      <c r="AT2264" s="1"/>
      <c r="AU2264" s="1"/>
    </row>
    <row r="2265" spans="34:47">
      <c r="AH2265" s="6">
        <f t="shared" si="344"/>
        <v>2235</v>
      </c>
      <c r="AI2265" s="7">
        <f t="shared" ca="1" si="345"/>
        <v>44905</v>
      </c>
      <c r="AJ2265" s="210">
        <f t="shared" ca="1" si="346"/>
        <v>4.1749999999999998</v>
      </c>
      <c r="AK2265" s="8">
        <f t="shared" ca="1" si="347"/>
        <v>1.0001159722222221</v>
      </c>
      <c r="AL2265" s="98">
        <f t="shared" ca="1" si="348"/>
        <v>4.0393453815733116</v>
      </c>
      <c r="AM2265" s="106">
        <f t="shared" ca="1" si="342"/>
        <v>31487.126003683061</v>
      </c>
      <c r="AN2265" s="10">
        <f t="shared" ca="1" si="343"/>
        <v>0.99694662326301753</v>
      </c>
      <c r="AO2265" s="158"/>
      <c r="AP2265" s="158"/>
      <c r="AQ2265" s="1"/>
      <c r="AR2265" s="1"/>
      <c r="AS2265" s="1"/>
      <c r="AT2265" s="1"/>
      <c r="AU2265" s="1"/>
    </row>
    <row r="2266" spans="34:47">
      <c r="AH2266" s="6">
        <f t="shared" si="344"/>
        <v>2236</v>
      </c>
      <c r="AI2266" s="7">
        <f t="shared" ca="1" si="345"/>
        <v>44906</v>
      </c>
      <c r="AJ2266" s="210">
        <f t="shared" ca="1" si="346"/>
        <v>4.1749999999999998</v>
      </c>
      <c r="AK2266" s="8">
        <f t="shared" ca="1" si="347"/>
        <v>1.0001159722222221</v>
      </c>
      <c r="AL2266" s="98">
        <f t="shared" ca="1" si="348"/>
        <v>4.0394723340414496</v>
      </c>
      <c r="AM2266" s="106">
        <f t="shared" ca="1" si="342"/>
        <v>31489.720589126868</v>
      </c>
      <c r="AN2266" s="10">
        <f t="shared" ca="1" si="343"/>
        <v>0.99705195692982862</v>
      </c>
      <c r="AO2266" s="158"/>
      <c r="AP2266" s="158"/>
      <c r="AQ2266" s="1"/>
      <c r="AR2266" s="1"/>
      <c r="AS2266" s="1"/>
      <c r="AT2266" s="1"/>
      <c r="AU2266" s="1"/>
    </row>
    <row r="2267" spans="34:47">
      <c r="AH2267" s="6">
        <f t="shared" si="344"/>
        <v>2237</v>
      </c>
      <c r="AI2267" s="7">
        <f t="shared" ca="1" si="345"/>
        <v>44907</v>
      </c>
      <c r="AJ2267" s="210">
        <f t="shared" ca="1" si="346"/>
        <v>4.1749999999999998</v>
      </c>
      <c r="AK2267" s="8">
        <f t="shared" ca="1" si="347"/>
        <v>1.0001159722222221</v>
      </c>
      <c r="AL2267" s="98">
        <f t="shared" ca="1" si="348"/>
        <v>4.0395991731618786</v>
      </c>
      <c r="AM2267" s="106">
        <f t="shared" ca="1" si="342"/>
        <v>31492.315388368344</v>
      </c>
      <c r="AN2267" s="10">
        <f t="shared" ca="1" si="343"/>
        <v>0.99715719653230561</v>
      </c>
      <c r="AO2267" s="158"/>
      <c r="AP2267" s="158"/>
      <c r="AQ2267" s="1"/>
      <c r="AR2267" s="1"/>
      <c r="AS2267" s="1"/>
      <c r="AT2267" s="1"/>
      <c r="AU2267" s="1"/>
    </row>
    <row r="2268" spans="34:47">
      <c r="AH2268" s="6">
        <f t="shared" si="344"/>
        <v>2238</v>
      </c>
      <c r="AI2268" s="7">
        <f t="shared" ca="1" si="345"/>
        <v>44908</v>
      </c>
      <c r="AJ2268" s="210">
        <f t="shared" ca="1" si="346"/>
        <v>4.1749999999999998</v>
      </c>
      <c r="AK2268" s="8">
        <f t="shared" ca="1" si="347"/>
        <v>1.0001159722222221</v>
      </c>
      <c r="AL2268" s="98">
        <f t="shared" ca="1" si="348"/>
        <v>4.0397258990862994</v>
      </c>
      <c r="AM2268" s="106">
        <f t="shared" ca="1" si="342"/>
        <v>31494.910401425077</v>
      </c>
      <c r="AN2268" s="10">
        <f t="shared" ca="1" si="343"/>
        <v>0.9972623421963922</v>
      </c>
      <c r="AO2268" s="158"/>
      <c r="AP2268" s="158"/>
      <c r="AQ2268" s="1"/>
      <c r="AR2268" s="1"/>
      <c r="AS2268" s="1"/>
      <c r="AT2268" s="1"/>
      <c r="AU2268" s="1"/>
    </row>
    <row r="2269" spans="34:47">
      <c r="AH2269" s="6">
        <f t="shared" si="344"/>
        <v>2239</v>
      </c>
      <c r="AI2269" s="7">
        <f t="shared" ca="1" si="345"/>
        <v>44909</v>
      </c>
      <c r="AJ2269" s="210">
        <f t="shared" ca="1" si="346"/>
        <v>4.1749999999999998</v>
      </c>
      <c r="AK2269" s="8">
        <f t="shared" ca="1" si="347"/>
        <v>1.0001159722222221</v>
      </c>
      <c r="AL2269" s="98">
        <f t="shared" ca="1" si="348"/>
        <v>4.039852511966191</v>
      </c>
      <c r="AM2269" s="106">
        <f t="shared" ca="1" si="342"/>
        <v>31497.505628314699</v>
      </c>
      <c r="AN2269" s="10">
        <f t="shared" ca="1" si="343"/>
        <v>0.99736739404781005</v>
      </c>
      <c r="AO2269" s="158"/>
      <c r="AP2269" s="158"/>
      <c r="AQ2269" s="1"/>
      <c r="AR2269" s="1"/>
      <c r="AS2269" s="1"/>
      <c r="AT2269" s="1"/>
      <c r="AU2269" s="1"/>
    </row>
    <row r="2270" spans="34:47">
      <c r="AH2270" s="6">
        <f t="shared" si="344"/>
        <v>2240</v>
      </c>
      <c r="AI2270" s="7">
        <f t="shared" ca="1" si="345"/>
        <v>44910</v>
      </c>
      <c r="AJ2270" s="210">
        <f t="shared" ca="1" si="346"/>
        <v>4.1749999999999998</v>
      </c>
      <c r="AK2270" s="8">
        <f t="shared" ca="1" si="347"/>
        <v>1.0001159722222221</v>
      </c>
      <c r="AL2270" s="98">
        <f t="shared" ca="1" si="348"/>
        <v>4.0399790119527434</v>
      </c>
      <c r="AM2270" s="106">
        <f t="shared" ca="1" si="342"/>
        <v>31500.101069054836</v>
      </c>
      <c r="AN2270" s="10">
        <f t="shared" ca="1" si="343"/>
        <v>0.99747235221203656</v>
      </c>
      <c r="AO2270" s="158"/>
      <c r="AP2270" s="158"/>
      <c r="AQ2270" s="1"/>
      <c r="AR2270" s="1"/>
      <c r="AS2270" s="1"/>
      <c r="AT2270" s="1"/>
      <c r="AU2270" s="1"/>
    </row>
    <row r="2271" spans="34:47">
      <c r="AH2271" s="6">
        <f t="shared" si="344"/>
        <v>2241</v>
      </c>
      <c r="AI2271" s="7">
        <f t="shared" ca="1" si="345"/>
        <v>44911</v>
      </c>
      <c r="AJ2271" s="210">
        <f t="shared" ca="1" si="346"/>
        <v>4.1749999999999998</v>
      </c>
      <c r="AK2271" s="8">
        <f t="shared" ca="1" si="347"/>
        <v>1.0001159722222221</v>
      </c>
      <c r="AL2271" s="98">
        <f t="shared" ca="1" si="348"/>
        <v>4.0401053991969027</v>
      </c>
      <c r="AM2271" s="106">
        <f t="shared" ref="AM2271:AM2334" ca="1" si="349">Geom_Interp(AI2271,$AZ$2:$AZ$109,$BA$2:$BA$109)</f>
        <v>31502.696723663103</v>
      </c>
      <c r="AN2271" s="10">
        <f t="shared" ref="AN2271:AN2334" ca="1" si="350">100*(((1+AL2271/100)^(AH2271/365)*$AM$29/AM2271)^(365/AH2271)-1)</f>
        <v>0.99757721681439371</v>
      </c>
      <c r="AO2271" s="158"/>
      <c r="AP2271" s="158"/>
      <c r="AQ2271" s="1"/>
      <c r="AR2271" s="1"/>
      <c r="AS2271" s="1"/>
      <c r="AT2271" s="1"/>
      <c r="AU2271" s="1"/>
    </row>
    <row r="2272" spans="34:47">
      <c r="AH2272" s="6">
        <f t="shared" ref="AH2272:AH2335" si="351">$AI$29+AH2271</f>
        <v>2242</v>
      </c>
      <c r="AI2272" s="7">
        <f t="shared" ref="AI2272:AI2335" ca="1" si="352">+AH2272+$C$1</f>
        <v>44912</v>
      </c>
      <c r="AJ2272" s="210">
        <f t="shared" ref="AJ2272:AJ2335" ca="1" si="353">IF(AH2272&lt;365,VLOOKUP(LOOKUP(AI2272,$AI$2:$AI$23),$AI$2:$AK$23,3,0),Lin_Interp(AH2272,$AJ$2:$AJ$23,$AK$2:$AK$23))</f>
        <v>4.1749999999999998</v>
      </c>
      <c r="AK2272" s="8">
        <f t="shared" ca="1" si="347"/>
        <v>1.0001159722222221</v>
      </c>
      <c r="AL2272" s="98">
        <f t="shared" ca="1" si="348"/>
        <v>4.0402316738492816</v>
      </c>
      <c r="AM2272" s="106">
        <f t="shared" ca="1" si="349"/>
        <v>31505.292592157122</v>
      </c>
      <c r="AN2272" s="10">
        <f t="shared" ca="1" si="350"/>
        <v>0.9976819879798704</v>
      </c>
      <c r="AO2272" s="158"/>
      <c r="AP2272" s="158"/>
      <c r="AQ2272" s="1"/>
      <c r="AR2272" s="1"/>
      <c r="AS2272" s="1"/>
      <c r="AT2272" s="1"/>
      <c r="AU2272" s="1"/>
    </row>
    <row r="2273" spans="34:47">
      <c r="AH2273" s="6">
        <f t="shared" si="351"/>
        <v>2243</v>
      </c>
      <c r="AI2273" s="7">
        <f t="shared" ca="1" si="352"/>
        <v>44913</v>
      </c>
      <c r="AJ2273" s="210">
        <f t="shared" ca="1" si="353"/>
        <v>4.1749999999999998</v>
      </c>
      <c r="AK2273" s="8">
        <f t="shared" ref="AK2273:AK2336" ca="1" si="354">+(1+AJ2273/36000)</f>
        <v>1.0001159722222221</v>
      </c>
      <c r="AL2273" s="98">
        <f t="shared" ref="AL2273:AL2336" ca="1" si="355">100*(((1+AL2272/100)^(AH2272/365)*AK2273)^(365/AH2273)-1)</f>
        <v>4.0403578360602932</v>
      </c>
      <c r="AM2273" s="106">
        <f t="shared" ca="1" si="349"/>
        <v>31507.888674554513</v>
      </c>
      <c r="AN2273" s="10">
        <f t="shared" ca="1" si="350"/>
        <v>0.99778666583334452</v>
      </c>
      <c r="AO2273" s="158"/>
      <c r="AP2273" s="158"/>
      <c r="AQ2273" s="1"/>
      <c r="AR2273" s="1"/>
      <c r="AS2273" s="1"/>
      <c r="AT2273" s="1"/>
      <c r="AU2273" s="1"/>
    </row>
    <row r="2274" spans="34:47">
      <c r="AH2274" s="6">
        <f t="shared" si="351"/>
        <v>2244</v>
      </c>
      <c r="AI2274" s="7">
        <f t="shared" ca="1" si="352"/>
        <v>44914</v>
      </c>
      <c r="AJ2274" s="210">
        <f t="shared" ca="1" si="353"/>
        <v>4.1749999999999998</v>
      </c>
      <c r="AK2274" s="8">
        <f t="shared" ca="1" si="354"/>
        <v>1.0001159722222221</v>
      </c>
      <c r="AL2274" s="98">
        <f t="shared" ca="1" si="355"/>
        <v>4.0404838859800618</v>
      </c>
      <c r="AM2274" s="106">
        <f t="shared" ca="1" si="349"/>
        <v>31510.484970872916</v>
      </c>
      <c r="AN2274" s="10">
        <f t="shared" ca="1" si="350"/>
        <v>0.9978912504993831</v>
      </c>
      <c r="AO2274" s="158"/>
      <c r="AP2274" s="158"/>
      <c r="AQ2274" s="1"/>
      <c r="AR2274" s="1"/>
      <c r="AS2274" s="1"/>
      <c r="AT2274" s="1"/>
      <c r="AU2274" s="1"/>
    </row>
    <row r="2275" spans="34:47">
      <c r="AH2275" s="6">
        <f t="shared" si="351"/>
        <v>2245</v>
      </c>
      <c r="AI2275" s="7">
        <f t="shared" ca="1" si="352"/>
        <v>44915</v>
      </c>
      <c r="AJ2275" s="210">
        <f t="shared" ca="1" si="353"/>
        <v>4.1749999999999998</v>
      </c>
      <c r="AK2275" s="8">
        <f t="shared" ca="1" si="354"/>
        <v>1.0001159722222221</v>
      </c>
      <c r="AL2275" s="98">
        <f t="shared" ca="1" si="355"/>
        <v>4.0406098237584231</v>
      </c>
      <c r="AM2275" s="106">
        <f t="shared" ca="1" si="349"/>
        <v>31513.081481129946</v>
      </c>
      <c r="AN2275" s="10">
        <f t="shared" ca="1" si="350"/>
        <v>0.99799574210239772</v>
      </c>
      <c r="AO2275" s="158"/>
      <c r="AP2275" s="158"/>
      <c r="AQ2275" s="1"/>
      <c r="AR2275" s="1"/>
      <c r="AS2275" s="1"/>
      <c r="AT2275" s="1"/>
      <c r="AU2275" s="1"/>
    </row>
    <row r="2276" spans="34:47">
      <c r="AH2276" s="6">
        <f t="shared" si="351"/>
        <v>2246</v>
      </c>
      <c r="AI2276" s="7">
        <f t="shared" ca="1" si="352"/>
        <v>44916</v>
      </c>
      <c r="AJ2276" s="210">
        <f t="shared" ca="1" si="353"/>
        <v>4.1749999999999998</v>
      </c>
      <c r="AK2276" s="8">
        <f t="shared" ca="1" si="354"/>
        <v>1.0001159722222221</v>
      </c>
      <c r="AL2276" s="98">
        <f t="shared" ca="1" si="355"/>
        <v>4.0407356495449687</v>
      </c>
      <c r="AM2276" s="106">
        <f t="shared" ca="1" si="349"/>
        <v>31515.67820534324</v>
      </c>
      <c r="AN2276" s="10">
        <f t="shared" ca="1" si="350"/>
        <v>0.99810014076653353</v>
      </c>
      <c r="AO2276" s="158"/>
      <c r="AP2276" s="158"/>
      <c r="AQ2276" s="1"/>
      <c r="AR2276" s="1"/>
      <c r="AS2276" s="1"/>
      <c r="AT2276" s="1"/>
      <c r="AU2276" s="1"/>
    </row>
    <row r="2277" spans="34:47">
      <c r="AH2277" s="6">
        <f t="shared" si="351"/>
        <v>2247</v>
      </c>
      <c r="AI2277" s="7">
        <f t="shared" ca="1" si="352"/>
        <v>44917</v>
      </c>
      <c r="AJ2277" s="210">
        <f t="shared" ca="1" si="353"/>
        <v>4.1749999999999998</v>
      </c>
      <c r="AK2277" s="8">
        <f t="shared" ca="1" si="354"/>
        <v>1.0001159722222221</v>
      </c>
      <c r="AL2277" s="98">
        <f t="shared" ca="1" si="355"/>
        <v>4.0408613634890012</v>
      </c>
      <c r="AM2277" s="106">
        <f t="shared" ca="1" si="349"/>
        <v>31518.275143530416</v>
      </c>
      <c r="AN2277" s="10">
        <f t="shared" ca="1" si="350"/>
        <v>0.99820444661571361</v>
      </c>
      <c r="AO2277" s="158"/>
      <c r="AP2277" s="158"/>
      <c r="AQ2277" s="1"/>
      <c r="AR2277" s="1"/>
      <c r="AS2277" s="1"/>
      <c r="AT2277" s="1"/>
      <c r="AU2277" s="1"/>
    </row>
    <row r="2278" spans="34:47">
      <c r="AH2278" s="6">
        <f t="shared" si="351"/>
        <v>2248</v>
      </c>
      <c r="AI2278" s="7">
        <f t="shared" ca="1" si="352"/>
        <v>44918</v>
      </c>
      <c r="AJ2278" s="210">
        <f t="shared" ca="1" si="353"/>
        <v>4.1749999999999998</v>
      </c>
      <c r="AK2278" s="8">
        <f t="shared" ca="1" si="354"/>
        <v>1.0001159722222221</v>
      </c>
      <c r="AL2278" s="98">
        <f t="shared" ca="1" si="355"/>
        <v>4.0409869657396014</v>
      </c>
      <c r="AM2278" s="106">
        <f t="shared" ca="1" si="349"/>
        <v>31520.872295709119</v>
      </c>
      <c r="AN2278" s="10">
        <f t="shared" ca="1" si="350"/>
        <v>0.99830865977368344</v>
      </c>
      <c r="AO2278" s="158"/>
      <c r="AP2278" s="158"/>
      <c r="AQ2278" s="1"/>
      <c r="AR2278" s="1"/>
      <c r="AS2278" s="1"/>
      <c r="AT2278" s="1"/>
      <c r="AU2278" s="1"/>
    </row>
    <row r="2279" spans="34:47">
      <c r="AH2279" s="6">
        <f t="shared" si="351"/>
        <v>2249</v>
      </c>
      <c r="AI2279" s="7">
        <f t="shared" ca="1" si="352"/>
        <v>44919</v>
      </c>
      <c r="AJ2279" s="210">
        <f t="shared" ca="1" si="353"/>
        <v>4.1749999999999998</v>
      </c>
      <c r="AK2279" s="8">
        <f t="shared" ca="1" si="354"/>
        <v>1.0001159722222221</v>
      </c>
      <c r="AL2279" s="98">
        <f t="shared" ca="1" si="355"/>
        <v>4.0411124564455392</v>
      </c>
      <c r="AM2279" s="106">
        <f t="shared" ca="1" si="349"/>
        <v>31523.469661896983</v>
      </c>
      <c r="AN2279" s="10">
        <f t="shared" ca="1" si="350"/>
        <v>0.998412780363922</v>
      </c>
      <c r="AO2279" s="158"/>
      <c r="AP2279" s="158"/>
      <c r="AQ2279" s="1"/>
      <c r="AR2279" s="1"/>
      <c r="AS2279" s="1"/>
      <c r="AT2279" s="1"/>
      <c r="AU2279" s="1"/>
    </row>
    <row r="2280" spans="34:47">
      <c r="AH2280" s="6">
        <f t="shared" si="351"/>
        <v>2250</v>
      </c>
      <c r="AI2280" s="7">
        <f t="shared" ca="1" si="352"/>
        <v>44920</v>
      </c>
      <c r="AJ2280" s="210">
        <f t="shared" ca="1" si="353"/>
        <v>4.1749999999999998</v>
      </c>
      <c r="AK2280" s="8">
        <f t="shared" ca="1" si="354"/>
        <v>1.0001159722222221</v>
      </c>
      <c r="AL2280" s="98">
        <f t="shared" ca="1" si="355"/>
        <v>4.0412378357553402</v>
      </c>
      <c r="AM2280" s="106">
        <f t="shared" ca="1" si="349"/>
        <v>31526.067242111629</v>
      </c>
      <c r="AN2280" s="10">
        <f t="shared" ca="1" si="350"/>
        <v>0.99851680850973068</v>
      </c>
      <c r="AO2280" s="158"/>
      <c r="AP2280" s="158"/>
      <c r="AQ2280" s="1"/>
      <c r="AR2280" s="1"/>
      <c r="AS2280" s="1"/>
      <c r="AT2280" s="1"/>
      <c r="AU2280" s="1"/>
    </row>
    <row r="2281" spans="34:47">
      <c r="AH2281" s="6">
        <f t="shared" si="351"/>
        <v>2251</v>
      </c>
      <c r="AI2281" s="7">
        <f t="shared" ca="1" si="352"/>
        <v>44921</v>
      </c>
      <c r="AJ2281" s="210">
        <f t="shared" ca="1" si="353"/>
        <v>4.1749999999999998</v>
      </c>
      <c r="AK2281" s="8">
        <f t="shared" ca="1" si="354"/>
        <v>1.0001159722222221</v>
      </c>
      <c r="AL2281" s="98">
        <f t="shared" ca="1" si="355"/>
        <v>4.0413631038172637</v>
      </c>
      <c r="AM2281" s="106">
        <f t="shared" ca="1" si="349"/>
        <v>31528.665036370705</v>
      </c>
      <c r="AN2281" s="10">
        <f t="shared" ca="1" si="350"/>
        <v>0.99862074433416659</v>
      </c>
      <c r="AO2281" s="158"/>
      <c r="AP2281" s="158"/>
      <c r="AQ2281" s="1"/>
      <c r="AR2281" s="1"/>
      <c r="AS2281" s="1"/>
      <c r="AT2281" s="1"/>
      <c r="AU2281" s="1"/>
    </row>
    <row r="2282" spans="34:47">
      <c r="AH2282" s="6">
        <f t="shared" si="351"/>
        <v>2252</v>
      </c>
      <c r="AI2282" s="7">
        <f t="shared" ca="1" si="352"/>
        <v>44922</v>
      </c>
      <c r="AJ2282" s="210">
        <f t="shared" ca="1" si="353"/>
        <v>4.1749999999999998</v>
      </c>
      <c r="AK2282" s="8">
        <f t="shared" ca="1" si="354"/>
        <v>1.0001159722222221</v>
      </c>
      <c r="AL2282" s="98">
        <f t="shared" ca="1" si="355"/>
        <v>4.0414882607793245</v>
      </c>
      <c r="AM2282" s="106">
        <f t="shared" ca="1" si="349"/>
        <v>31531.263044691841</v>
      </c>
      <c r="AN2282" s="10">
        <f t="shared" ca="1" si="350"/>
        <v>0.9987245879600648</v>
      </c>
      <c r="AO2282" s="158"/>
      <c r="AP2282" s="158"/>
      <c r="AQ2282" s="1"/>
      <c r="AR2282" s="1"/>
      <c r="AS2282" s="1"/>
      <c r="AT2282" s="1"/>
      <c r="AU2282" s="1"/>
    </row>
    <row r="2283" spans="34:47">
      <c r="AH2283" s="6">
        <f t="shared" si="351"/>
        <v>2253</v>
      </c>
      <c r="AI2283" s="7">
        <f t="shared" ca="1" si="352"/>
        <v>44923</v>
      </c>
      <c r="AJ2283" s="210">
        <f t="shared" ca="1" si="353"/>
        <v>4.1749999999999998</v>
      </c>
      <c r="AK2283" s="8">
        <f t="shared" ca="1" si="354"/>
        <v>1.0001159722222221</v>
      </c>
      <c r="AL2283" s="98">
        <f t="shared" ca="1" si="355"/>
        <v>4.041613306789249</v>
      </c>
      <c r="AM2283" s="106">
        <f t="shared" ca="1" si="349"/>
        <v>31533.861267092685</v>
      </c>
      <c r="AN2283" s="10">
        <f t="shared" ca="1" si="350"/>
        <v>0.99882833951006056</v>
      </c>
      <c r="AO2283" s="158"/>
      <c r="AP2283" s="158"/>
      <c r="AQ2283" s="1"/>
      <c r="AR2283" s="1"/>
      <c r="AS2283" s="1"/>
      <c r="AT2283" s="1"/>
      <c r="AU2283" s="1"/>
    </row>
    <row r="2284" spans="34:47">
      <c r="AH2284" s="6">
        <f t="shared" si="351"/>
        <v>2254</v>
      </c>
      <c r="AI2284" s="7">
        <f t="shared" ca="1" si="352"/>
        <v>44924</v>
      </c>
      <c r="AJ2284" s="210">
        <f t="shared" ca="1" si="353"/>
        <v>4.1749999999999998</v>
      </c>
      <c r="AK2284" s="8">
        <f t="shared" ca="1" si="354"/>
        <v>1.0001159722222221</v>
      </c>
      <c r="AL2284" s="98">
        <f t="shared" ca="1" si="355"/>
        <v>4.0417382419944969</v>
      </c>
      <c r="AM2284" s="106">
        <f t="shared" ca="1" si="349"/>
        <v>31536.459703590863</v>
      </c>
      <c r="AN2284" s="10">
        <f t="shared" ca="1" si="350"/>
        <v>0.99893199910654484</v>
      </c>
      <c r="AO2284" s="158"/>
      <c r="AP2284" s="158"/>
      <c r="AQ2284" s="1"/>
      <c r="AR2284" s="1"/>
      <c r="AS2284" s="1"/>
      <c r="AT2284" s="1"/>
      <c r="AU2284" s="1"/>
    </row>
    <row r="2285" spans="34:47">
      <c r="AH2285" s="6">
        <f t="shared" si="351"/>
        <v>2255</v>
      </c>
      <c r="AI2285" s="7">
        <f t="shared" ca="1" si="352"/>
        <v>44925</v>
      </c>
      <c r="AJ2285" s="210">
        <f t="shared" ca="1" si="353"/>
        <v>4.1749999999999998</v>
      </c>
      <c r="AK2285" s="8">
        <f t="shared" ca="1" si="354"/>
        <v>1.0001159722222221</v>
      </c>
      <c r="AL2285" s="98">
        <f t="shared" ca="1" si="355"/>
        <v>4.0418630665422839</v>
      </c>
      <c r="AM2285" s="106">
        <f t="shared" ca="1" si="349"/>
        <v>31539.05835420404</v>
      </c>
      <c r="AN2285" s="10">
        <f t="shared" ca="1" si="350"/>
        <v>0.9990355668716866</v>
      </c>
      <c r="AO2285" s="158"/>
      <c r="AP2285" s="158"/>
      <c r="AQ2285" s="1"/>
      <c r="AR2285" s="1"/>
      <c r="AS2285" s="1"/>
      <c r="AT2285" s="1"/>
      <c r="AU2285" s="1"/>
    </row>
    <row r="2286" spans="34:47">
      <c r="AH2286" s="6">
        <f t="shared" si="351"/>
        <v>2256</v>
      </c>
      <c r="AI2286" s="7">
        <f t="shared" ca="1" si="352"/>
        <v>44926</v>
      </c>
      <c r="AJ2286" s="210">
        <f t="shared" ca="1" si="353"/>
        <v>4.1749999999999998</v>
      </c>
      <c r="AK2286" s="8">
        <f t="shared" ca="1" si="354"/>
        <v>1.0001159722222221</v>
      </c>
      <c r="AL2286" s="98">
        <f t="shared" ca="1" si="355"/>
        <v>4.0419877805795812</v>
      </c>
      <c r="AM2286" s="106">
        <f t="shared" ca="1" si="349"/>
        <v>31541.657218949833</v>
      </c>
      <c r="AN2286" s="10">
        <f t="shared" ca="1" si="350"/>
        <v>0.99913904292754374</v>
      </c>
      <c r="AO2286" s="158"/>
      <c r="AP2286" s="158"/>
      <c r="AQ2286" s="1"/>
      <c r="AR2286" s="1"/>
      <c r="AS2286" s="1"/>
      <c r="AT2286" s="1"/>
      <c r="AU2286" s="1"/>
    </row>
    <row r="2287" spans="34:47">
      <c r="AH2287" s="6">
        <f t="shared" si="351"/>
        <v>2257</v>
      </c>
      <c r="AI2287" s="7">
        <f t="shared" ca="1" si="352"/>
        <v>44927</v>
      </c>
      <c r="AJ2287" s="210">
        <f t="shared" ca="1" si="353"/>
        <v>4.1749999999999998</v>
      </c>
      <c r="AK2287" s="8">
        <f t="shared" ca="1" si="354"/>
        <v>1.0001159722222221</v>
      </c>
      <c r="AL2287" s="98">
        <f t="shared" ca="1" si="355"/>
        <v>4.0421123842530715</v>
      </c>
      <c r="AM2287" s="106">
        <f t="shared" ca="1" si="349"/>
        <v>31544.256297845903</v>
      </c>
      <c r="AN2287" s="10">
        <f t="shared" ca="1" si="350"/>
        <v>0.99924242739579672</v>
      </c>
      <c r="AO2287" s="158"/>
      <c r="AP2287" s="158"/>
      <c r="AQ2287" s="1"/>
      <c r="AR2287" s="1"/>
      <c r="AS2287" s="1"/>
      <c r="AT2287" s="1"/>
      <c r="AU2287" s="1"/>
    </row>
    <row r="2288" spans="34:47">
      <c r="AH2288" s="6">
        <f t="shared" si="351"/>
        <v>2258</v>
      </c>
      <c r="AI2288" s="7">
        <f t="shared" ca="1" si="352"/>
        <v>44928</v>
      </c>
      <c r="AJ2288" s="210">
        <f t="shared" ca="1" si="353"/>
        <v>4.1749999999999998</v>
      </c>
      <c r="AK2288" s="8">
        <f t="shared" ca="1" si="354"/>
        <v>1.0001159722222221</v>
      </c>
      <c r="AL2288" s="98">
        <f t="shared" ca="1" si="355"/>
        <v>4.0422368777091933</v>
      </c>
      <c r="AM2288" s="106">
        <f t="shared" ca="1" si="349"/>
        <v>31546.855590909894</v>
      </c>
      <c r="AN2288" s="10">
        <f t="shared" ca="1" si="350"/>
        <v>0.99934572039805936</v>
      </c>
      <c r="AO2288" s="158"/>
      <c r="AP2288" s="158"/>
      <c r="AQ2288" s="1"/>
      <c r="AR2288" s="1"/>
      <c r="AS2288" s="1"/>
      <c r="AT2288" s="1"/>
      <c r="AU2288" s="1"/>
    </row>
    <row r="2289" spans="34:47">
      <c r="AH2289" s="6">
        <f t="shared" si="351"/>
        <v>2259</v>
      </c>
      <c r="AI2289" s="7">
        <f t="shared" ca="1" si="352"/>
        <v>44929</v>
      </c>
      <c r="AJ2289" s="210">
        <f t="shared" ca="1" si="353"/>
        <v>4.1749999999999998</v>
      </c>
      <c r="AK2289" s="8">
        <f t="shared" ca="1" si="354"/>
        <v>1.0001159722222221</v>
      </c>
      <c r="AL2289" s="98">
        <f t="shared" ca="1" si="355"/>
        <v>4.0423612610940962</v>
      </c>
      <c r="AM2289" s="106">
        <f t="shared" ca="1" si="349"/>
        <v>31549.455098159455</v>
      </c>
      <c r="AN2289" s="10">
        <f t="shared" ca="1" si="350"/>
        <v>0.99944892205556801</v>
      </c>
      <c r="AO2289" s="158"/>
      <c r="AP2289" s="158"/>
      <c r="AQ2289" s="1"/>
      <c r="AR2289" s="1"/>
      <c r="AS2289" s="1"/>
      <c r="AT2289" s="1"/>
      <c r="AU2289" s="1"/>
    </row>
    <row r="2290" spans="34:47">
      <c r="AH2290" s="6">
        <f t="shared" si="351"/>
        <v>2260</v>
      </c>
      <c r="AI2290" s="7">
        <f t="shared" ca="1" si="352"/>
        <v>44930</v>
      </c>
      <c r="AJ2290" s="210">
        <f t="shared" ca="1" si="353"/>
        <v>4.1749999999999998</v>
      </c>
      <c r="AK2290" s="8">
        <f t="shared" ca="1" si="354"/>
        <v>1.0001159722222221</v>
      </c>
      <c r="AL2290" s="98">
        <f t="shared" ca="1" si="355"/>
        <v>4.0424855345537081</v>
      </c>
      <c r="AM2290" s="106">
        <f t="shared" ca="1" si="349"/>
        <v>31552.054819612229</v>
      </c>
      <c r="AN2290" s="10">
        <f t="shared" ca="1" si="350"/>
        <v>0.99955203248951463</v>
      </c>
      <c r="AO2290" s="158"/>
      <c r="AP2290" s="158"/>
      <c r="AQ2290" s="1"/>
      <c r="AR2290" s="1"/>
      <c r="AS2290" s="1"/>
      <c r="AT2290" s="1"/>
      <c r="AU2290" s="1"/>
    </row>
    <row r="2291" spans="34:47">
      <c r="AH2291" s="6">
        <f t="shared" si="351"/>
        <v>2261</v>
      </c>
      <c r="AI2291" s="7">
        <f t="shared" ca="1" si="352"/>
        <v>44931</v>
      </c>
      <c r="AJ2291" s="210">
        <f t="shared" ca="1" si="353"/>
        <v>4.1749999999999998</v>
      </c>
      <c r="AK2291" s="8">
        <f t="shared" ca="1" si="354"/>
        <v>1.0001159722222221</v>
      </c>
      <c r="AL2291" s="98">
        <f t="shared" ca="1" si="355"/>
        <v>4.0426096982336901</v>
      </c>
      <c r="AM2291" s="106">
        <f t="shared" ca="1" si="349"/>
        <v>31554.654755285868</v>
      </c>
      <c r="AN2291" s="10">
        <f t="shared" ca="1" si="350"/>
        <v>0.99965505182075809</v>
      </c>
      <c r="AO2291" s="158"/>
      <c r="AP2291" s="158"/>
      <c r="AQ2291" s="1"/>
      <c r="AR2291" s="1"/>
      <c r="AS2291" s="1"/>
      <c r="AT2291" s="1"/>
      <c r="AU2291" s="1"/>
    </row>
    <row r="2292" spans="34:47">
      <c r="AH2292" s="6">
        <f t="shared" si="351"/>
        <v>2262</v>
      </c>
      <c r="AI2292" s="7">
        <f t="shared" ca="1" si="352"/>
        <v>44932</v>
      </c>
      <c r="AJ2292" s="210">
        <f t="shared" ca="1" si="353"/>
        <v>4.1749999999999998</v>
      </c>
      <c r="AK2292" s="8">
        <f t="shared" ca="1" si="354"/>
        <v>1.0001159722222221</v>
      </c>
      <c r="AL2292" s="98">
        <f t="shared" ca="1" si="355"/>
        <v>4.0427337522794593</v>
      </c>
      <c r="AM2292" s="106">
        <f t="shared" ca="1" si="349"/>
        <v>31557.254905198031</v>
      </c>
      <c r="AN2292" s="10">
        <f t="shared" ca="1" si="350"/>
        <v>0.99975798017002404</v>
      </c>
      <c r="AO2292" s="158"/>
      <c r="AP2292" s="158"/>
      <c r="AQ2292" s="1"/>
      <c r="AR2292" s="1"/>
      <c r="AS2292" s="1"/>
      <c r="AT2292" s="1"/>
      <c r="AU2292" s="1"/>
    </row>
    <row r="2293" spans="34:47">
      <c r="AH2293" s="6">
        <f t="shared" si="351"/>
        <v>2263</v>
      </c>
      <c r="AI2293" s="7">
        <f t="shared" ca="1" si="352"/>
        <v>44933</v>
      </c>
      <c r="AJ2293" s="210">
        <f t="shared" ca="1" si="353"/>
        <v>4.1749999999999998</v>
      </c>
      <c r="AK2293" s="8">
        <f t="shared" ca="1" si="354"/>
        <v>1.0001159722222221</v>
      </c>
      <c r="AL2293" s="98">
        <f t="shared" ca="1" si="355"/>
        <v>4.042857696836144</v>
      </c>
      <c r="AM2293" s="106">
        <f t="shared" ca="1" si="349"/>
        <v>31559.855269366366</v>
      </c>
      <c r="AN2293" s="10">
        <f t="shared" ca="1" si="350"/>
        <v>0.99986081765774948</v>
      </c>
      <c r="AO2293" s="158"/>
      <c r="AP2293" s="158"/>
      <c r="AQ2293" s="1"/>
      <c r="AR2293" s="1"/>
      <c r="AS2293" s="1"/>
      <c r="AT2293" s="1"/>
      <c r="AU2293" s="1"/>
    </row>
    <row r="2294" spans="34:47">
      <c r="AH2294" s="6">
        <f t="shared" si="351"/>
        <v>2264</v>
      </c>
      <c r="AI2294" s="7">
        <f t="shared" ca="1" si="352"/>
        <v>44934</v>
      </c>
      <c r="AJ2294" s="210">
        <f t="shared" ca="1" si="353"/>
        <v>4.1749999999999998</v>
      </c>
      <c r="AK2294" s="8">
        <f t="shared" ca="1" si="354"/>
        <v>1.0001159722222221</v>
      </c>
      <c r="AL2294" s="98">
        <f t="shared" ca="1" si="355"/>
        <v>4.0429815320486062</v>
      </c>
      <c r="AM2294" s="106">
        <f t="shared" ca="1" si="349"/>
        <v>31562.455847808524</v>
      </c>
      <c r="AN2294" s="10">
        <f t="shared" ca="1" si="350"/>
        <v>0.99996356440421597</v>
      </c>
      <c r="AO2294" s="158"/>
      <c r="AP2294" s="158"/>
      <c r="AQ2294" s="1"/>
      <c r="AR2294" s="1"/>
      <c r="AS2294" s="1"/>
      <c r="AT2294" s="1"/>
      <c r="AU2294" s="1"/>
    </row>
    <row r="2295" spans="34:47">
      <c r="AH2295" s="6">
        <f t="shared" si="351"/>
        <v>2265</v>
      </c>
      <c r="AI2295" s="7">
        <f t="shared" ca="1" si="352"/>
        <v>44935</v>
      </c>
      <c r="AJ2295" s="210">
        <f t="shared" ca="1" si="353"/>
        <v>4.1749999999999998</v>
      </c>
      <c r="AK2295" s="8">
        <f t="shared" ca="1" si="354"/>
        <v>1.0001159722222221</v>
      </c>
      <c r="AL2295" s="98">
        <f t="shared" ca="1" si="355"/>
        <v>4.0431052580615079</v>
      </c>
      <c r="AM2295" s="106">
        <f t="shared" ca="1" si="349"/>
        <v>31565.056640542174</v>
      </c>
      <c r="AN2295" s="10">
        <f t="shared" ca="1" si="350"/>
        <v>1.0000662205294386</v>
      </c>
      <c r="AO2295" s="158"/>
      <c r="AP2295" s="158"/>
      <c r="AQ2295" s="1"/>
      <c r="AR2295" s="1"/>
      <c r="AS2295" s="1"/>
      <c r="AT2295" s="1"/>
      <c r="AU2295" s="1"/>
    </row>
    <row r="2296" spans="34:47">
      <c r="AH2296" s="6">
        <f t="shared" si="351"/>
        <v>2266</v>
      </c>
      <c r="AI2296" s="7">
        <f t="shared" ca="1" si="352"/>
        <v>44936</v>
      </c>
      <c r="AJ2296" s="210">
        <f t="shared" ca="1" si="353"/>
        <v>4.1749999999999998</v>
      </c>
      <c r="AK2296" s="8">
        <f t="shared" ca="1" si="354"/>
        <v>1.0001159722222221</v>
      </c>
      <c r="AL2296" s="98">
        <f t="shared" ca="1" si="355"/>
        <v>4.0432288750192225</v>
      </c>
      <c r="AM2296" s="106">
        <f t="shared" ca="1" si="349"/>
        <v>31567.657647584965</v>
      </c>
      <c r="AN2296" s="10">
        <f t="shared" ca="1" si="350"/>
        <v>1.0001687861532993</v>
      </c>
      <c r="AO2296" s="158"/>
      <c r="AP2296" s="158"/>
      <c r="AQ2296" s="1"/>
      <c r="AR2296" s="1"/>
      <c r="AS2296" s="1"/>
      <c r="AT2296" s="1"/>
      <c r="AU2296" s="1"/>
    </row>
    <row r="2297" spans="34:47">
      <c r="AH2297" s="6">
        <f t="shared" si="351"/>
        <v>2267</v>
      </c>
      <c r="AI2297" s="7">
        <f t="shared" ca="1" si="352"/>
        <v>44937</v>
      </c>
      <c r="AJ2297" s="210">
        <f t="shared" ca="1" si="353"/>
        <v>4.1749999999999998</v>
      </c>
      <c r="AK2297" s="8">
        <f t="shared" ca="1" si="354"/>
        <v>1.0001159722222221</v>
      </c>
      <c r="AL2297" s="98">
        <f t="shared" ca="1" si="355"/>
        <v>4.0433523830658569</v>
      </c>
      <c r="AM2297" s="106">
        <f t="shared" ca="1" si="349"/>
        <v>31570.258868954548</v>
      </c>
      <c r="AN2297" s="10">
        <f t="shared" ca="1" si="350"/>
        <v>1.0002712613953912</v>
      </c>
      <c r="AO2297" s="158"/>
      <c r="AP2297" s="158"/>
      <c r="AQ2297" s="1"/>
      <c r="AR2297" s="1"/>
      <c r="AS2297" s="1"/>
      <c r="AT2297" s="1"/>
      <c r="AU2297" s="1"/>
    </row>
    <row r="2298" spans="34:47">
      <c r="AH2298" s="6">
        <f t="shared" si="351"/>
        <v>2268</v>
      </c>
      <c r="AI2298" s="7">
        <f t="shared" ca="1" si="352"/>
        <v>44938</v>
      </c>
      <c r="AJ2298" s="210">
        <f t="shared" ca="1" si="353"/>
        <v>4.1749999999999998</v>
      </c>
      <c r="AK2298" s="8">
        <f t="shared" ca="1" si="354"/>
        <v>1.0001159722222221</v>
      </c>
      <c r="AL2298" s="98">
        <f t="shared" ca="1" si="355"/>
        <v>4.043475782345296</v>
      </c>
      <c r="AM2298" s="106">
        <f t="shared" ca="1" si="349"/>
        <v>31572.860304668608</v>
      </c>
      <c r="AN2298" s="10">
        <f t="shared" ca="1" si="350"/>
        <v>1.0003736463751522</v>
      </c>
      <c r="AO2298" s="158"/>
      <c r="AP2298" s="158"/>
      <c r="AQ2298" s="1"/>
      <c r="AR2298" s="1"/>
      <c r="AS2298" s="1"/>
      <c r="AT2298" s="1"/>
      <c r="AU2298" s="1"/>
    </row>
    <row r="2299" spans="34:47">
      <c r="AH2299" s="6">
        <f t="shared" si="351"/>
        <v>2269</v>
      </c>
      <c r="AI2299" s="7">
        <f t="shared" ca="1" si="352"/>
        <v>44939</v>
      </c>
      <c r="AJ2299" s="210">
        <f t="shared" ca="1" si="353"/>
        <v>4.1749999999999998</v>
      </c>
      <c r="AK2299" s="8">
        <f t="shared" ca="1" si="354"/>
        <v>1.0001159722222221</v>
      </c>
      <c r="AL2299" s="98">
        <f t="shared" ca="1" si="355"/>
        <v>4.0435990730011584</v>
      </c>
      <c r="AM2299" s="106">
        <f t="shared" ca="1" si="349"/>
        <v>31575.461954744784</v>
      </c>
      <c r="AN2299" s="10">
        <f t="shared" ca="1" si="350"/>
        <v>1.0004759412117981</v>
      </c>
      <c r="AO2299" s="158"/>
      <c r="AP2299" s="158"/>
      <c r="AQ2299" s="1"/>
      <c r="AR2299" s="1"/>
      <c r="AS2299" s="1"/>
      <c r="AT2299" s="1"/>
      <c r="AU2299" s="1"/>
    </row>
    <row r="2300" spans="34:47">
      <c r="AH2300" s="6">
        <f t="shared" si="351"/>
        <v>2270</v>
      </c>
      <c r="AI2300" s="7">
        <f t="shared" ca="1" si="352"/>
        <v>44940</v>
      </c>
      <c r="AJ2300" s="210">
        <f t="shared" ca="1" si="353"/>
        <v>4.1749999999999998</v>
      </c>
      <c r="AK2300" s="8">
        <f t="shared" ca="1" si="354"/>
        <v>1.0001159722222221</v>
      </c>
      <c r="AL2300" s="98">
        <f t="shared" ca="1" si="355"/>
        <v>4.043722255176796</v>
      </c>
      <c r="AM2300" s="106">
        <f t="shared" ca="1" si="349"/>
        <v>31578.063819200746</v>
      </c>
      <c r="AN2300" s="10">
        <f t="shared" ca="1" si="350"/>
        <v>1.000578146024278</v>
      </c>
      <c r="AO2300" s="158"/>
      <c r="AP2300" s="158"/>
      <c r="AQ2300" s="1"/>
      <c r="AR2300" s="1"/>
      <c r="AS2300" s="1"/>
      <c r="AT2300" s="1"/>
      <c r="AU2300" s="1"/>
    </row>
    <row r="2301" spans="34:47">
      <c r="AH2301" s="6">
        <f t="shared" si="351"/>
        <v>2271</v>
      </c>
      <c r="AI2301" s="7">
        <f t="shared" ca="1" si="352"/>
        <v>44941</v>
      </c>
      <c r="AJ2301" s="210">
        <f t="shared" ca="1" si="353"/>
        <v>4.1749999999999998</v>
      </c>
      <c r="AK2301" s="8">
        <f t="shared" ca="1" si="354"/>
        <v>1.0001159722222221</v>
      </c>
      <c r="AL2301" s="98">
        <f t="shared" ca="1" si="355"/>
        <v>4.0438453290153165</v>
      </c>
      <c r="AM2301" s="106">
        <f t="shared" ca="1" si="349"/>
        <v>31580.665898054169</v>
      </c>
      <c r="AN2301" s="10">
        <f t="shared" ca="1" si="350"/>
        <v>1.000680260931408</v>
      </c>
      <c r="AO2301" s="158"/>
      <c r="AP2301" s="158"/>
      <c r="AQ2301" s="1"/>
      <c r="AR2301" s="1"/>
      <c r="AS2301" s="1"/>
      <c r="AT2301" s="1"/>
      <c r="AU2301" s="1"/>
    </row>
    <row r="2302" spans="34:47">
      <c r="AH2302" s="6">
        <f t="shared" si="351"/>
        <v>2272</v>
      </c>
      <c r="AI2302" s="7">
        <f t="shared" ca="1" si="352"/>
        <v>44942</v>
      </c>
      <c r="AJ2302" s="210">
        <f t="shared" ca="1" si="353"/>
        <v>4.1749999999999998</v>
      </c>
      <c r="AK2302" s="8">
        <f t="shared" ca="1" si="354"/>
        <v>1.0001159722222221</v>
      </c>
      <c r="AL2302" s="98">
        <f t="shared" ca="1" si="355"/>
        <v>4.0439682946595834</v>
      </c>
      <c r="AM2302" s="106">
        <f t="shared" ca="1" si="349"/>
        <v>31583.26819132271</v>
      </c>
      <c r="AN2302" s="10">
        <f t="shared" ca="1" si="350"/>
        <v>1.0007822860517601</v>
      </c>
      <c r="AO2302" s="158"/>
      <c r="AP2302" s="158"/>
      <c r="AQ2302" s="1"/>
      <c r="AR2302" s="1"/>
      <c r="AS2302" s="1"/>
      <c r="AT2302" s="1"/>
      <c r="AU2302" s="1"/>
    </row>
    <row r="2303" spans="34:47">
      <c r="AH2303" s="6">
        <f t="shared" si="351"/>
        <v>2273</v>
      </c>
      <c r="AI2303" s="7">
        <f t="shared" ca="1" si="352"/>
        <v>44943</v>
      </c>
      <c r="AJ2303" s="210">
        <f t="shared" ca="1" si="353"/>
        <v>4.1749999999999998</v>
      </c>
      <c r="AK2303" s="8">
        <f t="shared" ca="1" si="354"/>
        <v>1.0001159722222221</v>
      </c>
      <c r="AL2303" s="98">
        <f t="shared" ca="1" si="355"/>
        <v>4.044091152252216</v>
      </c>
      <c r="AM2303" s="106">
        <f t="shared" ca="1" si="349"/>
        <v>31585.870699024043</v>
      </c>
      <c r="AN2303" s="10">
        <f t="shared" ca="1" si="350"/>
        <v>1.0008842215037284</v>
      </c>
      <c r="AO2303" s="158"/>
      <c r="AP2303" s="158"/>
      <c r="AQ2303" s="1"/>
      <c r="AR2303" s="1"/>
      <c r="AS2303" s="1"/>
      <c r="AT2303" s="1"/>
      <c r="AU2303" s="1"/>
    </row>
    <row r="2304" spans="34:47">
      <c r="AH2304" s="6">
        <f t="shared" si="351"/>
        <v>2274</v>
      </c>
      <c r="AI2304" s="7">
        <f t="shared" ca="1" si="352"/>
        <v>44944</v>
      </c>
      <c r="AJ2304" s="210">
        <f t="shared" ca="1" si="353"/>
        <v>4.1749999999999998</v>
      </c>
      <c r="AK2304" s="8">
        <f t="shared" ca="1" si="354"/>
        <v>1.0001159722222221</v>
      </c>
      <c r="AL2304" s="98">
        <f t="shared" ca="1" si="355"/>
        <v>4.044213901935545</v>
      </c>
      <c r="AM2304" s="106">
        <f t="shared" ca="1" si="349"/>
        <v>31588.47342117583</v>
      </c>
      <c r="AN2304" s="10">
        <f t="shared" ca="1" si="350"/>
        <v>1.0009860674054183</v>
      </c>
      <c r="AO2304" s="158"/>
      <c r="AP2304" s="158"/>
      <c r="AQ2304" s="1"/>
      <c r="AR2304" s="1"/>
      <c r="AS2304" s="1"/>
      <c r="AT2304" s="1"/>
      <c r="AU2304" s="1"/>
    </row>
    <row r="2305" spans="34:47">
      <c r="AH2305" s="6">
        <f t="shared" si="351"/>
        <v>2275</v>
      </c>
      <c r="AI2305" s="7">
        <f t="shared" ca="1" si="352"/>
        <v>44945</v>
      </c>
      <c r="AJ2305" s="210">
        <f t="shared" ca="1" si="353"/>
        <v>4.1749999999999998</v>
      </c>
      <c r="AK2305" s="8">
        <f t="shared" ca="1" si="354"/>
        <v>1.0001159722222221</v>
      </c>
      <c r="AL2305" s="98">
        <f t="shared" ca="1" si="355"/>
        <v>4.0443365438517009</v>
      </c>
      <c r="AM2305" s="106">
        <f t="shared" ca="1" si="349"/>
        <v>31591.076357795744</v>
      </c>
      <c r="AN2305" s="10">
        <f t="shared" ca="1" si="350"/>
        <v>1.0010878238748244</v>
      </c>
      <c r="AO2305" s="158"/>
      <c r="AP2305" s="158"/>
      <c r="AQ2305" s="1"/>
      <c r="AR2305" s="1"/>
      <c r="AS2305" s="1"/>
      <c r="AT2305" s="1"/>
      <c r="AU2305" s="1"/>
    </row>
    <row r="2306" spans="34:47">
      <c r="AH2306" s="6">
        <f t="shared" si="351"/>
        <v>2276</v>
      </c>
      <c r="AI2306" s="7">
        <f t="shared" ca="1" si="352"/>
        <v>44946</v>
      </c>
      <c r="AJ2306" s="210">
        <f t="shared" ca="1" si="353"/>
        <v>4.1749999999999998</v>
      </c>
      <c r="AK2306" s="8">
        <f t="shared" ca="1" si="354"/>
        <v>1.0001159722222221</v>
      </c>
      <c r="AL2306" s="98">
        <f t="shared" ca="1" si="355"/>
        <v>4.044459078142526</v>
      </c>
      <c r="AM2306" s="106">
        <f t="shared" ca="1" si="349"/>
        <v>31593.679508901463</v>
      </c>
      <c r="AN2306" s="10">
        <f t="shared" ca="1" si="350"/>
        <v>1.0011894910296748</v>
      </c>
      <c r="AO2306" s="158"/>
      <c r="AP2306" s="158"/>
      <c r="AQ2306" s="1"/>
      <c r="AR2306" s="1"/>
      <c r="AS2306" s="1"/>
      <c r="AT2306" s="1"/>
      <c r="AU2306" s="1"/>
    </row>
    <row r="2307" spans="34:47">
      <c r="AH2307" s="6">
        <f t="shared" si="351"/>
        <v>2277</v>
      </c>
      <c r="AI2307" s="7">
        <f t="shared" ca="1" si="352"/>
        <v>44947</v>
      </c>
      <c r="AJ2307" s="210">
        <f t="shared" ca="1" si="353"/>
        <v>4.1749999999999998</v>
      </c>
      <c r="AK2307" s="8">
        <f t="shared" ca="1" si="354"/>
        <v>1.0001159722222221</v>
      </c>
      <c r="AL2307" s="98">
        <f t="shared" ca="1" si="355"/>
        <v>4.0445815049496403</v>
      </c>
      <c r="AM2307" s="106">
        <f t="shared" ca="1" si="349"/>
        <v>31596.28287451066</v>
      </c>
      <c r="AN2307" s="10">
        <f t="shared" ca="1" si="350"/>
        <v>1.0012910689875198</v>
      </c>
      <c r="AO2307" s="158"/>
      <c r="AP2307" s="158"/>
      <c r="AQ2307" s="1"/>
      <c r="AR2307" s="1"/>
      <c r="AS2307" s="1"/>
      <c r="AT2307" s="1"/>
      <c r="AU2307" s="1"/>
    </row>
    <row r="2308" spans="34:47">
      <c r="AH2308" s="6">
        <f t="shared" si="351"/>
        <v>2278</v>
      </c>
      <c r="AI2308" s="7">
        <f t="shared" ca="1" si="352"/>
        <v>44948</v>
      </c>
      <c r="AJ2308" s="210">
        <f t="shared" ca="1" si="353"/>
        <v>4.1749999999999998</v>
      </c>
      <c r="AK2308" s="8">
        <f t="shared" ca="1" si="354"/>
        <v>1.0001159722222221</v>
      </c>
      <c r="AL2308" s="98">
        <f t="shared" ca="1" si="355"/>
        <v>4.0447038244143974</v>
      </c>
      <c r="AM2308" s="106">
        <f t="shared" ca="1" si="349"/>
        <v>31598.886454641004</v>
      </c>
      <c r="AN2308" s="10">
        <f t="shared" ca="1" si="350"/>
        <v>1.0013925578656879</v>
      </c>
      <c r="AO2308" s="158"/>
      <c r="AP2308" s="158"/>
      <c r="AQ2308" s="1"/>
      <c r="AR2308" s="1"/>
      <c r="AS2308" s="1"/>
      <c r="AT2308" s="1"/>
      <c r="AU2308" s="1"/>
    </row>
    <row r="2309" spans="34:47">
      <c r="AH2309" s="6">
        <f t="shared" si="351"/>
        <v>2279</v>
      </c>
      <c r="AI2309" s="7">
        <f t="shared" ca="1" si="352"/>
        <v>44949</v>
      </c>
      <c r="AJ2309" s="210">
        <f t="shared" ca="1" si="353"/>
        <v>4.1749999999999998</v>
      </c>
      <c r="AK2309" s="8">
        <f t="shared" ca="1" si="354"/>
        <v>1.0001159722222221</v>
      </c>
      <c r="AL2309" s="98">
        <f t="shared" ca="1" si="355"/>
        <v>4.0448260366779065</v>
      </c>
      <c r="AM2309" s="106">
        <f t="shared" ca="1" si="349"/>
        <v>31601.490249310176</v>
      </c>
      <c r="AN2309" s="10">
        <f t="shared" ca="1" si="350"/>
        <v>1.0014939577812854</v>
      </c>
      <c r="AO2309" s="158"/>
      <c r="AP2309" s="158"/>
      <c r="AQ2309" s="1"/>
      <c r="AR2309" s="1"/>
      <c r="AS2309" s="1"/>
      <c r="AT2309" s="1"/>
      <c r="AU2309" s="1"/>
    </row>
    <row r="2310" spans="34:47">
      <c r="AH2310" s="6">
        <f t="shared" si="351"/>
        <v>2280</v>
      </c>
      <c r="AI2310" s="7">
        <f t="shared" ca="1" si="352"/>
        <v>44950</v>
      </c>
      <c r="AJ2310" s="210">
        <f t="shared" ca="1" si="353"/>
        <v>4.1749999999999998</v>
      </c>
      <c r="AK2310" s="8">
        <f t="shared" ca="1" si="354"/>
        <v>1.0001159722222221</v>
      </c>
      <c r="AL2310" s="98">
        <f t="shared" ca="1" si="355"/>
        <v>4.0449481418810329</v>
      </c>
      <c r="AM2310" s="106">
        <f t="shared" ca="1" si="349"/>
        <v>31604.094258535853</v>
      </c>
      <c r="AN2310" s="10">
        <f t="shared" ca="1" si="350"/>
        <v>1.001595268851263</v>
      </c>
      <c r="AO2310" s="158"/>
      <c r="AP2310" s="158"/>
      <c r="AQ2310" s="1"/>
      <c r="AR2310" s="1"/>
      <c r="AS2310" s="1"/>
      <c r="AT2310" s="1"/>
      <c r="AU2310" s="1"/>
    </row>
    <row r="2311" spans="34:47">
      <c r="AH2311" s="6">
        <f t="shared" si="351"/>
        <v>2281</v>
      </c>
      <c r="AI2311" s="7">
        <f t="shared" ca="1" si="352"/>
        <v>44951</v>
      </c>
      <c r="AJ2311" s="210">
        <f t="shared" ca="1" si="353"/>
        <v>4.1749999999999998</v>
      </c>
      <c r="AK2311" s="8">
        <f t="shared" ca="1" si="354"/>
        <v>1.0001159722222221</v>
      </c>
      <c r="AL2311" s="98">
        <f t="shared" ca="1" si="355"/>
        <v>4.0450701401644196</v>
      </c>
      <c r="AM2311" s="106">
        <f t="shared" ca="1" si="349"/>
        <v>31606.69848233572</v>
      </c>
      <c r="AN2311" s="10">
        <f t="shared" ca="1" si="350"/>
        <v>1.0016964911923498</v>
      </c>
      <c r="AO2311" s="158"/>
      <c r="AP2311" s="158"/>
      <c r="AQ2311" s="1"/>
      <c r="AR2311" s="1"/>
      <c r="AS2311" s="1"/>
      <c r="AT2311" s="1"/>
      <c r="AU2311" s="1"/>
    </row>
    <row r="2312" spans="34:47">
      <c r="AH2312" s="6">
        <f t="shared" si="351"/>
        <v>2282</v>
      </c>
      <c r="AI2312" s="7">
        <f t="shared" ca="1" si="352"/>
        <v>44952</v>
      </c>
      <c r="AJ2312" s="210">
        <f t="shared" ca="1" si="353"/>
        <v>4.1749999999999998</v>
      </c>
      <c r="AK2312" s="8">
        <f t="shared" ca="1" si="354"/>
        <v>1.0001159722222221</v>
      </c>
      <c r="AL2312" s="98">
        <f t="shared" ca="1" si="355"/>
        <v>4.0451920316684209</v>
      </c>
      <c r="AM2312" s="106">
        <f t="shared" ca="1" si="349"/>
        <v>31609.302920727456</v>
      </c>
      <c r="AN2312" s="10">
        <f t="shared" ca="1" si="350"/>
        <v>1.0017976249210303</v>
      </c>
      <c r="AO2312" s="158"/>
      <c r="AP2312" s="158"/>
      <c r="AQ2312" s="1"/>
      <c r="AR2312" s="1"/>
      <c r="AS2312" s="1"/>
      <c r="AT2312" s="1"/>
      <c r="AU2312" s="1"/>
    </row>
    <row r="2313" spans="34:47">
      <c r="AH2313" s="6">
        <f t="shared" si="351"/>
        <v>2283</v>
      </c>
      <c r="AI2313" s="7">
        <f t="shared" ca="1" si="352"/>
        <v>44953</v>
      </c>
      <c r="AJ2313" s="210">
        <f t="shared" ca="1" si="353"/>
        <v>4.1749999999999998</v>
      </c>
      <c r="AK2313" s="8">
        <f t="shared" ca="1" si="354"/>
        <v>1.0001159722222221</v>
      </c>
      <c r="AL2313" s="98">
        <f t="shared" ca="1" si="355"/>
        <v>4.045313816533147</v>
      </c>
      <c r="AM2313" s="106">
        <f t="shared" ca="1" si="349"/>
        <v>31611.907573728738</v>
      </c>
      <c r="AN2313" s="10">
        <f t="shared" ca="1" si="350"/>
        <v>1.0018986701536114</v>
      </c>
      <c r="AO2313" s="158"/>
      <c r="AP2313" s="158"/>
      <c r="AQ2313" s="1"/>
      <c r="AR2313" s="1"/>
      <c r="AS2313" s="1"/>
      <c r="AT2313" s="1"/>
      <c r="AU2313" s="1"/>
    </row>
    <row r="2314" spans="34:47">
      <c r="AH2314" s="6">
        <f t="shared" si="351"/>
        <v>2284</v>
      </c>
      <c r="AI2314" s="7">
        <f t="shared" ca="1" si="352"/>
        <v>44954</v>
      </c>
      <c r="AJ2314" s="210">
        <f t="shared" ca="1" si="353"/>
        <v>4.1749999999999998</v>
      </c>
      <c r="AK2314" s="8">
        <f t="shared" ca="1" si="354"/>
        <v>1.0001159722222221</v>
      </c>
      <c r="AL2314" s="98">
        <f t="shared" ca="1" si="355"/>
        <v>4.0454354948985083</v>
      </c>
      <c r="AM2314" s="106">
        <f t="shared" ca="1" si="349"/>
        <v>31614.512441357256</v>
      </c>
      <c r="AN2314" s="10">
        <f t="shared" ca="1" si="350"/>
        <v>1.0019996270062004</v>
      </c>
      <c r="AO2314" s="158"/>
      <c r="AP2314" s="158"/>
      <c r="AQ2314" s="1"/>
      <c r="AR2314" s="1"/>
      <c r="AS2314" s="1"/>
      <c r="AT2314" s="1"/>
      <c r="AU2314" s="1"/>
    </row>
    <row r="2315" spans="34:47">
      <c r="AH2315" s="6">
        <f t="shared" si="351"/>
        <v>2285</v>
      </c>
      <c r="AI2315" s="7">
        <f t="shared" ca="1" si="352"/>
        <v>44955</v>
      </c>
      <c r="AJ2315" s="210">
        <f t="shared" ca="1" si="353"/>
        <v>4.1749999999999998</v>
      </c>
      <c r="AK2315" s="8">
        <f t="shared" ca="1" si="354"/>
        <v>1.0001159722222221</v>
      </c>
      <c r="AL2315" s="98">
        <f t="shared" ca="1" si="355"/>
        <v>4.0455570669041263</v>
      </c>
      <c r="AM2315" s="106">
        <f t="shared" ca="1" si="349"/>
        <v>31617.117523630692</v>
      </c>
      <c r="AN2315" s="10">
        <f t="shared" ca="1" si="350"/>
        <v>1.0021004955947266</v>
      </c>
      <c r="AO2315" s="158"/>
      <c r="AP2315" s="158"/>
      <c r="AQ2315" s="1"/>
      <c r="AR2315" s="1"/>
      <c r="AS2315" s="1"/>
      <c r="AT2315" s="1"/>
      <c r="AU2315" s="1"/>
    </row>
    <row r="2316" spans="34:47">
      <c r="AH2316" s="6">
        <f t="shared" si="351"/>
        <v>2286</v>
      </c>
      <c r="AI2316" s="7">
        <f t="shared" ca="1" si="352"/>
        <v>44956</v>
      </c>
      <c r="AJ2316" s="210">
        <f t="shared" ca="1" si="353"/>
        <v>4.1749999999999998</v>
      </c>
      <c r="AK2316" s="8">
        <f t="shared" ca="1" si="354"/>
        <v>1.0001159722222221</v>
      </c>
      <c r="AL2316" s="98">
        <f t="shared" ca="1" si="355"/>
        <v>4.0456785326894007</v>
      </c>
      <c r="AM2316" s="106">
        <f t="shared" ca="1" si="349"/>
        <v>31619.722820566731</v>
      </c>
      <c r="AN2316" s="10">
        <f t="shared" ca="1" si="350"/>
        <v>1.0022012760348753</v>
      </c>
      <c r="AO2316" s="158"/>
      <c r="AP2316" s="158"/>
      <c r="AQ2316" s="1"/>
      <c r="AR2316" s="1"/>
      <c r="AS2316" s="1"/>
      <c r="AT2316" s="1"/>
      <c r="AU2316" s="1"/>
    </row>
    <row r="2317" spans="34:47">
      <c r="AH2317" s="6">
        <f t="shared" si="351"/>
        <v>2287</v>
      </c>
      <c r="AI2317" s="7">
        <f t="shared" ca="1" si="352"/>
        <v>44957</v>
      </c>
      <c r="AJ2317" s="210">
        <f t="shared" ca="1" si="353"/>
        <v>4.1749999999999998</v>
      </c>
      <c r="AK2317" s="8">
        <f t="shared" ca="1" si="354"/>
        <v>1.0001159722222221</v>
      </c>
      <c r="AL2317" s="98">
        <f t="shared" ca="1" si="355"/>
        <v>4.0457998923934868</v>
      </c>
      <c r="AM2317" s="106">
        <f t="shared" ca="1" si="349"/>
        <v>31622.328332183071</v>
      </c>
      <c r="AN2317" s="10">
        <f t="shared" ca="1" si="350"/>
        <v>1.0023019684421319</v>
      </c>
      <c r="AO2317" s="158"/>
      <c r="AP2317" s="158"/>
      <c r="AQ2317" s="1"/>
      <c r="AR2317" s="1"/>
      <c r="AS2317" s="1"/>
      <c r="AT2317" s="1"/>
      <c r="AU2317" s="1"/>
    </row>
    <row r="2318" spans="34:47">
      <c r="AH2318" s="6">
        <f t="shared" si="351"/>
        <v>2288</v>
      </c>
      <c r="AI2318" s="7">
        <f t="shared" ca="1" si="352"/>
        <v>44958</v>
      </c>
      <c r="AJ2318" s="210">
        <f t="shared" ca="1" si="353"/>
        <v>4.1749999999999998</v>
      </c>
      <c r="AK2318" s="8">
        <f t="shared" ca="1" si="354"/>
        <v>1.0001159722222221</v>
      </c>
      <c r="AL2318" s="98">
        <f t="shared" ca="1" si="355"/>
        <v>4.0459211461552735</v>
      </c>
      <c r="AM2318" s="106">
        <f t="shared" ca="1" si="349"/>
        <v>31624.934058497398</v>
      </c>
      <c r="AN2318" s="10">
        <f t="shared" ca="1" si="350"/>
        <v>1.0024025729318042</v>
      </c>
      <c r="AO2318" s="158"/>
      <c r="AP2318" s="158"/>
      <c r="AQ2318" s="1"/>
      <c r="AR2318" s="1"/>
      <c r="AS2318" s="1"/>
      <c r="AT2318" s="1"/>
      <c r="AU2318" s="1"/>
    </row>
    <row r="2319" spans="34:47">
      <c r="AH2319" s="6">
        <f t="shared" si="351"/>
        <v>2289</v>
      </c>
      <c r="AI2319" s="7">
        <f t="shared" ca="1" si="352"/>
        <v>44959</v>
      </c>
      <c r="AJ2319" s="210">
        <f t="shared" ca="1" si="353"/>
        <v>4.1749999999999998</v>
      </c>
      <c r="AK2319" s="8">
        <f t="shared" ca="1" si="354"/>
        <v>1.0001159722222221</v>
      </c>
      <c r="AL2319" s="98">
        <f t="shared" ca="1" si="355"/>
        <v>4.04604229411345</v>
      </c>
      <c r="AM2319" s="106">
        <f t="shared" ca="1" si="349"/>
        <v>31627.539999527398</v>
      </c>
      <c r="AN2319" s="10">
        <f t="shared" ca="1" si="350"/>
        <v>1.0025030896189779</v>
      </c>
      <c r="AO2319" s="158"/>
      <c r="AP2319" s="158"/>
      <c r="AQ2319" s="1"/>
      <c r="AR2319" s="1"/>
      <c r="AS2319" s="1"/>
      <c r="AT2319" s="1"/>
      <c r="AU2319" s="1"/>
    </row>
    <row r="2320" spans="34:47">
      <c r="AH2320" s="6">
        <f t="shared" si="351"/>
        <v>2290</v>
      </c>
      <c r="AI2320" s="7">
        <f t="shared" ca="1" si="352"/>
        <v>44960</v>
      </c>
      <c r="AJ2320" s="210">
        <f t="shared" ca="1" si="353"/>
        <v>4.1749999999999998</v>
      </c>
      <c r="AK2320" s="8">
        <f t="shared" ca="1" si="354"/>
        <v>1.0001159722222221</v>
      </c>
      <c r="AL2320" s="98">
        <f t="shared" ca="1" si="355"/>
        <v>4.0461633364064165</v>
      </c>
      <c r="AM2320" s="106">
        <f t="shared" ca="1" si="349"/>
        <v>31630.146155290764</v>
      </c>
      <c r="AN2320" s="10">
        <f t="shared" ca="1" si="350"/>
        <v>1.0026035186185611</v>
      </c>
      <c r="AO2320" s="158"/>
      <c r="AP2320" s="158"/>
      <c r="AQ2320" s="1"/>
      <c r="AR2320" s="1"/>
      <c r="AS2320" s="1"/>
      <c r="AT2320" s="1"/>
      <c r="AU2320" s="1"/>
    </row>
    <row r="2321" spans="34:47">
      <c r="AH2321" s="6">
        <f t="shared" si="351"/>
        <v>2291</v>
      </c>
      <c r="AI2321" s="7">
        <f t="shared" ca="1" si="352"/>
        <v>44961</v>
      </c>
      <c r="AJ2321" s="210">
        <f t="shared" ca="1" si="353"/>
        <v>4.1749999999999998</v>
      </c>
      <c r="AK2321" s="8">
        <f t="shared" ca="1" si="354"/>
        <v>1.0001159722222221</v>
      </c>
      <c r="AL2321" s="98">
        <f t="shared" ca="1" si="355"/>
        <v>4.0462842731723736</v>
      </c>
      <c r="AM2321" s="106">
        <f t="shared" ca="1" si="349"/>
        <v>31632.752525805197</v>
      </c>
      <c r="AN2321" s="10">
        <f t="shared" ca="1" si="350"/>
        <v>1.002703860045262</v>
      </c>
      <c r="AO2321" s="158"/>
      <c r="AP2321" s="158"/>
      <c r="AQ2321" s="1"/>
      <c r="AR2321" s="1"/>
      <c r="AS2321" s="1"/>
      <c r="AT2321" s="1"/>
      <c r="AU2321" s="1"/>
    </row>
    <row r="2322" spans="34:47">
      <c r="AH2322" s="6">
        <f t="shared" si="351"/>
        <v>2292</v>
      </c>
      <c r="AI2322" s="7">
        <f t="shared" ca="1" si="352"/>
        <v>44962</v>
      </c>
      <c r="AJ2322" s="210">
        <f t="shared" ca="1" si="353"/>
        <v>4.1749999999999998</v>
      </c>
      <c r="AK2322" s="8">
        <f t="shared" ca="1" si="354"/>
        <v>1.0001159722222221</v>
      </c>
      <c r="AL2322" s="98">
        <f t="shared" ca="1" si="355"/>
        <v>4.0464051045492555</v>
      </c>
      <c r="AM2322" s="106">
        <f t="shared" ca="1" si="349"/>
        <v>31635.359111088394</v>
      </c>
      <c r="AN2322" s="10">
        <f t="shared" ca="1" si="350"/>
        <v>1.0028041140135446</v>
      </c>
      <c r="AO2322" s="158"/>
      <c r="AP2322" s="158"/>
      <c r="AQ2322" s="1"/>
      <c r="AR2322" s="1"/>
      <c r="AS2322" s="1"/>
      <c r="AT2322" s="1"/>
      <c r="AU2322" s="1"/>
    </row>
    <row r="2323" spans="34:47">
      <c r="AH2323" s="6">
        <f t="shared" si="351"/>
        <v>2293</v>
      </c>
      <c r="AI2323" s="7">
        <f t="shared" ca="1" si="352"/>
        <v>44963</v>
      </c>
      <c r="AJ2323" s="210">
        <f t="shared" ca="1" si="353"/>
        <v>4.1749999999999998</v>
      </c>
      <c r="AK2323" s="8">
        <f t="shared" ca="1" si="354"/>
        <v>1.0001159722222221</v>
      </c>
      <c r="AL2323" s="98">
        <f t="shared" ca="1" si="355"/>
        <v>4.046525830674752</v>
      </c>
      <c r="AM2323" s="106">
        <f t="shared" ca="1" si="349"/>
        <v>31637.965911158048</v>
      </c>
      <c r="AN2323" s="10">
        <f t="shared" ca="1" si="350"/>
        <v>1.0029042806376953</v>
      </c>
      <c r="AO2323" s="158"/>
      <c r="AP2323" s="158"/>
      <c r="AQ2323" s="1"/>
      <c r="AR2323" s="1"/>
      <c r="AS2323" s="1"/>
      <c r="AT2323" s="1"/>
      <c r="AU2323" s="1"/>
    </row>
    <row r="2324" spans="34:47">
      <c r="AH2324" s="6">
        <f t="shared" si="351"/>
        <v>2294</v>
      </c>
      <c r="AI2324" s="7">
        <f t="shared" ca="1" si="352"/>
        <v>44964</v>
      </c>
      <c r="AJ2324" s="210">
        <f t="shared" ca="1" si="353"/>
        <v>4.1749999999999998</v>
      </c>
      <c r="AK2324" s="8">
        <f t="shared" ca="1" si="354"/>
        <v>1.0001159722222221</v>
      </c>
      <c r="AL2324" s="98">
        <f t="shared" ca="1" si="355"/>
        <v>4.046646451686331</v>
      </c>
      <c r="AM2324" s="106">
        <f t="shared" ca="1" si="349"/>
        <v>31640.572926031851</v>
      </c>
      <c r="AN2324" s="10">
        <f t="shared" ca="1" si="350"/>
        <v>1.0030043600318228</v>
      </c>
      <c r="AO2324" s="158"/>
      <c r="AP2324" s="158"/>
      <c r="AQ2324" s="1"/>
      <c r="AR2324" s="1"/>
      <c r="AS2324" s="1"/>
      <c r="AT2324" s="1"/>
      <c r="AU2324" s="1"/>
    </row>
    <row r="2325" spans="34:47">
      <c r="AH2325" s="6">
        <f t="shared" si="351"/>
        <v>2295</v>
      </c>
      <c r="AI2325" s="7">
        <f t="shared" ca="1" si="352"/>
        <v>44965</v>
      </c>
      <c r="AJ2325" s="210">
        <f t="shared" ca="1" si="353"/>
        <v>4.1749999999999998</v>
      </c>
      <c r="AK2325" s="8">
        <f t="shared" ca="1" si="354"/>
        <v>1.0001159722222221</v>
      </c>
      <c r="AL2325" s="98">
        <f t="shared" ca="1" si="355"/>
        <v>4.0467669677212159</v>
      </c>
      <c r="AM2325" s="106">
        <f t="shared" ca="1" si="349"/>
        <v>31643.180155727518</v>
      </c>
      <c r="AN2325" s="10">
        <f t="shared" ca="1" si="350"/>
        <v>1.0031043523098582</v>
      </c>
      <c r="AO2325" s="158"/>
      <c r="AP2325" s="158"/>
      <c r="AQ2325" s="1"/>
      <c r="AR2325" s="1"/>
      <c r="AS2325" s="1"/>
      <c r="AT2325" s="1"/>
      <c r="AU2325" s="1"/>
    </row>
    <row r="2326" spans="34:47">
      <c r="AH2326" s="6">
        <f t="shared" si="351"/>
        <v>2296</v>
      </c>
      <c r="AI2326" s="7">
        <f t="shared" ca="1" si="352"/>
        <v>44966</v>
      </c>
      <c r="AJ2326" s="210">
        <f t="shared" ca="1" si="353"/>
        <v>4.1749999999999998</v>
      </c>
      <c r="AK2326" s="8">
        <f t="shared" ca="1" si="354"/>
        <v>1.0001159722222221</v>
      </c>
      <c r="AL2326" s="98">
        <f t="shared" ca="1" si="355"/>
        <v>4.0468873789163862</v>
      </c>
      <c r="AM2326" s="106">
        <f t="shared" ca="1" si="349"/>
        <v>31645.787600262734</v>
      </c>
      <c r="AN2326" s="10">
        <f t="shared" ca="1" si="350"/>
        <v>1.0032042575854438</v>
      </c>
      <c r="AO2326" s="158"/>
      <c r="AP2326" s="158"/>
      <c r="AQ2326" s="1"/>
      <c r="AR2326" s="1"/>
      <c r="AS2326" s="1"/>
      <c r="AT2326" s="1"/>
      <c r="AU2326" s="1"/>
    </row>
    <row r="2327" spans="34:47">
      <c r="AH2327" s="6">
        <f t="shared" si="351"/>
        <v>2297</v>
      </c>
      <c r="AI2327" s="7">
        <f t="shared" ca="1" si="352"/>
        <v>44967</v>
      </c>
      <c r="AJ2327" s="210">
        <f t="shared" ca="1" si="353"/>
        <v>4.1749999999999998</v>
      </c>
      <c r="AK2327" s="8">
        <f t="shared" ca="1" si="354"/>
        <v>1.0001159722222221</v>
      </c>
      <c r="AL2327" s="98">
        <f t="shared" ca="1" si="355"/>
        <v>4.0470076854085768</v>
      </c>
      <c r="AM2327" s="106">
        <f t="shared" ca="1" si="349"/>
        <v>31648.395259655212</v>
      </c>
      <c r="AN2327" s="10">
        <f t="shared" ca="1" si="350"/>
        <v>1.0033040759721112</v>
      </c>
      <c r="AO2327" s="158"/>
      <c r="AP2327" s="158"/>
      <c r="AQ2327" s="1"/>
      <c r="AR2327" s="1"/>
      <c r="AS2327" s="1"/>
      <c r="AT2327" s="1"/>
      <c r="AU2327" s="1"/>
    </row>
    <row r="2328" spans="34:47">
      <c r="AH2328" s="6">
        <f t="shared" si="351"/>
        <v>2298</v>
      </c>
      <c r="AI2328" s="7">
        <f t="shared" ca="1" si="352"/>
        <v>44968</v>
      </c>
      <c r="AJ2328" s="210">
        <f t="shared" ca="1" si="353"/>
        <v>4.1749999999999998</v>
      </c>
      <c r="AK2328" s="8">
        <f t="shared" ca="1" si="354"/>
        <v>1.0001159722222221</v>
      </c>
      <c r="AL2328" s="98">
        <f t="shared" ca="1" si="355"/>
        <v>4.0471278873343008</v>
      </c>
      <c r="AM2328" s="106">
        <f t="shared" ca="1" si="349"/>
        <v>31651.003133922659</v>
      </c>
      <c r="AN2328" s="10">
        <f t="shared" ca="1" si="350"/>
        <v>1.0034038075831253</v>
      </c>
      <c r="AO2328" s="158"/>
      <c r="AP2328" s="158"/>
      <c r="AQ2328" s="1"/>
      <c r="AR2328" s="1"/>
      <c r="AS2328" s="1"/>
      <c r="AT2328" s="1"/>
      <c r="AU2328" s="1"/>
    </row>
    <row r="2329" spans="34:47">
      <c r="AH2329" s="6">
        <f t="shared" si="351"/>
        <v>2299</v>
      </c>
      <c r="AI2329" s="7">
        <f t="shared" ca="1" si="352"/>
        <v>44969</v>
      </c>
      <c r="AJ2329" s="210">
        <f t="shared" ca="1" si="353"/>
        <v>4.1749999999999998</v>
      </c>
      <c r="AK2329" s="8">
        <f t="shared" ca="1" si="354"/>
        <v>1.0001159722222221</v>
      </c>
      <c r="AL2329" s="98">
        <f t="shared" ca="1" si="355"/>
        <v>4.0472479848298271</v>
      </c>
      <c r="AM2329" s="106">
        <f t="shared" ca="1" si="349"/>
        <v>31653.611223082775</v>
      </c>
      <c r="AN2329" s="10">
        <f t="shared" ca="1" si="350"/>
        <v>1.00350345253164</v>
      </c>
      <c r="AO2329" s="158"/>
      <c r="AP2329" s="158"/>
      <c r="AQ2329" s="1"/>
      <c r="AR2329" s="1"/>
      <c r="AS2329" s="1"/>
      <c r="AT2329" s="1"/>
      <c r="AU2329" s="1"/>
    </row>
    <row r="2330" spans="34:47">
      <c r="AH2330" s="6">
        <f t="shared" si="351"/>
        <v>2300</v>
      </c>
      <c r="AI2330" s="7">
        <f t="shared" ca="1" si="352"/>
        <v>44970</v>
      </c>
      <c r="AJ2330" s="210">
        <f t="shared" ca="1" si="353"/>
        <v>4.1749999999999998</v>
      </c>
      <c r="AK2330" s="8">
        <f t="shared" ca="1" si="354"/>
        <v>1.0001159722222221</v>
      </c>
      <c r="AL2330" s="98">
        <f t="shared" ca="1" si="355"/>
        <v>4.0473679780312022</v>
      </c>
      <c r="AM2330" s="106">
        <f t="shared" ca="1" si="349"/>
        <v>31656.219527153273</v>
      </c>
      <c r="AN2330" s="10">
        <f t="shared" ca="1" si="350"/>
        <v>1.0036030109305649</v>
      </c>
      <c r="AO2330" s="158"/>
      <c r="AP2330" s="158"/>
      <c r="AQ2330" s="1"/>
      <c r="AR2330" s="1"/>
      <c r="AS2330" s="1"/>
      <c r="AT2330" s="1"/>
      <c r="AU2330" s="1"/>
    </row>
    <row r="2331" spans="34:47">
      <c r="AH2331" s="6">
        <f t="shared" si="351"/>
        <v>2301</v>
      </c>
      <c r="AI2331" s="7">
        <f t="shared" ca="1" si="352"/>
        <v>44971</v>
      </c>
      <c r="AJ2331" s="210">
        <f t="shared" ca="1" si="353"/>
        <v>4.1749999999999998</v>
      </c>
      <c r="AK2331" s="8">
        <f t="shared" ca="1" si="354"/>
        <v>1.0001159722222221</v>
      </c>
      <c r="AL2331" s="98">
        <f t="shared" ca="1" si="355"/>
        <v>4.0474878670742065</v>
      </c>
      <c r="AM2331" s="106">
        <f t="shared" ca="1" si="349"/>
        <v>31658.828046151855</v>
      </c>
      <c r="AN2331" s="10">
        <f t="shared" ca="1" si="350"/>
        <v>1.00370248289261</v>
      </c>
      <c r="AO2331" s="158"/>
      <c r="AP2331" s="158"/>
      <c r="AQ2331" s="1"/>
      <c r="AR2331" s="1"/>
      <c r="AS2331" s="1"/>
      <c r="AT2331" s="1"/>
      <c r="AU2331" s="1"/>
    </row>
    <row r="2332" spans="34:47">
      <c r="AH2332" s="6">
        <f t="shared" si="351"/>
        <v>2302</v>
      </c>
      <c r="AI2332" s="7">
        <f t="shared" ca="1" si="352"/>
        <v>44972</v>
      </c>
      <c r="AJ2332" s="210">
        <f t="shared" ca="1" si="353"/>
        <v>4.1749999999999998</v>
      </c>
      <c r="AK2332" s="8">
        <f t="shared" ca="1" si="354"/>
        <v>1.0001159722222221</v>
      </c>
      <c r="AL2332" s="98">
        <f t="shared" ca="1" si="355"/>
        <v>4.0476076520944204</v>
      </c>
      <c r="AM2332" s="106">
        <f t="shared" ca="1" si="349"/>
        <v>31661.436780096235</v>
      </c>
      <c r="AN2332" s="10">
        <f t="shared" ca="1" si="350"/>
        <v>1.003801868530263</v>
      </c>
      <c r="AO2332" s="158"/>
      <c r="AP2332" s="158"/>
      <c r="AQ2332" s="1"/>
      <c r="AR2332" s="1"/>
      <c r="AS2332" s="1"/>
      <c r="AT2332" s="1"/>
      <c r="AU2332" s="1"/>
    </row>
    <row r="2333" spans="34:47">
      <c r="AH2333" s="6">
        <f t="shared" si="351"/>
        <v>2303</v>
      </c>
      <c r="AI2333" s="7">
        <f t="shared" ca="1" si="352"/>
        <v>44973</v>
      </c>
      <c r="AJ2333" s="210">
        <f t="shared" ca="1" si="353"/>
        <v>4.1749999999999998</v>
      </c>
      <c r="AK2333" s="8">
        <f t="shared" ca="1" si="354"/>
        <v>1.0001159722222221</v>
      </c>
      <c r="AL2333" s="98">
        <f t="shared" ca="1" si="355"/>
        <v>4.0477273332271357</v>
      </c>
      <c r="AM2333" s="106">
        <f t="shared" ca="1" si="349"/>
        <v>31664.045729004119</v>
      </c>
      <c r="AN2333" s="10">
        <f t="shared" ca="1" si="350"/>
        <v>1.0039011679558785</v>
      </c>
      <c r="AO2333" s="158"/>
      <c r="AP2333" s="158"/>
      <c r="AQ2333" s="1"/>
      <c r="AR2333" s="1"/>
      <c r="AS2333" s="1"/>
      <c r="AT2333" s="1"/>
      <c r="AU2333" s="1"/>
    </row>
    <row r="2334" spans="34:47">
      <c r="AH2334" s="6">
        <f t="shared" si="351"/>
        <v>2304</v>
      </c>
      <c r="AI2334" s="7">
        <f t="shared" ca="1" si="352"/>
        <v>44974</v>
      </c>
      <c r="AJ2334" s="210">
        <f t="shared" ca="1" si="353"/>
        <v>4.1749999999999998</v>
      </c>
      <c r="AK2334" s="8">
        <f t="shared" ca="1" si="354"/>
        <v>1.0001159722222221</v>
      </c>
      <c r="AL2334" s="98">
        <f t="shared" ca="1" si="355"/>
        <v>4.0478469106074666</v>
      </c>
      <c r="AM2334" s="106">
        <f t="shared" ca="1" si="349"/>
        <v>31666.654892893235</v>
      </c>
      <c r="AN2334" s="10">
        <f t="shared" ca="1" si="350"/>
        <v>1.0040003812815446</v>
      </c>
      <c r="AO2334" s="158"/>
      <c r="AP2334" s="158"/>
      <c r="AQ2334" s="1"/>
      <c r="AR2334" s="1"/>
      <c r="AS2334" s="1"/>
      <c r="AT2334" s="1"/>
      <c r="AU2334" s="1"/>
    </row>
    <row r="2335" spans="34:47">
      <c r="AH2335" s="6">
        <f t="shared" si="351"/>
        <v>2305</v>
      </c>
      <c r="AI2335" s="7">
        <f t="shared" ca="1" si="352"/>
        <v>44975</v>
      </c>
      <c r="AJ2335" s="210">
        <f t="shared" ca="1" si="353"/>
        <v>4.1749999999999998</v>
      </c>
      <c r="AK2335" s="8">
        <f t="shared" ca="1" si="354"/>
        <v>1.0001159722222221</v>
      </c>
      <c r="AL2335" s="98">
        <f t="shared" ca="1" si="355"/>
        <v>4.0479663843702607</v>
      </c>
      <c r="AM2335" s="106">
        <f t="shared" ref="AM2335:AM2398" ca="1" si="356">Geom_Interp(AI2335,$AZ$2:$AZ$109,$BA$2:$BA$109)</f>
        <v>31669.264271781289</v>
      </c>
      <c r="AN2335" s="10">
        <f t="shared" ref="AN2335:AN2398" ca="1" si="357">100*(((1+AL2335/100)^(AH2335/365)*$AM$29/AM2335)^(365/AH2335)-1)</f>
        <v>1.0040995086192384</v>
      </c>
      <c r="AO2335" s="158"/>
      <c r="AP2335" s="158"/>
      <c r="AQ2335" s="1"/>
      <c r="AR2335" s="1"/>
      <c r="AS2335" s="1"/>
      <c r="AT2335" s="1"/>
      <c r="AU2335" s="1"/>
    </row>
    <row r="2336" spans="34:47">
      <c r="AH2336" s="6">
        <f t="shared" ref="AH2336:AH2399" si="358">$AI$29+AH2335</f>
        <v>2306</v>
      </c>
      <c r="AI2336" s="7">
        <f t="shared" ref="AI2336:AI2399" ca="1" si="359">+AH2336+$C$1</f>
        <v>44976</v>
      </c>
      <c r="AJ2336" s="210">
        <f t="shared" ref="AJ2336:AJ2399" ca="1" si="360">IF(AH2336&lt;365,VLOOKUP(LOOKUP(AI2336,$AI$2:$AI$23),$AI$2:$AK$23,3,0),Lin_Interp(AH2336,$AJ$2:$AJ$23,$AK$2:$AK$23))</f>
        <v>4.1749999999999998</v>
      </c>
      <c r="AK2336" s="8">
        <f t="shared" ca="1" si="354"/>
        <v>1.0001159722222221</v>
      </c>
      <c r="AL2336" s="98">
        <f t="shared" ca="1" si="355"/>
        <v>4.0480857546501658</v>
      </c>
      <c r="AM2336" s="106">
        <f t="shared" ca="1" si="356"/>
        <v>31671.873865685997</v>
      </c>
      <c r="AN2336" s="10">
        <f t="shared" ca="1" si="357"/>
        <v>1.0041985500806927</v>
      </c>
      <c r="AO2336" s="158"/>
      <c r="AP2336" s="158"/>
      <c r="AQ2336" s="1"/>
      <c r="AR2336" s="1"/>
      <c r="AS2336" s="1"/>
      <c r="AT2336" s="1"/>
      <c r="AU2336" s="1"/>
    </row>
    <row r="2337" spans="34:47">
      <c r="AH2337" s="6">
        <f t="shared" si="358"/>
        <v>2307</v>
      </c>
      <c r="AI2337" s="7">
        <f t="shared" ca="1" si="359"/>
        <v>44977</v>
      </c>
      <c r="AJ2337" s="210">
        <f t="shared" ca="1" si="360"/>
        <v>4.1749999999999998</v>
      </c>
      <c r="AK2337" s="8">
        <f t="shared" ref="AK2337:AK2400" ca="1" si="361">+(1+AJ2337/36000)</f>
        <v>1.0001159722222221</v>
      </c>
      <c r="AL2337" s="98">
        <f t="shared" ref="AL2337:AL2400" ca="1" si="362">100*(((1+AL2336/100)^(AH2336/365)*AK2337)^(365/AH2337)-1)</f>
        <v>4.0482050215815413</v>
      </c>
      <c r="AM2337" s="106">
        <f t="shared" ca="1" si="356"/>
        <v>31674.483674625073</v>
      </c>
      <c r="AN2337" s="10">
        <f t="shared" ca="1" si="357"/>
        <v>1.0042975057774406</v>
      </c>
      <c r="AO2337" s="158"/>
      <c r="AP2337" s="158"/>
      <c r="AQ2337" s="1"/>
      <c r="AR2337" s="1"/>
      <c r="AS2337" s="1"/>
      <c r="AT2337" s="1"/>
      <c r="AU2337" s="1"/>
    </row>
    <row r="2338" spans="34:47">
      <c r="AH2338" s="6">
        <f t="shared" si="358"/>
        <v>2308</v>
      </c>
      <c r="AI2338" s="7">
        <f t="shared" ca="1" si="359"/>
        <v>44978</v>
      </c>
      <c r="AJ2338" s="210">
        <f t="shared" ca="1" si="360"/>
        <v>4.1749999999999998</v>
      </c>
      <c r="AK2338" s="8">
        <f t="shared" ca="1" si="361"/>
        <v>1.0001159722222221</v>
      </c>
      <c r="AL2338" s="98">
        <f t="shared" ca="1" si="362"/>
        <v>4.0483241852985685</v>
      </c>
      <c r="AM2338" s="106">
        <f t="shared" ca="1" si="356"/>
        <v>31677.093698616238</v>
      </c>
      <c r="AN2338" s="10">
        <f t="shared" ca="1" si="357"/>
        <v>1.0043963758208596</v>
      </c>
      <c r="AO2338" s="158"/>
      <c r="AP2338" s="158"/>
      <c r="AQ2338" s="1"/>
      <c r="AR2338" s="1"/>
      <c r="AS2338" s="1"/>
      <c r="AT2338" s="1"/>
      <c r="AU2338" s="1"/>
    </row>
    <row r="2339" spans="34:47">
      <c r="AH2339" s="6">
        <f t="shared" si="358"/>
        <v>2309</v>
      </c>
      <c r="AI2339" s="7">
        <f t="shared" ca="1" si="359"/>
        <v>44979</v>
      </c>
      <c r="AJ2339" s="210">
        <f t="shared" ca="1" si="360"/>
        <v>4.1749999999999998</v>
      </c>
      <c r="AK2339" s="8">
        <f t="shared" ca="1" si="361"/>
        <v>1.0001159722222221</v>
      </c>
      <c r="AL2339" s="98">
        <f t="shared" ca="1" si="362"/>
        <v>4.0484432459351627</v>
      </c>
      <c r="AM2339" s="106">
        <f t="shared" ca="1" si="356"/>
        <v>31679.703937677219</v>
      </c>
      <c r="AN2339" s="10">
        <f t="shared" ca="1" si="357"/>
        <v>1.0044951603220609</v>
      </c>
      <c r="AO2339" s="158"/>
      <c r="AP2339" s="158"/>
      <c r="AQ2339" s="1"/>
      <c r="AR2339" s="1"/>
      <c r="AS2339" s="1"/>
      <c r="AT2339" s="1"/>
      <c r="AU2339" s="1"/>
    </row>
    <row r="2340" spans="34:47">
      <c r="AH2340" s="6">
        <f t="shared" si="358"/>
        <v>2310</v>
      </c>
      <c r="AI2340" s="7">
        <f t="shared" ca="1" si="359"/>
        <v>44980</v>
      </c>
      <c r="AJ2340" s="210">
        <f t="shared" ca="1" si="360"/>
        <v>4.1749999999999998</v>
      </c>
      <c r="AK2340" s="8">
        <f t="shared" ca="1" si="361"/>
        <v>1.0001159722222221</v>
      </c>
      <c r="AL2340" s="98">
        <f t="shared" ca="1" si="362"/>
        <v>4.0485622036250168</v>
      </c>
      <c r="AM2340" s="106">
        <f t="shared" ca="1" si="356"/>
        <v>31682.314391825734</v>
      </c>
      <c r="AN2340" s="10">
        <f t="shared" ca="1" si="357"/>
        <v>1.0045938593920667</v>
      </c>
      <c r="AO2340" s="158"/>
      <c r="AP2340" s="158"/>
      <c r="AQ2340" s="1"/>
      <c r="AR2340" s="1"/>
      <c r="AS2340" s="1"/>
      <c r="AT2340" s="1"/>
      <c r="AU2340" s="1"/>
    </row>
    <row r="2341" spans="34:47">
      <c r="AH2341" s="6">
        <f t="shared" si="358"/>
        <v>2311</v>
      </c>
      <c r="AI2341" s="7">
        <f t="shared" ca="1" si="359"/>
        <v>44981</v>
      </c>
      <c r="AJ2341" s="210">
        <f t="shared" ca="1" si="360"/>
        <v>4.1749999999999998</v>
      </c>
      <c r="AK2341" s="8">
        <f t="shared" ca="1" si="361"/>
        <v>1.0001159722222221</v>
      </c>
      <c r="AL2341" s="98">
        <f t="shared" ca="1" si="362"/>
        <v>4.0486810585015798</v>
      </c>
      <c r="AM2341" s="106">
        <f t="shared" ca="1" si="356"/>
        <v>31684.925061079502</v>
      </c>
      <c r="AN2341" s="10">
        <f t="shared" ca="1" si="357"/>
        <v>1.0046924731416107</v>
      </c>
      <c r="AO2341" s="158"/>
      <c r="AP2341" s="158"/>
      <c r="AQ2341" s="1"/>
      <c r="AR2341" s="1"/>
      <c r="AS2341" s="1"/>
      <c r="AT2341" s="1"/>
      <c r="AU2341" s="1"/>
    </row>
    <row r="2342" spans="34:47">
      <c r="AH2342" s="6">
        <f t="shared" si="358"/>
        <v>2312</v>
      </c>
      <c r="AI2342" s="7">
        <f t="shared" ca="1" si="359"/>
        <v>44982</v>
      </c>
      <c r="AJ2342" s="210">
        <f t="shared" ca="1" si="360"/>
        <v>4.1749999999999998</v>
      </c>
      <c r="AK2342" s="8">
        <f t="shared" ca="1" si="361"/>
        <v>1.0001159722222221</v>
      </c>
      <c r="AL2342" s="98">
        <f t="shared" ca="1" si="362"/>
        <v>4.0487998106981005</v>
      </c>
      <c r="AM2342" s="106">
        <f t="shared" ca="1" si="356"/>
        <v>31687.535945456253</v>
      </c>
      <c r="AN2342" s="10">
        <f t="shared" ca="1" si="357"/>
        <v>1.0047910016813155</v>
      </c>
      <c r="AO2342" s="158"/>
      <c r="AP2342" s="158"/>
      <c r="AQ2342" s="1"/>
      <c r="AR2342" s="1"/>
      <c r="AS2342" s="1"/>
      <c r="AT2342" s="1"/>
      <c r="AU2342" s="1"/>
    </row>
    <row r="2343" spans="34:47">
      <c r="AH2343" s="6">
        <f t="shared" si="358"/>
        <v>2313</v>
      </c>
      <c r="AI2343" s="7">
        <f t="shared" ca="1" si="359"/>
        <v>44983</v>
      </c>
      <c r="AJ2343" s="210">
        <f t="shared" ca="1" si="360"/>
        <v>4.1749999999999998</v>
      </c>
      <c r="AK2343" s="8">
        <f t="shared" ca="1" si="361"/>
        <v>1.0001159722222221</v>
      </c>
      <c r="AL2343" s="98">
        <f t="shared" ca="1" si="362"/>
        <v>4.0489184603475836</v>
      </c>
      <c r="AM2343" s="106">
        <f t="shared" ca="1" si="356"/>
        <v>31690.147044973713</v>
      </c>
      <c r="AN2343" s="10">
        <f t="shared" ca="1" si="357"/>
        <v>1.0048894451215595</v>
      </c>
      <c r="AO2343" s="158"/>
      <c r="AP2343" s="158"/>
      <c r="AQ2343" s="1"/>
      <c r="AR2343" s="1"/>
      <c r="AS2343" s="1"/>
      <c r="AT2343" s="1"/>
      <c r="AU2343" s="1"/>
    </row>
    <row r="2344" spans="34:47">
      <c r="AH2344" s="6">
        <f t="shared" si="358"/>
        <v>2314</v>
      </c>
      <c r="AI2344" s="7">
        <f t="shared" ca="1" si="359"/>
        <v>44984</v>
      </c>
      <c r="AJ2344" s="210">
        <f t="shared" ca="1" si="360"/>
        <v>4.1749999999999998</v>
      </c>
      <c r="AK2344" s="8">
        <f t="shared" ca="1" si="361"/>
        <v>1.0001159722222221</v>
      </c>
      <c r="AL2344" s="98">
        <f t="shared" ca="1" si="362"/>
        <v>4.0490370075827897</v>
      </c>
      <c r="AM2344" s="106">
        <f t="shared" ca="1" si="356"/>
        <v>31692.758359649615</v>
      </c>
      <c r="AN2344" s="10">
        <f t="shared" ca="1" si="357"/>
        <v>1.0049878035725213</v>
      </c>
      <c r="AO2344" s="158"/>
      <c r="AP2344" s="158"/>
      <c r="AQ2344" s="1"/>
      <c r="AR2344" s="1"/>
      <c r="AS2344" s="1"/>
      <c r="AT2344" s="1"/>
      <c r="AU2344" s="1"/>
    </row>
    <row r="2345" spans="34:47">
      <c r="AH2345" s="6">
        <f t="shared" si="358"/>
        <v>2315</v>
      </c>
      <c r="AI2345" s="7">
        <f t="shared" ca="1" si="359"/>
        <v>44985</v>
      </c>
      <c r="AJ2345" s="210">
        <f t="shared" ca="1" si="360"/>
        <v>4.1749999999999998</v>
      </c>
      <c r="AK2345" s="8">
        <f t="shared" ca="1" si="361"/>
        <v>1.0001159722222221</v>
      </c>
      <c r="AL2345" s="98">
        <f t="shared" ca="1" si="362"/>
        <v>4.0491554525362794</v>
      </c>
      <c r="AM2345" s="106">
        <f t="shared" ca="1" si="356"/>
        <v>31695.369889501679</v>
      </c>
      <c r="AN2345" s="10">
        <f t="shared" ca="1" si="357"/>
        <v>1.005086077144246</v>
      </c>
      <c r="AO2345" s="158"/>
      <c r="AP2345" s="158"/>
      <c r="AQ2345" s="1"/>
      <c r="AR2345" s="1"/>
      <c r="AS2345" s="1"/>
      <c r="AT2345" s="1"/>
      <c r="AU2345" s="1"/>
    </row>
    <row r="2346" spans="34:47">
      <c r="AH2346" s="6">
        <f t="shared" si="358"/>
        <v>2316</v>
      </c>
      <c r="AI2346" s="7">
        <f t="shared" ca="1" si="359"/>
        <v>44986</v>
      </c>
      <c r="AJ2346" s="210">
        <f t="shared" ca="1" si="360"/>
        <v>4.1749999999999998</v>
      </c>
      <c r="AK2346" s="8">
        <f t="shared" ca="1" si="361"/>
        <v>1.0001159722222221</v>
      </c>
      <c r="AL2346" s="98">
        <f t="shared" ca="1" si="362"/>
        <v>4.0492737953403468</v>
      </c>
      <c r="AM2346" s="106">
        <f t="shared" ca="1" si="356"/>
        <v>31697.981634547639</v>
      </c>
      <c r="AN2346" s="10">
        <f t="shared" ca="1" si="357"/>
        <v>1.0051842659465571</v>
      </c>
      <c r="AO2346" s="158"/>
      <c r="AP2346" s="158"/>
      <c r="AQ2346" s="1"/>
      <c r="AR2346" s="1"/>
      <c r="AS2346" s="1"/>
      <c r="AT2346" s="1"/>
      <c r="AU2346" s="1"/>
    </row>
    <row r="2347" spans="34:47">
      <c r="AH2347" s="6">
        <f t="shared" si="358"/>
        <v>2317</v>
      </c>
      <c r="AI2347" s="7">
        <f t="shared" ca="1" si="359"/>
        <v>44987</v>
      </c>
      <c r="AJ2347" s="210">
        <f t="shared" ca="1" si="360"/>
        <v>4.1749999999999998</v>
      </c>
      <c r="AK2347" s="8">
        <f t="shared" ca="1" si="361"/>
        <v>1.0001159722222221</v>
      </c>
      <c r="AL2347" s="98">
        <f t="shared" ca="1" si="362"/>
        <v>4.0493920361270863</v>
      </c>
      <c r="AM2347" s="106">
        <f t="shared" ca="1" si="356"/>
        <v>31700.593594805228</v>
      </c>
      <c r="AN2347" s="10">
        <f t="shared" ca="1" si="357"/>
        <v>1.0052823700890556</v>
      </c>
      <c r="AO2347" s="158"/>
      <c r="AP2347" s="158"/>
      <c r="AQ2347" s="1"/>
      <c r="AR2347" s="1"/>
      <c r="AS2347" s="1"/>
      <c r="AT2347" s="1"/>
      <c r="AU2347" s="1"/>
    </row>
    <row r="2348" spans="34:47">
      <c r="AH2348" s="6">
        <f t="shared" si="358"/>
        <v>2318</v>
      </c>
      <c r="AI2348" s="7">
        <f t="shared" ca="1" si="359"/>
        <v>44988</v>
      </c>
      <c r="AJ2348" s="210">
        <f t="shared" ca="1" si="360"/>
        <v>4.1749999999999998</v>
      </c>
      <c r="AK2348" s="8">
        <f t="shared" ca="1" si="361"/>
        <v>1.0001159722222221</v>
      </c>
      <c r="AL2348" s="98">
        <f t="shared" ca="1" si="362"/>
        <v>4.0495101750283702</v>
      </c>
      <c r="AM2348" s="106">
        <f t="shared" ca="1" si="356"/>
        <v>31703.205770292181</v>
      </c>
      <c r="AN2348" s="10">
        <f t="shared" ca="1" si="357"/>
        <v>1.0053803896812319</v>
      </c>
      <c r="AO2348" s="158"/>
      <c r="AP2348" s="158"/>
      <c r="AQ2348" s="1"/>
      <c r="AR2348" s="1"/>
      <c r="AS2348" s="1"/>
      <c r="AT2348" s="1"/>
      <c r="AU2348" s="1"/>
    </row>
    <row r="2349" spans="34:47">
      <c r="AH2349" s="6">
        <f t="shared" si="358"/>
        <v>2319</v>
      </c>
      <c r="AI2349" s="7">
        <f t="shared" ca="1" si="359"/>
        <v>44989</v>
      </c>
      <c r="AJ2349" s="210">
        <f t="shared" ca="1" si="360"/>
        <v>4.1749999999999998</v>
      </c>
      <c r="AK2349" s="8">
        <f t="shared" ca="1" si="361"/>
        <v>1.0001159722222221</v>
      </c>
      <c r="AL2349" s="98">
        <f t="shared" ca="1" si="362"/>
        <v>4.0496282121758043</v>
      </c>
      <c r="AM2349" s="106">
        <f t="shared" ca="1" si="356"/>
        <v>31705.818161026229</v>
      </c>
      <c r="AN2349" s="10">
        <f t="shared" ca="1" si="357"/>
        <v>1.0054783248323096</v>
      </c>
      <c r="AO2349" s="158"/>
      <c r="AP2349" s="158"/>
      <c r="AQ2349" s="1"/>
      <c r="AR2349" s="1"/>
      <c r="AS2349" s="1"/>
      <c r="AT2349" s="1"/>
      <c r="AU2349" s="1"/>
    </row>
    <row r="2350" spans="34:47">
      <c r="AH2350" s="6">
        <f t="shared" si="358"/>
        <v>2320</v>
      </c>
      <c r="AI2350" s="7">
        <f t="shared" ca="1" si="359"/>
        <v>44990</v>
      </c>
      <c r="AJ2350" s="210">
        <f t="shared" ca="1" si="360"/>
        <v>4.1749999999999998</v>
      </c>
      <c r="AK2350" s="8">
        <f t="shared" ca="1" si="361"/>
        <v>1.0001159722222221</v>
      </c>
      <c r="AL2350" s="98">
        <f t="shared" ca="1" si="362"/>
        <v>4.0497461477008168</v>
      </c>
      <c r="AM2350" s="106">
        <f t="shared" ca="1" si="356"/>
        <v>31708.430767025111</v>
      </c>
      <c r="AN2350" s="10">
        <f t="shared" ca="1" si="357"/>
        <v>1.0055761756513792</v>
      </c>
      <c r="AO2350" s="158"/>
      <c r="AP2350" s="158"/>
      <c r="AQ2350" s="1"/>
      <c r="AR2350" s="1"/>
      <c r="AS2350" s="1"/>
      <c r="AT2350" s="1"/>
      <c r="AU2350" s="1"/>
    </row>
    <row r="2351" spans="34:47">
      <c r="AH2351" s="6">
        <f t="shared" si="358"/>
        <v>2321</v>
      </c>
      <c r="AI2351" s="7">
        <f t="shared" ca="1" si="359"/>
        <v>44991</v>
      </c>
      <c r="AJ2351" s="210">
        <f t="shared" ca="1" si="360"/>
        <v>4.1749999999999998</v>
      </c>
      <c r="AK2351" s="8">
        <f t="shared" ca="1" si="361"/>
        <v>1.0001159722222221</v>
      </c>
      <c r="AL2351" s="98">
        <f t="shared" ca="1" si="362"/>
        <v>4.0498639817345694</v>
      </c>
      <c r="AM2351" s="106">
        <f t="shared" ca="1" si="356"/>
        <v>31711.043588306569</v>
      </c>
      <c r="AN2351" s="10">
        <f t="shared" ca="1" si="357"/>
        <v>1.0056739422472871</v>
      </c>
      <c r="AO2351" s="158"/>
      <c r="AP2351" s="158"/>
      <c r="AQ2351" s="1"/>
      <c r="AR2351" s="1"/>
      <c r="AS2351" s="1"/>
      <c r="AT2351" s="1"/>
      <c r="AU2351" s="1"/>
    </row>
    <row r="2352" spans="34:47">
      <c r="AH2352" s="6">
        <f t="shared" si="358"/>
        <v>2322</v>
      </c>
      <c r="AI2352" s="7">
        <f t="shared" ca="1" si="359"/>
        <v>44992</v>
      </c>
      <c r="AJ2352" s="210">
        <f t="shared" ca="1" si="360"/>
        <v>4.1749999999999998</v>
      </c>
      <c r="AK2352" s="8">
        <f t="shared" ca="1" si="361"/>
        <v>1.0001159722222221</v>
      </c>
      <c r="AL2352" s="98">
        <f t="shared" ca="1" si="362"/>
        <v>4.0499817144080463</v>
      </c>
      <c r="AM2352" s="106">
        <f t="shared" ca="1" si="356"/>
        <v>31713.656624888343</v>
      </c>
      <c r="AN2352" s="10">
        <f t="shared" ca="1" si="357"/>
        <v>1.0057716247287907</v>
      </c>
      <c r="AO2352" s="158"/>
      <c r="AP2352" s="158"/>
      <c r="AQ2352" s="1"/>
      <c r="AR2352" s="1"/>
      <c r="AS2352" s="1"/>
      <c r="AT2352" s="1"/>
      <c r="AU2352" s="1"/>
    </row>
    <row r="2353" spans="34:47">
      <c r="AH2353" s="6">
        <f t="shared" si="358"/>
        <v>2323</v>
      </c>
      <c r="AI2353" s="7">
        <f t="shared" ca="1" si="359"/>
        <v>44993</v>
      </c>
      <c r="AJ2353" s="210">
        <f t="shared" ca="1" si="360"/>
        <v>4.1749999999999998</v>
      </c>
      <c r="AK2353" s="8">
        <f t="shared" ca="1" si="361"/>
        <v>1.0001159722222221</v>
      </c>
      <c r="AL2353" s="98">
        <f t="shared" ca="1" si="362"/>
        <v>4.050099345851943</v>
      </c>
      <c r="AM2353" s="106">
        <f t="shared" ca="1" si="356"/>
        <v>31716.269876788159</v>
      </c>
      <c r="AN2353" s="10">
        <f t="shared" ca="1" si="357"/>
        <v>1.0058692232043365</v>
      </c>
      <c r="AO2353" s="158"/>
      <c r="AP2353" s="158"/>
      <c r="AQ2353" s="1"/>
      <c r="AR2353" s="1"/>
      <c r="AS2353" s="1"/>
      <c r="AT2353" s="1"/>
      <c r="AU2353" s="1"/>
    </row>
    <row r="2354" spans="34:47">
      <c r="AH2354" s="6">
        <f t="shared" si="358"/>
        <v>2324</v>
      </c>
      <c r="AI2354" s="7">
        <f t="shared" ca="1" si="359"/>
        <v>44994</v>
      </c>
      <c r="AJ2354" s="210">
        <f t="shared" ca="1" si="360"/>
        <v>4.1749999999999998</v>
      </c>
      <c r="AK2354" s="8">
        <f t="shared" ca="1" si="361"/>
        <v>1.0001159722222221</v>
      </c>
      <c r="AL2354" s="98">
        <f t="shared" ca="1" si="362"/>
        <v>4.0502168761967772</v>
      </c>
      <c r="AM2354" s="106">
        <f t="shared" ca="1" si="356"/>
        <v>31718.883344023783</v>
      </c>
      <c r="AN2354" s="10">
        <f t="shared" ca="1" si="357"/>
        <v>1.0059667377822601</v>
      </c>
      <c r="AO2354" s="158"/>
      <c r="AP2354" s="158"/>
      <c r="AQ2354" s="1"/>
      <c r="AR2354" s="1"/>
      <c r="AS2354" s="1"/>
      <c r="AT2354" s="1"/>
      <c r="AU2354" s="1"/>
    </row>
    <row r="2355" spans="34:47">
      <c r="AH2355" s="6">
        <f t="shared" si="358"/>
        <v>2325</v>
      </c>
      <c r="AI2355" s="7">
        <f t="shared" ca="1" si="359"/>
        <v>44995</v>
      </c>
      <c r="AJ2355" s="210">
        <f t="shared" ca="1" si="360"/>
        <v>4.1749999999999998</v>
      </c>
      <c r="AK2355" s="8">
        <f t="shared" ca="1" si="361"/>
        <v>1.0001159722222221</v>
      </c>
      <c r="AL2355" s="98">
        <f t="shared" ca="1" si="362"/>
        <v>4.0503343055728225</v>
      </c>
      <c r="AM2355" s="106">
        <f t="shared" ca="1" si="356"/>
        <v>31721.497026612942</v>
      </c>
      <c r="AN2355" s="10">
        <f t="shared" ca="1" si="357"/>
        <v>1.0060641685706972</v>
      </c>
      <c r="AO2355" s="158"/>
      <c r="AP2355" s="158"/>
      <c r="AQ2355" s="1"/>
      <c r="AR2355" s="1"/>
      <c r="AS2355" s="1"/>
      <c r="AT2355" s="1"/>
      <c r="AU2355" s="1"/>
    </row>
    <row r="2356" spans="34:47">
      <c r="AH2356" s="6">
        <f t="shared" si="358"/>
        <v>2326</v>
      </c>
      <c r="AI2356" s="7">
        <f t="shared" ca="1" si="359"/>
        <v>44996</v>
      </c>
      <c r="AJ2356" s="210">
        <f t="shared" ca="1" si="360"/>
        <v>4.1749999999999998</v>
      </c>
      <c r="AK2356" s="8">
        <f t="shared" ca="1" si="361"/>
        <v>1.0001159722222221</v>
      </c>
      <c r="AL2356" s="98">
        <f t="shared" ca="1" si="362"/>
        <v>4.0504516341101304</v>
      </c>
      <c r="AM2356" s="106">
        <f t="shared" ca="1" si="356"/>
        <v>31724.110924573382</v>
      </c>
      <c r="AN2356" s="10">
        <f t="shared" ca="1" si="357"/>
        <v>1.0061615156775838</v>
      </c>
      <c r="AO2356" s="158"/>
      <c r="AP2356" s="158"/>
      <c r="AQ2356" s="1"/>
      <c r="AR2356" s="1"/>
      <c r="AS2356" s="1"/>
      <c r="AT2356" s="1"/>
      <c r="AU2356" s="1"/>
    </row>
    <row r="2357" spans="34:47">
      <c r="AH2357" s="6">
        <f t="shared" si="358"/>
        <v>2327</v>
      </c>
      <c r="AI2357" s="7">
        <f t="shared" ca="1" si="359"/>
        <v>44997</v>
      </c>
      <c r="AJ2357" s="210">
        <f t="shared" ca="1" si="360"/>
        <v>4.1749999999999998</v>
      </c>
      <c r="AK2357" s="8">
        <f t="shared" ca="1" si="361"/>
        <v>1.0001159722222221</v>
      </c>
      <c r="AL2357" s="98">
        <f t="shared" ca="1" si="362"/>
        <v>4.0505688619385527</v>
      </c>
      <c r="AM2357" s="106">
        <f t="shared" ca="1" si="356"/>
        <v>31726.725037922864</v>
      </c>
      <c r="AN2357" s="10">
        <f t="shared" ca="1" si="357"/>
        <v>1.0062587792107225</v>
      </c>
      <c r="AO2357" s="158"/>
      <c r="AP2357" s="158"/>
      <c r="AQ2357" s="1"/>
      <c r="AR2357" s="1"/>
      <c r="AS2357" s="1"/>
      <c r="AT2357" s="1"/>
      <c r="AU2357" s="1"/>
    </row>
    <row r="2358" spans="34:47">
      <c r="AH2358" s="6">
        <f t="shared" si="358"/>
        <v>2328</v>
      </c>
      <c r="AI2358" s="7">
        <f t="shared" ca="1" si="359"/>
        <v>44998</v>
      </c>
      <c r="AJ2358" s="210">
        <f t="shared" ca="1" si="360"/>
        <v>4.1749999999999998</v>
      </c>
      <c r="AK2358" s="8">
        <f t="shared" ca="1" si="361"/>
        <v>1.0001159722222221</v>
      </c>
      <c r="AL2358" s="98">
        <f t="shared" ca="1" si="362"/>
        <v>4.0506859891876745</v>
      </c>
      <c r="AM2358" s="106">
        <f t="shared" ca="1" si="356"/>
        <v>31729.33936667912</v>
      </c>
      <c r="AN2358" s="10">
        <f t="shared" ca="1" si="357"/>
        <v>1.0063559592776494</v>
      </c>
      <c r="AO2358" s="158"/>
      <c r="AP2358" s="158"/>
      <c r="AQ2358" s="1"/>
      <c r="AR2358" s="1"/>
      <c r="AS2358" s="1"/>
      <c r="AT2358" s="1"/>
      <c r="AU2358" s="1"/>
    </row>
    <row r="2359" spans="34:47">
      <c r="AH2359" s="6">
        <f t="shared" si="358"/>
        <v>2329</v>
      </c>
      <c r="AI2359" s="7">
        <f t="shared" ca="1" si="359"/>
        <v>44999</v>
      </c>
      <c r="AJ2359" s="210">
        <f t="shared" ca="1" si="360"/>
        <v>4.1749999999999998</v>
      </c>
      <c r="AK2359" s="8">
        <f t="shared" ca="1" si="361"/>
        <v>1.0001159722222221</v>
      </c>
      <c r="AL2359" s="98">
        <f t="shared" ca="1" si="362"/>
        <v>4.0508030159869035</v>
      </c>
      <c r="AM2359" s="106">
        <f t="shared" ca="1" si="356"/>
        <v>31731.953910859906</v>
      </c>
      <c r="AN2359" s="10">
        <f t="shared" ca="1" si="357"/>
        <v>1.0064530559857676</v>
      </c>
      <c r="AO2359" s="158"/>
      <c r="AP2359" s="158"/>
      <c r="AQ2359" s="1"/>
      <c r="AR2359" s="1"/>
      <c r="AS2359" s="1"/>
      <c r="AT2359" s="1"/>
      <c r="AU2359" s="1"/>
    </row>
    <row r="2360" spans="34:47">
      <c r="AH2360" s="6">
        <f t="shared" si="358"/>
        <v>2330</v>
      </c>
      <c r="AI2360" s="7">
        <f t="shared" ca="1" si="359"/>
        <v>45000</v>
      </c>
      <c r="AJ2360" s="210">
        <f t="shared" ca="1" si="360"/>
        <v>4.1749999999999998</v>
      </c>
      <c r="AK2360" s="8">
        <f t="shared" ca="1" si="361"/>
        <v>1.0001159722222221</v>
      </c>
      <c r="AL2360" s="98">
        <f t="shared" ca="1" si="362"/>
        <v>4.050919942465403</v>
      </c>
      <c r="AM2360" s="106">
        <f t="shared" ca="1" si="356"/>
        <v>31734.568670482975</v>
      </c>
      <c r="AN2360" s="10">
        <f t="shared" ca="1" si="357"/>
        <v>1.0065500694423024</v>
      </c>
      <c r="AO2360" s="158"/>
      <c r="AP2360" s="158"/>
      <c r="AQ2360" s="1"/>
      <c r="AR2360" s="1"/>
      <c r="AS2360" s="1"/>
      <c r="AT2360" s="1"/>
      <c r="AU2360" s="1"/>
    </row>
    <row r="2361" spans="34:47">
      <c r="AH2361" s="6">
        <f t="shared" si="358"/>
        <v>2331</v>
      </c>
      <c r="AI2361" s="7">
        <f t="shared" ca="1" si="359"/>
        <v>45001</v>
      </c>
      <c r="AJ2361" s="210">
        <f t="shared" ca="1" si="360"/>
        <v>4.1749999999999998</v>
      </c>
      <c r="AK2361" s="8">
        <f t="shared" ca="1" si="361"/>
        <v>1.0001159722222221</v>
      </c>
      <c r="AL2361" s="98">
        <f t="shared" ca="1" si="362"/>
        <v>4.0510367687520921</v>
      </c>
      <c r="AM2361" s="106">
        <f t="shared" ca="1" si="356"/>
        <v>31737.183645566078</v>
      </c>
      <c r="AN2361" s="10">
        <f t="shared" ca="1" si="357"/>
        <v>1.0066469997542571</v>
      </c>
      <c r="AO2361" s="158"/>
      <c r="AP2361" s="158"/>
      <c r="AQ2361" s="1"/>
      <c r="AR2361" s="1"/>
      <c r="AS2361" s="1"/>
      <c r="AT2361" s="1"/>
      <c r="AU2361" s="1"/>
    </row>
    <row r="2362" spans="34:47">
      <c r="AH2362" s="6">
        <f t="shared" si="358"/>
        <v>2332</v>
      </c>
      <c r="AI2362" s="7">
        <f t="shared" ca="1" si="359"/>
        <v>45002</v>
      </c>
      <c r="AJ2362" s="210">
        <f t="shared" ca="1" si="360"/>
        <v>4.1749999999999998</v>
      </c>
      <c r="AK2362" s="8">
        <f t="shared" ca="1" si="361"/>
        <v>1.0001159722222221</v>
      </c>
      <c r="AL2362" s="98">
        <f t="shared" ca="1" si="362"/>
        <v>4.0511534949757122</v>
      </c>
      <c r="AM2362" s="106">
        <f t="shared" ca="1" si="356"/>
        <v>31739.798836126974</v>
      </c>
      <c r="AN2362" s="10">
        <f t="shared" ca="1" si="357"/>
        <v>1.0067438470284795</v>
      </c>
      <c r="AO2362" s="158"/>
      <c r="AP2362" s="158"/>
      <c r="AQ2362" s="1"/>
      <c r="AR2362" s="1"/>
      <c r="AS2362" s="1"/>
      <c r="AT2362" s="1"/>
      <c r="AU2362" s="1"/>
    </row>
    <row r="2363" spans="34:47">
      <c r="AH2363" s="6">
        <f t="shared" si="358"/>
        <v>2333</v>
      </c>
      <c r="AI2363" s="7">
        <f t="shared" ca="1" si="359"/>
        <v>45003</v>
      </c>
      <c r="AJ2363" s="210">
        <f t="shared" ca="1" si="360"/>
        <v>4.1749999999999998</v>
      </c>
      <c r="AK2363" s="8">
        <f t="shared" ca="1" si="361"/>
        <v>1.0001159722222221</v>
      </c>
      <c r="AL2363" s="98">
        <f t="shared" ca="1" si="362"/>
        <v>4.0512701212647828</v>
      </c>
      <c r="AM2363" s="106">
        <f t="shared" ca="1" si="356"/>
        <v>31742.414242183411</v>
      </c>
      <c r="AN2363" s="10">
        <f t="shared" ca="1" si="357"/>
        <v>1.0068406113716399</v>
      </c>
      <c r="AO2363" s="158"/>
      <c r="AP2363" s="158"/>
      <c r="AQ2363" s="1"/>
      <c r="AR2363" s="1"/>
      <c r="AS2363" s="1"/>
      <c r="AT2363" s="1"/>
      <c r="AU2363" s="1"/>
    </row>
    <row r="2364" spans="34:47">
      <c r="AH2364" s="6">
        <f t="shared" si="358"/>
        <v>2334</v>
      </c>
      <c r="AI2364" s="7">
        <f t="shared" ca="1" si="359"/>
        <v>45004</v>
      </c>
      <c r="AJ2364" s="210">
        <f t="shared" ca="1" si="360"/>
        <v>4.1749999999999998</v>
      </c>
      <c r="AK2364" s="8">
        <f t="shared" ca="1" si="361"/>
        <v>1.0001159722222221</v>
      </c>
      <c r="AL2364" s="98">
        <f t="shared" ca="1" si="362"/>
        <v>4.0513866477475569</v>
      </c>
      <c r="AM2364" s="106">
        <f t="shared" ca="1" si="356"/>
        <v>31745.029863753152</v>
      </c>
      <c r="AN2364" s="10">
        <f t="shared" ca="1" si="357"/>
        <v>1.0069372928902087</v>
      </c>
      <c r="AO2364" s="158"/>
      <c r="AP2364" s="158"/>
      <c r="AQ2364" s="1"/>
      <c r="AR2364" s="1"/>
      <c r="AS2364" s="1"/>
      <c r="AT2364" s="1"/>
      <c r="AU2364" s="1"/>
    </row>
    <row r="2365" spans="34:47">
      <c r="AH2365" s="6">
        <f t="shared" si="358"/>
        <v>2335</v>
      </c>
      <c r="AI2365" s="7">
        <f t="shared" ca="1" si="359"/>
        <v>45005</v>
      </c>
      <c r="AJ2365" s="210">
        <f t="shared" ca="1" si="360"/>
        <v>4.1749999999999998</v>
      </c>
      <c r="AK2365" s="8">
        <f t="shared" ca="1" si="361"/>
        <v>1.0001159722222221</v>
      </c>
      <c r="AL2365" s="98">
        <f t="shared" ca="1" si="362"/>
        <v>4.0515030745521097</v>
      </c>
      <c r="AM2365" s="106">
        <f t="shared" ca="1" si="356"/>
        <v>31747.645700853947</v>
      </c>
      <c r="AN2365" s="10">
        <f t="shared" ca="1" si="357"/>
        <v>1.0070338916904564</v>
      </c>
      <c r="AO2365" s="158"/>
      <c r="AP2365" s="158"/>
      <c r="AQ2365" s="1"/>
      <c r="AR2365" s="1"/>
      <c r="AS2365" s="1"/>
      <c r="AT2365" s="1"/>
      <c r="AU2365" s="1"/>
    </row>
    <row r="2366" spans="34:47">
      <c r="AH2366" s="6">
        <f t="shared" si="358"/>
        <v>2336</v>
      </c>
      <c r="AI2366" s="7">
        <f t="shared" ca="1" si="359"/>
        <v>45006</v>
      </c>
      <c r="AJ2366" s="210">
        <f t="shared" ca="1" si="360"/>
        <v>4.1749999999999998</v>
      </c>
      <c r="AK2366" s="8">
        <f t="shared" ca="1" si="361"/>
        <v>1.0001159722222221</v>
      </c>
      <c r="AL2366" s="98">
        <f t="shared" ca="1" si="362"/>
        <v>4.0516194018062945</v>
      </c>
      <c r="AM2366" s="106">
        <f t="shared" ca="1" si="356"/>
        <v>31750.261753503572</v>
      </c>
      <c r="AN2366" s="10">
        <f t="shared" ca="1" si="357"/>
        <v>1.0071304078785426</v>
      </c>
      <c r="AO2366" s="158"/>
      <c r="AP2366" s="158"/>
      <c r="AQ2366" s="1"/>
      <c r="AR2366" s="1"/>
      <c r="AS2366" s="1"/>
      <c r="AT2366" s="1"/>
      <c r="AU2366" s="1"/>
    </row>
    <row r="2367" spans="34:47">
      <c r="AH2367" s="6">
        <f t="shared" si="358"/>
        <v>2337</v>
      </c>
      <c r="AI2367" s="7">
        <f t="shared" ca="1" si="359"/>
        <v>45007</v>
      </c>
      <c r="AJ2367" s="210">
        <f t="shared" ca="1" si="360"/>
        <v>4.1749999999999998</v>
      </c>
      <c r="AK2367" s="8">
        <f t="shared" ca="1" si="361"/>
        <v>1.0001159722222221</v>
      </c>
      <c r="AL2367" s="98">
        <f t="shared" ca="1" si="362"/>
        <v>4.0517356296377205</v>
      </c>
      <c r="AM2367" s="106">
        <f t="shared" ca="1" si="356"/>
        <v>31752.878021719767</v>
      </c>
      <c r="AN2367" s="10">
        <f t="shared" ca="1" si="357"/>
        <v>1.0072268415603602</v>
      </c>
      <c r="AO2367" s="158"/>
      <c r="AP2367" s="158"/>
      <c r="AQ2367" s="1"/>
      <c r="AR2367" s="1"/>
      <c r="AS2367" s="1"/>
      <c r="AT2367" s="1"/>
      <c r="AU2367" s="1"/>
    </row>
    <row r="2368" spans="34:47">
      <c r="AH2368" s="6">
        <f t="shared" si="358"/>
        <v>2338</v>
      </c>
      <c r="AI2368" s="7">
        <f t="shared" ca="1" si="359"/>
        <v>45008</v>
      </c>
      <c r="AJ2368" s="210">
        <f t="shared" ca="1" si="360"/>
        <v>4.1749999999999998</v>
      </c>
      <c r="AK2368" s="8">
        <f t="shared" ca="1" si="361"/>
        <v>1.0001159722222221</v>
      </c>
      <c r="AL2368" s="98">
        <f t="shared" ca="1" si="362"/>
        <v>4.0518517581737967</v>
      </c>
      <c r="AM2368" s="106">
        <f t="shared" ca="1" si="356"/>
        <v>31755.494505520317</v>
      </c>
      <c r="AN2368" s="10">
        <f t="shared" ca="1" si="357"/>
        <v>1.0073231928416693</v>
      </c>
      <c r="AO2368" s="158"/>
      <c r="AP2368" s="158"/>
      <c r="AQ2368" s="1"/>
      <c r="AR2368" s="1"/>
      <c r="AS2368" s="1"/>
      <c r="AT2368" s="1"/>
      <c r="AU2368" s="1"/>
    </row>
    <row r="2369" spans="34:47">
      <c r="AH2369" s="6">
        <f t="shared" si="358"/>
        <v>2339</v>
      </c>
      <c r="AI2369" s="7">
        <f t="shared" ca="1" si="359"/>
        <v>45009</v>
      </c>
      <c r="AJ2369" s="210">
        <f t="shared" ca="1" si="360"/>
        <v>4.1749999999999998</v>
      </c>
      <c r="AK2369" s="8">
        <f t="shared" ca="1" si="361"/>
        <v>1.0001159722222221</v>
      </c>
      <c r="AL2369" s="98">
        <f t="shared" ca="1" si="362"/>
        <v>4.0519677875417326</v>
      </c>
      <c r="AM2369" s="106">
        <f t="shared" ca="1" si="356"/>
        <v>31758.111204922971</v>
      </c>
      <c r="AN2369" s="10">
        <f t="shared" ca="1" si="357"/>
        <v>1.0074194618280519</v>
      </c>
      <c r="AO2369" s="158"/>
      <c r="AP2369" s="158"/>
      <c r="AQ2369" s="1"/>
      <c r="AR2369" s="1"/>
      <c r="AS2369" s="1"/>
      <c r="AT2369" s="1"/>
      <c r="AU2369" s="1"/>
    </row>
    <row r="2370" spans="34:47">
      <c r="AH2370" s="6">
        <f t="shared" si="358"/>
        <v>2340</v>
      </c>
      <c r="AI2370" s="7">
        <f t="shared" ca="1" si="359"/>
        <v>45010</v>
      </c>
      <c r="AJ2370" s="210">
        <f t="shared" ca="1" si="360"/>
        <v>4.1749999999999998</v>
      </c>
      <c r="AK2370" s="8">
        <f t="shared" ca="1" si="361"/>
        <v>1.0001159722222221</v>
      </c>
      <c r="AL2370" s="98">
        <f t="shared" ca="1" si="362"/>
        <v>4.0520837178684932</v>
      </c>
      <c r="AM2370" s="106">
        <f t="shared" ca="1" si="356"/>
        <v>31760.728119945499</v>
      </c>
      <c r="AN2370" s="10">
        <f t="shared" ca="1" si="357"/>
        <v>1.0075156486248904</v>
      </c>
      <c r="AO2370" s="158"/>
      <c r="AP2370" s="158"/>
      <c r="AQ2370" s="1"/>
      <c r="AR2370" s="1"/>
      <c r="AS2370" s="1"/>
      <c r="AT2370" s="1"/>
      <c r="AU2370" s="1"/>
    </row>
    <row r="2371" spans="34:47">
      <c r="AH2371" s="6">
        <f t="shared" si="358"/>
        <v>2341</v>
      </c>
      <c r="AI2371" s="7">
        <f t="shared" ca="1" si="359"/>
        <v>45011</v>
      </c>
      <c r="AJ2371" s="210">
        <f t="shared" ca="1" si="360"/>
        <v>4.1749999999999998</v>
      </c>
      <c r="AK2371" s="8">
        <f t="shared" ca="1" si="361"/>
        <v>1.0001159722222221</v>
      </c>
      <c r="AL2371" s="98">
        <f t="shared" ca="1" si="362"/>
        <v>4.0521995492808216</v>
      </c>
      <c r="AM2371" s="106">
        <f t="shared" ca="1" si="356"/>
        <v>31763.345250605678</v>
      </c>
      <c r="AN2371" s="10">
        <f t="shared" ca="1" si="357"/>
        <v>1.0076117533373674</v>
      </c>
      <c r="AO2371" s="158"/>
      <c r="AP2371" s="158"/>
      <c r="AQ2371" s="1"/>
      <c r="AR2371" s="1"/>
      <c r="AS2371" s="1"/>
      <c r="AT2371" s="1"/>
      <c r="AU2371" s="1"/>
    </row>
    <row r="2372" spans="34:47">
      <c r="AH2372" s="6">
        <f t="shared" si="358"/>
        <v>2342</v>
      </c>
      <c r="AI2372" s="7">
        <f t="shared" ca="1" si="359"/>
        <v>45012</v>
      </c>
      <c r="AJ2372" s="210">
        <f t="shared" ca="1" si="360"/>
        <v>4.1749999999999998</v>
      </c>
      <c r="AK2372" s="8">
        <f t="shared" ca="1" si="361"/>
        <v>1.0001159722222221</v>
      </c>
      <c r="AL2372" s="98">
        <f t="shared" ca="1" si="362"/>
        <v>4.052315281905261</v>
      </c>
      <c r="AM2372" s="106">
        <f t="shared" ca="1" si="356"/>
        <v>31765.962596921261</v>
      </c>
      <c r="AN2372" s="10">
        <f t="shared" ca="1" si="357"/>
        <v>1.0077077760705322</v>
      </c>
      <c r="AO2372" s="158"/>
      <c r="AP2372" s="158"/>
      <c r="AQ2372" s="1"/>
      <c r="AR2372" s="1"/>
      <c r="AS2372" s="1"/>
      <c r="AT2372" s="1"/>
      <c r="AU2372" s="1"/>
    </row>
    <row r="2373" spans="34:47">
      <c r="AH2373" s="6">
        <f t="shared" si="358"/>
        <v>2343</v>
      </c>
      <c r="AI2373" s="7">
        <f t="shared" ca="1" si="359"/>
        <v>45013</v>
      </c>
      <c r="AJ2373" s="210">
        <f t="shared" ca="1" si="360"/>
        <v>4.1749999999999998</v>
      </c>
      <c r="AK2373" s="8">
        <f t="shared" ca="1" si="361"/>
        <v>1.0001159722222221</v>
      </c>
      <c r="AL2373" s="98">
        <f t="shared" ca="1" si="362"/>
        <v>4.0524309158681548</v>
      </c>
      <c r="AM2373" s="106">
        <f t="shared" ca="1" si="356"/>
        <v>31768.580158910027</v>
      </c>
      <c r="AN2373" s="10">
        <f t="shared" ca="1" si="357"/>
        <v>1.0078037169292564</v>
      </c>
      <c r="AO2373" s="158"/>
      <c r="AP2373" s="158"/>
      <c r="AQ2373" s="1"/>
      <c r="AR2373" s="1"/>
      <c r="AS2373" s="1"/>
      <c r="AT2373" s="1"/>
      <c r="AU2373" s="1"/>
    </row>
    <row r="2374" spans="34:47">
      <c r="AH2374" s="6">
        <f t="shared" si="358"/>
        <v>2344</v>
      </c>
      <c r="AI2374" s="7">
        <f t="shared" ca="1" si="359"/>
        <v>45014</v>
      </c>
      <c r="AJ2374" s="210">
        <f t="shared" ca="1" si="360"/>
        <v>4.1749999999999998</v>
      </c>
      <c r="AK2374" s="8">
        <f t="shared" ca="1" si="361"/>
        <v>1.0001159722222221</v>
      </c>
      <c r="AL2374" s="98">
        <f t="shared" ca="1" si="362"/>
        <v>4.0525464512956022</v>
      </c>
      <c r="AM2374" s="106">
        <f t="shared" ca="1" si="356"/>
        <v>31771.197936589746</v>
      </c>
      <c r="AN2374" s="10">
        <f t="shared" ca="1" si="357"/>
        <v>1.0078995760181897</v>
      </c>
      <c r="AO2374" s="158"/>
      <c r="AP2374" s="158"/>
      <c r="AQ2374" s="1"/>
      <c r="AR2374" s="1"/>
      <c r="AS2374" s="1"/>
      <c r="AT2374" s="1"/>
      <c r="AU2374" s="1"/>
    </row>
    <row r="2375" spans="34:47">
      <c r="AH2375" s="6">
        <f t="shared" si="358"/>
        <v>2345</v>
      </c>
      <c r="AI2375" s="7">
        <f t="shared" ca="1" si="359"/>
        <v>45015</v>
      </c>
      <c r="AJ2375" s="210">
        <f t="shared" ca="1" si="360"/>
        <v>4.1749999999999998</v>
      </c>
      <c r="AK2375" s="8">
        <f t="shared" ca="1" si="361"/>
        <v>1.0001159722222221</v>
      </c>
      <c r="AL2375" s="98">
        <f t="shared" ca="1" si="362"/>
        <v>4.0526618883134802</v>
      </c>
      <c r="AM2375" s="106">
        <f t="shared" ca="1" si="356"/>
        <v>31773.815929978195</v>
      </c>
      <c r="AN2375" s="10">
        <f t="shared" ca="1" si="357"/>
        <v>1.0079953534418262</v>
      </c>
      <c r="AO2375" s="158"/>
      <c r="AP2375" s="158"/>
      <c r="AQ2375" s="1"/>
      <c r="AR2375" s="1"/>
      <c r="AS2375" s="1"/>
      <c r="AT2375" s="1"/>
      <c r="AU2375" s="1"/>
    </row>
    <row r="2376" spans="34:47">
      <c r="AH2376" s="6">
        <f t="shared" si="358"/>
        <v>2346</v>
      </c>
      <c r="AI2376" s="7">
        <f t="shared" ca="1" si="359"/>
        <v>45016</v>
      </c>
      <c r="AJ2376" s="210">
        <f t="shared" ca="1" si="360"/>
        <v>4.1749999999999998</v>
      </c>
      <c r="AK2376" s="8">
        <f t="shared" ca="1" si="361"/>
        <v>1.0001159722222221</v>
      </c>
      <c r="AL2376" s="98">
        <f t="shared" ca="1" si="362"/>
        <v>4.0527772270474882</v>
      </c>
      <c r="AM2376" s="106">
        <f t="shared" ca="1" si="356"/>
        <v>31776.43413909314</v>
      </c>
      <c r="AN2376" s="10">
        <f t="shared" ca="1" si="357"/>
        <v>1.0080910493044604</v>
      </c>
      <c r="AO2376" s="158"/>
      <c r="AP2376" s="158"/>
      <c r="AQ2376" s="1"/>
      <c r="AR2376" s="1"/>
      <c r="AS2376" s="1"/>
      <c r="AT2376" s="1"/>
      <c r="AU2376" s="1"/>
    </row>
    <row r="2377" spans="34:47">
      <c r="AH2377" s="6">
        <f t="shared" si="358"/>
        <v>2347</v>
      </c>
      <c r="AI2377" s="7">
        <f t="shared" ca="1" si="359"/>
        <v>45017</v>
      </c>
      <c r="AJ2377" s="210">
        <f t="shared" ca="1" si="360"/>
        <v>4.1749999999999998</v>
      </c>
      <c r="AK2377" s="8">
        <f t="shared" ca="1" si="361"/>
        <v>1.0001159722222221</v>
      </c>
      <c r="AL2377" s="98">
        <f t="shared" ca="1" si="362"/>
        <v>4.0528924676230815</v>
      </c>
      <c r="AM2377" s="106">
        <f t="shared" ca="1" si="356"/>
        <v>31779.052563952373</v>
      </c>
      <c r="AN2377" s="10">
        <f t="shared" ca="1" si="357"/>
        <v>1.0081866637102754</v>
      </c>
      <c r="AO2377" s="158"/>
      <c r="AP2377" s="158"/>
      <c r="AQ2377" s="1"/>
      <c r="AR2377" s="1"/>
      <c r="AS2377" s="1"/>
      <c r="AT2377" s="1"/>
      <c r="AU2377" s="1"/>
    </row>
    <row r="2378" spans="34:47">
      <c r="AH2378" s="6">
        <f t="shared" si="358"/>
        <v>2348</v>
      </c>
      <c r="AI2378" s="7">
        <f t="shared" ca="1" si="359"/>
        <v>45018</v>
      </c>
      <c r="AJ2378" s="210">
        <f t="shared" ca="1" si="360"/>
        <v>4.1749999999999998</v>
      </c>
      <c r="AK2378" s="8">
        <f t="shared" ca="1" si="361"/>
        <v>1.0001159722222221</v>
      </c>
      <c r="AL2378" s="98">
        <f t="shared" ca="1" si="362"/>
        <v>4.0530076101655155</v>
      </c>
      <c r="AM2378" s="106">
        <f t="shared" ca="1" si="356"/>
        <v>31781.671204573653</v>
      </c>
      <c r="AN2378" s="10">
        <f t="shared" ca="1" si="357"/>
        <v>1.0082821967631883</v>
      </c>
      <c r="AO2378" s="158"/>
      <c r="AP2378" s="158"/>
      <c r="AQ2378" s="1"/>
      <c r="AR2378" s="1"/>
      <c r="AS2378" s="1"/>
      <c r="AT2378" s="1"/>
      <c r="AU2378" s="1"/>
    </row>
    <row r="2379" spans="34:47">
      <c r="AH2379" s="6">
        <f t="shared" si="358"/>
        <v>2349</v>
      </c>
      <c r="AI2379" s="7">
        <f t="shared" ca="1" si="359"/>
        <v>45019</v>
      </c>
      <c r="AJ2379" s="210">
        <f t="shared" ca="1" si="360"/>
        <v>4.1749999999999998</v>
      </c>
      <c r="AK2379" s="8">
        <f t="shared" ca="1" si="361"/>
        <v>1.0001159722222221</v>
      </c>
      <c r="AL2379" s="98">
        <f t="shared" ca="1" si="362"/>
        <v>4.0531226547998234</v>
      </c>
      <c r="AM2379" s="106">
        <f t="shared" ca="1" si="356"/>
        <v>31784.29006097477</v>
      </c>
      <c r="AN2379" s="10">
        <f t="shared" ca="1" si="357"/>
        <v>1.0083776485670048</v>
      </c>
      <c r="AO2379" s="158"/>
      <c r="AP2379" s="158"/>
      <c r="AQ2379" s="1"/>
      <c r="AR2379" s="1"/>
      <c r="AS2379" s="1"/>
      <c r="AT2379" s="1"/>
      <c r="AU2379" s="1"/>
    </row>
    <row r="2380" spans="34:47">
      <c r="AH2380" s="6">
        <f t="shared" si="358"/>
        <v>2350</v>
      </c>
      <c r="AI2380" s="7">
        <f t="shared" ca="1" si="359"/>
        <v>45020</v>
      </c>
      <c r="AJ2380" s="210">
        <f t="shared" ca="1" si="360"/>
        <v>4.1749999999999998</v>
      </c>
      <c r="AK2380" s="8">
        <f t="shared" ca="1" si="361"/>
        <v>1.0001159722222221</v>
      </c>
      <c r="AL2380" s="98">
        <f t="shared" ca="1" si="362"/>
        <v>4.0532376016508387</v>
      </c>
      <c r="AM2380" s="106">
        <f t="shared" ca="1" si="356"/>
        <v>31786.9091331735</v>
      </c>
      <c r="AN2380" s="10">
        <f t="shared" ca="1" si="357"/>
        <v>1.0084730192253311</v>
      </c>
      <c r="AO2380" s="158"/>
      <c r="AP2380" s="158"/>
      <c r="AQ2380" s="1"/>
      <c r="AR2380" s="1"/>
      <c r="AS2380" s="1"/>
      <c r="AT2380" s="1"/>
      <c r="AU2380" s="1"/>
    </row>
    <row r="2381" spans="34:47">
      <c r="AH2381" s="6">
        <f t="shared" si="358"/>
        <v>2351</v>
      </c>
      <c r="AI2381" s="7">
        <f t="shared" ca="1" si="359"/>
        <v>45021</v>
      </c>
      <c r="AJ2381" s="210">
        <f t="shared" ca="1" si="360"/>
        <v>4.1749999999999998</v>
      </c>
      <c r="AK2381" s="8">
        <f t="shared" ca="1" si="361"/>
        <v>1.0001159722222221</v>
      </c>
      <c r="AL2381" s="98">
        <f t="shared" ca="1" si="362"/>
        <v>4.0533524508431729</v>
      </c>
      <c r="AM2381" s="106">
        <f t="shared" ca="1" si="356"/>
        <v>31789.528421187628</v>
      </c>
      <c r="AN2381" s="10">
        <f t="shared" ca="1" si="357"/>
        <v>1.0085683088415731</v>
      </c>
      <c r="AO2381" s="158"/>
      <c r="AP2381" s="158"/>
      <c r="AQ2381" s="1"/>
      <c r="AR2381" s="1"/>
      <c r="AS2381" s="1"/>
      <c r="AT2381" s="1"/>
      <c r="AU2381" s="1"/>
    </row>
    <row r="2382" spans="34:47">
      <c r="AH2382" s="6">
        <f t="shared" si="358"/>
        <v>2352</v>
      </c>
      <c r="AI2382" s="7">
        <f t="shared" ca="1" si="359"/>
        <v>45022</v>
      </c>
      <c r="AJ2382" s="210">
        <f t="shared" ca="1" si="360"/>
        <v>4.1749999999999998</v>
      </c>
      <c r="AK2382" s="8">
        <f t="shared" ca="1" si="361"/>
        <v>1.0001159722222221</v>
      </c>
      <c r="AL2382" s="98">
        <f t="shared" ca="1" si="362"/>
        <v>4.0534672025012375</v>
      </c>
      <c r="AM2382" s="106">
        <f t="shared" ca="1" si="356"/>
        <v>31792.14792503494</v>
      </c>
      <c r="AN2382" s="10">
        <f t="shared" ca="1" si="357"/>
        <v>1.0086635175190484</v>
      </c>
      <c r="AO2382" s="158"/>
      <c r="AP2382" s="158"/>
      <c r="AQ2382" s="1"/>
      <c r="AR2382" s="1"/>
      <c r="AS2382" s="1"/>
      <c r="AT2382" s="1"/>
      <c r="AU2382" s="1"/>
    </row>
    <row r="2383" spans="34:47">
      <c r="AH2383" s="6">
        <f t="shared" si="358"/>
        <v>2353</v>
      </c>
      <c r="AI2383" s="7">
        <f t="shared" ca="1" si="359"/>
        <v>45023</v>
      </c>
      <c r="AJ2383" s="210">
        <f t="shared" ca="1" si="360"/>
        <v>4.1749999999999998</v>
      </c>
      <c r="AK2383" s="8">
        <f t="shared" ca="1" si="361"/>
        <v>1.0001159722222221</v>
      </c>
      <c r="AL2383" s="98">
        <f t="shared" ca="1" si="362"/>
        <v>4.0535818567492221</v>
      </c>
      <c r="AM2383" s="106">
        <f t="shared" ca="1" si="356"/>
        <v>31794.767644733216</v>
      </c>
      <c r="AN2383" s="10">
        <f t="shared" ca="1" si="357"/>
        <v>1.0087586453607855</v>
      </c>
      <c r="AO2383" s="158"/>
      <c r="AP2383" s="158"/>
      <c r="AQ2383" s="1"/>
      <c r="AR2383" s="1"/>
      <c r="AS2383" s="1"/>
      <c r="AT2383" s="1"/>
      <c r="AU2383" s="1"/>
    </row>
    <row r="2384" spans="34:47">
      <c r="AH2384" s="6">
        <f t="shared" si="358"/>
        <v>2354</v>
      </c>
      <c r="AI2384" s="7">
        <f t="shared" ca="1" si="359"/>
        <v>45024</v>
      </c>
      <c r="AJ2384" s="210">
        <f t="shared" ca="1" si="360"/>
        <v>4.1749999999999998</v>
      </c>
      <c r="AK2384" s="8">
        <f t="shared" ca="1" si="361"/>
        <v>1.0001159722222221</v>
      </c>
      <c r="AL2384" s="98">
        <f t="shared" ca="1" si="362"/>
        <v>4.0536964137111164</v>
      </c>
      <c r="AM2384" s="106">
        <f t="shared" ca="1" si="356"/>
        <v>31797.387580300245</v>
      </c>
      <c r="AN2384" s="10">
        <f t="shared" ca="1" si="357"/>
        <v>1.0088536924697022</v>
      </c>
      <c r="AO2384" s="158"/>
      <c r="AP2384" s="158"/>
      <c r="AQ2384" s="1"/>
      <c r="AR2384" s="1"/>
      <c r="AS2384" s="1"/>
      <c r="AT2384" s="1"/>
      <c r="AU2384" s="1"/>
    </row>
    <row r="2385" spans="34:47">
      <c r="AH2385" s="6">
        <f t="shared" si="358"/>
        <v>2355</v>
      </c>
      <c r="AI2385" s="7">
        <f t="shared" ca="1" si="359"/>
        <v>45025</v>
      </c>
      <c r="AJ2385" s="210">
        <f t="shared" ca="1" si="360"/>
        <v>4.1749999999999998</v>
      </c>
      <c r="AK2385" s="8">
        <f t="shared" ca="1" si="361"/>
        <v>1.0001159722222221</v>
      </c>
      <c r="AL2385" s="98">
        <f t="shared" ca="1" si="362"/>
        <v>4.0538108735106659</v>
      </c>
      <c r="AM2385" s="106">
        <f t="shared" ca="1" si="356"/>
        <v>31800.007731753805</v>
      </c>
      <c r="AN2385" s="10">
        <f t="shared" ca="1" si="357"/>
        <v>1.0089486589485164</v>
      </c>
      <c r="AO2385" s="158"/>
      <c r="AP2385" s="158"/>
      <c r="AQ2385" s="1"/>
      <c r="AR2385" s="1"/>
      <c r="AS2385" s="1"/>
      <c r="AT2385" s="1"/>
      <c r="AU2385" s="1"/>
    </row>
    <row r="2386" spans="34:47">
      <c r="AH2386" s="6">
        <f t="shared" si="358"/>
        <v>2356</v>
      </c>
      <c r="AI2386" s="7">
        <f t="shared" ca="1" si="359"/>
        <v>45026</v>
      </c>
      <c r="AJ2386" s="210">
        <f t="shared" ca="1" si="360"/>
        <v>4.1749999999999998</v>
      </c>
      <c r="AK2386" s="8">
        <f t="shared" ca="1" si="361"/>
        <v>1.0001159722222221</v>
      </c>
      <c r="AL2386" s="98">
        <f t="shared" ca="1" si="362"/>
        <v>4.0539252362714606</v>
      </c>
      <c r="AM2386" s="106">
        <f t="shared" ca="1" si="356"/>
        <v>31802.628099111702</v>
      </c>
      <c r="AN2386" s="10">
        <f t="shared" ca="1" si="357"/>
        <v>1.0090435448998347</v>
      </c>
      <c r="AO2386" s="158"/>
      <c r="AP2386" s="158"/>
      <c r="AQ2386" s="1"/>
      <c r="AR2386" s="1"/>
      <c r="AS2386" s="1"/>
      <c r="AT2386" s="1"/>
      <c r="AU2386" s="1"/>
    </row>
    <row r="2387" spans="34:47">
      <c r="AH2387" s="6">
        <f t="shared" si="358"/>
        <v>2357</v>
      </c>
      <c r="AI2387" s="7">
        <f t="shared" ca="1" si="359"/>
        <v>45027</v>
      </c>
      <c r="AJ2387" s="210">
        <f t="shared" ca="1" si="360"/>
        <v>4.1749999999999998</v>
      </c>
      <c r="AK2387" s="8">
        <f t="shared" ca="1" si="361"/>
        <v>1.0001159722222221</v>
      </c>
      <c r="AL2387" s="98">
        <f t="shared" ca="1" si="362"/>
        <v>4.0540395021168241</v>
      </c>
      <c r="AM2387" s="106">
        <f t="shared" ca="1" si="356"/>
        <v>31805.248682391721</v>
      </c>
      <c r="AN2387" s="10">
        <f t="shared" ca="1" si="357"/>
        <v>1.0091383504259532</v>
      </c>
      <c r="AO2387" s="158"/>
      <c r="AP2387" s="158"/>
      <c r="AQ2387" s="1"/>
      <c r="AR2387" s="1"/>
      <c r="AS2387" s="1"/>
      <c r="AT2387" s="1"/>
      <c r="AU2387" s="1"/>
    </row>
    <row r="2388" spans="34:47">
      <c r="AH2388" s="6">
        <f t="shared" si="358"/>
        <v>2358</v>
      </c>
      <c r="AI2388" s="7">
        <f t="shared" ca="1" si="359"/>
        <v>45028</v>
      </c>
      <c r="AJ2388" s="210">
        <f t="shared" ca="1" si="360"/>
        <v>4.1749999999999998</v>
      </c>
      <c r="AK2388" s="8">
        <f t="shared" ca="1" si="361"/>
        <v>1.0001159722222221</v>
      </c>
      <c r="AL2388" s="98">
        <f t="shared" ca="1" si="362"/>
        <v>4.0541536711699244</v>
      </c>
      <c r="AM2388" s="106">
        <f t="shared" ca="1" si="356"/>
        <v>31807.869481611651</v>
      </c>
      <c r="AN2388" s="10">
        <f t="shared" ca="1" si="357"/>
        <v>1.0092330756291679</v>
      </c>
      <c r="AO2388" s="158"/>
      <c r="AP2388" s="158"/>
      <c r="AQ2388" s="1"/>
      <c r="AR2388" s="1"/>
      <c r="AS2388" s="1"/>
      <c r="AT2388" s="1"/>
      <c r="AU2388" s="1"/>
    </row>
    <row r="2389" spans="34:47">
      <c r="AH2389" s="6">
        <f t="shared" si="358"/>
        <v>2359</v>
      </c>
      <c r="AI2389" s="7">
        <f t="shared" ca="1" si="359"/>
        <v>45029</v>
      </c>
      <c r="AJ2389" s="210">
        <f t="shared" ca="1" si="360"/>
        <v>4.1749999999999998</v>
      </c>
      <c r="AK2389" s="8">
        <f t="shared" ca="1" si="361"/>
        <v>1.0001159722222221</v>
      </c>
      <c r="AL2389" s="98">
        <f t="shared" ca="1" si="362"/>
        <v>4.0542677435536856</v>
      </c>
      <c r="AM2389" s="106">
        <f t="shared" ca="1" si="356"/>
        <v>31810.49049678928</v>
      </c>
      <c r="AN2389" s="10">
        <f t="shared" ca="1" si="357"/>
        <v>1.0093277206114859</v>
      </c>
      <c r="AO2389" s="158"/>
      <c r="AP2389" s="158"/>
      <c r="AQ2389" s="1"/>
      <c r="AR2389" s="1"/>
      <c r="AS2389" s="1"/>
      <c r="AT2389" s="1"/>
      <c r="AU2389" s="1"/>
    </row>
    <row r="2390" spans="34:47">
      <c r="AH2390" s="6">
        <f t="shared" si="358"/>
        <v>2360</v>
      </c>
      <c r="AI2390" s="7">
        <f t="shared" ca="1" si="359"/>
        <v>45030</v>
      </c>
      <c r="AJ2390" s="210">
        <f t="shared" ca="1" si="360"/>
        <v>4.1749999999999998</v>
      </c>
      <c r="AK2390" s="8">
        <f t="shared" ca="1" si="361"/>
        <v>1.0001159722222221</v>
      </c>
      <c r="AL2390" s="98">
        <f t="shared" ca="1" si="362"/>
        <v>4.0543817193908316</v>
      </c>
      <c r="AM2390" s="106">
        <f t="shared" ca="1" si="356"/>
        <v>31813.111727942418</v>
      </c>
      <c r="AN2390" s="10">
        <f t="shared" ca="1" si="357"/>
        <v>1.009422285474737</v>
      </c>
      <c r="AO2390" s="158"/>
      <c r="AP2390" s="158"/>
      <c r="AQ2390" s="1"/>
      <c r="AR2390" s="1"/>
      <c r="AS2390" s="1"/>
      <c r="AT2390" s="1"/>
      <c r="AU2390" s="1"/>
    </row>
    <row r="2391" spans="34:47">
      <c r="AH2391" s="6">
        <f t="shared" si="358"/>
        <v>2361</v>
      </c>
      <c r="AI2391" s="7">
        <f t="shared" ca="1" si="359"/>
        <v>45031</v>
      </c>
      <c r="AJ2391" s="210">
        <f t="shared" ca="1" si="360"/>
        <v>4.1749999999999998</v>
      </c>
      <c r="AK2391" s="8">
        <f t="shared" ca="1" si="361"/>
        <v>1.0001159722222221</v>
      </c>
      <c r="AL2391" s="98">
        <f t="shared" ca="1" si="362"/>
        <v>4.0544955988038645</v>
      </c>
      <c r="AM2391" s="106">
        <f t="shared" ca="1" si="356"/>
        <v>31815.733175088852</v>
      </c>
      <c r="AN2391" s="10">
        <f t="shared" ca="1" si="357"/>
        <v>1.0095167703206398</v>
      </c>
      <c r="AO2391" s="158"/>
      <c r="AP2391" s="158"/>
      <c r="AQ2391" s="1"/>
      <c r="AR2391" s="1"/>
      <c r="AS2391" s="1"/>
      <c r="AT2391" s="1"/>
      <c r="AU2391" s="1"/>
    </row>
    <row r="2392" spans="34:47">
      <c r="AH2392" s="6">
        <f t="shared" si="358"/>
        <v>2362</v>
      </c>
      <c r="AI2392" s="7">
        <f t="shared" ca="1" si="359"/>
        <v>45032</v>
      </c>
      <c r="AJ2392" s="210">
        <f t="shared" ca="1" si="360"/>
        <v>4.1749999999999998</v>
      </c>
      <c r="AK2392" s="8">
        <f t="shared" ca="1" si="361"/>
        <v>1.0001159722222221</v>
      </c>
      <c r="AL2392" s="98">
        <f t="shared" ca="1" si="362"/>
        <v>4.0546093819151086</v>
      </c>
      <c r="AM2392" s="106">
        <f t="shared" ca="1" si="356"/>
        <v>31818.354838246385</v>
      </c>
      <c r="AN2392" s="10">
        <f t="shared" ca="1" si="357"/>
        <v>1.0096111752506909</v>
      </c>
      <c r="AO2392" s="158"/>
      <c r="AP2392" s="158"/>
      <c r="AQ2392" s="1"/>
      <c r="AR2392" s="1"/>
      <c r="AS2392" s="1"/>
      <c r="AT2392" s="1"/>
      <c r="AU2392" s="1"/>
    </row>
    <row r="2393" spans="34:47">
      <c r="AH2393" s="6">
        <f t="shared" si="358"/>
        <v>2363</v>
      </c>
      <c r="AI2393" s="7">
        <f t="shared" ca="1" si="359"/>
        <v>45033</v>
      </c>
      <c r="AJ2393" s="210">
        <f t="shared" ca="1" si="360"/>
        <v>4.1749999999999998</v>
      </c>
      <c r="AK2393" s="8">
        <f t="shared" ca="1" si="361"/>
        <v>1.0001159722222221</v>
      </c>
      <c r="AL2393" s="98">
        <f t="shared" ca="1" si="362"/>
        <v>4.0547230688466884</v>
      </c>
      <c r="AM2393" s="106">
        <f t="shared" ca="1" si="356"/>
        <v>31820.976717432815</v>
      </c>
      <c r="AN2393" s="10">
        <f t="shared" ca="1" si="357"/>
        <v>1.0097055003662758</v>
      </c>
      <c r="AO2393" s="158"/>
      <c r="AP2393" s="158"/>
      <c r="AQ2393" s="1"/>
      <c r="AR2393" s="1"/>
      <c r="AS2393" s="1"/>
      <c r="AT2393" s="1"/>
      <c r="AU2393" s="1"/>
    </row>
    <row r="2394" spans="34:47">
      <c r="AH2394" s="6">
        <f t="shared" si="358"/>
        <v>2364</v>
      </c>
      <c r="AI2394" s="7">
        <f t="shared" ca="1" si="359"/>
        <v>45034</v>
      </c>
      <c r="AJ2394" s="210">
        <f t="shared" ca="1" si="360"/>
        <v>4.1749999999999998</v>
      </c>
      <c r="AK2394" s="8">
        <f t="shared" ca="1" si="361"/>
        <v>1.0001159722222221</v>
      </c>
      <c r="AL2394" s="98">
        <f t="shared" ca="1" si="362"/>
        <v>4.0548366597204843</v>
      </c>
      <c r="AM2394" s="106">
        <f t="shared" ca="1" si="356"/>
        <v>31823.598812665939</v>
      </c>
      <c r="AN2394" s="10">
        <f t="shared" ca="1" si="357"/>
        <v>1.0097997457685581</v>
      </c>
      <c r="AO2394" s="158"/>
      <c r="AP2394" s="158"/>
      <c r="AQ2394" s="1"/>
      <c r="AR2394" s="1"/>
      <c r="AS2394" s="1"/>
      <c r="AT2394" s="1"/>
      <c r="AU2394" s="1"/>
    </row>
    <row r="2395" spans="34:47">
      <c r="AH2395" s="6">
        <f t="shared" si="358"/>
        <v>2365</v>
      </c>
      <c r="AI2395" s="7">
        <f t="shared" ca="1" si="359"/>
        <v>45035</v>
      </c>
      <c r="AJ2395" s="210">
        <f t="shared" ca="1" si="360"/>
        <v>4.1749999999999998</v>
      </c>
      <c r="AK2395" s="8">
        <f t="shared" ca="1" si="361"/>
        <v>1.0001159722222221</v>
      </c>
      <c r="AL2395" s="98">
        <f t="shared" ca="1" si="362"/>
        <v>4.0549501546581768</v>
      </c>
      <c r="AM2395" s="106">
        <f t="shared" ca="1" si="356"/>
        <v>31826.221123963562</v>
      </c>
      <c r="AN2395" s="10">
        <f t="shared" ca="1" si="357"/>
        <v>1.0098939115585015</v>
      </c>
      <c r="AO2395" s="158"/>
      <c r="AP2395" s="158"/>
      <c r="AQ2395" s="1"/>
      <c r="AR2395" s="1"/>
      <c r="AS2395" s="1"/>
      <c r="AT2395" s="1"/>
      <c r="AU2395" s="1"/>
    </row>
    <row r="2396" spans="34:47">
      <c r="AH2396" s="6">
        <f t="shared" si="358"/>
        <v>2366</v>
      </c>
      <c r="AI2396" s="7">
        <f t="shared" ca="1" si="359"/>
        <v>45036</v>
      </c>
      <c r="AJ2396" s="210">
        <f t="shared" ca="1" si="360"/>
        <v>4.1749999999999998</v>
      </c>
      <c r="AK2396" s="8">
        <f t="shared" ca="1" si="361"/>
        <v>1.0001159722222221</v>
      </c>
      <c r="AL2396" s="98">
        <f t="shared" ca="1" si="362"/>
        <v>4.0550635537812685</v>
      </c>
      <c r="AM2396" s="106">
        <f t="shared" ca="1" si="356"/>
        <v>31828.84365134349</v>
      </c>
      <c r="AN2396" s="10">
        <f t="shared" ca="1" si="357"/>
        <v>1.009987997837003</v>
      </c>
      <c r="AO2396" s="158"/>
      <c r="AP2396" s="158"/>
      <c r="AQ2396" s="1"/>
      <c r="AR2396" s="1"/>
      <c r="AS2396" s="1"/>
      <c r="AT2396" s="1"/>
      <c r="AU2396" s="1"/>
    </row>
    <row r="2397" spans="34:47">
      <c r="AH2397" s="6">
        <f t="shared" si="358"/>
        <v>2367</v>
      </c>
      <c r="AI2397" s="7">
        <f t="shared" ca="1" si="359"/>
        <v>45037</v>
      </c>
      <c r="AJ2397" s="210">
        <f t="shared" ca="1" si="360"/>
        <v>4.1749999999999998</v>
      </c>
      <c r="AK2397" s="8">
        <f t="shared" ca="1" si="361"/>
        <v>1.0001159722222221</v>
      </c>
      <c r="AL2397" s="98">
        <f t="shared" ca="1" si="362"/>
        <v>4.0551768572110403</v>
      </c>
      <c r="AM2397" s="106">
        <f t="shared" ca="1" si="356"/>
        <v>31831.466394823525</v>
      </c>
      <c r="AN2397" s="10">
        <f t="shared" ca="1" si="357"/>
        <v>1.0100820047046932</v>
      </c>
      <c r="AO2397" s="158"/>
      <c r="AP2397" s="158"/>
      <c r="AQ2397" s="1"/>
      <c r="AR2397" s="1"/>
      <c r="AS2397" s="1"/>
      <c r="AT2397" s="1"/>
      <c r="AU2397" s="1"/>
    </row>
    <row r="2398" spans="34:47">
      <c r="AH2398" s="6">
        <f t="shared" si="358"/>
        <v>2368</v>
      </c>
      <c r="AI2398" s="7">
        <f t="shared" ca="1" si="359"/>
        <v>45038</v>
      </c>
      <c r="AJ2398" s="210">
        <f t="shared" ca="1" si="360"/>
        <v>4.1749999999999998</v>
      </c>
      <c r="AK2398" s="8">
        <f t="shared" ca="1" si="361"/>
        <v>1.0001159722222221</v>
      </c>
      <c r="AL2398" s="98">
        <f t="shared" ca="1" si="362"/>
        <v>4.0552900650685508</v>
      </c>
      <c r="AM2398" s="106">
        <f t="shared" ca="1" si="356"/>
        <v>31834.089354421474</v>
      </c>
      <c r="AN2398" s="10">
        <f t="shared" ca="1" si="357"/>
        <v>1.0101759322620474</v>
      </c>
      <c r="AO2398" s="158"/>
      <c r="AP2398" s="158"/>
      <c r="AQ2398" s="1"/>
      <c r="AR2398" s="1"/>
      <c r="AS2398" s="1"/>
      <c r="AT2398" s="1"/>
      <c r="AU2398" s="1"/>
    </row>
    <row r="2399" spans="34:47">
      <c r="AH2399" s="6">
        <f t="shared" si="358"/>
        <v>2369</v>
      </c>
      <c r="AI2399" s="7">
        <f t="shared" ca="1" si="359"/>
        <v>45039</v>
      </c>
      <c r="AJ2399" s="210">
        <f t="shared" ca="1" si="360"/>
        <v>4.1749999999999998</v>
      </c>
      <c r="AK2399" s="8">
        <f t="shared" ca="1" si="361"/>
        <v>1.0001159722222221</v>
      </c>
      <c r="AL2399" s="98">
        <f t="shared" ca="1" si="362"/>
        <v>4.0554031774747035</v>
      </c>
      <c r="AM2399" s="106">
        <f t="shared" ref="AM2399:AM2462" ca="1" si="363">Geom_Interp(AI2399,$AZ$2:$AZ$109,$BA$2:$BA$109)</f>
        <v>31836.712530155153</v>
      </c>
      <c r="AN2399" s="10">
        <f t="shared" ref="AN2399:AN2462" ca="1" si="364">100*(((1+AL2399/100)^(AH2399/365)*$AM$29/AM2399)^(365/AH2399)-1)</f>
        <v>1.0102697806094296</v>
      </c>
      <c r="AO2399" s="158"/>
      <c r="AP2399" s="158"/>
      <c r="AQ2399" s="1"/>
      <c r="AR2399" s="1"/>
      <c r="AS2399" s="1"/>
      <c r="AT2399" s="1"/>
      <c r="AU2399" s="1"/>
    </row>
    <row r="2400" spans="34:47">
      <c r="AH2400" s="6">
        <f t="shared" ref="AH2400:AH2463" si="365">$AI$29+AH2399</f>
        <v>2370</v>
      </c>
      <c r="AI2400" s="7">
        <f t="shared" ref="AI2400:AI2463" ca="1" si="366">+AH2400+$C$1</f>
        <v>45040</v>
      </c>
      <c r="AJ2400" s="210">
        <f t="shared" ref="AJ2400:AJ2463" ca="1" si="367">IF(AH2400&lt;365,VLOOKUP(LOOKUP(AI2400,$AI$2:$AI$23),$AI$2:$AK$23,3,0),Lin_Interp(AH2400,$AJ$2:$AJ$23,$AK$2:$AK$23))</f>
        <v>4.1749999999999998</v>
      </c>
      <c r="AK2400" s="8">
        <f t="shared" ca="1" si="361"/>
        <v>1.0001159722222221</v>
      </c>
      <c r="AL2400" s="98">
        <f t="shared" ca="1" si="362"/>
        <v>4.0555161945501572</v>
      </c>
      <c r="AM2400" s="106">
        <f t="shared" ca="1" si="363"/>
        <v>31839.33592204237</v>
      </c>
      <c r="AN2400" s="10">
        <f t="shared" ca="1" si="364"/>
        <v>1.0103635498469821</v>
      </c>
      <c r="AO2400" s="158"/>
      <c r="AP2400" s="158"/>
      <c r="AQ2400" s="1"/>
      <c r="AR2400" s="1"/>
      <c r="AS2400" s="1"/>
      <c r="AT2400" s="1"/>
      <c r="AU2400" s="1"/>
    </row>
    <row r="2401" spans="34:47">
      <c r="AH2401" s="6">
        <f t="shared" si="365"/>
        <v>2371</v>
      </c>
      <c r="AI2401" s="7">
        <f t="shared" ca="1" si="366"/>
        <v>45041</v>
      </c>
      <c r="AJ2401" s="210">
        <f t="shared" ca="1" si="367"/>
        <v>4.1749999999999998</v>
      </c>
      <c r="AK2401" s="8">
        <f t="shared" ref="AK2401:AK2464" ca="1" si="368">+(1+AJ2401/36000)</f>
        <v>1.0001159722222221</v>
      </c>
      <c r="AL2401" s="98">
        <f t="shared" ref="AL2401:AL2464" ca="1" si="369">100*(((1+AL2400/100)^(AH2400/365)*AK2401)^(365/AH2401)-1)</f>
        <v>4.0556291164153491</v>
      </c>
      <c r="AM2401" s="106">
        <f t="shared" ca="1" si="363"/>
        <v>31841.959530100925</v>
      </c>
      <c r="AN2401" s="10">
        <f t="shared" ca="1" si="364"/>
        <v>1.0104572400746692</v>
      </c>
      <c r="AO2401" s="158"/>
      <c r="AP2401" s="158"/>
      <c r="AQ2401" s="1"/>
      <c r="AR2401" s="1"/>
      <c r="AS2401" s="1"/>
      <c r="AT2401" s="1"/>
      <c r="AU2401" s="1"/>
    </row>
    <row r="2402" spans="34:47">
      <c r="AH2402" s="6">
        <f t="shared" si="365"/>
        <v>2372</v>
      </c>
      <c r="AI2402" s="7">
        <f t="shared" ca="1" si="366"/>
        <v>45042</v>
      </c>
      <c r="AJ2402" s="210">
        <f t="shared" ca="1" si="367"/>
        <v>4.1749999999999998</v>
      </c>
      <c r="AK2402" s="8">
        <f t="shared" ca="1" si="368"/>
        <v>1.0001159722222221</v>
      </c>
      <c r="AL2402" s="98">
        <f t="shared" ca="1" si="369"/>
        <v>4.0557419431905828</v>
      </c>
      <c r="AM2402" s="106">
        <f t="shared" ca="1" si="363"/>
        <v>31844.583354348641</v>
      </c>
      <c r="AN2402" s="10">
        <f t="shared" ca="1" si="364"/>
        <v>1.0105508513923445</v>
      </c>
      <c r="AO2402" s="158"/>
      <c r="AP2402" s="158"/>
      <c r="AQ2402" s="1"/>
      <c r="AR2402" s="1"/>
      <c r="AS2402" s="1"/>
      <c r="AT2402" s="1"/>
      <c r="AU2402" s="1"/>
    </row>
    <row r="2403" spans="34:47">
      <c r="AH2403" s="6">
        <f t="shared" si="365"/>
        <v>2373</v>
      </c>
      <c r="AI2403" s="7">
        <f t="shared" ca="1" si="366"/>
        <v>45043</v>
      </c>
      <c r="AJ2403" s="210">
        <f t="shared" ca="1" si="367"/>
        <v>4.1749999999999998</v>
      </c>
      <c r="AK2403" s="8">
        <f t="shared" ca="1" si="368"/>
        <v>1.0001159722222221</v>
      </c>
      <c r="AL2403" s="98">
        <f t="shared" ca="1" si="369"/>
        <v>4.0558546749958957</v>
      </c>
      <c r="AM2403" s="106">
        <f t="shared" ca="1" si="363"/>
        <v>31847.207394803328</v>
      </c>
      <c r="AN2403" s="10">
        <f t="shared" ca="1" si="364"/>
        <v>1.0106443838996393</v>
      </c>
      <c r="AO2403" s="158"/>
      <c r="AP2403" s="158"/>
      <c r="AQ2403" s="1"/>
      <c r="AR2403" s="1"/>
      <c r="AS2403" s="1"/>
      <c r="AT2403" s="1"/>
      <c r="AU2403" s="1"/>
    </row>
    <row r="2404" spans="34:47">
      <c r="AH2404" s="6">
        <f t="shared" si="365"/>
        <v>2374</v>
      </c>
      <c r="AI2404" s="7">
        <f t="shared" ca="1" si="366"/>
        <v>45044</v>
      </c>
      <c r="AJ2404" s="210">
        <f t="shared" ca="1" si="367"/>
        <v>4.1749999999999998</v>
      </c>
      <c r="AK2404" s="8">
        <f t="shared" ca="1" si="368"/>
        <v>1.0001159722222221</v>
      </c>
      <c r="AL2404" s="98">
        <f t="shared" ca="1" si="369"/>
        <v>4.0559673119511475</v>
      </c>
      <c r="AM2404" s="106">
        <f t="shared" ca="1" si="363"/>
        <v>31849.831651482804</v>
      </c>
      <c r="AN2404" s="10">
        <f t="shared" ca="1" si="364"/>
        <v>1.0107378376960519</v>
      </c>
      <c r="AO2404" s="158"/>
      <c r="AP2404" s="158"/>
      <c r="AQ2404" s="1"/>
      <c r="AR2404" s="1"/>
      <c r="AS2404" s="1"/>
      <c r="AT2404" s="1"/>
      <c r="AU2404" s="1"/>
    </row>
    <row r="2405" spans="34:47">
      <c r="AH2405" s="6">
        <f t="shared" si="365"/>
        <v>2375</v>
      </c>
      <c r="AI2405" s="7">
        <f t="shared" ca="1" si="366"/>
        <v>45045</v>
      </c>
      <c r="AJ2405" s="210">
        <f t="shared" ca="1" si="367"/>
        <v>4.1749999999999998</v>
      </c>
      <c r="AK2405" s="8">
        <f t="shared" ca="1" si="368"/>
        <v>1.0001159722222221</v>
      </c>
      <c r="AL2405" s="98">
        <f t="shared" ca="1" si="369"/>
        <v>4.0560798541759979</v>
      </c>
      <c r="AM2405" s="106">
        <f t="shared" ca="1" si="363"/>
        <v>31852.456124404893</v>
      </c>
      <c r="AN2405" s="10">
        <f t="shared" ca="1" si="364"/>
        <v>1.0108312128808583</v>
      </c>
      <c r="AO2405" s="158"/>
      <c r="AP2405" s="158"/>
      <c r="AQ2405" s="1"/>
      <c r="AR2405" s="1"/>
      <c r="AS2405" s="1"/>
      <c r="AT2405" s="1"/>
      <c r="AU2405" s="1"/>
    </row>
    <row r="2406" spans="34:47">
      <c r="AH2406" s="6">
        <f t="shared" si="365"/>
        <v>2376</v>
      </c>
      <c r="AI2406" s="7">
        <f t="shared" ca="1" si="366"/>
        <v>45046</v>
      </c>
      <c r="AJ2406" s="210">
        <f t="shared" ca="1" si="367"/>
        <v>4.1749999999999998</v>
      </c>
      <c r="AK2406" s="8">
        <f t="shared" ca="1" si="368"/>
        <v>1.0001159722222221</v>
      </c>
      <c r="AL2406" s="98">
        <f t="shared" ca="1" si="369"/>
        <v>4.0561923017899071</v>
      </c>
      <c r="AM2406" s="106">
        <f t="shared" ca="1" si="363"/>
        <v>31855.080813587396</v>
      </c>
      <c r="AN2406" s="10">
        <f t="shared" ca="1" si="364"/>
        <v>1.010924509553246</v>
      </c>
      <c r="AO2406" s="158"/>
      <c r="AP2406" s="158"/>
      <c r="AQ2406" s="1"/>
      <c r="AR2406" s="1"/>
      <c r="AS2406" s="1"/>
      <c r="AT2406" s="1"/>
      <c r="AU2406" s="1"/>
    </row>
    <row r="2407" spans="34:47">
      <c r="AH2407" s="6">
        <f t="shared" si="365"/>
        <v>2377</v>
      </c>
      <c r="AI2407" s="7">
        <f t="shared" ca="1" si="366"/>
        <v>45047</v>
      </c>
      <c r="AJ2407" s="210">
        <f t="shared" ca="1" si="367"/>
        <v>4.1749999999999998</v>
      </c>
      <c r="AK2407" s="8">
        <f t="shared" ca="1" si="368"/>
        <v>1.0001159722222221</v>
      </c>
      <c r="AL2407" s="98">
        <f t="shared" ca="1" si="369"/>
        <v>4.0563046549121129</v>
      </c>
      <c r="AM2407" s="106">
        <f t="shared" ca="1" si="363"/>
        <v>31857.70571904815</v>
      </c>
      <c r="AN2407" s="10">
        <f t="shared" ca="1" si="364"/>
        <v>1.0110177278121579</v>
      </c>
      <c r="AO2407" s="158"/>
      <c r="AP2407" s="158"/>
      <c r="AQ2407" s="1"/>
      <c r="AR2407" s="1"/>
      <c r="AS2407" s="1"/>
      <c r="AT2407" s="1"/>
      <c r="AU2407" s="1"/>
    </row>
    <row r="2408" spans="34:47">
      <c r="AH2408" s="6">
        <f t="shared" si="365"/>
        <v>2378</v>
      </c>
      <c r="AI2408" s="7">
        <f t="shared" ca="1" si="366"/>
        <v>45048</v>
      </c>
      <c r="AJ2408" s="210">
        <f t="shared" ca="1" si="367"/>
        <v>4.1749999999999998</v>
      </c>
      <c r="AK2408" s="8">
        <f t="shared" ca="1" si="368"/>
        <v>1.0001159722222221</v>
      </c>
      <c r="AL2408" s="98">
        <f t="shared" ca="1" si="369"/>
        <v>4.0564169136616979</v>
      </c>
      <c r="AM2408" s="106">
        <f t="shared" ca="1" si="363"/>
        <v>31860.330840804971</v>
      </c>
      <c r="AN2408" s="10">
        <f t="shared" ca="1" si="364"/>
        <v>1.0111108677564706</v>
      </c>
      <c r="AO2408" s="158"/>
      <c r="AP2408" s="158"/>
      <c r="AQ2408" s="1"/>
      <c r="AR2408" s="1"/>
      <c r="AS2408" s="1"/>
      <c r="AT2408" s="1"/>
      <c r="AU2408" s="1"/>
    </row>
    <row r="2409" spans="34:47">
      <c r="AH2409" s="6">
        <f t="shared" si="365"/>
        <v>2379</v>
      </c>
      <c r="AI2409" s="7">
        <f t="shared" ca="1" si="366"/>
        <v>45049</v>
      </c>
      <c r="AJ2409" s="210">
        <f t="shared" ca="1" si="367"/>
        <v>4.1749999999999998</v>
      </c>
      <c r="AK2409" s="8">
        <f t="shared" ca="1" si="368"/>
        <v>1.0001159722222221</v>
      </c>
      <c r="AL2409" s="98">
        <f t="shared" ca="1" si="369"/>
        <v>4.0565290781575003</v>
      </c>
      <c r="AM2409" s="106">
        <f t="shared" ca="1" si="363"/>
        <v>31862.95617887568</v>
      </c>
      <c r="AN2409" s="10">
        <f t="shared" ca="1" si="364"/>
        <v>1.0112039294847941</v>
      </c>
      <c r="AO2409" s="158"/>
      <c r="AP2409" s="158"/>
      <c r="AQ2409" s="1"/>
      <c r="AR2409" s="1"/>
      <c r="AS2409" s="1"/>
      <c r="AT2409" s="1"/>
      <c r="AU2409" s="1"/>
    </row>
    <row r="2410" spans="34:47">
      <c r="AH2410" s="6">
        <f t="shared" si="365"/>
        <v>2380</v>
      </c>
      <c r="AI2410" s="7">
        <f t="shared" ca="1" si="366"/>
        <v>45050</v>
      </c>
      <c r="AJ2410" s="210">
        <f t="shared" ca="1" si="367"/>
        <v>4.1749999999999998</v>
      </c>
      <c r="AK2410" s="8">
        <f t="shared" ca="1" si="368"/>
        <v>1.0001159722222221</v>
      </c>
      <c r="AL2410" s="98">
        <f t="shared" ca="1" si="369"/>
        <v>4.0566411485181808</v>
      </c>
      <c r="AM2410" s="106">
        <f t="shared" ca="1" si="363"/>
        <v>31865.581733278108</v>
      </c>
      <c r="AN2410" s="10">
        <f t="shared" ca="1" si="364"/>
        <v>1.0112969130956051</v>
      </c>
      <c r="AO2410" s="158"/>
      <c r="AP2410" s="158"/>
      <c r="AQ2410" s="1"/>
      <c r="AR2410" s="1"/>
      <c r="AS2410" s="1"/>
      <c r="AT2410" s="1"/>
      <c r="AU2410" s="1"/>
    </row>
    <row r="2411" spans="34:47">
      <c r="AH2411" s="6">
        <f t="shared" si="365"/>
        <v>2381</v>
      </c>
      <c r="AI2411" s="7">
        <f t="shared" ca="1" si="366"/>
        <v>45051</v>
      </c>
      <c r="AJ2411" s="210">
        <f t="shared" ca="1" si="367"/>
        <v>4.1749999999999998</v>
      </c>
      <c r="AK2411" s="8">
        <f t="shared" ca="1" si="368"/>
        <v>1.0001159722222221</v>
      </c>
      <c r="AL2411" s="98">
        <f t="shared" ca="1" si="369"/>
        <v>4.056753124862178</v>
      </c>
      <c r="AM2411" s="106">
        <f t="shared" ca="1" si="363"/>
        <v>31868.20750403007</v>
      </c>
      <c r="AN2411" s="10">
        <f t="shared" ca="1" si="364"/>
        <v>1.011389818687225</v>
      </c>
      <c r="AO2411" s="158"/>
      <c r="AP2411" s="158"/>
      <c r="AQ2411" s="1"/>
      <c r="AR2411" s="1"/>
      <c r="AS2411" s="1"/>
      <c r="AT2411" s="1"/>
      <c r="AU2411" s="1"/>
    </row>
    <row r="2412" spans="34:47">
      <c r="AH2412" s="6">
        <f t="shared" si="365"/>
        <v>2382</v>
      </c>
      <c r="AI2412" s="7">
        <f t="shared" ca="1" si="366"/>
        <v>45052</v>
      </c>
      <c r="AJ2412" s="210">
        <f t="shared" ca="1" si="367"/>
        <v>4.1749999999999998</v>
      </c>
      <c r="AK2412" s="8">
        <f t="shared" ca="1" si="368"/>
        <v>1.0001159722222221</v>
      </c>
      <c r="AL2412" s="98">
        <f t="shared" ca="1" si="369"/>
        <v>4.0568650073077528</v>
      </c>
      <c r="AM2412" s="106">
        <f t="shared" ca="1" si="363"/>
        <v>31870.833491149402</v>
      </c>
      <c r="AN2412" s="10">
        <f t="shared" ca="1" si="364"/>
        <v>1.0114826463577975</v>
      </c>
      <c r="AO2412" s="158"/>
      <c r="AP2412" s="158"/>
      <c r="AQ2412" s="1"/>
      <c r="AR2412" s="1"/>
      <c r="AS2412" s="1"/>
      <c r="AT2412" s="1"/>
      <c r="AU2412" s="1"/>
    </row>
    <row r="2413" spans="34:47">
      <c r="AH2413" s="6">
        <f t="shared" si="365"/>
        <v>2383</v>
      </c>
      <c r="AI2413" s="7">
        <f t="shared" ca="1" si="366"/>
        <v>45053</v>
      </c>
      <c r="AJ2413" s="210">
        <f t="shared" ca="1" si="367"/>
        <v>4.1749999999999998</v>
      </c>
      <c r="AK2413" s="8">
        <f t="shared" ca="1" si="368"/>
        <v>1.0001159722222221</v>
      </c>
      <c r="AL2413" s="98">
        <f t="shared" ca="1" si="369"/>
        <v>4.0569767959729885</v>
      </c>
      <c r="AM2413" s="106">
        <f t="shared" ca="1" si="363"/>
        <v>31873.459694653928</v>
      </c>
      <c r="AN2413" s="10">
        <f t="shared" ca="1" si="364"/>
        <v>1.0115753962053553</v>
      </c>
      <c r="AO2413" s="158"/>
      <c r="AP2413" s="158"/>
      <c r="AQ2413" s="1"/>
      <c r="AR2413" s="1"/>
      <c r="AS2413" s="1"/>
      <c r="AT2413" s="1"/>
      <c r="AU2413" s="1"/>
    </row>
    <row r="2414" spans="34:47">
      <c r="AH2414" s="6">
        <f t="shared" si="365"/>
        <v>2384</v>
      </c>
      <c r="AI2414" s="7">
        <f t="shared" ca="1" si="366"/>
        <v>45054</v>
      </c>
      <c r="AJ2414" s="210">
        <f t="shared" ca="1" si="367"/>
        <v>4.1749999999999998</v>
      </c>
      <c r="AK2414" s="8">
        <f t="shared" ca="1" si="368"/>
        <v>1.0001159722222221</v>
      </c>
      <c r="AL2414" s="98">
        <f t="shared" ca="1" si="369"/>
        <v>4.0570884909757243</v>
      </c>
      <c r="AM2414" s="106">
        <f t="shared" ca="1" si="363"/>
        <v>31876.08611456148</v>
      </c>
      <c r="AN2414" s="10">
        <f t="shared" ca="1" si="364"/>
        <v>1.0116680683276869</v>
      </c>
      <c r="AO2414" s="158"/>
      <c r="AP2414" s="158"/>
      <c r="AQ2414" s="1"/>
      <c r="AR2414" s="1"/>
      <c r="AS2414" s="1"/>
      <c r="AT2414" s="1"/>
      <c r="AU2414" s="1"/>
    </row>
    <row r="2415" spans="34:47">
      <c r="AH2415" s="6">
        <f t="shared" si="365"/>
        <v>2385</v>
      </c>
      <c r="AI2415" s="7">
        <f t="shared" ca="1" si="366"/>
        <v>45055</v>
      </c>
      <c r="AJ2415" s="210">
        <f t="shared" ca="1" si="367"/>
        <v>4.1749999999999998</v>
      </c>
      <c r="AK2415" s="8">
        <f t="shared" ca="1" si="368"/>
        <v>1.0001159722222221</v>
      </c>
      <c r="AL2415" s="98">
        <f t="shared" ca="1" si="369"/>
        <v>4.0572000924336216</v>
      </c>
      <c r="AM2415" s="106">
        <f t="shared" ca="1" si="363"/>
        <v>31878.712750889896</v>
      </c>
      <c r="AN2415" s="10">
        <f t="shared" ca="1" si="364"/>
        <v>1.0117606628224474</v>
      </c>
      <c r="AO2415" s="158"/>
      <c r="AP2415" s="158"/>
      <c r="AQ2415" s="1"/>
      <c r="AR2415" s="1"/>
      <c r="AS2415" s="1"/>
      <c r="AT2415" s="1"/>
      <c r="AU2415" s="1"/>
    </row>
    <row r="2416" spans="34:47">
      <c r="AH2416" s="6">
        <f t="shared" si="365"/>
        <v>2386</v>
      </c>
      <c r="AI2416" s="7">
        <f t="shared" ca="1" si="366"/>
        <v>45056</v>
      </c>
      <c r="AJ2416" s="210">
        <f t="shared" ca="1" si="367"/>
        <v>4.1749999999999998</v>
      </c>
      <c r="AK2416" s="8">
        <f t="shared" ca="1" si="368"/>
        <v>1.0001159722222221</v>
      </c>
      <c r="AL2416" s="98">
        <f t="shared" ca="1" si="369"/>
        <v>4.0573116004641641</v>
      </c>
      <c r="AM2416" s="106">
        <f t="shared" ca="1" si="363"/>
        <v>31881.339603657001</v>
      </c>
      <c r="AN2416" s="10">
        <f t="shared" ca="1" si="364"/>
        <v>1.0118531797871588</v>
      </c>
      <c r="AO2416" s="158"/>
      <c r="AP2416" s="158"/>
      <c r="AQ2416" s="1"/>
      <c r="AR2416" s="1"/>
      <c r="AS2416" s="1"/>
      <c r="AT2416" s="1"/>
      <c r="AU2416" s="1"/>
    </row>
    <row r="2417" spans="34:47">
      <c r="AH2417" s="6">
        <f t="shared" si="365"/>
        <v>2387</v>
      </c>
      <c r="AI2417" s="7">
        <f t="shared" ca="1" si="366"/>
        <v>45057</v>
      </c>
      <c r="AJ2417" s="210">
        <f t="shared" ca="1" si="367"/>
        <v>4.1749999999999998</v>
      </c>
      <c r="AK2417" s="8">
        <f t="shared" ca="1" si="368"/>
        <v>1.0001159722222221</v>
      </c>
      <c r="AL2417" s="98">
        <f t="shared" ca="1" si="369"/>
        <v>4.0574230151846136</v>
      </c>
      <c r="AM2417" s="106">
        <f t="shared" ca="1" si="363"/>
        <v>31883.966672880641</v>
      </c>
      <c r="AN2417" s="10">
        <f t="shared" ca="1" si="364"/>
        <v>1.0119456193191434</v>
      </c>
      <c r="AO2417" s="158"/>
      <c r="AP2417" s="158"/>
      <c r="AQ2417" s="1"/>
      <c r="AR2417" s="1"/>
      <c r="AS2417" s="1"/>
      <c r="AT2417" s="1"/>
      <c r="AU2417" s="1"/>
    </row>
    <row r="2418" spans="34:47">
      <c r="AH2418" s="6">
        <f t="shared" si="365"/>
        <v>2388</v>
      </c>
      <c r="AI2418" s="7">
        <f t="shared" ca="1" si="366"/>
        <v>45058</v>
      </c>
      <c r="AJ2418" s="210">
        <f t="shared" ca="1" si="367"/>
        <v>4.1749999999999998</v>
      </c>
      <c r="AK2418" s="8">
        <f t="shared" ca="1" si="368"/>
        <v>1.0001159722222221</v>
      </c>
      <c r="AL2418" s="98">
        <f t="shared" ca="1" si="369"/>
        <v>4.0575343367120542</v>
      </c>
      <c r="AM2418" s="106">
        <f t="shared" ca="1" si="363"/>
        <v>31886.593958578636</v>
      </c>
      <c r="AN2418" s="10">
        <f t="shared" ca="1" si="364"/>
        <v>1.0120379815155678</v>
      </c>
      <c r="AO2418" s="158"/>
      <c r="AP2418" s="158"/>
      <c r="AQ2418" s="1"/>
      <c r="AR2418" s="1"/>
      <c r="AS2418" s="1"/>
      <c r="AT2418" s="1"/>
      <c r="AU2418" s="1"/>
    </row>
    <row r="2419" spans="34:47">
      <c r="AH2419" s="6">
        <f t="shared" si="365"/>
        <v>2389</v>
      </c>
      <c r="AI2419" s="7">
        <f t="shared" ca="1" si="366"/>
        <v>45059</v>
      </c>
      <c r="AJ2419" s="210">
        <f t="shared" ca="1" si="367"/>
        <v>4.1749999999999998</v>
      </c>
      <c r="AK2419" s="8">
        <f t="shared" ca="1" si="368"/>
        <v>1.0001159722222221</v>
      </c>
      <c r="AL2419" s="98">
        <f t="shared" ca="1" si="369"/>
        <v>4.0576455651633481</v>
      </c>
      <c r="AM2419" s="106">
        <f t="shared" ca="1" si="363"/>
        <v>31889.22146076884</v>
      </c>
      <c r="AN2419" s="10">
        <f t="shared" ca="1" si="364"/>
        <v>1.0121302664734655</v>
      </c>
      <c r="AO2419" s="158"/>
      <c r="AP2419" s="158"/>
      <c r="AQ2419" s="1"/>
      <c r="AR2419" s="1"/>
      <c r="AS2419" s="1"/>
      <c r="AT2419" s="1"/>
      <c r="AU2419" s="1"/>
    </row>
    <row r="2420" spans="34:47">
      <c r="AH2420" s="6">
        <f t="shared" si="365"/>
        <v>2390</v>
      </c>
      <c r="AI2420" s="7">
        <f t="shared" ca="1" si="366"/>
        <v>45060</v>
      </c>
      <c r="AJ2420" s="210">
        <f t="shared" ca="1" si="367"/>
        <v>4.1749999999999998</v>
      </c>
      <c r="AK2420" s="8">
        <f t="shared" ca="1" si="368"/>
        <v>1.0001159722222221</v>
      </c>
      <c r="AL2420" s="98">
        <f t="shared" ca="1" si="369"/>
        <v>4.0577567006551796</v>
      </c>
      <c r="AM2420" s="106">
        <f t="shared" ca="1" si="363"/>
        <v>31891.849179469078</v>
      </c>
      <c r="AN2420" s="10">
        <f t="shared" ca="1" si="364"/>
        <v>1.012222474289648</v>
      </c>
      <c r="AO2420" s="158"/>
      <c r="AP2420" s="158"/>
      <c r="AQ2420" s="1"/>
      <c r="AR2420" s="1"/>
      <c r="AS2420" s="1"/>
      <c r="AT2420" s="1"/>
      <c r="AU2420" s="1"/>
    </row>
    <row r="2421" spans="34:47">
      <c r="AH2421" s="6">
        <f t="shared" si="365"/>
        <v>2391</v>
      </c>
      <c r="AI2421" s="7">
        <f t="shared" ca="1" si="366"/>
        <v>45061</v>
      </c>
      <c r="AJ2421" s="210">
        <f t="shared" ca="1" si="367"/>
        <v>4.1749999999999998</v>
      </c>
      <c r="AK2421" s="8">
        <f t="shared" ca="1" si="368"/>
        <v>1.0001159722222221</v>
      </c>
      <c r="AL2421" s="98">
        <f t="shared" ca="1" si="369"/>
        <v>4.0578677433040555</v>
      </c>
      <c r="AM2421" s="106">
        <f t="shared" ca="1" si="363"/>
        <v>31894.477114697205</v>
      </c>
      <c r="AN2421" s="10">
        <f t="shared" ca="1" si="364"/>
        <v>1.0123146050608156</v>
      </c>
      <c r="AO2421" s="158"/>
      <c r="AP2421" s="158"/>
      <c r="AQ2421" s="1"/>
      <c r="AR2421" s="1"/>
      <c r="AS2421" s="1"/>
      <c r="AT2421" s="1"/>
      <c r="AU2421" s="1"/>
    </row>
    <row r="2422" spans="34:47">
      <c r="AH2422" s="6">
        <f t="shared" si="365"/>
        <v>2392</v>
      </c>
      <c r="AI2422" s="7">
        <f t="shared" ca="1" si="366"/>
        <v>45062</v>
      </c>
      <c r="AJ2422" s="210">
        <f t="shared" ca="1" si="367"/>
        <v>4.1749999999999998</v>
      </c>
      <c r="AK2422" s="8">
        <f t="shared" ca="1" si="368"/>
        <v>1.0001159722222221</v>
      </c>
      <c r="AL2422" s="98">
        <f t="shared" ca="1" si="369"/>
        <v>4.0579786932262385</v>
      </c>
      <c r="AM2422" s="106">
        <f t="shared" ca="1" si="363"/>
        <v>31897.105266471048</v>
      </c>
      <c r="AN2422" s="10">
        <f t="shared" ca="1" si="364"/>
        <v>1.0124066588834912</v>
      </c>
      <c r="AO2422" s="158"/>
      <c r="AP2422" s="158"/>
      <c r="AQ2422" s="1"/>
      <c r="AR2422" s="1"/>
      <c r="AS2422" s="1"/>
      <c r="AT2422" s="1"/>
      <c r="AU2422" s="1"/>
    </row>
    <row r="2423" spans="34:47">
      <c r="AH2423" s="6">
        <f t="shared" si="365"/>
        <v>2393</v>
      </c>
      <c r="AI2423" s="7">
        <f t="shared" ca="1" si="366"/>
        <v>45063</v>
      </c>
      <c r="AJ2423" s="210">
        <f t="shared" ca="1" si="367"/>
        <v>4.1749999999999998</v>
      </c>
      <c r="AK2423" s="8">
        <f t="shared" ca="1" si="368"/>
        <v>1.0001159722222221</v>
      </c>
      <c r="AL2423" s="98">
        <f t="shared" ca="1" si="369"/>
        <v>4.0580895505378578</v>
      </c>
      <c r="AM2423" s="106">
        <f t="shared" ca="1" si="363"/>
        <v>31899.733634808461</v>
      </c>
      <c r="AN2423" s="10">
        <f t="shared" ca="1" si="364"/>
        <v>1.0124986358540422</v>
      </c>
      <c r="AO2423" s="158"/>
      <c r="AP2423" s="158"/>
      <c r="AQ2423" s="1"/>
      <c r="AR2423" s="1"/>
      <c r="AS2423" s="1"/>
      <c r="AT2423" s="1"/>
      <c r="AU2423" s="1"/>
    </row>
    <row r="2424" spans="34:47">
      <c r="AH2424" s="6">
        <f t="shared" si="365"/>
        <v>2394</v>
      </c>
      <c r="AI2424" s="7">
        <f t="shared" ca="1" si="366"/>
        <v>45064</v>
      </c>
      <c r="AJ2424" s="210">
        <f t="shared" ca="1" si="367"/>
        <v>4.1749999999999998</v>
      </c>
      <c r="AK2424" s="8">
        <f t="shared" ca="1" si="368"/>
        <v>1.0001159722222221</v>
      </c>
      <c r="AL2424" s="98">
        <f t="shared" ca="1" si="369"/>
        <v>4.0582003153547985</v>
      </c>
      <c r="AM2424" s="106">
        <f t="shared" ca="1" si="363"/>
        <v>31902.362219727285</v>
      </c>
      <c r="AN2424" s="10">
        <f t="shared" ca="1" si="364"/>
        <v>1.0125905360686582</v>
      </c>
      <c r="AO2424" s="158"/>
      <c r="AP2424" s="158"/>
      <c r="AQ2424" s="1"/>
      <c r="AR2424" s="1"/>
      <c r="AS2424" s="1"/>
      <c r="AT2424" s="1"/>
      <c r="AU2424" s="1"/>
    </row>
    <row r="2425" spans="34:47">
      <c r="AH2425" s="6">
        <f t="shared" si="365"/>
        <v>2395</v>
      </c>
      <c r="AI2425" s="7">
        <f t="shared" ca="1" si="366"/>
        <v>45065</v>
      </c>
      <c r="AJ2425" s="210">
        <f t="shared" ca="1" si="367"/>
        <v>4.1749999999999998</v>
      </c>
      <c r="AK2425" s="8">
        <f t="shared" ca="1" si="368"/>
        <v>1.0001159722222221</v>
      </c>
      <c r="AL2425" s="98">
        <f t="shared" ca="1" si="369"/>
        <v>4.0583109877927903</v>
      </c>
      <c r="AM2425" s="106">
        <f t="shared" ca="1" si="363"/>
        <v>31904.991021245372</v>
      </c>
      <c r="AN2425" s="10">
        <f t="shared" ca="1" si="364"/>
        <v>1.0126823596233958</v>
      </c>
      <c r="AO2425" s="158"/>
      <c r="AP2425" s="158"/>
      <c r="AQ2425" s="1"/>
      <c r="AR2425" s="1"/>
      <c r="AS2425" s="1"/>
      <c r="AT2425" s="1"/>
      <c r="AU2425" s="1"/>
    </row>
    <row r="2426" spans="34:47">
      <c r="AH2426" s="6">
        <f t="shared" si="365"/>
        <v>2396</v>
      </c>
      <c r="AI2426" s="7">
        <f t="shared" ca="1" si="366"/>
        <v>45066</v>
      </c>
      <c r="AJ2426" s="210">
        <f t="shared" ca="1" si="367"/>
        <v>4.1749999999999998</v>
      </c>
      <c r="AK2426" s="8">
        <f t="shared" ca="1" si="368"/>
        <v>1.0001159722222221</v>
      </c>
      <c r="AL2426" s="98">
        <f t="shared" ca="1" si="369"/>
        <v>4.0584215679673408</v>
      </c>
      <c r="AM2426" s="106">
        <f t="shared" ca="1" si="363"/>
        <v>31907.620039380567</v>
      </c>
      <c r="AN2426" s="10">
        <f t="shared" ca="1" si="364"/>
        <v>1.0127741066141116</v>
      </c>
      <c r="AO2426" s="158"/>
      <c r="AP2426" s="158"/>
      <c r="AQ2426" s="1"/>
      <c r="AR2426" s="1"/>
      <c r="AS2426" s="1"/>
      <c r="AT2426" s="1"/>
      <c r="AU2426" s="1"/>
    </row>
    <row r="2427" spans="34:47">
      <c r="AH2427" s="6">
        <f t="shared" si="365"/>
        <v>2397</v>
      </c>
      <c r="AI2427" s="7">
        <f t="shared" ca="1" si="366"/>
        <v>45067</v>
      </c>
      <c r="AJ2427" s="210">
        <f t="shared" ca="1" si="367"/>
        <v>4.1749999999999998</v>
      </c>
      <c r="AK2427" s="8">
        <f t="shared" ca="1" si="368"/>
        <v>1.0001159722222221</v>
      </c>
      <c r="AL2427" s="98">
        <f t="shared" ca="1" si="369"/>
        <v>4.0585320559937799</v>
      </c>
      <c r="AM2427" s="106">
        <f t="shared" ca="1" si="363"/>
        <v>31910.249274150716</v>
      </c>
      <c r="AN2427" s="10">
        <f t="shared" ca="1" si="364"/>
        <v>1.0128657771365512</v>
      </c>
      <c r="AO2427" s="158"/>
      <c r="AP2427" s="158"/>
      <c r="AQ2427" s="1"/>
      <c r="AR2427" s="1"/>
      <c r="AS2427" s="1"/>
      <c r="AT2427" s="1"/>
      <c r="AU2427" s="1"/>
    </row>
    <row r="2428" spans="34:47">
      <c r="AH2428" s="6">
        <f t="shared" si="365"/>
        <v>2398</v>
      </c>
      <c r="AI2428" s="7">
        <f t="shared" ca="1" si="366"/>
        <v>45068</v>
      </c>
      <c r="AJ2428" s="210">
        <f t="shared" ca="1" si="367"/>
        <v>4.1749999999999998</v>
      </c>
      <c r="AK2428" s="8">
        <f t="shared" ca="1" si="368"/>
        <v>1.0001159722222221</v>
      </c>
      <c r="AL2428" s="98">
        <f t="shared" ca="1" si="369"/>
        <v>4.0586424519872377</v>
      </c>
      <c r="AM2428" s="106">
        <f t="shared" ca="1" si="363"/>
        <v>31912.878725573668</v>
      </c>
      <c r="AN2428" s="10">
        <f t="shared" ca="1" si="364"/>
        <v>1.0129573712862827</v>
      </c>
      <c r="AO2428" s="158"/>
      <c r="AP2428" s="158"/>
      <c r="AQ2428" s="1"/>
      <c r="AR2428" s="1"/>
      <c r="AS2428" s="1"/>
      <c r="AT2428" s="1"/>
      <c r="AU2428" s="1"/>
    </row>
    <row r="2429" spans="34:47">
      <c r="AH2429" s="6">
        <f t="shared" si="365"/>
        <v>2399</v>
      </c>
      <c r="AI2429" s="7">
        <f t="shared" ca="1" si="366"/>
        <v>45069</v>
      </c>
      <c r="AJ2429" s="210">
        <f t="shared" ca="1" si="367"/>
        <v>4.1749999999999998</v>
      </c>
      <c r="AK2429" s="8">
        <f t="shared" ca="1" si="368"/>
        <v>1.0001159722222221</v>
      </c>
      <c r="AL2429" s="98">
        <f t="shared" ca="1" si="369"/>
        <v>4.0587527560626446</v>
      </c>
      <c r="AM2429" s="106">
        <f t="shared" ca="1" si="363"/>
        <v>31915.508393667289</v>
      </c>
      <c r="AN2429" s="10">
        <f t="shared" ca="1" si="364"/>
        <v>1.013048889158652</v>
      </c>
      <c r="AO2429" s="158"/>
      <c r="AP2429" s="158"/>
      <c r="AQ2429" s="1"/>
      <c r="AR2429" s="1"/>
      <c r="AS2429" s="1"/>
      <c r="AT2429" s="1"/>
      <c r="AU2429" s="1"/>
    </row>
    <row r="2430" spans="34:47">
      <c r="AH2430" s="6">
        <f t="shared" si="365"/>
        <v>2400</v>
      </c>
      <c r="AI2430" s="7">
        <f t="shared" ca="1" si="366"/>
        <v>45070</v>
      </c>
      <c r="AJ2430" s="210">
        <f t="shared" ca="1" si="367"/>
        <v>4.1749999999999998</v>
      </c>
      <c r="AK2430" s="8">
        <f t="shared" ca="1" si="368"/>
        <v>1.0001159722222221</v>
      </c>
      <c r="AL2430" s="98">
        <f t="shared" ca="1" si="369"/>
        <v>4.0588629683347754</v>
      </c>
      <c r="AM2430" s="106">
        <f t="shared" ca="1" si="363"/>
        <v>31918.138278449424</v>
      </c>
      <c r="AN2430" s="10">
        <f t="shared" ca="1" si="364"/>
        <v>1.0131403308489384</v>
      </c>
      <c r="AO2430" s="158"/>
      <c r="AP2430" s="158"/>
      <c r="AQ2430" s="1"/>
      <c r="AR2430" s="1"/>
      <c r="AS2430" s="1"/>
      <c r="AT2430" s="1"/>
      <c r="AU2430" s="1"/>
    </row>
    <row r="2431" spans="34:47">
      <c r="AH2431" s="6">
        <f t="shared" si="365"/>
        <v>2401</v>
      </c>
      <c r="AI2431" s="7">
        <f t="shared" ca="1" si="366"/>
        <v>45071</v>
      </c>
      <c r="AJ2431" s="210">
        <f t="shared" ca="1" si="367"/>
        <v>4.1749999999999998</v>
      </c>
      <c r="AK2431" s="8">
        <f t="shared" ca="1" si="368"/>
        <v>1.0001159722222221</v>
      </c>
      <c r="AL2431" s="98">
        <f t="shared" ca="1" si="369"/>
        <v>4.058973088918183</v>
      </c>
      <c r="AM2431" s="106">
        <f t="shared" ca="1" si="363"/>
        <v>31920.768379937923</v>
      </c>
      <c r="AN2431" s="10">
        <f t="shared" ca="1" si="364"/>
        <v>1.0132316964522436</v>
      </c>
      <c r="AO2431" s="158"/>
      <c r="AP2431" s="158"/>
      <c r="AQ2431" s="1"/>
      <c r="AR2431" s="1"/>
      <c r="AS2431" s="1"/>
      <c r="AT2431" s="1"/>
      <c r="AU2431" s="1"/>
    </row>
    <row r="2432" spans="34:47">
      <c r="AH2432" s="6">
        <f t="shared" si="365"/>
        <v>2402</v>
      </c>
      <c r="AI2432" s="7">
        <f t="shared" ca="1" si="366"/>
        <v>45072</v>
      </c>
      <c r="AJ2432" s="210">
        <f t="shared" ca="1" si="367"/>
        <v>4.1749999999999998</v>
      </c>
      <c r="AK2432" s="8">
        <f t="shared" ca="1" si="368"/>
        <v>1.0001159722222221</v>
      </c>
      <c r="AL2432" s="98">
        <f t="shared" ca="1" si="369"/>
        <v>4.0590831179272424</v>
      </c>
      <c r="AM2432" s="106">
        <f t="shared" ca="1" si="363"/>
        <v>31923.398698150653</v>
      </c>
      <c r="AN2432" s="10">
        <f t="shared" ca="1" si="364"/>
        <v>1.0133229860634918</v>
      </c>
      <c r="AO2432" s="158"/>
      <c r="AP2432" s="158"/>
      <c r="AQ2432" s="1"/>
      <c r="AR2432" s="1"/>
      <c r="AS2432" s="1"/>
      <c r="AT2432" s="1"/>
      <c r="AU2432" s="1"/>
    </row>
    <row r="2433" spans="34:47">
      <c r="AH2433" s="6">
        <f t="shared" si="365"/>
        <v>2403</v>
      </c>
      <c r="AI2433" s="7">
        <f t="shared" ca="1" si="366"/>
        <v>45073</v>
      </c>
      <c r="AJ2433" s="210">
        <f t="shared" ca="1" si="367"/>
        <v>4.1749999999999998</v>
      </c>
      <c r="AK2433" s="8">
        <f t="shared" ca="1" si="368"/>
        <v>1.0001159722222221</v>
      </c>
      <c r="AL2433" s="98">
        <f t="shared" ca="1" si="369"/>
        <v>4.0591930554761069</v>
      </c>
      <c r="AM2433" s="106">
        <f t="shared" ca="1" si="363"/>
        <v>31926.029233105466</v>
      </c>
      <c r="AN2433" s="10">
        <f t="shared" ca="1" si="364"/>
        <v>1.0134141997774071</v>
      </c>
      <c r="AO2433" s="158"/>
      <c r="AP2433" s="158"/>
      <c r="AQ2433" s="1"/>
      <c r="AR2433" s="1"/>
      <c r="AS2433" s="1"/>
      <c r="AT2433" s="1"/>
      <c r="AU2433" s="1"/>
    </row>
    <row r="2434" spans="34:47">
      <c r="AH2434" s="6">
        <f t="shared" si="365"/>
        <v>2404</v>
      </c>
      <c r="AI2434" s="7">
        <f t="shared" ca="1" si="366"/>
        <v>45074</v>
      </c>
      <c r="AJ2434" s="210">
        <f t="shared" ca="1" si="367"/>
        <v>4.1749999999999998</v>
      </c>
      <c r="AK2434" s="8">
        <f t="shared" ca="1" si="368"/>
        <v>1.0001159722222221</v>
      </c>
      <c r="AL2434" s="98">
        <f t="shared" ca="1" si="369"/>
        <v>4.0593029016787963</v>
      </c>
      <c r="AM2434" s="106">
        <f t="shared" ca="1" si="363"/>
        <v>31928.659984820231</v>
      </c>
      <c r="AN2434" s="10">
        <f t="shared" ca="1" si="364"/>
        <v>1.0135053376886249</v>
      </c>
      <c r="AO2434" s="158"/>
      <c r="AP2434" s="158"/>
      <c r="AQ2434" s="1"/>
      <c r="AR2434" s="1"/>
      <c r="AS2434" s="1"/>
      <c r="AT2434" s="1"/>
      <c r="AU2434" s="1"/>
    </row>
    <row r="2435" spans="34:47">
      <c r="AH2435" s="6">
        <f t="shared" si="365"/>
        <v>2405</v>
      </c>
      <c r="AI2435" s="7">
        <f t="shared" ca="1" si="366"/>
        <v>45075</v>
      </c>
      <c r="AJ2435" s="210">
        <f t="shared" ca="1" si="367"/>
        <v>4.1749999999999998</v>
      </c>
      <c r="AK2435" s="8">
        <f t="shared" ca="1" si="368"/>
        <v>1.0001159722222221</v>
      </c>
      <c r="AL2435" s="98">
        <f t="shared" ca="1" si="369"/>
        <v>4.0594126566491084</v>
      </c>
      <c r="AM2435" s="106">
        <f t="shared" ca="1" si="363"/>
        <v>31931.290953312789</v>
      </c>
      <c r="AN2435" s="10">
        <f t="shared" ca="1" si="364"/>
        <v>1.0135963998916253</v>
      </c>
      <c r="AO2435" s="158"/>
      <c r="AP2435" s="158"/>
      <c r="AQ2435" s="1"/>
      <c r="AR2435" s="1"/>
      <c r="AS2435" s="1"/>
      <c r="AT2435" s="1"/>
      <c r="AU2435" s="1"/>
    </row>
    <row r="2436" spans="34:47">
      <c r="AH2436" s="6">
        <f t="shared" si="365"/>
        <v>2406</v>
      </c>
      <c r="AI2436" s="7">
        <f t="shared" ca="1" si="366"/>
        <v>45076</v>
      </c>
      <c r="AJ2436" s="210">
        <f t="shared" ca="1" si="367"/>
        <v>4.1749999999999998</v>
      </c>
      <c r="AK2436" s="8">
        <f t="shared" ca="1" si="368"/>
        <v>1.0001159722222221</v>
      </c>
      <c r="AL2436" s="98">
        <f t="shared" ca="1" si="369"/>
        <v>4.0595223205006414</v>
      </c>
      <c r="AM2436" s="106">
        <f t="shared" ca="1" si="363"/>
        <v>31933.922138601029</v>
      </c>
      <c r="AN2436" s="10">
        <f t="shared" ca="1" si="364"/>
        <v>1.0136873864806883</v>
      </c>
      <c r="AO2436" s="158"/>
      <c r="AP2436" s="158"/>
      <c r="AQ2436" s="1"/>
      <c r="AR2436" s="1"/>
      <c r="AS2436" s="1"/>
      <c r="AT2436" s="1"/>
      <c r="AU2436" s="1"/>
    </row>
    <row r="2437" spans="34:47">
      <c r="AH2437" s="6">
        <f t="shared" si="365"/>
        <v>2407</v>
      </c>
      <c r="AI2437" s="7">
        <f t="shared" ca="1" si="366"/>
        <v>45077</v>
      </c>
      <c r="AJ2437" s="210">
        <f t="shared" ca="1" si="367"/>
        <v>4.1749999999999998</v>
      </c>
      <c r="AK2437" s="8">
        <f t="shared" ca="1" si="368"/>
        <v>1.0001159722222221</v>
      </c>
      <c r="AL2437" s="98">
        <f t="shared" ca="1" si="369"/>
        <v>4.0596318933468378</v>
      </c>
      <c r="AM2437" s="106">
        <f t="shared" ca="1" si="363"/>
        <v>31936.553540702796</v>
      </c>
      <c r="AN2437" s="10">
        <f t="shared" ca="1" si="364"/>
        <v>1.0137782975499388</v>
      </c>
      <c r="AO2437" s="158"/>
      <c r="AP2437" s="158"/>
      <c r="AQ2437" s="1"/>
      <c r="AR2437" s="1"/>
      <c r="AS2437" s="1"/>
      <c r="AT2437" s="1"/>
      <c r="AU2437" s="1"/>
    </row>
    <row r="2438" spans="34:47">
      <c r="AH2438" s="6">
        <f t="shared" si="365"/>
        <v>2408</v>
      </c>
      <c r="AI2438" s="7">
        <f t="shared" ca="1" si="366"/>
        <v>45078</v>
      </c>
      <c r="AJ2438" s="210">
        <f t="shared" ca="1" si="367"/>
        <v>4.1749999999999998</v>
      </c>
      <c r="AK2438" s="8">
        <f t="shared" ca="1" si="368"/>
        <v>1.0001159722222221</v>
      </c>
      <c r="AL2438" s="98">
        <f t="shared" ca="1" si="369"/>
        <v>4.0597413753009182</v>
      </c>
      <c r="AM2438" s="106">
        <f t="shared" ca="1" si="363"/>
        <v>31939.185159635967</v>
      </c>
      <c r="AN2438" s="10">
        <f t="shared" ca="1" si="364"/>
        <v>1.0138691331933902</v>
      </c>
      <c r="AO2438" s="158"/>
      <c r="AP2438" s="158"/>
      <c r="AQ2438" s="1"/>
      <c r="AR2438" s="1"/>
      <c r="AS2438" s="1"/>
      <c r="AT2438" s="1"/>
      <c r="AU2438" s="1"/>
    </row>
    <row r="2439" spans="34:47">
      <c r="AH2439" s="6">
        <f t="shared" si="365"/>
        <v>2409</v>
      </c>
      <c r="AI2439" s="7">
        <f t="shared" ca="1" si="366"/>
        <v>45079</v>
      </c>
      <c r="AJ2439" s="210">
        <f t="shared" ca="1" si="367"/>
        <v>4.1749999999999998</v>
      </c>
      <c r="AK2439" s="8">
        <f t="shared" ca="1" si="368"/>
        <v>1.0001159722222221</v>
      </c>
      <c r="AL2439" s="98">
        <f t="shared" ca="1" si="369"/>
        <v>4.0598507664759254</v>
      </c>
      <c r="AM2439" s="106">
        <f t="shared" ca="1" si="363"/>
        <v>31941.816995418401</v>
      </c>
      <c r="AN2439" s="10">
        <f t="shared" ca="1" si="364"/>
        <v>1.0139598935048344</v>
      </c>
      <c r="AO2439" s="158"/>
      <c r="AP2439" s="158"/>
      <c r="AQ2439" s="1"/>
      <c r="AR2439" s="1"/>
      <c r="AS2439" s="1"/>
      <c r="AT2439" s="1"/>
      <c r="AU2439" s="1"/>
    </row>
    <row r="2440" spans="34:47">
      <c r="AH2440" s="6">
        <f t="shared" si="365"/>
        <v>2410</v>
      </c>
      <c r="AI2440" s="7">
        <f t="shared" ca="1" si="366"/>
        <v>45080</v>
      </c>
      <c r="AJ2440" s="210">
        <f t="shared" ca="1" si="367"/>
        <v>4.1749999999999998</v>
      </c>
      <c r="AK2440" s="8">
        <f t="shared" ca="1" si="368"/>
        <v>1.0001159722222221</v>
      </c>
      <c r="AL2440" s="98">
        <f t="shared" ca="1" si="369"/>
        <v>4.0599600669847247</v>
      </c>
      <c r="AM2440" s="106">
        <f t="shared" ca="1" si="363"/>
        <v>31944.449048067971</v>
      </c>
      <c r="AN2440" s="10">
        <f t="shared" ca="1" si="364"/>
        <v>1.0140505785779741</v>
      </c>
      <c r="AO2440" s="158"/>
      <c r="AP2440" s="158"/>
      <c r="AQ2440" s="1"/>
      <c r="AR2440" s="1"/>
      <c r="AS2440" s="1"/>
      <c r="AT2440" s="1"/>
      <c r="AU2440" s="1"/>
    </row>
    <row r="2441" spans="34:47">
      <c r="AH2441" s="6">
        <f t="shared" si="365"/>
        <v>2411</v>
      </c>
      <c r="AI2441" s="7">
        <f t="shared" ca="1" si="366"/>
        <v>45081</v>
      </c>
      <c r="AJ2441" s="210">
        <f t="shared" ca="1" si="367"/>
        <v>4.1749999999999998</v>
      </c>
      <c r="AK2441" s="8">
        <f t="shared" ca="1" si="368"/>
        <v>1.0001159722222221</v>
      </c>
      <c r="AL2441" s="98">
        <f t="shared" ca="1" si="369"/>
        <v>4.0600692769400037</v>
      </c>
      <c r="AM2441" s="106">
        <f t="shared" ca="1" si="363"/>
        <v>31947.081317602544</v>
      </c>
      <c r="AN2441" s="10">
        <f t="shared" ca="1" si="364"/>
        <v>1.0141411885063123</v>
      </c>
      <c r="AO2441" s="158"/>
      <c r="AP2441" s="158"/>
      <c r="AQ2441" s="1"/>
      <c r="AR2441" s="1"/>
      <c r="AS2441" s="1"/>
      <c r="AT2441" s="1"/>
      <c r="AU2441" s="1"/>
    </row>
    <row r="2442" spans="34:47">
      <c r="AH2442" s="6">
        <f t="shared" si="365"/>
        <v>2412</v>
      </c>
      <c r="AI2442" s="7">
        <f t="shared" ca="1" si="366"/>
        <v>45082</v>
      </c>
      <c r="AJ2442" s="210">
        <f t="shared" ca="1" si="367"/>
        <v>4.1749999999999998</v>
      </c>
      <c r="AK2442" s="8">
        <f t="shared" ca="1" si="368"/>
        <v>1.0001159722222221</v>
      </c>
      <c r="AL2442" s="98">
        <f t="shared" ca="1" si="369"/>
        <v>4.0601783964542282</v>
      </c>
      <c r="AM2442" s="106">
        <f t="shared" ca="1" si="363"/>
        <v>31949.713804039995</v>
      </c>
      <c r="AN2442" s="10">
        <f t="shared" ca="1" si="364"/>
        <v>1.0142317233832188</v>
      </c>
      <c r="AO2442" s="158"/>
      <c r="AP2442" s="158"/>
      <c r="AQ2442" s="1"/>
      <c r="AR2442" s="1"/>
      <c r="AS2442" s="1"/>
      <c r="AT2442" s="1"/>
      <c r="AU2442" s="1"/>
    </row>
    <row r="2443" spans="34:47">
      <c r="AH2443" s="6">
        <f t="shared" si="365"/>
        <v>2413</v>
      </c>
      <c r="AI2443" s="7">
        <f t="shared" ca="1" si="366"/>
        <v>45083</v>
      </c>
      <c r="AJ2443" s="210">
        <f t="shared" ca="1" si="367"/>
        <v>4.1749999999999998</v>
      </c>
      <c r="AK2443" s="8">
        <f t="shared" ca="1" si="368"/>
        <v>1.0001159722222221</v>
      </c>
      <c r="AL2443" s="98">
        <f t="shared" ca="1" si="369"/>
        <v>4.0602874256397081</v>
      </c>
      <c r="AM2443" s="106">
        <f t="shared" ca="1" si="363"/>
        <v>31952.346507398197</v>
      </c>
      <c r="AN2443" s="10">
        <f t="shared" ca="1" si="364"/>
        <v>1.0143221833019078</v>
      </c>
      <c r="AO2443" s="158"/>
      <c r="AP2443" s="158"/>
      <c r="AQ2443" s="1"/>
      <c r="AR2443" s="1"/>
      <c r="AS2443" s="1"/>
      <c r="AT2443" s="1"/>
      <c r="AU2443" s="1"/>
    </row>
    <row r="2444" spans="34:47">
      <c r="AH2444" s="6">
        <f t="shared" si="365"/>
        <v>2414</v>
      </c>
      <c r="AI2444" s="7">
        <f t="shared" ca="1" si="366"/>
        <v>45084</v>
      </c>
      <c r="AJ2444" s="210">
        <f t="shared" ca="1" si="367"/>
        <v>4.1749999999999998</v>
      </c>
      <c r="AK2444" s="8">
        <f t="shared" ca="1" si="368"/>
        <v>1.0001159722222221</v>
      </c>
      <c r="AL2444" s="98">
        <f t="shared" ca="1" si="369"/>
        <v>4.0603963646085539</v>
      </c>
      <c r="AM2444" s="106">
        <f t="shared" ca="1" si="363"/>
        <v>31954.979427695023</v>
      </c>
      <c r="AN2444" s="10">
        <f t="shared" ca="1" si="364"/>
        <v>1.0144125683554162</v>
      </c>
      <c r="AO2444" s="158"/>
      <c r="AP2444" s="158"/>
      <c r="AQ2444" s="1"/>
      <c r="AR2444" s="1"/>
      <c r="AS2444" s="1"/>
      <c r="AT2444" s="1"/>
      <c r="AU2444" s="1"/>
    </row>
    <row r="2445" spans="34:47">
      <c r="AH2445" s="6">
        <f t="shared" si="365"/>
        <v>2415</v>
      </c>
      <c r="AI2445" s="7">
        <f t="shared" ca="1" si="366"/>
        <v>45085</v>
      </c>
      <c r="AJ2445" s="210">
        <f t="shared" ca="1" si="367"/>
        <v>4.1749999999999998</v>
      </c>
      <c r="AK2445" s="8">
        <f t="shared" ca="1" si="368"/>
        <v>1.0001159722222221</v>
      </c>
      <c r="AL2445" s="98">
        <f t="shared" ca="1" si="369"/>
        <v>4.0605052134726982</v>
      </c>
      <c r="AM2445" s="106">
        <f t="shared" ca="1" si="363"/>
        <v>31957.612564948351</v>
      </c>
      <c r="AN2445" s="10">
        <f t="shared" ca="1" si="364"/>
        <v>1.0145028786366472</v>
      </c>
      <c r="AO2445" s="158"/>
      <c r="AP2445" s="158"/>
      <c r="AQ2445" s="1"/>
      <c r="AR2445" s="1"/>
      <c r="AS2445" s="1"/>
      <c r="AT2445" s="1"/>
      <c r="AU2445" s="1"/>
    </row>
    <row r="2446" spans="34:47">
      <c r="AH2446" s="6">
        <f t="shared" si="365"/>
        <v>2416</v>
      </c>
      <c r="AI2446" s="7">
        <f t="shared" ca="1" si="366"/>
        <v>45086</v>
      </c>
      <c r="AJ2446" s="210">
        <f t="shared" ca="1" si="367"/>
        <v>4.1749999999999998</v>
      </c>
      <c r="AK2446" s="8">
        <f t="shared" ca="1" si="368"/>
        <v>1.0001159722222221</v>
      </c>
      <c r="AL2446" s="98">
        <f t="shared" ca="1" si="369"/>
        <v>4.0606139723438961</v>
      </c>
      <c r="AM2446" s="106">
        <f t="shared" ca="1" si="363"/>
        <v>31960.245919176054</v>
      </c>
      <c r="AN2446" s="10">
        <f t="shared" ca="1" si="364"/>
        <v>1.0145931142383713</v>
      </c>
      <c r="AO2446" s="158"/>
      <c r="AP2446" s="158"/>
      <c r="AQ2446" s="1"/>
      <c r="AR2446" s="1"/>
      <c r="AS2446" s="1"/>
      <c r="AT2446" s="1"/>
      <c r="AU2446" s="1"/>
    </row>
    <row r="2447" spans="34:47">
      <c r="AH2447" s="6">
        <f t="shared" si="365"/>
        <v>2417</v>
      </c>
      <c r="AI2447" s="7">
        <f t="shared" ca="1" si="366"/>
        <v>45087</v>
      </c>
      <c r="AJ2447" s="210">
        <f t="shared" ca="1" si="367"/>
        <v>4.1749999999999998</v>
      </c>
      <c r="AK2447" s="8">
        <f t="shared" ca="1" si="368"/>
        <v>1.0001159722222221</v>
      </c>
      <c r="AL2447" s="98">
        <f t="shared" ca="1" si="369"/>
        <v>4.0607226413336805</v>
      </c>
      <c r="AM2447" s="106">
        <f t="shared" ca="1" si="363"/>
        <v>31962.879490396022</v>
      </c>
      <c r="AN2447" s="10">
        <f t="shared" ca="1" si="364"/>
        <v>1.0146832752531365</v>
      </c>
      <c r="AO2447" s="158"/>
      <c r="AP2447" s="158"/>
      <c r="AQ2447" s="1"/>
      <c r="AR2447" s="1"/>
      <c r="AS2447" s="1"/>
      <c r="AT2447" s="1"/>
      <c r="AU2447" s="1"/>
    </row>
    <row r="2448" spans="34:47">
      <c r="AH2448" s="6">
        <f t="shared" si="365"/>
        <v>2418</v>
      </c>
      <c r="AI2448" s="7">
        <f t="shared" ca="1" si="366"/>
        <v>45088</v>
      </c>
      <c r="AJ2448" s="210">
        <f t="shared" ca="1" si="367"/>
        <v>4.1749999999999998</v>
      </c>
      <c r="AK2448" s="8">
        <f t="shared" ca="1" si="368"/>
        <v>1.0001159722222221</v>
      </c>
      <c r="AL2448" s="98">
        <f t="shared" ca="1" si="369"/>
        <v>4.0608312205534514</v>
      </c>
      <c r="AM2448" s="106">
        <f t="shared" ca="1" si="363"/>
        <v>31965.51327862612</v>
      </c>
      <c r="AN2448" s="10">
        <f t="shared" ca="1" si="364"/>
        <v>1.0147733617734245</v>
      </c>
      <c r="AO2448" s="158"/>
      <c r="AP2448" s="158"/>
      <c r="AQ2448" s="1"/>
      <c r="AR2448" s="1"/>
      <c r="AS2448" s="1"/>
      <c r="AT2448" s="1"/>
      <c r="AU2448" s="1"/>
    </row>
    <row r="2449" spans="34:47">
      <c r="AH2449" s="6">
        <f t="shared" si="365"/>
        <v>2419</v>
      </c>
      <c r="AI2449" s="7">
        <f t="shared" ca="1" si="366"/>
        <v>45089</v>
      </c>
      <c r="AJ2449" s="210">
        <f t="shared" ca="1" si="367"/>
        <v>4.1749999999999998</v>
      </c>
      <c r="AK2449" s="8">
        <f t="shared" ca="1" si="368"/>
        <v>1.0001159722222221</v>
      </c>
      <c r="AL2449" s="98">
        <f t="shared" ca="1" si="369"/>
        <v>4.0609397101143863</v>
      </c>
      <c r="AM2449" s="106">
        <f t="shared" ca="1" si="363"/>
        <v>31968.147283884242</v>
      </c>
      <c r="AN2449" s="10">
        <f t="shared" ca="1" si="364"/>
        <v>1.0148633738915169</v>
      </c>
      <c r="AO2449" s="158"/>
      <c r="AP2449" s="158"/>
      <c r="AQ2449" s="1"/>
      <c r="AR2449" s="1"/>
      <c r="AS2449" s="1"/>
      <c r="AT2449" s="1"/>
      <c r="AU2449" s="1"/>
    </row>
    <row r="2450" spans="34:47">
      <c r="AH2450" s="6">
        <f t="shared" si="365"/>
        <v>2420</v>
      </c>
      <c r="AI2450" s="7">
        <f t="shared" ca="1" si="366"/>
        <v>45090</v>
      </c>
      <c r="AJ2450" s="210">
        <f t="shared" ca="1" si="367"/>
        <v>4.1749999999999998</v>
      </c>
      <c r="AK2450" s="8">
        <f t="shared" ca="1" si="368"/>
        <v>1.0001159722222221</v>
      </c>
      <c r="AL2450" s="98">
        <f t="shared" ca="1" si="369"/>
        <v>4.0610481101274853</v>
      </c>
      <c r="AM2450" s="106">
        <f t="shared" ca="1" si="363"/>
        <v>31970.781506188261</v>
      </c>
      <c r="AN2450" s="10">
        <f t="shared" ca="1" si="364"/>
        <v>1.014953311699518</v>
      </c>
      <c r="AO2450" s="158"/>
      <c r="AP2450" s="158"/>
      <c r="AQ2450" s="1"/>
      <c r="AR2450" s="1"/>
      <c r="AS2450" s="1"/>
      <c r="AT2450" s="1"/>
      <c r="AU2450" s="1"/>
    </row>
    <row r="2451" spans="34:47">
      <c r="AH2451" s="6">
        <f t="shared" si="365"/>
        <v>2421</v>
      </c>
      <c r="AI2451" s="7">
        <f t="shared" ca="1" si="366"/>
        <v>45091</v>
      </c>
      <c r="AJ2451" s="210">
        <f t="shared" ca="1" si="367"/>
        <v>4.1749999999999998</v>
      </c>
      <c r="AK2451" s="8">
        <f t="shared" ca="1" si="368"/>
        <v>1.0001159722222221</v>
      </c>
      <c r="AL2451" s="98">
        <f t="shared" ca="1" si="369"/>
        <v>4.0611564207035711</v>
      </c>
      <c r="AM2451" s="106">
        <f t="shared" ca="1" si="363"/>
        <v>31973.41594555608</v>
      </c>
      <c r="AN2451" s="10">
        <f t="shared" ca="1" si="364"/>
        <v>1.0150431752894207</v>
      </c>
      <c r="AO2451" s="158"/>
      <c r="AP2451" s="158"/>
      <c r="AQ2451" s="1"/>
      <c r="AR2451" s="1"/>
      <c r="AS2451" s="1"/>
      <c r="AT2451" s="1"/>
      <c r="AU2451" s="1"/>
    </row>
    <row r="2452" spans="34:47">
      <c r="AH2452" s="6">
        <f t="shared" si="365"/>
        <v>2422</v>
      </c>
      <c r="AI2452" s="7">
        <f t="shared" ca="1" si="366"/>
        <v>45092</v>
      </c>
      <c r="AJ2452" s="210">
        <f t="shared" ca="1" si="367"/>
        <v>4.1749999999999998</v>
      </c>
      <c r="AK2452" s="8">
        <f t="shared" ca="1" si="368"/>
        <v>1.0001159722222221</v>
      </c>
      <c r="AL2452" s="98">
        <f t="shared" ca="1" si="369"/>
        <v>4.0612646419533105</v>
      </c>
      <c r="AM2452" s="106">
        <f t="shared" ca="1" si="363"/>
        <v>31976.050602005565</v>
      </c>
      <c r="AN2452" s="10">
        <f t="shared" ca="1" si="364"/>
        <v>1.0151329647530849</v>
      </c>
      <c r="AO2452" s="158"/>
      <c r="AP2452" s="158"/>
      <c r="AQ2452" s="1"/>
      <c r="AR2452" s="1"/>
      <c r="AS2452" s="1"/>
      <c r="AT2452" s="1"/>
      <c r="AU2452" s="1"/>
    </row>
    <row r="2453" spans="34:47">
      <c r="AH2453" s="6">
        <f t="shared" si="365"/>
        <v>2423</v>
      </c>
      <c r="AI2453" s="7">
        <f t="shared" ca="1" si="366"/>
        <v>45093</v>
      </c>
      <c r="AJ2453" s="210">
        <f t="shared" ca="1" si="367"/>
        <v>4.1749999999999998</v>
      </c>
      <c r="AK2453" s="8">
        <f t="shared" ca="1" si="368"/>
        <v>1.0001159722222221</v>
      </c>
      <c r="AL2453" s="98">
        <f t="shared" ca="1" si="369"/>
        <v>4.0613727739871486</v>
      </c>
      <c r="AM2453" s="106">
        <f t="shared" ca="1" si="363"/>
        <v>31978.685475554612</v>
      </c>
      <c r="AN2453" s="10">
        <f t="shared" ca="1" si="364"/>
        <v>1.0152226801821707</v>
      </c>
      <c r="AO2453" s="158"/>
      <c r="AP2453" s="158"/>
      <c r="AQ2453" s="1"/>
      <c r="AR2453" s="1"/>
      <c r="AS2453" s="1"/>
      <c r="AT2453" s="1"/>
      <c r="AU2453" s="1"/>
    </row>
    <row r="2454" spans="34:47">
      <c r="AH2454" s="6">
        <f t="shared" si="365"/>
        <v>2424</v>
      </c>
      <c r="AI2454" s="7">
        <f t="shared" ca="1" si="366"/>
        <v>45094</v>
      </c>
      <c r="AJ2454" s="210">
        <f t="shared" ca="1" si="367"/>
        <v>4.1749999999999998</v>
      </c>
      <c r="AK2454" s="8">
        <f t="shared" ca="1" si="368"/>
        <v>1.0001159722222221</v>
      </c>
      <c r="AL2454" s="98">
        <f t="shared" ca="1" si="369"/>
        <v>4.0614808169153527</v>
      </c>
      <c r="AM2454" s="106">
        <f t="shared" ca="1" si="363"/>
        <v>31981.320566221111</v>
      </c>
      <c r="AN2454" s="10">
        <f t="shared" ca="1" si="364"/>
        <v>1.0153123216682047</v>
      </c>
      <c r="AO2454" s="158"/>
      <c r="AP2454" s="158"/>
      <c r="AQ2454" s="1"/>
      <c r="AR2454" s="1"/>
      <c r="AS2454" s="1"/>
      <c r="AT2454" s="1"/>
      <c r="AU2454" s="1"/>
    </row>
    <row r="2455" spans="34:47">
      <c r="AH2455" s="6">
        <f t="shared" si="365"/>
        <v>2425</v>
      </c>
      <c r="AI2455" s="7">
        <f t="shared" ca="1" si="366"/>
        <v>45095</v>
      </c>
      <c r="AJ2455" s="210">
        <f t="shared" ca="1" si="367"/>
        <v>4.1749999999999998</v>
      </c>
      <c r="AK2455" s="8">
        <f t="shared" ca="1" si="368"/>
        <v>1.0001159722222221</v>
      </c>
      <c r="AL2455" s="98">
        <f t="shared" ca="1" si="369"/>
        <v>4.0615887708480125</v>
      </c>
      <c r="AM2455" s="106">
        <f t="shared" ca="1" si="363"/>
        <v>31983.955874022959</v>
      </c>
      <c r="AN2455" s="10">
        <f t="shared" ca="1" si="364"/>
        <v>1.0154018893025585</v>
      </c>
      <c r="AO2455" s="158"/>
      <c r="AP2455" s="158"/>
      <c r="AQ2455" s="1"/>
      <c r="AR2455" s="1"/>
      <c r="AS2455" s="1"/>
      <c r="AT2455" s="1"/>
      <c r="AU2455" s="1"/>
    </row>
    <row r="2456" spans="34:47">
      <c r="AH2456" s="6">
        <f t="shared" si="365"/>
        <v>2426</v>
      </c>
      <c r="AI2456" s="7">
        <f t="shared" ca="1" si="366"/>
        <v>45096</v>
      </c>
      <c r="AJ2456" s="210">
        <f t="shared" ca="1" si="367"/>
        <v>4.1749999999999998</v>
      </c>
      <c r="AK2456" s="8">
        <f t="shared" ca="1" si="368"/>
        <v>1.0001159722222221</v>
      </c>
      <c r="AL2456" s="98">
        <f t="shared" ca="1" si="369"/>
        <v>4.0616966358950624</v>
      </c>
      <c r="AM2456" s="106">
        <f t="shared" ca="1" si="363"/>
        <v>31986.591398978027</v>
      </c>
      <c r="AN2456" s="10">
        <f t="shared" ca="1" si="364"/>
        <v>1.01549138317647</v>
      </c>
      <c r="AO2456" s="158"/>
      <c r="AP2456" s="158"/>
      <c r="AQ2456" s="1"/>
      <c r="AR2456" s="1"/>
      <c r="AS2456" s="1"/>
      <c r="AT2456" s="1"/>
      <c r="AU2456" s="1"/>
    </row>
    <row r="2457" spans="34:47">
      <c r="AH2457" s="6">
        <f t="shared" si="365"/>
        <v>2427</v>
      </c>
      <c r="AI2457" s="7">
        <f t="shared" ca="1" si="366"/>
        <v>45097</v>
      </c>
      <c r="AJ2457" s="210">
        <f t="shared" ca="1" si="367"/>
        <v>4.1749999999999998</v>
      </c>
      <c r="AK2457" s="8">
        <f t="shared" ca="1" si="368"/>
        <v>1.0001159722222221</v>
      </c>
      <c r="AL2457" s="98">
        <f t="shared" ca="1" si="369"/>
        <v>4.0618044121662367</v>
      </c>
      <c r="AM2457" s="106">
        <f t="shared" ca="1" si="363"/>
        <v>31989.227141104235</v>
      </c>
      <c r="AN2457" s="10">
        <f t="shared" ca="1" si="364"/>
        <v>1.0155808033809999</v>
      </c>
      <c r="AO2457" s="158"/>
      <c r="AP2457" s="158"/>
      <c r="AQ2457" s="1"/>
      <c r="AR2457" s="1"/>
      <c r="AS2457" s="1"/>
      <c r="AT2457" s="1"/>
      <c r="AU2457" s="1"/>
    </row>
    <row r="2458" spans="34:47">
      <c r="AH2458" s="6">
        <f t="shared" si="365"/>
        <v>2428</v>
      </c>
      <c r="AI2458" s="7">
        <f t="shared" ca="1" si="366"/>
        <v>45098</v>
      </c>
      <c r="AJ2458" s="210">
        <f t="shared" ca="1" si="367"/>
        <v>4.1749999999999998</v>
      </c>
      <c r="AK2458" s="8">
        <f t="shared" ca="1" si="368"/>
        <v>1.0001159722222221</v>
      </c>
      <c r="AL2458" s="98">
        <f t="shared" ca="1" si="369"/>
        <v>4.06191209977107</v>
      </c>
      <c r="AM2458" s="106">
        <f t="shared" ca="1" si="363"/>
        <v>31991.863100419469</v>
      </c>
      <c r="AN2458" s="10">
        <f t="shared" ca="1" si="364"/>
        <v>1.0156701500070975</v>
      </c>
      <c r="AO2458" s="158"/>
      <c r="AP2458" s="158"/>
      <c r="AQ2458" s="1"/>
      <c r="AR2458" s="1"/>
      <c r="AS2458" s="1"/>
      <c r="AT2458" s="1"/>
      <c r="AU2458" s="1"/>
    </row>
    <row r="2459" spans="34:47">
      <c r="AH2459" s="6">
        <f t="shared" si="365"/>
        <v>2429</v>
      </c>
      <c r="AI2459" s="7">
        <f t="shared" ca="1" si="366"/>
        <v>45099</v>
      </c>
      <c r="AJ2459" s="210">
        <f t="shared" ca="1" si="367"/>
        <v>4.1749999999999998</v>
      </c>
      <c r="AK2459" s="8">
        <f t="shared" ca="1" si="368"/>
        <v>1.0001159722222221</v>
      </c>
      <c r="AL2459" s="98">
        <f t="shared" ca="1" si="369"/>
        <v>4.0620196988189416</v>
      </c>
      <c r="AM2459" s="106">
        <f t="shared" ca="1" si="363"/>
        <v>31994.499276941613</v>
      </c>
      <c r="AN2459" s="10">
        <f t="shared" ca="1" si="364"/>
        <v>1.0157594231455347</v>
      </c>
      <c r="AO2459" s="158"/>
      <c r="AP2459" s="158"/>
      <c r="AQ2459" s="1"/>
      <c r="AR2459" s="1"/>
      <c r="AS2459" s="1"/>
      <c r="AT2459" s="1"/>
      <c r="AU2459" s="1"/>
    </row>
    <row r="2460" spans="34:47">
      <c r="AH2460" s="6">
        <f t="shared" si="365"/>
        <v>2430</v>
      </c>
      <c r="AI2460" s="7">
        <f t="shared" ca="1" si="366"/>
        <v>45100</v>
      </c>
      <c r="AJ2460" s="210">
        <f t="shared" ca="1" si="367"/>
        <v>4.1749999999999998</v>
      </c>
      <c r="AK2460" s="8">
        <f t="shared" ca="1" si="368"/>
        <v>1.0001159722222221</v>
      </c>
      <c r="AL2460" s="98">
        <f t="shared" ca="1" si="369"/>
        <v>4.062127209419053</v>
      </c>
      <c r="AM2460" s="106">
        <f t="shared" ca="1" si="363"/>
        <v>31997.135670688585</v>
      </c>
      <c r="AN2460" s="10">
        <f t="shared" ca="1" si="364"/>
        <v>1.0158486228869279</v>
      </c>
      <c r="AO2460" s="158"/>
      <c r="AP2460" s="158"/>
      <c r="AQ2460" s="1"/>
      <c r="AR2460" s="1"/>
      <c r="AS2460" s="1"/>
      <c r="AT2460" s="1"/>
      <c r="AU2460" s="1"/>
    </row>
    <row r="2461" spans="34:47">
      <c r="AH2461" s="6">
        <f t="shared" si="365"/>
        <v>2431</v>
      </c>
      <c r="AI2461" s="7">
        <f t="shared" ca="1" si="366"/>
        <v>45101</v>
      </c>
      <c r="AJ2461" s="210">
        <f t="shared" ca="1" si="367"/>
        <v>4.1749999999999998</v>
      </c>
      <c r="AK2461" s="8">
        <f t="shared" ca="1" si="368"/>
        <v>1.0001159722222221</v>
      </c>
      <c r="AL2461" s="98">
        <f t="shared" ca="1" si="369"/>
        <v>4.0622346316804059</v>
      </c>
      <c r="AM2461" s="106">
        <f t="shared" ca="1" si="363"/>
        <v>31999.772281678273</v>
      </c>
      <c r="AN2461" s="10">
        <f t="shared" ca="1" si="364"/>
        <v>1.0159377493217825</v>
      </c>
      <c r="AO2461" s="158"/>
      <c r="AP2461" s="158"/>
      <c r="AQ2461" s="1"/>
      <c r="AR2461" s="1"/>
      <c r="AS2461" s="1"/>
      <c r="AT2461" s="1"/>
      <c r="AU2461" s="1"/>
    </row>
    <row r="2462" spans="34:47">
      <c r="AH2462" s="6">
        <f t="shared" si="365"/>
        <v>2432</v>
      </c>
      <c r="AI2462" s="7">
        <f t="shared" ca="1" si="366"/>
        <v>45102</v>
      </c>
      <c r="AJ2462" s="210">
        <f t="shared" ca="1" si="367"/>
        <v>4.1749999999999998</v>
      </c>
      <c r="AK2462" s="8">
        <f t="shared" ca="1" si="368"/>
        <v>1.0001159722222221</v>
      </c>
      <c r="AL2462" s="98">
        <f t="shared" ca="1" si="369"/>
        <v>4.0623419657118465</v>
      </c>
      <c r="AM2462" s="106">
        <f t="shared" ca="1" si="363"/>
        <v>32002.409109928576</v>
      </c>
      <c r="AN2462" s="10">
        <f t="shared" ca="1" si="364"/>
        <v>1.016026802540404</v>
      </c>
      <c r="AO2462" s="158"/>
      <c r="AP2462" s="158"/>
      <c r="AQ2462" s="1"/>
      <c r="AR2462" s="1"/>
      <c r="AS2462" s="1"/>
      <c r="AT2462" s="1"/>
      <c r="AU2462" s="1"/>
    </row>
    <row r="2463" spans="34:47">
      <c r="AH2463" s="6">
        <f t="shared" si="365"/>
        <v>2433</v>
      </c>
      <c r="AI2463" s="7">
        <f t="shared" ca="1" si="366"/>
        <v>45103</v>
      </c>
      <c r="AJ2463" s="210">
        <f t="shared" ca="1" si="367"/>
        <v>4.1749999999999998</v>
      </c>
      <c r="AK2463" s="8">
        <f t="shared" ca="1" si="368"/>
        <v>1.0001159722222221</v>
      </c>
      <c r="AL2463" s="98">
        <f t="shared" ca="1" si="369"/>
        <v>4.0624492116220212</v>
      </c>
      <c r="AM2463" s="106">
        <f t="shared" ref="AM2463:AM2526" ca="1" si="370">Geom_Interp(AI2463,$AZ$2:$AZ$109,$BA$2:$BA$109)</f>
        <v>32005.046155457403</v>
      </c>
      <c r="AN2463" s="10">
        <f t="shared" ref="AN2463:AN2526" ca="1" si="371">100*(((1+AL2463/100)^(AH2463/365)*$AM$29/AM2463)^(365/AH2463)-1)</f>
        <v>1.016115782632987</v>
      </c>
      <c r="AO2463" s="158"/>
      <c r="AP2463" s="158"/>
      <c r="AQ2463" s="1"/>
      <c r="AR2463" s="1"/>
      <c r="AS2463" s="1"/>
      <c r="AT2463" s="1"/>
      <c r="AU2463" s="1"/>
    </row>
    <row r="2464" spans="34:47">
      <c r="AH2464" s="6">
        <f t="shared" ref="AH2464:AH2527" si="372">$AI$29+AH2463</f>
        <v>2434</v>
      </c>
      <c r="AI2464" s="7">
        <f t="shared" ref="AI2464:AI2527" ca="1" si="373">+AH2464+$C$1</f>
        <v>45104</v>
      </c>
      <c r="AJ2464" s="210">
        <f t="shared" ref="AJ2464:AJ2527" ca="1" si="374">IF(AH2464&lt;365,VLOOKUP(LOOKUP(AI2464,$AI$2:$AI$23),$AI$2:$AK$23,3,0),Lin_Interp(AH2464,$AJ$2:$AJ$23,$AK$2:$AK$23))</f>
        <v>4.1749999999999998</v>
      </c>
      <c r="AK2464" s="8">
        <f t="shared" ca="1" si="368"/>
        <v>1.0001159722222221</v>
      </c>
      <c r="AL2464" s="98">
        <f t="shared" ca="1" si="369"/>
        <v>4.0625563695193989</v>
      </c>
      <c r="AM2464" s="106">
        <f t="shared" ca="1" si="370"/>
        <v>32007.683418282657</v>
      </c>
      <c r="AN2464" s="10">
        <f t="shared" ca="1" si="371"/>
        <v>1.0162046896895705</v>
      </c>
      <c r="AO2464" s="158"/>
      <c r="AP2464" s="158"/>
      <c r="AQ2464" s="1"/>
      <c r="AR2464" s="1"/>
      <c r="AS2464" s="1"/>
      <c r="AT2464" s="1"/>
      <c r="AU2464" s="1"/>
    </row>
    <row r="2465" spans="34:47">
      <c r="AH2465" s="6">
        <f t="shared" si="372"/>
        <v>2435</v>
      </c>
      <c r="AI2465" s="7">
        <f t="shared" ca="1" si="373"/>
        <v>45105</v>
      </c>
      <c r="AJ2465" s="210">
        <f t="shared" ca="1" si="374"/>
        <v>4.1749999999999998</v>
      </c>
      <c r="AK2465" s="8">
        <f t="shared" ref="AK2465:AK2528" ca="1" si="375">+(1+AJ2465/36000)</f>
        <v>1.0001159722222221</v>
      </c>
      <c r="AL2465" s="98">
        <f t="shared" ref="AL2465:AL2528" ca="1" si="376">100*(((1+AL2464/100)^(AH2464/365)*AK2465)^(365/AH2465)-1)</f>
        <v>4.0626634395122929</v>
      </c>
      <c r="AM2465" s="106">
        <f t="shared" ca="1" si="370"/>
        <v>32010.32089842224</v>
      </c>
      <c r="AN2465" s="10">
        <f t="shared" ca="1" si="371"/>
        <v>1.0162935238000159</v>
      </c>
      <c r="AO2465" s="158"/>
      <c r="AP2465" s="158"/>
      <c r="AQ2465" s="1"/>
      <c r="AR2465" s="1"/>
      <c r="AS2465" s="1"/>
      <c r="AT2465" s="1"/>
      <c r="AU2465" s="1"/>
    </row>
    <row r="2466" spans="34:47">
      <c r="AH2466" s="6">
        <f t="shared" si="372"/>
        <v>2436</v>
      </c>
      <c r="AI2466" s="7">
        <f t="shared" ca="1" si="373"/>
        <v>45106</v>
      </c>
      <c r="AJ2466" s="210">
        <f t="shared" ca="1" si="374"/>
        <v>4.1749999999999998</v>
      </c>
      <c r="AK2466" s="8">
        <f t="shared" ca="1" si="375"/>
        <v>1.0001159722222221</v>
      </c>
      <c r="AL2466" s="98">
        <f t="shared" ca="1" si="376"/>
        <v>4.0627704217088167</v>
      </c>
      <c r="AM2466" s="106">
        <f t="shared" ca="1" si="370"/>
        <v>32012.958595894066</v>
      </c>
      <c r="AN2466" s="10">
        <f t="shared" ca="1" si="371"/>
        <v>1.0163822850540738</v>
      </c>
      <c r="AO2466" s="158"/>
      <c r="AP2466" s="158"/>
      <c r="AQ2466" s="1"/>
      <c r="AR2466" s="1"/>
      <c r="AS2466" s="1"/>
      <c r="AT2466" s="1"/>
      <c r="AU2466" s="1"/>
    </row>
    <row r="2467" spans="34:47">
      <c r="AH2467" s="6">
        <f t="shared" si="372"/>
        <v>2437</v>
      </c>
      <c r="AI2467" s="7">
        <f t="shared" ca="1" si="373"/>
        <v>45107</v>
      </c>
      <c r="AJ2467" s="210">
        <f t="shared" ca="1" si="374"/>
        <v>4.1749999999999998</v>
      </c>
      <c r="AK2467" s="8">
        <f t="shared" ca="1" si="375"/>
        <v>1.0001159722222221</v>
      </c>
      <c r="AL2467" s="98">
        <f t="shared" ca="1" si="376"/>
        <v>4.0628773162169063</v>
      </c>
      <c r="AM2467" s="106">
        <f t="shared" ca="1" si="370"/>
        <v>32015.596510716034</v>
      </c>
      <c r="AN2467" s="10">
        <f t="shared" ca="1" si="371"/>
        <v>1.0164709735413391</v>
      </c>
      <c r="AO2467" s="158"/>
      <c r="AP2467" s="158"/>
      <c r="AQ2467" s="1"/>
      <c r="AR2467" s="1"/>
      <c r="AS2467" s="1"/>
      <c r="AT2467" s="1"/>
      <c r="AU2467" s="1"/>
    </row>
    <row r="2468" spans="34:47">
      <c r="AH2468" s="6">
        <f t="shared" si="372"/>
        <v>2438</v>
      </c>
      <c r="AI2468" s="7">
        <f t="shared" ca="1" si="373"/>
        <v>45108</v>
      </c>
      <c r="AJ2468" s="210">
        <f t="shared" ca="1" si="374"/>
        <v>4.1749999999999998</v>
      </c>
      <c r="AK2468" s="8">
        <f t="shared" ca="1" si="375"/>
        <v>1.0001159722222221</v>
      </c>
      <c r="AL2468" s="98">
        <f t="shared" ca="1" si="376"/>
        <v>4.062984123144342</v>
      </c>
      <c r="AM2468" s="106">
        <f t="shared" ca="1" si="370"/>
        <v>32018.234642906067</v>
      </c>
      <c r="AN2468" s="10">
        <f t="shared" ca="1" si="371"/>
        <v>1.0165595893512513</v>
      </c>
      <c r="AO2468" s="158"/>
      <c r="AP2468" s="158"/>
      <c r="AQ2468" s="1"/>
      <c r="AR2468" s="1"/>
      <c r="AS2468" s="1"/>
      <c r="AT2468" s="1"/>
      <c r="AU2468" s="1"/>
    </row>
    <row r="2469" spans="34:47">
      <c r="AH2469" s="6">
        <f t="shared" si="372"/>
        <v>2439</v>
      </c>
      <c r="AI2469" s="7">
        <f t="shared" ca="1" si="373"/>
        <v>45109</v>
      </c>
      <c r="AJ2469" s="210">
        <f t="shared" ca="1" si="374"/>
        <v>4.1749999999999998</v>
      </c>
      <c r="AK2469" s="8">
        <f t="shared" ca="1" si="375"/>
        <v>1.0001159722222221</v>
      </c>
      <c r="AL2469" s="98">
        <f t="shared" ca="1" si="376"/>
        <v>4.0630908425987045</v>
      </c>
      <c r="AM2469" s="106">
        <f t="shared" ca="1" si="370"/>
        <v>32020.872992482058</v>
      </c>
      <c r="AN2469" s="10">
        <f t="shared" ca="1" si="371"/>
        <v>1.0166481325731391</v>
      </c>
      <c r="AO2469" s="158"/>
      <c r="AP2469" s="158"/>
      <c r="AQ2469" s="1"/>
      <c r="AR2469" s="1"/>
      <c r="AS2469" s="1"/>
      <c r="AT2469" s="1"/>
      <c r="AU2469" s="1"/>
    </row>
    <row r="2470" spans="34:47">
      <c r="AH2470" s="6">
        <f t="shared" si="372"/>
        <v>2440</v>
      </c>
      <c r="AI2470" s="7">
        <f t="shared" ca="1" si="373"/>
        <v>45110</v>
      </c>
      <c r="AJ2470" s="210">
        <f t="shared" ca="1" si="374"/>
        <v>4.1749999999999998</v>
      </c>
      <c r="AK2470" s="8">
        <f t="shared" ca="1" si="375"/>
        <v>1.0001159722222221</v>
      </c>
      <c r="AL2470" s="98">
        <f t="shared" ca="1" si="376"/>
        <v>4.0631974746874189</v>
      </c>
      <c r="AM2470" s="106">
        <f t="shared" ca="1" si="370"/>
        <v>32023.511559461935</v>
      </c>
      <c r="AN2470" s="10">
        <f t="shared" ca="1" si="371"/>
        <v>1.0167366032961089</v>
      </c>
      <c r="AO2470" s="158"/>
      <c r="AP2470" s="158"/>
      <c r="AQ2470" s="1"/>
      <c r="AR2470" s="1"/>
      <c r="AS2470" s="1"/>
      <c r="AT2470" s="1"/>
      <c r="AU2470" s="1"/>
    </row>
    <row r="2471" spans="34:47">
      <c r="AH2471" s="6">
        <f t="shared" si="372"/>
        <v>2441</v>
      </c>
      <c r="AI2471" s="7">
        <f t="shared" ca="1" si="373"/>
        <v>45111</v>
      </c>
      <c r="AJ2471" s="210">
        <f t="shared" ca="1" si="374"/>
        <v>4.1749999999999998</v>
      </c>
      <c r="AK2471" s="8">
        <f t="shared" ca="1" si="375"/>
        <v>1.0001159722222221</v>
      </c>
      <c r="AL2471" s="98">
        <f t="shared" ca="1" si="376"/>
        <v>4.0633040195177106</v>
      </c>
      <c r="AM2471" s="106">
        <f t="shared" ca="1" si="370"/>
        <v>32026.15034386361</v>
      </c>
      <c r="AN2471" s="10">
        <f t="shared" ca="1" si="371"/>
        <v>1.0168250016091784</v>
      </c>
      <c r="AO2471" s="158"/>
      <c r="AP2471" s="158"/>
      <c r="AQ2471" s="1"/>
      <c r="AR2471" s="1"/>
      <c r="AS2471" s="1"/>
      <c r="AT2471" s="1"/>
      <c r="AU2471" s="1"/>
    </row>
    <row r="2472" spans="34:47">
      <c r="AH2472" s="6">
        <f t="shared" si="372"/>
        <v>2442</v>
      </c>
      <c r="AI2472" s="7">
        <f t="shared" ca="1" si="373"/>
        <v>45112</v>
      </c>
      <c r="AJ2472" s="210">
        <f t="shared" ca="1" si="374"/>
        <v>4.1749999999999998</v>
      </c>
      <c r="AK2472" s="8">
        <f t="shared" ca="1" si="375"/>
        <v>1.0001159722222221</v>
      </c>
      <c r="AL2472" s="98">
        <f t="shared" ca="1" si="376"/>
        <v>4.0634104771966495</v>
      </c>
      <c r="AM2472" s="106">
        <f t="shared" ca="1" si="370"/>
        <v>32028.789345704994</v>
      </c>
      <c r="AN2472" s="10">
        <f t="shared" ca="1" si="371"/>
        <v>1.0169133276012321</v>
      </c>
      <c r="AO2472" s="158"/>
      <c r="AP2472" s="158"/>
      <c r="AQ2472" s="1"/>
      <c r="AR2472" s="1"/>
      <c r="AS2472" s="1"/>
      <c r="AT2472" s="1"/>
      <c r="AU2472" s="1"/>
    </row>
    <row r="2473" spans="34:47">
      <c r="AH2473" s="6">
        <f t="shared" si="372"/>
        <v>2443</v>
      </c>
      <c r="AI2473" s="7">
        <f t="shared" ca="1" si="373"/>
        <v>45113</v>
      </c>
      <c r="AJ2473" s="210">
        <f t="shared" ca="1" si="374"/>
        <v>4.1749999999999998</v>
      </c>
      <c r="AK2473" s="8">
        <f t="shared" ca="1" si="375"/>
        <v>1.0001159722222221</v>
      </c>
      <c r="AL2473" s="98">
        <f t="shared" ca="1" si="376"/>
        <v>4.0635168478311279</v>
      </c>
      <c r="AM2473" s="106">
        <f t="shared" ca="1" si="370"/>
        <v>32031.428565004007</v>
      </c>
      <c r="AN2473" s="10">
        <f t="shared" ca="1" si="371"/>
        <v>1.0170015813609545</v>
      </c>
      <c r="AO2473" s="158"/>
      <c r="AP2473" s="158"/>
      <c r="AQ2473" s="1"/>
      <c r="AR2473" s="1"/>
      <c r="AS2473" s="1"/>
      <c r="AT2473" s="1"/>
      <c r="AU2473" s="1"/>
    </row>
    <row r="2474" spans="34:47">
      <c r="AH2474" s="6">
        <f t="shared" si="372"/>
        <v>2444</v>
      </c>
      <c r="AI2474" s="7">
        <f t="shared" ca="1" si="373"/>
        <v>45114</v>
      </c>
      <c r="AJ2474" s="210">
        <f t="shared" ca="1" si="374"/>
        <v>4.1749999999999998</v>
      </c>
      <c r="AK2474" s="8">
        <f t="shared" ca="1" si="375"/>
        <v>1.0001159722222221</v>
      </c>
      <c r="AL2474" s="98">
        <f t="shared" ca="1" si="376"/>
        <v>4.0636231315278604</v>
      </c>
      <c r="AM2474" s="106">
        <f t="shared" ca="1" si="370"/>
        <v>32034.068001778567</v>
      </c>
      <c r="AN2474" s="10">
        <f t="shared" ca="1" si="371"/>
        <v>1.0170897629769637</v>
      </c>
      <c r="AO2474" s="158"/>
      <c r="AP2474" s="158"/>
      <c r="AQ2474" s="1"/>
      <c r="AR2474" s="1"/>
      <c r="AS2474" s="1"/>
      <c r="AT2474" s="1"/>
      <c r="AU2474" s="1"/>
    </row>
    <row r="2475" spans="34:47">
      <c r="AH2475" s="6">
        <f t="shared" si="372"/>
        <v>2445</v>
      </c>
      <c r="AI2475" s="7">
        <f t="shared" ca="1" si="373"/>
        <v>45115</v>
      </c>
      <c r="AJ2475" s="210">
        <f t="shared" ca="1" si="374"/>
        <v>4.1749999999999998</v>
      </c>
      <c r="AK2475" s="8">
        <f t="shared" ca="1" si="375"/>
        <v>1.0001159722222221</v>
      </c>
      <c r="AL2475" s="98">
        <f t="shared" ca="1" si="376"/>
        <v>4.063729328393384</v>
      </c>
      <c r="AM2475" s="106">
        <f t="shared" ca="1" si="370"/>
        <v>32036.707656046601</v>
      </c>
      <c r="AN2475" s="10">
        <f t="shared" ca="1" si="371"/>
        <v>1.0171778725376335</v>
      </c>
      <c r="AO2475" s="158"/>
      <c r="AP2475" s="158"/>
      <c r="AQ2475" s="1"/>
      <c r="AR2475" s="1"/>
      <c r="AS2475" s="1"/>
      <c r="AT2475" s="1"/>
      <c r="AU2475" s="1"/>
    </row>
    <row r="2476" spans="34:47">
      <c r="AH2476" s="6">
        <f t="shared" si="372"/>
        <v>2446</v>
      </c>
      <c r="AI2476" s="7">
        <f t="shared" ca="1" si="373"/>
        <v>45116</v>
      </c>
      <c r="AJ2476" s="210">
        <f t="shared" ca="1" si="374"/>
        <v>4.1749999999999998</v>
      </c>
      <c r="AK2476" s="8">
        <f t="shared" ca="1" si="375"/>
        <v>1.0001159722222221</v>
      </c>
      <c r="AL2476" s="98">
        <f t="shared" ca="1" si="376"/>
        <v>4.063835438534058</v>
      </c>
      <c r="AM2476" s="106">
        <f t="shared" ca="1" si="370"/>
        <v>32039.347527826016</v>
      </c>
      <c r="AN2476" s="10">
        <f t="shared" ca="1" si="371"/>
        <v>1.0172659101312709</v>
      </c>
      <c r="AO2476" s="158"/>
      <c r="AP2476" s="158"/>
      <c r="AQ2476" s="1"/>
      <c r="AR2476" s="1"/>
      <c r="AS2476" s="1"/>
      <c r="AT2476" s="1"/>
      <c r="AU2476" s="1"/>
    </row>
    <row r="2477" spans="34:47">
      <c r="AH2477" s="6">
        <f t="shared" si="372"/>
        <v>2447</v>
      </c>
      <c r="AI2477" s="7">
        <f t="shared" ca="1" si="373"/>
        <v>45117</v>
      </c>
      <c r="AJ2477" s="210">
        <f t="shared" ca="1" si="374"/>
        <v>4.1749999999999998</v>
      </c>
      <c r="AK2477" s="8">
        <f t="shared" ca="1" si="375"/>
        <v>1.0001159722222221</v>
      </c>
      <c r="AL2477" s="98">
        <f t="shared" ca="1" si="376"/>
        <v>4.0639414620560865</v>
      </c>
      <c r="AM2477" s="106">
        <f t="shared" ca="1" si="370"/>
        <v>32041.987617134746</v>
      </c>
      <c r="AN2477" s="10">
        <f t="shared" ca="1" si="371"/>
        <v>1.0173538758460277</v>
      </c>
      <c r="AO2477" s="158"/>
      <c r="AP2477" s="158"/>
      <c r="AQ2477" s="1"/>
      <c r="AR2477" s="1"/>
      <c r="AS2477" s="1"/>
      <c r="AT2477" s="1"/>
      <c r="AU2477" s="1"/>
    </row>
    <row r="2478" spans="34:47">
      <c r="AH2478" s="6">
        <f t="shared" si="372"/>
        <v>2448</v>
      </c>
      <c r="AI2478" s="7">
        <f t="shared" ca="1" si="373"/>
        <v>45118</v>
      </c>
      <c r="AJ2478" s="210">
        <f t="shared" ca="1" si="374"/>
        <v>4.1749999999999998</v>
      </c>
      <c r="AK2478" s="8">
        <f t="shared" ca="1" si="375"/>
        <v>1.0001159722222221</v>
      </c>
      <c r="AL2478" s="98">
        <f t="shared" ca="1" si="376"/>
        <v>4.0640473990654735</v>
      </c>
      <c r="AM2478" s="106">
        <f t="shared" ca="1" si="370"/>
        <v>32044.62792399072</v>
      </c>
      <c r="AN2478" s="10">
        <f t="shared" ca="1" si="371"/>
        <v>1.0174417697698557</v>
      </c>
      <c r="AO2478" s="158"/>
      <c r="AP2478" s="158"/>
      <c r="AQ2478" s="1"/>
      <c r="AR2478" s="1"/>
      <c r="AS2478" s="1"/>
      <c r="AT2478" s="1"/>
      <c r="AU2478" s="1"/>
    </row>
    <row r="2479" spans="34:47">
      <c r="AH2479" s="6">
        <f t="shared" si="372"/>
        <v>2449</v>
      </c>
      <c r="AI2479" s="7">
        <f t="shared" ca="1" si="373"/>
        <v>45119</v>
      </c>
      <c r="AJ2479" s="210">
        <f t="shared" ca="1" si="374"/>
        <v>4.1749999999999998</v>
      </c>
      <c r="AK2479" s="8">
        <f t="shared" ca="1" si="375"/>
        <v>1.0001159722222221</v>
      </c>
      <c r="AL2479" s="98">
        <f t="shared" ca="1" si="376"/>
        <v>4.0641532496680677</v>
      </c>
      <c r="AM2479" s="106">
        <f t="shared" ca="1" si="370"/>
        <v>32047.268448411858</v>
      </c>
      <c r="AN2479" s="10">
        <f t="shared" ca="1" si="371"/>
        <v>1.017529591990618</v>
      </c>
      <c r="AO2479" s="158"/>
      <c r="AP2479" s="158"/>
      <c r="AQ2479" s="1"/>
      <c r="AR2479" s="1"/>
      <c r="AS2479" s="1"/>
      <c r="AT2479" s="1"/>
      <c r="AU2479" s="1"/>
    </row>
    <row r="2480" spans="34:47">
      <c r="AH2480" s="6">
        <f t="shared" si="372"/>
        <v>2450</v>
      </c>
      <c r="AI2480" s="7">
        <f t="shared" ca="1" si="373"/>
        <v>45120</v>
      </c>
      <c r="AJ2480" s="210">
        <f t="shared" ca="1" si="374"/>
        <v>4.1749999999999998</v>
      </c>
      <c r="AK2480" s="8">
        <f t="shared" ca="1" si="375"/>
        <v>1.0001159722222221</v>
      </c>
      <c r="AL2480" s="98">
        <f t="shared" ca="1" si="376"/>
        <v>4.06425901396954</v>
      </c>
      <c r="AM2480" s="106">
        <f t="shared" ca="1" si="370"/>
        <v>32049.909190416078</v>
      </c>
      <c r="AN2480" s="10">
        <f t="shared" ca="1" si="371"/>
        <v>1.0176173425960444</v>
      </c>
      <c r="AO2480" s="158"/>
      <c r="AP2480" s="158"/>
      <c r="AQ2480" s="1"/>
      <c r="AR2480" s="1"/>
      <c r="AS2480" s="1"/>
      <c r="AT2480" s="1"/>
      <c r="AU2480" s="1"/>
    </row>
    <row r="2481" spans="34:47">
      <c r="AH2481" s="6">
        <f t="shared" si="372"/>
        <v>2451</v>
      </c>
      <c r="AI2481" s="7">
        <f t="shared" ca="1" si="373"/>
        <v>45121</v>
      </c>
      <c r="AJ2481" s="210">
        <f t="shared" ca="1" si="374"/>
        <v>4.1749999999999998</v>
      </c>
      <c r="AK2481" s="8">
        <f t="shared" ca="1" si="375"/>
        <v>1.0001159722222221</v>
      </c>
      <c r="AL2481" s="98">
        <f t="shared" ca="1" si="376"/>
        <v>4.064364692075384</v>
      </c>
      <c r="AM2481" s="106">
        <f t="shared" ca="1" si="370"/>
        <v>32052.550150021332</v>
      </c>
      <c r="AN2481" s="10">
        <f t="shared" ca="1" si="371"/>
        <v>1.0177050216736649</v>
      </c>
      <c r="AO2481" s="158"/>
      <c r="AP2481" s="158"/>
      <c r="AQ2481" s="1"/>
      <c r="AR2481" s="1"/>
      <c r="AS2481" s="1"/>
      <c r="AT2481" s="1"/>
      <c r="AU2481" s="1"/>
    </row>
    <row r="2482" spans="34:47">
      <c r="AH2482" s="6">
        <f t="shared" si="372"/>
        <v>2452</v>
      </c>
      <c r="AI2482" s="7">
        <f t="shared" ca="1" si="373"/>
        <v>45122</v>
      </c>
      <c r="AJ2482" s="210">
        <f t="shared" ca="1" si="374"/>
        <v>4.1749999999999998</v>
      </c>
      <c r="AK2482" s="8">
        <f t="shared" ca="1" si="375"/>
        <v>1.0001159722222221</v>
      </c>
      <c r="AL2482" s="98">
        <f t="shared" ca="1" si="376"/>
        <v>4.0644702840909375</v>
      </c>
      <c r="AM2482" s="106">
        <f t="shared" ca="1" si="370"/>
        <v>32055.191327245528</v>
      </c>
      <c r="AN2482" s="10">
        <f t="shared" ca="1" si="371"/>
        <v>1.0177926293109207</v>
      </c>
      <c r="AO2482" s="158"/>
      <c r="AP2482" s="158"/>
      <c r="AQ2482" s="1"/>
      <c r="AR2482" s="1"/>
      <c r="AS2482" s="1"/>
      <c r="AT2482" s="1"/>
      <c r="AU2482" s="1"/>
    </row>
    <row r="2483" spans="34:47">
      <c r="AH2483" s="6">
        <f t="shared" si="372"/>
        <v>2453</v>
      </c>
      <c r="AI2483" s="7">
        <f t="shared" ca="1" si="373"/>
        <v>45123</v>
      </c>
      <c r="AJ2483" s="210">
        <f t="shared" ca="1" si="374"/>
        <v>4.1749999999999998</v>
      </c>
      <c r="AK2483" s="8">
        <f t="shared" ca="1" si="375"/>
        <v>1.0001159722222221</v>
      </c>
      <c r="AL2483" s="98">
        <f t="shared" ca="1" si="376"/>
        <v>4.0645757901213608</v>
      </c>
      <c r="AM2483" s="106">
        <f t="shared" ca="1" si="370"/>
        <v>32057.83272210661</v>
      </c>
      <c r="AN2483" s="10">
        <f t="shared" ca="1" si="371"/>
        <v>1.0178801655950975</v>
      </c>
      <c r="AO2483" s="158"/>
      <c r="AP2483" s="158"/>
      <c r="AQ2483" s="1"/>
      <c r="AR2483" s="1"/>
      <c r="AS2483" s="1"/>
      <c r="AT2483" s="1"/>
      <c r="AU2483" s="1"/>
    </row>
    <row r="2484" spans="34:47">
      <c r="AH2484" s="6">
        <f t="shared" si="372"/>
        <v>2454</v>
      </c>
      <c r="AI2484" s="7">
        <f t="shared" ca="1" si="373"/>
        <v>45124</v>
      </c>
      <c r="AJ2484" s="210">
        <f t="shared" ca="1" si="374"/>
        <v>4.1749999999999998</v>
      </c>
      <c r="AK2484" s="8">
        <f t="shared" ca="1" si="375"/>
        <v>1.0001159722222221</v>
      </c>
      <c r="AL2484" s="98">
        <f t="shared" ca="1" si="376"/>
        <v>4.0646812102716368</v>
      </c>
      <c r="AM2484" s="106">
        <f t="shared" ca="1" si="370"/>
        <v>32060.474334622511</v>
      </c>
      <c r="AN2484" s="10">
        <f t="shared" ca="1" si="371"/>
        <v>1.0179676306133034</v>
      </c>
      <c r="AO2484" s="158"/>
      <c r="AP2484" s="158"/>
      <c r="AQ2484" s="1"/>
      <c r="AR2484" s="1"/>
      <c r="AS2484" s="1"/>
      <c r="AT2484" s="1"/>
      <c r="AU2484" s="1"/>
    </row>
    <row r="2485" spans="34:47">
      <c r="AH2485" s="6">
        <f t="shared" si="372"/>
        <v>2455</v>
      </c>
      <c r="AI2485" s="7">
        <f t="shared" ca="1" si="373"/>
        <v>45125</v>
      </c>
      <c r="AJ2485" s="210">
        <f t="shared" ca="1" si="374"/>
        <v>4.1749999999999998</v>
      </c>
      <c r="AK2485" s="8">
        <f t="shared" ca="1" si="375"/>
        <v>1.0001159722222221</v>
      </c>
      <c r="AL2485" s="98">
        <f t="shared" ca="1" si="376"/>
        <v>4.0647865446465925</v>
      </c>
      <c r="AM2485" s="106">
        <f t="shared" ca="1" si="370"/>
        <v>32063.116164811159</v>
      </c>
      <c r="AN2485" s="10">
        <f t="shared" ca="1" si="371"/>
        <v>1.0180550244525799</v>
      </c>
      <c r="AO2485" s="158"/>
      <c r="AP2485" s="158"/>
      <c r="AQ2485" s="1"/>
      <c r="AR2485" s="1"/>
      <c r="AS2485" s="1"/>
      <c r="AT2485" s="1"/>
      <c r="AU2485" s="1"/>
    </row>
    <row r="2486" spans="34:47">
      <c r="AH2486" s="6">
        <f t="shared" si="372"/>
        <v>2456</v>
      </c>
      <c r="AI2486" s="7">
        <f t="shared" ca="1" si="373"/>
        <v>45126</v>
      </c>
      <c r="AJ2486" s="210">
        <f t="shared" ca="1" si="374"/>
        <v>4.1749999999999998</v>
      </c>
      <c r="AK2486" s="8">
        <f t="shared" ca="1" si="375"/>
        <v>1.0001159722222221</v>
      </c>
      <c r="AL2486" s="98">
        <f t="shared" ca="1" si="376"/>
        <v>4.0648917933508555</v>
      </c>
      <c r="AM2486" s="106">
        <f t="shared" ca="1" si="370"/>
        <v>32065.758212690504</v>
      </c>
      <c r="AN2486" s="10">
        <f t="shared" ca="1" si="371"/>
        <v>1.0181423471997464</v>
      </c>
      <c r="AO2486" s="158"/>
      <c r="AP2486" s="158"/>
      <c r="AQ2486" s="1"/>
      <c r="AR2486" s="1"/>
      <c r="AS2486" s="1"/>
      <c r="AT2486" s="1"/>
      <c r="AU2486" s="1"/>
    </row>
    <row r="2487" spans="34:47">
      <c r="AH2487" s="6">
        <f t="shared" si="372"/>
        <v>2457</v>
      </c>
      <c r="AI2487" s="7">
        <f t="shared" ca="1" si="373"/>
        <v>45127</v>
      </c>
      <c r="AJ2487" s="210">
        <f t="shared" ca="1" si="374"/>
        <v>4.1749999999999998</v>
      </c>
      <c r="AK2487" s="8">
        <f t="shared" ca="1" si="375"/>
        <v>1.0001159722222221</v>
      </c>
      <c r="AL2487" s="98">
        <f t="shared" ca="1" si="376"/>
        <v>4.0649969564888977</v>
      </c>
      <c r="AM2487" s="106">
        <f t="shared" ca="1" si="370"/>
        <v>32068.400478278469</v>
      </c>
      <c r="AN2487" s="10">
        <f t="shared" ca="1" si="371"/>
        <v>1.0182295989414891</v>
      </c>
      <c r="AO2487" s="158"/>
      <c r="AP2487" s="158"/>
      <c r="AQ2487" s="1"/>
      <c r="AR2487" s="1"/>
      <c r="AS2487" s="1"/>
      <c r="AT2487" s="1"/>
      <c r="AU2487" s="1"/>
    </row>
    <row r="2488" spans="34:47">
      <c r="AH2488" s="6">
        <f t="shared" si="372"/>
        <v>2458</v>
      </c>
      <c r="AI2488" s="7">
        <f t="shared" ca="1" si="373"/>
        <v>45128</v>
      </c>
      <c r="AJ2488" s="210">
        <f t="shared" ca="1" si="374"/>
        <v>4.1749999999999998</v>
      </c>
      <c r="AK2488" s="8">
        <f t="shared" ca="1" si="375"/>
        <v>1.0001159722222221</v>
      </c>
      <c r="AL2488" s="98">
        <f t="shared" ca="1" si="376"/>
        <v>4.0651020341650357</v>
      </c>
      <c r="AM2488" s="106">
        <f t="shared" ca="1" si="370"/>
        <v>32071.042961593008</v>
      </c>
      <c r="AN2488" s="10">
        <f t="shared" ca="1" si="371"/>
        <v>1.0183167797644277</v>
      </c>
      <c r="AO2488" s="158"/>
      <c r="AP2488" s="158"/>
      <c r="AQ2488" s="1"/>
      <c r="AR2488" s="1"/>
      <c r="AS2488" s="1"/>
      <c r="AT2488" s="1"/>
      <c r="AU2488" s="1"/>
    </row>
    <row r="2489" spans="34:47">
      <c r="AH2489" s="6">
        <f t="shared" si="372"/>
        <v>2459</v>
      </c>
      <c r="AI2489" s="7">
        <f t="shared" ca="1" si="373"/>
        <v>45129</v>
      </c>
      <c r="AJ2489" s="210">
        <f t="shared" ca="1" si="374"/>
        <v>4.1749999999999998</v>
      </c>
      <c r="AK2489" s="8">
        <f t="shared" ca="1" si="375"/>
        <v>1.0001159722222221</v>
      </c>
      <c r="AL2489" s="98">
        <f t="shared" ca="1" si="376"/>
        <v>4.0652070264833862</v>
      </c>
      <c r="AM2489" s="106">
        <f t="shared" ca="1" si="370"/>
        <v>32073.685662652046</v>
      </c>
      <c r="AN2489" s="10">
        <f t="shared" ca="1" si="371"/>
        <v>1.0184038897549597</v>
      </c>
      <c r="AO2489" s="158"/>
      <c r="AP2489" s="158"/>
      <c r="AQ2489" s="1"/>
      <c r="AR2489" s="1"/>
      <c r="AS2489" s="1"/>
      <c r="AT2489" s="1"/>
      <c r="AU2489" s="1"/>
    </row>
    <row r="2490" spans="34:47">
      <c r="AH2490" s="6">
        <f t="shared" si="372"/>
        <v>2460</v>
      </c>
      <c r="AI2490" s="7">
        <f t="shared" ca="1" si="373"/>
        <v>45130</v>
      </c>
      <c r="AJ2490" s="210">
        <f t="shared" ca="1" si="374"/>
        <v>4.1749999999999998</v>
      </c>
      <c r="AK2490" s="8">
        <f t="shared" ca="1" si="375"/>
        <v>1.0001159722222221</v>
      </c>
      <c r="AL2490" s="98">
        <f t="shared" ca="1" si="376"/>
        <v>4.0653119335479326</v>
      </c>
      <c r="AM2490" s="106">
        <f t="shared" ca="1" si="370"/>
        <v>32076.328581473535</v>
      </c>
      <c r="AN2490" s="10">
        <f t="shared" ca="1" si="371"/>
        <v>1.018490928999416</v>
      </c>
      <c r="AO2490" s="158"/>
      <c r="AP2490" s="158"/>
      <c r="AQ2490" s="1"/>
      <c r="AR2490" s="1"/>
      <c r="AS2490" s="1"/>
      <c r="AT2490" s="1"/>
      <c r="AU2490" s="1"/>
    </row>
    <row r="2491" spans="34:47">
      <c r="AH2491" s="6">
        <f t="shared" si="372"/>
        <v>2461</v>
      </c>
      <c r="AI2491" s="7">
        <f t="shared" ca="1" si="373"/>
        <v>45131</v>
      </c>
      <c r="AJ2491" s="210">
        <f t="shared" ca="1" si="374"/>
        <v>4.1749999999999998</v>
      </c>
      <c r="AK2491" s="8">
        <f t="shared" ca="1" si="375"/>
        <v>1.0001159722222221</v>
      </c>
      <c r="AL2491" s="98">
        <f t="shared" ca="1" si="376"/>
        <v>4.0654167554624587</v>
      </c>
      <c r="AM2491" s="106">
        <f t="shared" ca="1" si="370"/>
        <v>32078.971718075427</v>
      </c>
      <c r="AN2491" s="10">
        <f t="shared" ca="1" si="371"/>
        <v>1.0185778975838611</v>
      </c>
      <c r="AO2491" s="158"/>
      <c r="AP2491" s="158"/>
      <c r="AQ2491" s="1"/>
      <c r="AR2491" s="1"/>
      <c r="AS2491" s="1"/>
      <c r="AT2491" s="1"/>
      <c r="AU2491" s="1"/>
    </row>
    <row r="2492" spans="34:47">
      <c r="AH2492" s="6">
        <f t="shared" si="372"/>
        <v>2462</v>
      </c>
      <c r="AI2492" s="7">
        <f t="shared" ca="1" si="373"/>
        <v>45132</v>
      </c>
      <c r="AJ2492" s="210">
        <f t="shared" ca="1" si="374"/>
        <v>4.1749999999999998</v>
      </c>
      <c r="AK2492" s="8">
        <f t="shared" ca="1" si="375"/>
        <v>1.0001159722222221</v>
      </c>
      <c r="AL2492" s="98">
        <f t="shared" ca="1" si="376"/>
        <v>4.0655214923306149</v>
      </c>
      <c r="AM2492" s="106">
        <f t="shared" ca="1" si="370"/>
        <v>32081.615072475652</v>
      </c>
      <c r="AN2492" s="10">
        <f t="shared" ca="1" si="371"/>
        <v>1.0186647955944039</v>
      </c>
      <c r="AO2492" s="158"/>
      <c r="AP2492" s="158"/>
      <c r="AQ2492" s="1"/>
      <c r="AR2492" s="1"/>
      <c r="AS2492" s="1"/>
      <c r="AT2492" s="1"/>
      <c r="AU2492" s="1"/>
    </row>
    <row r="2493" spans="34:47">
      <c r="AH2493" s="6">
        <f t="shared" si="372"/>
        <v>2463</v>
      </c>
      <c r="AI2493" s="7">
        <f t="shared" ca="1" si="373"/>
        <v>45133</v>
      </c>
      <c r="AJ2493" s="210">
        <f t="shared" ca="1" si="374"/>
        <v>4.1749999999999998</v>
      </c>
      <c r="AK2493" s="8">
        <f t="shared" ca="1" si="375"/>
        <v>1.0001159722222221</v>
      </c>
      <c r="AL2493" s="98">
        <f t="shared" ca="1" si="376"/>
        <v>4.0656261442558295</v>
      </c>
      <c r="AM2493" s="106">
        <f t="shared" ca="1" si="370"/>
        <v>32084.258644692163</v>
      </c>
      <c r="AN2493" s="10">
        <f t="shared" ca="1" si="371"/>
        <v>1.0187516231168425</v>
      </c>
      <c r="AO2493" s="158"/>
      <c r="AP2493" s="158"/>
      <c r="AQ2493" s="1"/>
      <c r="AR2493" s="1"/>
      <c r="AS2493" s="1"/>
      <c r="AT2493" s="1"/>
      <c r="AU2493" s="1"/>
    </row>
    <row r="2494" spans="34:47">
      <c r="AH2494" s="6">
        <f t="shared" si="372"/>
        <v>2464</v>
      </c>
      <c r="AI2494" s="7">
        <f t="shared" ca="1" si="373"/>
        <v>45134</v>
      </c>
      <c r="AJ2494" s="210">
        <f t="shared" ca="1" si="374"/>
        <v>4.1749999999999998</v>
      </c>
      <c r="AK2494" s="8">
        <f t="shared" ca="1" si="375"/>
        <v>1.0001159722222221</v>
      </c>
      <c r="AL2494" s="98">
        <f t="shared" ca="1" si="376"/>
        <v>4.0657307113414198</v>
      </c>
      <c r="AM2494" s="106">
        <f t="shared" ca="1" si="370"/>
        <v>32086.902434742904</v>
      </c>
      <c r="AN2494" s="10">
        <f t="shared" ca="1" si="371"/>
        <v>1.0188383802369527</v>
      </c>
      <c r="AO2494" s="158"/>
      <c r="AP2494" s="158"/>
      <c r="AQ2494" s="1"/>
      <c r="AR2494" s="1"/>
      <c r="AS2494" s="1"/>
      <c r="AT2494" s="1"/>
      <c r="AU2494" s="1"/>
    </row>
    <row r="2495" spans="34:47">
      <c r="AH2495" s="6">
        <f t="shared" si="372"/>
        <v>2465</v>
      </c>
      <c r="AI2495" s="7">
        <f t="shared" ca="1" si="373"/>
        <v>45135</v>
      </c>
      <c r="AJ2495" s="210">
        <f t="shared" ca="1" si="374"/>
        <v>4.1749999999999998</v>
      </c>
      <c r="AK2495" s="8">
        <f t="shared" ca="1" si="375"/>
        <v>1.0001159722222221</v>
      </c>
      <c r="AL2495" s="98">
        <f t="shared" ca="1" si="376"/>
        <v>4.0658351936905035</v>
      </c>
      <c r="AM2495" s="106">
        <f t="shared" ca="1" si="370"/>
        <v>32089.546442645838</v>
      </c>
      <c r="AN2495" s="10">
        <f t="shared" ca="1" si="371"/>
        <v>1.0189250670402883</v>
      </c>
      <c r="AO2495" s="158"/>
      <c r="AP2495" s="158"/>
      <c r="AQ2495" s="1"/>
      <c r="AR2495" s="1"/>
      <c r="AS2495" s="1"/>
      <c r="AT2495" s="1"/>
      <c r="AU2495" s="1"/>
    </row>
    <row r="2496" spans="34:47">
      <c r="AH2496" s="6">
        <f t="shared" si="372"/>
        <v>2466</v>
      </c>
      <c r="AI2496" s="7">
        <f t="shared" ca="1" si="373"/>
        <v>45136</v>
      </c>
      <c r="AJ2496" s="210">
        <f t="shared" ca="1" si="374"/>
        <v>4.1749999999999998</v>
      </c>
      <c r="AK2496" s="8">
        <f t="shared" ca="1" si="375"/>
        <v>1.0001159722222221</v>
      </c>
      <c r="AL2496" s="98">
        <f t="shared" ca="1" si="376"/>
        <v>4.0659395914060426</v>
      </c>
      <c r="AM2496" s="106">
        <f t="shared" ca="1" si="370"/>
        <v>32092.190668418905</v>
      </c>
      <c r="AN2496" s="10">
        <f t="shared" ca="1" si="371"/>
        <v>1.0190116836123586</v>
      </c>
      <c r="AO2496" s="158"/>
      <c r="AP2496" s="158"/>
      <c r="AQ2496" s="1"/>
      <c r="AR2496" s="1"/>
      <c r="AS2496" s="1"/>
      <c r="AT2496" s="1"/>
      <c r="AU2496" s="1"/>
    </row>
    <row r="2497" spans="34:47">
      <c r="AH2497" s="6">
        <f t="shared" si="372"/>
        <v>2467</v>
      </c>
      <c r="AI2497" s="7">
        <f t="shared" ca="1" si="373"/>
        <v>45137</v>
      </c>
      <c r="AJ2497" s="210">
        <f t="shared" ca="1" si="374"/>
        <v>4.1749999999999998</v>
      </c>
      <c r="AK2497" s="8">
        <f t="shared" ca="1" si="375"/>
        <v>1.0001159722222221</v>
      </c>
      <c r="AL2497" s="98">
        <f t="shared" ca="1" si="376"/>
        <v>4.0660439045908214</v>
      </c>
      <c r="AM2497" s="106">
        <f t="shared" ca="1" si="370"/>
        <v>32094.835112080062</v>
      </c>
      <c r="AN2497" s="10">
        <f t="shared" ca="1" si="371"/>
        <v>1.0190982300384066</v>
      </c>
      <c r="AO2497" s="158"/>
      <c r="AP2497" s="158"/>
      <c r="AQ2497" s="1"/>
      <c r="AR2497" s="1"/>
      <c r="AS2497" s="1"/>
      <c r="AT2497" s="1"/>
      <c r="AU2497" s="1"/>
    </row>
    <row r="2498" spans="34:47">
      <c r="AH2498" s="6">
        <f t="shared" si="372"/>
        <v>2468</v>
      </c>
      <c r="AI2498" s="7">
        <f t="shared" ca="1" si="373"/>
        <v>45138</v>
      </c>
      <c r="AJ2498" s="210">
        <f t="shared" ca="1" si="374"/>
        <v>4.1749999999999998</v>
      </c>
      <c r="AK2498" s="8">
        <f t="shared" ca="1" si="375"/>
        <v>1.0001159722222221</v>
      </c>
      <c r="AL2498" s="98">
        <f t="shared" ca="1" si="376"/>
        <v>4.0661481333474692</v>
      </c>
      <c r="AM2498" s="106">
        <f t="shared" ca="1" si="370"/>
        <v>32097.479773647254</v>
      </c>
      <c r="AN2498" s="10">
        <f t="shared" ca="1" si="371"/>
        <v>1.019184706403653</v>
      </c>
      <c r="AO2498" s="158"/>
      <c r="AP2498" s="158"/>
      <c r="AQ2498" s="1"/>
      <c r="AR2498" s="1"/>
      <c r="AS2498" s="1"/>
      <c r="AT2498" s="1"/>
      <c r="AU2498" s="1"/>
    </row>
    <row r="2499" spans="34:47">
      <c r="AH2499" s="6">
        <f t="shared" si="372"/>
        <v>2469</v>
      </c>
      <c r="AI2499" s="7">
        <f t="shared" ca="1" si="373"/>
        <v>45139</v>
      </c>
      <c r="AJ2499" s="210">
        <f t="shared" ca="1" si="374"/>
        <v>4.1749999999999998</v>
      </c>
      <c r="AK2499" s="8">
        <f t="shared" ca="1" si="375"/>
        <v>1.0001159722222221</v>
      </c>
      <c r="AL2499" s="98">
        <f t="shared" ca="1" si="376"/>
        <v>4.0662522777784593</v>
      </c>
      <c r="AM2499" s="106">
        <f t="shared" ca="1" si="370"/>
        <v>32100.124653138457</v>
      </c>
      <c r="AN2499" s="10">
        <f t="shared" ca="1" si="371"/>
        <v>1.0192711127931409</v>
      </c>
      <c r="AO2499" s="158"/>
      <c r="AP2499" s="158"/>
      <c r="AQ2499" s="1"/>
      <c r="AR2499" s="1"/>
      <c r="AS2499" s="1"/>
      <c r="AT2499" s="1"/>
      <c r="AU2499" s="1"/>
    </row>
    <row r="2500" spans="34:47">
      <c r="AH2500" s="6">
        <f t="shared" si="372"/>
        <v>2470</v>
      </c>
      <c r="AI2500" s="7">
        <f t="shared" ca="1" si="373"/>
        <v>45140</v>
      </c>
      <c r="AJ2500" s="210">
        <f t="shared" ca="1" si="374"/>
        <v>4.1749999999999998</v>
      </c>
      <c r="AK2500" s="8">
        <f t="shared" ca="1" si="375"/>
        <v>1.0001159722222221</v>
      </c>
      <c r="AL2500" s="98">
        <f t="shared" ca="1" si="376"/>
        <v>4.0663563379860657</v>
      </c>
      <c r="AM2500" s="106">
        <f t="shared" ca="1" si="370"/>
        <v>32102.769750571602</v>
      </c>
      <c r="AN2500" s="10">
        <f t="shared" ca="1" si="371"/>
        <v>1.0193574492917579</v>
      </c>
      <c r="AO2500" s="158"/>
      <c r="AP2500" s="158"/>
      <c r="AQ2500" s="1"/>
      <c r="AR2500" s="1"/>
      <c r="AS2500" s="1"/>
      <c r="AT2500" s="1"/>
      <c r="AU2500" s="1"/>
    </row>
    <row r="2501" spans="34:47">
      <c r="AH2501" s="6">
        <f t="shared" si="372"/>
        <v>2471</v>
      </c>
      <c r="AI2501" s="7">
        <f t="shared" ca="1" si="373"/>
        <v>45141</v>
      </c>
      <c r="AJ2501" s="210">
        <f t="shared" ca="1" si="374"/>
        <v>4.1749999999999998</v>
      </c>
      <c r="AK2501" s="8">
        <f t="shared" ca="1" si="375"/>
        <v>1.0001159722222221</v>
      </c>
      <c r="AL2501" s="98">
        <f t="shared" ca="1" si="376"/>
        <v>4.0664603140724287</v>
      </c>
      <c r="AM2501" s="106">
        <f t="shared" ca="1" si="370"/>
        <v>32105.415065964673</v>
      </c>
      <c r="AN2501" s="10">
        <f t="shared" ca="1" si="371"/>
        <v>1.0194437159842806</v>
      </c>
      <c r="AO2501" s="158"/>
      <c r="AP2501" s="158"/>
      <c r="AQ2501" s="1"/>
      <c r="AR2501" s="1"/>
      <c r="AS2501" s="1"/>
      <c r="AT2501" s="1"/>
      <c r="AU2501" s="1"/>
    </row>
    <row r="2502" spans="34:47">
      <c r="AH2502" s="6">
        <f t="shared" si="372"/>
        <v>2472</v>
      </c>
      <c r="AI2502" s="7">
        <f t="shared" ca="1" si="373"/>
        <v>45142</v>
      </c>
      <c r="AJ2502" s="210">
        <f t="shared" ca="1" si="374"/>
        <v>4.1749999999999998</v>
      </c>
      <c r="AK2502" s="8">
        <f t="shared" ca="1" si="375"/>
        <v>1.0001159722222221</v>
      </c>
      <c r="AL2502" s="98">
        <f t="shared" ca="1" si="376"/>
        <v>4.0665642061394891</v>
      </c>
      <c r="AM2502" s="106">
        <f t="shared" ca="1" si="370"/>
        <v>32108.060599335615</v>
      </c>
      <c r="AN2502" s="10">
        <f t="shared" ca="1" si="371"/>
        <v>1.0195299129552859</v>
      </c>
      <c r="AO2502" s="158"/>
      <c r="AP2502" s="158"/>
      <c r="AQ2502" s="1"/>
      <c r="AR2502" s="1"/>
      <c r="AS2502" s="1"/>
      <c r="AT2502" s="1"/>
      <c r="AU2502" s="1"/>
    </row>
    <row r="2503" spans="34:47">
      <c r="AH2503" s="6">
        <f t="shared" si="372"/>
        <v>2473</v>
      </c>
      <c r="AI2503" s="7">
        <f t="shared" ca="1" si="373"/>
        <v>45143</v>
      </c>
      <c r="AJ2503" s="210">
        <f t="shared" ca="1" si="374"/>
        <v>4.1749999999999998</v>
      </c>
      <c r="AK2503" s="8">
        <f t="shared" ca="1" si="375"/>
        <v>1.0001159722222221</v>
      </c>
      <c r="AL2503" s="98">
        <f t="shared" ca="1" si="376"/>
        <v>4.0666680142890765</v>
      </c>
      <c r="AM2503" s="106">
        <f t="shared" ca="1" si="370"/>
        <v>32110.706350702392</v>
      </c>
      <c r="AN2503" s="10">
        <f t="shared" ca="1" si="371"/>
        <v>1.0196160402893506</v>
      </c>
      <c r="AO2503" s="158"/>
      <c r="AP2503" s="158"/>
      <c r="AQ2503" s="1"/>
      <c r="AR2503" s="1"/>
      <c r="AS2503" s="1"/>
      <c r="AT2503" s="1"/>
      <c r="AU2503" s="1"/>
    </row>
    <row r="2504" spans="34:47">
      <c r="AH2504" s="6">
        <f t="shared" si="372"/>
        <v>2474</v>
      </c>
      <c r="AI2504" s="7">
        <f t="shared" ca="1" si="373"/>
        <v>45144</v>
      </c>
      <c r="AJ2504" s="210">
        <f t="shared" ca="1" si="374"/>
        <v>4.1749999999999998</v>
      </c>
      <c r="AK2504" s="8">
        <f t="shared" ca="1" si="375"/>
        <v>1.0001159722222221</v>
      </c>
      <c r="AL2504" s="98">
        <f t="shared" ca="1" si="376"/>
        <v>4.0667717386227986</v>
      </c>
      <c r="AM2504" s="106">
        <f t="shared" ca="1" si="370"/>
        <v>32113.352320082973</v>
      </c>
      <c r="AN2504" s="10">
        <f t="shared" ca="1" si="371"/>
        <v>1.0197020980707405</v>
      </c>
      <c r="AO2504" s="158"/>
      <c r="AP2504" s="158"/>
      <c r="AQ2504" s="1"/>
      <c r="AR2504" s="1"/>
      <c r="AS2504" s="1"/>
      <c r="AT2504" s="1"/>
      <c r="AU2504" s="1"/>
    </row>
    <row r="2505" spans="34:47">
      <c r="AH2505" s="6">
        <f t="shared" si="372"/>
        <v>2475</v>
      </c>
      <c r="AI2505" s="7">
        <f t="shared" ca="1" si="373"/>
        <v>45145</v>
      </c>
      <c r="AJ2505" s="210">
        <f t="shared" ca="1" si="374"/>
        <v>4.1749999999999998</v>
      </c>
      <c r="AK2505" s="8">
        <f t="shared" ca="1" si="375"/>
        <v>1.0001159722222221</v>
      </c>
      <c r="AL2505" s="98">
        <f t="shared" ca="1" si="376"/>
        <v>4.0668753792421297</v>
      </c>
      <c r="AM2505" s="106">
        <f t="shared" ca="1" si="370"/>
        <v>32115.998507495315</v>
      </c>
      <c r="AN2505" s="10">
        <f t="shared" ca="1" si="371"/>
        <v>1.0197880863837216</v>
      </c>
      <c r="AO2505" s="158"/>
      <c r="AP2505" s="158"/>
      <c r="AQ2505" s="1"/>
      <c r="AR2505" s="1"/>
      <c r="AS2505" s="1"/>
      <c r="AT2505" s="1"/>
      <c r="AU2505" s="1"/>
    </row>
    <row r="2506" spans="34:47">
      <c r="AH2506" s="6">
        <f t="shared" si="372"/>
        <v>2476</v>
      </c>
      <c r="AI2506" s="7">
        <f t="shared" ca="1" si="373"/>
        <v>45146</v>
      </c>
      <c r="AJ2506" s="210">
        <f t="shared" ca="1" si="374"/>
        <v>4.1749999999999998</v>
      </c>
      <c r="AK2506" s="8">
        <f t="shared" ca="1" si="375"/>
        <v>1.0001159722222221</v>
      </c>
      <c r="AL2506" s="98">
        <f t="shared" ca="1" si="376"/>
        <v>4.0669789362483888</v>
      </c>
      <c r="AM2506" s="106">
        <f t="shared" ca="1" si="370"/>
        <v>32118.644912957385</v>
      </c>
      <c r="AN2506" s="10">
        <f t="shared" ca="1" si="371"/>
        <v>1.0198740053123601</v>
      </c>
      <c r="AO2506" s="158"/>
      <c r="AP2506" s="158"/>
      <c r="AQ2506" s="1"/>
      <c r="AR2506" s="1"/>
      <c r="AS2506" s="1"/>
      <c r="AT2506" s="1"/>
      <c r="AU2506" s="1"/>
    </row>
    <row r="2507" spans="34:47">
      <c r="AH2507" s="6">
        <f t="shared" si="372"/>
        <v>2477</v>
      </c>
      <c r="AI2507" s="7">
        <f t="shared" ca="1" si="373"/>
        <v>45147</v>
      </c>
      <c r="AJ2507" s="210">
        <f t="shared" ca="1" si="374"/>
        <v>4.1749999999999998</v>
      </c>
      <c r="AK2507" s="8">
        <f t="shared" ca="1" si="375"/>
        <v>1.0001159722222221</v>
      </c>
      <c r="AL2507" s="98">
        <f t="shared" ca="1" si="376"/>
        <v>4.0670824097427172</v>
      </c>
      <c r="AM2507" s="106">
        <f t="shared" ca="1" si="370"/>
        <v>32121.291536487162</v>
      </c>
      <c r="AN2507" s="10">
        <f t="shared" ca="1" si="371"/>
        <v>1.019959854940633</v>
      </c>
      <c r="AO2507" s="158"/>
      <c r="AP2507" s="158"/>
      <c r="AQ2507" s="1"/>
      <c r="AR2507" s="1"/>
      <c r="AS2507" s="1"/>
      <c r="AT2507" s="1"/>
      <c r="AU2507" s="1"/>
    </row>
    <row r="2508" spans="34:47">
      <c r="AH2508" s="6">
        <f t="shared" si="372"/>
        <v>2478</v>
      </c>
      <c r="AI2508" s="7">
        <f t="shared" ca="1" si="373"/>
        <v>45148</v>
      </c>
      <c r="AJ2508" s="210">
        <f t="shared" ca="1" si="374"/>
        <v>4.1749999999999998</v>
      </c>
      <c r="AK2508" s="8">
        <f t="shared" ca="1" si="375"/>
        <v>1.0001159722222221</v>
      </c>
      <c r="AL2508" s="98">
        <f t="shared" ca="1" si="376"/>
        <v>4.0671857998260785</v>
      </c>
      <c r="AM2508" s="106">
        <f t="shared" ca="1" si="370"/>
        <v>32123.938378102597</v>
      </c>
      <c r="AN2508" s="10">
        <f t="shared" ca="1" si="371"/>
        <v>1.0200456353522958</v>
      </c>
      <c r="AO2508" s="158"/>
      <c r="AP2508" s="158"/>
      <c r="AQ2508" s="1"/>
      <c r="AR2508" s="1"/>
      <c r="AS2508" s="1"/>
      <c r="AT2508" s="1"/>
      <c r="AU2508" s="1"/>
    </row>
    <row r="2509" spans="34:47">
      <c r="AH2509" s="6">
        <f t="shared" si="372"/>
        <v>2479</v>
      </c>
      <c r="AI2509" s="7">
        <f t="shared" ca="1" si="373"/>
        <v>45149</v>
      </c>
      <c r="AJ2509" s="210">
        <f t="shared" ca="1" si="374"/>
        <v>4.1749999999999998</v>
      </c>
      <c r="AK2509" s="8">
        <f t="shared" ca="1" si="375"/>
        <v>1.0001159722222221</v>
      </c>
      <c r="AL2509" s="98">
        <f t="shared" ca="1" si="376"/>
        <v>4.0672891065993033</v>
      </c>
      <c r="AM2509" s="106">
        <f t="shared" ca="1" si="370"/>
        <v>32126.585437821675</v>
      </c>
      <c r="AN2509" s="10">
        <f t="shared" ca="1" si="371"/>
        <v>1.0201313466310813</v>
      </c>
      <c r="AO2509" s="158"/>
      <c r="AP2509" s="158"/>
      <c r="AQ2509" s="1"/>
      <c r="AR2509" s="1"/>
      <c r="AS2509" s="1"/>
      <c r="AT2509" s="1"/>
      <c r="AU2509" s="1"/>
    </row>
    <row r="2510" spans="34:47">
      <c r="AH2510" s="6">
        <f t="shared" si="372"/>
        <v>2480</v>
      </c>
      <c r="AI2510" s="7">
        <f t="shared" ca="1" si="373"/>
        <v>45150</v>
      </c>
      <c r="AJ2510" s="210">
        <f t="shared" ca="1" si="374"/>
        <v>4.1749999999999998</v>
      </c>
      <c r="AK2510" s="8">
        <f t="shared" ca="1" si="375"/>
        <v>1.0001159722222221</v>
      </c>
      <c r="AL2510" s="98">
        <f t="shared" ca="1" si="376"/>
        <v>4.0673923301630444</v>
      </c>
      <c r="AM2510" s="106">
        <f t="shared" ca="1" si="370"/>
        <v>32129.232715662361</v>
      </c>
      <c r="AN2510" s="10">
        <f t="shared" ca="1" si="371"/>
        <v>1.0202169888604784</v>
      </c>
      <c r="AO2510" s="158"/>
      <c r="AP2510" s="158"/>
      <c r="AQ2510" s="1"/>
      <c r="AR2510" s="1"/>
      <c r="AS2510" s="1"/>
      <c r="AT2510" s="1"/>
      <c r="AU2510" s="1"/>
    </row>
    <row r="2511" spans="34:47">
      <c r="AH2511" s="6">
        <f t="shared" si="372"/>
        <v>2481</v>
      </c>
      <c r="AI2511" s="7">
        <f t="shared" ca="1" si="373"/>
        <v>45151</v>
      </c>
      <c r="AJ2511" s="210">
        <f t="shared" ca="1" si="374"/>
        <v>4.1749999999999998</v>
      </c>
      <c r="AK2511" s="8">
        <f t="shared" ca="1" si="375"/>
        <v>1.0001159722222221</v>
      </c>
      <c r="AL2511" s="98">
        <f t="shared" ca="1" si="376"/>
        <v>4.067495470617799</v>
      </c>
      <c r="AM2511" s="106">
        <f t="shared" ca="1" si="370"/>
        <v>32131.88021164263</v>
      </c>
      <c r="AN2511" s="10">
        <f t="shared" ca="1" si="371"/>
        <v>1.0203025621239536</v>
      </c>
      <c r="AO2511" s="158"/>
      <c r="AP2511" s="158"/>
      <c r="AQ2511" s="1"/>
      <c r="AR2511" s="1"/>
      <c r="AS2511" s="1"/>
      <c r="AT2511" s="1"/>
      <c r="AU2511" s="1"/>
    </row>
    <row r="2512" spans="34:47">
      <c r="AH2512" s="6">
        <f t="shared" si="372"/>
        <v>2482</v>
      </c>
      <c r="AI2512" s="7">
        <f t="shared" ca="1" si="373"/>
        <v>45152</v>
      </c>
      <c r="AJ2512" s="210">
        <f t="shared" ca="1" si="374"/>
        <v>4.1749999999999998</v>
      </c>
      <c r="AK2512" s="8">
        <f t="shared" ca="1" si="375"/>
        <v>1.0001159722222221</v>
      </c>
      <c r="AL2512" s="98">
        <f t="shared" ca="1" si="376"/>
        <v>4.0675985280638871</v>
      </c>
      <c r="AM2512" s="106">
        <f t="shared" ca="1" si="370"/>
        <v>32134.527925780461</v>
      </c>
      <c r="AN2512" s="10">
        <f t="shared" ca="1" si="371"/>
        <v>1.0203880665047071</v>
      </c>
      <c r="AO2512" s="158"/>
      <c r="AP2512" s="158"/>
      <c r="AQ2512" s="1"/>
      <c r="AR2512" s="1"/>
      <c r="AS2512" s="1"/>
      <c r="AT2512" s="1"/>
      <c r="AU2512" s="1"/>
    </row>
    <row r="2513" spans="34:47">
      <c r="AH2513" s="6">
        <f t="shared" si="372"/>
        <v>2483</v>
      </c>
      <c r="AI2513" s="7">
        <f t="shared" ca="1" si="373"/>
        <v>45153</v>
      </c>
      <c r="AJ2513" s="210">
        <f t="shared" ca="1" si="374"/>
        <v>4.1749999999999998</v>
      </c>
      <c r="AK2513" s="8">
        <f t="shared" ca="1" si="375"/>
        <v>1.0001159722222221</v>
      </c>
      <c r="AL2513" s="98">
        <f t="shared" ca="1" si="376"/>
        <v>4.0677015026014729</v>
      </c>
      <c r="AM2513" s="106">
        <f t="shared" ca="1" si="370"/>
        <v>32137.175858093819</v>
      </c>
      <c r="AN2513" s="10">
        <f t="shared" ca="1" si="371"/>
        <v>1.0204735020859168</v>
      </c>
      <c r="AO2513" s="158"/>
      <c r="AP2513" s="158"/>
      <c r="AQ2513" s="1"/>
      <c r="AR2513" s="1"/>
      <c r="AS2513" s="1"/>
      <c r="AT2513" s="1"/>
      <c r="AU2513" s="1"/>
    </row>
    <row r="2514" spans="34:47">
      <c r="AH2514" s="6">
        <f t="shared" si="372"/>
        <v>2484</v>
      </c>
      <c r="AI2514" s="7">
        <f t="shared" ca="1" si="373"/>
        <v>45154</v>
      </c>
      <c r="AJ2514" s="210">
        <f t="shared" ca="1" si="374"/>
        <v>4.1749999999999998</v>
      </c>
      <c r="AK2514" s="8">
        <f t="shared" ca="1" si="375"/>
        <v>1.0001159722222221</v>
      </c>
      <c r="AL2514" s="98">
        <f t="shared" ca="1" si="376"/>
        <v>4.0678043943305653</v>
      </c>
      <c r="AM2514" s="106">
        <f t="shared" ca="1" si="370"/>
        <v>32139.824008600703</v>
      </c>
      <c r="AN2514" s="10">
        <f t="shared" ca="1" si="371"/>
        <v>1.0205588689505829</v>
      </c>
      <c r="AO2514" s="158"/>
      <c r="AP2514" s="158"/>
      <c r="AQ2514" s="1"/>
      <c r="AR2514" s="1"/>
      <c r="AS2514" s="1"/>
      <c r="AT2514" s="1"/>
      <c r="AU2514" s="1"/>
    </row>
    <row r="2515" spans="34:47">
      <c r="AH2515" s="6">
        <f t="shared" si="372"/>
        <v>2485</v>
      </c>
      <c r="AI2515" s="7">
        <f t="shared" ca="1" si="373"/>
        <v>45155</v>
      </c>
      <c r="AJ2515" s="210">
        <f t="shared" ca="1" si="374"/>
        <v>4.1749999999999998</v>
      </c>
      <c r="AK2515" s="8">
        <f t="shared" ca="1" si="375"/>
        <v>1.0001159722222221</v>
      </c>
      <c r="AL2515" s="98">
        <f t="shared" ca="1" si="376"/>
        <v>4.0679072033510399</v>
      </c>
      <c r="AM2515" s="106">
        <f t="shared" ca="1" si="370"/>
        <v>32142.472377319071</v>
      </c>
      <c r="AN2515" s="10">
        <f t="shared" ca="1" si="371"/>
        <v>1.0206441671815725</v>
      </c>
      <c r="AO2515" s="158"/>
      <c r="AP2515" s="158"/>
      <c r="AQ2515" s="1"/>
      <c r="AR2515" s="1"/>
      <c r="AS2515" s="1"/>
      <c r="AT2515" s="1"/>
      <c r="AU2515" s="1"/>
    </row>
    <row r="2516" spans="34:47">
      <c r="AH2516" s="6">
        <f t="shared" si="372"/>
        <v>2486</v>
      </c>
      <c r="AI2516" s="7">
        <f t="shared" ca="1" si="373"/>
        <v>45156</v>
      </c>
      <c r="AJ2516" s="210">
        <f t="shared" ca="1" si="374"/>
        <v>4.1749999999999998</v>
      </c>
      <c r="AK2516" s="8">
        <f t="shared" ca="1" si="375"/>
        <v>1.0001159722222221</v>
      </c>
      <c r="AL2516" s="98">
        <f t="shared" ca="1" si="376"/>
        <v>4.0680099297625505</v>
      </c>
      <c r="AM2516" s="106">
        <f t="shared" ca="1" si="370"/>
        <v>32145.120964266913</v>
      </c>
      <c r="AN2516" s="10">
        <f t="shared" ca="1" si="371"/>
        <v>1.0207293968616415</v>
      </c>
      <c r="AO2516" s="158"/>
      <c r="AP2516" s="158"/>
      <c r="AQ2516" s="1"/>
      <c r="AR2516" s="1"/>
      <c r="AS2516" s="1"/>
      <c r="AT2516" s="1"/>
      <c r="AU2516" s="1"/>
    </row>
    <row r="2517" spans="34:47">
      <c r="AH2517" s="6">
        <f t="shared" si="372"/>
        <v>2487</v>
      </c>
      <c r="AI2517" s="7">
        <f t="shared" ca="1" si="373"/>
        <v>45157</v>
      </c>
      <c r="AJ2517" s="210">
        <f t="shared" ca="1" si="374"/>
        <v>4.1749999999999998</v>
      </c>
      <c r="AK2517" s="8">
        <f t="shared" ca="1" si="375"/>
        <v>1.0001159722222221</v>
      </c>
      <c r="AL2517" s="98">
        <f t="shared" ca="1" si="376"/>
        <v>4.0681125736646395</v>
      </c>
      <c r="AM2517" s="106">
        <f t="shared" ca="1" si="370"/>
        <v>32147.769769462211</v>
      </c>
      <c r="AN2517" s="10">
        <f t="shared" ca="1" si="371"/>
        <v>1.0208145580733685</v>
      </c>
      <c r="AO2517" s="158"/>
      <c r="AP2517" s="158"/>
      <c r="AQ2517" s="1"/>
      <c r="AR2517" s="1"/>
      <c r="AS2517" s="1"/>
      <c r="AT2517" s="1"/>
      <c r="AU2517" s="1"/>
    </row>
    <row r="2518" spans="34:47">
      <c r="AH2518" s="6">
        <f t="shared" si="372"/>
        <v>2488</v>
      </c>
      <c r="AI2518" s="7">
        <f t="shared" ca="1" si="373"/>
        <v>45158</v>
      </c>
      <c r="AJ2518" s="210">
        <f t="shared" ca="1" si="374"/>
        <v>4.1749999999999998</v>
      </c>
      <c r="AK2518" s="8">
        <f t="shared" ca="1" si="375"/>
        <v>1.0001159722222221</v>
      </c>
      <c r="AL2518" s="98">
        <f t="shared" ca="1" si="376"/>
        <v>4.068215135156672</v>
      </c>
      <c r="AM2518" s="106">
        <f t="shared" ca="1" si="370"/>
        <v>32150.418792922945</v>
      </c>
      <c r="AN2518" s="10">
        <f t="shared" ca="1" si="371"/>
        <v>1.0208996508992207</v>
      </c>
      <c r="AO2518" s="158"/>
      <c r="AP2518" s="158"/>
      <c r="AQ2518" s="1"/>
      <c r="AR2518" s="1"/>
      <c r="AS2518" s="1"/>
      <c r="AT2518" s="1"/>
      <c r="AU2518" s="1"/>
    </row>
    <row r="2519" spans="34:47">
      <c r="AH2519" s="6">
        <f t="shared" si="372"/>
        <v>2489</v>
      </c>
      <c r="AI2519" s="7">
        <f t="shared" ca="1" si="373"/>
        <v>45159</v>
      </c>
      <c r="AJ2519" s="210">
        <f t="shared" ca="1" si="374"/>
        <v>4.1749999999999998</v>
      </c>
      <c r="AK2519" s="8">
        <f t="shared" ca="1" si="375"/>
        <v>1.0001159722222221</v>
      </c>
      <c r="AL2519" s="98">
        <f t="shared" ca="1" si="376"/>
        <v>4.0683176143378574</v>
      </c>
      <c r="AM2519" s="106">
        <f t="shared" ca="1" si="370"/>
        <v>32153.068034667114</v>
      </c>
      <c r="AN2519" s="10">
        <f t="shared" ca="1" si="371"/>
        <v>1.0209846754215768</v>
      </c>
      <c r="AO2519" s="158"/>
      <c r="AP2519" s="158"/>
      <c r="AQ2519" s="1"/>
      <c r="AR2519" s="1"/>
      <c r="AS2519" s="1"/>
      <c r="AT2519" s="1"/>
      <c r="AU2519" s="1"/>
    </row>
    <row r="2520" spans="34:47">
      <c r="AH2520" s="6">
        <f t="shared" si="372"/>
        <v>2490</v>
      </c>
      <c r="AI2520" s="7">
        <f t="shared" ca="1" si="373"/>
        <v>45160</v>
      </c>
      <c r="AJ2520" s="210">
        <f t="shared" ca="1" si="374"/>
        <v>4.1749999999999998</v>
      </c>
      <c r="AK2520" s="8">
        <f t="shared" ca="1" si="375"/>
        <v>1.0001159722222221</v>
      </c>
      <c r="AL2520" s="98">
        <f t="shared" ca="1" si="376"/>
        <v>4.0684200113072277</v>
      </c>
      <c r="AM2520" s="106">
        <f t="shared" ca="1" si="370"/>
        <v>32155.717494712688</v>
      </c>
      <c r="AN2520" s="10">
        <f t="shared" ca="1" si="371"/>
        <v>1.0210696317225931</v>
      </c>
      <c r="AO2520" s="158"/>
      <c r="AP2520" s="158"/>
      <c r="AQ2520" s="1"/>
      <c r="AR2520" s="1"/>
      <c r="AS2520" s="1"/>
      <c r="AT2520" s="1"/>
      <c r="AU2520" s="1"/>
    </row>
    <row r="2521" spans="34:47">
      <c r="AH2521" s="6">
        <f t="shared" si="372"/>
        <v>2491</v>
      </c>
      <c r="AI2521" s="7">
        <f t="shared" ca="1" si="373"/>
        <v>45161</v>
      </c>
      <c r="AJ2521" s="210">
        <f t="shared" ca="1" si="374"/>
        <v>4.1749999999999998</v>
      </c>
      <c r="AK2521" s="8">
        <f t="shared" ca="1" si="375"/>
        <v>1.0001159722222221</v>
      </c>
      <c r="AL2521" s="98">
        <f t="shared" ca="1" si="376"/>
        <v>4.0685223261636816</v>
      </c>
      <c r="AM2521" s="106">
        <f t="shared" ca="1" si="370"/>
        <v>32158.367173077659</v>
      </c>
      <c r="AN2521" s="10">
        <f t="shared" ca="1" si="371"/>
        <v>1.0211545198843819</v>
      </c>
      <c r="AO2521" s="158"/>
      <c r="AP2521" s="158"/>
      <c r="AQ2521" s="1"/>
      <c r="AR2521" s="1"/>
      <c r="AS2521" s="1"/>
      <c r="AT2521" s="1"/>
      <c r="AU2521" s="1"/>
    </row>
    <row r="2522" spans="34:47">
      <c r="AH2522" s="6">
        <f t="shared" si="372"/>
        <v>2492</v>
      </c>
      <c r="AI2522" s="7">
        <f t="shared" ca="1" si="373"/>
        <v>45162</v>
      </c>
      <c r="AJ2522" s="210">
        <f t="shared" ca="1" si="374"/>
        <v>4.1749999999999998</v>
      </c>
      <c r="AK2522" s="8">
        <f t="shared" ca="1" si="375"/>
        <v>1.0001159722222221</v>
      </c>
      <c r="AL2522" s="98">
        <f t="shared" ca="1" si="376"/>
        <v>4.0686245590059622</v>
      </c>
      <c r="AM2522" s="106">
        <f t="shared" ca="1" si="370"/>
        <v>32161.017069780028</v>
      </c>
      <c r="AN2522" s="10">
        <f t="shared" ca="1" si="371"/>
        <v>1.0212393399888775</v>
      </c>
      <c r="AO2522" s="158"/>
      <c r="AP2522" s="158"/>
      <c r="AQ2522" s="1"/>
      <c r="AR2522" s="1"/>
      <c r="AS2522" s="1"/>
      <c r="AT2522" s="1"/>
      <c r="AU2522" s="1"/>
    </row>
    <row r="2523" spans="34:47">
      <c r="AH2523" s="6">
        <f t="shared" si="372"/>
        <v>2493</v>
      </c>
      <c r="AI2523" s="7">
        <f t="shared" ca="1" si="373"/>
        <v>45163</v>
      </c>
      <c r="AJ2523" s="210">
        <f t="shared" ca="1" si="374"/>
        <v>4.1749999999999998</v>
      </c>
      <c r="AK2523" s="8">
        <f t="shared" ca="1" si="375"/>
        <v>1.0001159722222221</v>
      </c>
      <c r="AL2523" s="98">
        <f t="shared" ca="1" si="376"/>
        <v>4.0687267099326352</v>
      </c>
      <c r="AM2523" s="106">
        <f t="shared" ca="1" si="370"/>
        <v>32163.667184837777</v>
      </c>
      <c r="AN2523" s="10">
        <f t="shared" ca="1" si="371"/>
        <v>1.0213240921178812</v>
      </c>
      <c r="AO2523" s="158"/>
      <c r="AP2523" s="158"/>
      <c r="AQ2523" s="1"/>
      <c r="AR2523" s="1"/>
      <c r="AS2523" s="1"/>
      <c r="AT2523" s="1"/>
      <c r="AU2523" s="1"/>
    </row>
    <row r="2524" spans="34:47">
      <c r="AH2524" s="6">
        <f t="shared" si="372"/>
        <v>2494</v>
      </c>
      <c r="AI2524" s="7">
        <f t="shared" ca="1" si="373"/>
        <v>45164</v>
      </c>
      <c r="AJ2524" s="210">
        <f t="shared" ca="1" si="374"/>
        <v>4.1749999999999998</v>
      </c>
      <c r="AK2524" s="8">
        <f t="shared" ca="1" si="375"/>
        <v>1.0001159722222221</v>
      </c>
      <c r="AL2524" s="98">
        <f t="shared" ca="1" si="376"/>
        <v>4.0688287790421107</v>
      </c>
      <c r="AM2524" s="106">
        <f t="shared" ca="1" si="370"/>
        <v>32166.317518268897</v>
      </c>
      <c r="AN2524" s="10">
        <f t="shared" ca="1" si="371"/>
        <v>1.0214087763531055</v>
      </c>
      <c r="AO2524" s="158"/>
      <c r="AP2524" s="158"/>
      <c r="AQ2524" s="1"/>
      <c r="AR2524" s="1"/>
      <c r="AS2524" s="1"/>
      <c r="AT2524" s="1"/>
      <c r="AU2524" s="1"/>
    </row>
    <row r="2525" spans="34:47">
      <c r="AH2525" s="6">
        <f t="shared" si="372"/>
        <v>2495</v>
      </c>
      <c r="AI2525" s="7">
        <f t="shared" ca="1" si="373"/>
        <v>45165</v>
      </c>
      <c r="AJ2525" s="210">
        <f t="shared" ca="1" si="374"/>
        <v>4.1749999999999998</v>
      </c>
      <c r="AK2525" s="8">
        <f t="shared" ca="1" si="375"/>
        <v>1.0001159722222221</v>
      </c>
      <c r="AL2525" s="98">
        <f t="shared" ca="1" si="376"/>
        <v>4.0689307664326435</v>
      </c>
      <c r="AM2525" s="106">
        <f t="shared" ca="1" si="370"/>
        <v>32168.968070091389</v>
      </c>
      <c r="AN2525" s="10">
        <f t="shared" ca="1" si="371"/>
        <v>1.0214933927760628</v>
      </c>
      <c r="AO2525" s="158"/>
      <c r="AP2525" s="158"/>
      <c r="AQ2525" s="1"/>
      <c r="AR2525" s="1"/>
      <c r="AS2525" s="1"/>
      <c r="AT2525" s="1"/>
      <c r="AU2525" s="1"/>
    </row>
    <row r="2526" spans="34:47">
      <c r="AH2526" s="6">
        <f t="shared" si="372"/>
        <v>2496</v>
      </c>
      <c r="AI2526" s="7">
        <f t="shared" ca="1" si="373"/>
        <v>45166</v>
      </c>
      <c r="AJ2526" s="210">
        <f t="shared" ca="1" si="374"/>
        <v>4.1749999999999998</v>
      </c>
      <c r="AK2526" s="8">
        <f t="shared" ca="1" si="375"/>
        <v>1.0001159722222221</v>
      </c>
      <c r="AL2526" s="98">
        <f t="shared" ca="1" si="376"/>
        <v>4.0690326722023551</v>
      </c>
      <c r="AM2526" s="106">
        <f t="shared" ca="1" si="370"/>
        <v>32171.618840323237</v>
      </c>
      <c r="AN2526" s="10">
        <f t="shared" ca="1" si="371"/>
        <v>1.0215779414681991</v>
      </c>
      <c r="AO2526" s="158"/>
      <c r="AP2526" s="158"/>
      <c r="AQ2526" s="1"/>
      <c r="AR2526" s="1"/>
      <c r="AS2526" s="1"/>
      <c r="AT2526" s="1"/>
      <c r="AU2526" s="1"/>
    </row>
    <row r="2527" spans="34:47">
      <c r="AH2527" s="6">
        <f t="shared" si="372"/>
        <v>2497</v>
      </c>
      <c r="AI2527" s="7">
        <f t="shared" ca="1" si="373"/>
        <v>45167</v>
      </c>
      <c r="AJ2527" s="210">
        <f t="shared" ca="1" si="374"/>
        <v>4.1749999999999998</v>
      </c>
      <c r="AK2527" s="8">
        <f t="shared" ca="1" si="375"/>
        <v>1.0001159722222221</v>
      </c>
      <c r="AL2527" s="98">
        <f t="shared" ca="1" si="376"/>
        <v>4.0691344964491671</v>
      </c>
      <c r="AM2527" s="106">
        <f t="shared" ref="AM2527:AM2590" ca="1" si="377">Geom_Interp(AI2527,$AZ$2:$AZ$109,$BA$2:$BA$109)</f>
        <v>32174.269828982455</v>
      </c>
      <c r="AN2527" s="10">
        <f t="shared" ref="AN2527:AN2590" ca="1" si="378">100*(((1+AL2527/100)^(AH2527/365)*$AM$29/AM2527)^(365/AH2527)-1)</f>
        <v>1.0216624225107829</v>
      </c>
      <c r="AO2527" s="158"/>
      <c r="AP2527" s="158"/>
      <c r="AQ2527" s="1"/>
      <c r="AR2527" s="1"/>
      <c r="AS2527" s="1"/>
      <c r="AT2527" s="1"/>
      <c r="AU2527" s="1"/>
    </row>
    <row r="2528" spans="34:47">
      <c r="AH2528" s="6">
        <f t="shared" ref="AH2528:AH2591" si="379">$AI$29+AH2527</f>
        <v>2498</v>
      </c>
      <c r="AI2528" s="7">
        <f t="shared" ref="AI2528:AI2591" ca="1" si="380">+AH2528+$C$1</f>
        <v>45168</v>
      </c>
      <c r="AJ2528" s="210">
        <f t="shared" ref="AJ2528:AJ2591" ca="1" si="381">IF(AH2528&lt;365,VLOOKUP(LOOKUP(AI2528,$AI$2:$AI$23),$AI$2:$AK$23,3,0),Lin_Interp(AH2528,$AJ$2:$AJ$23,$AK$2:$AK$23))</f>
        <v>4.1749999999999998</v>
      </c>
      <c r="AK2528" s="8">
        <f t="shared" ca="1" si="375"/>
        <v>1.0001159722222221</v>
      </c>
      <c r="AL2528" s="98">
        <f t="shared" ca="1" si="376"/>
        <v>4.0692362392708681</v>
      </c>
      <c r="AM2528" s="106">
        <f t="shared" ca="1" si="377"/>
        <v>32176.921036087035</v>
      </c>
      <c r="AN2528" s="10">
        <f t="shared" ca="1" si="378"/>
        <v>1.0217468359849935</v>
      </c>
      <c r="AO2528" s="158"/>
      <c r="AP2528" s="158"/>
      <c r="AQ2528" s="1"/>
      <c r="AR2528" s="1"/>
      <c r="AS2528" s="1"/>
      <c r="AT2528" s="1"/>
      <c r="AU2528" s="1"/>
    </row>
    <row r="2529" spans="34:47">
      <c r="AH2529" s="6">
        <f t="shared" si="379"/>
        <v>2499</v>
      </c>
      <c r="AI2529" s="7">
        <f t="shared" ca="1" si="380"/>
        <v>45169</v>
      </c>
      <c r="AJ2529" s="210">
        <f t="shared" ca="1" si="381"/>
        <v>4.1749999999999998</v>
      </c>
      <c r="AK2529" s="8">
        <f t="shared" ref="AK2529:AK2592" ca="1" si="382">+(1+AJ2529/36000)</f>
        <v>1.0001159722222221</v>
      </c>
      <c r="AL2529" s="98">
        <f t="shared" ref="AL2529:AL2592" ca="1" si="383">100*(((1+AL2528/100)^(AH2528/365)*AK2529)^(365/AH2529)-1)</f>
        <v>4.0693379007650909</v>
      </c>
      <c r="AM2529" s="106">
        <f t="shared" ca="1" si="377"/>
        <v>32179.572461654971</v>
      </c>
      <c r="AN2529" s="10">
        <f t="shared" ca="1" si="378"/>
        <v>1.0218311819718551</v>
      </c>
      <c r="AO2529" s="158"/>
      <c r="AP2529" s="158"/>
      <c r="AQ2529" s="1"/>
      <c r="AR2529" s="1"/>
      <c r="AS2529" s="1"/>
      <c r="AT2529" s="1"/>
      <c r="AU2529" s="1"/>
    </row>
    <row r="2530" spans="34:47">
      <c r="AH2530" s="6">
        <f t="shared" si="379"/>
        <v>2500</v>
      </c>
      <c r="AI2530" s="7">
        <f t="shared" ca="1" si="380"/>
        <v>45170</v>
      </c>
      <c r="AJ2530" s="210">
        <f t="shared" ca="1" si="381"/>
        <v>4.1749999999999998</v>
      </c>
      <c r="AK2530" s="8">
        <f t="shared" ca="1" si="382"/>
        <v>1.0001159722222221</v>
      </c>
      <c r="AL2530" s="98">
        <f t="shared" ca="1" si="383"/>
        <v>4.0694394810292911</v>
      </c>
      <c r="AM2530" s="106">
        <f t="shared" ca="1" si="377"/>
        <v>32182.224105704267</v>
      </c>
      <c r="AN2530" s="10">
        <f t="shared" ca="1" si="378"/>
        <v>1.0219154605522585</v>
      </c>
      <c r="AO2530" s="158"/>
      <c r="AP2530" s="158"/>
      <c r="AQ2530" s="1"/>
      <c r="AR2530" s="1"/>
      <c r="AS2530" s="1"/>
      <c r="AT2530" s="1"/>
      <c r="AU2530" s="1"/>
    </row>
    <row r="2531" spans="34:47">
      <c r="AH2531" s="6">
        <f t="shared" si="379"/>
        <v>2501</v>
      </c>
      <c r="AI2531" s="7">
        <f t="shared" ca="1" si="380"/>
        <v>45171</v>
      </c>
      <c r="AJ2531" s="210">
        <f t="shared" ca="1" si="381"/>
        <v>4.1749999999999998</v>
      </c>
      <c r="AK2531" s="8">
        <f t="shared" ca="1" si="382"/>
        <v>1.0001159722222221</v>
      </c>
      <c r="AL2531" s="98">
        <f t="shared" ca="1" si="383"/>
        <v>4.0695409801608129</v>
      </c>
      <c r="AM2531" s="106">
        <f t="shared" ca="1" si="377"/>
        <v>32184.875968252934</v>
      </c>
      <c r="AN2531" s="10">
        <f t="shared" ca="1" si="378"/>
        <v>1.0219996718069835</v>
      </c>
      <c r="AO2531" s="158"/>
      <c r="AP2531" s="158"/>
      <c r="AQ2531" s="1"/>
      <c r="AR2531" s="1"/>
      <c r="AS2531" s="1"/>
      <c r="AT2531" s="1"/>
      <c r="AU2531" s="1"/>
    </row>
    <row r="2532" spans="34:47">
      <c r="AH2532" s="6">
        <f t="shared" si="379"/>
        <v>2502</v>
      </c>
      <c r="AI2532" s="7">
        <f t="shared" ca="1" si="380"/>
        <v>45172</v>
      </c>
      <c r="AJ2532" s="210">
        <f t="shared" ca="1" si="381"/>
        <v>4.1749999999999998</v>
      </c>
      <c r="AK2532" s="8">
        <f t="shared" ca="1" si="382"/>
        <v>1.0001159722222221</v>
      </c>
      <c r="AL2532" s="98">
        <f t="shared" ca="1" si="383"/>
        <v>4.0696423982568231</v>
      </c>
      <c r="AM2532" s="106">
        <f t="shared" ca="1" si="377"/>
        <v>32187.528049318968</v>
      </c>
      <c r="AN2532" s="10">
        <f t="shared" ca="1" si="378"/>
        <v>1.0220838158166767</v>
      </c>
      <c r="AO2532" s="158"/>
      <c r="AP2532" s="158"/>
      <c r="AQ2532" s="1"/>
      <c r="AR2532" s="1"/>
      <c r="AS2532" s="1"/>
      <c r="AT2532" s="1"/>
      <c r="AU2532" s="1"/>
    </row>
    <row r="2533" spans="34:47">
      <c r="AH2533" s="6">
        <f t="shared" si="379"/>
        <v>2503</v>
      </c>
      <c r="AI2533" s="7">
        <f t="shared" ca="1" si="380"/>
        <v>45173</v>
      </c>
      <c r="AJ2533" s="210">
        <f t="shared" ca="1" si="381"/>
        <v>4.1749999999999998</v>
      </c>
      <c r="AK2533" s="8">
        <f t="shared" ca="1" si="382"/>
        <v>1.0001159722222221</v>
      </c>
      <c r="AL2533" s="98">
        <f t="shared" ca="1" si="383"/>
        <v>4.0697437354143107</v>
      </c>
      <c r="AM2533" s="106">
        <f t="shared" ca="1" si="377"/>
        <v>32190.180348920385</v>
      </c>
      <c r="AN2533" s="10">
        <f t="shared" ca="1" si="378"/>
        <v>1.0221678926618294</v>
      </c>
      <c r="AO2533" s="158"/>
      <c r="AP2533" s="158"/>
      <c r="AQ2533" s="1"/>
      <c r="AR2533" s="1"/>
      <c r="AS2533" s="1"/>
      <c r="AT2533" s="1"/>
      <c r="AU2533" s="1"/>
    </row>
    <row r="2534" spans="34:47">
      <c r="AH2534" s="6">
        <f t="shared" si="379"/>
        <v>2504</v>
      </c>
      <c r="AI2534" s="7">
        <f t="shared" ca="1" si="380"/>
        <v>45174</v>
      </c>
      <c r="AJ2534" s="210">
        <f t="shared" ca="1" si="381"/>
        <v>4.1749999999999998</v>
      </c>
      <c r="AK2534" s="8">
        <f t="shared" ca="1" si="382"/>
        <v>1.0001159722222221</v>
      </c>
      <c r="AL2534" s="98">
        <f t="shared" ca="1" si="383"/>
        <v>4.0698449917301316</v>
      </c>
      <c r="AM2534" s="106">
        <f t="shared" ca="1" si="377"/>
        <v>32192.832867075176</v>
      </c>
      <c r="AN2534" s="10">
        <f t="shared" ca="1" si="378"/>
        <v>1.022251902422866</v>
      </c>
      <c r="AO2534" s="158"/>
      <c r="AP2534" s="158"/>
      <c r="AQ2534" s="1"/>
      <c r="AR2534" s="1"/>
      <c r="AS2534" s="1"/>
      <c r="AT2534" s="1"/>
      <c r="AU2534" s="1"/>
    </row>
    <row r="2535" spans="34:47">
      <c r="AH2535" s="6">
        <f t="shared" si="379"/>
        <v>2505</v>
      </c>
      <c r="AI2535" s="7">
        <f t="shared" ca="1" si="380"/>
        <v>45175</v>
      </c>
      <c r="AJ2535" s="210">
        <f t="shared" ca="1" si="381"/>
        <v>4.1749999999999998</v>
      </c>
      <c r="AK2535" s="8">
        <f t="shared" ca="1" si="382"/>
        <v>1.0001159722222221</v>
      </c>
      <c r="AL2535" s="98">
        <f t="shared" ca="1" si="383"/>
        <v>4.0699461673009862</v>
      </c>
      <c r="AM2535" s="106">
        <f t="shared" ca="1" si="377"/>
        <v>32195.485603801364</v>
      </c>
      <c r="AN2535" s="10">
        <f t="shared" ca="1" si="378"/>
        <v>1.0223358451799891</v>
      </c>
      <c r="AO2535" s="158"/>
      <c r="AP2535" s="158"/>
      <c r="AQ2535" s="1"/>
      <c r="AR2535" s="1"/>
      <c r="AS2535" s="1"/>
      <c r="AT2535" s="1"/>
      <c r="AU2535" s="1"/>
    </row>
    <row r="2536" spans="34:47">
      <c r="AH2536" s="6">
        <f t="shared" si="379"/>
        <v>2506</v>
      </c>
      <c r="AI2536" s="7">
        <f t="shared" ca="1" si="380"/>
        <v>45176</v>
      </c>
      <c r="AJ2536" s="210">
        <f t="shared" ca="1" si="381"/>
        <v>4.1749999999999998</v>
      </c>
      <c r="AK2536" s="8">
        <f t="shared" ca="1" si="382"/>
        <v>1.0001159722222221</v>
      </c>
      <c r="AL2536" s="98">
        <f t="shared" ca="1" si="383"/>
        <v>4.0700472622234196</v>
      </c>
      <c r="AM2536" s="106">
        <f t="shared" ca="1" si="377"/>
        <v>32198.13855911696</v>
      </c>
      <c r="AN2536" s="10">
        <f t="shared" ca="1" si="378"/>
        <v>1.022419721013379</v>
      </c>
      <c r="AO2536" s="158"/>
      <c r="AP2536" s="158"/>
      <c r="AQ2536" s="1"/>
      <c r="AR2536" s="1"/>
      <c r="AS2536" s="1"/>
      <c r="AT2536" s="1"/>
      <c r="AU2536" s="1"/>
    </row>
    <row r="2537" spans="34:47">
      <c r="AH2537" s="6">
        <f t="shared" si="379"/>
        <v>2507</v>
      </c>
      <c r="AI2537" s="7">
        <f t="shared" ca="1" si="380"/>
        <v>45177</v>
      </c>
      <c r="AJ2537" s="210">
        <f t="shared" ca="1" si="381"/>
        <v>4.1749999999999998</v>
      </c>
      <c r="AK2537" s="8">
        <f t="shared" ca="1" si="382"/>
        <v>1.0001159722222221</v>
      </c>
      <c r="AL2537" s="98">
        <f t="shared" ca="1" si="383"/>
        <v>4.0701482765938213</v>
      </c>
      <c r="AM2537" s="106">
        <f t="shared" ca="1" si="377"/>
        <v>32200.791733039965</v>
      </c>
      <c r="AN2537" s="10">
        <f t="shared" ca="1" si="378"/>
        <v>1.0225035300030161</v>
      </c>
      <c r="AO2537" s="158"/>
      <c r="AP2537" s="158"/>
      <c r="AQ2537" s="1"/>
      <c r="AR2537" s="1"/>
      <c r="AS2537" s="1"/>
      <c r="AT2537" s="1"/>
      <c r="AU2537" s="1"/>
    </row>
    <row r="2538" spans="34:47">
      <c r="AH2538" s="6">
        <f t="shared" si="379"/>
        <v>2508</v>
      </c>
      <c r="AI2538" s="7">
        <f t="shared" ca="1" si="380"/>
        <v>45178</v>
      </c>
      <c r="AJ2538" s="210">
        <f t="shared" ca="1" si="381"/>
        <v>4.1749999999999998</v>
      </c>
      <c r="AK2538" s="8">
        <f t="shared" ca="1" si="382"/>
        <v>1.0001159722222221</v>
      </c>
      <c r="AL2538" s="98">
        <f t="shared" ca="1" si="383"/>
        <v>4.0702492105084254</v>
      </c>
      <c r="AM2538" s="106">
        <f t="shared" ca="1" si="377"/>
        <v>32203.445125588401</v>
      </c>
      <c r="AN2538" s="10">
        <f t="shared" ca="1" si="378"/>
        <v>1.0225872722287477</v>
      </c>
      <c r="AO2538" s="158"/>
      <c r="AP2538" s="158"/>
      <c r="AQ2538" s="1"/>
      <c r="AR2538" s="1"/>
      <c r="AS2538" s="1"/>
      <c r="AT2538" s="1"/>
      <c r="AU2538" s="1"/>
    </row>
    <row r="2539" spans="34:47">
      <c r="AH2539" s="6">
        <f t="shared" si="379"/>
        <v>2509</v>
      </c>
      <c r="AI2539" s="7">
        <f t="shared" ca="1" si="380"/>
        <v>45179</v>
      </c>
      <c r="AJ2539" s="210">
        <f t="shared" ca="1" si="381"/>
        <v>4.1749999999999998</v>
      </c>
      <c r="AK2539" s="8">
        <f t="shared" ca="1" si="382"/>
        <v>1.0001159722222221</v>
      </c>
      <c r="AL2539" s="98">
        <f t="shared" ca="1" si="383"/>
        <v>4.0703500640633328</v>
      </c>
      <c r="AM2539" s="106">
        <f t="shared" ca="1" si="377"/>
        <v>32206.098736780285</v>
      </c>
      <c r="AN2539" s="10">
        <f t="shared" ca="1" si="378"/>
        <v>1.0226709477703766</v>
      </c>
      <c r="AO2539" s="158"/>
      <c r="AP2539" s="158"/>
      <c r="AQ2539" s="1"/>
      <c r="AR2539" s="1"/>
      <c r="AS2539" s="1"/>
      <c r="AT2539" s="1"/>
      <c r="AU2539" s="1"/>
    </row>
    <row r="2540" spans="34:47">
      <c r="AH2540" s="6">
        <f t="shared" si="379"/>
        <v>2510</v>
      </c>
      <c r="AI2540" s="7">
        <f t="shared" ca="1" si="380"/>
        <v>45180</v>
      </c>
      <c r="AJ2540" s="210">
        <f t="shared" ca="1" si="381"/>
        <v>4.1749999999999998</v>
      </c>
      <c r="AK2540" s="8">
        <f t="shared" ca="1" si="382"/>
        <v>1.0001159722222221</v>
      </c>
      <c r="AL2540" s="98">
        <f t="shared" ca="1" si="383"/>
        <v>4.0704508373544668</v>
      </c>
      <c r="AM2540" s="106">
        <f t="shared" ca="1" si="377"/>
        <v>32208.752566633626</v>
      </c>
      <c r="AN2540" s="10">
        <f t="shared" ca="1" si="378"/>
        <v>1.0227545567074836</v>
      </c>
      <c r="AO2540" s="158"/>
      <c r="AP2540" s="158"/>
      <c r="AQ2540" s="1"/>
      <c r="AR2540" s="1"/>
      <c r="AS2540" s="1"/>
      <c r="AT2540" s="1"/>
      <c r="AU2540" s="1"/>
    </row>
    <row r="2541" spans="34:47">
      <c r="AH2541" s="6">
        <f t="shared" si="379"/>
        <v>2511</v>
      </c>
      <c r="AI2541" s="7">
        <f t="shared" ca="1" si="380"/>
        <v>45181</v>
      </c>
      <c r="AJ2541" s="210">
        <f t="shared" ca="1" si="381"/>
        <v>4.1749999999999998</v>
      </c>
      <c r="AK2541" s="8">
        <f t="shared" ca="1" si="382"/>
        <v>1.0001159722222221</v>
      </c>
      <c r="AL2541" s="98">
        <f t="shared" ca="1" si="383"/>
        <v>4.0705515304775952</v>
      </c>
      <c r="AM2541" s="106">
        <f t="shared" ca="1" si="377"/>
        <v>32211.406615166448</v>
      </c>
      <c r="AN2541" s="10">
        <f t="shared" ca="1" si="378"/>
        <v>1.0228380991195829</v>
      </c>
      <c r="AO2541" s="158"/>
      <c r="AP2541" s="158"/>
      <c r="AQ2541" s="1"/>
      <c r="AR2541" s="1"/>
      <c r="AS2541" s="1"/>
      <c r="AT2541" s="1"/>
      <c r="AU2541" s="1"/>
    </row>
    <row r="2542" spans="34:47">
      <c r="AH2542" s="6">
        <f t="shared" si="379"/>
        <v>2512</v>
      </c>
      <c r="AI2542" s="7">
        <f t="shared" ca="1" si="380"/>
        <v>45182</v>
      </c>
      <c r="AJ2542" s="210">
        <f t="shared" ca="1" si="381"/>
        <v>4.1749999999999998</v>
      </c>
      <c r="AK2542" s="8">
        <f t="shared" ca="1" si="382"/>
        <v>1.0001159722222221</v>
      </c>
      <c r="AL2542" s="98">
        <f t="shared" ca="1" si="383"/>
        <v>4.0706521435283527</v>
      </c>
      <c r="AM2542" s="106">
        <f t="shared" ca="1" si="377"/>
        <v>32214.060882396767</v>
      </c>
      <c r="AN2542" s="10">
        <f t="shared" ca="1" si="378"/>
        <v>1.022921575086011</v>
      </c>
      <c r="AO2542" s="158"/>
      <c r="AP2542" s="158"/>
      <c r="AQ2542" s="1"/>
      <c r="AR2542" s="1"/>
      <c r="AS2542" s="1"/>
      <c r="AT2542" s="1"/>
      <c r="AU2542" s="1"/>
    </row>
    <row r="2543" spans="34:47">
      <c r="AH2543" s="6">
        <f t="shared" si="379"/>
        <v>2513</v>
      </c>
      <c r="AI2543" s="7">
        <f t="shared" ca="1" si="380"/>
        <v>45183</v>
      </c>
      <c r="AJ2543" s="210">
        <f t="shared" ca="1" si="381"/>
        <v>4.1749999999999998</v>
      </c>
      <c r="AK2543" s="8">
        <f t="shared" ca="1" si="382"/>
        <v>1.0001159722222221</v>
      </c>
      <c r="AL2543" s="98">
        <f t="shared" ca="1" si="383"/>
        <v>4.0707526766021962</v>
      </c>
      <c r="AM2543" s="106">
        <f t="shared" ca="1" si="377"/>
        <v>32216.715368342604</v>
      </c>
      <c r="AN2543" s="10">
        <f t="shared" ca="1" si="378"/>
        <v>1.0230049846860378</v>
      </c>
      <c r="AO2543" s="158"/>
      <c r="AP2543" s="158"/>
      <c r="AQ2543" s="1"/>
      <c r="AR2543" s="1"/>
      <c r="AS2543" s="1"/>
      <c r="AT2543" s="1"/>
      <c r="AU2543" s="1"/>
    </row>
    <row r="2544" spans="34:47">
      <c r="AH2544" s="6">
        <f t="shared" si="379"/>
        <v>2514</v>
      </c>
      <c r="AI2544" s="7">
        <f t="shared" ca="1" si="380"/>
        <v>45184</v>
      </c>
      <c r="AJ2544" s="210">
        <f t="shared" ca="1" si="381"/>
        <v>4.1749999999999998</v>
      </c>
      <c r="AK2544" s="8">
        <f t="shared" ca="1" si="382"/>
        <v>1.0001159722222221</v>
      </c>
      <c r="AL2544" s="98">
        <f t="shared" ca="1" si="383"/>
        <v>4.0708531297944717</v>
      </c>
      <c r="AM2544" s="106">
        <f t="shared" ca="1" si="377"/>
        <v>32219.370073021986</v>
      </c>
      <c r="AN2544" s="10">
        <f t="shared" ca="1" si="378"/>
        <v>1.0230883279987557</v>
      </c>
      <c r="AO2544" s="158"/>
      <c r="AP2544" s="158"/>
      <c r="AQ2544" s="1"/>
      <c r="AR2544" s="1"/>
      <c r="AS2544" s="1"/>
      <c r="AT2544" s="1"/>
      <c r="AU2544" s="1"/>
    </row>
    <row r="2545" spans="34:47">
      <c r="AH2545" s="6">
        <f t="shared" si="379"/>
        <v>2515</v>
      </c>
      <c r="AI2545" s="7">
        <f t="shared" ca="1" si="380"/>
        <v>45185</v>
      </c>
      <c r="AJ2545" s="210">
        <f t="shared" ca="1" si="381"/>
        <v>4.1749999999999998</v>
      </c>
      <c r="AK2545" s="8">
        <f t="shared" ca="1" si="382"/>
        <v>1.0001159722222221</v>
      </c>
      <c r="AL2545" s="98">
        <f t="shared" ca="1" si="383"/>
        <v>4.0709535032003252</v>
      </c>
      <c r="AM2545" s="106">
        <f t="shared" ca="1" si="377"/>
        <v>32222.024996452936</v>
      </c>
      <c r="AN2545" s="10">
        <f t="shared" ca="1" si="378"/>
        <v>1.0231716051031459</v>
      </c>
      <c r="AO2545" s="158"/>
      <c r="AP2545" s="158"/>
      <c r="AQ2545" s="1"/>
      <c r="AR2545" s="1"/>
      <c r="AS2545" s="1"/>
      <c r="AT2545" s="1"/>
      <c r="AU2545" s="1"/>
    </row>
    <row r="2546" spans="34:47">
      <c r="AH2546" s="6">
        <f t="shared" si="379"/>
        <v>2516</v>
      </c>
      <c r="AI2546" s="7">
        <f t="shared" ca="1" si="380"/>
        <v>45186</v>
      </c>
      <c r="AJ2546" s="210">
        <f t="shared" ca="1" si="381"/>
        <v>4.1749999999999998</v>
      </c>
      <c r="AK2546" s="8">
        <f t="shared" ca="1" si="382"/>
        <v>1.0001159722222221</v>
      </c>
      <c r="AL2546" s="98">
        <f t="shared" ca="1" si="383"/>
        <v>4.071053796914792</v>
      </c>
      <c r="AM2546" s="106">
        <f t="shared" ca="1" si="377"/>
        <v>32224.680138653468</v>
      </c>
      <c r="AN2546" s="10">
        <f t="shared" ca="1" si="378"/>
        <v>1.0232548160781008</v>
      </c>
      <c r="AO2546" s="158"/>
      <c r="AP2546" s="158"/>
      <c r="AQ2546" s="1"/>
      <c r="AR2546" s="1"/>
      <c r="AS2546" s="1"/>
      <c r="AT2546" s="1"/>
      <c r="AU2546" s="1"/>
    </row>
    <row r="2547" spans="34:47">
      <c r="AH2547" s="6">
        <f t="shared" si="379"/>
        <v>2517</v>
      </c>
      <c r="AI2547" s="7">
        <f t="shared" ca="1" si="380"/>
        <v>45187</v>
      </c>
      <c r="AJ2547" s="210">
        <f t="shared" ca="1" si="381"/>
        <v>4.1749999999999998</v>
      </c>
      <c r="AK2547" s="8">
        <f t="shared" ca="1" si="382"/>
        <v>1.0001159722222221</v>
      </c>
      <c r="AL2547" s="98">
        <f t="shared" ca="1" si="383"/>
        <v>4.0711540110327515</v>
      </c>
      <c r="AM2547" s="106">
        <f t="shared" ca="1" si="377"/>
        <v>32227.335499641631</v>
      </c>
      <c r="AN2547" s="10">
        <f t="shared" ca="1" si="378"/>
        <v>1.0233379610023352</v>
      </c>
      <c r="AO2547" s="158"/>
      <c r="AP2547" s="158"/>
      <c r="AQ2547" s="1"/>
      <c r="AR2547" s="1"/>
      <c r="AS2547" s="1"/>
      <c r="AT2547" s="1"/>
      <c r="AU2547" s="1"/>
    </row>
    <row r="2548" spans="34:47">
      <c r="AH2548" s="6">
        <f t="shared" si="379"/>
        <v>2518</v>
      </c>
      <c r="AI2548" s="7">
        <f t="shared" ca="1" si="380"/>
        <v>45188</v>
      </c>
      <c r="AJ2548" s="210">
        <f t="shared" ca="1" si="381"/>
        <v>4.1749999999999998</v>
      </c>
      <c r="AK2548" s="8">
        <f t="shared" ca="1" si="382"/>
        <v>1.0001159722222221</v>
      </c>
      <c r="AL2548" s="98">
        <f t="shared" ca="1" si="383"/>
        <v>4.071254145648906</v>
      </c>
      <c r="AM2548" s="106">
        <f t="shared" ca="1" si="377"/>
        <v>32229.991079435433</v>
      </c>
      <c r="AN2548" s="10">
        <f t="shared" ca="1" si="378"/>
        <v>1.0234210399544974</v>
      </c>
      <c r="AO2548" s="158"/>
      <c r="AP2548" s="158"/>
      <c r="AQ2548" s="1"/>
      <c r="AR2548" s="1"/>
      <c r="AS2548" s="1"/>
      <c r="AT2548" s="1"/>
      <c r="AU2548" s="1"/>
    </row>
    <row r="2549" spans="34:47">
      <c r="AH2549" s="6">
        <f t="shared" si="379"/>
        <v>2519</v>
      </c>
      <c r="AI2549" s="7">
        <f t="shared" ca="1" si="380"/>
        <v>45189</v>
      </c>
      <c r="AJ2549" s="210">
        <f t="shared" ca="1" si="381"/>
        <v>4.1749999999999998</v>
      </c>
      <c r="AK2549" s="8">
        <f t="shared" ca="1" si="382"/>
        <v>1.0001159722222221</v>
      </c>
      <c r="AL2549" s="98">
        <f t="shared" ca="1" si="383"/>
        <v>4.0713542008578241</v>
      </c>
      <c r="AM2549" s="106">
        <f t="shared" ca="1" si="377"/>
        <v>32232.646878052914</v>
      </c>
      <c r="AN2549" s="10">
        <f t="shared" ca="1" si="378"/>
        <v>1.0235040530130135</v>
      </c>
      <c r="AO2549" s="158"/>
      <c r="AP2549" s="158"/>
      <c r="AQ2549" s="1"/>
      <c r="AR2549" s="1"/>
      <c r="AS2549" s="1"/>
      <c r="AT2549" s="1"/>
      <c r="AU2549" s="1"/>
    </row>
    <row r="2550" spans="34:47">
      <c r="AH2550" s="6">
        <f t="shared" si="379"/>
        <v>2520</v>
      </c>
      <c r="AI2550" s="7">
        <f t="shared" ca="1" si="380"/>
        <v>45190</v>
      </c>
      <c r="AJ2550" s="210">
        <f t="shared" ca="1" si="381"/>
        <v>4.1749999999999998</v>
      </c>
      <c r="AK2550" s="8">
        <f t="shared" ca="1" si="382"/>
        <v>1.0001159722222221</v>
      </c>
      <c r="AL2550" s="98">
        <f t="shared" ca="1" si="383"/>
        <v>4.0714541767539192</v>
      </c>
      <c r="AM2550" s="106">
        <f t="shared" ca="1" si="377"/>
        <v>32235.302895512104</v>
      </c>
      <c r="AN2550" s="10">
        <f t="shared" ca="1" si="378"/>
        <v>1.0235870002563097</v>
      </c>
      <c r="AO2550" s="158"/>
      <c r="AP2550" s="158"/>
      <c r="AQ2550" s="1"/>
      <c r="AR2550" s="1"/>
      <c r="AS2550" s="1"/>
      <c r="AT2550" s="1"/>
      <c r="AU2550" s="1"/>
    </row>
    <row r="2551" spans="34:47">
      <c r="AH2551" s="6">
        <f t="shared" si="379"/>
        <v>2521</v>
      </c>
      <c r="AI2551" s="7">
        <f t="shared" ca="1" si="380"/>
        <v>45191</v>
      </c>
      <c r="AJ2551" s="210">
        <f t="shared" ca="1" si="381"/>
        <v>4.1749999999999998</v>
      </c>
      <c r="AK2551" s="8">
        <f t="shared" ca="1" si="382"/>
        <v>1.0001159722222221</v>
      </c>
      <c r="AL2551" s="98">
        <f t="shared" ca="1" si="383"/>
        <v>4.0715540734314715</v>
      </c>
      <c r="AM2551" s="106">
        <f t="shared" ca="1" si="377"/>
        <v>32237.959131831027</v>
      </c>
      <c r="AN2551" s="10">
        <f t="shared" ca="1" si="378"/>
        <v>1.0236698817625678</v>
      </c>
      <c r="AO2551" s="158"/>
      <c r="AP2551" s="158"/>
      <c r="AQ2551" s="1"/>
      <c r="AR2551" s="1"/>
      <c r="AS2551" s="1"/>
      <c r="AT2551" s="1"/>
      <c r="AU2551" s="1"/>
    </row>
    <row r="2552" spans="34:47">
      <c r="AH2552" s="6">
        <f t="shared" si="379"/>
        <v>2522</v>
      </c>
      <c r="AI2552" s="7">
        <f t="shared" ca="1" si="380"/>
        <v>45192</v>
      </c>
      <c r="AJ2552" s="210">
        <f t="shared" ca="1" si="381"/>
        <v>4.1749999999999998</v>
      </c>
      <c r="AK2552" s="8">
        <f t="shared" ca="1" si="382"/>
        <v>1.0001159722222221</v>
      </c>
      <c r="AL2552" s="98">
        <f t="shared" ca="1" si="383"/>
        <v>4.0716538909845834</v>
      </c>
      <c r="AM2552" s="106">
        <f t="shared" ca="1" si="377"/>
        <v>32240.615587027736</v>
      </c>
      <c r="AN2552" s="10">
        <f t="shared" ca="1" si="378"/>
        <v>1.0237526976099476</v>
      </c>
      <c r="AO2552" s="158"/>
      <c r="AP2552" s="158"/>
      <c r="AQ2552" s="1"/>
      <c r="AR2552" s="1"/>
      <c r="AS2552" s="1"/>
      <c r="AT2552" s="1"/>
      <c r="AU2552" s="1"/>
    </row>
    <row r="2553" spans="34:47">
      <c r="AH2553" s="6">
        <f t="shared" si="379"/>
        <v>2523</v>
      </c>
      <c r="AI2553" s="7">
        <f t="shared" ca="1" si="380"/>
        <v>45193</v>
      </c>
      <c r="AJ2553" s="210">
        <f t="shared" ca="1" si="381"/>
        <v>4.1749999999999998</v>
      </c>
      <c r="AK2553" s="8">
        <f t="shared" ca="1" si="382"/>
        <v>1.0001159722222221</v>
      </c>
      <c r="AL2553" s="98">
        <f t="shared" ca="1" si="383"/>
        <v>4.0717536295072465</v>
      </c>
      <c r="AM2553" s="106">
        <f t="shared" ca="1" si="377"/>
        <v>32243.272261120244</v>
      </c>
      <c r="AN2553" s="10">
        <f t="shared" ca="1" si="378"/>
        <v>1.0238354478764311</v>
      </c>
      <c r="AO2553" s="158"/>
      <c r="AP2553" s="158"/>
      <c r="AQ2553" s="1"/>
      <c r="AR2553" s="1"/>
      <c r="AS2553" s="1"/>
      <c r="AT2553" s="1"/>
      <c r="AU2553" s="1"/>
    </row>
    <row r="2554" spans="34:47">
      <c r="AH2554" s="6">
        <f t="shared" si="379"/>
        <v>2524</v>
      </c>
      <c r="AI2554" s="7">
        <f t="shared" ca="1" si="380"/>
        <v>45194</v>
      </c>
      <c r="AJ2554" s="210">
        <f t="shared" ca="1" si="381"/>
        <v>4.1749999999999998</v>
      </c>
      <c r="AK2554" s="8">
        <f t="shared" ca="1" si="382"/>
        <v>1.0001159722222221</v>
      </c>
      <c r="AL2554" s="98">
        <f t="shared" ca="1" si="383"/>
        <v>4.0718532890932746</v>
      </c>
      <c r="AM2554" s="106">
        <f t="shared" ca="1" si="377"/>
        <v>32245.929154126614</v>
      </c>
      <c r="AN2554" s="10">
        <f t="shared" ca="1" si="378"/>
        <v>1.0239181326398894</v>
      </c>
      <c r="AO2554" s="158"/>
      <c r="AP2554" s="158"/>
      <c r="AQ2554" s="1"/>
      <c r="AR2554" s="1"/>
      <c r="AS2554" s="1"/>
      <c r="AT2554" s="1"/>
      <c r="AU2554" s="1"/>
    </row>
    <row r="2555" spans="34:47">
      <c r="AH2555" s="6">
        <f t="shared" si="379"/>
        <v>2525</v>
      </c>
      <c r="AI2555" s="7">
        <f t="shared" ca="1" si="380"/>
        <v>45195</v>
      </c>
      <c r="AJ2555" s="210">
        <f t="shared" ca="1" si="381"/>
        <v>4.1749999999999998</v>
      </c>
      <c r="AK2555" s="8">
        <f t="shared" ca="1" si="382"/>
        <v>1.0001159722222221</v>
      </c>
      <c r="AL2555" s="98">
        <f t="shared" ca="1" si="383"/>
        <v>4.0719528698363261</v>
      </c>
      <c r="AM2555" s="106">
        <f t="shared" ca="1" si="377"/>
        <v>32248.58626606486</v>
      </c>
      <c r="AN2555" s="10">
        <f t="shared" ca="1" si="378"/>
        <v>1.0240007519780381</v>
      </c>
      <c r="AO2555" s="158"/>
      <c r="AP2555" s="158"/>
      <c r="AQ2555" s="1"/>
      <c r="AR2555" s="1"/>
      <c r="AS2555" s="1"/>
      <c r="AT2555" s="1"/>
      <c r="AU2555" s="1"/>
    </row>
    <row r="2556" spans="34:47">
      <c r="AH2556" s="6">
        <f t="shared" si="379"/>
        <v>2526</v>
      </c>
      <c r="AI2556" s="7">
        <f t="shared" ca="1" si="380"/>
        <v>45196</v>
      </c>
      <c r="AJ2556" s="210">
        <f t="shared" ca="1" si="381"/>
        <v>4.1749999999999998</v>
      </c>
      <c r="AK2556" s="8">
        <f t="shared" ca="1" si="382"/>
        <v>1.0001159722222221</v>
      </c>
      <c r="AL2556" s="98">
        <f t="shared" ca="1" si="383"/>
        <v>4.0720523718299484</v>
      </c>
      <c r="AM2556" s="106">
        <f t="shared" ca="1" si="377"/>
        <v>32251.243596953042</v>
      </c>
      <c r="AN2556" s="10">
        <f t="shared" ca="1" si="378"/>
        <v>1.0240833059685261</v>
      </c>
      <c r="AO2556" s="158"/>
      <c r="AP2556" s="158"/>
      <c r="AQ2556" s="1"/>
      <c r="AR2556" s="1"/>
      <c r="AS2556" s="1"/>
      <c r="AT2556" s="1"/>
      <c r="AU2556" s="1"/>
    </row>
    <row r="2557" spans="34:47">
      <c r="AH2557" s="6">
        <f t="shared" si="379"/>
        <v>2527</v>
      </c>
      <c r="AI2557" s="7">
        <f t="shared" ca="1" si="380"/>
        <v>45197</v>
      </c>
      <c r="AJ2557" s="210">
        <f t="shared" ca="1" si="381"/>
        <v>4.1749999999999998</v>
      </c>
      <c r="AK2557" s="8">
        <f t="shared" ca="1" si="382"/>
        <v>1.0001159722222221</v>
      </c>
      <c r="AL2557" s="98">
        <f t="shared" ca="1" si="383"/>
        <v>4.0721517951675112</v>
      </c>
      <c r="AM2557" s="106">
        <f t="shared" ca="1" si="377"/>
        <v>32253.901146809185</v>
      </c>
      <c r="AN2557" s="10">
        <f t="shared" ca="1" si="378"/>
        <v>1.0241657946888694</v>
      </c>
      <c r="AO2557" s="158"/>
      <c r="AP2557" s="158"/>
      <c r="AQ2557" s="1"/>
      <c r="AR2557" s="1"/>
      <c r="AS2557" s="1"/>
      <c r="AT2557" s="1"/>
      <c r="AU2557" s="1"/>
    </row>
    <row r="2558" spans="34:47">
      <c r="AH2558" s="6">
        <f t="shared" si="379"/>
        <v>2528</v>
      </c>
      <c r="AI2558" s="7">
        <f t="shared" ca="1" si="380"/>
        <v>45198</v>
      </c>
      <c r="AJ2558" s="210">
        <f t="shared" ca="1" si="381"/>
        <v>4.1749999999999998</v>
      </c>
      <c r="AK2558" s="8">
        <f t="shared" ca="1" si="382"/>
        <v>1.0001159722222221</v>
      </c>
      <c r="AL2558" s="98">
        <f t="shared" ca="1" si="383"/>
        <v>4.072251139942229</v>
      </c>
      <c r="AM2558" s="106">
        <f t="shared" ca="1" si="377"/>
        <v>32256.558915651349</v>
      </c>
      <c r="AN2558" s="10">
        <f t="shared" ca="1" si="378"/>
        <v>1.0242482182164059</v>
      </c>
      <c r="AO2558" s="158"/>
      <c r="AP2558" s="158"/>
      <c r="AQ2558" s="1"/>
      <c r="AR2558" s="1"/>
      <c r="AS2558" s="1"/>
      <c r="AT2558" s="1"/>
      <c r="AU2558" s="1"/>
    </row>
    <row r="2559" spans="34:47">
      <c r="AH2559" s="6">
        <f t="shared" si="379"/>
        <v>2529</v>
      </c>
      <c r="AI2559" s="7">
        <f t="shared" ca="1" si="380"/>
        <v>45199</v>
      </c>
      <c r="AJ2559" s="210">
        <f t="shared" ca="1" si="381"/>
        <v>4.1749999999999998</v>
      </c>
      <c r="AK2559" s="8">
        <f t="shared" ca="1" si="382"/>
        <v>1.0001159722222221</v>
      </c>
      <c r="AL2559" s="98">
        <f t="shared" ca="1" si="383"/>
        <v>4.0723504062472049</v>
      </c>
      <c r="AM2559" s="106">
        <f t="shared" ca="1" si="377"/>
        <v>32259.216903497563</v>
      </c>
      <c r="AN2559" s="10">
        <f t="shared" ca="1" si="378"/>
        <v>1.0243305766284294</v>
      </c>
      <c r="AO2559" s="158"/>
      <c r="AP2559" s="158"/>
      <c r="AQ2559" s="1"/>
      <c r="AR2559" s="1"/>
      <c r="AS2559" s="1"/>
      <c r="AT2559" s="1"/>
      <c r="AU2559" s="1"/>
    </row>
    <row r="2560" spans="34:47">
      <c r="AH2560" s="6">
        <f t="shared" si="379"/>
        <v>2530</v>
      </c>
      <c r="AI2560" s="7">
        <f t="shared" ca="1" si="380"/>
        <v>45200</v>
      </c>
      <c r="AJ2560" s="210">
        <f t="shared" ca="1" si="381"/>
        <v>4.1749999999999998</v>
      </c>
      <c r="AK2560" s="8">
        <f t="shared" ca="1" si="382"/>
        <v>1.0001159722222221</v>
      </c>
      <c r="AL2560" s="98">
        <f t="shared" ca="1" si="383"/>
        <v>4.0724495941753647</v>
      </c>
      <c r="AM2560" s="106">
        <f t="shared" ca="1" si="377"/>
        <v>32261.875110365887</v>
      </c>
      <c r="AN2560" s="10">
        <f t="shared" ca="1" si="378"/>
        <v>1.0244128700020338</v>
      </c>
      <c r="AO2560" s="158"/>
      <c r="AP2560" s="158"/>
      <c r="AQ2560" s="1"/>
      <c r="AR2560" s="1"/>
      <c r="AS2560" s="1"/>
      <c r="AT2560" s="1"/>
      <c r="AU2560" s="1"/>
    </row>
    <row r="2561" spans="34:47">
      <c r="AH2561" s="6">
        <f t="shared" si="379"/>
        <v>2531</v>
      </c>
      <c r="AI2561" s="7">
        <f t="shared" ca="1" si="380"/>
        <v>45201</v>
      </c>
      <c r="AJ2561" s="210">
        <f t="shared" ca="1" si="381"/>
        <v>4.1749999999999998</v>
      </c>
      <c r="AK2561" s="8">
        <f t="shared" ca="1" si="382"/>
        <v>1.0001159722222221</v>
      </c>
      <c r="AL2561" s="98">
        <f t="shared" ca="1" si="383"/>
        <v>4.0725487038194785</v>
      </c>
      <c r="AM2561" s="106">
        <f t="shared" ca="1" si="377"/>
        <v>32264.533536274357</v>
      </c>
      <c r="AN2561" s="10">
        <f t="shared" ca="1" si="378"/>
        <v>1.0244950984142243</v>
      </c>
      <c r="AO2561" s="158"/>
      <c r="AP2561" s="158"/>
      <c r="AQ2561" s="1"/>
      <c r="AR2561" s="1"/>
      <c r="AS2561" s="1"/>
      <c r="AT2561" s="1"/>
      <c r="AU2561" s="1"/>
    </row>
    <row r="2562" spans="34:47">
      <c r="AH2562" s="6">
        <f t="shared" si="379"/>
        <v>2532</v>
      </c>
      <c r="AI2562" s="7">
        <f t="shared" ca="1" si="380"/>
        <v>45202</v>
      </c>
      <c r="AJ2562" s="210">
        <f t="shared" ca="1" si="381"/>
        <v>4.1749999999999998</v>
      </c>
      <c r="AK2562" s="8">
        <f t="shared" ca="1" si="382"/>
        <v>1.0001159722222221</v>
      </c>
      <c r="AL2562" s="98">
        <f t="shared" ca="1" si="383"/>
        <v>4.0726477352722057</v>
      </c>
      <c r="AM2562" s="106">
        <f t="shared" ca="1" si="377"/>
        <v>32267.192181241036</v>
      </c>
      <c r="AN2562" s="10">
        <f t="shared" ca="1" si="378"/>
        <v>1.0245772619419391</v>
      </c>
      <c r="AO2562" s="158"/>
      <c r="AP2562" s="158"/>
      <c r="AQ2562" s="1"/>
      <c r="AR2562" s="1"/>
      <c r="AS2562" s="1"/>
      <c r="AT2562" s="1"/>
      <c r="AU2562" s="1"/>
    </row>
    <row r="2563" spans="34:47">
      <c r="AH2563" s="6">
        <f t="shared" si="379"/>
        <v>2533</v>
      </c>
      <c r="AI2563" s="7">
        <f t="shared" ca="1" si="380"/>
        <v>45203</v>
      </c>
      <c r="AJ2563" s="210">
        <f t="shared" ca="1" si="381"/>
        <v>4.1749999999999998</v>
      </c>
      <c r="AK2563" s="8">
        <f t="shared" ca="1" si="382"/>
        <v>1.0001159722222221</v>
      </c>
      <c r="AL2563" s="98">
        <f t="shared" ca="1" si="383"/>
        <v>4.0727466886260499</v>
      </c>
      <c r="AM2563" s="106">
        <f t="shared" ca="1" si="377"/>
        <v>32269.851045283958</v>
      </c>
      <c r="AN2563" s="10">
        <f t="shared" ca="1" si="378"/>
        <v>1.024659360661917</v>
      </c>
      <c r="AO2563" s="158"/>
      <c r="AP2563" s="158"/>
      <c r="AQ2563" s="1"/>
      <c r="AR2563" s="1"/>
      <c r="AS2563" s="1"/>
      <c r="AT2563" s="1"/>
      <c r="AU2563" s="1"/>
    </row>
    <row r="2564" spans="34:47">
      <c r="AH2564" s="6">
        <f t="shared" si="379"/>
        <v>2534</v>
      </c>
      <c r="AI2564" s="7">
        <f t="shared" ca="1" si="380"/>
        <v>45204</v>
      </c>
      <c r="AJ2564" s="210">
        <f t="shared" ca="1" si="381"/>
        <v>4.1749999999999998</v>
      </c>
      <c r="AK2564" s="8">
        <f t="shared" ca="1" si="382"/>
        <v>1.0001159722222221</v>
      </c>
      <c r="AL2564" s="98">
        <f t="shared" ca="1" si="383"/>
        <v>4.0728455639733596</v>
      </c>
      <c r="AM2564" s="106">
        <f t="shared" ca="1" si="377"/>
        <v>32272.510128421189</v>
      </c>
      <c r="AN2564" s="10">
        <f t="shared" ca="1" si="378"/>
        <v>1.0247413946508077</v>
      </c>
      <c r="AO2564" s="158"/>
      <c r="AP2564" s="158"/>
      <c r="AQ2564" s="1"/>
      <c r="AR2564" s="1"/>
      <c r="AS2564" s="1"/>
      <c r="AT2564" s="1"/>
      <c r="AU2564" s="1"/>
    </row>
    <row r="2565" spans="34:47">
      <c r="AH2565" s="6">
        <f t="shared" si="379"/>
        <v>2535</v>
      </c>
      <c r="AI2565" s="7">
        <f t="shared" ca="1" si="380"/>
        <v>45205</v>
      </c>
      <c r="AJ2565" s="210">
        <f t="shared" ca="1" si="381"/>
        <v>4.1749999999999998</v>
      </c>
      <c r="AK2565" s="8">
        <f t="shared" ca="1" si="382"/>
        <v>1.0001159722222221</v>
      </c>
      <c r="AL2565" s="98">
        <f t="shared" ca="1" si="383"/>
        <v>4.0729443614063277</v>
      </c>
      <c r="AM2565" s="106">
        <f t="shared" ca="1" si="377"/>
        <v>32275.169430670776</v>
      </c>
      <c r="AN2565" s="10">
        <f t="shared" ca="1" si="378"/>
        <v>1.0248233639851279</v>
      </c>
      <c r="AO2565" s="158"/>
      <c r="AP2565" s="158"/>
      <c r="AQ2565" s="1"/>
      <c r="AR2565" s="1"/>
      <c r="AS2565" s="1"/>
      <c r="AT2565" s="1"/>
      <c r="AU2565" s="1"/>
    </row>
    <row r="2566" spans="34:47">
      <c r="AH2566" s="6">
        <f t="shared" si="379"/>
        <v>2536</v>
      </c>
      <c r="AI2566" s="7">
        <f t="shared" ca="1" si="380"/>
        <v>45206</v>
      </c>
      <c r="AJ2566" s="210">
        <f t="shared" ca="1" si="381"/>
        <v>4.1749999999999998</v>
      </c>
      <c r="AK2566" s="8">
        <f t="shared" ca="1" si="382"/>
        <v>1.0001159722222221</v>
      </c>
      <c r="AL2566" s="98">
        <f t="shared" ca="1" si="383"/>
        <v>4.0730430810170137</v>
      </c>
      <c r="AM2566" s="106">
        <f t="shared" ca="1" si="377"/>
        <v>32277.828952050775</v>
      </c>
      <c r="AN2566" s="10">
        <f t="shared" ca="1" si="378"/>
        <v>1.0249052687413052</v>
      </c>
      <c r="AO2566" s="158"/>
      <c r="AP2566" s="158"/>
      <c r="AQ2566" s="1"/>
      <c r="AR2566" s="1"/>
      <c r="AS2566" s="1"/>
      <c r="AT2566" s="1"/>
      <c r="AU2566" s="1"/>
    </row>
    <row r="2567" spans="34:47">
      <c r="AH2567" s="6">
        <f t="shared" si="379"/>
        <v>2537</v>
      </c>
      <c r="AI2567" s="7">
        <f t="shared" ca="1" si="380"/>
        <v>45207</v>
      </c>
      <c r="AJ2567" s="210">
        <f t="shared" ca="1" si="381"/>
        <v>4.1749999999999998</v>
      </c>
      <c r="AK2567" s="8">
        <f t="shared" ca="1" si="382"/>
        <v>1.0001159722222221</v>
      </c>
      <c r="AL2567" s="98">
        <f t="shared" ca="1" si="383"/>
        <v>4.0731417228973443</v>
      </c>
      <c r="AM2567" s="106">
        <f t="shared" ca="1" si="377"/>
        <v>32280.488692579242</v>
      </c>
      <c r="AN2567" s="10">
        <f t="shared" ca="1" si="378"/>
        <v>1.024987108995612</v>
      </c>
      <c r="AO2567" s="158"/>
      <c r="AP2567" s="158"/>
      <c r="AQ2567" s="1"/>
      <c r="AR2567" s="1"/>
      <c r="AS2567" s="1"/>
      <c r="AT2567" s="1"/>
      <c r="AU2567" s="1"/>
    </row>
    <row r="2568" spans="34:47">
      <c r="AH2568" s="6">
        <f t="shared" si="379"/>
        <v>2538</v>
      </c>
      <c r="AI2568" s="7">
        <f t="shared" ca="1" si="380"/>
        <v>45208</v>
      </c>
      <c r="AJ2568" s="210">
        <f t="shared" ca="1" si="381"/>
        <v>4.1749999999999998</v>
      </c>
      <c r="AK2568" s="8">
        <f t="shared" ca="1" si="382"/>
        <v>1.0001159722222221</v>
      </c>
      <c r="AL2568" s="98">
        <f t="shared" ca="1" si="383"/>
        <v>4.0732402871390683</v>
      </c>
      <c r="AM2568" s="106">
        <f t="shared" ca="1" si="377"/>
        <v>32283.148652274231</v>
      </c>
      <c r="AN2568" s="10">
        <f t="shared" ca="1" si="378"/>
        <v>1.0250688848241873</v>
      </c>
      <c r="AO2568" s="158"/>
      <c r="AP2568" s="158"/>
      <c r="AQ2568" s="1"/>
      <c r="AR2568" s="1"/>
      <c r="AS2568" s="1"/>
      <c r="AT2568" s="1"/>
      <c r="AU2568" s="1"/>
    </row>
    <row r="2569" spans="34:47">
      <c r="AH2569" s="6">
        <f t="shared" si="379"/>
        <v>2539</v>
      </c>
      <c r="AI2569" s="7">
        <f t="shared" ca="1" si="380"/>
        <v>45209</v>
      </c>
      <c r="AJ2569" s="210">
        <f t="shared" ca="1" si="381"/>
        <v>4.1749999999999998</v>
      </c>
      <c r="AK2569" s="8">
        <f t="shared" ca="1" si="382"/>
        <v>1.0001159722222221</v>
      </c>
      <c r="AL2569" s="98">
        <f t="shared" ca="1" si="383"/>
        <v>4.0733387738338234</v>
      </c>
      <c r="AM2569" s="106">
        <f t="shared" ca="1" si="377"/>
        <v>32285.808831153812</v>
      </c>
      <c r="AN2569" s="10">
        <f t="shared" ca="1" si="378"/>
        <v>1.025150596303126</v>
      </c>
      <c r="AO2569" s="158"/>
      <c r="AP2569" s="158"/>
      <c r="AQ2569" s="1"/>
      <c r="AR2569" s="1"/>
      <c r="AS2569" s="1"/>
      <c r="AT2569" s="1"/>
      <c r="AU2569" s="1"/>
    </row>
    <row r="2570" spans="34:47">
      <c r="AH2570" s="6">
        <f t="shared" si="379"/>
        <v>2540</v>
      </c>
      <c r="AI2570" s="7">
        <f t="shared" ca="1" si="380"/>
        <v>45210</v>
      </c>
      <c r="AJ2570" s="210">
        <f t="shared" ca="1" si="381"/>
        <v>4.1749999999999998</v>
      </c>
      <c r="AK2570" s="8">
        <f t="shared" ca="1" si="382"/>
        <v>1.0001159722222221</v>
      </c>
      <c r="AL2570" s="98">
        <f t="shared" ca="1" si="383"/>
        <v>4.073437183073092</v>
      </c>
      <c r="AM2570" s="106">
        <f t="shared" ca="1" si="377"/>
        <v>32288.469229236045</v>
      </c>
      <c r="AN2570" s="10">
        <f t="shared" ca="1" si="378"/>
        <v>1.0252322435083228</v>
      </c>
      <c r="AO2570" s="158"/>
      <c r="AP2570" s="158"/>
      <c r="AQ2570" s="1"/>
      <c r="AR2570" s="1"/>
      <c r="AS2570" s="1"/>
      <c r="AT2570" s="1"/>
      <c r="AU2570" s="1"/>
    </row>
    <row r="2571" spans="34:47">
      <c r="AH2571" s="6">
        <f t="shared" si="379"/>
        <v>2541</v>
      </c>
      <c r="AI2571" s="7">
        <f t="shared" ca="1" si="380"/>
        <v>45211</v>
      </c>
      <c r="AJ2571" s="210">
        <f t="shared" ca="1" si="381"/>
        <v>4.1749999999999998</v>
      </c>
      <c r="AK2571" s="8">
        <f t="shared" ca="1" si="382"/>
        <v>1.0001159722222221</v>
      </c>
      <c r="AL2571" s="98">
        <f t="shared" ca="1" si="383"/>
        <v>4.0735355149482233</v>
      </c>
      <c r="AM2571" s="106">
        <f t="shared" ca="1" si="377"/>
        <v>32291.129846538981</v>
      </c>
      <c r="AN2571" s="10">
        <f t="shared" ca="1" si="378"/>
        <v>1.0253138265156059</v>
      </c>
      <c r="AO2571" s="158"/>
      <c r="AP2571" s="158"/>
      <c r="AQ2571" s="1"/>
      <c r="AR2571" s="1"/>
      <c r="AS2571" s="1"/>
      <c r="AT2571" s="1"/>
      <c r="AU2571" s="1"/>
    </row>
    <row r="2572" spans="34:47">
      <c r="AH2572" s="6">
        <f t="shared" si="379"/>
        <v>2542</v>
      </c>
      <c r="AI2572" s="7">
        <f t="shared" ca="1" si="380"/>
        <v>45212</v>
      </c>
      <c r="AJ2572" s="210">
        <f t="shared" ca="1" si="381"/>
        <v>4.1749999999999998</v>
      </c>
      <c r="AK2572" s="8">
        <f t="shared" ca="1" si="382"/>
        <v>1.0001159722222221</v>
      </c>
      <c r="AL2572" s="98">
        <f t="shared" ca="1" si="383"/>
        <v>4.0736337695503888</v>
      </c>
      <c r="AM2572" s="106">
        <f t="shared" ca="1" si="377"/>
        <v>32293.790683080701</v>
      </c>
      <c r="AN2572" s="10">
        <f t="shared" ca="1" si="378"/>
        <v>1.0253953454006259</v>
      </c>
      <c r="AO2572" s="158"/>
      <c r="AP2572" s="158"/>
      <c r="AQ2572" s="1"/>
      <c r="AR2572" s="1"/>
      <c r="AS2572" s="1"/>
      <c r="AT2572" s="1"/>
      <c r="AU2572" s="1"/>
    </row>
    <row r="2573" spans="34:47">
      <c r="AH2573" s="6">
        <f t="shared" si="379"/>
        <v>2543</v>
      </c>
      <c r="AI2573" s="7">
        <f t="shared" ca="1" si="380"/>
        <v>45213</v>
      </c>
      <c r="AJ2573" s="210">
        <f t="shared" ca="1" si="381"/>
        <v>4.1749999999999998</v>
      </c>
      <c r="AK2573" s="8">
        <f t="shared" ca="1" si="382"/>
        <v>1.0001159722222221</v>
      </c>
      <c r="AL2573" s="98">
        <f t="shared" ca="1" si="383"/>
        <v>4.073731946970649</v>
      </c>
      <c r="AM2573" s="106">
        <f t="shared" ca="1" si="377"/>
        <v>32296.451738879252</v>
      </c>
      <c r="AN2573" s="10">
        <f t="shared" ca="1" si="378"/>
        <v>1.0254768002389891</v>
      </c>
      <c r="AO2573" s="158"/>
      <c r="AP2573" s="158"/>
      <c r="AQ2573" s="1"/>
      <c r="AR2573" s="1"/>
      <c r="AS2573" s="1"/>
      <c r="AT2573" s="1"/>
      <c r="AU2573" s="1"/>
    </row>
    <row r="2574" spans="34:47">
      <c r="AH2574" s="6">
        <f t="shared" si="379"/>
        <v>2544</v>
      </c>
      <c r="AI2574" s="7">
        <f t="shared" ca="1" si="380"/>
        <v>45214</v>
      </c>
      <c r="AJ2574" s="210">
        <f t="shared" ca="1" si="381"/>
        <v>4.1749999999999998</v>
      </c>
      <c r="AK2574" s="8">
        <f t="shared" ca="1" si="382"/>
        <v>1.0001159722222221</v>
      </c>
      <c r="AL2574" s="98">
        <f t="shared" ca="1" si="383"/>
        <v>4.0738300472999089</v>
      </c>
      <c r="AM2574" s="106">
        <f t="shared" ca="1" si="377"/>
        <v>32299.113013952719</v>
      </c>
      <c r="AN2574" s="10">
        <f t="shared" ca="1" si="378"/>
        <v>1.025558191106124</v>
      </c>
      <c r="AO2574" s="158"/>
      <c r="AP2574" s="158"/>
      <c r="AQ2574" s="1"/>
      <c r="AR2574" s="1"/>
      <c r="AS2574" s="1"/>
      <c r="AT2574" s="1"/>
      <c r="AU2574" s="1"/>
    </row>
    <row r="2575" spans="34:47">
      <c r="AH2575" s="6">
        <f t="shared" si="379"/>
        <v>2545</v>
      </c>
      <c r="AI2575" s="7">
        <f t="shared" ca="1" si="380"/>
        <v>45215</v>
      </c>
      <c r="AJ2575" s="210">
        <f t="shared" ca="1" si="381"/>
        <v>4.1749999999999998</v>
      </c>
      <c r="AK2575" s="8">
        <f t="shared" ca="1" si="382"/>
        <v>1.0001159722222221</v>
      </c>
      <c r="AL2575" s="98">
        <f t="shared" ca="1" si="383"/>
        <v>4.0739280706289183</v>
      </c>
      <c r="AM2575" s="106">
        <f t="shared" ca="1" si="377"/>
        <v>32301.774508319155</v>
      </c>
      <c r="AN2575" s="10">
        <f t="shared" ca="1" si="378"/>
        <v>1.0256395180773481</v>
      </c>
      <c r="AO2575" s="158"/>
      <c r="AP2575" s="158"/>
      <c r="AQ2575" s="1"/>
      <c r="AR2575" s="1"/>
      <c r="AS2575" s="1"/>
      <c r="AT2575" s="1"/>
      <c r="AU2575" s="1"/>
    </row>
    <row r="2576" spans="34:47">
      <c r="AH2576" s="6">
        <f t="shared" si="379"/>
        <v>2546</v>
      </c>
      <c r="AI2576" s="7">
        <f t="shared" ca="1" si="380"/>
        <v>45216</v>
      </c>
      <c r="AJ2576" s="210">
        <f t="shared" ca="1" si="381"/>
        <v>4.1749999999999998</v>
      </c>
      <c r="AK2576" s="8">
        <f t="shared" ca="1" si="382"/>
        <v>1.0001159722222221</v>
      </c>
      <c r="AL2576" s="98">
        <f t="shared" ca="1" si="383"/>
        <v>4.0740260170483156</v>
      </c>
      <c r="AM2576" s="106">
        <f t="shared" ca="1" si="377"/>
        <v>32304.436221996642</v>
      </c>
      <c r="AN2576" s="10">
        <f t="shared" ca="1" si="378"/>
        <v>1.0257207812278901</v>
      </c>
      <c r="AO2576" s="158"/>
      <c r="AP2576" s="158"/>
      <c r="AQ2576" s="1"/>
      <c r="AR2576" s="1"/>
      <c r="AS2576" s="1"/>
      <c r="AT2576" s="1"/>
      <c r="AU2576" s="1"/>
    </row>
    <row r="2577" spans="34:47">
      <c r="AH2577" s="6">
        <f t="shared" si="379"/>
        <v>2547</v>
      </c>
      <c r="AI2577" s="7">
        <f t="shared" ca="1" si="380"/>
        <v>45217</v>
      </c>
      <c r="AJ2577" s="210">
        <f t="shared" ca="1" si="381"/>
        <v>4.1749999999999998</v>
      </c>
      <c r="AK2577" s="8">
        <f t="shared" ca="1" si="382"/>
        <v>1.0001159722222221</v>
      </c>
      <c r="AL2577" s="98">
        <f t="shared" ca="1" si="383"/>
        <v>4.074123886648584</v>
      </c>
      <c r="AM2577" s="106">
        <f t="shared" ca="1" si="377"/>
        <v>32307.098155003237</v>
      </c>
      <c r="AN2577" s="10">
        <f t="shared" ca="1" si="378"/>
        <v>1.0258019806328678</v>
      </c>
      <c r="AO2577" s="158"/>
      <c r="AP2577" s="158"/>
      <c r="AQ2577" s="1"/>
      <c r="AR2577" s="1"/>
      <c r="AS2577" s="1"/>
      <c r="AT2577" s="1"/>
      <c r="AU2577" s="1"/>
    </row>
    <row r="2578" spans="34:47">
      <c r="AH2578" s="6">
        <f t="shared" si="379"/>
        <v>2548</v>
      </c>
      <c r="AI2578" s="7">
        <f t="shared" ca="1" si="380"/>
        <v>45218</v>
      </c>
      <c r="AJ2578" s="210">
        <f t="shared" ca="1" si="381"/>
        <v>4.1749999999999998</v>
      </c>
      <c r="AK2578" s="8">
        <f t="shared" ca="1" si="382"/>
        <v>1.0001159722222221</v>
      </c>
      <c r="AL2578" s="98">
        <f t="shared" ca="1" si="383"/>
        <v>4.0742216795200514</v>
      </c>
      <c r="AM2578" s="106">
        <f t="shared" ca="1" si="377"/>
        <v>32309.760307357032</v>
      </c>
      <c r="AN2578" s="10">
        <f t="shared" ca="1" si="378"/>
        <v>1.0258831163672211</v>
      </c>
      <c r="AO2578" s="158"/>
      <c r="AP2578" s="158"/>
      <c r="AQ2578" s="1"/>
      <c r="AR2578" s="1"/>
      <c r="AS2578" s="1"/>
      <c r="AT2578" s="1"/>
      <c r="AU2578" s="1"/>
    </row>
    <row r="2579" spans="34:47">
      <c r="AH2579" s="6">
        <f t="shared" si="379"/>
        <v>2549</v>
      </c>
      <c r="AI2579" s="7">
        <f t="shared" ca="1" si="380"/>
        <v>45219</v>
      </c>
      <c r="AJ2579" s="210">
        <f t="shared" ca="1" si="381"/>
        <v>4.1749999999999998</v>
      </c>
      <c r="AK2579" s="8">
        <f t="shared" ca="1" si="382"/>
        <v>1.0001159722222221</v>
      </c>
      <c r="AL2579" s="98">
        <f t="shared" ca="1" si="383"/>
        <v>4.0743193957529344</v>
      </c>
      <c r="AM2579" s="106">
        <f t="shared" ca="1" si="377"/>
        <v>32312.422679076091</v>
      </c>
      <c r="AN2579" s="10">
        <f t="shared" ca="1" si="378"/>
        <v>1.0259641885058235</v>
      </c>
      <c r="AO2579" s="158"/>
      <c r="AP2579" s="158"/>
      <c r="AQ2579" s="1"/>
      <c r="AR2579" s="1"/>
      <c r="AS2579" s="1"/>
      <c r="AT2579" s="1"/>
      <c r="AU2579" s="1"/>
    </row>
    <row r="2580" spans="34:47">
      <c r="AH2580" s="6">
        <f t="shared" si="379"/>
        <v>2550</v>
      </c>
      <c r="AI2580" s="7">
        <f t="shared" ca="1" si="380"/>
        <v>45220</v>
      </c>
      <c r="AJ2580" s="210">
        <f t="shared" ca="1" si="381"/>
        <v>4.1749999999999998</v>
      </c>
      <c r="AK2580" s="8">
        <f t="shared" ca="1" si="382"/>
        <v>1.0001159722222221</v>
      </c>
      <c r="AL2580" s="98">
        <f t="shared" ca="1" si="383"/>
        <v>4.0744170354372722</v>
      </c>
      <c r="AM2580" s="106">
        <f t="shared" ca="1" si="377"/>
        <v>32315.085270178493</v>
      </c>
      <c r="AN2580" s="10">
        <f t="shared" ca="1" si="378"/>
        <v>1.0260451971234374</v>
      </c>
      <c r="AO2580" s="158"/>
      <c r="AP2580" s="158"/>
      <c r="AQ2580" s="1"/>
      <c r="AR2580" s="1"/>
      <c r="AS2580" s="1"/>
      <c r="AT2580" s="1"/>
      <c r="AU2580" s="1"/>
    </row>
    <row r="2581" spans="34:47">
      <c r="AH2581" s="6">
        <f t="shared" si="379"/>
        <v>2551</v>
      </c>
      <c r="AI2581" s="7">
        <f t="shared" ca="1" si="380"/>
        <v>45221</v>
      </c>
      <c r="AJ2581" s="210">
        <f t="shared" ca="1" si="381"/>
        <v>4.1749999999999998</v>
      </c>
      <c r="AK2581" s="8">
        <f t="shared" ca="1" si="382"/>
        <v>1.0001159722222221</v>
      </c>
      <c r="AL2581" s="98">
        <f t="shared" ca="1" si="383"/>
        <v>4.0745145986629705</v>
      </c>
      <c r="AM2581" s="106">
        <f t="shared" ca="1" si="377"/>
        <v>32317.748080682311</v>
      </c>
      <c r="AN2581" s="10">
        <f t="shared" ca="1" si="378"/>
        <v>1.0261261422946477</v>
      </c>
      <c r="AO2581" s="158"/>
      <c r="AP2581" s="158"/>
      <c r="AQ2581" s="1"/>
      <c r="AR2581" s="1"/>
      <c r="AS2581" s="1"/>
      <c r="AT2581" s="1"/>
      <c r="AU2581" s="1"/>
    </row>
    <row r="2582" spans="34:47">
      <c r="AH2582" s="6">
        <f t="shared" si="379"/>
        <v>2552</v>
      </c>
      <c r="AI2582" s="7">
        <f t="shared" ca="1" si="380"/>
        <v>45222</v>
      </c>
      <c r="AJ2582" s="210">
        <f t="shared" ca="1" si="381"/>
        <v>4.1749999999999998</v>
      </c>
      <c r="AK2582" s="8">
        <f t="shared" ca="1" si="382"/>
        <v>1.0001159722222221</v>
      </c>
      <c r="AL2582" s="98">
        <f t="shared" ca="1" si="383"/>
        <v>4.0746120855198242</v>
      </c>
      <c r="AM2582" s="106">
        <f t="shared" ca="1" si="377"/>
        <v>32320.411110605626</v>
      </c>
      <c r="AN2582" s="10">
        <f t="shared" ca="1" si="378"/>
        <v>1.0262070240939947</v>
      </c>
      <c r="AO2582" s="158"/>
      <c r="AP2582" s="158"/>
      <c r="AQ2582" s="1"/>
      <c r="AR2582" s="1"/>
      <c r="AS2582" s="1"/>
      <c r="AT2582" s="1"/>
      <c r="AU2582" s="1"/>
    </row>
    <row r="2583" spans="34:47">
      <c r="AH2583" s="6">
        <f t="shared" si="379"/>
        <v>2553</v>
      </c>
      <c r="AI2583" s="7">
        <f t="shared" ca="1" si="380"/>
        <v>45223</v>
      </c>
      <c r="AJ2583" s="210">
        <f t="shared" ca="1" si="381"/>
        <v>4.1749999999999998</v>
      </c>
      <c r="AK2583" s="8">
        <f t="shared" ca="1" si="382"/>
        <v>1.0001159722222221</v>
      </c>
      <c r="AL2583" s="98">
        <f t="shared" ca="1" si="383"/>
        <v>4.0747094960974506</v>
      </c>
      <c r="AM2583" s="106">
        <f t="shared" ca="1" si="377"/>
        <v>32323.074359966522</v>
      </c>
      <c r="AN2583" s="10">
        <f t="shared" ca="1" si="378"/>
        <v>1.0262878425958633</v>
      </c>
      <c r="AO2583" s="158"/>
      <c r="AP2583" s="158"/>
      <c r="AQ2583" s="1"/>
      <c r="AR2583" s="1"/>
      <c r="AS2583" s="1"/>
      <c r="AT2583" s="1"/>
      <c r="AU2583" s="1"/>
    </row>
    <row r="2584" spans="34:47">
      <c r="AH2584" s="6">
        <f t="shared" si="379"/>
        <v>2554</v>
      </c>
      <c r="AI2584" s="7">
        <f t="shared" ca="1" si="380"/>
        <v>45224</v>
      </c>
      <c r="AJ2584" s="210">
        <f t="shared" ca="1" si="381"/>
        <v>4.1749999999999998</v>
      </c>
      <c r="AK2584" s="8">
        <f t="shared" ca="1" si="382"/>
        <v>1.0001159722222221</v>
      </c>
      <c r="AL2584" s="98">
        <f t="shared" ca="1" si="383"/>
        <v>4.0748068304853335</v>
      </c>
      <c r="AM2584" s="106">
        <f t="shared" ca="1" si="377"/>
        <v>32325.737828783076</v>
      </c>
      <c r="AN2584" s="10">
        <f t="shared" ca="1" si="378"/>
        <v>1.0263685978745052</v>
      </c>
      <c r="AO2584" s="158"/>
      <c r="AP2584" s="158"/>
      <c r="AQ2584" s="1"/>
      <c r="AR2584" s="1"/>
      <c r="AS2584" s="1"/>
      <c r="AT2584" s="1"/>
      <c r="AU2584" s="1"/>
    </row>
    <row r="2585" spans="34:47">
      <c r="AH2585" s="6">
        <f t="shared" si="379"/>
        <v>2555</v>
      </c>
      <c r="AI2585" s="7">
        <f t="shared" ca="1" si="380"/>
        <v>45225</v>
      </c>
      <c r="AJ2585" s="210">
        <f t="shared" ca="1" si="381"/>
        <v>4.1749999999999998</v>
      </c>
      <c r="AK2585" s="8">
        <f t="shared" ca="1" si="382"/>
        <v>1.0001159722222221</v>
      </c>
      <c r="AL2585" s="98">
        <f t="shared" ca="1" si="383"/>
        <v>4.074904088772846</v>
      </c>
      <c r="AM2585" s="106">
        <f t="shared" ca="1" si="377"/>
        <v>32328.401517073376</v>
      </c>
      <c r="AN2585" s="10">
        <f t="shared" ca="1" si="378"/>
        <v>1.0264492900040834</v>
      </c>
      <c r="AO2585" s="158"/>
      <c r="AP2585" s="158"/>
      <c r="AQ2585" s="1"/>
      <c r="AR2585" s="1"/>
      <c r="AS2585" s="1"/>
      <c r="AT2585" s="1"/>
      <c r="AU2585" s="1"/>
    </row>
    <row r="2586" spans="34:47">
      <c r="AH2586" s="6">
        <f t="shared" si="379"/>
        <v>2556</v>
      </c>
      <c r="AI2586" s="7">
        <f t="shared" ca="1" si="380"/>
        <v>45226</v>
      </c>
      <c r="AJ2586" s="210">
        <f t="shared" ca="1" si="381"/>
        <v>4.1749999999999998</v>
      </c>
      <c r="AK2586" s="8">
        <f t="shared" ca="1" si="382"/>
        <v>1.0001159722222221</v>
      </c>
      <c r="AL2586" s="98">
        <f t="shared" ca="1" si="383"/>
        <v>4.0750012710491834</v>
      </c>
      <c r="AM2586" s="106">
        <f t="shared" ca="1" si="377"/>
        <v>32331.0654248555</v>
      </c>
      <c r="AN2586" s="10">
        <f t="shared" ca="1" si="378"/>
        <v>1.0265299190586719</v>
      </c>
      <c r="AO2586" s="158"/>
      <c r="AP2586" s="158"/>
      <c r="AQ2586" s="1"/>
      <c r="AR2586" s="1"/>
      <c r="AS2586" s="1"/>
      <c r="AT2586" s="1"/>
      <c r="AU2586" s="1"/>
    </row>
    <row r="2587" spans="34:47">
      <c r="AH2587" s="6">
        <f t="shared" si="379"/>
        <v>2557</v>
      </c>
      <c r="AI2587" s="7">
        <f t="shared" ca="1" si="380"/>
        <v>45227</v>
      </c>
      <c r="AJ2587" s="210">
        <f t="shared" ca="1" si="381"/>
        <v>4.1749999999999998</v>
      </c>
      <c r="AK2587" s="8">
        <f t="shared" ca="1" si="382"/>
        <v>1.0001159722222221</v>
      </c>
      <c r="AL2587" s="98">
        <f t="shared" ca="1" si="383"/>
        <v>4.0750983774034522</v>
      </c>
      <c r="AM2587" s="106">
        <f t="shared" ca="1" si="377"/>
        <v>32333.729552147543</v>
      </c>
      <c r="AN2587" s="10">
        <f t="shared" ca="1" si="378"/>
        <v>1.0266104851122115</v>
      </c>
      <c r="AO2587" s="158"/>
      <c r="AP2587" s="158"/>
      <c r="AQ2587" s="1"/>
      <c r="AR2587" s="1"/>
      <c r="AS2587" s="1"/>
      <c r="AT2587" s="1"/>
      <c r="AU2587" s="1"/>
    </row>
    <row r="2588" spans="34:47">
      <c r="AH2588" s="6">
        <f t="shared" si="379"/>
        <v>2558</v>
      </c>
      <c r="AI2588" s="7">
        <f t="shared" ca="1" si="380"/>
        <v>45228</v>
      </c>
      <c r="AJ2588" s="210">
        <f t="shared" ca="1" si="381"/>
        <v>4.1749999999999998</v>
      </c>
      <c r="AK2588" s="8">
        <f t="shared" ca="1" si="382"/>
        <v>1.0001159722222221</v>
      </c>
      <c r="AL2588" s="98">
        <f t="shared" ca="1" si="383"/>
        <v>4.0751954079245589</v>
      </c>
      <c r="AM2588" s="106">
        <f t="shared" ca="1" si="377"/>
        <v>32336.393898967588</v>
      </c>
      <c r="AN2588" s="10">
        <f t="shared" ca="1" si="378"/>
        <v>1.0266909882384656</v>
      </c>
      <c r="AO2588" s="158"/>
      <c r="AP2588" s="158"/>
      <c r="AQ2588" s="1"/>
      <c r="AR2588" s="1"/>
      <c r="AS2588" s="1"/>
      <c r="AT2588" s="1"/>
      <c r="AU2588" s="1"/>
    </row>
    <row r="2589" spans="34:47">
      <c r="AH2589" s="6">
        <f t="shared" si="379"/>
        <v>2559</v>
      </c>
      <c r="AI2589" s="7">
        <f t="shared" ca="1" si="380"/>
        <v>45229</v>
      </c>
      <c r="AJ2589" s="210">
        <f t="shared" ca="1" si="381"/>
        <v>4.1749999999999998</v>
      </c>
      <c r="AK2589" s="8">
        <f t="shared" ca="1" si="382"/>
        <v>1.0001159722222221</v>
      </c>
      <c r="AL2589" s="98">
        <f t="shared" ca="1" si="383"/>
        <v>4.0752923627012994</v>
      </c>
      <c r="AM2589" s="106">
        <f t="shared" ca="1" si="377"/>
        <v>32339.058465333725</v>
      </c>
      <c r="AN2589" s="10">
        <f t="shared" ca="1" si="378"/>
        <v>1.0267714285111307</v>
      </c>
      <c r="AO2589" s="158"/>
      <c r="AP2589" s="158"/>
      <c r="AQ2589" s="1"/>
      <c r="AR2589" s="1"/>
      <c r="AS2589" s="1"/>
      <c r="AT2589" s="1"/>
      <c r="AU2589" s="1"/>
    </row>
    <row r="2590" spans="34:47">
      <c r="AH2590" s="6">
        <f t="shared" si="379"/>
        <v>2560</v>
      </c>
      <c r="AI2590" s="7">
        <f t="shared" ca="1" si="380"/>
        <v>45230</v>
      </c>
      <c r="AJ2590" s="210">
        <f t="shared" ca="1" si="381"/>
        <v>4.1749999999999998</v>
      </c>
      <c r="AK2590" s="8">
        <f t="shared" ca="1" si="382"/>
        <v>1.0001159722222221</v>
      </c>
      <c r="AL2590" s="98">
        <f t="shared" ca="1" si="383"/>
        <v>4.0753892418223359</v>
      </c>
      <c r="AM2590" s="106">
        <f t="shared" ca="1" si="377"/>
        <v>32341.723251264044</v>
      </c>
      <c r="AN2590" s="10">
        <f t="shared" ca="1" si="378"/>
        <v>1.0268518060038367</v>
      </c>
      <c r="AO2590" s="158"/>
      <c r="AP2590" s="158"/>
      <c r="AQ2590" s="1"/>
      <c r="AR2590" s="1"/>
      <c r="AS2590" s="1"/>
      <c r="AT2590" s="1"/>
      <c r="AU2590" s="1"/>
    </row>
    <row r="2591" spans="34:47">
      <c r="AH2591" s="6">
        <f t="shared" si="379"/>
        <v>2561</v>
      </c>
      <c r="AI2591" s="7">
        <f t="shared" ca="1" si="380"/>
        <v>45231</v>
      </c>
      <c r="AJ2591" s="210">
        <f t="shared" ca="1" si="381"/>
        <v>4.1749999999999998</v>
      </c>
      <c r="AK2591" s="8">
        <f t="shared" ca="1" si="382"/>
        <v>1.0001159722222221</v>
      </c>
      <c r="AL2591" s="98">
        <f t="shared" ca="1" si="383"/>
        <v>4.0754860453761976</v>
      </c>
      <c r="AM2591" s="106">
        <f t="shared" ref="AM2591:AM2654" ca="1" si="384">Geom_Interp(AI2591,$AZ$2:$AZ$109,$BA$2:$BA$109)</f>
        <v>32344.388256776641</v>
      </c>
      <c r="AN2591" s="10">
        <f t="shared" ref="AN2591:AN2654" ca="1" si="385">100*(((1+AL2591/100)^(AH2591/365)*$AM$29/AM2591)^(365/AH2591)-1)</f>
        <v>1.0269321207899917</v>
      </c>
      <c r="AO2591" s="158"/>
      <c r="AP2591" s="158"/>
      <c r="AQ2591" s="1"/>
      <c r="AR2591" s="1"/>
      <c r="AS2591" s="1"/>
      <c r="AT2591" s="1"/>
      <c r="AU2591" s="1"/>
    </row>
    <row r="2592" spans="34:47">
      <c r="AH2592" s="6">
        <f t="shared" ref="AH2592:AH2655" si="386">$AI$29+AH2591</f>
        <v>2562</v>
      </c>
      <c r="AI2592" s="7">
        <f t="shared" ref="AI2592:AI2655" ca="1" si="387">+AH2592+$C$1</f>
        <v>45232</v>
      </c>
      <c r="AJ2592" s="210">
        <f t="shared" ref="AJ2592:AJ2655" ca="1" si="388">IF(AH2592&lt;365,VLOOKUP(LOOKUP(AI2592,$AI$2:$AI$23),$AI$2:$AK$23,3,0),Lin_Interp(AH2592,$AJ$2:$AJ$23,$AK$2:$AK$23))</f>
        <v>4.1749999999999998</v>
      </c>
      <c r="AK2592" s="8">
        <f t="shared" ca="1" si="382"/>
        <v>1.0001159722222221</v>
      </c>
      <c r="AL2592" s="98">
        <f t="shared" ca="1" si="383"/>
        <v>4.0755827734512362</v>
      </c>
      <c r="AM2592" s="106">
        <f t="shared" ca="1" si="384"/>
        <v>32347.053481889609</v>
      </c>
      <c r="AN2592" s="10">
        <f t="shared" ca="1" si="385"/>
        <v>1.0270123729429814</v>
      </c>
      <c r="AO2592" s="158"/>
      <c r="AP2592" s="158"/>
      <c r="AQ2592" s="1"/>
      <c r="AR2592" s="1"/>
      <c r="AS2592" s="1"/>
      <c r="AT2592" s="1"/>
      <c r="AU2592" s="1"/>
    </row>
    <row r="2593" spans="34:47">
      <c r="AH2593" s="6">
        <f t="shared" si="386"/>
        <v>2563</v>
      </c>
      <c r="AI2593" s="7">
        <f t="shared" ca="1" si="387"/>
        <v>45233</v>
      </c>
      <c r="AJ2593" s="210">
        <f t="shared" ca="1" si="388"/>
        <v>4.1749999999999998</v>
      </c>
      <c r="AK2593" s="8">
        <f t="shared" ref="AK2593:AK2656" ca="1" si="389">+(1+AJ2593/36000)</f>
        <v>1.0001159722222221</v>
      </c>
      <c r="AL2593" s="98">
        <f t="shared" ref="AL2593:AL2656" ca="1" si="390">100*(((1+AL2592/100)^(AH2592/365)*AK2593)^(365/AH2593)-1)</f>
        <v>4.0756794261357143</v>
      </c>
      <c r="AM2593" s="106">
        <f t="shared" ca="1" si="384"/>
        <v>32349.718926621033</v>
      </c>
      <c r="AN2593" s="10">
        <f t="shared" ca="1" si="385"/>
        <v>1.0270925625360361</v>
      </c>
      <c r="AO2593" s="158"/>
      <c r="AP2593" s="158"/>
      <c r="AQ2593" s="1"/>
      <c r="AR2593" s="1"/>
      <c r="AS2593" s="1"/>
      <c r="AT2593" s="1"/>
      <c r="AU2593" s="1"/>
    </row>
    <row r="2594" spans="34:47">
      <c r="AH2594" s="6">
        <f t="shared" si="386"/>
        <v>2564</v>
      </c>
      <c r="AI2594" s="7">
        <f t="shared" ca="1" si="387"/>
        <v>45234</v>
      </c>
      <c r="AJ2594" s="210">
        <f t="shared" ca="1" si="388"/>
        <v>4.1749999999999998</v>
      </c>
      <c r="AK2594" s="8">
        <f t="shared" ca="1" si="389"/>
        <v>1.0001159722222221</v>
      </c>
      <c r="AL2594" s="98">
        <f t="shared" ca="1" si="390"/>
        <v>4.0757760035177393</v>
      </c>
      <c r="AM2594" s="106">
        <f t="shared" ca="1" si="384"/>
        <v>32352.384590989026</v>
      </c>
      <c r="AN2594" s="10">
        <f t="shared" ca="1" si="385"/>
        <v>1.027172689642275</v>
      </c>
      <c r="AO2594" s="158"/>
      <c r="AP2594" s="158"/>
      <c r="AQ2594" s="1"/>
      <c r="AR2594" s="1"/>
      <c r="AS2594" s="1"/>
      <c r="AT2594" s="1"/>
      <c r="AU2594" s="1"/>
    </row>
    <row r="2595" spans="34:47">
      <c r="AH2595" s="6">
        <f t="shared" si="386"/>
        <v>2565</v>
      </c>
      <c r="AI2595" s="7">
        <f t="shared" ca="1" si="387"/>
        <v>45235</v>
      </c>
      <c r="AJ2595" s="210">
        <f t="shared" ca="1" si="388"/>
        <v>4.1749999999999998</v>
      </c>
      <c r="AK2595" s="8">
        <f t="shared" ca="1" si="389"/>
        <v>1.0001159722222221</v>
      </c>
      <c r="AL2595" s="98">
        <f t="shared" ca="1" si="390"/>
        <v>4.0758725056852851</v>
      </c>
      <c r="AM2595" s="106">
        <f t="shared" ca="1" si="384"/>
        <v>32355.050475011685</v>
      </c>
      <c r="AN2595" s="10">
        <f t="shared" ca="1" si="385"/>
        <v>1.0272527543347287</v>
      </c>
      <c r="AO2595" s="158"/>
      <c r="AP2595" s="158"/>
      <c r="AQ2595" s="1"/>
      <c r="AR2595" s="1"/>
      <c r="AS2595" s="1"/>
      <c r="AT2595" s="1"/>
      <c r="AU2595" s="1"/>
    </row>
    <row r="2596" spans="34:47">
      <c r="AH2596" s="6">
        <f t="shared" si="386"/>
        <v>2566</v>
      </c>
      <c r="AI2596" s="7">
        <f t="shared" ca="1" si="387"/>
        <v>45236</v>
      </c>
      <c r="AJ2596" s="210">
        <f t="shared" ca="1" si="388"/>
        <v>4.1749999999999998</v>
      </c>
      <c r="AK2596" s="8">
        <f t="shared" ca="1" si="389"/>
        <v>1.0001159722222221</v>
      </c>
      <c r="AL2596" s="98">
        <f t="shared" ca="1" si="390"/>
        <v>4.0759689327261706</v>
      </c>
      <c r="AM2596" s="106">
        <f t="shared" ca="1" si="384"/>
        <v>32357.716578707099</v>
      </c>
      <c r="AN2596" s="10">
        <f t="shared" ca="1" si="385"/>
        <v>1.0273327566862944</v>
      </c>
      <c r="AO2596" s="158"/>
      <c r="AP2596" s="158"/>
      <c r="AQ2596" s="1"/>
      <c r="AR2596" s="1"/>
      <c r="AS2596" s="1"/>
      <c r="AT2596" s="1"/>
      <c r="AU2596" s="1"/>
    </row>
    <row r="2597" spans="34:47">
      <c r="AH2597" s="6">
        <f t="shared" si="386"/>
        <v>2567</v>
      </c>
      <c r="AI2597" s="7">
        <f t="shared" ca="1" si="387"/>
        <v>45237</v>
      </c>
      <c r="AJ2597" s="210">
        <f t="shared" ca="1" si="388"/>
        <v>4.1749999999999998</v>
      </c>
      <c r="AK2597" s="8">
        <f t="shared" ca="1" si="389"/>
        <v>1.0001159722222221</v>
      </c>
      <c r="AL2597" s="98">
        <f t="shared" ca="1" si="390"/>
        <v>4.0760652847281031</v>
      </c>
      <c r="AM2597" s="106">
        <f t="shared" ca="1" si="384"/>
        <v>32360.38290209337</v>
      </c>
      <c r="AN2597" s="10">
        <f t="shared" ca="1" si="385"/>
        <v>1.0274126967697139</v>
      </c>
      <c r="AO2597" s="158"/>
      <c r="AP2597" s="158"/>
      <c r="AQ2597" s="1"/>
      <c r="AR2597" s="1"/>
      <c r="AS2597" s="1"/>
      <c r="AT2597" s="1"/>
      <c r="AU2597" s="1"/>
    </row>
    <row r="2598" spans="34:47">
      <c r="AH2598" s="6">
        <f t="shared" si="386"/>
        <v>2568</v>
      </c>
      <c r="AI2598" s="7">
        <f t="shared" ca="1" si="387"/>
        <v>45238</v>
      </c>
      <c r="AJ2598" s="210">
        <f t="shared" ca="1" si="388"/>
        <v>4.1749999999999998</v>
      </c>
      <c r="AK2598" s="8">
        <f t="shared" ca="1" si="389"/>
        <v>1.0001159722222221</v>
      </c>
      <c r="AL2598" s="98">
        <f t="shared" ca="1" si="390"/>
        <v>4.0761615617786351</v>
      </c>
      <c r="AM2598" s="106">
        <f t="shared" ca="1" si="384"/>
        <v>32363.049445188608</v>
      </c>
      <c r="AN2598" s="10">
        <f t="shared" ca="1" si="385"/>
        <v>1.0274925746577068</v>
      </c>
      <c r="AO2598" s="158"/>
      <c r="AP2598" s="158"/>
      <c r="AQ2598" s="1"/>
      <c r="AR2598" s="1"/>
      <c r="AS2598" s="1"/>
      <c r="AT2598" s="1"/>
      <c r="AU2598" s="1"/>
    </row>
    <row r="2599" spans="34:47">
      <c r="AH2599" s="6">
        <f t="shared" si="386"/>
        <v>2569</v>
      </c>
      <c r="AI2599" s="7">
        <f t="shared" ca="1" si="387"/>
        <v>45239</v>
      </c>
      <c r="AJ2599" s="210">
        <f t="shared" ca="1" si="388"/>
        <v>4.1749999999999998</v>
      </c>
      <c r="AK2599" s="8">
        <f t="shared" ca="1" si="389"/>
        <v>1.0001159722222221</v>
      </c>
      <c r="AL2599" s="98">
        <f t="shared" ca="1" si="390"/>
        <v>4.0762577639651854</v>
      </c>
      <c r="AM2599" s="106">
        <f t="shared" ca="1" si="384"/>
        <v>32365.716208010923</v>
      </c>
      <c r="AN2599" s="10">
        <f t="shared" ca="1" si="385"/>
        <v>1.0275723904227929</v>
      </c>
      <c r="AO2599" s="158"/>
      <c r="AP2599" s="158"/>
      <c r="AQ2599" s="1"/>
      <c r="AR2599" s="1"/>
      <c r="AS2599" s="1"/>
      <c r="AT2599" s="1"/>
      <c r="AU2599" s="1"/>
    </row>
    <row r="2600" spans="34:47">
      <c r="AH2600" s="6">
        <f t="shared" si="386"/>
        <v>2570</v>
      </c>
      <c r="AI2600" s="7">
        <f t="shared" ca="1" si="387"/>
        <v>45240</v>
      </c>
      <c r="AJ2600" s="210">
        <f t="shared" ca="1" si="388"/>
        <v>4.1749999999999998</v>
      </c>
      <c r="AK2600" s="8">
        <f t="shared" ca="1" si="389"/>
        <v>1.0001159722222221</v>
      </c>
      <c r="AL2600" s="98">
        <f t="shared" ca="1" si="390"/>
        <v>4.0763538913750397</v>
      </c>
      <c r="AM2600" s="106">
        <f t="shared" ca="1" si="384"/>
        <v>32368.383190578403</v>
      </c>
      <c r="AN2600" s="10">
        <f t="shared" ca="1" si="385"/>
        <v>1.0276521441374253</v>
      </c>
      <c r="AO2600" s="158"/>
      <c r="AP2600" s="158"/>
      <c r="AQ2600" s="1"/>
      <c r="AR2600" s="1"/>
      <c r="AS2600" s="1"/>
      <c r="AT2600" s="1"/>
      <c r="AU2600" s="1"/>
    </row>
    <row r="2601" spans="34:47">
      <c r="AH2601" s="6">
        <f t="shared" si="386"/>
        <v>2571</v>
      </c>
      <c r="AI2601" s="7">
        <f t="shared" ca="1" si="387"/>
        <v>45241</v>
      </c>
      <c r="AJ2601" s="210">
        <f t="shared" ca="1" si="388"/>
        <v>4.1749999999999998</v>
      </c>
      <c r="AK2601" s="8">
        <f t="shared" ca="1" si="389"/>
        <v>1.0001159722222221</v>
      </c>
      <c r="AL2601" s="98">
        <f t="shared" ca="1" si="390"/>
        <v>4.0764499440953506</v>
      </c>
      <c r="AM2601" s="106">
        <f t="shared" ca="1" si="384"/>
        <v>32371.050392909168</v>
      </c>
      <c r="AN2601" s="10">
        <f t="shared" ca="1" si="385"/>
        <v>1.0277318358739462</v>
      </c>
      <c r="AO2601" s="158"/>
      <c r="AP2601" s="158"/>
      <c r="AQ2601" s="1"/>
      <c r="AR2601" s="1"/>
      <c r="AS2601" s="1"/>
      <c r="AT2601" s="1"/>
      <c r="AU2601" s="1"/>
    </row>
    <row r="2602" spans="34:47">
      <c r="AH2602" s="6">
        <f t="shared" si="386"/>
        <v>2572</v>
      </c>
      <c r="AI2602" s="7">
        <f t="shared" ca="1" si="387"/>
        <v>45242</v>
      </c>
      <c r="AJ2602" s="210">
        <f t="shared" ca="1" si="388"/>
        <v>4.1749999999999998</v>
      </c>
      <c r="AK2602" s="8">
        <f t="shared" ca="1" si="389"/>
        <v>1.0001159722222221</v>
      </c>
      <c r="AL2602" s="98">
        <f t="shared" ca="1" si="390"/>
        <v>4.0765459222131151</v>
      </c>
      <c r="AM2602" s="106">
        <f t="shared" ca="1" si="384"/>
        <v>32373.717815021326</v>
      </c>
      <c r="AN2602" s="10">
        <f t="shared" ca="1" si="385"/>
        <v>1.0278114657045423</v>
      </c>
      <c r="AO2602" s="158"/>
      <c r="AP2602" s="158"/>
      <c r="AQ2602" s="1"/>
      <c r="AR2602" s="1"/>
      <c r="AS2602" s="1"/>
      <c r="AT2602" s="1"/>
      <c r="AU2602" s="1"/>
    </row>
    <row r="2603" spans="34:47">
      <c r="AH2603" s="6">
        <f t="shared" si="386"/>
        <v>2573</v>
      </c>
      <c r="AI2603" s="7">
        <f t="shared" ca="1" si="387"/>
        <v>45243</v>
      </c>
      <c r="AJ2603" s="210">
        <f t="shared" ca="1" si="388"/>
        <v>4.1749999999999998</v>
      </c>
      <c r="AK2603" s="8">
        <f t="shared" ca="1" si="389"/>
        <v>1.0001159722222221</v>
      </c>
      <c r="AL2603" s="98">
        <f t="shared" ca="1" si="390"/>
        <v>4.0766418258152415</v>
      </c>
      <c r="AM2603" s="106">
        <f t="shared" ca="1" si="384"/>
        <v>32376.385456932981</v>
      </c>
      <c r="AN2603" s="10">
        <f t="shared" ca="1" si="385"/>
        <v>1.0278910337013558</v>
      </c>
      <c r="AO2603" s="158"/>
      <c r="AP2603" s="158"/>
      <c r="AQ2603" s="1"/>
      <c r="AR2603" s="1"/>
      <c r="AS2603" s="1"/>
      <c r="AT2603" s="1"/>
      <c r="AU2603" s="1"/>
    </row>
    <row r="2604" spans="34:47">
      <c r="AH2604" s="6">
        <f t="shared" si="386"/>
        <v>2574</v>
      </c>
      <c r="AI2604" s="7">
        <f t="shared" ca="1" si="387"/>
        <v>45244</v>
      </c>
      <c r="AJ2604" s="210">
        <f t="shared" ca="1" si="388"/>
        <v>4.1749999999999998</v>
      </c>
      <c r="AK2604" s="8">
        <f t="shared" ca="1" si="389"/>
        <v>1.0001159722222221</v>
      </c>
      <c r="AL2604" s="98">
        <f t="shared" ca="1" si="390"/>
        <v>4.0767376549884604</v>
      </c>
      <c r="AM2604" s="106">
        <f t="shared" ca="1" si="384"/>
        <v>32379.053318662249</v>
      </c>
      <c r="AN2604" s="10">
        <f t="shared" ca="1" si="385"/>
        <v>1.0279705399363515</v>
      </c>
      <c r="AO2604" s="158"/>
      <c r="AP2604" s="158"/>
      <c r="AQ2604" s="1"/>
      <c r="AR2604" s="1"/>
      <c r="AS2604" s="1"/>
      <c r="AT2604" s="1"/>
      <c r="AU2604" s="1"/>
    </row>
    <row r="2605" spans="34:47">
      <c r="AH2605" s="6">
        <f t="shared" si="386"/>
        <v>2575</v>
      </c>
      <c r="AI2605" s="7">
        <f t="shared" ca="1" si="387"/>
        <v>45245</v>
      </c>
      <c r="AJ2605" s="210">
        <f t="shared" ca="1" si="388"/>
        <v>4.1749999999999998</v>
      </c>
      <c r="AK2605" s="8">
        <f t="shared" ca="1" si="389"/>
        <v>1.0001159722222221</v>
      </c>
      <c r="AL2605" s="98">
        <f t="shared" ca="1" si="390"/>
        <v>4.0768334098193915</v>
      </c>
      <c r="AM2605" s="106">
        <f t="shared" ca="1" si="384"/>
        <v>32381.721400227249</v>
      </c>
      <c r="AN2605" s="10">
        <f t="shared" ca="1" si="385"/>
        <v>1.0280499844814495</v>
      </c>
      <c r="AO2605" s="158"/>
      <c r="AP2605" s="158"/>
      <c r="AQ2605" s="1"/>
      <c r="AR2605" s="1"/>
      <c r="AS2605" s="1"/>
      <c r="AT2605" s="1"/>
      <c r="AU2605" s="1"/>
    </row>
    <row r="2606" spans="34:47">
      <c r="AH2606" s="6">
        <f t="shared" si="386"/>
        <v>2576</v>
      </c>
      <c r="AI2606" s="7">
        <f t="shared" ca="1" si="387"/>
        <v>45246</v>
      </c>
      <c r="AJ2606" s="210">
        <f t="shared" ca="1" si="388"/>
        <v>4.1749999999999998</v>
      </c>
      <c r="AK2606" s="8">
        <f t="shared" ca="1" si="389"/>
        <v>1.0001159722222221</v>
      </c>
      <c r="AL2606" s="98">
        <f t="shared" ca="1" si="390"/>
        <v>4.0769290903944988</v>
      </c>
      <c r="AM2606" s="106">
        <f t="shared" ca="1" si="384"/>
        <v>32384.389701646083</v>
      </c>
      <c r="AN2606" s="10">
        <f t="shared" ca="1" si="385"/>
        <v>1.0281293674083924</v>
      </c>
      <c r="AO2606" s="158"/>
      <c r="AP2606" s="158"/>
      <c r="AQ2606" s="1"/>
      <c r="AR2606" s="1"/>
      <c r="AS2606" s="1"/>
      <c r="AT2606" s="1"/>
      <c r="AU2606" s="1"/>
    </row>
    <row r="2607" spans="34:47">
      <c r="AH2607" s="6">
        <f t="shared" si="386"/>
        <v>2577</v>
      </c>
      <c r="AI2607" s="7">
        <f t="shared" ca="1" si="387"/>
        <v>45247</v>
      </c>
      <c r="AJ2607" s="210">
        <f t="shared" ca="1" si="388"/>
        <v>4.1749999999999998</v>
      </c>
      <c r="AK2607" s="8">
        <f t="shared" ca="1" si="389"/>
        <v>1.0001159722222221</v>
      </c>
      <c r="AL2607" s="98">
        <f t="shared" ca="1" si="390"/>
        <v>4.0770246968001356</v>
      </c>
      <c r="AM2607" s="106">
        <f t="shared" ca="1" si="384"/>
        <v>32387.058222936877</v>
      </c>
      <c r="AN2607" s="10">
        <f t="shared" ca="1" si="385"/>
        <v>1.0282086887888342</v>
      </c>
      <c r="AO2607" s="158"/>
      <c r="AP2607" s="158"/>
      <c r="AQ2607" s="1"/>
      <c r="AR2607" s="1"/>
      <c r="AS2607" s="1"/>
      <c r="AT2607" s="1"/>
      <c r="AU2607" s="1"/>
    </row>
    <row r="2608" spans="34:47">
      <c r="AH2608" s="6">
        <f t="shared" si="386"/>
        <v>2578</v>
      </c>
      <c r="AI2608" s="7">
        <f t="shared" ca="1" si="387"/>
        <v>45248</v>
      </c>
      <c r="AJ2608" s="210">
        <f t="shared" ca="1" si="388"/>
        <v>4.1749999999999998</v>
      </c>
      <c r="AK2608" s="8">
        <f t="shared" ca="1" si="389"/>
        <v>1.0001159722222221</v>
      </c>
      <c r="AL2608" s="98">
        <f t="shared" ca="1" si="390"/>
        <v>4.0771202291224995</v>
      </c>
      <c r="AM2608" s="106">
        <f t="shared" ca="1" si="384"/>
        <v>32389.726964117741</v>
      </c>
      <c r="AN2608" s="10">
        <f t="shared" ca="1" si="385"/>
        <v>1.0282879486943397</v>
      </c>
      <c r="AO2608" s="158"/>
      <c r="AP2608" s="158"/>
      <c r="AQ2608" s="1"/>
      <c r="AR2608" s="1"/>
      <c r="AS2608" s="1"/>
      <c r="AT2608" s="1"/>
      <c r="AU2608" s="1"/>
    </row>
    <row r="2609" spans="34:47">
      <c r="AH2609" s="6">
        <f t="shared" si="386"/>
        <v>2579</v>
      </c>
      <c r="AI2609" s="7">
        <f t="shared" ca="1" si="387"/>
        <v>45249</v>
      </c>
      <c r="AJ2609" s="210">
        <f t="shared" ca="1" si="388"/>
        <v>4.1749999999999998</v>
      </c>
      <c r="AK2609" s="8">
        <f t="shared" ca="1" si="389"/>
        <v>1.0001159722222221</v>
      </c>
      <c r="AL2609" s="98">
        <f t="shared" ca="1" si="390"/>
        <v>4.0772156874476773</v>
      </c>
      <c r="AM2609" s="106">
        <f t="shared" ca="1" si="384"/>
        <v>32392.395925206809</v>
      </c>
      <c r="AN2609" s="10">
        <f t="shared" ca="1" si="385"/>
        <v>1.0283671471963407</v>
      </c>
      <c r="AO2609" s="158"/>
      <c r="AP2609" s="158"/>
      <c r="AQ2609" s="1"/>
      <c r="AR2609" s="1"/>
      <c r="AS2609" s="1"/>
      <c r="AT2609" s="1"/>
      <c r="AU2609" s="1"/>
    </row>
    <row r="2610" spans="34:47">
      <c r="AH2610" s="6">
        <f t="shared" si="386"/>
        <v>2580</v>
      </c>
      <c r="AI2610" s="7">
        <f t="shared" ca="1" si="387"/>
        <v>45250</v>
      </c>
      <c r="AJ2610" s="210">
        <f t="shared" ca="1" si="388"/>
        <v>4.1749999999999998</v>
      </c>
      <c r="AK2610" s="8">
        <f t="shared" ca="1" si="389"/>
        <v>1.0001159722222221</v>
      </c>
      <c r="AL2610" s="98">
        <f t="shared" ca="1" si="390"/>
        <v>4.0773110718616001</v>
      </c>
      <c r="AM2610" s="106">
        <f t="shared" ca="1" si="384"/>
        <v>32395.065106222188</v>
      </c>
      <c r="AN2610" s="10">
        <f t="shared" ca="1" si="385"/>
        <v>1.0284462843661801</v>
      </c>
      <c r="AO2610" s="158"/>
      <c r="AP2610" s="158"/>
      <c r="AQ2610" s="1"/>
      <c r="AR2610" s="1"/>
      <c r="AS2610" s="1"/>
      <c r="AT2610" s="1"/>
      <c r="AU2610" s="1"/>
    </row>
    <row r="2611" spans="34:47">
      <c r="AH2611" s="6">
        <f t="shared" si="386"/>
        <v>2581</v>
      </c>
      <c r="AI2611" s="7">
        <f t="shared" ca="1" si="387"/>
        <v>45251</v>
      </c>
      <c r="AJ2611" s="210">
        <f t="shared" ca="1" si="388"/>
        <v>4.1749999999999998</v>
      </c>
      <c r="AK2611" s="8">
        <f t="shared" ca="1" si="389"/>
        <v>1.0001159722222221</v>
      </c>
      <c r="AL2611" s="98">
        <f t="shared" ca="1" si="390"/>
        <v>4.0774063824500884</v>
      </c>
      <c r="AM2611" s="106">
        <f t="shared" ca="1" si="384"/>
        <v>32397.734507181998</v>
      </c>
      <c r="AN2611" s="10">
        <f t="shared" ca="1" si="385"/>
        <v>1.0285253602750677</v>
      </c>
      <c r="AO2611" s="158"/>
      <c r="AP2611" s="158"/>
      <c r="AQ2611" s="1"/>
      <c r="AR2611" s="1"/>
      <c r="AS2611" s="1"/>
      <c r="AT2611" s="1"/>
      <c r="AU2611" s="1"/>
    </row>
    <row r="2612" spans="34:47">
      <c r="AH2612" s="6">
        <f t="shared" si="386"/>
        <v>2582</v>
      </c>
      <c r="AI2612" s="7">
        <f t="shared" ca="1" si="387"/>
        <v>45252</v>
      </c>
      <c r="AJ2612" s="210">
        <f t="shared" ca="1" si="388"/>
        <v>4.1749999999999998</v>
      </c>
      <c r="AK2612" s="8">
        <f t="shared" ca="1" si="389"/>
        <v>1.0001159722222221</v>
      </c>
      <c r="AL2612" s="98">
        <f t="shared" ca="1" si="390"/>
        <v>4.0775016192988067</v>
      </c>
      <c r="AM2612" s="106">
        <f t="shared" ca="1" si="384"/>
        <v>32400.404128104379</v>
      </c>
      <c r="AN2612" s="10">
        <f t="shared" ca="1" si="385"/>
        <v>1.0286043749941021</v>
      </c>
      <c r="AO2612" s="158"/>
      <c r="AP2612" s="158"/>
      <c r="AQ2612" s="1"/>
      <c r="AR2612" s="1"/>
      <c r="AS2612" s="1"/>
      <c r="AT2612" s="1"/>
      <c r="AU2612" s="1"/>
    </row>
    <row r="2613" spans="34:47">
      <c r="AH2613" s="6">
        <f t="shared" si="386"/>
        <v>2583</v>
      </c>
      <c r="AI2613" s="7">
        <f t="shared" ca="1" si="387"/>
        <v>45253</v>
      </c>
      <c r="AJ2613" s="210">
        <f t="shared" ca="1" si="388"/>
        <v>4.1749999999999998</v>
      </c>
      <c r="AK2613" s="8">
        <f t="shared" ca="1" si="389"/>
        <v>1.0001159722222221</v>
      </c>
      <c r="AL2613" s="98">
        <f t="shared" ca="1" si="390"/>
        <v>4.077596782493309</v>
      </c>
      <c r="AM2613" s="106">
        <f t="shared" ca="1" si="384"/>
        <v>32403.073969007441</v>
      </c>
      <c r="AN2613" s="10">
        <f t="shared" ca="1" si="385"/>
        <v>1.0286833285942709</v>
      </c>
      <c r="AO2613" s="158"/>
      <c r="AP2613" s="158"/>
      <c r="AQ2613" s="1"/>
      <c r="AR2613" s="1"/>
      <c r="AS2613" s="1"/>
      <c r="AT2613" s="1"/>
      <c r="AU2613" s="1"/>
    </row>
    <row r="2614" spans="34:47">
      <c r="AH2614" s="6">
        <f t="shared" si="386"/>
        <v>2584</v>
      </c>
      <c r="AI2614" s="7">
        <f t="shared" ca="1" si="387"/>
        <v>45254</v>
      </c>
      <c r="AJ2614" s="210">
        <f t="shared" ca="1" si="388"/>
        <v>4.1749999999999998</v>
      </c>
      <c r="AK2614" s="8">
        <f t="shared" ca="1" si="389"/>
        <v>1.0001159722222221</v>
      </c>
      <c r="AL2614" s="98">
        <f t="shared" ca="1" si="390"/>
        <v>4.0776918721189936</v>
      </c>
      <c r="AM2614" s="106">
        <f t="shared" ca="1" si="384"/>
        <v>32405.74402990931</v>
      </c>
      <c r="AN2614" s="10">
        <f t="shared" ca="1" si="385"/>
        <v>1.0287622211464731</v>
      </c>
      <c r="AO2614" s="158"/>
      <c r="AP2614" s="158"/>
      <c r="AQ2614" s="1"/>
      <c r="AR2614" s="1"/>
      <c r="AS2614" s="1"/>
      <c r="AT2614" s="1"/>
      <c r="AU2614" s="1"/>
    </row>
    <row r="2615" spans="34:47">
      <c r="AH2615" s="6">
        <f t="shared" si="386"/>
        <v>2585</v>
      </c>
      <c r="AI2615" s="7">
        <f t="shared" ca="1" si="387"/>
        <v>45255</v>
      </c>
      <c r="AJ2615" s="210">
        <f t="shared" ca="1" si="388"/>
        <v>4.1749999999999998</v>
      </c>
      <c r="AK2615" s="8">
        <f t="shared" ca="1" si="389"/>
        <v>1.0001159722222221</v>
      </c>
      <c r="AL2615" s="98">
        <f t="shared" ca="1" si="390"/>
        <v>4.0777868882611479</v>
      </c>
      <c r="AM2615" s="106">
        <f t="shared" ca="1" si="384"/>
        <v>32408.414310828128</v>
      </c>
      <c r="AN2615" s="10">
        <f t="shared" ca="1" si="385"/>
        <v>1.0288410527214964</v>
      </c>
      <c r="AO2615" s="158"/>
      <c r="AP2615" s="158"/>
      <c r="AQ2615" s="1"/>
      <c r="AR2615" s="1"/>
      <c r="AS2615" s="1"/>
      <c r="AT2615" s="1"/>
      <c r="AU2615" s="1"/>
    </row>
    <row r="2616" spans="34:47">
      <c r="AH2616" s="6">
        <f t="shared" si="386"/>
        <v>2586</v>
      </c>
      <c r="AI2616" s="7">
        <f t="shared" ca="1" si="387"/>
        <v>45256</v>
      </c>
      <c r="AJ2616" s="210">
        <f t="shared" ca="1" si="388"/>
        <v>4.1749999999999998</v>
      </c>
      <c r="AK2616" s="8">
        <f t="shared" ca="1" si="389"/>
        <v>1.0001159722222221</v>
      </c>
      <c r="AL2616" s="98">
        <f t="shared" ca="1" si="390"/>
        <v>4.0778818310049258</v>
      </c>
      <c r="AM2616" s="106">
        <f t="shared" ca="1" si="384"/>
        <v>32411.084811782013</v>
      </c>
      <c r="AN2616" s="10">
        <f t="shared" ca="1" si="385"/>
        <v>1.0289198233900176</v>
      </c>
      <c r="AO2616" s="158"/>
      <c r="AP2616" s="158"/>
      <c r="AQ2616" s="1"/>
      <c r="AR2616" s="1"/>
      <c r="AS2616" s="1"/>
      <c r="AT2616" s="1"/>
      <c r="AU2616" s="1"/>
    </row>
    <row r="2617" spans="34:47">
      <c r="AH2617" s="6">
        <f t="shared" si="386"/>
        <v>2587</v>
      </c>
      <c r="AI2617" s="7">
        <f t="shared" ca="1" si="387"/>
        <v>45257</v>
      </c>
      <c r="AJ2617" s="210">
        <f t="shared" ca="1" si="388"/>
        <v>4.1749999999999998</v>
      </c>
      <c r="AK2617" s="8">
        <f t="shared" ca="1" si="389"/>
        <v>1.0001159722222221</v>
      </c>
      <c r="AL2617" s="98">
        <f t="shared" ca="1" si="390"/>
        <v>4.0779767004353262</v>
      </c>
      <c r="AM2617" s="106">
        <f t="shared" ca="1" si="384"/>
        <v>32413.75553278911</v>
      </c>
      <c r="AN2617" s="10">
        <f t="shared" ca="1" si="385"/>
        <v>1.028998533222536</v>
      </c>
      <c r="AO2617" s="158"/>
      <c r="AP2617" s="158"/>
      <c r="AQ2617" s="1"/>
      <c r="AR2617" s="1"/>
      <c r="AS2617" s="1"/>
      <c r="AT2617" s="1"/>
      <c r="AU2617" s="1"/>
    </row>
    <row r="2618" spans="34:47">
      <c r="AH2618" s="6">
        <f t="shared" si="386"/>
        <v>2588</v>
      </c>
      <c r="AI2618" s="7">
        <f t="shared" ca="1" si="387"/>
        <v>45258</v>
      </c>
      <c r="AJ2618" s="210">
        <f t="shared" ca="1" si="388"/>
        <v>4.1749999999999998</v>
      </c>
      <c r="AK2618" s="8">
        <f t="shared" ca="1" si="389"/>
        <v>1.0001159722222221</v>
      </c>
      <c r="AL2618" s="98">
        <f t="shared" ca="1" si="390"/>
        <v>4.0780714966372367</v>
      </c>
      <c r="AM2618" s="106">
        <f t="shared" ca="1" si="384"/>
        <v>32416.42647386753</v>
      </c>
      <c r="AN2618" s="10">
        <f t="shared" ca="1" si="385"/>
        <v>1.0290771822895728</v>
      </c>
      <c r="AO2618" s="158"/>
      <c r="AP2618" s="158"/>
      <c r="AQ2618" s="1"/>
      <c r="AR2618" s="1"/>
      <c r="AS2618" s="1"/>
      <c r="AT2618" s="1"/>
      <c r="AU2618" s="1"/>
    </row>
    <row r="2619" spans="34:47">
      <c r="AH2619" s="6">
        <f t="shared" si="386"/>
        <v>2589</v>
      </c>
      <c r="AI2619" s="7">
        <f t="shared" ca="1" si="387"/>
        <v>45259</v>
      </c>
      <c r="AJ2619" s="210">
        <f t="shared" ca="1" si="388"/>
        <v>4.1749999999999998</v>
      </c>
      <c r="AK2619" s="8">
        <f t="shared" ca="1" si="389"/>
        <v>1.0001159722222221</v>
      </c>
      <c r="AL2619" s="98">
        <f t="shared" ca="1" si="390"/>
        <v>4.0781662196954116</v>
      </c>
      <c r="AM2619" s="106">
        <f t="shared" ca="1" si="384"/>
        <v>32419.097635035421</v>
      </c>
      <c r="AN2619" s="10">
        <f t="shared" ca="1" si="385"/>
        <v>1.0291557706614052</v>
      </c>
      <c r="AO2619" s="158"/>
      <c r="AP2619" s="158"/>
      <c r="AQ2619" s="1"/>
      <c r="AR2619" s="1"/>
      <c r="AS2619" s="1"/>
      <c r="AT2619" s="1"/>
      <c r="AU2619" s="1"/>
    </row>
    <row r="2620" spans="34:47">
      <c r="AH2620" s="6">
        <f t="shared" si="386"/>
        <v>2590</v>
      </c>
      <c r="AI2620" s="7">
        <f t="shared" ca="1" si="387"/>
        <v>45260</v>
      </c>
      <c r="AJ2620" s="210">
        <f t="shared" ca="1" si="388"/>
        <v>4.1749999999999998</v>
      </c>
      <c r="AK2620" s="8">
        <f t="shared" ca="1" si="389"/>
        <v>1.0001159722222221</v>
      </c>
      <c r="AL2620" s="98">
        <f t="shared" ca="1" si="390"/>
        <v>4.0782608696944722</v>
      </c>
      <c r="AM2620" s="106">
        <f t="shared" ca="1" si="384"/>
        <v>32421.769016310918</v>
      </c>
      <c r="AN2620" s="10">
        <f t="shared" ca="1" si="385"/>
        <v>1.0292342984083103</v>
      </c>
      <c r="AO2620" s="158"/>
      <c r="AP2620" s="158"/>
      <c r="AQ2620" s="1"/>
      <c r="AR2620" s="1"/>
      <c r="AS2620" s="1"/>
      <c r="AT2620" s="1"/>
      <c r="AU2620" s="1"/>
    </row>
    <row r="2621" spans="34:47">
      <c r="AH2621" s="6">
        <f t="shared" si="386"/>
        <v>2591</v>
      </c>
      <c r="AI2621" s="7">
        <f t="shared" ca="1" si="387"/>
        <v>45261</v>
      </c>
      <c r="AJ2621" s="210">
        <f t="shared" ca="1" si="388"/>
        <v>4.1749999999999998</v>
      </c>
      <c r="AK2621" s="8">
        <f t="shared" ca="1" si="389"/>
        <v>1.0001159722222221</v>
      </c>
      <c r="AL2621" s="98">
        <f t="shared" ca="1" si="390"/>
        <v>4.0783554467189287</v>
      </c>
      <c r="AM2621" s="106">
        <f t="shared" ca="1" si="384"/>
        <v>32424.44061771216</v>
      </c>
      <c r="AN2621" s="10">
        <f t="shared" ca="1" si="385"/>
        <v>1.0293127656004097</v>
      </c>
      <c r="AO2621" s="158"/>
      <c r="AP2621" s="158"/>
      <c r="AQ2621" s="1"/>
      <c r="AR2621" s="1"/>
      <c r="AS2621" s="1"/>
      <c r="AT2621" s="1"/>
      <c r="AU2621" s="1"/>
    </row>
    <row r="2622" spans="34:47">
      <c r="AH2622" s="6">
        <f t="shared" si="386"/>
        <v>2592</v>
      </c>
      <c r="AI2622" s="7">
        <f t="shared" ca="1" si="387"/>
        <v>45262</v>
      </c>
      <c r="AJ2622" s="210">
        <f t="shared" ca="1" si="388"/>
        <v>4.1749999999999998</v>
      </c>
      <c r="AK2622" s="8">
        <f t="shared" ca="1" si="389"/>
        <v>1.0001159722222221</v>
      </c>
      <c r="AL2622" s="98">
        <f t="shared" ca="1" si="390"/>
        <v>4.0784499508531358</v>
      </c>
      <c r="AM2622" s="106">
        <f t="shared" ca="1" si="384"/>
        <v>32427.112439257286</v>
      </c>
      <c r="AN2622" s="10">
        <f t="shared" ca="1" si="385"/>
        <v>1.0293911723076921</v>
      </c>
      <c r="AO2622" s="158"/>
      <c r="AP2622" s="158"/>
      <c r="AQ2622" s="1"/>
      <c r="AR2622" s="1"/>
      <c r="AS2622" s="1"/>
      <c r="AT2622" s="1"/>
      <c r="AU2622" s="1"/>
    </row>
    <row r="2623" spans="34:47">
      <c r="AH2623" s="6">
        <f t="shared" si="386"/>
        <v>2593</v>
      </c>
      <c r="AI2623" s="7">
        <f t="shared" ca="1" si="387"/>
        <v>45263</v>
      </c>
      <c r="AJ2623" s="210">
        <f t="shared" ca="1" si="388"/>
        <v>4.1749999999999998</v>
      </c>
      <c r="AK2623" s="8">
        <f t="shared" ca="1" si="389"/>
        <v>1.0001159722222221</v>
      </c>
      <c r="AL2623" s="98">
        <f t="shared" ca="1" si="390"/>
        <v>4.078544382181315</v>
      </c>
      <c r="AM2623" s="106">
        <f t="shared" ca="1" si="384"/>
        <v>32429.784480964427</v>
      </c>
      <c r="AN2623" s="10">
        <f t="shared" ca="1" si="385"/>
        <v>1.0294695186001013</v>
      </c>
      <c r="AO2623" s="158"/>
      <c r="AP2623" s="158"/>
      <c r="AQ2623" s="1"/>
      <c r="AR2623" s="1"/>
      <c r="AS2623" s="1"/>
      <c r="AT2623" s="1"/>
      <c r="AU2623" s="1"/>
    </row>
    <row r="2624" spans="34:47">
      <c r="AH2624" s="6">
        <f t="shared" si="386"/>
        <v>2594</v>
      </c>
      <c r="AI2624" s="7">
        <f t="shared" ca="1" si="387"/>
        <v>45264</v>
      </c>
      <c r="AJ2624" s="210">
        <f t="shared" ca="1" si="388"/>
        <v>4.1749999999999998</v>
      </c>
      <c r="AK2624" s="8">
        <f t="shared" ca="1" si="389"/>
        <v>1.0001159722222221</v>
      </c>
      <c r="AL2624" s="98">
        <f t="shared" ca="1" si="390"/>
        <v>4.0786387407875768</v>
      </c>
      <c r="AM2624" s="106">
        <f t="shared" ca="1" si="384"/>
        <v>32432.456742851733</v>
      </c>
      <c r="AN2624" s="10">
        <f t="shared" ca="1" si="385"/>
        <v>1.029547804547426</v>
      </c>
      <c r="AO2624" s="158"/>
      <c r="AP2624" s="158"/>
      <c r="AQ2624" s="1"/>
      <c r="AR2624" s="1"/>
      <c r="AS2624" s="1"/>
      <c r="AT2624" s="1"/>
      <c r="AU2624" s="1"/>
    </row>
    <row r="2625" spans="34:47">
      <c r="AH2625" s="6">
        <f t="shared" si="386"/>
        <v>2595</v>
      </c>
      <c r="AI2625" s="7">
        <f t="shared" ca="1" si="387"/>
        <v>45265</v>
      </c>
      <c r="AJ2625" s="210">
        <f t="shared" ca="1" si="388"/>
        <v>4.1749999999999998</v>
      </c>
      <c r="AK2625" s="8">
        <f t="shared" ca="1" si="389"/>
        <v>1.0001159722222221</v>
      </c>
      <c r="AL2625" s="98">
        <f t="shared" ca="1" si="390"/>
        <v>4.0787330267558763</v>
      </c>
      <c r="AM2625" s="106">
        <f t="shared" ca="1" si="384"/>
        <v>32435.12922493734</v>
      </c>
      <c r="AN2625" s="10">
        <f t="shared" ca="1" si="385"/>
        <v>1.0296260302193438</v>
      </c>
      <c r="AO2625" s="158"/>
      <c r="AP2625" s="158"/>
      <c r="AQ2625" s="1"/>
      <c r="AR2625" s="1"/>
      <c r="AS2625" s="1"/>
      <c r="AT2625" s="1"/>
      <c r="AU2625" s="1"/>
    </row>
    <row r="2626" spans="34:47">
      <c r="AH2626" s="6">
        <f t="shared" si="386"/>
        <v>2596</v>
      </c>
      <c r="AI2626" s="7">
        <f t="shared" ca="1" si="387"/>
        <v>45266</v>
      </c>
      <c r="AJ2626" s="210">
        <f t="shared" ca="1" si="388"/>
        <v>4.1749999999999998</v>
      </c>
      <c r="AK2626" s="8">
        <f t="shared" ca="1" si="389"/>
        <v>1.0001159722222221</v>
      </c>
      <c r="AL2626" s="98">
        <f t="shared" ca="1" si="390"/>
        <v>4.0788272401700798</v>
      </c>
      <c r="AM2626" s="106">
        <f t="shared" ca="1" si="384"/>
        <v>32437.801927239398</v>
      </c>
      <c r="AN2626" s="10">
        <f t="shared" ca="1" si="385"/>
        <v>1.0297041956854436</v>
      </c>
      <c r="AO2626" s="158"/>
      <c r="AP2626" s="158"/>
      <c r="AQ2626" s="1"/>
      <c r="AR2626" s="1"/>
      <c r="AS2626" s="1"/>
      <c r="AT2626" s="1"/>
      <c r="AU2626" s="1"/>
    </row>
    <row r="2627" spans="34:47">
      <c r="AH2627" s="6">
        <f t="shared" si="386"/>
        <v>2597</v>
      </c>
      <c r="AI2627" s="7">
        <f t="shared" ca="1" si="387"/>
        <v>45267</v>
      </c>
      <c r="AJ2627" s="210">
        <f t="shared" ca="1" si="388"/>
        <v>4.1749999999999998</v>
      </c>
      <c r="AK2627" s="8">
        <f t="shared" ca="1" si="389"/>
        <v>1.0001159722222221</v>
      </c>
      <c r="AL2627" s="98">
        <f t="shared" ca="1" si="390"/>
        <v>4.078921381113898</v>
      </c>
      <c r="AM2627" s="106">
        <f t="shared" ca="1" si="384"/>
        <v>32440.474849776052</v>
      </c>
      <c r="AN2627" s="10">
        <f t="shared" ca="1" si="385"/>
        <v>1.029782301015203</v>
      </c>
      <c r="AO2627" s="158"/>
      <c r="AP2627" s="158"/>
      <c r="AQ2627" s="1"/>
      <c r="AR2627" s="1"/>
      <c r="AS2627" s="1"/>
      <c r="AT2627" s="1"/>
      <c r="AU2627" s="1"/>
    </row>
    <row r="2628" spans="34:47">
      <c r="AH2628" s="6">
        <f t="shared" si="386"/>
        <v>2598</v>
      </c>
      <c r="AI2628" s="7">
        <f t="shared" ca="1" si="387"/>
        <v>45268</v>
      </c>
      <c r="AJ2628" s="210">
        <f t="shared" ca="1" si="388"/>
        <v>4.1749999999999998</v>
      </c>
      <c r="AK2628" s="8">
        <f t="shared" ca="1" si="389"/>
        <v>1.0001159722222221</v>
      </c>
      <c r="AL2628" s="98">
        <f t="shared" ca="1" si="390"/>
        <v>4.0790154496709086</v>
      </c>
      <c r="AM2628" s="106">
        <f t="shared" ca="1" si="384"/>
        <v>32443.147992565453</v>
      </c>
      <c r="AN2628" s="10">
        <f t="shared" ca="1" si="385"/>
        <v>1.0298603462780331</v>
      </c>
      <c r="AO2628" s="158"/>
      <c r="AP2628" s="158"/>
      <c r="AQ2628" s="1"/>
      <c r="AR2628" s="1"/>
      <c r="AS2628" s="1"/>
      <c r="AT2628" s="1"/>
      <c r="AU2628" s="1"/>
    </row>
    <row r="2629" spans="34:47">
      <c r="AH2629" s="6">
        <f t="shared" si="386"/>
        <v>2599</v>
      </c>
      <c r="AI2629" s="7">
        <f t="shared" ca="1" si="387"/>
        <v>45269</v>
      </c>
      <c r="AJ2629" s="210">
        <f t="shared" ca="1" si="388"/>
        <v>4.1749999999999998</v>
      </c>
      <c r="AK2629" s="8">
        <f t="shared" ca="1" si="389"/>
        <v>1.0001159722222221</v>
      </c>
      <c r="AL2629" s="98">
        <f t="shared" ca="1" si="390"/>
        <v>4.079109445924578</v>
      </c>
      <c r="AM2629" s="106">
        <f t="shared" ca="1" si="384"/>
        <v>32445.821355625747</v>
      </c>
      <c r="AN2629" s="10">
        <f t="shared" ca="1" si="385"/>
        <v>1.0299383315431454</v>
      </c>
      <c r="AO2629" s="158"/>
      <c r="AP2629" s="158"/>
      <c r="AQ2629" s="1"/>
      <c r="AR2629" s="1"/>
      <c r="AS2629" s="1"/>
      <c r="AT2629" s="1"/>
      <c r="AU2629" s="1"/>
    </row>
    <row r="2630" spans="34:47">
      <c r="AH2630" s="6">
        <f t="shared" si="386"/>
        <v>2600</v>
      </c>
      <c r="AI2630" s="7">
        <f t="shared" ca="1" si="387"/>
        <v>45270</v>
      </c>
      <c r="AJ2630" s="210">
        <f t="shared" ca="1" si="388"/>
        <v>4.1749999999999998</v>
      </c>
      <c r="AK2630" s="8">
        <f t="shared" ca="1" si="389"/>
        <v>1.0001159722222221</v>
      </c>
      <c r="AL2630" s="98">
        <f t="shared" ca="1" si="390"/>
        <v>4.0792033699582175</v>
      </c>
      <c r="AM2630" s="106">
        <f t="shared" ca="1" si="384"/>
        <v>32448.494938975084</v>
      </c>
      <c r="AN2630" s="10">
        <f t="shared" ca="1" si="385"/>
        <v>1.0300162568797067</v>
      </c>
      <c r="AO2630" s="158"/>
      <c r="AP2630" s="158"/>
      <c r="AQ2630" s="1"/>
      <c r="AR2630" s="1"/>
      <c r="AS2630" s="1"/>
      <c r="AT2630" s="1"/>
      <c r="AU2630" s="1"/>
    </row>
    <row r="2631" spans="34:47">
      <c r="AH2631" s="6">
        <f t="shared" si="386"/>
        <v>2601</v>
      </c>
      <c r="AI2631" s="7">
        <f t="shared" ca="1" si="387"/>
        <v>45271</v>
      </c>
      <c r="AJ2631" s="210">
        <f t="shared" ca="1" si="388"/>
        <v>4.1749999999999998</v>
      </c>
      <c r="AK2631" s="8">
        <f t="shared" ca="1" si="389"/>
        <v>1.0001159722222221</v>
      </c>
      <c r="AL2631" s="98">
        <f t="shared" ca="1" si="390"/>
        <v>4.0792972218550494</v>
      </c>
      <c r="AM2631" s="106">
        <f t="shared" ca="1" si="384"/>
        <v>32451.168742631617</v>
      </c>
      <c r="AN2631" s="10">
        <f t="shared" ca="1" si="385"/>
        <v>1.030094122356795</v>
      </c>
      <c r="AO2631" s="158"/>
      <c r="AP2631" s="158"/>
      <c r="AQ2631" s="1"/>
      <c r="AR2631" s="1"/>
      <c r="AS2631" s="1"/>
      <c r="AT2631" s="1"/>
      <c r="AU2631" s="1"/>
    </row>
    <row r="2632" spans="34:47">
      <c r="AH2632" s="6">
        <f t="shared" si="386"/>
        <v>2602</v>
      </c>
      <c r="AI2632" s="7">
        <f t="shared" ca="1" si="387"/>
        <v>45272</v>
      </c>
      <c r="AJ2632" s="210">
        <f t="shared" ca="1" si="388"/>
        <v>4.1749999999999998</v>
      </c>
      <c r="AK2632" s="8">
        <f t="shared" ca="1" si="389"/>
        <v>1.0001159722222221</v>
      </c>
      <c r="AL2632" s="98">
        <f t="shared" ca="1" si="390"/>
        <v>4.0793910016981405</v>
      </c>
      <c r="AM2632" s="106">
        <f t="shared" ca="1" si="384"/>
        <v>32453.842766613503</v>
      </c>
      <c r="AN2632" s="10">
        <f t="shared" ca="1" si="385"/>
        <v>1.0301719280433552</v>
      </c>
      <c r="AO2632" s="158"/>
      <c r="AP2632" s="158"/>
      <c r="AQ2632" s="1"/>
      <c r="AR2632" s="1"/>
      <c r="AS2632" s="1"/>
      <c r="AT2632" s="1"/>
      <c r="AU2632" s="1"/>
    </row>
    <row r="2633" spans="34:47">
      <c r="AH2633" s="6">
        <f t="shared" si="386"/>
        <v>2603</v>
      </c>
      <c r="AI2633" s="7">
        <f t="shared" ca="1" si="387"/>
        <v>45273</v>
      </c>
      <c r="AJ2633" s="210">
        <f t="shared" ca="1" si="388"/>
        <v>4.1749999999999998</v>
      </c>
      <c r="AK2633" s="8">
        <f t="shared" ca="1" si="389"/>
        <v>1.0001159722222221</v>
      </c>
      <c r="AL2633" s="98">
        <f t="shared" ca="1" si="390"/>
        <v>4.0794847095704245</v>
      </c>
      <c r="AM2633" s="106">
        <f t="shared" ca="1" si="384"/>
        <v>32456.517010938889</v>
      </c>
      <c r="AN2633" s="10">
        <f t="shared" ca="1" si="385"/>
        <v>1.0302496740082212</v>
      </c>
      <c r="AO2633" s="158"/>
      <c r="AP2633" s="158"/>
      <c r="AQ2633" s="1"/>
      <c r="AR2633" s="1"/>
      <c r="AS2633" s="1"/>
      <c r="AT2633" s="1"/>
      <c r="AU2633" s="1"/>
    </row>
    <row r="2634" spans="34:47">
      <c r="AH2634" s="6">
        <f t="shared" si="386"/>
        <v>2604</v>
      </c>
      <c r="AI2634" s="7">
        <f t="shared" ca="1" si="387"/>
        <v>45274</v>
      </c>
      <c r="AJ2634" s="210">
        <f t="shared" ca="1" si="388"/>
        <v>4.1749999999999998</v>
      </c>
      <c r="AK2634" s="8">
        <f t="shared" ca="1" si="389"/>
        <v>1.0001159722222221</v>
      </c>
      <c r="AL2634" s="98">
        <f t="shared" ca="1" si="390"/>
        <v>4.0795783455547241</v>
      </c>
      <c r="AM2634" s="106">
        <f t="shared" ca="1" si="384"/>
        <v>32459.191475625939</v>
      </c>
      <c r="AN2634" s="10">
        <f t="shared" ca="1" si="385"/>
        <v>1.0303273603200935</v>
      </c>
      <c r="AO2634" s="158"/>
      <c r="AP2634" s="158"/>
      <c r="AQ2634" s="1"/>
      <c r="AR2634" s="1"/>
      <c r="AS2634" s="1"/>
      <c r="AT2634" s="1"/>
      <c r="AU2634" s="1"/>
    </row>
    <row r="2635" spans="34:47">
      <c r="AH2635" s="6">
        <f t="shared" si="386"/>
        <v>2605</v>
      </c>
      <c r="AI2635" s="7">
        <f t="shared" ca="1" si="387"/>
        <v>45275</v>
      </c>
      <c r="AJ2635" s="210">
        <f t="shared" ca="1" si="388"/>
        <v>4.1749999999999998</v>
      </c>
      <c r="AK2635" s="8">
        <f t="shared" ca="1" si="389"/>
        <v>1.0001159722222221</v>
      </c>
      <c r="AL2635" s="98">
        <f t="shared" ca="1" si="390"/>
        <v>4.0796719097337286</v>
      </c>
      <c r="AM2635" s="106">
        <f t="shared" ca="1" si="384"/>
        <v>32461.866160692807</v>
      </c>
      <c r="AN2635" s="10">
        <f t="shared" ca="1" si="385"/>
        <v>1.0304049870476284</v>
      </c>
      <c r="AO2635" s="158"/>
      <c r="AP2635" s="158"/>
      <c r="AQ2635" s="1"/>
      <c r="AR2635" s="1"/>
      <c r="AS2635" s="1"/>
      <c r="AT2635" s="1"/>
      <c r="AU2635" s="1"/>
    </row>
    <row r="2636" spans="34:47">
      <c r="AH2636" s="6">
        <f t="shared" si="386"/>
        <v>2606</v>
      </c>
      <c r="AI2636" s="7">
        <f t="shared" ca="1" si="387"/>
        <v>45276</v>
      </c>
      <c r="AJ2636" s="210">
        <f t="shared" ca="1" si="388"/>
        <v>4.1749999999999998</v>
      </c>
      <c r="AK2636" s="8">
        <f t="shared" ca="1" si="389"/>
        <v>1.0001159722222221</v>
      </c>
      <c r="AL2636" s="98">
        <f t="shared" ca="1" si="390"/>
        <v>4.0797654021900165</v>
      </c>
      <c r="AM2636" s="106">
        <f t="shared" ca="1" si="384"/>
        <v>32464.541066157653</v>
      </c>
      <c r="AN2636" s="10">
        <f t="shared" ca="1" si="385"/>
        <v>1.030482554259371</v>
      </c>
      <c r="AO2636" s="158"/>
      <c r="AP2636" s="158"/>
      <c r="AQ2636" s="1"/>
      <c r="AR2636" s="1"/>
      <c r="AS2636" s="1"/>
      <c r="AT2636" s="1"/>
      <c r="AU2636" s="1"/>
    </row>
    <row r="2637" spans="34:47">
      <c r="AH2637" s="6">
        <f t="shared" si="386"/>
        <v>2607</v>
      </c>
      <c r="AI2637" s="7">
        <f t="shared" ca="1" si="387"/>
        <v>45277</v>
      </c>
      <c r="AJ2637" s="210">
        <f t="shared" ca="1" si="388"/>
        <v>4.1749999999999998</v>
      </c>
      <c r="AK2637" s="8">
        <f t="shared" ca="1" si="389"/>
        <v>1.0001159722222221</v>
      </c>
      <c r="AL2637" s="98">
        <f t="shared" ca="1" si="390"/>
        <v>4.0798588230060329</v>
      </c>
      <c r="AM2637" s="106">
        <f t="shared" ca="1" si="384"/>
        <v>32467.216192038642</v>
      </c>
      <c r="AN2637" s="10">
        <f t="shared" ca="1" si="385"/>
        <v>1.0305600620237332</v>
      </c>
      <c r="AO2637" s="158"/>
      <c r="AP2637" s="158"/>
      <c r="AQ2637" s="1"/>
      <c r="AR2637" s="1"/>
      <c r="AS2637" s="1"/>
      <c r="AT2637" s="1"/>
      <c r="AU2637" s="1"/>
    </row>
    <row r="2638" spans="34:47">
      <c r="AH2638" s="6">
        <f t="shared" si="386"/>
        <v>2608</v>
      </c>
      <c r="AI2638" s="7">
        <f t="shared" ca="1" si="387"/>
        <v>45278</v>
      </c>
      <c r="AJ2638" s="210">
        <f t="shared" ca="1" si="388"/>
        <v>4.1749999999999998</v>
      </c>
      <c r="AK2638" s="8">
        <f t="shared" ca="1" si="389"/>
        <v>1.0001159722222221</v>
      </c>
      <c r="AL2638" s="98">
        <f t="shared" ca="1" si="390"/>
        <v>4.0799521722640675</v>
      </c>
      <c r="AM2638" s="106">
        <f t="shared" ca="1" si="384"/>
        <v>32469.891538353935</v>
      </c>
      <c r="AN2638" s="10">
        <f t="shared" ca="1" si="385"/>
        <v>1.030637510409016</v>
      </c>
      <c r="AO2638" s="158"/>
      <c r="AP2638" s="158"/>
      <c r="AQ2638" s="1"/>
      <c r="AR2638" s="1"/>
      <c r="AS2638" s="1"/>
      <c r="AT2638" s="1"/>
      <c r="AU2638" s="1"/>
    </row>
    <row r="2639" spans="34:47">
      <c r="AH2639" s="6">
        <f t="shared" si="386"/>
        <v>2609</v>
      </c>
      <c r="AI2639" s="7">
        <f t="shared" ca="1" si="387"/>
        <v>45279</v>
      </c>
      <c r="AJ2639" s="210">
        <f t="shared" ca="1" si="388"/>
        <v>4.1749999999999998</v>
      </c>
      <c r="AK2639" s="8">
        <f t="shared" ca="1" si="389"/>
        <v>1.0001159722222221</v>
      </c>
      <c r="AL2639" s="98">
        <f t="shared" ca="1" si="390"/>
        <v>4.0800454500463212</v>
      </c>
      <c r="AM2639" s="106">
        <f t="shared" ca="1" si="384"/>
        <v>32472.567105121692</v>
      </c>
      <c r="AN2639" s="10">
        <f t="shared" ca="1" si="385"/>
        <v>1.0307148994834314</v>
      </c>
      <c r="AO2639" s="158"/>
      <c r="AP2639" s="158"/>
      <c r="AQ2639" s="1"/>
      <c r="AR2639" s="1"/>
      <c r="AS2639" s="1"/>
      <c r="AT2639" s="1"/>
      <c r="AU2639" s="1"/>
    </row>
    <row r="2640" spans="34:47">
      <c r="AH2640" s="6">
        <f t="shared" si="386"/>
        <v>2610</v>
      </c>
      <c r="AI2640" s="7">
        <f t="shared" ca="1" si="387"/>
        <v>45280</v>
      </c>
      <c r="AJ2640" s="210">
        <f t="shared" ca="1" si="388"/>
        <v>4.1749999999999998</v>
      </c>
      <c r="AK2640" s="8">
        <f t="shared" ca="1" si="389"/>
        <v>1.0001159722222221</v>
      </c>
      <c r="AL2640" s="98">
        <f t="shared" ca="1" si="390"/>
        <v>4.0801386564348396</v>
      </c>
      <c r="AM2640" s="106">
        <f t="shared" ca="1" si="384"/>
        <v>32475.242892360082</v>
      </c>
      <c r="AN2640" s="10">
        <f t="shared" ca="1" si="385"/>
        <v>1.0307922293150806</v>
      </c>
      <c r="AO2640" s="158"/>
      <c r="AP2640" s="158"/>
      <c r="AQ2640" s="1"/>
      <c r="AR2640" s="1"/>
      <c r="AS2640" s="1"/>
      <c r="AT2640" s="1"/>
      <c r="AU2640" s="1"/>
    </row>
    <row r="2641" spans="34:47">
      <c r="AH2641" s="6">
        <f t="shared" si="386"/>
        <v>2611</v>
      </c>
      <c r="AI2641" s="7">
        <f t="shared" ca="1" si="387"/>
        <v>45281</v>
      </c>
      <c r="AJ2641" s="210">
        <f t="shared" ca="1" si="388"/>
        <v>4.1749999999999998</v>
      </c>
      <c r="AK2641" s="8">
        <f t="shared" ca="1" si="389"/>
        <v>1.0001159722222221</v>
      </c>
      <c r="AL2641" s="98">
        <f t="shared" ca="1" si="390"/>
        <v>4.0802317915115571</v>
      </c>
      <c r="AM2641" s="106">
        <f t="shared" ca="1" si="384"/>
        <v>32477.918900087272</v>
      </c>
      <c r="AN2641" s="10">
        <f t="shared" ca="1" si="385"/>
        <v>1.0308694999719537</v>
      </c>
      <c r="AO2641" s="158"/>
      <c r="AP2641" s="158"/>
      <c r="AQ2641" s="1"/>
      <c r="AR2641" s="1"/>
      <c r="AS2641" s="1"/>
      <c r="AT2641" s="1"/>
      <c r="AU2641" s="1"/>
    </row>
    <row r="2642" spans="34:47">
      <c r="AH2642" s="6">
        <f t="shared" si="386"/>
        <v>2612</v>
      </c>
      <c r="AI2642" s="7">
        <f t="shared" ca="1" si="387"/>
        <v>45282</v>
      </c>
      <c r="AJ2642" s="210">
        <f t="shared" ca="1" si="388"/>
        <v>4.1749999999999998</v>
      </c>
      <c r="AK2642" s="8">
        <f t="shared" ca="1" si="389"/>
        <v>1.0001159722222221</v>
      </c>
      <c r="AL2642" s="98">
        <f t="shared" ca="1" si="390"/>
        <v>4.0803248553582971</v>
      </c>
      <c r="AM2642" s="106">
        <f t="shared" ca="1" si="384"/>
        <v>32480.595128321431</v>
      </c>
      <c r="AN2642" s="10">
        <f t="shared" ca="1" si="385"/>
        <v>1.0309467115219739</v>
      </c>
      <c r="AO2642" s="158"/>
      <c r="AP2642" s="158"/>
      <c r="AQ2642" s="1"/>
      <c r="AR2642" s="1"/>
      <c r="AS2642" s="1"/>
      <c r="AT2642" s="1"/>
      <c r="AU2642" s="1"/>
    </row>
    <row r="2643" spans="34:47">
      <c r="AH2643" s="6">
        <f t="shared" si="386"/>
        <v>2613</v>
      </c>
      <c r="AI2643" s="7">
        <f t="shared" ca="1" si="387"/>
        <v>45283</v>
      </c>
      <c r="AJ2643" s="210">
        <f t="shared" ca="1" si="388"/>
        <v>4.1749999999999998</v>
      </c>
      <c r="AK2643" s="8">
        <f t="shared" ca="1" si="389"/>
        <v>1.0001159722222221</v>
      </c>
      <c r="AL2643" s="98">
        <f t="shared" ca="1" si="390"/>
        <v>4.0804178480567499</v>
      </c>
      <c r="AM2643" s="106">
        <f t="shared" ca="1" si="384"/>
        <v>32483.27157708073</v>
      </c>
      <c r="AN2643" s="10">
        <f t="shared" ca="1" si="385"/>
        <v>1.0310238640329317</v>
      </c>
      <c r="AO2643" s="158"/>
      <c r="AP2643" s="158"/>
      <c r="AQ2643" s="1"/>
      <c r="AR2643" s="1"/>
      <c r="AS2643" s="1"/>
      <c r="AT2643" s="1"/>
      <c r="AU2643" s="1"/>
    </row>
    <row r="2644" spans="34:47">
      <c r="AH2644" s="6">
        <f t="shared" si="386"/>
        <v>2614</v>
      </c>
      <c r="AI2644" s="7">
        <f t="shared" ca="1" si="387"/>
        <v>45284</v>
      </c>
      <c r="AJ2644" s="210">
        <f t="shared" ca="1" si="388"/>
        <v>4.1749999999999998</v>
      </c>
      <c r="AK2644" s="8">
        <f t="shared" ca="1" si="389"/>
        <v>1.0001159722222221</v>
      </c>
      <c r="AL2644" s="98">
        <f t="shared" ca="1" si="390"/>
        <v>4.0805107696884502</v>
      </c>
      <c r="AM2644" s="106">
        <f t="shared" ca="1" si="384"/>
        <v>32485.948246383334</v>
      </c>
      <c r="AN2644" s="10">
        <f t="shared" ca="1" si="385"/>
        <v>1.0311009575725061</v>
      </c>
      <c r="AO2644" s="158"/>
      <c r="AP2644" s="158"/>
      <c r="AQ2644" s="1"/>
      <c r="AR2644" s="1"/>
      <c r="AS2644" s="1"/>
      <c r="AT2644" s="1"/>
      <c r="AU2644" s="1"/>
    </row>
    <row r="2645" spans="34:47">
      <c r="AH2645" s="6">
        <f t="shared" si="386"/>
        <v>2615</v>
      </c>
      <c r="AI2645" s="7">
        <f t="shared" ca="1" si="387"/>
        <v>45285</v>
      </c>
      <c r="AJ2645" s="210">
        <f t="shared" ca="1" si="388"/>
        <v>4.1749999999999998</v>
      </c>
      <c r="AK2645" s="8">
        <f t="shared" ca="1" si="389"/>
        <v>1.0001159722222221</v>
      </c>
      <c r="AL2645" s="98">
        <f t="shared" ca="1" si="390"/>
        <v>4.0806036203348439</v>
      </c>
      <c r="AM2645" s="106">
        <f t="shared" ca="1" si="384"/>
        <v>32488.625136247429</v>
      </c>
      <c r="AN2645" s="10">
        <f t="shared" ca="1" si="385"/>
        <v>1.0311779922082875</v>
      </c>
      <c r="AO2645" s="158"/>
      <c r="AP2645" s="158"/>
      <c r="AQ2645" s="1"/>
      <c r="AR2645" s="1"/>
      <c r="AS2645" s="1"/>
      <c r="AT2645" s="1"/>
      <c r="AU2645" s="1"/>
    </row>
    <row r="2646" spans="34:47">
      <c r="AH2646" s="6">
        <f t="shared" si="386"/>
        <v>2616</v>
      </c>
      <c r="AI2646" s="7">
        <f t="shared" ca="1" si="387"/>
        <v>45286</v>
      </c>
      <c r="AJ2646" s="210">
        <f t="shared" ca="1" si="388"/>
        <v>4.1749999999999998</v>
      </c>
      <c r="AK2646" s="8">
        <f t="shared" ca="1" si="389"/>
        <v>1.0001159722222221</v>
      </c>
      <c r="AL2646" s="98">
        <f t="shared" ca="1" si="390"/>
        <v>4.0806964000772439</v>
      </c>
      <c r="AM2646" s="106">
        <f t="shared" ca="1" si="384"/>
        <v>32491.302246691175</v>
      </c>
      <c r="AN2646" s="10">
        <f t="shared" ca="1" si="385"/>
        <v>1.0312549680077554</v>
      </c>
      <c r="AO2646" s="158"/>
      <c r="AP2646" s="158"/>
      <c r="AQ2646" s="1"/>
      <c r="AR2646" s="1"/>
      <c r="AS2646" s="1"/>
      <c r="AT2646" s="1"/>
      <c r="AU2646" s="1"/>
    </row>
    <row r="2647" spans="34:47">
      <c r="AH2647" s="6">
        <f t="shared" si="386"/>
        <v>2617</v>
      </c>
      <c r="AI2647" s="7">
        <f t="shared" ca="1" si="387"/>
        <v>45287</v>
      </c>
      <c r="AJ2647" s="210">
        <f t="shared" ca="1" si="388"/>
        <v>4.1749999999999998</v>
      </c>
      <c r="AK2647" s="8">
        <f t="shared" ca="1" si="389"/>
        <v>1.0001159722222221</v>
      </c>
      <c r="AL2647" s="98">
        <f t="shared" ca="1" si="390"/>
        <v>4.0807891089968296</v>
      </c>
      <c r="AM2647" s="106">
        <f t="shared" ca="1" si="384"/>
        <v>32493.97957773276</v>
      </c>
      <c r="AN2647" s="10">
        <f t="shared" ca="1" si="385"/>
        <v>1.031331885038278</v>
      </c>
      <c r="AO2647" s="158"/>
      <c r="AP2647" s="158"/>
      <c r="AQ2647" s="1"/>
      <c r="AR2647" s="1"/>
      <c r="AS2647" s="1"/>
      <c r="AT2647" s="1"/>
      <c r="AU2647" s="1"/>
    </row>
    <row r="2648" spans="34:47">
      <c r="AH2648" s="6">
        <f t="shared" si="386"/>
        <v>2618</v>
      </c>
      <c r="AI2648" s="7">
        <f t="shared" ca="1" si="387"/>
        <v>45288</v>
      </c>
      <c r="AJ2648" s="210">
        <f t="shared" ca="1" si="388"/>
        <v>4.1749999999999998</v>
      </c>
      <c r="AK2648" s="8">
        <f t="shared" ca="1" si="389"/>
        <v>1.0001159722222221</v>
      </c>
      <c r="AL2648" s="98">
        <f t="shared" ca="1" si="390"/>
        <v>4.0808817471746694</v>
      </c>
      <c r="AM2648" s="106">
        <f t="shared" ca="1" si="384"/>
        <v>32496.657129390354</v>
      </c>
      <c r="AN2648" s="10">
        <f t="shared" ca="1" si="385"/>
        <v>1.031408743367157</v>
      </c>
      <c r="AO2648" s="158"/>
      <c r="AP2648" s="158"/>
      <c r="AQ2648" s="1"/>
      <c r="AR2648" s="1"/>
      <c r="AS2648" s="1"/>
      <c r="AT2648" s="1"/>
      <c r="AU2648" s="1"/>
    </row>
    <row r="2649" spans="34:47">
      <c r="AH2649" s="6">
        <f t="shared" si="386"/>
        <v>2619</v>
      </c>
      <c r="AI2649" s="7">
        <f t="shared" ca="1" si="387"/>
        <v>45289</v>
      </c>
      <c r="AJ2649" s="210">
        <f t="shared" ca="1" si="388"/>
        <v>4.1749999999999998</v>
      </c>
      <c r="AK2649" s="8">
        <f t="shared" ca="1" si="389"/>
        <v>1.0001159722222221</v>
      </c>
      <c r="AL2649" s="98">
        <f t="shared" ca="1" si="390"/>
        <v>4.0809743146916988</v>
      </c>
      <c r="AM2649" s="106">
        <f t="shared" ca="1" si="384"/>
        <v>32499.334901682134</v>
      </c>
      <c r="AN2649" s="10">
        <f t="shared" ca="1" si="385"/>
        <v>1.031485543061561</v>
      </c>
      <c r="AO2649" s="158"/>
      <c r="AP2649" s="158"/>
      <c r="AQ2649" s="1"/>
      <c r="AR2649" s="1"/>
      <c r="AS2649" s="1"/>
      <c r="AT2649" s="1"/>
      <c r="AU2649" s="1"/>
    </row>
    <row r="2650" spans="34:47">
      <c r="AH2650" s="6">
        <f t="shared" si="386"/>
        <v>2620</v>
      </c>
      <c r="AI2650" s="7">
        <f t="shared" ca="1" si="387"/>
        <v>45290</v>
      </c>
      <c r="AJ2650" s="210">
        <f t="shared" ca="1" si="388"/>
        <v>4.1749999999999998</v>
      </c>
      <c r="AK2650" s="8">
        <f t="shared" ca="1" si="389"/>
        <v>1.0001159722222221</v>
      </c>
      <c r="AL2650" s="98">
        <f t="shared" ca="1" si="390"/>
        <v>4.0810668116287419</v>
      </c>
      <c r="AM2650" s="106">
        <f t="shared" ca="1" si="384"/>
        <v>32502.012894626288</v>
      </c>
      <c r="AN2650" s="10">
        <f t="shared" ca="1" si="385"/>
        <v>1.0315622841885475</v>
      </c>
      <c r="AO2650" s="158"/>
      <c r="AP2650" s="158"/>
      <c r="AQ2650" s="1"/>
      <c r="AR2650" s="1"/>
      <c r="AS2650" s="1"/>
      <c r="AT2650" s="1"/>
      <c r="AU2650" s="1"/>
    </row>
    <row r="2651" spans="34:47">
      <c r="AH2651" s="6">
        <f t="shared" si="386"/>
        <v>2621</v>
      </c>
      <c r="AI2651" s="7">
        <f t="shared" ca="1" si="387"/>
        <v>45291</v>
      </c>
      <c r="AJ2651" s="210">
        <f t="shared" ca="1" si="388"/>
        <v>4.1749999999999998</v>
      </c>
      <c r="AK2651" s="8">
        <f t="shared" ca="1" si="389"/>
        <v>1.0001159722222221</v>
      </c>
      <c r="AL2651" s="98">
        <f t="shared" ca="1" si="390"/>
        <v>4.0811592380664896</v>
      </c>
      <c r="AM2651" s="106">
        <f t="shared" ca="1" si="384"/>
        <v>32504.691108241001</v>
      </c>
      <c r="AN2651" s="10">
        <f t="shared" ca="1" si="385"/>
        <v>1.0316389668151071</v>
      </c>
      <c r="AO2651" s="158"/>
      <c r="AP2651" s="158"/>
      <c r="AQ2651" s="1"/>
      <c r="AR2651" s="1"/>
      <c r="AS2651" s="1"/>
      <c r="AT2651" s="1"/>
      <c r="AU2651" s="1"/>
    </row>
    <row r="2652" spans="34:47">
      <c r="AH2652" s="6">
        <f t="shared" si="386"/>
        <v>2622</v>
      </c>
      <c r="AI2652" s="7">
        <f t="shared" ca="1" si="387"/>
        <v>45292</v>
      </c>
      <c r="AJ2652" s="210">
        <f t="shared" ca="1" si="388"/>
        <v>4.1749999999999998</v>
      </c>
      <c r="AK2652" s="8">
        <f t="shared" ca="1" si="389"/>
        <v>1.0001159722222221</v>
      </c>
      <c r="AL2652" s="98">
        <f t="shared" ca="1" si="390"/>
        <v>4.0812515940854999</v>
      </c>
      <c r="AM2652" s="106">
        <f t="shared" ca="1" si="384"/>
        <v>32507.369542544442</v>
      </c>
      <c r="AN2652" s="10">
        <f t="shared" ca="1" si="385"/>
        <v>1.0317155910080977</v>
      </c>
      <c r="AO2652" s="158"/>
      <c r="AP2652" s="158"/>
      <c r="AQ2652" s="1"/>
      <c r="AR2652" s="1"/>
      <c r="AS2652" s="1"/>
      <c r="AT2652" s="1"/>
      <c r="AU2652" s="1"/>
    </row>
    <row r="2653" spans="34:47">
      <c r="AH2653" s="6">
        <f t="shared" si="386"/>
        <v>2623</v>
      </c>
      <c r="AI2653" s="7">
        <f t="shared" ca="1" si="387"/>
        <v>45293</v>
      </c>
      <c r="AJ2653" s="210">
        <f t="shared" ca="1" si="388"/>
        <v>4.1749999999999998</v>
      </c>
      <c r="AK2653" s="8">
        <f t="shared" ca="1" si="389"/>
        <v>1.0001159722222221</v>
      </c>
      <c r="AL2653" s="98">
        <f t="shared" ca="1" si="390"/>
        <v>4.0813438797662194</v>
      </c>
      <c r="AM2653" s="106">
        <f t="shared" ca="1" si="384"/>
        <v>32510.04819755481</v>
      </c>
      <c r="AN2653" s="10">
        <f t="shared" ca="1" si="385"/>
        <v>1.0317921568342658</v>
      </c>
      <c r="AO2653" s="158"/>
      <c r="AP2653" s="158"/>
      <c r="AQ2653" s="1"/>
      <c r="AR2653" s="1"/>
      <c r="AS2653" s="1"/>
      <c r="AT2653" s="1"/>
      <c r="AU2653" s="1"/>
    </row>
    <row r="2654" spans="34:47">
      <c r="AH2654" s="6">
        <f t="shared" si="386"/>
        <v>2624</v>
      </c>
      <c r="AI2654" s="7">
        <f t="shared" ca="1" si="387"/>
        <v>45294</v>
      </c>
      <c r="AJ2654" s="210">
        <f t="shared" ca="1" si="388"/>
        <v>4.1749999999999998</v>
      </c>
      <c r="AK2654" s="8">
        <f t="shared" ca="1" si="389"/>
        <v>1.0001159722222221</v>
      </c>
      <c r="AL2654" s="98">
        <f t="shared" ca="1" si="390"/>
        <v>4.0814360951889839</v>
      </c>
      <c r="AM2654" s="106">
        <f t="shared" ca="1" si="384"/>
        <v>32512.727073290287</v>
      </c>
      <c r="AN2654" s="10">
        <f t="shared" ca="1" si="385"/>
        <v>1.0318686643603137</v>
      </c>
      <c r="AO2654" s="158"/>
      <c r="AP2654" s="158"/>
      <c r="AQ2654" s="1"/>
      <c r="AR2654" s="1"/>
      <c r="AS2654" s="1"/>
      <c r="AT2654" s="1"/>
      <c r="AU2654" s="1"/>
    </row>
    <row r="2655" spans="34:47">
      <c r="AH2655" s="6">
        <f t="shared" si="386"/>
        <v>2625</v>
      </c>
      <c r="AI2655" s="7">
        <f t="shared" ca="1" si="387"/>
        <v>45295</v>
      </c>
      <c r="AJ2655" s="210">
        <f t="shared" ca="1" si="388"/>
        <v>4.1749999999999998</v>
      </c>
      <c r="AK2655" s="8">
        <f t="shared" ca="1" si="389"/>
        <v>1.0001159722222221</v>
      </c>
      <c r="AL2655" s="98">
        <f t="shared" ca="1" si="390"/>
        <v>4.0815282404339959</v>
      </c>
      <c r="AM2655" s="106">
        <f t="shared" ref="AM2655:AM2718" ca="1" si="391">Geom_Interp(AI2655,$AZ$2:$AZ$109,$BA$2:$BA$109)</f>
        <v>32515.406169769056</v>
      </c>
      <c r="AN2655" s="10">
        <f t="shared" ref="AN2655:AN2718" ca="1" si="392">100*(((1+AL2655/100)^(AH2655/365)*$AM$29/AM2655)^(365/AH2655)-1)</f>
        <v>1.031945113652788</v>
      </c>
      <c r="AO2655" s="158"/>
      <c r="AP2655" s="158"/>
      <c r="AQ2655" s="1"/>
      <c r="AR2655" s="1"/>
      <c r="AS2655" s="1"/>
      <c r="AT2655" s="1"/>
      <c r="AU2655" s="1"/>
    </row>
    <row r="2656" spans="34:47">
      <c r="AH2656" s="6">
        <f t="shared" ref="AH2656:AH2719" si="393">$AI$29+AH2655</f>
        <v>2626</v>
      </c>
      <c r="AI2656" s="7">
        <f t="shared" ref="AI2656:AI2719" ca="1" si="394">+AH2656+$C$1</f>
        <v>45296</v>
      </c>
      <c r="AJ2656" s="210">
        <f t="shared" ref="AJ2656:AJ2719" ca="1" si="395">IF(AH2656&lt;365,VLOOKUP(LOOKUP(AI2656,$AI$2:$AI$23),$AI$2:$AK$23,3,0),Lin_Interp(AH2656,$AJ$2:$AJ$23,$AK$2:$AK$23))</f>
        <v>4.1749999999999998</v>
      </c>
      <c r="AK2656" s="8">
        <f t="shared" ca="1" si="389"/>
        <v>1.0001159722222221</v>
      </c>
      <c r="AL2656" s="98">
        <f t="shared" ca="1" si="390"/>
        <v>4.0816203155813247</v>
      </c>
      <c r="AM2656" s="106">
        <f t="shared" ca="1" si="391"/>
        <v>32518.085487009314</v>
      </c>
      <c r="AN2656" s="10">
        <f t="shared" ca="1" si="392"/>
        <v>1.0320215047781245</v>
      </c>
      <c r="AO2656" s="158"/>
      <c r="AP2656" s="158"/>
      <c r="AQ2656" s="1"/>
      <c r="AR2656" s="1"/>
      <c r="AS2656" s="1"/>
      <c r="AT2656" s="1"/>
      <c r="AU2656" s="1"/>
    </row>
    <row r="2657" spans="34:47">
      <c r="AH2657" s="6">
        <f t="shared" si="393"/>
        <v>2627</v>
      </c>
      <c r="AI2657" s="7">
        <f t="shared" ca="1" si="394"/>
        <v>45297</v>
      </c>
      <c r="AJ2657" s="210">
        <f t="shared" ca="1" si="395"/>
        <v>4.1749999999999998</v>
      </c>
      <c r="AK2657" s="8">
        <f t="shared" ref="AK2657:AK2720" ca="1" si="396">+(1+AJ2657/36000)</f>
        <v>1.0001159722222221</v>
      </c>
      <c r="AL2657" s="98">
        <f t="shared" ref="AL2657:AL2720" ca="1" si="397">100*(((1+AL2656/100)^(AH2656/365)*AK2657)^(365/AH2657)-1)</f>
        <v>4.0817123207109285</v>
      </c>
      <c r="AM2657" s="106">
        <f t="shared" ca="1" si="391"/>
        <v>32520.76502502925</v>
      </c>
      <c r="AN2657" s="10">
        <f t="shared" ca="1" si="392"/>
        <v>1.0320978378027368</v>
      </c>
      <c r="AO2657" s="158"/>
      <c r="AP2657" s="158"/>
      <c r="AQ2657" s="1"/>
      <c r="AR2657" s="1"/>
      <c r="AS2657" s="1"/>
      <c r="AT2657" s="1"/>
      <c r="AU2657" s="1"/>
    </row>
    <row r="2658" spans="34:47">
      <c r="AH2658" s="6">
        <f t="shared" si="393"/>
        <v>2628</v>
      </c>
      <c r="AI2658" s="7">
        <f t="shared" ca="1" si="394"/>
        <v>45298</v>
      </c>
      <c r="AJ2658" s="210">
        <f t="shared" ca="1" si="395"/>
        <v>4.1749999999999998</v>
      </c>
      <c r="AK2658" s="8">
        <f t="shared" ca="1" si="396"/>
        <v>1.0001159722222221</v>
      </c>
      <c r="AL2658" s="98">
        <f t="shared" ca="1" si="397"/>
        <v>4.0818042559026324</v>
      </c>
      <c r="AM2658" s="106">
        <f t="shared" ca="1" si="391"/>
        <v>32523.444783847055</v>
      </c>
      <c r="AN2658" s="10">
        <f t="shared" ca="1" si="392"/>
        <v>1.0321741127928163</v>
      </c>
      <c r="AO2658" s="158"/>
      <c r="AP2658" s="158"/>
      <c r="AQ2658" s="1"/>
      <c r="AR2658" s="1"/>
      <c r="AS2658" s="1"/>
      <c r="AT2658" s="1"/>
      <c r="AU2658" s="1"/>
    </row>
    <row r="2659" spans="34:47">
      <c r="AH2659" s="6">
        <f t="shared" si="393"/>
        <v>2629</v>
      </c>
      <c r="AI2659" s="7">
        <f t="shared" ca="1" si="394"/>
        <v>45299</v>
      </c>
      <c r="AJ2659" s="210">
        <f t="shared" ca="1" si="395"/>
        <v>4.1749999999999998</v>
      </c>
      <c r="AK2659" s="8">
        <f t="shared" ca="1" si="396"/>
        <v>1.0001159722222221</v>
      </c>
      <c r="AL2659" s="98">
        <f t="shared" ca="1" si="397"/>
        <v>4.0818961212361726</v>
      </c>
      <c r="AM2659" s="106">
        <f t="shared" ca="1" si="391"/>
        <v>32526.124763480919</v>
      </c>
      <c r="AN2659" s="10">
        <f t="shared" ca="1" si="392"/>
        <v>1.0322503298145769</v>
      </c>
      <c r="AO2659" s="158"/>
      <c r="AP2659" s="158"/>
      <c r="AQ2659" s="1"/>
      <c r="AR2659" s="1"/>
      <c r="AS2659" s="1"/>
      <c r="AT2659" s="1"/>
      <c r="AU2659" s="1"/>
    </row>
    <row r="2660" spans="34:47">
      <c r="AH2660" s="6">
        <f t="shared" si="393"/>
        <v>2630</v>
      </c>
      <c r="AI2660" s="7">
        <f t="shared" ca="1" si="394"/>
        <v>45300</v>
      </c>
      <c r="AJ2660" s="210">
        <f t="shared" ca="1" si="395"/>
        <v>4.1749999999999998</v>
      </c>
      <c r="AK2660" s="8">
        <f t="shared" ca="1" si="396"/>
        <v>1.0001159722222221</v>
      </c>
      <c r="AL2660" s="98">
        <f t="shared" ca="1" si="397"/>
        <v>4.0819879167911299</v>
      </c>
      <c r="AM2660" s="106">
        <f t="shared" ca="1" si="391"/>
        <v>32528.804963949045</v>
      </c>
      <c r="AN2660" s="10">
        <f t="shared" ca="1" si="392"/>
        <v>1.0323264889340322</v>
      </c>
      <c r="AO2660" s="158"/>
      <c r="AP2660" s="158"/>
      <c r="AQ2660" s="1"/>
      <c r="AR2660" s="1"/>
      <c r="AS2660" s="1"/>
      <c r="AT2660" s="1"/>
      <c r="AU2660" s="1"/>
    </row>
    <row r="2661" spans="34:47">
      <c r="AH2661" s="6">
        <f t="shared" si="393"/>
        <v>2631</v>
      </c>
      <c r="AI2661" s="7">
        <f t="shared" ca="1" si="394"/>
        <v>45301</v>
      </c>
      <c r="AJ2661" s="210">
        <f t="shared" ca="1" si="395"/>
        <v>4.1749999999999998</v>
      </c>
      <c r="AK2661" s="8">
        <f t="shared" ca="1" si="396"/>
        <v>1.0001159722222221</v>
      </c>
      <c r="AL2661" s="98">
        <f t="shared" ca="1" si="397"/>
        <v>4.0820796426469741</v>
      </c>
      <c r="AM2661" s="106">
        <f t="shared" ca="1" si="391"/>
        <v>32531.485385269632</v>
      </c>
      <c r="AN2661" s="10">
        <f t="shared" ca="1" si="392"/>
        <v>1.0324025902171741</v>
      </c>
      <c r="AO2661" s="158"/>
      <c r="AP2661" s="158"/>
      <c r="AQ2661" s="1"/>
      <c r="AR2661" s="1"/>
      <c r="AS2661" s="1"/>
      <c r="AT2661" s="1"/>
      <c r="AU2661" s="1"/>
    </row>
    <row r="2662" spans="34:47">
      <c r="AH2662" s="6">
        <f t="shared" si="393"/>
        <v>2632</v>
      </c>
      <c r="AI2662" s="7">
        <f t="shared" ca="1" si="394"/>
        <v>45302</v>
      </c>
      <c r="AJ2662" s="210">
        <f t="shared" ca="1" si="395"/>
        <v>4.1749999999999998</v>
      </c>
      <c r="AK2662" s="8">
        <f t="shared" ca="1" si="396"/>
        <v>1.0001159722222221</v>
      </c>
      <c r="AL2662" s="98">
        <f t="shared" ca="1" si="397"/>
        <v>4.0821712988830638</v>
      </c>
      <c r="AM2662" s="106">
        <f t="shared" ca="1" si="391"/>
        <v>32534.166027460869</v>
      </c>
      <c r="AN2662" s="10">
        <f t="shared" ca="1" si="392"/>
        <v>1.0324786337298386</v>
      </c>
      <c r="AO2662" s="158"/>
      <c r="AP2662" s="158"/>
      <c r="AQ2662" s="1"/>
      <c r="AR2662" s="1"/>
      <c r="AS2662" s="1"/>
      <c r="AT2662" s="1"/>
      <c r="AU2662" s="1"/>
    </row>
    <row r="2663" spans="34:47">
      <c r="AH2663" s="6">
        <f t="shared" si="393"/>
        <v>2633</v>
      </c>
      <c r="AI2663" s="7">
        <f t="shared" ca="1" si="394"/>
        <v>45303</v>
      </c>
      <c r="AJ2663" s="210">
        <f t="shared" ca="1" si="395"/>
        <v>4.1749999999999998</v>
      </c>
      <c r="AK2663" s="8">
        <f t="shared" ca="1" si="396"/>
        <v>1.0001159722222221</v>
      </c>
      <c r="AL2663" s="98">
        <f t="shared" ca="1" si="397"/>
        <v>4.0822628855786469</v>
      </c>
      <c r="AM2663" s="106">
        <f t="shared" ca="1" si="391"/>
        <v>32536.846890540961</v>
      </c>
      <c r="AN2663" s="10">
        <f t="shared" ca="1" si="392"/>
        <v>1.0325546195378177</v>
      </c>
      <c r="AO2663" s="158"/>
      <c r="AP2663" s="158"/>
      <c r="AQ2663" s="1"/>
      <c r="AR2663" s="1"/>
      <c r="AS2663" s="1"/>
      <c r="AT2663" s="1"/>
      <c r="AU2663" s="1"/>
    </row>
    <row r="2664" spans="34:47">
      <c r="AH2664" s="6">
        <f t="shared" si="393"/>
        <v>2634</v>
      </c>
      <c r="AI2664" s="7">
        <f t="shared" ca="1" si="394"/>
        <v>45304</v>
      </c>
      <c r="AJ2664" s="210">
        <f t="shared" ca="1" si="395"/>
        <v>4.1749999999999998</v>
      </c>
      <c r="AK2664" s="8">
        <f t="shared" ca="1" si="396"/>
        <v>1.0001159722222221</v>
      </c>
      <c r="AL2664" s="98">
        <f t="shared" ca="1" si="397"/>
        <v>4.0823544028128156</v>
      </c>
      <c r="AM2664" s="106">
        <f t="shared" ca="1" si="391"/>
        <v>32539.527974528111</v>
      </c>
      <c r="AN2664" s="10">
        <f t="shared" ca="1" si="392"/>
        <v>1.0326305477067477</v>
      </c>
      <c r="AO2664" s="158"/>
      <c r="AP2664" s="158"/>
      <c r="AQ2664" s="1"/>
      <c r="AR2664" s="1"/>
      <c r="AS2664" s="1"/>
      <c r="AT2664" s="1"/>
      <c r="AU2664" s="1"/>
    </row>
    <row r="2665" spans="34:47">
      <c r="AH2665" s="6">
        <f t="shared" si="393"/>
        <v>2635</v>
      </c>
      <c r="AI2665" s="7">
        <f t="shared" ca="1" si="394"/>
        <v>45305</v>
      </c>
      <c r="AJ2665" s="210">
        <f t="shared" ca="1" si="395"/>
        <v>4.1749999999999998</v>
      </c>
      <c r="AK2665" s="8">
        <f t="shared" ca="1" si="396"/>
        <v>1.0001159722222221</v>
      </c>
      <c r="AL2665" s="98">
        <f t="shared" ca="1" si="397"/>
        <v>4.0824458506645733</v>
      </c>
      <c r="AM2665" s="106">
        <f t="shared" ca="1" si="391"/>
        <v>32542.209279440525</v>
      </c>
      <c r="AN2665" s="10">
        <f t="shared" ca="1" si="392"/>
        <v>1.0327064183021983</v>
      </c>
      <c r="AO2665" s="158"/>
      <c r="AP2665" s="158"/>
      <c r="AQ2665" s="1"/>
      <c r="AR2665" s="1"/>
      <c r="AS2665" s="1"/>
      <c r="AT2665" s="1"/>
      <c r="AU2665" s="1"/>
    </row>
    <row r="2666" spans="34:47">
      <c r="AH2666" s="6">
        <f t="shared" si="393"/>
        <v>2636</v>
      </c>
      <c r="AI2666" s="7">
        <f t="shared" ca="1" si="394"/>
        <v>45306</v>
      </c>
      <c r="AJ2666" s="210">
        <f t="shared" ca="1" si="395"/>
        <v>4.1749999999999998</v>
      </c>
      <c r="AK2666" s="8">
        <f t="shared" ca="1" si="396"/>
        <v>1.0001159722222221</v>
      </c>
      <c r="AL2666" s="98">
        <f t="shared" ca="1" si="397"/>
        <v>4.0825372292127682</v>
      </c>
      <c r="AM2666" s="106">
        <f t="shared" ca="1" si="391"/>
        <v>32544.890805296396</v>
      </c>
      <c r="AN2666" s="10">
        <f t="shared" ca="1" si="392"/>
        <v>1.032782231389584</v>
      </c>
      <c r="AO2666" s="158"/>
      <c r="AP2666" s="158"/>
      <c r="AQ2666" s="1"/>
      <c r="AR2666" s="1"/>
      <c r="AS2666" s="1"/>
      <c r="AT2666" s="1"/>
      <c r="AU2666" s="1"/>
    </row>
    <row r="2667" spans="34:47">
      <c r="AH2667" s="6">
        <f t="shared" si="393"/>
        <v>2637</v>
      </c>
      <c r="AI2667" s="7">
        <f t="shared" ca="1" si="394"/>
        <v>45307</v>
      </c>
      <c r="AJ2667" s="210">
        <f t="shared" ca="1" si="395"/>
        <v>4.1749999999999998</v>
      </c>
      <c r="AK2667" s="8">
        <f t="shared" ca="1" si="396"/>
        <v>1.0001159722222221</v>
      </c>
      <c r="AL2667" s="98">
        <f t="shared" ca="1" si="397"/>
        <v>4.0826285385361816</v>
      </c>
      <c r="AM2667" s="106">
        <f t="shared" ca="1" si="391"/>
        <v>32547.572552113943</v>
      </c>
      <c r="AN2667" s="10">
        <f t="shared" ca="1" si="392"/>
        <v>1.0328579870343191</v>
      </c>
      <c r="AO2667" s="158"/>
      <c r="AP2667" s="158"/>
      <c r="AQ2667" s="1"/>
      <c r="AR2667" s="1"/>
      <c r="AS2667" s="1"/>
      <c r="AT2667" s="1"/>
      <c r="AU2667" s="1"/>
    </row>
    <row r="2668" spans="34:47">
      <c r="AH2668" s="6">
        <f t="shared" si="393"/>
        <v>2638</v>
      </c>
      <c r="AI2668" s="7">
        <f t="shared" ca="1" si="394"/>
        <v>45308</v>
      </c>
      <c r="AJ2668" s="210">
        <f t="shared" ca="1" si="395"/>
        <v>4.1749999999999998</v>
      </c>
      <c r="AK2668" s="8">
        <f t="shared" ca="1" si="396"/>
        <v>1.0001159722222221</v>
      </c>
      <c r="AL2668" s="98">
        <f t="shared" ca="1" si="397"/>
        <v>4.0827197787134173</v>
      </c>
      <c r="AM2668" s="106">
        <f t="shared" ca="1" si="391"/>
        <v>32550.254519911363</v>
      </c>
      <c r="AN2668" s="10">
        <f t="shared" ca="1" si="392"/>
        <v>1.032933685301618</v>
      </c>
      <c r="AO2668" s="158"/>
      <c r="AP2668" s="158"/>
      <c r="AQ2668" s="1"/>
      <c r="AR2668" s="1"/>
      <c r="AS2668" s="1"/>
      <c r="AT2668" s="1"/>
      <c r="AU2668" s="1"/>
    </row>
    <row r="2669" spans="34:47">
      <c r="AH2669" s="6">
        <f t="shared" si="393"/>
        <v>2639</v>
      </c>
      <c r="AI2669" s="7">
        <f t="shared" ca="1" si="394"/>
        <v>45309</v>
      </c>
      <c r="AJ2669" s="210">
        <f t="shared" ca="1" si="395"/>
        <v>4.1749999999999998</v>
      </c>
      <c r="AK2669" s="8">
        <f t="shared" ca="1" si="396"/>
        <v>1.0001159722222221</v>
      </c>
      <c r="AL2669" s="98">
        <f t="shared" ca="1" si="397"/>
        <v>4.0828109498230125</v>
      </c>
      <c r="AM2669" s="106">
        <f t="shared" ca="1" si="391"/>
        <v>32552.936708706868</v>
      </c>
      <c r="AN2669" s="10">
        <f t="shared" ca="1" si="392"/>
        <v>1.0330093262566731</v>
      </c>
      <c r="AO2669" s="158"/>
      <c r="AP2669" s="158"/>
      <c r="AQ2669" s="1"/>
      <c r="AR2669" s="1"/>
      <c r="AS2669" s="1"/>
      <c r="AT2669" s="1"/>
      <c r="AU2669" s="1"/>
    </row>
    <row r="2670" spans="34:47">
      <c r="AH2670" s="6">
        <f t="shared" si="393"/>
        <v>2640</v>
      </c>
      <c r="AI2670" s="7">
        <f t="shared" ca="1" si="394"/>
        <v>45310</v>
      </c>
      <c r="AJ2670" s="210">
        <f t="shared" ca="1" si="395"/>
        <v>4.1749999999999998</v>
      </c>
      <c r="AK2670" s="8">
        <f t="shared" ca="1" si="396"/>
        <v>1.0001159722222221</v>
      </c>
      <c r="AL2670" s="98">
        <f t="shared" ca="1" si="397"/>
        <v>4.082902051943349</v>
      </c>
      <c r="AM2670" s="106">
        <f t="shared" ca="1" si="391"/>
        <v>32555.619118518673</v>
      </c>
      <c r="AN2670" s="10">
        <f t="shared" ca="1" si="392"/>
        <v>1.0330849099645434</v>
      </c>
      <c r="AO2670" s="158"/>
      <c r="AP2670" s="158"/>
      <c r="AQ2670" s="1"/>
      <c r="AR2670" s="1"/>
      <c r="AS2670" s="1"/>
      <c r="AT2670" s="1"/>
      <c r="AU2670" s="1"/>
    </row>
    <row r="2671" spans="34:47">
      <c r="AH2671" s="6">
        <f t="shared" si="393"/>
        <v>2641</v>
      </c>
      <c r="AI2671" s="7">
        <f t="shared" ca="1" si="394"/>
        <v>45311</v>
      </c>
      <c r="AJ2671" s="210">
        <f t="shared" ca="1" si="395"/>
        <v>4.1749999999999998</v>
      </c>
      <c r="AK2671" s="8">
        <f t="shared" ca="1" si="396"/>
        <v>1.0001159722222221</v>
      </c>
      <c r="AL2671" s="98">
        <f t="shared" ca="1" si="397"/>
        <v>4.0829930851527196</v>
      </c>
      <c r="AM2671" s="106">
        <f t="shared" ca="1" si="391"/>
        <v>32558.301749364993</v>
      </c>
      <c r="AN2671" s="10">
        <f t="shared" ca="1" si="392"/>
        <v>1.0331604364901992</v>
      </c>
      <c r="AO2671" s="158"/>
      <c r="AP2671" s="158"/>
      <c r="AQ2671" s="1"/>
      <c r="AR2671" s="1"/>
      <c r="AS2671" s="1"/>
      <c r="AT2671" s="1"/>
      <c r="AU2671" s="1"/>
    </row>
    <row r="2672" spans="34:47">
      <c r="AH2672" s="6">
        <f t="shared" si="393"/>
        <v>2642</v>
      </c>
      <c r="AI2672" s="7">
        <f t="shared" ca="1" si="394"/>
        <v>45312</v>
      </c>
      <c r="AJ2672" s="210">
        <f t="shared" ca="1" si="395"/>
        <v>4.1749999999999998</v>
      </c>
      <c r="AK2672" s="8">
        <f t="shared" ca="1" si="396"/>
        <v>1.0001159722222221</v>
      </c>
      <c r="AL2672" s="98">
        <f t="shared" ca="1" si="397"/>
        <v>4.083084049529262</v>
      </c>
      <c r="AM2672" s="106">
        <f t="shared" ca="1" si="391"/>
        <v>32560.984601264034</v>
      </c>
      <c r="AN2672" s="10">
        <f t="shared" ca="1" si="392"/>
        <v>1.0332359058984775</v>
      </c>
      <c r="AO2672" s="158"/>
      <c r="AP2672" s="158"/>
      <c r="AQ2672" s="1"/>
      <c r="AR2672" s="1"/>
      <c r="AS2672" s="1"/>
      <c r="AT2672" s="1"/>
      <c r="AU2672" s="1"/>
    </row>
    <row r="2673" spans="34:47">
      <c r="AH2673" s="6">
        <f t="shared" si="393"/>
        <v>2643</v>
      </c>
      <c r="AI2673" s="7">
        <f t="shared" ca="1" si="394"/>
        <v>45313</v>
      </c>
      <c r="AJ2673" s="210">
        <f t="shared" ca="1" si="395"/>
        <v>4.1749999999999998</v>
      </c>
      <c r="AK2673" s="8">
        <f t="shared" ca="1" si="396"/>
        <v>1.0001159722222221</v>
      </c>
      <c r="AL2673" s="98">
        <f t="shared" ca="1" si="397"/>
        <v>4.0831749451510468</v>
      </c>
      <c r="AM2673" s="106">
        <f t="shared" ca="1" si="391"/>
        <v>32563.667674234006</v>
      </c>
      <c r="AN2673" s="10">
        <f t="shared" ca="1" si="392"/>
        <v>1.0333113182541931</v>
      </c>
      <c r="AO2673" s="158"/>
      <c r="AP2673" s="158"/>
      <c r="AQ2673" s="1"/>
      <c r="AR2673" s="1"/>
      <c r="AS2673" s="1"/>
      <c r="AT2673" s="1"/>
      <c r="AU2673" s="1"/>
    </row>
    <row r="2674" spans="34:47">
      <c r="AH2674" s="6">
        <f t="shared" si="393"/>
        <v>2644</v>
      </c>
      <c r="AI2674" s="7">
        <f t="shared" ca="1" si="394"/>
        <v>45314</v>
      </c>
      <c r="AJ2674" s="210">
        <f t="shared" ca="1" si="395"/>
        <v>4.1749999999999998</v>
      </c>
      <c r="AK2674" s="8">
        <f t="shared" ca="1" si="396"/>
        <v>1.0001159722222221</v>
      </c>
      <c r="AL2674" s="98">
        <f t="shared" ca="1" si="397"/>
        <v>4.0832657720959675</v>
      </c>
      <c r="AM2674" s="106">
        <f t="shared" ca="1" si="391"/>
        <v>32566.35096829314</v>
      </c>
      <c r="AN2674" s="10">
        <f t="shared" ca="1" si="392"/>
        <v>1.0333866736219832</v>
      </c>
      <c r="AO2674" s="158"/>
      <c r="AP2674" s="158"/>
      <c r="AQ2674" s="1"/>
      <c r="AR2674" s="1"/>
      <c r="AS2674" s="1"/>
      <c r="AT2674" s="1"/>
      <c r="AU2674" s="1"/>
    </row>
    <row r="2675" spans="34:47">
      <c r="AH2675" s="6">
        <f t="shared" si="393"/>
        <v>2645</v>
      </c>
      <c r="AI2675" s="7">
        <f t="shared" ca="1" si="394"/>
        <v>45315</v>
      </c>
      <c r="AJ2675" s="210">
        <f t="shared" ca="1" si="395"/>
        <v>4.1749999999999998</v>
      </c>
      <c r="AK2675" s="8">
        <f t="shared" ca="1" si="396"/>
        <v>1.0001159722222221</v>
      </c>
      <c r="AL2675" s="98">
        <f t="shared" ca="1" si="397"/>
        <v>4.0833565304418284</v>
      </c>
      <c r="AM2675" s="106">
        <f t="shared" ca="1" si="391"/>
        <v>32569.03448345964</v>
      </c>
      <c r="AN2675" s="10">
        <f t="shared" ca="1" si="392"/>
        <v>1.0334619720664184</v>
      </c>
      <c r="AO2675" s="158"/>
      <c r="AP2675" s="158"/>
      <c r="AQ2675" s="1"/>
      <c r="AR2675" s="1"/>
      <c r="AS2675" s="1"/>
      <c r="AT2675" s="1"/>
      <c r="AU2675" s="1"/>
    </row>
    <row r="2676" spans="34:47">
      <c r="AH2676" s="6">
        <f t="shared" si="393"/>
        <v>2646</v>
      </c>
      <c r="AI2676" s="7">
        <f t="shared" ca="1" si="394"/>
        <v>45316</v>
      </c>
      <c r="AJ2676" s="210">
        <f t="shared" ca="1" si="395"/>
        <v>4.1749999999999998</v>
      </c>
      <c r="AK2676" s="8">
        <f t="shared" ca="1" si="396"/>
        <v>1.0001159722222221</v>
      </c>
      <c r="AL2676" s="98">
        <f t="shared" ca="1" si="397"/>
        <v>4.0834472202663452</v>
      </c>
      <c r="AM2676" s="106">
        <f t="shared" ca="1" si="391"/>
        <v>32571.71821975174</v>
      </c>
      <c r="AN2676" s="10">
        <f t="shared" ca="1" si="392"/>
        <v>1.0335372136520027</v>
      </c>
      <c r="AO2676" s="158"/>
      <c r="AP2676" s="158"/>
      <c r="AQ2676" s="1"/>
      <c r="AR2676" s="1"/>
      <c r="AS2676" s="1"/>
      <c r="AT2676" s="1"/>
      <c r="AU2676" s="1"/>
    </row>
    <row r="2677" spans="34:47">
      <c r="AH2677" s="6">
        <f t="shared" si="393"/>
        <v>2647</v>
      </c>
      <c r="AI2677" s="7">
        <f t="shared" ca="1" si="394"/>
        <v>45317</v>
      </c>
      <c r="AJ2677" s="210">
        <f t="shared" ca="1" si="395"/>
        <v>4.1749999999999998</v>
      </c>
      <c r="AK2677" s="8">
        <f t="shared" ca="1" si="396"/>
        <v>1.0001159722222221</v>
      </c>
      <c r="AL2677" s="98">
        <f t="shared" ca="1" si="397"/>
        <v>4.0835378416470558</v>
      </c>
      <c r="AM2677" s="106">
        <f t="shared" ca="1" si="391"/>
        <v>32574.402177187647</v>
      </c>
      <c r="AN2677" s="10">
        <f t="shared" ca="1" si="392"/>
        <v>1.0336123984430845</v>
      </c>
      <c r="AO2677" s="158"/>
      <c r="AP2677" s="158"/>
      <c r="AQ2677" s="1"/>
      <c r="AR2677" s="1"/>
      <c r="AS2677" s="1"/>
      <c r="AT2677" s="1"/>
      <c r="AU2677" s="1"/>
    </row>
    <row r="2678" spans="34:47">
      <c r="AH2678" s="6">
        <f t="shared" si="393"/>
        <v>2648</v>
      </c>
      <c r="AI2678" s="7">
        <f t="shared" ca="1" si="394"/>
        <v>45318</v>
      </c>
      <c r="AJ2678" s="210">
        <f t="shared" ca="1" si="395"/>
        <v>4.1749999999999998</v>
      </c>
      <c r="AK2678" s="8">
        <f t="shared" ca="1" si="396"/>
        <v>1.0001159722222221</v>
      </c>
      <c r="AL2678" s="98">
        <f t="shared" ca="1" si="397"/>
        <v>4.0836283946614316</v>
      </c>
      <c r="AM2678" s="106">
        <f t="shared" ca="1" si="391"/>
        <v>32577.086355785596</v>
      </c>
      <c r="AN2678" s="10">
        <f t="shared" ca="1" si="392"/>
        <v>1.033687526503968</v>
      </c>
      <c r="AO2678" s="158"/>
      <c r="AP2678" s="158"/>
      <c r="AQ2678" s="1"/>
      <c r="AR2678" s="1"/>
      <c r="AS2678" s="1"/>
      <c r="AT2678" s="1"/>
      <c r="AU2678" s="1"/>
    </row>
    <row r="2679" spans="34:47">
      <c r="AH2679" s="6">
        <f t="shared" si="393"/>
        <v>2649</v>
      </c>
      <c r="AI2679" s="7">
        <f t="shared" ca="1" si="394"/>
        <v>45319</v>
      </c>
      <c r="AJ2679" s="210">
        <f t="shared" ca="1" si="395"/>
        <v>4.1749999999999998</v>
      </c>
      <c r="AK2679" s="8">
        <f t="shared" ca="1" si="396"/>
        <v>1.0001159722222221</v>
      </c>
      <c r="AL2679" s="98">
        <f t="shared" ca="1" si="397"/>
        <v>4.0837188793868107</v>
      </c>
      <c r="AM2679" s="106">
        <f t="shared" ca="1" si="391"/>
        <v>32579.770755563804</v>
      </c>
      <c r="AN2679" s="10">
        <f t="shared" ca="1" si="392"/>
        <v>1.0337625978988241</v>
      </c>
      <c r="AO2679" s="158"/>
      <c r="AP2679" s="158"/>
      <c r="AQ2679" s="1"/>
      <c r="AR2679" s="1"/>
      <c r="AS2679" s="1"/>
      <c r="AT2679" s="1"/>
      <c r="AU2679" s="1"/>
    </row>
    <row r="2680" spans="34:47">
      <c r="AH2680" s="6">
        <f t="shared" si="393"/>
        <v>2650</v>
      </c>
      <c r="AI2680" s="7">
        <f t="shared" ca="1" si="394"/>
        <v>45320</v>
      </c>
      <c r="AJ2680" s="210">
        <f t="shared" ca="1" si="395"/>
        <v>4.1749999999999998</v>
      </c>
      <c r="AK2680" s="8">
        <f t="shared" ca="1" si="396"/>
        <v>1.0001159722222221</v>
      </c>
      <c r="AL2680" s="98">
        <f t="shared" ca="1" si="397"/>
        <v>4.083809295900398</v>
      </c>
      <c r="AM2680" s="106">
        <f t="shared" ca="1" si="391"/>
        <v>32582.455376540489</v>
      </c>
      <c r="AN2680" s="10">
        <f t="shared" ca="1" si="392"/>
        <v>1.0338376126917348</v>
      </c>
      <c r="AO2680" s="158"/>
      <c r="AP2680" s="158"/>
      <c r="AQ2680" s="1"/>
      <c r="AR2680" s="1"/>
      <c r="AS2680" s="1"/>
      <c r="AT2680" s="1"/>
      <c r="AU2680" s="1"/>
    </row>
    <row r="2681" spans="34:47">
      <c r="AH2681" s="6">
        <f t="shared" si="393"/>
        <v>2651</v>
      </c>
      <c r="AI2681" s="7">
        <f t="shared" ca="1" si="394"/>
        <v>45321</v>
      </c>
      <c r="AJ2681" s="210">
        <f t="shared" ca="1" si="395"/>
        <v>4.1749999999999998</v>
      </c>
      <c r="AK2681" s="8">
        <f t="shared" ca="1" si="396"/>
        <v>1.0001159722222221</v>
      </c>
      <c r="AL2681" s="98">
        <f t="shared" ca="1" si="397"/>
        <v>4.0838996442793096</v>
      </c>
      <c r="AM2681" s="106">
        <f t="shared" ca="1" si="391"/>
        <v>32585.140218733894</v>
      </c>
      <c r="AN2681" s="10">
        <f t="shared" ca="1" si="392"/>
        <v>1.0339125709466934</v>
      </c>
      <c r="AO2681" s="158"/>
      <c r="AP2681" s="158"/>
      <c r="AQ2681" s="1"/>
      <c r="AR2681" s="1"/>
      <c r="AS2681" s="1"/>
      <c r="AT2681" s="1"/>
      <c r="AU2681" s="1"/>
    </row>
    <row r="2682" spans="34:47">
      <c r="AH2682" s="6">
        <f t="shared" si="393"/>
        <v>2652</v>
      </c>
      <c r="AI2682" s="7">
        <f t="shared" ca="1" si="394"/>
        <v>45322</v>
      </c>
      <c r="AJ2682" s="210">
        <f t="shared" ca="1" si="395"/>
        <v>4.1749999999999998</v>
      </c>
      <c r="AK2682" s="8">
        <f t="shared" ca="1" si="396"/>
        <v>1.0001159722222221</v>
      </c>
      <c r="AL2682" s="98">
        <f t="shared" ca="1" si="397"/>
        <v>4.0839899246005285</v>
      </c>
      <c r="AM2682" s="106">
        <f t="shared" ca="1" si="391"/>
        <v>32587.825282162245</v>
      </c>
      <c r="AN2682" s="10">
        <f t="shared" ca="1" si="392"/>
        <v>1.0339874727276266</v>
      </c>
      <c r="AO2682" s="158"/>
      <c r="AP2682" s="158"/>
      <c r="AQ2682" s="1"/>
      <c r="AR2682" s="1"/>
      <c r="AS2682" s="1"/>
      <c r="AT2682" s="1"/>
      <c r="AU2682" s="1"/>
    </row>
    <row r="2683" spans="34:47">
      <c r="AH2683" s="6">
        <f t="shared" si="393"/>
        <v>2653</v>
      </c>
      <c r="AI2683" s="7">
        <f t="shared" ca="1" si="394"/>
        <v>45323</v>
      </c>
      <c r="AJ2683" s="210">
        <f t="shared" ca="1" si="395"/>
        <v>4.1749999999999998</v>
      </c>
      <c r="AK2683" s="8">
        <f t="shared" ca="1" si="396"/>
        <v>1.0001159722222221</v>
      </c>
      <c r="AL2683" s="98">
        <f t="shared" ca="1" si="397"/>
        <v>4.0840801369409041</v>
      </c>
      <c r="AM2683" s="106">
        <f t="shared" ca="1" si="391"/>
        <v>32590.510566843761</v>
      </c>
      <c r="AN2683" s="10">
        <f t="shared" ca="1" si="392"/>
        <v>1.0340623180982611</v>
      </c>
      <c r="AO2683" s="158"/>
      <c r="AP2683" s="158"/>
      <c r="AQ2683" s="1"/>
      <c r="AR2683" s="1"/>
      <c r="AS2683" s="1"/>
      <c r="AT2683" s="1"/>
      <c r="AU2683" s="1"/>
    </row>
    <row r="2684" spans="34:47">
      <c r="AH2684" s="6">
        <f t="shared" si="393"/>
        <v>2654</v>
      </c>
      <c r="AI2684" s="7">
        <f t="shared" ca="1" si="394"/>
        <v>45324</v>
      </c>
      <c r="AJ2684" s="210">
        <f t="shared" ca="1" si="395"/>
        <v>4.1749999999999998</v>
      </c>
      <c r="AK2684" s="8">
        <f t="shared" ca="1" si="396"/>
        <v>1.0001159722222221</v>
      </c>
      <c r="AL2684" s="98">
        <f t="shared" ca="1" si="397"/>
        <v>4.0841702813772196</v>
      </c>
      <c r="AM2684" s="106">
        <f t="shared" ca="1" si="391"/>
        <v>32593.196072796676</v>
      </c>
      <c r="AN2684" s="10">
        <f t="shared" ca="1" si="392"/>
        <v>1.0341371071223682</v>
      </c>
      <c r="AO2684" s="158"/>
      <c r="AP2684" s="158"/>
      <c r="AQ2684" s="1"/>
      <c r="AR2684" s="1"/>
      <c r="AS2684" s="1"/>
      <c r="AT2684" s="1"/>
      <c r="AU2684" s="1"/>
    </row>
    <row r="2685" spans="34:47">
      <c r="AH2685" s="6">
        <f t="shared" si="393"/>
        <v>2655</v>
      </c>
      <c r="AI2685" s="7">
        <f t="shared" ca="1" si="394"/>
        <v>45325</v>
      </c>
      <c r="AJ2685" s="210">
        <f t="shared" ca="1" si="395"/>
        <v>4.1749999999999998</v>
      </c>
      <c r="AK2685" s="8">
        <f t="shared" ca="1" si="396"/>
        <v>1.0001159722222221</v>
      </c>
      <c r="AL2685" s="98">
        <f t="shared" ca="1" si="397"/>
        <v>4.0842603579861025</v>
      </c>
      <c r="AM2685" s="106">
        <f t="shared" ca="1" si="391"/>
        <v>32595.881800039231</v>
      </c>
      <c r="AN2685" s="10">
        <f t="shared" ca="1" si="392"/>
        <v>1.034211839863497</v>
      </c>
      <c r="AO2685" s="158"/>
      <c r="AP2685" s="158"/>
      <c r="AQ2685" s="1"/>
      <c r="AR2685" s="1"/>
      <c r="AS2685" s="1"/>
      <c r="AT2685" s="1"/>
      <c r="AU2685" s="1"/>
    </row>
    <row r="2686" spans="34:47">
      <c r="AH2686" s="6">
        <f t="shared" si="393"/>
        <v>2656</v>
      </c>
      <c r="AI2686" s="7">
        <f t="shared" ca="1" si="394"/>
        <v>45326</v>
      </c>
      <c r="AJ2686" s="210">
        <f t="shared" ca="1" si="395"/>
        <v>4.1749999999999998</v>
      </c>
      <c r="AK2686" s="8">
        <f t="shared" ca="1" si="396"/>
        <v>1.0001159722222221</v>
      </c>
      <c r="AL2686" s="98">
        <f t="shared" ca="1" si="397"/>
        <v>4.0843503668440695</v>
      </c>
      <c r="AM2686" s="106">
        <f t="shared" ca="1" si="391"/>
        <v>32598.567748589667</v>
      </c>
      <c r="AN2686" s="10">
        <f t="shared" ca="1" si="392"/>
        <v>1.0342865163851966</v>
      </c>
      <c r="AO2686" s="158"/>
      <c r="AP2686" s="158"/>
      <c r="AQ2686" s="1"/>
      <c r="AR2686" s="1"/>
      <c r="AS2686" s="1"/>
      <c r="AT2686" s="1"/>
      <c r="AU2686" s="1"/>
    </row>
    <row r="2687" spans="34:47">
      <c r="AH2687" s="6">
        <f t="shared" si="393"/>
        <v>2657</v>
      </c>
      <c r="AI2687" s="7">
        <f t="shared" ca="1" si="394"/>
        <v>45327</v>
      </c>
      <c r="AJ2687" s="210">
        <f t="shared" ca="1" si="395"/>
        <v>4.1749999999999998</v>
      </c>
      <c r="AK2687" s="8">
        <f t="shared" ca="1" si="396"/>
        <v>1.0001159722222221</v>
      </c>
      <c r="AL2687" s="98">
        <f t="shared" ca="1" si="397"/>
        <v>4.0844403080275482</v>
      </c>
      <c r="AM2687" s="106">
        <f t="shared" ca="1" si="391"/>
        <v>32601.253918466198</v>
      </c>
      <c r="AN2687" s="10">
        <f t="shared" ca="1" si="392"/>
        <v>1.0343611367508831</v>
      </c>
      <c r="AO2687" s="158"/>
      <c r="AP2687" s="158"/>
      <c r="AQ2687" s="1"/>
      <c r="AR2687" s="1"/>
      <c r="AS2687" s="1"/>
      <c r="AT2687" s="1"/>
      <c r="AU2687" s="1"/>
    </row>
    <row r="2688" spans="34:47">
      <c r="AH2688" s="6">
        <f t="shared" si="393"/>
        <v>2658</v>
      </c>
      <c r="AI2688" s="7">
        <f t="shared" ca="1" si="394"/>
        <v>45328</v>
      </c>
      <c r="AJ2688" s="210">
        <f t="shared" ca="1" si="395"/>
        <v>4.1749999999999998</v>
      </c>
      <c r="AK2688" s="8">
        <f t="shared" ca="1" si="396"/>
        <v>1.0001159722222221</v>
      </c>
      <c r="AL2688" s="98">
        <f t="shared" ca="1" si="397"/>
        <v>4.0845301816128332</v>
      </c>
      <c r="AM2688" s="106">
        <f t="shared" ca="1" si="391"/>
        <v>32603.940309687074</v>
      </c>
      <c r="AN2688" s="10">
        <f t="shared" ca="1" si="392"/>
        <v>1.0344357010238614</v>
      </c>
      <c r="AO2688" s="158"/>
      <c r="AP2688" s="158"/>
      <c r="AQ2688" s="1"/>
      <c r="AR2688" s="1"/>
      <c r="AS2688" s="1"/>
      <c r="AT2688" s="1"/>
      <c r="AU2688" s="1"/>
    </row>
    <row r="2689" spans="34:47">
      <c r="AH2689" s="6">
        <f t="shared" si="393"/>
        <v>2659</v>
      </c>
      <c r="AI2689" s="7">
        <f t="shared" ca="1" si="394"/>
        <v>45329</v>
      </c>
      <c r="AJ2689" s="210">
        <f t="shared" ca="1" si="395"/>
        <v>4.1749999999999998</v>
      </c>
      <c r="AK2689" s="8">
        <f t="shared" ca="1" si="396"/>
        <v>1.0001159722222221</v>
      </c>
      <c r="AL2689" s="98">
        <f t="shared" ca="1" si="397"/>
        <v>4.0846199876760858</v>
      </c>
      <c r="AM2689" s="106">
        <f t="shared" ca="1" si="391"/>
        <v>32606.626922270538</v>
      </c>
      <c r="AN2689" s="10">
        <f t="shared" ca="1" si="392"/>
        <v>1.0345102092673475</v>
      </c>
      <c r="AO2689" s="158"/>
      <c r="AP2689" s="158"/>
      <c r="AQ2689" s="1"/>
      <c r="AR2689" s="1"/>
      <c r="AS2689" s="1"/>
      <c r="AT2689" s="1"/>
      <c r="AU2689" s="1"/>
    </row>
    <row r="2690" spans="34:47">
      <c r="AH2690" s="6">
        <f t="shared" si="393"/>
        <v>2660</v>
      </c>
      <c r="AI2690" s="7">
        <f t="shared" ca="1" si="394"/>
        <v>45330</v>
      </c>
      <c r="AJ2690" s="210">
        <f t="shared" ca="1" si="395"/>
        <v>4.1749999999999998</v>
      </c>
      <c r="AK2690" s="8">
        <f t="shared" ca="1" si="396"/>
        <v>1.0001159722222221</v>
      </c>
      <c r="AL2690" s="98">
        <f t="shared" ca="1" si="397"/>
        <v>4.0847097262933785</v>
      </c>
      <c r="AM2690" s="106">
        <f t="shared" ca="1" si="391"/>
        <v>32609.31375623482</v>
      </c>
      <c r="AN2690" s="10">
        <f t="shared" ca="1" si="392"/>
        <v>1.0345846615444909</v>
      </c>
      <c r="AO2690" s="158"/>
      <c r="AP2690" s="158"/>
      <c r="AQ2690" s="1"/>
      <c r="AR2690" s="1"/>
      <c r="AS2690" s="1"/>
      <c r="AT2690" s="1"/>
      <c r="AU2690" s="1"/>
    </row>
    <row r="2691" spans="34:47">
      <c r="AH2691" s="6">
        <f t="shared" si="393"/>
        <v>2661</v>
      </c>
      <c r="AI2691" s="7">
        <f t="shared" ca="1" si="394"/>
        <v>45331</v>
      </c>
      <c r="AJ2691" s="210">
        <f t="shared" ca="1" si="395"/>
        <v>4.1749999999999998</v>
      </c>
      <c r="AK2691" s="8">
        <f t="shared" ca="1" si="396"/>
        <v>1.0001159722222221</v>
      </c>
      <c r="AL2691" s="98">
        <f t="shared" ca="1" si="397"/>
        <v>4.0847993975406727</v>
      </c>
      <c r="AM2691" s="106">
        <f t="shared" ca="1" si="391"/>
        <v>32612.000811598176</v>
      </c>
      <c r="AN2691" s="10">
        <f t="shared" ca="1" si="392"/>
        <v>1.0346590579183301</v>
      </c>
      <c r="AO2691" s="158"/>
      <c r="AP2691" s="158"/>
      <c r="AQ2691" s="1"/>
      <c r="AR2691" s="1"/>
      <c r="AS2691" s="1"/>
      <c r="AT2691" s="1"/>
      <c r="AU2691" s="1"/>
    </row>
    <row r="2692" spans="34:47">
      <c r="AH2692" s="6">
        <f t="shared" si="393"/>
        <v>2662</v>
      </c>
      <c r="AI2692" s="7">
        <f t="shared" ca="1" si="394"/>
        <v>45332</v>
      </c>
      <c r="AJ2692" s="210">
        <f t="shared" ca="1" si="395"/>
        <v>4.1749999999999998</v>
      </c>
      <c r="AK2692" s="8">
        <f t="shared" ca="1" si="396"/>
        <v>1.0001159722222221</v>
      </c>
      <c r="AL2692" s="98">
        <f t="shared" ca="1" si="397"/>
        <v>4.0848890014937966</v>
      </c>
      <c r="AM2692" s="106">
        <f t="shared" ca="1" si="391"/>
        <v>32614.68808837884</v>
      </c>
      <c r="AN2692" s="10">
        <f t="shared" ca="1" si="392"/>
        <v>1.0347333984517704</v>
      </c>
      <c r="AO2692" s="158"/>
      <c r="AP2692" s="158"/>
      <c r="AQ2692" s="1"/>
      <c r="AR2692" s="1"/>
      <c r="AS2692" s="1"/>
      <c r="AT2692" s="1"/>
      <c r="AU2692" s="1"/>
    </row>
    <row r="2693" spans="34:47">
      <c r="AH2693" s="6">
        <f t="shared" si="393"/>
        <v>2663</v>
      </c>
      <c r="AI2693" s="7">
        <f t="shared" ca="1" si="394"/>
        <v>45333</v>
      </c>
      <c r="AJ2693" s="210">
        <f t="shared" ca="1" si="395"/>
        <v>4.1749999999999998</v>
      </c>
      <c r="AK2693" s="8">
        <f t="shared" ca="1" si="396"/>
        <v>1.0001159722222221</v>
      </c>
      <c r="AL2693" s="98">
        <f t="shared" ca="1" si="397"/>
        <v>4.0849785382284676</v>
      </c>
      <c r="AM2693" s="106">
        <f t="shared" ca="1" si="391"/>
        <v>32617.375586595052</v>
      </c>
      <c r="AN2693" s="10">
        <f t="shared" ca="1" si="392"/>
        <v>1.0348076832076947</v>
      </c>
      <c r="AO2693" s="158"/>
      <c r="AP2693" s="158"/>
      <c r="AQ2693" s="1"/>
      <c r="AR2693" s="1"/>
      <c r="AS2693" s="1"/>
      <c r="AT2693" s="1"/>
      <c r="AU2693" s="1"/>
    </row>
    <row r="2694" spans="34:47">
      <c r="AH2694" s="6">
        <f t="shared" si="393"/>
        <v>2664</v>
      </c>
      <c r="AI2694" s="7">
        <f t="shared" ca="1" si="394"/>
        <v>45334</v>
      </c>
      <c r="AJ2694" s="210">
        <f t="shared" ca="1" si="395"/>
        <v>4.1749999999999998</v>
      </c>
      <c r="AK2694" s="8">
        <f t="shared" ca="1" si="396"/>
        <v>1.0001159722222221</v>
      </c>
      <c r="AL2694" s="98">
        <f t="shared" ca="1" si="397"/>
        <v>4.0850680078203139</v>
      </c>
      <c r="AM2694" s="106">
        <f t="shared" ca="1" si="391"/>
        <v>32620.063306265067</v>
      </c>
      <c r="AN2694" s="10">
        <f t="shared" ca="1" si="392"/>
        <v>1.0348819122488306</v>
      </c>
      <c r="AO2694" s="158"/>
      <c r="AP2694" s="158"/>
      <c r="AQ2694" s="1"/>
      <c r="AR2694" s="1"/>
      <c r="AS2694" s="1"/>
      <c r="AT2694" s="1"/>
      <c r="AU2694" s="1"/>
    </row>
    <row r="2695" spans="34:47">
      <c r="AH2695" s="6">
        <f t="shared" si="393"/>
        <v>2665</v>
      </c>
      <c r="AI2695" s="7">
        <f t="shared" ca="1" si="394"/>
        <v>45335</v>
      </c>
      <c r="AJ2695" s="210">
        <f t="shared" ca="1" si="395"/>
        <v>4.1749999999999998</v>
      </c>
      <c r="AK2695" s="8">
        <f t="shared" ca="1" si="396"/>
        <v>1.0001159722222221</v>
      </c>
      <c r="AL2695" s="98">
        <f t="shared" ca="1" si="397"/>
        <v>4.0851574103448307</v>
      </c>
      <c r="AM2695" s="106">
        <f t="shared" ca="1" si="391"/>
        <v>32622.751247407137</v>
      </c>
      <c r="AN2695" s="10">
        <f t="shared" ca="1" si="392"/>
        <v>1.0349560856378615</v>
      </c>
      <c r="AO2695" s="158"/>
      <c r="AP2695" s="158"/>
      <c r="AQ2695" s="1"/>
      <c r="AR2695" s="1"/>
      <c r="AS2695" s="1"/>
      <c r="AT2695" s="1"/>
      <c r="AU2695" s="1"/>
    </row>
    <row r="2696" spans="34:47">
      <c r="AH2696" s="6">
        <f t="shared" si="393"/>
        <v>2666</v>
      </c>
      <c r="AI2696" s="7">
        <f t="shared" ca="1" si="394"/>
        <v>45336</v>
      </c>
      <c r="AJ2696" s="210">
        <f t="shared" ca="1" si="395"/>
        <v>4.1749999999999998</v>
      </c>
      <c r="AK2696" s="8">
        <f t="shared" ca="1" si="396"/>
        <v>1.0001159722222221</v>
      </c>
      <c r="AL2696" s="98">
        <f t="shared" ca="1" si="397"/>
        <v>4.08524674587738</v>
      </c>
      <c r="AM2696" s="106">
        <f t="shared" ca="1" si="391"/>
        <v>32625.439410039507</v>
      </c>
      <c r="AN2696" s="10">
        <f t="shared" ca="1" si="392"/>
        <v>1.0350302034373149</v>
      </c>
      <c r="AO2696" s="158"/>
      <c r="AP2696" s="158"/>
      <c r="AQ2696" s="1"/>
      <c r="AR2696" s="1"/>
      <c r="AS2696" s="1"/>
      <c r="AT2696" s="1"/>
      <c r="AU2696" s="1"/>
    </row>
    <row r="2697" spans="34:47">
      <c r="AH2697" s="6">
        <f t="shared" si="393"/>
        <v>2667</v>
      </c>
      <c r="AI2697" s="7">
        <f t="shared" ca="1" si="394"/>
        <v>45337</v>
      </c>
      <c r="AJ2697" s="210">
        <f t="shared" ca="1" si="395"/>
        <v>4.1749999999999998</v>
      </c>
      <c r="AK2697" s="8">
        <f t="shared" ca="1" si="396"/>
        <v>1.0001159722222221</v>
      </c>
      <c r="AL2697" s="98">
        <f t="shared" ca="1" si="397"/>
        <v>4.0853360144932349</v>
      </c>
      <c r="AM2697" s="106">
        <f t="shared" ca="1" si="391"/>
        <v>32628.127794180422</v>
      </c>
      <c r="AN2697" s="10">
        <f t="shared" ca="1" si="392"/>
        <v>1.0351042657096743</v>
      </c>
      <c r="AO2697" s="158"/>
      <c r="AP2697" s="158"/>
      <c r="AQ2697" s="1"/>
      <c r="AR2697" s="1"/>
      <c r="AS2697" s="1"/>
      <c r="AT2697" s="1"/>
      <c r="AU2697" s="1"/>
    </row>
    <row r="2698" spans="34:47">
      <c r="AH2698" s="6">
        <f t="shared" si="393"/>
        <v>2668</v>
      </c>
      <c r="AI2698" s="7">
        <f t="shared" ca="1" si="394"/>
        <v>45338</v>
      </c>
      <c r="AJ2698" s="210">
        <f t="shared" ca="1" si="395"/>
        <v>4.1749999999999998</v>
      </c>
      <c r="AK2698" s="8">
        <f t="shared" ca="1" si="396"/>
        <v>1.0001159722222221</v>
      </c>
      <c r="AL2698" s="98">
        <f t="shared" ca="1" si="397"/>
        <v>4.0854252162675797</v>
      </c>
      <c r="AM2698" s="106">
        <f t="shared" ca="1" si="391"/>
        <v>32630.81639984814</v>
      </c>
      <c r="AN2698" s="10">
        <f t="shared" ca="1" si="392"/>
        <v>1.0351782725173342</v>
      </c>
      <c r="AO2698" s="158"/>
      <c r="AP2698" s="158"/>
      <c r="AQ2698" s="1"/>
      <c r="AR2698" s="1"/>
      <c r="AS2698" s="1"/>
      <c r="AT2698" s="1"/>
      <c r="AU2698" s="1"/>
    </row>
    <row r="2699" spans="34:47">
      <c r="AH2699" s="6">
        <f t="shared" si="393"/>
        <v>2669</v>
      </c>
      <c r="AI2699" s="7">
        <f t="shared" ca="1" si="394"/>
        <v>45339</v>
      </c>
      <c r="AJ2699" s="210">
        <f t="shared" ca="1" si="395"/>
        <v>4.1749999999999998</v>
      </c>
      <c r="AK2699" s="8">
        <f t="shared" ca="1" si="396"/>
        <v>1.0001159722222221</v>
      </c>
      <c r="AL2699" s="98">
        <f t="shared" ca="1" si="397"/>
        <v>4.0855143512754433</v>
      </c>
      <c r="AM2699" s="106">
        <f t="shared" ca="1" si="391"/>
        <v>32633.505227060919</v>
      </c>
      <c r="AN2699" s="10">
        <f t="shared" ca="1" si="392"/>
        <v>1.0352522239225559</v>
      </c>
      <c r="AO2699" s="158"/>
      <c r="AP2699" s="158"/>
      <c r="AQ2699" s="1"/>
      <c r="AR2699" s="1"/>
      <c r="AS2699" s="1"/>
      <c r="AT2699" s="1"/>
      <c r="AU2699" s="1"/>
    </row>
    <row r="2700" spans="34:47">
      <c r="AH2700" s="6">
        <f t="shared" si="393"/>
        <v>2670</v>
      </c>
      <c r="AI2700" s="7">
        <f t="shared" ca="1" si="394"/>
        <v>45340</v>
      </c>
      <c r="AJ2700" s="210">
        <f t="shared" ca="1" si="395"/>
        <v>4.1749999999999998</v>
      </c>
      <c r="AK2700" s="8">
        <f t="shared" ca="1" si="396"/>
        <v>1.0001159722222221</v>
      </c>
      <c r="AL2700" s="98">
        <f t="shared" ca="1" si="397"/>
        <v>4.0856034195917434</v>
      </c>
      <c r="AM2700" s="106">
        <f t="shared" ca="1" si="391"/>
        <v>32636.194275837013</v>
      </c>
      <c r="AN2700" s="10">
        <f t="shared" ca="1" si="392"/>
        <v>1.0353261199875119</v>
      </c>
      <c r="AO2700" s="158"/>
      <c r="AP2700" s="158"/>
      <c r="AQ2700" s="1"/>
      <c r="AR2700" s="1"/>
      <c r="AS2700" s="1"/>
      <c r="AT2700" s="1"/>
      <c r="AU2700" s="1"/>
    </row>
    <row r="2701" spans="34:47">
      <c r="AH2701" s="6">
        <f t="shared" si="393"/>
        <v>2671</v>
      </c>
      <c r="AI2701" s="7">
        <f t="shared" ca="1" si="394"/>
        <v>45341</v>
      </c>
      <c r="AJ2701" s="210">
        <f t="shared" ca="1" si="395"/>
        <v>4.1749999999999998</v>
      </c>
      <c r="AK2701" s="8">
        <f t="shared" ca="1" si="396"/>
        <v>1.0001159722222221</v>
      </c>
      <c r="AL2701" s="98">
        <f t="shared" ca="1" si="397"/>
        <v>4.0856924212913093</v>
      </c>
      <c r="AM2701" s="106">
        <f t="shared" ca="1" si="391"/>
        <v>32638.883546194669</v>
      </c>
      <c r="AN2701" s="10">
        <f t="shared" ca="1" si="392"/>
        <v>1.0353999607743303</v>
      </c>
      <c r="AO2701" s="158"/>
      <c r="AP2701" s="158"/>
      <c r="AQ2701" s="1"/>
      <c r="AR2701" s="1"/>
      <c r="AS2701" s="1"/>
      <c r="AT2701" s="1"/>
      <c r="AU2701" s="1"/>
    </row>
    <row r="2702" spans="34:47">
      <c r="AH2702" s="6">
        <f t="shared" si="393"/>
        <v>2672</v>
      </c>
      <c r="AI2702" s="7">
        <f t="shared" ca="1" si="394"/>
        <v>45342</v>
      </c>
      <c r="AJ2702" s="210">
        <f t="shared" ca="1" si="395"/>
        <v>4.1749999999999998</v>
      </c>
      <c r="AK2702" s="8">
        <f t="shared" ca="1" si="396"/>
        <v>1.0001159722222221</v>
      </c>
      <c r="AL2702" s="98">
        <f t="shared" ca="1" si="397"/>
        <v>4.0857813564488588</v>
      </c>
      <c r="AM2702" s="106">
        <f t="shared" ca="1" si="391"/>
        <v>32641.573038152161</v>
      </c>
      <c r="AN2702" s="10">
        <f t="shared" ca="1" si="392"/>
        <v>1.0354737463450059</v>
      </c>
      <c r="AO2702" s="158"/>
      <c r="AP2702" s="158"/>
      <c r="AQ2702" s="1"/>
      <c r="AR2702" s="1"/>
      <c r="AS2702" s="1"/>
      <c r="AT2702" s="1"/>
      <c r="AU2702" s="1"/>
    </row>
    <row r="2703" spans="34:47">
      <c r="AH2703" s="6">
        <f t="shared" si="393"/>
        <v>2673</v>
      </c>
      <c r="AI2703" s="7">
        <f t="shared" ca="1" si="394"/>
        <v>45343</v>
      </c>
      <c r="AJ2703" s="210">
        <f t="shared" ca="1" si="395"/>
        <v>4.1749999999999998</v>
      </c>
      <c r="AK2703" s="8">
        <f t="shared" ca="1" si="396"/>
        <v>1.0001159722222221</v>
      </c>
      <c r="AL2703" s="98">
        <f t="shared" ca="1" si="397"/>
        <v>4.0858702251389989</v>
      </c>
      <c r="AM2703" s="106">
        <f t="shared" ca="1" si="391"/>
        <v>32644.262751727736</v>
      </c>
      <c r="AN2703" s="10">
        <f t="shared" ca="1" si="392"/>
        <v>1.035547476761467</v>
      </c>
      <c r="AO2703" s="158"/>
      <c r="AP2703" s="158"/>
      <c r="AQ2703" s="1"/>
      <c r="AR2703" s="1"/>
      <c r="AS2703" s="1"/>
      <c r="AT2703" s="1"/>
      <c r="AU2703" s="1"/>
    </row>
    <row r="2704" spans="34:47">
      <c r="AH2704" s="6">
        <f t="shared" si="393"/>
        <v>2674</v>
      </c>
      <c r="AI2704" s="7">
        <f t="shared" ca="1" si="394"/>
        <v>45344</v>
      </c>
      <c r="AJ2704" s="210">
        <f t="shared" ca="1" si="395"/>
        <v>4.1749999999999998</v>
      </c>
      <c r="AK2704" s="8">
        <f t="shared" ca="1" si="396"/>
        <v>1.0001159722222221</v>
      </c>
      <c r="AL2704" s="98">
        <f t="shared" ca="1" si="397"/>
        <v>4.0859590274362034</v>
      </c>
      <c r="AM2704" s="106">
        <f t="shared" ca="1" si="391"/>
        <v>32646.952686939665</v>
      </c>
      <c r="AN2704" s="10">
        <f t="shared" ca="1" si="392"/>
        <v>1.0356211520855085</v>
      </c>
      <c r="AO2704" s="158"/>
      <c r="AP2704" s="158"/>
      <c r="AQ2704" s="1"/>
      <c r="AR2704" s="1"/>
      <c r="AS2704" s="1"/>
      <c r="AT2704" s="1"/>
      <c r="AU2704" s="1"/>
    </row>
    <row r="2705" spans="34:47">
      <c r="AH2705" s="6">
        <f t="shared" si="393"/>
        <v>2675</v>
      </c>
      <c r="AI2705" s="7">
        <f t="shared" ca="1" si="394"/>
        <v>45345</v>
      </c>
      <c r="AJ2705" s="210">
        <f t="shared" ca="1" si="395"/>
        <v>4.1749999999999998</v>
      </c>
      <c r="AK2705" s="8">
        <f t="shared" ca="1" si="396"/>
        <v>1.0001159722222221</v>
      </c>
      <c r="AL2705" s="98">
        <f t="shared" ca="1" si="397"/>
        <v>4.0860477634148351</v>
      </c>
      <c r="AM2705" s="106">
        <f t="shared" ca="1" si="391"/>
        <v>32649.642843806203</v>
      </c>
      <c r="AN2705" s="10">
        <f t="shared" ca="1" si="392"/>
        <v>1.0356947723788368</v>
      </c>
      <c r="AO2705" s="158"/>
      <c r="AP2705" s="158"/>
      <c r="AQ2705" s="1"/>
      <c r="AR2705" s="1"/>
      <c r="AS2705" s="1"/>
      <c r="AT2705" s="1"/>
      <c r="AU2705" s="1"/>
    </row>
    <row r="2706" spans="34:47">
      <c r="AH2706" s="6">
        <f t="shared" si="393"/>
        <v>2676</v>
      </c>
      <c r="AI2706" s="7">
        <f t="shared" ca="1" si="394"/>
        <v>45346</v>
      </c>
      <c r="AJ2706" s="210">
        <f t="shared" ca="1" si="395"/>
        <v>4.1749999999999998</v>
      </c>
      <c r="AK2706" s="8">
        <f t="shared" ca="1" si="396"/>
        <v>1.0001159722222221</v>
      </c>
      <c r="AL2706" s="98">
        <f t="shared" ca="1" si="397"/>
        <v>4.0861364331491679</v>
      </c>
      <c r="AM2706" s="106">
        <f t="shared" ca="1" si="391"/>
        <v>32652.333222345627</v>
      </c>
      <c r="AN2706" s="10">
        <f t="shared" ca="1" si="392"/>
        <v>1.0357683377031357</v>
      </c>
      <c r="AO2706" s="158"/>
      <c r="AP2706" s="158"/>
      <c r="AQ2706" s="1"/>
      <c r="AR2706" s="1"/>
      <c r="AS2706" s="1"/>
      <c r="AT2706" s="1"/>
      <c r="AU2706" s="1"/>
    </row>
    <row r="2707" spans="34:47">
      <c r="AH2707" s="6">
        <f t="shared" si="393"/>
        <v>2677</v>
      </c>
      <c r="AI2707" s="7">
        <f t="shared" ca="1" si="394"/>
        <v>45347</v>
      </c>
      <c r="AJ2707" s="210">
        <f t="shared" ca="1" si="395"/>
        <v>4.1749999999999998</v>
      </c>
      <c r="AK2707" s="8">
        <f t="shared" ca="1" si="396"/>
        <v>1.0001159722222221</v>
      </c>
      <c r="AL2707" s="98">
        <f t="shared" ca="1" si="397"/>
        <v>4.0862250367133424</v>
      </c>
      <c r="AM2707" s="106">
        <f t="shared" ca="1" si="391"/>
        <v>32655.02382257619</v>
      </c>
      <c r="AN2707" s="10">
        <f t="shared" ca="1" si="392"/>
        <v>1.0358418481198894</v>
      </c>
      <c r="AO2707" s="158"/>
      <c r="AP2707" s="158"/>
      <c r="AQ2707" s="1"/>
      <c r="AR2707" s="1"/>
      <c r="AS2707" s="1"/>
      <c r="AT2707" s="1"/>
      <c r="AU2707" s="1"/>
    </row>
    <row r="2708" spans="34:47">
      <c r="AH2708" s="6">
        <f t="shared" si="393"/>
        <v>2678</v>
      </c>
      <c r="AI2708" s="7">
        <f t="shared" ca="1" si="394"/>
        <v>45348</v>
      </c>
      <c r="AJ2708" s="210">
        <f t="shared" ca="1" si="395"/>
        <v>4.1749999999999998</v>
      </c>
      <c r="AK2708" s="8">
        <f t="shared" ca="1" si="396"/>
        <v>1.0001159722222221</v>
      </c>
      <c r="AL2708" s="98">
        <f t="shared" ca="1" si="397"/>
        <v>4.0863135741814327</v>
      </c>
      <c r="AM2708" s="106">
        <f t="shared" ca="1" si="391"/>
        <v>32657.714644516163</v>
      </c>
      <c r="AN2708" s="10">
        <f t="shared" ca="1" si="392"/>
        <v>1.0359153036906044</v>
      </c>
      <c r="AO2708" s="158"/>
      <c r="AP2708" s="158"/>
      <c r="AQ2708" s="1"/>
      <c r="AR2708" s="1"/>
      <c r="AS2708" s="1"/>
      <c r="AT2708" s="1"/>
      <c r="AU2708" s="1"/>
    </row>
    <row r="2709" spans="34:47">
      <c r="AH2709" s="6">
        <f t="shared" si="393"/>
        <v>2679</v>
      </c>
      <c r="AI2709" s="7">
        <f t="shared" ca="1" si="394"/>
        <v>45349</v>
      </c>
      <c r="AJ2709" s="210">
        <f t="shared" ca="1" si="395"/>
        <v>4.1749999999999998</v>
      </c>
      <c r="AK2709" s="8">
        <f t="shared" ca="1" si="396"/>
        <v>1.0001159722222221</v>
      </c>
      <c r="AL2709" s="98">
        <f t="shared" ca="1" si="397"/>
        <v>4.0864020456273353</v>
      </c>
      <c r="AM2709" s="106">
        <f t="shared" ca="1" si="391"/>
        <v>32660.405688183822</v>
      </c>
      <c r="AN2709" s="10">
        <f t="shared" ca="1" si="392"/>
        <v>1.035988704476587</v>
      </c>
      <c r="AO2709" s="158"/>
      <c r="AP2709" s="158"/>
      <c r="AQ2709" s="1"/>
      <c r="AR2709" s="1"/>
      <c r="AS2709" s="1"/>
      <c r="AT2709" s="1"/>
      <c r="AU2709" s="1"/>
    </row>
    <row r="2710" spans="34:47">
      <c r="AH2710" s="6">
        <f t="shared" si="393"/>
        <v>2680</v>
      </c>
      <c r="AI2710" s="7">
        <f t="shared" ca="1" si="394"/>
        <v>45350</v>
      </c>
      <c r="AJ2710" s="210">
        <f t="shared" ca="1" si="395"/>
        <v>4.1749999999999998</v>
      </c>
      <c r="AK2710" s="8">
        <f t="shared" ca="1" si="396"/>
        <v>1.0001159722222221</v>
      </c>
      <c r="AL2710" s="98">
        <f t="shared" ca="1" si="397"/>
        <v>4.0864904511248801</v>
      </c>
      <c r="AM2710" s="106">
        <f t="shared" ca="1" si="391"/>
        <v>32663.096953597433</v>
      </c>
      <c r="AN2710" s="10">
        <f t="shared" ca="1" si="392"/>
        <v>1.0360620505391216</v>
      </c>
      <c r="AO2710" s="158"/>
      <c r="AP2710" s="158"/>
      <c r="AQ2710" s="1"/>
      <c r="AR2710" s="1"/>
      <c r="AS2710" s="1"/>
      <c r="AT2710" s="1"/>
      <c r="AU2710" s="1"/>
    </row>
    <row r="2711" spans="34:47">
      <c r="AH2711" s="6">
        <f t="shared" si="393"/>
        <v>2681</v>
      </c>
      <c r="AI2711" s="7">
        <f t="shared" ca="1" si="394"/>
        <v>45351</v>
      </c>
      <c r="AJ2711" s="210">
        <f t="shared" ca="1" si="395"/>
        <v>4.1749999999999998</v>
      </c>
      <c r="AK2711" s="8">
        <f t="shared" ca="1" si="396"/>
        <v>1.0001159722222221</v>
      </c>
      <c r="AL2711" s="98">
        <f t="shared" ca="1" si="397"/>
        <v>4.0865787907477857</v>
      </c>
      <c r="AM2711" s="106">
        <f t="shared" ca="1" si="391"/>
        <v>32665.788440775261</v>
      </c>
      <c r="AN2711" s="10">
        <f t="shared" ca="1" si="392"/>
        <v>1.0361353419394037</v>
      </c>
      <c r="AO2711" s="158"/>
      <c r="AP2711" s="158"/>
      <c r="AQ2711" s="1"/>
      <c r="AR2711" s="1"/>
      <c r="AS2711" s="1"/>
      <c r="AT2711" s="1"/>
      <c r="AU2711" s="1"/>
    </row>
    <row r="2712" spans="34:47">
      <c r="AH2712" s="6">
        <f t="shared" si="393"/>
        <v>2682</v>
      </c>
      <c r="AI2712" s="7">
        <f t="shared" ca="1" si="394"/>
        <v>45352</v>
      </c>
      <c r="AJ2712" s="210">
        <f t="shared" ca="1" si="395"/>
        <v>4.1749999999999998</v>
      </c>
      <c r="AK2712" s="8">
        <f t="shared" ca="1" si="396"/>
        <v>1.0001159722222221</v>
      </c>
      <c r="AL2712" s="98">
        <f t="shared" ca="1" si="397"/>
        <v>4.0866670645696601</v>
      </c>
      <c r="AM2712" s="106">
        <f t="shared" ca="1" si="391"/>
        <v>32668.480149735595</v>
      </c>
      <c r="AN2712" s="10">
        <f t="shared" ca="1" si="392"/>
        <v>1.0362085787385178</v>
      </c>
      <c r="AO2712" s="158"/>
      <c r="AP2712" s="158"/>
      <c r="AQ2712" s="1"/>
      <c r="AR2712" s="1"/>
      <c r="AS2712" s="1"/>
      <c r="AT2712" s="1"/>
      <c r="AU2712" s="1"/>
    </row>
    <row r="2713" spans="34:47">
      <c r="AH2713" s="6">
        <f t="shared" si="393"/>
        <v>2683</v>
      </c>
      <c r="AI2713" s="7">
        <f t="shared" ca="1" si="394"/>
        <v>45353</v>
      </c>
      <c r="AJ2713" s="210">
        <f t="shared" ca="1" si="395"/>
        <v>4.1749999999999998</v>
      </c>
      <c r="AK2713" s="8">
        <f t="shared" ca="1" si="396"/>
        <v>1.0001159722222221</v>
      </c>
      <c r="AL2713" s="98">
        <f t="shared" ca="1" si="397"/>
        <v>4.0867552726639778</v>
      </c>
      <c r="AM2713" s="106">
        <f t="shared" ca="1" si="391"/>
        <v>32671.172080496701</v>
      </c>
      <c r="AN2713" s="10">
        <f t="shared" ca="1" si="392"/>
        <v>1.0362817609974151</v>
      </c>
      <c r="AO2713" s="158"/>
      <c r="AP2713" s="158"/>
      <c r="AQ2713" s="1"/>
      <c r="AR2713" s="1"/>
      <c r="AS2713" s="1"/>
      <c r="AT2713" s="1"/>
      <c r="AU2713" s="1"/>
    </row>
    <row r="2714" spans="34:47">
      <c r="AH2714" s="6">
        <f t="shared" si="393"/>
        <v>2684</v>
      </c>
      <c r="AI2714" s="7">
        <f t="shared" ca="1" si="394"/>
        <v>45354</v>
      </c>
      <c r="AJ2714" s="210">
        <f t="shared" ca="1" si="395"/>
        <v>4.1749999999999998</v>
      </c>
      <c r="AK2714" s="8">
        <f t="shared" ca="1" si="396"/>
        <v>1.0001159722222221</v>
      </c>
      <c r="AL2714" s="98">
        <f t="shared" ca="1" si="397"/>
        <v>4.0868434151041466</v>
      </c>
      <c r="AM2714" s="106">
        <f t="shared" ca="1" si="391"/>
        <v>32673.864233076849</v>
      </c>
      <c r="AN2714" s="10">
        <f t="shared" ca="1" si="392"/>
        <v>1.0363548887770468</v>
      </c>
      <c r="AO2714" s="158"/>
      <c r="AP2714" s="158"/>
      <c r="AQ2714" s="1"/>
      <c r="AR2714" s="1"/>
      <c r="AS2714" s="1"/>
      <c r="AT2714" s="1"/>
      <c r="AU2714" s="1"/>
    </row>
    <row r="2715" spans="34:47">
      <c r="AH2715" s="6">
        <f t="shared" si="393"/>
        <v>2685</v>
      </c>
      <c r="AI2715" s="7">
        <f t="shared" ca="1" si="394"/>
        <v>45355</v>
      </c>
      <c r="AJ2715" s="210">
        <f t="shared" ca="1" si="395"/>
        <v>4.1749999999999998</v>
      </c>
      <c r="AK2715" s="8">
        <f t="shared" ca="1" si="396"/>
        <v>1.0001159722222221</v>
      </c>
      <c r="AL2715" s="98">
        <f t="shared" ca="1" si="397"/>
        <v>4.0869314919634192</v>
      </c>
      <c r="AM2715" s="106">
        <f t="shared" ca="1" si="391"/>
        <v>32676.556607494334</v>
      </c>
      <c r="AN2715" s="10">
        <f t="shared" ca="1" si="392"/>
        <v>1.0364279621382089</v>
      </c>
      <c r="AO2715" s="158"/>
      <c r="AP2715" s="158"/>
      <c r="AQ2715" s="1"/>
      <c r="AR2715" s="1"/>
      <c r="AS2715" s="1"/>
      <c r="AT2715" s="1"/>
      <c r="AU2715" s="1"/>
    </row>
    <row r="2716" spans="34:47">
      <c r="AH2716" s="6">
        <f t="shared" si="393"/>
        <v>2686</v>
      </c>
      <c r="AI2716" s="7">
        <f t="shared" ca="1" si="394"/>
        <v>45356</v>
      </c>
      <c r="AJ2716" s="210">
        <f t="shared" ca="1" si="395"/>
        <v>4.1749999999999998</v>
      </c>
      <c r="AK2716" s="8">
        <f t="shared" ca="1" si="396"/>
        <v>1.0001159722222221</v>
      </c>
      <c r="AL2716" s="98">
        <f t="shared" ca="1" si="397"/>
        <v>4.0870195033149592</v>
      </c>
      <c r="AM2716" s="106">
        <f t="shared" ca="1" si="391"/>
        <v>32679.249203767424</v>
      </c>
      <c r="AN2716" s="10">
        <f t="shared" ca="1" si="392"/>
        <v>1.0365009811416082</v>
      </c>
      <c r="AO2716" s="158"/>
      <c r="AP2716" s="158"/>
      <c r="AQ2716" s="1"/>
      <c r="AR2716" s="1"/>
      <c r="AS2716" s="1"/>
      <c r="AT2716" s="1"/>
      <c r="AU2716" s="1"/>
    </row>
    <row r="2717" spans="34:47">
      <c r="AH2717" s="6">
        <f t="shared" si="393"/>
        <v>2687</v>
      </c>
      <c r="AI2717" s="7">
        <f t="shared" ca="1" si="394"/>
        <v>45357</v>
      </c>
      <c r="AJ2717" s="210">
        <f t="shared" ca="1" si="395"/>
        <v>4.1749999999999998</v>
      </c>
      <c r="AK2717" s="8">
        <f t="shared" ca="1" si="396"/>
        <v>1.0001159722222221</v>
      </c>
      <c r="AL2717" s="98">
        <f t="shared" ca="1" si="397"/>
        <v>4.0871074492318193</v>
      </c>
      <c r="AM2717" s="106">
        <f t="shared" ca="1" si="391"/>
        <v>32681.942021914398</v>
      </c>
      <c r="AN2717" s="10">
        <f t="shared" ca="1" si="392"/>
        <v>1.0365739458478629</v>
      </c>
      <c r="AO2717" s="158"/>
      <c r="AP2717" s="158"/>
      <c r="AQ2717" s="1"/>
      <c r="AR2717" s="1"/>
      <c r="AS2717" s="1"/>
      <c r="AT2717" s="1"/>
      <c r="AU2717" s="1"/>
    </row>
    <row r="2718" spans="34:47">
      <c r="AH2718" s="6">
        <f t="shared" si="393"/>
        <v>2688</v>
      </c>
      <c r="AI2718" s="7">
        <f t="shared" ca="1" si="394"/>
        <v>45358</v>
      </c>
      <c r="AJ2718" s="210">
        <f t="shared" ca="1" si="395"/>
        <v>4.1749999999999998</v>
      </c>
      <c r="AK2718" s="8">
        <f t="shared" ca="1" si="396"/>
        <v>1.0001159722222221</v>
      </c>
      <c r="AL2718" s="98">
        <f t="shared" ca="1" si="397"/>
        <v>4.0871953297869634</v>
      </c>
      <c r="AM2718" s="106">
        <f t="shared" ca="1" si="391"/>
        <v>32684.635061953548</v>
      </c>
      <c r="AN2718" s="10">
        <f t="shared" ca="1" si="392"/>
        <v>1.036646856317569</v>
      </c>
      <c r="AO2718" s="158"/>
      <c r="AP2718" s="158"/>
      <c r="AQ2718" s="1"/>
      <c r="AR2718" s="1"/>
      <c r="AS2718" s="1"/>
      <c r="AT2718" s="1"/>
      <c r="AU2718" s="1"/>
    </row>
    <row r="2719" spans="34:47">
      <c r="AH2719" s="6">
        <f t="shared" si="393"/>
        <v>2689</v>
      </c>
      <c r="AI2719" s="7">
        <f t="shared" ca="1" si="394"/>
        <v>45359</v>
      </c>
      <c r="AJ2719" s="210">
        <f t="shared" ca="1" si="395"/>
        <v>4.1749999999999998</v>
      </c>
      <c r="AK2719" s="8">
        <f t="shared" ca="1" si="396"/>
        <v>1.0001159722222221</v>
      </c>
      <c r="AL2719" s="98">
        <f t="shared" ca="1" si="397"/>
        <v>4.0872831450532221</v>
      </c>
      <c r="AM2719" s="106">
        <f t="shared" ref="AM2719:AM2782" ca="1" si="398">Geom_Interp(AI2719,$AZ$2:$AZ$109,$BA$2:$BA$109)</f>
        <v>32687.328323903155</v>
      </c>
      <c r="AN2719" s="10">
        <f t="shared" ref="AN2719:AN2782" ca="1" si="399">100*(((1+AL2719/100)^(AH2719/365)*$AM$29/AM2719)^(365/AH2719)-1)</f>
        <v>1.0367197126111227</v>
      </c>
      <c r="AO2719" s="158"/>
      <c r="AP2719" s="158"/>
      <c r="AQ2719" s="1"/>
      <c r="AR2719" s="1"/>
      <c r="AS2719" s="1"/>
      <c r="AT2719" s="1"/>
      <c r="AU2719" s="1"/>
    </row>
    <row r="2720" spans="34:47">
      <c r="AH2720" s="6">
        <f t="shared" ref="AH2720:AH2783" si="400">$AI$29+AH2719</f>
        <v>2690</v>
      </c>
      <c r="AI2720" s="7">
        <f t="shared" ref="AI2720:AI2783" ca="1" si="401">+AH2720+$C$1</f>
        <v>45360</v>
      </c>
      <c r="AJ2720" s="210">
        <f t="shared" ref="AJ2720:AJ2783" ca="1" si="402">IF(AH2720&lt;365,VLOOKUP(LOOKUP(AI2720,$AI$2:$AI$23),$AI$2:$AK$23,3,0),Lin_Interp(AH2720,$AJ$2:$AJ$23,$AK$2:$AK$23))</f>
        <v>4.1749999999999998</v>
      </c>
      <c r="AK2720" s="8">
        <f t="shared" ca="1" si="396"/>
        <v>1.0001159722222221</v>
      </c>
      <c r="AL2720" s="98">
        <f t="shared" ca="1" si="397"/>
        <v>4.087370895103315</v>
      </c>
      <c r="AM2720" s="106">
        <f t="shared" ca="1" si="398"/>
        <v>32690.021807781504</v>
      </c>
      <c r="AN2720" s="10">
        <f t="shared" ca="1" si="399"/>
        <v>1.0367925147888979</v>
      </c>
      <c r="AO2720" s="158"/>
      <c r="AP2720" s="158"/>
      <c r="AQ2720" s="1"/>
      <c r="AR2720" s="1"/>
      <c r="AS2720" s="1"/>
      <c r="AT2720" s="1"/>
      <c r="AU2720" s="1"/>
    </row>
    <row r="2721" spans="34:47">
      <c r="AH2721" s="6">
        <f t="shared" si="400"/>
        <v>2691</v>
      </c>
      <c r="AI2721" s="7">
        <f t="shared" ca="1" si="401"/>
        <v>45361</v>
      </c>
      <c r="AJ2721" s="210">
        <f t="shared" ca="1" si="402"/>
        <v>4.1749999999999998</v>
      </c>
      <c r="AK2721" s="8">
        <f t="shared" ref="AK2721:AK2784" ca="1" si="403">+(1+AJ2721/36000)</f>
        <v>1.0001159722222221</v>
      </c>
      <c r="AL2721" s="98">
        <f t="shared" ref="AL2721:AL2784" ca="1" si="404">100*(((1+AL2720/100)^(AH2720/365)*AK2721)^(365/AH2721)-1)</f>
        <v>4.0874585800098728</v>
      </c>
      <c r="AM2721" s="106">
        <f t="shared" ca="1" si="398"/>
        <v>32692.71551360688</v>
      </c>
      <c r="AN2721" s="10">
        <f t="shared" ca="1" si="399"/>
        <v>1.0368652629111796</v>
      </c>
      <c r="AO2721" s="158"/>
      <c r="AP2721" s="158"/>
      <c r="AQ2721" s="1"/>
      <c r="AR2721" s="1"/>
      <c r="AS2721" s="1"/>
      <c r="AT2721" s="1"/>
      <c r="AU2721" s="1"/>
    </row>
    <row r="2722" spans="34:47">
      <c r="AH2722" s="6">
        <f t="shared" si="400"/>
        <v>2692</v>
      </c>
      <c r="AI2722" s="7">
        <f t="shared" ca="1" si="401"/>
        <v>45362</v>
      </c>
      <c r="AJ2722" s="210">
        <f t="shared" ca="1" si="402"/>
        <v>4.1749999999999998</v>
      </c>
      <c r="AK2722" s="8">
        <f t="shared" ca="1" si="403"/>
        <v>1.0001159722222221</v>
      </c>
      <c r="AL2722" s="98">
        <f t="shared" ca="1" si="404"/>
        <v>4.0875461998454155</v>
      </c>
      <c r="AM2722" s="106">
        <f t="shared" ca="1" si="398"/>
        <v>32695.409441397573</v>
      </c>
      <c r="AN2722" s="10">
        <f t="shared" ca="1" si="399"/>
        <v>1.0369379570381421</v>
      </c>
      <c r="AO2722" s="158"/>
      <c r="AP2722" s="158"/>
      <c r="AQ2722" s="1"/>
      <c r="AR2722" s="1"/>
      <c r="AS2722" s="1"/>
      <c r="AT2722" s="1"/>
      <c r="AU2722" s="1"/>
    </row>
    <row r="2723" spans="34:47">
      <c r="AH2723" s="6">
        <f t="shared" si="400"/>
        <v>2693</v>
      </c>
      <c r="AI2723" s="7">
        <f t="shared" ca="1" si="401"/>
        <v>45363</v>
      </c>
      <c r="AJ2723" s="210">
        <f t="shared" ca="1" si="402"/>
        <v>4.1749999999999998</v>
      </c>
      <c r="AK2723" s="8">
        <f t="shared" ca="1" si="403"/>
        <v>1.0001159722222221</v>
      </c>
      <c r="AL2723" s="98">
        <f t="shared" ca="1" si="404"/>
        <v>4.0876337546823516</v>
      </c>
      <c r="AM2723" s="106">
        <f t="shared" ca="1" si="398"/>
        <v>32698.103591171875</v>
      </c>
      <c r="AN2723" s="10">
        <f t="shared" ca="1" si="399"/>
        <v>1.0370105972298926</v>
      </c>
      <c r="AO2723" s="158"/>
      <c r="AP2723" s="158"/>
      <c r="AQ2723" s="1"/>
      <c r="AR2723" s="1"/>
      <c r="AS2723" s="1"/>
      <c r="AT2723" s="1"/>
      <c r="AU2723" s="1"/>
    </row>
    <row r="2724" spans="34:47">
      <c r="AH2724" s="6">
        <f t="shared" si="400"/>
        <v>2694</v>
      </c>
      <c r="AI2724" s="7">
        <f t="shared" ca="1" si="401"/>
        <v>45364</v>
      </c>
      <c r="AJ2724" s="210">
        <f t="shared" ca="1" si="402"/>
        <v>4.1749999999999998</v>
      </c>
      <c r="AK2724" s="8">
        <f t="shared" ca="1" si="403"/>
        <v>1.0001159722222221</v>
      </c>
      <c r="AL2724" s="98">
        <f t="shared" ca="1" si="404"/>
        <v>4.0877212445929789</v>
      </c>
      <c r="AM2724" s="106">
        <f t="shared" ca="1" si="398"/>
        <v>32700.797962948076</v>
      </c>
      <c r="AN2724" s="10">
        <f t="shared" ca="1" si="399"/>
        <v>1.0370831835464278</v>
      </c>
      <c r="AO2724" s="158"/>
      <c r="AP2724" s="158"/>
      <c r="AQ2724" s="1"/>
      <c r="AR2724" s="1"/>
      <c r="AS2724" s="1"/>
      <c r="AT2724" s="1"/>
      <c r="AU2724" s="1"/>
    </row>
    <row r="2725" spans="34:47">
      <c r="AH2725" s="6">
        <f t="shared" si="400"/>
        <v>2695</v>
      </c>
      <c r="AI2725" s="7">
        <f t="shared" ca="1" si="401"/>
        <v>45365</v>
      </c>
      <c r="AJ2725" s="210">
        <f t="shared" ca="1" si="402"/>
        <v>4.1749999999999998</v>
      </c>
      <c r="AK2725" s="8">
        <f t="shared" ca="1" si="403"/>
        <v>1.0001159722222221</v>
      </c>
      <c r="AL2725" s="98">
        <f t="shared" ca="1" si="404"/>
        <v>4.0878086696494842</v>
      </c>
      <c r="AM2725" s="106">
        <f t="shared" ca="1" si="398"/>
        <v>32703.49255674447</v>
      </c>
      <c r="AN2725" s="10">
        <f t="shared" ca="1" si="399"/>
        <v>1.0371557160476552</v>
      </c>
      <c r="AO2725" s="158"/>
      <c r="AP2725" s="158"/>
      <c r="AQ2725" s="1"/>
      <c r="AR2725" s="1"/>
      <c r="AS2725" s="1"/>
      <c r="AT2725" s="1"/>
      <c r="AU2725" s="1"/>
    </row>
    <row r="2726" spans="34:47">
      <c r="AH2726" s="6">
        <f t="shared" si="400"/>
        <v>2696</v>
      </c>
      <c r="AI2726" s="7">
        <f t="shared" ca="1" si="401"/>
        <v>45366</v>
      </c>
      <c r="AJ2726" s="210">
        <f t="shared" ca="1" si="402"/>
        <v>4.1749999999999998</v>
      </c>
      <c r="AK2726" s="8">
        <f t="shared" ca="1" si="403"/>
        <v>1.0001159722222221</v>
      </c>
      <c r="AL2726" s="98">
        <f t="shared" ca="1" si="404"/>
        <v>4.0878960299239431</v>
      </c>
      <c r="AM2726" s="106">
        <f t="shared" ca="1" si="398"/>
        <v>32706.187372579356</v>
      </c>
      <c r="AN2726" s="10">
        <f t="shared" ca="1" si="399"/>
        <v>1.0372281947933715</v>
      </c>
      <c r="AO2726" s="158"/>
      <c r="AP2726" s="158"/>
      <c r="AQ2726" s="1"/>
      <c r="AR2726" s="1"/>
      <c r="AS2726" s="1"/>
      <c r="AT2726" s="1"/>
      <c r="AU2726" s="1"/>
    </row>
    <row r="2727" spans="34:47">
      <c r="AH2727" s="6">
        <f t="shared" si="400"/>
        <v>2697</v>
      </c>
      <c r="AI2727" s="7">
        <f t="shared" ca="1" si="401"/>
        <v>45367</v>
      </c>
      <c r="AJ2727" s="210">
        <f t="shared" ca="1" si="402"/>
        <v>4.1749999999999998</v>
      </c>
      <c r="AK2727" s="8">
        <f t="shared" ca="1" si="403"/>
        <v>1.0001159722222221</v>
      </c>
      <c r="AL2727" s="98">
        <f t="shared" ca="1" si="404"/>
        <v>4.0879833254883646</v>
      </c>
      <c r="AM2727" s="106">
        <f t="shared" ca="1" si="398"/>
        <v>32708.882410471018</v>
      </c>
      <c r="AN2727" s="10">
        <f t="shared" ca="1" si="399"/>
        <v>1.0373006198433732</v>
      </c>
      <c r="AO2727" s="158"/>
      <c r="AP2727" s="158"/>
      <c r="AQ2727" s="1"/>
      <c r="AR2727" s="1"/>
      <c r="AS2727" s="1"/>
      <c r="AT2727" s="1"/>
      <c r="AU2727" s="1"/>
    </row>
    <row r="2728" spans="34:47">
      <c r="AH2728" s="6">
        <f t="shared" si="400"/>
        <v>2698</v>
      </c>
      <c r="AI2728" s="7">
        <f t="shared" ca="1" si="401"/>
        <v>45368</v>
      </c>
      <c r="AJ2728" s="210">
        <f t="shared" ca="1" si="402"/>
        <v>4.1749999999999998</v>
      </c>
      <c r="AK2728" s="8">
        <f t="shared" ca="1" si="403"/>
        <v>1.0001159722222221</v>
      </c>
      <c r="AL2728" s="98">
        <f t="shared" ca="1" si="404"/>
        <v>4.0880705564145803</v>
      </c>
      <c r="AM2728" s="106">
        <f t="shared" ca="1" si="398"/>
        <v>32711.577670437768</v>
      </c>
      <c r="AN2728" s="10">
        <f t="shared" ca="1" si="399"/>
        <v>1.0373729912572571</v>
      </c>
      <c r="AO2728" s="158"/>
      <c r="AP2728" s="158"/>
      <c r="AQ2728" s="1"/>
      <c r="AR2728" s="1"/>
      <c r="AS2728" s="1"/>
      <c r="AT2728" s="1"/>
      <c r="AU2728" s="1"/>
    </row>
    <row r="2729" spans="34:47">
      <c r="AH2729" s="6">
        <f t="shared" si="400"/>
        <v>2699</v>
      </c>
      <c r="AI2729" s="7">
        <f t="shared" ca="1" si="401"/>
        <v>45369</v>
      </c>
      <c r="AJ2729" s="210">
        <f t="shared" ca="1" si="402"/>
        <v>4.1749999999999998</v>
      </c>
      <c r="AK2729" s="8">
        <f t="shared" ca="1" si="403"/>
        <v>1.0001159722222221</v>
      </c>
      <c r="AL2729" s="98">
        <f t="shared" ca="1" si="404"/>
        <v>4.0881577227743993</v>
      </c>
      <c r="AM2729" s="106">
        <f t="shared" ca="1" si="398"/>
        <v>32714.273152497895</v>
      </c>
      <c r="AN2729" s="10">
        <f t="shared" ca="1" si="399"/>
        <v>1.0374453090946423</v>
      </c>
      <c r="AO2729" s="158"/>
      <c r="AP2729" s="158"/>
      <c r="AQ2729" s="1"/>
      <c r="AR2729" s="1"/>
      <c r="AS2729" s="1"/>
      <c r="AT2729" s="1"/>
      <c r="AU2729" s="1"/>
    </row>
    <row r="2730" spans="34:47">
      <c r="AH2730" s="6">
        <f t="shared" si="400"/>
        <v>2700</v>
      </c>
      <c r="AI2730" s="7">
        <f t="shared" ca="1" si="401"/>
        <v>45370</v>
      </c>
      <c r="AJ2730" s="210">
        <f t="shared" ca="1" si="402"/>
        <v>4.1749999999999998</v>
      </c>
      <c r="AK2730" s="8">
        <f t="shared" ca="1" si="403"/>
        <v>1.0001159722222221</v>
      </c>
      <c r="AL2730" s="98">
        <f t="shared" ca="1" si="404"/>
        <v>4.0882448246394532</v>
      </c>
      <c r="AM2730" s="106">
        <f t="shared" ca="1" si="398"/>
        <v>32716.968856669708</v>
      </c>
      <c r="AN2730" s="10">
        <f t="shared" ca="1" si="399"/>
        <v>1.0375175734149256</v>
      </c>
      <c r="AO2730" s="158"/>
      <c r="AP2730" s="158"/>
      <c r="AQ2730" s="1"/>
      <c r="AR2730" s="1"/>
      <c r="AS2730" s="1"/>
      <c r="AT2730" s="1"/>
      <c r="AU2730" s="1"/>
    </row>
    <row r="2731" spans="34:47">
      <c r="AH2731" s="6">
        <f t="shared" si="400"/>
        <v>2701</v>
      </c>
      <c r="AI2731" s="7">
        <f t="shared" ca="1" si="401"/>
        <v>45371</v>
      </c>
      <c r="AJ2731" s="210">
        <f t="shared" ca="1" si="402"/>
        <v>4.1749999999999998</v>
      </c>
      <c r="AK2731" s="8">
        <f t="shared" ca="1" si="403"/>
        <v>1.0001159722222221</v>
      </c>
      <c r="AL2731" s="98">
        <f t="shared" ca="1" si="404"/>
        <v>4.0883318620813069</v>
      </c>
      <c r="AM2731" s="106">
        <f t="shared" ca="1" si="398"/>
        <v>32719.664782971504</v>
      </c>
      <c r="AN2731" s="10">
        <f t="shared" ca="1" si="399"/>
        <v>1.0375897842775483</v>
      </c>
      <c r="AO2731" s="158"/>
      <c r="AP2731" s="158"/>
      <c r="AQ2731" s="1"/>
      <c r="AR2731" s="1"/>
      <c r="AS2731" s="1"/>
      <c r="AT2731" s="1"/>
      <c r="AU2731" s="1"/>
    </row>
    <row r="2732" spans="34:47">
      <c r="AH2732" s="6">
        <f t="shared" si="400"/>
        <v>2702</v>
      </c>
      <c r="AI2732" s="7">
        <f t="shared" ca="1" si="401"/>
        <v>45372</v>
      </c>
      <c r="AJ2732" s="210">
        <f t="shared" ca="1" si="402"/>
        <v>4.1749999999999998</v>
      </c>
      <c r="AK2732" s="8">
        <f t="shared" ca="1" si="403"/>
        <v>1.0001159722222221</v>
      </c>
      <c r="AL2732" s="98">
        <f t="shared" ca="1" si="404"/>
        <v>4.0884188351713924</v>
      </c>
      <c r="AM2732" s="106">
        <f t="shared" ca="1" si="398"/>
        <v>32722.360931421583</v>
      </c>
      <c r="AN2732" s="10">
        <f t="shared" ca="1" si="399"/>
        <v>1.0376619417417965</v>
      </c>
      <c r="AO2732" s="158"/>
      <c r="AP2732" s="158"/>
      <c r="AQ2732" s="1"/>
      <c r="AR2732" s="1"/>
      <c r="AS2732" s="1"/>
      <c r="AT2732" s="1"/>
      <c r="AU2732" s="1"/>
    </row>
    <row r="2733" spans="34:47">
      <c r="AH2733" s="6">
        <f t="shared" si="400"/>
        <v>2703</v>
      </c>
      <c r="AI2733" s="7">
        <f t="shared" ca="1" si="401"/>
        <v>45373</v>
      </c>
      <c r="AJ2733" s="210">
        <f t="shared" ca="1" si="402"/>
        <v>4.1749999999999998</v>
      </c>
      <c r="AK2733" s="8">
        <f t="shared" ca="1" si="403"/>
        <v>1.0001159722222221</v>
      </c>
      <c r="AL2733" s="98">
        <f t="shared" ca="1" si="404"/>
        <v>4.0885057439810524</v>
      </c>
      <c r="AM2733" s="106">
        <f t="shared" ca="1" si="398"/>
        <v>32725.057302038262</v>
      </c>
      <c r="AN2733" s="10">
        <f t="shared" ca="1" si="399"/>
        <v>1.0377340458668449</v>
      </c>
      <c r="AO2733" s="158"/>
      <c r="AP2733" s="158"/>
      <c r="AQ2733" s="1"/>
      <c r="AR2733" s="1"/>
      <c r="AS2733" s="1"/>
      <c r="AT2733" s="1"/>
      <c r="AU2733" s="1"/>
    </row>
    <row r="2734" spans="34:47">
      <c r="AH2734" s="6">
        <f t="shared" si="400"/>
        <v>2704</v>
      </c>
      <c r="AI2734" s="7">
        <f t="shared" ca="1" si="401"/>
        <v>45374</v>
      </c>
      <c r="AJ2734" s="210">
        <f t="shared" ca="1" si="402"/>
        <v>4.1749999999999998</v>
      </c>
      <c r="AK2734" s="8">
        <f t="shared" ca="1" si="403"/>
        <v>1.0001159722222221</v>
      </c>
      <c r="AL2734" s="98">
        <f t="shared" ca="1" si="404"/>
        <v>4.0885925885815411</v>
      </c>
      <c r="AM2734" s="106">
        <f t="shared" ca="1" si="398"/>
        <v>32727.75389483984</v>
      </c>
      <c r="AN2734" s="10">
        <f t="shared" ca="1" si="399"/>
        <v>1.0378060967118463</v>
      </c>
      <c r="AO2734" s="158"/>
      <c r="AP2734" s="158"/>
      <c r="AQ2734" s="1"/>
      <c r="AR2734" s="1"/>
      <c r="AS2734" s="1"/>
      <c r="AT2734" s="1"/>
      <c r="AU2734" s="1"/>
    </row>
    <row r="2735" spans="34:47">
      <c r="AH2735" s="6">
        <f t="shared" si="400"/>
        <v>2705</v>
      </c>
      <c r="AI2735" s="7">
        <f t="shared" ca="1" si="401"/>
        <v>45375</v>
      </c>
      <c r="AJ2735" s="210">
        <f t="shared" ca="1" si="402"/>
        <v>4.1749999999999998</v>
      </c>
      <c r="AK2735" s="8">
        <f t="shared" ca="1" si="403"/>
        <v>1.0001159722222221</v>
      </c>
      <c r="AL2735" s="98">
        <f t="shared" ca="1" si="404"/>
        <v>4.0886793690439793</v>
      </c>
      <c r="AM2735" s="106">
        <f t="shared" ca="1" si="398"/>
        <v>32730.450709844627</v>
      </c>
      <c r="AN2735" s="10">
        <f t="shared" ca="1" si="399"/>
        <v>1.0378780943358201</v>
      </c>
      <c r="AO2735" s="158"/>
      <c r="AP2735" s="158"/>
      <c r="AQ2735" s="1"/>
      <c r="AR2735" s="1"/>
      <c r="AS2735" s="1"/>
      <c r="AT2735" s="1"/>
      <c r="AU2735" s="1"/>
    </row>
    <row r="2736" spans="34:47">
      <c r="AH2736" s="6">
        <f t="shared" si="400"/>
        <v>2706</v>
      </c>
      <c r="AI2736" s="7">
        <f t="shared" ca="1" si="401"/>
        <v>45376</v>
      </c>
      <c r="AJ2736" s="210">
        <f t="shared" ca="1" si="402"/>
        <v>4.1749999999999998</v>
      </c>
      <c r="AK2736" s="8">
        <f t="shared" ca="1" si="403"/>
        <v>1.0001159722222221</v>
      </c>
      <c r="AL2736" s="98">
        <f t="shared" ca="1" si="404"/>
        <v>4.0887660854393992</v>
      </c>
      <c r="AM2736" s="106">
        <f t="shared" ca="1" si="398"/>
        <v>32733.147747070929</v>
      </c>
      <c r="AN2736" s="10">
        <f t="shared" ca="1" si="399"/>
        <v>1.0379500387977192</v>
      </c>
      <c r="AO2736" s="158"/>
      <c r="AP2736" s="158"/>
      <c r="AQ2736" s="1"/>
      <c r="AR2736" s="1"/>
      <c r="AS2736" s="1"/>
      <c r="AT2736" s="1"/>
      <c r="AU2736" s="1"/>
    </row>
    <row r="2737" spans="34:47">
      <c r="AH2737" s="6">
        <f t="shared" si="400"/>
        <v>2707</v>
      </c>
      <c r="AI2737" s="7">
        <f t="shared" ca="1" si="401"/>
        <v>45377</v>
      </c>
      <c r="AJ2737" s="210">
        <f t="shared" ca="1" si="402"/>
        <v>4.1749999999999998</v>
      </c>
      <c r="AK2737" s="8">
        <f t="shared" ca="1" si="403"/>
        <v>1.0001159722222221</v>
      </c>
      <c r="AL2737" s="98">
        <f t="shared" ca="1" si="404"/>
        <v>4.0888527378387218</v>
      </c>
      <c r="AM2737" s="106">
        <f t="shared" ca="1" si="398"/>
        <v>32735.84500653706</v>
      </c>
      <c r="AN2737" s="10">
        <f t="shared" ca="1" si="399"/>
        <v>1.0380219301564297</v>
      </c>
      <c r="AO2737" s="158"/>
      <c r="AP2737" s="158"/>
      <c r="AQ2737" s="1"/>
      <c r="AR2737" s="1"/>
      <c r="AS2737" s="1"/>
      <c r="AT2737" s="1"/>
      <c r="AU2737" s="1"/>
    </row>
    <row r="2738" spans="34:47">
      <c r="AH2738" s="6">
        <f t="shared" si="400"/>
        <v>2708</v>
      </c>
      <c r="AI2738" s="7">
        <f t="shared" ca="1" si="401"/>
        <v>45378</v>
      </c>
      <c r="AJ2738" s="210">
        <f t="shared" ca="1" si="402"/>
        <v>4.1749999999999998</v>
      </c>
      <c r="AK2738" s="8">
        <f t="shared" ca="1" si="403"/>
        <v>1.0001159722222221</v>
      </c>
      <c r="AL2738" s="98">
        <f t="shared" ca="1" si="404"/>
        <v>4.0889393263127571</v>
      </c>
      <c r="AM2738" s="106">
        <f t="shared" ca="1" si="398"/>
        <v>32738.542488261344</v>
      </c>
      <c r="AN2738" s="10">
        <f t="shared" ca="1" si="399"/>
        <v>1.0380937684706826</v>
      </c>
      <c r="AO2738" s="158"/>
      <c r="AP2738" s="158"/>
      <c r="AQ2738" s="1"/>
      <c r="AR2738" s="1"/>
      <c r="AS2738" s="1"/>
      <c r="AT2738" s="1"/>
      <c r="AU2738" s="1"/>
    </row>
    <row r="2739" spans="34:47">
      <c r="AH2739" s="6">
        <f t="shared" si="400"/>
        <v>2709</v>
      </c>
      <c r="AI2739" s="7">
        <f t="shared" ca="1" si="401"/>
        <v>45379</v>
      </c>
      <c r="AJ2739" s="210">
        <f t="shared" ca="1" si="402"/>
        <v>4.1749999999999998</v>
      </c>
      <c r="AK2739" s="8">
        <f t="shared" ca="1" si="403"/>
        <v>1.0001159722222221</v>
      </c>
      <c r="AL2739" s="98">
        <f t="shared" ca="1" si="404"/>
        <v>4.0890258509322264</v>
      </c>
      <c r="AM2739" s="106">
        <f t="shared" ca="1" si="398"/>
        <v>32741.240192262074</v>
      </c>
      <c r="AN2739" s="10">
        <f t="shared" ca="1" si="399"/>
        <v>1.0381655537991863</v>
      </c>
      <c r="AO2739" s="158"/>
      <c r="AP2739" s="158"/>
      <c r="AQ2739" s="1"/>
      <c r="AR2739" s="1"/>
      <c r="AS2739" s="1"/>
      <c r="AT2739" s="1"/>
      <c r="AU2739" s="1"/>
    </row>
    <row r="2740" spans="34:47">
      <c r="AH2740" s="6">
        <f t="shared" si="400"/>
        <v>2710</v>
      </c>
      <c r="AI2740" s="7">
        <f t="shared" ca="1" si="401"/>
        <v>45380</v>
      </c>
      <c r="AJ2740" s="210">
        <f t="shared" ca="1" si="402"/>
        <v>4.1749999999999998</v>
      </c>
      <c r="AK2740" s="8">
        <f t="shared" ca="1" si="403"/>
        <v>1.0001159722222221</v>
      </c>
      <c r="AL2740" s="98">
        <f t="shared" ca="1" si="404"/>
        <v>4.0891123117677175</v>
      </c>
      <c r="AM2740" s="106">
        <f t="shared" ca="1" si="398"/>
        <v>32743.938118557584</v>
      </c>
      <c r="AN2740" s="10">
        <f t="shared" ca="1" si="399"/>
        <v>1.0382372862005163</v>
      </c>
      <c r="AO2740" s="158"/>
      <c r="AP2740" s="158"/>
      <c r="AQ2740" s="1"/>
      <c r="AR2740" s="1"/>
      <c r="AS2740" s="1"/>
      <c r="AT2740" s="1"/>
      <c r="AU2740" s="1"/>
    </row>
    <row r="2741" spans="34:47">
      <c r="AH2741" s="6">
        <f t="shared" si="400"/>
        <v>2711</v>
      </c>
      <c r="AI2741" s="7">
        <f t="shared" ca="1" si="401"/>
        <v>45381</v>
      </c>
      <c r="AJ2741" s="210">
        <f t="shared" ca="1" si="402"/>
        <v>4.1749999999999998</v>
      </c>
      <c r="AK2741" s="8">
        <f t="shared" ca="1" si="403"/>
        <v>1.0001159722222221</v>
      </c>
      <c r="AL2741" s="98">
        <f t="shared" ca="1" si="404"/>
        <v>4.0891987088897519</v>
      </c>
      <c r="AM2741" s="106">
        <f t="shared" ca="1" si="398"/>
        <v>32746.636267166185</v>
      </c>
      <c r="AN2741" s="10">
        <f t="shared" ca="1" si="399"/>
        <v>1.0383089657331812</v>
      </c>
      <c r="AO2741" s="158"/>
      <c r="AP2741" s="158"/>
      <c r="AQ2741" s="1"/>
      <c r="AR2741" s="1"/>
      <c r="AS2741" s="1"/>
      <c r="AT2741" s="1"/>
      <c r="AU2741" s="1"/>
    </row>
    <row r="2742" spans="34:47">
      <c r="AH2742" s="6">
        <f t="shared" si="400"/>
        <v>2712</v>
      </c>
      <c r="AI2742" s="7">
        <f t="shared" ca="1" si="401"/>
        <v>45382</v>
      </c>
      <c r="AJ2742" s="210">
        <f t="shared" ca="1" si="402"/>
        <v>4.1749999999999998</v>
      </c>
      <c r="AK2742" s="8">
        <f t="shared" ca="1" si="403"/>
        <v>1.0001159722222221</v>
      </c>
      <c r="AL2742" s="98">
        <f t="shared" ca="1" si="404"/>
        <v>4.0892850423687399</v>
      </c>
      <c r="AM2742" s="106">
        <f t="shared" ca="1" si="398"/>
        <v>32749.334638106189</v>
      </c>
      <c r="AN2742" s="10">
        <f t="shared" ca="1" si="399"/>
        <v>1.0383805924556677</v>
      </c>
      <c r="AO2742" s="158"/>
      <c r="AP2742" s="158"/>
      <c r="AQ2742" s="1"/>
      <c r="AR2742" s="1"/>
      <c r="AS2742" s="1"/>
      <c r="AT2742" s="1"/>
      <c r="AU2742" s="1"/>
    </row>
    <row r="2743" spans="34:47">
      <c r="AH2743" s="6">
        <f t="shared" si="400"/>
        <v>2713</v>
      </c>
      <c r="AI2743" s="7">
        <f t="shared" ca="1" si="401"/>
        <v>45383</v>
      </c>
      <c r="AJ2743" s="210">
        <f t="shared" ca="1" si="402"/>
        <v>4.1749999999999998</v>
      </c>
      <c r="AK2743" s="8">
        <f t="shared" ca="1" si="403"/>
        <v>1.0001159722222221</v>
      </c>
      <c r="AL2743" s="98">
        <f t="shared" ca="1" si="404"/>
        <v>4.0893713122749586</v>
      </c>
      <c r="AM2743" s="106">
        <f t="shared" ca="1" si="398"/>
        <v>32752.033231395926</v>
      </c>
      <c r="AN2743" s="10">
        <f t="shared" ca="1" si="399"/>
        <v>1.0384521664262847</v>
      </c>
      <c r="AO2743" s="158"/>
      <c r="AP2743" s="158"/>
      <c r="AQ2743" s="1"/>
      <c r="AR2743" s="1"/>
      <c r="AS2743" s="1"/>
      <c r="AT2743" s="1"/>
      <c r="AU2743" s="1"/>
    </row>
    <row r="2744" spans="34:47">
      <c r="AH2744" s="6">
        <f t="shared" si="400"/>
        <v>2714</v>
      </c>
      <c r="AI2744" s="7">
        <f t="shared" ca="1" si="401"/>
        <v>45384</v>
      </c>
      <c r="AJ2744" s="210">
        <f t="shared" ca="1" si="402"/>
        <v>4.1749999999999998</v>
      </c>
      <c r="AK2744" s="8">
        <f t="shared" ca="1" si="403"/>
        <v>1.0001159722222221</v>
      </c>
      <c r="AL2744" s="98">
        <f t="shared" ca="1" si="404"/>
        <v>4.0894575186785964</v>
      </c>
      <c r="AM2744" s="106">
        <f t="shared" ca="1" si="398"/>
        <v>32754.732047053712</v>
      </c>
      <c r="AN2744" s="10">
        <f t="shared" ca="1" si="399"/>
        <v>1.0385236877032522</v>
      </c>
      <c r="AO2744" s="158"/>
      <c r="AP2744" s="158"/>
      <c r="AQ2744" s="1"/>
      <c r="AR2744" s="1"/>
      <c r="AS2744" s="1"/>
      <c r="AT2744" s="1"/>
      <c r="AU2744" s="1"/>
    </row>
    <row r="2745" spans="34:47">
      <c r="AH2745" s="6">
        <f t="shared" si="400"/>
        <v>2715</v>
      </c>
      <c r="AI2745" s="7">
        <f t="shared" ca="1" si="401"/>
        <v>45385</v>
      </c>
      <c r="AJ2745" s="210">
        <f t="shared" ca="1" si="402"/>
        <v>4.1749999999999998</v>
      </c>
      <c r="AK2745" s="8">
        <f t="shared" ca="1" si="403"/>
        <v>1.0001159722222221</v>
      </c>
      <c r="AL2745" s="98">
        <f t="shared" ca="1" si="404"/>
        <v>4.0895436616497749</v>
      </c>
      <c r="AM2745" s="106">
        <f t="shared" ca="1" si="398"/>
        <v>32757.431085097884</v>
      </c>
      <c r="AN2745" s="10">
        <f t="shared" ca="1" si="399"/>
        <v>1.0385951563447682</v>
      </c>
      <c r="AO2745" s="158"/>
      <c r="AP2745" s="158"/>
      <c r="AQ2745" s="1"/>
      <c r="AR2745" s="1"/>
      <c r="AS2745" s="1"/>
      <c r="AT2745" s="1"/>
      <c r="AU2745" s="1"/>
    </row>
    <row r="2746" spans="34:47">
      <c r="AH2746" s="6">
        <f t="shared" si="400"/>
        <v>2716</v>
      </c>
      <c r="AI2746" s="7">
        <f t="shared" ca="1" si="401"/>
        <v>45386</v>
      </c>
      <c r="AJ2746" s="210">
        <f t="shared" ca="1" si="402"/>
        <v>4.1749999999999998</v>
      </c>
      <c r="AK2746" s="8">
        <f t="shared" ca="1" si="403"/>
        <v>1.0001159722222221</v>
      </c>
      <c r="AL2746" s="98">
        <f t="shared" ca="1" si="404"/>
        <v>4.0896297412584603</v>
      </c>
      <c r="AM2746" s="106">
        <f t="shared" ca="1" si="398"/>
        <v>32760.13034554675</v>
      </c>
      <c r="AN2746" s="10">
        <f t="shared" ca="1" si="399"/>
        <v>1.0386665724089417</v>
      </c>
      <c r="AO2746" s="158"/>
      <c r="AP2746" s="158"/>
      <c r="AQ2746" s="1"/>
      <c r="AR2746" s="1"/>
      <c r="AS2746" s="1"/>
      <c r="AT2746" s="1"/>
      <c r="AU2746" s="1"/>
    </row>
    <row r="2747" spans="34:47">
      <c r="AH2747" s="6">
        <f t="shared" si="400"/>
        <v>2717</v>
      </c>
      <c r="AI2747" s="7">
        <f t="shared" ca="1" si="401"/>
        <v>45387</v>
      </c>
      <c r="AJ2747" s="210">
        <f t="shared" ca="1" si="402"/>
        <v>4.1749999999999998</v>
      </c>
      <c r="AK2747" s="8">
        <f t="shared" ca="1" si="403"/>
        <v>1.0001159722222221</v>
      </c>
      <c r="AL2747" s="98">
        <f t="shared" ca="1" si="404"/>
        <v>4.0897157575745302</v>
      </c>
      <c r="AM2747" s="106">
        <f t="shared" ca="1" si="398"/>
        <v>32762.829828418642</v>
      </c>
      <c r="AN2747" s="10">
        <f t="shared" ca="1" si="399"/>
        <v>1.0387379359537263</v>
      </c>
      <c r="AO2747" s="158"/>
      <c r="AP2747" s="158"/>
      <c r="AQ2747" s="1"/>
      <c r="AR2747" s="1"/>
      <c r="AS2747" s="1"/>
      <c r="AT2747" s="1"/>
      <c r="AU2747" s="1"/>
    </row>
    <row r="2748" spans="34:47">
      <c r="AH2748" s="6">
        <f t="shared" si="400"/>
        <v>2718</v>
      </c>
      <c r="AI2748" s="7">
        <f t="shared" ca="1" si="401"/>
        <v>45388</v>
      </c>
      <c r="AJ2748" s="210">
        <f t="shared" ca="1" si="402"/>
        <v>4.1749999999999998</v>
      </c>
      <c r="AK2748" s="8">
        <f t="shared" ca="1" si="403"/>
        <v>1.0001159722222221</v>
      </c>
      <c r="AL2748" s="98">
        <f t="shared" ca="1" si="404"/>
        <v>4.0898017106677731</v>
      </c>
      <c r="AM2748" s="106">
        <f t="shared" ca="1" si="398"/>
        <v>32765.529533731882</v>
      </c>
      <c r="AN2748" s="10">
        <f t="shared" ca="1" si="399"/>
        <v>1.0388092470370536</v>
      </c>
      <c r="AO2748" s="158"/>
      <c r="AP2748" s="158"/>
      <c r="AQ2748" s="1"/>
      <c r="AR2748" s="1"/>
      <c r="AS2748" s="1"/>
      <c r="AT2748" s="1"/>
      <c r="AU2748" s="1"/>
    </row>
    <row r="2749" spans="34:47">
      <c r="AH2749" s="6">
        <f t="shared" si="400"/>
        <v>2719</v>
      </c>
      <c r="AI2749" s="7">
        <f t="shared" ca="1" si="401"/>
        <v>45389</v>
      </c>
      <c r="AJ2749" s="210">
        <f t="shared" ca="1" si="402"/>
        <v>4.1749999999999998</v>
      </c>
      <c r="AK2749" s="8">
        <f t="shared" ca="1" si="403"/>
        <v>1.0001159722222221</v>
      </c>
      <c r="AL2749" s="98">
        <f t="shared" ca="1" si="404"/>
        <v>4.0898876006078666</v>
      </c>
      <c r="AM2749" s="106">
        <f t="shared" ca="1" si="398"/>
        <v>32768.229461504816</v>
      </c>
      <c r="AN2749" s="10">
        <f t="shared" ca="1" si="399"/>
        <v>1.038880505716766</v>
      </c>
      <c r="AO2749" s="158"/>
      <c r="AP2749" s="158"/>
      <c r="AQ2749" s="1"/>
      <c r="AR2749" s="1"/>
      <c r="AS2749" s="1"/>
      <c r="AT2749" s="1"/>
      <c r="AU2749" s="1"/>
    </row>
    <row r="2750" spans="34:47">
      <c r="AH2750" s="6">
        <f t="shared" si="400"/>
        <v>2720</v>
      </c>
      <c r="AI2750" s="7">
        <f t="shared" ca="1" si="401"/>
        <v>45390</v>
      </c>
      <c r="AJ2750" s="210">
        <f t="shared" ca="1" si="402"/>
        <v>4.1749999999999998</v>
      </c>
      <c r="AK2750" s="8">
        <f t="shared" ca="1" si="403"/>
        <v>1.0001159722222221</v>
      </c>
      <c r="AL2750" s="98">
        <f t="shared" ca="1" si="404"/>
        <v>4.0899734274643773</v>
      </c>
      <c r="AM2750" s="106">
        <f t="shared" ca="1" si="398"/>
        <v>32770.929611755768</v>
      </c>
      <c r="AN2750" s="10">
        <f t="shared" ca="1" si="399"/>
        <v>1.0389517120505731</v>
      </c>
      <c r="AO2750" s="158"/>
      <c r="AP2750" s="158"/>
      <c r="AQ2750" s="1"/>
      <c r="AR2750" s="1"/>
      <c r="AS2750" s="1"/>
      <c r="AT2750" s="1"/>
      <c r="AU2750" s="1"/>
    </row>
    <row r="2751" spans="34:47">
      <c r="AH2751" s="6">
        <f t="shared" si="400"/>
        <v>2721</v>
      </c>
      <c r="AI2751" s="7">
        <f t="shared" ca="1" si="401"/>
        <v>45391</v>
      </c>
      <c r="AJ2751" s="210">
        <f t="shared" ca="1" si="402"/>
        <v>4.1749999999999998</v>
      </c>
      <c r="AK2751" s="8">
        <f t="shared" ca="1" si="403"/>
        <v>1.0001159722222221</v>
      </c>
      <c r="AL2751" s="98">
        <f t="shared" ca="1" si="404"/>
        <v>4.0900591913068052</v>
      </c>
      <c r="AM2751" s="106">
        <f t="shared" ca="1" si="398"/>
        <v>32773.629984503059</v>
      </c>
      <c r="AN2751" s="10">
        <f t="shared" ca="1" si="399"/>
        <v>1.039022866096162</v>
      </c>
      <c r="AO2751" s="158"/>
      <c r="AP2751" s="158"/>
      <c r="AQ2751" s="1"/>
      <c r="AR2751" s="1"/>
      <c r="AS2751" s="1"/>
      <c r="AT2751" s="1"/>
      <c r="AU2751" s="1"/>
    </row>
    <row r="2752" spans="34:47">
      <c r="AH2752" s="6">
        <f t="shared" si="400"/>
        <v>2722</v>
      </c>
      <c r="AI2752" s="7">
        <f t="shared" ca="1" si="401"/>
        <v>45392</v>
      </c>
      <c r="AJ2752" s="210">
        <f t="shared" ca="1" si="402"/>
        <v>4.1749999999999998</v>
      </c>
      <c r="AK2752" s="8">
        <f t="shared" ca="1" si="403"/>
        <v>1.0001159722222221</v>
      </c>
      <c r="AL2752" s="98">
        <f t="shared" ca="1" si="404"/>
        <v>4.0901448922044947</v>
      </c>
      <c r="AM2752" s="106">
        <f t="shared" ca="1" si="398"/>
        <v>32776.330579765032</v>
      </c>
      <c r="AN2752" s="10">
        <f t="shared" ca="1" si="399"/>
        <v>1.0390939679110867</v>
      </c>
      <c r="AO2752" s="158"/>
      <c r="AP2752" s="158"/>
      <c r="AQ2752" s="1"/>
      <c r="AR2752" s="1"/>
      <c r="AS2752" s="1"/>
      <c r="AT2752" s="1"/>
      <c r="AU2752" s="1"/>
    </row>
    <row r="2753" spans="34:47">
      <c r="AH2753" s="6">
        <f t="shared" si="400"/>
        <v>2723</v>
      </c>
      <c r="AI2753" s="7">
        <f t="shared" ca="1" si="401"/>
        <v>45393</v>
      </c>
      <c r="AJ2753" s="210">
        <f t="shared" ca="1" si="402"/>
        <v>4.1749999999999998</v>
      </c>
      <c r="AK2753" s="8">
        <f t="shared" ca="1" si="403"/>
        <v>1.0001159722222221</v>
      </c>
      <c r="AL2753" s="98">
        <f t="shared" ca="1" si="404"/>
        <v>4.0902305302267239</v>
      </c>
      <c r="AM2753" s="106">
        <f t="shared" ca="1" si="398"/>
        <v>32779.031397560022</v>
      </c>
      <c r="AN2753" s="10">
        <f t="shared" ca="1" si="399"/>
        <v>1.0391650175528344</v>
      </c>
      <c r="AO2753" s="158"/>
      <c r="AP2753" s="158"/>
      <c r="AQ2753" s="1"/>
      <c r="AR2753" s="1"/>
      <c r="AS2753" s="1"/>
      <c r="AT2753" s="1"/>
      <c r="AU2753" s="1"/>
    </row>
    <row r="2754" spans="34:47">
      <c r="AH2754" s="6">
        <f t="shared" si="400"/>
        <v>2724</v>
      </c>
      <c r="AI2754" s="7">
        <f t="shared" ca="1" si="401"/>
        <v>45394</v>
      </c>
      <c r="AJ2754" s="210">
        <f t="shared" ca="1" si="402"/>
        <v>4.1749999999999998</v>
      </c>
      <c r="AK2754" s="8">
        <f t="shared" ca="1" si="403"/>
        <v>1.0001159722222221</v>
      </c>
      <c r="AL2754" s="98">
        <f t="shared" ca="1" si="404"/>
        <v>4.0903161054426596</v>
      </c>
      <c r="AM2754" s="106">
        <f t="shared" ca="1" si="398"/>
        <v>32781.732437906372</v>
      </c>
      <c r="AN2754" s="10">
        <f t="shared" ca="1" si="399"/>
        <v>1.039236015078826</v>
      </c>
      <c r="AO2754" s="158"/>
      <c r="AP2754" s="158"/>
      <c r="AQ2754" s="1"/>
      <c r="AR2754" s="1"/>
      <c r="AS2754" s="1"/>
      <c r="AT2754" s="1"/>
      <c r="AU2754" s="1"/>
    </row>
    <row r="2755" spans="34:47">
      <c r="AH2755" s="6">
        <f t="shared" si="400"/>
        <v>2725</v>
      </c>
      <c r="AI2755" s="7">
        <f t="shared" ca="1" si="401"/>
        <v>45395</v>
      </c>
      <c r="AJ2755" s="210">
        <f t="shared" ca="1" si="402"/>
        <v>4.1749999999999998</v>
      </c>
      <c r="AK2755" s="8">
        <f t="shared" ca="1" si="403"/>
        <v>1.0001159722222221</v>
      </c>
      <c r="AL2755" s="98">
        <f t="shared" ca="1" si="404"/>
        <v>4.0904016179213798</v>
      </c>
      <c r="AM2755" s="106">
        <f t="shared" ca="1" si="398"/>
        <v>32784.43370082241</v>
      </c>
      <c r="AN2755" s="10">
        <f t="shared" ca="1" si="399"/>
        <v>1.0393069605463712</v>
      </c>
      <c r="AO2755" s="158"/>
      <c r="AP2755" s="158"/>
      <c r="AQ2755" s="1"/>
      <c r="AR2755" s="1"/>
      <c r="AS2755" s="1"/>
      <c r="AT2755" s="1"/>
      <c r="AU2755" s="1"/>
    </row>
    <row r="2756" spans="34:47">
      <c r="AH2756" s="6">
        <f t="shared" si="400"/>
        <v>2726</v>
      </c>
      <c r="AI2756" s="7">
        <f t="shared" ca="1" si="401"/>
        <v>45396</v>
      </c>
      <c r="AJ2756" s="210">
        <f t="shared" ca="1" si="402"/>
        <v>4.1749999999999998</v>
      </c>
      <c r="AK2756" s="8">
        <f t="shared" ca="1" si="403"/>
        <v>1.0001159722222221</v>
      </c>
      <c r="AL2756" s="98">
        <f t="shared" ca="1" si="404"/>
        <v>4.0904870677318517</v>
      </c>
      <c r="AM2756" s="106">
        <f t="shared" ca="1" si="398"/>
        <v>32787.135186326486</v>
      </c>
      <c r="AN2756" s="10">
        <f t="shared" ca="1" si="399"/>
        <v>1.0393778540127352</v>
      </c>
      <c r="AO2756" s="158"/>
      <c r="AP2756" s="158"/>
      <c r="AQ2756" s="1"/>
      <c r="AR2756" s="1"/>
      <c r="AS2756" s="1"/>
      <c r="AT2756" s="1"/>
      <c r="AU2756" s="1"/>
    </row>
    <row r="2757" spans="34:47">
      <c r="AH2757" s="6">
        <f t="shared" si="400"/>
        <v>2727</v>
      </c>
      <c r="AI2757" s="7">
        <f t="shared" ca="1" si="401"/>
        <v>45397</v>
      </c>
      <c r="AJ2757" s="210">
        <f t="shared" ca="1" si="402"/>
        <v>4.1749999999999998</v>
      </c>
      <c r="AK2757" s="8">
        <f t="shared" ca="1" si="403"/>
        <v>1.0001159722222221</v>
      </c>
      <c r="AL2757" s="98">
        <f t="shared" ca="1" si="404"/>
        <v>4.0905724549429312</v>
      </c>
      <c r="AM2757" s="106">
        <f t="shared" ca="1" si="398"/>
        <v>32789.836894436936</v>
      </c>
      <c r="AN2757" s="10">
        <f t="shared" ca="1" si="399"/>
        <v>1.0394486955350279</v>
      </c>
      <c r="AO2757" s="158"/>
      <c r="AP2757" s="158"/>
      <c r="AQ2757" s="1"/>
      <c r="AR2757" s="1"/>
      <c r="AS2757" s="1"/>
      <c r="AT2757" s="1"/>
      <c r="AU2757" s="1"/>
    </row>
    <row r="2758" spans="34:47">
      <c r="AH2758" s="6">
        <f t="shared" si="400"/>
        <v>2728</v>
      </c>
      <c r="AI2758" s="7">
        <f t="shared" ca="1" si="401"/>
        <v>45398</v>
      </c>
      <c r="AJ2758" s="210">
        <f t="shared" ca="1" si="402"/>
        <v>4.1749999999999998</v>
      </c>
      <c r="AK2758" s="8">
        <f t="shared" ca="1" si="403"/>
        <v>1.0001159722222221</v>
      </c>
      <c r="AL2758" s="98">
        <f t="shared" ca="1" si="404"/>
        <v>4.0906577796233856</v>
      </c>
      <c r="AM2758" s="106">
        <f t="shared" ca="1" si="398"/>
        <v>32792.538825172101</v>
      </c>
      <c r="AN2758" s="10">
        <f t="shared" ca="1" si="399"/>
        <v>1.0395194851703371</v>
      </c>
      <c r="AO2758" s="158"/>
      <c r="AP2758" s="158"/>
      <c r="AQ2758" s="1"/>
      <c r="AR2758" s="1"/>
      <c r="AS2758" s="1"/>
      <c r="AT2758" s="1"/>
      <c r="AU2758" s="1"/>
    </row>
    <row r="2759" spans="34:47">
      <c r="AH2759" s="6">
        <f t="shared" si="400"/>
        <v>2729</v>
      </c>
      <c r="AI2759" s="7">
        <f t="shared" ca="1" si="401"/>
        <v>45399</v>
      </c>
      <c r="AJ2759" s="210">
        <f t="shared" ca="1" si="402"/>
        <v>4.1749999999999998</v>
      </c>
      <c r="AK2759" s="8">
        <f t="shared" ca="1" si="403"/>
        <v>1.0001159722222221</v>
      </c>
      <c r="AL2759" s="98">
        <f t="shared" ca="1" si="404"/>
        <v>4.0907430418418711</v>
      </c>
      <c r="AM2759" s="106">
        <f t="shared" ca="1" si="398"/>
        <v>32795.240978550326</v>
      </c>
      <c r="AN2759" s="10">
        <f t="shared" ca="1" si="399"/>
        <v>1.0395902229756393</v>
      </c>
      <c r="AO2759" s="158"/>
      <c r="AP2759" s="158"/>
      <c r="AQ2759" s="1"/>
      <c r="AR2759" s="1"/>
      <c r="AS2759" s="1"/>
      <c r="AT2759" s="1"/>
      <c r="AU2759" s="1"/>
    </row>
    <row r="2760" spans="34:47">
      <c r="AH2760" s="6">
        <f t="shared" si="400"/>
        <v>2730</v>
      </c>
      <c r="AI2760" s="7">
        <f t="shared" ca="1" si="401"/>
        <v>45400</v>
      </c>
      <c r="AJ2760" s="210">
        <f t="shared" ca="1" si="402"/>
        <v>4.1749999999999998</v>
      </c>
      <c r="AK2760" s="8">
        <f t="shared" ca="1" si="403"/>
        <v>1.0001159722222221</v>
      </c>
      <c r="AL2760" s="98">
        <f t="shared" ca="1" si="404"/>
        <v>4.090828241666955</v>
      </c>
      <c r="AM2760" s="106">
        <f t="shared" ca="1" si="398"/>
        <v>32797.943354589959</v>
      </c>
      <c r="AN2760" s="10">
        <f t="shared" ca="1" si="399"/>
        <v>1.0396609090078446</v>
      </c>
      <c r="AO2760" s="158"/>
      <c r="AP2760" s="158"/>
      <c r="AQ2760" s="1"/>
      <c r="AR2760" s="1"/>
      <c r="AS2760" s="1"/>
      <c r="AT2760" s="1"/>
      <c r="AU2760" s="1"/>
    </row>
    <row r="2761" spans="34:47">
      <c r="AH2761" s="6">
        <f t="shared" si="400"/>
        <v>2731</v>
      </c>
      <c r="AI2761" s="7">
        <f t="shared" ca="1" si="401"/>
        <v>45401</v>
      </c>
      <c r="AJ2761" s="210">
        <f t="shared" ca="1" si="402"/>
        <v>4.1749999999999998</v>
      </c>
      <c r="AK2761" s="8">
        <f t="shared" ca="1" si="403"/>
        <v>1.0001159722222221</v>
      </c>
      <c r="AL2761" s="98">
        <f t="shared" ca="1" si="404"/>
        <v>4.0909133791670937</v>
      </c>
      <c r="AM2761" s="106">
        <f t="shared" ca="1" si="398"/>
        <v>32800.645953309351</v>
      </c>
      <c r="AN2761" s="10">
        <f t="shared" ca="1" si="399"/>
        <v>1.0397315433237742</v>
      </c>
      <c r="AO2761" s="158"/>
      <c r="AP2761" s="158"/>
      <c r="AQ2761" s="1"/>
      <c r="AR2761" s="1"/>
      <c r="AS2761" s="1"/>
      <c r="AT2761" s="1"/>
      <c r="AU2761" s="1"/>
    </row>
    <row r="2762" spans="34:47">
      <c r="AH2762" s="6">
        <f t="shared" si="400"/>
        <v>2732</v>
      </c>
      <c r="AI2762" s="7">
        <f t="shared" ca="1" si="401"/>
        <v>45402</v>
      </c>
      <c r="AJ2762" s="210">
        <f t="shared" ca="1" si="402"/>
        <v>4.1749999999999998</v>
      </c>
      <c r="AK2762" s="8">
        <f t="shared" ca="1" si="403"/>
        <v>1.0001159722222221</v>
      </c>
      <c r="AL2762" s="98">
        <f t="shared" ca="1" si="404"/>
        <v>4.0909984544106548</v>
      </c>
      <c r="AM2762" s="106">
        <f t="shared" ca="1" si="398"/>
        <v>32803.348774726852</v>
      </c>
      <c r="AN2762" s="10">
        <f t="shared" ca="1" si="399"/>
        <v>1.0398021259801382</v>
      </c>
      <c r="AO2762" s="158"/>
      <c r="AP2762" s="158"/>
      <c r="AQ2762" s="1"/>
      <c r="AR2762" s="1"/>
      <c r="AS2762" s="1"/>
      <c r="AT2762" s="1"/>
      <c r="AU2762" s="1"/>
    </row>
    <row r="2763" spans="34:47">
      <c r="AH2763" s="6">
        <f t="shared" si="400"/>
        <v>2733</v>
      </c>
      <c r="AI2763" s="7">
        <f t="shared" ca="1" si="401"/>
        <v>45403</v>
      </c>
      <c r="AJ2763" s="210">
        <f t="shared" ca="1" si="402"/>
        <v>4.1749999999999998</v>
      </c>
      <c r="AK2763" s="8">
        <f t="shared" ca="1" si="403"/>
        <v>1.0001159722222221</v>
      </c>
      <c r="AL2763" s="98">
        <f t="shared" ca="1" si="404"/>
        <v>4.0910834674659169</v>
      </c>
      <c r="AM2763" s="106">
        <f t="shared" ca="1" si="398"/>
        <v>32806.051818860804</v>
      </c>
      <c r="AN2763" s="10">
        <f t="shared" ca="1" si="399"/>
        <v>1.039872657033647</v>
      </c>
      <c r="AO2763" s="158"/>
      <c r="AP2763" s="158"/>
      <c r="AQ2763" s="1"/>
      <c r="AR2763" s="1"/>
      <c r="AS2763" s="1"/>
      <c r="AT2763" s="1"/>
      <c r="AU2763" s="1"/>
    </row>
    <row r="2764" spans="34:47">
      <c r="AH2764" s="6">
        <f t="shared" si="400"/>
        <v>2734</v>
      </c>
      <c r="AI2764" s="7">
        <f t="shared" ca="1" si="401"/>
        <v>45404</v>
      </c>
      <c r="AJ2764" s="210">
        <f t="shared" ca="1" si="402"/>
        <v>4.1749999999999998</v>
      </c>
      <c r="AK2764" s="8">
        <f t="shared" ca="1" si="403"/>
        <v>1.0001159722222221</v>
      </c>
      <c r="AL2764" s="98">
        <f t="shared" ca="1" si="404"/>
        <v>4.0911684184010255</v>
      </c>
      <c r="AM2764" s="106">
        <f t="shared" ca="1" si="398"/>
        <v>32808.755085729572</v>
      </c>
      <c r="AN2764" s="10">
        <f t="shared" ca="1" si="399"/>
        <v>1.0399431365408107</v>
      </c>
      <c r="AO2764" s="158"/>
      <c r="AP2764" s="158"/>
      <c r="AQ2764" s="1"/>
      <c r="AR2764" s="1"/>
      <c r="AS2764" s="1"/>
      <c r="AT2764" s="1"/>
      <c r="AU2764" s="1"/>
    </row>
    <row r="2765" spans="34:47">
      <c r="AH2765" s="6">
        <f t="shared" si="400"/>
        <v>2735</v>
      </c>
      <c r="AI2765" s="7">
        <f t="shared" ca="1" si="401"/>
        <v>45405</v>
      </c>
      <c r="AJ2765" s="210">
        <f t="shared" ca="1" si="402"/>
        <v>4.1749999999999998</v>
      </c>
      <c r="AK2765" s="8">
        <f t="shared" ca="1" si="403"/>
        <v>1.0001159722222221</v>
      </c>
      <c r="AL2765" s="98">
        <f t="shared" ca="1" si="404"/>
        <v>4.0912533072840374</v>
      </c>
      <c r="AM2765" s="106">
        <f t="shared" ca="1" si="398"/>
        <v>32811.458575351491</v>
      </c>
      <c r="AN2765" s="10">
        <f t="shared" ca="1" si="399"/>
        <v>1.0400135645581399</v>
      </c>
      <c r="AO2765" s="158"/>
      <c r="AP2765" s="158"/>
      <c r="AQ2765" s="1"/>
      <c r="AR2765" s="1"/>
      <c r="AS2765" s="1"/>
      <c r="AT2765" s="1"/>
      <c r="AU2765" s="1"/>
    </row>
    <row r="2766" spans="34:47">
      <c r="AH2766" s="6">
        <f t="shared" si="400"/>
        <v>2736</v>
      </c>
      <c r="AI2766" s="7">
        <f t="shared" ca="1" si="401"/>
        <v>45406</v>
      </c>
      <c r="AJ2766" s="210">
        <f t="shared" ca="1" si="402"/>
        <v>4.1749999999999998</v>
      </c>
      <c r="AK2766" s="8">
        <f t="shared" ca="1" si="403"/>
        <v>1.0001159722222221</v>
      </c>
      <c r="AL2766" s="98">
        <f t="shared" ca="1" si="404"/>
        <v>4.0913381341829202</v>
      </c>
      <c r="AM2766" s="106">
        <f t="shared" ca="1" si="398"/>
        <v>32814.162287744934</v>
      </c>
      <c r="AN2766" s="10">
        <f t="shared" ca="1" si="399"/>
        <v>1.0400839411420115</v>
      </c>
      <c r="AO2766" s="158"/>
      <c r="AP2766" s="158"/>
      <c r="AQ2766" s="1"/>
      <c r="AR2766" s="1"/>
      <c r="AS2766" s="1"/>
      <c r="AT2766" s="1"/>
      <c r="AU2766" s="1"/>
    </row>
    <row r="2767" spans="34:47">
      <c r="AH2767" s="6">
        <f t="shared" si="400"/>
        <v>2737</v>
      </c>
      <c r="AI2767" s="7">
        <f t="shared" ca="1" si="401"/>
        <v>45407</v>
      </c>
      <c r="AJ2767" s="210">
        <f t="shared" ca="1" si="402"/>
        <v>4.1749999999999998</v>
      </c>
      <c r="AK2767" s="8">
        <f t="shared" ca="1" si="403"/>
        <v>1.0001159722222221</v>
      </c>
      <c r="AL2767" s="98">
        <f t="shared" ca="1" si="404"/>
        <v>4.0914228991655532</v>
      </c>
      <c r="AM2767" s="106">
        <f t="shared" ca="1" si="398"/>
        <v>32816.866222928242</v>
      </c>
      <c r="AN2767" s="10">
        <f t="shared" ca="1" si="399"/>
        <v>1.0401542663488028</v>
      </c>
      <c r="AO2767" s="158"/>
      <c r="AP2767" s="158"/>
      <c r="AQ2767" s="1"/>
      <c r="AR2767" s="1"/>
      <c r="AS2767" s="1"/>
      <c r="AT2767" s="1"/>
      <c r="AU2767" s="1"/>
    </row>
    <row r="2768" spans="34:47">
      <c r="AH2768" s="6">
        <f t="shared" si="400"/>
        <v>2738</v>
      </c>
      <c r="AI2768" s="7">
        <f t="shared" ca="1" si="401"/>
        <v>45408</v>
      </c>
      <c r="AJ2768" s="210">
        <f t="shared" ca="1" si="402"/>
        <v>4.1749999999999998</v>
      </c>
      <c r="AK2768" s="8">
        <f t="shared" ca="1" si="403"/>
        <v>1.0001159722222221</v>
      </c>
      <c r="AL2768" s="98">
        <f t="shared" ca="1" si="404"/>
        <v>4.0915076022996821</v>
      </c>
      <c r="AM2768" s="106">
        <f t="shared" ca="1" si="398"/>
        <v>32819.570380919788</v>
      </c>
      <c r="AN2768" s="10">
        <f t="shared" ca="1" si="399"/>
        <v>1.0402245402347132</v>
      </c>
      <c r="AO2768" s="158"/>
      <c r="AP2768" s="158"/>
      <c r="AQ2768" s="1"/>
      <c r="AR2768" s="1"/>
      <c r="AS2768" s="1"/>
      <c r="AT2768" s="1"/>
      <c r="AU2768" s="1"/>
    </row>
    <row r="2769" spans="34:47">
      <c r="AH2769" s="6">
        <f t="shared" si="400"/>
        <v>2739</v>
      </c>
      <c r="AI2769" s="7">
        <f t="shared" ca="1" si="401"/>
        <v>45409</v>
      </c>
      <c r="AJ2769" s="210">
        <f t="shared" ca="1" si="402"/>
        <v>4.1749999999999998</v>
      </c>
      <c r="AK2769" s="8">
        <f t="shared" ca="1" si="403"/>
        <v>1.0001159722222221</v>
      </c>
      <c r="AL2769" s="98">
        <f t="shared" ca="1" si="404"/>
        <v>4.0915922436529861</v>
      </c>
      <c r="AM2769" s="106">
        <f t="shared" ca="1" si="398"/>
        <v>32822.274761737928</v>
      </c>
      <c r="AN2769" s="10">
        <f t="shared" ca="1" si="399"/>
        <v>1.0402947628558978</v>
      </c>
      <c r="AO2769" s="158"/>
      <c r="AP2769" s="158"/>
      <c r="AQ2769" s="1"/>
      <c r="AR2769" s="1"/>
      <c r="AS2769" s="1"/>
      <c r="AT2769" s="1"/>
      <c r="AU2769" s="1"/>
    </row>
    <row r="2770" spans="34:47">
      <c r="AH2770" s="6">
        <f t="shared" si="400"/>
        <v>2740</v>
      </c>
      <c r="AI2770" s="7">
        <f t="shared" ca="1" si="401"/>
        <v>45410</v>
      </c>
      <c r="AJ2770" s="210">
        <f t="shared" ca="1" si="402"/>
        <v>4.1749999999999998</v>
      </c>
      <c r="AK2770" s="8">
        <f t="shared" ca="1" si="403"/>
        <v>1.0001159722222221</v>
      </c>
      <c r="AL2770" s="98">
        <f t="shared" ca="1" si="404"/>
        <v>4.0916768232930334</v>
      </c>
      <c r="AM2770" s="106">
        <f t="shared" ca="1" si="398"/>
        <v>32824.979365401014</v>
      </c>
      <c r="AN2770" s="10">
        <f t="shared" ca="1" si="399"/>
        <v>1.0403649342684673</v>
      </c>
      <c r="AO2770" s="158"/>
      <c r="AP2770" s="158"/>
      <c r="AQ2770" s="1"/>
      <c r="AR2770" s="1"/>
      <c r="AS2770" s="1"/>
      <c r="AT2770" s="1"/>
      <c r="AU2770" s="1"/>
    </row>
    <row r="2771" spans="34:47">
      <c r="AH2771" s="6">
        <f t="shared" si="400"/>
        <v>2741</v>
      </c>
      <c r="AI2771" s="7">
        <f t="shared" ca="1" si="401"/>
        <v>45411</v>
      </c>
      <c r="AJ2771" s="210">
        <f t="shared" ca="1" si="402"/>
        <v>4.1749999999999998</v>
      </c>
      <c r="AK2771" s="8">
        <f t="shared" ca="1" si="403"/>
        <v>1.0001159722222221</v>
      </c>
      <c r="AL2771" s="98">
        <f t="shared" ca="1" si="404"/>
        <v>4.0917613412873033</v>
      </c>
      <c r="AM2771" s="106">
        <f t="shared" ca="1" si="398"/>
        <v>32827.684191927416</v>
      </c>
      <c r="AN2771" s="10">
        <f t="shared" ca="1" si="399"/>
        <v>1.0404350545283991</v>
      </c>
      <c r="AO2771" s="158"/>
      <c r="AP2771" s="158"/>
      <c r="AQ2771" s="1"/>
      <c r="AR2771" s="1"/>
      <c r="AS2771" s="1"/>
      <c r="AT2771" s="1"/>
      <c r="AU2771" s="1"/>
    </row>
    <row r="2772" spans="34:47">
      <c r="AH2772" s="6">
        <f t="shared" si="400"/>
        <v>2742</v>
      </c>
      <c r="AI2772" s="7">
        <f t="shared" ca="1" si="401"/>
        <v>45412</v>
      </c>
      <c r="AJ2772" s="210">
        <f t="shared" ca="1" si="402"/>
        <v>4.1749999999999998</v>
      </c>
      <c r="AK2772" s="8">
        <f t="shared" ca="1" si="403"/>
        <v>1.0001159722222221</v>
      </c>
      <c r="AL2772" s="98">
        <f t="shared" ca="1" si="404"/>
        <v>4.0918457977031419</v>
      </c>
      <c r="AM2772" s="106">
        <f t="shared" ca="1" si="398"/>
        <v>32830.389241335506</v>
      </c>
      <c r="AN2772" s="10">
        <f t="shared" ca="1" si="399"/>
        <v>1.0405051236915819</v>
      </c>
      <c r="AO2772" s="158"/>
      <c r="AP2772" s="158"/>
      <c r="AQ2772" s="1"/>
      <c r="AR2772" s="1"/>
      <c r="AS2772" s="1"/>
      <c r="AT2772" s="1"/>
      <c r="AU2772" s="1"/>
    </row>
    <row r="2773" spans="34:47">
      <c r="AH2773" s="6">
        <f t="shared" si="400"/>
        <v>2743</v>
      </c>
      <c r="AI2773" s="7">
        <f t="shared" ca="1" si="401"/>
        <v>45413</v>
      </c>
      <c r="AJ2773" s="210">
        <f t="shared" ca="1" si="402"/>
        <v>4.1749999999999998</v>
      </c>
      <c r="AK2773" s="8">
        <f t="shared" ca="1" si="403"/>
        <v>1.0001159722222221</v>
      </c>
      <c r="AL2773" s="98">
        <f t="shared" ca="1" si="404"/>
        <v>4.0919301926078289</v>
      </c>
      <c r="AM2773" s="106">
        <f t="shared" ca="1" si="398"/>
        <v>32833.094513643628</v>
      </c>
      <c r="AN2773" s="10">
        <f t="shared" ca="1" si="399"/>
        <v>1.040575141813882</v>
      </c>
      <c r="AO2773" s="158"/>
      <c r="AP2773" s="158"/>
      <c r="AQ2773" s="1"/>
      <c r="AR2773" s="1"/>
      <c r="AS2773" s="1"/>
      <c r="AT2773" s="1"/>
      <c r="AU2773" s="1"/>
    </row>
    <row r="2774" spans="34:47">
      <c r="AH2774" s="6">
        <f t="shared" si="400"/>
        <v>2744</v>
      </c>
      <c r="AI2774" s="7">
        <f t="shared" ca="1" si="401"/>
        <v>45414</v>
      </c>
      <c r="AJ2774" s="210">
        <f t="shared" ca="1" si="402"/>
        <v>4.1749999999999998</v>
      </c>
      <c r="AK2774" s="8">
        <f t="shared" ca="1" si="403"/>
        <v>1.0001159722222221</v>
      </c>
      <c r="AL2774" s="98">
        <f t="shared" ca="1" si="404"/>
        <v>4.0920145260685548</v>
      </c>
      <c r="AM2774" s="106">
        <f t="shared" ca="1" si="398"/>
        <v>32835.800008870174</v>
      </c>
      <c r="AN2774" s="10">
        <f t="shared" ca="1" si="399"/>
        <v>1.0406451089510327</v>
      </c>
      <c r="AO2774" s="158"/>
      <c r="AP2774" s="158"/>
      <c r="AQ2774" s="1"/>
      <c r="AR2774" s="1"/>
      <c r="AS2774" s="1"/>
      <c r="AT2774" s="1"/>
      <c r="AU2774" s="1"/>
    </row>
    <row r="2775" spans="34:47">
      <c r="AH2775" s="6">
        <f t="shared" si="400"/>
        <v>2745</v>
      </c>
      <c r="AI2775" s="7">
        <f t="shared" ca="1" si="401"/>
        <v>45415</v>
      </c>
      <c r="AJ2775" s="210">
        <f t="shared" ca="1" si="402"/>
        <v>4.1749999999999998</v>
      </c>
      <c r="AK2775" s="8">
        <f t="shared" ca="1" si="403"/>
        <v>1.0001159722222221</v>
      </c>
      <c r="AL2775" s="98">
        <f t="shared" ca="1" si="404"/>
        <v>4.0920987981523771</v>
      </c>
      <c r="AM2775" s="106">
        <f t="shared" ca="1" si="398"/>
        <v>32838.505727033495</v>
      </c>
      <c r="AN2775" s="10">
        <f t="shared" ca="1" si="399"/>
        <v>1.0407150251586783</v>
      </c>
      <c r="AO2775" s="158"/>
      <c r="AP2775" s="158"/>
      <c r="AQ2775" s="1"/>
      <c r="AR2775" s="1"/>
      <c r="AS2775" s="1"/>
      <c r="AT2775" s="1"/>
      <c r="AU2775" s="1"/>
    </row>
    <row r="2776" spans="34:47">
      <c r="AH2776" s="6">
        <f t="shared" si="400"/>
        <v>2746</v>
      </c>
      <c r="AI2776" s="7">
        <f t="shared" ca="1" si="401"/>
        <v>45416</v>
      </c>
      <c r="AJ2776" s="210">
        <f t="shared" ca="1" si="402"/>
        <v>4.1749999999999998</v>
      </c>
      <c r="AK2776" s="8">
        <f t="shared" ca="1" si="403"/>
        <v>1.0001159722222221</v>
      </c>
      <c r="AL2776" s="98">
        <f t="shared" ca="1" si="404"/>
        <v>4.0921830089262867</v>
      </c>
      <c r="AM2776" s="106">
        <f t="shared" ca="1" si="398"/>
        <v>32841.211668151976</v>
      </c>
      <c r="AN2776" s="10">
        <f t="shared" ca="1" si="399"/>
        <v>1.0407848904924411</v>
      </c>
      <c r="AO2776" s="158"/>
      <c r="AP2776" s="158"/>
      <c r="AQ2776" s="1"/>
      <c r="AR2776" s="1"/>
      <c r="AS2776" s="1"/>
      <c r="AT2776" s="1"/>
      <c r="AU2776" s="1"/>
    </row>
    <row r="2777" spans="34:47">
      <c r="AH2777" s="6">
        <f t="shared" si="400"/>
        <v>2747</v>
      </c>
      <c r="AI2777" s="7">
        <f t="shared" ca="1" si="401"/>
        <v>45417</v>
      </c>
      <c r="AJ2777" s="210">
        <f t="shared" ca="1" si="402"/>
        <v>4.1749999999999998</v>
      </c>
      <c r="AK2777" s="8">
        <f t="shared" ca="1" si="403"/>
        <v>1.0001159722222221</v>
      </c>
      <c r="AL2777" s="98">
        <f t="shared" ca="1" si="404"/>
        <v>4.0922671584571635</v>
      </c>
      <c r="AM2777" s="106">
        <f t="shared" ca="1" si="398"/>
        <v>32843.917832243977</v>
      </c>
      <c r="AN2777" s="10">
        <f t="shared" ca="1" si="399"/>
        <v>1.0408547050078099</v>
      </c>
      <c r="AO2777" s="158"/>
      <c r="AP2777" s="158"/>
      <c r="AQ2777" s="1"/>
      <c r="AR2777" s="1"/>
      <c r="AS2777" s="1"/>
      <c r="AT2777" s="1"/>
      <c r="AU2777" s="1"/>
    </row>
    <row r="2778" spans="34:47">
      <c r="AH2778" s="6">
        <f t="shared" si="400"/>
        <v>2748</v>
      </c>
      <c r="AI2778" s="7">
        <f t="shared" ca="1" si="401"/>
        <v>45418</v>
      </c>
      <c r="AJ2778" s="210">
        <f t="shared" ca="1" si="402"/>
        <v>4.1749999999999998</v>
      </c>
      <c r="AK2778" s="8">
        <f t="shared" ca="1" si="403"/>
        <v>1.0001159722222221</v>
      </c>
      <c r="AL2778" s="98">
        <f t="shared" ca="1" si="404"/>
        <v>4.0923512468117984</v>
      </c>
      <c r="AM2778" s="106">
        <f t="shared" ca="1" si="398"/>
        <v>32846.624219327874</v>
      </c>
      <c r="AN2778" s="10">
        <f t="shared" ca="1" si="399"/>
        <v>1.0409244687602293</v>
      </c>
      <c r="AO2778" s="158"/>
      <c r="AP2778" s="158"/>
      <c r="AQ2778" s="1"/>
      <c r="AR2778" s="1"/>
      <c r="AS2778" s="1"/>
      <c r="AT2778" s="1"/>
      <c r="AU2778" s="1"/>
    </row>
    <row r="2779" spans="34:47">
      <c r="AH2779" s="6">
        <f t="shared" si="400"/>
        <v>2749</v>
      </c>
      <c r="AI2779" s="7">
        <f t="shared" ca="1" si="401"/>
        <v>45419</v>
      </c>
      <c r="AJ2779" s="210">
        <f t="shared" ca="1" si="402"/>
        <v>4.1749999999999998</v>
      </c>
      <c r="AK2779" s="8">
        <f t="shared" ca="1" si="403"/>
        <v>1.0001159722222221</v>
      </c>
      <c r="AL2779" s="98">
        <f t="shared" ca="1" si="404"/>
        <v>4.0924352740568715</v>
      </c>
      <c r="AM2779" s="106">
        <f t="shared" ca="1" si="398"/>
        <v>32849.330829422041</v>
      </c>
      <c r="AN2779" s="10">
        <f t="shared" ca="1" si="399"/>
        <v>1.0409941818050328</v>
      </c>
      <c r="AO2779" s="158"/>
      <c r="AP2779" s="158"/>
      <c r="AQ2779" s="1"/>
      <c r="AR2779" s="1"/>
      <c r="AS2779" s="1"/>
      <c r="AT2779" s="1"/>
      <c r="AU2779" s="1"/>
    </row>
    <row r="2780" spans="34:47">
      <c r="AH2780" s="6">
        <f t="shared" si="400"/>
        <v>2750</v>
      </c>
      <c r="AI2780" s="7">
        <f t="shared" ca="1" si="401"/>
        <v>45420</v>
      </c>
      <c r="AJ2780" s="210">
        <f t="shared" ca="1" si="402"/>
        <v>4.1749999999999998</v>
      </c>
      <c r="AK2780" s="8">
        <f t="shared" ca="1" si="403"/>
        <v>1.0001159722222221</v>
      </c>
      <c r="AL2780" s="98">
        <f t="shared" ca="1" si="404"/>
        <v>4.0925192402589738</v>
      </c>
      <c r="AM2780" s="106">
        <f t="shared" ca="1" si="398"/>
        <v>32852.037662544855</v>
      </c>
      <c r="AN2780" s="10">
        <f t="shared" ca="1" si="399"/>
        <v>1.0410638441974873</v>
      </c>
      <c r="AO2780" s="158"/>
      <c r="AP2780" s="158"/>
      <c r="AQ2780" s="1"/>
      <c r="AR2780" s="1"/>
      <c r="AS2780" s="1"/>
      <c r="AT2780" s="1"/>
      <c r="AU2780" s="1"/>
    </row>
    <row r="2781" spans="34:47">
      <c r="AH2781" s="6">
        <f t="shared" si="400"/>
        <v>2751</v>
      </c>
      <c r="AI2781" s="7">
        <f t="shared" ca="1" si="401"/>
        <v>45421</v>
      </c>
      <c r="AJ2781" s="210">
        <f t="shared" ca="1" si="402"/>
        <v>4.1749999999999998</v>
      </c>
      <c r="AK2781" s="8">
        <f t="shared" ca="1" si="403"/>
        <v>1.0001159722222221</v>
      </c>
      <c r="AL2781" s="98">
        <f t="shared" ca="1" si="404"/>
        <v>4.0926031454846079</v>
      </c>
      <c r="AM2781" s="106">
        <f t="shared" ca="1" si="398"/>
        <v>32854.744718714697</v>
      </c>
      <c r="AN2781" s="10">
        <f t="shared" ca="1" si="399"/>
        <v>1.041133455992771</v>
      </c>
      <c r="AO2781" s="158"/>
      <c r="AP2781" s="158"/>
      <c r="AQ2781" s="1"/>
      <c r="AR2781" s="1"/>
      <c r="AS2781" s="1"/>
      <c r="AT2781" s="1"/>
      <c r="AU2781" s="1"/>
    </row>
    <row r="2782" spans="34:47">
      <c r="AH2782" s="6">
        <f t="shared" si="400"/>
        <v>2752</v>
      </c>
      <c r="AI2782" s="7">
        <f t="shared" ca="1" si="401"/>
        <v>45422</v>
      </c>
      <c r="AJ2782" s="210">
        <f t="shared" ca="1" si="402"/>
        <v>4.1749999999999998</v>
      </c>
      <c r="AK2782" s="8">
        <f t="shared" ca="1" si="403"/>
        <v>1.0001159722222221</v>
      </c>
      <c r="AL2782" s="98">
        <f t="shared" ca="1" si="404"/>
        <v>4.092686989800165</v>
      </c>
      <c r="AM2782" s="106">
        <f t="shared" ca="1" si="398"/>
        <v>32857.451997949953</v>
      </c>
      <c r="AN2782" s="10">
        <f t="shared" ca="1" si="399"/>
        <v>1.0412030172459952</v>
      </c>
      <c r="AO2782" s="158"/>
      <c r="AP2782" s="158"/>
      <c r="AQ2782" s="1"/>
      <c r="AR2782" s="1"/>
      <c r="AS2782" s="1"/>
      <c r="AT2782" s="1"/>
      <c r="AU2782" s="1"/>
    </row>
    <row r="2783" spans="34:47">
      <c r="AH2783" s="6">
        <f t="shared" si="400"/>
        <v>2753</v>
      </c>
      <c r="AI2783" s="7">
        <f t="shared" ca="1" si="401"/>
        <v>45423</v>
      </c>
      <c r="AJ2783" s="210">
        <f t="shared" ca="1" si="402"/>
        <v>4.1749999999999998</v>
      </c>
      <c r="AK2783" s="8">
        <f t="shared" ca="1" si="403"/>
        <v>1.0001159722222221</v>
      </c>
      <c r="AL2783" s="98">
        <f t="shared" ca="1" si="404"/>
        <v>4.0927707732719476</v>
      </c>
      <c r="AM2783" s="106">
        <f t="shared" ref="AM2783:AM2846" ca="1" si="405">Geom_Interp(AI2783,$AZ$2:$AZ$109,$BA$2:$BA$109)</f>
        <v>32860.159500268986</v>
      </c>
      <c r="AN2783" s="10">
        <f t="shared" ref="AN2783:AN2846" ca="1" si="406">100*(((1+AL2783/100)^(AH2783/365)*$AM$29/AM2783)^(365/AH2783)-1)</f>
        <v>1.0412725280121826</v>
      </c>
      <c r="AO2783" s="158"/>
      <c r="AP2783" s="158"/>
      <c r="AQ2783" s="1"/>
      <c r="AR2783" s="1"/>
      <c r="AS2783" s="1"/>
      <c r="AT2783" s="1"/>
      <c r="AU2783" s="1"/>
    </row>
    <row r="2784" spans="34:47">
      <c r="AH2784" s="6">
        <f t="shared" ref="AH2784:AH2847" si="407">$AI$29+AH2783</f>
        <v>2754</v>
      </c>
      <c r="AI2784" s="7">
        <f t="shared" ref="AI2784:AI2847" ca="1" si="408">+AH2784+$C$1</f>
        <v>45424</v>
      </c>
      <c r="AJ2784" s="210">
        <f t="shared" ref="AJ2784:AJ2847" ca="1" si="409">IF(AH2784&lt;365,VLOOKUP(LOOKUP(AI2784,$AI$2:$AI$23),$AI$2:$AK$23,3,0),Lin_Interp(AH2784,$AJ$2:$AJ$23,$AK$2:$AK$23))</f>
        <v>4.1749999999999998</v>
      </c>
      <c r="AK2784" s="8">
        <f t="shared" ca="1" si="403"/>
        <v>1.0001159722222221</v>
      </c>
      <c r="AL2784" s="98">
        <f t="shared" ca="1" si="404"/>
        <v>4.0928544959661695</v>
      </c>
      <c r="AM2784" s="106">
        <f t="shared" ca="1" si="405"/>
        <v>32862.867225690192</v>
      </c>
      <c r="AN2784" s="10">
        <f t="shared" ca="1" si="406"/>
        <v>1.0413419883462893</v>
      </c>
      <c r="AO2784" s="158"/>
      <c r="AP2784" s="158"/>
      <c r="AQ2784" s="1"/>
      <c r="AR2784" s="1"/>
      <c r="AS2784" s="1"/>
      <c r="AT2784" s="1"/>
      <c r="AU2784" s="1"/>
    </row>
    <row r="2785" spans="34:47">
      <c r="AH2785" s="6">
        <f t="shared" si="407"/>
        <v>2755</v>
      </c>
      <c r="AI2785" s="7">
        <f t="shared" ca="1" si="408"/>
        <v>45425</v>
      </c>
      <c r="AJ2785" s="210">
        <f t="shared" ca="1" si="409"/>
        <v>4.1749999999999998</v>
      </c>
      <c r="AK2785" s="8">
        <f t="shared" ref="AK2785:AK2848" ca="1" si="410">+(1+AJ2785/36000)</f>
        <v>1.0001159722222221</v>
      </c>
      <c r="AL2785" s="98">
        <f t="shared" ref="AL2785:AL2848" ca="1" si="411">100*(((1+AL2784/100)^(AH2784/365)*AK2785)^(365/AH2785)-1)</f>
        <v>4.0929381579489332</v>
      </c>
      <c r="AM2785" s="106">
        <f t="shared" ca="1" si="405"/>
        <v>32865.575174231948</v>
      </c>
      <c r="AN2785" s="10">
        <f t="shared" ca="1" si="406"/>
        <v>1.0414113983031603</v>
      </c>
      <c r="AO2785" s="158"/>
      <c r="AP2785" s="158"/>
      <c r="AQ2785" s="1"/>
      <c r="AR2785" s="1"/>
      <c r="AS2785" s="1"/>
      <c r="AT2785" s="1"/>
      <c r="AU2785" s="1"/>
    </row>
    <row r="2786" spans="34:47">
      <c r="AH2786" s="6">
        <f t="shared" si="407"/>
        <v>2756</v>
      </c>
      <c r="AI2786" s="7">
        <f t="shared" ca="1" si="408"/>
        <v>45426</v>
      </c>
      <c r="AJ2786" s="210">
        <f t="shared" ca="1" si="409"/>
        <v>4.1749999999999998</v>
      </c>
      <c r="AK2786" s="8">
        <f t="shared" ca="1" si="410"/>
        <v>1.0001159722222221</v>
      </c>
      <c r="AL2786" s="98">
        <f t="shared" ca="1" si="411"/>
        <v>4.0930217592862528</v>
      </c>
      <c r="AM2786" s="106">
        <f t="shared" ca="1" si="405"/>
        <v>32868.283345912649</v>
      </c>
      <c r="AN2786" s="10">
        <f t="shared" ca="1" si="406"/>
        <v>1.0414807579375962</v>
      </c>
      <c r="AO2786" s="158"/>
      <c r="AP2786" s="158"/>
      <c r="AQ2786" s="1"/>
      <c r="AR2786" s="1"/>
      <c r="AS2786" s="1"/>
      <c r="AT2786" s="1"/>
      <c r="AU2786" s="1"/>
    </row>
    <row r="2787" spans="34:47">
      <c r="AH2787" s="6">
        <f t="shared" si="407"/>
        <v>2757</v>
      </c>
      <c r="AI2787" s="7">
        <f t="shared" ca="1" si="408"/>
        <v>45427</v>
      </c>
      <c r="AJ2787" s="210">
        <f t="shared" ca="1" si="409"/>
        <v>4.1749999999999998</v>
      </c>
      <c r="AK2787" s="8">
        <f t="shared" ca="1" si="410"/>
        <v>1.0001159722222221</v>
      </c>
      <c r="AL2787" s="98">
        <f t="shared" ca="1" si="411"/>
        <v>4.0931053000440309</v>
      </c>
      <c r="AM2787" s="106">
        <f t="shared" ca="1" si="405"/>
        <v>32870.991740750665</v>
      </c>
      <c r="AN2787" s="10">
        <f t="shared" ca="1" si="406"/>
        <v>1.0415500673043088</v>
      </c>
      <c r="AO2787" s="158"/>
      <c r="AP2787" s="158"/>
      <c r="AQ2787" s="1"/>
      <c r="AR2787" s="1"/>
      <c r="AS2787" s="1"/>
      <c r="AT2787" s="1"/>
      <c r="AU2787" s="1"/>
    </row>
    <row r="2788" spans="34:47">
      <c r="AH2788" s="6">
        <f t="shared" si="407"/>
        <v>2758</v>
      </c>
      <c r="AI2788" s="7">
        <f t="shared" ca="1" si="408"/>
        <v>45428</v>
      </c>
      <c r="AJ2788" s="210">
        <f t="shared" ca="1" si="409"/>
        <v>4.1749999999999998</v>
      </c>
      <c r="AK2788" s="8">
        <f t="shared" ca="1" si="410"/>
        <v>1.0001159722222221</v>
      </c>
      <c r="AL2788" s="98">
        <f t="shared" ca="1" si="411"/>
        <v>4.093188780288104</v>
      </c>
      <c r="AM2788" s="106">
        <f t="shared" ca="1" si="405"/>
        <v>32873.700358764399</v>
      </c>
      <c r="AN2788" s="10">
        <f t="shared" ca="1" si="406"/>
        <v>1.0416193264578766</v>
      </c>
      <c r="AO2788" s="158"/>
      <c r="AP2788" s="158"/>
      <c r="AQ2788" s="1"/>
      <c r="AR2788" s="1"/>
      <c r="AS2788" s="1"/>
      <c r="AT2788" s="1"/>
      <c r="AU2788" s="1"/>
    </row>
    <row r="2789" spans="34:47">
      <c r="AH2789" s="6">
        <f t="shared" si="407"/>
        <v>2759</v>
      </c>
      <c r="AI2789" s="7">
        <f t="shared" ca="1" si="408"/>
        <v>45429</v>
      </c>
      <c r="AJ2789" s="210">
        <f t="shared" ca="1" si="409"/>
        <v>4.1749999999999998</v>
      </c>
      <c r="AK2789" s="8">
        <f t="shared" ca="1" si="410"/>
        <v>1.0001159722222221</v>
      </c>
      <c r="AL2789" s="98">
        <f t="shared" ca="1" si="411"/>
        <v>4.093272200084197</v>
      </c>
      <c r="AM2789" s="106">
        <f t="shared" ca="1" si="405"/>
        <v>32876.409199972244</v>
      </c>
      <c r="AN2789" s="10">
        <f t="shared" ca="1" si="406"/>
        <v>1.0416885354529004</v>
      </c>
      <c r="AO2789" s="158"/>
      <c r="AP2789" s="158"/>
      <c r="AQ2789" s="1"/>
      <c r="AR2789" s="1"/>
      <c r="AS2789" s="1"/>
      <c r="AT2789" s="1"/>
      <c r="AU2789" s="1"/>
    </row>
    <row r="2790" spans="34:47">
      <c r="AH2790" s="6">
        <f t="shared" si="407"/>
        <v>2760</v>
      </c>
      <c r="AI2790" s="7">
        <f t="shared" ca="1" si="408"/>
        <v>45430</v>
      </c>
      <c r="AJ2790" s="210">
        <f t="shared" ca="1" si="409"/>
        <v>4.1749999999999998</v>
      </c>
      <c r="AK2790" s="8">
        <f t="shared" ca="1" si="410"/>
        <v>1.0001159722222221</v>
      </c>
      <c r="AL2790" s="98">
        <f t="shared" ca="1" si="411"/>
        <v>4.0933555594979465</v>
      </c>
      <c r="AM2790" s="106">
        <f t="shared" ca="1" si="405"/>
        <v>32879.118264392579</v>
      </c>
      <c r="AN2790" s="10">
        <f t="shared" ca="1" si="406"/>
        <v>1.0417576943438478</v>
      </c>
      <c r="AO2790" s="158"/>
      <c r="AP2790" s="158"/>
      <c r="AQ2790" s="1"/>
      <c r="AR2790" s="1"/>
      <c r="AS2790" s="1"/>
      <c r="AT2790" s="1"/>
      <c r="AU2790" s="1"/>
    </row>
    <row r="2791" spans="34:47">
      <c r="AH2791" s="6">
        <f t="shared" si="407"/>
        <v>2761</v>
      </c>
      <c r="AI2791" s="7">
        <f t="shared" ca="1" si="408"/>
        <v>45431</v>
      </c>
      <c r="AJ2791" s="210">
        <f t="shared" ca="1" si="409"/>
        <v>4.1749999999999998</v>
      </c>
      <c r="AK2791" s="8">
        <f t="shared" ca="1" si="410"/>
        <v>1.0001159722222221</v>
      </c>
      <c r="AL2791" s="98">
        <f t="shared" ca="1" si="411"/>
        <v>4.0934388585948778</v>
      </c>
      <c r="AM2791" s="106">
        <f t="shared" ca="1" si="405"/>
        <v>32881.827552043796</v>
      </c>
      <c r="AN2791" s="10">
        <f t="shared" ca="1" si="406"/>
        <v>1.0418268031850753</v>
      </c>
      <c r="AO2791" s="158"/>
      <c r="AP2791" s="158"/>
      <c r="AQ2791" s="1"/>
      <c r="AR2791" s="1"/>
      <c r="AS2791" s="1"/>
      <c r="AT2791" s="1"/>
      <c r="AU2791" s="1"/>
    </row>
    <row r="2792" spans="34:47">
      <c r="AH2792" s="6">
        <f t="shared" si="407"/>
        <v>2762</v>
      </c>
      <c r="AI2792" s="7">
        <f t="shared" ca="1" si="408"/>
        <v>45432</v>
      </c>
      <c r="AJ2792" s="210">
        <f t="shared" ca="1" si="409"/>
        <v>4.1749999999999998</v>
      </c>
      <c r="AK2792" s="8">
        <f t="shared" ca="1" si="410"/>
        <v>1.0001159722222221</v>
      </c>
      <c r="AL2792" s="98">
        <f t="shared" ca="1" si="411"/>
        <v>4.0935220974404496</v>
      </c>
      <c r="AM2792" s="106">
        <f t="shared" ca="1" si="405"/>
        <v>32884.537062944299</v>
      </c>
      <c r="AN2792" s="10">
        <f t="shared" ca="1" si="406"/>
        <v>1.0418958620309171</v>
      </c>
      <c r="AO2792" s="158"/>
      <c r="AP2792" s="158"/>
      <c r="AQ2792" s="1"/>
      <c r="AR2792" s="1"/>
      <c r="AS2792" s="1"/>
      <c r="AT2792" s="1"/>
      <c r="AU2792" s="1"/>
    </row>
    <row r="2793" spans="34:47">
      <c r="AH2793" s="6">
        <f t="shared" si="407"/>
        <v>2763</v>
      </c>
      <c r="AI2793" s="7">
        <f t="shared" ca="1" si="408"/>
        <v>45433</v>
      </c>
      <c r="AJ2793" s="210">
        <f t="shared" ca="1" si="409"/>
        <v>4.1749999999999998</v>
      </c>
      <c r="AK2793" s="8">
        <f t="shared" ca="1" si="410"/>
        <v>1.0001159722222221</v>
      </c>
      <c r="AL2793" s="98">
        <f t="shared" ca="1" si="411"/>
        <v>4.0936052761000097</v>
      </c>
      <c r="AM2793" s="106">
        <f t="shared" ca="1" si="405"/>
        <v>32887.246797112486</v>
      </c>
      <c r="AN2793" s="10">
        <f t="shared" ca="1" si="406"/>
        <v>1.0419648709356188</v>
      </c>
      <c r="AO2793" s="158"/>
      <c r="AP2793" s="158"/>
      <c r="AQ2793" s="1"/>
      <c r="AR2793" s="1"/>
      <c r="AS2793" s="1"/>
      <c r="AT2793" s="1"/>
      <c r="AU2793" s="1"/>
    </row>
    <row r="2794" spans="34:47">
      <c r="AH2794" s="6">
        <f t="shared" si="407"/>
        <v>2764</v>
      </c>
      <c r="AI2794" s="7">
        <f t="shared" ca="1" si="408"/>
        <v>45434</v>
      </c>
      <c r="AJ2794" s="210">
        <f t="shared" ca="1" si="409"/>
        <v>4.1749999999999998</v>
      </c>
      <c r="AK2794" s="8">
        <f t="shared" ca="1" si="410"/>
        <v>1.0001159722222221</v>
      </c>
      <c r="AL2794" s="98">
        <f t="shared" ca="1" si="411"/>
        <v>4.0936883946387947</v>
      </c>
      <c r="AM2794" s="106">
        <f t="shared" ca="1" si="405"/>
        <v>32889.956754566752</v>
      </c>
      <c r="AN2794" s="10">
        <f t="shared" ca="1" si="406"/>
        <v>1.0420338299532927</v>
      </c>
      <c r="AO2794" s="158"/>
      <c r="AP2794" s="158"/>
      <c r="AQ2794" s="1"/>
      <c r="AR2794" s="1"/>
      <c r="AS2794" s="1"/>
      <c r="AT2794" s="1"/>
      <c r="AU2794" s="1"/>
    </row>
    <row r="2795" spans="34:47">
      <c r="AH2795" s="6">
        <f t="shared" si="407"/>
        <v>2765</v>
      </c>
      <c r="AI2795" s="7">
        <f t="shared" ca="1" si="408"/>
        <v>45435</v>
      </c>
      <c r="AJ2795" s="210">
        <f t="shared" ca="1" si="409"/>
        <v>4.1749999999999998</v>
      </c>
      <c r="AK2795" s="8">
        <f t="shared" ca="1" si="410"/>
        <v>1.0001159722222221</v>
      </c>
      <c r="AL2795" s="98">
        <f t="shared" ca="1" si="411"/>
        <v>4.0937714531219749</v>
      </c>
      <c r="AM2795" s="106">
        <f t="shared" ca="1" si="405"/>
        <v>32892.666935325484</v>
      </c>
      <c r="AN2795" s="10">
        <f t="shared" ca="1" si="406"/>
        <v>1.0421027391380733</v>
      </c>
      <c r="AO2795" s="158"/>
      <c r="AP2795" s="158"/>
      <c r="AQ2795" s="1"/>
      <c r="AR2795" s="1"/>
      <c r="AS2795" s="1"/>
      <c r="AT2795" s="1"/>
      <c r="AU2795" s="1"/>
    </row>
    <row r="2796" spans="34:47">
      <c r="AH2796" s="6">
        <f t="shared" si="407"/>
        <v>2766</v>
      </c>
      <c r="AI2796" s="7">
        <f t="shared" ca="1" si="408"/>
        <v>45436</v>
      </c>
      <c r="AJ2796" s="210">
        <f t="shared" ca="1" si="409"/>
        <v>4.1749999999999998</v>
      </c>
      <c r="AK2796" s="8">
        <f t="shared" ca="1" si="410"/>
        <v>1.0001159722222221</v>
      </c>
      <c r="AL2796" s="98">
        <f t="shared" ca="1" si="411"/>
        <v>4.0938544516145869</v>
      </c>
      <c r="AM2796" s="106">
        <f t="shared" ca="1" si="405"/>
        <v>32895.377339407096</v>
      </c>
      <c r="AN2796" s="10">
        <f t="shared" ca="1" si="406"/>
        <v>1.0421715985438729</v>
      </c>
      <c r="AO2796" s="158"/>
      <c r="AP2796" s="158"/>
      <c r="AQ2796" s="1"/>
      <c r="AR2796" s="1"/>
      <c r="AS2796" s="1"/>
      <c r="AT2796" s="1"/>
      <c r="AU2796" s="1"/>
    </row>
    <row r="2797" spans="34:47">
      <c r="AH2797" s="6">
        <f t="shared" si="407"/>
        <v>2767</v>
      </c>
      <c r="AI2797" s="7">
        <f t="shared" ca="1" si="408"/>
        <v>45437</v>
      </c>
      <c r="AJ2797" s="210">
        <f t="shared" ca="1" si="409"/>
        <v>4.1749999999999998</v>
      </c>
      <c r="AK2797" s="8">
        <f t="shared" ca="1" si="410"/>
        <v>1.0001159722222221</v>
      </c>
      <c r="AL2797" s="98">
        <f t="shared" ca="1" si="411"/>
        <v>4.0939373901816234</v>
      </c>
      <c r="AM2797" s="106">
        <f t="shared" ca="1" si="405"/>
        <v>32898.087966829997</v>
      </c>
      <c r="AN2797" s="10">
        <f t="shared" ca="1" si="406"/>
        <v>1.0422404082246928</v>
      </c>
      <c r="AO2797" s="158"/>
      <c r="AP2797" s="158"/>
      <c r="AQ2797" s="1"/>
      <c r="AR2797" s="1"/>
      <c r="AS2797" s="1"/>
      <c r="AT2797" s="1"/>
      <c r="AU2797" s="1"/>
    </row>
    <row r="2798" spans="34:47">
      <c r="AH2798" s="6">
        <f t="shared" si="407"/>
        <v>2768</v>
      </c>
      <c r="AI2798" s="7">
        <f t="shared" ca="1" si="408"/>
        <v>45438</v>
      </c>
      <c r="AJ2798" s="210">
        <f t="shared" ca="1" si="409"/>
        <v>4.1749999999999998</v>
      </c>
      <c r="AK2798" s="8">
        <f t="shared" ca="1" si="410"/>
        <v>1.0001159722222221</v>
      </c>
      <c r="AL2798" s="98">
        <f t="shared" ca="1" si="411"/>
        <v>4.0940202688879657</v>
      </c>
      <c r="AM2798" s="106">
        <f t="shared" ca="1" si="405"/>
        <v>32900.798817612565</v>
      </c>
      <c r="AN2798" s="10">
        <f t="shared" ca="1" si="406"/>
        <v>1.0423091682343122</v>
      </c>
      <c r="AO2798" s="158"/>
      <c r="AP2798" s="158"/>
      <c r="AQ2798" s="1"/>
      <c r="AR2798" s="1"/>
      <c r="AS2798" s="1"/>
      <c r="AT2798" s="1"/>
      <c r="AU2798" s="1"/>
    </row>
    <row r="2799" spans="34:47">
      <c r="AH2799" s="6">
        <f t="shared" si="407"/>
        <v>2769</v>
      </c>
      <c r="AI2799" s="7">
        <f t="shared" ca="1" si="408"/>
        <v>45439</v>
      </c>
      <c r="AJ2799" s="210">
        <f t="shared" ca="1" si="409"/>
        <v>4.1749999999999998</v>
      </c>
      <c r="AK2799" s="8">
        <f t="shared" ca="1" si="410"/>
        <v>1.0001159722222221</v>
      </c>
      <c r="AL2799" s="98">
        <f t="shared" ca="1" si="411"/>
        <v>4.0941030877984064</v>
      </c>
      <c r="AM2799" s="106">
        <f t="shared" ca="1" si="405"/>
        <v>32903.509891773225</v>
      </c>
      <c r="AN2799" s="10">
        <f t="shared" ca="1" si="406"/>
        <v>1.0423778786265769</v>
      </c>
      <c r="AO2799" s="158"/>
      <c r="AP2799" s="158"/>
      <c r="AQ2799" s="1"/>
      <c r="AR2799" s="1"/>
      <c r="AS2799" s="1"/>
      <c r="AT2799" s="1"/>
      <c r="AU2799" s="1"/>
    </row>
    <row r="2800" spans="34:47">
      <c r="AH2800" s="6">
        <f t="shared" si="407"/>
        <v>2770</v>
      </c>
      <c r="AI2800" s="7">
        <f t="shared" ca="1" si="408"/>
        <v>45440</v>
      </c>
      <c r="AJ2800" s="210">
        <f t="shared" ca="1" si="409"/>
        <v>4.1749999999999998</v>
      </c>
      <c r="AK2800" s="8">
        <f t="shared" ca="1" si="410"/>
        <v>1.0001159722222221</v>
      </c>
      <c r="AL2800" s="98">
        <f t="shared" ca="1" si="411"/>
        <v>4.0941858469776049</v>
      </c>
      <c r="AM2800" s="106">
        <f t="shared" ca="1" si="405"/>
        <v>32906.221189330383</v>
      </c>
      <c r="AN2800" s="10">
        <f t="shared" ca="1" si="406"/>
        <v>1.0424465394550886</v>
      </c>
      <c r="AO2800" s="158"/>
      <c r="AP2800" s="158"/>
      <c r="AQ2800" s="1"/>
      <c r="AR2800" s="1"/>
      <c r="AS2800" s="1"/>
      <c r="AT2800" s="1"/>
      <c r="AU2800" s="1"/>
    </row>
    <row r="2801" spans="34:47">
      <c r="AH2801" s="6">
        <f t="shared" si="407"/>
        <v>2771</v>
      </c>
      <c r="AI2801" s="7">
        <f t="shared" ca="1" si="408"/>
        <v>45441</v>
      </c>
      <c r="AJ2801" s="210">
        <f t="shared" ca="1" si="409"/>
        <v>4.1749999999999998</v>
      </c>
      <c r="AK2801" s="8">
        <f t="shared" ca="1" si="410"/>
        <v>1.0001159722222221</v>
      </c>
      <c r="AL2801" s="98">
        <f t="shared" ca="1" si="411"/>
        <v>4.0942685464901762</v>
      </c>
      <c r="AM2801" s="106">
        <f t="shared" ca="1" si="405"/>
        <v>32908.932710302433</v>
      </c>
      <c r="AN2801" s="10">
        <f t="shared" ca="1" si="406"/>
        <v>1.0425151507734931</v>
      </c>
      <c r="AO2801" s="158"/>
      <c r="AP2801" s="158"/>
      <c r="AQ2801" s="1"/>
      <c r="AR2801" s="1"/>
      <c r="AS2801" s="1"/>
      <c r="AT2801" s="1"/>
      <c r="AU2801" s="1"/>
    </row>
    <row r="2802" spans="34:47">
      <c r="AH2802" s="6">
        <f t="shared" si="407"/>
        <v>2772</v>
      </c>
      <c r="AI2802" s="7">
        <f t="shared" ca="1" si="408"/>
        <v>45442</v>
      </c>
      <c r="AJ2802" s="210">
        <f t="shared" ca="1" si="409"/>
        <v>4.1749999999999998</v>
      </c>
      <c r="AK2802" s="8">
        <f t="shared" ca="1" si="410"/>
        <v>1.0001159722222221</v>
      </c>
      <c r="AL2802" s="98">
        <f t="shared" ca="1" si="411"/>
        <v>4.0943511864006243</v>
      </c>
      <c r="AM2802" s="106">
        <f t="shared" ca="1" si="405"/>
        <v>32911.644454707806</v>
      </c>
      <c r="AN2802" s="10">
        <f t="shared" ca="1" si="406"/>
        <v>1.0425837126353255</v>
      </c>
      <c r="AO2802" s="158"/>
      <c r="AP2802" s="158"/>
      <c r="AQ2802" s="1"/>
      <c r="AR2802" s="1"/>
      <c r="AS2802" s="1"/>
      <c r="AT2802" s="1"/>
      <c r="AU2802" s="1"/>
    </row>
    <row r="2803" spans="34:47">
      <c r="AH2803" s="6">
        <f t="shared" si="407"/>
        <v>2773</v>
      </c>
      <c r="AI2803" s="7">
        <f t="shared" ca="1" si="408"/>
        <v>45443</v>
      </c>
      <c r="AJ2803" s="210">
        <f t="shared" ca="1" si="409"/>
        <v>4.1749999999999998</v>
      </c>
      <c r="AK2803" s="8">
        <f t="shared" ca="1" si="410"/>
        <v>1.0001159722222221</v>
      </c>
      <c r="AL2803" s="98">
        <f t="shared" ca="1" si="411"/>
        <v>4.0944337667733643</v>
      </c>
      <c r="AM2803" s="106">
        <f t="shared" ca="1" si="405"/>
        <v>32914.356422564902</v>
      </c>
      <c r="AN2803" s="10">
        <f t="shared" ca="1" si="406"/>
        <v>1.042652225094054</v>
      </c>
      <c r="AO2803" s="158"/>
      <c r="AP2803" s="158"/>
      <c r="AQ2803" s="1"/>
      <c r="AR2803" s="1"/>
      <c r="AS2803" s="1"/>
      <c r="AT2803" s="1"/>
      <c r="AU2803" s="1"/>
    </row>
    <row r="2804" spans="34:47">
      <c r="AH2804" s="6">
        <f t="shared" si="407"/>
        <v>2774</v>
      </c>
      <c r="AI2804" s="7">
        <f t="shared" ca="1" si="408"/>
        <v>45444</v>
      </c>
      <c r="AJ2804" s="210">
        <f t="shared" ca="1" si="409"/>
        <v>4.1749999999999998</v>
      </c>
      <c r="AK2804" s="8">
        <f t="shared" ca="1" si="410"/>
        <v>1.0001159722222221</v>
      </c>
      <c r="AL2804" s="98">
        <f t="shared" ca="1" si="411"/>
        <v>4.0945162876727004</v>
      </c>
      <c r="AM2804" s="106">
        <f t="shared" ca="1" si="405"/>
        <v>32917.06861389213</v>
      </c>
      <c r="AN2804" s="10">
        <f t="shared" ca="1" si="406"/>
        <v>1.042720688203036</v>
      </c>
      <c r="AO2804" s="158"/>
      <c r="AP2804" s="158"/>
      <c r="AQ2804" s="1"/>
      <c r="AR2804" s="1"/>
      <c r="AS2804" s="1"/>
      <c r="AT2804" s="1"/>
      <c r="AU2804" s="1"/>
    </row>
    <row r="2805" spans="34:47">
      <c r="AH2805" s="6">
        <f t="shared" si="407"/>
        <v>2775</v>
      </c>
      <c r="AI2805" s="7">
        <f t="shared" ca="1" si="408"/>
        <v>45445</v>
      </c>
      <c r="AJ2805" s="210">
        <f t="shared" ca="1" si="409"/>
        <v>4.1749999999999998</v>
      </c>
      <c r="AK2805" s="8">
        <f t="shared" ca="1" si="410"/>
        <v>1.0001159722222221</v>
      </c>
      <c r="AL2805" s="98">
        <f t="shared" ca="1" si="411"/>
        <v>4.0945987491628477</v>
      </c>
      <c r="AM2805" s="106">
        <f t="shared" ca="1" si="405"/>
        <v>32919.781028707912</v>
      </c>
      <c r="AN2805" s="10">
        <f t="shared" ca="1" si="406"/>
        <v>1.04278910201554</v>
      </c>
      <c r="AO2805" s="158"/>
      <c r="AP2805" s="158"/>
      <c r="AQ2805" s="1"/>
      <c r="AR2805" s="1"/>
      <c r="AS2805" s="1"/>
      <c r="AT2805" s="1"/>
      <c r="AU2805" s="1"/>
    </row>
    <row r="2806" spans="34:47">
      <c r="AH2806" s="6">
        <f t="shared" si="407"/>
        <v>2776</v>
      </c>
      <c r="AI2806" s="7">
        <f t="shared" ca="1" si="408"/>
        <v>45446</v>
      </c>
      <c r="AJ2806" s="210">
        <f t="shared" ca="1" si="409"/>
        <v>4.1749999999999998</v>
      </c>
      <c r="AK2806" s="8">
        <f t="shared" ca="1" si="410"/>
        <v>1.0001159722222221</v>
      </c>
      <c r="AL2806" s="98">
        <f t="shared" ca="1" si="411"/>
        <v>4.0946811513079551</v>
      </c>
      <c r="AM2806" s="106">
        <f t="shared" ca="1" si="405"/>
        <v>32922.493667030656</v>
      </c>
      <c r="AN2806" s="10">
        <f t="shared" ca="1" si="406"/>
        <v>1.0428574665848345</v>
      </c>
      <c r="AO2806" s="158"/>
      <c r="AP2806" s="158"/>
      <c r="AQ2806" s="1"/>
      <c r="AR2806" s="1"/>
      <c r="AS2806" s="1"/>
      <c r="AT2806" s="1"/>
      <c r="AU2806" s="1"/>
    </row>
    <row r="2807" spans="34:47">
      <c r="AH2807" s="6">
        <f t="shared" si="407"/>
        <v>2777</v>
      </c>
      <c r="AI2807" s="7">
        <f t="shared" ca="1" si="408"/>
        <v>45447</v>
      </c>
      <c r="AJ2807" s="210">
        <f t="shared" ca="1" si="409"/>
        <v>4.1749999999999998</v>
      </c>
      <c r="AK2807" s="8">
        <f t="shared" ca="1" si="410"/>
        <v>1.0001159722222221</v>
      </c>
      <c r="AL2807" s="98">
        <f t="shared" ca="1" si="411"/>
        <v>4.0947634941720601</v>
      </c>
      <c r="AM2807" s="106">
        <f t="shared" ca="1" si="405"/>
        <v>32925.206528878778</v>
      </c>
      <c r="AN2807" s="10">
        <f t="shared" ca="1" si="406"/>
        <v>1.0429257819640769</v>
      </c>
      <c r="AO2807" s="158"/>
      <c r="AP2807" s="158"/>
      <c r="AQ2807" s="1"/>
      <c r="AR2807" s="1"/>
      <c r="AS2807" s="1"/>
      <c r="AT2807" s="1"/>
      <c r="AU2807" s="1"/>
    </row>
    <row r="2808" spans="34:47">
      <c r="AH2808" s="6">
        <f t="shared" si="407"/>
        <v>2778</v>
      </c>
      <c r="AI2808" s="7">
        <f t="shared" ca="1" si="408"/>
        <v>45448</v>
      </c>
      <c r="AJ2808" s="210">
        <f t="shared" ca="1" si="409"/>
        <v>4.1749999999999998</v>
      </c>
      <c r="AK2808" s="8">
        <f t="shared" ca="1" si="410"/>
        <v>1.0001159722222221</v>
      </c>
      <c r="AL2808" s="98">
        <f t="shared" ca="1" si="411"/>
        <v>4.0948457778191116</v>
      </c>
      <c r="AM2808" s="106">
        <f t="shared" ca="1" si="405"/>
        <v>32927.919614270715</v>
      </c>
      <c r="AN2808" s="10">
        <f t="shared" ca="1" si="406"/>
        <v>1.0429940482062916</v>
      </c>
      <c r="AO2808" s="158"/>
      <c r="AP2808" s="158"/>
      <c r="AQ2808" s="1"/>
      <c r="AR2808" s="1"/>
      <c r="AS2808" s="1"/>
      <c r="AT2808" s="1"/>
      <c r="AU2808" s="1"/>
    </row>
    <row r="2809" spans="34:47">
      <c r="AH2809" s="6">
        <f t="shared" si="407"/>
        <v>2779</v>
      </c>
      <c r="AI2809" s="7">
        <f t="shared" ca="1" si="408"/>
        <v>45449</v>
      </c>
      <c r="AJ2809" s="210">
        <f t="shared" ca="1" si="409"/>
        <v>4.1749999999999998</v>
      </c>
      <c r="AK2809" s="8">
        <f t="shared" ca="1" si="410"/>
        <v>1.0001159722222221</v>
      </c>
      <c r="AL2809" s="98">
        <f t="shared" ca="1" si="411"/>
        <v>4.0949280023129697</v>
      </c>
      <c r="AM2809" s="106">
        <f t="shared" ca="1" si="405"/>
        <v>32930.632923224861</v>
      </c>
      <c r="AN2809" s="10">
        <f t="shared" ca="1" si="406"/>
        <v>1.043062265364525</v>
      </c>
      <c r="AO2809" s="158"/>
      <c r="AP2809" s="158"/>
      <c r="AQ2809" s="1"/>
      <c r="AR2809" s="1"/>
      <c r="AS2809" s="1"/>
      <c r="AT2809" s="1"/>
      <c r="AU2809" s="1"/>
    </row>
    <row r="2810" spans="34:47">
      <c r="AH2810" s="6">
        <f t="shared" si="407"/>
        <v>2780</v>
      </c>
      <c r="AI2810" s="7">
        <f t="shared" ca="1" si="408"/>
        <v>45450</v>
      </c>
      <c r="AJ2810" s="210">
        <f t="shared" ca="1" si="409"/>
        <v>4.1749999999999998</v>
      </c>
      <c r="AK2810" s="8">
        <f t="shared" ca="1" si="410"/>
        <v>1.0001159722222221</v>
      </c>
      <c r="AL2810" s="98">
        <f t="shared" ca="1" si="411"/>
        <v>4.0950101677174056</v>
      </c>
      <c r="AM2810" s="106">
        <f t="shared" ca="1" si="405"/>
        <v>32933.34645575966</v>
      </c>
      <c r="AN2810" s="10">
        <f t="shared" ca="1" si="406"/>
        <v>1.043130433491668</v>
      </c>
      <c r="AO2810" s="158"/>
      <c r="AP2810" s="158"/>
      <c r="AQ2810" s="1"/>
      <c r="AR2810" s="1"/>
      <c r="AS2810" s="1"/>
      <c r="AT2810" s="1"/>
      <c r="AU2810" s="1"/>
    </row>
    <row r="2811" spans="34:47">
      <c r="AH2811" s="6">
        <f t="shared" si="407"/>
        <v>2781</v>
      </c>
      <c r="AI2811" s="7">
        <f t="shared" ca="1" si="408"/>
        <v>45451</v>
      </c>
      <c r="AJ2811" s="210">
        <f t="shared" ca="1" si="409"/>
        <v>4.1749999999999998</v>
      </c>
      <c r="AK2811" s="8">
        <f t="shared" ca="1" si="410"/>
        <v>1.0001159722222221</v>
      </c>
      <c r="AL2811" s="98">
        <f t="shared" ca="1" si="411"/>
        <v>4.0950922740960793</v>
      </c>
      <c r="AM2811" s="106">
        <f t="shared" ca="1" si="405"/>
        <v>32936.060211893528</v>
      </c>
      <c r="AN2811" s="10">
        <f t="shared" ca="1" si="406"/>
        <v>1.0431985526405674</v>
      </c>
      <c r="AO2811" s="158"/>
      <c r="AP2811" s="158"/>
      <c r="AQ2811" s="1"/>
      <c r="AR2811" s="1"/>
      <c r="AS2811" s="1"/>
      <c r="AT2811" s="1"/>
      <c r="AU2811" s="1"/>
    </row>
    <row r="2812" spans="34:47">
      <c r="AH2812" s="6">
        <f t="shared" si="407"/>
        <v>2782</v>
      </c>
      <c r="AI2812" s="7">
        <f t="shared" ca="1" si="408"/>
        <v>45452</v>
      </c>
      <c r="AJ2812" s="210">
        <f t="shared" ca="1" si="409"/>
        <v>4.1749999999999998</v>
      </c>
      <c r="AK2812" s="8">
        <f t="shared" ca="1" si="410"/>
        <v>1.0001159722222221</v>
      </c>
      <c r="AL2812" s="98">
        <f t="shared" ca="1" si="411"/>
        <v>4.0951743215125624</v>
      </c>
      <c r="AM2812" s="106">
        <f t="shared" ca="1" si="405"/>
        <v>32938.774191644872</v>
      </c>
      <c r="AN2812" s="10">
        <f t="shared" ca="1" si="406"/>
        <v>1.0432666228640031</v>
      </c>
      <c r="AO2812" s="158"/>
      <c r="AP2812" s="158"/>
      <c r="AQ2812" s="1"/>
      <c r="AR2812" s="1"/>
      <c r="AS2812" s="1"/>
      <c r="AT2812" s="1"/>
      <c r="AU2812" s="1"/>
    </row>
    <row r="2813" spans="34:47">
      <c r="AH2813" s="6">
        <f t="shared" si="407"/>
        <v>2783</v>
      </c>
      <c r="AI2813" s="7">
        <f t="shared" ca="1" si="408"/>
        <v>45453</v>
      </c>
      <c r="AJ2813" s="210">
        <f t="shared" ca="1" si="409"/>
        <v>4.1749999999999998</v>
      </c>
      <c r="AK2813" s="8">
        <f t="shared" ca="1" si="410"/>
        <v>1.0001159722222221</v>
      </c>
      <c r="AL2813" s="98">
        <f t="shared" ca="1" si="411"/>
        <v>4.0952563100303596</v>
      </c>
      <c r="AM2813" s="106">
        <f t="shared" ca="1" si="405"/>
        <v>32941.488395032153</v>
      </c>
      <c r="AN2813" s="10">
        <f t="shared" ca="1" si="406"/>
        <v>1.0433346442146219</v>
      </c>
      <c r="AO2813" s="158"/>
      <c r="AP2813" s="158"/>
      <c r="AQ2813" s="1"/>
      <c r="AR2813" s="1"/>
      <c r="AS2813" s="1"/>
      <c r="AT2813" s="1"/>
      <c r="AU2813" s="1"/>
    </row>
    <row r="2814" spans="34:47">
      <c r="AH2814" s="6">
        <f t="shared" si="407"/>
        <v>2784</v>
      </c>
      <c r="AI2814" s="7">
        <f t="shared" ca="1" si="408"/>
        <v>45454</v>
      </c>
      <c r="AJ2814" s="210">
        <f t="shared" ca="1" si="409"/>
        <v>4.1749999999999998</v>
      </c>
      <c r="AK2814" s="8">
        <f t="shared" ca="1" si="410"/>
        <v>1.0001159722222221</v>
      </c>
      <c r="AL2814" s="98">
        <f t="shared" ca="1" si="411"/>
        <v>4.0953382397128646</v>
      </c>
      <c r="AM2814" s="106">
        <f t="shared" ca="1" si="405"/>
        <v>32944.202822073777</v>
      </c>
      <c r="AN2814" s="10">
        <f t="shared" ca="1" si="406"/>
        <v>1.0434026167450927</v>
      </c>
      <c r="AO2814" s="158"/>
      <c r="AP2814" s="158"/>
      <c r="AQ2814" s="1"/>
      <c r="AR2814" s="1"/>
      <c r="AS2814" s="1"/>
      <c r="AT2814" s="1"/>
      <c r="AU2814" s="1"/>
    </row>
    <row r="2815" spans="34:47">
      <c r="AH2815" s="6">
        <f t="shared" si="407"/>
        <v>2785</v>
      </c>
      <c r="AI2815" s="7">
        <f t="shared" ca="1" si="408"/>
        <v>45455</v>
      </c>
      <c r="AJ2815" s="210">
        <f t="shared" ca="1" si="409"/>
        <v>4.1749999999999998</v>
      </c>
      <c r="AK2815" s="8">
        <f t="shared" ca="1" si="410"/>
        <v>1.0001159722222221</v>
      </c>
      <c r="AL2815" s="98">
        <f t="shared" ca="1" si="411"/>
        <v>4.0954201106234045</v>
      </c>
      <c r="AM2815" s="106">
        <f t="shared" ca="1" si="405"/>
        <v>32946.917472788176</v>
      </c>
      <c r="AN2815" s="10">
        <f t="shared" ca="1" si="406"/>
        <v>1.0434705405079292</v>
      </c>
      <c r="AO2815" s="158"/>
      <c r="AP2815" s="158"/>
      <c r="AQ2815" s="1"/>
      <c r="AR2815" s="1"/>
      <c r="AS2815" s="1"/>
      <c r="AT2815" s="1"/>
      <c r="AU2815" s="1"/>
    </row>
    <row r="2816" spans="34:47">
      <c r="AH2816" s="6">
        <f t="shared" si="407"/>
        <v>2786</v>
      </c>
      <c r="AI2816" s="7">
        <f t="shared" ca="1" si="408"/>
        <v>45456</v>
      </c>
      <c r="AJ2816" s="210">
        <f t="shared" ca="1" si="409"/>
        <v>4.1749999999999998</v>
      </c>
      <c r="AK2816" s="8">
        <f t="shared" ca="1" si="410"/>
        <v>1.0001159722222221</v>
      </c>
      <c r="AL2816" s="98">
        <f t="shared" ca="1" si="411"/>
        <v>4.0955019228251732</v>
      </c>
      <c r="AM2816" s="106">
        <f t="shared" ca="1" si="405"/>
        <v>32949.632347193779</v>
      </c>
      <c r="AN2816" s="10">
        <f t="shared" ca="1" si="406"/>
        <v>1.0435384155556227</v>
      </c>
      <c r="AO2816" s="158"/>
      <c r="AP2816" s="158"/>
      <c r="AQ2816" s="1"/>
      <c r="AR2816" s="1"/>
      <c r="AS2816" s="1"/>
      <c r="AT2816" s="1"/>
      <c r="AU2816" s="1"/>
    </row>
    <row r="2817" spans="34:47">
      <c r="AH2817" s="6">
        <f t="shared" si="407"/>
        <v>2787</v>
      </c>
      <c r="AI2817" s="7">
        <f t="shared" ca="1" si="408"/>
        <v>45457</v>
      </c>
      <c r="AJ2817" s="210">
        <f t="shared" ca="1" si="409"/>
        <v>4.1749999999999998</v>
      </c>
      <c r="AK2817" s="8">
        <f t="shared" ca="1" si="410"/>
        <v>1.0001159722222221</v>
      </c>
      <c r="AL2817" s="98">
        <f t="shared" ca="1" si="411"/>
        <v>4.0955836763812981</v>
      </c>
      <c r="AM2817" s="106">
        <f t="shared" ca="1" si="405"/>
        <v>32952.347445309024</v>
      </c>
      <c r="AN2817" s="10">
        <f t="shared" ca="1" si="406"/>
        <v>1.043606241940509</v>
      </c>
      <c r="AO2817" s="158"/>
      <c r="AP2817" s="158"/>
      <c r="AQ2817" s="1"/>
      <c r="AR2817" s="1"/>
      <c r="AS2817" s="1"/>
      <c r="AT2817" s="1"/>
      <c r="AU2817" s="1"/>
    </row>
    <row r="2818" spans="34:47">
      <c r="AH2818" s="6">
        <f t="shared" si="407"/>
        <v>2788</v>
      </c>
      <c r="AI2818" s="7">
        <f t="shared" ca="1" si="408"/>
        <v>45458</v>
      </c>
      <c r="AJ2818" s="210">
        <f t="shared" ca="1" si="409"/>
        <v>4.1749999999999998</v>
      </c>
      <c r="AK2818" s="8">
        <f t="shared" ca="1" si="410"/>
        <v>1.0001159722222221</v>
      </c>
      <c r="AL2818" s="98">
        <f t="shared" ca="1" si="411"/>
        <v>4.0956653713548175</v>
      </c>
      <c r="AM2818" s="106">
        <f t="shared" ca="1" si="405"/>
        <v>32955.062767152347</v>
      </c>
      <c r="AN2818" s="10">
        <f t="shared" ca="1" si="406"/>
        <v>1.0436740197149241</v>
      </c>
      <c r="AO2818" s="158"/>
      <c r="AP2818" s="158"/>
      <c r="AQ2818" s="1"/>
      <c r="AR2818" s="1"/>
      <c r="AS2818" s="1"/>
      <c r="AT2818" s="1"/>
      <c r="AU2818" s="1"/>
    </row>
    <row r="2819" spans="34:47">
      <c r="AH2819" s="6">
        <f t="shared" si="407"/>
        <v>2789</v>
      </c>
      <c r="AI2819" s="7">
        <f t="shared" ca="1" si="408"/>
        <v>45459</v>
      </c>
      <c r="AJ2819" s="210">
        <f t="shared" ca="1" si="409"/>
        <v>4.1749999999999998</v>
      </c>
      <c r="AK2819" s="8">
        <f t="shared" ca="1" si="410"/>
        <v>1.0001159722222221</v>
      </c>
      <c r="AL2819" s="98">
        <f t="shared" ca="1" si="411"/>
        <v>4.0957470078086811</v>
      </c>
      <c r="AM2819" s="106">
        <f t="shared" ca="1" si="405"/>
        <v>32957.778312742172</v>
      </c>
      <c r="AN2819" s="10">
        <f t="shared" ca="1" si="406"/>
        <v>1.0437417489311374</v>
      </c>
      <c r="AO2819" s="158"/>
      <c r="AP2819" s="158"/>
      <c r="AQ2819" s="1"/>
      <c r="AR2819" s="1"/>
      <c r="AS2819" s="1"/>
      <c r="AT2819" s="1"/>
      <c r="AU2819" s="1"/>
    </row>
    <row r="2820" spans="34:47">
      <c r="AH2820" s="6">
        <f t="shared" si="407"/>
        <v>2790</v>
      </c>
      <c r="AI2820" s="7">
        <f t="shared" ca="1" si="408"/>
        <v>45460</v>
      </c>
      <c r="AJ2820" s="210">
        <f t="shared" ca="1" si="409"/>
        <v>4.1749999999999998</v>
      </c>
      <c r="AK2820" s="8">
        <f t="shared" ca="1" si="410"/>
        <v>1.0001159722222221</v>
      </c>
      <c r="AL2820" s="98">
        <f t="shared" ca="1" si="411"/>
        <v>4.0958285858057497</v>
      </c>
      <c r="AM2820" s="106">
        <f t="shared" ca="1" si="405"/>
        <v>32960.49408209695</v>
      </c>
      <c r="AN2820" s="10">
        <f t="shared" ca="1" si="406"/>
        <v>1.0438094296412848</v>
      </c>
      <c r="AO2820" s="158"/>
      <c r="AP2820" s="158"/>
      <c r="AQ2820" s="1"/>
      <c r="AR2820" s="1"/>
      <c r="AS2820" s="1"/>
      <c r="AT2820" s="1"/>
      <c r="AU2820" s="1"/>
    </row>
    <row r="2821" spans="34:47">
      <c r="AH2821" s="6">
        <f t="shared" si="407"/>
        <v>2791</v>
      </c>
      <c r="AI2821" s="7">
        <f t="shared" ca="1" si="408"/>
        <v>45461</v>
      </c>
      <c r="AJ2821" s="210">
        <f t="shared" ca="1" si="409"/>
        <v>4.1749999999999998</v>
      </c>
      <c r="AK2821" s="8">
        <f t="shared" ca="1" si="410"/>
        <v>1.0001159722222221</v>
      </c>
      <c r="AL2821" s="98">
        <f t="shared" ca="1" si="411"/>
        <v>4.0959101054087732</v>
      </c>
      <c r="AM2821" s="106">
        <f t="shared" ca="1" si="405"/>
        <v>32963.210075235111</v>
      </c>
      <c r="AN2821" s="10">
        <f t="shared" ca="1" si="406"/>
        <v>1.043877061897458</v>
      </c>
      <c r="AO2821" s="158"/>
      <c r="AP2821" s="158"/>
      <c r="AQ2821" s="1"/>
      <c r="AR2821" s="1"/>
      <c r="AS2821" s="1"/>
      <c r="AT2821" s="1"/>
      <c r="AU2821" s="1"/>
    </row>
    <row r="2822" spans="34:47">
      <c r="AH2822" s="6">
        <f t="shared" si="407"/>
        <v>2792</v>
      </c>
      <c r="AI2822" s="7">
        <f t="shared" ca="1" si="408"/>
        <v>45462</v>
      </c>
      <c r="AJ2822" s="210">
        <f t="shared" ca="1" si="409"/>
        <v>4.1749999999999998</v>
      </c>
      <c r="AK2822" s="8">
        <f t="shared" ca="1" si="410"/>
        <v>1.0001159722222221</v>
      </c>
      <c r="AL2822" s="98">
        <f t="shared" ca="1" si="411"/>
        <v>4.0959915666804347</v>
      </c>
      <c r="AM2822" s="106">
        <f t="shared" ca="1" si="405"/>
        <v>32965.926292175085</v>
      </c>
      <c r="AN2822" s="10">
        <f t="shared" ca="1" si="406"/>
        <v>1.0439446457516599</v>
      </c>
      <c r="AO2822" s="158"/>
      <c r="AP2822" s="158"/>
      <c r="AQ2822" s="1"/>
      <c r="AR2822" s="1"/>
      <c r="AS2822" s="1"/>
      <c r="AT2822" s="1"/>
      <c r="AU2822" s="1"/>
    </row>
    <row r="2823" spans="34:47">
      <c r="AH2823" s="6">
        <f t="shared" si="407"/>
        <v>2793</v>
      </c>
      <c r="AI2823" s="7">
        <f t="shared" ca="1" si="408"/>
        <v>45463</v>
      </c>
      <c r="AJ2823" s="210">
        <f t="shared" ca="1" si="409"/>
        <v>4.1749999999999998</v>
      </c>
      <c r="AK2823" s="8">
        <f t="shared" ca="1" si="410"/>
        <v>1.0001159722222221</v>
      </c>
      <c r="AL2823" s="98">
        <f t="shared" ca="1" si="411"/>
        <v>4.0960729696833287</v>
      </c>
      <c r="AM2823" s="106">
        <f t="shared" ca="1" si="405"/>
        <v>32968.642732935339</v>
      </c>
      <c r="AN2823" s="10">
        <f t="shared" ca="1" si="406"/>
        <v>1.0440121812558711</v>
      </c>
      <c r="AO2823" s="158"/>
      <c r="AP2823" s="158"/>
      <c r="AQ2823" s="1"/>
      <c r="AR2823" s="1"/>
      <c r="AS2823" s="1"/>
      <c r="AT2823" s="1"/>
      <c r="AU2823" s="1"/>
    </row>
    <row r="2824" spans="34:47">
      <c r="AH2824" s="6">
        <f t="shared" si="407"/>
        <v>2794</v>
      </c>
      <c r="AI2824" s="7">
        <f t="shared" ca="1" si="408"/>
        <v>45464</v>
      </c>
      <c r="AJ2824" s="210">
        <f t="shared" ca="1" si="409"/>
        <v>4.1749999999999998</v>
      </c>
      <c r="AK2824" s="8">
        <f t="shared" ca="1" si="410"/>
        <v>1.0001159722222221</v>
      </c>
      <c r="AL2824" s="98">
        <f t="shared" ca="1" si="411"/>
        <v>4.0961543144799384</v>
      </c>
      <c r="AM2824" s="106">
        <f t="shared" ca="1" si="405"/>
        <v>32971.359397534303</v>
      </c>
      <c r="AN2824" s="10">
        <f t="shared" ca="1" si="406"/>
        <v>1.0440796684619169</v>
      </c>
      <c r="AO2824" s="158"/>
      <c r="AP2824" s="158"/>
      <c r="AQ2824" s="1"/>
      <c r="AR2824" s="1"/>
      <c r="AS2824" s="1"/>
      <c r="AT2824" s="1"/>
      <c r="AU2824" s="1"/>
    </row>
    <row r="2825" spans="34:47">
      <c r="AH2825" s="6">
        <f t="shared" si="407"/>
        <v>2795</v>
      </c>
      <c r="AI2825" s="7">
        <f t="shared" ca="1" si="408"/>
        <v>45465</v>
      </c>
      <c r="AJ2825" s="210">
        <f t="shared" ca="1" si="409"/>
        <v>4.1749999999999998</v>
      </c>
      <c r="AK2825" s="8">
        <f t="shared" ca="1" si="410"/>
        <v>1.0001159722222221</v>
      </c>
      <c r="AL2825" s="98">
        <f t="shared" ca="1" si="411"/>
        <v>4.0962356011326806</v>
      </c>
      <c r="AM2825" s="106">
        <f t="shared" ca="1" si="405"/>
        <v>32974.076285990413</v>
      </c>
      <c r="AN2825" s="10">
        <f t="shared" ca="1" si="406"/>
        <v>1.0441471074216224</v>
      </c>
      <c r="AO2825" s="158"/>
      <c r="AP2825" s="158"/>
      <c r="AQ2825" s="1"/>
      <c r="AR2825" s="1"/>
      <c r="AS2825" s="1"/>
      <c r="AT2825" s="1"/>
      <c r="AU2825" s="1"/>
    </row>
    <row r="2826" spans="34:47">
      <c r="AH2826" s="6">
        <f t="shared" si="407"/>
        <v>2796</v>
      </c>
      <c r="AI2826" s="7">
        <f t="shared" ca="1" si="408"/>
        <v>45466</v>
      </c>
      <c r="AJ2826" s="210">
        <f t="shared" ca="1" si="409"/>
        <v>4.1749999999999998</v>
      </c>
      <c r="AK2826" s="8">
        <f t="shared" ca="1" si="410"/>
        <v>1.0001159722222221</v>
      </c>
      <c r="AL2826" s="98">
        <f t="shared" ca="1" si="411"/>
        <v>4.0963168297038832</v>
      </c>
      <c r="AM2826" s="106">
        <f t="shared" ca="1" si="405"/>
        <v>32976.79339832213</v>
      </c>
      <c r="AN2826" s="10">
        <f t="shared" ca="1" si="406"/>
        <v>1.0442144981867019</v>
      </c>
      <c r="AO2826" s="158"/>
      <c r="AP2826" s="158"/>
      <c r="AQ2826" s="1"/>
      <c r="AR2826" s="1"/>
      <c r="AS2826" s="1"/>
      <c r="AT2826" s="1"/>
      <c r="AU2826" s="1"/>
    </row>
    <row r="2827" spans="34:47">
      <c r="AH2827" s="6">
        <f t="shared" si="407"/>
        <v>2797</v>
      </c>
      <c r="AI2827" s="7">
        <f t="shared" ca="1" si="408"/>
        <v>45467</v>
      </c>
      <c r="AJ2827" s="210">
        <f t="shared" ca="1" si="409"/>
        <v>4.1749999999999998</v>
      </c>
      <c r="AK2827" s="8">
        <f t="shared" ca="1" si="410"/>
        <v>1.0001159722222221</v>
      </c>
      <c r="AL2827" s="98">
        <f t="shared" ca="1" si="411"/>
        <v>4.0963980002557632</v>
      </c>
      <c r="AM2827" s="106">
        <f t="shared" ca="1" si="405"/>
        <v>32979.51073454789</v>
      </c>
      <c r="AN2827" s="10">
        <f t="shared" ca="1" si="406"/>
        <v>1.0442818408087806</v>
      </c>
      <c r="AO2827" s="158"/>
      <c r="AP2827" s="158"/>
      <c r="AQ2827" s="1"/>
      <c r="AR2827" s="1"/>
      <c r="AS2827" s="1"/>
      <c r="AT2827" s="1"/>
      <c r="AU2827" s="1"/>
    </row>
    <row r="2828" spans="34:47">
      <c r="AH2828" s="6">
        <f t="shared" si="407"/>
        <v>2798</v>
      </c>
      <c r="AI2828" s="7">
        <f t="shared" ca="1" si="408"/>
        <v>45468</v>
      </c>
      <c r="AJ2828" s="210">
        <f t="shared" ca="1" si="409"/>
        <v>4.1749999999999998</v>
      </c>
      <c r="AK2828" s="8">
        <f t="shared" ca="1" si="410"/>
        <v>1.0001159722222221</v>
      </c>
      <c r="AL2828" s="98">
        <f t="shared" ca="1" si="411"/>
        <v>4.0964791128504485</v>
      </c>
      <c r="AM2828" s="106">
        <f t="shared" ca="1" si="405"/>
        <v>32982.228294686152</v>
      </c>
      <c r="AN2828" s="10">
        <f t="shared" ca="1" si="406"/>
        <v>1.0443491353394174</v>
      </c>
      <c r="AO2828" s="158"/>
      <c r="AP2828" s="158"/>
      <c r="AQ2828" s="1"/>
      <c r="AR2828" s="1"/>
      <c r="AS2828" s="1"/>
      <c r="AT2828" s="1"/>
      <c r="AU2828" s="1"/>
    </row>
    <row r="2829" spans="34:47">
      <c r="AH2829" s="6">
        <f t="shared" si="407"/>
        <v>2799</v>
      </c>
      <c r="AI2829" s="7">
        <f t="shared" ca="1" si="408"/>
        <v>45469</v>
      </c>
      <c r="AJ2829" s="210">
        <f t="shared" ca="1" si="409"/>
        <v>4.1749999999999998</v>
      </c>
      <c r="AK2829" s="8">
        <f t="shared" ca="1" si="410"/>
        <v>1.0001159722222221</v>
      </c>
      <c r="AL2829" s="98">
        <f t="shared" ca="1" si="411"/>
        <v>4.0965601675500007</v>
      </c>
      <c r="AM2829" s="106">
        <f t="shared" ca="1" si="405"/>
        <v>32984.946078755362</v>
      </c>
      <c r="AN2829" s="10">
        <f t="shared" ca="1" si="406"/>
        <v>1.0444163818301488</v>
      </c>
      <c r="AO2829" s="158"/>
      <c r="AP2829" s="158"/>
      <c r="AQ2829" s="1"/>
      <c r="AR2829" s="1"/>
      <c r="AS2829" s="1"/>
      <c r="AT2829" s="1"/>
      <c r="AU2829" s="1"/>
    </row>
    <row r="2830" spans="34:47">
      <c r="AH2830" s="6">
        <f t="shared" si="407"/>
        <v>2800</v>
      </c>
      <c r="AI2830" s="7">
        <f t="shared" ca="1" si="408"/>
        <v>45470</v>
      </c>
      <c r="AJ2830" s="210">
        <f t="shared" ca="1" si="409"/>
        <v>4.1749999999999998</v>
      </c>
      <c r="AK2830" s="8">
        <f t="shared" ca="1" si="410"/>
        <v>1.0001159722222221</v>
      </c>
      <c r="AL2830" s="98">
        <f t="shared" ca="1" si="411"/>
        <v>4.0966411644163925</v>
      </c>
      <c r="AM2830" s="106">
        <f t="shared" ca="1" si="405"/>
        <v>32987.66408677397</v>
      </c>
      <c r="AN2830" s="10">
        <f t="shared" ca="1" si="406"/>
        <v>1.044483580332356</v>
      </c>
      <c r="AO2830" s="158"/>
      <c r="AP2830" s="158"/>
      <c r="AQ2830" s="1"/>
      <c r="AR2830" s="1"/>
      <c r="AS2830" s="1"/>
      <c r="AT2830" s="1"/>
      <c r="AU2830" s="1"/>
    </row>
    <row r="2831" spans="34:47">
      <c r="AH2831" s="6">
        <f t="shared" si="407"/>
        <v>2801</v>
      </c>
      <c r="AI2831" s="7">
        <f t="shared" ca="1" si="408"/>
        <v>45471</v>
      </c>
      <c r="AJ2831" s="210">
        <f t="shared" ca="1" si="409"/>
        <v>4.1749999999999998</v>
      </c>
      <c r="AK2831" s="8">
        <f t="shared" ca="1" si="410"/>
        <v>1.0001159722222221</v>
      </c>
      <c r="AL2831" s="98">
        <f t="shared" ca="1" si="411"/>
        <v>4.0967221035114854</v>
      </c>
      <c r="AM2831" s="106">
        <f t="shared" ca="1" si="405"/>
        <v>32990.382318760436</v>
      </c>
      <c r="AN2831" s="10">
        <f t="shared" ca="1" si="406"/>
        <v>1.04455073089742</v>
      </c>
      <c r="AO2831" s="158"/>
      <c r="AP2831" s="158"/>
      <c r="AQ2831" s="1"/>
      <c r="AR2831" s="1"/>
      <c r="AS2831" s="1"/>
      <c r="AT2831" s="1"/>
      <c r="AU2831" s="1"/>
    </row>
    <row r="2832" spans="34:47">
      <c r="AH2832" s="6">
        <f t="shared" si="407"/>
        <v>2802</v>
      </c>
      <c r="AI2832" s="7">
        <f t="shared" ca="1" si="408"/>
        <v>45472</v>
      </c>
      <c r="AJ2832" s="210">
        <f t="shared" ca="1" si="409"/>
        <v>4.1749999999999998</v>
      </c>
      <c r="AK2832" s="8">
        <f t="shared" ca="1" si="410"/>
        <v>1.0001159722222221</v>
      </c>
      <c r="AL2832" s="98">
        <f t="shared" ca="1" si="411"/>
        <v>4.0968029848970744</v>
      </c>
      <c r="AM2832" s="106">
        <f t="shared" ca="1" si="405"/>
        <v>32993.100774733211</v>
      </c>
      <c r="AN2832" s="10">
        <f t="shared" ca="1" si="406"/>
        <v>1.0446178335766332</v>
      </c>
      <c r="AO2832" s="158"/>
      <c r="AP2832" s="158"/>
      <c r="AQ2832" s="1"/>
      <c r="AR2832" s="1"/>
      <c r="AS2832" s="1"/>
      <c r="AT2832" s="1"/>
      <c r="AU2832" s="1"/>
    </row>
    <row r="2833" spans="34:47">
      <c r="AH2833" s="6">
        <f t="shared" si="407"/>
        <v>2803</v>
      </c>
      <c r="AI2833" s="7">
        <f t="shared" ca="1" si="408"/>
        <v>45473</v>
      </c>
      <c r="AJ2833" s="210">
        <f t="shared" ca="1" si="409"/>
        <v>4.1749999999999998</v>
      </c>
      <c r="AK2833" s="8">
        <f t="shared" ca="1" si="410"/>
        <v>1.0001159722222221</v>
      </c>
      <c r="AL2833" s="98">
        <f t="shared" ca="1" si="411"/>
        <v>4.0968838086348436</v>
      </c>
      <c r="AM2833" s="106">
        <f t="shared" ca="1" si="405"/>
        <v>32995.819454710749</v>
      </c>
      <c r="AN2833" s="10">
        <f t="shared" ca="1" si="406"/>
        <v>1.0446848884211324</v>
      </c>
      <c r="AO2833" s="158"/>
      <c r="AP2833" s="158"/>
      <c r="AQ2833" s="1"/>
      <c r="AR2833" s="1"/>
      <c r="AS2833" s="1"/>
      <c r="AT2833" s="1"/>
      <c r="AU2833" s="1"/>
    </row>
    <row r="2834" spans="34:47">
      <c r="AH2834" s="6">
        <f t="shared" si="407"/>
        <v>2804</v>
      </c>
      <c r="AI2834" s="7">
        <f t="shared" ca="1" si="408"/>
        <v>45474</v>
      </c>
      <c r="AJ2834" s="210">
        <f t="shared" ca="1" si="409"/>
        <v>4.1749999999999998</v>
      </c>
      <c r="AK2834" s="8">
        <f t="shared" ca="1" si="410"/>
        <v>1.0001159722222221</v>
      </c>
      <c r="AL2834" s="98">
        <f t="shared" ca="1" si="411"/>
        <v>4.0969645747864325</v>
      </c>
      <c r="AM2834" s="106">
        <f t="shared" ca="1" si="405"/>
        <v>32998.538358711507</v>
      </c>
      <c r="AN2834" s="10">
        <f t="shared" ca="1" si="406"/>
        <v>1.0447518954821433</v>
      </c>
      <c r="AO2834" s="158"/>
      <c r="AP2834" s="158"/>
      <c r="AQ2834" s="1"/>
      <c r="AR2834" s="1"/>
      <c r="AS2834" s="1"/>
      <c r="AT2834" s="1"/>
      <c r="AU2834" s="1"/>
    </row>
    <row r="2835" spans="34:47">
      <c r="AH2835" s="6">
        <f t="shared" si="407"/>
        <v>2805</v>
      </c>
      <c r="AI2835" s="7">
        <f t="shared" ca="1" si="408"/>
        <v>45475</v>
      </c>
      <c r="AJ2835" s="210">
        <f t="shared" ca="1" si="409"/>
        <v>4.1749999999999998</v>
      </c>
      <c r="AK2835" s="8">
        <f t="shared" ca="1" si="410"/>
        <v>1.0001159722222221</v>
      </c>
      <c r="AL2835" s="98">
        <f t="shared" ca="1" si="411"/>
        <v>4.0970452834133253</v>
      </c>
      <c r="AM2835" s="106">
        <f t="shared" ca="1" si="405"/>
        <v>33001.257486753959</v>
      </c>
      <c r="AN2835" s="10">
        <f t="shared" ca="1" si="406"/>
        <v>1.0448188548106252</v>
      </c>
      <c r="AO2835" s="158"/>
      <c r="AP2835" s="158"/>
      <c r="AQ2835" s="1"/>
      <c r="AR2835" s="1"/>
      <c r="AS2835" s="1"/>
      <c r="AT2835" s="1"/>
      <c r="AU2835" s="1"/>
    </row>
    <row r="2836" spans="34:47">
      <c r="AH2836" s="6">
        <f t="shared" si="407"/>
        <v>2806</v>
      </c>
      <c r="AI2836" s="7">
        <f t="shared" ca="1" si="408"/>
        <v>45476</v>
      </c>
      <c r="AJ2836" s="210">
        <f t="shared" ca="1" si="409"/>
        <v>4.1749999999999998</v>
      </c>
      <c r="AK2836" s="8">
        <f t="shared" ca="1" si="410"/>
        <v>1.0001159722222221</v>
      </c>
      <c r="AL2836" s="98">
        <f t="shared" ca="1" si="411"/>
        <v>4.0971259345769839</v>
      </c>
      <c r="AM2836" s="106">
        <f t="shared" ca="1" si="405"/>
        <v>33003.97683885655</v>
      </c>
      <c r="AN2836" s="10">
        <f t="shared" ca="1" si="406"/>
        <v>1.0448857664576261</v>
      </c>
      <c r="AO2836" s="158"/>
      <c r="AP2836" s="158"/>
      <c r="AQ2836" s="1"/>
      <c r="AR2836" s="1"/>
      <c r="AS2836" s="1"/>
      <c r="AT2836" s="1"/>
      <c r="AU2836" s="1"/>
    </row>
    <row r="2837" spans="34:47">
      <c r="AH2837" s="6">
        <f t="shared" si="407"/>
        <v>2807</v>
      </c>
      <c r="AI2837" s="7">
        <f t="shared" ca="1" si="408"/>
        <v>45477</v>
      </c>
      <c r="AJ2837" s="210">
        <f t="shared" ca="1" si="409"/>
        <v>4.1749999999999998</v>
      </c>
      <c r="AK2837" s="8">
        <f t="shared" ca="1" si="410"/>
        <v>1.0001159722222221</v>
      </c>
      <c r="AL2837" s="98">
        <f t="shared" ca="1" si="411"/>
        <v>4.0972065283387593</v>
      </c>
      <c r="AM2837" s="106">
        <f t="shared" ca="1" si="405"/>
        <v>33006.696415037753</v>
      </c>
      <c r="AN2837" s="10">
        <f t="shared" ca="1" si="406"/>
        <v>1.0449526304740386</v>
      </c>
      <c r="AO2837" s="158"/>
      <c r="AP2837" s="158"/>
      <c r="AQ2837" s="1"/>
      <c r="AR2837" s="1"/>
      <c r="AS2837" s="1"/>
      <c r="AT2837" s="1"/>
      <c r="AU2837" s="1"/>
    </row>
    <row r="2838" spans="34:47">
      <c r="AH2838" s="6">
        <f t="shared" si="407"/>
        <v>2808</v>
      </c>
      <c r="AI2838" s="7">
        <f t="shared" ca="1" si="408"/>
        <v>45478</v>
      </c>
      <c r="AJ2838" s="210">
        <f t="shared" ca="1" si="409"/>
        <v>4.1749999999999998</v>
      </c>
      <c r="AK2838" s="8">
        <f t="shared" ca="1" si="410"/>
        <v>1.0001159722222221</v>
      </c>
      <c r="AL2838" s="98">
        <f t="shared" ca="1" si="411"/>
        <v>4.0972870647598914</v>
      </c>
      <c r="AM2838" s="106">
        <f t="shared" ca="1" si="405"/>
        <v>33009.416215316029</v>
      </c>
      <c r="AN2838" s="10">
        <f t="shared" ca="1" si="406"/>
        <v>1.045019446910711</v>
      </c>
      <c r="AO2838" s="158"/>
      <c r="AP2838" s="158"/>
      <c r="AQ2838" s="1"/>
      <c r="AR2838" s="1"/>
      <c r="AS2838" s="1"/>
      <c r="AT2838" s="1"/>
      <c r="AU2838" s="1"/>
    </row>
    <row r="2839" spans="34:47">
      <c r="AH2839" s="6">
        <f t="shared" si="407"/>
        <v>2809</v>
      </c>
      <c r="AI2839" s="7">
        <f t="shared" ca="1" si="408"/>
        <v>45479</v>
      </c>
      <c r="AJ2839" s="210">
        <f t="shared" ca="1" si="409"/>
        <v>4.1749999999999998</v>
      </c>
      <c r="AK2839" s="8">
        <f t="shared" ca="1" si="410"/>
        <v>1.0001159722222221</v>
      </c>
      <c r="AL2839" s="98">
        <f t="shared" ca="1" si="411"/>
        <v>4.0973675439015755</v>
      </c>
      <c r="AM2839" s="106">
        <f t="shared" ca="1" si="405"/>
        <v>33012.136239709842</v>
      </c>
      <c r="AN2839" s="10">
        <f t="shared" ca="1" si="406"/>
        <v>1.0450862158184249</v>
      </c>
      <c r="AO2839" s="158"/>
      <c r="AP2839" s="158"/>
      <c r="AQ2839" s="1"/>
      <c r="AR2839" s="1"/>
      <c r="AS2839" s="1"/>
      <c r="AT2839" s="1"/>
      <c r="AU2839" s="1"/>
    </row>
    <row r="2840" spans="34:47">
      <c r="AH2840" s="6">
        <f t="shared" si="407"/>
        <v>2810</v>
      </c>
      <c r="AI2840" s="7">
        <f t="shared" ca="1" si="408"/>
        <v>45480</v>
      </c>
      <c r="AJ2840" s="210">
        <f t="shared" ca="1" si="409"/>
        <v>4.1749999999999998</v>
      </c>
      <c r="AK2840" s="8">
        <f t="shared" ca="1" si="410"/>
        <v>1.0001159722222221</v>
      </c>
      <c r="AL2840" s="98">
        <f t="shared" ca="1" si="411"/>
        <v>4.0974479658248741</v>
      </c>
      <c r="AM2840" s="106">
        <f t="shared" ca="1" si="405"/>
        <v>33014.85648823766</v>
      </c>
      <c r="AN2840" s="10">
        <f t="shared" ca="1" si="406"/>
        <v>1.0451529372478285</v>
      </c>
      <c r="AO2840" s="158"/>
      <c r="AP2840" s="158"/>
      <c r="AQ2840" s="1"/>
      <c r="AR2840" s="1"/>
      <c r="AS2840" s="1"/>
      <c r="AT2840" s="1"/>
      <c r="AU2840" s="1"/>
    </row>
    <row r="2841" spans="34:47">
      <c r="AH2841" s="6">
        <f t="shared" si="407"/>
        <v>2811</v>
      </c>
      <c r="AI2841" s="7">
        <f t="shared" ca="1" si="408"/>
        <v>45481</v>
      </c>
      <c r="AJ2841" s="210">
        <f t="shared" ca="1" si="409"/>
        <v>4.1749999999999998</v>
      </c>
      <c r="AK2841" s="8">
        <f t="shared" ca="1" si="410"/>
        <v>1.0001159722222221</v>
      </c>
      <c r="AL2841" s="98">
        <f t="shared" ca="1" si="411"/>
        <v>4.097528330590805</v>
      </c>
      <c r="AM2841" s="106">
        <f t="shared" ca="1" si="405"/>
        <v>33017.576960917955</v>
      </c>
      <c r="AN2841" s="10">
        <f t="shared" ca="1" si="406"/>
        <v>1.0452196112495926</v>
      </c>
      <c r="AO2841" s="158"/>
      <c r="AP2841" s="158"/>
      <c r="AQ2841" s="1"/>
      <c r="AR2841" s="1"/>
      <c r="AS2841" s="1"/>
      <c r="AT2841" s="1"/>
      <c r="AU2841" s="1"/>
    </row>
    <row r="2842" spans="34:47">
      <c r="AH2842" s="6">
        <f t="shared" si="407"/>
        <v>2812</v>
      </c>
      <c r="AI2842" s="7">
        <f t="shared" ca="1" si="408"/>
        <v>45482</v>
      </c>
      <c r="AJ2842" s="210">
        <f t="shared" ca="1" si="409"/>
        <v>4.1749999999999998</v>
      </c>
      <c r="AK2842" s="8">
        <f t="shared" ca="1" si="410"/>
        <v>1.0001159722222221</v>
      </c>
      <c r="AL2842" s="98">
        <f t="shared" ca="1" si="411"/>
        <v>4.097608638260275</v>
      </c>
      <c r="AM2842" s="106">
        <f t="shared" ca="1" si="405"/>
        <v>33020.297657769195</v>
      </c>
      <c r="AN2842" s="10">
        <f t="shared" ca="1" si="406"/>
        <v>1.0452862378742545</v>
      </c>
      <c r="AO2842" s="158"/>
      <c r="AP2842" s="158"/>
      <c r="AQ2842" s="1"/>
      <c r="AR2842" s="1"/>
      <c r="AS2842" s="1"/>
      <c r="AT2842" s="1"/>
      <c r="AU2842" s="1"/>
    </row>
    <row r="2843" spans="34:47">
      <c r="AH2843" s="6">
        <f t="shared" si="407"/>
        <v>2813</v>
      </c>
      <c r="AI2843" s="7">
        <f t="shared" ca="1" si="408"/>
        <v>45483</v>
      </c>
      <c r="AJ2843" s="210">
        <f t="shared" ca="1" si="409"/>
        <v>4.1749999999999998</v>
      </c>
      <c r="AK2843" s="8">
        <f t="shared" ca="1" si="410"/>
        <v>1.0001159722222221</v>
      </c>
      <c r="AL2843" s="98">
        <f t="shared" ca="1" si="411"/>
        <v>4.0976888888941021</v>
      </c>
      <c r="AM2843" s="106">
        <f t="shared" ca="1" si="405"/>
        <v>33023.018578809861</v>
      </c>
      <c r="AN2843" s="10">
        <f t="shared" ca="1" si="406"/>
        <v>1.0453528171722848</v>
      </c>
      <c r="AO2843" s="158"/>
      <c r="AP2843" s="158"/>
      <c r="AQ2843" s="1"/>
      <c r="AR2843" s="1"/>
      <c r="AS2843" s="1"/>
      <c r="AT2843" s="1"/>
      <c r="AU2843" s="1"/>
    </row>
    <row r="2844" spans="34:47">
      <c r="AH2844" s="6">
        <f t="shared" si="407"/>
        <v>2814</v>
      </c>
      <c r="AI2844" s="7">
        <f t="shared" ca="1" si="408"/>
        <v>45484</v>
      </c>
      <c r="AJ2844" s="210">
        <f t="shared" ca="1" si="409"/>
        <v>4.1749999999999998</v>
      </c>
      <c r="AK2844" s="8">
        <f t="shared" ca="1" si="410"/>
        <v>1.0001159722222221</v>
      </c>
      <c r="AL2844" s="98">
        <f t="shared" ca="1" si="411"/>
        <v>4.0977690825530377</v>
      </c>
      <c r="AM2844" s="106">
        <f t="shared" ca="1" si="405"/>
        <v>33025.739724058411</v>
      </c>
      <c r="AN2844" s="10">
        <f t="shared" ca="1" si="406"/>
        <v>1.0454193491940877</v>
      </c>
      <c r="AO2844" s="158"/>
      <c r="AP2844" s="158"/>
      <c r="AQ2844" s="1"/>
      <c r="AR2844" s="1"/>
      <c r="AS2844" s="1"/>
      <c r="AT2844" s="1"/>
      <c r="AU2844" s="1"/>
    </row>
    <row r="2845" spans="34:47">
      <c r="AH2845" s="6">
        <f t="shared" si="407"/>
        <v>2815</v>
      </c>
      <c r="AI2845" s="7">
        <f t="shared" ca="1" si="408"/>
        <v>45485</v>
      </c>
      <c r="AJ2845" s="210">
        <f t="shared" ca="1" si="409"/>
        <v>4.1749999999999998</v>
      </c>
      <c r="AK2845" s="8">
        <f t="shared" ca="1" si="410"/>
        <v>1.0001159722222221</v>
      </c>
      <c r="AL2845" s="98">
        <f t="shared" ca="1" si="411"/>
        <v>4.0978492192977223</v>
      </c>
      <c r="AM2845" s="106">
        <f t="shared" ca="1" si="405"/>
        <v>33028.461093533326</v>
      </c>
      <c r="AN2845" s="10">
        <f t="shared" ca="1" si="406"/>
        <v>1.045485833990023</v>
      </c>
      <c r="AO2845" s="158"/>
      <c r="AP2845" s="158"/>
      <c r="AQ2845" s="1"/>
      <c r="AR2845" s="1"/>
      <c r="AS2845" s="1"/>
      <c r="AT2845" s="1"/>
      <c r="AU2845" s="1"/>
    </row>
    <row r="2846" spans="34:47">
      <c r="AH2846" s="6">
        <f t="shared" si="407"/>
        <v>2816</v>
      </c>
      <c r="AI2846" s="7">
        <f t="shared" ca="1" si="408"/>
        <v>45486</v>
      </c>
      <c r="AJ2846" s="210">
        <f t="shared" ca="1" si="409"/>
        <v>4.1749999999999998</v>
      </c>
      <c r="AK2846" s="8">
        <f t="shared" ca="1" si="410"/>
        <v>1.0001159722222221</v>
      </c>
      <c r="AL2846" s="98">
        <f t="shared" ca="1" si="411"/>
        <v>4.0979292991887295</v>
      </c>
      <c r="AM2846" s="106">
        <f t="shared" ca="1" si="405"/>
        <v>33031.182687253087</v>
      </c>
      <c r="AN2846" s="10">
        <f t="shared" ca="1" si="406"/>
        <v>1.0455522716103172</v>
      </c>
      <c r="AO2846" s="158"/>
      <c r="AP2846" s="158"/>
      <c r="AQ2846" s="1"/>
      <c r="AR2846" s="1"/>
      <c r="AS2846" s="1"/>
      <c r="AT2846" s="1"/>
      <c r="AU2846" s="1"/>
    </row>
    <row r="2847" spans="34:47">
      <c r="AH2847" s="6">
        <f t="shared" si="407"/>
        <v>2817</v>
      </c>
      <c r="AI2847" s="7">
        <f t="shared" ca="1" si="408"/>
        <v>45487</v>
      </c>
      <c r="AJ2847" s="210">
        <f t="shared" ca="1" si="409"/>
        <v>4.1749999999999998</v>
      </c>
      <c r="AK2847" s="8">
        <f t="shared" ca="1" si="410"/>
        <v>1.0001159722222221</v>
      </c>
      <c r="AL2847" s="98">
        <f t="shared" ca="1" si="411"/>
        <v>4.0980093222865444</v>
      </c>
      <c r="AM2847" s="106">
        <f t="shared" ref="AM2847:AM2910" ca="1" si="412">Geom_Interp(AI2847,$AZ$2:$AZ$109,$BA$2:$BA$109)</f>
        <v>33033.904505236162</v>
      </c>
      <c r="AN2847" s="10">
        <f t="shared" ref="AN2847:AN2910" ca="1" si="413">100*(((1+AL2847/100)^(AH2847/365)*$AM$29/AM2847)^(365/AH2847)-1)</f>
        <v>1.0456186621052188</v>
      </c>
      <c r="AO2847" s="158"/>
      <c r="AP2847" s="158"/>
      <c r="AQ2847" s="1"/>
      <c r="AR2847" s="1"/>
      <c r="AS2847" s="1"/>
      <c r="AT2847" s="1"/>
      <c r="AU2847" s="1"/>
    </row>
    <row r="2848" spans="34:47">
      <c r="AH2848" s="6">
        <f t="shared" ref="AH2848:AH2911" si="414">$AI$29+AH2847</f>
        <v>2818</v>
      </c>
      <c r="AI2848" s="7">
        <f t="shared" ref="AI2848:AI2911" ca="1" si="415">+AH2848+$C$1</f>
        <v>45488</v>
      </c>
      <c r="AJ2848" s="210">
        <f t="shared" ref="AJ2848:AJ2911" ca="1" si="416">IF(AH2848&lt;365,VLOOKUP(LOOKUP(AI2848,$AI$2:$AI$23),$AI$2:$AK$23,3,0),Lin_Interp(AH2848,$AJ$2:$AJ$23,$AK$2:$AK$23))</f>
        <v>4.1749999999999998</v>
      </c>
      <c r="AK2848" s="8">
        <f t="shared" ca="1" si="410"/>
        <v>1.0001159722222221</v>
      </c>
      <c r="AL2848" s="98">
        <f t="shared" ca="1" si="411"/>
        <v>4.098089288651563</v>
      </c>
      <c r="AM2848" s="106">
        <f t="shared" ca="1" si="412"/>
        <v>33036.626547501044</v>
      </c>
      <c r="AN2848" s="10">
        <f t="shared" ca="1" si="413"/>
        <v>1.045685005524799</v>
      </c>
      <c r="AO2848" s="158"/>
      <c r="AP2848" s="158"/>
      <c r="AQ2848" s="1"/>
      <c r="AR2848" s="1"/>
      <c r="AS2848" s="1"/>
      <c r="AT2848" s="1"/>
      <c r="AU2848" s="1"/>
    </row>
    <row r="2849" spans="34:47">
      <c r="AH2849" s="6">
        <f t="shared" si="414"/>
        <v>2819</v>
      </c>
      <c r="AI2849" s="7">
        <f t="shared" ca="1" si="415"/>
        <v>45489</v>
      </c>
      <c r="AJ2849" s="210">
        <f t="shared" ca="1" si="416"/>
        <v>4.1749999999999998</v>
      </c>
      <c r="AK2849" s="8">
        <f t="shared" ref="AK2849:AK2912" ca="1" si="417">+(1+AJ2849/36000)</f>
        <v>1.0001159722222221</v>
      </c>
      <c r="AL2849" s="98">
        <f t="shared" ref="AL2849:AL2912" ca="1" si="418">100*(((1+AL2848/100)^(AH2848/365)*AK2849)^(365/AH2849)-1)</f>
        <v>4.0981691983440927</v>
      </c>
      <c r="AM2849" s="106">
        <f t="shared" ca="1" si="412"/>
        <v>33039.348814066208</v>
      </c>
      <c r="AN2849" s="10">
        <f t="shared" ca="1" si="413"/>
        <v>1.0457513019191289</v>
      </c>
      <c r="AO2849" s="158"/>
      <c r="AP2849" s="158"/>
      <c r="AQ2849" s="1"/>
      <c r="AR2849" s="1"/>
      <c r="AS2849" s="1"/>
      <c r="AT2849" s="1"/>
      <c r="AU2849" s="1"/>
    </row>
    <row r="2850" spans="34:47">
      <c r="AH2850" s="6">
        <f t="shared" si="414"/>
        <v>2820</v>
      </c>
      <c r="AI2850" s="7">
        <f t="shared" ca="1" si="415"/>
        <v>45490</v>
      </c>
      <c r="AJ2850" s="210">
        <f t="shared" ca="1" si="416"/>
        <v>4.1749999999999998</v>
      </c>
      <c r="AK2850" s="8">
        <f t="shared" ca="1" si="417"/>
        <v>1.0001159722222221</v>
      </c>
      <c r="AL2850" s="98">
        <f t="shared" ca="1" si="418"/>
        <v>4.0982490514243519</v>
      </c>
      <c r="AM2850" s="106">
        <f t="shared" ca="1" si="412"/>
        <v>33042.071304950136</v>
      </c>
      <c r="AN2850" s="10">
        <f t="shared" ca="1" si="413"/>
        <v>1.0458175513381907</v>
      </c>
      <c r="AO2850" s="158"/>
      <c r="AP2850" s="158"/>
      <c r="AQ2850" s="1"/>
      <c r="AR2850" s="1"/>
      <c r="AS2850" s="1"/>
      <c r="AT2850" s="1"/>
      <c r="AU2850" s="1"/>
    </row>
    <row r="2851" spans="34:47">
      <c r="AH2851" s="6">
        <f t="shared" si="414"/>
        <v>2821</v>
      </c>
      <c r="AI2851" s="7">
        <f t="shared" ca="1" si="415"/>
        <v>45491</v>
      </c>
      <c r="AJ2851" s="210">
        <f t="shared" ca="1" si="416"/>
        <v>4.1749999999999998</v>
      </c>
      <c r="AK2851" s="8">
        <f t="shared" ca="1" si="417"/>
        <v>1.0001159722222221</v>
      </c>
      <c r="AL2851" s="98">
        <f t="shared" ca="1" si="418"/>
        <v>4.0983288479524926</v>
      </c>
      <c r="AM2851" s="106">
        <f t="shared" ca="1" si="412"/>
        <v>33044.794020171314</v>
      </c>
      <c r="AN2851" s="10">
        <f t="shared" ca="1" si="413"/>
        <v>1.0458837538319221</v>
      </c>
      <c r="AO2851" s="158"/>
      <c r="AP2851" s="158"/>
      <c r="AQ2851" s="1"/>
      <c r="AR2851" s="1"/>
      <c r="AS2851" s="1"/>
      <c r="AT2851" s="1"/>
      <c r="AU2851" s="1"/>
    </row>
    <row r="2852" spans="34:47">
      <c r="AH2852" s="6">
        <f t="shared" si="414"/>
        <v>2822</v>
      </c>
      <c r="AI2852" s="7">
        <f t="shared" ca="1" si="415"/>
        <v>45492</v>
      </c>
      <c r="AJ2852" s="210">
        <f t="shared" ca="1" si="416"/>
        <v>4.1749999999999998</v>
      </c>
      <c r="AK2852" s="8">
        <f t="shared" ca="1" si="417"/>
        <v>1.0001159722222221</v>
      </c>
      <c r="AL2852" s="98">
        <f t="shared" ca="1" si="418"/>
        <v>4.0984085879885557</v>
      </c>
      <c r="AM2852" s="106">
        <f t="shared" ca="1" si="412"/>
        <v>33047.516959748224</v>
      </c>
      <c r="AN2852" s="10">
        <f t="shared" ca="1" si="413"/>
        <v>1.0459499094501057</v>
      </c>
      <c r="AO2852" s="158"/>
      <c r="AP2852" s="158"/>
      <c r="AQ2852" s="1"/>
      <c r="AR2852" s="1"/>
      <c r="AS2852" s="1"/>
      <c r="AT2852" s="1"/>
      <c r="AU2852" s="1"/>
    </row>
    <row r="2853" spans="34:47">
      <c r="AH2853" s="6">
        <f t="shared" si="414"/>
        <v>2823</v>
      </c>
      <c r="AI2853" s="7">
        <f t="shared" ca="1" si="415"/>
        <v>45493</v>
      </c>
      <c r="AJ2853" s="210">
        <f t="shared" ca="1" si="416"/>
        <v>4.1749999999999998</v>
      </c>
      <c r="AK2853" s="8">
        <f t="shared" ca="1" si="417"/>
        <v>1.0001159722222221</v>
      </c>
      <c r="AL2853" s="98">
        <f t="shared" ca="1" si="418"/>
        <v>4.0984882715925153</v>
      </c>
      <c r="AM2853" s="106">
        <f t="shared" ca="1" si="412"/>
        <v>33050.240123699354</v>
      </c>
      <c r="AN2853" s="10">
        <f t="shared" ca="1" si="413"/>
        <v>1.0460160182425238</v>
      </c>
      <c r="AO2853" s="158"/>
      <c r="AP2853" s="158"/>
      <c r="AQ2853" s="1"/>
      <c r="AR2853" s="1"/>
      <c r="AS2853" s="1"/>
      <c r="AT2853" s="1"/>
      <c r="AU2853" s="1"/>
    </row>
    <row r="2854" spans="34:47">
      <c r="AH2854" s="6">
        <f t="shared" si="414"/>
        <v>2824</v>
      </c>
      <c r="AI2854" s="7">
        <f t="shared" ca="1" si="415"/>
        <v>45494</v>
      </c>
      <c r="AJ2854" s="210">
        <f t="shared" ca="1" si="416"/>
        <v>4.1749999999999998</v>
      </c>
      <c r="AK2854" s="8">
        <f t="shared" ca="1" si="417"/>
        <v>1.0001159722222221</v>
      </c>
      <c r="AL2854" s="98">
        <f t="shared" ca="1" si="418"/>
        <v>4.0985678988242569</v>
      </c>
      <c r="AM2854" s="106">
        <f t="shared" ca="1" si="412"/>
        <v>33052.963512043199</v>
      </c>
      <c r="AN2854" s="10">
        <f t="shared" ca="1" si="413"/>
        <v>1.0460820802589144</v>
      </c>
      <c r="AO2854" s="158"/>
      <c r="AP2854" s="158"/>
      <c r="AQ2854" s="1"/>
      <c r="AR2854" s="1"/>
      <c r="AS2854" s="1"/>
      <c r="AT2854" s="1"/>
      <c r="AU2854" s="1"/>
    </row>
    <row r="2855" spans="34:47">
      <c r="AH2855" s="6">
        <f t="shared" si="414"/>
        <v>2825</v>
      </c>
      <c r="AI2855" s="7">
        <f t="shared" ca="1" si="415"/>
        <v>45495</v>
      </c>
      <c r="AJ2855" s="210">
        <f t="shared" ca="1" si="416"/>
        <v>4.1749999999999998</v>
      </c>
      <c r="AK2855" s="8">
        <f t="shared" ca="1" si="417"/>
        <v>1.0001159722222221</v>
      </c>
      <c r="AL2855" s="98">
        <f t="shared" ca="1" si="418"/>
        <v>4.0986474697435771</v>
      </c>
      <c r="AM2855" s="106">
        <f t="shared" ca="1" si="412"/>
        <v>33055.687124798242</v>
      </c>
      <c r="AN2855" s="10">
        <f t="shared" ca="1" si="413"/>
        <v>1.04614809554886</v>
      </c>
      <c r="AO2855" s="158"/>
      <c r="AP2855" s="158"/>
      <c r="AQ2855" s="1"/>
      <c r="AR2855" s="1"/>
      <c r="AS2855" s="1"/>
      <c r="AT2855" s="1"/>
      <c r="AU2855" s="1"/>
    </row>
    <row r="2856" spans="34:47">
      <c r="AH2856" s="6">
        <f t="shared" si="414"/>
        <v>2826</v>
      </c>
      <c r="AI2856" s="7">
        <f t="shared" ca="1" si="415"/>
        <v>45496</v>
      </c>
      <c r="AJ2856" s="210">
        <f t="shared" ca="1" si="416"/>
        <v>4.1749999999999998</v>
      </c>
      <c r="AK2856" s="8">
        <f t="shared" ca="1" si="417"/>
        <v>1.0001159722222221</v>
      </c>
      <c r="AL2856" s="98">
        <f t="shared" ca="1" si="418"/>
        <v>4.0987269844102059</v>
      </c>
      <c r="AM2856" s="106">
        <f t="shared" ca="1" si="412"/>
        <v>33058.410961982983</v>
      </c>
      <c r="AN2856" s="10">
        <f t="shared" ca="1" si="413"/>
        <v>1.0462140641619655</v>
      </c>
      <c r="AO2856" s="158"/>
      <c r="AP2856" s="158"/>
      <c r="AQ2856" s="1"/>
      <c r="AR2856" s="1"/>
      <c r="AS2856" s="1"/>
      <c r="AT2856" s="1"/>
      <c r="AU2856" s="1"/>
    </row>
    <row r="2857" spans="34:47">
      <c r="AH2857" s="6">
        <f t="shared" si="414"/>
        <v>2827</v>
      </c>
      <c r="AI2857" s="7">
        <f t="shared" ca="1" si="415"/>
        <v>45497</v>
      </c>
      <c r="AJ2857" s="210">
        <f t="shared" ca="1" si="416"/>
        <v>4.1749999999999998</v>
      </c>
      <c r="AK2857" s="8">
        <f t="shared" ca="1" si="417"/>
        <v>1.0001159722222221</v>
      </c>
      <c r="AL2857" s="98">
        <f t="shared" ca="1" si="418"/>
        <v>4.0988064428837623</v>
      </c>
      <c r="AM2857" s="106">
        <f t="shared" ca="1" si="412"/>
        <v>33061.135023615905</v>
      </c>
      <c r="AN2857" s="10">
        <f t="shared" ca="1" si="413"/>
        <v>1.0462799861476801</v>
      </c>
      <c r="AO2857" s="158"/>
      <c r="AP2857" s="158"/>
      <c r="AQ2857" s="1"/>
      <c r="AR2857" s="1"/>
      <c r="AS2857" s="1"/>
      <c r="AT2857" s="1"/>
      <c r="AU2857" s="1"/>
    </row>
    <row r="2858" spans="34:47">
      <c r="AH2858" s="6">
        <f t="shared" si="414"/>
        <v>2828</v>
      </c>
      <c r="AI2858" s="7">
        <f t="shared" ca="1" si="415"/>
        <v>45498</v>
      </c>
      <c r="AJ2858" s="210">
        <f t="shared" ca="1" si="416"/>
        <v>4.1749999999999998</v>
      </c>
      <c r="AK2858" s="8">
        <f t="shared" ca="1" si="417"/>
        <v>1.0001159722222221</v>
      </c>
      <c r="AL2858" s="98">
        <f t="shared" ca="1" si="418"/>
        <v>4.0988858452237986</v>
      </c>
      <c r="AM2858" s="106">
        <f t="shared" ca="1" si="412"/>
        <v>33063.85930971551</v>
      </c>
      <c r="AN2858" s="10">
        <f t="shared" ca="1" si="413"/>
        <v>1.0463458615554311</v>
      </c>
      <c r="AO2858" s="158"/>
      <c r="AP2858" s="158"/>
      <c r="AQ2858" s="1"/>
      <c r="AR2858" s="1"/>
      <c r="AS2858" s="1"/>
      <c r="AT2858" s="1"/>
      <c r="AU2858" s="1"/>
    </row>
    <row r="2859" spans="34:47">
      <c r="AH2859" s="6">
        <f t="shared" si="414"/>
        <v>2829</v>
      </c>
      <c r="AI2859" s="7">
        <f t="shared" ca="1" si="415"/>
        <v>45499</v>
      </c>
      <c r="AJ2859" s="210">
        <f t="shared" ca="1" si="416"/>
        <v>4.1749999999999998</v>
      </c>
      <c r="AK2859" s="8">
        <f t="shared" ca="1" si="417"/>
        <v>1.0001159722222221</v>
      </c>
      <c r="AL2859" s="98">
        <f t="shared" ca="1" si="418"/>
        <v>4.0989651914897562</v>
      </c>
      <c r="AM2859" s="106">
        <f t="shared" ca="1" si="412"/>
        <v>33066.583820300286</v>
      </c>
      <c r="AN2859" s="10">
        <f t="shared" ca="1" si="413"/>
        <v>1.0464116904345566</v>
      </c>
      <c r="AO2859" s="158"/>
      <c r="AP2859" s="158"/>
      <c r="AQ2859" s="1"/>
      <c r="AR2859" s="1"/>
      <c r="AS2859" s="1"/>
      <c r="AT2859" s="1"/>
      <c r="AU2859" s="1"/>
    </row>
    <row r="2860" spans="34:47">
      <c r="AH2860" s="6">
        <f t="shared" si="414"/>
        <v>2830</v>
      </c>
      <c r="AI2860" s="7">
        <f t="shared" ca="1" si="415"/>
        <v>45500</v>
      </c>
      <c r="AJ2860" s="210">
        <f t="shared" ca="1" si="416"/>
        <v>4.1749999999999998</v>
      </c>
      <c r="AK2860" s="8">
        <f t="shared" ca="1" si="417"/>
        <v>1.0001159722222221</v>
      </c>
      <c r="AL2860" s="98">
        <f t="shared" ca="1" si="418"/>
        <v>4.0990444817410321</v>
      </c>
      <c r="AM2860" s="106">
        <f t="shared" ca="1" si="412"/>
        <v>33069.308555388736</v>
      </c>
      <c r="AN2860" s="10">
        <f t="shared" ca="1" si="413"/>
        <v>1.0464774728343507</v>
      </c>
      <c r="AO2860" s="158"/>
      <c r="AP2860" s="158"/>
      <c r="AQ2860" s="1"/>
      <c r="AR2860" s="1"/>
      <c r="AS2860" s="1"/>
      <c r="AT2860" s="1"/>
      <c r="AU2860" s="1"/>
    </row>
    <row r="2861" spans="34:47">
      <c r="AH2861" s="6">
        <f t="shared" si="414"/>
        <v>2831</v>
      </c>
      <c r="AI2861" s="7">
        <f t="shared" ca="1" si="415"/>
        <v>45501</v>
      </c>
      <c r="AJ2861" s="210">
        <f t="shared" ca="1" si="416"/>
        <v>4.1749999999999998</v>
      </c>
      <c r="AK2861" s="8">
        <f t="shared" ca="1" si="417"/>
        <v>1.0001159722222221</v>
      </c>
      <c r="AL2861" s="98">
        <f t="shared" ca="1" si="418"/>
        <v>4.0991237160369343</v>
      </c>
      <c r="AM2861" s="106">
        <f t="shared" ca="1" si="412"/>
        <v>33072.03351499937</v>
      </c>
      <c r="AN2861" s="10">
        <f t="shared" ca="1" si="413"/>
        <v>1.0465432088040405</v>
      </c>
      <c r="AO2861" s="158"/>
      <c r="AP2861" s="158"/>
      <c r="AQ2861" s="1"/>
      <c r="AR2861" s="1"/>
      <c r="AS2861" s="1"/>
      <c r="AT2861" s="1"/>
      <c r="AU2861" s="1"/>
    </row>
    <row r="2862" spans="34:47">
      <c r="AH2862" s="6">
        <f t="shared" si="414"/>
        <v>2832</v>
      </c>
      <c r="AI2862" s="7">
        <f t="shared" ca="1" si="415"/>
        <v>45502</v>
      </c>
      <c r="AJ2862" s="210">
        <f t="shared" ca="1" si="416"/>
        <v>4.1749999999999998</v>
      </c>
      <c r="AK2862" s="8">
        <f t="shared" ca="1" si="417"/>
        <v>1.0001159722222221</v>
      </c>
      <c r="AL2862" s="98">
        <f t="shared" ca="1" si="418"/>
        <v>4.0992028944366599</v>
      </c>
      <c r="AM2862" s="106">
        <f t="shared" ca="1" si="412"/>
        <v>33074.758699150676</v>
      </c>
      <c r="AN2862" s="10">
        <f t="shared" ca="1" si="413"/>
        <v>1.0466088983927202</v>
      </c>
      <c r="AO2862" s="158"/>
      <c r="AP2862" s="158"/>
      <c r="AQ2862" s="1"/>
      <c r="AR2862" s="1"/>
      <c r="AS2862" s="1"/>
      <c r="AT2862" s="1"/>
      <c r="AU2862" s="1"/>
    </row>
    <row r="2863" spans="34:47">
      <c r="AH2863" s="6">
        <f t="shared" si="414"/>
        <v>2833</v>
      </c>
      <c r="AI2863" s="7">
        <f t="shared" ca="1" si="415"/>
        <v>45503</v>
      </c>
      <c r="AJ2863" s="210">
        <f t="shared" ca="1" si="416"/>
        <v>4.1749999999999998</v>
      </c>
      <c r="AK2863" s="8">
        <f t="shared" ca="1" si="417"/>
        <v>1.0001159722222221</v>
      </c>
      <c r="AL2863" s="98">
        <f t="shared" ca="1" si="418"/>
        <v>4.0992820169993172</v>
      </c>
      <c r="AM2863" s="106">
        <f t="shared" ca="1" si="412"/>
        <v>33077.484107861157</v>
      </c>
      <c r="AN2863" s="10">
        <f t="shared" ca="1" si="413"/>
        <v>1.0466745416494838</v>
      </c>
      <c r="AO2863" s="158"/>
      <c r="AP2863" s="158"/>
      <c r="AQ2863" s="1"/>
      <c r="AR2863" s="1"/>
      <c r="AS2863" s="1"/>
      <c r="AT2863" s="1"/>
      <c r="AU2863" s="1"/>
    </row>
    <row r="2864" spans="34:47">
      <c r="AH2864" s="6">
        <f t="shared" si="414"/>
        <v>2834</v>
      </c>
      <c r="AI2864" s="7">
        <f t="shared" ca="1" si="415"/>
        <v>45504</v>
      </c>
      <c r="AJ2864" s="210">
        <f t="shared" ca="1" si="416"/>
        <v>4.1749999999999998</v>
      </c>
      <c r="AK2864" s="8">
        <f t="shared" ca="1" si="417"/>
        <v>1.0001159722222221</v>
      </c>
      <c r="AL2864" s="98">
        <f t="shared" ca="1" si="418"/>
        <v>4.09936108378397</v>
      </c>
      <c r="AM2864" s="106">
        <f t="shared" ca="1" si="412"/>
        <v>33080.209741149323</v>
      </c>
      <c r="AN2864" s="10">
        <f t="shared" ca="1" si="413"/>
        <v>1.0467401386233366</v>
      </c>
      <c r="AO2864" s="158"/>
      <c r="AP2864" s="158"/>
      <c r="AQ2864" s="1"/>
      <c r="AR2864" s="1"/>
      <c r="AS2864" s="1"/>
      <c r="AT2864" s="1"/>
      <c r="AU2864" s="1"/>
    </row>
    <row r="2865" spans="34:47">
      <c r="AH2865" s="6">
        <f t="shared" si="414"/>
        <v>2835</v>
      </c>
      <c r="AI2865" s="7">
        <f t="shared" ca="1" si="415"/>
        <v>45505</v>
      </c>
      <c r="AJ2865" s="210">
        <f t="shared" ca="1" si="416"/>
        <v>4.1749999999999998</v>
      </c>
      <c r="AK2865" s="8">
        <f t="shared" ca="1" si="417"/>
        <v>1.0001159722222221</v>
      </c>
      <c r="AL2865" s="98">
        <f t="shared" ca="1" si="418"/>
        <v>4.0994400948495713</v>
      </c>
      <c r="AM2865" s="106">
        <f t="shared" ca="1" si="412"/>
        <v>33082.93559903367</v>
      </c>
      <c r="AN2865" s="10">
        <f t="shared" ca="1" si="413"/>
        <v>1.046805689363195</v>
      </c>
      <c r="AO2865" s="158"/>
      <c r="AP2865" s="158"/>
      <c r="AQ2865" s="1"/>
      <c r="AR2865" s="1"/>
      <c r="AS2865" s="1"/>
      <c r="AT2865" s="1"/>
      <c r="AU2865" s="1"/>
    </row>
    <row r="2866" spans="34:47">
      <c r="AH2866" s="6">
        <f t="shared" si="414"/>
        <v>2836</v>
      </c>
      <c r="AI2866" s="7">
        <f t="shared" ca="1" si="415"/>
        <v>45506</v>
      </c>
      <c r="AJ2866" s="210">
        <f t="shared" ca="1" si="416"/>
        <v>4.1749999999999998</v>
      </c>
      <c r="AK2866" s="8">
        <f t="shared" ca="1" si="417"/>
        <v>1.0001159722222221</v>
      </c>
      <c r="AL2866" s="98">
        <f t="shared" ca="1" si="418"/>
        <v>4.0995190502550072</v>
      </c>
      <c r="AM2866" s="106">
        <f t="shared" ca="1" si="412"/>
        <v>33085.661681532722</v>
      </c>
      <c r="AN2866" s="10">
        <f t="shared" ca="1" si="413"/>
        <v>1.0468711939179309</v>
      </c>
      <c r="AO2866" s="158"/>
      <c r="AP2866" s="158"/>
      <c r="AQ2866" s="1"/>
      <c r="AR2866" s="1"/>
      <c r="AS2866" s="1"/>
      <c r="AT2866" s="1"/>
      <c r="AU2866" s="1"/>
    </row>
    <row r="2867" spans="34:47">
      <c r="AH2867" s="6">
        <f t="shared" si="414"/>
        <v>2837</v>
      </c>
      <c r="AI2867" s="7">
        <f t="shared" ca="1" si="415"/>
        <v>45507</v>
      </c>
      <c r="AJ2867" s="210">
        <f t="shared" ca="1" si="416"/>
        <v>4.1749999999999998</v>
      </c>
      <c r="AK2867" s="8">
        <f t="shared" ca="1" si="417"/>
        <v>1.0001159722222221</v>
      </c>
      <c r="AL2867" s="98">
        <f t="shared" ca="1" si="418"/>
        <v>4.0995979500590751</v>
      </c>
      <c r="AM2867" s="106">
        <f t="shared" ca="1" si="412"/>
        <v>33088.387988664974</v>
      </c>
      <c r="AN2867" s="10">
        <f t="shared" ca="1" si="413"/>
        <v>1.0469366523363499</v>
      </c>
      <c r="AO2867" s="158"/>
      <c r="AP2867" s="158"/>
      <c r="AQ2867" s="1"/>
      <c r="AR2867" s="1"/>
      <c r="AS2867" s="1"/>
      <c r="AT2867" s="1"/>
      <c r="AU2867" s="1"/>
    </row>
    <row r="2868" spans="34:47">
      <c r="AH2868" s="6">
        <f t="shared" si="414"/>
        <v>2838</v>
      </c>
      <c r="AI2868" s="7">
        <f t="shared" ca="1" si="415"/>
        <v>45508</v>
      </c>
      <c r="AJ2868" s="210">
        <f t="shared" ca="1" si="416"/>
        <v>4.1749999999999998</v>
      </c>
      <c r="AK2868" s="8">
        <f t="shared" ca="1" si="417"/>
        <v>1.0001159722222221</v>
      </c>
      <c r="AL2868" s="98">
        <f t="shared" ca="1" si="418"/>
        <v>4.0996767943204837</v>
      </c>
      <c r="AM2868" s="106">
        <f t="shared" ca="1" si="412"/>
        <v>33091.114520448937</v>
      </c>
      <c r="AN2868" s="10">
        <f t="shared" ca="1" si="413"/>
        <v>1.0470020646671463</v>
      </c>
      <c r="AO2868" s="158"/>
      <c r="AP2868" s="158"/>
      <c r="AQ2868" s="1"/>
      <c r="AR2868" s="1"/>
      <c r="AS2868" s="1"/>
      <c r="AT2868" s="1"/>
      <c r="AU2868" s="1"/>
    </row>
    <row r="2869" spans="34:47">
      <c r="AH2869" s="6">
        <f t="shared" si="414"/>
        <v>2839</v>
      </c>
      <c r="AI2869" s="7">
        <f t="shared" ca="1" si="415"/>
        <v>45509</v>
      </c>
      <c r="AJ2869" s="210">
        <f t="shared" ca="1" si="416"/>
        <v>4.1749999999999998</v>
      </c>
      <c r="AK2869" s="8">
        <f t="shared" ca="1" si="417"/>
        <v>1.0001159722222221</v>
      </c>
      <c r="AL2869" s="98">
        <f t="shared" ca="1" si="418"/>
        <v>4.0997555830978527</v>
      </c>
      <c r="AM2869" s="106">
        <f t="shared" ca="1" si="412"/>
        <v>33093.841276903127</v>
      </c>
      <c r="AN2869" s="10">
        <f t="shared" ca="1" si="413"/>
        <v>1.0470674309590144</v>
      </c>
      <c r="AO2869" s="158"/>
      <c r="AP2869" s="158"/>
      <c r="AQ2869" s="1"/>
      <c r="AR2869" s="1"/>
      <c r="AS2869" s="1"/>
      <c r="AT2869" s="1"/>
      <c r="AU2869" s="1"/>
    </row>
    <row r="2870" spans="34:47">
      <c r="AH2870" s="6">
        <f t="shared" si="414"/>
        <v>2840</v>
      </c>
      <c r="AI2870" s="7">
        <f t="shared" ca="1" si="415"/>
        <v>45510</v>
      </c>
      <c r="AJ2870" s="210">
        <f t="shared" ca="1" si="416"/>
        <v>4.1749999999999998</v>
      </c>
      <c r="AK2870" s="8">
        <f t="shared" ca="1" si="417"/>
        <v>1.0001159722222221</v>
      </c>
      <c r="AL2870" s="98">
        <f t="shared" ca="1" si="418"/>
        <v>4.0998343164497353</v>
      </c>
      <c r="AM2870" s="106">
        <f t="shared" ca="1" si="412"/>
        <v>33096.568258046049</v>
      </c>
      <c r="AN2870" s="10">
        <f t="shared" ca="1" si="413"/>
        <v>1.0471327512605155</v>
      </c>
      <c r="AO2870" s="158"/>
      <c r="AP2870" s="158"/>
      <c r="AQ2870" s="1"/>
      <c r="AR2870" s="1"/>
      <c r="AS2870" s="1"/>
      <c r="AT2870" s="1"/>
      <c r="AU2870" s="1"/>
    </row>
    <row r="2871" spans="34:47">
      <c r="AH2871" s="6">
        <f t="shared" si="414"/>
        <v>2841</v>
      </c>
      <c r="AI2871" s="7">
        <f t="shared" ca="1" si="415"/>
        <v>45511</v>
      </c>
      <c r="AJ2871" s="210">
        <f t="shared" ca="1" si="416"/>
        <v>4.1749999999999998</v>
      </c>
      <c r="AK2871" s="8">
        <f t="shared" ca="1" si="417"/>
        <v>1.0001159722222221</v>
      </c>
      <c r="AL2871" s="98">
        <f t="shared" ca="1" si="418"/>
        <v>4.0999129944345958</v>
      </c>
      <c r="AM2871" s="106">
        <f t="shared" ca="1" si="412"/>
        <v>33099.295463896233</v>
      </c>
      <c r="AN2871" s="10">
        <f t="shared" ca="1" si="413"/>
        <v>1.0471980256201663</v>
      </c>
      <c r="AO2871" s="158"/>
      <c r="AP2871" s="158"/>
      <c r="AQ2871" s="1"/>
      <c r="AR2871" s="1"/>
      <c r="AS2871" s="1"/>
      <c r="AT2871" s="1"/>
      <c r="AU2871" s="1"/>
    </row>
    <row r="2872" spans="34:47">
      <c r="AH2872" s="6">
        <f t="shared" si="414"/>
        <v>2842</v>
      </c>
      <c r="AI2872" s="7">
        <f t="shared" ca="1" si="415"/>
        <v>45512</v>
      </c>
      <c r="AJ2872" s="210">
        <f t="shared" ca="1" si="416"/>
        <v>4.1749999999999998</v>
      </c>
      <c r="AK2872" s="8">
        <f t="shared" ca="1" si="417"/>
        <v>1.0001159722222221</v>
      </c>
      <c r="AL2872" s="98">
        <f t="shared" ca="1" si="418"/>
        <v>4.0999916171108097</v>
      </c>
      <c r="AM2872" s="106">
        <f t="shared" ca="1" si="412"/>
        <v>33102.022894472182</v>
      </c>
      <c r="AN2872" s="10">
        <f t="shared" ca="1" si="413"/>
        <v>1.0472632540864169</v>
      </c>
      <c r="AO2872" s="158"/>
      <c r="AP2872" s="158"/>
      <c r="AQ2872" s="1"/>
      <c r="AR2872" s="1"/>
      <c r="AS2872" s="1"/>
      <c r="AT2872" s="1"/>
      <c r="AU2872" s="1"/>
    </row>
    <row r="2873" spans="34:47">
      <c r="AH2873" s="6">
        <f t="shared" si="414"/>
        <v>2843</v>
      </c>
      <c r="AI2873" s="7">
        <f t="shared" ca="1" si="415"/>
        <v>45513</v>
      </c>
      <c r="AJ2873" s="210">
        <f t="shared" ca="1" si="416"/>
        <v>4.1749999999999998</v>
      </c>
      <c r="AK2873" s="8">
        <f t="shared" ca="1" si="417"/>
        <v>1.0001159722222221</v>
      </c>
      <c r="AL2873" s="98">
        <f t="shared" ca="1" si="418"/>
        <v>4.1000701845367082</v>
      </c>
      <c r="AM2873" s="106">
        <f t="shared" ca="1" si="412"/>
        <v>33104.750549792414</v>
      </c>
      <c r="AN2873" s="10">
        <f t="shared" ca="1" si="413"/>
        <v>1.0473284367076952</v>
      </c>
      <c r="AO2873" s="158"/>
      <c r="AP2873" s="158"/>
      <c r="AQ2873" s="1"/>
      <c r="AR2873" s="1"/>
      <c r="AS2873" s="1"/>
      <c r="AT2873" s="1"/>
      <c r="AU2873" s="1"/>
    </row>
    <row r="2874" spans="34:47">
      <c r="AH2874" s="6">
        <f t="shared" si="414"/>
        <v>2844</v>
      </c>
      <c r="AI2874" s="7">
        <f t="shared" ca="1" si="415"/>
        <v>45514</v>
      </c>
      <c r="AJ2874" s="210">
        <f t="shared" ca="1" si="416"/>
        <v>4.1749999999999998</v>
      </c>
      <c r="AK2874" s="8">
        <f t="shared" ca="1" si="417"/>
        <v>1.0001159722222221</v>
      </c>
      <c r="AL2874" s="98">
        <f t="shared" ca="1" si="418"/>
        <v>4.100148696770467</v>
      </c>
      <c r="AM2874" s="106">
        <f t="shared" ca="1" si="412"/>
        <v>33107.478429875453</v>
      </c>
      <c r="AN2874" s="10">
        <f t="shared" ca="1" si="413"/>
        <v>1.0473935735322515</v>
      </c>
      <c r="AO2874" s="158"/>
      <c r="AP2874" s="158"/>
      <c r="AQ2874" s="1"/>
      <c r="AR2874" s="1"/>
      <c r="AS2874" s="1"/>
      <c r="AT2874" s="1"/>
      <c r="AU2874" s="1"/>
    </row>
    <row r="2875" spans="34:47">
      <c r="AH2875" s="6">
        <f t="shared" si="414"/>
        <v>2845</v>
      </c>
      <c r="AI2875" s="7">
        <f t="shared" ca="1" si="415"/>
        <v>45515</v>
      </c>
      <c r="AJ2875" s="210">
        <f t="shared" ca="1" si="416"/>
        <v>4.1749999999999998</v>
      </c>
      <c r="AK2875" s="8">
        <f t="shared" ca="1" si="417"/>
        <v>1.0001159722222221</v>
      </c>
      <c r="AL2875" s="98">
        <f t="shared" ca="1" si="418"/>
        <v>4.1002271538702617</v>
      </c>
      <c r="AM2875" s="106">
        <f t="shared" ca="1" si="412"/>
        <v>33110.206534739817</v>
      </c>
      <c r="AN2875" s="10">
        <f t="shared" ca="1" si="413"/>
        <v>1.0474586646084028</v>
      </c>
      <c r="AO2875" s="158"/>
      <c r="AP2875" s="158"/>
      <c r="AQ2875" s="1"/>
      <c r="AR2875" s="1"/>
      <c r="AS2875" s="1"/>
      <c r="AT2875" s="1"/>
      <c r="AU2875" s="1"/>
    </row>
    <row r="2876" spans="34:47">
      <c r="AH2876" s="6">
        <f t="shared" si="414"/>
        <v>2846</v>
      </c>
      <c r="AI2876" s="7">
        <f t="shared" ca="1" si="415"/>
        <v>45516</v>
      </c>
      <c r="AJ2876" s="210">
        <f t="shared" ca="1" si="416"/>
        <v>4.1749999999999998</v>
      </c>
      <c r="AK2876" s="8">
        <f t="shared" ca="1" si="417"/>
        <v>1.0001159722222221</v>
      </c>
      <c r="AL2876" s="98">
        <f t="shared" ca="1" si="418"/>
        <v>4.1003055558941126</v>
      </c>
      <c r="AM2876" s="106">
        <f t="shared" ca="1" si="412"/>
        <v>33112.934864404036</v>
      </c>
      <c r="AN2876" s="10">
        <f t="shared" ca="1" si="413"/>
        <v>1.047523709984266</v>
      </c>
      <c r="AO2876" s="158"/>
      <c r="AP2876" s="158"/>
      <c r="AQ2876" s="1"/>
      <c r="AR2876" s="1"/>
      <c r="AS2876" s="1"/>
      <c r="AT2876" s="1"/>
      <c r="AU2876" s="1"/>
    </row>
    <row r="2877" spans="34:47">
      <c r="AH2877" s="6">
        <f t="shared" si="414"/>
        <v>2847</v>
      </c>
      <c r="AI2877" s="7">
        <f t="shared" ca="1" si="415"/>
        <v>45517</v>
      </c>
      <c r="AJ2877" s="210">
        <f t="shared" ca="1" si="416"/>
        <v>4.1749999999999998</v>
      </c>
      <c r="AK2877" s="8">
        <f t="shared" ca="1" si="417"/>
        <v>1.0001159722222221</v>
      </c>
      <c r="AL2877" s="98">
        <f t="shared" ca="1" si="418"/>
        <v>4.1003839029000178</v>
      </c>
      <c r="AM2877" s="106">
        <f t="shared" ca="1" si="412"/>
        <v>33115.663418886623</v>
      </c>
      <c r="AN2877" s="10">
        <f t="shared" ca="1" si="413"/>
        <v>1.0475887097079806</v>
      </c>
      <c r="AO2877" s="158"/>
      <c r="AP2877" s="158"/>
      <c r="AQ2877" s="1"/>
      <c r="AR2877" s="1"/>
      <c r="AS2877" s="1"/>
      <c r="AT2877" s="1"/>
      <c r="AU2877" s="1"/>
    </row>
    <row r="2878" spans="34:47">
      <c r="AH2878" s="6">
        <f t="shared" si="414"/>
        <v>2848</v>
      </c>
      <c r="AI2878" s="7">
        <f t="shared" ca="1" si="415"/>
        <v>45518</v>
      </c>
      <c r="AJ2878" s="210">
        <f t="shared" ca="1" si="416"/>
        <v>4.1749999999999998</v>
      </c>
      <c r="AK2878" s="8">
        <f t="shared" ca="1" si="417"/>
        <v>1.0001159722222221</v>
      </c>
      <c r="AL2878" s="98">
        <f t="shared" ca="1" si="418"/>
        <v>4.1004621949458642</v>
      </c>
      <c r="AM2878" s="106">
        <f t="shared" ca="1" si="412"/>
        <v>33118.392198206107</v>
      </c>
      <c r="AN2878" s="10">
        <f t="shared" ca="1" si="413"/>
        <v>1.047653663827619</v>
      </c>
      <c r="AO2878" s="158"/>
      <c r="AP2878" s="158"/>
      <c r="AQ2878" s="1"/>
      <c r="AR2878" s="1"/>
      <c r="AS2878" s="1"/>
      <c r="AT2878" s="1"/>
      <c r="AU2878" s="1"/>
    </row>
    <row r="2879" spans="34:47">
      <c r="AH2879" s="6">
        <f t="shared" si="414"/>
        <v>2849</v>
      </c>
      <c r="AI2879" s="7">
        <f t="shared" ca="1" si="415"/>
        <v>45519</v>
      </c>
      <c r="AJ2879" s="210">
        <f t="shared" ca="1" si="416"/>
        <v>4.1749999999999998</v>
      </c>
      <c r="AK2879" s="8">
        <f t="shared" ca="1" si="417"/>
        <v>1.0001159722222221</v>
      </c>
      <c r="AL2879" s="98">
        <f t="shared" ca="1" si="418"/>
        <v>4.1005404320894501</v>
      </c>
      <c r="AM2879" s="106">
        <f t="shared" ca="1" si="412"/>
        <v>33121.121202381022</v>
      </c>
      <c r="AN2879" s="10">
        <f t="shared" ca="1" si="413"/>
        <v>1.0477185723910987</v>
      </c>
      <c r="AO2879" s="158"/>
      <c r="AP2879" s="158"/>
      <c r="AQ2879" s="1"/>
      <c r="AR2879" s="1"/>
      <c r="AS2879" s="1"/>
      <c r="AT2879" s="1"/>
      <c r="AU2879" s="1"/>
    </row>
    <row r="2880" spans="34:47">
      <c r="AH2880" s="6">
        <f t="shared" si="414"/>
        <v>2850</v>
      </c>
      <c r="AI2880" s="7">
        <f t="shared" ca="1" si="415"/>
        <v>45520</v>
      </c>
      <c r="AJ2880" s="210">
        <f t="shared" ca="1" si="416"/>
        <v>4.1749999999999998</v>
      </c>
      <c r="AK2880" s="8">
        <f t="shared" ca="1" si="417"/>
        <v>1.0001159722222221</v>
      </c>
      <c r="AL2880" s="98">
        <f t="shared" ca="1" si="418"/>
        <v>4.1006186143885293</v>
      </c>
      <c r="AM2880" s="106">
        <f t="shared" ca="1" si="412"/>
        <v>33123.850431429892</v>
      </c>
      <c r="AN2880" s="10">
        <f t="shared" ca="1" si="413"/>
        <v>1.0477834354463589</v>
      </c>
      <c r="AO2880" s="158"/>
      <c r="AP2880" s="158"/>
      <c r="AQ2880" s="1"/>
      <c r="AR2880" s="1"/>
      <c r="AS2880" s="1"/>
      <c r="AT2880" s="1"/>
      <c r="AU2880" s="1"/>
    </row>
    <row r="2881" spans="34:47">
      <c r="AH2881" s="6">
        <f t="shared" si="414"/>
        <v>2851</v>
      </c>
      <c r="AI2881" s="7">
        <f t="shared" ca="1" si="415"/>
        <v>45521</v>
      </c>
      <c r="AJ2881" s="210">
        <f t="shared" ca="1" si="416"/>
        <v>4.1749999999999998</v>
      </c>
      <c r="AK2881" s="8">
        <f t="shared" ca="1" si="417"/>
        <v>1.0001159722222221</v>
      </c>
      <c r="AL2881" s="98">
        <f t="shared" ca="1" si="418"/>
        <v>4.1006967419007223</v>
      </c>
      <c r="AM2881" s="106">
        <f t="shared" ca="1" si="412"/>
        <v>33126.57988537124</v>
      </c>
      <c r="AN2881" s="10">
        <f t="shared" ca="1" si="413"/>
        <v>1.0478482530412503</v>
      </c>
      <c r="AO2881" s="158"/>
      <c r="AP2881" s="158"/>
      <c r="AQ2881" s="1"/>
      <c r="AR2881" s="1"/>
      <c r="AS2881" s="1"/>
      <c r="AT2881" s="1"/>
      <c r="AU2881" s="1"/>
    </row>
    <row r="2882" spans="34:47">
      <c r="AH2882" s="6">
        <f t="shared" si="414"/>
        <v>2852</v>
      </c>
      <c r="AI2882" s="7">
        <f t="shared" ca="1" si="415"/>
        <v>45522</v>
      </c>
      <c r="AJ2882" s="210">
        <f t="shared" ca="1" si="416"/>
        <v>4.1749999999999998</v>
      </c>
      <c r="AK2882" s="8">
        <f t="shared" ca="1" si="417"/>
        <v>1.0001159722222221</v>
      </c>
      <c r="AL2882" s="98">
        <f t="shared" ca="1" si="418"/>
        <v>4.1007748146836054</v>
      </c>
      <c r="AM2882" s="106">
        <f t="shared" ca="1" si="412"/>
        <v>33129.3095642236</v>
      </c>
      <c r="AN2882" s="10">
        <f t="shared" ca="1" si="413"/>
        <v>1.0479130252235347</v>
      </c>
      <c r="AO2882" s="158"/>
      <c r="AP2882" s="158"/>
      <c r="AQ2882" s="1"/>
      <c r="AR2882" s="1"/>
      <c r="AS2882" s="1"/>
      <c r="AT2882" s="1"/>
      <c r="AU2882" s="1"/>
    </row>
    <row r="2883" spans="34:47">
      <c r="AH2883" s="6">
        <f t="shared" si="414"/>
        <v>2853</v>
      </c>
      <c r="AI2883" s="7">
        <f t="shared" ca="1" si="415"/>
        <v>45523</v>
      </c>
      <c r="AJ2883" s="210">
        <f t="shared" ca="1" si="416"/>
        <v>4.1749999999999998</v>
      </c>
      <c r="AK2883" s="8">
        <f t="shared" ca="1" si="417"/>
        <v>1.0001159722222221</v>
      </c>
      <c r="AL2883" s="98">
        <f t="shared" ca="1" si="418"/>
        <v>4.100852832794688</v>
      </c>
      <c r="AM2883" s="106">
        <f t="shared" ca="1" si="412"/>
        <v>33132.039468005511</v>
      </c>
      <c r="AN2883" s="10">
        <f t="shared" ca="1" si="413"/>
        <v>1.0479777520409517</v>
      </c>
      <c r="AO2883" s="158"/>
      <c r="AP2883" s="158"/>
      <c r="AQ2883" s="1"/>
      <c r="AR2883" s="1"/>
      <c r="AS2883" s="1"/>
      <c r="AT2883" s="1"/>
      <c r="AU2883" s="1"/>
    </row>
    <row r="2884" spans="34:47">
      <c r="AH2884" s="6">
        <f t="shared" si="414"/>
        <v>2854</v>
      </c>
      <c r="AI2884" s="7">
        <f t="shared" ca="1" si="415"/>
        <v>45524</v>
      </c>
      <c r="AJ2884" s="210">
        <f t="shared" ca="1" si="416"/>
        <v>4.1749999999999998</v>
      </c>
      <c r="AK2884" s="8">
        <f t="shared" ca="1" si="417"/>
        <v>1.0001159722222221</v>
      </c>
      <c r="AL2884" s="98">
        <f t="shared" ca="1" si="418"/>
        <v>4.1009307962913466</v>
      </c>
      <c r="AM2884" s="106">
        <f t="shared" ca="1" si="412"/>
        <v>33134.769596735503</v>
      </c>
      <c r="AN2884" s="10">
        <f t="shared" ca="1" si="413"/>
        <v>1.0480424335410854</v>
      </c>
      <c r="AO2884" s="158"/>
      <c r="AP2884" s="158"/>
      <c r="AQ2884" s="1"/>
      <c r="AR2884" s="1"/>
      <c r="AS2884" s="1"/>
      <c r="AT2884" s="1"/>
      <c r="AU2884" s="1"/>
    </row>
    <row r="2885" spans="34:47">
      <c r="AH2885" s="6">
        <f t="shared" si="414"/>
        <v>2855</v>
      </c>
      <c r="AI2885" s="7">
        <f t="shared" ca="1" si="415"/>
        <v>45525</v>
      </c>
      <c r="AJ2885" s="210">
        <f t="shared" ca="1" si="416"/>
        <v>4.1749999999999998</v>
      </c>
      <c r="AK2885" s="8">
        <f t="shared" ca="1" si="417"/>
        <v>1.0001159722222221</v>
      </c>
      <c r="AL2885" s="98">
        <f t="shared" ca="1" si="418"/>
        <v>4.1010087052309352</v>
      </c>
      <c r="AM2885" s="106">
        <f t="shared" ca="1" si="412"/>
        <v>33137.499950432124</v>
      </c>
      <c r="AN2885" s="10">
        <f t="shared" ca="1" si="413"/>
        <v>1.0481070697715644</v>
      </c>
      <c r="AO2885" s="158"/>
      <c r="AP2885" s="158"/>
      <c r="AQ2885" s="1"/>
      <c r="AR2885" s="1"/>
      <c r="AS2885" s="1"/>
      <c r="AT2885" s="1"/>
      <c r="AU2885" s="1"/>
    </row>
    <row r="2886" spans="34:47">
      <c r="AH2886" s="6">
        <f t="shared" si="414"/>
        <v>2856</v>
      </c>
      <c r="AI2886" s="7">
        <f t="shared" ca="1" si="415"/>
        <v>45526</v>
      </c>
      <c r="AJ2886" s="210">
        <f t="shared" ca="1" si="416"/>
        <v>4.1749999999999998</v>
      </c>
      <c r="AK2886" s="8">
        <f t="shared" ca="1" si="417"/>
        <v>1.0001159722222221</v>
      </c>
      <c r="AL2886" s="98">
        <f t="shared" ca="1" si="418"/>
        <v>4.1010865596706747</v>
      </c>
      <c r="AM2886" s="106">
        <f t="shared" ca="1" si="412"/>
        <v>33140.230529113891</v>
      </c>
      <c r="AN2886" s="10">
        <f t="shared" ca="1" si="413"/>
        <v>1.0481716607798619</v>
      </c>
      <c r="AO2886" s="158"/>
      <c r="AP2886" s="158"/>
      <c r="AQ2886" s="1"/>
      <c r="AR2886" s="1"/>
      <c r="AS2886" s="1"/>
      <c r="AT2886" s="1"/>
      <c r="AU2886" s="1"/>
    </row>
    <row r="2887" spans="34:47">
      <c r="AH2887" s="6">
        <f t="shared" si="414"/>
        <v>2857</v>
      </c>
      <c r="AI2887" s="7">
        <f t="shared" ca="1" si="415"/>
        <v>45527</v>
      </c>
      <c r="AJ2887" s="210">
        <f t="shared" ca="1" si="416"/>
        <v>4.1749999999999998</v>
      </c>
      <c r="AK2887" s="8">
        <f t="shared" ca="1" si="417"/>
        <v>1.0001159722222221</v>
      </c>
      <c r="AL2887" s="98">
        <f t="shared" ca="1" si="418"/>
        <v>4.1011643596677638</v>
      </c>
      <c r="AM2887" s="106">
        <f t="shared" ca="1" si="412"/>
        <v>33142.96133279935</v>
      </c>
      <c r="AN2887" s="10">
        <f t="shared" ca="1" si="413"/>
        <v>1.048236206613451</v>
      </c>
      <c r="AO2887" s="158"/>
      <c r="AP2887" s="158"/>
      <c r="AQ2887" s="1"/>
      <c r="AR2887" s="1"/>
      <c r="AS2887" s="1"/>
      <c r="AT2887" s="1"/>
      <c r="AU2887" s="1"/>
    </row>
    <row r="2888" spans="34:47">
      <c r="AH2888" s="6">
        <f t="shared" si="414"/>
        <v>2858</v>
      </c>
      <c r="AI2888" s="7">
        <f t="shared" ca="1" si="415"/>
        <v>45528</v>
      </c>
      <c r="AJ2888" s="210">
        <f t="shared" ca="1" si="416"/>
        <v>4.1749999999999998</v>
      </c>
      <c r="AK2888" s="8">
        <f t="shared" ca="1" si="417"/>
        <v>1.0001159722222221</v>
      </c>
      <c r="AL2888" s="98">
        <f t="shared" ca="1" si="418"/>
        <v>4.101242105279268</v>
      </c>
      <c r="AM2888" s="106">
        <f t="shared" ca="1" si="412"/>
        <v>33145.692361507048</v>
      </c>
      <c r="AN2888" s="10">
        <f t="shared" ca="1" si="413"/>
        <v>1.0483007073196937</v>
      </c>
      <c r="AO2888" s="158"/>
      <c r="AP2888" s="158"/>
      <c r="AQ2888" s="1"/>
      <c r="AR2888" s="1"/>
      <c r="AS2888" s="1"/>
      <c r="AT2888" s="1"/>
      <c r="AU2888" s="1"/>
    </row>
    <row r="2889" spans="34:47">
      <c r="AH2889" s="6">
        <f t="shared" si="414"/>
        <v>2859</v>
      </c>
      <c r="AI2889" s="7">
        <f t="shared" ca="1" si="415"/>
        <v>45529</v>
      </c>
      <c r="AJ2889" s="210">
        <f t="shared" ca="1" si="416"/>
        <v>4.1749999999999998</v>
      </c>
      <c r="AK2889" s="8">
        <f t="shared" ca="1" si="417"/>
        <v>1.0001159722222221</v>
      </c>
      <c r="AL2889" s="98">
        <f t="shared" ca="1" si="418"/>
        <v>4.1013197965621861</v>
      </c>
      <c r="AM2889" s="106">
        <f t="shared" ca="1" si="412"/>
        <v>33148.423615255524</v>
      </c>
      <c r="AN2889" s="10">
        <f t="shared" ca="1" si="413"/>
        <v>1.0483651629459079</v>
      </c>
      <c r="AO2889" s="158"/>
      <c r="AP2889" s="158"/>
      <c r="AQ2889" s="1"/>
      <c r="AR2889" s="1"/>
      <c r="AS2889" s="1"/>
      <c r="AT2889" s="1"/>
      <c r="AU2889" s="1"/>
    </row>
    <row r="2890" spans="34:47">
      <c r="AH2890" s="6">
        <f t="shared" si="414"/>
        <v>2860</v>
      </c>
      <c r="AI2890" s="7">
        <f t="shared" ca="1" si="415"/>
        <v>45530</v>
      </c>
      <c r="AJ2890" s="210">
        <f t="shared" ca="1" si="416"/>
        <v>4.1749999999999998</v>
      </c>
      <c r="AK2890" s="8">
        <f t="shared" ca="1" si="417"/>
        <v>1.0001159722222221</v>
      </c>
      <c r="AL2890" s="98">
        <f t="shared" ca="1" si="418"/>
        <v>4.1013974335734726</v>
      </c>
      <c r="AM2890" s="106">
        <f t="shared" ca="1" si="412"/>
        <v>33151.155094063331</v>
      </c>
      <c r="AN2890" s="10">
        <f t="shared" ca="1" si="413"/>
        <v>1.0484295735393223</v>
      </c>
      <c r="AO2890" s="158"/>
      <c r="AP2890" s="158"/>
      <c r="AQ2890" s="1"/>
      <c r="AR2890" s="1"/>
      <c r="AS2890" s="1"/>
      <c r="AT2890" s="1"/>
      <c r="AU2890" s="1"/>
    </row>
    <row r="2891" spans="34:47">
      <c r="AH2891" s="6">
        <f t="shared" si="414"/>
        <v>2861</v>
      </c>
      <c r="AI2891" s="7">
        <f t="shared" ca="1" si="415"/>
        <v>45531</v>
      </c>
      <c r="AJ2891" s="210">
        <f t="shared" ca="1" si="416"/>
        <v>4.1749999999999998</v>
      </c>
      <c r="AK2891" s="8">
        <f t="shared" ca="1" si="417"/>
        <v>1.0001159722222221</v>
      </c>
      <c r="AL2891" s="98">
        <f t="shared" ca="1" si="418"/>
        <v>4.1014750163699487</v>
      </c>
      <c r="AM2891" s="106">
        <f t="shared" ca="1" si="412"/>
        <v>33153.886797948995</v>
      </c>
      <c r="AN2891" s="10">
        <f t="shared" ca="1" si="413"/>
        <v>1.0484939391471215</v>
      </c>
      <c r="AO2891" s="158"/>
      <c r="AP2891" s="158"/>
      <c r="AQ2891" s="1"/>
      <c r="AR2891" s="1"/>
      <c r="AS2891" s="1"/>
      <c r="AT2891" s="1"/>
      <c r="AU2891" s="1"/>
    </row>
    <row r="2892" spans="34:47">
      <c r="AH2892" s="6">
        <f t="shared" si="414"/>
        <v>2862</v>
      </c>
      <c r="AI2892" s="7">
        <f t="shared" ca="1" si="415"/>
        <v>45532</v>
      </c>
      <c r="AJ2892" s="210">
        <f t="shared" ca="1" si="416"/>
        <v>4.1749999999999998</v>
      </c>
      <c r="AK2892" s="8">
        <f t="shared" ca="1" si="417"/>
        <v>1.0001159722222221</v>
      </c>
      <c r="AL2892" s="98">
        <f t="shared" ca="1" si="418"/>
        <v>4.1015525450083912</v>
      </c>
      <c r="AM2892" s="106">
        <f t="shared" ca="1" si="412"/>
        <v>33156.618726931069</v>
      </c>
      <c r="AN2892" s="10">
        <f t="shared" ca="1" si="413"/>
        <v>1.0485582598164012</v>
      </c>
      <c r="AO2892" s="158"/>
      <c r="AP2892" s="158"/>
      <c r="AQ2892" s="1"/>
      <c r="AR2892" s="1"/>
      <c r="AS2892" s="1"/>
      <c r="AT2892" s="1"/>
      <c r="AU2892" s="1"/>
    </row>
    <row r="2893" spans="34:47">
      <c r="AH2893" s="6">
        <f t="shared" si="414"/>
        <v>2863</v>
      </c>
      <c r="AI2893" s="7">
        <f t="shared" ca="1" si="415"/>
        <v>45533</v>
      </c>
      <c r="AJ2893" s="210">
        <f t="shared" ca="1" si="416"/>
        <v>4.1749999999999998</v>
      </c>
      <c r="AK2893" s="8">
        <f t="shared" ca="1" si="417"/>
        <v>1.0001159722222221</v>
      </c>
      <c r="AL2893" s="98">
        <f t="shared" ca="1" si="418"/>
        <v>4.101630019545488</v>
      </c>
      <c r="AM2893" s="106">
        <f t="shared" ca="1" si="412"/>
        <v>33159.35088102812</v>
      </c>
      <c r="AN2893" s="10">
        <f t="shared" ca="1" si="413"/>
        <v>1.0486225355942347</v>
      </c>
      <c r="AO2893" s="158"/>
      <c r="AP2893" s="158"/>
      <c r="AQ2893" s="1"/>
      <c r="AR2893" s="1"/>
      <c r="AS2893" s="1"/>
      <c r="AT2893" s="1"/>
      <c r="AU2893" s="1"/>
    </row>
    <row r="2894" spans="34:47">
      <c r="AH2894" s="6">
        <f t="shared" si="414"/>
        <v>2864</v>
      </c>
      <c r="AI2894" s="7">
        <f t="shared" ca="1" si="415"/>
        <v>45534</v>
      </c>
      <c r="AJ2894" s="210">
        <f t="shared" ca="1" si="416"/>
        <v>4.1749999999999998</v>
      </c>
      <c r="AK2894" s="8">
        <f t="shared" ca="1" si="417"/>
        <v>1.0001159722222221</v>
      </c>
      <c r="AL2894" s="98">
        <f t="shared" ca="1" si="418"/>
        <v>4.1017074400378606</v>
      </c>
      <c r="AM2894" s="106">
        <f t="shared" ca="1" si="412"/>
        <v>33162.083260258667</v>
      </c>
      <c r="AN2894" s="10">
        <f t="shared" ca="1" si="413"/>
        <v>1.0486867665276067</v>
      </c>
      <c r="AO2894" s="158"/>
      <c r="AP2894" s="158"/>
      <c r="AQ2894" s="1"/>
      <c r="AR2894" s="1"/>
      <c r="AS2894" s="1"/>
      <c r="AT2894" s="1"/>
      <c r="AU2894" s="1"/>
    </row>
    <row r="2895" spans="34:47">
      <c r="AH2895" s="6">
        <f t="shared" si="414"/>
        <v>2865</v>
      </c>
      <c r="AI2895" s="7">
        <f t="shared" ca="1" si="415"/>
        <v>45535</v>
      </c>
      <c r="AJ2895" s="210">
        <f t="shared" ca="1" si="416"/>
        <v>4.1749999999999998</v>
      </c>
      <c r="AK2895" s="8">
        <f t="shared" ca="1" si="417"/>
        <v>1.0001159722222221</v>
      </c>
      <c r="AL2895" s="98">
        <f t="shared" ca="1" si="418"/>
        <v>4.1017848065420193</v>
      </c>
      <c r="AM2895" s="106">
        <f t="shared" ca="1" si="412"/>
        <v>33164.815864641285</v>
      </c>
      <c r="AN2895" s="10">
        <f t="shared" ca="1" si="413"/>
        <v>1.0487509526633687</v>
      </c>
      <c r="AO2895" s="158"/>
      <c r="AP2895" s="158"/>
      <c r="AQ2895" s="1"/>
      <c r="AR2895" s="1"/>
      <c r="AS2895" s="1"/>
      <c r="AT2895" s="1"/>
      <c r="AU2895" s="1"/>
    </row>
    <row r="2896" spans="34:47">
      <c r="AH2896" s="6">
        <f t="shared" si="414"/>
        <v>2866</v>
      </c>
      <c r="AI2896" s="7">
        <f t="shared" ca="1" si="415"/>
        <v>45536</v>
      </c>
      <c r="AJ2896" s="210">
        <f t="shared" ca="1" si="416"/>
        <v>4.1749999999999998</v>
      </c>
      <c r="AK2896" s="8">
        <f t="shared" ca="1" si="417"/>
        <v>1.0001159722222221</v>
      </c>
      <c r="AL2896" s="98">
        <f t="shared" ca="1" si="418"/>
        <v>4.10186211911443</v>
      </c>
      <c r="AM2896" s="106">
        <f t="shared" ca="1" si="412"/>
        <v>33167.548694194513</v>
      </c>
      <c r="AN2896" s="10">
        <f t="shared" ca="1" si="413"/>
        <v>1.0488150940484608</v>
      </c>
      <c r="AO2896" s="158"/>
      <c r="AP2896" s="158"/>
      <c r="AQ2896" s="1"/>
      <c r="AR2896" s="1"/>
      <c r="AS2896" s="1"/>
      <c r="AT2896" s="1"/>
      <c r="AU2896" s="1"/>
    </row>
    <row r="2897" spans="34:47">
      <c r="AH2897" s="6">
        <f t="shared" si="414"/>
        <v>2867</v>
      </c>
      <c r="AI2897" s="7">
        <f t="shared" ca="1" si="415"/>
        <v>45537</v>
      </c>
      <c r="AJ2897" s="210">
        <f t="shared" ca="1" si="416"/>
        <v>4.1749999999999998</v>
      </c>
      <c r="AK2897" s="8">
        <f t="shared" ca="1" si="417"/>
        <v>1.0001159722222221</v>
      </c>
      <c r="AL2897" s="98">
        <f t="shared" ca="1" si="418"/>
        <v>4.1019393778114699</v>
      </c>
      <c r="AM2897" s="106">
        <f t="shared" ca="1" si="412"/>
        <v>33170.281748936926</v>
      </c>
      <c r="AN2897" s="10">
        <f t="shared" ca="1" si="413"/>
        <v>1.0488791907296013</v>
      </c>
      <c r="AO2897" s="158"/>
      <c r="AP2897" s="158"/>
      <c r="AQ2897" s="1"/>
      <c r="AR2897" s="1"/>
      <c r="AS2897" s="1"/>
      <c r="AT2897" s="1"/>
      <c r="AU2897" s="1"/>
    </row>
    <row r="2898" spans="34:47">
      <c r="AH2898" s="6">
        <f t="shared" si="414"/>
        <v>2868</v>
      </c>
      <c r="AI2898" s="7">
        <f t="shared" ca="1" si="415"/>
        <v>45538</v>
      </c>
      <c r="AJ2898" s="210">
        <f t="shared" ca="1" si="416"/>
        <v>4.1749999999999998</v>
      </c>
      <c r="AK2898" s="8">
        <f t="shared" ca="1" si="417"/>
        <v>1.0001159722222221</v>
      </c>
      <c r="AL2898" s="98">
        <f t="shared" ca="1" si="418"/>
        <v>4.1020165826894273</v>
      </c>
      <c r="AM2898" s="106">
        <f t="shared" ca="1" si="412"/>
        <v>33173.015028887043</v>
      </c>
      <c r="AN2898" s="10">
        <f t="shared" ca="1" si="413"/>
        <v>1.0489432427535306</v>
      </c>
      <c r="AO2898" s="158"/>
      <c r="AP2898" s="158"/>
      <c r="AQ2898" s="1"/>
      <c r="AR2898" s="1"/>
      <c r="AS2898" s="1"/>
      <c r="AT2898" s="1"/>
      <c r="AU2898" s="1"/>
    </row>
    <row r="2899" spans="34:47">
      <c r="AH2899" s="6">
        <f t="shared" si="414"/>
        <v>2869</v>
      </c>
      <c r="AI2899" s="7">
        <f t="shared" ca="1" si="415"/>
        <v>45539</v>
      </c>
      <c r="AJ2899" s="210">
        <f t="shared" ca="1" si="416"/>
        <v>4.1749999999999998</v>
      </c>
      <c r="AK2899" s="8">
        <f t="shared" ca="1" si="417"/>
        <v>1.0001159722222221</v>
      </c>
      <c r="AL2899" s="98">
        <f t="shared" ca="1" si="418"/>
        <v>4.1020937338045238</v>
      </c>
      <c r="AM2899" s="106">
        <f t="shared" ca="1" si="412"/>
        <v>33175.748534063459</v>
      </c>
      <c r="AN2899" s="10">
        <f t="shared" ca="1" si="413"/>
        <v>1.0490072501669223</v>
      </c>
      <c r="AO2899" s="158"/>
      <c r="AP2899" s="158"/>
      <c r="AQ2899" s="1"/>
      <c r="AR2899" s="1"/>
      <c r="AS2899" s="1"/>
      <c r="AT2899" s="1"/>
      <c r="AU2899" s="1"/>
    </row>
    <row r="2900" spans="34:47">
      <c r="AH2900" s="6">
        <f t="shared" si="414"/>
        <v>2870</v>
      </c>
      <c r="AI2900" s="7">
        <f t="shared" ca="1" si="415"/>
        <v>45540</v>
      </c>
      <c r="AJ2900" s="210">
        <f t="shared" ca="1" si="416"/>
        <v>4.1749999999999998</v>
      </c>
      <c r="AK2900" s="8">
        <f t="shared" ca="1" si="417"/>
        <v>1.0001159722222221</v>
      </c>
      <c r="AL2900" s="98">
        <f t="shared" ca="1" si="418"/>
        <v>4.1021708312128924</v>
      </c>
      <c r="AM2900" s="106">
        <f t="shared" ca="1" si="412"/>
        <v>33178.482264484715</v>
      </c>
      <c r="AN2900" s="10">
        <f t="shared" ca="1" si="413"/>
        <v>1.0490712130163393</v>
      </c>
      <c r="AO2900" s="158"/>
      <c r="AP2900" s="158"/>
      <c r="AQ2900" s="1"/>
      <c r="AR2900" s="1"/>
      <c r="AS2900" s="1"/>
      <c r="AT2900" s="1"/>
      <c r="AU2900" s="1"/>
    </row>
    <row r="2901" spans="34:47">
      <c r="AH2901" s="6">
        <f t="shared" si="414"/>
        <v>2871</v>
      </c>
      <c r="AI2901" s="7">
        <f t="shared" ca="1" si="415"/>
        <v>45541</v>
      </c>
      <c r="AJ2901" s="210">
        <f t="shared" ca="1" si="416"/>
        <v>4.1749999999999998</v>
      </c>
      <c r="AK2901" s="8">
        <f t="shared" ca="1" si="417"/>
        <v>1.0001159722222221</v>
      </c>
      <c r="AL2901" s="98">
        <f t="shared" ca="1" si="418"/>
        <v>4.1022478749705993</v>
      </c>
      <c r="AM2901" s="106">
        <f t="shared" ca="1" si="412"/>
        <v>33181.216220169372</v>
      </c>
      <c r="AN2901" s="10">
        <f t="shared" ca="1" si="413"/>
        <v>1.0491351313482999</v>
      </c>
      <c r="AO2901" s="158"/>
      <c r="AP2901" s="158"/>
      <c r="AQ2901" s="1"/>
      <c r="AR2901" s="1"/>
      <c r="AS2901" s="1"/>
      <c r="AT2901" s="1"/>
      <c r="AU2901" s="1"/>
    </row>
    <row r="2902" spans="34:47">
      <c r="AH2902" s="6">
        <f t="shared" si="414"/>
        <v>2872</v>
      </c>
      <c r="AI2902" s="7">
        <f t="shared" ca="1" si="415"/>
        <v>45542</v>
      </c>
      <c r="AJ2902" s="210">
        <f t="shared" ca="1" si="416"/>
        <v>4.1749999999999998</v>
      </c>
      <c r="AK2902" s="8">
        <f t="shared" ca="1" si="417"/>
        <v>1.0001159722222221</v>
      </c>
      <c r="AL2902" s="98">
        <f t="shared" ca="1" si="418"/>
        <v>4.1023248651336219</v>
      </c>
      <c r="AM2902" s="106">
        <f t="shared" ca="1" si="412"/>
        <v>33183.950401135997</v>
      </c>
      <c r="AN2902" s="10">
        <f t="shared" ca="1" si="413"/>
        <v>1.0491990052093003</v>
      </c>
      <c r="AO2902" s="158"/>
      <c r="AP2902" s="158"/>
      <c r="AQ2902" s="1"/>
      <c r="AR2902" s="1"/>
      <c r="AS2902" s="1"/>
      <c r="AT2902" s="1"/>
      <c r="AU2902" s="1"/>
    </row>
    <row r="2903" spans="34:47">
      <c r="AH2903" s="6">
        <f t="shared" si="414"/>
        <v>2873</v>
      </c>
      <c r="AI2903" s="7">
        <f t="shared" ca="1" si="415"/>
        <v>45543</v>
      </c>
      <c r="AJ2903" s="210">
        <f t="shared" ca="1" si="416"/>
        <v>4.1749999999999998</v>
      </c>
      <c r="AK2903" s="8">
        <f t="shared" ca="1" si="417"/>
        <v>1.0001159722222221</v>
      </c>
      <c r="AL2903" s="98">
        <f t="shared" ca="1" si="418"/>
        <v>4.1024018017578712</v>
      </c>
      <c r="AM2903" s="106">
        <f t="shared" ca="1" si="412"/>
        <v>33186.684807403151</v>
      </c>
      <c r="AN2903" s="10">
        <f t="shared" ca="1" si="413"/>
        <v>1.0492628346457034</v>
      </c>
      <c r="AO2903" s="158"/>
      <c r="AP2903" s="158"/>
      <c r="AQ2903" s="1"/>
      <c r="AR2903" s="1"/>
      <c r="AS2903" s="1"/>
      <c r="AT2903" s="1"/>
      <c r="AU2903" s="1"/>
    </row>
    <row r="2904" spans="34:47">
      <c r="AH2904" s="6">
        <f t="shared" si="414"/>
        <v>2874</v>
      </c>
      <c r="AI2904" s="7">
        <f t="shared" ca="1" si="415"/>
        <v>45544</v>
      </c>
      <c r="AJ2904" s="210">
        <f t="shared" ca="1" si="416"/>
        <v>4.1749999999999998</v>
      </c>
      <c r="AK2904" s="8">
        <f t="shared" ca="1" si="417"/>
        <v>1.0001159722222221</v>
      </c>
      <c r="AL2904" s="98">
        <f t="shared" ca="1" si="418"/>
        <v>4.102478684899169</v>
      </c>
      <c r="AM2904" s="106">
        <f t="shared" ca="1" si="412"/>
        <v>33189.419438989396</v>
      </c>
      <c r="AN2904" s="10">
        <f t="shared" ca="1" si="413"/>
        <v>1.0493266197038498</v>
      </c>
      <c r="AO2904" s="158"/>
      <c r="AP2904" s="158"/>
      <c r="AQ2904" s="1"/>
      <c r="AR2904" s="1"/>
      <c r="AS2904" s="1"/>
      <c r="AT2904" s="1"/>
      <c r="AU2904" s="1"/>
    </row>
    <row r="2905" spans="34:47">
      <c r="AH2905" s="6">
        <f t="shared" si="414"/>
        <v>2875</v>
      </c>
      <c r="AI2905" s="7">
        <f t="shared" ca="1" si="415"/>
        <v>45545</v>
      </c>
      <c r="AJ2905" s="210">
        <f t="shared" ca="1" si="416"/>
        <v>4.1749999999999998</v>
      </c>
      <c r="AK2905" s="8">
        <f t="shared" ca="1" si="417"/>
        <v>1.0001159722222221</v>
      </c>
      <c r="AL2905" s="98">
        <f t="shared" ca="1" si="418"/>
        <v>4.1025555146132708</v>
      </c>
      <c r="AM2905" s="106">
        <f t="shared" ca="1" si="412"/>
        <v>33192.1542959133</v>
      </c>
      <c r="AN2905" s="10">
        <f t="shared" ca="1" si="413"/>
        <v>1.0493903604299915</v>
      </c>
      <c r="AO2905" s="158"/>
      <c r="AP2905" s="158"/>
      <c r="AQ2905" s="1"/>
      <c r="AR2905" s="1"/>
      <c r="AS2905" s="1"/>
      <c r="AT2905" s="1"/>
      <c r="AU2905" s="1"/>
    </row>
    <row r="2906" spans="34:47">
      <c r="AH2906" s="6">
        <f t="shared" si="414"/>
        <v>2876</v>
      </c>
      <c r="AI2906" s="7">
        <f t="shared" ca="1" si="415"/>
        <v>45546</v>
      </c>
      <c r="AJ2906" s="210">
        <f t="shared" ca="1" si="416"/>
        <v>4.1749999999999998</v>
      </c>
      <c r="AK2906" s="8">
        <f t="shared" ca="1" si="417"/>
        <v>1.0001159722222221</v>
      </c>
      <c r="AL2906" s="98">
        <f t="shared" ca="1" si="418"/>
        <v>4.102632290955821</v>
      </c>
      <c r="AM2906" s="106">
        <f t="shared" ca="1" si="412"/>
        <v>33194.889378193431</v>
      </c>
      <c r="AN2906" s="10">
        <f t="shared" ca="1" si="413"/>
        <v>1.0494540568703581</v>
      </c>
      <c r="AO2906" s="158"/>
      <c r="AP2906" s="158"/>
      <c r="AQ2906" s="1"/>
      <c r="AR2906" s="1"/>
      <c r="AS2906" s="1"/>
      <c r="AT2906" s="1"/>
      <c r="AU2906" s="1"/>
    </row>
    <row r="2907" spans="34:47">
      <c r="AH2907" s="6">
        <f t="shared" si="414"/>
        <v>2877</v>
      </c>
      <c r="AI2907" s="7">
        <f t="shared" ca="1" si="415"/>
        <v>45547</v>
      </c>
      <c r="AJ2907" s="210">
        <f t="shared" ca="1" si="416"/>
        <v>4.1749999999999998</v>
      </c>
      <c r="AK2907" s="8">
        <f t="shared" ca="1" si="417"/>
        <v>1.0001159722222221</v>
      </c>
      <c r="AL2907" s="98">
        <f t="shared" ca="1" si="418"/>
        <v>4.1027090139824418</v>
      </c>
      <c r="AM2907" s="106">
        <f t="shared" ca="1" si="412"/>
        <v>33197.624685848365</v>
      </c>
      <c r="AN2907" s="10">
        <f t="shared" ca="1" si="413"/>
        <v>1.0495177090710461</v>
      </c>
      <c r="AO2907" s="158"/>
      <c r="AP2907" s="158"/>
      <c r="AQ2907" s="1"/>
      <c r="AR2907" s="1"/>
      <c r="AS2907" s="1"/>
      <c r="AT2907" s="1"/>
      <c r="AU2907" s="1"/>
    </row>
    <row r="2908" spans="34:47">
      <c r="AH2908" s="6">
        <f t="shared" si="414"/>
        <v>2878</v>
      </c>
      <c r="AI2908" s="7">
        <f t="shared" ca="1" si="415"/>
        <v>45548</v>
      </c>
      <c r="AJ2908" s="210">
        <f t="shared" ca="1" si="416"/>
        <v>4.1749999999999998</v>
      </c>
      <c r="AK2908" s="8">
        <f t="shared" ca="1" si="417"/>
        <v>1.0001159722222221</v>
      </c>
      <c r="AL2908" s="98">
        <f t="shared" ca="1" si="418"/>
        <v>4.1027856837486443</v>
      </c>
      <c r="AM2908" s="106">
        <f t="shared" ca="1" si="412"/>
        <v>33200.360218896669</v>
      </c>
      <c r="AN2908" s="10">
        <f t="shared" ca="1" si="413"/>
        <v>1.0495813170781743</v>
      </c>
      <c r="AO2908" s="158"/>
      <c r="AP2908" s="158"/>
      <c r="AQ2908" s="1"/>
      <c r="AR2908" s="1"/>
      <c r="AS2908" s="1"/>
      <c r="AT2908" s="1"/>
      <c r="AU2908" s="1"/>
    </row>
    <row r="2909" spans="34:47">
      <c r="AH2909" s="6">
        <f t="shared" si="414"/>
        <v>2879</v>
      </c>
      <c r="AI2909" s="7">
        <f t="shared" ca="1" si="415"/>
        <v>45549</v>
      </c>
      <c r="AJ2909" s="210">
        <f t="shared" ca="1" si="416"/>
        <v>4.1749999999999998</v>
      </c>
      <c r="AK2909" s="8">
        <f t="shared" ca="1" si="417"/>
        <v>1.0001159722222221</v>
      </c>
      <c r="AL2909" s="98">
        <f t="shared" ca="1" si="418"/>
        <v>4.102862300309873</v>
      </c>
      <c r="AM2909" s="106">
        <f t="shared" ca="1" si="412"/>
        <v>33203.095977356912</v>
      </c>
      <c r="AN2909" s="10">
        <f t="shared" ca="1" si="413"/>
        <v>1.0496448809377057</v>
      </c>
      <c r="AO2909" s="158"/>
      <c r="AP2909" s="158"/>
      <c r="AQ2909" s="1"/>
      <c r="AR2909" s="1"/>
      <c r="AS2909" s="1"/>
      <c r="AT2909" s="1"/>
      <c r="AU2909" s="1"/>
    </row>
    <row r="2910" spans="34:47">
      <c r="AH2910" s="6">
        <f t="shared" si="414"/>
        <v>2880</v>
      </c>
      <c r="AI2910" s="7">
        <f t="shared" ca="1" si="415"/>
        <v>45550</v>
      </c>
      <c r="AJ2910" s="210">
        <f t="shared" ca="1" si="416"/>
        <v>4.1749999999999998</v>
      </c>
      <c r="AK2910" s="8">
        <f t="shared" ca="1" si="417"/>
        <v>1.0001159722222221</v>
      </c>
      <c r="AL2910" s="98">
        <f t="shared" ca="1" si="418"/>
        <v>4.1029388637214836</v>
      </c>
      <c r="AM2910" s="106">
        <f t="shared" ca="1" si="412"/>
        <v>33205.831961247677</v>
      </c>
      <c r="AN2910" s="10">
        <f t="shared" ca="1" si="413"/>
        <v>1.0497084006956481</v>
      </c>
      <c r="AO2910" s="158"/>
      <c r="AP2910" s="158"/>
      <c r="AQ2910" s="1"/>
      <c r="AR2910" s="1"/>
      <c r="AS2910" s="1"/>
      <c r="AT2910" s="1"/>
      <c r="AU2910" s="1"/>
    </row>
    <row r="2911" spans="34:47">
      <c r="AH2911" s="6">
        <f t="shared" si="414"/>
        <v>2881</v>
      </c>
      <c r="AI2911" s="7">
        <f t="shared" ca="1" si="415"/>
        <v>45551</v>
      </c>
      <c r="AJ2911" s="210">
        <f t="shared" ca="1" si="416"/>
        <v>4.1749999999999998</v>
      </c>
      <c r="AK2911" s="8">
        <f t="shared" ca="1" si="417"/>
        <v>1.0001159722222221</v>
      </c>
      <c r="AL2911" s="98">
        <f t="shared" ca="1" si="418"/>
        <v>4.1030153740387654</v>
      </c>
      <c r="AM2911" s="106">
        <f t="shared" ref="AM2911:AM2974" ca="1" si="419">Geom_Interp(AI2911,$AZ$2:$AZ$109,$BA$2:$BA$109)</f>
        <v>33208.568170587532</v>
      </c>
      <c r="AN2911" s="10">
        <f t="shared" ref="AN2911:AN2974" ca="1" si="420">100*(((1+AL2911/100)^(AH2911/365)*$AM$29/AM2911)^(365/AH2911)-1)</f>
        <v>1.0497718763978092</v>
      </c>
      <c r="AO2911" s="158"/>
      <c r="AP2911" s="158"/>
      <c r="AQ2911" s="1"/>
      <c r="AR2911" s="1"/>
      <c r="AS2911" s="1"/>
      <c r="AT2911" s="1"/>
      <c r="AU2911" s="1"/>
    </row>
    <row r="2912" spans="34:47">
      <c r="AH2912" s="6">
        <f t="shared" ref="AH2912:AH2975" si="421">$AI$29+AH2911</f>
        <v>2882</v>
      </c>
      <c r="AI2912" s="7">
        <f t="shared" ref="AI2912:AI2975" ca="1" si="422">+AH2912+$C$1</f>
        <v>45552</v>
      </c>
      <c r="AJ2912" s="210">
        <f t="shared" ref="AJ2912:AJ2975" ca="1" si="423">IF(AH2912&lt;365,VLOOKUP(LOOKUP(AI2912,$AI$2:$AI$23),$AI$2:$AK$23,3,0),Lin_Interp(AH2912,$AJ$2:$AJ$23,$AK$2:$AK$23))</f>
        <v>4.1749999999999998</v>
      </c>
      <c r="AK2912" s="8">
        <f t="shared" ca="1" si="417"/>
        <v>1.0001159722222221</v>
      </c>
      <c r="AL2912" s="98">
        <f t="shared" ca="1" si="418"/>
        <v>4.1030918313169185</v>
      </c>
      <c r="AM2912" s="106">
        <f t="shared" ca="1" si="419"/>
        <v>33211.304605395053</v>
      </c>
      <c r="AN2912" s="10">
        <f t="shared" ca="1" si="420"/>
        <v>1.0498353080900635</v>
      </c>
      <c r="AO2912" s="158"/>
      <c r="AP2912" s="158"/>
      <c r="AQ2912" s="1"/>
      <c r="AR2912" s="1"/>
      <c r="AS2912" s="1"/>
      <c r="AT2912" s="1"/>
      <c r="AU2912" s="1"/>
    </row>
    <row r="2913" spans="34:47">
      <c r="AH2913" s="6">
        <f t="shared" si="421"/>
        <v>2883</v>
      </c>
      <c r="AI2913" s="7">
        <f t="shared" ca="1" si="422"/>
        <v>45553</v>
      </c>
      <c r="AJ2913" s="210">
        <f t="shared" ca="1" si="423"/>
        <v>4.1749999999999998</v>
      </c>
      <c r="AK2913" s="8">
        <f t="shared" ref="AK2913:AK2976" ca="1" si="424">+(1+AJ2913/36000)</f>
        <v>1.0001159722222221</v>
      </c>
      <c r="AL2913" s="98">
        <f t="shared" ref="AL2913:AL2976" ca="1" si="425">100*(((1+AL2912/100)^(AH2912/365)*AK2913)^(365/AH2913)-1)</f>
        <v>4.1031682356110988</v>
      </c>
      <c r="AM2913" s="106">
        <f t="shared" ca="1" si="419"/>
        <v>33214.041265688822</v>
      </c>
      <c r="AN2913" s="10">
        <f t="shared" ca="1" si="420"/>
        <v>1.0498986958181522</v>
      </c>
      <c r="AO2913" s="158"/>
      <c r="AP2913" s="158"/>
      <c r="AQ2913" s="1"/>
      <c r="AR2913" s="1"/>
      <c r="AS2913" s="1"/>
      <c r="AT2913" s="1"/>
      <c r="AU2913" s="1"/>
    </row>
    <row r="2914" spans="34:47">
      <c r="AH2914" s="6">
        <f t="shared" si="421"/>
        <v>2884</v>
      </c>
      <c r="AI2914" s="7">
        <f t="shared" ca="1" si="422"/>
        <v>45554</v>
      </c>
      <c r="AJ2914" s="210">
        <f t="shared" ca="1" si="423"/>
        <v>4.1749999999999998</v>
      </c>
      <c r="AK2914" s="8">
        <f t="shared" ca="1" si="424"/>
        <v>1.0001159722222221</v>
      </c>
      <c r="AL2914" s="98">
        <f t="shared" ca="1" si="425"/>
        <v>4.103244586976329</v>
      </c>
      <c r="AM2914" s="106">
        <f t="shared" ca="1" si="419"/>
        <v>33216.778151487422</v>
      </c>
      <c r="AN2914" s="10">
        <f t="shared" ca="1" si="420"/>
        <v>1.0499620396277498</v>
      </c>
      <c r="AO2914" s="158"/>
      <c r="AP2914" s="158"/>
      <c r="AQ2914" s="1"/>
      <c r="AR2914" s="1"/>
      <c r="AS2914" s="1"/>
      <c r="AT2914" s="1"/>
      <c r="AU2914" s="1"/>
    </row>
    <row r="2915" spans="34:47">
      <c r="AH2915" s="6">
        <f t="shared" si="421"/>
        <v>2885</v>
      </c>
      <c r="AI2915" s="7">
        <f t="shared" ca="1" si="422"/>
        <v>45555</v>
      </c>
      <c r="AJ2915" s="210">
        <f t="shared" ca="1" si="423"/>
        <v>4.1749999999999998</v>
      </c>
      <c r="AK2915" s="8">
        <f t="shared" ca="1" si="424"/>
        <v>1.0001159722222221</v>
      </c>
      <c r="AL2915" s="98">
        <f t="shared" ca="1" si="425"/>
        <v>4.1033208854676095</v>
      </c>
      <c r="AM2915" s="106">
        <f t="shared" ca="1" si="419"/>
        <v>33219.515262809444</v>
      </c>
      <c r="AN2915" s="10">
        <f t="shared" ca="1" si="420"/>
        <v>1.0500253395644643</v>
      </c>
      <c r="AO2915" s="158"/>
      <c r="AP2915" s="158"/>
      <c r="AQ2915" s="1"/>
      <c r="AR2915" s="1"/>
      <c r="AS2915" s="1"/>
      <c r="AT2915" s="1"/>
      <c r="AU2915" s="1"/>
    </row>
    <row r="2916" spans="34:47">
      <c r="AH2916" s="6">
        <f t="shared" si="421"/>
        <v>2886</v>
      </c>
      <c r="AI2916" s="7">
        <f t="shared" ca="1" si="422"/>
        <v>45556</v>
      </c>
      <c r="AJ2916" s="210">
        <f t="shared" ca="1" si="423"/>
        <v>4.1749999999999998</v>
      </c>
      <c r="AK2916" s="8">
        <f t="shared" ca="1" si="424"/>
        <v>1.0001159722222221</v>
      </c>
      <c r="AL2916" s="98">
        <f t="shared" ca="1" si="425"/>
        <v>4.103397131139852</v>
      </c>
      <c r="AM2916" s="106">
        <f t="shared" ca="1" si="419"/>
        <v>33222.252599673448</v>
      </c>
      <c r="AN2916" s="10">
        <f t="shared" ca="1" si="420"/>
        <v>1.0500885956739259</v>
      </c>
      <c r="AO2916" s="158"/>
      <c r="AP2916" s="158"/>
      <c r="AQ2916" s="1"/>
      <c r="AR2916" s="1"/>
      <c r="AS2916" s="1"/>
      <c r="AT2916" s="1"/>
      <c r="AU2916" s="1"/>
    </row>
    <row r="2917" spans="34:47">
      <c r="AH2917" s="6">
        <f t="shared" si="421"/>
        <v>2887</v>
      </c>
      <c r="AI2917" s="7">
        <f t="shared" ca="1" si="422"/>
        <v>45557</v>
      </c>
      <c r="AJ2917" s="210">
        <f t="shared" ca="1" si="423"/>
        <v>4.1749999999999998</v>
      </c>
      <c r="AK2917" s="8">
        <f t="shared" ca="1" si="424"/>
        <v>1.0001159722222221</v>
      </c>
      <c r="AL2917" s="98">
        <f t="shared" ca="1" si="425"/>
        <v>4.1034733240478793</v>
      </c>
      <c r="AM2917" s="106">
        <f t="shared" ca="1" si="419"/>
        <v>33224.990162098031</v>
      </c>
      <c r="AN2917" s="10">
        <f t="shared" ca="1" si="420"/>
        <v>1.050151808001587</v>
      </c>
      <c r="AO2917" s="158"/>
      <c r="AP2917" s="158"/>
      <c r="AQ2917" s="1"/>
      <c r="AR2917" s="1"/>
      <c r="AS2917" s="1"/>
      <c r="AT2917" s="1"/>
      <c r="AU2917" s="1"/>
    </row>
    <row r="2918" spans="34:47">
      <c r="AH2918" s="6">
        <f t="shared" si="421"/>
        <v>2888</v>
      </c>
      <c r="AI2918" s="7">
        <f t="shared" ca="1" si="422"/>
        <v>45558</v>
      </c>
      <c r="AJ2918" s="210">
        <f t="shared" ca="1" si="423"/>
        <v>4.1749999999999998</v>
      </c>
      <c r="AK2918" s="8">
        <f t="shared" ca="1" si="424"/>
        <v>1.0001159722222221</v>
      </c>
      <c r="AL2918" s="98">
        <f t="shared" ca="1" si="425"/>
        <v>4.1035494642464476</v>
      </c>
      <c r="AM2918" s="106">
        <f t="shared" ca="1" si="419"/>
        <v>33227.727950101784</v>
      </c>
      <c r="AN2918" s="10">
        <f t="shared" ca="1" si="420"/>
        <v>1.0502149765929003</v>
      </c>
      <c r="AO2918" s="158"/>
      <c r="AP2918" s="158"/>
      <c r="AQ2918" s="1"/>
      <c r="AR2918" s="1"/>
      <c r="AS2918" s="1"/>
      <c r="AT2918" s="1"/>
      <c r="AU2918" s="1"/>
    </row>
    <row r="2919" spans="34:47">
      <c r="AH2919" s="6">
        <f t="shared" si="421"/>
        <v>2889</v>
      </c>
      <c r="AI2919" s="7">
        <f t="shared" ca="1" si="422"/>
        <v>45559</v>
      </c>
      <c r="AJ2919" s="210">
        <f t="shared" ca="1" si="423"/>
        <v>4.1749999999999998</v>
      </c>
      <c r="AK2919" s="8">
        <f t="shared" ca="1" si="424"/>
        <v>1.0001159722222221</v>
      </c>
      <c r="AL2919" s="98">
        <f t="shared" ca="1" si="425"/>
        <v>4.1036255517902243</v>
      </c>
      <c r="AM2919" s="106">
        <f t="shared" ca="1" si="419"/>
        <v>33230.465963703289</v>
      </c>
      <c r="AN2919" s="10">
        <f t="shared" ca="1" si="420"/>
        <v>1.0502781014932516</v>
      </c>
      <c r="AO2919" s="158"/>
      <c r="AP2919" s="158"/>
      <c r="AQ2919" s="1"/>
      <c r="AR2919" s="1"/>
      <c r="AS2919" s="1"/>
      <c r="AT2919" s="1"/>
      <c r="AU2919" s="1"/>
    </row>
    <row r="2920" spans="34:47">
      <c r="AH2920" s="6">
        <f t="shared" si="421"/>
        <v>2890</v>
      </c>
      <c r="AI2920" s="7">
        <f t="shared" ca="1" si="422"/>
        <v>45560</v>
      </c>
      <c r="AJ2920" s="210">
        <f t="shared" ca="1" si="423"/>
        <v>4.1749999999999998</v>
      </c>
      <c r="AK2920" s="8">
        <f t="shared" ca="1" si="424"/>
        <v>1.0001159722222221</v>
      </c>
      <c r="AL2920" s="98">
        <f t="shared" ca="1" si="425"/>
        <v>4.10370158673381</v>
      </c>
      <c r="AM2920" s="106">
        <f t="shared" ca="1" si="419"/>
        <v>33233.20420292113</v>
      </c>
      <c r="AN2920" s="10">
        <f t="shared" ca="1" si="420"/>
        <v>1.0503411827479381</v>
      </c>
      <c r="AO2920" s="158"/>
      <c r="AP2920" s="158"/>
      <c r="AQ2920" s="1"/>
      <c r="AR2920" s="1"/>
      <c r="AS2920" s="1"/>
      <c r="AT2920" s="1"/>
      <c r="AU2920" s="1"/>
    </row>
    <row r="2921" spans="34:47">
      <c r="AH2921" s="6">
        <f t="shared" si="421"/>
        <v>2891</v>
      </c>
      <c r="AI2921" s="7">
        <f t="shared" ca="1" si="422"/>
        <v>45561</v>
      </c>
      <c r="AJ2921" s="210">
        <f t="shared" ca="1" si="423"/>
        <v>4.1749999999999998</v>
      </c>
      <c r="AK2921" s="8">
        <f t="shared" ca="1" si="424"/>
        <v>1.0001159722222221</v>
      </c>
      <c r="AL2921" s="98">
        <f t="shared" ca="1" si="425"/>
        <v>4.1037775691317391</v>
      </c>
      <c r="AM2921" s="106">
        <f t="shared" ca="1" si="419"/>
        <v>33235.942667773917</v>
      </c>
      <c r="AN2921" s="10">
        <f t="shared" ca="1" si="420"/>
        <v>1.0504042204022124</v>
      </c>
      <c r="AO2921" s="158"/>
      <c r="AP2921" s="158"/>
      <c r="AQ2921" s="1"/>
      <c r="AR2921" s="1"/>
      <c r="AS2921" s="1"/>
      <c r="AT2921" s="1"/>
      <c r="AU2921" s="1"/>
    </row>
    <row r="2922" spans="34:47">
      <c r="AH2922" s="6">
        <f t="shared" si="421"/>
        <v>2892</v>
      </c>
      <c r="AI2922" s="7">
        <f t="shared" ca="1" si="422"/>
        <v>45562</v>
      </c>
      <c r="AJ2922" s="210">
        <f t="shared" ca="1" si="423"/>
        <v>4.1749999999999998</v>
      </c>
      <c r="AK2922" s="8">
        <f t="shared" ca="1" si="424"/>
        <v>1.0001159722222221</v>
      </c>
      <c r="AL2922" s="98">
        <f t="shared" ca="1" si="425"/>
        <v>4.1038534990384568</v>
      </c>
      <c r="AM2922" s="106">
        <f t="shared" ca="1" si="419"/>
        <v>33238.681358280228</v>
      </c>
      <c r="AN2922" s="10">
        <f t="shared" ca="1" si="420"/>
        <v>1.0504672145012606</v>
      </c>
      <c r="AO2922" s="158"/>
      <c r="AP2922" s="158"/>
      <c r="AQ2922" s="1"/>
      <c r="AR2922" s="1"/>
      <c r="AS2922" s="1"/>
      <c r="AT2922" s="1"/>
      <c r="AU2922" s="1"/>
    </row>
    <row r="2923" spans="34:47">
      <c r="AH2923" s="6">
        <f t="shared" si="421"/>
        <v>2893</v>
      </c>
      <c r="AI2923" s="7">
        <f t="shared" ca="1" si="422"/>
        <v>45563</v>
      </c>
      <c r="AJ2923" s="210">
        <f t="shared" ca="1" si="423"/>
        <v>4.1749999999999998</v>
      </c>
      <c r="AK2923" s="8">
        <f t="shared" ca="1" si="424"/>
        <v>1.0001159722222221</v>
      </c>
      <c r="AL2923" s="98">
        <f t="shared" ca="1" si="425"/>
        <v>4.1039293765083418</v>
      </c>
      <c r="AM2923" s="106">
        <f t="shared" ca="1" si="419"/>
        <v>33241.420274458658</v>
      </c>
      <c r="AN2923" s="10">
        <f t="shared" ca="1" si="420"/>
        <v>1.0505301650902243</v>
      </c>
      <c r="AO2923" s="158"/>
      <c r="AP2923" s="158"/>
      <c r="AQ2923" s="1"/>
      <c r="AR2923" s="1"/>
      <c r="AS2923" s="1"/>
      <c r="AT2923" s="1"/>
      <c r="AU2923" s="1"/>
    </row>
    <row r="2924" spans="34:47">
      <c r="AH2924" s="6">
        <f t="shared" si="421"/>
        <v>2894</v>
      </c>
      <c r="AI2924" s="7">
        <f t="shared" ca="1" si="422"/>
        <v>45564</v>
      </c>
      <c r="AJ2924" s="210">
        <f t="shared" ca="1" si="423"/>
        <v>4.1749999999999998</v>
      </c>
      <c r="AK2924" s="8">
        <f t="shared" ca="1" si="424"/>
        <v>1.0001159722222221</v>
      </c>
      <c r="AL2924" s="98">
        <f t="shared" ca="1" si="425"/>
        <v>4.104005201595684</v>
      </c>
      <c r="AM2924" s="106">
        <f t="shared" ca="1" si="419"/>
        <v>33244.159416327806</v>
      </c>
      <c r="AN2924" s="10">
        <f t="shared" ca="1" si="420"/>
        <v>1.0505930722141343</v>
      </c>
      <c r="AO2924" s="158"/>
      <c r="AP2924" s="158"/>
      <c r="AQ2924" s="1"/>
      <c r="AR2924" s="1"/>
      <c r="AS2924" s="1"/>
      <c r="AT2924" s="1"/>
      <c r="AU2924" s="1"/>
    </row>
    <row r="2925" spans="34:47">
      <c r="AH2925" s="6">
        <f t="shared" si="421"/>
        <v>2895</v>
      </c>
      <c r="AI2925" s="7">
        <f t="shared" ca="1" si="422"/>
        <v>45565</v>
      </c>
      <c r="AJ2925" s="210">
        <f t="shared" ca="1" si="423"/>
        <v>4.1749999999999998</v>
      </c>
      <c r="AK2925" s="8">
        <f t="shared" ca="1" si="424"/>
        <v>1.0001159722222221</v>
      </c>
      <c r="AL2925" s="98">
        <f t="shared" ca="1" si="425"/>
        <v>4.1040809743547291</v>
      </c>
      <c r="AM2925" s="106">
        <f t="shared" ca="1" si="419"/>
        <v>33246.898783906268</v>
      </c>
      <c r="AN2925" s="10">
        <f t="shared" ca="1" si="420"/>
        <v>1.0506559359180434</v>
      </c>
      <c r="AO2925" s="158"/>
      <c r="AP2925" s="158"/>
      <c r="AQ2925" s="1"/>
      <c r="AR2925" s="1"/>
      <c r="AS2925" s="1"/>
      <c r="AT2925" s="1"/>
      <c r="AU2925" s="1"/>
    </row>
    <row r="2926" spans="34:47">
      <c r="AH2926" s="6">
        <f t="shared" si="421"/>
        <v>2896</v>
      </c>
      <c r="AI2926" s="7">
        <f t="shared" ca="1" si="422"/>
        <v>45566</v>
      </c>
      <c r="AJ2926" s="210">
        <f t="shared" ca="1" si="423"/>
        <v>4.1749999999999998</v>
      </c>
      <c r="AK2926" s="8">
        <f t="shared" ca="1" si="424"/>
        <v>1.0001159722222221</v>
      </c>
      <c r="AL2926" s="98">
        <f t="shared" ca="1" si="425"/>
        <v>4.1041566948396113</v>
      </c>
      <c r="AM2926" s="106">
        <f t="shared" ca="1" si="419"/>
        <v>33249.63837721265</v>
      </c>
      <c r="AN2926" s="10">
        <f t="shared" ca="1" si="420"/>
        <v>1.0507187562468268</v>
      </c>
      <c r="AO2926" s="158"/>
      <c r="AP2926" s="158"/>
      <c r="AQ2926" s="1"/>
      <c r="AR2926" s="1"/>
      <c r="AS2926" s="1"/>
      <c r="AT2926" s="1"/>
      <c r="AU2926" s="1"/>
    </row>
    <row r="2927" spans="34:47">
      <c r="AH2927" s="6">
        <f t="shared" si="421"/>
        <v>2897</v>
      </c>
      <c r="AI2927" s="7">
        <f t="shared" ca="1" si="422"/>
        <v>45567</v>
      </c>
      <c r="AJ2927" s="210">
        <f t="shared" ca="1" si="423"/>
        <v>4.1749999999999998</v>
      </c>
      <c r="AK2927" s="8">
        <f t="shared" ca="1" si="424"/>
        <v>1.0001159722222221</v>
      </c>
      <c r="AL2927" s="98">
        <f t="shared" ca="1" si="425"/>
        <v>4.1042323631044209</v>
      </c>
      <c r="AM2927" s="106">
        <f t="shared" ca="1" si="419"/>
        <v>33252.378196265534</v>
      </c>
      <c r="AN2927" s="10">
        <f t="shared" ca="1" si="420"/>
        <v>1.0507815332454484</v>
      </c>
      <c r="AO2927" s="158"/>
      <c r="AP2927" s="158"/>
      <c r="AQ2927" s="1"/>
      <c r="AR2927" s="1"/>
      <c r="AS2927" s="1"/>
      <c r="AT2927" s="1"/>
      <c r="AU2927" s="1"/>
    </row>
    <row r="2928" spans="34:47">
      <c r="AH2928" s="6">
        <f t="shared" si="421"/>
        <v>2898</v>
      </c>
      <c r="AI2928" s="7">
        <f t="shared" ca="1" si="422"/>
        <v>45568</v>
      </c>
      <c r="AJ2928" s="210">
        <f t="shared" ca="1" si="423"/>
        <v>4.1749999999999998</v>
      </c>
      <c r="AK2928" s="8">
        <f t="shared" ca="1" si="424"/>
        <v>1.0001159722222221</v>
      </c>
      <c r="AL2928" s="98">
        <f t="shared" ca="1" si="425"/>
        <v>4.1043079792031367</v>
      </c>
      <c r="AM2928" s="106">
        <f t="shared" ca="1" si="419"/>
        <v>33255.118241083539</v>
      </c>
      <c r="AN2928" s="10">
        <f t="shared" ca="1" si="420"/>
        <v>1.0508442669586282</v>
      </c>
      <c r="AO2928" s="158"/>
      <c r="AP2928" s="158"/>
      <c r="AQ2928" s="1"/>
      <c r="AR2928" s="1"/>
      <c r="AS2928" s="1"/>
      <c r="AT2928" s="1"/>
      <c r="AU2928" s="1"/>
    </row>
    <row r="2929" spans="34:47">
      <c r="AH2929" s="6">
        <f t="shared" si="421"/>
        <v>2899</v>
      </c>
      <c r="AI2929" s="7">
        <f t="shared" ca="1" si="422"/>
        <v>45569</v>
      </c>
      <c r="AJ2929" s="210">
        <f t="shared" ca="1" si="423"/>
        <v>4.1749999999999998</v>
      </c>
      <c r="AK2929" s="8">
        <f t="shared" ca="1" si="424"/>
        <v>1.0001159722222221</v>
      </c>
      <c r="AL2929" s="98">
        <f t="shared" ca="1" si="425"/>
        <v>4.1043835431896936</v>
      </c>
      <c r="AM2929" s="106">
        <f t="shared" ca="1" si="419"/>
        <v>33257.85851168527</v>
      </c>
      <c r="AN2929" s="10">
        <f t="shared" ca="1" si="420"/>
        <v>1.0509069574311525</v>
      </c>
      <c r="AO2929" s="158"/>
      <c r="AP2929" s="158"/>
      <c r="AQ2929" s="1"/>
      <c r="AR2929" s="1"/>
      <c r="AS2929" s="1"/>
      <c r="AT2929" s="1"/>
      <c r="AU2929" s="1"/>
    </row>
    <row r="2930" spans="34:47">
      <c r="AH2930" s="6">
        <f t="shared" si="421"/>
        <v>2900</v>
      </c>
      <c r="AI2930" s="7">
        <f t="shared" ca="1" si="422"/>
        <v>45570</v>
      </c>
      <c r="AJ2930" s="210">
        <f t="shared" ca="1" si="423"/>
        <v>4.1749999999999998</v>
      </c>
      <c r="AK2930" s="8">
        <f t="shared" ca="1" si="424"/>
        <v>1.0001159722222221</v>
      </c>
      <c r="AL2930" s="98">
        <f t="shared" ca="1" si="425"/>
        <v>4.1044590551179594</v>
      </c>
      <c r="AM2930" s="106">
        <f t="shared" ca="1" si="419"/>
        <v>33260.59900808931</v>
      </c>
      <c r="AN2930" s="10">
        <f t="shared" ca="1" si="420"/>
        <v>1.050969604707741</v>
      </c>
      <c r="AO2930" s="158"/>
      <c r="AP2930" s="158"/>
      <c r="AQ2930" s="1"/>
      <c r="AR2930" s="1"/>
      <c r="AS2930" s="1"/>
      <c r="AT2930" s="1"/>
      <c r="AU2930" s="1"/>
    </row>
    <row r="2931" spans="34:47">
      <c r="AH2931" s="6">
        <f t="shared" si="421"/>
        <v>2901</v>
      </c>
      <c r="AI2931" s="7">
        <f t="shared" ca="1" si="422"/>
        <v>45571</v>
      </c>
      <c r="AJ2931" s="210">
        <f t="shared" ca="1" si="423"/>
        <v>4.1749999999999998</v>
      </c>
      <c r="AK2931" s="8">
        <f t="shared" ca="1" si="424"/>
        <v>1.0001159722222221</v>
      </c>
      <c r="AL2931" s="98">
        <f t="shared" ca="1" si="425"/>
        <v>4.1045345150416912</v>
      </c>
      <c r="AM2931" s="106">
        <f t="shared" ca="1" si="419"/>
        <v>33263.339730314292</v>
      </c>
      <c r="AN2931" s="10">
        <f t="shared" ca="1" si="420"/>
        <v>1.0510322088329804</v>
      </c>
      <c r="AO2931" s="158"/>
      <c r="AP2931" s="158"/>
      <c r="AQ2931" s="1"/>
      <c r="AR2931" s="1"/>
      <c r="AS2931" s="1"/>
      <c r="AT2931" s="1"/>
      <c r="AU2931" s="1"/>
    </row>
    <row r="2932" spans="34:47">
      <c r="AH2932" s="6">
        <f t="shared" si="421"/>
        <v>2902</v>
      </c>
      <c r="AI2932" s="7">
        <f t="shared" ca="1" si="422"/>
        <v>45572</v>
      </c>
      <c r="AJ2932" s="210">
        <f t="shared" ca="1" si="423"/>
        <v>4.1749999999999998</v>
      </c>
      <c r="AK2932" s="8">
        <f t="shared" ca="1" si="424"/>
        <v>1.0001159722222221</v>
      </c>
      <c r="AL2932" s="98">
        <f t="shared" ca="1" si="425"/>
        <v>4.1046099230146016</v>
      </c>
      <c r="AM2932" s="106">
        <f t="shared" ca="1" si="419"/>
        <v>33266.080678378807</v>
      </c>
      <c r="AN2932" s="10">
        <f t="shared" ca="1" si="420"/>
        <v>1.0510947698514794</v>
      </c>
      <c r="AO2932" s="158"/>
      <c r="AP2932" s="158"/>
      <c r="AQ2932" s="1"/>
      <c r="AR2932" s="1"/>
      <c r="AS2932" s="1"/>
      <c r="AT2932" s="1"/>
      <c r="AU2932" s="1"/>
    </row>
    <row r="2933" spans="34:47">
      <c r="AH2933" s="6">
        <f t="shared" si="421"/>
        <v>2903</v>
      </c>
      <c r="AI2933" s="7">
        <f t="shared" ca="1" si="422"/>
        <v>45573</v>
      </c>
      <c r="AJ2933" s="210">
        <f t="shared" ca="1" si="423"/>
        <v>4.1749999999999998</v>
      </c>
      <c r="AK2933" s="8">
        <f t="shared" ca="1" si="424"/>
        <v>1.0001159722222221</v>
      </c>
      <c r="AL2933" s="98">
        <f t="shared" ca="1" si="425"/>
        <v>4.1046852790903143</v>
      </c>
      <c r="AM2933" s="106">
        <f t="shared" ca="1" si="419"/>
        <v>33268.821852301473</v>
      </c>
      <c r="AN2933" s="10">
        <f t="shared" ca="1" si="420"/>
        <v>1.0511572878077136</v>
      </c>
      <c r="AO2933" s="158"/>
      <c r="AP2933" s="158"/>
      <c r="AQ2933" s="1"/>
      <c r="AR2933" s="1"/>
      <c r="AS2933" s="1"/>
      <c r="AT2933" s="1"/>
      <c r="AU2933" s="1"/>
    </row>
    <row r="2934" spans="34:47">
      <c r="AH2934" s="6">
        <f t="shared" si="421"/>
        <v>2904</v>
      </c>
      <c r="AI2934" s="7">
        <f t="shared" ca="1" si="422"/>
        <v>45574</v>
      </c>
      <c r="AJ2934" s="210">
        <f t="shared" ca="1" si="423"/>
        <v>4.1749999999999998</v>
      </c>
      <c r="AK2934" s="8">
        <f t="shared" ca="1" si="424"/>
        <v>1.0001159722222221</v>
      </c>
      <c r="AL2934" s="98">
        <f t="shared" ca="1" si="425"/>
        <v>4.1047605833224088</v>
      </c>
      <c r="AM2934" s="106">
        <f t="shared" ca="1" si="419"/>
        <v>33271.563252100896</v>
      </c>
      <c r="AN2934" s="10">
        <f t="shared" ca="1" si="420"/>
        <v>1.0512197627461362</v>
      </c>
      <c r="AO2934" s="158"/>
      <c r="AP2934" s="158"/>
      <c r="AQ2934" s="1"/>
      <c r="AR2934" s="1"/>
      <c r="AS2934" s="1"/>
      <c r="AT2934" s="1"/>
      <c r="AU2934" s="1"/>
    </row>
    <row r="2935" spans="34:47">
      <c r="AH2935" s="6">
        <f t="shared" si="421"/>
        <v>2905</v>
      </c>
      <c r="AI2935" s="7">
        <f t="shared" ca="1" si="422"/>
        <v>45575</v>
      </c>
      <c r="AJ2935" s="210">
        <f t="shared" ca="1" si="423"/>
        <v>4.1749999999999998</v>
      </c>
      <c r="AK2935" s="8">
        <f t="shared" ca="1" si="424"/>
        <v>1.0001159722222221</v>
      </c>
      <c r="AL2935" s="98">
        <f t="shared" ca="1" si="425"/>
        <v>4.1048358357643533</v>
      </c>
      <c r="AM2935" s="106">
        <f t="shared" ca="1" si="419"/>
        <v>33274.304877795686</v>
      </c>
      <c r="AN2935" s="10">
        <f t="shared" ca="1" si="420"/>
        <v>1.0512821947111783</v>
      </c>
      <c r="AO2935" s="158"/>
      <c r="AP2935" s="158"/>
      <c r="AQ2935" s="1"/>
      <c r="AR2935" s="1"/>
      <c r="AS2935" s="1"/>
      <c r="AT2935" s="1"/>
      <c r="AU2935" s="1"/>
    </row>
    <row r="2936" spans="34:47">
      <c r="AH2936" s="6">
        <f t="shared" si="421"/>
        <v>2906</v>
      </c>
      <c r="AI2936" s="7">
        <f t="shared" ca="1" si="422"/>
        <v>45576</v>
      </c>
      <c r="AJ2936" s="210">
        <f t="shared" ca="1" si="423"/>
        <v>4.1749999999999998</v>
      </c>
      <c r="AK2936" s="8">
        <f t="shared" ca="1" si="424"/>
        <v>1.0001159722222221</v>
      </c>
      <c r="AL2936" s="98">
        <f t="shared" ca="1" si="425"/>
        <v>4.1049110364695496</v>
      </c>
      <c r="AM2936" s="106">
        <f t="shared" ca="1" si="419"/>
        <v>33277.046729404465</v>
      </c>
      <c r="AN2936" s="10">
        <f t="shared" ca="1" si="420"/>
        <v>1.0513445837470936</v>
      </c>
      <c r="AO2936" s="158"/>
      <c r="AP2936" s="158"/>
      <c r="AQ2936" s="1"/>
      <c r="AR2936" s="1"/>
      <c r="AS2936" s="1"/>
      <c r="AT2936" s="1"/>
      <c r="AU2936" s="1"/>
    </row>
    <row r="2937" spans="34:47">
      <c r="AH2937" s="6">
        <f t="shared" si="421"/>
        <v>2907</v>
      </c>
      <c r="AI2937" s="7">
        <f t="shared" ca="1" si="422"/>
        <v>45577</v>
      </c>
      <c r="AJ2937" s="210">
        <f t="shared" ca="1" si="423"/>
        <v>4.1749999999999998</v>
      </c>
      <c r="AK2937" s="8">
        <f t="shared" ca="1" si="424"/>
        <v>1.0001159722222221</v>
      </c>
      <c r="AL2937" s="98">
        <f t="shared" ca="1" si="425"/>
        <v>4.1049861854913328</v>
      </c>
      <c r="AM2937" s="106">
        <f t="shared" ca="1" si="419"/>
        <v>33279.788806945842</v>
      </c>
      <c r="AN2937" s="10">
        <f t="shared" ca="1" si="420"/>
        <v>1.0514069298981799</v>
      </c>
      <c r="AO2937" s="158"/>
      <c r="AP2937" s="158"/>
      <c r="AQ2937" s="1"/>
      <c r="AR2937" s="1"/>
      <c r="AS2937" s="1"/>
      <c r="AT2937" s="1"/>
      <c r="AU2937" s="1"/>
    </row>
    <row r="2938" spans="34:47">
      <c r="AH2938" s="6">
        <f t="shared" si="421"/>
        <v>2908</v>
      </c>
      <c r="AI2938" s="7">
        <f t="shared" ca="1" si="422"/>
        <v>45578</v>
      </c>
      <c r="AJ2938" s="210">
        <f t="shared" ca="1" si="423"/>
        <v>4.1749999999999998</v>
      </c>
      <c r="AK2938" s="8">
        <f t="shared" ca="1" si="424"/>
        <v>1.0001159722222221</v>
      </c>
      <c r="AL2938" s="98">
        <f t="shared" ca="1" si="425"/>
        <v>4.1050612828829713</v>
      </c>
      <c r="AM2938" s="106">
        <f t="shared" ca="1" si="419"/>
        <v>33282.531110438445</v>
      </c>
      <c r="AN2938" s="10">
        <f t="shared" ca="1" si="420"/>
        <v>1.0514692332086018</v>
      </c>
      <c r="AO2938" s="158"/>
      <c r="AP2938" s="158"/>
      <c r="AQ2938" s="1"/>
      <c r="AR2938" s="1"/>
      <c r="AS2938" s="1"/>
      <c r="AT2938" s="1"/>
      <c r="AU2938" s="1"/>
    </row>
    <row r="2939" spans="34:47">
      <c r="AH2939" s="6">
        <f t="shared" si="421"/>
        <v>2909</v>
      </c>
      <c r="AI2939" s="7">
        <f t="shared" ca="1" si="422"/>
        <v>45579</v>
      </c>
      <c r="AJ2939" s="210">
        <f t="shared" ca="1" si="423"/>
        <v>4.1749999999999998</v>
      </c>
      <c r="AK2939" s="8">
        <f t="shared" ca="1" si="424"/>
        <v>1.0001159722222221</v>
      </c>
      <c r="AL2939" s="98">
        <f t="shared" ca="1" si="425"/>
        <v>4.1051363286976672</v>
      </c>
      <c r="AM2939" s="106">
        <f t="shared" ca="1" si="419"/>
        <v>33285.273639900872</v>
      </c>
      <c r="AN2939" s="10">
        <f t="shared" ca="1" si="420"/>
        <v>1.0515314937225684</v>
      </c>
      <c r="AO2939" s="158"/>
      <c r="AP2939" s="158"/>
      <c r="AQ2939" s="1"/>
      <c r="AR2939" s="1"/>
      <c r="AS2939" s="1"/>
      <c r="AT2939" s="1"/>
      <c r="AU2939" s="1"/>
    </row>
    <row r="2940" spans="34:47">
      <c r="AH2940" s="6">
        <f t="shared" si="421"/>
        <v>2910</v>
      </c>
      <c r="AI2940" s="7">
        <f t="shared" ca="1" si="422"/>
        <v>45580</v>
      </c>
      <c r="AJ2940" s="210">
        <f t="shared" ca="1" si="423"/>
        <v>4.1749999999999998</v>
      </c>
      <c r="AK2940" s="8">
        <f t="shared" ca="1" si="424"/>
        <v>1.0001159722222221</v>
      </c>
      <c r="AL2940" s="98">
        <f t="shared" ca="1" si="425"/>
        <v>4.1052113229885334</v>
      </c>
      <c r="AM2940" s="106">
        <f t="shared" ca="1" si="419"/>
        <v>33288.016395351762</v>
      </c>
      <c r="AN2940" s="10">
        <f t="shared" ca="1" si="420"/>
        <v>1.0515937114841334</v>
      </c>
      <c r="AO2940" s="158"/>
      <c r="AP2940" s="158"/>
      <c r="AQ2940" s="1"/>
      <c r="AR2940" s="1"/>
      <c r="AS2940" s="1"/>
      <c r="AT2940" s="1"/>
      <c r="AU2940" s="1"/>
    </row>
    <row r="2941" spans="34:47">
      <c r="AH2941" s="6">
        <f t="shared" si="421"/>
        <v>2911</v>
      </c>
      <c r="AI2941" s="7">
        <f t="shared" ca="1" si="422"/>
        <v>45581</v>
      </c>
      <c r="AJ2941" s="210">
        <f t="shared" ca="1" si="423"/>
        <v>4.1749999999999998</v>
      </c>
      <c r="AK2941" s="8">
        <f t="shared" ca="1" si="424"/>
        <v>1.0001159722222221</v>
      </c>
      <c r="AL2941" s="98">
        <f t="shared" ca="1" si="425"/>
        <v>4.1052862658085942</v>
      </c>
      <c r="AM2941" s="106">
        <f t="shared" ca="1" si="419"/>
        <v>33290.759376809736</v>
      </c>
      <c r="AN2941" s="10">
        <f t="shared" ca="1" si="420"/>
        <v>1.051655886537306</v>
      </c>
      <c r="AO2941" s="158"/>
      <c r="AP2941" s="158"/>
      <c r="AQ2941" s="1"/>
      <c r="AR2941" s="1"/>
      <c r="AS2941" s="1"/>
      <c r="AT2941" s="1"/>
      <c r="AU2941" s="1"/>
    </row>
    <row r="2942" spans="34:47">
      <c r="AH2942" s="6">
        <f t="shared" si="421"/>
        <v>2912</v>
      </c>
      <c r="AI2942" s="7">
        <f t="shared" ca="1" si="422"/>
        <v>45582</v>
      </c>
      <c r="AJ2942" s="210">
        <f t="shared" ca="1" si="423"/>
        <v>4.1749999999999998</v>
      </c>
      <c r="AK2942" s="8">
        <f t="shared" ca="1" si="424"/>
        <v>1.0001159722222221</v>
      </c>
      <c r="AL2942" s="98">
        <f t="shared" ca="1" si="425"/>
        <v>4.1053611572108295</v>
      </c>
      <c r="AM2942" s="106">
        <f t="shared" ca="1" si="419"/>
        <v>33293.502584293405</v>
      </c>
      <c r="AN2942" s="10">
        <f t="shared" ca="1" si="420"/>
        <v>1.0517180189260289</v>
      </c>
      <c r="AO2942" s="158"/>
      <c r="AP2942" s="158"/>
      <c r="AQ2942" s="1"/>
      <c r="AR2942" s="1"/>
      <c r="AS2942" s="1"/>
      <c r="AT2942" s="1"/>
      <c r="AU2942" s="1"/>
    </row>
    <row r="2943" spans="34:47">
      <c r="AH2943" s="6">
        <f t="shared" si="421"/>
        <v>2913</v>
      </c>
      <c r="AI2943" s="7">
        <f t="shared" ca="1" si="422"/>
        <v>45583</v>
      </c>
      <c r="AJ2943" s="210">
        <f t="shared" ca="1" si="423"/>
        <v>4.1749999999999998</v>
      </c>
      <c r="AK2943" s="8">
        <f t="shared" ca="1" si="424"/>
        <v>1.0001159722222221</v>
      </c>
      <c r="AL2943" s="98">
        <f t="shared" ca="1" si="425"/>
        <v>4.1054359972481524</v>
      </c>
      <c r="AM2943" s="106">
        <f t="shared" ca="1" si="419"/>
        <v>33296.24601782141</v>
      </c>
      <c r="AN2943" s="10">
        <f t="shared" ca="1" si="420"/>
        <v>1.0517801086942224</v>
      </c>
      <c r="AO2943" s="158"/>
      <c r="AP2943" s="158"/>
      <c r="AQ2943" s="1"/>
      <c r="AR2943" s="1"/>
      <c r="AS2943" s="1"/>
      <c r="AT2943" s="1"/>
      <c r="AU2943" s="1"/>
    </row>
    <row r="2944" spans="34:47">
      <c r="AH2944" s="6">
        <f t="shared" si="421"/>
        <v>2914</v>
      </c>
      <c r="AI2944" s="7">
        <f t="shared" ca="1" si="422"/>
        <v>45584</v>
      </c>
      <c r="AJ2944" s="210">
        <f t="shared" ca="1" si="423"/>
        <v>4.1749999999999998</v>
      </c>
      <c r="AK2944" s="8">
        <f t="shared" ca="1" si="424"/>
        <v>1.0001159722222221</v>
      </c>
      <c r="AL2944" s="98">
        <f t="shared" ca="1" si="425"/>
        <v>4.1055107859733653</v>
      </c>
      <c r="AM2944" s="106">
        <f t="shared" ca="1" si="419"/>
        <v>33298.989677412355</v>
      </c>
      <c r="AN2944" s="10">
        <f t="shared" ca="1" si="420"/>
        <v>1.0518421558857405</v>
      </c>
      <c r="AO2944" s="158"/>
      <c r="AP2944" s="158"/>
      <c r="AQ2944" s="1"/>
      <c r="AR2944" s="1"/>
      <c r="AS2944" s="1"/>
      <c r="AT2944" s="1"/>
      <c r="AU2944" s="1"/>
    </row>
    <row r="2945" spans="34:47">
      <c r="AH2945" s="6">
        <f t="shared" si="421"/>
        <v>2915</v>
      </c>
      <c r="AI2945" s="7">
        <f t="shared" ca="1" si="422"/>
        <v>45585</v>
      </c>
      <c r="AJ2945" s="210">
        <f t="shared" ca="1" si="423"/>
        <v>4.1749999999999998</v>
      </c>
      <c r="AK2945" s="8">
        <f t="shared" ca="1" si="424"/>
        <v>1.0001159722222221</v>
      </c>
      <c r="AL2945" s="98">
        <f t="shared" ca="1" si="425"/>
        <v>4.1055855234392258</v>
      </c>
      <c r="AM2945" s="106">
        <f t="shared" ca="1" si="419"/>
        <v>33301.73356308489</v>
      </c>
      <c r="AN2945" s="10">
        <f t="shared" ca="1" si="420"/>
        <v>1.0519041605443258</v>
      </c>
      <c r="AO2945" s="158"/>
      <c r="AP2945" s="158"/>
      <c r="AQ2945" s="1"/>
      <c r="AR2945" s="1"/>
      <c r="AS2945" s="1"/>
      <c r="AT2945" s="1"/>
      <c r="AU2945" s="1"/>
    </row>
    <row r="2946" spans="34:47">
      <c r="AH2946" s="6">
        <f t="shared" si="421"/>
        <v>2916</v>
      </c>
      <c r="AI2946" s="7">
        <f t="shared" ca="1" si="422"/>
        <v>45586</v>
      </c>
      <c r="AJ2946" s="210">
        <f t="shared" ca="1" si="423"/>
        <v>4.1749999999999998</v>
      </c>
      <c r="AK2946" s="8">
        <f t="shared" ca="1" si="424"/>
        <v>1.0001159722222221</v>
      </c>
      <c r="AL2946" s="98">
        <f t="shared" ca="1" si="425"/>
        <v>4.1056602096984252</v>
      </c>
      <c r="AM2946" s="106">
        <f t="shared" ca="1" si="419"/>
        <v>33304.477674857633</v>
      </c>
      <c r="AN2946" s="10">
        <f t="shared" ca="1" si="420"/>
        <v>1.0519661227137211</v>
      </c>
      <c r="AO2946" s="158"/>
      <c r="AP2946" s="158"/>
      <c r="AQ2946" s="1"/>
      <c r="AR2946" s="1"/>
      <c r="AS2946" s="1"/>
      <c r="AT2946" s="1"/>
      <c r="AU2946" s="1"/>
    </row>
    <row r="2947" spans="34:47">
      <c r="AH2947" s="6">
        <f t="shared" si="421"/>
        <v>2917</v>
      </c>
      <c r="AI2947" s="7">
        <f t="shared" ca="1" si="422"/>
        <v>45587</v>
      </c>
      <c r="AJ2947" s="210">
        <f t="shared" ca="1" si="423"/>
        <v>4.1749999999999998</v>
      </c>
      <c r="AK2947" s="8">
        <f t="shared" ca="1" si="424"/>
        <v>1.0001159722222221</v>
      </c>
      <c r="AL2947" s="98">
        <f t="shared" ca="1" si="425"/>
        <v>4.1057348448035658</v>
      </c>
      <c r="AM2947" s="106">
        <f t="shared" ca="1" si="419"/>
        <v>33307.222012749226</v>
      </c>
      <c r="AN2947" s="10">
        <f t="shared" ca="1" si="420"/>
        <v>1.0520280424375805</v>
      </c>
      <c r="AO2947" s="158"/>
      <c r="AP2947" s="158"/>
      <c r="AQ2947" s="1"/>
      <c r="AR2947" s="1"/>
      <c r="AS2947" s="1"/>
      <c r="AT2947" s="1"/>
      <c r="AU2947" s="1"/>
    </row>
    <row r="2948" spans="34:47">
      <c r="AH2948" s="6">
        <f t="shared" si="421"/>
        <v>2918</v>
      </c>
      <c r="AI2948" s="7">
        <f t="shared" ca="1" si="422"/>
        <v>45588</v>
      </c>
      <c r="AJ2948" s="210">
        <f t="shared" ca="1" si="423"/>
        <v>4.1749999999999998</v>
      </c>
      <c r="AK2948" s="8">
        <f t="shared" ca="1" si="424"/>
        <v>1.0001159722222221</v>
      </c>
      <c r="AL2948" s="98">
        <f t="shared" ca="1" si="425"/>
        <v>4.1058094288071834</v>
      </c>
      <c r="AM2948" s="106">
        <f t="shared" ca="1" si="419"/>
        <v>33309.966576778286</v>
      </c>
      <c r="AN2948" s="10">
        <f t="shared" ca="1" si="420"/>
        <v>1.0520899197594913</v>
      </c>
      <c r="AO2948" s="158"/>
      <c r="AP2948" s="158"/>
      <c r="AQ2948" s="1"/>
      <c r="AR2948" s="1"/>
      <c r="AS2948" s="1"/>
      <c r="AT2948" s="1"/>
      <c r="AU2948" s="1"/>
    </row>
    <row r="2949" spans="34:47">
      <c r="AH2949" s="6">
        <f t="shared" si="421"/>
        <v>2919</v>
      </c>
      <c r="AI2949" s="7">
        <f t="shared" ca="1" si="422"/>
        <v>45589</v>
      </c>
      <c r="AJ2949" s="210">
        <f t="shared" ca="1" si="423"/>
        <v>4.1749999999999998</v>
      </c>
      <c r="AK2949" s="8">
        <f t="shared" ca="1" si="424"/>
        <v>1.0001159722222221</v>
      </c>
      <c r="AL2949" s="98">
        <f t="shared" ca="1" si="425"/>
        <v>4.1058839617617471</v>
      </c>
      <c r="AM2949" s="106">
        <f t="shared" ca="1" si="419"/>
        <v>33312.711366963449</v>
      </c>
      <c r="AN2949" s="10">
        <f t="shared" ca="1" si="420"/>
        <v>1.0521517547230186</v>
      </c>
      <c r="AO2949" s="158"/>
      <c r="AP2949" s="158"/>
      <c r="AQ2949" s="1"/>
      <c r="AR2949" s="1"/>
      <c r="AS2949" s="1"/>
      <c r="AT2949" s="1"/>
      <c r="AU2949" s="1"/>
    </row>
    <row r="2950" spans="34:47">
      <c r="AH2950" s="6">
        <f t="shared" si="421"/>
        <v>2920</v>
      </c>
      <c r="AI2950" s="7">
        <f t="shared" ca="1" si="422"/>
        <v>45590</v>
      </c>
      <c r="AJ2950" s="210">
        <f t="shared" ca="1" si="423"/>
        <v>4.1749999999999998</v>
      </c>
      <c r="AK2950" s="8">
        <f t="shared" ca="1" si="424"/>
        <v>1.0001159722222221</v>
      </c>
      <c r="AL2950" s="98">
        <f t="shared" ca="1" si="425"/>
        <v>4.1059584437196595</v>
      </c>
      <c r="AM2950" s="106">
        <f t="shared" ca="1" si="419"/>
        <v>33315.456383323362</v>
      </c>
      <c r="AN2950" s="10">
        <f t="shared" ca="1" si="420"/>
        <v>1.0522135473716387</v>
      </c>
      <c r="AO2950" s="158"/>
      <c r="AP2950" s="158"/>
      <c r="AQ2950" s="1"/>
      <c r="AR2950" s="1"/>
      <c r="AS2950" s="1"/>
      <c r="AT2950" s="1"/>
      <c r="AU2950" s="1"/>
    </row>
    <row r="2951" spans="34:47">
      <c r="AH2951" s="6">
        <f t="shared" si="421"/>
        <v>2921</v>
      </c>
      <c r="AI2951" s="7">
        <f t="shared" ca="1" si="422"/>
        <v>45591</v>
      </c>
      <c r="AJ2951" s="210">
        <f t="shared" ca="1" si="423"/>
        <v>4.1749999999999998</v>
      </c>
      <c r="AK2951" s="8">
        <f t="shared" ca="1" si="424"/>
        <v>1.0001159722222221</v>
      </c>
      <c r="AL2951" s="98">
        <f t="shared" ca="1" si="425"/>
        <v>4.1060328747332342</v>
      </c>
      <c r="AM2951" s="106">
        <f t="shared" ca="1" si="419"/>
        <v>33318.20162587666</v>
      </c>
      <c r="AN2951" s="10">
        <f t="shared" ca="1" si="420"/>
        <v>1.0522752977487837</v>
      </c>
      <c r="AO2951" s="158"/>
      <c r="AP2951" s="158"/>
      <c r="AQ2951" s="1"/>
      <c r="AR2951" s="1"/>
      <c r="AS2951" s="1"/>
      <c r="AT2951" s="1"/>
      <c r="AU2951" s="1"/>
    </row>
    <row r="2952" spans="34:47">
      <c r="AH2952" s="6">
        <f t="shared" si="421"/>
        <v>2922</v>
      </c>
      <c r="AI2952" s="7">
        <f t="shared" ca="1" si="422"/>
        <v>45592</v>
      </c>
      <c r="AJ2952" s="210">
        <f t="shared" ca="1" si="423"/>
        <v>4.1749999999999998</v>
      </c>
      <c r="AK2952" s="8">
        <f t="shared" ca="1" si="424"/>
        <v>1.0001159722222221</v>
      </c>
      <c r="AL2952" s="98">
        <f t="shared" ca="1" si="425"/>
        <v>4.1061072548546962</v>
      </c>
      <c r="AM2952" s="106">
        <f t="shared" ca="1" si="419"/>
        <v>33320.947094641968</v>
      </c>
      <c r="AN2952" s="10">
        <f t="shared" ca="1" si="420"/>
        <v>1.0523370058977521</v>
      </c>
      <c r="AO2952" s="158"/>
      <c r="AP2952" s="158"/>
      <c r="AQ2952" s="1"/>
      <c r="AR2952" s="1"/>
      <c r="AS2952" s="1"/>
      <c r="AT2952" s="1"/>
      <c r="AU2952" s="1"/>
    </row>
    <row r="2953" spans="34:47">
      <c r="AH2953" s="6">
        <f t="shared" si="421"/>
        <v>2923</v>
      </c>
      <c r="AI2953" s="7">
        <f t="shared" ca="1" si="422"/>
        <v>45593</v>
      </c>
      <c r="AJ2953" s="210">
        <f t="shared" ca="1" si="423"/>
        <v>4.1749999999999998</v>
      </c>
      <c r="AK2953" s="8">
        <f t="shared" ca="1" si="424"/>
        <v>1.0001159722222221</v>
      </c>
      <c r="AL2953" s="98">
        <f t="shared" ca="1" si="425"/>
        <v>4.1061815841362481</v>
      </c>
      <c r="AM2953" s="106">
        <f t="shared" ca="1" si="419"/>
        <v>33323.692789637942</v>
      </c>
      <c r="AN2953" s="10">
        <f t="shared" ca="1" si="420"/>
        <v>1.0523986718619094</v>
      </c>
      <c r="AO2953" s="158"/>
      <c r="AP2953" s="158"/>
      <c r="AQ2953" s="1"/>
      <c r="AR2953" s="1"/>
      <c r="AS2953" s="1"/>
      <c r="AT2953" s="1"/>
      <c r="AU2953" s="1"/>
    </row>
    <row r="2954" spans="34:47">
      <c r="AH2954" s="6">
        <f t="shared" si="421"/>
        <v>2924</v>
      </c>
      <c r="AI2954" s="7">
        <f t="shared" ca="1" si="422"/>
        <v>45594</v>
      </c>
      <c r="AJ2954" s="210">
        <f t="shared" ca="1" si="423"/>
        <v>4.1749999999999998</v>
      </c>
      <c r="AK2954" s="8">
        <f t="shared" ca="1" si="424"/>
        <v>1.0001159722222221</v>
      </c>
      <c r="AL2954" s="98">
        <f t="shared" ca="1" si="425"/>
        <v>4.1062558626300039</v>
      </c>
      <c r="AM2954" s="106">
        <f t="shared" ca="1" si="419"/>
        <v>33326.438710883216</v>
      </c>
      <c r="AN2954" s="10">
        <f t="shared" ca="1" si="420"/>
        <v>1.0524602956844653</v>
      </c>
      <c r="AO2954" s="158"/>
      <c r="AP2954" s="158"/>
      <c r="AQ2954" s="1"/>
      <c r="AR2954" s="1"/>
      <c r="AS2954" s="1"/>
      <c r="AT2954" s="1"/>
      <c r="AU2954" s="1"/>
    </row>
    <row r="2955" spans="34:47">
      <c r="AH2955" s="6">
        <f t="shared" si="421"/>
        <v>2925</v>
      </c>
      <c r="AI2955" s="7">
        <f t="shared" ca="1" si="422"/>
        <v>45595</v>
      </c>
      <c r="AJ2955" s="210">
        <f t="shared" ca="1" si="423"/>
        <v>4.1749999999999998</v>
      </c>
      <c r="AK2955" s="8">
        <f t="shared" ca="1" si="424"/>
        <v>1.0001159722222221</v>
      </c>
      <c r="AL2955" s="98">
        <f t="shared" ca="1" si="425"/>
        <v>4.1063300903879885</v>
      </c>
      <c r="AM2955" s="106">
        <f t="shared" ca="1" si="419"/>
        <v>33329.184858396438</v>
      </c>
      <c r="AN2955" s="10">
        <f t="shared" ca="1" si="420"/>
        <v>1.0525218774086298</v>
      </c>
      <c r="AO2955" s="158"/>
      <c r="AP2955" s="158"/>
      <c r="AQ2955" s="1"/>
      <c r="AR2955" s="1"/>
      <c r="AS2955" s="1"/>
      <c r="AT2955" s="1"/>
      <c r="AU2955" s="1"/>
    </row>
    <row r="2956" spans="34:47">
      <c r="AH2956" s="6">
        <f t="shared" si="421"/>
        <v>2926</v>
      </c>
      <c r="AI2956" s="7">
        <f t="shared" ca="1" si="422"/>
        <v>45596</v>
      </c>
      <c r="AJ2956" s="210">
        <f t="shared" ca="1" si="423"/>
        <v>4.1749999999999998</v>
      </c>
      <c r="AK2956" s="8">
        <f t="shared" ca="1" si="424"/>
        <v>1.0001159722222221</v>
      </c>
      <c r="AL2956" s="98">
        <f t="shared" ca="1" si="425"/>
        <v>4.1064042674621604</v>
      </c>
      <c r="AM2956" s="106">
        <f t="shared" ca="1" si="419"/>
        <v>33331.93123219625</v>
      </c>
      <c r="AN2956" s="10">
        <f t="shared" ca="1" si="420"/>
        <v>1.0525834170775017</v>
      </c>
      <c r="AO2956" s="158"/>
      <c r="AP2956" s="158"/>
      <c r="AQ2956" s="1"/>
      <c r="AR2956" s="1"/>
      <c r="AS2956" s="1"/>
      <c r="AT2956" s="1"/>
      <c r="AU2956" s="1"/>
    </row>
    <row r="2957" spans="34:47">
      <c r="AH2957" s="6">
        <f t="shared" si="421"/>
        <v>2927</v>
      </c>
      <c r="AI2957" s="7">
        <f t="shared" ca="1" si="422"/>
        <v>45597</v>
      </c>
      <c r="AJ2957" s="210">
        <f t="shared" ca="1" si="423"/>
        <v>4.1749999999999998</v>
      </c>
      <c r="AK2957" s="8">
        <f t="shared" ca="1" si="424"/>
        <v>1.0001159722222221</v>
      </c>
      <c r="AL2957" s="98">
        <f t="shared" ca="1" si="425"/>
        <v>4.1064783939044336</v>
      </c>
      <c r="AM2957" s="106">
        <f t="shared" ca="1" si="419"/>
        <v>33334.677832301299</v>
      </c>
      <c r="AN2957" s="10">
        <f t="shared" ca="1" si="420"/>
        <v>1.0526449147341799</v>
      </c>
      <c r="AO2957" s="158"/>
      <c r="AP2957" s="158"/>
      <c r="AQ2957" s="1"/>
      <c r="AR2957" s="1"/>
      <c r="AS2957" s="1"/>
      <c r="AT2957" s="1"/>
      <c r="AU2957" s="1"/>
    </row>
    <row r="2958" spans="34:47">
      <c r="AH2958" s="6">
        <f t="shared" si="421"/>
        <v>2928</v>
      </c>
      <c r="AI2958" s="7">
        <f t="shared" ca="1" si="422"/>
        <v>45598</v>
      </c>
      <c r="AJ2958" s="210">
        <f t="shared" ca="1" si="423"/>
        <v>4.1749999999999998</v>
      </c>
      <c r="AK2958" s="8">
        <f t="shared" ca="1" si="424"/>
        <v>1.0001159722222221</v>
      </c>
      <c r="AL2958" s="98">
        <f t="shared" ca="1" si="425"/>
        <v>4.1065524697666111</v>
      </c>
      <c r="AM2958" s="106">
        <f t="shared" ca="1" si="419"/>
        <v>33337.424658730226</v>
      </c>
      <c r="AN2958" s="10">
        <f t="shared" ca="1" si="420"/>
        <v>1.05270637042163</v>
      </c>
      <c r="AO2958" s="158"/>
      <c r="AP2958" s="158"/>
      <c r="AQ2958" s="1"/>
      <c r="AR2958" s="1"/>
      <c r="AS2958" s="1"/>
      <c r="AT2958" s="1"/>
      <c r="AU2958" s="1"/>
    </row>
    <row r="2959" spans="34:47">
      <c r="AH2959" s="6">
        <f t="shared" si="421"/>
        <v>2929</v>
      </c>
      <c r="AI2959" s="7">
        <f t="shared" ca="1" si="422"/>
        <v>45599</v>
      </c>
      <c r="AJ2959" s="210">
        <f t="shared" ca="1" si="423"/>
        <v>4.1749999999999998</v>
      </c>
      <c r="AK2959" s="8">
        <f t="shared" ca="1" si="424"/>
        <v>1.0001159722222221</v>
      </c>
      <c r="AL2959" s="98">
        <f t="shared" ca="1" si="425"/>
        <v>4.1066264951004516</v>
      </c>
      <c r="AM2959" s="106">
        <f t="shared" ca="1" si="419"/>
        <v>33340.171711501687</v>
      </c>
      <c r="AN2959" s="10">
        <f t="shared" ca="1" si="420"/>
        <v>1.0527677841828398</v>
      </c>
      <c r="AO2959" s="158"/>
      <c r="AP2959" s="158"/>
      <c r="AQ2959" s="1"/>
      <c r="AR2959" s="1"/>
      <c r="AS2959" s="1"/>
      <c r="AT2959" s="1"/>
      <c r="AU2959" s="1"/>
    </row>
    <row r="2960" spans="34:47">
      <c r="AH2960" s="6">
        <f t="shared" si="421"/>
        <v>2930</v>
      </c>
      <c r="AI2960" s="7">
        <f t="shared" ca="1" si="422"/>
        <v>45600</v>
      </c>
      <c r="AJ2960" s="210">
        <f t="shared" ca="1" si="423"/>
        <v>4.1749999999999998</v>
      </c>
      <c r="AK2960" s="8">
        <f t="shared" ca="1" si="424"/>
        <v>1.0001159722222221</v>
      </c>
      <c r="AL2960" s="98">
        <f t="shared" ca="1" si="425"/>
        <v>4.1067004699576248</v>
      </c>
      <c r="AM2960" s="106">
        <f t="shared" ca="1" si="419"/>
        <v>33342.918990634331</v>
      </c>
      <c r="AN2960" s="10">
        <f t="shared" ca="1" si="420"/>
        <v>1.0528291560606418</v>
      </c>
      <c r="AO2960" s="158"/>
      <c r="AP2960" s="158"/>
      <c r="AQ2960" s="1"/>
      <c r="AR2960" s="1"/>
      <c r="AS2960" s="1"/>
      <c r="AT2960" s="1"/>
      <c r="AU2960" s="1"/>
    </row>
    <row r="2961" spans="34:47">
      <c r="AH2961" s="6">
        <f t="shared" si="421"/>
        <v>2931</v>
      </c>
      <c r="AI2961" s="7">
        <f t="shared" ca="1" si="422"/>
        <v>45601</v>
      </c>
      <c r="AJ2961" s="210">
        <f t="shared" ca="1" si="423"/>
        <v>4.1749999999999998</v>
      </c>
      <c r="AK2961" s="8">
        <f t="shared" ca="1" si="424"/>
        <v>1.0001159722222221</v>
      </c>
      <c r="AL2961" s="98">
        <f t="shared" ca="1" si="425"/>
        <v>4.1067743943897561</v>
      </c>
      <c r="AM2961" s="106">
        <f t="shared" ca="1" si="419"/>
        <v>33345.66649614682</v>
      </c>
      <c r="AN2961" s="10">
        <f t="shared" ca="1" si="420"/>
        <v>1.0528904860979349</v>
      </c>
      <c r="AO2961" s="158"/>
      <c r="AP2961" s="158"/>
      <c r="AQ2961" s="1"/>
      <c r="AR2961" s="1"/>
      <c r="AS2961" s="1"/>
      <c r="AT2961" s="1"/>
      <c r="AU2961" s="1"/>
    </row>
    <row r="2962" spans="34:47">
      <c r="AH2962" s="6">
        <f t="shared" si="421"/>
        <v>2932</v>
      </c>
      <c r="AI2962" s="7">
        <f t="shared" ca="1" si="422"/>
        <v>45602</v>
      </c>
      <c r="AJ2962" s="210">
        <f t="shared" ca="1" si="423"/>
        <v>4.1749999999999998</v>
      </c>
      <c r="AK2962" s="8">
        <f t="shared" ca="1" si="424"/>
        <v>1.0001159722222221</v>
      </c>
      <c r="AL2962" s="98">
        <f t="shared" ca="1" si="425"/>
        <v>4.106848268448382</v>
      </c>
      <c r="AM2962" s="106">
        <f t="shared" ca="1" si="419"/>
        <v>33348.414228057794</v>
      </c>
      <c r="AN2962" s="10">
        <f t="shared" ca="1" si="420"/>
        <v>1.0529517743374406</v>
      </c>
      <c r="AO2962" s="158"/>
      <c r="AP2962" s="158"/>
      <c r="AQ2962" s="1"/>
      <c r="AR2962" s="1"/>
      <c r="AS2962" s="1"/>
      <c r="AT2962" s="1"/>
      <c r="AU2962" s="1"/>
    </row>
    <row r="2963" spans="34:47">
      <c r="AH2963" s="6">
        <f t="shared" si="421"/>
        <v>2933</v>
      </c>
      <c r="AI2963" s="7">
        <f t="shared" ca="1" si="422"/>
        <v>45603</v>
      </c>
      <c r="AJ2963" s="210">
        <f t="shared" ca="1" si="423"/>
        <v>4.1749999999999998</v>
      </c>
      <c r="AK2963" s="8">
        <f t="shared" ca="1" si="424"/>
        <v>1.0001159722222221</v>
      </c>
      <c r="AL2963" s="98">
        <f t="shared" ca="1" si="425"/>
        <v>4.1069220921849725</v>
      </c>
      <c r="AM2963" s="106">
        <f t="shared" ca="1" si="419"/>
        <v>33351.162186385918</v>
      </c>
      <c r="AN2963" s="10">
        <f t="shared" ca="1" si="420"/>
        <v>1.0530130208219024</v>
      </c>
      <c r="AO2963" s="158"/>
      <c r="AP2963" s="158"/>
      <c r="AQ2963" s="1"/>
      <c r="AR2963" s="1"/>
      <c r="AS2963" s="1"/>
      <c r="AT2963" s="1"/>
      <c r="AU2963" s="1"/>
    </row>
    <row r="2964" spans="34:47">
      <c r="AH2964" s="6">
        <f t="shared" si="421"/>
        <v>2934</v>
      </c>
      <c r="AI2964" s="7">
        <f t="shared" ca="1" si="422"/>
        <v>45604</v>
      </c>
      <c r="AJ2964" s="210">
        <f t="shared" ca="1" si="423"/>
        <v>4.1749999999999998</v>
      </c>
      <c r="AK2964" s="8">
        <f t="shared" ca="1" si="424"/>
        <v>1.0001159722222221</v>
      </c>
      <c r="AL2964" s="98">
        <f t="shared" ca="1" si="425"/>
        <v>4.1069958656509309</v>
      </c>
      <c r="AM2964" s="106">
        <f t="shared" ca="1" si="419"/>
        <v>33353.910371149846</v>
      </c>
      <c r="AN2964" s="10">
        <f t="shared" ca="1" si="420"/>
        <v>1.0530742255939529</v>
      </c>
      <c r="AO2964" s="158"/>
      <c r="AP2964" s="158"/>
      <c r="AQ2964" s="1"/>
      <c r="AR2964" s="1"/>
      <c r="AS2964" s="1"/>
      <c r="AT2964" s="1"/>
      <c r="AU2964" s="1"/>
    </row>
    <row r="2965" spans="34:47">
      <c r="AH2965" s="6">
        <f t="shared" si="421"/>
        <v>2935</v>
      </c>
      <c r="AI2965" s="7">
        <f t="shared" ca="1" si="422"/>
        <v>45605</v>
      </c>
      <c r="AJ2965" s="210">
        <f t="shared" ca="1" si="423"/>
        <v>4.1749999999999998</v>
      </c>
      <c r="AK2965" s="8">
        <f t="shared" ca="1" si="424"/>
        <v>1.0001159722222221</v>
      </c>
      <c r="AL2965" s="98">
        <f t="shared" ca="1" si="425"/>
        <v>4.1070695888975939</v>
      </c>
      <c r="AM2965" s="106">
        <f t="shared" ca="1" si="419"/>
        <v>33356.658782368228</v>
      </c>
      <c r="AN2965" s="10">
        <f t="shared" ca="1" si="420"/>
        <v>1.0531353886962469</v>
      </c>
      <c r="AO2965" s="158"/>
      <c r="AP2965" s="158"/>
      <c r="AQ2965" s="1"/>
      <c r="AR2965" s="1"/>
      <c r="AS2965" s="1"/>
      <c r="AT2965" s="1"/>
      <c r="AU2965" s="1"/>
    </row>
    <row r="2966" spans="34:47">
      <c r="AH2966" s="6">
        <f t="shared" si="421"/>
        <v>2936</v>
      </c>
      <c r="AI2966" s="7">
        <f t="shared" ca="1" si="422"/>
        <v>45606</v>
      </c>
      <c r="AJ2966" s="210">
        <f t="shared" ca="1" si="423"/>
        <v>4.1749999999999998</v>
      </c>
      <c r="AK2966" s="8">
        <f t="shared" ca="1" si="424"/>
        <v>1.0001159722222221</v>
      </c>
      <c r="AL2966" s="98">
        <f t="shared" ca="1" si="425"/>
        <v>4.1071432619762094</v>
      </c>
      <c r="AM2966" s="106">
        <f t="shared" ca="1" si="419"/>
        <v>33359.407420059739</v>
      </c>
      <c r="AN2966" s="10">
        <f t="shared" ca="1" si="420"/>
        <v>1.0531965101712393</v>
      </c>
      <c r="AO2966" s="158"/>
      <c r="AP2966" s="158"/>
      <c r="AQ2966" s="1"/>
      <c r="AR2966" s="1"/>
      <c r="AS2966" s="1"/>
      <c r="AT2966" s="1"/>
      <c r="AU2966" s="1"/>
    </row>
    <row r="2967" spans="34:47">
      <c r="AH2967" s="6">
        <f t="shared" si="421"/>
        <v>2937</v>
      </c>
      <c r="AI2967" s="7">
        <f t="shared" ca="1" si="422"/>
        <v>45607</v>
      </c>
      <c r="AJ2967" s="210">
        <f t="shared" ca="1" si="423"/>
        <v>4.1749999999999998</v>
      </c>
      <c r="AK2967" s="8">
        <f t="shared" ca="1" si="424"/>
        <v>1.0001159722222221</v>
      </c>
      <c r="AL2967" s="98">
        <f t="shared" ca="1" si="425"/>
        <v>4.1072168849379809</v>
      </c>
      <c r="AM2967" s="106">
        <f t="shared" ca="1" si="419"/>
        <v>33362.156284243036</v>
      </c>
      <c r="AN2967" s="10">
        <f t="shared" ca="1" si="420"/>
        <v>1.053257590061496</v>
      </c>
      <c r="AO2967" s="158"/>
      <c r="AP2967" s="158"/>
      <c r="AQ2967" s="1"/>
      <c r="AR2967" s="1"/>
      <c r="AS2967" s="1"/>
      <c r="AT2967" s="1"/>
      <c r="AU2967" s="1"/>
    </row>
    <row r="2968" spans="34:47">
      <c r="AH2968" s="6">
        <f t="shared" si="421"/>
        <v>2938</v>
      </c>
      <c r="AI2968" s="7">
        <f t="shared" ca="1" si="422"/>
        <v>45608</v>
      </c>
      <c r="AJ2968" s="210">
        <f t="shared" ca="1" si="423"/>
        <v>4.1749999999999998</v>
      </c>
      <c r="AK2968" s="8">
        <f t="shared" ca="1" si="424"/>
        <v>1.0001159722222221</v>
      </c>
      <c r="AL2968" s="98">
        <f t="shared" ca="1" si="425"/>
        <v>4.107290457834023</v>
      </c>
      <c r="AM2968" s="106">
        <f t="shared" ca="1" si="419"/>
        <v>33364.905374936774</v>
      </c>
      <c r="AN2968" s="10">
        <f t="shared" ca="1" si="420"/>
        <v>1.0533186284093832</v>
      </c>
      <c r="AO2968" s="158"/>
      <c r="AP2968" s="158"/>
      <c r="AQ2968" s="1"/>
      <c r="AR2968" s="1"/>
      <c r="AS2968" s="1"/>
      <c r="AT2968" s="1"/>
      <c r="AU2968" s="1"/>
    </row>
    <row r="2969" spans="34:47">
      <c r="AH2969" s="6">
        <f t="shared" si="421"/>
        <v>2939</v>
      </c>
      <c r="AI2969" s="7">
        <f t="shared" ca="1" si="422"/>
        <v>45609</v>
      </c>
      <c r="AJ2969" s="210">
        <f t="shared" ca="1" si="423"/>
        <v>4.1749999999999998</v>
      </c>
      <c r="AK2969" s="8">
        <f t="shared" ca="1" si="424"/>
        <v>1.0001159722222221</v>
      </c>
      <c r="AL2969" s="98">
        <f t="shared" ca="1" si="425"/>
        <v>4.1073639807153839</v>
      </c>
      <c r="AM2969" s="106">
        <f t="shared" ca="1" si="419"/>
        <v>33367.654692159631</v>
      </c>
      <c r="AN2969" s="10">
        <f t="shared" ca="1" si="420"/>
        <v>1.0533796252572891</v>
      </c>
      <c r="AO2969" s="158"/>
      <c r="AP2969" s="158"/>
      <c r="AQ2969" s="1"/>
      <c r="AR2969" s="1"/>
      <c r="AS2969" s="1"/>
      <c r="AT2969" s="1"/>
      <c r="AU2969" s="1"/>
    </row>
    <row r="2970" spans="34:47">
      <c r="AH2970" s="6">
        <f t="shared" si="421"/>
        <v>2940</v>
      </c>
      <c r="AI2970" s="7">
        <f t="shared" ca="1" si="422"/>
        <v>45610</v>
      </c>
      <c r="AJ2970" s="210">
        <f t="shared" ca="1" si="423"/>
        <v>4.1749999999999998</v>
      </c>
      <c r="AK2970" s="8">
        <f t="shared" ca="1" si="424"/>
        <v>1.0001159722222221</v>
      </c>
      <c r="AL2970" s="98">
        <f t="shared" ca="1" si="425"/>
        <v>4.1074374536330449</v>
      </c>
      <c r="AM2970" s="106">
        <f t="shared" ca="1" si="419"/>
        <v>33370.404235930262</v>
      </c>
      <c r="AN2970" s="10">
        <f t="shared" ca="1" si="420"/>
        <v>1.0534405806475133</v>
      </c>
      <c r="AO2970" s="158"/>
      <c r="AP2970" s="158"/>
      <c r="AQ2970" s="1"/>
      <c r="AR2970" s="1"/>
      <c r="AS2970" s="1"/>
      <c r="AT2970" s="1"/>
      <c r="AU2970" s="1"/>
    </row>
    <row r="2971" spans="34:47">
      <c r="AH2971" s="6">
        <f t="shared" si="421"/>
        <v>2941</v>
      </c>
      <c r="AI2971" s="7">
        <f t="shared" ca="1" si="422"/>
        <v>45611</v>
      </c>
      <c r="AJ2971" s="210">
        <f t="shared" ca="1" si="423"/>
        <v>4.1749999999999998</v>
      </c>
      <c r="AK2971" s="8">
        <f t="shared" ca="1" si="424"/>
        <v>1.0001159722222221</v>
      </c>
      <c r="AL2971" s="98">
        <f t="shared" ca="1" si="425"/>
        <v>4.1075108766379209</v>
      </c>
      <c r="AM2971" s="106">
        <f t="shared" ca="1" si="419"/>
        <v>33373.154006267338</v>
      </c>
      <c r="AN2971" s="10">
        <f t="shared" ca="1" si="420"/>
        <v>1.0535014946223109</v>
      </c>
      <c r="AO2971" s="158"/>
      <c r="AP2971" s="158"/>
      <c r="AQ2971" s="1"/>
      <c r="AR2971" s="1"/>
      <c r="AS2971" s="1"/>
      <c r="AT2971" s="1"/>
      <c r="AU2971" s="1"/>
    </row>
    <row r="2972" spans="34:47">
      <c r="AH2972" s="6">
        <f t="shared" si="421"/>
        <v>2942</v>
      </c>
      <c r="AI2972" s="7">
        <f t="shared" ca="1" si="422"/>
        <v>45612</v>
      </c>
      <c r="AJ2972" s="210">
        <f t="shared" ca="1" si="423"/>
        <v>4.1749999999999998</v>
      </c>
      <c r="AK2972" s="8">
        <f t="shared" ca="1" si="424"/>
        <v>1.0001159722222221</v>
      </c>
      <c r="AL2972" s="98">
        <f t="shared" ca="1" si="425"/>
        <v>4.1075842497808601</v>
      </c>
      <c r="AM2972" s="106">
        <f t="shared" ca="1" si="419"/>
        <v>33375.904003189535</v>
      </c>
      <c r="AN2972" s="10">
        <f t="shared" ca="1" si="420"/>
        <v>1.0535623672238925</v>
      </c>
      <c r="AO2972" s="158"/>
      <c r="AP2972" s="158"/>
      <c r="AQ2972" s="1"/>
      <c r="AR2972" s="1"/>
      <c r="AS2972" s="1"/>
      <c r="AT2972" s="1"/>
      <c r="AU2972" s="1"/>
    </row>
    <row r="2973" spans="34:47">
      <c r="AH2973" s="6">
        <f t="shared" si="421"/>
        <v>2943</v>
      </c>
      <c r="AI2973" s="7">
        <f t="shared" ca="1" si="422"/>
        <v>45613</v>
      </c>
      <c r="AJ2973" s="210">
        <f t="shared" ca="1" si="423"/>
        <v>4.1749999999999998</v>
      </c>
      <c r="AK2973" s="8">
        <f t="shared" ca="1" si="424"/>
        <v>1.0001159722222221</v>
      </c>
      <c r="AL2973" s="98">
        <f t="shared" ca="1" si="425"/>
        <v>4.1076575731126441</v>
      </c>
      <c r="AM2973" s="106">
        <f t="shared" ca="1" si="419"/>
        <v>33378.654226715516</v>
      </c>
      <c r="AN2973" s="10">
        <f t="shared" ca="1" si="420"/>
        <v>1.05362319849438</v>
      </c>
      <c r="AO2973" s="158"/>
      <c r="AP2973" s="158"/>
      <c r="AQ2973" s="1"/>
      <c r="AR2973" s="1"/>
      <c r="AS2973" s="1"/>
      <c r="AT2973" s="1"/>
      <c r="AU2973" s="1"/>
    </row>
    <row r="2974" spans="34:47">
      <c r="AH2974" s="6">
        <f t="shared" si="421"/>
        <v>2944</v>
      </c>
      <c r="AI2974" s="7">
        <f t="shared" ca="1" si="422"/>
        <v>45614</v>
      </c>
      <c r="AJ2974" s="210">
        <f t="shared" ca="1" si="423"/>
        <v>4.1749999999999998</v>
      </c>
      <c r="AK2974" s="8">
        <f t="shared" ca="1" si="424"/>
        <v>1.0001159722222221</v>
      </c>
      <c r="AL2974" s="98">
        <f t="shared" ca="1" si="425"/>
        <v>4.1077308466839657</v>
      </c>
      <c r="AM2974" s="106">
        <f t="shared" ca="1" si="419"/>
        <v>33381.404676863953</v>
      </c>
      <c r="AN2974" s="10">
        <f t="shared" ca="1" si="420"/>
        <v>1.0536839884758731</v>
      </c>
      <c r="AO2974" s="158"/>
      <c r="AP2974" s="158"/>
      <c r="AQ2974" s="1"/>
      <c r="AR2974" s="1"/>
      <c r="AS2974" s="1"/>
      <c r="AT2974" s="1"/>
      <c r="AU2974" s="1"/>
    </row>
    <row r="2975" spans="34:47">
      <c r="AH2975" s="6">
        <f t="shared" si="421"/>
        <v>2945</v>
      </c>
      <c r="AI2975" s="7">
        <f t="shared" ca="1" si="422"/>
        <v>45615</v>
      </c>
      <c r="AJ2975" s="210">
        <f t="shared" ca="1" si="423"/>
        <v>4.1749999999999998</v>
      </c>
      <c r="AK2975" s="8">
        <f t="shared" ca="1" si="424"/>
        <v>1.0001159722222221</v>
      </c>
      <c r="AL2975" s="98">
        <f t="shared" ca="1" si="425"/>
        <v>4.1078040705454733</v>
      </c>
      <c r="AM2975" s="106">
        <f t="shared" ref="AM2975:AM3038" ca="1" si="426">Geom_Interp(AI2975,$AZ$2:$AZ$109,$BA$2:$BA$109)</f>
        <v>33384.155353653528</v>
      </c>
      <c r="AN2975" s="10">
        <f t="shared" ref="AN2975:AN3038" ca="1" si="427">100*(((1+AL2975/100)^(AH2975/365)*$AM$29/AM2975)^(365/AH2975)-1)</f>
        <v>1.0537447372103603</v>
      </c>
      <c r="AO2975" s="158"/>
      <c r="AP2975" s="158"/>
      <c r="AQ2975" s="1"/>
      <c r="AR2975" s="1"/>
      <c r="AS2975" s="1"/>
      <c r="AT2975" s="1"/>
      <c r="AU2975" s="1"/>
    </row>
    <row r="2976" spans="34:47">
      <c r="AH2976" s="6">
        <f t="shared" ref="AH2976:AH3039" si="428">$AI$29+AH2975</f>
        <v>2946</v>
      </c>
      <c r="AI2976" s="7">
        <f t="shared" ref="AI2976:AI3039" ca="1" si="429">+AH2976+$C$1</f>
        <v>45616</v>
      </c>
      <c r="AJ2976" s="210">
        <f t="shared" ref="AJ2976:AJ3039" ca="1" si="430">IF(AH2976&lt;365,VLOOKUP(LOOKUP(AI2976,$AI$2:$AI$23),$AI$2:$AK$23,3,0),Lin_Interp(AH2976,$AJ$2:$AJ$23,$AK$2:$AK$23))</f>
        <v>4.1749999999999998</v>
      </c>
      <c r="AK2976" s="8">
        <f t="shared" ca="1" si="424"/>
        <v>1.0001159722222221</v>
      </c>
      <c r="AL2976" s="98">
        <f t="shared" ca="1" si="425"/>
        <v>4.1078772447477263</v>
      </c>
      <c r="AM2976" s="106">
        <f t="shared" ca="1" si="426"/>
        <v>33386.906257102906</v>
      </c>
      <c r="AN2976" s="10">
        <f t="shared" ca="1" si="427"/>
        <v>1.0538054447398304</v>
      </c>
      <c r="AO2976" s="158"/>
      <c r="AP2976" s="158"/>
      <c r="AQ2976" s="1"/>
      <c r="AR2976" s="1"/>
      <c r="AS2976" s="1"/>
      <c r="AT2976" s="1"/>
      <c r="AU2976" s="1"/>
    </row>
    <row r="2977" spans="34:47">
      <c r="AH2977" s="6">
        <f t="shared" si="428"/>
        <v>2947</v>
      </c>
      <c r="AI2977" s="7">
        <f t="shared" ca="1" si="429"/>
        <v>45617</v>
      </c>
      <c r="AJ2977" s="210">
        <f t="shared" ca="1" si="430"/>
        <v>4.1749999999999998</v>
      </c>
      <c r="AK2977" s="8">
        <f t="shared" ref="AK2977:AK3040" ca="1" si="431">+(1+AJ2977/36000)</f>
        <v>1.0001159722222221</v>
      </c>
      <c r="AL2977" s="98">
        <f t="shared" ref="AL2977:AL3040" ca="1" si="432">100*(((1+AL2976/100)^(AH2976/365)*AK2977)^(365/AH2977)-1)</f>
        <v>4.10795036934124</v>
      </c>
      <c r="AM2977" s="106">
        <f t="shared" ca="1" si="426"/>
        <v>33389.657387230771</v>
      </c>
      <c r="AN2977" s="10">
        <f t="shared" ca="1" si="427"/>
        <v>1.0538661111062053</v>
      </c>
      <c r="AO2977" s="158"/>
      <c r="AP2977" s="158"/>
      <c r="AQ2977" s="1"/>
      <c r="AR2977" s="1"/>
      <c r="AS2977" s="1"/>
      <c r="AT2977" s="1"/>
      <c r="AU2977" s="1"/>
    </row>
    <row r="2978" spans="34:47">
      <c r="AH2978" s="6">
        <f t="shared" si="428"/>
        <v>2948</v>
      </c>
      <c r="AI2978" s="7">
        <f t="shared" ca="1" si="429"/>
        <v>45618</v>
      </c>
      <c r="AJ2978" s="210">
        <f t="shared" ca="1" si="430"/>
        <v>4.1749999999999998</v>
      </c>
      <c r="AK2978" s="8">
        <f t="shared" ca="1" si="431"/>
        <v>1.0001159722222221</v>
      </c>
      <c r="AL2978" s="98">
        <f t="shared" ca="1" si="432"/>
        <v>4.1080234443764185</v>
      </c>
      <c r="AM2978" s="106">
        <f t="shared" ca="1" si="426"/>
        <v>33392.408744055807</v>
      </c>
      <c r="AN2978" s="10">
        <f t="shared" ca="1" si="427"/>
        <v>1.0539267363512961</v>
      </c>
      <c r="AO2978" s="158"/>
      <c r="AP2978" s="158"/>
      <c r="AQ2978" s="1"/>
      <c r="AR2978" s="1"/>
      <c r="AS2978" s="1"/>
      <c r="AT2978" s="1"/>
      <c r="AU2978" s="1"/>
    </row>
    <row r="2979" spans="34:47">
      <c r="AH2979" s="6">
        <f t="shared" si="428"/>
        <v>2949</v>
      </c>
      <c r="AI2979" s="7">
        <f t="shared" ca="1" si="429"/>
        <v>45619</v>
      </c>
      <c r="AJ2979" s="210">
        <f t="shared" ca="1" si="430"/>
        <v>4.1749999999999998</v>
      </c>
      <c r="AK2979" s="8">
        <f t="shared" ca="1" si="431"/>
        <v>1.0001159722222221</v>
      </c>
      <c r="AL2979" s="98">
        <f t="shared" ca="1" si="432"/>
        <v>4.1080964699036437</v>
      </c>
      <c r="AM2979" s="106">
        <f t="shared" ca="1" si="426"/>
        <v>33395.160327596692</v>
      </c>
      <c r="AN2979" s="10">
        <f t="shared" ca="1" si="427"/>
        <v>1.0539873205169137</v>
      </c>
      <c r="AO2979" s="158"/>
      <c r="AP2979" s="158"/>
      <c r="AQ2979" s="1"/>
      <c r="AR2979" s="1"/>
      <c r="AS2979" s="1"/>
      <c r="AT2979" s="1"/>
      <c r="AU2979" s="1"/>
    </row>
    <row r="2980" spans="34:47">
      <c r="AH2980" s="6">
        <f t="shared" si="428"/>
        <v>2950</v>
      </c>
      <c r="AI2980" s="7">
        <f t="shared" ca="1" si="429"/>
        <v>45620</v>
      </c>
      <c r="AJ2980" s="210">
        <f t="shared" ca="1" si="430"/>
        <v>4.1749999999999998</v>
      </c>
      <c r="AK2980" s="8">
        <f t="shared" ca="1" si="431"/>
        <v>1.0001159722222221</v>
      </c>
      <c r="AL2980" s="98">
        <f t="shared" ca="1" si="432"/>
        <v>4.1081694459732088</v>
      </c>
      <c r="AM2980" s="106">
        <f t="shared" ca="1" si="426"/>
        <v>33397.912137872096</v>
      </c>
      <c r="AN2980" s="10">
        <f t="shared" ca="1" si="427"/>
        <v>1.0540478636448247</v>
      </c>
      <c r="AO2980" s="158"/>
      <c r="AP2980" s="158"/>
      <c r="AQ2980" s="1"/>
      <c r="AR2980" s="1"/>
      <c r="AS2980" s="1"/>
      <c r="AT2980" s="1"/>
      <c r="AU2980" s="1"/>
    </row>
    <row r="2981" spans="34:47">
      <c r="AH2981" s="6">
        <f t="shared" si="428"/>
        <v>2951</v>
      </c>
      <c r="AI2981" s="7">
        <f t="shared" ca="1" si="429"/>
        <v>45621</v>
      </c>
      <c r="AJ2981" s="210">
        <f t="shared" ca="1" si="430"/>
        <v>4.1749999999999998</v>
      </c>
      <c r="AK2981" s="8">
        <f t="shared" ca="1" si="431"/>
        <v>1.0001159722222221</v>
      </c>
      <c r="AL2981" s="98">
        <f t="shared" ca="1" si="432"/>
        <v>4.1082423726353401</v>
      </c>
      <c r="AM2981" s="106">
        <f t="shared" ca="1" si="426"/>
        <v>33400.664174900703</v>
      </c>
      <c r="AN2981" s="10">
        <f t="shared" ca="1" si="427"/>
        <v>1.054108365776707</v>
      </c>
      <c r="AO2981" s="158"/>
      <c r="AP2981" s="158"/>
      <c r="AQ2981" s="1"/>
      <c r="AR2981" s="1"/>
      <c r="AS2981" s="1"/>
      <c r="AT2981" s="1"/>
      <c r="AU2981" s="1"/>
    </row>
    <row r="2982" spans="34:47">
      <c r="AH2982" s="6">
        <f t="shared" si="428"/>
        <v>2952</v>
      </c>
      <c r="AI2982" s="7">
        <f t="shared" ca="1" si="429"/>
        <v>45622</v>
      </c>
      <c r="AJ2982" s="210">
        <f t="shared" ca="1" si="430"/>
        <v>4.1749999999999998</v>
      </c>
      <c r="AK2982" s="8">
        <f t="shared" ca="1" si="431"/>
        <v>1.0001159722222221</v>
      </c>
      <c r="AL2982" s="98">
        <f t="shared" ca="1" si="432"/>
        <v>4.1083152499401976</v>
      </c>
      <c r="AM2982" s="106">
        <f t="shared" ca="1" si="426"/>
        <v>33403.416438701213</v>
      </c>
      <c r="AN2982" s="10">
        <f t="shared" ca="1" si="427"/>
        <v>1.0541688269541494</v>
      </c>
      <c r="AO2982" s="158"/>
      <c r="AP2982" s="158"/>
      <c r="AQ2982" s="1"/>
      <c r="AR2982" s="1"/>
      <c r="AS2982" s="1"/>
      <c r="AT2982" s="1"/>
      <c r="AU2982" s="1"/>
    </row>
    <row r="2983" spans="34:47">
      <c r="AH2983" s="6">
        <f t="shared" si="428"/>
        <v>2953</v>
      </c>
      <c r="AI2983" s="7">
        <f t="shared" ca="1" si="429"/>
        <v>45623</v>
      </c>
      <c r="AJ2983" s="210">
        <f t="shared" ca="1" si="430"/>
        <v>4.1749999999999998</v>
      </c>
      <c r="AK2983" s="8">
        <f t="shared" ca="1" si="431"/>
        <v>1.0001159722222221</v>
      </c>
      <c r="AL2983" s="98">
        <f t="shared" ca="1" si="432"/>
        <v>4.1083880779378745</v>
      </c>
      <c r="AM2983" s="106">
        <f t="shared" ca="1" si="426"/>
        <v>33406.168929292297</v>
      </c>
      <c r="AN2983" s="10">
        <f t="shared" ca="1" si="427"/>
        <v>1.0542292472187409</v>
      </c>
      <c r="AO2983" s="158"/>
      <c r="AP2983" s="158"/>
      <c r="AQ2983" s="1"/>
      <c r="AR2983" s="1"/>
      <c r="AS2983" s="1"/>
      <c r="AT2983" s="1"/>
      <c r="AU2983" s="1"/>
    </row>
    <row r="2984" spans="34:47">
      <c r="AH2984" s="6">
        <f t="shared" si="428"/>
        <v>2954</v>
      </c>
      <c r="AI2984" s="7">
        <f t="shared" ca="1" si="429"/>
        <v>45624</v>
      </c>
      <c r="AJ2984" s="210">
        <f t="shared" ca="1" si="430"/>
        <v>4.1749999999999998</v>
      </c>
      <c r="AK2984" s="8">
        <f t="shared" ca="1" si="431"/>
        <v>1.0001159722222221</v>
      </c>
      <c r="AL2984" s="98">
        <f t="shared" ca="1" si="432"/>
        <v>4.1084608566783976</v>
      </c>
      <c r="AM2984" s="106">
        <f t="shared" ca="1" si="426"/>
        <v>33408.921646692659</v>
      </c>
      <c r="AN2984" s="10">
        <f t="shared" ca="1" si="427"/>
        <v>1.0542896266120261</v>
      </c>
      <c r="AO2984" s="158"/>
      <c r="AP2984" s="158"/>
      <c r="AQ2984" s="1"/>
      <c r="AR2984" s="1"/>
      <c r="AS2984" s="1"/>
      <c r="AT2984" s="1"/>
      <c r="AU2984" s="1"/>
    </row>
    <row r="2985" spans="34:47">
      <c r="AH2985" s="6">
        <f t="shared" si="428"/>
        <v>2955</v>
      </c>
      <c r="AI2985" s="7">
        <f t="shared" ca="1" si="429"/>
        <v>45625</v>
      </c>
      <c r="AJ2985" s="210">
        <f t="shared" ca="1" si="430"/>
        <v>4.1749999999999998</v>
      </c>
      <c r="AK2985" s="8">
        <f t="shared" ca="1" si="431"/>
        <v>1.0001159722222221</v>
      </c>
      <c r="AL2985" s="98">
        <f t="shared" ca="1" si="432"/>
        <v>4.1085335862117045</v>
      </c>
      <c r="AM2985" s="106">
        <f t="shared" ca="1" si="426"/>
        <v>33411.674590920971</v>
      </c>
      <c r="AN2985" s="10">
        <f t="shared" ca="1" si="427"/>
        <v>1.0543499651754162</v>
      </c>
      <c r="AO2985" s="158"/>
      <c r="AP2985" s="158"/>
      <c r="AQ2985" s="1"/>
      <c r="AR2985" s="1"/>
      <c r="AS2985" s="1"/>
      <c r="AT2985" s="1"/>
      <c r="AU2985" s="1"/>
    </row>
    <row r="2986" spans="34:47">
      <c r="AH2986" s="6">
        <f t="shared" si="428"/>
        <v>2956</v>
      </c>
      <c r="AI2986" s="7">
        <f t="shared" ca="1" si="429"/>
        <v>45626</v>
      </c>
      <c r="AJ2986" s="210">
        <f t="shared" ca="1" si="430"/>
        <v>4.1749999999999998</v>
      </c>
      <c r="AK2986" s="8">
        <f t="shared" ca="1" si="431"/>
        <v>1.0001159722222221</v>
      </c>
      <c r="AL2986" s="98">
        <f t="shared" ca="1" si="432"/>
        <v>4.1086062665876888</v>
      </c>
      <c r="AM2986" s="106">
        <f t="shared" ca="1" si="426"/>
        <v>33414.427761995932</v>
      </c>
      <c r="AN2986" s="10">
        <f t="shared" ca="1" si="427"/>
        <v>1.0544102629503227</v>
      </c>
      <c r="AO2986" s="158"/>
      <c r="AP2986" s="158"/>
      <c r="AQ2986" s="1"/>
      <c r="AR2986" s="1"/>
      <c r="AS2986" s="1"/>
      <c r="AT2986" s="1"/>
      <c r="AU2986" s="1"/>
    </row>
    <row r="2987" spans="34:47">
      <c r="AH2987" s="6">
        <f t="shared" si="428"/>
        <v>2957</v>
      </c>
      <c r="AI2987" s="7">
        <f t="shared" ca="1" si="429"/>
        <v>45627</v>
      </c>
      <c r="AJ2987" s="210">
        <f t="shared" ca="1" si="430"/>
        <v>4.1749999999999998</v>
      </c>
      <c r="AK2987" s="8">
        <f t="shared" ca="1" si="431"/>
        <v>1.0001159722222221</v>
      </c>
      <c r="AL2987" s="98">
        <f t="shared" ca="1" si="432"/>
        <v>4.1086788978561772</v>
      </c>
      <c r="AM2987" s="106">
        <f t="shared" ca="1" si="426"/>
        <v>33417.181159936241</v>
      </c>
      <c r="AN2987" s="10">
        <f t="shared" ca="1" si="427"/>
        <v>1.0544705199780902</v>
      </c>
      <c r="AO2987" s="158"/>
      <c r="AP2987" s="158"/>
      <c r="AQ2987" s="1"/>
      <c r="AR2987" s="1"/>
      <c r="AS2987" s="1"/>
      <c r="AT2987" s="1"/>
      <c r="AU2987" s="1"/>
    </row>
    <row r="2988" spans="34:47">
      <c r="AH2988" s="6">
        <f t="shared" si="428"/>
        <v>2958</v>
      </c>
      <c r="AI2988" s="7">
        <f t="shared" ca="1" si="429"/>
        <v>45628</v>
      </c>
      <c r="AJ2988" s="210">
        <f t="shared" ca="1" si="430"/>
        <v>4.1749999999999998</v>
      </c>
      <c r="AK2988" s="8">
        <f t="shared" ca="1" si="431"/>
        <v>1.0001159722222221</v>
      </c>
      <c r="AL2988" s="98">
        <f t="shared" ca="1" si="432"/>
        <v>4.10875148006693</v>
      </c>
      <c r="AM2988" s="106">
        <f t="shared" ca="1" si="426"/>
        <v>33419.934784760582</v>
      </c>
      <c r="AN2988" s="10">
        <f t="shared" ca="1" si="427"/>
        <v>1.0545307363000189</v>
      </c>
      <c r="AO2988" s="158"/>
      <c r="AP2988" s="158"/>
      <c r="AQ2988" s="1"/>
      <c r="AR2988" s="1"/>
      <c r="AS2988" s="1"/>
      <c r="AT2988" s="1"/>
      <c r="AU2988" s="1"/>
    </row>
    <row r="2989" spans="34:47">
      <c r="AH2989" s="6">
        <f t="shared" si="428"/>
        <v>2959</v>
      </c>
      <c r="AI2989" s="7">
        <f t="shared" ca="1" si="429"/>
        <v>45629</v>
      </c>
      <c r="AJ2989" s="210">
        <f t="shared" ca="1" si="430"/>
        <v>4.1749999999999998</v>
      </c>
      <c r="AK2989" s="8">
        <f t="shared" ca="1" si="431"/>
        <v>1.0001159722222221</v>
      </c>
      <c r="AL2989" s="98">
        <f t="shared" ca="1" si="432"/>
        <v>4.1088240132696185</v>
      </c>
      <c r="AM2989" s="106">
        <f t="shared" ca="1" si="426"/>
        <v>33422.688636487655</v>
      </c>
      <c r="AN2989" s="10">
        <f t="shared" ca="1" si="427"/>
        <v>1.0545909119573427</v>
      </c>
      <c r="AO2989" s="158"/>
      <c r="AP2989" s="158"/>
      <c r="AQ2989" s="1"/>
      <c r="AR2989" s="1"/>
      <c r="AS2989" s="1"/>
      <c r="AT2989" s="1"/>
      <c r="AU2989" s="1"/>
    </row>
    <row r="2990" spans="34:47">
      <c r="AH2990" s="6">
        <f t="shared" si="428"/>
        <v>2960</v>
      </c>
      <c r="AI2990" s="7">
        <f t="shared" ca="1" si="429"/>
        <v>45630</v>
      </c>
      <c r="AJ2990" s="210">
        <f t="shared" ca="1" si="430"/>
        <v>4.1749999999999998</v>
      </c>
      <c r="AK2990" s="8">
        <f t="shared" ca="1" si="431"/>
        <v>1.0001159722222221</v>
      </c>
      <c r="AL2990" s="98">
        <f t="shared" ca="1" si="432"/>
        <v>4.1088964975138698</v>
      </c>
      <c r="AM2990" s="106">
        <f t="shared" ca="1" si="426"/>
        <v>33425.442715136152</v>
      </c>
      <c r="AN2990" s="10">
        <f t="shared" ca="1" si="427"/>
        <v>1.0546510469912507</v>
      </c>
      <c r="AO2990" s="158"/>
      <c r="AP2990" s="158"/>
      <c r="AQ2990" s="1"/>
      <c r="AR2990" s="1"/>
      <c r="AS2990" s="1"/>
      <c r="AT2990" s="1"/>
      <c r="AU2990" s="1"/>
    </row>
    <row r="2991" spans="34:47">
      <c r="AH2991" s="6">
        <f t="shared" si="428"/>
        <v>2961</v>
      </c>
      <c r="AI2991" s="7">
        <f t="shared" ca="1" si="429"/>
        <v>45631</v>
      </c>
      <c r="AJ2991" s="210">
        <f t="shared" ca="1" si="430"/>
        <v>4.1749999999999998</v>
      </c>
      <c r="AK2991" s="8">
        <f t="shared" ca="1" si="431"/>
        <v>1.0001159722222221</v>
      </c>
      <c r="AL2991" s="98">
        <f t="shared" ca="1" si="432"/>
        <v>4.108968932849244</v>
      </c>
      <c r="AM2991" s="106">
        <f t="shared" ca="1" si="426"/>
        <v>33428.197020724787</v>
      </c>
      <c r="AN2991" s="10">
        <f t="shared" ca="1" si="427"/>
        <v>1.0547111414428212</v>
      </c>
      <c r="AO2991" s="158"/>
      <c r="AP2991" s="158"/>
      <c r="AQ2991" s="1"/>
      <c r="AR2991" s="1"/>
      <c r="AS2991" s="1"/>
      <c r="AT2991" s="1"/>
      <c r="AU2991" s="1"/>
    </row>
    <row r="2992" spans="34:47">
      <c r="AH2992" s="6">
        <f t="shared" si="428"/>
        <v>2962</v>
      </c>
      <c r="AI2992" s="7">
        <f t="shared" ca="1" si="429"/>
        <v>45632</v>
      </c>
      <c r="AJ2992" s="210">
        <f t="shared" ca="1" si="430"/>
        <v>4.1749999999999998</v>
      </c>
      <c r="AK2992" s="8">
        <f t="shared" ca="1" si="431"/>
        <v>1.0001159722222221</v>
      </c>
      <c r="AL2992" s="98">
        <f t="shared" ca="1" si="432"/>
        <v>4.1090413193252129</v>
      </c>
      <c r="AM2992" s="106">
        <f t="shared" ca="1" si="426"/>
        <v>33430.951553272236</v>
      </c>
      <c r="AN2992" s="10">
        <f t="shared" ca="1" si="427"/>
        <v>1.0547711953531769</v>
      </c>
      <c r="AO2992" s="158"/>
      <c r="AP2992" s="158"/>
      <c r="AQ2992" s="1"/>
      <c r="AR2992" s="1"/>
      <c r="AS2992" s="1"/>
      <c r="AT2992" s="1"/>
      <c r="AU2992" s="1"/>
    </row>
    <row r="2993" spans="34:47">
      <c r="AH2993" s="6">
        <f t="shared" si="428"/>
        <v>2963</v>
      </c>
      <c r="AI2993" s="7">
        <f t="shared" ca="1" si="429"/>
        <v>45633</v>
      </c>
      <c r="AJ2993" s="210">
        <f t="shared" ca="1" si="430"/>
        <v>4.1749999999999998</v>
      </c>
      <c r="AK2993" s="8">
        <f t="shared" ca="1" si="431"/>
        <v>1.0001159722222221</v>
      </c>
      <c r="AL2993" s="98">
        <f t="shared" ca="1" si="432"/>
        <v>4.1091136569912035</v>
      </c>
      <c r="AM2993" s="106">
        <f t="shared" ca="1" si="426"/>
        <v>33433.706312797221</v>
      </c>
      <c r="AN2993" s="10">
        <f t="shared" ca="1" si="427"/>
        <v>1.054831208763285</v>
      </c>
      <c r="AO2993" s="158"/>
      <c r="AP2993" s="158"/>
      <c r="AQ2993" s="1"/>
      <c r="AR2993" s="1"/>
      <c r="AS2993" s="1"/>
      <c r="AT2993" s="1"/>
      <c r="AU2993" s="1"/>
    </row>
    <row r="2994" spans="34:47">
      <c r="AH2994" s="6">
        <f t="shared" si="428"/>
        <v>2964</v>
      </c>
      <c r="AI2994" s="7">
        <f t="shared" ca="1" si="429"/>
        <v>45634</v>
      </c>
      <c r="AJ2994" s="210">
        <f t="shared" ca="1" si="430"/>
        <v>4.1749999999999998</v>
      </c>
      <c r="AK2994" s="8">
        <f t="shared" ca="1" si="431"/>
        <v>1.0001159722222221</v>
      </c>
      <c r="AL2994" s="98">
        <f t="shared" ca="1" si="432"/>
        <v>4.1091859458965763</v>
      </c>
      <c r="AM2994" s="106">
        <f t="shared" ca="1" si="426"/>
        <v>33436.461299318442</v>
      </c>
      <c r="AN2994" s="10">
        <f t="shared" ca="1" si="427"/>
        <v>1.0548911817141349</v>
      </c>
      <c r="AO2994" s="158"/>
      <c r="AP2994" s="158"/>
      <c r="AQ2994" s="1"/>
      <c r="AR2994" s="1"/>
      <c r="AS2994" s="1"/>
      <c r="AT2994" s="1"/>
      <c r="AU2994" s="1"/>
    </row>
    <row r="2995" spans="34:47">
      <c r="AH2995" s="6">
        <f t="shared" si="428"/>
        <v>2965</v>
      </c>
      <c r="AI2995" s="7">
        <f t="shared" ca="1" si="429"/>
        <v>45635</v>
      </c>
      <c r="AJ2995" s="210">
        <f t="shared" ca="1" si="430"/>
        <v>4.1749999999999998</v>
      </c>
      <c r="AK2995" s="8">
        <f t="shared" ca="1" si="431"/>
        <v>1.0001159722222221</v>
      </c>
      <c r="AL2995" s="98">
        <f t="shared" ca="1" si="432"/>
        <v>4.109258186090603</v>
      </c>
      <c r="AM2995" s="106">
        <f t="shared" ca="1" si="426"/>
        <v>33439.216512854589</v>
      </c>
      <c r="AN2995" s="10">
        <f t="shared" ca="1" si="427"/>
        <v>1.0549511142466272</v>
      </c>
      <c r="AO2995" s="158"/>
      <c r="AP2995" s="158"/>
      <c r="AQ2995" s="1"/>
      <c r="AR2995" s="1"/>
      <c r="AS2995" s="1"/>
      <c r="AT2995" s="1"/>
      <c r="AU2995" s="1"/>
    </row>
    <row r="2996" spans="34:47">
      <c r="AH2996" s="6">
        <f t="shared" si="428"/>
        <v>2966</v>
      </c>
      <c r="AI2996" s="7">
        <f t="shared" ca="1" si="429"/>
        <v>45636</v>
      </c>
      <c r="AJ2996" s="210">
        <f t="shared" ca="1" si="430"/>
        <v>4.1749999999999998</v>
      </c>
      <c r="AK2996" s="8">
        <f t="shared" ca="1" si="431"/>
        <v>1.0001159722222221</v>
      </c>
      <c r="AL2996" s="98">
        <f t="shared" ca="1" si="432"/>
        <v>4.1093303776224888</v>
      </c>
      <c r="AM2996" s="106">
        <f t="shared" ca="1" si="426"/>
        <v>33441.971953424385</v>
      </c>
      <c r="AN2996" s="10">
        <f t="shared" ca="1" si="427"/>
        <v>1.0550110064015517</v>
      </c>
      <c r="AO2996" s="158"/>
      <c r="AP2996" s="158"/>
      <c r="AQ2996" s="1"/>
      <c r="AR2996" s="1"/>
      <c r="AS2996" s="1"/>
      <c r="AT2996" s="1"/>
      <c r="AU2996" s="1"/>
    </row>
    <row r="2997" spans="34:47">
      <c r="AH2997" s="6">
        <f t="shared" si="428"/>
        <v>2967</v>
      </c>
      <c r="AI2997" s="7">
        <f t="shared" ca="1" si="429"/>
        <v>45637</v>
      </c>
      <c r="AJ2997" s="210">
        <f t="shared" ca="1" si="430"/>
        <v>4.1749999999999998</v>
      </c>
      <c r="AK2997" s="8">
        <f t="shared" ca="1" si="431"/>
        <v>1.0001159722222221</v>
      </c>
      <c r="AL2997" s="98">
        <f t="shared" ca="1" si="432"/>
        <v>4.1094025205414164</v>
      </c>
      <c r="AM2997" s="106">
        <f t="shared" ca="1" si="426"/>
        <v>33444.727621046542</v>
      </c>
      <c r="AN2997" s="10">
        <f t="shared" ca="1" si="427"/>
        <v>1.0550708582197643</v>
      </c>
      <c r="AO2997" s="158"/>
      <c r="AP2997" s="158"/>
      <c r="AQ2997" s="1"/>
      <c r="AR2997" s="1"/>
      <c r="AS2997" s="1"/>
      <c r="AT2997" s="1"/>
      <c r="AU2997" s="1"/>
    </row>
    <row r="2998" spans="34:47">
      <c r="AH2998" s="6">
        <f t="shared" si="428"/>
        <v>2968</v>
      </c>
      <c r="AI2998" s="7">
        <f t="shared" ca="1" si="429"/>
        <v>45638</v>
      </c>
      <c r="AJ2998" s="210">
        <f t="shared" ca="1" si="430"/>
        <v>4.1749999999999998</v>
      </c>
      <c r="AK2998" s="8">
        <f t="shared" ca="1" si="431"/>
        <v>1.0001159722222221</v>
      </c>
      <c r="AL2998" s="98">
        <f t="shared" ca="1" si="432"/>
        <v>4.1094746148964578</v>
      </c>
      <c r="AM2998" s="106">
        <f t="shared" ca="1" si="426"/>
        <v>33447.483515739747</v>
      </c>
      <c r="AN2998" s="10">
        <f t="shared" ca="1" si="427"/>
        <v>1.055130669741966</v>
      </c>
      <c r="AO2998" s="158"/>
      <c r="AP2998" s="158"/>
      <c r="AQ2998" s="1"/>
      <c r="AR2998" s="1"/>
      <c r="AS2998" s="1"/>
      <c r="AT2998" s="1"/>
      <c r="AU2998" s="1"/>
    </row>
    <row r="2999" spans="34:47">
      <c r="AH2999" s="6">
        <f t="shared" si="428"/>
        <v>2969</v>
      </c>
      <c r="AI2999" s="7">
        <f t="shared" ca="1" si="429"/>
        <v>45639</v>
      </c>
      <c r="AJ2999" s="210">
        <f t="shared" ca="1" si="430"/>
        <v>4.1749999999999998</v>
      </c>
      <c r="AK2999" s="8">
        <f t="shared" ca="1" si="431"/>
        <v>1.0001159722222221</v>
      </c>
      <c r="AL2999" s="98">
        <f t="shared" ca="1" si="432"/>
        <v>4.1095466607366182</v>
      </c>
      <c r="AM2999" s="106">
        <f t="shared" ca="1" si="426"/>
        <v>33450.239637522725</v>
      </c>
      <c r="AN2999" s="10">
        <f t="shared" ca="1" si="427"/>
        <v>1.0551904410088353</v>
      </c>
      <c r="AO2999" s="158"/>
      <c r="AP2999" s="158"/>
      <c r="AQ2999" s="1"/>
      <c r="AR2999" s="1"/>
      <c r="AS2999" s="1"/>
      <c r="AT2999" s="1"/>
      <c r="AU2999" s="1"/>
    </row>
    <row r="3000" spans="34:47">
      <c r="AH3000" s="6">
        <f t="shared" si="428"/>
        <v>2970</v>
      </c>
      <c r="AI3000" s="7">
        <f t="shared" ca="1" si="429"/>
        <v>45640</v>
      </c>
      <c r="AJ3000" s="210">
        <f t="shared" ca="1" si="430"/>
        <v>4.1749999999999998</v>
      </c>
      <c r="AK3000" s="8">
        <f t="shared" ca="1" si="431"/>
        <v>1.0001159722222221</v>
      </c>
      <c r="AL3000" s="98">
        <f t="shared" ca="1" si="432"/>
        <v>4.1096186581108807</v>
      </c>
      <c r="AM3000" s="106">
        <f t="shared" ca="1" si="426"/>
        <v>33452.995986414193</v>
      </c>
      <c r="AN3000" s="10">
        <f t="shared" ca="1" si="427"/>
        <v>1.0552501720610286</v>
      </c>
      <c r="AO3000" s="158"/>
      <c r="AP3000" s="158"/>
      <c r="AQ3000" s="1"/>
      <c r="AR3000" s="1"/>
      <c r="AS3000" s="1"/>
      <c r="AT3000" s="1"/>
      <c r="AU3000" s="1"/>
    </row>
    <row r="3001" spans="34:47">
      <c r="AH3001" s="6">
        <f t="shared" si="428"/>
        <v>2971</v>
      </c>
      <c r="AI3001" s="7">
        <f t="shared" ca="1" si="429"/>
        <v>45641</v>
      </c>
      <c r="AJ3001" s="210">
        <f t="shared" ca="1" si="430"/>
        <v>4.1749999999999998</v>
      </c>
      <c r="AK3001" s="8">
        <f t="shared" ca="1" si="431"/>
        <v>1.0001159722222221</v>
      </c>
      <c r="AL3001" s="98">
        <f t="shared" ca="1" si="432"/>
        <v>4.1096906070681172</v>
      </c>
      <c r="AM3001" s="106">
        <f t="shared" ca="1" si="426"/>
        <v>33455.752562432848</v>
      </c>
      <c r="AN3001" s="10">
        <f t="shared" ca="1" si="427"/>
        <v>1.0553098629390911</v>
      </c>
      <c r="AO3001" s="158"/>
      <c r="AP3001" s="158"/>
      <c r="AQ3001" s="1"/>
      <c r="AR3001" s="1"/>
      <c r="AS3001" s="1"/>
      <c r="AT3001" s="1"/>
      <c r="AU3001" s="1"/>
    </row>
    <row r="3002" spans="34:47">
      <c r="AH3002" s="6">
        <f t="shared" si="428"/>
        <v>2972</v>
      </c>
      <c r="AI3002" s="7">
        <f t="shared" ca="1" si="429"/>
        <v>45642</v>
      </c>
      <c r="AJ3002" s="210">
        <f t="shared" ca="1" si="430"/>
        <v>4.1749999999999998</v>
      </c>
      <c r="AK3002" s="8">
        <f t="shared" ca="1" si="431"/>
        <v>1.0001159722222221</v>
      </c>
      <c r="AL3002" s="98">
        <f t="shared" ca="1" si="432"/>
        <v>4.1097625076571553</v>
      </c>
      <c r="AM3002" s="106">
        <f t="shared" ca="1" si="426"/>
        <v>33458.509365597427</v>
      </c>
      <c r="AN3002" s="10">
        <f t="shared" ca="1" si="427"/>
        <v>1.0553695136835683</v>
      </c>
      <c r="AO3002" s="158"/>
      <c r="AP3002" s="158"/>
      <c r="AQ3002" s="1"/>
      <c r="AR3002" s="1"/>
      <c r="AS3002" s="1"/>
      <c r="AT3002" s="1"/>
      <c r="AU3002" s="1"/>
    </row>
    <row r="3003" spans="34:47">
      <c r="AH3003" s="6">
        <f t="shared" si="428"/>
        <v>2973</v>
      </c>
      <c r="AI3003" s="7">
        <f t="shared" ca="1" si="429"/>
        <v>45643</v>
      </c>
      <c r="AJ3003" s="210">
        <f t="shared" ca="1" si="430"/>
        <v>4.1749999999999998</v>
      </c>
      <c r="AK3003" s="8">
        <f t="shared" ca="1" si="431"/>
        <v>1.0001159722222221</v>
      </c>
      <c r="AL3003" s="98">
        <f t="shared" ca="1" si="432"/>
        <v>4.1098343599267562</v>
      </c>
      <c r="AM3003" s="106">
        <f t="shared" ca="1" si="426"/>
        <v>33461.266395926636</v>
      </c>
      <c r="AN3003" s="10">
        <f t="shared" ca="1" si="427"/>
        <v>1.0554291243348723</v>
      </c>
      <c r="AO3003" s="158"/>
      <c r="AP3003" s="158"/>
      <c r="AQ3003" s="1"/>
      <c r="AR3003" s="1"/>
      <c r="AS3003" s="1"/>
      <c r="AT3003" s="1"/>
      <c r="AU3003" s="1"/>
    </row>
    <row r="3004" spans="34:47">
      <c r="AH3004" s="6">
        <f t="shared" si="428"/>
        <v>2974</v>
      </c>
      <c r="AI3004" s="7">
        <f t="shared" ca="1" si="429"/>
        <v>45644</v>
      </c>
      <c r="AJ3004" s="210">
        <f t="shared" ca="1" si="430"/>
        <v>4.1749999999999998</v>
      </c>
      <c r="AK3004" s="8">
        <f t="shared" ca="1" si="431"/>
        <v>1.0001159722222221</v>
      </c>
      <c r="AL3004" s="98">
        <f t="shared" ca="1" si="432"/>
        <v>4.109906163925614</v>
      </c>
      <c r="AM3004" s="106">
        <f t="shared" ca="1" si="426"/>
        <v>33464.023653439188</v>
      </c>
      <c r="AN3004" s="10">
        <f t="shared" ca="1" si="427"/>
        <v>1.0554886949334819</v>
      </c>
      <c r="AO3004" s="158"/>
      <c r="AP3004" s="158"/>
      <c r="AQ3004" s="1"/>
      <c r="AR3004" s="1"/>
      <c r="AS3004" s="1"/>
      <c r="AT3004" s="1"/>
      <c r="AU3004" s="1"/>
    </row>
    <row r="3005" spans="34:47">
      <c r="AH3005" s="6">
        <f t="shared" si="428"/>
        <v>2975</v>
      </c>
      <c r="AI3005" s="7">
        <f t="shared" ca="1" si="429"/>
        <v>45645</v>
      </c>
      <c r="AJ3005" s="210">
        <f t="shared" ca="1" si="430"/>
        <v>4.1749999999999998</v>
      </c>
      <c r="AK3005" s="8">
        <f t="shared" ca="1" si="431"/>
        <v>1.0001159722222221</v>
      </c>
      <c r="AL3005" s="98">
        <f t="shared" ca="1" si="432"/>
        <v>4.1099779197023345</v>
      </c>
      <c r="AM3005" s="106">
        <f t="shared" ca="1" si="426"/>
        <v>33466.781138153819</v>
      </c>
      <c r="AN3005" s="10">
        <f t="shared" ca="1" si="427"/>
        <v>1.0555482255196758</v>
      </c>
      <c r="AO3005" s="158"/>
      <c r="AP3005" s="158"/>
      <c r="AQ3005" s="1"/>
      <c r="AR3005" s="1"/>
      <c r="AS3005" s="1"/>
      <c r="AT3005" s="1"/>
      <c r="AU3005" s="1"/>
    </row>
    <row r="3006" spans="34:47">
      <c r="AH3006" s="6">
        <f t="shared" si="428"/>
        <v>2976</v>
      </c>
      <c r="AI3006" s="7">
        <f t="shared" ca="1" si="429"/>
        <v>45646</v>
      </c>
      <c r="AJ3006" s="210">
        <f t="shared" ca="1" si="430"/>
        <v>4.1749999999999998</v>
      </c>
      <c r="AK3006" s="8">
        <f t="shared" ca="1" si="431"/>
        <v>1.0001159722222221</v>
      </c>
      <c r="AL3006" s="98">
        <f t="shared" ca="1" si="432"/>
        <v>4.1100496273055009</v>
      </c>
      <c r="AM3006" s="106">
        <f t="shared" ca="1" si="426"/>
        <v>33469.538850089237</v>
      </c>
      <c r="AN3006" s="10">
        <f t="shared" ca="1" si="427"/>
        <v>1.0556077161337996</v>
      </c>
      <c r="AO3006" s="158"/>
      <c r="AP3006" s="158"/>
      <c r="AQ3006" s="1"/>
      <c r="AR3006" s="1"/>
      <c r="AS3006" s="1"/>
      <c r="AT3006" s="1"/>
      <c r="AU3006" s="1"/>
    </row>
    <row r="3007" spans="34:47">
      <c r="AH3007" s="6">
        <f t="shared" si="428"/>
        <v>2977</v>
      </c>
      <c r="AI3007" s="7">
        <f t="shared" ca="1" si="429"/>
        <v>45647</v>
      </c>
      <c r="AJ3007" s="210">
        <f t="shared" ca="1" si="430"/>
        <v>4.1749999999999998</v>
      </c>
      <c r="AK3007" s="8">
        <f t="shared" ca="1" si="431"/>
        <v>1.0001159722222221</v>
      </c>
      <c r="AL3007" s="98">
        <f t="shared" ca="1" si="432"/>
        <v>4.1101212867836079</v>
      </c>
      <c r="AM3007" s="106">
        <f t="shared" ca="1" si="426"/>
        <v>33472.296789264168</v>
      </c>
      <c r="AN3007" s="10">
        <f t="shared" ca="1" si="427"/>
        <v>1.0556671668160877</v>
      </c>
      <c r="AO3007" s="158"/>
      <c r="AP3007" s="158"/>
      <c r="AQ3007" s="1"/>
      <c r="AR3007" s="1"/>
      <c r="AS3007" s="1"/>
      <c r="AT3007" s="1"/>
      <c r="AU3007" s="1"/>
    </row>
    <row r="3008" spans="34:47">
      <c r="AH3008" s="6">
        <f t="shared" si="428"/>
        <v>2978</v>
      </c>
      <c r="AI3008" s="7">
        <f t="shared" ca="1" si="429"/>
        <v>45648</v>
      </c>
      <c r="AJ3008" s="210">
        <f t="shared" ca="1" si="430"/>
        <v>4.1749999999999998</v>
      </c>
      <c r="AK3008" s="8">
        <f t="shared" ca="1" si="431"/>
        <v>1.0001159722222221</v>
      </c>
      <c r="AL3008" s="98">
        <f t="shared" ca="1" si="432"/>
        <v>4.1101928981850611</v>
      </c>
      <c r="AM3008" s="106">
        <f t="shared" ca="1" si="426"/>
        <v>33475.054955697349</v>
      </c>
      <c r="AN3008" s="10">
        <f t="shared" ca="1" si="427"/>
        <v>1.0557265776067304</v>
      </c>
      <c r="AO3008" s="158"/>
      <c r="AP3008" s="158"/>
      <c r="AQ3008" s="1"/>
      <c r="AR3008" s="1"/>
      <c r="AS3008" s="1"/>
      <c r="AT3008" s="1"/>
      <c r="AU3008" s="1"/>
    </row>
    <row r="3009" spans="34:47">
      <c r="AH3009" s="6">
        <f t="shared" si="428"/>
        <v>2979</v>
      </c>
      <c r="AI3009" s="7">
        <f t="shared" ca="1" si="429"/>
        <v>45649</v>
      </c>
      <c r="AJ3009" s="210">
        <f t="shared" ca="1" si="430"/>
        <v>4.1749999999999998</v>
      </c>
      <c r="AK3009" s="8">
        <f t="shared" ca="1" si="431"/>
        <v>1.0001159722222221</v>
      </c>
      <c r="AL3009" s="98">
        <f t="shared" ca="1" si="432"/>
        <v>4.1102644615582662</v>
      </c>
      <c r="AM3009" s="106">
        <f t="shared" ca="1" si="426"/>
        <v>33477.813349407494</v>
      </c>
      <c r="AN3009" s="10">
        <f t="shared" ca="1" si="427"/>
        <v>1.0557859485458732</v>
      </c>
      <c r="AO3009" s="158"/>
      <c r="AP3009" s="158"/>
      <c r="AQ3009" s="1"/>
      <c r="AR3009" s="1"/>
      <c r="AS3009" s="1"/>
      <c r="AT3009" s="1"/>
      <c r="AU3009" s="1"/>
    </row>
    <row r="3010" spans="34:47">
      <c r="AH3010" s="6">
        <f t="shared" si="428"/>
        <v>2980</v>
      </c>
      <c r="AI3010" s="7">
        <f t="shared" ca="1" si="429"/>
        <v>45650</v>
      </c>
      <c r="AJ3010" s="210">
        <f t="shared" ca="1" si="430"/>
        <v>4.1749999999999998</v>
      </c>
      <c r="AK3010" s="8">
        <f t="shared" ca="1" si="431"/>
        <v>1.0001159722222221</v>
      </c>
      <c r="AL3010" s="98">
        <f t="shared" ca="1" si="432"/>
        <v>4.1103359769514958</v>
      </c>
      <c r="AM3010" s="106">
        <f t="shared" ca="1" si="426"/>
        <v>33480.571970413323</v>
      </c>
      <c r="AN3010" s="10">
        <f t="shared" ca="1" si="427"/>
        <v>1.0558452796735729</v>
      </c>
      <c r="AO3010" s="158"/>
      <c r="AP3010" s="158"/>
      <c r="AQ3010" s="1"/>
      <c r="AR3010" s="1"/>
      <c r="AS3010" s="1"/>
      <c r="AT3010" s="1"/>
      <c r="AU3010" s="1"/>
    </row>
    <row r="3011" spans="34:47">
      <c r="AH3011" s="6">
        <f t="shared" si="428"/>
        <v>2981</v>
      </c>
      <c r="AI3011" s="7">
        <f t="shared" ca="1" si="429"/>
        <v>45651</v>
      </c>
      <c r="AJ3011" s="210">
        <f t="shared" ca="1" si="430"/>
        <v>4.1749999999999998</v>
      </c>
      <c r="AK3011" s="8">
        <f t="shared" ca="1" si="431"/>
        <v>1.0001159722222221</v>
      </c>
      <c r="AL3011" s="98">
        <f t="shared" ca="1" si="432"/>
        <v>4.1104074444130001</v>
      </c>
      <c r="AM3011" s="106">
        <f t="shared" ca="1" si="426"/>
        <v>33483.330818733586</v>
      </c>
      <c r="AN3011" s="10">
        <f t="shared" ca="1" si="427"/>
        <v>1.0559045710299086</v>
      </c>
      <c r="AO3011" s="158"/>
      <c r="AP3011" s="158"/>
      <c r="AQ3011" s="1"/>
      <c r="AR3011" s="1"/>
      <c r="AS3011" s="1"/>
      <c r="AT3011" s="1"/>
      <c r="AU3011" s="1"/>
    </row>
    <row r="3012" spans="34:47">
      <c r="AH3012" s="6">
        <f t="shared" si="428"/>
        <v>2982</v>
      </c>
      <c r="AI3012" s="7">
        <f t="shared" ca="1" si="429"/>
        <v>45652</v>
      </c>
      <c r="AJ3012" s="210">
        <f t="shared" ca="1" si="430"/>
        <v>4.1749999999999998</v>
      </c>
      <c r="AK3012" s="8">
        <f t="shared" ca="1" si="431"/>
        <v>1.0001159722222221</v>
      </c>
      <c r="AL3012" s="98">
        <f t="shared" ca="1" si="432"/>
        <v>4.1104788639909406</v>
      </c>
      <c r="AM3012" s="106">
        <f t="shared" ca="1" si="426"/>
        <v>33486.089894386991</v>
      </c>
      <c r="AN3012" s="10">
        <f t="shared" ca="1" si="427"/>
        <v>1.0559638226548262</v>
      </c>
      <c r="AO3012" s="158"/>
      <c r="AP3012" s="158"/>
      <c r="AQ3012" s="1"/>
      <c r="AR3012" s="1"/>
      <c r="AS3012" s="1"/>
      <c r="AT3012" s="1"/>
      <c r="AU3012" s="1"/>
    </row>
    <row r="3013" spans="34:47">
      <c r="AH3013" s="6">
        <f t="shared" si="428"/>
        <v>2983</v>
      </c>
      <c r="AI3013" s="7">
        <f t="shared" ca="1" si="429"/>
        <v>45653</v>
      </c>
      <c r="AJ3013" s="210">
        <f t="shared" ca="1" si="430"/>
        <v>4.1749999999999998</v>
      </c>
      <c r="AK3013" s="8">
        <f t="shared" ca="1" si="431"/>
        <v>1.0001159722222221</v>
      </c>
      <c r="AL3013" s="98">
        <f t="shared" ca="1" si="432"/>
        <v>4.1105502357334345</v>
      </c>
      <c r="AM3013" s="106">
        <f t="shared" ca="1" si="426"/>
        <v>33488.849197392301</v>
      </c>
      <c r="AN3013" s="10">
        <f t="shared" ca="1" si="427"/>
        <v>1.0560230345882493</v>
      </c>
      <c r="AO3013" s="158"/>
      <c r="AP3013" s="158"/>
      <c r="AQ3013" s="1"/>
      <c r="AR3013" s="1"/>
      <c r="AS3013" s="1"/>
      <c r="AT3013" s="1"/>
      <c r="AU3013" s="1"/>
    </row>
    <row r="3014" spans="34:47">
      <c r="AH3014" s="6">
        <f t="shared" si="428"/>
        <v>2984</v>
      </c>
      <c r="AI3014" s="7">
        <f t="shared" ca="1" si="429"/>
        <v>45654</v>
      </c>
      <c r="AJ3014" s="210">
        <f t="shared" ca="1" si="430"/>
        <v>4.1749999999999998</v>
      </c>
      <c r="AK3014" s="8">
        <f t="shared" ca="1" si="431"/>
        <v>1.0001159722222221</v>
      </c>
      <c r="AL3014" s="98">
        <f t="shared" ca="1" si="432"/>
        <v>4.1106215596885098</v>
      </c>
      <c r="AM3014" s="106">
        <f t="shared" ca="1" si="426"/>
        <v>33491.608727768224</v>
      </c>
      <c r="AN3014" s="10">
        <f t="shared" ca="1" si="427"/>
        <v>1.0560822068700348</v>
      </c>
      <c r="AO3014" s="158"/>
      <c r="AP3014" s="158"/>
      <c r="AQ3014" s="1"/>
      <c r="AR3014" s="1"/>
      <c r="AS3014" s="1"/>
      <c r="AT3014" s="1"/>
      <c r="AU3014" s="1"/>
    </row>
    <row r="3015" spans="34:47">
      <c r="AH3015" s="6">
        <f t="shared" si="428"/>
        <v>2985</v>
      </c>
      <c r="AI3015" s="7">
        <f t="shared" ca="1" si="429"/>
        <v>45655</v>
      </c>
      <c r="AJ3015" s="210">
        <f t="shared" ca="1" si="430"/>
        <v>4.1749999999999998</v>
      </c>
      <c r="AK3015" s="8">
        <f t="shared" ca="1" si="431"/>
        <v>1.0001159722222221</v>
      </c>
      <c r="AL3015" s="98">
        <f t="shared" ca="1" si="432"/>
        <v>4.1106928359041506</v>
      </c>
      <c r="AM3015" s="106">
        <f t="shared" ca="1" si="426"/>
        <v>33494.368485533501</v>
      </c>
      <c r="AN3015" s="10">
        <f t="shared" ca="1" si="427"/>
        <v>1.0561413395400177</v>
      </c>
      <c r="AO3015" s="158"/>
      <c r="AP3015" s="158"/>
      <c r="AQ3015" s="1"/>
      <c r="AR3015" s="1"/>
      <c r="AS3015" s="1"/>
      <c r="AT3015" s="1"/>
      <c r="AU3015" s="1"/>
    </row>
    <row r="3016" spans="34:47">
      <c r="AH3016" s="6">
        <f t="shared" si="428"/>
        <v>2986</v>
      </c>
      <c r="AI3016" s="7">
        <f t="shared" ca="1" si="429"/>
        <v>45656</v>
      </c>
      <c r="AJ3016" s="210">
        <f t="shared" ca="1" si="430"/>
        <v>4.1749999999999998</v>
      </c>
      <c r="AK3016" s="8">
        <f t="shared" ca="1" si="431"/>
        <v>1.0001159722222221</v>
      </c>
      <c r="AL3016" s="98">
        <f t="shared" ca="1" si="432"/>
        <v>4.1107640644282739</v>
      </c>
      <c r="AM3016" s="106">
        <f t="shared" ca="1" si="426"/>
        <v>33497.128470706877</v>
      </c>
      <c r="AN3016" s="10">
        <f t="shared" ca="1" si="427"/>
        <v>1.0562004326379659</v>
      </c>
      <c r="AO3016" s="158"/>
      <c r="AP3016" s="158"/>
      <c r="AQ3016" s="1"/>
      <c r="AR3016" s="1"/>
      <c r="AS3016" s="1"/>
      <c r="AT3016" s="1"/>
      <c r="AU3016" s="1"/>
    </row>
    <row r="3017" spans="34:47">
      <c r="AH3017" s="6">
        <f t="shared" si="428"/>
        <v>2987</v>
      </c>
      <c r="AI3017" s="7">
        <f t="shared" ca="1" si="429"/>
        <v>45657</v>
      </c>
      <c r="AJ3017" s="210">
        <f t="shared" ca="1" si="430"/>
        <v>4.1749999999999998</v>
      </c>
      <c r="AK3017" s="8">
        <f t="shared" ca="1" si="431"/>
        <v>1.0001159722222221</v>
      </c>
      <c r="AL3017" s="98">
        <f t="shared" ca="1" si="432"/>
        <v>4.1108352453087305</v>
      </c>
      <c r="AM3017" s="106">
        <f t="shared" ca="1" si="426"/>
        <v>33499.888683307086</v>
      </c>
      <c r="AN3017" s="10">
        <f t="shared" ca="1" si="427"/>
        <v>1.056259486203559</v>
      </c>
      <c r="AO3017" s="158"/>
      <c r="AP3017" s="158"/>
      <c r="AQ3017" s="1"/>
      <c r="AR3017" s="1"/>
      <c r="AS3017" s="1"/>
      <c r="AT3017" s="1"/>
      <c r="AU3017" s="1"/>
    </row>
    <row r="3018" spans="34:47">
      <c r="AH3018" s="6">
        <f t="shared" si="428"/>
        <v>2988</v>
      </c>
      <c r="AI3018" s="7">
        <f t="shared" ca="1" si="429"/>
        <v>45658</v>
      </c>
      <c r="AJ3018" s="210">
        <f t="shared" ca="1" si="430"/>
        <v>4.1749999999999998</v>
      </c>
      <c r="AK3018" s="8">
        <f t="shared" ca="1" si="431"/>
        <v>1.0001159722222221</v>
      </c>
      <c r="AL3018" s="98">
        <f t="shared" ca="1" si="432"/>
        <v>4.1109063785933042</v>
      </c>
      <c r="AM3018" s="106">
        <f t="shared" ca="1" si="426"/>
        <v>33502.649123352865</v>
      </c>
      <c r="AN3018" s="10">
        <f t="shared" ca="1" si="427"/>
        <v>1.0563185002764763</v>
      </c>
      <c r="AO3018" s="158"/>
      <c r="AP3018" s="158"/>
      <c r="AQ3018" s="1"/>
      <c r="AR3018" s="1"/>
      <c r="AS3018" s="1"/>
      <c r="AT3018" s="1"/>
      <c r="AU3018" s="1"/>
    </row>
    <row r="3019" spans="34:47">
      <c r="AH3019" s="6">
        <f t="shared" si="428"/>
        <v>2989</v>
      </c>
      <c r="AI3019" s="7">
        <f t="shared" ca="1" si="429"/>
        <v>45659</v>
      </c>
      <c r="AJ3019" s="210">
        <f t="shared" ca="1" si="430"/>
        <v>4.1749999999999998</v>
      </c>
      <c r="AK3019" s="8">
        <f t="shared" ca="1" si="431"/>
        <v>1.0001159722222221</v>
      </c>
      <c r="AL3019" s="98">
        <f t="shared" ca="1" si="432"/>
        <v>4.1109774643297348</v>
      </c>
      <c r="AM3019" s="106">
        <f t="shared" ca="1" si="426"/>
        <v>33505.409790862963</v>
      </c>
      <c r="AN3019" s="10">
        <f t="shared" ca="1" si="427"/>
        <v>1.0563774748963528</v>
      </c>
      <c r="AO3019" s="158"/>
      <c r="AP3019" s="158"/>
      <c r="AQ3019" s="1"/>
      <c r="AR3019" s="1"/>
      <c r="AS3019" s="1"/>
      <c r="AT3019" s="1"/>
      <c r="AU3019" s="1"/>
    </row>
    <row r="3020" spans="34:47">
      <c r="AH3020" s="6">
        <f t="shared" si="428"/>
        <v>2990</v>
      </c>
      <c r="AI3020" s="7">
        <f t="shared" ca="1" si="429"/>
        <v>45660</v>
      </c>
      <c r="AJ3020" s="210">
        <f t="shared" ca="1" si="430"/>
        <v>4.1749999999999998</v>
      </c>
      <c r="AK3020" s="8">
        <f t="shared" ca="1" si="431"/>
        <v>1.0001159722222221</v>
      </c>
      <c r="AL3020" s="98">
        <f t="shared" ca="1" si="432"/>
        <v>4.1110485025656507</v>
      </c>
      <c r="AM3020" s="106">
        <f t="shared" ca="1" si="426"/>
        <v>33508.170685856116</v>
      </c>
      <c r="AN3020" s="10">
        <f t="shared" ca="1" si="427"/>
        <v>1.056436410102668</v>
      </c>
      <c r="AO3020" s="158"/>
      <c r="AP3020" s="158"/>
      <c r="AQ3020" s="1"/>
      <c r="AR3020" s="1"/>
      <c r="AS3020" s="1"/>
      <c r="AT3020" s="1"/>
      <c r="AU3020" s="1"/>
    </row>
    <row r="3021" spans="34:47">
      <c r="AH3021" s="6">
        <f t="shared" si="428"/>
        <v>2991</v>
      </c>
      <c r="AI3021" s="7">
        <f t="shared" ca="1" si="429"/>
        <v>45661</v>
      </c>
      <c r="AJ3021" s="210">
        <f t="shared" ca="1" si="430"/>
        <v>4.1749999999999998</v>
      </c>
      <c r="AK3021" s="8">
        <f t="shared" ca="1" si="431"/>
        <v>1.0001159722222221</v>
      </c>
      <c r="AL3021" s="98">
        <f t="shared" ca="1" si="432"/>
        <v>4.1111194933486583</v>
      </c>
      <c r="AM3021" s="106">
        <f t="shared" ca="1" si="426"/>
        <v>33510.931808351081</v>
      </c>
      <c r="AN3021" s="10">
        <f t="shared" ca="1" si="427"/>
        <v>1.056495305934968</v>
      </c>
      <c r="AO3021" s="158"/>
      <c r="AP3021" s="158"/>
      <c r="AQ3021" s="1"/>
      <c r="AR3021" s="1"/>
      <c r="AS3021" s="1"/>
      <c r="AT3021" s="1"/>
      <c r="AU3021" s="1"/>
    </row>
    <row r="3022" spans="34:47">
      <c r="AH3022" s="6">
        <f t="shared" si="428"/>
        <v>2992</v>
      </c>
      <c r="AI3022" s="7">
        <f t="shared" ca="1" si="429"/>
        <v>45662</v>
      </c>
      <c r="AJ3022" s="210">
        <f t="shared" ca="1" si="430"/>
        <v>4.1749999999999998</v>
      </c>
      <c r="AK3022" s="8">
        <f t="shared" ca="1" si="431"/>
        <v>1.0001159722222221</v>
      </c>
      <c r="AL3022" s="98">
        <f t="shared" ca="1" si="432"/>
        <v>4.1111904367262975</v>
      </c>
      <c r="AM3022" s="106">
        <f t="shared" ca="1" si="426"/>
        <v>33513.693158366586</v>
      </c>
      <c r="AN3022" s="10">
        <f t="shared" ca="1" si="427"/>
        <v>1.056554162432688</v>
      </c>
      <c r="AO3022" s="158"/>
      <c r="AP3022" s="158"/>
      <c r="AQ3022" s="1"/>
      <c r="AR3022" s="1"/>
      <c r="AS3022" s="1"/>
      <c r="AT3022" s="1"/>
      <c r="AU3022" s="1"/>
    </row>
    <row r="3023" spans="34:47">
      <c r="AH3023" s="6">
        <f t="shared" si="428"/>
        <v>2993</v>
      </c>
      <c r="AI3023" s="7">
        <f t="shared" ca="1" si="429"/>
        <v>45663</v>
      </c>
      <c r="AJ3023" s="210">
        <f t="shared" ca="1" si="430"/>
        <v>4.1749999999999998</v>
      </c>
      <c r="AK3023" s="8">
        <f t="shared" ca="1" si="431"/>
        <v>1.0001159722222221</v>
      </c>
      <c r="AL3023" s="98">
        <f t="shared" ca="1" si="432"/>
        <v>4.1112613327460412</v>
      </c>
      <c r="AM3023" s="106">
        <f t="shared" ca="1" si="426"/>
        <v>33516.454735921398</v>
      </c>
      <c r="AN3023" s="10">
        <f t="shared" ca="1" si="427"/>
        <v>1.0566129796352186</v>
      </c>
      <c r="AO3023" s="158"/>
      <c r="AP3023" s="158"/>
      <c r="AQ3023" s="1"/>
      <c r="AR3023" s="1"/>
      <c r="AS3023" s="1"/>
      <c r="AT3023" s="1"/>
      <c r="AU3023" s="1"/>
    </row>
    <row r="3024" spans="34:47">
      <c r="AH3024" s="6">
        <f t="shared" si="428"/>
        <v>2994</v>
      </c>
      <c r="AI3024" s="7">
        <f t="shared" ca="1" si="429"/>
        <v>45664</v>
      </c>
      <c r="AJ3024" s="210">
        <f t="shared" ca="1" si="430"/>
        <v>4.1749999999999998</v>
      </c>
      <c r="AK3024" s="8">
        <f t="shared" ca="1" si="431"/>
        <v>1.0001159722222221</v>
      </c>
      <c r="AL3024" s="98">
        <f t="shared" ca="1" si="432"/>
        <v>4.1113321814552739</v>
      </c>
      <c r="AM3024" s="106">
        <f t="shared" ca="1" si="426"/>
        <v>33519.21654103425</v>
      </c>
      <c r="AN3024" s="10">
        <f t="shared" ca="1" si="427"/>
        <v>1.0566717575819062</v>
      </c>
      <c r="AO3024" s="158"/>
      <c r="AP3024" s="158"/>
      <c r="AQ3024" s="1"/>
      <c r="AR3024" s="1"/>
      <c r="AS3024" s="1"/>
      <c r="AT3024" s="1"/>
      <c r="AU3024" s="1"/>
    </row>
    <row r="3025" spans="34:47">
      <c r="AH3025" s="6">
        <f t="shared" si="428"/>
        <v>2995</v>
      </c>
      <c r="AI3025" s="7">
        <f t="shared" ca="1" si="429"/>
        <v>45665</v>
      </c>
      <c r="AJ3025" s="210">
        <f t="shared" ca="1" si="430"/>
        <v>4.1749999999999998</v>
      </c>
      <c r="AK3025" s="8">
        <f t="shared" ca="1" si="431"/>
        <v>1.0001159722222221</v>
      </c>
      <c r="AL3025" s="98">
        <f t="shared" ca="1" si="432"/>
        <v>4.1114029829013576</v>
      </c>
      <c r="AM3025" s="106">
        <f t="shared" ca="1" si="426"/>
        <v>33521.978573723907</v>
      </c>
      <c r="AN3025" s="10">
        <f t="shared" ca="1" si="427"/>
        <v>1.0567304963120305</v>
      </c>
      <c r="AO3025" s="158"/>
      <c r="AP3025" s="158"/>
      <c r="AQ3025" s="1"/>
      <c r="AR3025" s="1"/>
      <c r="AS3025" s="1"/>
      <c r="AT3025" s="1"/>
      <c r="AU3025" s="1"/>
    </row>
    <row r="3026" spans="34:47">
      <c r="AH3026" s="6">
        <f t="shared" si="428"/>
        <v>2996</v>
      </c>
      <c r="AI3026" s="7">
        <f t="shared" ca="1" si="429"/>
        <v>45666</v>
      </c>
      <c r="AJ3026" s="210">
        <f t="shared" ca="1" si="430"/>
        <v>4.1749999999999998</v>
      </c>
      <c r="AK3026" s="8">
        <f t="shared" ca="1" si="431"/>
        <v>1.0001159722222221</v>
      </c>
      <c r="AL3026" s="98">
        <f t="shared" ca="1" si="432"/>
        <v>4.1114737371315435</v>
      </c>
      <c r="AM3026" s="106">
        <f t="shared" ca="1" si="426"/>
        <v>33524.740834009113</v>
      </c>
      <c r="AN3026" s="10">
        <f t="shared" ca="1" si="427"/>
        <v>1.0567891958648046</v>
      </c>
      <c r="AO3026" s="158"/>
      <c r="AP3026" s="158"/>
      <c r="AQ3026" s="1"/>
      <c r="AR3026" s="1"/>
      <c r="AS3026" s="1"/>
      <c r="AT3026" s="1"/>
      <c r="AU3026" s="1"/>
    </row>
    <row r="3027" spans="34:47">
      <c r="AH3027" s="6">
        <f t="shared" si="428"/>
        <v>2997</v>
      </c>
      <c r="AI3027" s="7">
        <f t="shared" ca="1" si="429"/>
        <v>45667</v>
      </c>
      <c r="AJ3027" s="210">
        <f t="shared" ca="1" si="430"/>
        <v>4.1749999999999998</v>
      </c>
      <c r="AK3027" s="8">
        <f t="shared" ca="1" si="431"/>
        <v>1.0001159722222221</v>
      </c>
      <c r="AL3027" s="98">
        <f t="shared" ca="1" si="432"/>
        <v>4.1115444441930604</v>
      </c>
      <c r="AM3027" s="106">
        <f t="shared" ca="1" si="426"/>
        <v>33527.503321908625</v>
      </c>
      <c r="AN3027" s="10">
        <f t="shared" ca="1" si="427"/>
        <v>1.0568478562794414</v>
      </c>
      <c r="AO3027" s="158"/>
      <c r="AP3027" s="158"/>
      <c r="AQ3027" s="1"/>
      <c r="AR3027" s="1"/>
      <c r="AS3027" s="1"/>
      <c r="AT3027" s="1"/>
      <c r="AU3027" s="1"/>
    </row>
    <row r="3028" spans="34:47">
      <c r="AH3028" s="6">
        <f t="shared" si="428"/>
        <v>2998</v>
      </c>
      <c r="AI3028" s="7">
        <f t="shared" ca="1" si="429"/>
        <v>45668</v>
      </c>
      <c r="AJ3028" s="210">
        <f t="shared" ca="1" si="430"/>
        <v>4.1749999999999998</v>
      </c>
      <c r="AK3028" s="8">
        <f t="shared" ca="1" si="431"/>
        <v>1.0001159722222221</v>
      </c>
      <c r="AL3028" s="98">
        <f t="shared" ca="1" si="432"/>
        <v>4.1116151041330706</v>
      </c>
      <c r="AM3028" s="106">
        <f t="shared" ca="1" si="426"/>
        <v>33530.266037441201</v>
      </c>
      <c r="AN3028" s="10">
        <f t="shared" ca="1" si="427"/>
        <v>1.0569064775950654</v>
      </c>
      <c r="AO3028" s="158"/>
      <c r="AP3028" s="158"/>
      <c r="AQ3028" s="1"/>
      <c r="AR3028" s="1"/>
      <c r="AS3028" s="1"/>
      <c r="AT3028" s="1"/>
      <c r="AU3028" s="1"/>
    </row>
    <row r="3029" spans="34:47">
      <c r="AH3029" s="6">
        <f t="shared" si="428"/>
        <v>2999</v>
      </c>
      <c r="AI3029" s="7">
        <f t="shared" ca="1" si="429"/>
        <v>45669</v>
      </c>
      <c r="AJ3029" s="210">
        <f t="shared" ca="1" si="430"/>
        <v>4.1749999999999998</v>
      </c>
      <c r="AK3029" s="8">
        <f t="shared" ca="1" si="431"/>
        <v>1.0001159722222221</v>
      </c>
      <c r="AL3029" s="98">
        <f t="shared" ca="1" si="432"/>
        <v>4.1116857169986476</v>
      </c>
      <c r="AM3029" s="106">
        <f t="shared" ca="1" si="426"/>
        <v>33533.028980625597</v>
      </c>
      <c r="AN3029" s="10">
        <f t="shared" ca="1" si="427"/>
        <v>1.0569650598507563</v>
      </c>
      <c r="AO3029" s="158"/>
      <c r="AP3029" s="158"/>
      <c r="AQ3029" s="1"/>
      <c r="AR3029" s="1"/>
      <c r="AS3029" s="1"/>
      <c r="AT3029" s="1"/>
      <c r="AU3029" s="1"/>
    </row>
    <row r="3030" spans="34:47">
      <c r="AH3030" s="6">
        <f t="shared" si="428"/>
        <v>3000</v>
      </c>
      <c r="AI3030" s="7">
        <f t="shared" ca="1" si="429"/>
        <v>45670</v>
      </c>
      <c r="AJ3030" s="210">
        <f t="shared" ca="1" si="430"/>
        <v>4.1749999999999998</v>
      </c>
      <c r="AK3030" s="8">
        <f t="shared" ca="1" si="431"/>
        <v>1.0001159722222221</v>
      </c>
      <c r="AL3030" s="98">
        <f t="shared" ca="1" si="432"/>
        <v>4.1117562828368426</v>
      </c>
      <c r="AM3030" s="106">
        <f t="shared" ca="1" si="426"/>
        <v>33535.792151480564</v>
      </c>
      <c r="AN3030" s="10">
        <f t="shared" ca="1" si="427"/>
        <v>1.0570236030855495</v>
      </c>
      <c r="AO3030" s="158"/>
      <c r="AP3030" s="158"/>
      <c r="AQ3030" s="1"/>
      <c r="AR3030" s="1"/>
      <c r="AS3030" s="1"/>
      <c r="AT3030" s="1"/>
      <c r="AU3030" s="1"/>
    </row>
    <row r="3031" spans="34:47">
      <c r="AH3031" s="6">
        <f t="shared" si="428"/>
        <v>3001</v>
      </c>
      <c r="AI3031" s="7">
        <f t="shared" ca="1" si="429"/>
        <v>45671</v>
      </c>
      <c r="AJ3031" s="210">
        <f t="shared" ca="1" si="430"/>
        <v>4.1749999999999998</v>
      </c>
      <c r="AK3031" s="8">
        <f t="shared" ca="1" si="431"/>
        <v>1.0001159722222221</v>
      </c>
      <c r="AL3031" s="98">
        <f t="shared" ca="1" si="432"/>
        <v>4.1118268016945958</v>
      </c>
      <c r="AM3031" s="106">
        <f t="shared" ca="1" si="426"/>
        <v>33538.555550024874</v>
      </c>
      <c r="AN3031" s="10">
        <f t="shared" ca="1" si="427"/>
        <v>1.0570821073383918</v>
      </c>
      <c r="AO3031" s="158"/>
      <c r="AP3031" s="158"/>
      <c r="AQ3031" s="1"/>
      <c r="AR3031" s="1"/>
      <c r="AS3031" s="1"/>
      <c r="AT3031" s="1"/>
      <c r="AU3031" s="1"/>
    </row>
    <row r="3032" spans="34:47">
      <c r="AH3032" s="6">
        <f t="shared" si="428"/>
        <v>3002</v>
      </c>
      <c r="AI3032" s="7">
        <f t="shared" ca="1" si="429"/>
        <v>45672</v>
      </c>
      <c r="AJ3032" s="210">
        <f t="shared" ca="1" si="430"/>
        <v>4.1749999999999998</v>
      </c>
      <c r="AK3032" s="8">
        <f t="shared" ca="1" si="431"/>
        <v>1.0001159722222221</v>
      </c>
      <c r="AL3032" s="98">
        <f t="shared" ca="1" si="432"/>
        <v>4.1118972736188253</v>
      </c>
      <c r="AM3032" s="106">
        <f t="shared" ca="1" si="426"/>
        <v>33541.319176277284</v>
      </c>
      <c r="AN3032" s="10">
        <f t="shared" ca="1" si="427"/>
        <v>1.0571405726482297</v>
      </c>
      <c r="AO3032" s="158"/>
      <c r="AP3032" s="158"/>
      <c r="AQ3032" s="1"/>
      <c r="AR3032" s="1"/>
      <c r="AS3032" s="1"/>
      <c r="AT3032" s="1"/>
      <c r="AU3032" s="1"/>
    </row>
    <row r="3033" spans="34:47">
      <c r="AH3033" s="6">
        <f t="shared" si="428"/>
        <v>3003</v>
      </c>
      <c r="AI3033" s="7">
        <f t="shared" ca="1" si="429"/>
        <v>45673</v>
      </c>
      <c r="AJ3033" s="210">
        <f t="shared" ca="1" si="430"/>
        <v>4.1749999999999998</v>
      </c>
      <c r="AK3033" s="8">
        <f t="shared" ca="1" si="431"/>
        <v>1.0001159722222221</v>
      </c>
      <c r="AL3033" s="98">
        <f t="shared" ca="1" si="432"/>
        <v>4.1119676986563602</v>
      </c>
      <c r="AM3033" s="106">
        <f t="shared" ca="1" si="426"/>
        <v>33544.083030256559</v>
      </c>
      <c r="AN3033" s="10">
        <f t="shared" ca="1" si="427"/>
        <v>1.057198999053921</v>
      </c>
      <c r="AO3033" s="158"/>
      <c r="AP3033" s="158"/>
      <c r="AQ3033" s="1"/>
      <c r="AR3033" s="1"/>
      <c r="AS3033" s="1"/>
      <c r="AT3033" s="1"/>
      <c r="AU3033" s="1"/>
    </row>
    <row r="3034" spans="34:47">
      <c r="AH3034" s="6">
        <f t="shared" si="428"/>
        <v>3004</v>
      </c>
      <c r="AI3034" s="7">
        <f t="shared" ca="1" si="429"/>
        <v>45674</v>
      </c>
      <c r="AJ3034" s="210">
        <f t="shared" ca="1" si="430"/>
        <v>4.1749999999999998</v>
      </c>
      <c r="AK3034" s="8">
        <f t="shared" ca="1" si="431"/>
        <v>1.0001159722222221</v>
      </c>
      <c r="AL3034" s="98">
        <f t="shared" ca="1" si="432"/>
        <v>4.1120380768539633</v>
      </c>
      <c r="AM3034" s="106">
        <f t="shared" ca="1" si="426"/>
        <v>33546.847111981457</v>
      </c>
      <c r="AN3034" s="10">
        <f t="shared" ca="1" si="427"/>
        <v>1.0572573865942791</v>
      </c>
      <c r="AO3034" s="158"/>
      <c r="AP3034" s="158"/>
      <c r="AQ3034" s="1"/>
      <c r="AR3034" s="1"/>
      <c r="AS3034" s="1"/>
      <c r="AT3034" s="1"/>
      <c r="AU3034" s="1"/>
    </row>
    <row r="3035" spans="34:47">
      <c r="AH3035" s="6">
        <f t="shared" si="428"/>
        <v>3005</v>
      </c>
      <c r="AI3035" s="7">
        <f t="shared" ca="1" si="429"/>
        <v>45675</v>
      </c>
      <c r="AJ3035" s="210">
        <f t="shared" ca="1" si="430"/>
        <v>4.1749999999999998</v>
      </c>
      <c r="AK3035" s="8">
        <f t="shared" ca="1" si="431"/>
        <v>1.0001159722222221</v>
      </c>
      <c r="AL3035" s="98">
        <f t="shared" ca="1" si="432"/>
        <v>4.1121084082583748</v>
      </c>
      <c r="AM3035" s="106">
        <f t="shared" ca="1" si="426"/>
        <v>33549.611421470749</v>
      </c>
      <c r="AN3035" s="10">
        <f t="shared" ca="1" si="427"/>
        <v>1.0573157353080953</v>
      </c>
      <c r="AO3035" s="158"/>
      <c r="AP3035" s="158"/>
      <c r="AQ3035" s="1"/>
      <c r="AR3035" s="1"/>
      <c r="AS3035" s="1"/>
      <c r="AT3035" s="1"/>
      <c r="AU3035" s="1"/>
    </row>
    <row r="3036" spans="34:47">
      <c r="AH3036" s="6">
        <f t="shared" si="428"/>
        <v>3006</v>
      </c>
      <c r="AI3036" s="7">
        <f t="shared" ca="1" si="429"/>
        <v>45676</v>
      </c>
      <c r="AJ3036" s="210">
        <f t="shared" ca="1" si="430"/>
        <v>4.1749999999999998</v>
      </c>
      <c r="AK3036" s="8">
        <f t="shared" ca="1" si="431"/>
        <v>1.0001159722222221</v>
      </c>
      <c r="AL3036" s="98">
        <f t="shared" ca="1" si="432"/>
        <v>4.1121786929162241</v>
      </c>
      <c r="AM3036" s="106">
        <f t="shared" ca="1" si="426"/>
        <v>33552.375958743214</v>
      </c>
      <c r="AN3036" s="10">
        <f t="shared" ca="1" si="427"/>
        <v>1.0573740452340274</v>
      </c>
      <c r="AO3036" s="158"/>
      <c r="AP3036" s="158"/>
      <c r="AQ3036" s="1"/>
      <c r="AR3036" s="1"/>
      <c r="AS3036" s="1"/>
      <c r="AT3036" s="1"/>
      <c r="AU3036" s="1"/>
    </row>
    <row r="3037" spans="34:47">
      <c r="AH3037" s="6">
        <f t="shared" si="428"/>
        <v>3007</v>
      </c>
      <c r="AI3037" s="7">
        <f t="shared" ca="1" si="429"/>
        <v>45677</v>
      </c>
      <c r="AJ3037" s="210">
        <f t="shared" ca="1" si="430"/>
        <v>4.1749999999999998</v>
      </c>
      <c r="AK3037" s="8">
        <f t="shared" ca="1" si="431"/>
        <v>1.0001159722222221</v>
      </c>
      <c r="AL3037" s="98">
        <f t="shared" ca="1" si="432"/>
        <v>4.1122489308741184</v>
      </c>
      <c r="AM3037" s="106">
        <f t="shared" ca="1" si="426"/>
        <v>33555.140723817603</v>
      </c>
      <c r="AN3037" s="10">
        <f t="shared" ca="1" si="427"/>
        <v>1.0574323164108224</v>
      </c>
      <c r="AO3037" s="158"/>
      <c r="AP3037" s="158"/>
      <c r="AQ3037" s="1"/>
      <c r="AR3037" s="1"/>
      <c r="AS3037" s="1"/>
      <c r="AT3037" s="1"/>
      <c r="AU3037" s="1"/>
    </row>
    <row r="3038" spans="34:47">
      <c r="AH3038" s="6">
        <f t="shared" si="428"/>
        <v>3008</v>
      </c>
      <c r="AI3038" s="7">
        <f t="shared" ca="1" si="429"/>
        <v>45678</v>
      </c>
      <c r="AJ3038" s="210">
        <f t="shared" ca="1" si="430"/>
        <v>4.1749999999999998</v>
      </c>
      <c r="AK3038" s="8">
        <f t="shared" ca="1" si="431"/>
        <v>1.0001159722222221</v>
      </c>
      <c r="AL3038" s="98">
        <f t="shared" ca="1" si="432"/>
        <v>4.112319122178576</v>
      </c>
      <c r="AM3038" s="106">
        <f t="shared" ca="1" si="426"/>
        <v>33557.905716712696</v>
      </c>
      <c r="AN3038" s="10">
        <f t="shared" ca="1" si="427"/>
        <v>1.057490548877027</v>
      </c>
      <c r="AO3038" s="158"/>
      <c r="AP3038" s="158"/>
      <c r="AQ3038" s="1"/>
      <c r="AR3038" s="1"/>
      <c r="AS3038" s="1"/>
      <c r="AT3038" s="1"/>
      <c r="AU3038" s="1"/>
    </row>
    <row r="3039" spans="34:47">
      <c r="AH3039" s="6">
        <f t="shared" si="428"/>
        <v>3009</v>
      </c>
      <c r="AI3039" s="7">
        <f t="shared" ca="1" si="429"/>
        <v>45679</v>
      </c>
      <c r="AJ3039" s="210">
        <f t="shared" ca="1" si="430"/>
        <v>4.1749999999999998</v>
      </c>
      <c r="AK3039" s="8">
        <f t="shared" ca="1" si="431"/>
        <v>1.0001159722222221</v>
      </c>
      <c r="AL3039" s="98">
        <f t="shared" ca="1" si="432"/>
        <v>4.1123892668760709</v>
      </c>
      <c r="AM3039" s="106">
        <f t="shared" ref="AM3039:AM3102" ca="1" si="433">Geom_Interp(AI3039,$AZ$2:$AZ$109,$BA$2:$BA$109)</f>
        <v>33560.67093744727</v>
      </c>
      <c r="AN3039" s="10">
        <f t="shared" ref="AN3039:AN3102" ca="1" si="434">100*(((1+AL3039/100)^(AH3039/365)*$AM$29/AM3039)^(365/AH3039)-1)</f>
        <v>1.0575487426712327</v>
      </c>
      <c r="AO3039" s="158"/>
      <c r="AP3039" s="158"/>
      <c r="AQ3039" s="1"/>
      <c r="AR3039" s="1"/>
      <c r="AS3039" s="1"/>
      <c r="AT3039" s="1"/>
      <c r="AU3039" s="1"/>
    </row>
    <row r="3040" spans="34:47">
      <c r="AH3040" s="6">
        <f t="shared" ref="AH3040:AH3103" si="435">$AI$29+AH3039</f>
        <v>3010</v>
      </c>
      <c r="AI3040" s="7">
        <f t="shared" ref="AI3040:AI3103" ca="1" si="436">+AH3040+$C$1</f>
        <v>45680</v>
      </c>
      <c r="AJ3040" s="210">
        <f t="shared" ref="AJ3040:AJ3103" ca="1" si="437">IF(AH3040&lt;365,VLOOKUP(LOOKUP(AI3040,$AI$2:$AI$23),$AI$2:$AK$23,3,0),Lin_Interp(AH3040,$AJ$2:$AJ$23,$AK$2:$AK$23))</f>
        <v>4.1749999999999998</v>
      </c>
      <c r="AK3040" s="8">
        <f t="shared" ca="1" si="431"/>
        <v>1.0001159722222221</v>
      </c>
      <c r="AL3040" s="98">
        <f t="shared" ca="1" si="432"/>
        <v>4.1124593650130103</v>
      </c>
      <c r="AM3040" s="106">
        <f t="shared" ca="1" si="433"/>
        <v>33563.436386040099</v>
      </c>
      <c r="AN3040" s="10">
        <f t="shared" ca="1" si="434"/>
        <v>1.057606897831942</v>
      </c>
      <c r="AO3040" s="158"/>
      <c r="AP3040" s="158"/>
      <c r="AQ3040" s="1"/>
      <c r="AR3040" s="1"/>
      <c r="AS3040" s="1"/>
      <c r="AT3040" s="1"/>
      <c r="AU3040" s="1"/>
    </row>
    <row r="3041" spans="34:47">
      <c r="AH3041" s="6">
        <f t="shared" si="435"/>
        <v>3011</v>
      </c>
      <c r="AI3041" s="7">
        <f t="shared" ca="1" si="436"/>
        <v>45681</v>
      </c>
      <c r="AJ3041" s="210">
        <f t="shared" ca="1" si="437"/>
        <v>4.1749999999999998</v>
      </c>
      <c r="AK3041" s="8">
        <f t="shared" ref="AK3041:AK3104" ca="1" si="438">+(1+AJ3041/36000)</f>
        <v>1.0001159722222221</v>
      </c>
      <c r="AL3041" s="98">
        <f t="shared" ref="AL3041:AL3104" ca="1" si="439">100*(((1+AL3040/100)^(AH3040/365)*AK3041)^(365/AH3041)-1)</f>
        <v>4.1125294166357351</v>
      </c>
      <c r="AM3041" s="106">
        <f t="shared" ca="1" si="433"/>
        <v>33566.202062509947</v>
      </c>
      <c r="AN3041" s="10">
        <f t="shared" ca="1" si="434"/>
        <v>1.057665014397613</v>
      </c>
      <c r="AO3041" s="158"/>
      <c r="AP3041" s="158"/>
      <c r="AQ3041" s="1"/>
      <c r="AR3041" s="1"/>
      <c r="AS3041" s="1"/>
      <c r="AT3041" s="1"/>
      <c r="AU3041" s="1"/>
    </row>
    <row r="3042" spans="34:47">
      <c r="AH3042" s="6">
        <f t="shared" si="435"/>
        <v>3012</v>
      </c>
      <c r="AI3042" s="7">
        <f t="shared" ca="1" si="436"/>
        <v>45682</v>
      </c>
      <c r="AJ3042" s="210">
        <f t="shared" ca="1" si="437"/>
        <v>4.1749999999999998</v>
      </c>
      <c r="AK3042" s="8">
        <f t="shared" ca="1" si="438"/>
        <v>1.0001159722222221</v>
      </c>
      <c r="AL3042" s="98">
        <f t="shared" ca="1" si="439"/>
        <v>4.1125994217905193</v>
      </c>
      <c r="AM3042" s="106">
        <f t="shared" ca="1" si="433"/>
        <v>33568.9679668756</v>
      </c>
      <c r="AN3042" s="10">
        <f t="shared" ca="1" si="434"/>
        <v>1.0577230924066594</v>
      </c>
      <c r="AO3042" s="158"/>
      <c r="AP3042" s="158"/>
      <c r="AQ3042" s="1"/>
      <c r="AR3042" s="1"/>
      <c r="AS3042" s="1"/>
      <c r="AT3042" s="1"/>
      <c r="AU3042" s="1"/>
    </row>
    <row r="3043" spans="34:47">
      <c r="AH3043" s="6">
        <f t="shared" si="435"/>
        <v>3013</v>
      </c>
      <c r="AI3043" s="7">
        <f t="shared" ca="1" si="436"/>
        <v>45683</v>
      </c>
      <c r="AJ3043" s="210">
        <f t="shared" ca="1" si="437"/>
        <v>4.1749999999999998</v>
      </c>
      <c r="AK3043" s="8">
        <f t="shared" ca="1" si="438"/>
        <v>1.0001159722222221</v>
      </c>
      <c r="AL3043" s="98">
        <f t="shared" ca="1" si="439"/>
        <v>4.1126693805235925</v>
      </c>
      <c r="AM3043" s="106">
        <f t="shared" ca="1" si="433"/>
        <v>33571.734099155845</v>
      </c>
      <c r="AN3043" s="10">
        <f t="shared" ca="1" si="434"/>
        <v>1.0577811318974284</v>
      </c>
      <c r="AO3043" s="158"/>
      <c r="AP3043" s="158"/>
      <c r="AQ3043" s="1"/>
      <c r="AR3043" s="1"/>
      <c r="AS3043" s="1"/>
      <c r="AT3043" s="1"/>
      <c r="AU3043" s="1"/>
    </row>
    <row r="3044" spans="34:47">
      <c r="AH3044" s="6">
        <f t="shared" si="435"/>
        <v>3014</v>
      </c>
      <c r="AI3044" s="7">
        <f t="shared" ca="1" si="436"/>
        <v>45684</v>
      </c>
      <c r="AJ3044" s="210">
        <f t="shared" ca="1" si="437"/>
        <v>4.1749999999999998</v>
      </c>
      <c r="AK3044" s="8">
        <f t="shared" ca="1" si="438"/>
        <v>1.0001159722222221</v>
      </c>
      <c r="AL3044" s="98">
        <f t="shared" ca="1" si="439"/>
        <v>4.1127392928810957</v>
      </c>
      <c r="AM3044" s="106">
        <f t="shared" ca="1" si="433"/>
        <v>33574.500459369447</v>
      </c>
      <c r="AN3044" s="10">
        <f t="shared" ca="1" si="434"/>
        <v>1.0578391329082448</v>
      </c>
      <c r="AO3044" s="158"/>
      <c r="AP3044" s="158"/>
      <c r="AQ3044" s="1"/>
      <c r="AR3044" s="1"/>
      <c r="AS3044" s="1"/>
      <c r="AT3044" s="1"/>
      <c r="AU3044" s="1"/>
    </row>
    <row r="3045" spans="34:47">
      <c r="AH3045" s="6">
        <f t="shared" si="435"/>
        <v>3015</v>
      </c>
      <c r="AI3045" s="7">
        <f t="shared" ca="1" si="436"/>
        <v>45685</v>
      </c>
      <c r="AJ3045" s="210">
        <f t="shared" ca="1" si="437"/>
        <v>4.1749999999999998</v>
      </c>
      <c r="AK3045" s="8">
        <f t="shared" ca="1" si="438"/>
        <v>1.0001159722222221</v>
      </c>
      <c r="AL3045" s="98">
        <f t="shared" ca="1" si="439"/>
        <v>4.1128091589091476</v>
      </c>
      <c r="AM3045" s="106">
        <f t="shared" ca="1" si="433"/>
        <v>33577.267047535199</v>
      </c>
      <c r="AN3045" s="10">
        <f t="shared" ca="1" si="434"/>
        <v>1.0578970954773226</v>
      </c>
      <c r="AO3045" s="158"/>
      <c r="AP3045" s="158"/>
      <c r="AQ3045" s="1"/>
      <c r="AR3045" s="1"/>
      <c r="AS3045" s="1"/>
      <c r="AT3045" s="1"/>
      <c r="AU3045" s="1"/>
    </row>
    <row r="3046" spans="34:47">
      <c r="AH3046" s="6">
        <f t="shared" si="435"/>
        <v>3016</v>
      </c>
      <c r="AI3046" s="7">
        <f t="shared" ca="1" si="436"/>
        <v>45686</v>
      </c>
      <c r="AJ3046" s="210">
        <f t="shared" ca="1" si="437"/>
        <v>4.1749999999999998</v>
      </c>
      <c r="AK3046" s="8">
        <f t="shared" ca="1" si="438"/>
        <v>1.0001159722222221</v>
      </c>
      <c r="AL3046" s="98">
        <f t="shared" ca="1" si="439"/>
        <v>4.1128789786537778</v>
      </c>
      <c r="AM3046" s="106">
        <f t="shared" ca="1" si="433"/>
        <v>33580.033863671873</v>
      </c>
      <c r="AN3046" s="10">
        <f t="shared" ca="1" si="434"/>
        <v>1.0579550196429199</v>
      </c>
      <c r="AO3046" s="158"/>
      <c r="AP3046" s="158"/>
      <c r="AQ3046" s="1"/>
      <c r="AR3046" s="1"/>
      <c r="AS3046" s="1"/>
      <c r="AT3046" s="1"/>
      <c r="AU3046" s="1"/>
    </row>
    <row r="3047" spans="34:47">
      <c r="AH3047" s="6">
        <f t="shared" si="435"/>
        <v>3017</v>
      </c>
      <c r="AI3047" s="7">
        <f t="shared" ca="1" si="436"/>
        <v>45687</v>
      </c>
      <c r="AJ3047" s="210">
        <f t="shared" ca="1" si="437"/>
        <v>4.1749999999999998</v>
      </c>
      <c r="AK3047" s="8">
        <f t="shared" ca="1" si="438"/>
        <v>1.0001159722222221</v>
      </c>
      <c r="AL3047" s="98">
        <f t="shared" ca="1" si="439"/>
        <v>4.112948752160972</v>
      </c>
      <c r="AM3047" s="106">
        <f t="shared" ca="1" si="433"/>
        <v>33582.800907798264</v>
      </c>
      <c r="AN3047" s="10">
        <f t="shared" ca="1" si="434"/>
        <v>1.058012905443162</v>
      </c>
      <c r="AO3047" s="158"/>
      <c r="AP3047" s="158"/>
      <c r="AQ3047" s="1"/>
      <c r="AR3047" s="1"/>
      <c r="AS3047" s="1"/>
      <c r="AT3047" s="1"/>
      <c r="AU3047" s="1"/>
    </row>
    <row r="3048" spans="34:47">
      <c r="AH3048" s="6">
        <f t="shared" si="435"/>
        <v>3018</v>
      </c>
      <c r="AI3048" s="7">
        <f t="shared" ca="1" si="436"/>
        <v>45688</v>
      </c>
      <c r="AJ3048" s="210">
        <f t="shared" ca="1" si="437"/>
        <v>4.1749999999999998</v>
      </c>
      <c r="AK3048" s="8">
        <f t="shared" ca="1" si="438"/>
        <v>1.0001159722222221</v>
      </c>
      <c r="AL3048" s="98">
        <f t="shared" ca="1" si="439"/>
        <v>4.1130184794766267</v>
      </c>
      <c r="AM3048" s="106">
        <f t="shared" ca="1" si="433"/>
        <v>33585.568179933165</v>
      </c>
      <c r="AN3048" s="10">
        <f t="shared" ca="1" si="434"/>
        <v>1.0580707529161293</v>
      </c>
      <c r="AO3048" s="158"/>
      <c r="AP3048" s="158"/>
      <c r="AQ3048" s="1"/>
      <c r="AR3048" s="1"/>
      <c r="AS3048" s="1"/>
      <c r="AT3048" s="1"/>
      <c r="AU3048" s="1"/>
    </row>
    <row r="3049" spans="34:47">
      <c r="AH3049" s="6">
        <f t="shared" si="435"/>
        <v>3019</v>
      </c>
      <c r="AI3049" s="7">
        <f t="shared" ca="1" si="436"/>
        <v>45689</v>
      </c>
      <c r="AJ3049" s="210">
        <f t="shared" ca="1" si="437"/>
        <v>4.1749999999999998</v>
      </c>
      <c r="AK3049" s="8">
        <f t="shared" ca="1" si="438"/>
        <v>1.0001159722222221</v>
      </c>
      <c r="AL3049" s="98">
        <f t="shared" ca="1" si="439"/>
        <v>4.1130881606466163</v>
      </c>
      <c r="AM3049" s="106">
        <f t="shared" ca="1" si="433"/>
        <v>33588.335680095355</v>
      </c>
      <c r="AN3049" s="10">
        <f t="shared" ca="1" si="434"/>
        <v>1.0581285620999248</v>
      </c>
      <c r="AO3049" s="158"/>
      <c r="AP3049" s="158"/>
      <c r="AQ3049" s="1"/>
      <c r="AR3049" s="1"/>
      <c r="AS3049" s="1"/>
      <c r="AT3049" s="1"/>
      <c r="AU3049" s="1"/>
    </row>
    <row r="3050" spans="34:47">
      <c r="AH3050" s="6">
        <f t="shared" si="435"/>
        <v>3020</v>
      </c>
      <c r="AI3050" s="7">
        <f t="shared" ca="1" si="436"/>
        <v>45690</v>
      </c>
      <c r="AJ3050" s="210">
        <f t="shared" ca="1" si="437"/>
        <v>4.1749999999999998</v>
      </c>
      <c r="AK3050" s="8">
        <f t="shared" ca="1" si="438"/>
        <v>1.0001159722222221</v>
      </c>
      <c r="AL3050" s="98">
        <f t="shared" ca="1" si="439"/>
        <v>4.1131577957167265</v>
      </c>
      <c r="AM3050" s="106">
        <f t="shared" ca="1" si="433"/>
        <v>33591.103408303614</v>
      </c>
      <c r="AN3050" s="10">
        <f t="shared" ca="1" si="434"/>
        <v>1.0581863330325403</v>
      </c>
      <c r="AO3050" s="158"/>
      <c r="AP3050" s="158"/>
      <c r="AQ3050" s="1"/>
      <c r="AR3050" s="1"/>
      <c r="AS3050" s="1"/>
      <c r="AT3050" s="1"/>
      <c r="AU3050" s="1"/>
    </row>
    <row r="3051" spans="34:47">
      <c r="AH3051" s="6">
        <f t="shared" si="435"/>
        <v>3021</v>
      </c>
      <c r="AI3051" s="7">
        <f t="shared" ca="1" si="436"/>
        <v>45691</v>
      </c>
      <c r="AJ3051" s="210">
        <f t="shared" ca="1" si="437"/>
        <v>4.1749999999999998</v>
      </c>
      <c r="AK3051" s="8">
        <f t="shared" ca="1" si="438"/>
        <v>1.0001159722222221</v>
      </c>
      <c r="AL3051" s="98">
        <f t="shared" ca="1" si="439"/>
        <v>4.1132273847326983</v>
      </c>
      <c r="AM3051" s="106">
        <f t="shared" ca="1" si="433"/>
        <v>33593.871364576749</v>
      </c>
      <c r="AN3051" s="10">
        <f t="shared" ca="1" si="434"/>
        <v>1.0582440657519232</v>
      </c>
      <c r="AO3051" s="158"/>
      <c r="AP3051" s="158"/>
      <c r="AQ3051" s="1"/>
      <c r="AR3051" s="1"/>
      <c r="AS3051" s="1"/>
      <c r="AT3051" s="1"/>
      <c r="AU3051" s="1"/>
    </row>
    <row r="3052" spans="34:47">
      <c r="AH3052" s="6">
        <f t="shared" si="435"/>
        <v>3022</v>
      </c>
      <c r="AI3052" s="7">
        <f t="shared" ca="1" si="436"/>
        <v>45692</v>
      </c>
      <c r="AJ3052" s="210">
        <f t="shared" ca="1" si="437"/>
        <v>4.1749999999999998</v>
      </c>
      <c r="AK3052" s="8">
        <f t="shared" ca="1" si="438"/>
        <v>1.0001159722222221</v>
      </c>
      <c r="AL3052" s="98">
        <f t="shared" ca="1" si="439"/>
        <v>4.1132969277401843</v>
      </c>
      <c r="AM3052" s="106">
        <f t="shared" ca="1" si="433"/>
        <v>33596.639548933548</v>
      </c>
      <c r="AN3052" s="10">
        <f t="shared" ca="1" si="434"/>
        <v>1.0583017602959321</v>
      </c>
      <c r="AO3052" s="158"/>
      <c r="AP3052" s="158"/>
      <c r="AQ3052" s="1"/>
      <c r="AR3052" s="1"/>
      <c r="AS3052" s="1"/>
      <c r="AT3052" s="1"/>
      <c r="AU3052" s="1"/>
    </row>
    <row r="3053" spans="34:47">
      <c r="AH3053" s="6">
        <f t="shared" si="435"/>
        <v>3023</v>
      </c>
      <c r="AI3053" s="7">
        <f t="shared" ca="1" si="436"/>
        <v>45693</v>
      </c>
      <c r="AJ3053" s="210">
        <f t="shared" ca="1" si="437"/>
        <v>4.1749999999999998</v>
      </c>
      <c r="AK3053" s="8">
        <f t="shared" ca="1" si="438"/>
        <v>1.0001159722222221</v>
      </c>
      <c r="AL3053" s="98">
        <f t="shared" ca="1" si="439"/>
        <v>4.1133664247848145</v>
      </c>
      <c r="AM3053" s="106">
        <f t="shared" ca="1" si="433"/>
        <v>33599.407961392797</v>
      </c>
      <c r="AN3053" s="10">
        <f t="shared" ca="1" si="434"/>
        <v>1.0583594167024923</v>
      </c>
      <c r="AO3053" s="158"/>
      <c r="AP3053" s="158"/>
      <c r="AQ3053" s="1"/>
      <c r="AR3053" s="1"/>
      <c r="AS3053" s="1"/>
      <c r="AT3053" s="1"/>
      <c r="AU3053" s="1"/>
    </row>
    <row r="3054" spans="34:47">
      <c r="AH3054" s="6">
        <f t="shared" si="435"/>
        <v>3024</v>
      </c>
      <c r="AI3054" s="7">
        <f t="shared" ca="1" si="436"/>
        <v>45694</v>
      </c>
      <c r="AJ3054" s="210">
        <f t="shared" ca="1" si="437"/>
        <v>4.1749999999999998</v>
      </c>
      <c r="AK3054" s="8">
        <f t="shared" ca="1" si="438"/>
        <v>1.0001159722222221</v>
      </c>
      <c r="AL3054" s="98">
        <f t="shared" ca="1" si="439"/>
        <v>4.1134358759121303</v>
      </c>
      <c r="AM3054" s="106">
        <f t="shared" ca="1" si="433"/>
        <v>33602.176601973311</v>
      </c>
      <c r="AN3054" s="10">
        <f t="shared" ca="1" si="434"/>
        <v>1.0584170350093514</v>
      </c>
      <c r="AO3054" s="158"/>
      <c r="AP3054" s="158"/>
      <c r="AQ3054" s="1"/>
      <c r="AR3054" s="1"/>
      <c r="AS3054" s="1"/>
      <c r="AT3054" s="1"/>
      <c r="AU3054" s="1"/>
    </row>
    <row r="3055" spans="34:47">
      <c r="AH3055" s="6">
        <f t="shared" si="435"/>
        <v>3025</v>
      </c>
      <c r="AI3055" s="7">
        <f t="shared" ca="1" si="436"/>
        <v>45695</v>
      </c>
      <c r="AJ3055" s="210">
        <f t="shared" ca="1" si="437"/>
        <v>4.1749999999999998</v>
      </c>
      <c r="AK3055" s="8">
        <f t="shared" ca="1" si="438"/>
        <v>1.0001159722222221</v>
      </c>
      <c r="AL3055" s="98">
        <f t="shared" ca="1" si="439"/>
        <v>4.1135052811676287</v>
      </c>
      <c r="AM3055" s="106">
        <f t="shared" ca="1" si="433"/>
        <v>33604.945470693878</v>
      </c>
      <c r="AN3055" s="10">
        <f t="shared" ca="1" si="434"/>
        <v>1.058474615254279</v>
      </c>
      <c r="AO3055" s="158"/>
      <c r="AP3055" s="158"/>
      <c r="AQ3055" s="1"/>
      <c r="AR3055" s="1"/>
      <c r="AS3055" s="1"/>
      <c r="AT3055" s="1"/>
      <c r="AU3055" s="1"/>
    </row>
    <row r="3056" spans="34:47">
      <c r="AH3056" s="6">
        <f t="shared" si="435"/>
        <v>3026</v>
      </c>
      <c r="AI3056" s="7">
        <f t="shared" ca="1" si="436"/>
        <v>45696</v>
      </c>
      <c r="AJ3056" s="210">
        <f t="shared" ca="1" si="437"/>
        <v>4.1749999999999998</v>
      </c>
      <c r="AK3056" s="8">
        <f t="shared" ca="1" si="438"/>
        <v>1.0001159722222221</v>
      </c>
      <c r="AL3056" s="98">
        <f t="shared" ca="1" si="439"/>
        <v>4.1135746405967399</v>
      </c>
      <c r="AM3056" s="106">
        <f t="shared" ca="1" si="433"/>
        <v>33607.71456757329</v>
      </c>
      <c r="AN3056" s="10">
        <f t="shared" ca="1" si="434"/>
        <v>1.0585321574750006</v>
      </c>
      <c r="AO3056" s="158"/>
      <c r="AP3056" s="158"/>
      <c r="AQ3056" s="1"/>
      <c r="AR3056" s="1"/>
      <c r="AS3056" s="1"/>
      <c r="AT3056" s="1"/>
      <c r="AU3056" s="1"/>
    </row>
    <row r="3057" spans="34:47">
      <c r="AH3057" s="6">
        <f t="shared" si="435"/>
        <v>3027</v>
      </c>
      <c r="AI3057" s="7">
        <f t="shared" ca="1" si="436"/>
        <v>45697</v>
      </c>
      <c r="AJ3057" s="210">
        <f t="shared" ca="1" si="437"/>
        <v>4.1749999999999998</v>
      </c>
      <c r="AK3057" s="8">
        <f t="shared" ca="1" si="438"/>
        <v>1.0001159722222221</v>
      </c>
      <c r="AL3057" s="98">
        <f t="shared" ca="1" si="439"/>
        <v>4.11364395424485</v>
      </c>
      <c r="AM3057" s="106">
        <f t="shared" ca="1" si="433"/>
        <v>33610.483892630349</v>
      </c>
      <c r="AN3057" s="10">
        <f t="shared" ca="1" si="434"/>
        <v>1.0585896617091306</v>
      </c>
      <c r="AO3057" s="158"/>
      <c r="AP3057" s="158"/>
      <c r="AQ3057" s="1"/>
      <c r="AR3057" s="1"/>
      <c r="AS3057" s="1"/>
      <c r="AT3057" s="1"/>
      <c r="AU3057" s="1"/>
    </row>
    <row r="3058" spans="34:47">
      <c r="AH3058" s="6">
        <f t="shared" si="435"/>
        <v>3028</v>
      </c>
      <c r="AI3058" s="7">
        <f t="shared" ca="1" si="436"/>
        <v>45698</v>
      </c>
      <c r="AJ3058" s="210">
        <f t="shared" ca="1" si="437"/>
        <v>4.1749999999999998</v>
      </c>
      <c r="AK3058" s="8">
        <f t="shared" ca="1" si="438"/>
        <v>1.0001159722222221</v>
      </c>
      <c r="AL3058" s="98">
        <f t="shared" ca="1" si="439"/>
        <v>4.1137132221572559</v>
      </c>
      <c r="AM3058" s="106">
        <f t="shared" ca="1" si="433"/>
        <v>33613.253445883871</v>
      </c>
      <c r="AN3058" s="10">
        <f t="shared" ca="1" si="434"/>
        <v>1.0586471279943055</v>
      </c>
      <c r="AO3058" s="158"/>
      <c r="AP3058" s="158"/>
      <c r="AQ3058" s="1"/>
      <c r="AR3058" s="1"/>
      <c r="AS3058" s="1"/>
      <c r="AT3058" s="1"/>
      <c r="AU3058" s="1"/>
    </row>
    <row r="3059" spans="34:47">
      <c r="AH3059" s="6">
        <f t="shared" si="435"/>
        <v>3029</v>
      </c>
      <c r="AI3059" s="7">
        <f t="shared" ca="1" si="436"/>
        <v>45699</v>
      </c>
      <c r="AJ3059" s="210">
        <f t="shared" ca="1" si="437"/>
        <v>4.1749999999999998</v>
      </c>
      <c r="AK3059" s="8">
        <f t="shared" ca="1" si="438"/>
        <v>1.0001159722222221</v>
      </c>
      <c r="AL3059" s="98">
        <f t="shared" ca="1" si="439"/>
        <v>4.1137824443792104</v>
      </c>
      <c r="AM3059" s="106">
        <f t="shared" ca="1" si="433"/>
        <v>33616.023227352642</v>
      </c>
      <c r="AN3059" s="10">
        <f t="shared" ca="1" si="434"/>
        <v>1.0587045563680508</v>
      </c>
      <c r="AO3059" s="158"/>
      <c r="AP3059" s="158"/>
      <c r="AQ3059" s="1"/>
      <c r="AR3059" s="1"/>
      <c r="AS3059" s="1"/>
      <c r="AT3059" s="1"/>
      <c r="AU3059" s="1"/>
    </row>
    <row r="3060" spans="34:47">
      <c r="AH3060" s="6">
        <f t="shared" si="435"/>
        <v>3030</v>
      </c>
      <c r="AI3060" s="7">
        <f t="shared" ca="1" si="436"/>
        <v>45700</v>
      </c>
      <c r="AJ3060" s="210">
        <f t="shared" ca="1" si="437"/>
        <v>4.1749999999999998</v>
      </c>
      <c r="AK3060" s="8">
        <f t="shared" ca="1" si="438"/>
        <v>1.0001159722222221</v>
      </c>
      <c r="AL3060" s="98">
        <f t="shared" ca="1" si="439"/>
        <v>4.1138516209558995</v>
      </c>
      <c r="AM3060" s="106">
        <f t="shared" ca="1" si="433"/>
        <v>33618.793237055477</v>
      </c>
      <c r="AN3060" s="10">
        <f t="shared" ca="1" si="434"/>
        <v>1.05876194686787</v>
      </c>
      <c r="AO3060" s="158"/>
      <c r="AP3060" s="158"/>
      <c r="AQ3060" s="1"/>
      <c r="AR3060" s="1"/>
      <c r="AS3060" s="1"/>
      <c r="AT3060" s="1"/>
      <c r="AU3060" s="1"/>
    </row>
    <row r="3061" spans="34:47">
      <c r="AH3061" s="6">
        <f t="shared" si="435"/>
        <v>3031</v>
      </c>
      <c r="AI3061" s="7">
        <f t="shared" ca="1" si="436"/>
        <v>45701</v>
      </c>
      <c r="AJ3061" s="210">
        <f t="shared" ca="1" si="437"/>
        <v>4.1749999999999998</v>
      </c>
      <c r="AK3061" s="8">
        <f t="shared" ca="1" si="438"/>
        <v>1.0001159722222221</v>
      </c>
      <c r="AL3061" s="98">
        <f t="shared" ca="1" si="439"/>
        <v>4.113920751932465</v>
      </c>
      <c r="AM3061" s="106">
        <f t="shared" ca="1" si="433"/>
        <v>33621.563475011186</v>
      </c>
      <c r="AN3061" s="10">
        <f t="shared" ca="1" si="434"/>
        <v>1.058819299531244</v>
      </c>
      <c r="AO3061" s="158"/>
      <c r="AP3061" s="158"/>
      <c r="AQ3061" s="1"/>
      <c r="AR3061" s="1"/>
      <c r="AS3061" s="1"/>
      <c r="AT3061" s="1"/>
      <c r="AU3061" s="1"/>
    </row>
    <row r="3062" spans="34:47">
      <c r="AH3062" s="6">
        <f t="shared" si="435"/>
        <v>3032</v>
      </c>
      <c r="AI3062" s="7">
        <f t="shared" ca="1" si="436"/>
        <v>45702</v>
      </c>
      <c r="AJ3062" s="210">
        <f t="shared" ca="1" si="437"/>
        <v>4.1749999999999998</v>
      </c>
      <c r="AK3062" s="8">
        <f t="shared" ca="1" si="438"/>
        <v>1.0001159722222221</v>
      </c>
      <c r="AL3062" s="98">
        <f t="shared" ca="1" si="439"/>
        <v>4.1139898373539818</v>
      </c>
      <c r="AM3062" s="106">
        <f t="shared" ca="1" si="433"/>
        <v>33624.333941238569</v>
      </c>
      <c r="AN3062" s="10">
        <f t="shared" ca="1" si="434"/>
        <v>1.058876614395543</v>
      </c>
      <c r="AO3062" s="158"/>
      <c r="AP3062" s="158"/>
      <c r="AQ3062" s="1"/>
      <c r="AR3062" s="1"/>
      <c r="AS3062" s="1"/>
      <c r="AT3062" s="1"/>
      <c r="AU3062" s="1"/>
    </row>
    <row r="3063" spans="34:47">
      <c r="AH3063" s="6">
        <f t="shared" si="435"/>
        <v>3033</v>
      </c>
      <c r="AI3063" s="7">
        <f t="shared" ca="1" si="436"/>
        <v>45703</v>
      </c>
      <c r="AJ3063" s="210">
        <f t="shared" ca="1" si="437"/>
        <v>4.1749999999999998</v>
      </c>
      <c r="AK3063" s="8">
        <f t="shared" ca="1" si="438"/>
        <v>1.0001159722222221</v>
      </c>
      <c r="AL3063" s="98">
        <f t="shared" ca="1" si="439"/>
        <v>4.1140588772654585</v>
      </c>
      <c r="AM3063" s="106">
        <f t="shared" ca="1" si="433"/>
        <v>33627.104635756441</v>
      </c>
      <c r="AN3063" s="10">
        <f t="shared" ca="1" si="434"/>
        <v>1.0589338914981594</v>
      </c>
      <c r="AO3063" s="158"/>
      <c r="AP3063" s="158"/>
      <c r="AQ3063" s="1"/>
      <c r="AR3063" s="1"/>
      <c r="AS3063" s="1"/>
      <c r="AT3063" s="1"/>
      <c r="AU3063" s="1"/>
    </row>
    <row r="3064" spans="34:47">
      <c r="AH3064" s="6">
        <f t="shared" si="435"/>
        <v>3034</v>
      </c>
      <c r="AI3064" s="7">
        <f t="shared" ca="1" si="436"/>
        <v>45704</v>
      </c>
      <c r="AJ3064" s="210">
        <f t="shared" ca="1" si="437"/>
        <v>4.1749999999999998</v>
      </c>
      <c r="AK3064" s="8">
        <f t="shared" ca="1" si="438"/>
        <v>1.0001159722222221</v>
      </c>
      <c r="AL3064" s="98">
        <f t="shared" ca="1" si="439"/>
        <v>4.114127871711859</v>
      </c>
      <c r="AM3064" s="106">
        <f t="shared" ca="1" si="433"/>
        <v>33629.875558583612</v>
      </c>
      <c r="AN3064" s="10">
        <f t="shared" ca="1" si="434"/>
        <v>1.0589911308763744</v>
      </c>
      <c r="AO3064" s="158"/>
      <c r="AP3064" s="158"/>
      <c r="AQ3064" s="1"/>
      <c r="AR3064" s="1"/>
      <c r="AS3064" s="1"/>
      <c r="AT3064" s="1"/>
      <c r="AU3064" s="1"/>
    </row>
    <row r="3065" spans="34:47">
      <c r="AH3065" s="6">
        <f t="shared" si="435"/>
        <v>3035</v>
      </c>
      <c r="AI3065" s="7">
        <f t="shared" ca="1" si="436"/>
        <v>45705</v>
      </c>
      <c r="AJ3065" s="210">
        <f t="shared" ca="1" si="437"/>
        <v>4.1749999999999998</v>
      </c>
      <c r="AK3065" s="8">
        <f t="shared" ca="1" si="438"/>
        <v>1.0001159722222221</v>
      </c>
      <c r="AL3065" s="98">
        <f t="shared" ca="1" si="439"/>
        <v>4.1141968207380808</v>
      </c>
      <c r="AM3065" s="106">
        <f t="shared" ca="1" si="433"/>
        <v>33632.646709738896</v>
      </c>
      <c r="AN3065" s="10">
        <f t="shared" ca="1" si="434"/>
        <v>1.0590483325674693</v>
      </c>
      <c r="AO3065" s="158"/>
      <c r="AP3065" s="158"/>
      <c r="AQ3065" s="1"/>
      <c r="AR3065" s="1"/>
      <c r="AS3065" s="1"/>
      <c r="AT3065" s="1"/>
      <c r="AU3065" s="1"/>
    </row>
    <row r="3066" spans="34:47">
      <c r="AH3066" s="6">
        <f t="shared" si="435"/>
        <v>3036</v>
      </c>
      <c r="AI3066" s="7">
        <f t="shared" ca="1" si="436"/>
        <v>45706</v>
      </c>
      <c r="AJ3066" s="210">
        <f t="shared" ca="1" si="437"/>
        <v>4.1749999999999998</v>
      </c>
      <c r="AK3066" s="8">
        <f t="shared" ca="1" si="438"/>
        <v>1.0001159722222221</v>
      </c>
      <c r="AL3066" s="98">
        <f t="shared" ca="1" si="439"/>
        <v>4.1142657243889547</v>
      </c>
      <c r="AM3066" s="106">
        <f t="shared" ca="1" si="433"/>
        <v>33635.418089241095</v>
      </c>
      <c r="AN3066" s="10">
        <f t="shared" ca="1" si="434"/>
        <v>1.0591054966086366</v>
      </c>
      <c r="AO3066" s="158"/>
      <c r="AP3066" s="158"/>
      <c r="AQ3066" s="1"/>
      <c r="AR3066" s="1"/>
      <c r="AS3066" s="1"/>
      <c r="AT3066" s="1"/>
      <c r="AU3066" s="1"/>
    </row>
    <row r="3067" spans="34:47">
      <c r="AH3067" s="6">
        <f t="shared" si="435"/>
        <v>3037</v>
      </c>
      <c r="AI3067" s="7">
        <f t="shared" ca="1" si="436"/>
        <v>45707</v>
      </c>
      <c r="AJ3067" s="210">
        <f t="shared" ca="1" si="437"/>
        <v>4.1749999999999998</v>
      </c>
      <c r="AK3067" s="8">
        <f t="shared" ca="1" si="438"/>
        <v>1.0001159722222221</v>
      </c>
      <c r="AL3067" s="98">
        <f t="shared" ca="1" si="439"/>
        <v>4.1143345827092448</v>
      </c>
      <c r="AM3067" s="106">
        <f t="shared" ca="1" si="433"/>
        <v>33638.189697109046</v>
      </c>
      <c r="AN3067" s="10">
        <f t="shared" ca="1" si="434"/>
        <v>1.0591626230370244</v>
      </c>
      <c r="AO3067" s="158"/>
      <c r="AP3067" s="158"/>
      <c r="AQ3067" s="1"/>
      <c r="AR3067" s="1"/>
      <c r="AS3067" s="1"/>
      <c r="AT3067" s="1"/>
      <c r="AU3067" s="1"/>
    </row>
    <row r="3068" spans="34:47">
      <c r="AH3068" s="6">
        <f t="shared" si="435"/>
        <v>3038</v>
      </c>
      <c r="AI3068" s="7">
        <f t="shared" ca="1" si="436"/>
        <v>45708</v>
      </c>
      <c r="AJ3068" s="210">
        <f t="shared" ca="1" si="437"/>
        <v>4.1749999999999998</v>
      </c>
      <c r="AK3068" s="8">
        <f t="shared" ca="1" si="438"/>
        <v>1.0001159722222221</v>
      </c>
      <c r="AL3068" s="98">
        <f t="shared" ca="1" si="439"/>
        <v>4.114403395743671</v>
      </c>
      <c r="AM3068" s="106">
        <f t="shared" ca="1" si="433"/>
        <v>33640.961533361558</v>
      </c>
      <c r="AN3068" s="10">
        <f t="shared" ca="1" si="434"/>
        <v>1.0592197118897362</v>
      </c>
      <c r="AO3068" s="158"/>
      <c r="AP3068" s="158"/>
      <c r="AQ3068" s="1"/>
      <c r="AR3068" s="1"/>
      <c r="AS3068" s="1"/>
      <c r="AT3068" s="1"/>
      <c r="AU3068" s="1"/>
    </row>
    <row r="3069" spans="34:47">
      <c r="AH3069" s="6">
        <f t="shared" si="435"/>
        <v>3039</v>
      </c>
      <c r="AI3069" s="7">
        <f t="shared" ca="1" si="436"/>
        <v>45709</v>
      </c>
      <c r="AJ3069" s="210">
        <f t="shared" ca="1" si="437"/>
        <v>4.1749999999999998</v>
      </c>
      <c r="AK3069" s="8">
        <f t="shared" ca="1" si="438"/>
        <v>1.0001159722222221</v>
      </c>
      <c r="AL3069" s="98">
        <f t="shared" ca="1" si="439"/>
        <v>4.1144721635369086</v>
      </c>
      <c r="AM3069" s="106">
        <f t="shared" ca="1" si="433"/>
        <v>33643.733598017454</v>
      </c>
      <c r="AN3069" s="10">
        <f t="shared" ca="1" si="434"/>
        <v>1.0592767632038536</v>
      </c>
      <c r="AO3069" s="158"/>
      <c r="AP3069" s="158"/>
      <c r="AQ3069" s="1"/>
      <c r="AR3069" s="1"/>
      <c r="AS3069" s="1"/>
      <c r="AT3069" s="1"/>
      <c r="AU3069" s="1"/>
    </row>
    <row r="3070" spans="34:47">
      <c r="AH3070" s="6">
        <f t="shared" si="435"/>
        <v>3040</v>
      </c>
      <c r="AI3070" s="7">
        <f t="shared" ca="1" si="436"/>
        <v>45710</v>
      </c>
      <c r="AJ3070" s="210">
        <f t="shared" ca="1" si="437"/>
        <v>4.1749999999999998</v>
      </c>
      <c r="AK3070" s="8">
        <f t="shared" ca="1" si="438"/>
        <v>1.0001159722222221</v>
      </c>
      <c r="AL3070" s="98">
        <f t="shared" ca="1" si="439"/>
        <v>4.1145408861335664</v>
      </c>
      <c r="AM3070" s="106">
        <f t="shared" ca="1" si="433"/>
        <v>33646.505891095541</v>
      </c>
      <c r="AN3070" s="10">
        <f t="shared" ca="1" si="434"/>
        <v>1.0593337770164135</v>
      </c>
      <c r="AO3070" s="158"/>
      <c r="AP3070" s="158"/>
      <c r="AQ3070" s="1"/>
      <c r="AR3070" s="1"/>
      <c r="AS3070" s="1"/>
      <c r="AT3070" s="1"/>
      <c r="AU3070" s="1"/>
    </row>
    <row r="3071" spans="34:47">
      <c r="AH3071" s="6">
        <f t="shared" si="435"/>
        <v>3041</v>
      </c>
      <c r="AI3071" s="7">
        <f t="shared" ca="1" si="436"/>
        <v>45711</v>
      </c>
      <c r="AJ3071" s="210">
        <f t="shared" ca="1" si="437"/>
        <v>4.1749999999999998</v>
      </c>
      <c r="AK3071" s="8">
        <f t="shared" ca="1" si="438"/>
        <v>1.0001159722222221</v>
      </c>
      <c r="AL3071" s="98">
        <f t="shared" ca="1" si="439"/>
        <v>4.1146095635781643</v>
      </c>
      <c r="AM3071" s="106">
        <f t="shared" ca="1" si="433"/>
        <v>33649.278412614658</v>
      </c>
      <c r="AN3071" s="10">
        <f t="shared" ca="1" si="434"/>
        <v>1.0593907533643421</v>
      </c>
      <c r="AO3071" s="158"/>
      <c r="AP3071" s="158"/>
      <c r="AQ3071" s="1"/>
      <c r="AR3071" s="1"/>
      <c r="AS3071" s="1"/>
      <c r="AT3071" s="1"/>
      <c r="AU3071" s="1"/>
    </row>
    <row r="3072" spans="34:47">
      <c r="AH3072" s="6">
        <f t="shared" si="435"/>
        <v>3042</v>
      </c>
      <c r="AI3072" s="7">
        <f t="shared" ca="1" si="436"/>
        <v>45712</v>
      </c>
      <c r="AJ3072" s="210">
        <f t="shared" ca="1" si="437"/>
        <v>4.1749999999999998</v>
      </c>
      <c r="AK3072" s="8">
        <f t="shared" ca="1" si="438"/>
        <v>1.0001159722222221</v>
      </c>
      <c r="AL3072" s="98">
        <f t="shared" ca="1" si="439"/>
        <v>4.1146781959152001</v>
      </c>
      <c r="AM3072" s="106">
        <f t="shared" ca="1" si="433"/>
        <v>33652.05116259362</v>
      </c>
      <c r="AN3072" s="10">
        <f t="shared" ca="1" si="434"/>
        <v>1.0594476922845653</v>
      </c>
      <c r="AO3072" s="158"/>
      <c r="AP3072" s="158"/>
      <c r="AQ3072" s="1"/>
      <c r="AR3072" s="1"/>
      <c r="AS3072" s="1"/>
      <c r="AT3072" s="1"/>
      <c r="AU3072" s="1"/>
    </row>
    <row r="3073" spans="34:47">
      <c r="AH3073" s="6">
        <f t="shared" si="435"/>
        <v>3043</v>
      </c>
      <c r="AI3073" s="7">
        <f t="shared" ca="1" si="436"/>
        <v>45713</v>
      </c>
      <c r="AJ3073" s="210">
        <f t="shared" ca="1" si="437"/>
        <v>4.1749999999999998</v>
      </c>
      <c r="AK3073" s="8">
        <f t="shared" ca="1" si="438"/>
        <v>1.0001159722222221</v>
      </c>
      <c r="AL3073" s="98">
        <f t="shared" ca="1" si="439"/>
        <v>4.1147467831890827</v>
      </c>
      <c r="AM3073" s="106">
        <f t="shared" ca="1" si="433"/>
        <v>33654.824141051256</v>
      </c>
      <c r="AN3073" s="10">
        <f t="shared" ca="1" si="434"/>
        <v>1.0595045938139425</v>
      </c>
      <c r="AO3073" s="158"/>
      <c r="AP3073" s="158"/>
      <c r="AQ3073" s="1"/>
      <c r="AR3073" s="1"/>
      <c r="AS3073" s="1"/>
      <c r="AT3073" s="1"/>
      <c r="AU3073" s="1"/>
    </row>
    <row r="3074" spans="34:47">
      <c r="AH3074" s="6">
        <f t="shared" si="435"/>
        <v>3044</v>
      </c>
      <c r="AI3074" s="7">
        <f t="shared" ca="1" si="436"/>
        <v>45714</v>
      </c>
      <c r="AJ3074" s="210">
        <f t="shared" ca="1" si="437"/>
        <v>4.1749999999999998</v>
      </c>
      <c r="AK3074" s="8">
        <f t="shared" ca="1" si="438"/>
        <v>1.0001159722222221</v>
      </c>
      <c r="AL3074" s="98">
        <f t="shared" ca="1" si="439"/>
        <v>4.1148153254441988</v>
      </c>
      <c r="AM3074" s="106">
        <f t="shared" ca="1" si="433"/>
        <v>33657.597348006384</v>
      </c>
      <c r="AN3074" s="10">
        <f t="shared" ca="1" si="434"/>
        <v>1.0595614579893109</v>
      </c>
      <c r="AO3074" s="158"/>
      <c r="AP3074" s="158"/>
      <c r="AQ3074" s="1"/>
      <c r="AR3074" s="1"/>
      <c r="AS3074" s="1"/>
      <c r="AT3074" s="1"/>
      <c r="AU3074" s="1"/>
    </row>
    <row r="3075" spans="34:47">
      <c r="AH3075" s="6">
        <f t="shared" si="435"/>
        <v>3045</v>
      </c>
      <c r="AI3075" s="7">
        <f t="shared" ca="1" si="436"/>
        <v>45715</v>
      </c>
      <c r="AJ3075" s="210">
        <f t="shared" ca="1" si="437"/>
        <v>4.1749999999999998</v>
      </c>
      <c r="AK3075" s="8">
        <f t="shared" ca="1" si="438"/>
        <v>1.0001159722222221</v>
      </c>
      <c r="AL3075" s="98">
        <f t="shared" ca="1" si="439"/>
        <v>4.1148838227248463</v>
      </c>
      <c r="AM3075" s="106">
        <f t="shared" ca="1" si="433"/>
        <v>33660.37078347784</v>
      </c>
      <c r="AN3075" s="10">
        <f t="shared" ca="1" si="434"/>
        <v>1.0596182848474189</v>
      </c>
      <c r="AO3075" s="158"/>
      <c r="AP3075" s="158"/>
      <c r="AQ3075" s="1"/>
      <c r="AR3075" s="1"/>
      <c r="AS3075" s="1"/>
      <c r="AT3075" s="1"/>
      <c r="AU3075" s="1"/>
    </row>
    <row r="3076" spans="34:47">
      <c r="AH3076" s="6">
        <f t="shared" si="435"/>
        <v>3046</v>
      </c>
      <c r="AI3076" s="7">
        <f t="shared" ca="1" si="436"/>
        <v>45716</v>
      </c>
      <c r="AJ3076" s="210">
        <f t="shared" ca="1" si="437"/>
        <v>4.1749999999999998</v>
      </c>
      <c r="AK3076" s="8">
        <f t="shared" ca="1" si="438"/>
        <v>1.0001159722222221</v>
      </c>
      <c r="AL3076" s="98">
        <f t="shared" ca="1" si="439"/>
        <v>4.1149522750752787</v>
      </c>
      <c r="AM3076" s="106">
        <f t="shared" ca="1" si="433"/>
        <v>33663.144447484468</v>
      </c>
      <c r="AN3076" s="10">
        <f t="shared" ca="1" si="434"/>
        <v>1.059675074425015</v>
      </c>
      <c r="AO3076" s="158"/>
      <c r="AP3076" s="158"/>
      <c r="AQ3076" s="1"/>
      <c r="AR3076" s="1"/>
      <c r="AS3076" s="1"/>
      <c r="AT3076" s="1"/>
      <c r="AU3076" s="1"/>
    </row>
    <row r="3077" spans="34:47">
      <c r="AH3077" s="6">
        <f t="shared" si="435"/>
        <v>3047</v>
      </c>
      <c r="AI3077" s="7">
        <f t="shared" ca="1" si="436"/>
        <v>45717</v>
      </c>
      <c r="AJ3077" s="210">
        <f t="shared" ca="1" si="437"/>
        <v>4.1749999999999998</v>
      </c>
      <c r="AK3077" s="8">
        <f t="shared" ca="1" si="438"/>
        <v>1.0001159722222221</v>
      </c>
      <c r="AL3077" s="98">
        <f t="shared" ca="1" si="439"/>
        <v>4.1150206825397051</v>
      </c>
      <c r="AM3077" s="106">
        <f t="shared" ca="1" si="433"/>
        <v>33665.918340045071</v>
      </c>
      <c r="AN3077" s="10">
        <f t="shared" ca="1" si="434"/>
        <v>1.0597318267587585</v>
      </c>
      <c r="AO3077" s="158"/>
      <c r="AP3077" s="158"/>
      <c r="AQ3077" s="1"/>
      <c r="AR3077" s="1"/>
      <c r="AS3077" s="1"/>
      <c r="AT3077" s="1"/>
      <c r="AU3077" s="1"/>
    </row>
    <row r="3078" spans="34:47">
      <c r="AH3078" s="6">
        <f t="shared" si="435"/>
        <v>3048</v>
      </c>
      <c r="AI3078" s="7">
        <f t="shared" ca="1" si="436"/>
        <v>45718</v>
      </c>
      <c r="AJ3078" s="210">
        <f t="shared" ca="1" si="437"/>
        <v>4.1749999999999998</v>
      </c>
      <c r="AK3078" s="8">
        <f t="shared" ca="1" si="438"/>
        <v>1.0001159722222221</v>
      </c>
      <c r="AL3078" s="98">
        <f t="shared" ca="1" si="439"/>
        <v>4.1150890451622457</v>
      </c>
      <c r="AM3078" s="106">
        <f t="shared" ca="1" si="433"/>
        <v>33668.6924611785</v>
      </c>
      <c r="AN3078" s="10">
        <f t="shared" ca="1" si="434"/>
        <v>1.059788541885287</v>
      </c>
      <c r="AO3078" s="158"/>
      <c r="AP3078" s="158"/>
      <c r="AQ3078" s="1"/>
      <c r="AR3078" s="1"/>
      <c r="AS3078" s="1"/>
      <c r="AT3078" s="1"/>
      <c r="AU3078" s="1"/>
    </row>
    <row r="3079" spans="34:47">
      <c r="AH3079" s="6">
        <f t="shared" si="435"/>
        <v>3049</v>
      </c>
      <c r="AI3079" s="7">
        <f t="shared" ca="1" si="436"/>
        <v>45719</v>
      </c>
      <c r="AJ3079" s="210">
        <f t="shared" ca="1" si="437"/>
        <v>4.1749999999999998</v>
      </c>
      <c r="AK3079" s="8">
        <f t="shared" ca="1" si="438"/>
        <v>1.0001159722222221</v>
      </c>
      <c r="AL3079" s="98">
        <f t="shared" ca="1" si="439"/>
        <v>4.1151573629869764</v>
      </c>
      <c r="AM3079" s="106">
        <f t="shared" ca="1" si="433"/>
        <v>33671.466810903585</v>
      </c>
      <c r="AN3079" s="10">
        <f t="shared" ca="1" si="434"/>
        <v>1.0598452198411712</v>
      </c>
      <c r="AO3079" s="158"/>
      <c r="AP3079" s="158"/>
      <c r="AQ3079" s="1"/>
      <c r="AR3079" s="1"/>
      <c r="AS3079" s="1"/>
      <c r="AT3079" s="1"/>
      <c r="AU3079" s="1"/>
    </row>
    <row r="3080" spans="34:47">
      <c r="AH3080" s="6">
        <f t="shared" si="435"/>
        <v>3050</v>
      </c>
      <c r="AI3080" s="7">
        <f t="shared" ca="1" si="436"/>
        <v>45720</v>
      </c>
      <c r="AJ3080" s="210">
        <f t="shared" ca="1" si="437"/>
        <v>4.1749999999999998</v>
      </c>
      <c r="AK3080" s="8">
        <f t="shared" ca="1" si="438"/>
        <v>1.0001159722222221</v>
      </c>
      <c r="AL3080" s="98">
        <f t="shared" ca="1" si="439"/>
        <v>4.1152256360579065</v>
      </c>
      <c r="AM3080" s="106">
        <f t="shared" ca="1" si="433"/>
        <v>33674.241389239163</v>
      </c>
      <c r="AN3080" s="10">
        <f t="shared" ca="1" si="434"/>
        <v>1.0599018606629151</v>
      </c>
      <c r="AO3080" s="158"/>
      <c r="AP3080" s="158"/>
      <c r="AQ3080" s="1"/>
      <c r="AR3080" s="1"/>
      <c r="AS3080" s="1"/>
      <c r="AT3080" s="1"/>
      <c r="AU3080" s="1"/>
    </row>
    <row r="3081" spans="34:47">
      <c r="AH3081" s="6">
        <f t="shared" si="435"/>
        <v>3051</v>
      </c>
      <c r="AI3081" s="7">
        <f t="shared" ca="1" si="436"/>
        <v>45721</v>
      </c>
      <c r="AJ3081" s="210">
        <f t="shared" ca="1" si="437"/>
        <v>4.1749999999999998</v>
      </c>
      <c r="AK3081" s="8">
        <f t="shared" ca="1" si="438"/>
        <v>1.0001159722222221</v>
      </c>
      <c r="AL3081" s="98">
        <f t="shared" ca="1" si="439"/>
        <v>4.1152938644190229</v>
      </c>
      <c r="AM3081" s="106">
        <f t="shared" ca="1" si="433"/>
        <v>33677.016196204073</v>
      </c>
      <c r="AN3081" s="10">
        <f t="shared" ca="1" si="434"/>
        <v>1.0599584643870452</v>
      </c>
      <c r="AO3081" s="158"/>
      <c r="AP3081" s="158"/>
      <c r="AQ3081" s="1"/>
      <c r="AR3081" s="1"/>
      <c r="AS3081" s="1"/>
      <c r="AT3081" s="1"/>
      <c r="AU3081" s="1"/>
    </row>
    <row r="3082" spans="34:47">
      <c r="AH3082" s="6">
        <f t="shared" si="435"/>
        <v>3052</v>
      </c>
      <c r="AI3082" s="7">
        <f t="shared" ca="1" si="436"/>
        <v>45722</v>
      </c>
      <c r="AJ3082" s="210">
        <f t="shared" ca="1" si="437"/>
        <v>4.1749999999999998</v>
      </c>
      <c r="AK3082" s="8">
        <f t="shared" ca="1" si="438"/>
        <v>1.0001159722222221</v>
      </c>
      <c r="AL3082" s="98">
        <f t="shared" ca="1" si="439"/>
        <v>4.1153620481142017</v>
      </c>
      <c r="AM3082" s="106">
        <f t="shared" ca="1" si="433"/>
        <v>33679.791231817151</v>
      </c>
      <c r="AN3082" s="10">
        <f t="shared" ca="1" si="434"/>
        <v>1.0600150310499545</v>
      </c>
      <c r="AO3082" s="158"/>
      <c r="AP3082" s="158"/>
      <c r="AQ3082" s="1"/>
      <c r="AR3082" s="1"/>
      <c r="AS3082" s="1"/>
      <c r="AT3082" s="1"/>
      <c r="AU3082" s="1"/>
    </row>
    <row r="3083" spans="34:47">
      <c r="AH3083" s="6">
        <f t="shared" si="435"/>
        <v>3053</v>
      </c>
      <c r="AI3083" s="7">
        <f t="shared" ca="1" si="436"/>
        <v>45723</v>
      </c>
      <c r="AJ3083" s="210">
        <f t="shared" ca="1" si="437"/>
        <v>4.1749999999999998</v>
      </c>
      <c r="AK3083" s="8">
        <f t="shared" ca="1" si="438"/>
        <v>1.0001159722222221</v>
      </c>
      <c r="AL3083" s="98">
        <f t="shared" ca="1" si="439"/>
        <v>4.1154301871873189</v>
      </c>
      <c r="AM3083" s="106">
        <f t="shared" ca="1" si="433"/>
        <v>33682.56649609725</v>
      </c>
      <c r="AN3083" s="10">
        <f t="shared" ca="1" si="434"/>
        <v>1.0600715606880806</v>
      </c>
      <c r="AO3083" s="158"/>
      <c r="AP3083" s="158"/>
      <c r="AQ3083" s="1"/>
      <c r="AR3083" s="1"/>
      <c r="AS3083" s="1"/>
      <c r="AT3083" s="1"/>
      <c r="AU3083" s="1"/>
    </row>
    <row r="3084" spans="34:47">
      <c r="AH3084" s="6">
        <f t="shared" si="435"/>
        <v>3054</v>
      </c>
      <c r="AI3084" s="7">
        <f t="shared" ca="1" si="436"/>
        <v>45724</v>
      </c>
      <c r="AJ3084" s="210">
        <f t="shared" ca="1" si="437"/>
        <v>4.1749999999999998</v>
      </c>
      <c r="AK3084" s="8">
        <f t="shared" ca="1" si="438"/>
        <v>1.0001159722222221</v>
      </c>
      <c r="AL3084" s="98">
        <f t="shared" ca="1" si="439"/>
        <v>4.1154982816821395</v>
      </c>
      <c r="AM3084" s="106">
        <f t="shared" ca="1" si="433"/>
        <v>33685.341989063199</v>
      </c>
      <c r="AN3084" s="10">
        <f t="shared" ca="1" si="434"/>
        <v>1.0601280533377055</v>
      </c>
      <c r="AO3084" s="158"/>
      <c r="AP3084" s="158"/>
      <c r="AQ3084" s="1"/>
      <c r="AR3084" s="1"/>
      <c r="AS3084" s="1"/>
      <c r="AT3084" s="1"/>
      <c r="AU3084" s="1"/>
    </row>
    <row r="3085" spans="34:47">
      <c r="AH3085" s="6">
        <f t="shared" si="435"/>
        <v>3055</v>
      </c>
      <c r="AI3085" s="7">
        <f t="shared" ca="1" si="436"/>
        <v>45725</v>
      </c>
      <c r="AJ3085" s="210">
        <f t="shared" ca="1" si="437"/>
        <v>4.1749999999999998</v>
      </c>
      <c r="AK3085" s="8">
        <f t="shared" ca="1" si="438"/>
        <v>1.0001159722222221</v>
      </c>
      <c r="AL3085" s="98">
        <f t="shared" ca="1" si="439"/>
        <v>4.1155663316424063</v>
      </c>
      <c r="AM3085" s="106">
        <f t="shared" ca="1" si="433"/>
        <v>33688.117710733844</v>
      </c>
      <c r="AN3085" s="10">
        <f t="shared" ca="1" si="434"/>
        <v>1.0601845090351558</v>
      </c>
      <c r="AO3085" s="158"/>
      <c r="AP3085" s="158"/>
      <c r="AQ3085" s="1"/>
      <c r="AR3085" s="1"/>
      <c r="AS3085" s="1"/>
      <c r="AT3085" s="1"/>
      <c r="AU3085" s="1"/>
    </row>
    <row r="3086" spans="34:47">
      <c r="AH3086" s="6">
        <f t="shared" si="435"/>
        <v>3056</v>
      </c>
      <c r="AI3086" s="7">
        <f t="shared" ca="1" si="436"/>
        <v>45726</v>
      </c>
      <c r="AJ3086" s="210">
        <f t="shared" ca="1" si="437"/>
        <v>4.1749999999999998</v>
      </c>
      <c r="AK3086" s="8">
        <f t="shared" ca="1" si="438"/>
        <v>1.0001159722222221</v>
      </c>
      <c r="AL3086" s="98">
        <f t="shared" ca="1" si="439"/>
        <v>4.1156343371117954</v>
      </c>
      <c r="AM3086" s="106">
        <f t="shared" ca="1" si="433"/>
        <v>33690.89366112803</v>
      </c>
      <c r="AN3086" s="10">
        <f t="shared" ca="1" si="434"/>
        <v>1.0602409278166691</v>
      </c>
      <c r="AO3086" s="158"/>
      <c r="AP3086" s="158"/>
      <c r="AQ3086" s="1"/>
      <c r="AR3086" s="1"/>
      <c r="AS3086" s="1"/>
      <c r="AT3086" s="1"/>
      <c r="AU3086" s="1"/>
    </row>
    <row r="3087" spans="34:47">
      <c r="AH3087" s="6">
        <f t="shared" si="435"/>
        <v>3057</v>
      </c>
      <c r="AI3087" s="7">
        <f t="shared" ca="1" si="436"/>
        <v>45727</v>
      </c>
      <c r="AJ3087" s="210">
        <f t="shared" ca="1" si="437"/>
        <v>4.1749999999999998</v>
      </c>
      <c r="AK3087" s="8">
        <f t="shared" ca="1" si="438"/>
        <v>1.0001159722222221</v>
      </c>
      <c r="AL3087" s="98">
        <f t="shared" ca="1" si="439"/>
        <v>4.1157022981339164</v>
      </c>
      <c r="AM3087" s="106">
        <f t="shared" ca="1" si="433"/>
        <v>33693.669840264607</v>
      </c>
      <c r="AN3087" s="10">
        <f t="shared" ca="1" si="434"/>
        <v>1.0602973097184387</v>
      </c>
      <c r="AO3087" s="158"/>
      <c r="AP3087" s="158"/>
      <c r="AQ3087" s="1"/>
      <c r="AR3087" s="1"/>
      <c r="AS3087" s="1"/>
      <c r="AT3087" s="1"/>
      <c r="AU3087" s="1"/>
    </row>
    <row r="3088" spans="34:47">
      <c r="AH3088" s="6">
        <f t="shared" si="435"/>
        <v>3058</v>
      </c>
      <c r="AI3088" s="7">
        <f t="shared" ca="1" si="436"/>
        <v>45728</v>
      </c>
      <c r="AJ3088" s="210">
        <f t="shared" ca="1" si="437"/>
        <v>4.1749999999999998</v>
      </c>
      <c r="AK3088" s="8">
        <f t="shared" ca="1" si="438"/>
        <v>1.0001159722222221</v>
      </c>
      <c r="AL3088" s="98">
        <f t="shared" ca="1" si="439"/>
        <v>4.1157702147523345</v>
      </c>
      <c r="AM3088" s="106">
        <f t="shared" ca="1" si="433"/>
        <v>33696.446248162429</v>
      </c>
      <c r="AN3088" s="10">
        <f t="shared" ca="1" si="434"/>
        <v>1.0603536547766135</v>
      </c>
      <c r="AO3088" s="158"/>
      <c r="AP3088" s="158"/>
      <c r="AQ3088" s="1"/>
      <c r="AR3088" s="1"/>
      <c r="AS3088" s="1"/>
      <c r="AT3088" s="1"/>
      <c r="AU3088" s="1"/>
    </row>
    <row r="3089" spans="34:47">
      <c r="AH3089" s="6">
        <f t="shared" si="435"/>
        <v>3059</v>
      </c>
      <c r="AI3089" s="7">
        <f t="shared" ca="1" si="436"/>
        <v>45729</v>
      </c>
      <c r="AJ3089" s="210">
        <f t="shared" ca="1" si="437"/>
        <v>4.1749999999999998</v>
      </c>
      <c r="AK3089" s="8">
        <f t="shared" ca="1" si="438"/>
        <v>1.0001159722222221</v>
      </c>
      <c r="AL3089" s="98">
        <f t="shared" ca="1" si="439"/>
        <v>4.1158380870105482</v>
      </c>
      <c r="AM3089" s="106">
        <f t="shared" ca="1" si="433"/>
        <v>33699.222884840339</v>
      </c>
      <c r="AN3089" s="10">
        <f t="shared" ca="1" si="434"/>
        <v>1.0604099630272756</v>
      </c>
      <c r="AO3089" s="158"/>
      <c r="AP3089" s="158"/>
      <c r="AQ3089" s="1"/>
      <c r="AR3089" s="1"/>
      <c r="AS3089" s="1"/>
      <c r="AT3089" s="1"/>
      <c r="AU3089" s="1"/>
    </row>
    <row r="3090" spans="34:47">
      <c r="AH3090" s="6">
        <f t="shared" si="435"/>
        <v>3060</v>
      </c>
      <c r="AI3090" s="7">
        <f t="shared" ca="1" si="436"/>
        <v>45730</v>
      </c>
      <c r="AJ3090" s="210">
        <f t="shared" ca="1" si="437"/>
        <v>4.1749999999999998</v>
      </c>
      <c r="AK3090" s="8">
        <f t="shared" ca="1" si="438"/>
        <v>1.0001159722222221</v>
      </c>
      <c r="AL3090" s="98">
        <f t="shared" ca="1" si="439"/>
        <v>4.1159059149520116</v>
      </c>
      <c r="AM3090" s="106">
        <f t="shared" ca="1" si="433"/>
        <v>33701.999750317191</v>
      </c>
      <c r="AN3090" s="10">
        <f t="shared" ca="1" si="434"/>
        <v>1.0604662345065297</v>
      </c>
      <c r="AO3090" s="158"/>
      <c r="AP3090" s="158"/>
      <c r="AQ3090" s="1"/>
      <c r="AR3090" s="1"/>
      <c r="AS3090" s="1"/>
      <c r="AT3090" s="1"/>
      <c r="AU3090" s="1"/>
    </row>
    <row r="3091" spans="34:47">
      <c r="AH3091" s="6">
        <f t="shared" si="435"/>
        <v>3061</v>
      </c>
      <c r="AI3091" s="7">
        <f t="shared" ca="1" si="436"/>
        <v>45731</v>
      </c>
      <c r="AJ3091" s="210">
        <f t="shared" ca="1" si="437"/>
        <v>4.1749999999999998</v>
      </c>
      <c r="AK3091" s="8">
        <f t="shared" ca="1" si="438"/>
        <v>1.0001159722222221</v>
      </c>
      <c r="AL3091" s="98">
        <f t="shared" ca="1" si="439"/>
        <v>4.1159736986201123</v>
      </c>
      <c r="AM3091" s="106">
        <f t="shared" ca="1" si="433"/>
        <v>33704.776844611843</v>
      </c>
      <c r="AN3091" s="10">
        <f t="shared" ca="1" si="434"/>
        <v>1.0605224692503468</v>
      </c>
      <c r="AO3091" s="158"/>
      <c r="AP3091" s="158"/>
      <c r="AQ3091" s="1"/>
      <c r="AR3091" s="1"/>
      <c r="AS3091" s="1"/>
      <c r="AT3091" s="1"/>
      <c r="AU3091" s="1"/>
    </row>
    <row r="3092" spans="34:47">
      <c r="AH3092" s="6">
        <f t="shared" si="435"/>
        <v>3062</v>
      </c>
      <c r="AI3092" s="7">
        <f t="shared" ca="1" si="436"/>
        <v>45732</v>
      </c>
      <c r="AJ3092" s="210">
        <f t="shared" ca="1" si="437"/>
        <v>4.1749999999999998</v>
      </c>
      <c r="AK3092" s="8">
        <f t="shared" ca="1" si="438"/>
        <v>1.0001159722222221</v>
      </c>
      <c r="AL3092" s="98">
        <f t="shared" ca="1" si="439"/>
        <v>4.1160414380581933</v>
      </c>
      <c r="AM3092" s="106">
        <f t="shared" ca="1" si="433"/>
        <v>33707.554167743132</v>
      </c>
      <c r="AN3092" s="10">
        <f t="shared" ca="1" si="434"/>
        <v>1.0605786672946982</v>
      </c>
      <c r="AO3092" s="158"/>
      <c r="AP3092" s="158"/>
      <c r="AQ3092" s="1"/>
      <c r="AR3092" s="1"/>
      <c r="AS3092" s="1"/>
      <c r="AT3092" s="1"/>
      <c r="AU3092" s="1"/>
    </row>
    <row r="3093" spans="34:47">
      <c r="AH3093" s="6">
        <f t="shared" si="435"/>
        <v>3063</v>
      </c>
      <c r="AI3093" s="7">
        <f t="shared" ca="1" si="436"/>
        <v>45733</v>
      </c>
      <c r="AJ3093" s="210">
        <f t="shared" ca="1" si="437"/>
        <v>4.1749999999999998</v>
      </c>
      <c r="AK3093" s="8">
        <f t="shared" ca="1" si="438"/>
        <v>1.0001159722222221</v>
      </c>
      <c r="AL3093" s="98">
        <f t="shared" ca="1" si="439"/>
        <v>4.1161091333095312</v>
      </c>
      <c r="AM3093" s="106">
        <f t="shared" ca="1" si="433"/>
        <v>33710.331719729933</v>
      </c>
      <c r="AN3093" s="10">
        <f t="shared" ca="1" si="434"/>
        <v>1.0606348286755107</v>
      </c>
      <c r="AO3093" s="158"/>
      <c r="AP3093" s="158"/>
      <c r="AQ3093" s="1"/>
      <c r="AR3093" s="1"/>
      <c r="AS3093" s="1"/>
      <c r="AT3093" s="1"/>
      <c r="AU3093" s="1"/>
    </row>
    <row r="3094" spans="34:47">
      <c r="AH3094" s="6">
        <f t="shared" si="435"/>
        <v>3064</v>
      </c>
      <c r="AI3094" s="7">
        <f t="shared" ca="1" si="436"/>
        <v>45734</v>
      </c>
      <c r="AJ3094" s="210">
        <f t="shared" ca="1" si="437"/>
        <v>4.1749999999999998</v>
      </c>
      <c r="AK3094" s="8">
        <f t="shared" ca="1" si="438"/>
        <v>1.0001159722222221</v>
      </c>
      <c r="AL3094" s="98">
        <f t="shared" ca="1" si="439"/>
        <v>4.1161767844173358</v>
      </c>
      <c r="AM3094" s="106">
        <f t="shared" ca="1" si="433"/>
        <v>33713.109500591105</v>
      </c>
      <c r="AN3094" s="10">
        <f t="shared" ca="1" si="434"/>
        <v>1.0606909534286224</v>
      </c>
      <c r="AO3094" s="158"/>
      <c r="AP3094" s="158"/>
      <c r="AQ3094" s="1"/>
      <c r="AR3094" s="1"/>
      <c r="AS3094" s="1"/>
      <c r="AT3094" s="1"/>
      <c r="AU3094" s="1"/>
    </row>
    <row r="3095" spans="34:47">
      <c r="AH3095" s="6">
        <f t="shared" si="435"/>
        <v>3065</v>
      </c>
      <c r="AI3095" s="7">
        <f t="shared" ca="1" si="436"/>
        <v>45735</v>
      </c>
      <c r="AJ3095" s="210">
        <f t="shared" ca="1" si="437"/>
        <v>4.1749999999999998</v>
      </c>
      <c r="AK3095" s="8">
        <f t="shared" ca="1" si="438"/>
        <v>1.0001159722222221</v>
      </c>
      <c r="AL3095" s="98">
        <f t="shared" ca="1" si="439"/>
        <v>4.1162443914247726</v>
      </c>
      <c r="AM3095" s="106">
        <f t="shared" ca="1" si="433"/>
        <v>33715.887510345499</v>
      </c>
      <c r="AN3095" s="10">
        <f t="shared" ca="1" si="434"/>
        <v>1.0607470415898712</v>
      </c>
      <c r="AO3095" s="158"/>
      <c r="AP3095" s="158"/>
      <c r="AQ3095" s="1"/>
      <c r="AR3095" s="1"/>
      <c r="AS3095" s="1"/>
      <c r="AT3095" s="1"/>
      <c r="AU3095" s="1"/>
    </row>
    <row r="3096" spans="34:47">
      <c r="AH3096" s="6">
        <f t="shared" si="435"/>
        <v>3066</v>
      </c>
      <c r="AI3096" s="7">
        <f t="shared" ca="1" si="436"/>
        <v>45736</v>
      </c>
      <c r="AJ3096" s="210">
        <f t="shared" ca="1" si="437"/>
        <v>4.1749999999999998</v>
      </c>
      <c r="AK3096" s="8">
        <f t="shared" ca="1" si="438"/>
        <v>1.0001159722222221</v>
      </c>
      <c r="AL3096" s="98">
        <f t="shared" ca="1" si="439"/>
        <v>4.1163119543749627</v>
      </c>
      <c r="AM3096" s="106">
        <f t="shared" ca="1" si="433"/>
        <v>33718.665749011969</v>
      </c>
      <c r="AN3096" s="10">
        <f t="shared" ca="1" si="434"/>
        <v>1.0608030931950285</v>
      </c>
      <c r="AO3096" s="158"/>
      <c r="AP3096" s="158"/>
      <c r="AQ3096" s="1"/>
      <c r="AR3096" s="1"/>
      <c r="AS3096" s="1"/>
      <c r="AT3096" s="1"/>
      <c r="AU3096" s="1"/>
    </row>
    <row r="3097" spans="34:47">
      <c r="AH3097" s="6">
        <f t="shared" si="435"/>
        <v>3067</v>
      </c>
      <c r="AI3097" s="7">
        <f t="shared" ca="1" si="436"/>
        <v>45737</v>
      </c>
      <c r="AJ3097" s="210">
        <f t="shared" ca="1" si="437"/>
        <v>4.1749999999999998</v>
      </c>
      <c r="AK3097" s="8">
        <f t="shared" ca="1" si="438"/>
        <v>1.0001159722222221</v>
      </c>
      <c r="AL3097" s="98">
        <f t="shared" ca="1" si="439"/>
        <v>4.1163794733109382</v>
      </c>
      <c r="AM3097" s="106">
        <f t="shared" ca="1" si="433"/>
        <v>33721.444216609394</v>
      </c>
      <c r="AN3097" s="10">
        <f t="shared" ca="1" si="434"/>
        <v>1.0608591082798435</v>
      </c>
      <c r="AO3097" s="158"/>
      <c r="AP3097" s="158"/>
      <c r="AQ3097" s="1"/>
      <c r="AR3097" s="1"/>
      <c r="AS3097" s="1"/>
      <c r="AT3097" s="1"/>
      <c r="AU3097" s="1"/>
    </row>
    <row r="3098" spans="34:47">
      <c r="AH3098" s="6">
        <f t="shared" si="435"/>
        <v>3068</v>
      </c>
      <c r="AI3098" s="7">
        <f t="shared" ca="1" si="436"/>
        <v>45738</v>
      </c>
      <c r="AJ3098" s="210">
        <f t="shared" ca="1" si="437"/>
        <v>4.1749999999999998</v>
      </c>
      <c r="AK3098" s="8">
        <f t="shared" ca="1" si="438"/>
        <v>1.0001159722222221</v>
      </c>
      <c r="AL3098" s="98">
        <f t="shared" ca="1" si="439"/>
        <v>4.1164469482757093</v>
      </c>
      <c r="AM3098" s="106">
        <f t="shared" ca="1" si="433"/>
        <v>33724.222913156635</v>
      </c>
      <c r="AN3098" s="10">
        <f t="shared" ca="1" si="434"/>
        <v>1.0609150868799544</v>
      </c>
      <c r="AO3098" s="158"/>
      <c r="AP3098" s="158"/>
      <c r="AQ3098" s="1"/>
      <c r="AR3098" s="1"/>
      <c r="AS3098" s="1"/>
      <c r="AT3098" s="1"/>
      <c r="AU3098" s="1"/>
    </row>
    <row r="3099" spans="34:47">
      <c r="AH3099" s="6">
        <f t="shared" si="435"/>
        <v>3069</v>
      </c>
      <c r="AI3099" s="7">
        <f t="shared" ca="1" si="436"/>
        <v>45739</v>
      </c>
      <c r="AJ3099" s="210">
        <f t="shared" ca="1" si="437"/>
        <v>4.1749999999999998</v>
      </c>
      <c r="AK3099" s="8">
        <f t="shared" ca="1" si="438"/>
        <v>1.0001159722222221</v>
      </c>
      <c r="AL3099" s="98">
        <f t="shared" ca="1" si="439"/>
        <v>4.1165143793122194</v>
      </c>
      <c r="AM3099" s="106">
        <f t="shared" ca="1" si="433"/>
        <v>33727.00183867255</v>
      </c>
      <c r="AN3099" s="10">
        <f t="shared" ca="1" si="434"/>
        <v>1.0609710290310215</v>
      </c>
      <c r="AO3099" s="158"/>
      <c r="AP3099" s="158"/>
      <c r="AQ3099" s="1"/>
      <c r="AR3099" s="1"/>
      <c r="AS3099" s="1"/>
      <c r="AT3099" s="1"/>
      <c r="AU3099" s="1"/>
    </row>
    <row r="3100" spans="34:47">
      <c r="AH3100" s="6">
        <f t="shared" si="435"/>
        <v>3070</v>
      </c>
      <c r="AI3100" s="7">
        <f t="shared" ca="1" si="436"/>
        <v>45740</v>
      </c>
      <c r="AJ3100" s="210">
        <f t="shared" ca="1" si="437"/>
        <v>4.1749999999999998</v>
      </c>
      <c r="AK3100" s="8">
        <f t="shared" ca="1" si="438"/>
        <v>1.0001159722222221</v>
      </c>
      <c r="AL3100" s="98">
        <f t="shared" ca="1" si="439"/>
        <v>4.1165817664633453</v>
      </c>
      <c r="AM3100" s="106">
        <f t="shared" ca="1" si="433"/>
        <v>33729.780993176013</v>
      </c>
      <c r="AN3100" s="10">
        <f t="shared" ca="1" si="434"/>
        <v>1.0610269347686385</v>
      </c>
      <c r="AO3100" s="158"/>
      <c r="AP3100" s="158"/>
      <c r="AQ3100" s="1"/>
      <c r="AR3100" s="1"/>
      <c r="AS3100" s="1"/>
      <c r="AT3100" s="1"/>
      <c r="AU3100" s="1"/>
    </row>
    <row r="3101" spans="34:47">
      <c r="AH3101" s="6">
        <f t="shared" si="435"/>
        <v>3071</v>
      </c>
      <c r="AI3101" s="7">
        <f t="shared" ca="1" si="436"/>
        <v>45741</v>
      </c>
      <c r="AJ3101" s="210">
        <f t="shared" ca="1" si="437"/>
        <v>4.1749999999999998</v>
      </c>
      <c r="AK3101" s="8">
        <f t="shared" ca="1" si="438"/>
        <v>1.0001159722222221</v>
      </c>
      <c r="AL3101" s="98">
        <f t="shared" ca="1" si="439"/>
        <v>4.1166491097719193</v>
      </c>
      <c r="AM3101" s="106">
        <f t="shared" ca="1" si="433"/>
        <v>33732.560376685884</v>
      </c>
      <c r="AN3101" s="10">
        <f t="shared" ca="1" si="434"/>
        <v>1.0610828041283327</v>
      </c>
      <c r="AO3101" s="158"/>
      <c r="AP3101" s="158"/>
      <c r="AQ3101" s="1"/>
      <c r="AR3101" s="1"/>
      <c r="AS3101" s="1"/>
      <c r="AT3101" s="1"/>
      <c r="AU3101" s="1"/>
    </row>
    <row r="3102" spans="34:47">
      <c r="AH3102" s="6">
        <f t="shared" si="435"/>
        <v>3072</v>
      </c>
      <c r="AI3102" s="7">
        <f t="shared" ca="1" si="436"/>
        <v>45742</v>
      </c>
      <c r="AJ3102" s="210">
        <f t="shared" ca="1" si="437"/>
        <v>4.1749999999999998</v>
      </c>
      <c r="AK3102" s="8">
        <f t="shared" ca="1" si="438"/>
        <v>1.0001159722222221</v>
      </c>
      <c r="AL3102" s="98">
        <f t="shared" ca="1" si="439"/>
        <v>4.1167164092806852</v>
      </c>
      <c r="AM3102" s="106">
        <f t="shared" ca="1" si="433"/>
        <v>33735.339989221036</v>
      </c>
      <c r="AN3102" s="10">
        <f t="shared" ca="1" si="434"/>
        <v>1.0611386371455866</v>
      </c>
      <c r="AO3102" s="158"/>
      <c r="AP3102" s="158"/>
      <c r="AQ3102" s="1"/>
      <c r="AR3102" s="1"/>
      <c r="AS3102" s="1"/>
      <c r="AT3102" s="1"/>
      <c r="AU3102" s="1"/>
    </row>
    <row r="3103" spans="34:47">
      <c r="AH3103" s="6">
        <f t="shared" si="435"/>
        <v>3073</v>
      </c>
      <c r="AI3103" s="7">
        <f t="shared" ca="1" si="436"/>
        <v>45743</v>
      </c>
      <c r="AJ3103" s="210">
        <f t="shared" ca="1" si="437"/>
        <v>4.1749999999999998</v>
      </c>
      <c r="AK3103" s="8">
        <f t="shared" ca="1" si="438"/>
        <v>1.0001159722222221</v>
      </c>
      <c r="AL3103" s="98">
        <f t="shared" ca="1" si="439"/>
        <v>4.1167836650323864</v>
      </c>
      <c r="AM3103" s="106">
        <f t="shared" ref="AM3103:AM3166" ca="1" si="440">Geom_Interp(AI3103,$AZ$2:$AZ$109,$BA$2:$BA$109)</f>
        <v>33738.119830800359</v>
      </c>
      <c r="AN3103" s="10">
        <f t="shared" ref="AN3103:AN3166" ca="1" si="441">100*(((1+AL3103/100)^(AH3103/365)*$AM$29/AM3103)^(365/AH3103)-1)</f>
        <v>1.061194433855861</v>
      </c>
      <c r="AO3103" s="158"/>
      <c r="AP3103" s="158"/>
      <c r="AQ3103" s="1"/>
      <c r="AR3103" s="1"/>
      <c r="AS3103" s="1"/>
      <c r="AT3103" s="1"/>
      <c r="AU3103" s="1"/>
    </row>
    <row r="3104" spans="34:47">
      <c r="AH3104" s="6">
        <f t="shared" ref="AH3104:AH3167" si="442">$AI$29+AH3103</f>
        <v>3074</v>
      </c>
      <c r="AI3104" s="7">
        <f t="shared" ref="AI3104:AI3167" ca="1" si="443">+AH3104+$C$1</f>
        <v>45744</v>
      </c>
      <c r="AJ3104" s="210">
        <f t="shared" ref="AJ3104:AJ3167" ca="1" si="444">IF(AH3104&lt;365,VLOOKUP(LOOKUP(AI3104,$AI$2:$AI$23),$AI$2:$AK$23,3,0),Lin_Interp(AH3104,$AJ$2:$AJ$23,$AK$2:$AK$23))</f>
        <v>4.1749999999999998</v>
      </c>
      <c r="AK3104" s="8">
        <f t="shared" ca="1" si="438"/>
        <v>1.0001159722222221</v>
      </c>
      <c r="AL3104" s="98">
        <f t="shared" ca="1" si="439"/>
        <v>4.1168508770696777</v>
      </c>
      <c r="AM3104" s="106">
        <f t="shared" ca="1" si="440"/>
        <v>33740.899901442703</v>
      </c>
      <c r="AN3104" s="10">
        <f t="shared" ca="1" si="441"/>
        <v>1.0612501942945496</v>
      </c>
      <c r="AO3104" s="158"/>
      <c r="AP3104" s="158"/>
      <c r="AQ3104" s="1"/>
      <c r="AR3104" s="1"/>
      <c r="AS3104" s="1"/>
      <c r="AT3104" s="1"/>
      <c r="AU3104" s="1"/>
    </row>
    <row r="3105" spans="34:47">
      <c r="AH3105" s="6">
        <f t="shared" si="442"/>
        <v>3075</v>
      </c>
      <c r="AI3105" s="7">
        <f t="shared" ca="1" si="443"/>
        <v>45745</v>
      </c>
      <c r="AJ3105" s="210">
        <f t="shared" ca="1" si="444"/>
        <v>4.1749999999999998</v>
      </c>
      <c r="AK3105" s="8">
        <f t="shared" ref="AK3105:AK3168" ca="1" si="445">+(1+AJ3105/36000)</f>
        <v>1.0001159722222221</v>
      </c>
      <c r="AL3105" s="98">
        <f t="shared" ref="AL3105:AL3168" ca="1" si="446">100*(((1+AL3104/100)^(AH3104/365)*AK3105)^(365/AH3105)-1)</f>
        <v>4.1169180454351695</v>
      </c>
      <c r="AM3105" s="106">
        <f t="shared" ca="1" si="440"/>
        <v>33743.68020116695</v>
      </c>
      <c r="AN3105" s="10">
        <f t="shared" ca="1" si="441"/>
        <v>1.0613059184970464</v>
      </c>
      <c r="AO3105" s="158"/>
      <c r="AP3105" s="158"/>
      <c r="AQ3105" s="1"/>
      <c r="AR3105" s="1"/>
      <c r="AS3105" s="1"/>
      <c r="AT3105" s="1"/>
      <c r="AU3105" s="1"/>
    </row>
    <row r="3106" spans="34:47">
      <c r="AH3106" s="6">
        <f t="shared" si="442"/>
        <v>3076</v>
      </c>
      <c r="AI3106" s="7">
        <f t="shared" ca="1" si="443"/>
        <v>45746</v>
      </c>
      <c r="AJ3106" s="210">
        <f t="shared" ca="1" si="444"/>
        <v>4.1749999999999998</v>
      </c>
      <c r="AK3106" s="8">
        <f t="shared" ca="1" si="445"/>
        <v>1.0001159722222221</v>
      </c>
      <c r="AL3106" s="98">
        <f t="shared" ca="1" si="446"/>
        <v>4.1169851701714277</v>
      </c>
      <c r="AM3106" s="106">
        <f t="shared" ca="1" si="440"/>
        <v>33746.460729991988</v>
      </c>
      <c r="AN3106" s="10">
        <f t="shared" ca="1" si="441"/>
        <v>1.0613616064986342</v>
      </c>
      <c r="AO3106" s="158"/>
      <c r="AP3106" s="158"/>
      <c r="AQ3106" s="1"/>
      <c r="AR3106" s="1"/>
      <c r="AS3106" s="1"/>
      <c r="AT3106" s="1"/>
      <c r="AU3106" s="1"/>
    </row>
    <row r="3107" spans="34:47">
      <c r="AH3107" s="6">
        <f t="shared" si="442"/>
        <v>3077</v>
      </c>
      <c r="AI3107" s="7">
        <f t="shared" ca="1" si="443"/>
        <v>45747</v>
      </c>
      <c r="AJ3107" s="210">
        <f t="shared" ca="1" si="444"/>
        <v>4.1749999999999998</v>
      </c>
      <c r="AK3107" s="8">
        <f t="shared" ca="1" si="445"/>
        <v>1.0001159722222221</v>
      </c>
      <c r="AL3107" s="98">
        <f t="shared" ca="1" si="446"/>
        <v>4.1170522513209296</v>
      </c>
      <c r="AM3107" s="106">
        <f t="shared" ca="1" si="440"/>
        <v>33749.241487936677</v>
      </c>
      <c r="AN3107" s="10">
        <f t="shared" ca="1" si="441"/>
        <v>1.061417258334596</v>
      </c>
      <c r="AO3107" s="158"/>
      <c r="AP3107" s="158"/>
      <c r="AQ3107" s="1"/>
      <c r="AR3107" s="1"/>
      <c r="AS3107" s="1"/>
      <c r="AT3107" s="1"/>
      <c r="AU3107" s="1"/>
    </row>
    <row r="3108" spans="34:47">
      <c r="AH3108" s="6">
        <f t="shared" si="442"/>
        <v>3078</v>
      </c>
      <c r="AI3108" s="7">
        <f t="shared" ca="1" si="443"/>
        <v>45748</v>
      </c>
      <c r="AJ3108" s="210">
        <f t="shared" ca="1" si="444"/>
        <v>4.1749999999999998</v>
      </c>
      <c r="AK3108" s="8">
        <f t="shared" ca="1" si="445"/>
        <v>1.0001159722222221</v>
      </c>
      <c r="AL3108" s="98">
        <f t="shared" ca="1" si="446"/>
        <v>4.1171192889261077</v>
      </c>
      <c r="AM3108" s="106">
        <f t="shared" ca="1" si="440"/>
        <v>33752.022475019912</v>
      </c>
      <c r="AN3108" s="10">
        <f t="shared" ca="1" si="441"/>
        <v>1.0614728740401036</v>
      </c>
      <c r="AO3108" s="158"/>
      <c r="AP3108" s="158"/>
      <c r="AQ3108" s="1"/>
      <c r="AR3108" s="1"/>
      <c r="AS3108" s="1"/>
      <c r="AT3108" s="1"/>
      <c r="AU3108" s="1"/>
    </row>
    <row r="3109" spans="34:47">
      <c r="AH3109" s="6">
        <f t="shared" si="442"/>
        <v>3079</v>
      </c>
      <c r="AI3109" s="7">
        <f t="shared" ca="1" si="443"/>
        <v>45749</v>
      </c>
      <c r="AJ3109" s="210">
        <f t="shared" ca="1" si="444"/>
        <v>4.1749999999999998</v>
      </c>
      <c r="AK3109" s="8">
        <f t="shared" ca="1" si="445"/>
        <v>1.0001159722222221</v>
      </c>
      <c r="AL3109" s="98">
        <f t="shared" ca="1" si="446"/>
        <v>4.1171862830293726</v>
      </c>
      <c r="AM3109" s="106">
        <f t="shared" ca="1" si="440"/>
        <v>33754.803691260568</v>
      </c>
      <c r="AN3109" s="10">
        <f t="shared" ca="1" si="441"/>
        <v>1.0615284536503955</v>
      </c>
      <c r="AO3109" s="158"/>
      <c r="AP3109" s="158"/>
      <c r="AQ3109" s="1"/>
      <c r="AR3109" s="1"/>
      <c r="AS3109" s="1"/>
      <c r="AT3109" s="1"/>
      <c r="AU3109" s="1"/>
    </row>
    <row r="3110" spans="34:47">
      <c r="AH3110" s="6">
        <f t="shared" si="442"/>
        <v>3080</v>
      </c>
      <c r="AI3110" s="7">
        <f t="shared" ca="1" si="443"/>
        <v>45750</v>
      </c>
      <c r="AJ3110" s="210">
        <f t="shared" ca="1" si="444"/>
        <v>4.1749999999999998</v>
      </c>
      <c r="AK3110" s="8">
        <f t="shared" ca="1" si="445"/>
        <v>1.0001159722222221</v>
      </c>
      <c r="AL3110" s="98">
        <f t="shared" ca="1" si="446"/>
        <v>4.1172532336730239</v>
      </c>
      <c r="AM3110" s="106">
        <f t="shared" ca="1" si="440"/>
        <v>33757.585136677531</v>
      </c>
      <c r="AN3110" s="10">
        <f t="shared" ca="1" si="441"/>
        <v>1.0615839972005547</v>
      </c>
      <c r="AO3110" s="158"/>
      <c r="AP3110" s="158"/>
      <c r="AQ3110" s="1"/>
      <c r="AR3110" s="1"/>
      <c r="AS3110" s="1"/>
      <c r="AT3110" s="1"/>
      <c r="AU3110" s="1"/>
    </row>
    <row r="3111" spans="34:47">
      <c r="AH3111" s="6">
        <f t="shared" si="442"/>
        <v>3081</v>
      </c>
      <c r="AI3111" s="7">
        <f t="shared" ca="1" si="443"/>
        <v>45751</v>
      </c>
      <c r="AJ3111" s="210">
        <f t="shared" ca="1" si="444"/>
        <v>4.1749999999999998</v>
      </c>
      <c r="AK3111" s="8">
        <f t="shared" ca="1" si="445"/>
        <v>1.0001159722222221</v>
      </c>
      <c r="AL3111" s="98">
        <f t="shared" ca="1" si="446"/>
        <v>4.1173201408993609</v>
      </c>
      <c r="AM3111" s="106">
        <f t="shared" ca="1" si="440"/>
        <v>33760.366811289685</v>
      </c>
      <c r="AN3111" s="10">
        <f t="shared" ca="1" si="441"/>
        <v>1.0616395047256866</v>
      </c>
      <c r="AO3111" s="158"/>
      <c r="AP3111" s="158"/>
      <c r="AQ3111" s="1"/>
      <c r="AR3111" s="1"/>
      <c r="AS3111" s="1"/>
      <c r="AT3111" s="1"/>
      <c r="AU3111" s="1"/>
    </row>
    <row r="3112" spans="34:47">
      <c r="AH3112" s="6">
        <f t="shared" si="442"/>
        <v>3082</v>
      </c>
      <c r="AI3112" s="7">
        <f t="shared" ca="1" si="443"/>
        <v>45752</v>
      </c>
      <c r="AJ3112" s="210">
        <f t="shared" ca="1" si="444"/>
        <v>4.1749999999999998</v>
      </c>
      <c r="AK3112" s="8">
        <f t="shared" ca="1" si="445"/>
        <v>1.0001159722222221</v>
      </c>
      <c r="AL3112" s="98">
        <f t="shared" ca="1" si="446"/>
        <v>4.1173870047505945</v>
      </c>
      <c r="AM3112" s="106">
        <f t="shared" ca="1" si="440"/>
        <v>33763.148715115902</v>
      </c>
      <c r="AN3112" s="10">
        <f t="shared" ca="1" si="441"/>
        <v>1.0616949762608074</v>
      </c>
      <c r="AO3112" s="158"/>
      <c r="AP3112" s="158"/>
      <c r="AQ3112" s="1"/>
      <c r="AR3112" s="1"/>
      <c r="AS3112" s="1"/>
      <c r="AT3112" s="1"/>
      <c r="AU3112" s="1"/>
    </row>
    <row r="3113" spans="34:47">
      <c r="AH3113" s="6">
        <f t="shared" si="442"/>
        <v>3083</v>
      </c>
      <c r="AI3113" s="7">
        <f t="shared" ca="1" si="443"/>
        <v>45753</v>
      </c>
      <c r="AJ3113" s="210">
        <f t="shared" ca="1" si="444"/>
        <v>4.1749999999999998</v>
      </c>
      <c r="AK3113" s="8">
        <f t="shared" ca="1" si="445"/>
        <v>1.0001159722222221</v>
      </c>
      <c r="AL3113" s="98">
        <f t="shared" ca="1" si="446"/>
        <v>4.1174538252688908</v>
      </c>
      <c r="AM3113" s="106">
        <f t="shared" ca="1" si="440"/>
        <v>33765.930848175092</v>
      </c>
      <c r="AN3113" s="10">
        <f t="shared" ca="1" si="441"/>
        <v>1.0617504118409338</v>
      </c>
      <c r="AO3113" s="158"/>
      <c r="AP3113" s="158"/>
      <c r="AQ3113" s="1"/>
      <c r="AR3113" s="1"/>
      <c r="AS3113" s="1"/>
      <c r="AT3113" s="1"/>
      <c r="AU3113" s="1"/>
    </row>
    <row r="3114" spans="34:47">
      <c r="AH3114" s="6">
        <f t="shared" si="442"/>
        <v>3084</v>
      </c>
      <c r="AI3114" s="7">
        <f t="shared" ca="1" si="443"/>
        <v>45754</v>
      </c>
      <c r="AJ3114" s="210">
        <f t="shared" ca="1" si="444"/>
        <v>4.1749999999999998</v>
      </c>
      <c r="AK3114" s="8">
        <f t="shared" ca="1" si="445"/>
        <v>1.0001159722222221</v>
      </c>
      <c r="AL3114" s="98">
        <f t="shared" ca="1" si="446"/>
        <v>4.1175206024963495</v>
      </c>
      <c r="AM3114" s="106">
        <f t="shared" ca="1" si="440"/>
        <v>33768.71321048613</v>
      </c>
      <c r="AN3114" s="10">
        <f t="shared" ca="1" si="441"/>
        <v>1.0618058115009932</v>
      </c>
      <c r="AO3114" s="158"/>
      <c r="AP3114" s="158"/>
      <c r="AQ3114" s="1"/>
      <c r="AR3114" s="1"/>
      <c r="AS3114" s="1"/>
      <c r="AT3114" s="1"/>
      <c r="AU3114" s="1"/>
    </row>
    <row r="3115" spans="34:47">
      <c r="AH3115" s="6">
        <f t="shared" si="442"/>
        <v>3085</v>
      </c>
      <c r="AI3115" s="7">
        <f t="shared" ca="1" si="443"/>
        <v>45755</v>
      </c>
      <c r="AJ3115" s="210">
        <f t="shared" ca="1" si="444"/>
        <v>4.1749999999999998</v>
      </c>
      <c r="AK3115" s="8">
        <f t="shared" ca="1" si="445"/>
        <v>1.0001159722222221</v>
      </c>
      <c r="AL3115" s="98">
        <f t="shared" ca="1" si="446"/>
        <v>4.1175873364750482</v>
      </c>
      <c r="AM3115" s="106">
        <f t="shared" ca="1" si="440"/>
        <v>33771.495802067904</v>
      </c>
      <c r="AN3115" s="10">
        <f t="shared" ca="1" si="441"/>
        <v>1.0618611752758911</v>
      </c>
      <c r="AO3115" s="158"/>
      <c r="AP3115" s="158"/>
      <c r="AQ3115" s="1"/>
      <c r="AR3115" s="1"/>
      <c r="AS3115" s="1"/>
      <c r="AT3115" s="1"/>
      <c r="AU3115" s="1"/>
    </row>
    <row r="3116" spans="34:47">
      <c r="AH3116" s="6">
        <f t="shared" si="442"/>
        <v>3086</v>
      </c>
      <c r="AI3116" s="7">
        <f t="shared" ca="1" si="443"/>
        <v>45756</v>
      </c>
      <c r="AJ3116" s="210">
        <f t="shared" ca="1" si="444"/>
        <v>4.1749999999999998</v>
      </c>
      <c r="AK3116" s="8">
        <f t="shared" ca="1" si="445"/>
        <v>1.0001159722222221</v>
      </c>
      <c r="AL3116" s="98">
        <f t="shared" ca="1" si="446"/>
        <v>4.1176540272469753</v>
      </c>
      <c r="AM3116" s="106">
        <f t="shared" ca="1" si="440"/>
        <v>33774.278622939324</v>
      </c>
      <c r="AN3116" s="10">
        <f t="shared" ca="1" si="441"/>
        <v>1.0619165032004663</v>
      </c>
      <c r="AO3116" s="158"/>
      <c r="AP3116" s="158"/>
      <c r="AQ3116" s="1"/>
      <c r="AR3116" s="1"/>
      <c r="AS3116" s="1"/>
      <c r="AT3116" s="1"/>
      <c r="AU3116" s="1"/>
    </row>
    <row r="3117" spans="34:47">
      <c r="AH3117" s="6">
        <f t="shared" si="442"/>
        <v>3087</v>
      </c>
      <c r="AI3117" s="7">
        <f t="shared" ca="1" si="443"/>
        <v>45757</v>
      </c>
      <c r="AJ3117" s="210">
        <f t="shared" ca="1" si="444"/>
        <v>4.1749999999999998</v>
      </c>
      <c r="AK3117" s="8">
        <f t="shared" ca="1" si="445"/>
        <v>1.0001159722222221</v>
      </c>
      <c r="AL3117" s="98">
        <f t="shared" ca="1" si="446"/>
        <v>4.1177206748540751</v>
      </c>
      <c r="AM3117" s="106">
        <f t="shared" ca="1" si="440"/>
        <v>33777.061673119264</v>
      </c>
      <c r="AN3117" s="10">
        <f t="shared" ca="1" si="441"/>
        <v>1.0619717953095575</v>
      </c>
      <c r="AO3117" s="158"/>
      <c r="AP3117" s="158"/>
      <c r="AQ3117" s="1"/>
      <c r="AR3117" s="1"/>
      <c r="AS3117" s="1"/>
      <c r="AT3117" s="1"/>
      <c r="AU3117" s="1"/>
    </row>
    <row r="3118" spans="34:47">
      <c r="AH3118" s="6">
        <f t="shared" si="442"/>
        <v>3088</v>
      </c>
      <c r="AI3118" s="7">
        <f t="shared" ca="1" si="443"/>
        <v>45758</v>
      </c>
      <c r="AJ3118" s="210">
        <f t="shared" ca="1" si="444"/>
        <v>4.1749999999999998</v>
      </c>
      <c r="AK3118" s="8">
        <f t="shared" ca="1" si="445"/>
        <v>1.0001159722222221</v>
      </c>
      <c r="AL3118" s="98">
        <f t="shared" ca="1" si="446"/>
        <v>4.1177872793382475</v>
      </c>
      <c r="AM3118" s="106">
        <f t="shared" ca="1" si="440"/>
        <v>33779.844952626634</v>
      </c>
      <c r="AN3118" s="10">
        <f t="shared" ca="1" si="441"/>
        <v>1.0620270516379149</v>
      </c>
      <c r="AO3118" s="158"/>
      <c r="AP3118" s="158"/>
      <c r="AQ3118" s="1"/>
      <c r="AR3118" s="1"/>
      <c r="AS3118" s="1"/>
      <c r="AT3118" s="1"/>
      <c r="AU3118" s="1"/>
    </row>
    <row r="3119" spans="34:47">
      <c r="AH3119" s="6">
        <f t="shared" si="442"/>
        <v>3089</v>
      </c>
      <c r="AI3119" s="7">
        <f t="shared" ca="1" si="443"/>
        <v>45759</v>
      </c>
      <c r="AJ3119" s="210">
        <f t="shared" ca="1" si="444"/>
        <v>4.1749999999999998</v>
      </c>
      <c r="AK3119" s="8">
        <f t="shared" ca="1" si="445"/>
        <v>1.0001159722222221</v>
      </c>
      <c r="AL3119" s="98">
        <f t="shared" ca="1" si="446"/>
        <v>4.1178538407413257</v>
      </c>
      <c r="AM3119" s="106">
        <f t="shared" ca="1" si="440"/>
        <v>33782.628461480323</v>
      </c>
      <c r="AN3119" s="10">
        <f t="shared" ca="1" si="441"/>
        <v>1.0620822722202661</v>
      </c>
      <c r="AO3119" s="158"/>
      <c r="AP3119" s="158"/>
      <c r="AQ3119" s="1"/>
      <c r="AR3119" s="1"/>
      <c r="AS3119" s="1"/>
      <c r="AT3119" s="1"/>
      <c r="AU3119" s="1"/>
    </row>
    <row r="3120" spans="34:47">
      <c r="AH3120" s="6">
        <f t="shared" si="442"/>
        <v>3090</v>
      </c>
      <c r="AI3120" s="7">
        <f t="shared" ca="1" si="443"/>
        <v>45760</v>
      </c>
      <c r="AJ3120" s="210">
        <f t="shared" ca="1" si="444"/>
        <v>4.1749999999999998</v>
      </c>
      <c r="AK3120" s="8">
        <f t="shared" ca="1" si="445"/>
        <v>1.0001159722222221</v>
      </c>
      <c r="AL3120" s="98">
        <f t="shared" ca="1" si="446"/>
        <v>4.1179203591050983</v>
      </c>
      <c r="AM3120" s="106">
        <f t="shared" ca="1" si="440"/>
        <v>33785.412199699225</v>
      </c>
      <c r="AN3120" s="10">
        <f t="shared" ca="1" si="441"/>
        <v>1.0621374570912723</v>
      </c>
      <c r="AO3120" s="158"/>
      <c r="AP3120" s="158"/>
      <c r="AQ3120" s="1"/>
      <c r="AR3120" s="1"/>
      <c r="AS3120" s="1"/>
      <c r="AT3120" s="1"/>
      <c r="AU3120" s="1"/>
    </row>
    <row r="3121" spans="34:47">
      <c r="AH3121" s="6">
        <f t="shared" si="442"/>
        <v>3091</v>
      </c>
      <c r="AI3121" s="7">
        <f t="shared" ca="1" si="443"/>
        <v>45761</v>
      </c>
      <c r="AJ3121" s="210">
        <f t="shared" ca="1" si="444"/>
        <v>4.1749999999999998</v>
      </c>
      <c r="AK3121" s="8">
        <f t="shared" ca="1" si="445"/>
        <v>1.0001159722222221</v>
      </c>
      <c r="AL3121" s="98">
        <f t="shared" ca="1" si="446"/>
        <v>4.11798683447131</v>
      </c>
      <c r="AM3121" s="106">
        <f t="shared" ca="1" si="440"/>
        <v>33788.196167302252</v>
      </c>
      <c r="AN3121" s="10">
        <f t="shared" ca="1" si="441"/>
        <v>1.0621926062855724</v>
      </c>
      <c r="AO3121" s="158"/>
      <c r="AP3121" s="158"/>
      <c r="AQ3121" s="1"/>
      <c r="AR3121" s="1"/>
      <c r="AS3121" s="1"/>
      <c r="AT3121" s="1"/>
      <c r="AU3121" s="1"/>
    </row>
    <row r="3122" spans="34:47">
      <c r="AH3122" s="6">
        <f t="shared" si="442"/>
        <v>3092</v>
      </c>
      <c r="AI3122" s="7">
        <f t="shared" ca="1" si="443"/>
        <v>45762</v>
      </c>
      <c r="AJ3122" s="210">
        <f t="shared" ca="1" si="444"/>
        <v>4.1749999999999998</v>
      </c>
      <c r="AK3122" s="8">
        <f t="shared" ca="1" si="445"/>
        <v>1.0001159722222221</v>
      </c>
      <c r="AL3122" s="98">
        <f t="shared" ca="1" si="446"/>
        <v>4.1180532668816161</v>
      </c>
      <c r="AM3122" s="106">
        <f t="shared" ca="1" si="440"/>
        <v>33790.9803643083</v>
      </c>
      <c r="AN3122" s="10">
        <f t="shared" ca="1" si="441"/>
        <v>1.0622477198377611</v>
      </c>
      <c r="AO3122" s="158"/>
      <c r="AP3122" s="158"/>
      <c r="AQ3122" s="1"/>
      <c r="AR3122" s="1"/>
      <c r="AS3122" s="1"/>
      <c r="AT3122" s="1"/>
      <c r="AU3122" s="1"/>
    </row>
    <row r="3123" spans="34:47">
      <c r="AH3123" s="6">
        <f t="shared" si="442"/>
        <v>3093</v>
      </c>
      <c r="AI3123" s="7">
        <f t="shared" ca="1" si="443"/>
        <v>45763</v>
      </c>
      <c r="AJ3123" s="210">
        <f t="shared" ca="1" si="444"/>
        <v>4.1749999999999998</v>
      </c>
      <c r="AK3123" s="8">
        <f t="shared" ca="1" si="445"/>
        <v>1.0001159722222221</v>
      </c>
      <c r="AL3123" s="98">
        <f t="shared" ca="1" si="446"/>
        <v>4.1181196563776501</v>
      </c>
      <c r="AM3123" s="106">
        <f t="shared" ca="1" si="440"/>
        <v>33793.764790736263</v>
      </c>
      <c r="AN3123" s="10">
        <f t="shared" ca="1" si="441"/>
        <v>1.0623027977823885</v>
      </c>
      <c r="AO3123" s="158"/>
      <c r="AP3123" s="158"/>
      <c r="AQ3123" s="1"/>
      <c r="AR3123" s="1"/>
      <c r="AS3123" s="1"/>
      <c r="AT3123" s="1"/>
      <c r="AU3123" s="1"/>
    </row>
    <row r="3124" spans="34:47">
      <c r="AH3124" s="6">
        <f t="shared" si="442"/>
        <v>3094</v>
      </c>
      <c r="AI3124" s="7">
        <f t="shared" ca="1" si="443"/>
        <v>45764</v>
      </c>
      <c r="AJ3124" s="210">
        <f t="shared" ca="1" si="444"/>
        <v>4.1749999999999998</v>
      </c>
      <c r="AK3124" s="8">
        <f t="shared" ca="1" si="445"/>
        <v>1.0001159722222221</v>
      </c>
      <c r="AL3124" s="98">
        <f t="shared" ca="1" si="446"/>
        <v>4.1181860030010009</v>
      </c>
      <c r="AM3124" s="106">
        <f t="shared" ca="1" si="440"/>
        <v>33796.549446605066</v>
      </c>
      <c r="AN3124" s="10">
        <f t="shared" ca="1" si="441"/>
        <v>1.062357840153938</v>
      </c>
      <c r="AO3124" s="158"/>
      <c r="AP3124" s="158"/>
      <c r="AQ3124" s="1"/>
      <c r="AR3124" s="1"/>
      <c r="AS3124" s="1"/>
      <c r="AT3124" s="1"/>
      <c r="AU3124" s="1"/>
    </row>
    <row r="3125" spans="34:47">
      <c r="AH3125" s="6">
        <f t="shared" si="442"/>
        <v>3095</v>
      </c>
      <c r="AI3125" s="7">
        <f t="shared" ca="1" si="443"/>
        <v>45765</v>
      </c>
      <c r="AJ3125" s="210">
        <f t="shared" ca="1" si="444"/>
        <v>4.1749999999999998</v>
      </c>
      <c r="AK3125" s="8">
        <f t="shared" ca="1" si="445"/>
        <v>1.0001159722222221</v>
      </c>
      <c r="AL3125" s="98">
        <f t="shared" ca="1" si="446"/>
        <v>4.1182523067931465</v>
      </c>
      <c r="AM3125" s="106">
        <f t="shared" ca="1" si="440"/>
        <v>33799.334331933598</v>
      </c>
      <c r="AN3125" s="10">
        <f t="shared" ca="1" si="441"/>
        <v>1.0624128469868488</v>
      </c>
      <c r="AO3125" s="158"/>
      <c r="AP3125" s="158"/>
      <c r="AQ3125" s="1"/>
      <c r="AR3125" s="1"/>
      <c r="AS3125" s="1"/>
      <c r="AT3125" s="1"/>
      <c r="AU3125" s="1"/>
    </row>
    <row r="3126" spans="34:47">
      <c r="AH3126" s="6">
        <f t="shared" si="442"/>
        <v>3096</v>
      </c>
      <c r="AI3126" s="7">
        <f t="shared" ca="1" si="443"/>
        <v>45766</v>
      </c>
      <c r="AJ3126" s="210">
        <f t="shared" ca="1" si="444"/>
        <v>4.1749999999999998</v>
      </c>
      <c r="AK3126" s="8">
        <f t="shared" ca="1" si="445"/>
        <v>1.0001159722222221</v>
      </c>
      <c r="AL3126" s="98">
        <f t="shared" ca="1" si="446"/>
        <v>4.1183185677955869</v>
      </c>
      <c r="AM3126" s="106">
        <f t="shared" ca="1" si="440"/>
        <v>33802.119446740777</v>
      </c>
      <c r="AN3126" s="10">
        <f t="shared" ca="1" si="441"/>
        <v>1.06246781831556</v>
      </c>
      <c r="AO3126" s="158"/>
      <c r="AP3126" s="158"/>
      <c r="AQ3126" s="1"/>
      <c r="AR3126" s="1"/>
      <c r="AS3126" s="1"/>
      <c r="AT3126" s="1"/>
      <c r="AU3126" s="1"/>
    </row>
    <row r="3127" spans="34:47">
      <c r="AH3127" s="6">
        <f t="shared" si="442"/>
        <v>3097</v>
      </c>
      <c r="AI3127" s="7">
        <f t="shared" ca="1" si="443"/>
        <v>45767</v>
      </c>
      <c r="AJ3127" s="210">
        <f t="shared" ca="1" si="444"/>
        <v>4.1749999999999998</v>
      </c>
      <c r="AK3127" s="8">
        <f t="shared" ca="1" si="445"/>
        <v>1.0001159722222221</v>
      </c>
      <c r="AL3127" s="98">
        <f t="shared" ca="1" si="446"/>
        <v>4.1183847860496892</v>
      </c>
      <c r="AM3127" s="106">
        <f t="shared" ca="1" si="440"/>
        <v>33804.904791045505</v>
      </c>
      <c r="AN3127" s="10">
        <f t="shared" ca="1" si="441"/>
        <v>1.0625227541743776</v>
      </c>
      <c r="AO3127" s="158"/>
      <c r="AP3127" s="158"/>
      <c r="AQ3127" s="1"/>
      <c r="AR3127" s="1"/>
      <c r="AS3127" s="1"/>
      <c r="AT3127" s="1"/>
      <c r="AU3127" s="1"/>
    </row>
    <row r="3128" spans="34:47">
      <c r="AH3128" s="6">
        <f t="shared" si="442"/>
        <v>3098</v>
      </c>
      <c r="AI3128" s="7">
        <f t="shared" ca="1" si="443"/>
        <v>45768</v>
      </c>
      <c r="AJ3128" s="210">
        <f t="shared" ca="1" si="444"/>
        <v>4.1749999999999998</v>
      </c>
      <c r="AK3128" s="8">
        <f t="shared" ca="1" si="445"/>
        <v>1.0001159722222221</v>
      </c>
      <c r="AL3128" s="98">
        <f t="shared" ca="1" si="446"/>
        <v>4.1184509615968423</v>
      </c>
      <c r="AM3128" s="106">
        <f t="shared" ca="1" si="440"/>
        <v>33807.690364866699</v>
      </c>
      <c r="AN3128" s="10">
        <f t="shared" ca="1" si="441"/>
        <v>1.0625776545976739</v>
      </c>
      <c r="AO3128" s="158"/>
      <c r="AP3128" s="158"/>
      <c r="AQ3128" s="1"/>
      <c r="AR3128" s="1"/>
      <c r="AS3128" s="1"/>
      <c r="AT3128" s="1"/>
      <c r="AU3128" s="1"/>
    </row>
    <row r="3129" spans="34:47">
      <c r="AH3129" s="6">
        <f t="shared" si="442"/>
        <v>3099</v>
      </c>
      <c r="AI3129" s="7">
        <f t="shared" ca="1" si="443"/>
        <v>45769</v>
      </c>
      <c r="AJ3129" s="210">
        <f t="shared" ca="1" si="444"/>
        <v>4.1749999999999998</v>
      </c>
      <c r="AK3129" s="8">
        <f t="shared" ca="1" si="445"/>
        <v>1.0001159722222221</v>
      </c>
      <c r="AL3129" s="98">
        <f t="shared" ca="1" si="446"/>
        <v>4.1185170944783245</v>
      </c>
      <c r="AM3129" s="106">
        <f t="shared" ca="1" si="440"/>
        <v>33810.476168223264</v>
      </c>
      <c r="AN3129" s="10">
        <f t="shared" ca="1" si="441"/>
        <v>1.0626325196197106</v>
      </c>
      <c r="AO3129" s="158"/>
      <c r="AP3129" s="158"/>
      <c r="AQ3129" s="1"/>
      <c r="AR3129" s="1"/>
      <c r="AS3129" s="1"/>
      <c r="AT3129" s="1"/>
      <c r="AU3129" s="1"/>
    </row>
    <row r="3130" spans="34:47">
      <c r="AH3130" s="6">
        <f t="shared" si="442"/>
        <v>3100</v>
      </c>
      <c r="AI3130" s="7">
        <f t="shared" ca="1" si="443"/>
        <v>45770</v>
      </c>
      <c r="AJ3130" s="210">
        <f t="shared" ca="1" si="444"/>
        <v>4.1749999999999998</v>
      </c>
      <c r="AK3130" s="8">
        <f t="shared" ca="1" si="445"/>
        <v>1.0001159722222221</v>
      </c>
      <c r="AL3130" s="98">
        <f t="shared" ca="1" si="446"/>
        <v>4.1185831847354137</v>
      </c>
      <c r="AM3130" s="106">
        <f t="shared" ca="1" si="440"/>
        <v>33813.262201134115</v>
      </c>
      <c r="AN3130" s="10">
        <f t="shared" ca="1" si="441"/>
        <v>1.0626873492747269</v>
      </c>
      <c r="AO3130" s="158"/>
      <c r="AP3130" s="158"/>
      <c r="AQ3130" s="1"/>
      <c r="AR3130" s="1"/>
      <c r="AS3130" s="1"/>
      <c r="AT3130" s="1"/>
      <c r="AU3130" s="1"/>
    </row>
    <row r="3131" spans="34:47">
      <c r="AH3131" s="6">
        <f t="shared" si="442"/>
        <v>3101</v>
      </c>
      <c r="AI3131" s="7">
        <f t="shared" ca="1" si="443"/>
        <v>45771</v>
      </c>
      <c r="AJ3131" s="210">
        <f t="shared" ca="1" si="444"/>
        <v>4.1749999999999998</v>
      </c>
      <c r="AK3131" s="8">
        <f t="shared" ca="1" si="445"/>
        <v>1.0001159722222221</v>
      </c>
      <c r="AL3131" s="98">
        <f t="shared" ca="1" si="446"/>
        <v>4.1186492324092772</v>
      </c>
      <c r="AM3131" s="106">
        <f t="shared" ca="1" si="440"/>
        <v>33816.048463618179</v>
      </c>
      <c r="AN3131" s="10">
        <f t="shared" ca="1" si="441"/>
        <v>1.0627421435968953</v>
      </c>
      <c r="AO3131" s="158"/>
      <c r="AP3131" s="158"/>
      <c r="AQ3131" s="1"/>
      <c r="AR3131" s="1"/>
      <c r="AS3131" s="1"/>
      <c r="AT3131" s="1"/>
      <c r="AU3131" s="1"/>
    </row>
    <row r="3132" spans="34:47">
      <c r="AH3132" s="6">
        <f t="shared" si="442"/>
        <v>3102</v>
      </c>
      <c r="AI3132" s="7">
        <f t="shared" ca="1" si="443"/>
        <v>45772</v>
      </c>
      <c r="AJ3132" s="210">
        <f t="shared" ca="1" si="444"/>
        <v>4.1749999999999998</v>
      </c>
      <c r="AK3132" s="8">
        <f t="shared" ca="1" si="445"/>
        <v>1.0001159722222221</v>
      </c>
      <c r="AL3132" s="98">
        <f t="shared" ca="1" si="446"/>
        <v>4.1187152375410818</v>
      </c>
      <c r="AM3132" s="106">
        <f t="shared" ca="1" si="440"/>
        <v>33818.834955694358</v>
      </c>
      <c r="AN3132" s="10">
        <f t="shared" ca="1" si="441"/>
        <v>1.0627969026203665</v>
      </c>
      <c r="AO3132" s="158"/>
      <c r="AP3132" s="158"/>
      <c r="AQ3132" s="1"/>
      <c r="AR3132" s="1"/>
      <c r="AS3132" s="1"/>
      <c r="AT3132" s="1"/>
      <c r="AU3132" s="1"/>
    </row>
    <row r="3133" spans="34:47">
      <c r="AH3133" s="6">
        <f t="shared" si="442"/>
        <v>3103</v>
      </c>
      <c r="AI3133" s="7">
        <f t="shared" ca="1" si="443"/>
        <v>45773</v>
      </c>
      <c r="AJ3133" s="210">
        <f t="shared" ca="1" si="444"/>
        <v>4.1749999999999998</v>
      </c>
      <c r="AK3133" s="8">
        <f t="shared" ca="1" si="445"/>
        <v>1.0001159722222221</v>
      </c>
      <c r="AL3133" s="98">
        <f t="shared" ca="1" si="446"/>
        <v>4.118781200171906</v>
      </c>
      <c r="AM3133" s="106">
        <f t="shared" ca="1" si="440"/>
        <v>33821.62167738159</v>
      </c>
      <c r="AN3133" s="10">
        <f t="shared" ca="1" si="441"/>
        <v>1.0628516263792243</v>
      </c>
      <c r="AO3133" s="158"/>
      <c r="AP3133" s="158"/>
      <c r="AQ3133" s="1"/>
      <c r="AR3133" s="1"/>
      <c r="AS3133" s="1"/>
      <c r="AT3133" s="1"/>
      <c r="AU3133" s="1"/>
    </row>
    <row r="3134" spans="34:47">
      <c r="AH3134" s="6">
        <f t="shared" si="442"/>
        <v>3104</v>
      </c>
      <c r="AI3134" s="7">
        <f t="shared" ca="1" si="443"/>
        <v>45774</v>
      </c>
      <c r="AJ3134" s="210">
        <f t="shared" ca="1" si="444"/>
        <v>4.1749999999999998</v>
      </c>
      <c r="AK3134" s="8">
        <f t="shared" ca="1" si="445"/>
        <v>1.0001159722222221</v>
      </c>
      <c r="AL3134" s="98">
        <f t="shared" ca="1" si="446"/>
        <v>4.1188471203427612</v>
      </c>
      <c r="AM3134" s="106">
        <f t="shared" ca="1" si="440"/>
        <v>33824.408628698773</v>
      </c>
      <c r="AN3134" s="10">
        <f t="shared" ca="1" si="441"/>
        <v>1.062906314907508</v>
      </c>
      <c r="AO3134" s="158"/>
      <c r="AP3134" s="158"/>
      <c r="AQ3134" s="1"/>
      <c r="AR3134" s="1"/>
      <c r="AS3134" s="1"/>
      <c r="AT3134" s="1"/>
      <c r="AU3134" s="1"/>
    </row>
    <row r="3135" spans="34:47">
      <c r="AH3135" s="6">
        <f t="shared" si="442"/>
        <v>3105</v>
      </c>
      <c r="AI3135" s="7">
        <f t="shared" ca="1" si="443"/>
        <v>45775</v>
      </c>
      <c r="AJ3135" s="210">
        <f t="shared" ca="1" si="444"/>
        <v>4.1749999999999998</v>
      </c>
      <c r="AK3135" s="8">
        <f t="shared" ca="1" si="445"/>
        <v>1.0001159722222221</v>
      </c>
      <c r="AL3135" s="98">
        <f t="shared" ca="1" si="446"/>
        <v>4.1189129980946593</v>
      </c>
      <c r="AM3135" s="106">
        <f t="shared" ca="1" si="440"/>
        <v>33827.195809664845</v>
      </c>
      <c r="AN3135" s="10">
        <f t="shared" ca="1" si="441"/>
        <v>1.0629609682392793</v>
      </c>
      <c r="AO3135" s="158"/>
      <c r="AP3135" s="158"/>
      <c r="AQ3135" s="1"/>
      <c r="AR3135" s="1"/>
      <c r="AS3135" s="1"/>
      <c r="AT3135" s="1"/>
      <c r="AU3135" s="1"/>
    </row>
    <row r="3136" spans="34:47">
      <c r="AH3136" s="6">
        <f t="shared" si="442"/>
        <v>3106</v>
      </c>
      <c r="AI3136" s="7">
        <f t="shared" ca="1" si="443"/>
        <v>45776</v>
      </c>
      <c r="AJ3136" s="210">
        <f t="shared" ca="1" si="444"/>
        <v>4.1749999999999998</v>
      </c>
      <c r="AK3136" s="8">
        <f t="shared" ca="1" si="445"/>
        <v>1.0001159722222221</v>
      </c>
      <c r="AL3136" s="98">
        <f t="shared" ca="1" si="446"/>
        <v>4.1189788334685229</v>
      </c>
      <c r="AM3136" s="106">
        <f t="shared" ca="1" si="440"/>
        <v>33829.983220298716</v>
      </c>
      <c r="AN3136" s="10">
        <f t="shared" ca="1" si="441"/>
        <v>1.0630155864084667</v>
      </c>
      <c r="AO3136" s="158"/>
      <c r="AP3136" s="158"/>
      <c r="AQ3136" s="1"/>
      <c r="AR3136" s="1"/>
      <c r="AS3136" s="1"/>
      <c r="AT3136" s="1"/>
      <c r="AU3136" s="1"/>
    </row>
    <row r="3137" spans="34:47">
      <c r="AH3137" s="6">
        <f t="shared" si="442"/>
        <v>3107</v>
      </c>
      <c r="AI3137" s="7">
        <f t="shared" ca="1" si="443"/>
        <v>45777</v>
      </c>
      <c r="AJ3137" s="210">
        <f t="shared" ca="1" si="444"/>
        <v>4.1749999999999998</v>
      </c>
      <c r="AK3137" s="8">
        <f t="shared" ca="1" si="445"/>
        <v>1.0001159722222221</v>
      </c>
      <c r="AL3137" s="98">
        <f t="shared" ca="1" si="446"/>
        <v>4.1190446265052527</v>
      </c>
      <c r="AM3137" s="106">
        <f t="shared" ca="1" si="440"/>
        <v>33832.770860619326</v>
      </c>
      <c r="AN3137" s="10">
        <f t="shared" ca="1" si="441"/>
        <v>1.0630701694489986</v>
      </c>
      <c r="AO3137" s="158"/>
      <c r="AP3137" s="158"/>
      <c r="AQ3137" s="1"/>
      <c r="AR3137" s="1"/>
      <c r="AS3137" s="1"/>
      <c r="AT3137" s="1"/>
      <c r="AU3137" s="1"/>
    </row>
    <row r="3138" spans="34:47">
      <c r="AH3138" s="6">
        <f t="shared" si="442"/>
        <v>3108</v>
      </c>
      <c r="AI3138" s="7">
        <f t="shared" ca="1" si="443"/>
        <v>45778</v>
      </c>
      <c r="AJ3138" s="210">
        <f t="shared" ca="1" si="444"/>
        <v>4.1749999999999998</v>
      </c>
      <c r="AK3138" s="8">
        <f t="shared" ca="1" si="445"/>
        <v>1.0001159722222221</v>
      </c>
      <c r="AL3138" s="98">
        <f t="shared" ca="1" si="446"/>
        <v>4.1191103772456383</v>
      </c>
      <c r="AM3138" s="106">
        <f t="shared" ca="1" si="440"/>
        <v>33835.558730645593</v>
      </c>
      <c r="AN3138" s="10">
        <f t="shared" ca="1" si="441"/>
        <v>1.0631247173947589</v>
      </c>
      <c r="AO3138" s="158"/>
      <c r="AP3138" s="158"/>
      <c r="AQ3138" s="1"/>
      <c r="AR3138" s="1"/>
      <c r="AS3138" s="1"/>
      <c r="AT3138" s="1"/>
      <c r="AU3138" s="1"/>
    </row>
    <row r="3139" spans="34:47">
      <c r="AH3139" s="6">
        <f t="shared" si="442"/>
        <v>3109</v>
      </c>
      <c r="AI3139" s="7">
        <f t="shared" ca="1" si="443"/>
        <v>45779</v>
      </c>
      <c r="AJ3139" s="210">
        <f t="shared" ca="1" si="444"/>
        <v>4.1749999999999998</v>
      </c>
      <c r="AK3139" s="8">
        <f t="shared" ca="1" si="445"/>
        <v>1.0001159722222221</v>
      </c>
      <c r="AL3139" s="98">
        <f t="shared" ca="1" si="446"/>
        <v>4.1191760857304693</v>
      </c>
      <c r="AM3139" s="106">
        <f t="shared" ca="1" si="440"/>
        <v>33838.346830396447</v>
      </c>
      <c r="AN3139" s="10">
        <f t="shared" ca="1" si="441"/>
        <v>1.0631792302795873</v>
      </c>
      <c r="AO3139" s="158"/>
      <c r="AP3139" s="158"/>
      <c r="AQ3139" s="1"/>
      <c r="AR3139" s="1"/>
      <c r="AS3139" s="1"/>
      <c r="AT3139" s="1"/>
      <c r="AU3139" s="1"/>
    </row>
    <row r="3140" spans="34:47">
      <c r="AH3140" s="6">
        <f t="shared" si="442"/>
        <v>3110</v>
      </c>
      <c r="AI3140" s="7">
        <f t="shared" ca="1" si="443"/>
        <v>45780</v>
      </c>
      <c r="AJ3140" s="210">
        <f t="shared" ca="1" si="444"/>
        <v>4.1749999999999998</v>
      </c>
      <c r="AK3140" s="8">
        <f t="shared" ca="1" si="445"/>
        <v>1.0001159722222221</v>
      </c>
      <c r="AL3140" s="98">
        <f t="shared" ca="1" si="446"/>
        <v>4.1192417520004687</v>
      </c>
      <c r="AM3140" s="106">
        <f t="shared" ca="1" si="440"/>
        <v>33841.135159890808</v>
      </c>
      <c r="AN3140" s="10">
        <f t="shared" ca="1" si="441"/>
        <v>1.0632337081372789</v>
      </c>
      <c r="AO3140" s="158"/>
      <c r="AP3140" s="158"/>
      <c r="AQ3140" s="1"/>
      <c r="AR3140" s="1"/>
      <c r="AS3140" s="1"/>
      <c r="AT3140" s="1"/>
      <c r="AU3140" s="1"/>
    </row>
    <row r="3141" spans="34:47">
      <c r="AH3141" s="6">
        <f t="shared" si="442"/>
        <v>3111</v>
      </c>
      <c r="AI3141" s="7">
        <f t="shared" ca="1" si="443"/>
        <v>45781</v>
      </c>
      <c r="AJ3141" s="210">
        <f t="shared" ca="1" si="444"/>
        <v>4.1749999999999998</v>
      </c>
      <c r="AK3141" s="8">
        <f t="shared" ca="1" si="445"/>
        <v>1.0001159722222221</v>
      </c>
      <c r="AL3141" s="98">
        <f t="shared" ca="1" si="446"/>
        <v>4.119307376096315</v>
      </c>
      <c r="AM3141" s="106">
        <f t="shared" ca="1" si="440"/>
        <v>33843.923719147628</v>
      </c>
      <c r="AN3141" s="10">
        <f t="shared" ca="1" si="441"/>
        <v>1.0632881510015846</v>
      </c>
      <c r="AO3141" s="158"/>
      <c r="AP3141" s="158"/>
      <c r="AQ3141" s="1"/>
      <c r="AR3141" s="1"/>
      <c r="AS3141" s="1"/>
      <c r="AT3141" s="1"/>
      <c r="AU3141" s="1"/>
    </row>
    <row r="3142" spans="34:47">
      <c r="AH3142" s="6">
        <f t="shared" si="442"/>
        <v>3112</v>
      </c>
      <c r="AI3142" s="7">
        <f t="shared" ca="1" si="443"/>
        <v>45782</v>
      </c>
      <c r="AJ3142" s="210">
        <f t="shared" ca="1" si="444"/>
        <v>4.1749999999999998</v>
      </c>
      <c r="AK3142" s="8">
        <f t="shared" ca="1" si="445"/>
        <v>1.0001159722222221</v>
      </c>
      <c r="AL3142" s="98">
        <f t="shared" ca="1" si="446"/>
        <v>4.1193729580586202</v>
      </c>
      <c r="AM3142" s="106">
        <f t="shared" ca="1" si="440"/>
        <v>33846.712508185818</v>
      </c>
      <c r="AN3142" s="10">
        <f t="shared" ca="1" si="441"/>
        <v>1.0633425589062107</v>
      </c>
      <c r="AO3142" s="158"/>
      <c r="AP3142" s="158"/>
      <c r="AQ3142" s="1"/>
      <c r="AR3142" s="1"/>
      <c r="AS3142" s="1"/>
      <c r="AT3142" s="1"/>
      <c r="AU3142" s="1"/>
    </row>
    <row r="3143" spans="34:47">
      <c r="AH3143" s="6">
        <f t="shared" si="442"/>
        <v>3113</v>
      </c>
      <c r="AI3143" s="7">
        <f t="shared" ca="1" si="443"/>
        <v>45783</v>
      </c>
      <c r="AJ3143" s="210">
        <f t="shared" ca="1" si="444"/>
        <v>4.1749999999999998</v>
      </c>
      <c r="AK3143" s="8">
        <f t="shared" ca="1" si="445"/>
        <v>1.0001159722222221</v>
      </c>
      <c r="AL3143" s="98">
        <f t="shared" ca="1" si="446"/>
        <v>4.1194384979279297</v>
      </c>
      <c r="AM3143" s="106">
        <f t="shared" ca="1" si="440"/>
        <v>33849.501527024324</v>
      </c>
      <c r="AN3143" s="10">
        <f t="shared" ca="1" si="441"/>
        <v>1.0633969318847747</v>
      </c>
      <c r="AO3143" s="158"/>
      <c r="AP3143" s="158"/>
      <c r="AQ3143" s="1"/>
      <c r="AR3143" s="1"/>
      <c r="AS3143" s="1"/>
      <c r="AT3143" s="1"/>
      <c r="AU3143" s="1"/>
    </row>
    <row r="3144" spans="34:47">
      <c r="AH3144" s="6">
        <f t="shared" si="442"/>
        <v>3114</v>
      </c>
      <c r="AI3144" s="7">
        <f t="shared" ca="1" si="443"/>
        <v>45784</v>
      </c>
      <c r="AJ3144" s="210">
        <f t="shared" ca="1" si="444"/>
        <v>4.1749999999999998</v>
      </c>
      <c r="AK3144" s="8">
        <f t="shared" ca="1" si="445"/>
        <v>1.0001159722222221</v>
      </c>
      <c r="AL3144" s="98">
        <f t="shared" ca="1" si="446"/>
        <v>4.1195039957447666</v>
      </c>
      <c r="AM3144" s="106">
        <f t="shared" ca="1" si="440"/>
        <v>33852.290775682079</v>
      </c>
      <c r="AN3144" s="10">
        <f t="shared" ca="1" si="441"/>
        <v>1.0634512699709608</v>
      </c>
      <c r="AO3144" s="158"/>
      <c r="AP3144" s="158"/>
      <c r="AQ3144" s="1"/>
      <c r="AR3144" s="1"/>
      <c r="AS3144" s="1"/>
      <c r="AT3144" s="1"/>
      <c r="AU3144" s="1"/>
    </row>
    <row r="3145" spans="34:47">
      <c r="AH3145" s="6">
        <f t="shared" si="442"/>
        <v>3115</v>
      </c>
      <c r="AI3145" s="7">
        <f t="shared" ca="1" si="443"/>
        <v>45785</v>
      </c>
      <c r="AJ3145" s="210">
        <f t="shared" ca="1" si="444"/>
        <v>4.1749999999999998</v>
      </c>
      <c r="AK3145" s="8">
        <f t="shared" ca="1" si="445"/>
        <v>1.0001159722222221</v>
      </c>
      <c r="AL3145" s="98">
        <f t="shared" ca="1" si="446"/>
        <v>4.1195694515496095</v>
      </c>
      <c r="AM3145" s="106">
        <f t="shared" ca="1" si="440"/>
        <v>33855.080254178029</v>
      </c>
      <c r="AN3145" s="10">
        <f t="shared" ca="1" si="441"/>
        <v>1.0635055731983201</v>
      </c>
      <c r="AO3145" s="158"/>
      <c r="AP3145" s="158"/>
      <c r="AQ3145" s="1"/>
      <c r="AR3145" s="1"/>
      <c r="AS3145" s="1"/>
      <c r="AT3145" s="1"/>
      <c r="AU3145" s="1"/>
    </row>
    <row r="3146" spans="34:47">
      <c r="AH3146" s="6">
        <f t="shared" si="442"/>
        <v>3116</v>
      </c>
      <c r="AI3146" s="7">
        <f t="shared" ca="1" si="443"/>
        <v>45786</v>
      </c>
      <c r="AJ3146" s="210">
        <f t="shared" ca="1" si="444"/>
        <v>4.1749999999999998</v>
      </c>
      <c r="AK3146" s="8">
        <f t="shared" ca="1" si="445"/>
        <v>1.0001159722222221</v>
      </c>
      <c r="AL3146" s="98">
        <f t="shared" ca="1" si="446"/>
        <v>4.1196348653828485</v>
      </c>
      <c r="AM3146" s="106">
        <f t="shared" ca="1" si="440"/>
        <v>33857.869962531098</v>
      </c>
      <c r="AN3146" s="10">
        <f t="shared" ca="1" si="441"/>
        <v>1.0635598416003811</v>
      </c>
      <c r="AO3146" s="158"/>
      <c r="AP3146" s="158"/>
      <c r="AQ3146" s="1"/>
      <c r="AR3146" s="1"/>
      <c r="AS3146" s="1"/>
      <c r="AT3146" s="1"/>
      <c r="AU3146" s="1"/>
    </row>
    <row r="3147" spans="34:47">
      <c r="AH3147" s="6">
        <f t="shared" si="442"/>
        <v>3117</v>
      </c>
      <c r="AI3147" s="7">
        <f t="shared" ca="1" si="443"/>
        <v>45787</v>
      </c>
      <c r="AJ3147" s="210">
        <f t="shared" ca="1" si="444"/>
        <v>4.1749999999999998</v>
      </c>
      <c r="AK3147" s="8">
        <f t="shared" ca="1" si="445"/>
        <v>1.0001159722222221</v>
      </c>
      <c r="AL3147" s="98">
        <f t="shared" ca="1" si="446"/>
        <v>4.119700237284829</v>
      </c>
      <c r="AM3147" s="106">
        <f t="shared" ca="1" si="440"/>
        <v>33860.659900760234</v>
      </c>
      <c r="AN3147" s="10">
        <f t="shared" ca="1" si="441"/>
        <v>1.0636140752106282</v>
      </c>
      <c r="AO3147" s="158"/>
      <c r="AP3147" s="158"/>
      <c r="AQ3147" s="1"/>
      <c r="AR3147" s="1"/>
      <c r="AS3147" s="1"/>
      <c r="AT3147" s="1"/>
      <c r="AU3147" s="1"/>
    </row>
    <row r="3148" spans="34:47">
      <c r="AH3148" s="6">
        <f t="shared" si="442"/>
        <v>3118</v>
      </c>
      <c r="AI3148" s="7">
        <f t="shared" ca="1" si="443"/>
        <v>45788</v>
      </c>
      <c r="AJ3148" s="210">
        <f t="shared" ca="1" si="444"/>
        <v>4.1749999999999998</v>
      </c>
      <c r="AK3148" s="8">
        <f t="shared" ca="1" si="445"/>
        <v>1.0001159722222221</v>
      </c>
      <c r="AL3148" s="98">
        <f t="shared" ca="1" si="446"/>
        <v>4.1197655672958744</v>
      </c>
      <c r="AM3148" s="106">
        <f t="shared" ca="1" si="440"/>
        <v>33863.450068884384</v>
      </c>
      <c r="AN3148" s="10">
        <f t="shared" ca="1" si="441"/>
        <v>1.0636682740625236</v>
      </c>
      <c r="AO3148" s="158"/>
      <c r="AP3148" s="158"/>
      <c r="AQ3148" s="1"/>
      <c r="AR3148" s="1"/>
      <c r="AS3148" s="1"/>
      <c r="AT3148" s="1"/>
      <c r="AU3148" s="1"/>
    </row>
    <row r="3149" spans="34:47">
      <c r="AH3149" s="6">
        <f t="shared" si="442"/>
        <v>3119</v>
      </c>
      <c r="AI3149" s="7">
        <f t="shared" ca="1" si="443"/>
        <v>45789</v>
      </c>
      <c r="AJ3149" s="210">
        <f t="shared" ca="1" si="444"/>
        <v>4.1749999999999998</v>
      </c>
      <c r="AK3149" s="8">
        <f t="shared" ca="1" si="445"/>
        <v>1.0001159722222221</v>
      </c>
      <c r="AL3149" s="98">
        <f t="shared" ca="1" si="446"/>
        <v>4.1198308554562413</v>
      </c>
      <c r="AM3149" s="106">
        <f t="shared" ca="1" si="440"/>
        <v>33866.240466922485</v>
      </c>
      <c r="AN3149" s="10">
        <f t="shared" ca="1" si="441"/>
        <v>1.063722438189485</v>
      </c>
      <c r="AO3149" s="158"/>
      <c r="AP3149" s="158"/>
      <c r="AQ3149" s="1"/>
      <c r="AR3149" s="1"/>
      <c r="AS3149" s="1"/>
      <c r="AT3149" s="1"/>
      <c r="AU3149" s="1"/>
    </row>
    <row r="3150" spans="34:47">
      <c r="AH3150" s="6">
        <f t="shared" si="442"/>
        <v>3120</v>
      </c>
      <c r="AI3150" s="7">
        <f t="shared" ca="1" si="443"/>
        <v>45790</v>
      </c>
      <c r="AJ3150" s="210">
        <f t="shared" ca="1" si="444"/>
        <v>4.1749999999999998</v>
      </c>
      <c r="AK3150" s="8">
        <f t="shared" ca="1" si="445"/>
        <v>1.0001159722222221</v>
      </c>
      <c r="AL3150" s="98">
        <f t="shared" ca="1" si="446"/>
        <v>4.1198961018061198</v>
      </c>
      <c r="AM3150" s="106">
        <f t="shared" ca="1" si="440"/>
        <v>33869.031094893486</v>
      </c>
      <c r="AN3150" s="10">
        <f t="shared" ca="1" si="441"/>
        <v>1.063776567624819</v>
      </c>
      <c r="AO3150" s="158"/>
      <c r="AP3150" s="158"/>
      <c r="AQ3150" s="1"/>
      <c r="AR3150" s="1"/>
      <c r="AS3150" s="1"/>
      <c r="AT3150" s="1"/>
      <c r="AU3150" s="1"/>
    </row>
    <row r="3151" spans="34:47">
      <c r="AH3151" s="6">
        <f t="shared" si="442"/>
        <v>3121</v>
      </c>
      <c r="AI3151" s="7">
        <f t="shared" ca="1" si="443"/>
        <v>45791</v>
      </c>
      <c r="AJ3151" s="210">
        <f t="shared" ca="1" si="444"/>
        <v>4.1749999999999998</v>
      </c>
      <c r="AK3151" s="8">
        <f t="shared" ca="1" si="445"/>
        <v>1.0001159722222221</v>
      </c>
      <c r="AL3151" s="98">
        <f t="shared" ca="1" si="446"/>
        <v>4.1199613063856555</v>
      </c>
      <c r="AM3151" s="106">
        <f t="shared" ca="1" si="440"/>
        <v>33871.821952816324</v>
      </c>
      <c r="AN3151" s="10">
        <f t="shared" ca="1" si="441"/>
        <v>1.0638306624018989</v>
      </c>
      <c r="AO3151" s="158"/>
      <c r="AP3151" s="158"/>
      <c r="AQ3151" s="1"/>
      <c r="AR3151" s="1"/>
      <c r="AS3151" s="1"/>
      <c r="AT3151" s="1"/>
      <c r="AU3151" s="1"/>
    </row>
    <row r="3152" spans="34:47">
      <c r="AH3152" s="6">
        <f t="shared" si="442"/>
        <v>3122</v>
      </c>
      <c r="AI3152" s="7">
        <f t="shared" ca="1" si="443"/>
        <v>45792</v>
      </c>
      <c r="AJ3152" s="210">
        <f t="shared" ca="1" si="444"/>
        <v>4.1749999999999998</v>
      </c>
      <c r="AK3152" s="8">
        <f t="shared" ca="1" si="445"/>
        <v>1.0001159722222221</v>
      </c>
      <c r="AL3152" s="98">
        <f t="shared" ca="1" si="446"/>
        <v>4.1200264692349498</v>
      </c>
      <c r="AM3152" s="106">
        <f t="shared" ca="1" si="440"/>
        <v>33874.613040709955</v>
      </c>
      <c r="AN3152" s="10">
        <f t="shared" ca="1" si="441"/>
        <v>1.0638847225539649</v>
      </c>
      <c r="AO3152" s="158"/>
      <c r="AP3152" s="158"/>
      <c r="AQ3152" s="1"/>
      <c r="AR3152" s="1"/>
      <c r="AS3152" s="1"/>
      <c r="AT3152" s="1"/>
      <c r="AU3152" s="1"/>
    </row>
    <row r="3153" spans="34:47">
      <c r="AH3153" s="6">
        <f t="shared" si="442"/>
        <v>3123</v>
      </c>
      <c r="AI3153" s="7">
        <f t="shared" ca="1" si="443"/>
        <v>45793</v>
      </c>
      <c r="AJ3153" s="210">
        <f t="shared" ca="1" si="444"/>
        <v>4.1749999999999998</v>
      </c>
      <c r="AK3153" s="8">
        <f t="shared" ca="1" si="445"/>
        <v>1.0001159722222221</v>
      </c>
      <c r="AL3153" s="98">
        <f t="shared" ca="1" si="446"/>
        <v>4.1200915903940594</v>
      </c>
      <c r="AM3153" s="106">
        <f t="shared" ca="1" si="440"/>
        <v>33877.40435859334</v>
      </c>
      <c r="AN3153" s="10">
        <f t="shared" ca="1" si="441"/>
        <v>1.063938748114257</v>
      </c>
      <c r="AO3153" s="158"/>
      <c r="AP3153" s="158"/>
      <c r="AQ3153" s="1"/>
      <c r="AR3153" s="1"/>
      <c r="AS3153" s="1"/>
      <c r="AT3153" s="1"/>
      <c r="AU3153" s="1"/>
    </row>
    <row r="3154" spans="34:47">
      <c r="AH3154" s="6">
        <f t="shared" si="442"/>
        <v>3124</v>
      </c>
      <c r="AI3154" s="7">
        <f t="shared" ca="1" si="443"/>
        <v>45794</v>
      </c>
      <c r="AJ3154" s="210">
        <f t="shared" ca="1" si="444"/>
        <v>4.1749999999999998</v>
      </c>
      <c r="AK3154" s="8">
        <f t="shared" ca="1" si="445"/>
        <v>1.0001159722222221</v>
      </c>
      <c r="AL3154" s="98">
        <f t="shared" ca="1" si="446"/>
        <v>4.1201566699029746</v>
      </c>
      <c r="AM3154" s="106">
        <f t="shared" ca="1" si="440"/>
        <v>33880.195906485416</v>
      </c>
      <c r="AN3154" s="10">
        <f t="shared" ca="1" si="441"/>
        <v>1.0639927391159931</v>
      </c>
      <c r="AO3154" s="158"/>
      <c r="AP3154" s="158"/>
      <c r="AQ3154" s="1"/>
      <c r="AR3154" s="1"/>
      <c r="AS3154" s="1"/>
      <c r="AT3154" s="1"/>
      <c r="AU3154" s="1"/>
    </row>
    <row r="3155" spans="34:47">
      <c r="AH3155" s="6">
        <f t="shared" si="442"/>
        <v>3125</v>
      </c>
      <c r="AI3155" s="7">
        <f t="shared" ca="1" si="443"/>
        <v>45795</v>
      </c>
      <c r="AJ3155" s="210">
        <f t="shared" ca="1" si="444"/>
        <v>4.1749999999999998</v>
      </c>
      <c r="AK3155" s="8">
        <f t="shared" ca="1" si="445"/>
        <v>1.0001159722222221</v>
      </c>
      <c r="AL3155" s="98">
        <f t="shared" ca="1" si="446"/>
        <v>4.1202217078016412</v>
      </c>
      <c r="AM3155" s="106">
        <f t="shared" ca="1" si="440"/>
        <v>33882.98768440514</v>
      </c>
      <c r="AN3155" s="10">
        <f t="shared" ca="1" si="441"/>
        <v>1.06404669559228</v>
      </c>
      <c r="AO3155" s="158"/>
      <c r="AP3155" s="158"/>
      <c r="AQ3155" s="1"/>
      <c r="AR3155" s="1"/>
      <c r="AS3155" s="1"/>
      <c r="AT3155" s="1"/>
      <c r="AU3155" s="1"/>
    </row>
    <row r="3156" spans="34:47">
      <c r="AH3156" s="6">
        <f t="shared" si="442"/>
        <v>3126</v>
      </c>
      <c r="AI3156" s="7">
        <f t="shared" ca="1" si="443"/>
        <v>45796</v>
      </c>
      <c r="AJ3156" s="210">
        <f t="shared" ca="1" si="444"/>
        <v>4.1749999999999998</v>
      </c>
      <c r="AK3156" s="8">
        <f t="shared" ca="1" si="445"/>
        <v>1.0001159722222221</v>
      </c>
      <c r="AL3156" s="98">
        <f t="shared" ca="1" si="446"/>
        <v>4.1202867041299607</v>
      </c>
      <c r="AM3156" s="106">
        <f t="shared" ca="1" si="440"/>
        <v>33885.779692371456</v>
      </c>
      <c r="AN3156" s="10">
        <f t="shared" ca="1" si="441"/>
        <v>1.0641006175762691</v>
      </c>
      <c r="AO3156" s="158"/>
      <c r="AP3156" s="158"/>
      <c r="AQ3156" s="1"/>
      <c r="AR3156" s="1"/>
      <c r="AS3156" s="1"/>
      <c r="AT3156" s="1"/>
      <c r="AU3156" s="1"/>
    </row>
    <row r="3157" spans="34:47">
      <c r="AH3157" s="6">
        <f t="shared" si="442"/>
        <v>3127</v>
      </c>
      <c r="AI3157" s="7">
        <f t="shared" ca="1" si="443"/>
        <v>45797</v>
      </c>
      <c r="AJ3157" s="210">
        <f t="shared" ca="1" si="444"/>
        <v>4.1749999999999998</v>
      </c>
      <c r="AK3157" s="8">
        <f t="shared" ca="1" si="445"/>
        <v>1.0001159722222221</v>
      </c>
      <c r="AL3157" s="98">
        <f t="shared" ca="1" si="446"/>
        <v>4.1203516589277678</v>
      </c>
      <c r="AM3157" s="106">
        <f t="shared" ca="1" si="440"/>
        <v>33888.571930403341</v>
      </c>
      <c r="AN3157" s="10">
        <f t="shared" ca="1" si="441"/>
        <v>1.0641545051010004</v>
      </c>
      <c r="AO3157" s="158"/>
      <c r="AP3157" s="158"/>
      <c r="AQ3157" s="1"/>
      <c r="AR3157" s="1"/>
      <c r="AS3157" s="1"/>
      <c r="AT3157" s="1"/>
      <c r="AU3157" s="1"/>
    </row>
    <row r="3158" spans="34:47">
      <c r="AH3158" s="6">
        <f t="shared" si="442"/>
        <v>3128</v>
      </c>
      <c r="AI3158" s="7">
        <f t="shared" ca="1" si="443"/>
        <v>45798</v>
      </c>
      <c r="AJ3158" s="210">
        <f t="shared" ca="1" si="444"/>
        <v>4.1749999999999998</v>
      </c>
      <c r="AK3158" s="8">
        <f t="shared" ca="1" si="445"/>
        <v>1.0001159722222221</v>
      </c>
      <c r="AL3158" s="98">
        <f t="shared" ca="1" si="446"/>
        <v>4.1204165722348529</v>
      </c>
      <c r="AM3158" s="106">
        <f t="shared" ca="1" si="440"/>
        <v>33891.364398519741</v>
      </c>
      <c r="AN3158" s="10">
        <f t="shared" ca="1" si="441"/>
        <v>1.0642083581994921</v>
      </c>
      <c r="AO3158" s="158"/>
      <c r="AP3158" s="158"/>
      <c r="AQ3158" s="1"/>
      <c r="AR3158" s="1"/>
      <c r="AS3158" s="1"/>
      <c r="AT3158" s="1"/>
      <c r="AU3158" s="1"/>
    </row>
    <row r="3159" spans="34:47">
      <c r="AH3159" s="6">
        <f t="shared" si="442"/>
        <v>3129</v>
      </c>
      <c r="AI3159" s="7">
        <f t="shared" ca="1" si="443"/>
        <v>45799</v>
      </c>
      <c r="AJ3159" s="210">
        <f t="shared" ca="1" si="444"/>
        <v>4.1749999999999998</v>
      </c>
      <c r="AK3159" s="8">
        <f t="shared" ca="1" si="445"/>
        <v>1.0001159722222221</v>
      </c>
      <c r="AL3159" s="98">
        <f t="shared" ca="1" si="446"/>
        <v>4.1204814440909621</v>
      </c>
      <c r="AM3159" s="106">
        <f t="shared" ca="1" si="440"/>
        <v>33894.157096739618</v>
      </c>
      <c r="AN3159" s="10">
        <f t="shared" ca="1" si="441"/>
        <v>1.0642621769047178</v>
      </c>
      <c r="AO3159" s="158"/>
      <c r="AP3159" s="158"/>
      <c r="AQ3159" s="1"/>
      <c r="AR3159" s="1"/>
      <c r="AS3159" s="1"/>
      <c r="AT3159" s="1"/>
      <c r="AU3159" s="1"/>
    </row>
    <row r="3160" spans="34:47">
      <c r="AH3160" s="6">
        <f t="shared" si="442"/>
        <v>3130</v>
      </c>
      <c r="AI3160" s="7">
        <f t="shared" ca="1" si="443"/>
        <v>45800</v>
      </c>
      <c r="AJ3160" s="210">
        <f t="shared" ca="1" si="444"/>
        <v>4.1749999999999998</v>
      </c>
      <c r="AK3160" s="8">
        <f t="shared" ca="1" si="445"/>
        <v>1.0001159722222221</v>
      </c>
      <c r="AL3160" s="98">
        <f t="shared" ca="1" si="446"/>
        <v>4.1205462745357968</v>
      </c>
      <c r="AM3160" s="106">
        <f t="shared" ca="1" si="440"/>
        <v>33896.950025081926</v>
      </c>
      <c r="AN3160" s="10">
        <f t="shared" ca="1" si="441"/>
        <v>1.0643159612496511</v>
      </c>
      <c r="AO3160" s="158"/>
      <c r="AP3160" s="158"/>
      <c r="AQ3160" s="1"/>
      <c r="AR3160" s="1"/>
      <c r="AS3160" s="1"/>
      <c r="AT3160" s="1"/>
      <c r="AU3160" s="1"/>
    </row>
    <row r="3161" spans="34:47">
      <c r="AH3161" s="6">
        <f t="shared" si="442"/>
        <v>3131</v>
      </c>
      <c r="AI3161" s="7">
        <f t="shared" ca="1" si="443"/>
        <v>45801</v>
      </c>
      <c r="AJ3161" s="210">
        <f t="shared" ca="1" si="444"/>
        <v>4.1749999999999998</v>
      </c>
      <c r="AK3161" s="8">
        <f t="shared" ca="1" si="445"/>
        <v>1.0001159722222221</v>
      </c>
      <c r="AL3161" s="98">
        <f t="shared" ca="1" si="446"/>
        <v>4.1206110636089699</v>
      </c>
      <c r="AM3161" s="106">
        <f t="shared" ca="1" si="440"/>
        <v>33899.743183565632</v>
      </c>
      <c r="AN3161" s="10">
        <f t="shared" ca="1" si="441"/>
        <v>1.0643697112671546</v>
      </c>
      <c r="AO3161" s="158"/>
      <c r="AP3161" s="158"/>
      <c r="AQ3161" s="1"/>
      <c r="AR3161" s="1"/>
      <c r="AS3161" s="1"/>
      <c r="AT3161" s="1"/>
      <c r="AU3161" s="1"/>
    </row>
    <row r="3162" spans="34:47">
      <c r="AH3162" s="6">
        <f t="shared" si="442"/>
        <v>3132</v>
      </c>
      <c r="AI3162" s="7">
        <f t="shared" ca="1" si="443"/>
        <v>45802</v>
      </c>
      <c r="AJ3162" s="210">
        <f t="shared" ca="1" si="444"/>
        <v>4.1749999999999998</v>
      </c>
      <c r="AK3162" s="8">
        <f t="shared" ca="1" si="445"/>
        <v>1.0001159722222221</v>
      </c>
      <c r="AL3162" s="98">
        <f t="shared" ca="1" si="446"/>
        <v>4.1206758113500941</v>
      </c>
      <c r="AM3162" s="106">
        <f t="shared" ca="1" si="440"/>
        <v>33902.536572209705</v>
      </c>
      <c r="AN3162" s="10">
        <f t="shared" ca="1" si="441"/>
        <v>1.064423426990091</v>
      </c>
      <c r="AO3162" s="158"/>
      <c r="AP3162" s="158"/>
      <c r="AQ3162" s="1"/>
      <c r="AR3162" s="1"/>
      <c r="AS3162" s="1"/>
      <c r="AT3162" s="1"/>
      <c r="AU3162" s="1"/>
    </row>
    <row r="3163" spans="34:47">
      <c r="AH3163" s="6">
        <f t="shared" si="442"/>
        <v>3133</v>
      </c>
      <c r="AI3163" s="7">
        <f t="shared" ca="1" si="443"/>
        <v>45803</v>
      </c>
      <c r="AJ3163" s="210">
        <f t="shared" ca="1" si="444"/>
        <v>4.1749999999999998</v>
      </c>
      <c r="AK3163" s="8">
        <f t="shared" ca="1" si="445"/>
        <v>1.0001159722222221</v>
      </c>
      <c r="AL3163" s="98">
        <f t="shared" ca="1" si="446"/>
        <v>4.1207405177987155</v>
      </c>
      <c r="AM3163" s="106">
        <f t="shared" ca="1" si="440"/>
        <v>33905.330191033107</v>
      </c>
      <c r="AN3163" s="10">
        <f t="shared" ca="1" si="441"/>
        <v>1.0644771084512783</v>
      </c>
      <c r="AO3163" s="158"/>
      <c r="AP3163" s="158"/>
      <c r="AQ3163" s="1"/>
      <c r="AR3163" s="1"/>
      <c r="AS3163" s="1"/>
      <c r="AT3163" s="1"/>
      <c r="AU3163" s="1"/>
    </row>
    <row r="3164" spans="34:47">
      <c r="AH3164" s="6">
        <f t="shared" si="442"/>
        <v>3134</v>
      </c>
      <c r="AI3164" s="7">
        <f t="shared" ca="1" si="443"/>
        <v>45804</v>
      </c>
      <c r="AJ3164" s="210">
        <f t="shared" ca="1" si="444"/>
        <v>4.1749999999999998</v>
      </c>
      <c r="AK3164" s="8">
        <f t="shared" ca="1" si="445"/>
        <v>1.0001159722222221</v>
      </c>
      <c r="AL3164" s="98">
        <f t="shared" ca="1" si="446"/>
        <v>4.1208051829942915</v>
      </c>
      <c r="AM3164" s="106">
        <f t="shared" ca="1" si="440"/>
        <v>33908.124040054805</v>
      </c>
      <c r="AN3164" s="10">
        <f t="shared" ca="1" si="441"/>
        <v>1.0645307556834682</v>
      </c>
      <c r="AO3164" s="158"/>
      <c r="AP3164" s="158"/>
      <c r="AQ3164" s="1"/>
      <c r="AR3164" s="1"/>
      <c r="AS3164" s="1"/>
      <c r="AT3164" s="1"/>
      <c r="AU3164" s="1"/>
    </row>
    <row r="3165" spans="34:47">
      <c r="AH3165" s="6">
        <f t="shared" si="442"/>
        <v>3135</v>
      </c>
      <c r="AI3165" s="7">
        <f t="shared" ca="1" si="443"/>
        <v>45805</v>
      </c>
      <c r="AJ3165" s="210">
        <f t="shared" ca="1" si="444"/>
        <v>4.1749999999999998</v>
      </c>
      <c r="AK3165" s="8">
        <f t="shared" ca="1" si="445"/>
        <v>1.0001159722222221</v>
      </c>
      <c r="AL3165" s="98">
        <f t="shared" ca="1" si="446"/>
        <v>4.1208698069762795</v>
      </c>
      <c r="AM3165" s="106">
        <f t="shared" ca="1" si="440"/>
        <v>33910.918119293761</v>
      </c>
      <c r="AN3165" s="10">
        <f t="shared" ca="1" si="441"/>
        <v>1.0645843687193901</v>
      </c>
      <c r="AO3165" s="158"/>
      <c r="AP3165" s="158"/>
      <c r="AQ3165" s="1"/>
      <c r="AR3165" s="1"/>
      <c r="AS3165" s="1"/>
      <c r="AT3165" s="1"/>
      <c r="AU3165" s="1"/>
    </row>
    <row r="3166" spans="34:47">
      <c r="AH3166" s="6">
        <f t="shared" si="442"/>
        <v>3136</v>
      </c>
      <c r="AI3166" s="7">
        <f t="shared" ca="1" si="443"/>
        <v>45806</v>
      </c>
      <c r="AJ3166" s="210">
        <f t="shared" ca="1" si="444"/>
        <v>4.1749999999999998</v>
      </c>
      <c r="AK3166" s="8">
        <f t="shared" ca="1" si="445"/>
        <v>1.0001159722222221</v>
      </c>
      <c r="AL3166" s="98">
        <f t="shared" ca="1" si="446"/>
        <v>4.12093438978407</v>
      </c>
      <c r="AM3166" s="106">
        <f t="shared" ca="1" si="440"/>
        <v>33913.712428768958</v>
      </c>
      <c r="AN3166" s="10">
        <f t="shared" ca="1" si="441"/>
        <v>1.0646379475917511</v>
      </c>
      <c r="AO3166" s="158"/>
      <c r="AP3166" s="158"/>
      <c r="AQ3166" s="1"/>
      <c r="AR3166" s="1"/>
      <c r="AS3166" s="1"/>
      <c r="AT3166" s="1"/>
      <c r="AU3166" s="1"/>
    </row>
    <row r="3167" spans="34:47">
      <c r="AH3167" s="6">
        <f t="shared" si="442"/>
        <v>3137</v>
      </c>
      <c r="AI3167" s="7">
        <f t="shared" ca="1" si="443"/>
        <v>45807</v>
      </c>
      <c r="AJ3167" s="210">
        <f t="shared" ca="1" si="444"/>
        <v>4.1749999999999998</v>
      </c>
      <c r="AK3167" s="8">
        <f t="shared" ca="1" si="445"/>
        <v>1.0001159722222221</v>
      </c>
      <c r="AL3167" s="98">
        <f t="shared" ca="1" si="446"/>
        <v>4.1209989314569873</v>
      </c>
      <c r="AM3167" s="106">
        <f t="shared" ref="AM3167:AM3230" ca="1" si="447">Geom_Interp(AI3167,$AZ$2:$AZ$109,$BA$2:$BA$109)</f>
        <v>33916.506968499358</v>
      </c>
      <c r="AN3167" s="10">
        <f t="shared" ref="AN3167:AN3230" ca="1" si="448">100*(((1+AL3167/100)^(AH3167/365)*$AM$29/AM3167)^(365/AH3167)-1)</f>
        <v>1.0646914923331696</v>
      </c>
      <c r="AO3167" s="158"/>
      <c r="AP3167" s="158"/>
      <c r="AQ3167" s="1"/>
      <c r="AR3167" s="1"/>
      <c r="AS3167" s="1"/>
      <c r="AT3167" s="1"/>
      <c r="AU3167" s="1"/>
    </row>
    <row r="3168" spans="34:47">
      <c r="AH3168" s="6">
        <f t="shared" ref="AH3168:AH3231" si="449">$AI$29+AH3167</f>
        <v>3138</v>
      </c>
      <c r="AI3168" s="7">
        <f t="shared" ref="AI3168:AI3231" ca="1" si="450">+AH3168+$C$1</f>
        <v>45808</v>
      </c>
      <c r="AJ3168" s="210">
        <f t="shared" ref="AJ3168:AJ3231" ca="1" si="451">IF(AH3168&lt;365,VLOOKUP(LOOKUP(AI3168,$AI$2:$AI$23),$AI$2:$AK$23,3,0),Lin_Interp(AH3168,$AJ$2:$AJ$23,$AK$2:$AK$23))</f>
        <v>4.1749999999999998</v>
      </c>
      <c r="AK3168" s="8">
        <f t="shared" ca="1" si="445"/>
        <v>1.0001159722222221</v>
      </c>
      <c r="AL3168" s="98">
        <f t="shared" ca="1" si="446"/>
        <v>4.1210634320343331</v>
      </c>
      <c r="AM3168" s="106">
        <f t="shared" ca="1" si="447"/>
        <v>33919.301738503942</v>
      </c>
      <c r="AN3168" s="10">
        <f t="shared" ca="1" si="448"/>
        <v>1.0647450029762862</v>
      </c>
      <c r="AO3168" s="158"/>
      <c r="AP3168" s="158"/>
      <c r="AQ3168" s="1"/>
      <c r="AR3168" s="1"/>
      <c r="AS3168" s="1"/>
      <c r="AT3168" s="1"/>
      <c r="AU3168" s="1"/>
    </row>
    <row r="3169" spans="34:47">
      <c r="AH3169" s="6">
        <f t="shared" si="449"/>
        <v>3139</v>
      </c>
      <c r="AI3169" s="7">
        <f t="shared" ca="1" si="450"/>
        <v>45809</v>
      </c>
      <c r="AJ3169" s="210">
        <f t="shared" ca="1" si="451"/>
        <v>4.1749999999999998</v>
      </c>
      <c r="AK3169" s="8">
        <f t="shared" ref="AK3169:AK3232" ca="1" si="452">+(1+AJ3169/36000)</f>
        <v>1.0001159722222221</v>
      </c>
      <c r="AL3169" s="98">
        <f t="shared" ref="AL3169:AL3232" ca="1" si="453">100*(((1+AL3168/100)^(AH3168/365)*AK3169)^(365/AH3169)-1)</f>
        <v>4.1211278915553429</v>
      </c>
      <c r="AM3169" s="106">
        <f t="shared" ca="1" si="447"/>
        <v>33922.096738801672</v>
      </c>
      <c r="AN3169" s="10">
        <f t="shared" ca="1" si="448"/>
        <v>1.0647984795536303</v>
      </c>
      <c r="AO3169" s="158"/>
      <c r="AP3169" s="158"/>
      <c r="AQ3169" s="1"/>
      <c r="AR3169" s="1"/>
      <c r="AS3169" s="1"/>
      <c r="AT3169" s="1"/>
      <c r="AU3169" s="1"/>
    </row>
    <row r="3170" spans="34:47">
      <c r="AH3170" s="6">
        <f t="shared" si="449"/>
        <v>3140</v>
      </c>
      <c r="AI3170" s="7">
        <f t="shared" ca="1" si="450"/>
        <v>45810</v>
      </c>
      <c r="AJ3170" s="210">
        <f t="shared" ca="1" si="451"/>
        <v>4.1749999999999998</v>
      </c>
      <c r="AK3170" s="8">
        <f t="shared" ca="1" si="452"/>
        <v>1.0001159722222221</v>
      </c>
      <c r="AL3170" s="98">
        <f t="shared" ca="1" si="453"/>
        <v>4.1211923100591852</v>
      </c>
      <c r="AM3170" s="106">
        <f t="shared" ca="1" si="447"/>
        <v>33924.891969411539</v>
      </c>
      <c r="AN3170" s="10">
        <f t="shared" ca="1" si="448"/>
        <v>1.0648519220977093</v>
      </c>
      <c r="AO3170" s="158"/>
      <c r="AP3170" s="158"/>
      <c r="AQ3170" s="1"/>
      <c r="AR3170" s="1"/>
      <c r="AS3170" s="1"/>
      <c r="AT3170" s="1"/>
      <c r="AU3170" s="1"/>
    </row>
    <row r="3171" spans="34:47">
      <c r="AH3171" s="6">
        <f t="shared" si="449"/>
        <v>3141</v>
      </c>
      <c r="AI3171" s="7">
        <f t="shared" ca="1" si="450"/>
        <v>45811</v>
      </c>
      <c r="AJ3171" s="210">
        <f t="shared" ca="1" si="451"/>
        <v>4.1749999999999998</v>
      </c>
      <c r="AK3171" s="8">
        <f t="shared" ca="1" si="452"/>
        <v>1.0001159722222221</v>
      </c>
      <c r="AL3171" s="98">
        <f t="shared" ca="1" si="453"/>
        <v>4.1212566875850287</v>
      </c>
      <c r="AM3171" s="106">
        <f t="shared" ca="1" si="447"/>
        <v>33927.687430352511</v>
      </c>
      <c r="AN3171" s="10">
        <f t="shared" ca="1" si="448"/>
        <v>1.0649053306410527</v>
      </c>
      <c r="AO3171" s="158"/>
      <c r="AP3171" s="158"/>
      <c r="AQ3171" s="1"/>
      <c r="AR3171" s="1"/>
      <c r="AS3171" s="1"/>
      <c r="AT3171" s="1"/>
      <c r="AU3171" s="1"/>
    </row>
    <row r="3172" spans="34:47">
      <c r="AH3172" s="6">
        <f t="shared" si="449"/>
        <v>3142</v>
      </c>
      <c r="AI3172" s="7">
        <f t="shared" ca="1" si="450"/>
        <v>45812</v>
      </c>
      <c r="AJ3172" s="210">
        <f t="shared" ca="1" si="451"/>
        <v>4.1749999999999998</v>
      </c>
      <c r="AK3172" s="8">
        <f t="shared" ca="1" si="452"/>
        <v>1.0001159722222221</v>
      </c>
      <c r="AL3172" s="98">
        <f t="shared" ca="1" si="453"/>
        <v>4.1213210241719311</v>
      </c>
      <c r="AM3172" s="106">
        <f t="shared" ca="1" si="447"/>
        <v>33930.483121643578</v>
      </c>
      <c r="AN3172" s="10">
        <f t="shared" ca="1" si="448"/>
        <v>1.0649587052160348</v>
      </c>
      <c r="AO3172" s="158"/>
      <c r="AP3172" s="158"/>
      <c r="AQ3172" s="1"/>
      <c r="AR3172" s="1"/>
      <c r="AS3172" s="1"/>
      <c r="AT3172" s="1"/>
      <c r="AU3172" s="1"/>
    </row>
    <row r="3173" spans="34:47">
      <c r="AH3173" s="6">
        <f t="shared" si="449"/>
        <v>3143</v>
      </c>
      <c r="AI3173" s="7">
        <f t="shared" ca="1" si="450"/>
        <v>45813</v>
      </c>
      <c r="AJ3173" s="210">
        <f t="shared" ca="1" si="451"/>
        <v>4.1749999999999998</v>
      </c>
      <c r="AK3173" s="8">
        <f t="shared" ca="1" si="452"/>
        <v>1.0001159722222221</v>
      </c>
      <c r="AL3173" s="98">
        <f t="shared" ca="1" si="453"/>
        <v>4.1213853198589501</v>
      </c>
      <c r="AM3173" s="106">
        <f t="shared" ca="1" si="447"/>
        <v>33933.279043303708</v>
      </c>
      <c r="AN3173" s="10">
        <f t="shared" ca="1" si="448"/>
        <v>1.065012045855096</v>
      </c>
      <c r="AO3173" s="158"/>
      <c r="AP3173" s="158"/>
      <c r="AQ3173" s="1"/>
      <c r="AR3173" s="1"/>
      <c r="AS3173" s="1"/>
      <c r="AT3173" s="1"/>
      <c r="AU3173" s="1"/>
    </row>
    <row r="3174" spans="34:47">
      <c r="AH3174" s="6">
        <f t="shared" si="449"/>
        <v>3144</v>
      </c>
      <c r="AI3174" s="7">
        <f t="shared" ca="1" si="450"/>
        <v>45814</v>
      </c>
      <c r="AJ3174" s="210">
        <f t="shared" ca="1" si="451"/>
        <v>4.1749999999999998</v>
      </c>
      <c r="AK3174" s="8">
        <f t="shared" ca="1" si="452"/>
        <v>1.0001159722222221</v>
      </c>
      <c r="AL3174" s="98">
        <f t="shared" ca="1" si="453"/>
        <v>4.1214495746850766</v>
      </c>
      <c r="AM3174" s="106">
        <f t="shared" ca="1" si="447"/>
        <v>33936.075195351892</v>
      </c>
      <c r="AN3174" s="10">
        <f t="shared" ca="1" si="448"/>
        <v>1.0650653525905662</v>
      </c>
      <c r="AO3174" s="158"/>
      <c r="AP3174" s="158"/>
      <c r="AQ3174" s="1"/>
      <c r="AR3174" s="1"/>
      <c r="AS3174" s="1"/>
      <c r="AT3174" s="1"/>
      <c r="AU3174" s="1"/>
    </row>
    <row r="3175" spans="34:47">
      <c r="AH3175" s="6">
        <f t="shared" si="449"/>
        <v>3145</v>
      </c>
      <c r="AI3175" s="7">
        <f t="shared" ca="1" si="450"/>
        <v>45815</v>
      </c>
      <c r="AJ3175" s="210">
        <f t="shared" ca="1" si="451"/>
        <v>4.1749999999999998</v>
      </c>
      <c r="AK3175" s="8">
        <f t="shared" ca="1" si="452"/>
        <v>1.0001159722222221</v>
      </c>
      <c r="AL3175" s="98">
        <f t="shared" ca="1" si="453"/>
        <v>4.121513788689235</v>
      </c>
      <c r="AM3175" s="106">
        <f t="shared" ca="1" si="447"/>
        <v>33938.87157780712</v>
      </c>
      <c r="AN3175" s="10">
        <f t="shared" ca="1" si="448"/>
        <v>1.0651186254547973</v>
      </c>
      <c r="AO3175" s="158"/>
      <c r="AP3175" s="158"/>
      <c r="AQ3175" s="1"/>
      <c r="AR3175" s="1"/>
      <c r="AS3175" s="1"/>
      <c r="AT3175" s="1"/>
      <c r="AU3175" s="1"/>
    </row>
    <row r="3176" spans="34:47">
      <c r="AH3176" s="6">
        <f t="shared" si="449"/>
        <v>3146</v>
      </c>
      <c r="AI3176" s="7">
        <f t="shared" ca="1" si="450"/>
        <v>45816</v>
      </c>
      <c r="AJ3176" s="210">
        <f t="shared" ca="1" si="451"/>
        <v>4.1749999999999998</v>
      </c>
      <c r="AK3176" s="8">
        <f t="shared" ca="1" si="452"/>
        <v>1.0001159722222221</v>
      </c>
      <c r="AL3176" s="98">
        <f t="shared" ca="1" si="453"/>
        <v>4.1215779619103277</v>
      </c>
      <c r="AM3176" s="106">
        <f t="shared" ca="1" si="447"/>
        <v>33941.66819068836</v>
      </c>
      <c r="AN3176" s="10">
        <f t="shared" ca="1" si="448"/>
        <v>1.0651718644800079</v>
      </c>
      <c r="AO3176" s="158"/>
      <c r="AP3176" s="158"/>
      <c r="AQ3176" s="1"/>
      <c r="AR3176" s="1"/>
      <c r="AS3176" s="1"/>
      <c r="AT3176" s="1"/>
      <c r="AU3176" s="1"/>
    </row>
    <row r="3177" spans="34:47">
      <c r="AH3177" s="6">
        <f t="shared" si="449"/>
        <v>3147</v>
      </c>
      <c r="AI3177" s="7">
        <f t="shared" ca="1" si="450"/>
        <v>45817</v>
      </c>
      <c r="AJ3177" s="210">
        <f t="shared" ca="1" si="451"/>
        <v>4.1749999999999998</v>
      </c>
      <c r="AK3177" s="8">
        <f t="shared" ca="1" si="452"/>
        <v>1.0001159722222221</v>
      </c>
      <c r="AL3177" s="98">
        <f t="shared" ca="1" si="453"/>
        <v>4.1216420943871901</v>
      </c>
      <c r="AM3177" s="106">
        <f t="shared" ca="1" si="447"/>
        <v>33944.465034014618</v>
      </c>
      <c r="AN3177" s="10">
        <f t="shared" ca="1" si="448"/>
        <v>1.0652250696984833</v>
      </c>
      <c r="AO3177" s="158"/>
      <c r="AP3177" s="158"/>
      <c r="AQ3177" s="1"/>
      <c r="AR3177" s="1"/>
      <c r="AS3177" s="1"/>
      <c r="AT3177" s="1"/>
      <c r="AU3177" s="1"/>
    </row>
    <row r="3178" spans="34:47">
      <c r="AH3178" s="6">
        <f t="shared" si="449"/>
        <v>3148</v>
      </c>
      <c r="AI3178" s="7">
        <f t="shared" ca="1" si="450"/>
        <v>45818</v>
      </c>
      <c r="AJ3178" s="210">
        <f t="shared" ca="1" si="451"/>
        <v>4.1749999999999998</v>
      </c>
      <c r="AK3178" s="8">
        <f t="shared" ca="1" si="452"/>
        <v>1.0001159722222221</v>
      </c>
      <c r="AL3178" s="98">
        <f t="shared" ca="1" si="453"/>
        <v>4.1217061861586135</v>
      </c>
      <c r="AM3178" s="106">
        <f t="shared" ca="1" si="447"/>
        <v>33947.262107804869</v>
      </c>
      <c r="AN3178" s="10">
        <f t="shared" ca="1" si="448"/>
        <v>1.0652782411423756</v>
      </c>
      <c r="AO3178" s="158"/>
      <c r="AP3178" s="158"/>
      <c r="AQ3178" s="1"/>
      <c r="AR3178" s="1"/>
      <c r="AS3178" s="1"/>
      <c r="AT3178" s="1"/>
      <c r="AU3178" s="1"/>
    </row>
    <row r="3179" spans="34:47">
      <c r="AH3179" s="6">
        <f t="shared" si="449"/>
        <v>3149</v>
      </c>
      <c r="AI3179" s="7">
        <f t="shared" ca="1" si="450"/>
        <v>45819</v>
      </c>
      <c r="AJ3179" s="210">
        <f t="shared" ca="1" si="451"/>
        <v>4.1749999999999998</v>
      </c>
      <c r="AK3179" s="8">
        <f t="shared" ca="1" si="452"/>
        <v>1.0001159722222221</v>
      </c>
      <c r="AL3179" s="98">
        <f t="shared" ca="1" si="453"/>
        <v>4.1217702372633447</v>
      </c>
      <c r="AM3179" s="106">
        <f t="shared" ca="1" si="447"/>
        <v>33950.059412078117</v>
      </c>
      <c r="AN3179" s="10">
        <f t="shared" ca="1" si="448"/>
        <v>1.0653313788438368</v>
      </c>
      <c r="AO3179" s="158"/>
      <c r="AP3179" s="158"/>
      <c r="AQ3179" s="1"/>
      <c r="AR3179" s="1"/>
      <c r="AS3179" s="1"/>
      <c r="AT3179" s="1"/>
      <c r="AU3179" s="1"/>
    </row>
    <row r="3180" spans="34:47">
      <c r="AH3180" s="6">
        <f t="shared" si="449"/>
        <v>3150</v>
      </c>
      <c r="AI3180" s="7">
        <f t="shared" ca="1" si="450"/>
        <v>45820</v>
      </c>
      <c r="AJ3180" s="210">
        <f t="shared" ca="1" si="451"/>
        <v>4.1749999999999998</v>
      </c>
      <c r="AK3180" s="8">
        <f t="shared" ca="1" si="452"/>
        <v>1.0001159722222221</v>
      </c>
      <c r="AL3180" s="98">
        <f t="shared" ca="1" si="453"/>
        <v>4.1218342477400638</v>
      </c>
      <c r="AM3180" s="106">
        <f t="shared" ca="1" si="447"/>
        <v>33952.856946853346</v>
      </c>
      <c r="AN3180" s="10">
        <f t="shared" ca="1" si="448"/>
        <v>1.0653844828349968</v>
      </c>
      <c r="AO3180" s="158"/>
      <c r="AP3180" s="158"/>
      <c r="AQ3180" s="1"/>
      <c r="AR3180" s="1"/>
      <c r="AS3180" s="1"/>
      <c r="AT3180" s="1"/>
      <c r="AU3180" s="1"/>
    </row>
    <row r="3181" spans="34:47">
      <c r="AH3181" s="6">
        <f t="shared" si="449"/>
        <v>3151</v>
      </c>
      <c r="AI3181" s="7">
        <f t="shared" ca="1" si="450"/>
        <v>45821</v>
      </c>
      <c r="AJ3181" s="210">
        <f t="shared" ca="1" si="451"/>
        <v>4.1749999999999998</v>
      </c>
      <c r="AK3181" s="8">
        <f t="shared" ca="1" si="452"/>
        <v>1.0001159722222221</v>
      </c>
      <c r="AL3181" s="98">
        <f t="shared" ca="1" si="453"/>
        <v>4.1218982176274288</v>
      </c>
      <c r="AM3181" s="106">
        <f t="shared" ca="1" si="447"/>
        <v>33955.654712149546</v>
      </c>
      <c r="AN3181" s="10">
        <f t="shared" ca="1" si="448"/>
        <v>1.0654375531479188</v>
      </c>
      <c r="AO3181" s="158"/>
      <c r="AP3181" s="158"/>
      <c r="AQ3181" s="1"/>
      <c r="AR3181" s="1"/>
      <c r="AS3181" s="1"/>
      <c r="AT3181" s="1"/>
      <c r="AU3181" s="1"/>
    </row>
    <row r="3182" spans="34:47">
      <c r="AH3182" s="6">
        <f t="shared" si="449"/>
        <v>3152</v>
      </c>
      <c r="AI3182" s="7">
        <f t="shared" ca="1" si="450"/>
        <v>45822</v>
      </c>
      <c r="AJ3182" s="210">
        <f t="shared" ca="1" si="451"/>
        <v>4.1749999999999998</v>
      </c>
      <c r="AK3182" s="8">
        <f t="shared" ca="1" si="452"/>
        <v>1.0001159722222221</v>
      </c>
      <c r="AL3182" s="98">
        <f t="shared" ca="1" si="453"/>
        <v>4.1219621469640311</v>
      </c>
      <c r="AM3182" s="106">
        <f t="shared" ca="1" si="447"/>
        <v>33958.452707985722</v>
      </c>
      <c r="AN3182" s="10">
        <f t="shared" ca="1" si="448"/>
        <v>1.0654905898146438</v>
      </c>
      <c r="AO3182" s="158"/>
      <c r="AP3182" s="158"/>
      <c r="AQ3182" s="1"/>
      <c r="AR3182" s="1"/>
      <c r="AS3182" s="1"/>
      <c r="AT3182" s="1"/>
      <c r="AU3182" s="1"/>
    </row>
    <row r="3183" spans="34:47">
      <c r="AH3183" s="6">
        <f t="shared" si="449"/>
        <v>3153</v>
      </c>
      <c r="AI3183" s="7">
        <f t="shared" ca="1" si="450"/>
        <v>45823</v>
      </c>
      <c r="AJ3183" s="210">
        <f t="shared" ca="1" si="451"/>
        <v>4.1749999999999998</v>
      </c>
      <c r="AK3183" s="8">
        <f t="shared" ca="1" si="452"/>
        <v>1.0001159722222221</v>
      </c>
      <c r="AL3183" s="98">
        <f t="shared" ca="1" si="453"/>
        <v>4.1220260357884175</v>
      </c>
      <c r="AM3183" s="106">
        <f t="shared" ca="1" si="447"/>
        <v>33961.250934380856</v>
      </c>
      <c r="AN3183" s="10">
        <f t="shared" ca="1" si="448"/>
        <v>1.0655435928671242</v>
      </c>
      <c r="AO3183" s="158"/>
      <c r="AP3183" s="158"/>
      <c r="AQ3183" s="1"/>
      <c r="AR3183" s="1"/>
      <c r="AS3183" s="1"/>
      <c r="AT3183" s="1"/>
      <c r="AU3183" s="1"/>
    </row>
    <row r="3184" spans="34:47">
      <c r="AH3184" s="6">
        <f t="shared" si="449"/>
        <v>3154</v>
      </c>
      <c r="AI3184" s="7">
        <f t="shared" ca="1" si="450"/>
        <v>45824</v>
      </c>
      <c r="AJ3184" s="210">
        <f t="shared" ca="1" si="451"/>
        <v>4.1749999999999998</v>
      </c>
      <c r="AK3184" s="8">
        <f t="shared" ca="1" si="452"/>
        <v>1.0001159722222221</v>
      </c>
      <c r="AL3184" s="98">
        <f t="shared" ca="1" si="453"/>
        <v>4.1220898841390685</v>
      </c>
      <c r="AM3184" s="106">
        <f t="shared" ca="1" si="447"/>
        <v>33964.049391353969</v>
      </c>
      <c r="AN3184" s="10">
        <f t="shared" ca="1" si="448"/>
        <v>1.065596562337312</v>
      </c>
      <c r="AO3184" s="158"/>
      <c r="AP3184" s="158"/>
      <c r="AQ3184" s="1"/>
      <c r="AR3184" s="1"/>
      <c r="AS3184" s="1"/>
      <c r="AT3184" s="1"/>
      <c r="AU3184" s="1"/>
    </row>
    <row r="3185" spans="34:47">
      <c r="AH3185" s="6">
        <f t="shared" si="449"/>
        <v>3155</v>
      </c>
      <c r="AI3185" s="7">
        <f t="shared" ca="1" si="450"/>
        <v>45825</v>
      </c>
      <c r="AJ3185" s="210">
        <f t="shared" ca="1" si="451"/>
        <v>4.1749999999999998</v>
      </c>
      <c r="AK3185" s="8">
        <f t="shared" ca="1" si="452"/>
        <v>1.0001159722222221</v>
      </c>
      <c r="AL3185" s="98">
        <f t="shared" ca="1" si="453"/>
        <v>4.1221536920544422</v>
      </c>
      <c r="AM3185" s="106">
        <f t="shared" ca="1" si="447"/>
        <v>33966.848078924035</v>
      </c>
      <c r="AN3185" s="10">
        <f t="shared" ca="1" si="448"/>
        <v>1.0656494982571374</v>
      </c>
      <c r="AO3185" s="158"/>
      <c r="AP3185" s="158"/>
      <c r="AQ3185" s="1"/>
      <c r="AR3185" s="1"/>
      <c r="AS3185" s="1"/>
      <c r="AT3185" s="1"/>
      <c r="AU3185" s="1"/>
    </row>
    <row r="3186" spans="34:47">
      <c r="AH3186" s="6">
        <f t="shared" si="449"/>
        <v>3156</v>
      </c>
      <c r="AI3186" s="7">
        <f t="shared" ca="1" si="450"/>
        <v>45826</v>
      </c>
      <c r="AJ3186" s="210">
        <f t="shared" ca="1" si="451"/>
        <v>4.1749999999999998</v>
      </c>
      <c r="AK3186" s="8">
        <f t="shared" ca="1" si="452"/>
        <v>1.0001159722222221</v>
      </c>
      <c r="AL3186" s="98">
        <f t="shared" ca="1" si="453"/>
        <v>4.1222174595729522</v>
      </c>
      <c r="AM3186" s="106">
        <f t="shared" ca="1" si="447"/>
        <v>33969.646997110081</v>
      </c>
      <c r="AN3186" s="10">
        <f t="shared" ca="1" si="448"/>
        <v>1.0657024006584415</v>
      </c>
      <c r="AO3186" s="158"/>
      <c r="AP3186" s="158"/>
      <c r="AQ3186" s="1"/>
      <c r="AR3186" s="1"/>
      <c r="AS3186" s="1"/>
      <c r="AT3186" s="1"/>
      <c r="AU3186" s="1"/>
    </row>
    <row r="3187" spans="34:47">
      <c r="AH3187" s="6">
        <f t="shared" si="449"/>
        <v>3157</v>
      </c>
      <c r="AI3187" s="7">
        <f t="shared" ca="1" si="450"/>
        <v>45827</v>
      </c>
      <c r="AJ3187" s="210">
        <f t="shared" ca="1" si="451"/>
        <v>4.1749999999999998</v>
      </c>
      <c r="AK3187" s="8">
        <f t="shared" ca="1" si="452"/>
        <v>1.0001159722222221</v>
      </c>
      <c r="AL3187" s="98">
        <f t="shared" ca="1" si="453"/>
        <v>4.1222811867329234</v>
      </c>
      <c r="AM3187" s="106">
        <f t="shared" ca="1" si="447"/>
        <v>33972.446145931091</v>
      </c>
      <c r="AN3187" s="10">
        <f t="shared" ca="1" si="448"/>
        <v>1.0657552695730654</v>
      </c>
      <c r="AO3187" s="158"/>
      <c r="AP3187" s="158"/>
      <c r="AQ3187" s="1"/>
      <c r="AR3187" s="1"/>
      <c r="AS3187" s="1"/>
      <c r="AT3187" s="1"/>
      <c r="AU3187" s="1"/>
    </row>
    <row r="3188" spans="34:47">
      <c r="AH3188" s="6">
        <f t="shared" si="449"/>
        <v>3158</v>
      </c>
      <c r="AI3188" s="7">
        <f t="shared" ca="1" si="450"/>
        <v>45828</v>
      </c>
      <c r="AJ3188" s="210">
        <f t="shared" ca="1" si="451"/>
        <v>4.1749999999999998</v>
      </c>
      <c r="AK3188" s="8">
        <f t="shared" ca="1" si="452"/>
        <v>1.0001159722222221</v>
      </c>
      <c r="AL3188" s="98">
        <f t="shared" ca="1" si="453"/>
        <v>4.1223448735726809</v>
      </c>
      <c r="AM3188" s="106">
        <f t="shared" ca="1" si="447"/>
        <v>33975.245525406084</v>
      </c>
      <c r="AN3188" s="10">
        <f t="shared" ca="1" si="448"/>
        <v>1.0658081050327839</v>
      </c>
      <c r="AO3188" s="158"/>
      <c r="AP3188" s="158"/>
      <c r="AQ3188" s="1"/>
      <c r="AR3188" s="1"/>
      <c r="AS3188" s="1"/>
      <c r="AT3188" s="1"/>
      <c r="AU3188" s="1"/>
    </row>
    <row r="3189" spans="34:47">
      <c r="AH3189" s="6">
        <f t="shared" si="449"/>
        <v>3159</v>
      </c>
      <c r="AI3189" s="7">
        <f t="shared" ca="1" si="450"/>
        <v>45829</v>
      </c>
      <c r="AJ3189" s="210">
        <f t="shared" ca="1" si="451"/>
        <v>4.1749999999999998</v>
      </c>
      <c r="AK3189" s="8">
        <f t="shared" ca="1" si="452"/>
        <v>1.0001159722222221</v>
      </c>
      <c r="AL3189" s="98">
        <f t="shared" ca="1" si="453"/>
        <v>4.1224085201304606</v>
      </c>
      <c r="AM3189" s="106">
        <f t="shared" ca="1" si="447"/>
        <v>33978.045135554043</v>
      </c>
      <c r="AN3189" s="10">
        <f t="shared" ca="1" si="448"/>
        <v>1.0658609070693492</v>
      </c>
      <c r="AO3189" s="158"/>
      <c r="AP3189" s="158"/>
      <c r="AQ3189" s="1"/>
      <c r="AR3189" s="1"/>
      <c r="AS3189" s="1"/>
      <c r="AT3189" s="1"/>
      <c r="AU3189" s="1"/>
    </row>
    <row r="3190" spans="34:47">
      <c r="AH3190" s="6">
        <f t="shared" si="449"/>
        <v>3160</v>
      </c>
      <c r="AI3190" s="7">
        <f t="shared" ca="1" si="450"/>
        <v>45830</v>
      </c>
      <c r="AJ3190" s="210">
        <f t="shared" ca="1" si="451"/>
        <v>4.1749999999999998</v>
      </c>
      <c r="AK3190" s="8">
        <f t="shared" ca="1" si="452"/>
        <v>1.0001159722222221</v>
      </c>
      <c r="AL3190" s="98">
        <f t="shared" ca="1" si="453"/>
        <v>4.1224721264444764</v>
      </c>
      <c r="AM3190" s="106">
        <f t="shared" ca="1" si="447"/>
        <v>33980.844976394001</v>
      </c>
      <c r="AN3190" s="10">
        <f t="shared" ca="1" si="448"/>
        <v>1.0659136757144694</v>
      </c>
      <c r="AO3190" s="158"/>
      <c r="AP3190" s="158"/>
      <c r="AQ3190" s="1"/>
      <c r="AR3190" s="1"/>
      <c r="AS3190" s="1"/>
      <c r="AT3190" s="1"/>
      <c r="AU3190" s="1"/>
    </row>
    <row r="3191" spans="34:47">
      <c r="AH3191" s="6">
        <f t="shared" si="449"/>
        <v>3161</v>
      </c>
      <c r="AI3191" s="7">
        <f t="shared" ca="1" si="450"/>
        <v>45831</v>
      </c>
      <c r="AJ3191" s="210">
        <f t="shared" ca="1" si="451"/>
        <v>4.1749999999999998</v>
      </c>
      <c r="AK3191" s="8">
        <f t="shared" ca="1" si="452"/>
        <v>1.0001159722222221</v>
      </c>
      <c r="AL3191" s="98">
        <f t="shared" ca="1" si="453"/>
        <v>4.1225356925528978</v>
      </c>
      <c r="AM3191" s="106">
        <f t="shared" ca="1" si="447"/>
        <v>33983.645047944963</v>
      </c>
      <c r="AN3191" s="10">
        <f t="shared" ca="1" si="448"/>
        <v>1.0659664109998079</v>
      </c>
      <c r="AO3191" s="158"/>
      <c r="AP3191" s="158"/>
      <c r="AQ3191" s="1"/>
      <c r="AR3191" s="1"/>
      <c r="AS3191" s="1"/>
      <c r="AT3191" s="1"/>
      <c r="AU3191" s="1"/>
    </row>
    <row r="3192" spans="34:47">
      <c r="AH3192" s="6">
        <f t="shared" si="449"/>
        <v>3162</v>
      </c>
      <c r="AI3192" s="7">
        <f t="shared" ca="1" si="450"/>
        <v>45832</v>
      </c>
      <c r="AJ3192" s="210">
        <f t="shared" ca="1" si="451"/>
        <v>4.1749999999999998</v>
      </c>
      <c r="AK3192" s="8">
        <f t="shared" ca="1" si="452"/>
        <v>1.0001159722222221</v>
      </c>
      <c r="AL3192" s="98">
        <f t="shared" ca="1" si="453"/>
        <v>4.1225992184938276</v>
      </c>
      <c r="AM3192" s="106">
        <f t="shared" ca="1" si="447"/>
        <v>33986.445350225928</v>
      </c>
      <c r="AN3192" s="10">
        <f t="shared" ca="1" si="448"/>
        <v>1.066019112956984</v>
      </c>
      <c r="AO3192" s="158"/>
      <c r="AP3192" s="158"/>
      <c r="AQ3192" s="1"/>
      <c r="AR3192" s="1"/>
      <c r="AS3192" s="1"/>
      <c r="AT3192" s="1"/>
      <c r="AU3192" s="1"/>
    </row>
    <row r="3193" spans="34:47">
      <c r="AH3193" s="6">
        <f t="shared" si="449"/>
        <v>3163</v>
      </c>
      <c r="AI3193" s="7">
        <f t="shared" ca="1" si="450"/>
        <v>45833</v>
      </c>
      <c r="AJ3193" s="210">
        <f t="shared" ca="1" si="451"/>
        <v>4.1749999999999998</v>
      </c>
      <c r="AK3193" s="8">
        <f t="shared" ca="1" si="452"/>
        <v>1.0001159722222221</v>
      </c>
      <c r="AL3193" s="98">
        <f t="shared" ca="1" si="453"/>
        <v>4.1226627043053243</v>
      </c>
      <c r="AM3193" s="106">
        <f t="shared" ca="1" si="447"/>
        <v>33989.245883255913</v>
      </c>
      <c r="AN3193" s="10">
        <f t="shared" ca="1" si="448"/>
        <v>1.0660717816176168</v>
      </c>
      <c r="AO3193" s="158"/>
      <c r="AP3193" s="158"/>
      <c r="AQ3193" s="1"/>
      <c r="AR3193" s="1"/>
      <c r="AS3193" s="1"/>
      <c r="AT3193" s="1"/>
      <c r="AU3193" s="1"/>
    </row>
    <row r="3194" spans="34:47">
      <c r="AH3194" s="6">
        <f t="shared" si="449"/>
        <v>3164</v>
      </c>
      <c r="AI3194" s="7">
        <f t="shared" ca="1" si="450"/>
        <v>45834</v>
      </c>
      <c r="AJ3194" s="210">
        <f t="shared" ca="1" si="451"/>
        <v>4.1749999999999998</v>
      </c>
      <c r="AK3194" s="8">
        <f t="shared" ca="1" si="452"/>
        <v>1.0001159722222221</v>
      </c>
      <c r="AL3194" s="98">
        <f t="shared" ca="1" si="453"/>
        <v>4.1227261500253798</v>
      </c>
      <c r="AM3194" s="106">
        <f t="shared" ca="1" si="447"/>
        <v>33992.04664705394</v>
      </c>
      <c r="AN3194" s="10">
        <f t="shared" ca="1" si="448"/>
        <v>1.0661244170131701</v>
      </c>
      <c r="AO3194" s="158"/>
      <c r="AP3194" s="158"/>
      <c r="AQ3194" s="1"/>
      <c r="AR3194" s="1"/>
      <c r="AS3194" s="1"/>
      <c r="AT3194" s="1"/>
      <c r="AU3194" s="1"/>
    </row>
    <row r="3195" spans="34:47">
      <c r="AH3195" s="6">
        <f t="shared" si="449"/>
        <v>3165</v>
      </c>
      <c r="AI3195" s="7">
        <f t="shared" ca="1" si="450"/>
        <v>45835</v>
      </c>
      <c r="AJ3195" s="210">
        <f t="shared" ca="1" si="451"/>
        <v>4.1749999999999998</v>
      </c>
      <c r="AK3195" s="8">
        <f t="shared" ca="1" si="452"/>
        <v>1.0001159722222221</v>
      </c>
      <c r="AL3195" s="98">
        <f t="shared" ca="1" si="453"/>
        <v>4.1227895556919858</v>
      </c>
      <c r="AM3195" s="106">
        <f t="shared" ca="1" si="447"/>
        <v>33994.847641639019</v>
      </c>
      <c r="AN3195" s="10">
        <f t="shared" ca="1" si="448"/>
        <v>1.0661770191752185</v>
      </c>
      <c r="AO3195" s="158"/>
      <c r="AP3195" s="158"/>
      <c r="AQ3195" s="1"/>
      <c r="AR3195" s="1"/>
      <c r="AS3195" s="1"/>
      <c r="AT3195" s="1"/>
      <c r="AU3195" s="1"/>
    </row>
    <row r="3196" spans="34:47">
      <c r="AH3196" s="6">
        <f t="shared" si="449"/>
        <v>3166</v>
      </c>
      <c r="AI3196" s="7">
        <f t="shared" ca="1" si="450"/>
        <v>45836</v>
      </c>
      <c r="AJ3196" s="210">
        <f t="shared" ca="1" si="451"/>
        <v>4.1749999999999998</v>
      </c>
      <c r="AK3196" s="8">
        <f t="shared" ca="1" si="452"/>
        <v>1.0001159722222221</v>
      </c>
      <c r="AL3196" s="98">
        <f t="shared" ca="1" si="453"/>
        <v>4.1228529213430454</v>
      </c>
      <c r="AM3196" s="106">
        <f t="shared" ca="1" si="447"/>
        <v>33997.648867030162</v>
      </c>
      <c r="AN3196" s="10">
        <f t="shared" ca="1" si="448"/>
        <v>1.0662295881351813</v>
      </c>
      <c r="AO3196" s="158"/>
      <c r="AP3196" s="158"/>
      <c r="AQ3196" s="1"/>
      <c r="AR3196" s="1"/>
      <c r="AS3196" s="1"/>
      <c r="AT3196" s="1"/>
      <c r="AU3196" s="1"/>
    </row>
    <row r="3197" spans="34:47">
      <c r="AH3197" s="6">
        <f t="shared" si="449"/>
        <v>3167</v>
      </c>
      <c r="AI3197" s="7">
        <f t="shared" ca="1" si="450"/>
        <v>45837</v>
      </c>
      <c r="AJ3197" s="210">
        <f t="shared" ca="1" si="451"/>
        <v>4.1749999999999998</v>
      </c>
      <c r="AK3197" s="8">
        <f t="shared" ca="1" si="452"/>
        <v>1.0001159722222221</v>
      </c>
      <c r="AL3197" s="98">
        <f t="shared" ca="1" si="453"/>
        <v>4.1229162470164393</v>
      </c>
      <c r="AM3197" s="106">
        <f t="shared" ca="1" si="447"/>
        <v>34000.45032324639</v>
      </c>
      <c r="AN3197" s="10">
        <f t="shared" ca="1" si="448"/>
        <v>1.0662821239245446</v>
      </c>
      <c r="AO3197" s="158"/>
      <c r="AP3197" s="158"/>
      <c r="AQ3197" s="1"/>
      <c r="AR3197" s="1"/>
      <c r="AS3197" s="1"/>
      <c r="AT3197" s="1"/>
      <c r="AU3197" s="1"/>
    </row>
    <row r="3198" spans="34:47">
      <c r="AH3198" s="6">
        <f t="shared" si="449"/>
        <v>3168</v>
      </c>
      <c r="AI3198" s="7">
        <f t="shared" ca="1" si="450"/>
        <v>45838</v>
      </c>
      <c r="AJ3198" s="210">
        <f t="shared" ca="1" si="451"/>
        <v>4.1749999999999998</v>
      </c>
      <c r="AK3198" s="8">
        <f t="shared" ca="1" si="452"/>
        <v>1.0001159722222221</v>
      </c>
      <c r="AL3198" s="98">
        <f t="shared" ca="1" si="453"/>
        <v>4.1229795327499819</v>
      </c>
      <c r="AM3198" s="106">
        <f t="shared" ca="1" si="447"/>
        <v>34003.252010306736</v>
      </c>
      <c r="AN3198" s="10">
        <f t="shared" ca="1" si="448"/>
        <v>1.0663346265746387</v>
      </c>
      <c r="AO3198" s="158"/>
      <c r="AP3198" s="158"/>
      <c r="AQ3198" s="1"/>
      <c r="AR3198" s="1"/>
      <c r="AS3198" s="1"/>
      <c r="AT3198" s="1"/>
      <c r="AU3198" s="1"/>
    </row>
    <row r="3199" spans="34:47">
      <c r="AH3199" s="6">
        <f t="shared" si="449"/>
        <v>3169</v>
      </c>
      <c r="AI3199" s="7">
        <f t="shared" ca="1" si="450"/>
        <v>45839</v>
      </c>
      <c r="AJ3199" s="210">
        <f t="shared" ca="1" si="451"/>
        <v>4.1749999999999998</v>
      </c>
      <c r="AK3199" s="8">
        <f t="shared" ca="1" si="452"/>
        <v>1.0001159722222221</v>
      </c>
      <c r="AL3199" s="98">
        <f t="shared" ca="1" si="453"/>
        <v>4.1230427785814427</v>
      </c>
      <c r="AM3199" s="106">
        <f t="shared" ca="1" si="447"/>
        <v>34006.053928230205</v>
      </c>
      <c r="AN3199" s="10">
        <f t="shared" ca="1" si="448"/>
        <v>1.0663870961168387</v>
      </c>
      <c r="AO3199" s="158"/>
      <c r="AP3199" s="158"/>
      <c r="AQ3199" s="1"/>
      <c r="AR3199" s="1"/>
      <c r="AS3199" s="1"/>
      <c r="AT3199" s="1"/>
      <c r="AU3199" s="1"/>
    </row>
    <row r="3200" spans="34:47">
      <c r="AH3200" s="6">
        <f t="shared" si="449"/>
        <v>3170</v>
      </c>
      <c r="AI3200" s="7">
        <f t="shared" ca="1" si="450"/>
        <v>45840</v>
      </c>
      <c r="AJ3200" s="210">
        <f t="shared" ca="1" si="451"/>
        <v>4.1749999999999998</v>
      </c>
      <c r="AK3200" s="8">
        <f t="shared" ca="1" si="452"/>
        <v>1.0001159722222221</v>
      </c>
      <c r="AL3200" s="98">
        <f t="shared" ca="1" si="453"/>
        <v>4.1231059845485474</v>
      </c>
      <c r="AM3200" s="106">
        <f t="shared" ca="1" si="447"/>
        <v>34008.856077035831</v>
      </c>
      <c r="AN3200" s="10">
        <f t="shared" ca="1" si="448"/>
        <v>1.0664395325824305</v>
      </c>
      <c r="AO3200" s="158"/>
      <c r="AP3200" s="158"/>
      <c r="AQ3200" s="1"/>
      <c r="AR3200" s="1"/>
      <c r="AS3200" s="1"/>
      <c r="AT3200" s="1"/>
      <c r="AU3200" s="1"/>
    </row>
    <row r="3201" spans="34:47">
      <c r="AH3201" s="6">
        <f t="shared" si="449"/>
        <v>3171</v>
      </c>
      <c r="AI3201" s="7">
        <f t="shared" ca="1" si="450"/>
        <v>45841</v>
      </c>
      <c r="AJ3201" s="210">
        <f t="shared" ca="1" si="451"/>
        <v>4.1749999999999998</v>
      </c>
      <c r="AK3201" s="8">
        <f t="shared" ca="1" si="452"/>
        <v>1.0001159722222221</v>
      </c>
      <c r="AL3201" s="98">
        <f t="shared" ca="1" si="453"/>
        <v>4.1231691506889767</v>
      </c>
      <c r="AM3201" s="106">
        <f t="shared" ca="1" si="447"/>
        <v>34011.65845674264</v>
      </c>
      <c r="AN3201" s="10">
        <f t="shared" ca="1" si="448"/>
        <v>1.0664919360026781</v>
      </c>
      <c r="AO3201" s="158"/>
      <c r="AP3201" s="158"/>
      <c r="AQ3201" s="1"/>
      <c r="AR3201" s="1"/>
      <c r="AS3201" s="1"/>
      <c r="AT3201" s="1"/>
      <c r="AU3201" s="1"/>
    </row>
    <row r="3202" spans="34:47">
      <c r="AH3202" s="6">
        <f t="shared" si="449"/>
        <v>3172</v>
      </c>
      <c r="AI3202" s="7">
        <f t="shared" ca="1" si="450"/>
        <v>45842</v>
      </c>
      <c r="AJ3202" s="210">
        <f t="shared" ca="1" si="451"/>
        <v>4.1749999999999998</v>
      </c>
      <c r="AK3202" s="8">
        <f t="shared" ca="1" si="452"/>
        <v>1.0001159722222221</v>
      </c>
      <c r="AL3202" s="98">
        <f t="shared" ca="1" si="453"/>
        <v>4.1232322770403673</v>
      </c>
      <c r="AM3202" s="106">
        <f t="shared" ca="1" si="447"/>
        <v>34014.461067369644</v>
      </c>
      <c r="AN3202" s="10">
        <f t="shared" ca="1" si="448"/>
        <v>1.0665443064088453</v>
      </c>
      <c r="AO3202" s="158"/>
      <c r="AP3202" s="158"/>
      <c r="AQ3202" s="1"/>
      <c r="AR3202" s="1"/>
      <c r="AS3202" s="1"/>
      <c r="AT3202" s="1"/>
      <c r="AU3202" s="1"/>
    </row>
    <row r="3203" spans="34:47">
      <c r="AH3203" s="6">
        <f t="shared" si="449"/>
        <v>3173</v>
      </c>
      <c r="AI3203" s="7">
        <f t="shared" ca="1" si="450"/>
        <v>45843</v>
      </c>
      <c r="AJ3203" s="210">
        <f t="shared" ca="1" si="451"/>
        <v>4.1749999999999998</v>
      </c>
      <c r="AK3203" s="8">
        <f t="shared" ca="1" si="452"/>
        <v>1.0001159722222221</v>
      </c>
      <c r="AL3203" s="98">
        <f t="shared" ca="1" si="453"/>
        <v>4.1232953636402891</v>
      </c>
      <c r="AM3203" s="106">
        <f t="shared" ca="1" si="447"/>
        <v>34017.263908935885</v>
      </c>
      <c r="AN3203" s="10">
        <f t="shared" ca="1" si="448"/>
        <v>1.0665966438320851</v>
      </c>
      <c r="AO3203" s="158"/>
      <c r="AP3203" s="158"/>
      <c r="AQ3203" s="1"/>
      <c r="AR3203" s="1"/>
      <c r="AS3203" s="1"/>
      <c r="AT3203" s="1"/>
      <c r="AU3203" s="1"/>
    </row>
    <row r="3204" spans="34:47">
      <c r="AH3204" s="6">
        <f t="shared" si="449"/>
        <v>3174</v>
      </c>
      <c r="AI3204" s="7">
        <f t="shared" ca="1" si="450"/>
        <v>45844</v>
      </c>
      <c r="AJ3204" s="210">
        <f t="shared" ca="1" si="451"/>
        <v>4.1749999999999998</v>
      </c>
      <c r="AK3204" s="8">
        <f t="shared" ca="1" si="452"/>
        <v>1.0001159722222221</v>
      </c>
      <c r="AL3204" s="98">
        <f t="shared" ca="1" si="453"/>
        <v>4.1233584105262899</v>
      </c>
      <c r="AM3204" s="106">
        <f t="shared" ca="1" si="447"/>
        <v>34020.06698146039</v>
      </c>
      <c r="AN3204" s="10">
        <f t="shared" ca="1" si="448"/>
        <v>1.0666489483035502</v>
      </c>
      <c r="AO3204" s="158"/>
      <c r="AP3204" s="158"/>
      <c r="AQ3204" s="1"/>
      <c r="AR3204" s="1"/>
      <c r="AS3204" s="1"/>
      <c r="AT3204" s="1"/>
      <c r="AU3204" s="1"/>
    </row>
    <row r="3205" spans="34:47">
      <c r="AH3205" s="6">
        <f t="shared" si="449"/>
        <v>3175</v>
      </c>
      <c r="AI3205" s="7">
        <f t="shared" ca="1" si="450"/>
        <v>45845</v>
      </c>
      <c r="AJ3205" s="210">
        <f t="shared" ca="1" si="451"/>
        <v>4.1749999999999998</v>
      </c>
      <c r="AK3205" s="8">
        <f t="shared" ca="1" si="452"/>
        <v>1.0001159722222221</v>
      </c>
      <c r="AL3205" s="98">
        <f t="shared" ca="1" si="453"/>
        <v>4.1234214177358508</v>
      </c>
      <c r="AM3205" s="106">
        <f t="shared" ca="1" si="447"/>
        <v>34022.870284962191</v>
      </c>
      <c r="AN3205" s="10">
        <f t="shared" ca="1" si="448"/>
        <v>1.0667012198543713</v>
      </c>
      <c r="AO3205" s="158"/>
      <c r="AP3205" s="158"/>
      <c r="AQ3205" s="1"/>
      <c r="AR3205" s="1"/>
      <c r="AS3205" s="1"/>
      <c r="AT3205" s="1"/>
      <c r="AU3205" s="1"/>
    </row>
    <row r="3206" spans="34:47">
      <c r="AH3206" s="6">
        <f t="shared" si="449"/>
        <v>3176</v>
      </c>
      <c r="AI3206" s="7">
        <f t="shared" ca="1" si="450"/>
        <v>45846</v>
      </c>
      <c r="AJ3206" s="210">
        <f t="shared" ca="1" si="451"/>
        <v>4.1749999999999998</v>
      </c>
      <c r="AK3206" s="8">
        <f t="shared" ca="1" si="452"/>
        <v>1.0001159722222221</v>
      </c>
      <c r="AL3206" s="98">
        <f t="shared" ca="1" si="453"/>
        <v>4.1234843853064307</v>
      </c>
      <c r="AM3206" s="106">
        <f t="shared" ca="1" si="447"/>
        <v>34025.673819460317</v>
      </c>
      <c r="AN3206" s="10">
        <f t="shared" ca="1" si="448"/>
        <v>1.0667534585156124</v>
      </c>
      <c r="AO3206" s="158"/>
      <c r="AP3206" s="158"/>
      <c r="AQ3206" s="1"/>
      <c r="AR3206" s="1"/>
      <c r="AS3206" s="1"/>
      <c r="AT3206" s="1"/>
      <c r="AU3206" s="1"/>
    </row>
    <row r="3207" spans="34:47">
      <c r="AH3207" s="6">
        <f t="shared" si="449"/>
        <v>3177</v>
      </c>
      <c r="AI3207" s="7">
        <f t="shared" ca="1" si="450"/>
        <v>45847</v>
      </c>
      <c r="AJ3207" s="210">
        <f t="shared" ca="1" si="451"/>
        <v>4.1749999999999998</v>
      </c>
      <c r="AK3207" s="8">
        <f t="shared" ca="1" si="452"/>
        <v>1.0001159722222221</v>
      </c>
      <c r="AL3207" s="98">
        <f t="shared" ca="1" si="453"/>
        <v>4.1235473132753997</v>
      </c>
      <c r="AM3207" s="106">
        <f t="shared" ca="1" si="447"/>
        <v>34028.4775849738</v>
      </c>
      <c r="AN3207" s="10">
        <f t="shared" ca="1" si="448"/>
        <v>1.0668056643182933</v>
      </c>
      <c r="AO3207" s="158"/>
      <c r="AP3207" s="158"/>
      <c r="AQ3207" s="1"/>
      <c r="AR3207" s="1"/>
      <c r="AS3207" s="1"/>
      <c r="AT3207" s="1"/>
      <c r="AU3207" s="1"/>
    </row>
    <row r="3208" spans="34:47">
      <c r="AH3208" s="6">
        <f t="shared" si="449"/>
        <v>3178</v>
      </c>
      <c r="AI3208" s="7">
        <f t="shared" ca="1" si="450"/>
        <v>45848</v>
      </c>
      <c r="AJ3208" s="210">
        <f t="shared" ca="1" si="451"/>
        <v>4.1749999999999998</v>
      </c>
      <c r="AK3208" s="8">
        <f t="shared" ca="1" si="452"/>
        <v>1.0001159722222221</v>
      </c>
      <c r="AL3208" s="98">
        <f t="shared" ca="1" si="453"/>
        <v>4.1236102016801279</v>
      </c>
      <c r="AM3208" s="106">
        <f t="shared" ca="1" si="447"/>
        <v>34031.281581521696</v>
      </c>
      <c r="AN3208" s="10">
        <f t="shared" ca="1" si="448"/>
        <v>1.0668578372934112</v>
      </c>
      <c r="AO3208" s="158"/>
      <c r="AP3208" s="158"/>
      <c r="AQ3208" s="1"/>
      <c r="AR3208" s="1"/>
      <c r="AS3208" s="1"/>
      <c r="AT3208" s="1"/>
      <c r="AU3208" s="1"/>
    </row>
    <row r="3209" spans="34:47">
      <c r="AH3209" s="6">
        <f t="shared" si="449"/>
        <v>3179</v>
      </c>
      <c r="AI3209" s="7">
        <f t="shared" ca="1" si="450"/>
        <v>45849</v>
      </c>
      <c r="AJ3209" s="210">
        <f t="shared" ca="1" si="451"/>
        <v>4.1749999999999998</v>
      </c>
      <c r="AK3209" s="8">
        <f t="shared" ca="1" si="452"/>
        <v>1.0001159722222221</v>
      </c>
      <c r="AL3209" s="98">
        <f t="shared" ca="1" si="453"/>
        <v>4.1236730505578967</v>
      </c>
      <c r="AM3209" s="106">
        <f t="shared" ca="1" si="447"/>
        <v>34034.085809123011</v>
      </c>
      <c r="AN3209" s="10">
        <f t="shared" ca="1" si="448"/>
        <v>1.0669099774719415</v>
      </c>
      <c r="AO3209" s="158"/>
      <c r="AP3209" s="158"/>
      <c r="AQ3209" s="1"/>
      <c r="AR3209" s="1"/>
      <c r="AS3209" s="1"/>
      <c r="AT3209" s="1"/>
      <c r="AU3209" s="1"/>
    </row>
    <row r="3210" spans="34:47">
      <c r="AH3210" s="6">
        <f t="shared" si="449"/>
        <v>3180</v>
      </c>
      <c r="AI3210" s="7">
        <f t="shared" ca="1" si="450"/>
        <v>45850</v>
      </c>
      <c r="AJ3210" s="210">
        <f t="shared" ca="1" si="451"/>
        <v>4.1749999999999998</v>
      </c>
      <c r="AK3210" s="8">
        <f t="shared" ca="1" si="452"/>
        <v>1.0001159722222221</v>
      </c>
      <c r="AL3210" s="98">
        <f t="shared" ca="1" si="453"/>
        <v>4.123735859945965</v>
      </c>
      <c r="AM3210" s="106">
        <f t="shared" ca="1" si="447"/>
        <v>34036.890267796807</v>
      </c>
      <c r="AN3210" s="10">
        <f t="shared" ca="1" si="448"/>
        <v>1.0669620848847483</v>
      </c>
      <c r="AO3210" s="158"/>
      <c r="AP3210" s="158"/>
      <c r="AQ3210" s="1"/>
      <c r="AR3210" s="1"/>
      <c r="AS3210" s="1"/>
      <c r="AT3210" s="1"/>
      <c r="AU3210" s="1"/>
    </row>
    <row r="3211" spans="34:47">
      <c r="AH3211" s="6">
        <f t="shared" si="449"/>
        <v>3181</v>
      </c>
      <c r="AI3211" s="7">
        <f t="shared" ca="1" si="450"/>
        <v>45851</v>
      </c>
      <c r="AJ3211" s="210">
        <f t="shared" ca="1" si="451"/>
        <v>4.1749999999999998</v>
      </c>
      <c r="AK3211" s="8">
        <f t="shared" ca="1" si="452"/>
        <v>1.0001159722222221</v>
      </c>
      <c r="AL3211" s="98">
        <f t="shared" ca="1" si="453"/>
        <v>4.1237986298815477</v>
      </c>
      <c r="AM3211" s="106">
        <f t="shared" ca="1" si="447"/>
        <v>34039.694957562118</v>
      </c>
      <c r="AN3211" s="10">
        <f t="shared" ca="1" si="448"/>
        <v>1.0670141595627625</v>
      </c>
      <c r="AO3211" s="158"/>
      <c r="AP3211" s="158"/>
      <c r="AQ3211" s="1"/>
      <c r="AR3211" s="1"/>
      <c r="AS3211" s="1"/>
      <c r="AT3211" s="1"/>
      <c r="AU3211" s="1"/>
    </row>
    <row r="3212" spans="34:47">
      <c r="AH3212" s="6">
        <f t="shared" si="449"/>
        <v>3182</v>
      </c>
      <c r="AI3212" s="7">
        <f t="shared" ca="1" si="450"/>
        <v>45852</v>
      </c>
      <c r="AJ3212" s="210">
        <f t="shared" ca="1" si="451"/>
        <v>4.1749999999999998</v>
      </c>
      <c r="AK3212" s="8">
        <f t="shared" ca="1" si="452"/>
        <v>1.0001159722222221</v>
      </c>
      <c r="AL3212" s="98">
        <f t="shared" ca="1" si="453"/>
        <v>4.1238613604018148</v>
      </c>
      <c r="AM3212" s="106">
        <f t="shared" ca="1" si="447"/>
        <v>34042.499878437986</v>
      </c>
      <c r="AN3212" s="10">
        <f t="shared" ca="1" si="448"/>
        <v>1.0670662015368038</v>
      </c>
      <c r="AO3212" s="158"/>
      <c r="AP3212" s="158"/>
      <c r="AQ3212" s="1"/>
      <c r="AR3212" s="1"/>
      <c r="AS3212" s="1"/>
      <c r="AT3212" s="1"/>
      <c r="AU3212" s="1"/>
    </row>
    <row r="3213" spans="34:47">
      <c r="AH3213" s="6">
        <f t="shared" si="449"/>
        <v>3183</v>
      </c>
      <c r="AI3213" s="7">
        <f t="shared" ca="1" si="450"/>
        <v>45853</v>
      </c>
      <c r="AJ3213" s="210">
        <f t="shared" ca="1" si="451"/>
        <v>4.1749999999999998</v>
      </c>
      <c r="AK3213" s="8">
        <f t="shared" ca="1" si="452"/>
        <v>1.0001159722222221</v>
      </c>
      <c r="AL3213" s="98">
        <f t="shared" ca="1" si="453"/>
        <v>4.123924051543848</v>
      </c>
      <c r="AM3213" s="106">
        <f t="shared" ca="1" si="447"/>
        <v>34045.305030443451</v>
      </c>
      <c r="AN3213" s="10">
        <f t="shared" ca="1" si="448"/>
        <v>1.0671182108376476</v>
      </c>
      <c r="AO3213" s="158"/>
      <c r="AP3213" s="158"/>
      <c r="AQ3213" s="1"/>
      <c r="AR3213" s="1"/>
      <c r="AS3213" s="1"/>
      <c r="AT3213" s="1"/>
      <c r="AU3213" s="1"/>
    </row>
    <row r="3214" spans="34:47">
      <c r="AH3214" s="6">
        <f t="shared" si="449"/>
        <v>3184</v>
      </c>
      <c r="AI3214" s="7">
        <f t="shared" ca="1" si="450"/>
        <v>45854</v>
      </c>
      <c r="AJ3214" s="210">
        <f t="shared" ca="1" si="451"/>
        <v>4.1749999999999998</v>
      </c>
      <c r="AK3214" s="8">
        <f t="shared" ca="1" si="452"/>
        <v>1.0001159722222221</v>
      </c>
      <c r="AL3214" s="98">
        <f t="shared" ca="1" si="453"/>
        <v>4.1239867033447508</v>
      </c>
      <c r="AM3214" s="106">
        <f t="shared" ca="1" si="447"/>
        <v>34048.110413597569</v>
      </c>
      <c r="AN3214" s="10">
        <f t="shared" ca="1" si="448"/>
        <v>1.0671701874960915</v>
      </c>
      <c r="AO3214" s="158"/>
      <c r="AP3214" s="158"/>
      <c r="AQ3214" s="1"/>
      <c r="AR3214" s="1"/>
      <c r="AS3214" s="1"/>
      <c r="AT3214" s="1"/>
      <c r="AU3214" s="1"/>
    </row>
    <row r="3215" spans="34:47">
      <c r="AH3215" s="6">
        <f t="shared" si="449"/>
        <v>3185</v>
      </c>
      <c r="AI3215" s="7">
        <f t="shared" ca="1" si="450"/>
        <v>45855</v>
      </c>
      <c r="AJ3215" s="210">
        <f t="shared" ca="1" si="451"/>
        <v>4.1749999999999998</v>
      </c>
      <c r="AK3215" s="8">
        <f t="shared" ca="1" si="452"/>
        <v>1.0001159722222221</v>
      </c>
      <c r="AL3215" s="98">
        <f t="shared" ca="1" si="453"/>
        <v>4.1240493158415159</v>
      </c>
      <c r="AM3215" s="106">
        <f t="shared" ca="1" si="447"/>
        <v>34050.916027919375</v>
      </c>
      <c r="AN3215" s="10">
        <f t="shared" ca="1" si="448"/>
        <v>1.0672221315428221</v>
      </c>
      <c r="AO3215" s="158"/>
      <c r="AP3215" s="158"/>
      <c r="AQ3215" s="1"/>
      <c r="AR3215" s="1"/>
      <c r="AS3215" s="1"/>
      <c r="AT3215" s="1"/>
      <c r="AU3215" s="1"/>
    </row>
    <row r="3216" spans="34:47">
      <c r="AH3216" s="6">
        <f t="shared" si="449"/>
        <v>3186</v>
      </c>
      <c r="AI3216" s="7">
        <f t="shared" ca="1" si="450"/>
        <v>45856</v>
      </c>
      <c r="AJ3216" s="210">
        <f t="shared" ca="1" si="451"/>
        <v>4.1749999999999998</v>
      </c>
      <c r="AK3216" s="8">
        <f t="shared" ca="1" si="452"/>
        <v>1.0001159722222221</v>
      </c>
      <c r="AL3216" s="98">
        <f t="shared" ca="1" si="453"/>
        <v>4.1241118890711359</v>
      </c>
      <c r="AM3216" s="106">
        <f t="shared" ca="1" si="447"/>
        <v>34053.72187342793</v>
      </c>
      <c r="AN3216" s="10">
        <f t="shared" ca="1" si="448"/>
        <v>1.0672740430085259</v>
      </c>
      <c r="AO3216" s="158"/>
      <c r="AP3216" s="158"/>
      <c r="AQ3216" s="1"/>
      <c r="AR3216" s="1"/>
      <c r="AS3216" s="1"/>
      <c r="AT3216" s="1"/>
      <c r="AU3216" s="1"/>
    </row>
    <row r="3217" spans="34:47">
      <c r="AH3217" s="6">
        <f t="shared" si="449"/>
        <v>3187</v>
      </c>
      <c r="AI3217" s="7">
        <f t="shared" ca="1" si="450"/>
        <v>45857</v>
      </c>
      <c r="AJ3217" s="210">
        <f t="shared" ca="1" si="451"/>
        <v>4.1749999999999998</v>
      </c>
      <c r="AK3217" s="8">
        <f t="shared" ca="1" si="452"/>
        <v>1.0001159722222221</v>
      </c>
      <c r="AL3217" s="98">
        <f t="shared" ca="1" si="453"/>
        <v>4.1241744230705146</v>
      </c>
      <c r="AM3217" s="106">
        <f t="shared" ca="1" si="447"/>
        <v>34056.52795014227</v>
      </c>
      <c r="AN3217" s="10">
        <f t="shared" ca="1" si="448"/>
        <v>1.0673259219238673</v>
      </c>
      <c r="AO3217" s="158"/>
      <c r="AP3217" s="158"/>
      <c r="AQ3217" s="1"/>
      <c r="AR3217" s="1"/>
      <c r="AS3217" s="1"/>
      <c r="AT3217" s="1"/>
      <c r="AU3217" s="1"/>
    </row>
    <row r="3218" spans="34:47">
      <c r="AH3218" s="6">
        <f t="shared" si="449"/>
        <v>3188</v>
      </c>
      <c r="AI3218" s="7">
        <f t="shared" ca="1" si="450"/>
        <v>45858</v>
      </c>
      <c r="AJ3218" s="210">
        <f t="shared" ca="1" si="451"/>
        <v>4.1749999999999998</v>
      </c>
      <c r="AK3218" s="8">
        <f t="shared" ca="1" si="452"/>
        <v>1.0001159722222221</v>
      </c>
      <c r="AL3218" s="98">
        <f t="shared" ca="1" si="453"/>
        <v>4.1242369178765559</v>
      </c>
      <c r="AM3218" s="106">
        <f t="shared" ca="1" si="447"/>
        <v>34059.334258081457</v>
      </c>
      <c r="AN3218" s="10">
        <f t="shared" ca="1" si="448"/>
        <v>1.0673777683194441</v>
      </c>
      <c r="AO3218" s="158"/>
      <c r="AP3218" s="158"/>
      <c r="AQ3218" s="1"/>
      <c r="AR3218" s="1"/>
      <c r="AS3218" s="1"/>
      <c r="AT3218" s="1"/>
      <c r="AU3218" s="1"/>
    </row>
    <row r="3219" spans="34:47">
      <c r="AH3219" s="6">
        <f t="shared" si="449"/>
        <v>3189</v>
      </c>
      <c r="AI3219" s="7">
        <f t="shared" ca="1" si="450"/>
        <v>45859</v>
      </c>
      <c r="AJ3219" s="210">
        <f t="shared" ca="1" si="451"/>
        <v>4.1749999999999998</v>
      </c>
      <c r="AK3219" s="8">
        <f t="shared" ca="1" si="452"/>
        <v>1.0001159722222221</v>
      </c>
      <c r="AL3219" s="98">
        <f t="shared" ca="1" si="453"/>
        <v>4.1242993735260969</v>
      </c>
      <c r="AM3219" s="106">
        <f t="shared" ca="1" si="447"/>
        <v>34062.140797264547</v>
      </c>
      <c r="AN3219" s="10">
        <f t="shared" ca="1" si="448"/>
        <v>1.0674295822258317</v>
      </c>
      <c r="AO3219" s="158"/>
      <c r="AP3219" s="158"/>
      <c r="AQ3219" s="1"/>
      <c r="AR3219" s="1"/>
      <c r="AS3219" s="1"/>
      <c r="AT3219" s="1"/>
      <c r="AU3219" s="1"/>
    </row>
    <row r="3220" spans="34:47">
      <c r="AH3220" s="6">
        <f t="shared" si="449"/>
        <v>3190</v>
      </c>
      <c r="AI3220" s="7">
        <f t="shared" ca="1" si="450"/>
        <v>45860</v>
      </c>
      <c r="AJ3220" s="210">
        <f t="shared" ca="1" si="451"/>
        <v>4.1749999999999998</v>
      </c>
      <c r="AK3220" s="8">
        <f t="shared" ca="1" si="452"/>
        <v>1.0001159722222221</v>
      </c>
      <c r="AL3220" s="98">
        <f t="shared" ca="1" si="453"/>
        <v>4.1243617900559082</v>
      </c>
      <c r="AM3220" s="106">
        <f t="shared" ca="1" si="447"/>
        <v>34064.947567710573</v>
      </c>
      <c r="AN3220" s="10">
        <f t="shared" ca="1" si="448"/>
        <v>1.0674813636735392</v>
      </c>
      <c r="AO3220" s="158"/>
      <c r="AP3220" s="158"/>
      <c r="AQ3220" s="1"/>
      <c r="AR3220" s="1"/>
      <c r="AS3220" s="1"/>
      <c r="AT3220" s="1"/>
      <c r="AU3220" s="1"/>
    </row>
    <row r="3221" spans="34:47">
      <c r="AH3221" s="6">
        <f t="shared" si="449"/>
        <v>3191</v>
      </c>
      <c r="AI3221" s="7">
        <f t="shared" ca="1" si="450"/>
        <v>45861</v>
      </c>
      <c r="AJ3221" s="210">
        <f t="shared" ca="1" si="451"/>
        <v>4.1749999999999998</v>
      </c>
      <c r="AK3221" s="8">
        <f t="shared" ca="1" si="452"/>
        <v>1.0001159722222221</v>
      </c>
      <c r="AL3221" s="98">
        <f t="shared" ca="1" si="453"/>
        <v>4.1244241675027382</v>
      </c>
      <c r="AM3221" s="106">
        <f t="shared" ca="1" si="447"/>
        <v>34067.754569438621</v>
      </c>
      <c r="AN3221" s="10">
        <f t="shared" ca="1" si="448"/>
        <v>1.0675331126930754</v>
      </c>
      <c r="AO3221" s="158"/>
      <c r="AP3221" s="158"/>
      <c r="AQ3221" s="1"/>
      <c r="AR3221" s="1"/>
      <c r="AS3221" s="1"/>
      <c r="AT3221" s="1"/>
      <c r="AU3221" s="1"/>
    </row>
    <row r="3222" spans="34:47">
      <c r="AH3222" s="6">
        <f t="shared" si="449"/>
        <v>3192</v>
      </c>
      <c r="AI3222" s="7">
        <f t="shared" ca="1" si="450"/>
        <v>45862</v>
      </c>
      <c r="AJ3222" s="210">
        <f t="shared" ca="1" si="451"/>
        <v>4.1749999999999998</v>
      </c>
      <c r="AK3222" s="8">
        <f t="shared" ca="1" si="452"/>
        <v>1.0001159722222221</v>
      </c>
      <c r="AL3222" s="98">
        <f t="shared" ca="1" si="453"/>
        <v>4.1244865059032909</v>
      </c>
      <c r="AM3222" s="106">
        <f t="shared" ca="1" si="447"/>
        <v>34070.561802467739</v>
      </c>
      <c r="AN3222" s="10">
        <f t="shared" ca="1" si="448"/>
        <v>1.0675848293148826</v>
      </c>
      <c r="AO3222" s="158"/>
      <c r="AP3222" s="158"/>
      <c r="AQ3222" s="1"/>
      <c r="AR3222" s="1"/>
      <c r="AS3222" s="1"/>
      <c r="AT3222" s="1"/>
      <c r="AU3222" s="1"/>
    </row>
    <row r="3223" spans="34:47">
      <c r="AH3223" s="6">
        <f t="shared" si="449"/>
        <v>3193</v>
      </c>
      <c r="AI3223" s="7">
        <f t="shared" ca="1" si="450"/>
        <v>45863</v>
      </c>
      <c r="AJ3223" s="210">
        <f t="shared" ca="1" si="451"/>
        <v>4.1749999999999998</v>
      </c>
      <c r="AK3223" s="8">
        <f t="shared" ca="1" si="452"/>
        <v>1.0001159722222221</v>
      </c>
      <c r="AL3223" s="98">
        <f t="shared" ca="1" si="453"/>
        <v>4.1245488052942259</v>
      </c>
      <c r="AM3223" s="106">
        <f t="shared" ca="1" si="447"/>
        <v>34073.369266816975</v>
      </c>
      <c r="AN3223" s="10">
        <f t="shared" ca="1" si="448"/>
        <v>1.0676365135693811</v>
      </c>
      <c r="AO3223" s="158"/>
      <c r="AP3223" s="158"/>
      <c r="AQ3223" s="1"/>
      <c r="AR3223" s="1"/>
      <c r="AS3223" s="1"/>
      <c r="AT3223" s="1"/>
      <c r="AU3223" s="1"/>
    </row>
    <row r="3224" spans="34:47">
      <c r="AH3224" s="6">
        <f t="shared" si="449"/>
        <v>3194</v>
      </c>
      <c r="AI3224" s="7">
        <f t="shared" ca="1" si="450"/>
        <v>45864</v>
      </c>
      <c r="AJ3224" s="210">
        <f t="shared" ca="1" si="451"/>
        <v>4.1749999999999998</v>
      </c>
      <c r="AK3224" s="8">
        <f t="shared" ca="1" si="452"/>
        <v>1.0001159722222221</v>
      </c>
      <c r="AL3224" s="98">
        <f t="shared" ca="1" si="453"/>
        <v>4.124611065712136</v>
      </c>
      <c r="AM3224" s="106">
        <f t="shared" ca="1" si="447"/>
        <v>34076.1769625054</v>
      </c>
      <c r="AN3224" s="10">
        <f t="shared" ca="1" si="448"/>
        <v>1.0676881654869463</v>
      </c>
      <c r="AO3224" s="158"/>
      <c r="AP3224" s="158"/>
      <c r="AQ3224" s="1"/>
      <c r="AR3224" s="1"/>
      <c r="AS3224" s="1"/>
      <c r="AT3224" s="1"/>
      <c r="AU3224" s="1"/>
    </row>
    <row r="3225" spans="34:47">
      <c r="AH3225" s="6">
        <f t="shared" si="449"/>
        <v>3195</v>
      </c>
      <c r="AI3225" s="7">
        <f t="shared" ca="1" si="450"/>
        <v>45865</v>
      </c>
      <c r="AJ3225" s="210">
        <f t="shared" ca="1" si="451"/>
        <v>4.1749999999999998</v>
      </c>
      <c r="AK3225" s="8">
        <f t="shared" ca="1" si="452"/>
        <v>1.0001159722222221</v>
      </c>
      <c r="AL3225" s="98">
        <f t="shared" ca="1" si="453"/>
        <v>4.1246732871935698</v>
      </c>
      <c r="AM3225" s="106">
        <f t="shared" ca="1" si="447"/>
        <v>34078.98488955207</v>
      </c>
      <c r="AN3225" s="10">
        <f t="shared" ca="1" si="448"/>
        <v>1.0677397850979098</v>
      </c>
      <c r="AO3225" s="158"/>
      <c r="AP3225" s="158"/>
      <c r="AQ3225" s="1"/>
      <c r="AR3225" s="1"/>
      <c r="AS3225" s="1"/>
      <c r="AT3225" s="1"/>
      <c r="AU3225" s="1"/>
    </row>
    <row r="3226" spans="34:47">
      <c r="AH3226" s="6">
        <f t="shared" si="449"/>
        <v>3196</v>
      </c>
      <c r="AI3226" s="7">
        <f t="shared" ca="1" si="450"/>
        <v>45866</v>
      </c>
      <c r="AJ3226" s="210">
        <f t="shared" ca="1" si="451"/>
        <v>4.1749999999999998</v>
      </c>
      <c r="AK3226" s="8">
        <f t="shared" ca="1" si="452"/>
        <v>1.0001159722222221</v>
      </c>
      <c r="AL3226" s="98">
        <f t="shared" ca="1" si="453"/>
        <v>4.1247354697750538</v>
      </c>
      <c r="AM3226" s="106">
        <f t="shared" ca="1" si="447"/>
        <v>34081.793047976062</v>
      </c>
      <c r="AN3226" s="10">
        <f t="shared" ca="1" si="448"/>
        <v>1.0677913724325805</v>
      </c>
      <c r="AO3226" s="158"/>
      <c r="AP3226" s="158"/>
      <c r="AQ3226" s="1"/>
      <c r="AR3226" s="1"/>
      <c r="AS3226" s="1"/>
      <c r="AT3226" s="1"/>
      <c r="AU3226" s="1"/>
    </row>
    <row r="3227" spans="34:47">
      <c r="AH3227" s="6">
        <f t="shared" si="449"/>
        <v>3197</v>
      </c>
      <c r="AI3227" s="7">
        <f t="shared" ca="1" si="450"/>
        <v>45867</v>
      </c>
      <c r="AJ3227" s="210">
        <f t="shared" ca="1" si="451"/>
        <v>4.1749999999999998</v>
      </c>
      <c r="AK3227" s="8">
        <f t="shared" ca="1" si="452"/>
        <v>1.0001159722222221</v>
      </c>
      <c r="AL3227" s="98">
        <f t="shared" ca="1" si="453"/>
        <v>4.1247976134930697</v>
      </c>
      <c r="AM3227" s="106">
        <f t="shared" ca="1" si="447"/>
        <v>34084.601437796431</v>
      </c>
      <c r="AN3227" s="10">
        <f t="shared" ca="1" si="448"/>
        <v>1.0678429275212231</v>
      </c>
      <c r="AO3227" s="158"/>
      <c r="AP3227" s="158"/>
      <c r="AQ3227" s="1"/>
      <c r="AR3227" s="1"/>
      <c r="AS3227" s="1"/>
      <c r="AT3227" s="1"/>
      <c r="AU3227" s="1"/>
    </row>
    <row r="3228" spans="34:47">
      <c r="AH3228" s="6">
        <f t="shared" si="449"/>
        <v>3198</v>
      </c>
      <c r="AI3228" s="7">
        <f t="shared" ca="1" si="450"/>
        <v>45868</v>
      </c>
      <c r="AJ3228" s="210">
        <f t="shared" ca="1" si="451"/>
        <v>4.1749999999999998</v>
      </c>
      <c r="AK3228" s="8">
        <f t="shared" ca="1" si="452"/>
        <v>1.0001159722222221</v>
      </c>
      <c r="AL3228" s="98">
        <f t="shared" ca="1" si="453"/>
        <v>4.1248597183840108</v>
      </c>
      <c r="AM3228" s="106">
        <f t="shared" ca="1" si="447"/>
        <v>34087.410059032249</v>
      </c>
      <c r="AN3228" s="10">
        <f t="shared" ca="1" si="448"/>
        <v>1.0678944503940579</v>
      </c>
      <c r="AO3228" s="158"/>
      <c r="AP3228" s="158"/>
      <c r="AQ3228" s="1"/>
      <c r="AR3228" s="1"/>
      <c r="AS3228" s="1"/>
      <c r="AT3228" s="1"/>
      <c r="AU3228" s="1"/>
    </row>
    <row r="3229" spans="34:47">
      <c r="AH3229" s="6">
        <f t="shared" si="449"/>
        <v>3199</v>
      </c>
      <c r="AI3229" s="7">
        <f t="shared" ca="1" si="450"/>
        <v>45869</v>
      </c>
      <c r="AJ3229" s="210">
        <f t="shared" ca="1" si="451"/>
        <v>4.1749999999999998</v>
      </c>
      <c r="AK3229" s="8">
        <f t="shared" ca="1" si="452"/>
        <v>1.0001159722222221</v>
      </c>
      <c r="AL3229" s="98">
        <f t="shared" ca="1" si="453"/>
        <v>4.12492178448427</v>
      </c>
      <c r="AM3229" s="106">
        <f t="shared" ca="1" si="447"/>
        <v>34090.218911702577</v>
      </c>
      <c r="AN3229" s="10">
        <f t="shared" ca="1" si="448"/>
        <v>1.0679459410812608</v>
      </c>
      <c r="AO3229" s="158"/>
      <c r="AP3229" s="158"/>
      <c r="AQ3229" s="1"/>
      <c r="AR3229" s="1"/>
      <c r="AS3229" s="1"/>
      <c r="AT3229" s="1"/>
      <c r="AU3229" s="1"/>
    </row>
    <row r="3230" spans="34:47">
      <c r="AH3230" s="6">
        <f t="shared" si="449"/>
        <v>3200</v>
      </c>
      <c r="AI3230" s="7">
        <f t="shared" ca="1" si="450"/>
        <v>45870</v>
      </c>
      <c r="AJ3230" s="210">
        <f t="shared" ca="1" si="451"/>
        <v>4.1749999999999998</v>
      </c>
      <c r="AK3230" s="8">
        <f t="shared" ca="1" si="452"/>
        <v>1.0001159722222221</v>
      </c>
      <c r="AL3230" s="98">
        <f t="shared" ca="1" si="453"/>
        <v>4.124983811830174</v>
      </c>
      <c r="AM3230" s="106">
        <f t="shared" ca="1" si="447"/>
        <v>34093.027995826495</v>
      </c>
      <c r="AN3230" s="10">
        <f t="shared" ca="1" si="448"/>
        <v>1.0679973996129855</v>
      </c>
      <c r="AO3230" s="158"/>
      <c r="AP3230" s="158"/>
      <c r="AQ3230" s="1"/>
      <c r="AR3230" s="1"/>
      <c r="AS3230" s="1"/>
      <c r="AT3230" s="1"/>
      <c r="AU3230" s="1"/>
    </row>
    <row r="3231" spans="34:47">
      <c r="AH3231" s="6">
        <f t="shared" si="449"/>
        <v>3201</v>
      </c>
      <c r="AI3231" s="7">
        <f t="shared" ca="1" si="450"/>
        <v>45871</v>
      </c>
      <c r="AJ3231" s="210">
        <f t="shared" ca="1" si="451"/>
        <v>4.1749999999999998</v>
      </c>
      <c r="AK3231" s="8">
        <f t="shared" ca="1" si="452"/>
        <v>1.0001159722222221</v>
      </c>
      <c r="AL3231" s="98">
        <f t="shared" ca="1" si="453"/>
        <v>4.125045800458027</v>
      </c>
      <c r="AM3231" s="106">
        <f t="shared" ref="AM3231:AM3294" ca="1" si="454">Geom_Interp(AI3231,$AZ$2:$AZ$109,$BA$2:$BA$109)</f>
        <v>34095.837311423078</v>
      </c>
      <c r="AN3231" s="10">
        <f t="shared" ref="AN3231:AN3294" ca="1" si="455">100*(((1+AL3231/100)^(AH3231/365)*$AM$29/AM3231)^(365/AH3231)-1)</f>
        <v>1.0680488260193632</v>
      </c>
      <c r="AO3231" s="158"/>
      <c r="AP3231" s="158"/>
      <c r="AQ3231" s="1"/>
      <c r="AR3231" s="1"/>
      <c r="AS3231" s="1"/>
      <c r="AT3231" s="1"/>
      <c r="AU3231" s="1"/>
    </row>
    <row r="3232" spans="34:47">
      <c r="AH3232" s="6">
        <f t="shared" ref="AH3232:AH3295" si="456">$AI$29+AH3231</f>
        <v>3202</v>
      </c>
      <c r="AI3232" s="7">
        <f t="shared" ref="AI3232:AI3295" ca="1" si="457">+AH3232+$C$1</f>
        <v>45872</v>
      </c>
      <c r="AJ3232" s="210">
        <f t="shared" ref="AJ3232:AJ3295" ca="1" si="458">IF(AH3232&lt;365,VLOOKUP(LOOKUP(AI3232,$AI$2:$AI$23),$AI$2:$AK$23,3,0),Lin_Interp(AH3232,$AJ$2:$AJ$23,$AK$2:$AK$23))</f>
        <v>4.1749999999999998</v>
      </c>
      <c r="AK3232" s="8">
        <f t="shared" ca="1" si="452"/>
        <v>1.0001159722222221</v>
      </c>
      <c r="AL3232" s="98">
        <f t="shared" ca="1" si="453"/>
        <v>4.1251077504040445</v>
      </c>
      <c r="AM3232" s="106">
        <f t="shared" ca="1" si="454"/>
        <v>34098.646858511383</v>
      </c>
      <c r="AN3232" s="10">
        <f t="shared" ca="1" si="455"/>
        <v>1.068100220330459</v>
      </c>
      <c r="AO3232" s="158"/>
      <c r="AP3232" s="158"/>
      <c r="AQ3232" s="1"/>
      <c r="AR3232" s="1"/>
      <c r="AS3232" s="1"/>
      <c r="AT3232" s="1"/>
      <c r="AU3232" s="1"/>
    </row>
    <row r="3233" spans="34:47">
      <c r="AH3233" s="6">
        <f t="shared" si="456"/>
        <v>3203</v>
      </c>
      <c r="AI3233" s="7">
        <f t="shared" ca="1" si="457"/>
        <v>45873</v>
      </c>
      <c r="AJ3233" s="210">
        <f t="shared" ca="1" si="458"/>
        <v>4.1749999999999998</v>
      </c>
      <c r="AK3233" s="8">
        <f t="shared" ref="AK3233:AK3296" ca="1" si="459">+(1+AJ3233/36000)</f>
        <v>1.0001159722222221</v>
      </c>
      <c r="AL3233" s="98">
        <f t="shared" ref="AL3233:AL3296" ca="1" si="460">100*(((1+AL3232/100)^(AH3232/365)*AK3233)^(365/AH3233)-1)</f>
        <v>4.125169661704442</v>
      </c>
      <c r="AM3233" s="106">
        <f t="shared" ca="1" si="454"/>
        <v>34101.456637110503</v>
      </c>
      <c r="AN3233" s="10">
        <f t="shared" ca="1" si="455"/>
        <v>1.0681515825763155</v>
      </c>
      <c r="AO3233" s="158"/>
      <c r="AP3233" s="158"/>
      <c r="AQ3233" s="1"/>
      <c r="AR3233" s="1"/>
      <c r="AS3233" s="1"/>
      <c r="AT3233" s="1"/>
      <c r="AU3233" s="1"/>
    </row>
    <row r="3234" spans="34:47">
      <c r="AH3234" s="6">
        <f t="shared" si="456"/>
        <v>3204</v>
      </c>
      <c r="AI3234" s="7">
        <f t="shared" ca="1" si="457"/>
        <v>45874</v>
      </c>
      <c r="AJ3234" s="210">
        <f t="shared" ca="1" si="458"/>
        <v>4.1749999999999998</v>
      </c>
      <c r="AK3234" s="8">
        <f t="shared" ca="1" si="459"/>
        <v>1.0001159722222221</v>
      </c>
      <c r="AL3234" s="98">
        <f t="shared" ca="1" si="460"/>
        <v>4.1252315343953683</v>
      </c>
      <c r="AM3234" s="106">
        <f t="shared" ca="1" si="454"/>
        <v>34104.266647239507</v>
      </c>
      <c r="AN3234" s="10">
        <f t="shared" ca="1" si="455"/>
        <v>1.0682029127869086</v>
      </c>
      <c r="AO3234" s="158"/>
      <c r="AP3234" s="158"/>
      <c r="AQ3234" s="1"/>
      <c r="AR3234" s="1"/>
      <c r="AS3234" s="1"/>
      <c r="AT3234" s="1"/>
      <c r="AU3234" s="1"/>
    </row>
    <row r="3235" spans="34:47">
      <c r="AH3235" s="6">
        <f t="shared" si="456"/>
        <v>3205</v>
      </c>
      <c r="AI3235" s="7">
        <f t="shared" ca="1" si="457"/>
        <v>45875</v>
      </c>
      <c r="AJ3235" s="210">
        <f t="shared" ca="1" si="458"/>
        <v>4.1749999999999998</v>
      </c>
      <c r="AK3235" s="8">
        <f t="shared" ca="1" si="459"/>
        <v>1.0001159722222221</v>
      </c>
      <c r="AL3235" s="98">
        <f t="shared" ca="1" si="460"/>
        <v>4.1252933685129056</v>
      </c>
      <c r="AM3235" s="106">
        <f t="shared" ca="1" si="454"/>
        <v>34107.076888917472</v>
      </c>
      <c r="AN3235" s="10">
        <f t="shared" ca="1" si="455"/>
        <v>1.0682542109922144</v>
      </c>
      <c r="AO3235" s="158"/>
      <c r="AP3235" s="158"/>
      <c r="AQ3235" s="1"/>
      <c r="AR3235" s="1"/>
      <c r="AS3235" s="1"/>
      <c r="AT3235" s="1"/>
      <c r="AU3235" s="1"/>
    </row>
    <row r="3236" spans="34:47">
      <c r="AH3236" s="6">
        <f t="shared" si="456"/>
        <v>3206</v>
      </c>
      <c r="AI3236" s="7">
        <f t="shared" ca="1" si="457"/>
        <v>45876</v>
      </c>
      <c r="AJ3236" s="210">
        <f t="shared" ca="1" si="458"/>
        <v>4.1749999999999998</v>
      </c>
      <c r="AK3236" s="8">
        <f t="shared" ca="1" si="459"/>
        <v>1.0001159722222221</v>
      </c>
      <c r="AL3236" s="98">
        <f t="shared" ca="1" si="460"/>
        <v>4.1253551640931363</v>
      </c>
      <c r="AM3236" s="106">
        <f t="shared" ca="1" si="454"/>
        <v>34109.887362163478</v>
      </c>
      <c r="AN3236" s="10">
        <f t="shared" ca="1" si="455"/>
        <v>1.0683054772221423</v>
      </c>
      <c r="AO3236" s="158"/>
      <c r="AP3236" s="158"/>
      <c r="AQ3236" s="1"/>
      <c r="AR3236" s="1"/>
      <c r="AS3236" s="1"/>
      <c r="AT3236" s="1"/>
      <c r="AU3236" s="1"/>
    </row>
    <row r="3237" spans="34:47">
      <c r="AH3237" s="6">
        <f t="shared" si="456"/>
        <v>3207</v>
      </c>
      <c r="AI3237" s="7">
        <f t="shared" ca="1" si="457"/>
        <v>45877</v>
      </c>
      <c r="AJ3237" s="210">
        <f t="shared" ca="1" si="458"/>
        <v>4.1749999999999998</v>
      </c>
      <c r="AK3237" s="8">
        <f t="shared" ca="1" si="459"/>
        <v>1.0001159722222221</v>
      </c>
      <c r="AL3237" s="98">
        <f t="shared" ca="1" si="460"/>
        <v>4.1254169211720759</v>
      </c>
      <c r="AM3237" s="106">
        <f t="shared" ca="1" si="454"/>
        <v>34112.698066996614</v>
      </c>
      <c r="AN3237" s="10">
        <f t="shared" ca="1" si="455"/>
        <v>1.0683567115066239</v>
      </c>
      <c r="AO3237" s="158"/>
      <c r="AP3237" s="158"/>
      <c r="AQ3237" s="1"/>
      <c r="AR3237" s="1"/>
      <c r="AS3237" s="1"/>
      <c r="AT3237" s="1"/>
      <c r="AU3237" s="1"/>
    </row>
    <row r="3238" spans="34:47">
      <c r="AH3238" s="6">
        <f t="shared" si="456"/>
        <v>3208</v>
      </c>
      <c r="AI3238" s="7">
        <f t="shared" ca="1" si="457"/>
        <v>45878</v>
      </c>
      <c r="AJ3238" s="210">
        <f t="shared" ca="1" si="458"/>
        <v>4.1749999999999998</v>
      </c>
      <c r="AK3238" s="8">
        <f t="shared" ca="1" si="459"/>
        <v>1.0001159722222221</v>
      </c>
      <c r="AL3238" s="98">
        <f t="shared" ca="1" si="460"/>
        <v>4.1254786397856957</v>
      </c>
      <c r="AM3238" s="106">
        <f t="shared" ca="1" si="454"/>
        <v>34115.50900343596</v>
      </c>
      <c r="AN3238" s="10">
        <f t="shared" ca="1" si="455"/>
        <v>1.0684079138754798</v>
      </c>
      <c r="AO3238" s="158"/>
      <c r="AP3238" s="158"/>
      <c r="AQ3238" s="1"/>
      <c r="AR3238" s="1"/>
      <c r="AS3238" s="1"/>
      <c r="AT3238" s="1"/>
      <c r="AU3238" s="1"/>
    </row>
    <row r="3239" spans="34:47">
      <c r="AH3239" s="6">
        <f t="shared" si="456"/>
        <v>3209</v>
      </c>
      <c r="AI3239" s="7">
        <f t="shared" ca="1" si="457"/>
        <v>45879</v>
      </c>
      <c r="AJ3239" s="210">
        <f t="shared" ca="1" si="458"/>
        <v>4.1749999999999998</v>
      </c>
      <c r="AK3239" s="8">
        <f t="shared" ca="1" si="459"/>
        <v>1.0001159722222221</v>
      </c>
      <c r="AL3239" s="98">
        <f t="shared" ca="1" si="460"/>
        <v>4.1255403199699003</v>
      </c>
      <c r="AM3239" s="106">
        <f t="shared" ca="1" si="454"/>
        <v>34118.320171500585</v>
      </c>
      <c r="AN3239" s="10">
        <f t="shared" ca="1" si="455"/>
        <v>1.0684590843585084</v>
      </c>
      <c r="AO3239" s="158"/>
      <c r="AP3239" s="158"/>
      <c r="AQ3239" s="1"/>
      <c r="AR3239" s="1"/>
      <c r="AS3239" s="1"/>
      <c r="AT3239" s="1"/>
      <c r="AU3239" s="1"/>
    </row>
    <row r="3240" spans="34:47">
      <c r="AH3240" s="6">
        <f t="shared" si="456"/>
        <v>3210</v>
      </c>
      <c r="AI3240" s="7">
        <f t="shared" ca="1" si="457"/>
        <v>45880</v>
      </c>
      <c r="AJ3240" s="210">
        <f t="shared" ca="1" si="458"/>
        <v>4.1749999999999998</v>
      </c>
      <c r="AK3240" s="8">
        <f t="shared" ca="1" si="459"/>
        <v>1.0001159722222221</v>
      </c>
      <c r="AL3240" s="98">
        <f t="shared" ca="1" si="460"/>
        <v>4.1256019617605943</v>
      </c>
      <c r="AM3240" s="106">
        <f t="shared" ca="1" si="454"/>
        <v>34121.131571209604</v>
      </c>
      <c r="AN3240" s="10">
        <f t="shared" ca="1" si="455"/>
        <v>1.0685102229854859</v>
      </c>
      <c r="AO3240" s="158"/>
      <c r="AP3240" s="158"/>
      <c r="AQ3240" s="1"/>
      <c r="AR3240" s="1"/>
      <c r="AS3240" s="1"/>
      <c r="AT3240" s="1"/>
      <c r="AU3240" s="1"/>
    </row>
    <row r="3241" spans="34:47">
      <c r="AH3241" s="6">
        <f t="shared" si="456"/>
        <v>3211</v>
      </c>
      <c r="AI3241" s="7">
        <f t="shared" ca="1" si="457"/>
        <v>45881</v>
      </c>
      <c r="AJ3241" s="210">
        <f t="shared" ca="1" si="458"/>
        <v>4.1749999999999998</v>
      </c>
      <c r="AK3241" s="8">
        <f t="shared" ca="1" si="459"/>
        <v>1.0001159722222221</v>
      </c>
      <c r="AL3241" s="98">
        <f t="shared" ca="1" si="460"/>
        <v>4.1256635651936158</v>
      </c>
      <c r="AM3241" s="106">
        <f t="shared" ca="1" si="454"/>
        <v>34123.943202582086</v>
      </c>
      <c r="AN3241" s="10">
        <f t="shared" ca="1" si="455"/>
        <v>1.0685613297861885</v>
      </c>
      <c r="AO3241" s="158"/>
      <c r="AP3241" s="158"/>
      <c r="AQ3241" s="1"/>
      <c r="AR3241" s="1"/>
      <c r="AS3241" s="1"/>
      <c r="AT3241" s="1"/>
      <c r="AU3241" s="1"/>
    </row>
    <row r="3242" spans="34:47">
      <c r="AH3242" s="6">
        <f t="shared" si="456"/>
        <v>3212</v>
      </c>
      <c r="AI3242" s="7">
        <f t="shared" ca="1" si="457"/>
        <v>45882</v>
      </c>
      <c r="AJ3242" s="210">
        <f t="shared" ca="1" si="458"/>
        <v>4.1749999999999998</v>
      </c>
      <c r="AK3242" s="8">
        <f t="shared" ca="1" si="459"/>
        <v>1.0001159722222221</v>
      </c>
      <c r="AL3242" s="98">
        <f t="shared" ca="1" si="460"/>
        <v>4.125725130304736</v>
      </c>
      <c r="AM3242" s="106">
        <f t="shared" ca="1" si="454"/>
        <v>34126.755065637117</v>
      </c>
      <c r="AN3242" s="10">
        <f t="shared" ca="1" si="455"/>
        <v>1.0686124047902812</v>
      </c>
      <c r="AO3242" s="158"/>
      <c r="AP3242" s="158"/>
      <c r="AQ3242" s="1"/>
      <c r="AR3242" s="1"/>
      <c r="AS3242" s="1"/>
      <c r="AT3242" s="1"/>
      <c r="AU3242" s="1"/>
    </row>
    <row r="3243" spans="34:47">
      <c r="AH3243" s="6">
        <f t="shared" si="456"/>
        <v>3213</v>
      </c>
      <c r="AI3243" s="7">
        <f t="shared" ca="1" si="457"/>
        <v>45883</v>
      </c>
      <c r="AJ3243" s="210">
        <f t="shared" ca="1" si="458"/>
        <v>4.1749999999999998</v>
      </c>
      <c r="AK3243" s="8">
        <f t="shared" ca="1" si="459"/>
        <v>1.0001159722222221</v>
      </c>
      <c r="AL3243" s="98">
        <f t="shared" ca="1" si="460"/>
        <v>4.1257866571297042</v>
      </c>
      <c r="AM3243" s="106">
        <f t="shared" ca="1" si="454"/>
        <v>34129.567160393803</v>
      </c>
      <c r="AN3243" s="10">
        <f t="shared" ca="1" si="455"/>
        <v>1.0686634480274293</v>
      </c>
      <c r="AO3243" s="158"/>
      <c r="AP3243" s="158"/>
      <c r="AQ3243" s="1"/>
      <c r="AR3243" s="1"/>
      <c r="AS3243" s="1"/>
      <c r="AT3243" s="1"/>
      <c r="AU3243" s="1"/>
    </row>
    <row r="3244" spans="34:47">
      <c r="AH3244" s="6">
        <f t="shared" si="456"/>
        <v>3214</v>
      </c>
      <c r="AI3244" s="7">
        <f t="shared" ca="1" si="457"/>
        <v>45884</v>
      </c>
      <c r="AJ3244" s="210">
        <f t="shared" ca="1" si="458"/>
        <v>4.1749999999999998</v>
      </c>
      <c r="AK3244" s="8">
        <f t="shared" ca="1" si="459"/>
        <v>1.0001159722222221</v>
      </c>
      <c r="AL3244" s="98">
        <f t="shared" ca="1" si="460"/>
        <v>4.1258481457042473</v>
      </c>
      <c r="AM3244" s="106">
        <f t="shared" ca="1" si="454"/>
        <v>34132.379486871221</v>
      </c>
      <c r="AN3244" s="10">
        <f t="shared" ca="1" si="455"/>
        <v>1.0687144595272979</v>
      </c>
      <c r="AO3244" s="158"/>
      <c r="AP3244" s="158"/>
      <c r="AQ3244" s="1"/>
      <c r="AR3244" s="1"/>
      <c r="AS3244" s="1"/>
      <c r="AT3244" s="1"/>
      <c r="AU3244" s="1"/>
    </row>
    <row r="3245" spans="34:47">
      <c r="AH3245" s="6">
        <f t="shared" si="456"/>
        <v>3215</v>
      </c>
      <c r="AI3245" s="7">
        <f t="shared" ca="1" si="457"/>
        <v>45885</v>
      </c>
      <c r="AJ3245" s="210">
        <f t="shared" ca="1" si="458"/>
        <v>4.1749999999999998</v>
      </c>
      <c r="AK3245" s="8">
        <f t="shared" ca="1" si="459"/>
        <v>1.0001159722222221</v>
      </c>
      <c r="AL3245" s="98">
        <f t="shared" ca="1" si="460"/>
        <v>4.1259095960640035</v>
      </c>
      <c r="AM3245" s="106">
        <f t="shared" ca="1" si="454"/>
        <v>34135.192045088472</v>
      </c>
      <c r="AN3245" s="10">
        <f t="shared" ca="1" si="455"/>
        <v>1.0687654393194412</v>
      </c>
      <c r="AO3245" s="158"/>
      <c r="AP3245" s="158"/>
      <c r="AQ3245" s="1"/>
      <c r="AR3245" s="1"/>
      <c r="AS3245" s="1"/>
      <c r="AT3245" s="1"/>
      <c r="AU3245" s="1"/>
    </row>
    <row r="3246" spans="34:47">
      <c r="AH3246" s="6">
        <f t="shared" si="456"/>
        <v>3216</v>
      </c>
      <c r="AI3246" s="7">
        <f t="shared" ca="1" si="457"/>
        <v>45886</v>
      </c>
      <c r="AJ3246" s="210">
        <f t="shared" ca="1" si="458"/>
        <v>4.1749999999999998</v>
      </c>
      <c r="AK3246" s="8">
        <f t="shared" ca="1" si="459"/>
        <v>1.0001159722222221</v>
      </c>
      <c r="AL3246" s="98">
        <f t="shared" ca="1" si="460"/>
        <v>4.1259710082445888</v>
      </c>
      <c r="AM3246" s="106">
        <f t="shared" ca="1" si="454"/>
        <v>34138.004835064661</v>
      </c>
      <c r="AN3246" s="10">
        <f t="shared" ca="1" si="455"/>
        <v>1.0688163874334133</v>
      </c>
      <c r="AO3246" s="158"/>
      <c r="AP3246" s="158"/>
      <c r="AQ3246" s="1"/>
      <c r="AR3246" s="1"/>
      <c r="AS3246" s="1"/>
      <c r="AT3246" s="1"/>
      <c r="AU3246" s="1"/>
    </row>
    <row r="3247" spans="34:47">
      <c r="AH3247" s="6">
        <f t="shared" si="456"/>
        <v>3217</v>
      </c>
      <c r="AI3247" s="7">
        <f t="shared" ca="1" si="457"/>
        <v>45887</v>
      </c>
      <c r="AJ3247" s="210">
        <f t="shared" ca="1" si="458"/>
        <v>4.1749999999999998</v>
      </c>
      <c r="AK3247" s="8">
        <f t="shared" ca="1" si="459"/>
        <v>1.0001159722222221</v>
      </c>
      <c r="AL3247" s="98">
        <f t="shared" ca="1" si="460"/>
        <v>4.1260323822815748</v>
      </c>
      <c r="AM3247" s="106">
        <f t="shared" ca="1" si="454"/>
        <v>34140.817856818874</v>
      </c>
      <c r="AN3247" s="10">
        <f t="shared" ca="1" si="455"/>
        <v>1.068867303898724</v>
      </c>
      <c r="AO3247" s="158"/>
      <c r="AP3247" s="158"/>
      <c r="AQ3247" s="1"/>
      <c r="AR3247" s="1"/>
      <c r="AS3247" s="1"/>
      <c r="AT3247" s="1"/>
      <c r="AU3247" s="1"/>
    </row>
    <row r="3248" spans="34:47">
      <c r="AH3248" s="6">
        <f t="shared" si="456"/>
        <v>3218</v>
      </c>
      <c r="AI3248" s="7">
        <f t="shared" ca="1" si="457"/>
        <v>45888</v>
      </c>
      <c r="AJ3248" s="210">
        <f t="shared" ca="1" si="458"/>
        <v>4.1749999999999998</v>
      </c>
      <c r="AK3248" s="8">
        <f t="shared" ca="1" si="459"/>
        <v>1.0001159722222221</v>
      </c>
      <c r="AL3248" s="98">
        <f t="shared" ca="1" si="460"/>
        <v>4.1260937182104884</v>
      </c>
      <c r="AM3248" s="106">
        <f t="shared" ca="1" si="454"/>
        <v>34143.63111037021</v>
      </c>
      <c r="AN3248" s="10">
        <f t="shared" ca="1" si="455"/>
        <v>1.0689181887449051</v>
      </c>
      <c r="AO3248" s="158"/>
      <c r="AP3248" s="158"/>
      <c r="AQ3248" s="1"/>
      <c r="AR3248" s="1"/>
      <c r="AS3248" s="1"/>
      <c r="AT3248" s="1"/>
      <c r="AU3248" s="1"/>
    </row>
    <row r="3249" spans="34:47">
      <c r="AH3249" s="6">
        <f t="shared" si="456"/>
        <v>3219</v>
      </c>
      <c r="AI3249" s="7">
        <f t="shared" ca="1" si="457"/>
        <v>45889</v>
      </c>
      <c r="AJ3249" s="210">
        <f t="shared" ca="1" si="458"/>
        <v>4.1749999999999998</v>
      </c>
      <c r="AK3249" s="8">
        <f t="shared" ca="1" si="459"/>
        <v>1.0001159722222221</v>
      </c>
      <c r="AL3249" s="98">
        <f t="shared" ca="1" si="460"/>
        <v>4.1261550160668348</v>
      </c>
      <c r="AM3249" s="106">
        <f t="shared" ca="1" si="454"/>
        <v>34146.444595737776</v>
      </c>
      <c r="AN3249" s="10">
        <f t="shared" ca="1" si="455"/>
        <v>1.0689690420013553</v>
      </c>
      <c r="AO3249" s="158"/>
      <c r="AP3249" s="158"/>
      <c r="AQ3249" s="1"/>
      <c r="AR3249" s="1"/>
      <c r="AS3249" s="1"/>
      <c r="AT3249" s="1"/>
      <c r="AU3249" s="1"/>
    </row>
    <row r="3250" spans="34:47">
      <c r="AH3250" s="6">
        <f t="shared" si="456"/>
        <v>3220</v>
      </c>
      <c r="AI3250" s="7">
        <f t="shared" ca="1" si="457"/>
        <v>45890</v>
      </c>
      <c r="AJ3250" s="210">
        <f t="shared" ca="1" si="458"/>
        <v>4.1749999999999998</v>
      </c>
      <c r="AK3250" s="8">
        <f t="shared" ca="1" si="459"/>
        <v>1.0001159722222221</v>
      </c>
      <c r="AL3250" s="98">
        <f t="shared" ca="1" si="460"/>
        <v>4.1262162758860299</v>
      </c>
      <c r="AM3250" s="106">
        <f t="shared" ca="1" si="454"/>
        <v>34149.258312940663</v>
      </c>
      <c r="AN3250" s="10">
        <f t="shared" ca="1" si="455"/>
        <v>1.0690198636975179</v>
      </c>
      <c r="AO3250" s="158"/>
      <c r="AP3250" s="158"/>
      <c r="AQ3250" s="1"/>
      <c r="AR3250" s="1"/>
      <c r="AS3250" s="1"/>
      <c r="AT3250" s="1"/>
      <c r="AU3250" s="1"/>
    </row>
    <row r="3251" spans="34:47">
      <c r="AH3251" s="6">
        <f t="shared" si="456"/>
        <v>3221</v>
      </c>
      <c r="AI3251" s="7">
        <f t="shared" ca="1" si="457"/>
        <v>45891</v>
      </c>
      <c r="AJ3251" s="210">
        <f t="shared" ca="1" si="458"/>
        <v>4.1749999999999998</v>
      </c>
      <c r="AK3251" s="8">
        <f t="shared" ca="1" si="459"/>
        <v>1.0001159722222221</v>
      </c>
      <c r="AL3251" s="98">
        <f t="shared" ca="1" si="460"/>
        <v>4.1262774977034677</v>
      </c>
      <c r="AM3251" s="106">
        <f t="shared" ca="1" si="454"/>
        <v>34152.072261997986</v>
      </c>
      <c r="AN3251" s="10">
        <f t="shared" ca="1" si="455"/>
        <v>1.069070653862747</v>
      </c>
      <c r="AO3251" s="158"/>
      <c r="AP3251" s="158"/>
      <c r="AQ3251" s="1"/>
      <c r="AR3251" s="1"/>
      <c r="AS3251" s="1"/>
      <c r="AT3251" s="1"/>
      <c r="AU3251" s="1"/>
    </row>
    <row r="3252" spans="34:47">
      <c r="AH3252" s="6">
        <f t="shared" si="456"/>
        <v>3222</v>
      </c>
      <c r="AI3252" s="7">
        <f t="shared" ca="1" si="457"/>
        <v>45892</v>
      </c>
      <c r="AJ3252" s="210">
        <f t="shared" ca="1" si="458"/>
        <v>4.1749999999999998</v>
      </c>
      <c r="AK3252" s="8">
        <f t="shared" ca="1" si="459"/>
        <v>1.0001159722222221</v>
      </c>
      <c r="AL3252" s="98">
        <f t="shared" ca="1" si="460"/>
        <v>4.1263386815544978</v>
      </c>
      <c r="AM3252" s="106">
        <f t="shared" ca="1" si="454"/>
        <v>34154.886442928844</v>
      </c>
      <c r="AN3252" s="10">
        <f t="shared" ca="1" si="455"/>
        <v>1.0691214125263526</v>
      </c>
      <c r="AO3252" s="158"/>
      <c r="AP3252" s="158"/>
      <c r="AQ3252" s="1"/>
      <c r="AR3252" s="1"/>
      <c r="AS3252" s="1"/>
      <c r="AT3252" s="1"/>
      <c r="AU3252" s="1"/>
    </row>
    <row r="3253" spans="34:47">
      <c r="AH3253" s="6">
        <f t="shared" si="456"/>
        <v>3223</v>
      </c>
      <c r="AI3253" s="7">
        <f t="shared" ca="1" si="457"/>
        <v>45893</v>
      </c>
      <c r="AJ3253" s="210">
        <f t="shared" ca="1" si="458"/>
        <v>4.1749999999999998</v>
      </c>
      <c r="AK3253" s="8">
        <f t="shared" ca="1" si="459"/>
        <v>1.0001159722222221</v>
      </c>
      <c r="AL3253" s="98">
        <f t="shared" ca="1" si="460"/>
        <v>4.1263998274744251</v>
      </c>
      <c r="AM3253" s="106">
        <f t="shared" ca="1" si="454"/>
        <v>34157.700855752344</v>
      </c>
      <c r="AN3253" s="10">
        <f t="shared" ca="1" si="455"/>
        <v>1.0691721397176668</v>
      </c>
      <c r="AO3253" s="158"/>
      <c r="AP3253" s="158"/>
      <c r="AQ3253" s="1"/>
      <c r="AR3253" s="1"/>
      <c r="AS3253" s="1"/>
      <c r="AT3253" s="1"/>
      <c r="AU3253" s="1"/>
    </row>
    <row r="3254" spans="34:47">
      <c r="AH3254" s="6">
        <f t="shared" si="456"/>
        <v>3224</v>
      </c>
      <c r="AI3254" s="7">
        <f t="shared" ca="1" si="457"/>
        <v>45894</v>
      </c>
      <c r="AJ3254" s="210">
        <f t="shared" ca="1" si="458"/>
        <v>4.1749999999999998</v>
      </c>
      <c r="AK3254" s="8">
        <f t="shared" ca="1" si="459"/>
        <v>1.0001159722222221</v>
      </c>
      <c r="AL3254" s="98">
        <f t="shared" ca="1" si="460"/>
        <v>4.1264609354985105</v>
      </c>
      <c r="AM3254" s="106">
        <f t="shared" ca="1" si="454"/>
        <v>34160.5155004876</v>
      </c>
      <c r="AN3254" s="10">
        <f t="shared" ca="1" si="455"/>
        <v>1.0692228354659106</v>
      </c>
      <c r="AO3254" s="158"/>
      <c r="AP3254" s="158"/>
      <c r="AQ3254" s="1"/>
      <c r="AR3254" s="1"/>
      <c r="AS3254" s="1"/>
      <c r="AT3254" s="1"/>
      <c r="AU3254" s="1"/>
    </row>
    <row r="3255" spans="34:47">
      <c r="AH3255" s="6">
        <f t="shared" si="456"/>
        <v>3225</v>
      </c>
      <c r="AI3255" s="7">
        <f t="shared" ca="1" si="457"/>
        <v>45895</v>
      </c>
      <c r="AJ3255" s="210">
        <f t="shared" ca="1" si="458"/>
        <v>4.1749999999999998</v>
      </c>
      <c r="AK3255" s="8">
        <f t="shared" ca="1" si="459"/>
        <v>1.0001159722222221</v>
      </c>
      <c r="AL3255" s="98">
        <f t="shared" ca="1" si="460"/>
        <v>4.12652200566197</v>
      </c>
      <c r="AM3255" s="106">
        <f t="shared" ca="1" si="454"/>
        <v>34163.33037715371</v>
      </c>
      <c r="AN3255" s="10">
        <f t="shared" ca="1" si="455"/>
        <v>1.0692734998003495</v>
      </c>
      <c r="AO3255" s="158"/>
      <c r="AP3255" s="158"/>
      <c r="AQ3255" s="1"/>
      <c r="AR3255" s="1"/>
      <c r="AS3255" s="1"/>
      <c r="AT3255" s="1"/>
      <c r="AU3255" s="1"/>
    </row>
    <row r="3256" spans="34:47">
      <c r="AH3256" s="6">
        <f t="shared" si="456"/>
        <v>3226</v>
      </c>
      <c r="AI3256" s="7">
        <f t="shared" ca="1" si="457"/>
        <v>45896</v>
      </c>
      <c r="AJ3256" s="210">
        <f t="shared" ca="1" si="458"/>
        <v>4.1749999999999998</v>
      </c>
      <c r="AK3256" s="8">
        <f t="shared" ca="1" si="459"/>
        <v>1.0001159722222221</v>
      </c>
      <c r="AL3256" s="98">
        <f t="shared" ca="1" si="460"/>
        <v>4.1265830379999757</v>
      </c>
      <c r="AM3256" s="106">
        <f t="shared" ca="1" si="454"/>
        <v>34166.145485769805</v>
      </c>
      <c r="AN3256" s="10">
        <f t="shared" ca="1" si="455"/>
        <v>1.0693241327501379</v>
      </c>
      <c r="AO3256" s="158"/>
      <c r="AP3256" s="158"/>
      <c r="AQ3256" s="1"/>
      <c r="AR3256" s="1"/>
      <c r="AS3256" s="1"/>
      <c r="AT3256" s="1"/>
      <c r="AU3256" s="1"/>
    </row>
    <row r="3257" spans="34:47">
      <c r="AH3257" s="6">
        <f t="shared" si="456"/>
        <v>3227</v>
      </c>
      <c r="AI3257" s="7">
        <f t="shared" ca="1" si="457"/>
        <v>45897</v>
      </c>
      <c r="AJ3257" s="210">
        <f t="shared" ca="1" si="458"/>
        <v>4.1749999999999998</v>
      </c>
      <c r="AK3257" s="8">
        <f t="shared" ca="1" si="459"/>
        <v>1.0001159722222221</v>
      </c>
      <c r="AL3257" s="98">
        <f t="shared" ca="1" si="460"/>
        <v>4.1266440325476772</v>
      </c>
      <c r="AM3257" s="106">
        <f t="shared" ca="1" si="454"/>
        <v>34168.960826354974</v>
      </c>
      <c r="AN3257" s="10">
        <f t="shared" ca="1" si="455"/>
        <v>1.0693747343444748</v>
      </c>
      <c r="AO3257" s="158"/>
      <c r="AP3257" s="158"/>
      <c r="AQ3257" s="1"/>
      <c r="AR3257" s="1"/>
      <c r="AS3257" s="1"/>
      <c r="AT3257" s="1"/>
      <c r="AU3257" s="1"/>
    </row>
    <row r="3258" spans="34:47">
      <c r="AH3258" s="6">
        <f t="shared" si="456"/>
        <v>3228</v>
      </c>
      <c r="AI3258" s="7">
        <f t="shared" ca="1" si="457"/>
        <v>45898</v>
      </c>
      <c r="AJ3258" s="210">
        <f t="shared" ca="1" si="458"/>
        <v>4.1749999999999998</v>
      </c>
      <c r="AK3258" s="8">
        <f t="shared" ca="1" si="459"/>
        <v>1.0001159722222221</v>
      </c>
      <c r="AL3258" s="98">
        <f t="shared" ca="1" si="460"/>
        <v>4.1267049893401575</v>
      </c>
      <c r="AM3258" s="106">
        <f t="shared" ca="1" si="454"/>
        <v>34171.776398928348</v>
      </c>
      <c r="AN3258" s="10">
        <f t="shared" ca="1" si="455"/>
        <v>1.069425304612448</v>
      </c>
      <c r="AO3258" s="158"/>
      <c r="AP3258" s="158"/>
      <c r="AQ3258" s="1"/>
      <c r="AR3258" s="1"/>
      <c r="AS3258" s="1"/>
      <c r="AT3258" s="1"/>
      <c r="AU3258" s="1"/>
    </row>
    <row r="3259" spans="34:47">
      <c r="AH3259" s="6">
        <f t="shared" si="456"/>
        <v>3229</v>
      </c>
      <c r="AI3259" s="7">
        <f t="shared" ca="1" si="457"/>
        <v>45899</v>
      </c>
      <c r="AJ3259" s="210">
        <f t="shared" ca="1" si="458"/>
        <v>4.1749999999999998</v>
      </c>
      <c r="AK3259" s="8">
        <f t="shared" ca="1" si="459"/>
        <v>1.0001159722222221</v>
      </c>
      <c r="AL3259" s="98">
        <f t="shared" ca="1" si="460"/>
        <v>4.1267659084124553</v>
      </c>
      <c r="AM3259" s="106">
        <f t="shared" ca="1" si="454"/>
        <v>34174.592203509041</v>
      </c>
      <c r="AN3259" s="10">
        <f t="shared" ca="1" si="455"/>
        <v>1.0694758435831453</v>
      </c>
      <c r="AO3259" s="158"/>
      <c r="AP3259" s="158"/>
      <c r="AQ3259" s="1"/>
      <c r="AR3259" s="1"/>
      <c r="AS3259" s="1"/>
      <c r="AT3259" s="1"/>
      <c r="AU3259" s="1"/>
    </row>
    <row r="3260" spans="34:47">
      <c r="AH3260" s="6">
        <f t="shared" si="456"/>
        <v>3230</v>
      </c>
      <c r="AI3260" s="7">
        <f t="shared" ca="1" si="457"/>
        <v>45900</v>
      </c>
      <c r="AJ3260" s="210">
        <f t="shared" ca="1" si="458"/>
        <v>4.1749999999999998</v>
      </c>
      <c r="AK3260" s="8">
        <f t="shared" ca="1" si="459"/>
        <v>1.0001159722222221</v>
      </c>
      <c r="AL3260" s="98">
        <f t="shared" ca="1" si="460"/>
        <v>4.1268267897995647</v>
      </c>
      <c r="AM3260" s="106">
        <f t="shared" ca="1" si="454"/>
        <v>34177.408240116165</v>
      </c>
      <c r="AN3260" s="10">
        <f t="shared" ca="1" si="455"/>
        <v>1.0695263512856101</v>
      </c>
      <c r="AO3260" s="158"/>
      <c r="AP3260" s="158"/>
      <c r="AQ3260" s="1"/>
      <c r="AR3260" s="1"/>
      <c r="AS3260" s="1"/>
      <c r="AT3260" s="1"/>
      <c r="AU3260" s="1"/>
    </row>
    <row r="3261" spans="34:47">
      <c r="AH3261" s="6">
        <f t="shared" si="456"/>
        <v>3231</v>
      </c>
      <c r="AI3261" s="7">
        <f t="shared" ca="1" si="457"/>
        <v>45901</v>
      </c>
      <c r="AJ3261" s="210">
        <f t="shared" ca="1" si="458"/>
        <v>4.1749999999999998</v>
      </c>
      <c r="AK3261" s="8">
        <f t="shared" ca="1" si="459"/>
        <v>1.0001159722222221</v>
      </c>
      <c r="AL3261" s="98">
        <f t="shared" ca="1" si="460"/>
        <v>4.1268876335364579</v>
      </c>
      <c r="AM3261" s="106">
        <f t="shared" ca="1" si="454"/>
        <v>34180.22450876885</v>
      </c>
      <c r="AN3261" s="10">
        <f t="shared" ca="1" si="455"/>
        <v>1.0695768277488416</v>
      </c>
      <c r="AO3261" s="158"/>
      <c r="AP3261" s="158"/>
      <c r="AQ3261" s="1"/>
      <c r="AR3261" s="1"/>
      <c r="AS3261" s="1"/>
      <c r="AT3261" s="1"/>
      <c r="AU3261" s="1"/>
    </row>
    <row r="3262" spans="34:47">
      <c r="AH3262" s="6">
        <f t="shared" si="456"/>
        <v>3232</v>
      </c>
      <c r="AI3262" s="7">
        <f t="shared" ca="1" si="457"/>
        <v>45902</v>
      </c>
      <c r="AJ3262" s="210">
        <f t="shared" ca="1" si="458"/>
        <v>4.1749999999999998</v>
      </c>
      <c r="AK3262" s="8">
        <f t="shared" ca="1" si="459"/>
        <v>1.0001159722222221</v>
      </c>
      <c r="AL3262" s="98">
        <f t="shared" ca="1" si="460"/>
        <v>4.1269484396580403</v>
      </c>
      <c r="AM3262" s="106">
        <f t="shared" ca="1" si="454"/>
        <v>34183.041009486195</v>
      </c>
      <c r="AN3262" s="10">
        <f t="shared" ca="1" si="455"/>
        <v>1.0696272730018386</v>
      </c>
      <c r="AO3262" s="158"/>
      <c r="AP3262" s="158"/>
      <c r="AQ3262" s="1"/>
      <c r="AR3262" s="1"/>
      <c r="AS3262" s="1"/>
      <c r="AT3262" s="1"/>
      <c r="AU3262" s="1"/>
    </row>
    <row r="3263" spans="34:47">
      <c r="AH3263" s="6">
        <f t="shared" si="456"/>
        <v>3233</v>
      </c>
      <c r="AI3263" s="7">
        <f t="shared" ca="1" si="457"/>
        <v>45903</v>
      </c>
      <c r="AJ3263" s="210">
        <f t="shared" ca="1" si="458"/>
        <v>4.1749999999999998</v>
      </c>
      <c r="AK3263" s="8">
        <f t="shared" ca="1" si="459"/>
        <v>1.0001159722222221</v>
      </c>
      <c r="AL3263" s="98">
        <f t="shared" ca="1" si="460"/>
        <v>4.1270092081991949</v>
      </c>
      <c r="AM3263" s="106">
        <f t="shared" ca="1" si="454"/>
        <v>34185.857742287357</v>
      </c>
      <c r="AN3263" s="10">
        <f t="shared" ca="1" si="455"/>
        <v>1.0696776870735114</v>
      </c>
      <c r="AO3263" s="158"/>
      <c r="AP3263" s="158"/>
      <c r="AQ3263" s="1"/>
      <c r="AR3263" s="1"/>
      <c r="AS3263" s="1"/>
      <c r="AT3263" s="1"/>
      <c r="AU3263" s="1"/>
    </row>
    <row r="3264" spans="34:47">
      <c r="AH3264" s="6">
        <f t="shared" si="456"/>
        <v>3234</v>
      </c>
      <c r="AI3264" s="7">
        <f t="shared" ca="1" si="457"/>
        <v>45904</v>
      </c>
      <c r="AJ3264" s="210">
        <f t="shared" ca="1" si="458"/>
        <v>4.1749999999999998</v>
      </c>
      <c r="AK3264" s="8">
        <f t="shared" ca="1" si="459"/>
        <v>1.0001159722222221</v>
      </c>
      <c r="AL3264" s="98">
        <f t="shared" ca="1" si="460"/>
        <v>4.1270699391947385</v>
      </c>
      <c r="AM3264" s="106">
        <f t="shared" ca="1" si="454"/>
        <v>34188.674707191429</v>
      </c>
      <c r="AN3264" s="10">
        <f t="shared" ca="1" si="455"/>
        <v>1.0697280699927925</v>
      </c>
      <c r="AO3264" s="158"/>
      <c r="AP3264" s="158"/>
      <c r="AQ3264" s="1"/>
      <c r="AR3264" s="1"/>
      <c r="AS3264" s="1"/>
      <c r="AT3264" s="1"/>
      <c r="AU3264" s="1"/>
    </row>
    <row r="3265" spans="34:47">
      <c r="AH3265" s="6">
        <f t="shared" si="456"/>
        <v>3235</v>
      </c>
      <c r="AI3265" s="7">
        <f t="shared" ca="1" si="457"/>
        <v>45905</v>
      </c>
      <c r="AJ3265" s="210">
        <f t="shared" ca="1" si="458"/>
        <v>4.1749999999999998</v>
      </c>
      <c r="AK3265" s="8">
        <f t="shared" ca="1" si="459"/>
        <v>1.0001159722222221</v>
      </c>
      <c r="AL3265" s="98">
        <f t="shared" ca="1" si="460"/>
        <v>4.1271306326794654</v>
      </c>
      <c r="AM3265" s="106">
        <f t="shared" ca="1" si="454"/>
        <v>34191.491904217539</v>
      </c>
      <c r="AN3265" s="10">
        <f t="shared" ca="1" si="455"/>
        <v>1.0697784217885253</v>
      </c>
      <c r="AO3265" s="158"/>
      <c r="AP3265" s="158"/>
      <c r="AQ3265" s="1"/>
      <c r="AR3265" s="1"/>
      <c r="AS3265" s="1"/>
      <c r="AT3265" s="1"/>
      <c r="AU3265" s="1"/>
    </row>
    <row r="3266" spans="34:47">
      <c r="AH3266" s="6">
        <f t="shared" si="456"/>
        <v>3236</v>
      </c>
      <c r="AI3266" s="7">
        <f t="shared" ca="1" si="457"/>
        <v>45906</v>
      </c>
      <c r="AJ3266" s="210">
        <f t="shared" ca="1" si="458"/>
        <v>4.1749999999999998</v>
      </c>
      <c r="AK3266" s="8">
        <f t="shared" ca="1" si="459"/>
        <v>1.0001159722222221</v>
      </c>
      <c r="AL3266" s="98">
        <f t="shared" ca="1" si="460"/>
        <v>4.1271912886881035</v>
      </c>
      <c r="AM3266" s="106">
        <f t="shared" ca="1" si="454"/>
        <v>34194.309333384837</v>
      </c>
      <c r="AN3266" s="10">
        <f t="shared" ca="1" si="455"/>
        <v>1.0698287424895314</v>
      </c>
      <c r="AO3266" s="158"/>
      <c r="AP3266" s="158"/>
      <c r="AQ3266" s="1"/>
      <c r="AR3266" s="1"/>
      <c r="AS3266" s="1"/>
      <c r="AT3266" s="1"/>
      <c r="AU3266" s="1"/>
    </row>
    <row r="3267" spans="34:47">
      <c r="AH3267" s="6">
        <f t="shared" si="456"/>
        <v>3237</v>
      </c>
      <c r="AI3267" s="7">
        <f t="shared" ca="1" si="457"/>
        <v>45907</v>
      </c>
      <c r="AJ3267" s="210">
        <f t="shared" ca="1" si="458"/>
        <v>4.1749999999999998</v>
      </c>
      <c r="AK3267" s="8">
        <f t="shared" ca="1" si="459"/>
        <v>1.0001159722222221</v>
      </c>
      <c r="AL3267" s="98">
        <f t="shared" ca="1" si="460"/>
        <v>4.1272519072553582</v>
      </c>
      <c r="AM3267" s="106">
        <f t="shared" ca="1" si="454"/>
        <v>34197.126994712431</v>
      </c>
      <c r="AN3267" s="10">
        <f t="shared" ca="1" si="455"/>
        <v>1.0698790321246321</v>
      </c>
      <c r="AO3267" s="158"/>
      <c r="AP3267" s="158"/>
      <c r="AQ3267" s="1"/>
      <c r="AR3267" s="1"/>
      <c r="AS3267" s="1"/>
      <c r="AT3267" s="1"/>
      <c r="AU3267" s="1"/>
    </row>
    <row r="3268" spans="34:47">
      <c r="AH3268" s="6">
        <f t="shared" si="456"/>
        <v>3238</v>
      </c>
      <c r="AI3268" s="7">
        <f t="shared" ca="1" si="457"/>
        <v>45908</v>
      </c>
      <c r="AJ3268" s="210">
        <f t="shared" ca="1" si="458"/>
        <v>4.1749999999999998</v>
      </c>
      <c r="AK3268" s="8">
        <f t="shared" ca="1" si="459"/>
        <v>1.0001159722222221</v>
      </c>
      <c r="AL3268" s="98">
        <f t="shared" ca="1" si="460"/>
        <v>4.1273124884158907</v>
      </c>
      <c r="AM3268" s="106">
        <f t="shared" ca="1" si="454"/>
        <v>34199.944888219463</v>
      </c>
      <c r="AN3268" s="10">
        <f t="shared" ca="1" si="455"/>
        <v>1.0699292907225599</v>
      </c>
      <c r="AO3268" s="158"/>
      <c r="AP3268" s="158"/>
      <c r="AQ3268" s="1"/>
      <c r="AR3268" s="1"/>
      <c r="AS3268" s="1"/>
      <c r="AT3268" s="1"/>
      <c r="AU3268" s="1"/>
    </row>
    <row r="3269" spans="34:47">
      <c r="AH3269" s="6">
        <f t="shared" si="456"/>
        <v>3239</v>
      </c>
      <c r="AI3269" s="7">
        <f t="shared" ca="1" si="457"/>
        <v>45909</v>
      </c>
      <c r="AJ3269" s="210">
        <f t="shared" ca="1" si="458"/>
        <v>4.1749999999999998</v>
      </c>
      <c r="AK3269" s="8">
        <f t="shared" ca="1" si="459"/>
        <v>1.0001159722222221</v>
      </c>
      <c r="AL3269" s="98">
        <f t="shared" ca="1" si="460"/>
        <v>4.1273730322043178</v>
      </c>
      <c r="AM3269" s="106">
        <f t="shared" ca="1" si="454"/>
        <v>34202.763013925054</v>
      </c>
      <c r="AN3269" s="10">
        <f t="shared" ca="1" si="455"/>
        <v>1.0699795183120697</v>
      </c>
      <c r="AO3269" s="158"/>
      <c r="AP3269" s="158"/>
      <c r="AQ3269" s="1"/>
      <c r="AR3269" s="1"/>
      <c r="AS3269" s="1"/>
      <c r="AT3269" s="1"/>
      <c r="AU3269" s="1"/>
    </row>
    <row r="3270" spans="34:47">
      <c r="AH3270" s="6">
        <f t="shared" si="456"/>
        <v>3240</v>
      </c>
      <c r="AI3270" s="7">
        <f t="shared" ca="1" si="457"/>
        <v>45910</v>
      </c>
      <c r="AJ3270" s="210">
        <f t="shared" ca="1" si="458"/>
        <v>4.1749999999999998</v>
      </c>
      <c r="AK3270" s="8">
        <f t="shared" ca="1" si="459"/>
        <v>1.0001159722222221</v>
      </c>
      <c r="AL3270" s="98">
        <f t="shared" ca="1" si="460"/>
        <v>4.1274335386552119</v>
      </c>
      <c r="AM3270" s="106">
        <f t="shared" ca="1" si="454"/>
        <v>34205.581371848348</v>
      </c>
      <c r="AN3270" s="10">
        <f t="shared" ca="1" si="455"/>
        <v>1.0700297149218274</v>
      </c>
      <c r="AO3270" s="158"/>
      <c r="AP3270" s="158"/>
      <c r="AQ3270" s="1"/>
      <c r="AR3270" s="1"/>
      <c r="AS3270" s="1"/>
      <c r="AT3270" s="1"/>
      <c r="AU3270" s="1"/>
    </row>
    <row r="3271" spans="34:47">
      <c r="AH3271" s="6">
        <f t="shared" si="456"/>
        <v>3241</v>
      </c>
      <c r="AI3271" s="7">
        <f t="shared" ca="1" si="457"/>
        <v>45911</v>
      </c>
      <c r="AJ3271" s="210">
        <f t="shared" ca="1" si="458"/>
        <v>4.1749999999999998</v>
      </c>
      <c r="AK3271" s="8">
        <f t="shared" ca="1" si="459"/>
        <v>1.0001159722222221</v>
      </c>
      <c r="AL3271" s="98">
        <f t="shared" ca="1" si="460"/>
        <v>4.1274940078030786</v>
      </c>
      <c r="AM3271" s="106">
        <f t="shared" ca="1" si="454"/>
        <v>34208.399962008472</v>
      </c>
      <c r="AN3271" s="10">
        <f t="shared" ca="1" si="455"/>
        <v>1.0700798805804768</v>
      </c>
      <c r="AO3271" s="158"/>
      <c r="AP3271" s="158"/>
      <c r="AQ3271" s="1"/>
      <c r="AR3271" s="1"/>
      <c r="AS3271" s="1"/>
      <c r="AT3271" s="1"/>
      <c r="AU3271" s="1"/>
    </row>
    <row r="3272" spans="34:47">
      <c r="AH3272" s="6">
        <f t="shared" si="456"/>
        <v>3242</v>
      </c>
      <c r="AI3272" s="7">
        <f t="shared" ca="1" si="457"/>
        <v>45912</v>
      </c>
      <c r="AJ3272" s="210">
        <f t="shared" ca="1" si="458"/>
        <v>4.1749999999999998</v>
      </c>
      <c r="AK3272" s="8">
        <f t="shared" ca="1" si="459"/>
        <v>1.0001159722222221</v>
      </c>
      <c r="AL3272" s="98">
        <f t="shared" ca="1" si="460"/>
        <v>4.1275544396824237</v>
      </c>
      <c r="AM3272" s="106">
        <f t="shared" ca="1" si="454"/>
        <v>34211.218784424571</v>
      </c>
      <c r="AN3272" s="10">
        <f t="shared" ca="1" si="455"/>
        <v>1.0701300153166615</v>
      </c>
      <c r="AO3272" s="158"/>
      <c r="AP3272" s="158"/>
      <c r="AQ3272" s="1"/>
      <c r="AR3272" s="1"/>
      <c r="AS3272" s="1"/>
      <c r="AT3272" s="1"/>
      <c r="AU3272" s="1"/>
    </row>
    <row r="3273" spans="34:47">
      <c r="AH3273" s="6">
        <f t="shared" si="456"/>
        <v>3243</v>
      </c>
      <c r="AI3273" s="7">
        <f t="shared" ca="1" si="457"/>
        <v>45913</v>
      </c>
      <c r="AJ3273" s="210">
        <f t="shared" ca="1" si="458"/>
        <v>4.1749999999999998</v>
      </c>
      <c r="AK3273" s="8">
        <f t="shared" ca="1" si="459"/>
        <v>1.0001159722222221</v>
      </c>
      <c r="AL3273" s="98">
        <f t="shared" ca="1" si="460"/>
        <v>4.1276148343276864</v>
      </c>
      <c r="AM3273" s="106">
        <f t="shared" ca="1" si="454"/>
        <v>34214.037839115772</v>
      </c>
      <c r="AN3273" s="10">
        <f t="shared" ca="1" si="455"/>
        <v>1.0701801191589366</v>
      </c>
      <c r="AO3273" s="158"/>
      <c r="AP3273" s="158"/>
      <c r="AQ3273" s="1"/>
      <c r="AR3273" s="1"/>
      <c r="AS3273" s="1"/>
      <c r="AT3273" s="1"/>
      <c r="AU3273" s="1"/>
    </row>
    <row r="3274" spans="34:47">
      <c r="AH3274" s="6">
        <f t="shared" si="456"/>
        <v>3244</v>
      </c>
      <c r="AI3274" s="7">
        <f t="shared" ca="1" si="457"/>
        <v>45914</v>
      </c>
      <c r="AJ3274" s="210">
        <f t="shared" ca="1" si="458"/>
        <v>4.1749999999999998</v>
      </c>
      <c r="AK3274" s="8">
        <f t="shared" ca="1" si="459"/>
        <v>1.0001159722222221</v>
      </c>
      <c r="AL3274" s="98">
        <f t="shared" ca="1" si="460"/>
        <v>4.1276751917732613</v>
      </c>
      <c r="AM3274" s="106">
        <f t="shared" ca="1" si="454"/>
        <v>34216.857126101233</v>
      </c>
      <c r="AN3274" s="10">
        <f t="shared" ca="1" si="455"/>
        <v>1.070230192135857</v>
      </c>
      <c r="AO3274" s="158"/>
      <c r="AP3274" s="158"/>
      <c r="AQ3274" s="1"/>
      <c r="AR3274" s="1"/>
      <c r="AS3274" s="1"/>
      <c r="AT3274" s="1"/>
      <c r="AU3274" s="1"/>
    </row>
    <row r="3275" spans="34:47">
      <c r="AH3275" s="6">
        <f t="shared" si="456"/>
        <v>3245</v>
      </c>
      <c r="AI3275" s="7">
        <f t="shared" ca="1" si="457"/>
        <v>45915</v>
      </c>
      <c r="AJ3275" s="210">
        <f t="shared" ca="1" si="458"/>
        <v>4.1749999999999998</v>
      </c>
      <c r="AK3275" s="8">
        <f t="shared" ca="1" si="459"/>
        <v>1.0001159722222221</v>
      </c>
      <c r="AL3275" s="98">
        <f t="shared" ca="1" si="460"/>
        <v>4.1277355120535208</v>
      </c>
      <c r="AM3275" s="106">
        <f t="shared" ca="1" si="454"/>
        <v>34219.676645400068</v>
      </c>
      <c r="AN3275" s="10">
        <f t="shared" ca="1" si="455"/>
        <v>1.0702802342759554</v>
      </c>
      <c r="AO3275" s="158"/>
      <c r="AP3275" s="158"/>
      <c r="AQ3275" s="1"/>
      <c r="AR3275" s="1"/>
      <c r="AS3275" s="1"/>
      <c r="AT3275" s="1"/>
      <c r="AU3275" s="1"/>
    </row>
    <row r="3276" spans="34:47">
      <c r="AH3276" s="6">
        <f t="shared" si="456"/>
        <v>3246</v>
      </c>
      <c r="AI3276" s="7">
        <f t="shared" ca="1" si="457"/>
        <v>45916</v>
      </c>
      <c r="AJ3276" s="210">
        <f t="shared" ca="1" si="458"/>
        <v>4.1749999999999998</v>
      </c>
      <c r="AK3276" s="8">
        <f t="shared" ca="1" si="459"/>
        <v>1.0001159722222221</v>
      </c>
      <c r="AL3276" s="98">
        <f t="shared" ca="1" si="460"/>
        <v>4.1277957952027933</v>
      </c>
      <c r="AM3276" s="106">
        <f t="shared" ca="1" si="454"/>
        <v>34222.496397031449</v>
      </c>
      <c r="AN3276" s="10">
        <f t="shared" ca="1" si="455"/>
        <v>1.0703302456077202</v>
      </c>
      <c r="AO3276" s="158"/>
      <c r="AP3276" s="158"/>
      <c r="AQ3276" s="1"/>
      <c r="AR3276" s="1"/>
      <c r="AS3276" s="1"/>
      <c r="AT3276" s="1"/>
      <c r="AU3276" s="1"/>
    </row>
    <row r="3277" spans="34:47">
      <c r="AH3277" s="6">
        <f t="shared" si="456"/>
        <v>3247</v>
      </c>
      <c r="AI3277" s="7">
        <f t="shared" ca="1" si="457"/>
        <v>45917</v>
      </c>
      <c r="AJ3277" s="210">
        <f t="shared" ca="1" si="458"/>
        <v>4.1749999999999998</v>
      </c>
      <c r="AK3277" s="8">
        <f t="shared" ca="1" si="459"/>
        <v>1.0001159722222221</v>
      </c>
      <c r="AL3277" s="98">
        <f t="shared" ca="1" si="460"/>
        <v>4.1278560412553178</v>
      </c>
      <c r="AM3277" s="106">
        <f t="shared" ca="1" si="454"/>
        <v>34225.316381014505</v>
      </c>
      <c r="AN3277" s="10">
        <f t="shared" ca="1" si="455"/>
        <v>1.0703802261595508</v>
      </c>
      <c r="AO3277" s="158"/>
      <c r="AP3277" s="158"/>
      <c r="AQ3277" s="1"/>
      <c r="AR3277" s="1"/>
      <c r="AS3277" s="1"/>
      <c r="AT3277" s="1"/>
      <c r="AU3277" s="1"/>
    </row>
    <row r="3278" spans="34:47">
      <c r="AH3278" s="6">
        <f t="shared" si="456"/>
        <v>3248</v>
      </c>
      <c r="AI3278" s="7">
        <f t="shared" ca="1" si="457"/>
        <v>45918</v>
      </c>
      <c r="AJ3278" s="210">
        <f t="shared" ca="1" si="458"/>
        <v>4.1749999999999998</v>
      </c>
      <c r="AK3278" s="8">
        <f t="shared" ca="1" si="459"/>
        <v>1.0001159722222221</v>
      </c>
      <c r="AL3278" s="98">
        <f t="shared" ca="1" si="460"/>
        <v>4.1279162502453559</v>
      </c>
      <c r="AM3278" s="106">
        <f t="shared" ca="1" si="454"/>
        <v>34228.136597368371</v>
      </c>
      <c r="AN3278" s="10">
        <f t="shared" ca="1" si="455"/>
        <v>1.0704301759598689</v>
      </c>
      <c r="AO3278" s="158"/>
      <c r="AP3278" s="158"/>
      <c r="AQ3278" s="1"/>
      <c r="AR3278" s="1"/>
      <c r="AS3278" s="1"/>
      <c r="AT3278" s="1"/>
      <c r="AU3278" s="1"/>
    </row>
    <row r="3279" spans="34:47">
      <c r="AH3279" s="6">
        <f t="shared" si="456"/>
        <v>3249</v>
      </c>
      <c r="AI3279" s="7">
        <f t="shared" ca="1" si="457"/>
        <v>45919</v>
      </c>
      <c r="AJ3279" s="210">
        <f t="shared" ca="1" si="458"/>
        <v>4.1749999999999998</v>
      </c>
      <c r="AK3279" s="8">
        <f t="shared" ca="1" si="459"/>
        <v>1.0001159722222221</v>
      </c>
      <c r="AL3279" s="98">
        <f t="shared" ca="1" si="460"/>
        <v>4.1279764222070803</v>
      </c>
      <c r="AM3279" s="106">
        <f t="shared" ca="1" si="454"/>
        <v>34230.957046112228</v>
      </c>
      <c r="AN3279" s="10">
        <f t="shared" ca="1" si="455"/>
        <v>1.0704800950370519</v>
      </c>
      <c r="AO3279" s="158"/>
      <c r="AP3279" s="158"/>
      <c r="AQ3279" s="1"/>
      <c r="AR3279" s="1"/>
      <c r="AS3279" s="1"/>
      <c r="AT3279" s="1"/>
      <c r="AU3279" s="1"/>
    </row>
    <row r="3280" spans="34:47">
      <c r="AH3280" s="6">
        <f t="shared" si="456"/>
        <v>3250</v>
      </c>
      <c r="AI3280" s="7">
        <f t="shared" ca="1" si="457"/>
        <v>45920</v>
      </c>
      <c r="AJ3280" s="210">
        <f t="shared" ca="1" si="458"/>
        <v>4.1749999999999998</v>
      </c>
      <c r="AK3280" s="8">
        <f t="shared" ca="1" si="459"/>
        <v>1.0001159722222221</v>
      </c>
      <c r="AL3280" s="98">
        <f t="shared" ca="1" si="460"/>
        <v>4.1280365571746414</v>
      </c>
      <c r="AM3280" s="106">
        <f t="shared" ca="1" si="454"/>
        <v>34233.777727265187</v>
      </c>
      <c r="AN3280" s="10">
        <f t="shared" ca="1" si="455"/>
        <v>1.0705299834194326</v>
      </c>
      <c r="AO3280" s="158"/>
      <c r="AP3280" s="158"/>
      <c r="AQ3280" s="1"/>
      <c r="AR3280" s="1"/>
      <c r="AS3280" s="1"/>
      <c r="AT3280" s="1"/>
      <c r="AU3280" s="1"/>
    </row>
    <row r="3281" spans="34:47">
      <c r="AH3281" s="6">
        <f t="shared" si="456"/>
        <v>3251</v>
      </c>
      <c r="AI3281" s="7">
        <f t="shared" ca="1" si="457"/>
        <v>45921</v>
      </c>
      <c r="AJ3281" s="210">
        <f t="shared" ca="1" si="458"/>
        <v>4.1749999999999998</v>
      </c>
      <c r="AK3281" s="8">
        <f t="shared" ca="1" si="459"/>
        <v>1.0001159722222221</v>
      </c>
      <c r="AL3281" s="98">
        <f t="shared" ca="1" si="460"/>
        <v>4.1280966551821452</v>
      </c>
      <c r="AM3281" s="106">
        <f t="shared" ca="1" si="454"/>
        <v>34236.59864084643</v>
      </c>
      <c r="AN3281" s="10">
        <f t="shared" ca="1" si="455"/>
        <v>1.0705798411353218</v>
      </c>
      <c r="AO3281" s="158"/>
      <c r="AP3281" s="158"/>
      <c r="AQ3281" s="1"/>
      <c r="AR3281" s="1"/>
      <c r="AS3281" s="1"/>
      <c r="AT3281" s="1"/>
      <c r="AU3281" s="1"/>
    </row>
    <row r="3282" spans="34:47">
      <c r="AH3282" s="6">
        <f t="shared" si="456"/>
        <v>3252</v>
      </c>
      <c r="AI3282" s="7">
        <f t="shared" ca="1" si="457"/>
        <v>45922</v>
      </c>
      <c r="AJ3282" s="210">
        <f t="shared" ca="1" si="458"/>
        <v>4.1749999999999998</v>
      </c>
      <c r="AK3282" s="8">
        <f t="shared" ca="1" si="459"/>
        <v>1.0001159722222221</v>
      </c>
      <c r="AL3282" s="98">
        <f t="shared" ca="1" si="460"/>
        <v>4.1281567162636756</v>
      </c>
      <c r="AM3282" s="106">
        <f t="shared" ca="1" si="454"/>
        <v>34239.419786875093</v>
      </c>
      <c r="AN3282" s="10">
        <f t="shared" ca="1" si="455"/>
        <v>1.0706296682129857</v>
      </c>
      <c r="AO3282" s="158"/>
      <c r="AP3282" s="158"/>
      <c r="AQ3282" s="1"/>
      <c r="AR3282" s="1"/>
      <c r="AS3282" s="1"/>
      <c r="AT3282" s="1"/>
      <c r="AU3282" s="1"/>
    </row>
    <row r="3283" spans="34:47">
      <c r="AH3283" s="6">
        <f t="shared" si="456"/>
        <v>3253</v>
      </c>
      <c r="AI3283" s="7">
        <f t="shared" ca="1" si="457"/>
        <v>45923</v>
      </c>
      <c r="AJ3283" s="210">
        <f t="shared" ca="1" si="458"/>
        <v>4.1749999999999998</v>
      </c>
      <c r="AK3283" s="8">
        <f t="shared" ca="1" si="459"/>
        <v>1.0001159722222221</v>
      </c>
      <c r="AL3283" s="98">
        <f t="shared" ca="1" si="460"/>
        <v>4.1282167404532277</v>
      </c>
      <c r="AM3283" s="106">
        <f t="shared" ca="1" si="454"/>
        <v>34242.241165370338</v>
      </c>
      <c r="AN3283" s="10">
        <f t="shared" ca="1" si="455"/>
        <v>1.0706794646806461</v>
      </c>
      <c r="AO3283" s="158"/>
      <c r="AP3283" s="158"/>
      <c r="AQ3283" s="1"/>
      <c r="AR3283" s="1"/>
      <c r="AS3283" s="1"/>
      <c r="AT3283" s="1"/>
      <c r="AU3283" s="1"/>
    </row>
    <row r="3284" spans="34:47">
      <c r="AH3284" s="6">
        <f t="shared" si="456"/>
        <v>3254</v>
      </c>
      <c r="AI3284" s="7">
        <f t="shared" ca="1" si="457"/>
        <v>45924</v>
      </c>
      <c r="AJ3284" s="210">
        <f t="shared" ca="1" si="458"/>
        <v>4.1749999999999998</v>
      </c>
      <c r="AK3284" s="8">
        <f t="shared" ca="1" si="459"/>
        <v>1.0001159722222221</v>
      </c>
      <c r="AL3284" s="98">
        <f t="shared" ca="1" si="460"/>
        <v>4.1282767277847965</v>
      </c>
      <c r="AM3284" s="106">
        <f t="shared" ca="1" si="454"/>
        <v>34245.062776351304</v>
      </c>
      <c r="AN3284" s="10">
        <f t="shared" ca="1" si="455"/>
        <v>1.070729230566525</v>
      </c>
      <c r="AO3284" s="158"/>
      <c r="AP3284" s="158"/>
      <c r="AQ3284" s="1"/>
      <c r="AR3284" s="1"/>
      <c r="AS3284" s="1"/>
      <c r="AT3284" s="1"/>
      <c r="AU3284" s="1"/>
    </row>
    <row r="3285" spans="34:47">
      <c r="AH3285" s="6">
        <f t="shared" si="456"/>
        <v>3255</v>
      </c>
      <c r="AI3285" s="7">
        <f t="shared" ca="1" si="457"/>
        <v>45925</v>
      </c>
      <c r="AJ3285" s="210">
        <f t="shared" ca="1" si="458"/>
        <v>4.1749999999999998</v>
      </c>
      <c r="AK3285" s="8">
        <f t="shared" ca="1" si="459"/>
        <v>1.0001159722222221</v>
      </c>
      <c r="AL3285" s="98">
        <f t="shared" ca="1" si="460"/>
        <v>4.1283366782923103</v>
      </c>
      <c r="AM3285" s="106">
        <f t="shared" ca="1" si="454"/>
        <v>34247.884619837168</v>
      </c>
      <c r="AN3285" s="10">
        <f t="shared" ca="1" si="455"/>
        <v>1.0707789658987554</v>
      </c>
      <c r="AO3285" s="158"/>
      <c r="AP3285" s="158"/>
      <c r="AQ3285" s="1"/>
      <c r="AR3285" s="1"/>
      <c r="AS3285" s="1"/>
      <c r="AT3285" s="1"/>
      <c r="AU3285" s="1"/>
    </row>
    <row r="3286" spans="34:47">
      <c r="AH3286" s="6">
        <f t="shared" si="456"/>
        <v>3256</v>
      </c>
      <c r="AI3286" s="7">
        <f t="shared" ca="1" si="457"/>
        <v>45926</v>
      </c>
      <c r="AJ3286" s="210">
        <f t="shared" ca="1" si="458"/>
        <v>4.1749999999999998</v>
      </c>
      <c r="AK3286" s="8">
        <f t="shared" ca="1" si="459"/>
        <v>1.0001159722222221</v>
      </c>
      <c r="AL3286" s="98">
        <f t="shared" ca="1" si="460"/>
        <v>4.1283965920096755</v>
      </c>
      <c r="AM3286" s="106">
        <f t="shared" ca="1" si="454"/>
        <v>34250.706695847082</v>
      </c>
      <c r="AN3286" s="10">
        <f t="shared" ca="1" si="455"/>
        <v>1.0708286707054704</v>
      </c>
      <c r="AO3286" s="158"/>
      <c r="AP3286" s="158"/>
      <c r="AQ3286" s="1"/>
      <c r="AR3286" s="1"/>
      <c r="AS3286" s="1"/>
      <c r="AT3286" s="1"/>
      <c r="AU3286" s="1"/>
    </row>
    <row r="3287" spans="34:47">
      <c r="AH3287" s="6">
        <f t="shared" si="456"/>
        <v>3257</v>
      </c>
      <c r="AI3287" s="7">
        <f t="shared" ca="1" si="457"/>
        <v>45927</v>
      </c>
      <c r="AJ3287" s="210">
        <f t="shared" ca="1" si="458"/>
        <v>4.1749999999999998</v>
      </c>
      <c r="AK3287" s="8">
        <f t="shared" ca="1" si="459"/>
        <v>1.0001159722222221</v>
      </c>
      <c r="AL3287" s="98">
        <f t="shared" ca="1" si="460"/>
        <v>4.1284564689707315</v>
      </c>
      <c r="AM3287" s="106">
        <f t="shared" ca="1" si="454"/>
        <v>34253.529004400203</v>
      </c>
      <c r="AN3287" s="10">
        <f t="shared" ca="1" si="455"/>
        <v>1.0708783450147585</v>
      </c>
      <c r="AO3287" s="158"/>
      <c r="AP3287" s="158"/>
      <c r="AQ3287" s="1"/>
      <c r="AR3287" s="1"/>
      <c r="AS3287" s="1"/>
      <c r="AT3287" s="1"/>
      <c r="AU3287" s="1"/>
    </row>
    <row r="3288" spans="34:47">
      <c r="AH3288" s="6">
        <f t="shared" si="456"/>
        <v>3258</v>
      </c>
      <c r="AI3288" s="7">
        <f t="shared" ca="1" si="457"/>
        <v>45928</v>
      </c>
      <c r="AJ3288" s="210">
        <f t="shared" ca="1" si="458"/>
        <v>4.1749999999999998</v>
      </c>
      <c r="AK3288" s="8">
        <f t="shared" ca="1" si="459"/>
        <v>1.0001159722222221</v>
      </c>
      <c r="AL3288" s="98">
        <f t="shared" ca="1" si="460"/>
        <v>4.128516309209318</v>
      </c>
      <c r="AM3288" s="106">
        <f t="shared" ca="1" si="454"/>
        <v>34256.351545515703</v>
      </c>
      <c r="AN3288" s="10">
        <f t="shared" ca="1" si="455"/>
        <v>1.0709279888547307</v>
      </c>
      <c r="AO3288" s="158"/>
      <c r="AP3288" s="158"/>
      <c r="AQ3288" s="1"/>
      <c r="AR3288" s="1"/>
      <c r="AS3288" s="1"/>
      <c r="AT3288" s="1"/>
      <c r="AU3288" s="1"/>
    </row>
    <row r="3289" spans="34:47">
      <c r="AH3289" s="6">
        <f t="shared" si="456"/>
        <v>3259</v>
      </c>
      <c r="AI3289" s="7">
        <f t="shared" ca="1" si="457"/>
        <v>45929</v>
      </c>
      <c r="AJ3289" s="210">
        <f t="shared" ca="1" si="458"/>
        <v>4.1749999999999998</v>
      </c>
      <c r="AK3289" s="8">
        <f t="shared" ca="1" si="459"/>
        <v>1.0001159722222221</v>
      </c>
      <c r="AL3289" s="98">
        <f t="shared" ca="1" si="460"/>
        <v>4.1285761127591858</v>
      </c>
      <c r="AM3289" s="106">
        <f t="shared" ca="1" si="454"/>
        <v>34259.174319212725</v>
      </c>
      <c r="AN3289" s="10">
        <f t="shared" ca="1" si="455"/>
        <v>1.0709776022533424</v>
      </c>
      <c r="AO3289" s="158"/>
      <c r="AP3289" s="158"/>
      <c r="AQ3289" s="1"/>
      <c r="AR3289" s="1"/>
      <c r="AS3289" s="1"/>
      <c r="AT3289" s="1"/>
      <c r="AU3289" s="1"/>
    </row>
    <row r="3290" spans="34:47">
      <c r="AH3290" s="6">
        <f t="shared" si="456"/>
        <v>3260</v>
      </c>
      <c r="AI3290" s="7">
        <f t="shared" ca="1" si="457"/>
        <v>45930</v>
      </c>
      <c r="AJ3290" s="210">
        <f t="shared" ca="1" si="458"/>
        <v>4.1749999999999998</v>
      </c>
      <c r="AK3290" s="8">
        <f t="shared" ca="1" si="459"/>
        <v>1.0001159722222221</v>
      </c>
      <c r="AL3290" s="98">
        <f t="shared" ca="1" si="460"/>
        <v>4.1286358796540856</v>
      </c>
      <c r="AM3290" s="106">
        <f t="shared" ca="1" si="454"/>
        <v>34261.997325510456</v>
      </c>
      <c r="AN3290" s="10">
        <f t="shared" ca="1" si="455"/>
        <v>1.0710271852386377</v>
      </c>
      <c r="AO3290" s="158"/>
      <c r="AP3290" s="158"/>
      <c r="AQ3290" s="1"/>
      <c r="AR3290" s="1"/>
      <c r="AS3290" s="1"/>
      <c r="AT3290" s="1"/>
      <c r="AU3290" s="1"/>
    </row>
    <row r="3291" spans="34:47">
      <c r="AH3291" s="6">
        <f t="shared" si="456"/>
        <v>3261</v>
      </c>
      <c r="AI3291" s="7">
        <f t="shared" ca="1" si="457"/>
        <v>45931</v>
      </c>
      <c r="AJ3291" s="210">
        <f t="shared" ca="1" si="458"/>
        <v>4.1749999999999998</v>
      </c>
      <c r="AK3291" s="8">
        <f t="shared" ca="1" si="459"/>
        <v>1.0001159722222221</v>
      </c>
      <c r="AL3291" s="98">
        <f t="shared" ca="1" si="460"/>
        <v>4.1286956099277017</v>
      </c>
      <c r="AM3291" s="106">
        <f t="shared" ca="1" si="454"/>
        <v>34264.820564428053</v>
      </c>
      <c r="AN3291" s="10">
        <f t="shared" ca="1" si="455"/>
        <v>1.0710767378385722</v>
      </c>
      <c r="AO3291" s="158"/>
      <c r="AP3291" s="158"/>
      <c r="AQ3291" s="1"/>
      <c r="AR3291" s="1"/>
      <c r="AS3291" s="1"/>
      <c r="AT3291" s="1"/>
      <c r="AU3291" s="1"/>
    </row>
    <row r="3292" spans="34:47">
      <c r="AH3292" s="6">
        <f t="shared" si="456"/>
        <v>3262</v>
      </c>
      <c r="AI3292" s="7">
        <f t="shared" ca="1" si="457"/>
        <v>45932</v>
      </c>
      <c r="AJ3292" s="210">
        <f t="shared" ca="1" si="458"/>
        <v>4.1749999999999998</v>
      </c>
      <c r="AK3292" s="8">
        <f t="shared" ca="1" si="459"/>
        <v>1.0001159722222221</v>
      </c>
      <c r="AL3292" s="98">
        <f t="shared" ca="1" si="460"/>
        <v>4.1287553036136737</v>
      </c>
      <c r="AM3292" s="106">
        <f t="shared" ca="1" si="454"/>
        <v>34267.644035984682</v>
      </c>
      <c r="AN3292" s="10">
        <f t="shared" ca="1" si="455"/>
        <v>1.0711262600810345</v>
      </c>
      <c r="AO3292" s="158"/>
      <c r="AP3292" s="158"/>
      <c r="AQ3292" s="1"/>
      <c r="AR3292" s="1"/>
      <c r="AS3292" s="1"/>
      <c r="AT3292" s="1"/>
      <c r="AU3292" s="1"/>
    </row>
    <row r="3293" spans="34:47">
      <c r="AH3293" s="6">
        <f t="shared" si="456"/>
        <v>3263</v>
      </c>
      <c r="AI3293" s="7">
        <f t="shared" ca="1" si="457"/>
        <v>45933</v>
      </c>
      <c r="AJ3293" s="210">
        <f t="shared" ca="1" si="458"/>
        <v>4.1749999999999998</v>
      </c>
      <c r="AK3293" s="8">
        <f t="shared" ca="1" si="459"/>
        <v>1.0001159722222221</v>
      </c>
      <c r="AL3293" s="98">
        <f t="shared" ca="1" si="460"/>
        <v>4.1288149607455971</v>
      </c>
      <c r="AM3293" s="106">
        <f t="shared" ca="1" si="454"/>
        <v>34270.467740199514</v>
      </c>
      <c r="AN3293" s="10">
        <f t="shared" ca="1" si="455"/>
        <v>1.0711757519939136</v>
      </c>
      <c r="AO3293" s="158"/>
      <c r="AP3293" s="158"/>
      <c r="AQ3293" s="1"/>
      <c r="AR3293" s="1"/>
      <c r="AS3293" s="1"/>
      <c r="AT3293" s="1"/>
      <c r="AU3293" s="1"/>
    </row>
    <row r="3294" spans="34:47">
      <c r="AH3294" s="6">
        <f t="shared" si="456"/>
        <v>3264</v>
      </c>
      <c r="AI3294" s="7">
        <f t="shared" ca="1" si="457"/>
        <v>45934</v>
      </c>
      <c r="AJ3294" s="210">
        <f t="shared" ca="1" si="458"/>
        <v>4.1749999999999998</v>
      </c>
      <c r="AK3294" s="8">
        <f t="shared" ca="1" si="459"/>
        <v>1.0001159722222221</v>
      </c>
      <c r="AL3294" s="98">
        <f t="shared" ca="1" si="460"/>
        <v>4.1288745813570671</v>
      </c>
      <c r="AM3294" s="106">
        <f t="shared" ca="1" si="454"/>
        <v>34273.291677091722</v>
      </c>
      <c r="AN3294" s="10">
        <f t="shared" ca="1" si="455"/>
        <v>1.0712252136050981</v>
      </c>
      <c r="AO3294" s="158"/>
      <c r="AP3294" s="158"/>
      <c r="AQ3294" s="1"/>
      <c r="AR3294" s="1"/>
      <c r="AS3294" s="1"/>
      <c r="AT3294" s="1"/>
      <c r="AU3294" s="1"/>
    </row>
    <row r="3295" spans="34:47">
      <c r="AH3295" s="6">
        <f t="shared" si="456"/>
        <v>3265</v>
      </c>
      <c r="AI3295" s="7">
        <f t="shared" ca="1" si="457"/>
        <v>45935</v>
      </c>
      <c r="AJ3295" s="210">
        <f t="shared" ca="1" si="458"/>
        <v>4.1749999999999998</v>
      </c>
      <c r="AK3295" s="8">
        <f t="shared" ca="1" si="459"/>
        <v>1.0001159722222221</v>
      </c>
      <c r="AL3295" s="98">
        <f t="shared" ca="1" si="460"/>
        <v>4.1289341654815903</v>
      </c>
      <c r="AM3295" s="106">
        <f t="shared" ref="AM3295:AM3358" ca="1" si="461">Geom_Interp(AI3295,$AZ$2:$AZ$109,$BA$2:$BA$109)</f>
        <v>34276.115846680485</v>
      </c>
      <c r="AN3295" s="10">
        <f t="shared" ref="AN3295:AN3358" ca="1" si="462">100*(((1+AL3295/100)^(AH3295/365)*$AM$29/AM3295)^(365/AH3295)-1)</f>
        <v>1.0712746449423882</v>
      </c>
      <c r="AO3295" s="158"/>
      <c r="AP3295" s="158"/>
      <c r="AQ3295" s="1"/>
      <c r="AR3295" s="1"/>
      <c r="AS3295" s="1"/>
      <c r="AT3295" s="1"/>
      <c r="AU3295" s="1"/>
    </row>
    <row r="3296" spans="34:47">
      <c r="AH3296" s="6">
        <f t="shared" ref="AH3296:AH3359" si="463">$AI$29+AH3295</f>
        <v>3266</v>
      </c>
      <c r="AI3296" s="7">
        <f t="shared" ref="AI3296:AI3359" ca="1" si="464">+AH3296+$C$1</f>
        <v>45936</v>
      </c>
      <c r="AJ3296" s="210">
        <f t="shared" ref="AJ3296:AJ3359" ca="1" si="465">IF(AH3296&lt;365,VLOOKUP(LOOKUP(AI3296,$AI$2:$AI$23),$AI$2:$AK$23,3,0),Lin_Interp(AH3296,$AJ$2:$AJ$23,$AK$2:$AK$23))</f>
        <v>4.1749999999999998</v>
      </c>
      <c r="AK3296" s="8">
        <f t="shared" ca="1" si="459"/>
        <v>1.0001159722222221</v>
      </c>
      <c r="AL3296" s="98">
        <f t="shared" ca="1" si="460"/>
        <v>4.1289937131526511</v>
      </c>
      <c r="AM3296" s="106">
        <f t="shared" ca="1" si="461"/>
        <v>34278.940248984967</v>
      </c>
      <c r="AN3296" s="10">
        <f t="shared" ca="1" si="462"/>
        <v>1.0713240460335394</v>
      </c>
      <c r="AO3296" s="158"/>
      <c r="AP3296" s="158"/>
      <c r="AQ3296" s="1"/>
      <c r="AR3296" s="1"/>
      <c r="AS3296" s="1"/>
      <c r="AT3296" s="1"/>
      <c r="AU3296" s="1"/>
    </row>
    <row r="3297" spans="34:47">
      <c r="AH3297" s="6">
        <f t="shared" si="463"/>
        <v>3267</v>
      </c>
      <c r="AI3297" s="7">
        <f t="shared" ca="1" si="464"/>
        <v>45937</v>
      </c>
      <c r="AJ3297" s="210">
        <f t="shared" ca="1" si="465"/>
        <v>4.1749999999999998</v>
      </c>
      <c r="AK3297" s="8">
        <f t="shared" ref="AK3297:AK3360" ca="1" si="466">+(1+AJ3297/36000)</f>
        <v>1.0001159722222221</v>
      </c>
      <c r="AL3297" s="98">
        <f t="shared" ref="AL3297:AL3360" ca="1" si="467">100*(((1+AL3296/100)^(AH3296/365)*AK3297)^(365/AH3297)-1)</f>
        <v>4.1290532244036893</v>
      </c>
      <c r="AM3297" s="106">
        <f t="shared" ca="1" si="461"/>
        <v>34281.764884024342</v>
      </c>
      <c r="AN3297" s="10">
        <f t="shared" ca="1" si="462"/>
        <v>1.0713734169063516</v>
      </c>
      <c r="AO3297" s="158"/>
      <c r="AP3297" s="158"/>
      <c r="AQ3297" s="1"/>
      <c r="AR3297" s="1"/>
      <c r="AS3297" s="1"/>
      <c r="AT3297" s="1"/>
      <c r="AU3297" s="1"/>
    </row>
    <row r="3298" spans="34:47">
      <c r="AH3298" s="6">
        <f t="shared" si="463"/>
        <v>3268</v>
      </c>
      <c r="AI3298" s="7">
        <f t="shared" ca="1" si="464"/>
        <v>45938</v>
      </c>
      <c r="AJ3298" s="210">
        <f t="shared" ca="1" si="465"/>
        <v>4.1749999999999998</v>
      </c>
      <c r="AK3298" s="8">
        <f t="shared" ca="1" si="466"/>
        <v>1.0001159722222221</v>
      </c>
      <c r="AL3298" s="98">
        <f t="shared" ca="1" si="467"/>
        <v>4.1291126992681226</v>
      </c>
      <c r="AM3298" s="106">
        <f t="shared" ca="1" si="461"/>
        <v>34284.589751817803</v>
      </c>
      <c r="AN3298" s="10">
        <f t="shared" ca="1" si="462"/>
        <v>1.071422757588536</v>
      </c>
      <c r="AO3298" s="158"/>
      <c r="AP3298" s="158"/>
      <c r="AQ3298" s="1"/>
      <c r="AR3298" s="1"/>
      <c r="AS3298" s="1"/>
      <c r="AT3298" s="1"/>
      <c r="AU3298" s="1"/>
    </row>
    <row r="3299" spans="34:47">
      <c r="AH3299" s="6">
        <f t="shared" si="463"/>
        <v>3269</v>
      </c>
      <c r="AI3299" s="7">
        <f t="shared" ca="1" si="464"/>
        <v>45939</v>
      </c>
      <c r="AJ3299" s="210">
        <f t="shared" ca="1" si="465"/>
        <v>4.1749999999999998</v>
      </c>
      <c r="AK3299" s="8">
        <f t="shared" ca="1" si="466"/>
        <v>1.0001159722222221</v>
      </c>
      <c r="AL3299" s="98">
        <f t="shared" ca="1" si="467"/>
        <v>4.1291721377793023</v>
      </c>
      <c r="AM3299" s="106">
        <f t="shared" ca="1" si="461"/>
        <v>34287.414852384522</v>
      </c>
      <c r="AN3299" s="10">
        <f t="shared" ca="1" si="462"/>
        <v>1.0714720681077594</v>
      </c>
      <c r="AO3299" s="158"/>
      <c r="AP3299" s="158"/>
      <c r="AQ3299" s="1"/>
      <c r="AR3299" s="1"/>
      <c r="AS3299" s="1"/>
      <c r="AT3299" s="1"/>
      <c r="AU3299" s="1"/>
    </row>
    <row r="3300" spans="34:47">
      <c r="AH3300" s="6">
        <f t="shared" si="463"/>
        <v>3270</v>
      </c>
      <c r="AI3300" s="7">
        <f t="shared" ca="1" si="464"/>
        <v>45940</v>
      </c>
      <c r="AJ3300" s="210">
        <f t="shared" ca="1" si="465"/>
        <v>4.1749999999999998</v>
      </c>
      <c r="AK3300" s="8">
        <f t="shared" ca="1" si="466"/>
        <v>1.0001159722222221</v>
      </c>
      <c r="AL3300" s="98">
        <f t="shared" ca="1" si="467"/>
        <v>4.129231539970557</v>
      </c>
      <c r="AM3300" s="106">
        <f t="shared" ca="1" si="461"/>
        <v>34290.240185743671</v>
      </c>
      <c r="AN3300" s="10">
        <f t="shared" ca="1" si="462"/>
        <v>1.0715213484916886</v>
      </c>
      <c r="AO3300" s="158"/>
      <c r="AP3300" s="158"/>
      <c r="AQ3300" s="1"/>
      <c r="AR3300" s="1"/>
      <c r="AS3300" s="1"/>
      <c r="AT3300" s="1"/>
      <c r="AU3300" s="1"/>
    </row>
    <row r="3301" spans="34:47">
      <c r="AH3301" s="6">
        <f t="shared" si="463"/>
        <v>3271</v>
      </c>
      <c r="AI3301" s="7">
        <f t="shared" ca="1" si="464"/>
        <v>45941</v>
      </c>
      <c r="AJ3301" s="210">
        <f t="shared" ca="1" si="465"/>
        <v>4.1749999999999998</v>
      </c>
      <c r="AK3301" s="8">
        <f t="shared" ca="1" si="466"/>
        <v>1.0001159722222221</v>
      </c>
      <c r="AL3301" s="98">
        <f t="shared" ca="1" si="467"/>
        <v>4.1292909058751492</v>
      </c>
      <c r="AM3301" s="106">
        <f t="shared" ca="1" si="461"/>
        <v>34293.065751914444</v>
      </c>
      <c r="AN3301" s="10">
        <f t="shared" ca="1" si="462"/>
        <v>1.0715705987679236</v>
      </c>
      <c r="AO3301" s="158"/>
      <c r="AP3301" s="158"/>
      <c r="AQ3301" s="1"/>
      <c r="AR3301" s="1"/>
      <c r="AS3301" s="1"/>
      <c r="AT3301" s="1"/>
      <c r="AU3301" s="1"/>
    </row>
    <row r="3302" spans="34:47">
      <c r="AH3302" s="6">
        <f t="shared" si="463"/>
        <v>3272</v>
      </c>
      <c r="AI3302" s="7">
        <f t="shared" ca="1" si="464"/>
        <v>45942</v>
      </c>
      <c r="AJ3302" s="210">
        <f t="shared" ca="1" si="465"/>
        <v>4.1749999999999998</v>
      </c>
      <c r="AK3302" s="8">
        <f t="shared" ca="1" si="466"/>
        <v>1.0001159722222221</v>
      </c>
      <c r="AL3302" s="98">
        <f t="shared" ca="1" si="467"/>
        <v>4.129350235526319</v>
      </c>
      <c r="AM3302" s="106">
        <f t="shared" ca="1" si="461"/>
        <v>34295.891550916022</v>
      </c>
      <c r="AN3302" s="10">
        <f t="shared" ca="1" si="462"/>
        <v>1.0716198189640425</v>
      </c>
      <c r="AO3302" s="158"/>
      <c r="AP3302" s="158"/>
      <c r="AQ3302" s="1"/>
      <c r="AR3302" s="1"/>
      <c r="AS3302" s="1"/>
      <c r="AT3302" s="1"/>
      <c r="AU3302" s="1"/>
    </row>
    <row r="3303" spans="34:47">
      <c r="AH3303" s="6">
        <f t="shared" si="463"/>
        <v>3273</v>
      </c>
      <c r="AI3303" s="7">
        <f t="shared" ca="1" si="464"/>
        <v>45943</v>
      </c>
      <c r="AJ3303" s="210">
        <f t="shared" ca="1" si="465"/>
        <v>4.1749999999999998</v>
      </c>
      <c r="AK3303" s="8">
        <f t="shared" ca="1" si="466"/>
        <v>1.0001159722222221</v>
      </c>
      <c r="AL3303" s="98">
        <f t="shared" ca="1" si="467"/>
        <v>4.1294095289572841</v>
      </c>
      <c r="AM3303" s="106">
        <f t="shared" ca="1" si="461"/>
        <v>34298.717582767589</v>
      </c>
      <c r="AN3303" s="10">
        <f t="shared" ca="1" si="462"/>
        <v>1.0716690091076231</v>
      </c>
      <c r="AO3303" s="158"/>
      <c r="AP3303" s="158"/>
      <c r="AQ3303" s="1"/>
      <c r="AR3303" s="1"/>
      <c r="AS3303" s="1"/>
      <c r="AT3303" s="1"/>
      <c r="AU3303" s="1"/>
    </row>
    <row r="3304" spans="34:47">
      <c r="AH3304" s="6">
        <f t="shared" si="463"/>
        <v>3274</v>
      </c>
      <c r="AI3304" s="7">
        <f t="shared" ca="1" si="464"/>
        <v>45944</v>
      </c>
      <c r="AJ3304" s="210">
        <f t="shared" ca="1" si="465"/>
        <v>4.1749999999999998</v>
      </c>
      <c r="AK3304" s="8">
        <f t="shared" ca="1" si="466"/>
        <v>1.0001159722222221</v>
      </c>
      <c r="AL3304" s="98">
        <f t="shared" ca="1" si="467"/>
        <v>4.1294687862011958</v>
      </c>
      <c r="AM3304" s="106">
        <f t="shared" ca="1" si="461"/>
        <v>34301.543847488327</v>
      </c>
      <c r="AN3304" s="10">
        <f t="shared" ca="1" si="462"/>
        <v>1.0717181692261546</v>
      </c>
      <c r="AO3304" s="158"/>
      <c r="AP3304" s="158"/>
      <c r="AQ3304" s="1"/>
      <c r="AR3304" s="1"/>
      <c r="AS3304" s="1"/>
      <c r="AT3304" s="1"/>
      <c r="AU3304" s="1"/>
    </row>
    <row r="3305" spans="34:47">
      <c r="AH3305" s="6">
        <f t="shared" si="463"/>
        <v>3275</v>
      </c>
      <c r="AI3305" s="7">
        <f t="shared" ca="1" si="464"/>
        <v>45945</v>
      </c>
      <c r="AJ3305" s="210">
        <f t="shared" ca="1" si="465"/>
        <v>4.1749999999999998</v>
      </c>
      <c r="AK3305" s="8">
        <f t="shared" ca="1" si="466"/>
        <v>1.0001159722222221</v>
      </c>
      <c r="AL3305" s="98">
        <f t="shared" ca="1" si="467"/>
        <v>4.1295280072911611</v>
      </c>
      <c r="AM3305" s="106">
        <f t="shared" ca="1" si="461"/>
        <v>34304.370345097435</v>
      </c>
      <c r="AN3305" s="10">
        <f t="shared" ca="1" si="462"/>
        <v>1.0717672993471261</v>
      </c>
      <c r="AO3305" s="158"/>
      <c r="AP3305" s="158"/>
      <c r="AQ3305" s="1"/>
      <c r="AR3305" s="1"/>
      <c r="AS3305" s="1"/>
      <c r="AT3305" s="1"/>
      <c r="AU3305" s="1"/>
    </row>
    <row r="3306" spans="34:47">
      <c r="AH3306" s="6">
        <f t="shared" si="463"/>
        <v>3276</v>
      </c>
      <c r="AI3306" s="7">
        <f t="shared" ca="1" si="464"/>
        <v>45946</v>
      </c>
      <c r="AJ3306" s="210">
        <f t="shared" ca="1" si="465"/>
        <v>4.1749999999999998</v>
      </c>
      <c r="AK3306" s="8">
        <f t="shared" ca="1" si="466"/>
        <v>1.0001159722222221</v>
      </c>
      <c r="AL3306" s="98">
        <f t="shared" ca="1" si="467"/>
        <v>4.1295871922602645</v>
      </c>
      <c r="AM3306" s="106">
        <f t="shared" ca="1" si="461"/>
        <v>34307.197075614102</v>
      </c>
      <c r="AN3306" s="10">
        <f t="shared" ca="1" si="462"/>
        <v>1.0718163994979824</v>
      </c>
      <c r="AO3306" s="158"/>
      <c r="AP3306" s="158"/>
      <c r="AQ3306" s="1"/>
      <c r="AR3306" s="1"/>
      <c r="AS3306" s="1"/>
      <c r="AT3306" s="1"/>
      <c r="AU3306" s="1"/>
    </row>
    <row r="3307" spans="34:47">
      <c r="AH3307" s="6">
        <f t="shared" si="463"/>
        <v>3277</v>
      </c>
      <c r="AI3307" s="7">
        <f t="shared" ca="1" si="464"/>
        <v>45947</v>
      </c>
      <c r="AJ3307" s="210">
        <f t="shared" ca="1" si="465"/>
        <v>4.1749999999999998</v>
      </c>
      <c r="AK3307" s="8">
        <f t="shared" ca="1" si="466"/>
        <v>1.0001159722222221</v>
      </c>
      <c r="AL3307" s="98">
        <f t="shared" ca="1" si="467"/>
        <v>4.1296463411415463</v>
      </c>
      <c r="AM3307" s="106">
        <f t="shared" ca="1" si="461"/>
        <v>34310.024039057513</v>
      </c>
      <c r="AN3307" s="10">
        <f t="shared" ca="1" si="462"/>
        <v>1.071865469706168</v>
      </c>
      <c r="AO3307" s="158"/>
      <c r="AP3307" s="158"/>
      <c r="AQ3307" s="1"/>
      <c r="AR3307" s="1"/>
      <c r="AS3307" s="1"/>
      <c r="AT3307" s="1"/>
      <c r="AU3307" s="1"/>
    </row>
    <row r="3308" spans="34:47">
      <c r="AH3308" s="6">
        <f t="shared" si="463"/>
        <v>3278</v>
      </c>
      <c r="AI3308" s="7">
        <f t="shared" ca="1" si="464"/>
        <v>45948</v>
      </c>
      <c r="AJ3308" s="210">
        <f t="shared" ca="1" si="465"/>
        <v>4.1749999999999998</v>
      </c>
      <c r="AK3308" s="8">
        <f t="shared" ca="1" si="466"/>
        <v>1.0001159722222221</v>
      </c>
      <c r="AL3308" s="98">
        <f t="shared" ca="1" si="467"/>
        <v>4.1297054539680023</v>
      </c>
      <c r="AM3308" s="106">
        <f t="shared" ca="1" si="461"/>
        <v>34312.851235446862</v>
      </c>
      <c r="AN3308" s="10">
        <f t="shared" ca="1" si="462"/>
        <v>1.0719145099990168</v>
      </c>
      <c r="AO3308" s="158"/>
      <c r="AP3308" s="158"/>
      <c r="AQ3308" s="1"/>
      <c r="AR3308" s="1"/>
      <c r="AS3308" s="1"/>
      <c r="AT3308" s="1"/>
      <c r="AU3308" s="1"/>
    </row>
    <row r="3309" spans="34:47">
      <c r="AH3309" s="6">
        <f t="shared" si="463"/>
        <v>3279</v>
      </c>
      <c r="AI3309" s="7">
        <f t="shared" ca="1" si="464"/>
        <v>45949</v>
      </c>
      <c r="AJ3309" s="210">
        <f t="shared" ca="1" si="465"/>
        <v>4.1749999999999998</v>
      </c>
      <c r="AK3309" s="8">
        <f t="shared" ca="1" si="466"/>
        <v>1.0001159722222221</v>
      </c>
      <c r="AL3309" s="98">
        <f t="shared" ca="1" si="467"/>
        <v>4.1297645307725839</v>
      </c>
      <c r="AM3309" s="106">
        <f t="shared" ca="1" si="461"/>
        <v>34315.678664801359</v>
      </c>
      <c r="AN3309" s="10">
        <f t="shared" ca="1" si="462"/>
        <v>1.0719635204039069</v>
      </c>
      <c r="AO3309" s="158"/>
      <c r="AP3309" s="158"/>
      <c r="AQ3309" s="1"/>
      <c r="AR3309" s="1"/>
      <c r="AS3309" s="1"/>
      <c r="AT3309" s="1"/>
      <c r="AU3309" s="1"/>
    </row>
    <row r="3310" spans="34:47">
      <c r="AH3310" s="6">
        <f t="shared" si="463"/>
        <v>3280</v>
      </c>
      <c r="AI3310" s="7">
        <f t="shared" ca="1" si="464"/>
        <v>45950</v>
      </c>
      <c r="AJ3310" s="210">
        <f t="shared" ca="1" si="465"/>
        <v>4.1749999999999998</v>
      </c>
      <c r="AK3310" s="8">
        <f t="shared" ca="1" si="466"/>
        <v>1.0001159722222221</v>
      </c>
      <c r="AL3310" s="98">
        <f t="shared" ca="1" si="467"/>
        <v>4.1298235715881981</v>
      </c>
      <c r="AM3310" s="106">
        <f t="shared" ca="1" si="461"/>
        <v>34318.506327140174</v>
      </c>
      <c r="AN3310" s="10">
        <f t="shared" ca="1" si="462"/>
        <v>1.0720125009481496</v>
      </c>
      <c r="AO3310" s="158"/>
      <c r="AP3310" s="158"/>
      <c r="AQ3310" s="1"/>
      <c r="AR3310" s="1"/>
      <c r="AS3310" s="1"/>
      <c r="AT3310" s="1"/>
      <c r="AU3310" s="1"/>
    </row>
    <row r="3311" spans="34:47">
      <c r="AH3311" s="6">
        <f t="shared" si="463"/>
        <v>3281</v>
      </c>
      <c r="AI3311" s="7">
        <f t="shared" ca="1" si="464"/>
        <v>45951</v>
      </c>
      <c r="AJ3311" s="210">
        <f t="shared" ca="1" si="465"/>
        <v>4.1749999999999998</v>
      </c>
      <c r="AK3311" s="8">
        <f t="shared" ca="1" si="466"/>
        <v>1.0001159722222221</v>
      </c>
      <c r="AL3311" s="98">
        <f t="shared" ca="1" si="467"/>
        <v>4.129882576447752</v>
      </c>
      <c r="AM3311" s="106">
        <f t="shared" ca="1" si="461"/>
        <v>34321.334222482525</v>
      </c>
      <c r="AN3311" s="10">
        <f t="shared" ca="1" si="462"/>
        <v>1.0720614516590343</v>
      </c>
      <c r="AO3311" s="158"/>
      <c r="AP3311" s="158"/>
      <c r="AQ3311" s="1"/>
      <c r="AR3311" s="1"/>
      <c r="AS3311" s="1"/>
      <c r="AT3311" s="1"/>
      <c r="AU3311" s="1"/>
    </row>
    <row r="3312" spans="34:47">
      <c r="AH3312" s="6">
        <f t="shared" si="463"/>
        <v>3282</v>
      </c>
      <c r="AI3312" s="7">
        <f t="shared" ca="1" si="464"/>
        <v>45952</v>
      </c>
      <c r="AJ3312" s="210">
        <f t="shared" ca="1" si="465"/>
        <v>4.1749999999999998</v>
      </c>
      <c r="AK3312" s="8">
        <f t="shared" ca="1" si="466"/>
        <v>1.0001159722222221</v>
      </c>
      <c r="AL3312" s="98">
        <f t="shared" ca="1" si="467"/>
        <v>4.1299415453840638</v>
      </c>
      <c r="AM3312" s="106">
        <f t="shared" ca="1" si="461"/>
        <v>34324.162350847611</v>
      </c>
      <c r="AN3312" s="10">
        <f t="shared" ca="1" si="462"/>
        <v>1.0721103725638059</v>
      </c>
      <c r="AO3312" s="158"/>
      <c r="AP3312" s="158"/>
      <c r="AQ3312" s="1"/>
      <c r="AR3312" s="1"/>
      <c r="AS3312" s="1"/>
      <c r="AT3312" s="1"/>
      <c r="AU3312" s="1"/>
    </row>
    <row r="3313" spans="34:47">
      <c r="AH3313" s="6">
        <f t="shared" si="463"/>
        <v>3283</v>
      </c>
      <c r="AI3313" s="7">
        <f t="shared" ca="1" si="464"/>
        <v>45953</v>
      </c>
      <c r="AJ3313" s="210">
        <f t="shared" ca="1" si="465"/>
        <v>4.1749999999999998</v>
      </c>
      <c r="AK3313" s="8">
        <f t="shared" ca="1" si="466"/>
        <v>1.0001159722222221</v>
      </c>
      <c r="AL3313" s="98">
        <f t="shared" ca="1" si="467"/>
        <v>4.1300004784299293</v>
      </c>
      <c r="AM3313" s="106">
        <f t="shared" ca="1" si="461"/>
        <v>34326.990712254628</v>
      </c>
      <c r="AN3313" s="10">
        <f t="shared" ca="1" si="462"/>
        <v>1.0721592636896649</v>
      </c>
      <c r="AO3313" s="158"/>
      <c r="AP3313" s="158"/>
      <c r="AQ3313" s="1"/>
      <c r="AR3313" s="1"/>
      <c r="AS3313" s="1"/>
      <c r="AT3313" s="1"/>
      <c r="AU3313" s="1"/>
    </row>
    <row r="3314" spans="34:47">
      <c r="AH3314" s="6">
        <f t="shared" si="463"/>
        <v>3284</v>
      </c>
      <c r="AI3314" s="7">
        <f t="shared" ca="1" si="464"/>
        <v>45954</v>
      </c>
      <c r="AJ3314" s="210">
        <f t="shared" ca="1" si="465"/>
        <v>4.1749999999999998</v>
      </c>
      <c r="AK3314" s="8">
        <f t="shared" ca="1" si="466"/>
        <v>1.0001159722222221</v>
      </c>
      <c r="AL3314" s="98">
        <f t="shared" ca="1" si="467"/>
        <v>4.1300593756181003</v>
      </c>
      <c r="AM3314" s="106">
        <f t="shared" ca="1" si="461"/>
        <v>34329.819306722777</v>
      </c>
      <c r="AN3314" s="10">
        <f t="shared" ca="1" si="462"/>
        <v>1.0722081250638116</v>
      </c>
      <c r="AO3314" s="158"/>
      <c r="AP3314" s="158"/>
      <c r="AQ3314" s="1"/>
      <c r="AR3314" s="1"/>
      <c r="AS3314" s="1"/>
      <c r="AT3314" s="1"/>
      <c r="AU3314" s="1"/>
    </row>
    <row r="3315" spans="34:47">
      <c r="AH3315" s="6">
        <f t="shared" si="463"/>
        <v>3285</v>
      </c>
      <c r="AI3315" s="7">
        <f t="shared" ca="1" si="464"/>
        <v>45955</v>
      </c>
      <c r="AJ3315" s="210">
        <f t="shared" ca="1" si="465"/>
        <v>4.1749999999999998</v>
      </c>
      <c r="AK3315" s="8">
        <f t="shared" ca="1" si="466"/>
        <v>1.0001159722222221</v>
      </c>
      <c r="AL3315" s="98">
        <f t="shared" ca="1" si="467"/>
        <v>4.1301182369812839</v>
      </c>
      <c r="AM3315" s="106">
        <f t="shared" ca="1" si="461"/>
        <v>34332.648134271265</v>
      </c>
      <c r="AN3315" s="10">
        <f t="shared" ca="1" si="462"/>
        <v>1.0722569567133799</v>
      </c>
      <c r="AO3315" s="158"/>
      <c r="AP3315" s="158"/>
      <c r="AQ3315" s="1"/>
      <c r="AR3315" s="1"/>
      <c r="AS3315" s="1"/>
      <c r="AT3315" s="1"/>
      <c r="AU3315" s="1"/>
    </row>
    <row r="3316" spans="34:47">
      <c r="AH3316" s="6">
        <f t="shared" si="463"/>
        <v>3286</v>
      </c>
      <c r="AI3316" s="7">
        <f t="shared" ca="1" si="464"/>
        <v>45956</v>
      </c>
      <c r="AJ3316" s="210">
        <f t="shared" ca="1" si="465"/>
        <v>4.1749999999999998</v>
      </c>
      <c r="AK3316" s="8">
        <f t="shared" ca="1" si="466"/>
        <v>1.0001159722222221</v>
      </c>
      <c r="AL3316" s="98">
        <f t="shared" ca="1" si="467"/>
        <v>4.130177062552165</v>
      </c>
      <c r="AM3316" s="106">
        <f t="shared" ca="1" si="461"/>
        <v>34335.477194919302</v>
      </c>
      <c r="AN3316" s="10">
        <f t="shared" ca="1" si="462"/>
        <v>1.0723057586654594</v>
      </c>
      <c r="AO3316" s="158"/>
      <c r="AP3316" s="158"/>
      <c r="AQ3316" s="1"/>
      <c r="AR3316" s="1"/>
      <c r="AS3316" s="1"/>
      <c r="AT3316" s="1"/>
      <c r="AU3316" s="1"/>
    </row>
    <row r="3317" spans="34:47">
      <c r="AH3317" s="6">
        <f t="shared" si="463"/>
        <v>3287</v>
      </c>
      <c r="AI3317" s="7">
        <f t="shared" ca="1" si="464"/>
        <v>45957</v>
      </c>
      <c r="AJ3317" s="210">
        <f t="shared" ca="1" si="465"/>
        <v>4.1749999999999998</v>
      </c>
      <c r="AK3317" s="8">
        <f t="shared" ca="1" si="466"/>
        <v>1.0001159722222221</v>
      </c>
      <c r="AL3317" s="98">
        <f t="shared" ca="1" si="467"/>
        <v>4.1302358523633842</v>
      </c>
      <c r="AM3317" s="106">
        <f t="shared" ca="1" si="461"/>
        <v>34338.306488686096</v>
      </c>
      <c r="AN3317" s="10">
        <f t="shared" ca="1" si="462"/>
        <v>1.0723545309471838</v>
      </c>
      <c r="AO3317" s="158"/>
      <c r="AP3317" s="158"/>
      <c r="AQ3317" s="1"/>
      <c r="AR3317" s="1"/>
      <c r="AS3317" s="1"/>
      <c r="AT3317" s="1"/>
      <c r="AU3317" s="1"/>
    </row>
    <row r="3318" spans="34:47">
      <c r="AH3318" s="6">
        <f t="shared" si="463"/>
        <v>3288</v>
      </c>
      <c r="AI3318" s="7">
        <f t="shared" ca="1" si="464"/>
        <v>45958</v>
      </c>
      <c r="AJ3318" s="210">
        <f t="shared" ca="1" si="465"/>
        <v>4.1749999999999998</v>
      </c>
      <c r="AK3318" s="8">
        <f t="shared" ca="1" si="466"/>
        <v>1.0001159722222221</v>
      </c>
      <c r="AL3318" s="98">
        <f t="shared" ca="1" si="467"/>
        <v>4.1302946064475377</v>
      </c>
      <c r="AM3318" s="106">
        <f t="shared" ca="1" si="461"/>
        <v>34341.136015590855</v>
      </c>
      <c r="AN3318" s="10">
        <f t="shared" ca="1" si="462"/>
        <v>1.072403273585576</v>
      </c>
      <c r="AO3318" s="158"/>
      <c r="AP3318" s="158"/>
      <c r="AQ3318" s="1"/>
      <c r="AR3318" s="1"/>
      <c r="AS3318" s="1"/>
      <c r="AT3318" s="1"/>
      <c r="AU3318" s="1"/>
    </row>
    <row r="3319" spans="34:47">
      <c r="AH3319" s="6">
        <f t="shared" si="463"/>
        <v>3289</v>
      </c>
      <c r="AI3319" s="7">
        <f t="shared" ca="1" si="464"/>
        <v>45959</v>
      </c>
      <c r="AJ3319" s="210">
        <f t="shared" ca="1" si="465"/>
        <v>4.1749999999999998</v>
      </c>
      <c r="AK3319" s="8">
        <f t="shared" ca="1" si="466"/>
        <v>1.0001159722222221</v>
      </c>
      <c r="AL3319" s="98">
        <f t="shared" ca="1" si="467"/>
        <v>4.1303533248371993</v>
      </c>
      <c r="AM3319" s="106">
        <f t="shared" ca="1" si="461"/>
        <v>34343.965775652781</v>
      </c>
      <c r="AN3319" s="10">
        <f t="shared" ca="1" si="462"/>
        <v>1.0724519866076809</v>
      </c>
      <c r="AO3319" s="158"/>
      <c r="AP3319" s="158"/>
      <c r="AQ3319" s="1"/>
      <c r="AR3319" s="1"/>
      <c r="AS3319" s="1"/>
      <c r="AT3319" s="1"/>
      <c r="AU3319" s="1"/>
    </row>
    <row r="3320" spans="34:47">
      <c r="AH3320" s="6">
        <f t="shared" si="463"/>
        <v>3290</v>
      </c>
      <c r="AI3320" s="7">
        <f t="shared" ca="1" si="464"/>
        <v>45960</v>
      </c>
      <c r="AJ3320" s="210">
        <f t="shared" ca="1" si="465"/>
        <v>4.1749999999999998</v>
      </c>
      <c r="AK3320" s="8">
        <f t="shared" ca="1" si="466"/>
        <v>1.0001159722222221</v>
      </c>
      <c r="AL3320" s="98">
        <f t="shared" ca="1" si="467"/>
        <v>4.1304120075648765</v>
      </c>
      <c r="AM3320" s="106">
        <f t="shared" ca="1" si="461"/>
        <v>34346.79576889109</v>
      </c>
      <c r="AN3320" s="10">
        <f t="shared" ca="1" si="462"/>
        <v>1.0725006700404549</v>
      </c>
      <c r="AO3320" s="158"/>
      <c r="AP3320" s="158"/>
      <c r="AQ3320" s="1"/>
      <c r="AR3320" s="1"/>
      <c r="AS3320" s="1"/>
      <c r="AT3320" s="1"/>
      <c r="AU3320" s="1"/>
    </row>
    <row r="3321" spans="34:47">
      <c r="AH3321" s="6">
        <f t="shared" si="463"/>
        <v>3291</v>
      </c>
      <c r="AI3321" s="7">
        <f t="shared" ca="1" si="464"/>
        <v>45961</v>
      </c>
      <c r="AJ3321" s="210">
        <f t="shared" ca="1" si="465"/>
        <v>4.1749999999999998</v>
      </c>
      <c r="AK3321" s="8">
        <f t="shared" ca="1" si="466"/>
        <v>1.0001159722222221</v>
      </c>
      <c r="AL3321" s="98">
        <f t="shared" ca="1" si="467"/>
        <v>4.1304706546630321</v>
      </c>
      <c r="AM3321" s="106">
        <f t="shared" ca="1" si="461"/>
        <v>34349.625995325005</v>
      </c>
      <c r="AN3321" s="10">
        <f t="shared" ca="1" si="462"/>
        <v>1.0725493239108541</v>
      </c>
      <c r="AO3321" s="158"/>
      <c r="AP3321" s="158"/>
      <c r="AQ3321" s="1"/>
      <c r="AR3321" s="1"/>
      <c r="AS3321" s="1"/>
      <c r="AT3321" s="1"/>
      <c r="AU3321" s="1"/>
    </row>
    <row r="3322" spans="34:47">
      <c r="AH3322" s="6">
        <f t="shared" si="463"/>
        <v>3292</v>
      </c>
      <c r="AI3322" s="7">
        <f t="shared" ca="1" si="464"/>
        <v>45962</v>
      </c>
      <c r="AJ3322" s="210">
        <f t="shared" ca="1" si="465"/>
        <v>4.1749999999999998</v>
      </c>
      <c r="AK3322" s="8">
        <f t="shared" ca="1" si="466"/>
        <v>1.0001159722222221</v>
      </c>
      <c r="AL3322" s="98">
        <f t="shared" ca="1" si="467"/>
        <v>4.1305292661641291</v>
      </c>
      <c r="AM3322" s="106">
        <f t="shared" ca="1" si="461"/>
        <v>34352.456454973741</v>
      </c>
      <c r="AN3322" s="10">
        <f t="shared" ca="1" si="462"/>
        <v>1.0725979482458126</v>
      </c>
      <c r="AO3322" s="158"/>
      <c r="AP3322" s="158"/>
      <c r="AQ3322" s="1"/>
      <c r="AR3322" s="1"/>
      <c r="AS3322" s="1"/>
      <c r="AT3322" s="1"/>
      <c r="AU3322" s="1"/>
    </row>
    <row r="3323" spans="34:47">
      <c r="AH3323" s="6">
        <f t="shared" si="463"/>
        <v>3293</v>
      </c>
      <c r="AI3323" s="7">
        <f t="shared" ca="1" si="464"/>
        <v>45963</v>
      </c>
      <c r="AJ3323" s="210">
        <f t="shared" ca="1" si="465"/>
        <v>4.1749999999999998</v>
      </c>
      <c r="AK3323" s="8">
        <f t="shared" ca="1" si="466"/>
        <v>1.0001159722222221</v>
      </c>
      <c r="AL3323" s="98">
        <f t="shared" ca="1" si="467"/>
        <v>4.1305878421005415</v>
      </c>
      <c r="AM3323" s="106">
        <f t="shared" ca="1" si="461"/>
        <v>34355.287147856507</v>
      </c>
      <c r="AN3323" s="10">
        <f t="shared" ca="1" si="462"/>
        <v>1.0726465430721976</v>
      </c>
      <c r="AO3323" s="158"/>
      <c r="AP3323" s="158"/>
      <c r="AQ3323" s="1"/>
      <c r="AR3323" s="1"/>
      <c r="AS3323" s="1"/>
      <c r="AT3323" s="1"/>
      <c r="AU3323" s="1"/>
    </row>
    <row r="3324" spans="34:47">
      <c r="AH3324" s="6">
        <f t="shared" si="463"/>
        <v>3294</v>
      </c>
      <c r="AI3324" s="7">
        <f t="shared" ca="1" si="464"/>
        <v>45964</v>
      </c>
      <c r="AJ3324" s="210">
        <f t="shared" ca="1" si="465"/>
        <v>4.1749999999999998</v>
      </c>
      <c r="AK3324" s="8">
        <f t="shared" ca="1" si="466"/>
        <v>1.0001159722222221</v>
      </c>
      <c r="AL3324" s="98">
        <f t="shared" ca="1" si="467"/>
        <v>4.1306463825046436</v>
      </c>
      <c r="AM3324" s="106">
        <f t="shared" ca="1" si="461"/>
        <v>34358.118073992526</v>
      </c>
      <c r="AN3324" s="10">
        <f t="shared" ca="1" si="462"/>
        <v>1.0726951084168546</v>
      </c>
      <c r="AO3324" s="158"/>
      <c r="AP3324" s="158"/>
      <c r="AQ3324" s="1"/>
      <c r="AR3324" s="1"/>
      <c r="AS3324" s="1"/>
      <c r="AT3324" s="1"/>
      <c r="AU3324" s="1"/>
    </row>
    <row r="3325" spans="34:47">
      <c r="AH3325" s="6">
        <f t="shared" si="463"/>
        <v>3295</v>
      </c>
      <c r="AI3325" s="7">
        <f t="shared" ca="1" si="464"/>
        <v>45965</v>
      </c>
      <c r="AJ3325" s="210">
        <f t="shared" ca="1" si="465"/>
        <v>4.1749999999999998</v>
      </c>
      <c r="AK3325" s="8">
        <f t="shared" ca="1" si="466"/>
        <v>1.0001159722222221</v>
      </c>
      <c r="AL3325" s="98">
        <f t="shared" ca="1" si="467"/>
        <v>4.1307048874087648</v>
      </c>
      <c r="AM3325" s="106">
        <f t="shared" ca="1" si="461"/>
        <v>34360.949233401014</v>
      </c>
      <c r="AN3325" s="10">
        <f t="shared" ca="1" si="462"/>
        <v>1.0727436443066507</v>
      </c>
      <c r="AO3325" s="158"/>
      <c r="AP3325" s="158"/>
      <c r="AQ3325" s="1"/>
      <c r="AR3325" s="1"/>
      <c r="AS3325" s="1"/>
      <c r="AT3325" s="1"/>
      <c r="AU3325" s="1"/>
    </row>
    <row r="3326" spans="34:47">
      <c r="AH3326" s="6">
        <f t="shared" si="463"/>
        <v>3296</v>
      </c>
      <c r="AI3326" s="7">
        <f t="shared" ca="1" si="464"/>
        <v>45966</v>
      </c>
      <c r="AJ3326" s="210">
        <f t="shared" ca="1" si="465"/>
        <v>4.1749999999999998</v>
      </c>
      <c r="AK3326" s="8">
        <f t="shared" ca="1" si="466"/>
        <v>1.0001159722222221</v>
      </c>
      <c r="AL3326" s="98">
        <f t="shared" ca="1" si="467"/>
        <v>4.1307633568451685</v>
      </c>
      <c r="AM3326" s="106">
        <f t="shared" ca="1" si="461"/>
        <v>34363.780626101201</v>
      </c>
      <c r="AN3326" s="10">
        <f t="shared" ca="1" si="462"/>
        <v>1.0727921507683202</v>
      </c>
      <c r="AO3326" s="158"/>
      <c r="AP3326" s="158"/>
      <c r="AQ3326" s="1"/>
      <c r="AR3326" s="1"/>
      <c r="AS3326" s="1"/>
      <c r="AT3326" s="1"/>
      <c r="AU3326" s="1"/>
    </row>
    <row r="3327" spans="34:47">
      <c r="AH3327" s="6">
        <f t="shared" si="463"/>
        <v>3297</v>
      </c>
      <c r="AI3327" s="7">
        <f t="shared" ca="1" si="464"/>
        <v>45967</v>
      </c>
      <c r="AJ3327" s="210">
        <f t="shared" ca="1" si="465"/>
        <v>4.1749999999999998</v>
      </c>
      <c r="AK3327" s="8">
        <f t="shared" ca="1" si="466"/>
        <v>1.0001159722222221</v>
      </c>
      <c r="AL3327" s="98">
        <f t="shared" ca="1" si="467"/>
        <v>4.1308217908461176</v>
      </c>
      <c r="AM3327" s="106">
        <f t="shared" ca="1" si="461"/>
        <v>34366.612252112303</v>
      </c>
      <c r="AN3327" s="10">
        <f t="shared" ca="1" si="462"/>
        <v>1.072840627828664</v>
      </c>
      <c r="AO3327" s="158"/>
      <c r="AP3327" s="158"/>
      <c r="AQ3327" s="1"/>
      <c r="AR3327" s="1"/>
      <c r="AS3327" s="1"/>
      <c r="AT3327" s="1"/>
      <c r="AU3327" s="1"/>
    </row>
    <row r="3328" spans="34:47">
      <c r="AH3328" s="6">
        <f t="shared" si="463"/>
        <v>3298</v>
      </c>
      <c r="AI3328" s="7">
        <f t="shared" ca="1" si="464"/>
        <v>45968</v>
      </c>
      <c r="AJ3328" s="210">
        <f t="shared" ca="1" si="465"/>
        <v>4.1749999999999998</v>
      </c>
      <c r="AK3328" s="8">
        <f t="shared" ca="1" si="466"/>
        <v>1.0001159722222221</v>
      </c>
      <c r="AL3328" s="98">
        <f t="shared" ca="1" si="467"/>
        <v>4.1308801894437863</v>
      </c>
      <c r="AM3328" s="106">
        <f t="shared" ca="1" si="461"/>
        <v>34369.444111453551</v>
      </c>
      <c r="AN3328" s="10">
        <f t="shared" ca="1" si="462"/>
        <v>1.0728890755143494</v>
      </c>
      <c r="AO3328" s="158"/>
      <c r="AP3328" s="158"/>
      <c r="AQ3328" s="1"/>
      <c r="AR3328" s="1"/>
      <c r="AS3328" s="1"/>
      <c r="AT3328" s="1"/>
      <c r="AU3328" s="1"/>
    </row>
    <row r="3329" spans="34:47">
      <c r="AH3329" s="6">
        <f t="shared" si="463"/>
        <v>3299</v>
      </c>
      <c r="AI3329" s="7">
        <f t="shared" ca="1" si="464"/>
        <v>45969</v>
      </c>
      <c r="AJ3329" s="210">
        <f t="shared" ca="1" si="465"/>
        <v>4.1749999999999998</v>
      </c>
      <c r="AK3329" s="8">
        <f t="shared" ca="1" si="466"/>
        <v>1.0001159722222221</v>
      </c>
      <c r="AL3329" s="98">
        <f t="shared" ca="1" si="467"/>
        <v>4.1309385526703712</v>
      </c>
      <c r="AM3329" s="106">
        <f t="shared" ca="1" si="461"/>
        <v>34372.276204144175</v>
      </c>
      <c r="AN3329" s="10">
        <f t="shared" ca="1" si="462"/>
        <v>1.072937493852133</v>
      </c>
      <c r="AO3329" s="158"/>
      <c r="AP3329" s="158"/>
      <c r="AQ3329" s="1"/>
      <c r="AR3329" s="1"/>
      <c r="AS3329" s="1"/>
      <c r="AT3329" s="1"/>
      <c r="AU3329" s="1"/>
    </row>
    <row r="3330" spans="34:47">
      <c r="AH3330" s="6">
        <f t="shared" si="463"/>
        <v>3300</v>
      </c>
      <c r="AI3330" s="7">
        <f t="shared" ca="1" si="464"/>
        <v>45970</v>
      </c>
      <c r="AJ3330" s="210">
        <f t="shared" ca="1" si="465"/>
        <v>4.1749999999999998</v>
      </c>
      <c r="AK3330" s="8">
        <f t="shared" ca="1" si="466"/>
        <v>1.0001159722222221</v>
      </c>
      <c r="AL3330" s="98">
        <f t="shared" ca="1" si="467"/>
        <v>4.13099688055798</v>
      </c>
      <c r="AM3330" s="106">
        <f t="shared" ca="1" si="461"/>
        <v>34375.108530203383</v>
      </c>
      <c r="AN3330" s="10">
        <f t="shared" ca="1" si="462"/>
        <v>1.0729858828686156</v>
      </c>
      <c r="AO3330" s="158"/>
      <c r="AP3330" s="158"/>
      <c r="AQ3330" s="1"/>
      <c r="AR3330" s="1"/>
      <c r="AS3330" s="1"/>
      <c r="AT3330" s="1"/>
      <c r="AU3330" s="1"/>
    </row>
    <row r="3331" spans="34:47">
      <c r="AH3331" s="6">
        <f t="shared" si="463"/>
        <v>3301</v>
      </c>
      <c r="AI3331" s="7">
        <f t="shared" ca="1" si="464"/>
        <v>45971</v>
      </c>
      <c r="AJ3331" s="210">
        <f t="shared" ca="1" si="465"/>
        <v>4.1749999999999998</v>
      </c>
      <c r="AK3331" s="8">
        <f t="shared" ca="1" si="466"/>
        <v>1.0001159722222221</v>
      </c>
      <c r="AL3331" s="98">
        <f t="shared" ca="1" si="467"/>
        <v>4.131055173138698</v>
      </c>
      <c r="AM3331" s="106">
        <f t="shared" ca="1" si="461"/>
        <v>34377.941089650434</v>
      </c>
      <c r="AN3331" s="10">
        <f t="shared" ca="1" si="462"/>
        <v>1.0730342425904649</v>
      </c>
      <c r="AO3331" s="158"/>
      <c r="AP3331" s="158"/>
      <c r="AQ3331" s="1"/>
      <c r="AR3331" s="1"/>
      <c r="AS3331" s="1"/>
      <c r="AT3331" s="1"/>
      <c r="AU3331" s="1"/>
    </row>
    <row r="3332" spans="34:47">
      <c r="AH3332" s="6">
        <f t="shared" si="463"/>
        <v>3302</v>
      </c>
      <c r="AI3332" s="7">
        <f t="shared" ca="1" si="464"/>
        <v>45972</v>
      </c>
      <c r="AJ3332" s="210">
        <f t="shared" ca="1" si="465"/>
        <v>4.1749999999999998</v>
      </c>
      <c r="AK3332" s="8">
        <f t="shared" ca="1" si="466"/>
        <v>1.0001159722222221</v>
      </c>
      <c r="AL3332" s="98">
        <f t="shared" ca="1" si="467"/>
        <v>4.1311134304445885</v>
      </c>
      <c r="AM3332" s="106">
        <f t="shared" ca="1" si="461"/>
        <v>34380.773882504538</v>
      </c>
      <c r="AN3332" s="10">
        <f t="shared" ca="1" si="462"/>
        <v>1.0730825730442595</v>
      </c>
      <c r="AO3332" s="158"/>
      <c r="AP3332" s="158"/>
      <c r="AQ3332" s="1"/>
      <c r="AR3332" s="1"/>
      <c r="AS3332" s="1"/>
      <c r="AT3332" s="1"/>
      <c r="AU3332" s="1"/>
    </row>
    <row r="3333" spans="34:47">
      <c r="AH3333" s="6">
        <f t="shared" si="463"/>
        <v>3303</v>
      </c>
      <c r="AI3333" s="7">
        <f t="shared" ca="1" si="464"/>
        <v>45973</v>
      </c>
      <c r="AJ3333" s="210">
        <f t="shared" ca="1" si="465"/>
        <v>4.1749999999999998</v>
      </c>
      <c r="AK3333" s="8">
        <f t="shared" ca="1" si="466"/>
        <v>1.0001159722222221</v>
      </c>
      <c r="AL3333" s="98">
        <f t="shared" ca="1" si="467"/>
        <v>4.1311716525076481</v>
      </c>
      <c r="AM3333" s="106">
        <f t="shared" ca="1" si="461"/>
        <v>34383.606908784939</v>
      </c>
      <c r="AN3333" s="10">
        <f t="shared" ca="1" si="462"/>
        <v>1.073130874256556</v>
      </c>
      <c r="AO3333" s="158"/>
      <c r="AP3333" s="158"/>
      <c r="AQ3333" s="1"/>
      <c r="AR3333" s="1"/>
      <c r="AS3333" s="1"/>
      <c r="AT3333" s="1"/>
      <c r="AU3333" s="1"/>
    </row>
    <row r="3334" spans="34:47">
      <c r="AH3334" s="6">
        <f t="shared" si="463"/>
        <v>3304</v>
      </c>
      <c r="AI3334" s="7">
        <f t="shared" ca="1" si="464"/>
        <v>45974</v>
      </c>
      <c r="AJ3334" s="210">
        <f t="shared" ca="1" si="465"/>
        <v>4.1749999999999998</v>
      </c>
      <c r="AK3334" s="8">
        <f t="shared" ca="1" si="466"/>
        <v>1.0001159722222221</v>
      </c>
      <c r="AL3334" s="98">
        <f t="shared" ca="1" si="467"/>
        <v>4.1312298393598512</v>
      </c>
      <c r="AM3334" s="106">
        <f t="shared" ca="1" si="461"/>
        <v>34386.440168510861</v>
      </c>
      <c r="AN3334" s="10">
        <f t="shared" ca="1" si="462"/>
        <v>1.0731791462539109</v>
      </c>
      <c r="AO3334" s="158"/>
      <c r="AP3334" s="158"/>
      <c r="AQ3334" s="1"/>
      <c r="AR3334" s="1"/>
      <c r="AS3334" s="1"/>
      <c r="AT3334" s="1"/>
      <c r="AU3334" s="1"/>
    </row>
    <row r="3335" spans="34:47">
      <c r="AH3335" s="6">
        <f t="shared" si="463"/>
        <v>3305</v>
      </c>
      <c r="AI3335" s="7">
        <f t="shared" ca="1" si="464"/>
        <v>45975</v>
      </c>
      <c r="AJ3335" s="210">
        <f t="shared" ca="1" si="465"/>
        <v>4.1749999999999998</v>
      </c>
      <c r="AK3335" s="8">
        <f t="shared" ca="1" si="466"/>
        <v>1.0001159722222221</v>
      </c>
      <c r="AL3335" s="98">
        <f t="shared" ca="1" si="467"/>
        <v>4.1312879910331279</v>
      </c>
      <c r="AM3335" s="106">
        <f t="shared" ca="1" si="461"/>
        <v>34389.273661701554</v>
      </c>
      <c r="AN3335" s="10">
        <f t="shared" ca="1" si="462"/>
        <v>1.0732273890627697</v>
      </c>
      <c r="AO3335" s="158"/>
      <c r="AP3335" s="158"/>
      <c r="AQ3335" s="1"/>
      <c r="AR3335" s="1"/>
      <c r="AS3335" s="1"/>
      <c r="AT3335" s="1"/>
      <c r="AU3335" s="1"/>
    </row>
    <row r="3336" spans="34:47">
      <c r="AH3336" s="6">
        <f t="shared" si="463"/>
        <v>3306</v>
      </c>
      <c r="AI3336" s="7">
        <f t="shared" ca="1" si="464"/>
        <v>45976</v>
      </c>
      <c r="AJ3336" s="210">
        <f t="shared" ca="1" si="465"/>
        <v>4.1749999999999998</v>
      </c>
      <c r="AK3336" s="8">
        <f t="shared" ca="1" si="466"/>
        <v>1.0001159722222221</v>
      </c>
      <c r="AL3336" s="98">
        <f t="shared" ca="1" si="467"/>
        <v>4.131346107559386</v>
      </c>
      <c r="AM3336" s="106">
        <f t="shared" ca="1" si="461"/>
        <v>34392.107388376244</v>
      </c>
      <c r="AN3336" s="10">
        <f t="shared" ca="1" si="462"/>
        <v>1.0732756027096668</v>
      </c>
      <c r="AO3336" s="158"/>
      <c r="AP3336" s="158"/>
      <c r="AQ3336" s="1"/>
      <c r="AR3336" s="1"/>
      <c r="AS3336" s="1"/>
      <c r="AT3336" s="1"/>
      <c r="AU3336" s="1"/>
    </row>
    <row r="3337" spans="34:47">
      <c r="AH3337" s="6">
        <f t="shared" si="463"/>
        <v>3307</v>
      </c>
      <c r="AI3337" s="7">
        <f t="shared" ca="1" si="464"/>
        <v>45977</v>
      </c>
      <c r="AJ3337" s="210">
        <f t="shared" ca="1" si="465"/>
        <v>4.1749999999999998</v>
      </c>
      <c r="AK3337" s="8">
        <f t="shared" ca="1" si="466"/>
        <v>1.0001159722222221</v>
      </c>
      <c r="AL3337" s="98">
        <f t="shared" ca="1" si="467"/>
        <v>4.1314041889704667</v>
      </c>
      <c r="AM3337" s="106">
        <f t="shared" ca="1" si="461"/>
        <v>34394.941348554181</v>
      </c>
      <c r="AN3337" s="10">
        <f t="shared" ca="1" si="462"/>
        <v>1.0733237872209811</v>
      </c>
      <c r="AO3337" s="158"/>
      <c r="AP3337" s="158"/>
      <c r="AQ3337" s="1"/>
      <c r="AR3337" s="1"/>
      <c r="AS3337" s="1"/>
      <c r="AT3337" s="1"/>
      <c r="AU3337" s="1"/>
    </row>
    <row r="3338" spans="34:47">
      <c r="AH3338" s="6">
        <f t="shared" si="463"/>
        <v>3308</v>
      </c>
      <c r="AI3338" s="7">
        <f t="shared" ca="1" si="464"/>
        <v>45978</v>
      </c>
      <c r="AJ3338" s="210">
        <f t="shared" ca="1" si="465"/>
        <v>4.1749999999999998</v>
      </c>
      <c r="AK3338" s="8">
        <f t="shared" ca="1" si="466"/>
        <v>1.0001159722222221</v>
      </c>
      <c r="AL3338" s="98">
        <f t="shared" ca="1" si="467"/>
        <v>4.1314622352981889</v>
      </c>
      <c r="AM3338" s="106">
        <f t="shared" ca="1" si="461"/>
        <v>34397.775542254596</v>
      </c>
      <c r="AN3338" s="10">
        <f t="shared" ca="1" si="462"/>
        <v>1.073371942623158</v>
      </c>
      <c r="AO3338" s="158"/>
      <c r="AP3338" s="158"/>
      <c r="AQ3338" s="1"/>
      <c r="AR3338" s="1"/>
      <c r="AS3338" s="1"/>
      <c r="AT3338" s="1"/>
      <c r="AU3338" s="1"/>
    </row>
    <row r="3339" spans="34:47">
      <c r="AH3339" s="6">
        <f t="shared" si="463"/>
        <v>3309</v>
      </c>
      <c r="AI3339" s="7">
        <f t="shared" ca="1" si="464"/>
        <v>45979</v>
      </c>
      <c r="AJ3339" s="210">
        <f t="shared" ca="1" si="465"/>
        <v>4.1749999999999998</v>
      </c>
      <c r="AK3339" s="8">
        <f t="shared" ca="1" si="466"/>
        <v>1.0001159722222221</v>
      </c>
      <c r="AL3339" s="98">
        <f t="shared" ca="1" si="467"/>
        <v>4.1315202465743273</v>
      </c>
      <c r="AM3339" s="106">
        <f t="shared" ca="1" si="461"/>
        <v>34400.609969496734</v>
      </c>
      <c r="AN3339" s="10">
        <f t="shared" ca="1" si="462"/>
        <v>1.0734200689425322</v>
      </c>
      <c r="AO3339" s="158"/>
      <c r="AP3339" s="158"/>
      <c r="AQ3339" s="1"/>
      <c r="AR3339" s="1"/>
      <c r="AS3339" s="1"/>
      <c r="AT3339" s="1"/>
      <c r="AU3339" s="1"/>
    </row>
    <row r="3340" spans="34:47">
      <c r="AH3340" s="6">
        <f t="shared" si="463"/>
        <v>3310</v>
      </c>
      <c r="AI3340" s="7">
        <f t="shared" ca="1" si="464"/>
        <v>45980</v>
      </c>
      <c r="AJ3340" s="210">
        <f t="shared" ca="1" si="465"/>
        <v>4.1749999999999998</v>
      </c>
      <c r="AK3340" s="8">
        <f t="shared" ca="1" si="466"/>
        <v>1.0001159722222221</v>
      </c>
      <c r="AL3340" s="98">
        <f t="shared" ca="1" si="467"/>
        <v>4.1315782228306341</v>
      </c>
      <c r="AM3340" s="106">
        <f t="shared" ca="1" si="461"/>
        <v>34403.444630299848</v>
      </c>
      <c r="AN3340" s="10">
        <f t="shared" ca="1" si="462"/>
        <v>1.0734681662054602</v>
      </c>
      <c r="AO3340" s="158"/>
      <c r="AP3340" s="158"/>
      <c r="AQ3340" s="1"/>
      <c r="AR3340" s="1"/>
      <c r="AS3340" s="1"/>
      <c r="AT3340" s="1"/>
      <c r="AU3340" s="1"/>
    </row>
    <row r="3341" spans="34:47">
      <c r="AH3341" s="6">
        <f t="shared" si="463"/>
        <v>3311</v>
      </c>
      <c r="AI3341" s="7">
        <f t="shared" ca="1" si="464"/>
        <v>45981</v>
      </c>
      <c r="AJ3341" s="210">
        <f t="shared" ca="1" si="465"/>
        <v>4.1749999999999998</v>
      </c>
      <c r="AK3341" s="8">
        <f t="shared" ca="1" si="466"/>
        <v>1.0001159722222221</v>
      </c>
      <c r="AL3341" s="98">
        <f t="shared" ca="1" si="467"/>
        <v>4.1316361640987953</v>
      </c>
      <c r="AM3341" s="106">
        <f t="shared" ca="1" si="461"/>
        <v>34406.279524683167</v>
      </c>
      <c r="AN3341" s="10">
        <f t="shared" ca="1" si="462"/>
        <v>1.0735162344382321</v>
      </c>
      <c r="AO3341" s="158"/>
      <c r="AP3341" s="158"/>
      <c r="AQ3341" s="1"/>
      <c r="AR3341" s="1"/>
      <c r="AS3341" s="1"/>
      <c r="AT3341" s="1"/>
      <c r="AU3341" s="1"/>
    </row>
    <row r="3342" spans="34:47">
      <c r="AH3342" s="6">
        <f t="shared" si="463"/>
        <v>3312</v>
      </c>
      <c r="AI3342" s="7">
        <f t="shared" ca="1" si="464"/>
        <v>45982</v>
      </c>
      <c r="AJ3342" s="210">
        <f t="shared" ca="1" si="465"/>
        <v>4.1749999999999998</v>
      </c>
      <c r="AK3342" s="8">
        <f t="shared" ca="1" si="466"/>
        <v>1.0001159722222221</v>
      </c>
      <c r="AL3342" s="98">
        <f t="shared" ca="1" si="467"/>
        <v>4.1316940704104743</v>
      </c>
      <c r="AM3342" s="106">
        <f t="shared" ca="1" si="461"/>
        <v>34409.114652665958</v>
      </c>
      <c r="AN3342" s="10">
        <f t="shared" ca="1" si="462"/>
        <v>1.073564273667138</v>
      </c>
      <c r="AO3342" s="158"/>
      <c r="AP3342" s="158"/>
      <c r="AQ3342" s="1"/>
      <c r="AR3342" s="1"/>
      <c r="AS3342" s="1"/>
      <c r="AT3342" s="1"/>
      <c r="AU3342" s="1"/>
    </row>
    <row r="3343" spans="34:47">
      <c r="AH3343" s="6">
        <f t="shared" si="463"/>
        <v>3313</v>
      </c>
      <c r="AI3343" s="7">
        <f t="shared" ca="1" si="464"/>
        <v>45983</v>
      </c>
      <c r="AJ3343" s="210">
        <f t="shared" ca="1" si="465"/>
        <v>4.1749999999999998</v>
      </c>
      <c r="AK3343" s="8">
        <f t="shared" ca="1" si="466"/>
        <v>1.0001159722222221</v>
      </c>
      <c r="AL3343" s="98">
        <f t="shared" ca="1" si="467"/>
        <v>4.1317519417972903</v>
      </c>
      <c r="AM3343" s="106">
        <f t="shared" ca="1" si="461"/>
        <v>34411.950014267459</v>
      </c>
      <c r="AN3343" s="10">
        <f t="shared" ca="1" si="462"/>
        <v>1.0736122839184015</v>
      </c>
      <c r="AO3343" s="158"/>
      <c r="AP3343" s="158"/>
      <c r="AQ3343" s="1"/>
      <c r="AR3343" s="1"/>
      <c r="AS3343" s="1"/>
      <c r="AT3343" s="1"/>
      <c r="AU3343" s="1"/>
    </row>
    <row r="3344" spans="34:47">
      <c r="AH3344" s="6">
        <f t="shared" si="463"/>
        <v>3314</v>
      </c>
      <c r="AI3344" s="7">
        <f t="shared" ca="1" si="464"/>
        <v>45984</v>
      </c>
      <c r="AJ3344" s="210">
        <f t="shared" ca="1" si="465"/>
        <v>4.1749999999999998</v>
      </c>
      <c r="AK3344" s="8">
        <f t="shared" ca="1" si="466"/>
        <v>1.0001159722222221</v>
      </c>
      <c r="AL3344" s="98">
        <f t="shared" ca="1" si="467"/>
        <v>4.1318097782908403</v>
      </c>
      <c r="AM3344" s="106">
        <f t="shared" ca="1" si="461"/>
        <v>34414.785609506915</v>
      </c>
      <c r="AN3344" s="10">
        <f t="shared" ca="1" si="462"/>
        <v>1.0736602652182681</v>
      </c>
      <c r="AO3344" s="158"/>
      <c r="AP3344" s="158"/>
      <c r="AQ3344" s="1"/>
      <c r="AR3344" s="1"/>
      <c r="AS3344" s="1"/>
      <c r="AT3344" s="1"/>
      <c r="AU3344" s="1"/>
    </row>
    <row r="3345" spans="34:47">
      <c r="AH3345" s="6">
        <f t="shared" si="463"/>
        <v>3315</v>
      </c>
      <c r="AI3345" s="7">
        <f t="shared" ca="1" si="464"/>
        <v>45985</v>
      </c>
      <c r="AJ3345" s="210">
        <f t="shared" ca="1" si="465"/>
        <v>4.1749999999999998</v>
      </c>
      <c r="AK3345" s="8">
        <f t="shared" ca="1" si="466"/>
        <v>1.0001159722222221</v>
      </c>
      <c r="AL3345" s="98">
        <f t="shared" ca="1" si="467"/>
        <v>4.1318675799226767</v>
      </c>
      <c r="AM3345" s="106">
        <f t="shared" ca="1" si="461"/>
        <v>34417.621438403585</v>
      </c>
      <c r="AN3345" s="10">
        <f t="shared" ca="1" si="462"/>
        <v>1.0737082175928725</v>
      </c>
      <c r="AO3345" s="158"/>
      <c r="AP3345" s="158"/>
      <c r="AQ3345" s="1"/>
      <c r="AR3345" s="1"/>
      <c r="AS3345" s="1"/>
      <c r="AT3345" s="1"/>
      <c r="AU3345" s="1"/>
    </row>
    <row r="3346" spans="34:47">
      <c r="AH3346" s="6">
        <f t="shared" si="463"/>
        <v>3316</v>
      </c>
      <c r="AI3346" s="7">
        <f t="shared" ca="1" si="464"/>
        <v>45986</v>
      </c>
      <c r="AJ3346" s="210">
        <f t="shared" ca="1" si="465"/>
        <v>4.1749999999999998</v>
      </c>
      <c r="AK3346" s="8">
        <f t="shared" ca="1" si="466"/>
        <v>1.0001159722222221</v>
      </c>
      <c r="AL3346" s="98">
        <f t="shared" ca="1" si="467"/>
        <v>4.1319253467243078</v>
      </c>
      <c r="AM3346" s="106">
        <f t="shared" ca="1" si="461"/>
        <v>34420.457500976736</v>
      </c>
      <c r="AN3346" s="10">
        <f t="shared" ca="1" si="462"/>
        <v>1.073756141068416</v>
      </c>
      <c r="AO3346" s="158"/>
      <c r="AP3346" s="158"/>
      <c r="AQ3346" s="1"/>
      <c r="AR3346" s="1"/>
      <c r="AS3346" s="1"/>
      <c r="AT3346" s="1"/>
      <c r="AU3346" s="1"/>
    </row>
    <row r="3347" spans="34:47">
      <c r="AH3347" s="6">
        <f t="shared" si="463"/>
        <v>3317</v>
      </c>
      <c r="AI3347" s="7">
        <f t="shared" ca="1" si="464"/>
        <v>45987</v>
      </c>
      <c r="AJ3347" s="210">
        <f t="shared" ca="1" si="465"/>
        <v>4.1749999999999998</v>
      </c>
      <c r="AK3347" s="8">
        <f t="shared" ca="1" si="466"/>
        <v>1.0001159722222221</v>
      </c>
      <c r="AL3347" s="98">
        <f t="shared" ca="1" si="467"/>
        <v>4.1319830787271972</v>
      </c>
      <c r="AM3347" s="106">
        <f t="shared" ca="1" si="461"/>
        <v>34423.293797245591</v>
      </c>
      <c r="AN3347" s="10">
        <f t="shared" ca="1" si="462"/>
        <v>1.0738040356709666</v>
      </c>
      <c r="AO3347" s="158"/>
      <c r="AP3347" s="158"/>
      <c r="AQ3347" s="1"/>
      <c r="AR3347" s="1"/>
      <c r="AS3347" s="1"/>
      <c r="AT3347" s="1"/>
      <c r="AU3347" s="1"/>
    </row>
    <row r="3348" spans="34:47">
      <c r="AH3348" s="6">
        <f t="shared" si="463"/>
        <v>3318</v>
      </c>
      <c r="AI3348" s="7">
        <f t="shared" ca="1" si="464"/>
        <v>45988</v>
      </c>
      <c r="AJ3348" s="210">
        <f t="shared" ca="1" si="465"/>
        <v>4.1749999999999998</v>
      </c>
      <c r="AK3348" s="8">
        <f t="shared" ca="1" si="466"/>
        <v>1.0001159722222221</v>
      </c>
      <c r="AL3348" s="98">
        <f t="shared" ca="1" si="467"/>
        <v>4.1320407759627864</v>
      </c>
      <c r="AM3348" s="106">
        <f t="shared" ca="1" si="461"/>
        <v>34426.130327229432</v>
      </c>
      <c r="AN3348" s="10">
        <f t="shared" ca="1" si="462"/>
        <v>1.0738519014266368</v>
      </c>
      <c r="AO3348" s="158"/>
      <c r="AP3348" s="158"/>
      <c r="AQ3348" s="1"/>
      <c r="AR3348" s="1"/>
      <c r="AS3348" s="1"/>
      <c r="AT3348" s="1"/>
      <c r="AU3348" s="1"/>
    </row>
    <row r="3349" spans="34:47">
      <c r="AH3349" s="6">
        <f t="shared" si="463"/>
        <v>3319</v>
      </c>
      <c r="AI3349" s="7">
        <f t="shared" ca="1" si="464"/>
        <v>45989</v>
      </c>
      <c r="AJ3349" s="210">
        <f t="shared" ca="1" si="465"/>
        <v>4.1749999999999998</v>
      </c>
      <c r="AK3349" s="8">
        <f t="shared" ca="1" si="466"/>
        <v>1.0001159722222221</v>
      </c>
      <c r="AL3349" s="98">
        <f t="shared" ca="1" si="467"/>
        <v>4.1320984384624726</v>
      </c>
      <c r="AM3349" s="106">
        <f t="shared" ca="1" si="461"/>
        <v>34428.967090947517</v>
      </c>
      <c r="AN3349" s="10">
        <f t="shared" ca="1" si="462"/>
        <v>1.0738997383614501</v>
      </c>
      <c r="AO3349" s="158"/>
      <c r="AP3349" s="158"/>
      <c r="AQ3349" s="1"/>
      <c r="AR3349" s="1"/>
      <c r="AS3349" s="1"/>
      <c r="AT3349" s="1"/>
      <c r="AU3349" s="1"/>
    </row>
    <row r="3350" spans="34:47">
      <c r="AH3350" s="6">
        <f t="shared" si="463"/>
        <v>3320</v>
      </c>
      <c r="AI3350" s="7">
        <f t="shared" ca="1" si="464"/>
        <v>45990</v>
      </c>
      <c r="AJ3350" s="210">
        <f t="shared" ca="1" si="465"/>
        <v>4.1749999999999998</v>
      </c>
      <c r="AK3350" s="8">
        <f t="shared" ca="1" si="466"/>
        <v>1.0001159722222221</v>
      </c>
      <c r="AL3350" s="98">
        <f t="shared" ca="1" si="467"/>
        <v>4.1321560662576307</v>
      </c>
      <c r="AM3350" s="106">
        <f t="shared" ca="1" si="461"/>
        <v>34431.8040884191</v>
      </c>
      <c r="AN3350" s="10">
        <f t="shared" ca="1" si="462"/>
        <v>1.0739475465014969</v>
      </c>
      <c r="AO3350" s="158"/>
      <c r="AP3350" s="158"/>
      <c r="AQ3350" s="1"/>
      <c r="AR3350" s="1"/>
      <c r="AS3350" s="1"/>
      <c r="AT3350" s="1"/>
      <c r="AU3350" s="1"/>
    </row>
    <row r="3351" spans="34:47">
      <c r="AH3351" s="6">
        <f t="shared" si="463"/>
        <v>3321</v>
      </c>
      <c r="AI3351" s="7">
        <f t="shared" ca="1" si="464"/>
        <v>45991</v>
      </c>
      <c r="AJ3351" s="210">
        <f t="shared" ca="1" si="465"/>
        <v>4.1749999999999998</v>
      </c>
      <c r="AK3351" s="8">
        <f t="shared" ca="1" si="466"/>
        <v>1.0001159722222221</v>
      </c>
      <c r="AL3351" s="98">
        <f t="shared" ca="1" si="467"/>
        <v>4.1322136593795467</v>
      </c>
      <c r="AM3351" s="106">
        <f t="shared" ca="1" si="461"/>
        <v>34434.641319663438</v>
      </c>
      <c r="AN3351" s="10">
        <f t="shared" ca="1" si="462"/>
        <v>1.0739953258726898</v>
      </c>
      <c r="AO3351" s="158"/>
      <c r="AP3351" s="158"/>
      <c r="AQ3351" s="1"/>
      <c r="AR3351" s="1"/>
      <c r="AS3351" s="1"/>
      <c r="AT3351" s="1"/>
      <c r="AU3351" s="1"/>
    </row>
    <row r="3352" spans="34:47">
      <c r="AH3352" s="6">
        <f t="shared" si="463"/>
        <v>3322</v>
      </c>
      <c r="AI3352" s="7">
        <f t="shared" ca="1" si="464"/>
        <v>45992</v>
      </c>
      <c r="AJ3352" s="210">
        <f t="shared" ca="1" si="465"/>
        <v>4.1749999999999998</v>
      </c>
      <c r="AK3352" s="8">
        <f t="shared" ca="1" si="466"/>
        <v>1.0001159722222221</v>
      </c>
      <c r="AL3352" s="98">
        <f t="shared" ca="1" si="467"/>
        <v>4.1322712178595289</v>
      </c>
      <c r="AM3352" s="106">
        <f t="shared" ca="1" si="461"/>
        <v>34437.478784699801</v>
      </c>
      <c r="AN3352" s="10">
        <f t="shared" ca="1" si="462"/>
        <v>1.07404307650103</v>
      </c>
      <c r="AO3352" s="158"/>
      <c r="AP3352" s="158"/>
      <c r="AQ3352" s="1"/>
      <c r="AR3352" s="1"/>
      <c r="AS3352" s="1"/>
      <c r="AT3352" s="1"/>
      <c r="AU3352" s="1"/>
    </row>
    <row r="3353" spans="34:47">
      <c r="AH3353" s="6">
        <f t="shared" si="463"/>
        <v>3323</v>
      </c>
      <c r="AI3353" s="7">
        <f t="shared" ca="1" si="464"/>
        <v>45993</v>
      </c>
      <c r="AJ3353" s="210">
        <f t="shared" ca="1" si="465"/>
        <v>4.1749999999999998</v>
      </c>
      <c r="AK3353" s="8">
        <f t="shared" ca="1" si="466"/>
        <v>1.0001159722222221</v>
      </c>
      <c r="AL3353" s="98">
        <f t="shared" ca="1" si="467"/>
        <v>4.132328741728819</v>
      </c>
      <c r="AM3353" s="106">
        <f t="shared" ca="1" si="461"/>
        <v>34440.316483547453</v>
      </c>
      <c r="AN3353" s="10">
        <f t="shared" ca="1" si="462"/>
        <v>1.0740907984124526</v>
      </c>
      <c r="AO3353" s="158"/>
      <c r="AP3353" s="158"/>
      <c r="AQ3353" s="1"/>
      <c r="AR3353" s="1"/>
      <c r="AS3353" s="1"/>
      <c r="AT3353" s="1"/>
      <c r="AU3353" s="1"/>
    </row>
    <row r="3354" spans="34:47">
      <c r="AH3354" s="6">
        <f t="shared" si="463"/>
        <v>3324</v>
      </c>
      <c r="AI3354" s="7">
        <f t="shared" ca="1" si="464"/>
        <v>45994</v>
      </c>
      <c r="AJ3354" s="210">
        <f t="shared" ca="1" si="465"/>
        <v>4.1749999999999998</v>
      </c>
      <c r="AK3354" s="8">
        <f t="shared" ca="1" si="466"/>
        <v>1.0001159722222221</v>
      </c>
      <c r="AL3354" s="98">
        <f t="shared" ca="1" si="467"/>
        <v>4.1323862310186366</v>
      </c>
      <c r="AM3354" s="106">
        <f t="shared" ca="1" si="461"/>
        <v>34443.154416225654</v>
      </c>
      <c r="AN3354" s="10">
        <f t="shared" ca="1" si="462"/>
        <v>1.0741384916328478</v>
      </c>
      <c r="AO3354" s="158"/>
      <c r="AP3354" s="158"/>
      <c r="AQ3354" s="1"/>
      <c r="AR3354" s="1"/>
      <c r="AS3354" s="1"/>
      <c r="AT3354" s="1"/>
      <c r="AU3354" s="1"/>
    </row>
    <row r="3355" spans="34:47">
      <c r="AH3355" s="6">
        <f t="shared" si="463"/>
        <v>3325</v>
      </c>
      <c r="AI3355" s="7">
        <f t="shared" ca="1" si="464"/>
        <v>45995</v>
      </c>
      <c r="AJ3355" s="210">
        <f t="shared" ca="1" si="465"/>
        <v>4.1749999999999998</v>
      </c>
      <c r="AK3355" s="8">
        <f t="shared" ca="1" si="466"/>
        <v>1.0001159722222221</v>
      </c>
      <c r="AL3355" s="98">
        <f t="shared" ca="1" si="467"/>
        <v>4.1324436857601343</v>
      </c>
      <c r="AM3355" s="106">
        <f t="shared" ca="1" si="461"/>
        <v>34445.992582753679</v>
      </c>
      <c r="AN3355" s="10">
        <f t="shared" ca="1" si="462"/>
        <v>1.0741861561880839</v>
      </c>
      <c r="AO3355" s="158"/>
      <c r="AP3355" s="158"/>
      <c r="AQ3355" s="1"/>
      <c r="AR3355" s="1"/>
      <c r="AS3355" s="1"/>
      <c r="AT3355" s="1"/>
      <c r="AU3355" s="1"/>
    </row>
    <row r="3356" spans="34:47">
      <c r="AH3356" s="6">
        <f t="shared" si="463"/>
        <v>3326</v>
      </c>
      <c r="AI3356" s="7">
        <f t="shared" ca="1" si="464"/>
        <v>45996</v>
      </c>
      <c r="AJ3356" s="210">
        <f t="shared" ca="1" si="465"/>
        <v>4.1749999999999998</v>
      </c>
      <c r="AK3356" s="8">
        <f t="shared" ca="1" si="466"/>
        <v>1.0001159722222221</v>
      </c>
      <c r="AL3356" s="98">
        <f t="shared" ca="1" si="467"/>
        <v>4.132501105984443</v>
      </c>
      <c r="AM3356" s="106">
        <f t="shared" ca="1" si="461"/>
        <v>34448.830983150801</v>
      </c>
      <c r="AN3356" s="10">
        <f t="shared" ca="1" si="462"/>
        <v>1.0742337921039624</v>
      </c>
      <c r="AO3356" s="158"/>
      <c r="AP3356" s="158"/>
      <c r="AQ3356" s="1"/>
      <c r="AR3356" s="1"/>
      <c r="AS3356" s="1"/>
      <c r="AT3356" s="1"/>
      <c r="AU3356" s="1"/>
    </row>
    <row r="3357" spans="34:47">
      <c r="AH3357" s="6">
        <f t="shared" si="463"/>
        <v>3327</v>
      </c>
      <c r="AI3357" s="7">
        <f t="shared" ca="1" si="464"/>
        <v>45997</v>
      </c>
      <c r="AJ3357" s="210">
        <f t="shared" ca="1" si="465"/>
        <v>4.1749999999999998</v>
      </c>
      <c r="AK3357" s="8">
        <f t="shared" ca="1" si="466"/>
        <v>1.0001159722222221</v>
      </c>
      <c r="AL3357" s="98">
        <f t="shared" ca="1" si="467"/>
        <v>4.132558491722671</v>
      </c>
      <c r="AM3357" s="106">
        <f t="shared" ca="1" si="461"/>
        <v>34451.669617436288</v>
      </c>
      <c r="AN3357" s="10">
        <f t="shared" ca="1" si="462"/>
        <v>1.0742813994063072</v>
      </c>
      <c r="AO3357" s="158"/>
      <c r="AP3357" s="158"/>
      <c r="AQ3357" s="1"/>
      <c r="AR3357" s="1"/>
      <c r="AS3357" s="1"/>
      <c r="AT3357" s="1"/>
      <c r="AU3357" s="1"/>
    </row>
    <row r="3358" spans="34:47">
      <c r="AH3358" s="6">
        <f t="shared" si="463"/>
        <v>3328</v>
      </c>
      <c r="AI3358" s="7">
        <f t="shared" ca="1" si="464"/>
        <v>45998</v>
      </c>
      <c r="AJ3358" s="210">
        <f t="shared" ca="1" si="465"/>
        <v>4.1749999999999998</v>
      </c>
      <c r="AK3358" s="8">
        <f t="shared" ca="1" si="466"/>
        <v>1.0001159722222221</v>
      </c>
      <c r="AL3358" s="98">
        <f t="shared" ca="1" si="467"/>
        <v>4.1326158430058824</v>
      </c>
      <c r="AM3358" s="106">
        <f t="shared" ca="1" si="461"/>
        <v>34454.508485629398</v>
      </c>
      <c r="AN3358" s="10">
        <f t="shared" ca="1" si="462"/>
        <v>1.0743289781209198</v>
      </c>
      <c r="AO3358" s="158"/>
      <c r="AP3358" s="158"/>
      <c r="AQ3358" s="1"/>
      <c r="AR3358" s="1"/>
      <c r="AS3358" s="1"/>
      <c r="AT3358" s="1"/>
      <c r="AU3358" s="1"/>
    </row>
    <row r="3359" spans="34:47">
      <c r="AH3359" s="6">
        <f t="shared" si="463"/>
        <v>3329</v>
      </c>
      <c r="AI3359" s="7">
        <f t="shared" ca="1" si="464"/>
        <v>45999</v>
      </c>
      <c r="AJ3359" s="210">
        <f t="shared" ca="1" si="465"/>
        <v>4.1749999999999998</v>
      </c>
      <c r="AK3359" s="8">
        <f t="shared" ca="1" si="466"/>
        <v>1.0001159722222221</v>
      </c>
      <c r="AL3359" s="98">
        <f t="shared" ca="1" si="467"/>
        <v>4.1326731598650746</v>
      </c>
      <c r="AM3359" s="106">
        <f t="shared" ref="AM3359:AM3422" ca="1" si="468">Geom_Interp(AI3359,$AZ$2:$AZ$109,$BA$2:$BA$109)</f>
        <v>34457.347587749427</v>
      </c>
      <c r="AN3359" s="10">
        <f t="shared" ref="AN3359:AN3422" ca="1" si="469">100*(((1+AL3359/100)^(AH3359/365)*$AM$29/AM3359)^(365/AH3359)-1)</f>
        <v>1.0743765282735129</v>
      </c>
      <c r="AO3359" s="158"/>
      <c r="AP3359" s="158"/>
      <c r="AQ3359" s="1"/>
      <c r="AR3359" s="1"/>
      <c r="AS3359" s="1"/>
      <c r="AT3359" s="1"/>
      <c r="AU3359" s="1"/>
    </row>
    <row r="3360" spans="34:47">
      <c r="AH3360" s="6">
        <f t="shared" ref="AH3360:AH3423" si="470">$AI$29+AH3359</f>
        <v>3330</v>
      </c>
      <c r="AI3360" s="7">
        <f t="shared" ref="AI3360:AI3423" ca="1" si="471">+AH3360+$C$1</f>
        <v>46000</v>
      </c>
      <c r="AJ3360" s="210">
        <f t="shared" ref="AJ3360:AJ3423" ca="1" si="472">IF(AH3360&lt;365,VLOOKUP(LOOKUP(AI3360,$AI$2:$AI$23),$AI$2:$AK$23,3,0),Lin_Interp(AH3360,$AJ$2:$AJ$23,$AK$2:$AK$23))</f>
        <v>4.1749999999999998</v>
      </c>
      <c r="AK3360" s="8">
        <f t="shared" ca="1" si="466"/>
        <v>1.0001159722222221</v>
      </c>
      <c r="AL3360" s="98">
        <f t="shared" ca="1" si="467"/>
        <v>4.132730442331245</v>
      </c>
      <c r="AM3360" s="106">
        <f t="shared" ca="1" si="468"/>
        <v>34460.186923815643</v>
      </c>
      <c r="AN3360" s="10">
        <f t="shared" ca="1" si="469"/>
        <v>1.0744240498897994</v>
      </c>
      <c r="AO3360" s="158"/>
      <c r="AP3360" s="158"/>
      <c r="AQ3360" s="1"/>
      <c r="AR3360" s="1"/>
      <c r="AS3360" s="1"/>
      <c r="AT3360" s="1"/>
      <c r="AU3360" s="1"/>
    </row>
    <row r="3361" spans="34:47">
      <c r="AH3361" s="6">
        <f t="shared" si="470"/>
        <v>3331</v>
      </c>
      <c r="AI3361" s="7">
        <f t="shared" ca="1" si="471"/>
        <v>46001</v>
      </c>
      <c r="AJ3361" s="210">
        <f t="shared" ca="1" si="472"/>
        <v>4.1749999999999998</v>
      </c>
      <c r="AK3361" s="8">
        <f t="shared" ref="AK3361:AK3424" ca="1" si="473">+(1+AJ3361/36000)</f>
        <v>1.0001159722222221</v>
      </c>
      <c r="AL3361" s="98">
        <f t="shared" ref="AL3361:AL3424" ca="1" si="474">100*(((1+AL3360/100)^(AH3360/365)*AK3361)^(365/AH3361)-1)</f>
        <v>4.1327876904353467</v>
      </c>
      <c r="AM3361" s="106">
        <f t="shared" ca="1" si="468"/>
        <v>34463.026493847319</v>
      </c>
      <c r="AN3361" s="10">
        <f t="shared" ca="1" si="469"/>
        <v>1.0744715429954699</v>
      </c>
      <c r="AO3361" s="158"/>
      <c r="AP3361" s="158"/>
      <c r="AQ3361" s="1"/>
      <c r="AR3361" s="1"/>
      <c r="AS3361" s="1"/>
      <c r="AT3361" s="1"/>
      <c r="AU3361" s="1"/>
    </row>
    <row r="3362" spans="34:47">
      <c r="AH3362" s="6">
        <f t="shared" si="470"/>
        <v>3332</v>
      </c>
      <c r="AI3362" s="7">
        <f t="shared" ca="1" si="471"/>
        <v>46002</v>
      </c>
      <c r="AJ3362" s="210">
        <f t="shared" ca="1" si="472"/>
        <v>4.1749999999999998</v>
      </c>
      <c r="AK3362" s="8">
        <f t="shared" ca="1" si="473"/>
        <v>1.0001159722222221</v>
      </c>
      <c r="AL3362" s="98">
        <f t="shared" ca="1" si="474"/>
        <v>4.1328449042082882</v>
      </c>
      <c r="AM3362" s="106">
        <f t="shared" ca="1" si="468"/>
        <v>34465.866297863737</v>
      </c>
      <c r="AN3362" s="10">
        <f t="shared" ca="1" si="469"/>
        <v>1.0745190076161704</v>
      </c>
      <c r="AO3362" s="158"/>
      <c r="AP3362" s="158"/>
      <c r="AQ3362" s="1"/>
      <c r="AR3362" s="1"/>
      <c r="AS3362" s="1"/>
      <c r="AT3362" s="1"/>
      <c r="AU3362" s="1"/>
    </row>
    <row r="3363" spans="34:47">
      <c r="AH3363" s="6">
        <f t="shared" si="470"/>
        <v>3333</v>
      </c>
      <c r="AI3363" s="7">
        <f t="shared" ca="1" si="471"/>
        <v>46003</v>
      </c>
      <c r="AJ3363" s="210">
        <f t="shared" ca="1" si="472"/>
        <v>4.1749999999999998</v>
      </c>
      <c r="AK3363" s="8">
        <f t="shared" ca="1" si="473"/>
        <v>1.0001159722222221</v>
      </c>
      <c r="AL3363" s="98">
        <f t="shared" ca="1" si="474"/>
        <v>4.1329020836809338</v>
      </c>
      <c r="AM3363" s="106">
        <f t="shared" ca="1" si="468"/>
        <v>34468.706335884184</v>
      </c>
      <c r="AN3363" s="10">
        <f t="shared" ca="1" si="469"/>
        <v>1.0745664437775027</v>
      </c>
      <c r="AO3363" s="158"/>
      <c r="AP3363" s="158"/>
      <c r="AQ3363" s="1"/>
      <c r="AR3363" s="1"/>
      <c r="AS3363" s="1"/>
      <c r="AT3363" s="1"/>
      <c r="AU3363" s="1"/>
    </row>
    <row r="3364" spans="34:47">
      <c r="AH3364" s="6">
        <f t="shared" si="470"/>
        <v>3334</v>
      </c>
      <c r="AI3364" s="7">
        <f t="shared" ca="1" si="471"/>
        <v>46004</v>
      </c>
      <c r="AJ3364" s="210">
        <f t="shared" ca="1" si="472"/>
        <v>4.1749999999999998</v>
      </c>
      <c r="AK3364" s="8">
        <f t="shared" ca="1" si="473"/>
        <v>1.0001159722222221</v>
      </c>
      <c r="AL3364" s="98">
        <f t="shared" ca="1" si="474"/>
        <v>4.1329592288841255</v>
      </c>
      <c r="AM3364" s="106">
        <f t="shared" ca="1" si="468"/>
        <v>34471.546607927921</v>
      </c>
      <c r="AN3364" s="10">
        <f t="shared" ca="1" si="469"/>
        <v>1.0746138515050907</v>
      </c>
      <c r="AO3364" s="158"/>
      <c r="AP3364" s="158"/>
      <c r="AQ3364" s="1"/>
      <c r="AR3364" s="1"/>
      <c r="AS3364" s="1"/>
      <c r="AT3364" s="1"/>
      <c r="AU3364" s="1"/>
    </row>
    <row r="3365" spans="34:47">
      <c r="AH3365" s="6">
        <f t="shared" si="470"/>
        <v>3335</v>
      </c>
      <c r="AI3365" s="7">
        <f t="shared" ca="1" si="471"/>
        <v>46005</v>
      </c>
      <c r="AJ3365" s="210">
        <f t="shared" ca="1" si="472"/>
        <v>4.1749999999999998</v>
      </c>
      <c r="AK3365" s="8">
        <f t="shared" ca="1" si="473"/>
        <v>1.0001159722222221</v>
      </c>
      <c r="AL3365" s="98">
        <f t="shared" ca="1" si="474"/>
        <v>4.1330163398486608</v>
      </c>
      <c r="AM3365" s="106">
        <f t="shared" ca="1" si="468"/>
        <v>34474.387114014266</v>
      </c>
      <c r="AN3365" s="10">
        <f t="shared" ca="1" si="469"/>
        <v>1.0746612308244696</v>
      </c>
      <c r="AO3365" s="158"/>
      <c r="AP3365" s="158"/>
      <c r="AQ3365" s="1"/>
      <c r="AR3365" s="1"/>
      <c r="AS3365" s="1"/>
      <c r="AT3365" s="1"/>
      <c r="AU3365" s="1"/>
    </row>
    <row r="3366" spans="34:47">
      <c r="AH3366" s="6">
        <f t="shared" si="470"/>
        <v>3336</v>
      </c>
      <c r="AI3366" s="7">
        <f t="shared" ca="1" si="471"/>
        <v>46006</v>
      </c>
      <c r="AJ3366" s="210">
        <f t="shared" ca="1" si="472"/>
        <v>4.1749999999999998</v>
      </c>
      <c r="AK3366" s="8">
        <f t="shared" ca="1" si="473"/>
        <v>1.0001159722222221</v>
      </c>
      <c r="AL3366" s="98">
        <f t="shared" ca="1" si="474"/>
        <v>4.1330734166053151</v>
      </c>
      <c r="AM3366" s="106">
        <f t="shared" ca="1" si="468"/>
        <v>34477.227854162476</v>
      </c>
      <c r="AN3366" s="10">
        <f t="shared" ca="1" si="469"/>
        <v>1.0747085817611746</v>
      </c>
      <c r="AO3366" s="158"/>
      <c r="AP3366" s="158"/>
      <c r="AQ3366" s="1"/>
      <c r="AR3366" s="1"/>
      <c r="AS3366" s="1"/>
      <c r="AT3366" s="1"/>
      <c r="AU3366" s="1"/>
    </row>
    <row r="3367" spans="34:47">
      <c r="AH3367" s="6">
        <f t="shared" si="470"/>
        <v>3337</v>
      </c>
      <c r="AI3367" s="7">
        <f t="shared" ca="1" si="471"/>
        <v>46007</v>
      </c>
      <c r="AJ3367" s="210">
        <f t="shared" ca="1" si="472"/>
        <v>4.1749999999999998</v>
      </c>
      <c r="AK3367" s="8">
        <f t="shared" ca="1" si="473"/>
        <v>1.0001159722222221</v>
      </c>
      <c r="AL3367" s="98">
        <f t="shared" ca="1" si="474"/>
        <v>4.1331304591847973</v>
      </c>
      <c r="AM3367" s="106">
        <f t="shared" ca="1" si="468"/>
        <v>34480.06882839185</v>
      </c>
      <c r="AN3367" s="10">
        <f t="shared" ca="1" si="469"/>
        <v>1.0747559043406962</v>
      </c>
      <c r="AO3367" s="158"/>
      <c r="AP3367" s="158"/>
      <c r="AQ3367" s="1"/>
      <c r="AR3367" s="1"/>
      <c r="AS3367" s="1"/>
      <c r="AT3367" s="1"/>
      <c r="AU3367" s="1"/>
    </row>
    <row r="3368" spans="34:47">
      <c r="AH3368" s="6">
        <f t="shared" si="470"/>
        <v>3338</v>
      </c>
      <c r="AI3368" s="7">
        <f t="shared" ca="1" si="471"/>
        <v>46008</v>
      </c>
      <c r="AJ3368" s="210">
        <f t="shared" ca="1" si="472"/>
        <v>4.1749999999999998</v>
      </c>
      <c r="AK3368" s="8">
        <f t="shared" ca="1" si="473"/>
        <v>1.0001159722222221</v>
      </c>
      <c r="AL3368" s="98">
        <f t="shared" ca="1" si="474"/>
        <v>4.1331874676177938</v>
      </c>
      <c r="AM3368" s="106">
        <f t="shared" ca="1" si="468"/>
        <v>34482.910036721674</v>
      </c>
      <c r="AN3368" s="10">
        <f t="shared" ca="1" si="469"/>
        <v>1.0748031985885032</v>
      </c>
      <c r="AO3368" s="158"/>
      <c r="AP3368" s="158"/>
      <c r="AQ3368" s="1"/>
      <c r="AR3368" s="1"/>
      <c r="AS3368" s="1"/>
      <c r="AT3368" s="1"/>
      <c r="AU3368" s="1"/>
    </row>
    <row r="3369" spans="34:47">
      <c r="AH3369" s="6">
        <f t="shared" si="470"/>
        <v>3339</v>
      </c>
      <c r="AI3369" s="7">
        <f t="shared" ca="1" si="471"/>
        <v>46009</v>
      </c>
      <c r="AJ3369" s="210">
        <f t="shared" ca="1" si="472"/>
        <v>4.1749999999999998</v>
      </c>
      <c r="AK3369" s="8">
        <f t="shared" ca="1" si="473"/>
        <v>1.0001159722222221</v>
      </c>
      <c r="AL3369" s="98">
        <f t="shared" ca="1" si="474"/>
        <v>4.133244441934969</v>
      </c>
      <c r="AM3369" s="106">
        <f t="shared" ca="1" si="468"/>
        <v>34485.751479171246</v>
      </c>
      <c r="AN3369" s="10">
        <f t="shared" ca="1" si="469"/>
        <v>1.0748504645300194</v>
      </c>
      <c r="AO3369" s="158"/>
      <c r="AP3369" s="158"/>
      <c r="AQ3369" s="1"/>
      <c r="AR3369" s="1"/>
      <c r="AS3369" s="1"/>
      <c r="AT3369" s="1"/>
      <c r="AU3369" s="1"/>
    </row>
    <row r="3370" spans="34:47">
      <c r="AH3370" s="6">
        <f t="shared" si="470"/>
        <v>3340</v>
      </c>
      <c r="AI3370" s="7">
        <f t="shared" ca="1" si="471"/>
        <v>46010</v>
      </c>
      <c r="AJ3370" s="210">
        <f t="shared" ca="1" si="472"/>
        <v>4.1749999999999998</v>
      </c>
      <c r="AK3370" s="8">
        <f t="shared" ca="1" si="473"/>
        <v>1.0001159722222221</v>
      </c>
      <c r="AL3370" s="98">
        <f t="shared" ca="1" si="474"/>
        <v>4.1333013821669207</v>
      </c>
      <c r="AM3370" s="106">
        <f t="shared" ca="1" si="468"/>
        <v>34488.593155759838</v>
      </c>
      <c r="AN3370" s="10">
        <f t="shared" ca="1" si="469"/>
        <v>1.0748977021906692</v>
      </c>
      <c r="AO3370" s="158"/>
      <c r="AP3370" s="158"/>
      <c r="AQ3370" s="1"/>
      <c r="AR3370" s="1"/>
      <c r="AS3370" s="1"/>
      <c r="AT3370" s="1"/>
      <c r="AU3370" s="1"/>
    </row>
    <row r="3371" spans="34:47">
      <c r="AH3371" s="6">
        <f t="shared" si="470"/>
        <v>3341</v>
      </c>
      <c r="AI3371" s="7">
        <f t="shared" ca="1" si="471"/>
        <v>46011</v>
      </c>
      <c r="AJ3371" s="210">
        <f t="shared" ca="1" si="472"/>
        <v>4.1749999999999998</v>
      </c>
      <c r="AK3371" s="8">
        <f t="shared" ca="1" si="473"/>
        <v>1.0001159722222221</v>
      </c>
      <c r="AL3371" s="98">
        <f t="shared" ca="1" si="474"/>
        <v>4.1333582883442466</v>
      </c>
      <c r="AM3371" s="106">
        <f t="shared" ca="1" si="468"/>
        <v>34491.435066506761</v>
      </c>
      <c r="AN3371" s="10">
        <f t="shared" ca="1" si="469"/>
        <v>1.0749449115958098</v>
      </c>
      <c r="AO3371" s="158"/>
      <c r="AP3371" s="158"/>
      <c r="AQ3371" s="1"/>
      <c r="AR3371" s="1"/>
      <c r="AS3371" s="1"/>
      <c r="AT3371" s="1"/>
      <c r="AU3371" s="1"/>
    </row>
    <row r="3372" spans="34:47">
      <c r="AH3372" s="6">
        <f t="shared" si="470"/>
        <v>3342</v>
      </c>
      <c r="AI3372" s="7">
        <f t="shared" ca="1" si="471"/>
        <v>46012</v>
      </c>
      <c r="AJ3372" s="210">
        <f t="shared" ca="1" si="472"/>
        <v>4.1749999999999998</v>
      </c>
      <c r="AK3372" s="8">
        <f t="shared" ca="1" si="473"/>
        <v>1.0001159722222221</v>
      </c>
      <c r="AL3372" s="98">
        <f t="shared" ca="1" si="474"/>
        <v>4.1334151604974778</v>
      </c>
      <c r="AM3372" s="106">
        <f t="shared" ca="1" si="468"/>
        <v>34494.277211431305</v>
      </c>
      <c r="AN3372" s="10">
        <f t="shared" ca="1" si="469"/>
        <v>1.074992092770799</v>
      </c>
      <c r="AO3372" s="158"/>
      <c r="AP3372" s="158"/>
      <c r="AQ3372" s="1"/>
      <c r="AR3372" s="1"/>
      <c r="AS3372" s="1"/>
      <c r="AT3372" s="1"/>
      <c r="AU3372" s="1"/>
    </row>
    <row r="3373" spans="34:47">
      <c r="AH3373" s="6">
        <f t="shared" si="470"/>
        <v>3343</v>
      </c>
      <c r="AI3373" s="7">
        <f t="shared" ca="1" si="471"/>
        <v>46013</v>
      </c>
      <c r="AJ3373" s="210">
        <f t="shared" ca="1" si="472"/>
        <v>4.1749999999999998</v>
      </c>
      <c r="AK3373" s="8">
        <f t="shared" ca="1" si="473"/>
        <v>1.0001159722222221</v>
      </c>
      <c r="AL3373" s="98">
        <f t="shared" ca="1" si="474"/>
        <v>4.1334719986571233</v>
      </c>
      <c r="AM3373" s="106">
        <f t="shared" ca="1" si="468"/>
        <v>34497.119590552771</v>
      </c>
      <c r="AN3373" s="10">
        <f t="shared" ca="1" si="469"/>
        <v>1.0750392457409497</v>
      </c>
      <c r="AO3373" s="158"/>
      <c r="AP3373" s="158"/>
      <c r="AQ3373" s="1"/>
      <c r="AR3373" s="1"/>
      <c r="AS3373" s="1"/>
      <c r="AT3373" s="1"/>
      <c r="AU3373" s="1"/>
    </row>
    <row r="3374" spans="34:47">
      <c r="AH3374" s="6">
        <f t="shared" si="470"/>
        <v>3344</v>
      </c>
      <c r="AI3374" s="7">
        <f t="shared" ca="1" si="471"/>
        <v>46014</v>
      </c>
      <c r="AJ3374" s="210">
        <f t="shared" ca="1" si="472"/>
        <v>4.1749999999999998</v>
      </c>
      <c r="AK3374" s="8">
        <f t="shared" ca="1" si="473"/>
        <v>1.0001159722222221</v>
      </c>
      <c r="AL3374" s="98">
        <f t="shared" ca="1" si="474"/>
        <v>4.1335288028536477</v>
      </c>
      <c r="AM3374" s="106">
        <f t="shared" ca="1" si="468"/>
        <v>34499.962203890442</v>
      </c>
      <c r="AN3374" s="10">
        <f t="shared" ca="1" si="469"/>
        <v>1.0750863705315528</v>
      </c>
      <c r="AO3374" s="158"/>
      <c r="AP3374" s="158"/>
      <c r="AQ3374" s="1"/>
      <c r="AR3374" s="1"/>
      <c r="AS3374" s="1"/>
      <c r="AT3374" s="1"/>
      <c r="AU3374" s="1"/>
    </row>
    <row r="3375" spans="34:47">
      <c r="AH3375" s="6">
        <f t="shared" si="470"/>
        <v>3345</v>
      </c>
      <c r="AI3375" s="7">
        <f t="shared" ca="1" si="471"/>
        <v>46015</v>
      </c>
      <c r="AJ3375" s="210">
        <f t="shared" ca="1" si="472"/>
        <v>4.1749999999999998</v>
      </c>
      <c r="AK3375" s="8">
        <f t="shared" ca="1" si="473"/>
        <v>1.0001159722222221</v>
      </c>
      <c r="AL3375" s="98">
        <f t="shared" ca="1" si="474"/>
        <v>4.1335855731174931</v>
      </c>
      <c r="AM3375" s="106">
        <f t="shared" ca="1" si="468"/>
        <v>34502.805051463642</v>
      </c>
      <c r="AN3375" s="10">
        <f t="shared" ca="1" si="469"/>
        <v>1.0751334671678325</v>
      </c>
      <c r="AO3375" s="158"/>
      <c r="AP3375" s="158"/>
      <c r="AQ3375" s="1"/>
      <c r="AR3375" s="1"/>
      <c r="AS3375" s="1"/>
      <c r="AT3375" s="1"/>
      <c r="AU3375" s="1"/>
    </row>
    <row r="3376" spans="34:47">
      <c r="AH3376" s="6">
        <f t="shared" si="470"/>
        <v>3346</v>
      </c>
      <c r="AI3376" s="7">
        <f t="shared" ca="1" si="471"/>
        <v>46016</v>
      </c>
      <c r="AJ3376" s="210">
        <f t="shared" ca="1" si="472"/>
        <v>4.1749999999999998</v>
      </c>
      <c r="AK3376" s="8">
        <f t="shared" ca="1" si="473"/>
        <v>1.0001159722222221</v>
      </c>
      <c r="AL3376" s="98">
        <f t="shared" ca="1" si="474"/>
        <v>4.1336423094790353</v>
      </c>
      <c r="AM3376" s="106">
        <f t="shared" ca="1" si="468"/>
        <v>34505.648133291652</v>
      </c>
      <c r="AN3376" s="10">
        <f t="shared" ca="1" si="469"/>
        <v>1.0751805356750355</v>
      </c>
      <c r="AO3376" s="158"/>
      <c r="AP3376" s="158"/>
      <c r="AQ3376" s="1"/>
      <c r="AR3376" s="1"/>
      <c r="AS3376" s="1"/>
      <c r="AT3376" s="1"/>
      <c r="AU3376" s="1"/>
    </row>
    <row r="3377" spans="34:47">
      <c r="AH3377" s="6">
        <f t="shared" si="470"/>
        <v>3347</v>
      </c>
      <c r="AI3377" s="7">
        <f t="shared" ca="1" si="471"/>
        <v>46017</v>
      </c>
      <c r="AJ3377" s="210">
        <f t="shared" ca="1" si="472"/>
        <v>4.1749999999999998</v>
      </c>
      <c r="AK3377" s="8">
        <f t="shared" ca="1" si="473"/>
        <v>1.0001159722222221</v>
      </c>
      <c r="AL3377" s="98">
        <f t="shared" ca="1" si="474"/>
        <v>4.1336990119686501</v>
      </c>
      <c r="AM3377" s="106">
        <f t="shared" ca="1" si="468"/>
        <v>34508.491449393776</v>
      </c>
      <c r="AN3377" s="10">
        <f t="shared" ca="1" si="469"/>
        <v>1.0752275760783414</v>
      </c>
      <c r="AO3377" s="158"/>
      <c r="AP3377" s="158"/>
      <c r="AQ3377" s="1"/>
      <c r="AR3377" s="1"/>
      <c r="AS3377" s="1"/>
      <c r="AT3377" s="1"/>
      <c r="AU3377" s="1"/>
    </row>
    <row r="3378" spans="34:47">
      <c r="AH3378" s="6">
        <f t="shared" si="470"/>
        <v>3348</v>
      </c>
      <c r="AI3378" s="7">
        <f t="shared" ca="1" si="471"/>
        <v>46018</v>
      </c>
      <c r="AJ3378" s="210">
        <f t="shared" ca="1" si="472"/>
        <v>4.1749999999999998</v>
      </c>
      <c r="AK3378" s="8">
        <f t="shared" ca="1" si="473"/>
        <v>1.0001159722222221</v>
      </c>
      <c r="AL3378" s="98">
        <f t="shared" ca="1" si="474"/>
        <v>4.1337556806166686</v>
      </c>
      <c r="AM3378" s="106">
        <f t="shared" ca="1" si="468"/>
        <v>34511.334999789331</v>
      </c>
      <c r="AN3378" s="10">
        <f t="shared" ca="1" si="469"/>
        <v>1.0752745884029302</v>
      </c>
      <c r="AO3378" s="158"/>
      <c r="AP3378" s="158"/>
      <c r="AQ3378" s="1"/>
      <c r="AR3378" s="1"/>
      <c r="AS3378" s="1"/>
      <c r="AT3378" s="1"/>
      <c r="AU3378" s="1"/>
    </row>
    <row r="3379" spans="34:47">
      <c r="AH3379" s="6">
        <f t="shared" si="470"/>
        <v>3349</v>
      </c>
      <c r="AI3379" s="7">
        <f t="shared" ca="1" si="471"/>
        <v>46019</v>
      </c>
      <c r="AJ3379" s="210">
        <f t="shared" ca="1" si="472"/>
        <v>4.1749999999999998</v>
      </c>
      <c r="AK3379" s="8">
        <f t="shared" ca="1" si="473"/>
        <v>1.0001159722222221</v>
      </c>
      <c r="AL3379" s="98">
        <f t="shared" ca="1" si="474"/>
        <v>4.1338123154533557</v>
      </c>
      <c r="AM3379" s="106">
        <f t="shared" ca="1" si="468"/>
        <v>34514.178784497621</v>
      </c>
      <c r="AN3379" s="10">
        <f t="shared" ca="1" si="469"/>
        <v>1.0753215726739151</v>
      </c>
      <c r="AO3379" s="158"/>
      <c r="AP3379" s="158"/>
      <c r="AQ3379" s="1"/>
      <c r="AR3379" s="1"/>
      <c r="AS3379" s="1"/>
      <c r="AT3379" s="1"/>
      <c r="AU3379" s="1"/>
    </row>
    <row r="3380" spans="34:47">
      <c r="AH3380" s="6">
        <f t="shared" si="470"/>
        <v>3350</v>
      </c>
      <c r="AI3380" s="7">
        <f t="shared" ca="1" si="471"/>
        <v>46020</v>
      </c>
      <c r="AJ3380" s="210">
        <f t="shared" ca="1" si="472"/>
        <v>4.1749999999999998</v>
      </c>
      <c r="AK3380" s="8">
        <f t="shared" ca="1" si="473"/>
        <v>1.0001159722222221</v>
      </c>
      <c r="AL3380" s="98">
        <f t="shared" ca="1" si="474"/>
        <v>4.1338689165089759</v>
      </c>
      <c r="AM3380" s="106">
        <f t="shared" ca="1" si="468"/>
        <v>34517.02280353794</v>
      </c>
      <c r="AN3380" s="10">
        <f t="shared" ca="1" si="469"/>
        <v>1.0753685289164094</v>
      </c>
      <c r="AO3380" s="158"/>
      <c r="AP3380" s="158"/>
      <c r="AQ3380" s="1"/>
      <c r="AR3380" s="1"/>
      <c r="AS3380" s="1"/>
      <c r="AT3380" s="1"/>
      <c r="AU3380" s="1"/>
    </row>
    <row r="3381" spans="34:47">
      <c r="AH3381" s="6">
        <f t="shared" si="470"/>
        <v>3351</v>
      </c>
      <c r="AI3381" s="7">
        <f t="shared" ca="1" si="471"/>
        <v>46021</v>
      </c>
      <c r="AJ3381" s="210">
        <f t="shared" ca="1" si="472"/>
        <v>4.1749999999999998</v>
      </c>
      <c r="AK3381" s="8">
        <f t="shared" ca="1" si="473"/>
        <v>1.0001159722222221</v>
      </c>
      <c r="AL3381" s="98">
        <f t="shared" ca="1" si="474"/>
        <v>4.1339254838137496</v>
      </c>
      <c r="AM3381" s="106">
        <f t="shared" ca="1" si="468"/>
        <v>34519.867056929608</v>
      </c>
      <c r="AN3381" s="10">
        <f t="shared" ca="1" si="469"/>
        <v>1.0754154571555041</v>
      </c>
      <c r="AO3381" s="158"/>
      <c r="AP3381" s="158"/>
      <c r="AQ3381" s="1"/>
      <c r="AR3381" s="1"/>
      <c r="AS3381" s="1"/>
      <c r="AT3381" s="1"/>
      <c r="AU3381" s="1"/>
    </row>
    <row r="3382" spans="34:47">
      <c r="AH3382" s="6">
        <f t="shared" si="470"/>
        <v>3352</v>
      </c>
      <c r="AI3382" s="7">
        <f t="shared" ca="1" si="471"/>
        <v>46022</v>
      </c>
      <c r="AJ3382" s="210">
        <f t="shared" ca="1" si="472"/>
        <v>4.1749999999999998</v>
      </c>
      <c r="AK3382" s="8">
        <f t="shared" ca="1" si="473"/>
        <v>1.0001159722222221</v>
      </c>
      <c r="AL3382" s="98">
        <f t="shared" ca="1" si="474"/>
        <v>4.1339820173978525</v>
      </c>
      <c r="AM3382" s="106">
        <f t="shared" ca="1" si="468"/>
        <v>34522.711544691934</v>
      </c>
      <c r="AN3382" s="10">
        <f t="shared" ca="1" si="469"/>
        <v>1.0754623574162236</v>
      </c>
      <c r="AO3382" s="158"/>
      <c r="AP3382" s="158"/>
      <c r="AQ3382" s="1"/>
      <c r="AR3382" s="1"/>
      <c r="AS3382" s="1"/>
      <c r="AT3382" s="1"/>
      <c r="AU3382" s="1"/>
    </row>
    <row r="3383" spans="34:47">
      <c r="AH3383" s="6">
        <f t="shared" si="470"/>
        <v>3353</v>
      </c>
      <c r="AI3383" s="7">
        <f t="shared" ca="1" si="471"/>
        <v>46023</v>
      </c>
      <c r="AJ3383" s="210">
        <f t="shared" ca="1" si="472"/>
        <v>4.1749999999999998</v>
      </c>
      <c r="AK3383" s="8">
        <f t="shared" ca="1" si="473"/>
        <v>1.0001159722222221</v>
      </c>
      <c r="AL3383" s="98">
        <f t="shared" ca="1" si="474"/>
        <v>4.1340385172914162</v>
      </c>
      <c r="AM3383" s="106">
        <f t="shared" ca="1" si="468"/>
        <v>34525.556266844229</v>
      </c>
      <c r="AN3383" s="10">
        <f t="shared" ca="1" si="469"/>
        <v>1.0755092297235924</v>
      </c>
      <c r="AO3383" s="158"/>
      <c r="AP3383" s="158"/>
      <c r="AQ3383" s="1"/>
      <c r="AR3383" s="1"/>
      <c r="AS3383" s="1"/>
      <c r="AT3383" s="1"/>
      <c r="AU3383" s="1"/>
    </row>
    <row r="3384" spans="34:47">
      <c r="AH3384" s="6">
        <f t="shared" si="470"/>
        <v>3354</v>
      </c>
      <c r="AI3384" s="7">
        <f t="shared" ca="1" si="471"/>
        <v>46024</v>
      </c>
      <c r="AJ3384" s="210">
        <f t="shared" ca="1" si="472"/>
        <v>4.1749999999999998</v>
      </c>
      <c r="AK3384" s="8">
        <f t="shared" ca="1" si="473"/>
        <v>1.0001159722222221</v>
      </c>
      <c r="AL3384" s="98">
        <f t="shared" ca="1" si="474"/>
        <v>4.13409498352455</v>
      </c>
      <c r="AM3384" s="106">
        <f t="shared" ca="1" si="468"/>
        <v>34528.40122340581</v>
      </c>
      <c r="AN3384" s="10">
        <f t="shared" ca="1" si="469"/>
        <v>1.0755560741025461</v>
      </c>
      <c r="AO3384" s="158"/>
      <c r="AP3384" s="158"/>
      <c r="AQ3384" s="1"/>
      <c r="AR3384" s="1"/>
      <c r="AS3384" s="1"/>
      <c r="AT3384" s="1"/>
      <c r="AU3384" s="1"/>
    </row>
    <row r="3385" spans="34:47">
      <c r="AH3385" s="6">
        <f t="shared" si="470"/>
        <v>3355</v>
      </c>
      <c r="AI3385" s="7">
        <f t="shared" ca="1" si="471"/>
        <v>46025</v>
      </c>
      <c r="AJ3385" s="210">
        <f t="shared" ca="1" si="472"/>
        <v>4.1749999999999998</v>
      </c>
      <c r="AK3385" s="8">
        <f t="shared" ca="1" si="473"/>
        <v>1.0001159722222221</v>
      </c>
      <c r="AL3385" s="98">
        <f t="shared" ca="1" si="474"/>
        <v>4.1341514161273407</v>
      </c>
      <c r="AM3385" s="106">
        <f t="shared" ca="1" si="468"/>
        <v>34531.246414396002</v>
      </c>
      <c r="AN3385" s="10">
        <f t="shared" ca="1" si="469"/>
        <v>1.075602890578109</v>
      </c>
      <c r="AO3385" s="158"/>
      <c r="AP3385" s="158"/>
      <c r="AQ3385" s="1"/>
      <c r="AR3385" s="1"/>
      <c r="AS3385" s="1"/>
      <c r="AT3385" s="1"/>
      <c r="AU3385" s="1"/>
    </row>
    <row r="3386" spans="34:47">
      <c r="AH3386" s="6">
        <f t="shared" si="470"/>
        <v>3356</v>
      </c>
      <c r="AI3386" s="7">
        <f t="shared" ca="1" si="471"/>
        <v>46026</v>
      </c>
      <c r="AJ3386" s="210">
        <f t="shared" ca="1" si="472"/>
        <v>4.1749999999999998</v>
      </c>
      <c r="AK3386" s="8">
        <f t="shared" ca="1" si="473"/>
        <v>1.0001159722222221</v>
      </c>
      <c r="AL3386" s="98">
        <f t="shared" ca="1" si="474"/>
        <v>4.1342078151298089</v>
      </c>
      <c r="AM3386" s="106">
        <f t="shared" ca="1" si="468"/>
        <v>34534.091839834102</v>
      </c>
      <c r="AN3386" s="10">
        <f t="shared" ca="1" si="469"/>
        <v>1.0756496791751502</v>
      </c>
      <c r="AO3386" s="158"/>
      <c r="AP3386" s="158"/>
      <c r="AQ3386" s="1"/>
      <c r="AR3386" s="1"/>
      <c r="AS3386" s="1"/>
      <c r="AT3386" s="1"/>
      <c r="AU3386" s="1"/>
    </row>
    <row r="3387" spans="34:47">
      <c r="AH3387" s="6">
        <f t="shared" si="470"/>
        <v>3357</v>
      </c>
      <c r="AI3387" s="7">
        <f t="shared" ca="1" si="471"/>
        <v>46027</v>
      </c>
      <c r="AJ3387" s="210">
        <f t="shared" ca="1" si="472"/>
        <v>4.1749999999999998</v>
      </c>
      <c r="AK3387" s="8">
        <f t="shared" ca="1" si="473"/>
        <v>1.0001159722222221</v>
      </c>
      <c r="AL3387" s="98">
        <f t="shared" ca="1" si="474"/>
        <v>4.1342641805619751</v>
      </c>
      <c r="AM3387" s="106">
        <f t="shared" ca="1" si="468"/>
        <v>34536.937499739441</v>
      </c>
      <c r="AN3387" s="10">
        <f t="shared" ca="1" si="469"/>
        <v>1.0756964399186053</v>
      </c>
      <c r="AO3387" s="158"/>
      <c r="AP3387" s="158"/>
      <c r="AQ3387" s="1"/>
      <c r="AR3387" s="1"/>
      <c r="AS3387" s="1"/>
      <c r="AT3387" s="1"/>
      <c r="AU3387" s="1"/>
    </row>
    <row r="3388" spans="34:47">
      <c r="AH3388" s="6">
        <f t="shared" si="470"/>
        <v>3358</v>
      </c>
      <c r="AI3388" s="7">
        <f t="shared" ca="1" si="471"/>
        <v>46028</v>
      </c>
      <c r="AJ3388" s="210">
        <f t="shared" ca="1" si="472"/>
        <v>4.1749999999999998</v>
      </c>
      <c r="AK3388" s="8">
        <f t="shared" ca="1" si="473"/>
        <v>1.0001159722222221</v>
      </c>
      <c r="AL3388" s="98">
        <f t="shared" ca="1" si="474"/>
        <v>4.1343205124537707</v>
      </c>
      <c r="AM3388" s="106">
        <f t="shared" ca="1" si="468"/>
        <v>34539.783394131337</v>
      </c>
      <c r="AN3388" s="10">
        <f t="shared" ca="1" si="469"/>
        <v>1.0757431728333211</v>
      </c>
      <c r="AO3388" s="158"/>
      <c r="AP3388" s="158"/>
      <c r="AQ3388" s="1"/>
      <c r="AR3388" s="1"/>
      <c r="AS3388" s="1"/>
      <c r="AT3388" s="1"/>
      <c r="AU3388" s="1"/>
    </row>
    <row r="3389" spans="34:47">
      <c r="AH3389" s="6">
        <f t="shared" si="470"/>
        <v>3359</v>
      </c>
      <c r="AI3389" s="7">
        <f t="shared" ca="1" si="471"/>
        <v>46029</v>
      </c>
      <c r="AJ3389" s="210">
        <f t="shared" ca="1" si="472"/>
        <v>4.1749999999999998</v>
      </c>
      <c r="AK3389" s="8">
        <f t="shared" ca="1" si="473"/>
        <v>1.0001159722222221</v>
      </c>
      <c r="AL3389" s="98">
        <f t="shared" ca="1" si="474"/>
        <v>4.1343768108351497</v>
      </c>
      <c r="AM3389" s="106">
        <f t="shared" ca="1" si="468"/>
        <v>34542.629523029107</v>
      </c>
      <c r="AN3389" s="10">
        <f t="shared" ca="1" si="469"/>
        <v>1.0757898779441222</v>
      </c>
      <c r="AO3389" s="158"/>
      <c r="AP3389" s="158"/>
      <c r="AQ3389" s="1"/>
      <c r="AR3389" s="1"/>
      <c r="AS3389" s="1"/>
      <c r="AT3389" s="1"/>
      <c r="AU3389" s="1"/>
    </row>
    <row r="3390" spans="34:47">
      <c r="AH3390" s="6">
        <f t="shared" si="470"/>
        <v>3360</v>
      </c>
      <c r="AI3390" s="7">
        <f t="shared" ca="1" si="471"/>
        <v>46030</v>
      </c>
      <c r="AJ3390" s="210">
        <f t="shared" ca="1" si="472"/>
        <v>4.1749999999999998</v>
      </c>
      <c r="AK3390" s="8">
        <f t="shared" ca="1" si="473"/>
        <v>1.0001159722222221</v>
      </c>
      <c r="AL3390" s="98">
        <f t="shared" ca="1" si="474"/>
        <v>4.1344330757359993</v>
      </c>
      <c r="AM3390" s="106">
        <f t="shared" ca="1" si="468"/>
        <v>34545.475886452085</v>
      </c>
      <c r="AN3390" s="10">
        <f t="shared" ca="1" si="469"/>
        <v>1.0758365552758331</v>
      </c>
      <c r="AO3390" s="158"/>
      <c r="AP3390" s="158"/>
      <c r="AQ3390" s="1"/>
      <c r="AR3390" s="1"/>
      <c r="AS3390" s="1"/>
      <c r="AT3390" s="1"/>
      <c r="AU3390" s="1"/>
    </row>
    <row r="3391" spans="34:47">
      <c r="AH3391" s="6">
        <f t="shared" si="470"/>
        <v>3361</v>
      </c>
      <c r="AI3391" s="7">
        <f t="shared" ca="1" si="471"/>
        <v>46031</v>
      </c>
      <c r="AJ3391" s="210">
        <f t="shared" ca="1" si="472"/>
        <v>4.1749999999999998</v>
      </c>
      <c r="AK3391" s="8">
        <f t="shared" ca="1" si="473"/>
        <v>1.0001159722222221</v>
      </c>
      <c r="AL3391" s="98">
        <f t="shared" ca="1" si="474"/>
        <v>4.1344893071861621</v>
      </c>
      <c r="AM3391" s="106">
        <f t="shared" ca="1" si="468"/>
        <v>34548.322484419594</v>
      </c>
      <c r="AN3391" s="10">
        <f t="shared" ca="1" si="469"/>
        <v>1.0758832048532119</v>
      </c>
      <c r="AO3391" s="158"/>
      <c r="AP3391" s="158"/>
      <c r="AQ3391" s="1"/>
      <c r="AR3391" s="1"/>
      <c r="AS3391" s="1"/>
      <c r="AT3391" s="1"/>
      <c r="AU3391" s="1"/>
    </row>
    <row r="3392" spans="34:47">
      <c r="AH3392" s="6">
        <f t="shared" si="470"/>
        <v>3362</v>
      </c>
      <c r="AI3392" s="7">
        <f t="shared" ca="1" si="471"/>
        <v>46032</v>
      </c>
      <c r="AJ3392" s="210">
        <f t="shared" ca="1" si="472"/>
        <v>4.1749999999999998</v>
      </c>
      <c r="AK3392" s="8">
        <f t="shared" ca="1" si="473"/>
        <v>1.0001159722222221</v>
      </c>
      <c r="AL3392" s="98">
        <f t="shared" ca="1" si="474"/>
        <v>4.1345455052154811</v>
      </c>
      <c r="AM3392" s="106">
        <f t="shared" ca="1" si="468"/>
        <v>34551.169316950953</v>
      </c>
      <c r="AN3392" s="10">
        <f t="shared" ca="1" si="469"/>
        <v>1.0759298267010164</v>
      </c>
      <c r="AO3392" s="158"/>
      <c r="AP3392" s="158"/>
      <c r="AQ3392" s="1"/>
      <c r="AR3392" s="1"/>
      <c r="AS3392" s="1"/>
      <c r="AT3392" s="1"/>
      <c r="AU3392" s="1"/>
    </row>
    <row r="3393" spans="34:47">
      <c r="AH3393" s="6">
        <f t="shared" si="470"/>
        <v>3363</v>
      </c>
      <c r="AI3393" s="7">
        <f t="shared" ca="1" si="471"/>
        <v>46033</v>
      </c>
      <c r="AJ3393" s="210">
        <f t="shared" ca="1" si="472"/>
        <v>4.1749999999999998</v>
      </c>
      <c r="AK3393" s="8">
        <f t="shared" ca="1" si="473"/>
        <v>1.0001159722222221</v>
      </c>
      <c r="AL3393" s="98">
        <f t="shared" ca="1" si="474"/>
        <v>4.1346016698537325</v>
      </c>
      <c r="AM3393" s="106">
        <f t="shared" ca="1" si="468"/>
        <v>34554.016384065493</v>
      </c>
      <c r="AN3393" s="10">
        <f t="shared" ca="1" si="469"/>
        <v>1.0759764208439604</v>
      </c>
      <c r="AO3393" s="158"/>
      <c r="AP3393" s="158"/>
      <c r="AQ3393" s="1"/>
      <c r="AR3393" s="1"/>
      <c r="AS3393" s="1"/>
      <c r="AT3393" s="1"/>
      <c r="AU3393" s="1"/>
    </row>
    <row r="3394" spans="34:47">
      <c r="AH3394" s="6">
        <f t="shared" si="470"/>
        <v>3364</v>
      </c>
      <c r="AI3394" s="7">
        <f t="shared" ca="1" si="471"/>
        <v>46034</v>
      </c>
      <c r="AJ3394" s="210">
        <f t="shared" ca="1" si="472"/>
        <v>4.1749999999999998</v>
      </c>
      <c r="AK3394" s="8">
        <f t="shared" ca="1" si="473"/>
        <v>1.0001159722222221</v>
      </c>
      <c r="AL3394" s="98">
        <f t="shared" ca="1" si="474"/>
        <v>4.1346578011306701</v>
      </c>
      <c r="AM3394" s="106">
        <f t="shared" ca="1" si="468"/>
        <v>34556.863685782548</v>
      </c>
      <c r="AN3394" s="10">
        <f t="shared" ca="1" si="469"/>
        <v>1.0760229873067351</v>
      </c>
      <c r="AO3394" s="158"/>
      <c r="AP3394" s="158"/>
      <c r="AQ3394" s="1"/>
      <c r="AR3394" s="1"/>
      <c r="AS3394" s="1"/>
      <c r="AT3394" s="1"/>
      <c r="AU3394" s="1"/>
    </row>
    <row r="3395" spans="34:47">
      <c r="AH3395" s="6">
        <f t="shared" si="470"/>
        <v>3365</v>
      </c>
      <c r="AI3395" s="7">
        <f t="shared" ca="1" si="471"/>
        <v>46035</v>
      </c>
      <c r="AJ3395" s="210">
        <f t="shared" ca="1" si="472"/>
        <v>4.1749999999999998</v>
      </c>
      <c r="AK3395" s="8">
        <f t="shared" ca="1" si="473"/>
        <v>1.0001159722222221</v>
      </c>
      <c r="AL3395" s="98">
        <f t="shared" ca="1" si="474"/>
        <v>4.1347138990760035</v>
      </c>
      <c r="AM3395" s="106">
        <f t="shared" ca="1" si="468"/>
        <v>34559.711222121448</v>
      </c>
      <c r="AN3395" s="10">
        <f t="shared" ca="1" si="469"/>
        <v>1.0760695261140096</v>
      </c>
      <c r="AO3395" s="158"/>
      <c r="AP3395" s="158"/>
      <c r="AQ3395" s="1"/>
      <c r="AR3395" s="1"/>
      <c r="AS3395" s="1"/>
      <c r="AT3395" s="1"/>
      <c r="AU3395" s="1"/>
    </row>
    <row r="3396" spans="34:47">
      <c r="AH3396" s="6">
        <f t="shared" si="470"/>
        <v>3366</v>
      </c>
      <c r="AI3396" s="7">
        <f t="shared" ca="1" si="471"/>
        <v>46036</v>
      </c>
      <c r="AJ3396" s="210">
        <f t="shared" ca="1" si="472"/>
        <v>4.1749999999999998</v>
      </c>
      <c r="AK3396" s="8">
        <f t="shared" ca="1" si="473"/>
        <v>1.0001159722222221</v>
      </c>
      <c r="AL3396" s="98">
        <f t="shared" ca="1" si="474"/>
        <v>4.1347699637194202</v>
      </c>
      <c r="AM3396" s="106">
        <f t="shared" ca="1" si="468"/>
        <v>34562.558993101535</v>
      </c>
      <c r="AN3396" s="10">
        <f t="shared" ca="1" si="469"/>
        <v>1.0761160372903866</v>
      </c>
      <c r="AO3396" s="158"/>
      <c r="AP3396" s="158"/>
      <c r="AQ3396" s="1"/>
      <c r="AR3396" s="1"/>
      <c r="AS3396" s="1"/>
      <c r="AT3396" s="1"/>
      <c r="AU3396" s="1"/>
    </row>
    <row r="3397" spans="34:47">
      <c r="AH3397" s="6">
        <f t="shared" si="470"/>
        <v>3367</v>
      </c>
      <c r="AI3397" s="7">
        <f t="shared" ca="1" si="471"/>
        <v>46037</v>
      </c>
      <c r="AJ3397" s="210">
        <f t="shared" ca="1" si="472"/>
        <v>4.1749999999999998</v>
      </c>
      <c r="AK3397" s="8">
        <f t="shared" ca="1" si="473"/>
        <v>1.0001159722222221</v>
      </c>
      <c r="AL3397" s="98">
        <f t="shared" ca="1" si="474"/>
        <v>4.134825995090563</v>
      </c>
      <c r="AM3397" s="106">
        <f t="shared" ca="1" si="468"/>
        <v>34565.406998742117</v>
      </c>
      <c r="AN3397" s="10">
        <f t="shared" ca="1" si="469"/>
        <v>1.0761625208604908</v>
      </c>
      <c r="AO3397" s="158"/>
      <c r="AP3397" s="158"/>
      <c r="AQ3397" s="1"/>
      <c r="AR3397" s="1"/>
      <c r="AS3397" s="1"/>
      <c r="AT3397" s="1"/>
      <c r="AU3397" s="1"/>
    </row>
    <row r="3398" spans="34:47">
      <c r="AH3398" s="6">
        <f t="shared" si="470"/>
        <v>3368</v>
      </c>
      <c r="AI3398" s="7">
        <f t="shared" ca="1" si="471"/>
        <v>46038</v>
      </c>
      <c r="AJ3398" s="210">
        <f t="shared" ca="1" si="472"/>
        <v>4.1749999999999998</v>
      </c>
      <c r="AK3398" s="8">
        <f t="shared" ca="1" si="473"/>
        <v>1.0001159722222221</v>
      </c>
      <c r="AL3398" s="98">
        <f t="shared" ca="1" si="474"/>
        <v>4.1348819932190528</v>
      </c>
      <c r="AM3398" s="106">
        <f t="shared" ca="1" si="468"/>
        <v>34568.255239062564</v>
      </c>
      <c r="AN3398" s="10">
        <f t="shared" ca="1" si="469"/>
        <v>1.0762089768488803</v>
      </c>
      <c r="AO3398" s="158"/>
      <c r="AP3398" s="158"/>
      <c r="AQ3398" s="1"/>
      <c r="AR3398" s="1"/>
      <c r="AS3398" s="1"/>
      <c r="AT3398" s="1"/>
      <c r="AU3398" s="1"/>
    </row>
    <row r="3399" spans="34:47">
      <c r="AH3399" s="6">
        <f t="shared" si="470"/>
        <v>3369</v>
      </c>
      <c r="AI3399" s="7">
        <f t="shared" ca="1" si="471"/>
        <v>46039</v>
      </c>
      <c r="AJ3399" s="210">
        <f t="shared" ca="1" si="472"/>
        <v>4.1749999999999998</v>
      </c>
      <c r="AK3399" s="8">
        <f t="shared" ca="1" si="473"/>
        <v>1.0001159722222221</v>
      </c>
      <c r="AL3399" s="98">
        <f t="shared" ca="1" si="474"/>
        <v>4.1349379581344436</v>
      </c>
      <c r="AM3399" s="106">
        <f t="shared" ca="1" si="468"/>
        <v>34571.103714082194</v>
      </c>
      <c r="AN3399" s="10">
        <f t="shared" ca="1" si="469"/>
        <v>1.076255405280091</v>
      </c>
      <c r="AO3399" s="158"/>
      <c r="AP3399" s="158"/>
      <c r="AQ3399" s="1"/>
      <c r="AR3399" s="1"/>
      <c r="AS3399" s="1"/>
      <c r="AT3399" s="1"/>
      <c r="AU3399" s="1"/>
    </row>
    <row r="3400" spans="34:47">
      <c r="AH3400" s="6">
        <f t="shared" si="470"/>
        <v>3370</v>
      </c>
      <c r="AI3400" s="7">
        <f t="shared" ca="1" si="471"/>
        <v>46040</v>
      </c>
      <c r="AJ3400" s="210">
        <f t="shared" ca="1" si="472"/>
        <v>4.1749999999999998</v>
      </c>
      <c r="AK3400" s="8">
        <f t="shared" ca="1" si="473"/>
        <v>1.0001159722222221</v>
      </c>
      <c r="AL3400" s="98">
        <f t="shared" ca="1" si="474"/>
        <v>4.1349938898662897</v>
      </c>
      <c r="AM3400" s="106">
        <f t="shared" ca="1" si="468"/>
        <v>34573.952423820345</v>
      </c>
      <c r="AN3400" s="10">
        <f t="shared" ca="1" si="469"/>
        <v>1.0763018061786589</v>
      </c>
      <c r="AO3400" s="158"/>
      <c r="AP3400" s="158"/>
      <c r="AQ3400" s="1"/>
      <c r="AR3400" s="1"/>
      <c r="AS3400" s="1"/>
      <c r="AT3400" s="1"/>
      <c r="AU3400" s="1"/>
    </row>
    <row r="3401" spans="34:47">
      <c r="AH3401" s="6">
        <f t="shared" si="470"/>
        <v>3371</v>
      </c>
      <c r="AI3401" s="7">
        <f t="shared" ca="1" si="471"/>
        <v>46041</v>
      </c>
      <c r="AJ3401" s="210">
        <f t="shared" ca="1" si="472"/>
        <v>4.1749999999999998</v>
      </c>
      <c r="AK3401" s="8">
        <f t="shared" ca="1" si="473"/>
        <v>1.0001159722222221</v>
      </c>
      <c r="AL3401" s="98">
        <f t="shared" ca="1" si="474"/>
        <v>4.1350497884440784</v>
      </c>
      <c r="AM3401" s="106">
        <f t="shared" ca="1" si="468"/>
        <v>34576.801368296365</v>
      </c>
      <c r="AN3401" s="10">
        <f t="shared" ca="1" si="469"/>
        <v>1.0763481795690311</v>
      </c>
      <c r="AO3401" s="158"/>
      <c r="AP3401" s="158"/>
      <c r="AQ3401" s="1"/>
      <c r="AR3401" s="1"/>
      <c r="AS3401" s="1"/>
      <c r="AT3401" s="1"/>
      <c r="AU3401" s="1"/>
    </row>
    <row r="3402" spans="34:47">
      <c r="AH3402" s="6">
        <f t="shared" si="470"/>
        <v>3372</v>
      </c>
      <c r="AI3402" s="7">
        <f t="shared" ca="1" si="471"/>
        <v>46042</v>
      </c>
      <c r="AJ3402" s="210">
        <f t="shared" ca="1" si="472"/>
        <v>4.1749999999999998</v>
      </c>
      <c r="AK3402" s="8">
        <f t="shared" ca="1" si="473"/>
        <v>1.0001159722222221</v>
      </c>
      <c r="AL3402" s="98">
        <f t="shared" ca="1" si="474"/>
        <v>4.1351056538972975</v>
      </c>
      <c r="AM3402" s="106">
        <f t="shared" ca="1" si="468"/>
        <v>34579.6505475296</v>
      </c>
      <c r="AN3402" s="10">
        <f t="shared" ca="1" si="469"/>
        <v>1.076394525475699</v>
      </c>
      <c r="AO3402" s="158"/>
      <c r="AP3402" s="158"/>
      <c r="AQ3402" s="1"/>
      <c r="AR3402" s="1"/>
      <c r="AS3402" s="1"/>
      <c r="AT3402" s="1"/>
      <c r="AU3402" s="1"/>
    </row>
    <row r="3403" spans="34:47">
      <c r="AH3403" s="6">
        <f t="shared" si="470"/>
        <v>3373</v>
      </c>
      <c r="AI3403" s="7">
        <f t="shared" ca="1" si="471"/>
        <v>46043</v>
      </c>
      <c r="AJ3403" s="210">
        <f t="shared" ca="1" si="472"/>
        <v>4.1749999999999998</v>
      </c>
      <c r="AK3403" s="8">
        <f t="shared" ca="1" si="473"/>
        <v>1.0001159722222221</v>
      </c>
      <c r="AL3403" s="98">
        <f t="shared" ca="1" si="474"/>
        <v>4.1351614862553676</v>
      </c>
      <c r="AM3403" s="106">
        <f t="shared" ca="1" si="468"/>
        <v>34582.49996153939</v>
      </c>
      <c r="AN3403" s="10">
        <f t="shared" ca="1" si="469"/>
        <v>1.0764408439230655</v>
      </c>
      <c r="AO3403" s="158"/>
      <c r="AP3403" s="158"/>
      <c r="AQ3403" s="1"/>
      <c r="AR3403" s="1"/>
      <c r="AS3403" s="1"/>
      <c r="AT3403" s="1"/>
      <c r="AU3403" s="1"/>
    </row>
    <row r="3404" spans="34:47">
      <c r="AH3404" s="6">
        <f t="shared" si="470"/>
        <v>3374</v>
      </c>
      <c r="AI3404" s="7">
        <f t="shared" ca="1" si="471"/>
        <v>46044</v>
      </c>
      <c r="AJ3404" s="210">
        <f t="shared" ca="1" si="472"/>
        <v>4.1749999999999998</v>
      </c>
      <c r="AK3404" s="8">
        <f t="shared" ca="1" si="473"/>
        <v>1.0001159722222221</v>
      </c>
      <c r="AL3404" s="98">
        <f t="shared" ca="1" si="474"/>
        <v>4.1352172855477098</v>
      </c>
      <c r="AM3404" s="106">
        <f t="shared" ca="1" si="468"/>
        <v>34585.349610345074</v>
      </c>
      <c r="AN3404" s="10">
        <f t="shared" ca="1" si="469"/>
        <v>1.0764871349355332</v>
      </c>
      <c r="AO3404" s="158"/>
      <c r="AP3404" s="158"/>
      <c r="AQ3404" s="1"/>
      <c r="AR3404" s="1"/>
      <c r="AS3404" s="1"/>
      <c r="AT3404" s="1"/>
      <c r="AU3404" s="1"/>
    </row>
    <row r="3405" spans="34:47">
      <c r="AH3405" s="6">
        <f t="shared" si="470"/>
        <v>3375</v>
      </c>
      <c r="AI3405" s="7">
        <f t="shared" ca="1" si="471"/>
        <v>46045</v>
      </c>
      <c r="AJ3405" s="210">
        <f t="shared" ca="1" si="472"/>
        <v>4.1749999999999998</v>
      </c>
      <c r="AK3405" s="8">
        <f t="shared" ca="1" si="473"/>
        <v>1.0001159722222221</v>
      </c>
      <c r="AL3405" s="98">
        <f t="shared" ca="1" si="474"/>
        <v>4.1352730518036784</v>
      </c>
      <c r="AM3405" s="106">
        <f t="shared" ca="1" si="468"/>
        <v>34588.199493966007</v>
      </c>
      <c r="AN3405" s="10">
        <f t="shared" ca="1" si="469"/>
        <v>1.0765333985374825</v>
      </c>
      <c r="AO3405" s="158"/>
      <c r="AP3405" s="158"/>
      <c r="AQ3405" s="1"/>
      <c r="AR3405" s="1"/>
      <c r="AS3405" s="1"/>
      <c r="AT3405" s="1"/>
      <c r="AU3405" s="1"/>
    </row>
    <row r="3406" spans="34:47">
      <c r="AH3406" s="6">
        <f t="shared" si="470"/>
        <v>3376</v>
      </c>
      <c r="AI3406" s="7">
        <f t="shared" ca="1" si="471"/>
        <v>46046</v>
      </c>
      <c r="AJ3406" s="210">
        <f t="shared" ca="1" si="472"/>
        <v>4.1749999999999998</v>
      </c>
      <c r="AK3406" s="8">
        <f t="shared" ca="1" si="473"/>
        <v>1.0001159722222221</v>
      </c>
      <c r="AL3406" s="98">
        <f t="shared" ca="1" si="474"/>
        <v>4.1353287850526055</v>
      </c>
      <c r="AM3406" s="106">
        <f t="shared" ca="1" si="468"/>
        <v>34591.04961242155</v>
      </c>
      <c r="AN3406" s="10">
        <f t="shared" ca="1" si="469"/>
        <v>1.0765796347532275</v>
      </c>
      <c r="AO3406" s="158"/>
      <c r="AP3406" s="158"/>
      <c r="AQ3406" s="1"/>
      <c r="AR3406" s="1"/>
      <c r="AS3406" s="1"/>
      <c r="AT3406" s="1"/>
      <c r="AU3406" s="1"/>
    </row>
    <row r="3407" spans="34:47">
      <c r="AH3407" s="6">
        <f t="shared" si="470"/>
        <v>3377</v>
      </c>
      <c r="AI3407" s="7">
        <f t="shared" ca="1" si="471"/>
        <v>46047</v>
      </c>
      <c r="AJ3407" s="210">
        <f t="shared" ca="1" si="472"/>
        <v>4.1749999999999998</v>
      </c>
      <c r="AK3407" s="8">
        <f t="shared" ca="1" si="473"/>
        <v>1.0001159722222221</v>
      </c>
      <c r="AL3407" s="98">
        <f t="shared" ca="1" si="474"/>
        <v>4.1353844853237787</v>
      </c>
      <c r="AM3407" s="106">
        <f t="shared" ca="1" si="468"/>
        <v>34593.899965731027</v>
      </c>
      <c r="AN3407" s="10">
        <f t="shared" ca="1" si="469"/>
        <v>1.0766258436071041</v>
      </c>
      <c r="AO3407" s="158"/>
      <c r="AP3407" s="158"/>
      <c r="AQ3407" s="1"/>
      <c r="AR3407" s="1"/>
      <c r="AS3407" s="1"/>
      <c r="AT3407" s="1"/>
      <c r="AU3407" s="1"/>
    </row>
    <row r="3408" spans="34:47">
      <c r="AH3408" s="6">
        <f t="shared" si="470"/>
        <v>3378</v>
      </c>
      <c r="AI3408" s="7">
        <f t="shared" ca="1" si="471"/>
        <v>46048</v>
      </c>
      <c r="AJ3408" s="210">
        <f t="shared" ca="1" si="472"/>
        <v>4.1749999999999998</v>
      </c>
      <c r="AK3408" s="8">
        <f t="shared" ca="1" si="473"/>
        <v>1.0001159722222221</v>
      </c>
      <c r="AL3408" s="98">
        <f t="shared" ca="1" si="474"/>
        <v>4.1354401526464635</v>
      </c>
      <c r="AM3408" s="106">
        <f t="shared" ca="1" si="468"/>
        <v>34596.750553913807</v>
      </c>
      <c r="AN3408" s="10">
        <f t="shared" ca="1" si="469"/>
        <v>1.0766720251233819</v>
      </c>
      <c r="AO3408" s="158"/>
      <c r="AP3408" s="158"/>
      <c r="AQ3408" s="1"/>
      <c r="AR3408" s="1"/>
      <c r="AS3408" s="1"/>
      <c r="AT3408" s="1"/>
      <c r="AU3408" s="1"/>
    </row>
    <row r="3409" spans="34:47">
      <c r="AH3409" s="6">
        <f t="shared" si="470"/>
        <v>3379</v>
      </c>
      <c r="AI3409" s="7">
        <f t="shared" ca="1" si="471"/>
        <v>46049</v>
      </c>
      <c r="AJ3409" s="210">
        <f t="shared" ca="1" si="472"/>
        <v>4.1749999999999998</v>
      </c>
      <c r="AK3409" s="8">
        <f t="shared" ca="1" si="473"/>
        <v>1.0001159722222221</v>
      </c>
      <c r="AL3409" s="98">
        <f t="shared" ca="1" si="474"/>
        <v>4.135495787049881</v>
      </c>
      <c r="AM3409" s="106">
        <f t="shared" ca="1" si="468"/>
        <v>34599.601376989245</v>
      </c>
      <c r="AN3409" s="10">
        <f t="shared" ca="1" si="469"/>
        <v>1.0767181793262859</v>
      </c>
      <c r="AO3409" s="158"/>
      <c r="AP3409" s="158"/>
      <c r="AQ3409" s="1"/>
      <c r="AR3409" s="1"/>
      <c r="AS3409" s="1"/>
      <c r="AT3409" s="1"/>
      <c r="AU3409" s="1"/>
    </row>
    <row r="3410" spans="34:47">
      <c r="AH3410" s="6">
        <f t="shared" si="470"/>
        <v>3380</v>
      </c>
      <c r="AI3410" s="7">
        <f t="shared" ca="1" si="471"/>
        <v>46050</v>
      </c>
      <c r="AJ3410" s="210">
        <f t="shared" ca="1" si="472"/>
        <v>4.1749999999999998</v>
      </c>
      <c r="AK3410" s="8">
        <f t="shared" ca="1" si="473"/>
        <v>1.0001159722222221</v>
      </c>
      <c r="AL3410" s="98">
        <f t="shared" ca="1" si="474"/>
        <v>4.13555138856323</v>
      </c>
      <c r="AM3410" s="106">
        <f t="shared" ca="1" si="468"/>
        <v>34602.452434976694</v>
      </c>
      <c r="AN3410" s="10">
        <f t="shared" ca="1" si="469"/>
        <v>1.0767643062400856</v>
      </c>
      <c r="AO3410" s="158"/>
      <c r="AP3410" s="158"/>
      <c r="AQ3410" s="1"/>
      <c r="AR3410" s="1"/>
      <c r="AS3410" s="1"/>
      <c r="AT3410" s="1"/>
      <c r="AU3410" s="1"/>
    </row>
    <row r="3411" spans="34:47">
      <c r="AH3411" s="6">
        <f t="shared" si="470"/>
        <v>3381</v>
      </c>
      <c r="AI3411" s="7">
        <f t="shared" ca="1" si="471"/>
        <v>46051</v>
      </c>
      <c r="AJ3411" s="210">
        <f t="shared" ca="1" si="472"/>
        <v>4.1749999999999998</v>
      </c>
      <c r="AK3411" s="8">
        <f t="shared" ca="1" si="473"/>
        <v>1.0001159722222221</v>
      </c>
      <c r="AL3411" s="98">
        <f t="shared" ca="1" si="474"/>
        <v>4.1356069572156651</v>
      </c>
      <c r="AM3411" s="106">
        <f t="shared" ca="1" si="468"/>
        <v>34605.303727895509</v>
      </c>
      <c r="AN3411" s="10">
        <f t="shared" ca="1" si="469"/>
        <v>1.0768104058889616</v>
      </c>
      <c r="AO3411" s="158"/>
      <c r="AP3411" s="158"/>
      <c r="AQ3411" s="1"/>
      <c r="AR3411" s="1"/>
      <c r="AS3411" s="1"/>
      <c r="AT3411" s="1"/>
      <c r="AU3411" s="1"/>
    </row>
    <row r="3412" spans="34:47">
      <c r="AH3412" s="6">
        <f t="shared" si="470"/>
        <v>3382</v>
      </c>
      <c r="AI3412" s="7">
        <f t="shared" ca="1" si="471"/>
        <v>46052</v>
      </c>
      <c r="AJ3412" s="210">
        <f t="shared" ca="1" si="472"/>
        <v>4.1749999999999998</v>
      </c>
      <c r="AK3412" s="8">
        <f t="shared" ca="1" si="473"/>
        <v>1.0001159722222221</v>
      </c>
      <c r="AL3412" s="98">
        <f t="shared" ca="1" si="474"/>
        <v>4.1356624930363184</v>
      </c>
      <c r="AM3412" s="106">
        <f t="shared" ca="1" si="468"/>
        <v>34608.15525576505</v>
      </c>
      <c r="AN3412" s="10">
        <f t="shared" ca="1" si="469"/>
        <v>1.0768564782970724</v>
      </c>
      <c r="AO3412" s="158"/>
      <c r="AP3412" s="158"/>
      <c r="AQ3412" s="1"/>
      <c r="AR3412" s="1"/>
      <c r="AS3412" s="1"/>
      <c r="AT3412" s="1"/>
      <c r="AU3412" s="1"/>
    </row>
    <row r="3413" spans="34:47">
      <c r="AH3413" s="6">
        <f t="shared" si="470"/>
        <v>3383</v>
      </c>
      <c r="AI3413" s="7">
        <f t="shared" ca="1" si="471"/>
        <v>46053</v>
      </c>
      <c r="AJ3413" s="210">
        <f t="shared" ca="1" si="472"/>
        <v>4.1749999999999998</v>
      </c>
      <c r="AK3413" s="8">
        <f t="shared" ca="1" si="473"/>
        <v>1.0001159722222221</v>
      </c>
      <c r="AL3413" s="98">
        <f t="shared" ca="1" si="474"/>
        <v>4.1357179960542778</v>
      </c>
      <c r="AM3413" s="106">
        <f t="shared" ca="1" si="468"/>
        <v>34611.007018604672</v>
      </c>
      <c r="AN3413" s="10">
        <f t="shared" ca="1" si="469"/>
        <v>1.0769025234885543</v>
      </c>
      <c r="AO3413" s="158"/>
      <c r="AP3413" s="158"/>
      <c r="AQ3413" s="1"/>
      <c r="AR3413" s="1"/>
      <c r="AS3413" s="1"/>
      <c r="AT3413" s="1"/>
      <c r="AU3413" s="1"/>
    </row>
    <row r="3414" spans="34:47">
      <c r="AH3414" s="6">
        <f t="shared" si="470"/>
        <v>3384</v>
      </c>
      <c r="AI3414" s="7">
        <f t="shared" ca="1" si="471"/>
        <v>46054</v>
      </c>
      <c r="AJ3414" s="210">
        <f t="shared" ca="1" si="472"/>
        <v>4.1749999999999998</v>
      </c>
      <c r="AK3414" s="8">
        <f t="shared" ca="1" si="473"/>
        <v>1.0001159722222221</v>
      </c>
      <c r="AL3414" s="98">
        <f t="shared" ca="1" si="474"/>
        <v>4.1357734662985868</v>
      </c>
      <c r="AM3414" s="106">
        <f t="shared" ca="1" si="468"/>
        <v>34613.859016433751</v>
      </c>
      <c r="AN3414" s="10">
        <f t="shared" ca="1" si="469"/>
        <v>1.0769485414875435</v>
      </c>
      <c r="AO3414" s="158"/>
      <c r="AP3414" s="158"/>
      <c r="AQ3414" s="1"/>
      <c r="AR3414" s="1"/>
      <c r="AS3414" s="1"/>
      <c r="AT3414" s="1"/>
      <c r="AU3414" s="1"/>
    </row>
    <row r="3415" spans="34:47">
      <c r="AH3415" s="6">
        <f t="shared" si="470"/>
        <v>3385</v>
      </c>
      <c r="AI3415" s="7">
        <f t="shared" ca="1" si="471"/>
        <v>46055</v>
      </c>
      <c r="AJ3415" s="210">
        <f t="shared" ca="1" si="472"/>
        <v>4.1749999999999998</v>
      </c>
      <c r="AK3415" s="8">
        <f t="shared" ca="1" si="473"/>
        <v>1.0001159722222221</v>
      </c>
      <c r="AL3415" s="98">
        <f t="shared" ca="1" si="474"/>
        <v>4.1358289037982665</v>
      </c>
      <c r="AM3415" s="106">
        <f t="shared" ca="1" si="468"/>
        <v>34616.711249271626</v>
      </c>
      <c r="AN3415" s="10">
        <f t="shared" ca="1" si="469"/>
        <v>1.0769945323180874</v>
      </c>
      <c r="AO3415" s="158"/>
      <c r="AP3415" s="158"/>
      <c r="AQ3415" s="1"/>
      <c r="AR3415" s="1"/>
      <c r="AS3415" s="1"/>
      <c r="AT3415" s="1"/>
      <c r="AU3415" s="1"/>
    </row>
    <row r="3416" spans="34:47">
      <c r="AH3416" s="6">
        <f t="shared" si="470"/>
        <v>3386</v>
      </c>
      <c r="AI3416" s="7">
        <f t="shared" ca="1" si="471"/>
        <v>46056</v>
      </c>
      <c r="AJ3416" s="210">
        <f t="shared" ca="1" si="472"/>
        <v>4.1749999999999998</v>
      </c>
      <c r="AK3416" s="8">
        <f t="shared" ca="1" si="473"/>
        <v>1.0001159722222221</v>
      </c>
      <c r="AL3416" s="98">
        <f t="shared" ca="1" si="474"/>
        <v>4.135884308582316</v>
      </c>
      <c r="AM3416" s="106">
        <f t="shared" ca="1" si="468"/>
        <v>34619.563717137687</v>
      </c>
      <c r="AN3416" s="10">
        <f t="shared" ca="1" si="469"/>
        <v>1.0770404960042557</v>
      </c>
      <c r="AO3416" s="158"/>
      <c r="AP3416" s="158"/>
      <c r="AQ3416" s="1"/>
      <c r="AR3416" s="1"/>
      <c r="AS3416" s="1"/>
      <c r="AT3416" s="1"/>
      <c r="AU3416" s="1"/>
    </row>
    <row r="3417" spans="34:47">
      <c r="AH3417" s="6">
        <f t="shared" si="470"/>
        <v>3387</v>
      </c>
      <c r="AI3417" s="7">
        <f t="shared" ca="1" si="471"/>
        <v>46057</v>
      </c>
      <c r="AJ3417" s="210">
        <f t="shared" ca="1" si="472"/>
        <v>4.1749999999999998</v>
      </c>
      <c r="AK3417" s="8">
        <f t="shared" ca="1" si="473"/>
        <v>1.0001159722222221</v>
      </c>
      <c r="AL3417" s="98">
        <f t="shared" ca="1" si="474"/>
        <v>4.1359396806796678</v>
      </c>
      <c r="AM3417" s="106">
        <f t="shared" ca="1" si="468"/>
        <v>34622.41642005129</v>
      </c>
      <c r="AN3417" s="10">
        <f t="shared" ca="1" si="469"/>
        <v>1.0770864325700735</v>
      </c>
      <c r="AO3417" s="158"/>
      <c r="AP3417" s="158"/>
      <c r="AQ3417" s="1"/>
      <c r="AR3417" s="1"/>
      <c r="AS3417" s="1"/>
      <c r="AT3417" s="1"/>
      <c r="AU3417" s="1"/>
    </row>
    <row r="3418" spans="34:47">
      <c r="AH3418" s="6">
        <f t="shared" si="470"/>
        <v>3388</v>
      </c>
      <c r="AI3418" s="7">
        <f t="shared" ca="1" si="471"/>
        <v>46058</v>
      </c>
      <c r="AJ3418" s="210">
        <f t="shared" ca="1" si="472"/>
        <v>4.1749999999999998</v>
      </c>
      <c r="AK3418" s="8">
        <f t="shared" ca="1" si="473"/>
        <v>1.0001159722222221</v>
      </c>
      <c r="AL3418" s="98">
        <f t="shared" ca="1" si="474"/>
        <v>4.1359950201192541</v>
      </c>
      <c r="AM3418" s="106">
        <f t="shared" ca="1" si="468"/>
        <v>34625.269358031808</v>
      </c>
      <c r="AN3418" s="10">
        <f t="shared" ca="1" si="469"/>
        <v>1.0771323420395218</v>
      </c>
      <c r="AO3418" s="158"/>
      <c r="AP3418" s="158"/>
      <c r="AQ3418" s="1"/>
      <c r="AR3418" s="1"/>
      <c r="AS3418" s="1"/>
      <c r="AT3418" s="1"/>
      <c r="AU3418" s="1"/>
    </row>
    <row r="3419" spans="34:47">
      <c r="AH3419" s="6">
        <f t="shared" si="470"/>
        <v>3389</v>
      </c>
      <c r="AI3419" s="7">
        <f t="shared" ca="1" si="471"/>
        <v>46059</v>
      </c>
      <c r="AJ3419" s="210">
        <f t="shared" ca="1" si="472"/>
        <v>4.1749999999999998</v>
      </c>
      <c r="AK3419" s="8">
        <f t="shared" ca="1" si="473"/>
        <v>1.0001159722222221</v>
      </c>
      <c r="AL3419" s="98">
        <f t="shared" ca="1" si="474"/>
        <v>4.1360503269299409</v>
      </c>
      <c r="AM3419" s="106">
        <f t="shared" ca="1" si="468"/>
        <v>34628.122531098605</v>
      </c>
      <c r="AN3419" s="10">
        <f t="shared" ca="1" si="469"/>
        <v>1.0771782244365813</v>
      </c>
      <c r="AO3419" s="158"/>
      <c r="AP3419" s="158"/>
      <c r="AQ3419" s="1"/>
      <c r="AR3419" s="1"/>
      <c r="AS3419" s="1"/>
      <c r="AT3419" s="1"/>
      <c r="AU3419" s="1"/>
    </row>
    <row r="3420" spans="34:47">
      <c r="AH3420" s="6">
        <f t="shared" si="470"/>
        <v>3390</v>
      </c>
      <c r="AI3420" s="7">
        <f t="shared" ca="1" si="471"/>
        <v>46060</v>
      </c>
      <c r="AJ3420" s="210">
        <f t="shared" ca="1" si="472"/>
        <v>4.1749999999999998</v>
      </c>
      <c r="AK3420" s="8">
        <f t="shared" ca="1" si="473"/>
        <v>1.0001159722222221</v>
      </c>
      <c r="AL3420" s="98">
        <f t="shared" ca="1" si="474"/>
        <v>4.1361056011405939</v>
      </c>
      <c r="AM3420" s="106">
        <f t="shared" ca="1" si="468"/>
        <v>34630.975939271048</v>
      </c>
      <c r="AN3420" s="10">
        <f t="shared" ca="1" si="469"/>
        <v>1.0772240797851884</v>
      </c>
      <c r="AO3420" s="158"/>
      <c r="AP3420" s="158"/>
      <c r="AQ3420" s="1"/>
      <c r="AR3420" s="1"/>
      <c r="AS3420" s="1"/>
      <c r="AT3420" s="1"/>
      <c r="AU3420" s="1"/>
    </row>
    <row r="3421" spans="34:47">
      <c r="AH3421" s="6">
        <f t="shared" si="470"/>
        <v>3391</v>
      </c>
      <c r="AI3421" s="7">
        <f t="shared" ca="1" si="471"/>
        <v>46061</v>
      </c>
      <c r="AJ3421" s="210">
        <f t="shared" ca="1" si="472"/>
        <v>4.1749999999999998</v>
      </c>
      <c r="AK3421" s="8">
        <f t="shared" ca="1" si="473"/>
        <v>1.0001159722222221</v>
      </c>
      <c r="AL3421" s="98">
        <f t="shared" ca="1" si="474"/>
        <v>4.1361608427800345</v>
      </c>
      <c r="AM3421" s="106">
        <f t="shared" ca="1" si="468"/>
        <v>34633.829582568535</v>
      </c>
      <c r="AN3421" s="10">
        <f t="shared" ca="1" si="469"/>
        <v>1.0772699081092796</v>
      </c>
      <c r="AO3421" s="158"/>
      <c r="AP3421" s="158"/>
      <c r="AQ3421" s="1"/>
      <c r="AR3421" s="1"/>
      <c r="AS3421" s="1"/>
      <c r="AT3421" s="1"/>
      <c r="AU3421" s="1"/>
    </row>
    <row r="3422" spans="34:47">
      <c r="AH3422" s="6">
        <f t="shared" si="470"/>
        <v>3392</v>
      </c>
      <c r="AI3422" s="7">
        <f t="shared" ca="1" si="471"/>
        <v>46062</v>
      </c>
      <c r="AJ3422" s="210">
        <f t="shared" ca="1" si="472"/>
        <v>4.1749999999999998</v>
      </c>
      <c r="AK3422" s="8">
        <f t="shared" ca="1" si="473"/>
        <v>1.0001159722222221</v>
      </c>
      <c r="AL3422" s="98">
        <f t="shared" ca="1" si="474"/>
        <v>4.1362160518770175</v>
      </c>
      <c r="AM3422" s="106">
        <f t="shared" ca="1" si="468"/>
        <v>34636.683461010405</v>
      </c>
      <c r="AN3422" s="10">
        <f t="shared" ca="1" si="469"/>
        <v>1.0773157094326802</v>
      </c>
      <c r="AO3422" s="158"/>
      <c r="AP3422" s="158"/>
      <c r="AQ3422" s="1"/>
      <c r="AR3422" s="1"/>
      <c r="AS3422" s="1"/>
      <c r="AT3422" s="1"/>
      <c r="AU3422" s="1"/>
    </row>
    <row r="3423" spans="34:47">
      <c r="AH3423" s="6">
        <f t="shared" si="470"/>
        <v>3393</v>
      </c>
      <c r="AI3423" s="7">
        <f t="shared" ca="1" si="471"/>
        <v>46063</v>
      </c>
      <c r="AJ3423" s="210">
        <f t="shared" ca="1" si="472"/>
        <v>4.1749999999999998</v>
      </c>
      <c r="AK3423" s="8">
        <f t="shared" ca="1" si="473"/>
        <v>1.0001159722222221</v>
      </c>
      <c r="AL3423" s="98">
        <f t="shared" ca="1" si="474"/>
        <v>4.1362712284603198</v>
      </c>
      <c r="AM3423" s="106">
        <f t="shared" ref="AM3423:AM3486" ca="1" si="475">Geom_Interp(AI3423,$AZ$2:$AZ$109,$BA$2:$BA$109)</f>
        <v>34639.537574616057</v>
      </c>
      <c r="AN3423" s="10">
        <f t="shared" ref="AN3423:AN3486" ca="1" si="476">100*(((1+AL3423/100)^(AH3423/365)*$AM$29/AM3423)^(365/AH3423)-1)</f>
        <v>1.0773614837793044</v>
      </c>
      <c r="AO3423" s="158"/>
      <c r="AP3423" s="158"/>
      <c r="AQ3423" s="1"/>
      <c r="AR3423" s="1"/>
      <c r="AS3423" s="1"/>
      <c r="AT3423" s="1"/>
      <c r="AU3423" s="1"/>
    </row>
    <row r="3424" spans="34:47">
      <c r="AH3424" s="6">
        <f t="shared" ref="AH3424:AH3487" si="477">$AI$29+AH3423</f>
        <v>3394</v>
      </c>
      <c r="AI3424" s="7">
        <f t="shared" ref="AI3424:AI3487" ca="1" si="478">+AH3424+$C$1</f>
        <v>46064</v>
      </c>
      <c r="AJ3424" s="210">
        <f t="shared" ref="AJ3424:AJ3487" ca="1" si="479">IF(AH3424&lt;365,VLOOKUP(LOOKUP(AI3424,$AI$2:$AI$23),$AI$2:$AK$23,3,0),Lin_Interp(AH3424,$AJ$2:$AJ$23,$AK$2:$AK$23))</f>
        <v>4.1749999999999998</v>
      </c>
      <c r="AK3424" s="8">
        <f t="shared" ca="1" si="473"/>
        <v>1.0001159722222221</v>
      </c>
      <c r="AL3424" s="98">
        <f t="shared" ca="1" si="474"/>
        <v>4.1363263725586297</v>
      </c>
      <c r="AM3424" s="106">
        <f t="shared" ca="1" si="475"/>
        <v>34642.391923404859</v>
      </c>
      <c r="AN3424" s="10">
        <f t="shared" ca="1" si="476"/>
        <v>1.0774072311729332</v>
      </c>
      <c r="AO3424" s="158"/>
      <c r="AP3424" s="158"/>
      <c r="AQ3424" s="1"/>
      <c r="AR3424" s="1"/>
      <c r="AS3424" s="1"/>
      <c r="AT3424" s="1"/>
      <c r="AU3424" s="1"/>
    </row>
    <row r="3425" spans="34:47">
      <c r="AH3425" s="6">
        <f t="shared" si="477"/>
        <v>3395</v>
      </c>
      <c r="AI3425" s="7">
        <f t="shared" ca="1" si="478"/>
        <v>46065</v>
      </c>
      <c r="AJ3425" s="210">
        <f t="shared" ca="1" si="479"/>
        <v>4.1749999999999998</v>
      </c>
      <c r="AK3425" s="8">
        <f t="shared" ref="AK3425:AK3488" ca="1" si="480">+(1+AJ3425/36000)</f>
        <v>1.0001159722222221</v>
      </c>
      <c r="AL3425" s="98">
        <f t="shared" ref="AL3425:AL3488" ca="1" si="481">100*(((1+AL3424/100)^(AH3424/365)*AK3425)^(365/AH3425)-1)</f>
        <v>4.1363814842006352</v>
      </c>
      <c r="AM3425" s="106">
        <f t="shared" ca="1" si="475"/>
        <v>34645.246507396201</v>
      </c>
      <c r="AN3425" s="10">
        <f t="shared" ca="1" si="476"/>
        <v>1.0774529516373921</v>
      </c>
      <c r="AO3425" s="158"/>
      <c r="AP3425" s="158"/>
      <c r="AQ3425" s="1"/>
      <c r="AR3425" s="1"/>
      <c r="AS3425" s="1"/>
      <c r="AT3425" s="1"/>
      <c r="AU3425" s="1"/>
    </row>
    <row r="3426" spans="34:47">
      <c r="AH3426" s="6">
        <f t="shared" si="477"/>
        <v>3396</v>
      </c>
      <c r="AI3426" s="7">
        <f t="shared" ca="1" si="478"/>
        <v>46066</v>
      </c>
      <c r="AJ3426" s="210">
        <f t="shared" ca="1" si="479"/>
        <v>4.1749999999999998</v>
      </c>
      <c r="AK3426" s="8">
        <f t="shared" ca="1" si="480"/>
        <v>1.0001159722222221</v>
      </c>
      <c r="AL3426" s="98">
        <f t="shared" ca="1" si="481"/>
        <v>4.1364365634149802</v>
      </c>
      <c r="AM3426" s="106">
        <f t="shared" ca="1" si="475"/>
        <v>34648.10132660946</v>
      </c>
      <c r="AN3426" s="10">
        <f t="shared" ca="1" si="476"/>
        <v>1.0774986451964397</v>
      </c>
      <c r="AO3426" s="158"/>
      <c r="AP3426" s="158"/>
      <c r="AQ3426" s="1"/>
      <c r="AR3426" s="1"/>
      <c r="AS3426" s="1"/>
      <c r="AT3426" s="1"/>
      <c r="AU3426" s="1"/>
    </row>
    <row r="3427" spans="34:47">
      <c r="AH3427" s="6">
        <f t="shared" si="477"/>
        <v>3397</v>
      </c>
      <c r="AI3427" s="7">
        <f t="shared" ca="1" si="478"/>
        <v>46067</v>
      </c>
      <c r="AJ3427" s="210">
        <f t="shared" ca="1" si="479"/>
        <v>4.1749999999999998</v>
      </c>
      <c r="AK3427" s="8">
        <f t="shared" ca="1" si="480"/>
        <v>1.0001159722222221</v>
      </c>
      <c r="AL3427" s="98">
        <f t="shared" ca="1" si="481"/>
        <v>4.1364916102302862</v>
      </c>
      <c r="AM3427" s="106">
        <f t="shared" ca="1" si="475"/>
        <v>34650.956381064003</v>
      </c>
      <c r="AN3427" s="10">
        <f t="shared" ca="1" si="476"/>
        <v>1.0775443118738348</v>
      </c>
      <c r="AO3427" s="158"/>
      <c r="AP3427" s="158"/>
      <c r="AQ3427" s="1"/>
      <c r="AR3427" s="1"/>
      <c r="AS3427" s="1"/>
      <c r="AT3427" s="1"/>
      <c r="AU3427" s="1"/>
    </row>
    <row r="3428" spans="34:47">
      <c r="AH3428" s="6">
        <f t="shared" si="477"/>
        <v>3398</v>
      </c>
      <c r="AI3428" s="7">
        <f t="shared" ca="1" si="478"/>
        <v>46068</v>
      </c>
      <c r="AJ3428" s="210">
        <f t="shared" ca="1" si="479"/>
        <v>4.1749999999999998</v>
      </c>
      <c r="AK3428" s="8">
        <f t="shared" ca="1" si="480"/>
        <v>1.0001159722222221</v>
      </c>
      <c r="AL3428" s="98">
        <f t="shared" ca="1" si="481"/>
        <v>4.1365466246751303</v>
      </c>
      <c r="AM3428" s="106">
        <f t="shared" ca="1" si="475"/>
        <v>34653.811670779243</v>
      </c>
      <c r="AN3428" s="10">
        <f t="shared" ca="1" si="476"/>
        <v>1.0775899516932697</v>
      </c>
      <c r="AO3428" s="158"/>
      <c r="AP3428" s="158"/>
      <c r="AQ3428" s="1"/>
      <c r="AR3428" s="1"/>
      <c r="AS3428" s="1"/>
      <c r="AT3428" s="1"/>
      <c r="AU3428" s="1"/>
    </row>
    <row r="3429" spans="34:47">
      <c r="AH3429" s="6">
        <f t="shared" si="477"/>
        <v>3399</v>
      </c>
      <c r="AI3429" s="7">
        <f t="shared" ca="1" si="478"/>
        <v>46069</v>
      </c>
      <c r="AJ3429" s="210">
        <f t="shared" ca="1" si="479"/>
        <v>4.1749999999999998</v>
      </c>
      <c r="AK3429" s="8">
        <f t="shared" ca="1" si="480"/>
        <v>1.0001159722222221</v>
      </c>
      <c r="AL3429" s="98">
        <f t="shared" ca="1" si="481"/>
        <v>4.1366016067780453</v>
      </c>
      <c r="AM3429" s="106">
        <f t="shared" ca="1" si="475"/>
        <v>34656.667195774542</v>
      </c>
      <c r="AN3429" s="10">
        <f t="shared" ca="1" si="476"/>
        <v>1.0776355646784586</v>
      </c>
      <c r="AO3429" s="158"/>
      <c r="AP3429" s="158"/>
      <c r="AQ3429" s="1"/>
      <c r="AR3429" s="1"/>
      <c r="AS3429" s="1"/>
      <c r="AT3429" s="1"/>
      <c r="AU3429" s="1"/>
    </row>
    <row r="3430" spans="34:47">
      <c r="AH3430" s="6">
        <f t="shared" si="477"/>
        <v>3400</v>
      </c>
      <c r="AI3430" s="7">
        <f t="shared" ca="1" si="478"/>
        <v>46070</v>
      </c>
      <c r="AJ3430" s="210">
        <f t="shared" ca="1" si="479"/>
        <v>4.1749999999999998</v>
      </c>
      <c r="AK3430" s="8">
        <f t="shared" ca="1" si="480"/>
        <v>1.0001159722222221</v>
      </c>
      <c r="AL3430" s="98">
        <f t="shared" ca="1" si="481"/>
        <v>4.1366565565675639</v>
      </c>
      <c r="AM3430" s="106">
        <f t="shared" ca="1" si="475"/>
        <v>34659.522956069297</v>
      </c>
      <c r="AN3430" s="10">
        <f t="shared" ca="1" si="476"/>
        <v>1.0776811508530493</v>
      </c>
      <c r="AO3430" s="158"/>
      <c r="AP3430" s="158"/>
      <c r="AQ3430" s="1"/>
      <c r="AR3430" s="1"/>
      <c r="AS3430" s="1"/>
      <c r="AT3430" s="1"/>
      <c r="AU3430" s="1"/>
    </row>
    <row r="3431" spans="34:47">
      <c r="AH3431" s="6">
        <f t="shared" si="477"/>
        <v>3401</v>
      </c>
      <c r="AI3431" s="7">
        <f t="shared" ca="1" si="478"/>
        <v>46071</v>
      </c>
      <c r="AJ3431" s="210">
        <f t="shared" ca="1" si="479"/>
        <v>4.1749999999999998</v>
      </c>
      <c r="AK3431" s="8">
        <f t="shared" ca="1" si="480"/>
        <v>1.0001159722222221</v>
      </c>
      <c r="AL3431" s="98">
        <f t="shared" ca="1" si="481"/>
        <v>4.1367114740721522</v>
      </c>
      <c r="AM3431" s="106">
        <f t="shared" ca="1" si="475"/>
        <v>34662.378951682898</v>
      </c>
      <c r="AN3431" s="10">
        <f t="shared" ca="1" si="476"/>
        <v>1.0777267102406451</v>
      </c>
      <c r="AO3431" s="158"/>
      <c r="AP3431" s="158"/>
      <c r="AQ3431" s="1"/>
      <c r="AR3431" s="1"/>
      <c r="AS3431" s="1"/>
      <c r="AT3431" s="1"/>
      <c r="AU3431" s="1"/>
    </row>
    <row r="3432" spans="34:47">
      <c r="AH3432" s="6">
        <f t="shared" si="477"/>
        <v>3402</v>
      </c>
      <c r="AI3432" s="7">
        <f t="shared" ca="1" si="478"/>
        <v>46072</v>
      </c>
      <c r="AJ3432" s="210">
        <f t="shared" ca="1" si="479"/>
        <v>4.1749999999999998</v>
      </c>
      <c r="AK3432" s="8">
        <f t="shared" ca="1" si="480"/>
        <v>1.0001159722222221</v>
      </c>
      <c r="AL3432" s="98">
        <f t="shared" ca="1" si="481"/>
        <v>4.1367663593202542</v>
      </c>
      <c r="AM3432" s="106">
        <f t="shared" ca="1" si="475"/>
        <v>34665.235182634737</v>
      </c>
      <c r="AN3432" s="10">
        <f t="shared" ca="1" si="476"/>
        <v>1.0777722428648939</v>
      </c>
      <c r="AO3432" s="158"/>
      <c r="AP3432" s="158"/>
      <c r="AQ3432" s="1"/>
      <c r="AR3432" s="1"/>
      <c r="AS3432" s="1"/>
      <c r="AT3432" s="1"/>
      <c r="AU3432" s="1"/>
    </row>
    <row r="3433" spans="34:47">
      <c r="AH3433" s="6">
        <f t="shared" si="477"/>
        <v>3403</v>
      </c>
      <c r="AI3433" s="7">
        <f t="shared" ca="1" si="478"/>
        <v>46073</v>
      </c>
      <c r="AJ3433" s="210">
        <f t="shared" ca="1" si="479"/>
        <v>4.1749999999999998</v>
      </c>
      <c r="AK3433" s="8">
        <f t="shared" ca="1" si="480"/>
        <v>1.0001159722222221</v>
      </c>
      <c r="AL3433" s="98">
        <f t="shared" ca="1" si="481"/>
        <v>4.1368212123402692</v>
      </c>
      <c r="AM3433" s="106">
        <f t="shared" ca="1" si="475"/>
        <v>34668.091648944195</v>
      </c>
      <c r="AN3433" s="10">
        <f t="shared" ca="1" si="476"/>
        <v>1.0778177487493545</v>
      </c>
      <c r="AO3433" s="158"/>
      <c r="AP3433" s="158"/>
      <c r="AQ3433" s="1"/>
      <c r="AR3433" s="1"/>
      <c r="AS3433" s="1"/>
      <c r="AT3433" s="1"/>
      <c r="AU3433" s="1"/>
    </row>
    <row r="3434" spans="34:47">
      <c r="AH3434" s="6">
        <f t="shared" si="477"/>
        <v>3404</v>
      </c>
      <c r="AI3434" s="7">
        <f t="shared" ca="1" si="478"/>
        <v>46074</v>
      </c>
      <c r="AJ3434" s="210">
        <f t="shared" ca="1" si="479"/>
        <v>4.1749999999999998</v>
      </c>
      <c r="AK3434" s="8">
        <f t="shared" ca="1" si="480"/>
        <v>1.0001159722222221</v>
      </c>
      <c r="AL3434" s="98">
        <f t="shared" ca="1" si="481"/>
        <v>4.1368760331605969</v>
      </c>
      <c r="AM3434" s="106">
        <f t="shared" ca="1" si="475"/>
        <v>34670.948350630679</v>
      </c>
      <c r="AN3434" s="10">
        <f t="shared" ca="1" si="476"/>
        <v>1.0778632279175637</v>
      </c>
      <c r="AO3434" s="158"/>
      <c r="AP3434" s="158"/>
      <c r="AQ3434" s="1"/>
      <c r="AR3434" s="1"/>
      <c r="AS3434" s="1"/>
      <c r="AT3434" s="1"/>
      <c r="AU3434" s="1"/>
    </row>
    <row r="3435" spans="34:47">
      <c r="AH3435" s="6">
        <f t="shared" si="477"/>
        <v>3405</v>
      </c>
      <c r="AI3435" s="7">
        <f t="shared" ca="1" si="478"/>
        <v>46075</v>
      </c>
      <c r="AJ3435" s="210">
        <f t="shared" ca="1" si="479"/>
        <v>4.1749999999999998</v>
      </c>
      <c r="AK3435" s="8">
        <f t="shared" ca="1" si="480"/>
        <v>1.0001159722222221</v>
      </c>
      <c r="AL3435" s="98">
        <f t="shared" ca="1" si="481"/>
        <v>4.1369308218095702</v>
      </c>
      <c r="AM3435" s="106">
        <f t="shared" ca="1" si="475"/>
        <v>34673.805287713578</v>
      </c>
      <c r="AN3435" s="10">
        <f t="shared" ca="1" si="476"/>
        <v>1.0779086803930582</v>
      </c>
      <c r="AO3435" s="158"/>
      <c r="AP3435" s="158"/>
      <c r="AQ3435" s="1"/>
      <c r="AR3435" s="1"/>
      <c r="AS3435" s="1"/>
      <c r="AT3435" s="1"/>
      <c r="AU3435" s="1"/>
    </row>
    <row r="3436" spans="34:47">
      <c r="AH3436" s="6">
        <f t="shared" si="477"/>
        <v>3406</v>
      </c>
      <c r="AI3436" s="7">
        <f t="shared" ca="1" si="478"/>
        <v>46076</v>
      </c>
      <c r="AJ3436" s="210">
        <f t="shared" ca="1" si="479"/>
        <v>4.1749999999999998</v>
      </c>
      <c r="AK3436" s="8">
        <f t="shared" ca="1" si="480"/>
        <v>1.0001159722222221</v>
      </c>
      <c r="AL3436" s="98">
        <f t="shared" ca="1" si="481"/>
        <v>4.1369855783154996</v>
      </c>
      <c r="AM3436" s="106">
        <f t="shared" ca="1" si="475"/>
        <v>34676.66246021229</v>
      </c>
      <c r="AN3436" s="10">
        <f t="shared" ca="1" si="476"/>
        <v>1.0779541061993303</v>
      </c>
      <c r="AO3436" s="158"/>
      <c r="AP3436" s="158"/>
      <c r="AQ3436" s="1"/>
      <c r="AR3436" s="1"/>
      <c r="AS3436" s="1"/>
      <c r="AT3436" s="1"/>
      <c r="AU3436" s="1"/>
    </row>
    <row r="3437" spans="34:47">
      <c r="AH3437" s="6">
        <f t="shared" si="477"/>
        <v>3407</v>
      </c>
      <c r="AI3437" s="7">
        <f t="shared" ca="1" si="478"/>
        <v>46077</v>
      </c>
      <c r="AJ3437" s="210">
        <f t="shared" ca="1" si="479"/>
        <v>4.1749999999999998</v>
      </c>
      <c r="AK3437" s="8">
        <f t="shared" ca="1" si="480"/>
        <v>1.0001159722222221</v>
      </c>
      <c r="AL3437" s="98">
        <f t="shared" ca="1" si="481"/>
        <v>4.1370403027066516</v>
      </c>
      <c r="AM3437" s="106">
        <f t="shared" ca="1" si="475"/>
        <v>34679.519868146213</v>
      </c>
      <c r="AN3437" s="10">
        <f t="shared" ca="1" si="476"/>
        <v>1.0779995053598057</v>
      </c>
      <c r="AO3437" s="158"/>
      <c r="AP3437" s="158"/>
      <c r="AQ3437" s="1"/>
      <c r="AR3437" s="1"/>
      <c r="AS3437" s="1"/>
      <c r="AT3437" s="1"/>
      <c r="AU3437" s="1"/>
    </row>
    <row r="3438" spans="34:47">
      <c r="AH3438" s="6">
        <f t="shared" si="477"/>
        <v>3408</v>
      </c>
      <c r="AI3438" s="7">
        <f t="shared" ca="1" si="478"/>
        <v>46078</v>
      </c>
      <c r="AJ3438" s="210">
        <f t="shared" ca="1" si="479"/>
        <v>4.1749999999999998</v>
      </c>
      <c r="AK3438" s="8">
        <f t="shared" ca="1" si="480"/>
        <v>1.0001159722222221</v>
      </c>
      <c r="AL3438" s="98">
        <f t="shared" ca="1" si="481"/>
        <v>4.1370949950112923</v>
      </c>
      <c r="AM3438" s="106">
        <f t="shared" ca="1" si="475"/>
        <v>34682.377511534745</v>
      </c>
      <c r="AN3438" s="10">
        <f t="shared" ca="1" si="476"/>
        <v>1.0780448778979768</v>
      </c>
      <c r="AO3438" s="158"/>
      <c r="AP3438" s="158"/>
      <c r="AQ3438" s="1"/>
      <c r="AR3438" s="1"/>
      <c r="AS3438" s="1"/>
      <c r="AT3438" s="1"/>
      <c r="AU3438" s="1"/>
    </row>
    <row r="3439" spans="34:47">
      <c r="AH3439" s="6">
        <f t="shared" si="477"/>
        <v>3409</v>
      </c>
      <c r="AI3439" s="7">
        <f t="shared" ca="1" si="478"/>
        <v>46079</v>
      </c>
      <c r="AJ3439" s="210">
        <f t="shared" ca="1" si="479"/>
        <v>4.1749999999999998</v>
      </c>
      <c r="AK3439" s="8">
        <f t="shared" ca="1" si="480"/>
        <v>1.0001159722222221</v>
      </c>
      <c r="AL3439" s="98">
        <f t="shared" ca="1" si="481"/>
        <v>4.1371496552576215</v>
      </c>
      <c r="AM3439" s="106">
        <f t="shared" ca="1" si="475"/>
        <v>34685.235390397291</v>
      </c>
      <c r="AN3439" s="10">
        <f t="shared" ca="1" si="476"/>
        <v>1.0780902238372247</v>
      </c>
      <c r="AO3439" s="158"/>
      <c r="AP3439" s="158"/>
      <c r="AQ3439" s="1"/>
      <c r="AR3439" s="1"/>
      <c r="AS3439" s="1"/>
      <c r="AT3439" s="1"/>
      <c r="AU3439" s="1"/>
    </row>
    <row r="3440" spans="34:47">
      <c r="AH3440" s="6">
        <f t="shared" si="477"/>
        <v>3410</v>
      </c>
      <c r="AI3440" s="7">
        <f t="shared" ca="1" si="478"/>
        <v>46080</v>
      </c>
      <c r="AJ3440" s="210">
        <f t="shared" ca="1" si="479"/>
        <v>4.1749999999999998</v>
      </c>
      <c r="AK3440" s="8">
        <f t="shared" ca="1" si="480"/>
        <v>1.0001159722222221</v>
      </c>
      <c r="AL3440" s="98">
        <f t="shared" ca="1" si="481"/>
        <v>4.1372042834738165</v>
      </c>
      <c r="AM3440" s="106">
        <f t="shared" ca="1" si="475"/>
        <v>34688.093504753262</v>
      </c>
      <c r="AN3440" s="10">
        <f t="shared" ca="1" si="476"/>
        <v>1.078135543200931</v>
      </c>
      <c r="AO3440" s="158"/>
      <c r="AP3440" s="158"/>
      <c r="AQ3440" s="1"/>
      <c r="AR3440" s="1"/>
      <c r="AS3440" s="1"/>
      <c r="AT3440" s="1"/>
      <c r="AU3440" s="1"/>
    </row>
    <row r="3441" spans="34:47">
      <c r="AH3441" s="6">
        <f t="shared" si="477"/>
        <v>3411</v>
      </c>
      <c r="AI3441" s="7">
        <f t="shared" ca="1" si="478"/>
        <v>46081</v>
      </c>
      <c r="AJ3441" s="210">
        <f t="shared" ca="1" si="479"/>
        <v>4.1749999999999998</v>
      </c>
      <c r="AK3441" s="8">
        <f t="shared" ca="1" si="480"/>
        <v>1.0001159722222221</v>
      </c>
      <c r="AL3441" s="98">
        <f t="shared" ca="1" si="481"/>
        <v>4.1372588796880327</v>
      </c>
      <c r="AM3441" s="106">
        <f t="shared" ca="1" si="475"/>
        <v>34690.95185462205</v>
      </c>
      <c r="AN3441" s="10">
        <f t="shared" ca="1" si="476"/>
        <v>1.0781808360124767</v>
      </c>
      <c r="AO3441" s="158"/>
      <c r="AP3441" s="158"/>
      <c r="AQ3441" s="1"/>
      <c r="AR3441" s="1"/>
      <c r="AS3441" s="1"/>
      <c r="AT3441" s="1"/>
      <c r="AU3441" s="1"/>
    </row>
    <row r="3442" spans="34:47">
      <c r="AH3442" s="6">
        <f t="shared" si="477"/>
        <v>3412</v>
      </c>
      <c r="AI3442" s="7">
        <f t="shared" ca="1" si="478"/>
        <v>46082</v>
      </c>
      <c r="AJ3442" s="210">
        <f t="shared" ca="1" si="479"/>
        <v>4.1749999999999998</v>
      </c>
      <c r="AK3442" s="8">
        <f t="shared" ca="1" si="480"/>
        <v>1.0001159722222221</v>
      </c>
      <c r="AL3442" s="98">
        <f t="shared" ca="1" si="481"/>
        <v>4.137313443928381</v>
      </c>
      <c r="AM3442" s="106">
        <f t="shared" ca="1" si="475"/>
        <v>34693.810440023066</v>
      </c>
      <c r="AN3442" s="10">
        <f t="shared" ca="1" si="476"/>
        <v>1.0782261022951767</v>
      </c>
      <c r="AO3442" s="158"/>
      <c r="AP3442" s="158"/>
      <c r="AQ3442" s="1"/>
      <c r="AR3442" s="1"/>
      <c r="AS3442" s="1"/>
      <c r="AT3442" s="1"/>
      <c r="AU3442" s="1"/>
    </row>
    <row r="3443" spans="34:47">
      <c r="AH3443" s="6">
        <f t="shared" si="477"/>
        <v>3413</v>
      </c>
      <c r="AI3443" s="7">
        <f t="shared" ca="1" si="478"/>
        <v>46083</v>
      </c>
      <c r="AJ3443" s="210">
        <f t="shared" ca="1" si="479"/>
        <v>4.1749999999999998</v>
      </c>
      <c r="AK3443" s="8">
        <f t="shared" ca="1" si="480"/>
        <v>1.0001159722222221</v>
      </c>
      <c r="AL3443" s="98">
        <f t="shared" ca="1" si="481"/>
        <v>4.1373679762229276</v>
      </c>
      <c r="AM3443" s="106">
        <f t="shared" ca="1" si="475"/>
        <v>34696.669260975723</v>
      </c>
      <c r="AN3443" s="10">
        <f t="shared" ca="1" si="476"/>
        <v>1.0782713420723011</v>
      </c>
      <c r="AO3443" s="158"/>
      <c r="AP3443" s="158"/>
      <c r="AQ3443" s="1"/>
      <c r="AR3443" s="1"/>
      <c r="AS3443" s="1"/>
      <c r="AT3443" s="1"/>
      <c r="AU3443" s="1"/>
    </row>
    <row r="3444" spans="34:47">
      <c r="AH3444" s="6">
        <f t="shared" si="477"/>
        <v>3414</v>
      </c>
      <c r="AI3444" s="7">
        <f t="shared" ca="1" si="478"/>
        <v>46084</v>
      </c>
      <c r="AJ3444" s="210">
        <f t="shared" ca="1" si="479"/>
        <v>4.1749999999999998</v>
      </c>
      <c r="AK3444" s="8">
        <f t="shared" ca="1" si="480"/>
        <v>1.0001159722222221</v>
      </c>
      <c r="AL3444" s="98">
        <f t="shared" ca="1" si="481"/>
        <v>4.1374224765997392</v>
      </c>
      <c r="AM3444" s="106">
        <f t="shared" ca="1" si="475"/>
        <v>34699.528317499418</v>
      </c>
      <c r="AN3444" s="10">
        <f t="shared" ca="1" si="476"/>
        <v>1.0783165553671648</v>
      </c>
      <c r="AO3444" s="158"/>
      <c r="AP3444" s="158"/>
      <c r="AQ3444" s="1"/>
      <c r="AR3444" s="1"/>
      <c r="AS3444" s="1"/>
      <c r="AT3444" s="1"/>
      <c r="AU3444" s="1"/>
    </row>
    <row r="3445" spans="34:47">
      <c r="AH3445" s="6">
        <f t="shared" si="477"/>
        <v>3415</v>
      </c>
      <c r="AI3445" s="7">
        <f t="shared" ca="1" si="478"/>
        <v>46085</v>
      </c>
      <c r="AJ3445" s="210">
        <f t="shared" ca="1" si="479"/>
        <v>4.1749999999999998</v>
      </c>
      <c r="AK3445" s="8">
        <f t="shared" ca="1" si="480"/>
        <v>1.0001159722222221</v>
      </c>
      <c r="AL3445" s="98">
        <f t="shared" ca="1" si="481"/>
        <v>4.1374769450868154</v>
      </c>
      <c r="AM3445" s="106">
        <f t="shared" ca="1" si="475"/>
        <v>34702.387609613572</v>
      </c>
      <c r="AN3445" s="10">
        <f t="shared" ca="1" si="476"/>
        <v>1.0783617422030156</v>
      </c>
      <c r="AO3445" s="158"/>
      <c r="AP3445" s="158"/>
      <c r="AQ3445" s="1"/>
      <c r="AR3445" s="1"/>
      <c r="AS3445" s="1"/>
      <c r="AT3445" s="1"/>
      <c r="AU3445" s="1"/>
    </row>
    <row r="3446" spans="34:47">
      <c r="AH3446" s="6">
        <f t="shared" si="477"/>
        <v>3416</v>
      </c>
      <c r="AI3446" s="7">
        <f t="shared" ca="1" si="478"/>
        <v>46086</v>
      </c>
      <c r="AJ3446" s="210">
        <f t="shared" ca="1" si="479"/>
        <v>4.1749999999999998</v>
      </c>
      <c r="AK3446" s="8">
        <f t="shared" ca="1" si="480"/>
        <v>1.0001159722222221</v>
      </c>
      <c r="AL3446" s="98">
        <f t="shared" ca="1" si="481"/>
        <v>4.137531381712134</v>
      </c>
      <c r="AM3446" s="106">
        <f t="shared" ca="1" si="475"/>
        <v>34705.247137337603</v>
      </c>
      <c r="AN3446" s="10">
        <f t="shared" ca="1" si="476"/>
        <v>1.0784069026030352</v>
      </c>
      <c r="AO3446" s="158"/>
      <c r="AP3446" s="158"/>
      <c r="AQ3446" s="1"/>
      <c r="AR3446" s="1"/>
      <c r="AS3446" s="1"/>
      <c r="AT3446" s="1"/>
      <c r="AU3446" s="1"/>
    </row>
    <row r="3447" spans="34:47">
      <c r="AH3447" s="6">
        <f t="shared" si="477"/>
        <v>3417</v>
      </c>
      <c r="AI3447" s="7">
        <f t="shared" ca="1" si="478"/>
        <v>46087</v>
      </c>
      <c r="AJ3447" s="210">
        <f t="shared" ca="1" si="479"/>
        <v>4.1749999999999998</v>
      </c>
      <c r="AK3447" s="8">
        <f t="shared" ca="1" si="480"/>
        <v>1.0001159722222221</v>
      </c>
      <c r="AL3447" s="98">
        <f t="shared" ca="1" si="481"/>
        <v>4.1375857865036503</v>
      </c>
      <c r="AM3447" s="106">
        <f t="shared" ca="1" si="475"/>
        <v>34708.106900690924</v>
      </c>
      <c r="AN3447" s="10">
        <f t="shared" ca="1" si="476"/>
        <v>1.0784520365904271</v>
      </c>
      <c r="AO3447" s="158"/>
      <c r="AP3447" s="158"/>
      <c r="AQ3447" s="1"/>
      <c r="AR3447" s="1"/>
      <c r="AS3447" s="1"/>
      <c r="AT3447" s="1"/>
      <c r="AU3447" s="1"/>
    </row>
    <row r="3448" spans="34:47">
      <c r="AH3448" s="6">
        <f t="shared" si="477"/>
        <v>3418</v>
      </c>
      <c r="AI3448" s="7">
        <f t="shared" ca="1" si="478"/>
        <v>46088</v>
      </c>
      <c r="AJ3448" s="210">
        <f t="shared" ca="1" si="479"/>
        <v>4.1749999999999998</v>
      </c>
      <c r="AK3448" s="8">
        <f t="shared" ca="1" si="480"/>
        <v>1.0001159722222221</v>
      </c>
      <c r="AL3448" s="98">
        <f t="shared" ca="1" si="481"/>
        <v>4.1376401594892753</v>
      </c>
      <c r="AM3448" s="106">
        <f t="shared" ca="1" si="475"/>
        <v>34710.966899692939</v>
      </c>
      <c r="AN3448" s="10">
        <f t="shared" ca="1" si="476"/>
        <v>1.0784971441883728</v>
      </c>
      <c r="AO3448" s="158"/>
      <c r="AP3448" s="158"/>
      <c r="AQ3448" s="1"/>
      <c r="AR3448" s="1"/>
      <c r="AS3448" s="1"/>
      <c r="AT3448" s="1"/>
      <c r="AU3448" s="1"/>
    </row>
    <row r="3449" spans="34:47">
      <c r="AH3449" s="6">
        <f t="shared" si="477"/>
        <v>3419</v>
      </c>
      <c r="AI3449" s="7">
        <f t="shared" ca="1" si="478"/>
        <v>46089</v>
      </c>
      <c r="AJ3449" s="210">
        <f t="shared" ca="1" si="479"/>
        <v>4.1749999999999998</v>
      </c>
      <c r="AK3449" s="8">
        <f t="shared" ca="1" si="480"/>
        <v>1.0001159722222221</v>
      </c>
      <c r="AL3449" s="98">
        <f t="shared" ca="1" si="481"/>
        <v>4.1376945006968979</v>
      </c>
      <c r="AM3449" s="106">
        <f t="shared" ca="1" si="475"/>
        <v>34713.827134363077</v>
      </c>
      <c r="AN3449" s="10">
        <f t="shared" ca="1" si="476"/>
        <v>1.0785422254200094</v>
      </c>
      <c r="AO3449" s="158"/>
      <c r="AP3449" s="158"/>
      <c r="AQ3449" s="1"/>
      <c r="AR3449" s="1"/>
      <c r="AS3449" s="1"/>
      <c r="AT3449" s="1"/>
      <c r="AU3449" s="1"/>
    </row>
    <row r="3450" spans="34:47">
      <c r="AH3450" s="6">
        <f t="shared" si="477"/>
        <v>3420</v>
      </c>
      <c r="AI3450" s="7">
        <f t="shared" ca="1" si="478"/>
        <v>46090</v>
      </c>
      <c r="AJ3450" s="210">
        <f t="shared" ca="1" si="479"/>
        <v>4.1749999999999998</v>
      </c>
      <c r="AK3450" s="8">
        <f t="shared" ca="1" si="480"/>
        <v>1.0001159722222221</v>
      </c>
      <c r="AL3450" s="98">
        <f t="shared" ca="1" si="481"/>
        <v>4.1377488101543625</v>
      </c>
      <c r="AM3450" s="106">
        <f t="shared" ca="1" si="475"/>
        <v>34716.687604720748</v>
      </c>
      <c r="AN3450" s="10">
        <f t="shared" ca="1" si="476"/>
        <v>1.0785872803084295</v>
      </c>
      <c r="AO3450" s="158"/>
      <c r="AP3450" s="158"/>
      <c r="AQ3450" s="1"/>
      <c r="AR3450" s="1"/>
      <c r="AS3450" s="1"/>
      <c r="AT3450" s="1"/>
      <c r="AU3450" s="1"/>
    </row>
    <row r="3451" spans="34:47">
      <c r="AH3451" s="6">
        <f t="shared" si="477"/>
        <v>3421</v>
      </c>
      <c r="AI3451" s="7">
        <f t="shared" ca="1" si="478"/>
        <v>46091</v>
      </c>
      <c r="AJ3451" s="210">
        <f t="shared" ca="1" si="479"/>
        <v>4.1749999999999998</v>
      </c>
      <c r="AK3451" s="8">
        <f t="shared" ca="1" si="480"/>
        <v>1.0001159722222221</v>
      </c>
      <c r="AL3451" s="98">
        <f t="shared" ca="1" si="481"/>
        <v>4.1378030878894911</v>
      </c>
      <c r="AM3451" s="106">
        <f t="shared" ca="1" si="475"/>
        <v>34719.548310785387</v>
      </c>
      <c r="AN3451" s="10">
        <f t="shared" ca="1" si="476"/>
        <v>1.0786323088767258</v>
      </c>
      <c r="AO3451" s="158"/>
      <c r="AP3451" s="158"/>
      <c r="AQ3451" s="1"/>
      <c r="AR3451" s="1"/>
      <c r="AS3451" s="1"/>
      <c r="AT3451" s="1"/>
      <c r="AU3451" s="1"/>
    </row>
    <row r="3452" spans="34:47">
      <c r="AH3452" s="6">
        <f t="shared" si="477"/>
        <v>3422</v>
      </c>
      <c r="AI3452" s="7">
        <f t="shared" ca="1" si="478"/>
        <v>46092</v>
      </c>
      <c r="AJ3452" s="210">
        <f t="shared" ca="1" si="479"/>
        <v>4.1749999999999998</v>
      </c>
      <c r="AK3452" s="8">
        <f t="shared" ca="1" si="480"/>
        <v>1.0001159722222221</v>
      </c>
      <c r="AL3452" s="98">
        <f t="shared" ca="1" si="481"/>
        <v>4.1378573339300839</v>
      </c>
      <c r="AM3452" s="106">
        <f t="shared" ca="1" si="475"/>
        <v>34722.409252576399</v>
      </c>
      <c r="AN3452" s="10">
        <f t="shared" ca="1" si="476"/>
        <v>1.0786773111479908</v>
      </c>
      <c r="AO3452" s="158"/>
      <c r="AP3452" s="158"/>
      <c r="AQ3452" s="1"/>
      <c r="AR3452" s="1"/>
      <c r="AS3452" s="1"/>
      <c r="AT3452" s="1"/>
      <c r="AU3452" s="1"/>
    </row>
    <row r="3453" spans="34:47">
      <c r="AH3453" s="6">
        <f t="shared" si="477"/>
        <v>3423</v>
      </c>
      <c r="AI3453" s="7">
        <f t="shared" ca="1" si="478"/>
        <v>46093</v>
      </c>
      <c r="AJ3453" s="210">
        <f t="shared" ca="1" si="479"/>
        <v>4.1749999999999998</v>
      </c>
      <c r="AK3453" s="8">
        <f t="shared" ca="1" si="480"/>
        <v>1.0001159722222221</v>
      </c>
      <c r="AL3453" s="98">
        <f t="shared" ca="1" si="481"/>
        <v>4.1379115483038742</v>
      </c>
      <c r="AM3453" s="106">
        <f t="shared" ca="1" si="475"/>
        <v>34725.270430113233</v>
      </c>
      <c r="AN3453" s="10">
        <f t="shared" ca="1" si="476"/>
        <v>1.078722287145184</v>
      </c>
      <c r="AO3453" s="158"/>
      <c r="AP3453" s="158"/>
      <c r="AQ3453" s="1"/>
      <c r="AR3453" s="1"/>
      <c r="AS3453" s="1"/>
      <c r="AT3453" s="1"/>
      <c r="AU3453" s="1"/>
    </row>
    <row r="3454" spans="34:47">
      <c r="AH3454" s="6">
        <f t="shared" si="477"/>
        <v>3424</v>
      </c>
      <c r="AI3454" s="7">
        <f t="shared" ca="1" si="478"/>
        <v>46094</v>
      </c>
      <c r="AJ3454" s="210">
        <f t="shared" ca="1" si="479"/>
        <v>4.1749999999999998</v>
      </c>
      <c r="AK3454" s="8">
        <f t="shared" ca="1" si="480"/>
        <v>1.0001159722222221</v>
      </c>
      <c r="AL3454" s="98">
        <f t="shared" ca="1" si="481"/>
        <v>4.1379657310385953</v>
      </c>
      <c r="AM3454" s="106">
        <f t="shared" ca="1" si="475"/>
        <v>34728.131843415285</v>
      </c>
      <c r="AN3454" s="10">
        <f t="shared" ca="1" si="476"/>
        <v>1.0787672368913537</v>
      </c>
      <c r="AO3454" s="158"/>
      <c r="AP3454" s="158"/>
      <c r="AQ3454" s="1"/>
      <c r="AR3454" s="1"/>
      <c r="AS3454" s="1"/>
      <c r="AT3454" s="1"/>
      <c r="AU3454" s="1"/>
    </row>
    <row r="3455" spans="34:47">
      <c r="AH3455" s="6">
        <f t="shared" si="477"/>
        <v>3425</v>
      </c>
      <c r="AI3455" s="7">
        <f t="shared" ca="1" si="478"/>
        <v>46095</v>
      </c>
      <c r="AJ3455" s="210">
        <f t="shared" ca="1" si="479"/>
        <v>4.1749999999999998</v>
      </c>
      <c r="AK3455" s="8">
        <f t="shared" ca="1" si="480"/>
        <v>1.0001159722222221</v>
      </c>
      <c r="AL3455" s="98">
        <f t="shared" ca="1" si="481"/>
        <v>4.1380198821619363</v>
      </c>
      <c r="AM3455" s="106">
        <f t="shared" ca="1" si="475"/>
        <v>34730.993492502006</v>
      </c>
      <c r="AN3455" s="10">
        <f t="shared" ca="1" si="476"/>
        <v>1.0788121604094814</v>
      </c>
      <c r="AO3455" s="158"/>
      <c r="AP3455" s="158"/>
      <c r="AQ3455" s="1"/>
      <c r="AR3455" s="1"/>
      <c r="AS3455" s="1"/>
      <c r="AT3455" s="1"/>
      <c r="AU3455" s="1"/>
    </row>
    <row r="3456" spans="34:47">
      <c r="AH3456" s="6">
        <f t="shared" si="477"/>
        <v>3426</v>
      </c>
      <c r="AI3456" s="7">
        <f t="shared" ca="1" si="478"/>
        <v>46096</v>
      </c>
      <c r="AJ3456" s="210">
        <f t="shared" ca="1" si="479"/>
        <v>4.1749999999999998</v>
      </c>
      <c r="AK3456" s="8">
        <f t="shared" ca="1" si="480"/>
        <v>1.0001159722222221</v>
      </c>
      <c r="AL3456" s="98">
        <f t="shared" ca="1" si="481"/>
        <v>4.1380740017015416</v>
      </c>
      <c r="AM3456" s="106">
        <f t="shared" ca="1" si="475"/>
        <v>34733.855377392814</v>
      </c>
      <c r="AN3456" s="10">
        <f t="shared" ca="1" si="476"/>
        <v>1.0788570577225043</v>
      </c>
      <c r="AO3456" s="158"/>
      <c r="AP3456" s="158"/>
      <c r="AQ3456" s="1"/>
      <c r="AR3456" s="1"/>
      <c r="AS3456" s="1"/>
      <c r="AT3456" s="1"/>
      <c r="AU3456" s="1"/>
    </row>
    <row r="3457" spans="34:47">
      <c r="AH3457" s="6">
        <f t="shared" si="477"/>
        <v>3427</v>
      </c>
      <c r="AI3457" s="7">
        <f t="shared" ca="1" si="478"/>
        <v>46097</v>
      </c>
      <c r="AJ3457" s="210">
        <f t="shared" ca="1" si="479"/>
        <v>4.1749999999999998</v>
      </c>
      <c r="AK3457" s="8">
        <f t="shared" ca="1" si="480"/>
        <v>1.0001159722222221</v>
      </c>
      <c r="AL3457" s="98">
        <f t="shared" ca="1" si="481"/>
        <v>4.1381280896850337</v>
      </c>
      <c r="AM3457" s="106">
        <f t="shared" ca="1" si="475"/>
        <v>34736.717498107137</v>
      </c>
      <c r="AN3457" s="10">
        <f t="shared" ca="1" si="476"/>
        <v>1.0789019288533375</v>
      </c>
      <c r="AO3457" s="158"/>
      <c r="AP3457" s="158"/>
      <c r="AQ3457" s="1"/>
      <c r="AR3457" s="1"/>
      <c r="AS3457" s="1"/>
      <c r="AT3457" s="1"/>
      <c r="AU3457" s="1"/>
    </row>
    <row r="3458" spans="34:47">
      <c r="AH3458" s="6">
        <f t="shared" si="477"/>
        <v>3428</v>
      </c>
      <c r="AI3458" s="7">
        <f t="shared" ca="1" si="478"/>
        <v>46098</v>
      </c>
      <c r="AJ3458" s="210">
        <f t="shared" ca="1" si="479"/>
        <v>4.1749999999999998</v>
      </c>
      <c r="AK3458" s="8">
        <f t="shared" ca="1" si="480"/>
        <v>1.0001159722222221</v>
      </c>
      <c r="AL3458" s="98">
        <f t="shared" ca="1" si="481"/>
        <v>4.1381821461400126</v>
      </c>
      <c r="AM3458" s="106">
        <f t="shared" ca="1" si="475"/>
        <v>34739.579854664415</v>
      </c>
      <c r="AN3458" s="10">
        <f t="shared" ca="1" si="476"/>
        <v>1.0789467738248959</v>
      </c>
      <c r="AO3458" s="158"/>
      <c r="AP3458" s="158"/>
      <c r="AQ3458" s="1"/>
      <c r="AR3458" s="1"/>
      <c r="AS3458" s="1"/>
      <c r="AT3458" s="1"/>
      <c r="AU3458" s="1"/>
    </row>
    <row r="3459" spans="34:47">
      <c r="AH3459" s="6">
        <f t="shared" si="477"/>
        <v>3429</v>
      </c>
      <c r="AI3459" s="7">
        <f t="shared" ca="1" si="478"/>
        <v>46099</v>
      </c>
      <c r="AJ3459" s="210">
        <f t="shared" ca="1" si="479"/>
        <v>4.1749999999999998</v>
      </c>
      <c r="AK3459" s="8">
        <f t="shared" ca="1" si="480"/>
        <v>1.0001159722222221</v>
      </c>
      <c r="AL3459" s="98">
        <f t="shared" ca="1" si="481"/>
        <v>4.1382361710940341</v>
      </c>
      <c r="AM3459" s="106">
        <f t="shared" ca="1" si="475"/>
        <v>34742.442447084082</v>
      </c>
      <c r="AN3459" s="10">
        <f t="shared" ca="1" si="476"/>
        <v>1.0789915926600058</v>
      </c>
      <c r="AO3459" s="158"/>
      <c r="AP3459" s="158"/>
      <c r="AQ3459" s="1"/>
      <c r="AR3459" s="1"/>
      <c r="AS3459" s="1"/>
      <c r="AT3459" s="1"/>
      <c r="AU3459" s="1"/>
    </row>
    <row r="3460" spans="34:47">
      <c r="AH3460" s="6">
        <f t="shared" si="477"/>
        <v>3430</v>
      </c>
      <c r="AI3460" s="7">
        <f t="shared" ca="1" si="478"/>
        <v>46100</v>
      </c>
      <c r="AJ3460" s="210">
        <f t="shared" ca="1" si="479"/>
        <v>4.1749999999999998</v>
      </c>
      <c r="AK3460" s="8">
        <f t="shared" ca="1" si="480"/>
        <v>1.0001159722222221</v>
      </c>
      <c r="AL3460" s="98">
        <f t="shared" ca="1" si="481"/>
        <v>4.1382901645746317</v>
      </c>
      <c r="AM3460" s="106">
        <f t="shared" ca="1" si="475"/>
        <v>34745.305275385574</v>
      </c>
      <c r="AN3460" s="10">
        <f t="shared" ca="1" si="476"/>
        <v>1.0790363853815599</v>
      </c>
      <c r="AO3460" s="158"/>
      <c r="AP3460" s="158"/>
      <c r="AQ3460" s="1"/>
      <c r="AR3460" s="1"/>
      <c r="AS3460" s="1"/>
      <c r="AT3460" s="1"/>
      <c r="AU3460" s="1"/>
    </row>
    <row r="3461" spans="34:47">
      <c r="AH3461" s="6">
        <f t="shared" si="477"/>
        <v>3431</v>
      </c>
      <c r="AI3461" s="7">
        <f t="shared" ca="1" si="478"/>
        <v>46101</v>
      </c>
      <c r="AJ3461" s="210">
        <f t="shared" ca="1" si="479"/>
        <v>4.1749999999999998</v>
      </c>
      <c r="AK3461" s="8">
        <f t="shared" ca="1" si="480"/>
        <v>1.0001159722222221</v>
      </c>
      <c r="AL3461" s="98">
        <f t="shared" ca="1" si="481"/>
        <v>4.1383441266092946</v>
      </c>
      <c r="AM3461" s="106">
        <f t="shared" ca="1" si="475"/>
        <v>34748.168339588316</v>
      </c>
      <c r="AN3461" s="10">
        <f t="shared" ca="1" si="476"/>
        <v>1.07908115201234</v>
      </c>
      <c r="AO3461" s="158"/>
      <c r="AP3461" s="158"/>
      <c r="AQ3461" s="1"/>
      <c r="AR3461" s="1"/>
      <c r="AS3461" s="1"/>
      <c r="AT3461" s="1"/>
      <c r="AU3461" s="1"/>
    </row>
    <row r="3462" spans="34:47">
      <c r="AH3462" s="6">
        <f t="shared" si="477"/>
        <v>3432</v>
      </c>
      <c r="AI3462" s="7">
        <f t="shared" ca="1" si="478"/>
        <v>46102</v>
      </c>
      <c r="AJ3462" s="210">
        <f t="shared" ca="1" si="479"/>
        <v>4.1749999999999998</v>
      </c>
      <c r="AK3462" s="8">
        <f t="shared" ca="1" si="480"/>
        <v>1.0001159722222221</v>
      </c>
      <c r="AL3462" s="98">
        <f t="shared" ca="1" si="481"/>
        <v>4.1383980572254897</v>
      </c>
      <c r="AM3462" s="106">
        <f t="shared" ca="1" si="475"/>
        <v>34751.031639711757</v>
      </c>
      <c r="AN3462" s="10">
        <f t="shared" ca="1" si="476"/>
        <v>1.0791258925751723</v>
      </c>
      <c r="AO3462" s="158"/>
      <c r="AP3462" s="158"/>
      <c r="AQ3462" s="1"/>
      <c r="AR3462" s="1"/>
      <c r="AS3462" s="1"/>
      <c r="AT3462" s="1"/>
      <c r="AU3462" s="1"/>
    </row>
    <row r="3463" spans="34:47">
      <c r="AH3463" s="6">
        <f t="shared" si="477"/>
        <v>3433</v>
      </c>
      <c r="AI3463" s="7">
        <f t="shared" ca="1" si="478"/>
        <v>46103</v>
      </c>
      <c r="AJ3463" s="210">
        <f t="shared" ca="1" si="479"/>
        <v>4.1749999999999998</v>
      </c>
      <c r="AK3463" s="8">
        <f t="shared" ca="1" si="480"/>
        <v>1.0001159722222221</v>
      </c>
      <c r="AL3463" s="98">
        <f t="shared" ca="1" si="481"/>
        <v>4.1384519564506395</v>
      </c>
      <c r="AM3463" s="106">
        <f t="shared" ca="1" si="475"/>
        <v>34753.895175775331</v>
      </c>
      <c r="AN3463" s="10">
        <f t="shared" ca="1" si="476"/>
        <v>1.079170607092772</v>
      </c>
      <c r="AO3463" s="158"/>
      <c r="AP3463" s="158"/>
      <c r="AQ3463" s="1"/>
      <c r="AR3463" s="1"/>
      <c r="AS3463" s="1"/>
      <c r="AT3463" s="1"/>
      <c r="AU3463" s="1"/>
    </row>
    <row r="3464" spans="34:47">
      <c r="AH3464" s="6">
        <f t="shared" si="477"/>
        <v>3434</v>
      </c>
      <c r="AI3464" s="7">
        <f t="shared" ca="1" si="478"/>
        <v>46104</v>
      </c>
      <c r="AJ3464" s="210">
        <f t="shared" ca="1" si="479"/>
        <v>4.1749999999999998</v>
      </c>
      <c r="AK3464" s="8">
        <f t="shared" ca="1" si="480"/>
        <v>1.0001159722222221</v>
      </c>
      <c r="AL3464" s="98">
        <f t="shared" ca="1" si="481"/>
        <v>4.1385058243121664</v>
      </c>
      <c r="AM3464" s="106">
        <f t="shared" ca="1" si="475"/>
        <v>34756.758947798487</v>
      </c>
      <c r="AN3464" s="10">
        <f t="shared" ca="1" si="476"/>
        <v>1.0792152955879208</v>
      </c>
      <c r="AO3464" s="158"/>
      <c r="AP3464" s="158"/>
      <c r="AQ3464" s="1"/>
      <c r="AR3464" s="1"/>
      <c r="AS3464" s="1"/>
      <c r="AT3464" s="1"/>
      <c r="AU3464" s="1"/>
    </row>
    <row r="3465" spans="34:47">
      <c r="AH3465" s="6">
        <f t="shared" si="477"/>
        <v>3435</v>
      </c>
      <c r="AI3465" s="7">
        <f t="shared" ca="1" si="478"/>
        <v>46105</v>
      </c>
      <c r="AJ3465" s="210">
        <f t="shared" ca="1" si="479"/>
        <v>4.1749999999999998</v>
      </c>
      <c r="AK3465" s="8">
        <f t="shared" ca="1" si="480"/>
        <v>1.0001159722222221</v>
      </c>
      <c r="AL3465" s="98">
        <f t="shared" ca="1" si="481"/>
        <v>4.1385596608374042</v>
      </c>
      <c r="AM3465" s="106">
        <f t="shared" ca="1" si="475"/>
        <v>34759.622955800667</v>
      </c>
      <c r="AN3465" s="10">
        <f t="shared" ca="1" si="476"/>
        <v>1.0792599580832896</v>
      </c>
      <c r="AO3465" s="158"/>
      <c r="AP3465" s="158"/>
      <c r="AQ3465" s="1"/>
      <c r="AR3465" s="1"/>
      <c r="AS3465" s="1"/>
      <c r="AT3465" s="1"/>
      <c r="AU3465" s="1"/>
    </row>
    <row r="3466" spans="34:47">
      <c r="AH3466" s="6">
        <f t="shared" si="477"/>
        <v>3436</v>
      </c>
      <c r="AI3466" s="7">
        <f t="shared" ca="1" si="478"/>
        <v>46106</v>
      </c>
      <c r="AJ3466" s="210">
        <f t="shared" ca="1" si="479"/>
        <v>4.1749999999999998</v>
      </c>
      <c r="AK3466" s="8">
        <f t="shared" ca="1" si="480"/>
        <v>1.0001159722222221</v>
      </c>
      <c r="AL3466" s="98">
        <f t="shared" ca="1" si="481"/>
        <v>4.1386134660537088</v>
      </c>
      <c r="AM3466" s="106">
        <f t="shared" ca="1" si="475"/>
        <v>34762.487199801311</v>
      </c>
      <c r="AN3466" s="10">
        <f t="shared" ca="1" si="476"/>
        <v>1.0793045946015933</v>
      </c>
      <c r="AO3466" s="158"/>
      <c r="AP3466" s="158"/>
      <c r="AQ3466" s="1"/>
      <c r="AR3466" s="1"/>
      <c r="AS3466" s="1"/>
      <c r="AT3466" s="1"/>
      <c r="AU3466" s="1"/>
    </row>
    <row r="3467" spans="34:47">
      <c r="AH3467" s="6">
        <f t="shared" si="477"/>
        <v>3437</v>
      </c>
      <c r="AI3467" s="7">
        <f t="shared" ca="1" si="478"/>
        <v>46107</v>
      </c>
      <c r="AJ3467" s="210">
        <f t="shared" ca="1" si="479"/>
        <v>4.1749999999999998</v>
      </c>
      <c r="AK3467" s="8">
        <f t="shared" ca="1" si="480"/>
        <v>1.0001159722222221</v>
      </c>
      <c r="AL3467" s="98">
        <f t="shared" ca="1" si="481"/>
        <v>4.1386672399883917</v>
      </c>
      <c r="AM3467" s="106">
        <f t="shared" ca="1" si="475"/>
        <v>34765.351679819876</v>
      </c>
      <c r="AN3467" s="10">
        <f t="shared" ca="1" si="476"/>
        <v>1.0793492051654807</v>
      </c>
      <c r="AO3467" s="158"/>
      <c r="AP3467" s="158"/>
      <c r="AQ3467" s="1"/>
      <c r="AR3467" s="1"/>
      <c r="AS3467" s="1"/>
      <c r="AT3467" s="1"/>
      <c r="AU3467" s="1"/>
    </row>
    <row r="3468" spans="34:47">
      <c r="AH3468" s="6">
        <f t="shared" si="477"/>
        <v>3438</v>
      </c>
      <c r="AI3468" s="7">
        <f t="shared" ca="1" si="478"/>
        <v>46108</v>
      </c>
      <c r="AJ3468" s="210">
        <f t="shared" ca="1" si="479"/>
        <v>4.1749999999999998</v>
      </c>
      <c r="AK3468" s="8">
        <f t="shared" ca="1" si="480"/>
        <v>1.0001159722222221</v>
      </c>
      <c r="AL3468" s="98">
        <f t="shared" ca="1" si="481"/>
        <v>4.1387209826686977</v>
      </c>
      <c r="AM3468" s="106">
        <f t="shared" ca="1" si="475"/>
        <v>34768.216395875796</v>
      </c>
      <c r="AN3468" s="10">
        <f t="shared" ca="1" si="476"/>
        <v>1.0793937897975558</v>
      </c>
      <c r="AO3468" s="158"/>
      <c r="AP3468" s="158"/>
      <c r="AQ3468" s="1"/>
      <c r="AR3468" s="1"/>
      <c r="AS3468" s="1"/>
      <c r="AT3468" s="1"/>
      <c r="AU3468" s="1"/>
    </row>
    <row r="3469" spans="34:47">
      <c r="AH3469" s="6">
        <f t="shared" si="477"/>
        <v>3439</v>
      </c>
      <c r="AI3469" s="7">
        <f t="shared" ca="1" si="478"/>
        <v>46109</v>
      </c>
      <c r="AJ3469" s="210">
        <f t="shared" ca="1" si="479"/>
        <v>4.1749999999999998</v>
      </c>
      <c r="AK3469" s="8">
        <f t="shared" ca="1" si="480"/>
        <v>1.0001159722222221</v>
      </c>
      <c r="AL3469" s="98">
        <f t="shared" ca="1" si="481"/>
        <v>4.1387746941218939</v>
      </c>
      <c r="AM3469" s="106">
        <f t="shared" ca="1" si="475"/>
        <v>34771.081347988533</v>
      </c>
      <c r="AN3469" s="10">
        <f t="shared" ca="1" si="476"/>
        <v>1.0794383485204451</v>
      </c>
      <c r="AO3469" s="158"/>
      <c r="AP3469" s="158"/>
      <c r="AQ3469" s="1"/>
      <c r="AR3469" s="1"/>
      <c r="AS3469" s="1"/>
      <c r="AT3469" s="1"/>
      <c r="AU3469" s="1"/>
    </row>
    <row r="3470" spans="34:47">
      <c r="AH3470" s="6">
        <f t="shared" si="477"/>
        <v>3440</v>
      </c>
      <c r="AI3470" s="7">
        <f t="shared" ca="1" si="478"/>
        <v>46110</v>
      </c>
      <c r="AJ3470" s="210">
        <f t="shared" ca="1" si="479"/>
        <v>4.1749999999999998</v>
      </c>
      <c r="AK3470" s="8">
        <f t="shared" ca="1" si="480"/>
        <v>1.0001159722222221</v>
      </c>
      <c r="AL3470" s="98">
        <f t="shared" ca="1" si="481"/>
        <v>4.1388283743751808</v>
      </c>
      <c r="AM3470" s="106">
        <f t="shared" ca="1" si="475"/>
        <v>34773.946536177529</v>
      </c>
      <c r="AN3470" s="10">
        <f t="shared" ca="1" si="476"/>
        <v>1.0794828813567303</v>
      </c>
      <c r="AO3470" s="158"/>
      <c r="AP3470" s="158"/>
      <c r="AQ3470" s="1"/>
      <c r="AR3470" s="1"/>
      <c r="AS3470" s="1"/>
      <c r="AT3470" s="1"/>
      <c r="AU3470" s="1"/>
    </row>
    <row r="3471" spans="34:47">
      <c r="AH3471" s="6">
        <f t="shared" si="477"/>
        <v>3441</v>
      </c>
      <c r="AI3471" s="7">
        <f t="shared" ca="1" si="478"/>
        <v>46111</v>
      </c>
      <c r="AJ3471" s="210">
        <f t="shared" ca="1" si="479"/>
        <v>4.1749999999999998</v>
      </c>
      <c r="AK3471" s="8">
        <f t="shared" ca="1" si="480"/>
        <v>1.0001159722222221</v>
      </c>
      <c r="AL3471" s="98">
        <f t="shared" ca="1" si="481"/>
        <v>4.1388820234557366</v>
      </c>
      <c r="AM3471" s="106">
        <f t="shared" ca="1" si="475"/>
        <v>34776.811960462241</v>
      </c>
      <c r="AN3471" s="10">
        <f t="shared" ca="1" si="476"/>
        <v>1.0795273883289713</v>
      </c>
      <c r="AO3471" s="158"/>
      <c r="AP3471" s="158"/>
      <c r="AQ3471" s="1"/>
      <c r="AR3471" s="1"/>
      <c r="AS3471" s="1"/>
      <c r="AT3471" s="1"/>
      <c r="AU3471" s="1"/>
    </row>
    <row r="3472" spans="34:47">
      <c r="AH3472" s="6">
        <f t="shared" si="477"/>
        <v>3442</v>
      </c>
      <c r="AI3472" s="7">
        <f t="shared" ca="1" si="478"/>
        <v>46112</v>
      </c>
      <c r="AJ3472" s="210">
        <f t="shared" ca="1" si="479"/>
        <v>4.1749999999999998</v>
      </c>
      <c r="AK3472" s="8">
        <f t="shared" ca="1" si="480"/>
        <v>1.0001159722222221</v>
      </c>
      <c r="AL3472" s="98">
        <f t="shared" ca="1" si="481"/>
        <v>4.1389356413906953</v>
      </c>
      <c r="AM3472" s="106">
        <f t="shared" ca="1" si="475"/>
        <v>34779.677620862123</v>
      </c>
      <c r="AN3472" s="10">
        <f t="shared" ca="1" si="476"/>
        <v>1.0795718694596612</v>
      </c>
      <c r="AO3472" s="158"/>
      <c r="AP3472" s="158"/>
      <c r="AQ3472" s="1"/>
      <c r="AR3472" s="1"/>
      <c r="AS3472" s="1"/>
      <c r="AT3472" s="1"/>
      <c r="AU3472" s="1"/>
    </row>
    <row r="3473" spans="34:47">
      <c r="AH3473" s="6">
        <f t="shared" si="477"/>
        <v>3443</v>
      </c>
      <c r="AI3473" s="7">
        <f t="shared" ca="1" si="478"/>
        <v>46113</v>
      </c>
      <c r="AJ3473" s="210">
        <f t="shared" ca="1" si="479"/>
        <v>4.1749999999999998</v>
      </c>
      <c r="AK3473" s="8">
        <f t="shared" ca="1" si="480"/>
        <v>1.0001159722222221</v>
      </c>
      <c r="AL3473" s="98">
        <f t="shared" ca="1" si="481"/>
        <v>4.1389892282071905</v>
      </c>
      <c r="AM3473" s="106">
        <f t="shared" ca="1" si="475"/>
        <v>34782.543517396633</v>
      </c>
      <c r="AN3473" s="10">
        <f t="shared" ca="1" si="476"/>
        <v>1.0796163247713375</v>
      </c>
      <c r="AO3473" s="158"/>
      <c r="AP3473" s="158"/>
      <c r="AQ3473" s="1"/>
      <c r="AR3473" s="1"/>
      <c r="AS3473" s="1"/>
      <c r="AT3473" s="1"/>
      <c r="AU3473" s="1"/>
    </row>
    <row r="3474" spans="34:47">
      <c r="AH3474" s="6">
        <f t="shared" si="477"/>
        <v>3444</v>
      </c>
      <c r="AI3474" s="7">
        <f t="shared" ca="1" si="478"/>
        <v>46114</v>
      </c>
      <c r="AJ3474" s="210">
        <f t="shared" ca="1" si="479"/>
        <v>4.1749999999999998</v>
      </c>
      <c r="AK3474" s="8">
        <f t="shared" ca="1" si="480"/>
        <v>1.0001159722222221</v>
      </c>
      <c r="AL3474" s="98">
        <f t="shared" ca="1" si="481"/>
        <v>4.1390427839322896</v>
      </c>
      <c r="AM3474" s="106">
        <f t="shared" ca="1" si="475"/>
        <v>34785.409650085232</v>
      </c>
      <c r="AN3474" s="10">
        <f t="shared" ca="1" si="476"/>
        <v>1.0796607542864489</v>
      </c>
      <c r="AO3474" s="158"/>
      <c r="AP3474" s="158"/>
      <c r="AQ3474" s="1"/>
      <c r="AR3474" s="1"/>
      <c r="AS3474" s="1"/>
      <c r="AT3474" s="1"/>
      <c r="AU3474" s="1"/>
    </row>
    <row r="3475" spans="34:47">
      <c r="AH3475" s="6">
        <f t="shared" si="477"/>
        <v>3445</v>
      </c>
      <c r="AI3475" s="7">
        <f t="shared" ca="1" si="478"/>
        <v>46115</v>
      </c>
      <c r="AJ3475" s="210">
        <f t="shared" ca="1" si="479"/>
        <v>4.1749999999999998</v>
      </c>
      <c r="AK3475" s="8">
        <f t="shared" ca="1" si="480"/>
        <v>1.0001159722222221</v>
      </c>
      <c r="AL3475" s="98">
        <f t="shared" ca="1" si="481"/>
        <v>4.1390963085930599</v>
      </c>
      <c r="AM3475" s="106">
        <f t="shared" ca="1" si="475"/>
        <v>34788.27601894737</v>
      </c>
      <c r="AN3475" s="10">
        <f t="shared" ca="1" si="476"/>
        <v>1.0797051580274664</v>
      </c>
      <c r="AO3475" s="158"/>
      <c r="AP3475" s="158"/>
      <c r="AQ3475" s="1"/>
      <c r="AR3475" s="1"/>
      <c r="AS3475" s="1"/>
      <c r="AT3475" s="1"/>
      <c r="AU3475" s="1"/>
    </row>
    <row r="3476" spans="34:47">
      <c r="AH3476" s="6">
        <f t="shared" si="477"/>
        <v>3446</v>
      </c>
      <c r="AI3476" s="7">
        <f t="shared" ca="1" si="478"/>
        <v>46116</v>
      </c>
      <c r="AJ3476" s="210">
        <f t="shared" ca="1" si="479"/>
        <v>4.1749999999999998</v>
      </c>
      <c r="AK3476" s="8">
        <f t="shared" ca="1" si="480"/>
        <v>1.0001159722222221</v>
      </c>
      <c r="AL3476" s="98">
        <f t="shared" ca="1" si="481"/>
        <v>4.1391498022165019</v>
      </c>
      <c r="AM3476" s="106">
        <f t="shared" ca="1" si="475"/>
        <v>34791.14262400251</v>
      </c>
      <c r="AN3476" s="10">
        <f t="shared" ca="1" si="476"/>
        <v>1.0797495360167719</v>
      </c>
      <c r="AO3476" s="158"/>
      <c r="AP3476" s="158"/>
      <c r="AQ3476" s="1"/>
      <c r="AR3476" s="1"/>
      <c r="AS3476" s="1"/>
      <c r="AT3476" s="1"/>
      <c r="AU3476" s="1"/>
    </row>
    <row r="3477" spans="34:47">
      <c r="AH3477" s="6">
        <f t="shared" si="477"/>
        <v>3447</v>
      </c>
      <c r="AI3477" s="7">
        <f t="shared" ca="1" si="478"/>
        <v>46117</v>
      </c>
      <c r="AJ3477" s="210">
        <f t="shared" ca="1" si="479"/>
        <v>4.1749999999999998</v>
      </c>
      <c r="AK3477" s="8">
        <f t="shared" ca="1" si="480"/>
        <v>1.0001159722222221</v>
      </c>
      <c r="AL3477" s="98">
        <f t="shared" ca="1" si="481"/>
        <v>4.1392032648296162</v>
      </c>
      <c r="AM3477" s="106">
        <f t="shared" ca="1" si="475"/>
        <v>34794.00946527013</v>
      </c>
      <c r="AN3477" s="10">
        <f t="shared" ca="1" si="476"/>
        <v>1.0797938882767921</v>
      </c>
      <c r="AO3477" s="158"/>
      <c r="AP3477" s="158"/>
      <c r="AQ3477" s="1"/>
      <c r="AR3477" s="1"/>
      <c r="AS3477" s="1"/>
      <c r="AT3477" s="1"/>
      <c r="AU3477" s="1"/>
    </row>
    <row r="3478" spans="34:47">
      <c r="AH3478" s="6">
        <f t="shared" si="477"/>
        <v>3448</v>
      </c>
      <c r="AI3478" s="7">
        <f t="shared" ca="1" si="478"/>
        <v>46118</v>
      </c>
      <c r="AJ3478" s="210">
        <f t="shared" ca="1" si="479"/>
        <v>4.1749999999999998</v>
      </c>
      <c r="AK3478" s="8">
        <f t="shared" ca="1" si="480"/>
        <v>1.0001159722222221</v>
      </c>
      <c r="AL3478" s="98">
        <f t="shared" ca="1" si="481"/>
        <v>4.1392566964593591</v>
      </c>
      <c r="AM3478" s="106">
        <f t="shared" ca="1" si="475"/>
        <v>34796.876542769678</v>
      </c>
      <c r="AN3478" s="10">
        <f t="shared" ca="1" si="476"/>
        <v>1.0798382148298868</v>
      </c>
      <c r="AO3478" s="158"/>
      <c r="AP3478" s="158"/>
      <c r="AQ3478" s="1"/>
      <c r="AR3478" s="1"/>
      <c r="AS3478" s="1"/>
      <c r="AT3478" s="1"/>
      <c r="AU3478" s="1"/>
    </row>
    <row r="3479" spans="34:47">
      <c r="AH3479" s="6">
        <f t="shared" si="477"/>
        <v>3449</v>
      </c>
      <c r="AI3479" s="7">
        <f t="shared" ca="1" si="478"/>
        <v>46119</v>
      </c>
      <c r="AJ3479" s="210">
        <f t="shared" ca="1" si="479"/>
        <v>4.1749999999999998</v>
      </c>
      <c r="AK3479" s="8">
        <f t="shared" ca="1" si="480"/>
        <v>1.0001159722222221</v>
      </c>
      <c r="AL3479" s="98">
        <f t="shared" ca="1" si="481"/>
        <v>4.1393100971326424</v>
      </c>
      <c r="AM3479" s="106">
        <f t="shared" ca="1" si="475"/>
        <v>34799.743856520625</v>
      </c>
      <c r="AN3479" s="10">
        <f t="shared" ca="1" si="476"/>
        <v>1.079882515698416</v>
      </c>
      <c r="AO3479" s="158"/>
      <c r="AP3479" s="158"/>
      <c r="AQ3479" s="1"/>
      <c r="AR3479" s="1"/>
      <c r="AS3479" s="1"/>
      <c r="AT3479" s="1"/>
      <c r="AU3479" s="1"/>
    </row>
    <row r="3480" spans="34:47">
      <c r="AH3480" s="6">
        <f t="shared" si="477"/>
        <v>3450</v>
      </c>
      <c r="AI3480" s="7">
        <f t="shared" ca="1" si="478"/>
        <v>46120</v>
      </c>
      <c r="AJ3480" s="210">
        <f t="shared" ca="1" si="479"/>
        <v>4.1749999999999998</v>
      </c>
      <c r="AK3480" s="8">
        <f t="shared" ca="1" si="480"/>
        <v>1.0001159722222221</v>
      </c>
      <c r="AL3480" s="98">
        <f t="shared" ca="1" si="481"/>
        <v>4.1393634668763779</v>
      </c>
      <c r="AM3480" s="106">
        <f t="shared" ca="1" si="475"/>
        <v>34802.611406542434</v>
      </c>
      <c r="AN3480" s="10">
        <f t="shared" ca="1" si="476"/>
        <v>1.0799267909046506</v>
      </c>
      <c r="AO3480" s="158"/>
      <c r="AP3480" s="158"/>
      <c r="AQ3480" s="1"/>
      <c r="AR3480" s="1"/>
      <c r="AS3480" s="1"/>
      <c r="AT3480" s="1"/>
      <c r="AU3480" s="1"/>
    </row>
    <row r="3481" spans="34:47">
      <c r="AH3481" s="6">
        <f t="shared" si="477"/>
        <v>3451</v>
      </c>
      <c r="AI3481" s="7">
        <f t="shared" ca="1" si="478"/>
        <v>46121</v>
      </c>
      <c r="AJ3481" s="210">
        <f t="shared" ca="1" si="479"/>
        <v>4.1749999999999998</v>
      </c>
      <c r="AK3481" s="8">
        <f t="shared" ca="1" si="480"/>
        <v>1.0001159722222221</v>
      </c>
      <c r="AL3481" s="98">
        <f t="shared" ca="1" si="481"/>
        <v>4.139416805717433</v>
      </c>
      <c r="AM3481" s="106">
        <f t="shared" ca="1" si="475"/>
        <v>34805.479192854582</v>
      </c>
      <c r="AN3481" s="10">
        <f t="shared" ca="1" si="476"/>
        <v>1.0799710404709284</v>
      </c>
      <c r="AO3481" s="158"/>
      <c r="AP3481" s="158"/>
      <c r="AQ3481" s="1"/>
      <c r="AR3481" s="1"/>
      <c r="AS3481" s="1"/>
      <c r="AT3481" s="1"/>
      <c r="AU3481" s="1"/>
    </row>
    <row r="3482" spans="34:47">
      <c r="AH3482" s="6">
        <f t="shared" si="477"/>
        <v>3452</v>
      </c>
      <c r="AI3482" s="7">
        <f t="shared" ca="1" si="478"/>
        <v>46122</v>
      </c>
      <c r="AJ3482" s="210">
        <f t="shared" ca="1" si="479"/>
        <v>4.1749999999999998</v>
      </c>
      <c r="AK3482" s="8">
        <f t="shared" ca="1" si="480"/>
        <v>1.0001159722222221</v>
      </c>
      <c r="AL3482" s="98">
        <f t="shared" ca="1" si="481"/>
        <v>4.1394701136826306</v>
      </c>
      <c r="AM3482" s="106">
        <f t="shared" ca="1" si="475"/>
        <v>34808.347215476533</v>
      </c>
      <c r="AN3482" s="10">
        <f t="shared" ca="1" si="476"/>
        <v>1.0800152644195204</v>
      </c>
      <c r="AO3482" s="158"/>
      <c r="AP3482" s="158"/>
      <c r="AQ3482" s="1"/>
      <c r="AR3482" s="1"/>
      <c r="AS3482" s="1"/>
      <c r="AT3482" s="1"/>
      <c r="AU3482" s="1"/>
    </row>
    <row r="3483" spans="34:47">
      <c r="AH3483" s="6">
        <f t="shared" si="477"/>
        <v>3453</v>
      </c>
      <c r="AI3483" s="7">
        <f t="shared" ca="1" si="478"/>
        <v>46123</v>
      </c>
      <c r="AJ3483" s="210">
        <f t="shared" ca="1" si="479"/>
        <v>4.1749999999999998</v>
      </c>
      <c r="AK3483" s="8">
        <f t="shared" ca="1" si="480"/>
        <v>1.0001159722222221</v>
      </c>
      <c r="AL3483" s="98">
        <f t="shared" ca="1" si="481"/>
        <v>4.1395233907987716</v>
      </c>
      <c r="AM3483" s="106">
        <f t="shared" ca="1" si="475"/>
        <v>34811.215474427758</v>
      </c>
      <c r="AN3483" s="10">
        <f t="shared" ca="1" si="476"/>
        <v>1.0800594627726312</v>
      </c>
      <c r="AO3483" s="158"/>
      <c r="AP3483" s="158"/>
      <c r="AQ3483" s="1"/>
      <c r="AR3483" s="1"/>
      <c r="AS3483" s="1"/>
      <c r="AT3483" s="1"/>
      <c r="AU3483" s="1"/>
    </row>
    <row r="3484" spans="34:47">
      <c r="AH3484" s="6">
        <f t="shared" si="477"/>
        <v>3454</v>
      </c>
      <c r="AI3484" s="7">
        <f t="shared" ca="1" si="478"/>
        <v>46124</v>
      </c>
      <c r="AJ3484" s="210">
        <f t="shared" ca="1" si="479"/>
        <v>4.1749999999999998</v>
      </c>
      <c r="AK3484" s="8">
        <f t="shared" ca="1" si="480"/>
        <v>1.0001159722222221</v>
      </c>
      <c r="AL3484" s="98">
        <f t="shared" ca="1" si="481"/>
        <v>4.1395766370926124</v>
      </c>
      <c r="AM3484" s="106">
        <f t="shared" ca="1" si="475"/>
        <v>34814.083969727741</v>
      </c>
      <c r="AN3484" s="10">
        <f t="shared" ca="1" si="476"/>
        <v>1.0801036355524651</v>
      </c>
      <c r="AO3484" s="158"/>
      <c r="AP3484" s="158"/>
      <c r="AQ3484" s="1"/>
      <c r="AR3484" s="1"/>
      <c r="AS3484" s="1"/>
      <c r="AT3484" s="1"/>
      <c r="AU3484" s="1"/>
    </row>
    <row r="3485" spans="34:47">
      <c r="AH3485" s="6">
        <f t="shared" si="477"/>
        <v>3455</v>
      </c>
      <c r="AI3485" s="7">
        <f t="shared" ca="1" si="478"/>
        <v>46125</v>
      </c>
      <c r="AJ3485" s="210">
        <f t="shared" ca="1" si="479"/>
        <v>4.1749999999999998</v>
      </c>
      <c r="AK3485" s="8">
        <f t="shared" ca="1" si="480"/>
        <v>1.0001159722222221</v>
      </c>
      <c r="AL3485" s="98">
        <f t="shared" ca="1" si="481"/>
        <v>4.1396298525909092</v>
      </c>
      <c r="AM3485" s="106">
        <f t="shared" ca="1" si="475"/>
        <v>34816.952701395952</v>
      </c>
      <c r="AN3485" s="10">
        <f t="shared" ca="1" si="476"/>
        <v>1.0801477827812489</v>
      </c>
      <c r="AO3485" s="158"/>
      <c r="AP3485" s="158"/>
      <c r="AQ3485" s="1"/>
      <c r="AR3485" s="1"/>
      <c r="AS3485" s="1"/>
      <c r="AT3485" s="1"/>
      <c r="AU3485" s="1"/>
    </row>
    <row r="3486" spans="34:47">
      <c r="AH3486" s="6">
        <f t="shared" si="477"/>
        <v>3456</v>
      </c>
      <c r="AI3486" s="7">
        <f t="shared" ca="1" si="478"/>
        <v>46126</v>
      </c>
      <c r="AJ3486" s="210">
        <f t="shared" ca="1" si="479"/>
        <v>4.1749999999999998</v>
      </c>
      <c r="AK3486" s="8">
        <f t="shared" ca="1" si="480"/>
        <v>1.0001159722222221</v>
      </c>
      <c r="AL3486" s="98">
        <f t="shared" ca="1" si="481"/>
        <v>4.1396830373203741</v>
      </c>
      <c r="AM3486" s="106">
        <f t="shared" ca="1" si="475"/>
        <v>34819.821669451863</v>
      </c>
      <c r="AN3486" s="10">
        <f t="shared" ca="1" si="476"/>
        <v>1.0801919044811426</v>
      </c>
      <c r="AO3486" s="158"/>
      <c r="AP3486" s="158"/>
      <c r="AQ3486" s="1"/>
      <c r="AR3486" s="1"/>
      <c r="AS3486" s="1"/>
      <c r="AT3486" s="1"/>
      <c r="AU3486" s="1"/>
    </row>
    <row r="3487" spans="34:47">
      <c r="AH3487" s="6">
        <f t="shared" si="477"/>
        <v>3457</v>
      </c>
      <c r="AI3487" s="7">
        <f t="shared" ca="1" si="478"/>
        <v>46127</v>
      </c>
      <c r="AJ3487" s="210">
        <f t="shared" ca="1" si="479"/>
        <v>4.1749999999999998</v>
      </c>
      <c r="AK3487" s="8">
        <f t="shared" ca="1" si="480"/>
        <v>1.0001159722222221</v>
      </c>
      <c r="AL3487" s="98">
        <f t="shared" ca="1" si="481"/>
        <v>4.1397361913076969</v>
      </c>
      <c r="AM3487" s="106">
        <f t="shared" ref="AM3487:AM3550" ca="1" si="482">Geom_Interp(AI3487,$AZ$2:$AZ$109,$BA$2:$BA$109)</f>
        <v>34822.690873914951</v>
      </c>
      <c r="AN3487" s="10">
        <f t="shared" ref="AN3487:AN3550" ca="1" si="483">100*(((1+AL3487/100)^(AH3487/365)*$AM$29/AM3487)^(365/AH3487)-1)</f>
        <v>1.0802360006742839</v>
      </c>
      <c r="AO3487" s="158"/>
      <c r="AP3487" s="158"/>
      <c r="AQ3487" s="1"/>
      <c r="AR3487" s="1"/>
      <c r="AS3487" s="1"/>
      <c r="AT3487" s="1"/>
      <c r="AU3487" s="1"/>
    </row>
    <row r="3488" spans="34:47">
      <c r="AH3488" s="6">
        <f t="shared" ref="AH3488:AH3555" si="484">$AI$29+AH3487</f>
        <v>3458</v>
      </c>
      <c r="AI3488" s="7">
        <f t="shared" ref="AI3488:AI3551" ca="1" si="485">+AH3488+$C$1</f>
        <v>46128</v>
      </c>
      <c r="AJ3488" s="210">
        <f t="shared" ref="AJ3488:AJ3551" ca="1" si="486">IF(AH3488&lt;365,VLOOKUP(LOOKUP(AI3488,$AI$2:$AI$23),$AI$2:$AK$23,3,0),Lin_Interp(AH3488,$AJ$2:$AJ$23,$AK$2:$AK$23))</f>
        <v>4.1749999999999998</v>
      </c>
      <c r="AK3488" s="8">
        <f t="shared" ca="1" si="480"/>
        <v>1.0001159722222221</v>
      </c>
      <c r="AL3488" s="98">
        <f t="shared" ca="1" si="481"/>
        <v>4.1397893145795006</v>
      </c>
      <c r="AM3488" s="106">
        <f t="shared" ca="1" si="482"/>
        <v>34825.560314804708</v>
      </c>
      <c r="AN3488" s="10">
        <f t="shared" ca="1" si="483"/>
        <v>1.0802800713827665</v>
      </c>
      <c r="AO3488" s="158"/>
      <c r="AP3488" s="158"/>
      <c r="AQ3488" s="1"/>
      <c r="AR3488" s="1"/>
      <c r="AS3488" s="1"/>
      <c r="AT3488" s="1"/>
      <c r="AU3488" s="1"/>
    </row>
    <row r="3489" spans="34:47">
      <c r="AH3489" s="6">
        <f t="shared" si="484"/>
        <v>3459</v>
      </c>
      <c r="AI3489" s="7">
        <f t="shared" ca="1" si="485"/>
        <v>46129</v>
      </c>
      <c r="AJ3489" s="210">
        <f t="shared" ca="1" si="486"/>
        <v>4.1749999999999998</v>
      </c>
      <c r="AK3489" s="8">
        <f t="shared" ref="AK3489:AK3551" ca="1" si="487">+(1+AJ3489/36000)</f>
        <v>1.0001159722222221</v>
      </c>
      <c r="AL3489" s="98">
        <f t="shared" ref="AL3489:AL3552" ca="1" si="488">100*(((1+AL3488/100)^(AH3488/365)*AK3489)^(365/AH3489)-1)</f>
        <v>4.1398424071624085</v>
      </c>
      <c r="AM3489" s="106">
        <f t="shared" ca="1" si="482"/>
        <v>34828.42999214062</v>
      </c>
      <c r="AN3489" s="10">
        <f t="shared" ca="1" si="483"/>
        <v>1.0803241166286615</v>
      </c>
      <c r="AO3489" s="158"/>
      <c r="AP3489" s="158"/>
      <c r="AQ3489" s="1"/>
      <c r="AR3489" s="1"/>
      <c r="AS3489" s="1"/>
      <c r="AT3489" s="1"/>
      <c r="AU3489" s="1"/>
    </row>
    <row r="3490" spans="34:47">
      <c r="AH3490" s="6">
        <f t="shared" si="484"/>
        <v>3460</v>
      </c>
      <c r="AI3490" s="7">
        <f t="shared" ca="1" si="485"/>
        <v>46130</v>
      </c>
      <c r="AJ3490" s="210">
        <f t="shared" ca="1" si="486"/>
        <v>4.1749999999999998</v>
      </c>
      <c r="AK3490" s="8">
        <f t="shared" ca="1" si="487"/>
        <v>1.0001159722222221</v>
      </c>
      <c r="AL3490" s="98">
        <f t="shared" ca="1" si="488"/>
        <v>4.1398954690829992</v>
      </c>
      <c r="AM3490" s="106">
        <f t="shared" ca="1" si="482"/>
        <v>34831.299905942149</v>
      </c>
      <c r="AN3490" s="10">
        <f t="shared" ca="1" si="483"/>
        <v>1.0803681364340845</v>
      </c>
      <c r="AO3490" s="158"/>
      <c r="AP3490" s="158"/>
      <c r="AQ3490" s="1"/>
      <c r="AR3490" s="1"/>
      <c r="AS3490" s="1"/>
      <c r="AT3490" s="1"/>
      <c r="AU3490" s="1"/>
    </row>
    <row r="3491" spans="34:47">
      <c r="AH3491" s="6">
        <f t="shared" si="484"/>
        <v>3461</v>
      </c>
      <c r="AI3491" s="7">
        <f t="shared" ca="1" si="485"/>
        <v>46131</v>
      </c>
      <c r="AJ3491" s="210">
        <f t="shared" ca="1" si="486"/>
        <v>4.1749999999999998</v>
      </c>
      <c r="AK3491" s="8">
        <f t="shared" ca="1" si="487"/>
        <v>1.0001159722222221</v>
      </c>
      <c r="AL3491" s="98">
        <f t="shared" ca="1" si="488"/>
        <v>4.1399485003678294</v>
      </c>
      <c r="AM3491" s="106">
        <f t="shared" ca="1" si="482"/>
        <v>34834.170056228795</v>
      </c>
      <c r="AN3491" s="10">
        <f t="shared" ca="1" si="483"/>
        <v>1.0804121308210179</v>
      </c>
      <c r="AO3491" s="158"/>
      <c r="AP3491" s="158"/>
      <c r="AQ3491" s="1"/>
      <c r="AR3491" s="1"/>
      <c r="AS3491" s="1"/>
      <c r="AT3491" s="1"/>
      <c r="AU3491" s="1"/>
    </row>
    <row r="3492" spans="34:47">
      <c r="AH3492" s="6">
        <f t="shared" si="484"/>
        <v>3462</v>
      </c>
      <c r="AI3492" s="7">
        <f t="shared" ca="1" si="485"/>
        <v>46132</v>
      </c>
      <c r="AJ3492" s="210">
        <f t="shared" ca="1" si="486"/>
        <v>4.1749999999999998</v>
      </c>
      <c r="AK3492" s="8">
        <f t="shared" ca="1" si="487"/>
        <v>1.0001159722222221</v>
      </c>
      <c r="AL3492" s="98">
        <f t="shared" ca="1" si="488"/>
        <v>4.1400015010434332</v>
      </c>
      <c r="AM3492" s="106">
        <f t="shared" ca="1" si="482"/>
        <v>34837.040443020036</v>
      </c>
      <c r="AN3492" s="10">
        <f t="shared" ca="1" si="483"/>
        <v>1.0804560998114887</v>
      </c>
      <c r="AO3492" s="158"/>
      <c r="AP3492" s="158"/>
      <c r="AQ3492" s="1"/>
      <c r="AR3492" s="1"/>
      <c r="AS3492" s="1"/>
      <c r="AT3492" s="1"/>
      <c r="AU3492" s="1"/>
    </row>
    <row r="3493" spans="34:47">
      <c r="AH3493" s="6">
        <f t="shared" si="484"/>
        <v>3463</v>
      </c>
      <c r="AI3493" s="7">
        <f t="shared" ca="1" si="485"/>
        <v>46133</v>
      </c>
      <c r="AJ3493" s="210">
        <f t="shared" ca="1" si="486"/>
        <v>4.1749999999999998</v>
      </c>
      <c r="AK3493" s="8">
        <f t="shared" ca="1" si="487"/>
        <v>1.0001159722222221</v>
      </c>
      <c r="AL3493" s="98">
        <f t="shared" ca="1" si="488"/>
        <v>4.1400544711363008</v>
      </c>
      <c r="AM3493" s="106">
        <f t="shared" ca="1" si="482"/>
        <v>34839.911066335371</v>
      </c>
      <c r="AN3493" s="10">
        <f t="shared" ca="1" si="483"/>
        <v>1.0805000434275014</v>
      </c>
      <c r="AO3493" s="158"/>
      <c r="AP3493" s="158"/>
      <c r="AQ3493" s="1"/>
      <c r="AR3493" s="1"/>
      <c r="AS3493" s="1"/>
      <c r="AT3493" s="1"/>
      <c r="AU3493" s="1"/>
    </row>
    <row r="3494" spans="34:47">
      <c r="AH3494" s="6">
        <f t="shared" si="484"/>
        <v>3464</v>
      </c>
      <c r="AI3494" s="7">
        <f t="shared" ca="1" si="485"/>
        <v>46134</v>
      </c>
      <c r="AJ3494" s="210">
        <f t="shared" ca="1" si="486"/>
        <v>4.1749999999999998</v>
      </c>
      <c r="AK3494" s="8">
        <f t="shared" ca="1" si="487"/>
        <v>1.0001159722222221</v>
      </c>
      <c r="AL3494" s="98">
        <f t="shared" ca="1" si="488"/>
        <v>4.1401074106728997</v>
      </c>
      <c r="AM3494" s="106">
        <f t="shared" ca="1" si="482"/>
        <v>34842.781926194293</v>
      </c>
      <c r="AN3494" s="10">
        <f t="shared" ca="1" si="483"/>
        <v>1.080543961690994</v>
      </c>
      <c r="AO3494" s="158"/>
      <c r="AP3494" s="158"/>
      <c r="AQ3494" s="1"/>
      <c r="AR3494" s="1"/>
      <c r="AS3494" s="1"/>
      <c r="AT3494" s="1"/>
      <c r="AU3494" s="1"/>
    </row>
    <row r="3495" spans="34:47">
      <c r="AH3495" s="6">
        <f t="shared" si="484"/>
        <v>3465</v>
      </c>
      <c r="AI3495" s="7">
        <f t="shared" ca="1" si="485"/>
        <v>46135</v>
      </c>
      <c r="AJ3495" s="210">
        <f t="shared" ca="1" si="486"/>
        <v>4.1749999999999998</v>
      </c>
      <c r="AK3495" s="8">
        <f t="shared" ca="1" si="487"/>
        <v>1.0001159722222221</v>
      </c>
      <c r="AL3495" s="98">
        <f t="shared" ca="1" si="488"/>
        <v>4.1401603196796533</v>
      </c>
      <c r="AM3495" s="106">
        <f t="shared" ca="1" si="482"/>
        <v>34845.653022616279</v>
      </c>
      <c r="AN3495" s="10">
        <f t="shared" ca="1" si="483"/>
        <v>1.0805878546239045</v>
      </c>
      <c r="AO3495" s="158"/>
      <c r="AP3495" s="158"/>
      <c r="AQ3495" s="1"/>
      <c r="AR3495" s="1"/>
      <c r="AS3495" s="1"/>
      <c r="AT3495" s="1"/>
      <c r="AU3495" s="1"/>
    </row>
    <row r="3496" spans="34:47">
      <c r="AH3496" s="6">
        <f t="shared" si="484"/>
        <v>3466</v>
      </c>
      <c r="AI3496" s="7">
        <f t="shared" ca="1" si="485"/>
        <v>46136</v>
      </c>
      <c r="AJ3496" s="210">
        <f t="shared" ca="1" si="486"/>
        <v>4.1749999999999998</v>
      </c>
      <c r="AK3496" s="8">
        <f t="shared" ca="1" si="487"/>
        <v>1.0001159722222221</v>
      </c>
      <c r="AL3496" s="98">
        <f t="shared" ca="1" si="488"/>
        <v>4.1402131981829626</v>
      </c>
      <c r="AM3496" s="106">
        <f t="shared" ca="1" si="482"/>
        <v>34848.524355620822</v>
      </c>
      <c r="AN3496" s="10">
        <f t="shared" ca="1" si="483"/>
        <v>1.0806317222481265</v>
      </c>
      <c r="AO3496" s="158"/>
      <c r="AP3496" s="158"/>
      <c r="AQ3496" s="1"/>
      <c r="AR3496" s="1"/>
      <c r="AS3496" s="1"/>
      <c r="AT3496" s="1"/>
      <c r="AU3496" s="1"/>
    </row>
    <row r="3497" spans="34:47">
      <c r="AH3497" s="6">
        <f t="shared" si="484"/>
        <v>3467</v>
      </c>
      <c r="AI3497" s="7">
        <f t="shared" ca="1" si="485"/>
        <v>46137</v>
      </c>
      <c r="AJ3497" s="210">
        <f t="shared" ca="1" si="486"/>
        <v>4.1749999999999998</v>
      </c>
      <c r="AK3497" s="8">
        <f t="shared" ca="1" si="487"/>
        <v>1.0001159722222221</v>
      </c>
      <c r="AL3497" s="98">
        <f t="shared" ca="1" si="488"/>
        <v>4.1402660462092067</v>
      </c>
      <c r="AM3497" s="106">
        <f t="shared" ca="1" si="482"/>
        <v>34851.395925227429</v>
      </c>
      <c r="AN3497" s="10">
        <f t="shared" ca="1" si="483"/>
        <v>1.0806755645855759</v>
      </c>
      <c r="AO3497" s="158"/>
      <c r="AP3497" s="158"/>
      <c r="AQ3497" s="1"/>
      <c r="AR3497" s="1"/>
      <c r="AS3497" s="1"/>
      <c r="AT3497" s="1"/>
      <c r="AU3497" s="1"/>
    </row>
    <row r="3498" spans="34:47">
      <c r="AH3498" s="6">
        <f t="shared" si="484"/>
        <v>3468</v>
      </c>
      <c r="AI3498" s="7">
        <f t="shared" ca="1" si="485"/>
        <v>46138</v>
      </c>
      <c r="AJ3498" s="210">
        <f t="shared" ca="1" si="486"/>
        <v>4.1749999999999998</v>
      </c>
      <c r="AK3498" s="8">
        <f t="shared" ca="1" si="487"/>
        <v>1.0001159722222221</v>
      </c>
      <c r="AL3498" s="98">
        <f t="shared" ca="1" si="488"/>
        <v>4.1403188637847199</v>
      </c>
      <c r="AM3498" s="106">
        <f t="shared" ca="1" si="482"/>
        <v>34854.267731455591</v>
      </c>
      <c r="AN3498" s="10">
        <f t="shared" ca="1" si="483"/>
        <v>1.0807193816580796</v>
      </c>
      <c r="AO3498" s="158"/>
      <c r="AP3498" s="158"/>
      <c r="AQ3498" s="1"/>
      <c r="AR3498" s="1"/>
      <c r="AS3498" s="1"/>
      <c r="AT3498" s="1"/>
      <c r="AU3498" s="1"/>
    </row>
    <row r="3499" spans="34:47">
      <c r="AH3499" s="6">
        <f t="shared" si="484"/>
        <v>3469</v>
      </c>
      <c r="AI3499" s="7">
        <f t="shared" ca="1" si="485"/>
        <v>46139</v>
      </c>
      <c r="AJ3499" s="210">
        <f t="shared" ca="1" si="486"/>
        <v>4.1749999999999998</v>
      </c>
      <c r="AK3499" s="8">
        <f t="shared" ca="1" si="487"/>
        <v>1.0001159722222221</v>
      </c>
      <c r="AL3499" s="98">
        <f t="shared" ca="1" si="488"/>
        <v>4.1403716509358146</v>
      </c>
      <c r="AM3499" s="106">
        <f t="shared" ca="1" si="482"/>
        <v>34857.139774324802</v>
      </c>
      <c r="AN3499" s="10">
        <f t="shared" ca="1" si="483"/>
        <v>1.0807631734875089</v>
      </c>
      <c r="AO3499" s="158"/>
      <c r="AP3499" s="158"/>
      <c r="AQ3499" s="1"/>
      <c r="AR3499" s="1"/>
      <c r="AS3499" s="1"/>
      <c r="AT3499" s="1"/>
      <c r="AU3499" s="1"/>
    </row>
    <row r="3500" spans="34:47">
      <c r="AH3500" s="6">
        <f t="shared" si="484"/>
        <v>3470</v>
      </c>
      <c r="AI3500" s="7">
        <f t="shared" ca="1" si="485"/>
        <v>46140</v>
      </c>
      <c r="AJ3500" s="210">
        <f t="shared" ca="1" si="486"/>
        <v>4.1749999999999998</v>
      </c>
      <c r="AK3500" s="8">
        <f t="shared" ca="1" si="487"/>
        <v>1.0001159722222221</v>
      </c>
      <c r="AL3500" s="98">
        <f t="shared" ca="1" si="488"/>
        <v>4.1404244076887808</v>
      </c>
      <c r="AM3500" s="106">
        <f t="shared" ca="1" si="482"/>
        <v>34860.01205385456</v>
      </c>
      <c r="AN3500" s="10">
        <f t="shared" ca="1" si="483"/>
        <v>1.0808069400956466</v>
      </c>
      <c r="AO3500" s="158"/>
      <c r="AP3500" s="158"/>
      <c r="AQ3500" s="1"/>
      <c r="AR3500" s="1"/>
      <c r="AS3500" s="1"/>
      <c r="AT3500" s="1"/>
      <c r="AU3500" s="1"/>
    </row>
    <row r="3501" spans="34:47">
      <c r="AH3501" s="6">
        <f t="shared" si="484"/>
        <v>3471</v>
      </c>
      <c r="AI3501" s="7">
        <f t="shared" ca="1" si="485"/>
        <v>46141</v>
      </c>
      <c r="AJ3501" s="210">
        <f t="shared" ca="1" si="486"/>
        <v>4.1749999999999998</v>
      </c>
      <c r="AK3501" s="8">
        <f t="shared" ca="1" si="487"/>
        <v>1.0001159722222221</v>
      </c>
      <c r="AL3501" s="98">
        <f t="shared" ca="1" si="488"/>
        <v>4.1404771340698643</v>
      </c>
      <c r="AM3501" s="106">
        <f t="shared" ca="1" si="482"/>
        <v>34862.884570064387</v>
      </c>
      <c r="AN3501" s="10">
        <f t="shared" ca="1" si="483"/>
        <v>1.0808506815042529</v>
      </c>
      <c r="AO3501" s="158"/>
      <c r="AP3501" s="158"/>
      <c r="AQ3501" s="1"/>
      <c r="AR3501" s="1"/>
      <c r="AS3501" s="1"/>
      <c r="AT3501" s="1"/>
      <c r="AU3501" s="1"/>
    </row>
    <row r="3502" spans="34:47">
      <c r="AH3502" s="6">
        <f t="shared" si="484"/>
        <v>3472</v>
      </c>
      <c r="AI3502" s="7">
        <f t="shared" ca="1" si="485"/>
        <v>46142</v>
      </c>
      <c r="AJ3502" s="210">
        <f t="shared" ca="1" si="486"/>
        <v>4.1749999999999998</v>
      </c>
      <c r="AK3502" s="8">
        <f t="shared" ca="1" si="487"/>
        <v>1.0001159722222221</v>
      </c>
      <c r="AL3502" s="98">
        <f t="shared" ca="1" si="488"/>
        <v>4.1405298301052662</v>
      </c>
      <c r="AM3502" s="106">
        <f t="shared" ca="1" si="482"/>
        <v>34865.757322973754</v>
      </c>
      <c r="AN3502" s="10">
        <f t="shared" ca="1" si="483"/>
        <v>1.0808943977351104</v>
      </c>
      <c r="AO3502" s="158"/>
      <c r="AP3502" s="158"/>
      <c r="AQ3502" s="1"/>
      <c r="AR3502" s="1"/>
      <c r="AS3502" s="1"/>
      <c r="AT3502" s="1"/>
      <c r="AU3502" s="1"/>
    </row>
    <row r="3503" spans="34:47">
      <c r="AH3503" s="6">
        <f t="shared" si="484"/>
        <v>3473</v>
      </c>
      <c r="AI3503" s="7">
        <f t="shared" ca="1" si="485"/>
        <v>46143</v>
      </c>
      <c r="AJ3503" s="210">
        <f t="shared" ca="1" si="486"/>
        <v>4.1749999999999998</v>
      </c>
      <c r="AK3503" s="8">
        <f t="shared" ca="1" si="487"/>
        <v>1.0001159722222221</v>
      </c>
      <c r="AL3503" s="98">
        <f t="shared" ca="1" si="488"/>
        <v>4.1405824958211879</v>
      </c>
      <c r="AM3503" s="106">
        <f t="shared" ca="1" si="482"/>
        <v>34868.630312602188</v>
      </c>
      <c r="AN3503" s="10">
        <f t="shared" ca="1" si="483"/>
        <v>1.0809380888099573</v>
      </c>
      <c r="AO3503" s="158"/>
      <c r="AP3503" s="158"/>
      <c r="AQ3503" s="1"/>
      <c r="AR3503" s="1"/>
      <c r="AS3503" s="1"/>
      <c r="AT3503" s="1"/>
      <c r="AU3503" s="1"/>
    </row>
    <row r="3504" spans="34:47">
      <c r="AH3504" s="6">
        <f t="shared" si="484"/>
        <v>3474</v>
      </c>
      <c r="AI3504" s="7">
        <f t="shared" ca="1" si="485"/>
        <v>46144</v>
      </c>
      <c r="AJ3504" s="210">
        <f t="shared" ca="1" si="486"/>
        <v>4.1749999999999998</v>
      </c>
      <c r="AK3504" s="8">
        <f t="shared" ca="1" si="487"/>
        <v>1.0001159722222221</v>
      </c>
      <c r="AL3504" s="98">
        <f t="shared" ca="1" si="488"/>
        <v>4.1406351312438083</v>
      </c>
      <c r="AM3504" s="106">
        <f t="shared" ca="1" si="482"/>
        <v>34871.503538969191</v>
      </c>
      <c r="AN3504" s="10">
        <f t="shared" ca="1" si="483"/>
        <v>1.0809817547505096</v>
      </c>
      <c r="AO3504" s="158"/>
      <c r="AP3504" s="158"/>
      <c r="AQ3504" s="1"/>
      <c r="AR3504" s="1"/>
      <c r="AS3504" s="1"/>
      <c r="AT3504" s="1"/>
      <c r="AU3504" s="1"/>
    </row>
    <row r="3505" spans="34:47">
      <c r="AH3505" s="6">
        <f t="shared" si="484"/>
        <v>3475</v>
      </c>
      <c r="AI3505" s="7">
        <f t="shared" ca="1" si="485"/>
        <v>46145</v>
      </c>
      <c r="AJ3505" s="210">
        <f t="shared" ca="1" si="486"/>
        <v>4.1749999999999998</v>
      </c>
      <c r="AK3505" s="8">
        <f t="shared" ca="1" si="487"/>
        <v>1.0001159722222221</v>
      </c>
      <c r="AL3505" s="98">
        <f t="shared" ca="1" si="488"/>
        <v>4.14068773639924</v>
      </c>
      <c r="AM3505" s="106">
        <f t="shared" ca="1" si="482"/>
        <v>34874.377002094268</v>
      </c>
      <c r="AN3505" s="10">
        <f t="shared" ca="1" si="483"/>
        <v>1.0810253955784166</v>
      </c>
      <c r="AO3505" s="158"/>
      <c r="AP3505" s="158"/>
      <c r="AQ3505" s="1"/>
      <c r="AR3505" s="1"/>
      <c r="AS3505" s="1"/>
      <c r="AT3505" s="1"/>
      <c r="AU3505" s="1"/>
    </row>
    <row r="3506" spans="34:47">
      <c r="AH3506" s="6">
        <f t="shared" si="484"/>
        <v>3476</v>
      </c>
      <c r="AI3506" s="7">
        <f t="shared" ca="1" si="485"/>
        <v>46146</v>
      </c>
      <c r="AJ3506" s="210">
        <f t="shared" ca="1" si="486"/>
        <v>4.1749999999999998</v>
      </c>
      <c r="AK3506" s="8">
        <f t="shared" ca="1" si="487"/>
        <v>1.0001159722222221</v>
      </c>
      <c r="AL3506" s="98">
        <f t="shared" ca="1" si="488"/>
        <v>4.1407403113135732</v>
      </c>
      <c r="AM3506" s="106">
        <f t="shared" ca="1" si="482"/>
        <v>34877.250701996927</v>
      </c>
      <c r="AN3506" s="10">
        <f t="shared" ca="1" si="483"/>
        <v>1.0810690113153276</v>
      </c>
      <c r="AO3506" s="158"/>
      <c r="AP3506" s="158"/>
      <c r="AQ3506" s="1"/>
      <c r="AR3506" s="1"/>
      <c r="AS3506" s="1"/>
      <c r="AT3506" s="1"/>
      <c r="AU3506" s="1"/>
    </row>
    <row r="3507" spans="34:47">
      <c r="AH3507" s="6">
        <f t="shared" si="484"/>
        <v>3477</v>
      </c>
      <c r="AI3507" s="7">
        <f t="shared" ca="1" si="485"/>
        <v>46147</v>
      </c>
      <c r="AJ3507" s="210">
        <f t="shared" ca="1" si="486"/>
        <v>4.1749999999999998</v>
      </c>
      <c r="AK3507" s="8">
        <f t="shared" ca="1" si="487"/>
        <v>1.0001159722222221</v>
      </c>
      <c r="AL3507" s="98">
        <f t="shared" ca="1" si="488"/>
        <v>4.1407928560128981</v>
      </c>
      <c r="AM3507" s="106">
        <f t="shared" ca="1" si="482"/>
        <v>34880.124638696674</v>
      </c>
      <c r="AN3507" s="10">
        <f t="shared" ca="1" si="483"/>
        <v>1.0811126019829365</v>
      </c>
      <c r="AO3507" s="158"/>
      <c r="AP3507" s="158"/>
      <c r="AQ3507" s="1"/>
      <c r="AR3507" s="1"/>
      <c r="AS3507" s="1"/>
      <c r="AT3507" s="1"/>
      <c r="AU3507" s="1"/>
    </row>
    <row r="3508" spans="34:47">
      <c r="AH3508" s="6">
        <f t="shared" si="484"/>
        <v>3478</v>
      </c>
      <c r="AI3508" s="7">
        <f t="shared" ca="1" si="485"/>
        <v>46148</v>
      </c>
      <c r="AJ3508" s="210">
        <f t="shared" ca="1" si="486"/>
        <v>4.1749999999999998</v>
      </c>
      <c r="AK3508" s="8">
        <f t="shared" ca="1" si="487"/>
        <v>1.0001159722222221</v>
      </c>
      <c r="AL3508" s="98">
        <f t="shared" ca="1" si="488"/>
        <v>4.1408453705232384</v>
      </c>
      <c r="AM3508" s="106">
        <f t="shared" ca="1" si="482"/>
        <v>34882.998812213038</v>
      </c>
      <c r="AN3508" s="10">
        <f t="shared" ca="1" si="483"/>
        <v>1.0811561676028036</v>
      </c>
      <c r="AO3508" s="158"/>
      <c r="AP3508" s="158"/>
      <c r="AQ3508" s="1"/>
      <c r="AR3508" s="1"/>
      <c r="AS3508" s="1"/>
      <c r="AT3508" s="1"/>
      <c r="AU3508" s="1"/>
    </row>
    <row r="3509" spans="34:47">
      <c r="AH3509" s="6">
        <f t="shared" si="484"/>
        <v>3479</v>
      </c>
      <c r="AI3509" s="7">
        <f t="shared" ca="1" si="485"/>
        <v>46149</v>
      </c>
      <c r="AJ3509" s="210">
        <f t="shared" ca="1" si="486"/>
        <v>4.1749999999999998</v>
      </c>
      <c r="AK3509" s="8">
        <f t="shared" ca="1" si="487"/>
        <v>1.0001159722222221</v>
      </c>
      <c r="AL3509" s="98">
        <f t="shared" ca="1" si="488"/>
        <v>4.1408978548705955</v>
      </c>
      <c r="AM3509" s="106">
        <f t="shared" ca="1" si="482"/>
        <v>34885.873222565511</v>
      </c>
      <c r="AN3509" s="10">
        <f t="shared" ca="1" si="483"/>
        <v>1.0811997081964897</v>
      </c>
      <c r="AO3509" s="158"/>
      <c r="AP3509" s="158"/>
      <c r="AQ3509" s="1"/>
      <c r="AR3509" s="1"/>
      <c r="AS3509" s="1"/>
      <c r="AT3509" s="1"/>
      <c r="AU3509" s="1"/>
    </row>
    <row r="3510" spans="34:47">
      <c r="AH3510" s="6">
        <f t="shared" si="484"/>
        <v>3480</v>
      </c>
      <c r="AI3510" s="7">
        <f t="shared" ca="1" si="485"/>
        <v>46150</v>
      </c>
      <c r="AJ3510" s="210">
        <f t="shared" ca="1" si="486"/>
        <v>4.1749999999999998</v>
      </c>
      <c r="AK3510" s="8">
        <f t="shared" ca="1" si="487"/>
        <v>1.0001159722222221</v>
      </c>
      <c r="AL3510" s="98">
        <f t="shared" ca="1" si="488"/>
        <v>4.1409503090809707</v>
      </c>
      <c r="AM3510" s="106">
        <f t="shared" ca="1" si="482"/>
        <v>34888.74786977363</v>
      </c>
      <c r="AN3510" s="10">
        <f t="shared" ca="1" si="483"/>
        <v>1.0812432237856218</v>
      </c>
      <c r="AO3510" s="158"/>
      <c r="AP3510" s="158"/>
      <c r="AQ3510" s="1"/>
      <c r="AR3510" s="1"/>
      <c r="AS3510" s="1"/>
      <c r="AT3510" s="1"/>
      <c r="AU3510" s="1"/>
    </row>
    <row r="3511" spans="34:47">
      <c r="AH3511" s="6">
        <f t="shared" si="484"/>
        <v>3481</v>
      </c>
      <c r="AI3511" s="7">
        <f t="shared" ca="1" si="485"/>
        <v>46151</v>
      </c>
      <c r="AJ3511" s="210">
        <f t="shared" ca="1" si="486"/>
        <v>4.1749999999999998</v>
      </c>
      <c r="AK3511" s="8">
        <f t="shared" ca="1" si="487"/>
        <v>1.0001159722222221</v>
      </c>
      <c r="AL3511" s="98">
        <f t="shared" ca="1" si="488"/>
        <v>4.141002733180299</v>
      </c>
      <c r="AM3511" s="106">
        <f t="shared" ca="1" si="482"/>
        <v>34891.6227538569</v>
      </c>
      <c r="AN3511" s="10">
        <f t="shared" ca="1" si="483"/>
        <v>1.0812867143916716</v>
      </c>
      <c r="AO3511" s="158"/>
      <c r="AP3511" s="158"/>
      <c r="AQ3511" s="1"/>
      <c r="AR3511" s="1"/>
      <c r="AS3511" s="1"/>
      <c r="AT3511" s="1"/>
      <c r="AU3511" s="1"/>
    </row>
    <row r="3512" spans="34:47">
      <c r="AH3512" s="6">
        <f t="shared" si="484"/>
        <v>3482</v>
      </c>
      <c r="AI3512" s="7">
        <f t="shared" ca="1" si="485"/>
        <v>46152</v>
      </c>
      <c r="AJ3512" s="210">
        <f t="shared" ca="1" si="486"/>
        <v>4.1749999999999998</v>
      </c>
      <c r="AK3512" s="8">
        <f t="shared" ca="1" si="487"/>
        <v>1.0001159722222221</v>
      </c>
      <c r="AL3512" s="98">
        <f t="shared" ca="1" si="488"/>
        <v>4.1410551271945151</v>
      </c>
      <c r="AM3512" s="106">
        <f t="shared" ca="1" si="482"/>
        <v>34894.497874834837</v>
      </c>
      <c r="AN3512" s="10">
        <f t="shared" ca="1" si="483"/>
        <v>1.0813301800361774</v>
      </c>
      <c r="AO3512" s="158"/>
      <c r="AP3512" s="158"/>
      <c r="AQ3512" s="1"/>
      <c r="AR3512" s="1"/>
      <c r="AS3512" s="1"/>
      <c r="AT3512" s="1"/>
      <c r="AU3512" s="1"/>
    </row>
    <row r="3513" spans="34:47">
      <c r="AH3513" s="6">
        <f t="shared" si="484"/>
        <v>3483</v>
      </c>
      <c r="AI3513" s="7">
        <f t="shared" ca="1" si="485"/>
        <v>46153</v>
      </c>
      <c r="AJ3513" s="210">
        <f t="shared" ca="1" si="486"/>
        <v>4.1749999999999998</v>
      </c>
      <c r="AK3513" s="8">
        <f t="shared" ca="1" si="487"/>
        <v>1.0001159722222221</v>
      </c>
      <c r="AL3513" s="98">
        <f t="shared" ca="1" si="488"/>
        <v>4.1411074911495094</v>
      </c>
      <c r="AM3513" s="106">
        <f t="shared" ca="1" si="482"/>
        <v>34897.373232726968</v>
      </c>
      <c r="AN3513" s="10">
        <f t="shared" ca="1" si="483"/>
        <v>1.0813736207406333</v>
      </c>
      <c r="AO3513" s="158"/>
      <c r="AP3513" s="158"/>
      <c r="AQ3513" s="1"/>
      <c r="AR3513" s="1"/>
      <c r="AS3513" s="1"/>
      <c r="AT3513" s="1"/>
      <c r="AU3513" s="1"/>
    </row>
    <row r="3514" spans="34:47">
      <c r="AH3514" s="6">
        <f t="shared" si="484"/>
        <v>3484</v>
      </c>
      <c r="AI3514" s="7">
        <f t="shared" ca="1" si="485"/>
        <v>46154</v>
      </c>
      <c r="AJ3514" s="210">
        <f t="shared" ca="1" si="486"/>
        <v>4.1749999999999998</v>
      </c>
      <c r="AK3514" s="8">
        <f t="shared" ca="1" si="487"/>
        <v>1.0001159722222221</v>
      </c>
      <c r="AL3514" s="98">
        <f t="shared" ca="1" si="488"/>
        <v>4.1411598250711279</v>
      </c>
      <c r="AM3514" s="106">
        <f t="shared" ca="1" si="482"/>
        <v>34900.248827552823</v>
      </c>
      <c r="AN3514" s="10">
        <f t="shared" ca="1" si="483"/>
        <v>1.0814170365264886</v>
      </c>
      <c r="AO3514" s="158"/>
      <c r="AP3514" s="158"/>
      <c r="AQ3514" s="1"/>
      <c r="AR3514" s="1"/>
      <c r="AS3514" s="1"/>
      <c r="AT3514" s="1"/>
      <c r="AU3514" s="1"/>
    </row>
    <row r="3515" spans="34:47">
      <c r="AH3515" s="6">
        <f t="shared" si="484"/>
        <v>3485</v>
      </c>
      <c r="AI3515" s="7">
        <f t="shared" ca="1" si="485"/>
        <v>46155</v>
      </c>
      <c r="AJ3515" s="210">
        <f t="shared" ca="1" si="486"/>
        <v>4.1749999999999998</v>
      </c>
      <c r="AK3515" s="8">
        <f t="shared" ca="1" si="487"/>
        <v>1.0001159722222221</v>
      </c>
      <c r="AL3515" s="98">
        <f t="shared" ca="1" si="488"/>
        <v>4.1412121289852166</v>
      </c>
      <c r="AM3515" s="106">
        <f t="shared" ca="1" si="482"/>
        <v>34903.124659331901</v>
      </c>
      <c r="AN3515" s="10">
        <f t="shared" ca="1" si="483"/>
        <v>1.0814604274151707</v>
      </c>
      <c r="AO3515" s="158"/>
      <c r="AP3515" s="158"/>
      <c r="AQ3515" s="1"/>
      <c r="AR3515" s="1"/>
      <c r="AS3515" s="1"/>
      <c r="AT3515" s="1"/>
      <c r="AU3515" s="1"/>
    </row>
    <row r="3516" spans="34:47">
      <c r="AH3516" s="6">
        <f t="shared" si="484"/>
        <v>3486</v>
      </c>
      <c r="AI3516" s="7">
        <f t="shared" ca="1" si="485"/>
        <v>46156</v>
      </c>
      <c r="AJ3516" s="210">
        <f t="shared" ca="1" si="486"/>
        <v>4.1749999999999998</v>
      </c>
      <c r="AK3516" s="8">
        <f t="shared" ca="1" si="487"/>
        <v>1.0001159722222221</v>
      </c>
      <c r="AL3516" s="98">
        <f t="shared" ca="1" si="488"/>
        <v>4.1412644029175549</v>
      </c>
      <c r="AM3516" s="106">
        <f t="shared" ca="1" si="482"/>
        <v>34906.000728083753</v>
      </c>
      <c r="AN3516" s="10">
        <f t="shared" ca="1" si="483"/>
        <v>1.0815037934280625</v>
      </c>
      <c r="AO3516" s="158"/>
      <c r="AP3516" s="158"/>
      <c r="AQ3516" s="1"/>
      <c r="AR3516" s="1"/>
      <c r="AS3516" s="1"/>
      <c r="AT3516" s="1"/>
      <c r="AU3516" s="1"/>
    </row>
    <row r="3517" spans="34:47">
      <c r="AH3517" s="6">
        <f t="shared" si="484"/>
        <v>3487</v>
      </c>
      <c r="AI3517" s="7">
        <f t="shared" ca="1" si="485"/>
        <v>46157</v>
      </c>
      <c r="AJ3517" s="210">
        <f t="shared" ca="1" si="486"/>
        <v>4.1749999999999998</v>
      </c>
      <c r="AK3517" s="8">
        <f t="shared" ca="1" si="487"/>
        <v>1.0001159722222221</v>
      </c>
      <c r="AL3517" s="98">
        <f t="shared" ca="1" si="488"/>
        <v>4.1413166468939444</v>
      </c>
      <c r="AM3517" s="106">
        <f t="shared" ca="1" si="482"/>
        <v>34908.877033827892</v>
      </c>
      <c r="AN3517" s="10">
        <f t="shared" ca="1" si="483"/>
        <v>1.0815471345866134</v>
      </c>
      <c r="AO3517" s="158"/>
      <c r="AP3517" s="158"/>
      <c r="AQ3517" s="1"/>
      <c r="AR3517" s="1"/>
      <c r="AS3517" s="1"/>
      <c r="AT3517" s="1"/>
      <c r="AU3517" s="1"/>
    </row>
    <row r="3518" spans="34:47">
      <c r="AH3518" s="6">
        <f t="shared" si="484"/>
        <v>3488</v>
      </c>
      <c r="AI3518" s="7">
        <f t="shared" ca="1" si="485"/>
        <v>46158</v>
      </c>
      <c r="AJ3518" s="210">
        <f t="shared" ca="1" si="486"/>
        <v>4.1749999999999998</v>
      </c>
      <c r="AK3518" s="8">
        <f t="shared" ca="1" si="487"/>
        <v>1.0001159722222221</v>
      </c>
      <c r="AL3518" s="98">
        <f t="shared" ca="1" si="488"/>
        <v>4.1413688609400978</v>
      </c>
      <c r="AM3518" s="106">
        <f t="shared" ca="1" si="482"/>
        <v>34911.753576583855</v>
      </c>
      <c r="AN3518" s="10">
        <f t="shared" ca="1" si="483"/>
        <v>1.0815904509121177</v>
      </c>
      <c r="AO3518" s="158"/>
      <c r="AP3518" s="158"/>
      <c r="AQ3518" s="1"/>
      <c r="AR3518" s="1"/>
      <c r="AS3518" s="1"/>
      <c r="AT3518" s="1"/>
      <c r="AU3518" s="1"/>
    </row>
    <row r="3519" spans="34:47">
      <c r="AH3519" s="6">
        <f t="shared" si="484"/>
        <v>3489</v>
      </c>
      <c r="AI3519" s="7">
        <f t="shared" ca="1" si="485"/>
        <v>46159</v>
      </c>
      <c r="AJ3519" s="210">
        <f t="shared" ca="1" si="486"/>
        <v>4.1749999999999998</v>
      </c>
      <c r="AK3519" s="8">
        <f t="shared" ca="1" si="487"/>
        <v>1.0001159722222221</v>
      </c>
      <c r="AL3519" s="98">
        <f t="shared" ca="1" si="488"/>
        <v>4.1414210450817501</v>
      </c>
      <c r="AM3519" s="106">
        <f t="shared" ca="1" si="482"/>
        <v>34914.63035637117</v>
      </c>
      <c r="AN3519" s="10">
        <f t="shared" ca="1" si="483"/>
        <v>1.0816337424259803</v>
      </c>
      <c r="AO3519" s="158"/>
      <c r="AP3519" s="158"/>
      <c r="AQ3519" s="1"/>
      <c r="AR3519" s="1"/>
      <c r="AS3519" s="1"/>
      <c r="AT3519" s="1"/>
      <c r="AU3519" s="1"/>
    </row>
    <row r="3520" spans="34:47">
      <c r="AH3520" s="6">
        <f t="shared" si="484"/>
        <v>3490</v>
      </c>
      <c r="AI3520" s="7">
        <f t="shared" ca="1" si="485"/>
        <v>46160</v>
      </c>
      <c r="AJ3520" s="210">
        <f t="shared" ca="1" si="486"/>
        <v>4.1749999999999998</v>
      </c>
      <c r="AK3520" s="8">
        <f t="shared" ca="1" si="487"/>
        <v>1.0001159722222221</v>
      </c>
      <c r="AL3520" s="98">
        <f t="shared" ca="1" si="488"/>
        <v>4.1414731993445697</v>
      </c>
      <c r="AM3520" s="106">
        <f t="shared" ca="1" si="482"/>
        <v>34917.507373209351</v>
      </c>
      <c r="AN3520" s="10">
        <f t="shared" ca="1" si="483"/>
        <v>1.081677009149451</v>
      </c>
      <c r="AO3520" s="158"/>
      <c r="AP3520" s="158"/>
      <c r="AQ3520" s="1"/>
      <c r="AR3520" s="1"/>
      <c r="AS3520" s="1"/>
      <c r="AT3520" s="1"/>
      <c r="AU3520" s="1"/>
    </row>
    <row r="3521" spans="34:47">
      <c r="AH3521" s="6">
        <f t="shared" si="484"/>
        <v>3491</v>
      </c>
      <c r="AI3521" s="7">
        <f t="shared" ca="1" si="485"/>
        <v>46161</v>
      </c>
      <c r="AJ3521" s="210">
        <f t="shared" ca="1" si="486"/>
        <v>4.1749999999999998</v>
      </c>
      <c r="AK3521" s="8">
        <f t="shared" ca="1" si="487"/>
        <v>1.0001159722222221</v>
      </c>
      <c r="AL3521" s="98">
        <f t="shared" ca="1" si="488"/>
        <v>4.1415253237542249</v>
      </c>
      <c r="AM3521" s="106">
        <f t="shared" ca="1" si="482"/>
        <v>34920.384627117965</v>
      </c>
      <c r="AN3521" s="10">
        <f t="shared" ca="1" si="483"/>
        <v>1.081720251103846</v>
      </c>
      <c r="AO3521" s="158"/>
      <c r="AP3521" s="158"/>
      <c r="AQ3521" s="1"/>
      <c r="AR3521" s="1"/>
      <c r="AS3521" s="1"/>
      <c r="AT3521" s="1"/>
      <c r="AU3521" s="1"/>
    </row>
    <row r="3522" spans="34:47">
      <c r="AH3522" s="6">
        <f t="shared" si="484"/>
        <v>3492</v>
      </c>
      <c r="AI3522" s="7">
        <f t="shared" ca="1" si="485"/>
        <v>46162</v>
      </c>
      <c r="AJ3522" s="210">
        <f t="shared" ca="1" si="486"/>
        <v>4.1749999999999998</v>
      </c>
      <c r="AK3522" s="8">
        <f t="shared" ca="1" si="487"/>
        <v>1.0001159722222221</v>
      </c>
      <c r="AL3522" s="98">
        <f t="shared" ca="1" si="488"/>
        <v>4.1415774183363174</v>
      </c>
      <c r="AM3522" s="106">
        <f t="shared" ca="1" si="482"/>
        <v>34923.262118116516</v>
      </c>
      <c r="AN3522" s="10">
        <f t="shared" ca="1" si="483"/>
        <v>1.0817634683104371</v>
      </c>
      <c r="AO3522" s="158"/>
      <c r="AP3522" s="158"/>
      <c r="AQ3522" s="1"/>
      <c r="AR3522" s="1"/>
      <c r="AS3522" s="1"/>
      <c r="AT3522" s="1"/>
      <c r="AU3522" s="1"/>
    </row>
    <row r="3523" spans="34:47">
      <c r="AH3523" s="6">
        <f t="shared" si="484"/>
        <v>3493</v>
      </c>
      <c r="AI3523" s="7">
        <f t="shared" ca="1" si="485"/>
        <v>46163</v>
      </c>
      <c r="AJ3523" s="210">
        <f t="shared" ca="1" si="486"/>
        <v>4.1749999999999998</v>
      </c>
      <c r="AK3523" s="8">
        <f t="shared" ca="1" si="487"/>
        <v>1.0001159722222221</v>
      </c>
      <c r="AL3523" s="98">
        <f t="shared" ca="1" si="488"/>
        <v>4.1416294831164713</v>
      </c>
      <c r="AM3523" s="106">
        <f t="shared" ca="1" si="482"/>
        <v>34926.139846224556</v>
      </c>
      <c r="AN3523" s="10">
        <f t="shared" ca="1" si="483"/>
        <v>1.081806660790452</v>
      </c>
      <c r="AO3523" s="158"/>
      <c r="AP3523" s="158"/>
      <c r="AQ3523" s="1"/>
      <c r="AR3523" s="1"/>
      <c r="AS3523" s="1"/>
      <c r="AT3523" s="1"/>
      <c r="AU3523" s="1"/>
    </row>
    <row r="3524" spans="34:47">
      <c r="AH3524" s="6">
        <f t="shared" si="484"/>
        <v>3494</v>
      </c>
      <c r="AI3524" s="7">
        <f t="shared" ca="1" si="485"/>
        <v>46164</v>
      </c>
      <c r="AJ3524" s="210">
        <f t="shared" ca="1" si="486"/>
        <v>4.1749999999999998</v>
      </c>
      <c r="AK3524" s="8">
        <f t="shared" ca="1" si="487"/>
        <v>1.0001159722222221</v>
      </c>
      <c r="AL3524" s="98">
        <f t="shared" ca="1" si="488"/>
        <v>4.1416815181202438</v>
      </c>
      <c r="AM3524" s="106">
        <f t="shared" ca="1" si="482"/>
        <v>34929.017811461621</v>
      </c>
      <c r="AN3524" s="10">
        <f t="shared" ca="1" si="483"/>
        <v>1.0818498285650957</v>
      </c>
      <c r="AO3524" s="158"/>
      <c r="AP3524" s="158"/>
      <c r="AQ3524" s="1"/>
      <c r="AR3524" s="1"/>
      <c r="AS3524" s="1"/>
      <c r="AT3524" s="1"/>
      <c r="AU3524" s="1"/>
    </row>
    <row r="3525" spans="34:47">
      <c r="AH3525" s="6">
        <f t="shared" si="484"/>
        <v>3495</v>
      </c>
      <c r="AI3525" s="7">
        <f t="shared" ca="1" si="485"/>
        <v>46165</v>
      </c>
      <c r="AJ3525" s="210">
        <f t="shared" ca="1" si="486"/>
        <v>4.1749999999999998</v>
      </c>
      <c r="AK3525" s="8">
        <f t="shared" ca="1" si="487"/>
        <v>1.0001159722222221</v>
      </c>
      <c r="AL3525" s="98">
        <f t="shared" ca="1" si="488"/>
        <v>4.14173352337317</v>
      </c>
      <c r="AM3525" s="106">
        <f t="shared" ca="1" si="482"/>
        <v>34931.896013847247</v>
      </c>
      <c r="AN3525" s="10">
        <f t="shared" ca="1" si="483"/>
        <v>1.0818929716555958</v>
      </c>
      <c r="AO3525" s="158"/>
      <c r="AP3525" s="158"/>
      <c r="AQ3525" s="1"/>
      <c r="AR3525" s="1"/>
      <c r="AS3525" s="1"/>
      <c r="AT3525" s="1"/>
      <c r="AU3525" s="1"/>
    </row>
    <row r="3526" spans="34:47">
      <c r="AH3526" s="6">
        <f t="shared" si="484"/>
        <v>3496</v>
      </c>
      <c r="AI3526" s="7">
        <f t="shared" ca="1" si="485"/>
        <v>46166</v>
      </c>
      <c r="AJ3526" s="210">
        <f t="shared" ca="1" si="486"/>
        <v>4.1749999999999998</v>
      </c>
      <c r="AK3526" s="8">
        <f t="shared" ca="1" si="487"/>
        <v>1.0001159722222221</v>
      </c>
      <c r="AL3526" s="98">
        <f t="shared" ca="1" si="488"/>
        <v>4.1417854989007408</v>
      </c>
      <c r="AM3526" s="106">
        <f t="shared" ca="1" si="482"/>
        <v>34934.774453400983</v>
      </c>
      <c r="AN3526" s="10">
        <f t="shared" ca="1" si="483"/>
        <v>1.0819360900830688</v>
      </c>
      <c r="AO3526" s="158"/>
      <c r="AP3526" s="158"/>
      <c r="AQ3526" s="1"/>
      <c r="AR3526" s="1"/>
      <c r="AS3526" s="1"/>
      <c r="AT3526" s="1"/>
      <c r="AU3526" s="1"/>
    </row>
    <row r="3527" spans="34:47">
      <c r="AH3527" s="6">
        <f t="shared" si="484"/>
        <v>3497</v>
      </c>
      <c r="AI3527" s="7">
        <f t="shared" ca="1" si="485"/>
        <v>46167</v>
      </c>
      <c r="AJ3527" s="210">
        <f t="shared" ca="1" si="486"/>
        <v>4.1749999999999998</v>
      </c>
      <c r="AK3527" s="8">
        <f t="shared" ca="1" si="487"/>
        <v>1.0001159722222221</v>
      </c>
      <c r="AL3527" s="98">
        <f t="shared" ca="1" si="488"/>
        <v>4.1418374447284467</v>
      </c>
      <c r="AM3527" s="106">
        <f t="shared" ca="1" si="482"/>
        <v>34937.653130142367</v>
      </c>
      <c r="AN3527" s="10">
        <f t="shared" ca="1" si="483"/>
        <v>1.0819791838686754</v>
      </c>
      <c r="AO3527" s="158"/>
      <c r="AP3527" s="158"/>
      <c r="AQ3527" s="1"/>
      <c r="AR3527" s="1"/>
      <c r="AS3527" s="1"/>
      <c r="AT3527" s="1"/>
      <c r="AU3527" s="1"/>
    </row>
    <row r="3528" spans="34:47">
      <c r="AH3528" s="6">
        <f t="shared" si="484"/>
        <v>3498</v>
      </c>
      <c r="AI3528" s="7">
        <f t="shared" ca="1" si="485"/>
        <v>46168</v>
      </c>
      <c r="AJ3528" s="210">
        <f t="shared" ca="1" si="486"/>
        <v>4.1749999999999998</v>
      </c>
      <c r="AK3528" s="8">
        <f t="shared" ca="1" si="487"/>
        <v>1.0001159722222221</v>
      </c>
      <c r="AL3528" s="98">
        <f t="shared" ca="1" si="488"/>
        <v>4.1418893608817564</v>
      </c>
      <c r="AM3528" s="106">
        <f t="shared" ca="1" si="482"/>
        <v>34940.532044090942</v>
      </c>
      <c r="AN3528" s="10">
        <f t="shared" ca="1" si="483"/>
        <v>1.0820222530335544</v>
      </c>
      <c r="AO3528" s="158"/>
      <c r="AP3528" s="158"/>
      <c r="AQ3528" s="1"/>
      <c r="AR3528" s="1"/>
      <c r="AS3528" s="1"/>
      <c r="AT3528" s="1"/>
      <c r="AU3528" s="1"/>
    </row>
    <row r="3529" spans="34:47">
      <c r="AH3529" s="6">
        <f t="shared" si="484"/>
        <v>3499</v>
      </c>
      <c r="AI3529" s="7">
        <f t="shared" ca="1" si="485"/>
        <v>46169</v>
      </c>
      <c r="AJ3529" s="210">
        <f t="shared" ca="1" si="486"/>
        <v>4.1749999999999998</v>
      </c>
      <c r="AK3529" s="8">
        <f t="shared" ca="1" si="487"/>
        <v>1.0001159722222221</v>
      </c>
      <c r="AL3529" s="98">
        <f t="shared" ca="1" si="488"/>
        <v>4.1419412473860717</v>
      </c>
      <c r="AM3529" s="106">
        <f t="shared" ca="1" si="482"/>
        <v>34943.41119526625</v>
      </c>
      <c r="AN3529" s="10">
        <f t="shared" ca="1" si="483"/>
        <v>1.0820652975987777</v>
      </c>
      <c r="AO3529" s="158"/>
      <c r="AP3529" s="158"/>
      <c r="AQ3529" s="1"/>
      <c r="AR3529" s="1"/>
      <c r="AS3529" s="1"/>
      <c r="AT3529" s="1"/>
      <c r="AU3529" s="1"/>
    </row>
    <row r="3530" spans="34:47">
      <c r="AH3530" s="6">
        <f t="shared" si="484"/>
        <v>3500</v>
      </c>
      <c r="AI3530" s="7">
        <f t="shared" ca="1" si="485"/>
        <v>46170</v>
      </c>
      <c r="AJ3530" s="210">
        <f t="shared" ca="1" si="486"/>
        <v>4.1749999999999998</v>
      </c>
      <c r="AK3530" s="8">
        <f t="shared" ca="1" si="487"/>
        <v>1.0001159722222221</v>
      </c>
      <c r="AL3530" s="98">
        <f t="shared" ca="1" si="488"/>
        <v>4.1419931042667724</v>
      </c>
      <c r="AM3530" s="106">
        <f t="shared" ca="1" si="482"/>
        <v>34946.290583687856</v>
      </c>
      <c r="AN3530" s="10">
        <f t="shared" ca="1" si="483"/>
        <v>1.0821083175854174</v>
      </c>
      <c r="AO3530" s="158"/>
      <c r="AP3530" s="158"/>
      <c r="AQ3530" s="1"/>
      <c r="AR3530" s="1"/>
      <c r="AS3530" s="1"/>
      <c r="AT3530" s="1"/>
      <c r="AU3530" s="1"/>
    </row>
    <row r="3531" spans="34:47">
      <c r="AH3531" s="6">
        <f t="shared" si="484"/>
        <v>3501</v>
      </c>
      <c r="AI3531" s="7">
        <f t="shared" ca="1" si="485"/>
        <v>46171</v>
      </c>
      <c r="AJ3531" s="210">
        <f t="shared" ca="1" si="486"/>
        <v>4.1749999999999998</v>
      </c>
      <c r="AK3531" s="8">
        <f t="shared" ca="1" si="487"/>
        <v>1.0001159722222221</v>
      </c>
      <c r="AL3531" s="98">
        <f t="shared" ca="1" si="488"/>
        <v>4.142044931549238</v>
      </c>
      <c r="AM3531" s="106">
        <f t="shared" ca="1" si="482"/>
        <v>34949.17020937529</v>
      </c>
      <c r="AN3531" s="10">
        <f t="shared" ca="1" si="483"/>
        <v>1.0821513130145233</v>
      </c>
      <c r="AO3531" s="158"/>
      <c r="AP3531" s="158"/>
      <c r="AQ3531" s="1"/>
      <c r="AR3531" s="1"/>
      <c r="AS3531" s="1"/>
      <c r="AT3531" s="1"/>
      <c r="AU3531" s="1"/>
    </row>
    <row r="3532" spans="34:47">
      <c r="AH3532" s="6">
        <f t="shared" si="484"/>
        <v>3502</v>
      </c>
      <c r="AI3532" s="7">
        <f t="shared" ca="1" si="485"/>
        <v>46172</v>
      </c>
      <c r="AJ3532" s="210">
        <f t="shared" ca="1" si="486"/>
        <v>4.1749999999999998</v>
      </c>
      <c r="AK3532" s="8">
        <f t="shared" ca="1" si="487"/>
        <v>1.0001159722222221</v>
      </c>
      <c r="AL3532" s="98">
        <f t="shared" ca="1" si="488"/>
        <v>4.142096729258804</v>
      </c>
      <c r="AM3532" s="106">
        <f t="shared" ca="1" si="482"/>
        <v>34952.050072348116</v>
      </c>
      <c r="AN3532" s="10">
        <f t="shared" ca="1" si="483"/>
        <v>1.082194283907123</v>
      </c>
      <c r="AO3532" s="158"/>
      <c r="AP3532" s="158"/>
      <c r="AQ3532" s="1"/>
      <c r="AR3532" s="1"/>
      <c r="AS3532" s="1"/>
      <c r="AT3532" s="1"/>
      <c r="AU3532" s="1"/>
    </row>
    <row r="3533" spans="34:47">
      <c r="AH3533" s="6">
        <f t="shared" si="484"/>
        <v>3503</v>
      </c>
      <c r="AI3533" s="7">
        <f t="shared" ca="1" si="485"/>
        <v>46173</v>
      </c>
      <c r="AJ3533" s="210">
        <f t="shared" ca="1" si="486"/>
        <v>4.1749999999999998</v>
      </c>
      <c r="AK3533" s="8">
        <f t="shared" ca="1" si="487"/>
        <v>1.0001159722222221</v>
      </c>
      <c r="AL3533" s="98">
        <f t="shared" ca="1" si="488"/>
        <v>4.1421484974207612</v>
      </c>
      <c r="AM3533" s="106">
        <f t="shared" ca="1" si="482"/>
        <v>34954.930172625878</v>
      </c>
      <c r="AN3533" s="10">
        <f t="shared" ca="1" si="483"/>
        <v>1.082237230284222</v>
      </c>
      <c r="AO3533" s="158"/>
      <c r="AP3533" s="158"/>
      <c r="AQ3533" s="1"/>
      <c r="AR3533" s="1"/>
      <c r="AS3533" s="1"/>
      <c r="AT3533" s="1"/>
      <c r="AU3533" s="1"/>
    </row>
    <row r="3534" spans="34:47">
      <c r="AH3534" s="6">
        <f t="shared" si="484"/>
        <v>3504</v>
      </c>
      <c r="AI3534" s="7">
        <f t="shared" ca="1" si="485"/>
        <v>46174</v>
      </c>
      <c r="AJ3534" s="210">
        <f t="shared" ca="1" si="486"/>
        <v>4.1749999999999998</v>
      </c>
      <c r="AK3534" s="8">
        <f t="shared" ca="1" si="487"/>
        <v>1.0001159722222221</v>
      </c>
      <c r="AL3534" s="98">
        <f t="shared" ca="1" si="488"/>
        <v>4.1422002360604004</v>
      </c>
      <c r="AM3534" s="106">
        <f t="shared" ca="1" si="482"/>
        <v>34957.810510228141</v>
      </c>
      <c r="AN3534" s="10">
        <f t="shared" ca="1" si="483"/>
        <v>1.0822801521667591</v>
      </c>
      <c r="AO3534" s="158"/>
      <c r="AP3534" s="158"/>
      <c r="AQ3534" s="1"/>
      <c r="AR3534" s="1"/>
      <c r="AS3534" s="1"/>
      <c r="AT3534" s="1"/>
      <c r="AU3534" s="1"/>
    </row>
    <row r="3535" spans="34:47">
      <c r="AH3535" s="6">
        <f t="shared" si="484"/>
        <v>3505</v>
      </c>
      <c r="AI3535" s="7">
        <f t="shared" ca="1" si="485"/>
        <v>46175</v>
      </c>
      <c r="AJ3535" s="210">
        <f t="shared" ca="1" si="486"/>
        <v>4.1749999999999998</v>
      </c>
      <c r="AK3535" s="8">
        <f t="shared" ca="1" si="487"/>
        <v>1.0001159722222221</v>
      </c>
      <c r="AL3535" s="98">
        <f t="shared" ca="1" si="488"/>
        <v>4.142251945202946</v>
      </c>
      <c r="AM3535" s="106">
        <f t="shared" ca="1" si="482"/>
        <v>34960.691085174447</v>
      </c>
      <c r="AN3535" s="10">
        <f t="shared" ca="1" si="483"/>
        <v>1.0823230495756953</v>
      </c>
      <c r="AO3535" s="158"/>
      <c r="AP3535" s="158"/>
      <c r="AQ3535" s="1"/>
      <c r="AR3535" s="1"/>
      <c r="AS3535" s="1"/>
      <c r="AT3535" s="1"/>
      <c r="AU3535" s="1"/>
    </row>
    <row r="3536" spans="34:47">
      <c r="AH3536" s="6">
        <f t="shared" si="484"/>
        <v>3506</v>
      </c>
      <c r="AI3536" s="7">
        <f t="shared" ca="1" si="485"/>
        <v>46176</v>
      </c>
      <c r="AJ3536" s="210">
        <f t="shared" ca="1" si="486"/>
        <v>4.1749999999999998</v>
      </c>
      <c r="AK3536" s="8">
        <f t="shared" ca="1" si="487"/>
        <v>1.0001159722222221</v>
      </c>
      <c r="AL3536" s="98">
        <f t="shared" ca="1" si="488"/>
        <v>4.1423036248736445</v>
      </c>
      <c r="AM3536" s="106">
        <f t="shared" ca="1" si="482"/>
        <v>34963.571897484369</v>
      </c>
      <c r="AN3536" s="10">
        <f t="shared" ca="1" si="483"/>
        <v>1.0823659225319915</v>
      </c>
      <c r="AO3536" s="158"/>
      <c r="AP3536" s="158"/>
      <c r="AQ3536" s="1"/>
      <c r="AR3536" s="1"/>
      <c r="AS3536" s="1"/>
      <c r="AT3536" s="1"/>
      <c r="AU3536" s="1"/>
    </row>
    <row r="3537" spans="34:47">
      <c r="AH3537" s="6">
        <f t="shared" si="484"/>
        <v>3507</v>
      </c>
      <c r="AI3537" s="7">
        <f t="shared" ca="1" si="485"/>
        <v>46177</v>
      </c>
      <c r="AJ3537" s="210">
        <f t="shared" ca="1" si="486"/>
        <v>4.1749999999999998</v>
      </c>
      <c r="AK3537" s="8">
        <f t="shared" ca="1" si="487"/>
        <v>1.0001159722222221</v>
      </c>
      <c r="AL3537" s="98">
        <f t="shared" ca="1" si="488"/>
        <v>4.1423552750976533</v>
      </c>
      <c r="AM3537" s="106">
        <f t="shared" ca="1" si="482"/>
        <v>34966.452947177444</v>
      </c>
      <c r="AN3537" s="10">
        <f t="shared" ca="1" si="483"/>
        <v>1.0824087710564978</v>
      </c>
      <c r="AO3537" s="158"/>
      <c r="AP3537" s="158"/>
      <c r="AQ3537" s="1"/>
      <c r="AR3537" s="1"/>
      <c r="AS3537" s="1"/>
      <c r="AT3537" s="1"/>
      <c r="AU3537" s="1"/>
    </row>
    <row r="3538" spans="34:47">
      <c r="AH3538" s="6">
        <f t="shared" si="484"/>
        <v>3508</v>
      </c>
      <c r="AI3538" s="7">
        <f t="shared" ca="1" si="485"/>
        <v>46178</v>
      </c>
      <c r="AJ3538" s="210">
        <f t="shared" ca="1" si="486"/>
        <v>4.1749999999999998</v>
      </c>
      <c r="AK3538" s="8">
        <f t="shared" ca="1" si="487"/>
        <v>1.0001159722222221</v>
      </c>
      <c r="AL3538" s="98">
        <f t="shared" ca="1" si="488"/>
        <v>4.1424068959001525</v>
      </c>
      <c r="AM3538" s="106">
        <f t="shared" ca="1" si="482"/>
        <v>34969.334234273258</v>
      </c>
      <c r="AN3538" s="10">
        <f t="shared" ca="1" si="483"/>
        <v>1.0824515951701086</v>
      </c>
      <c r="AO3538" s="158"/>
      <c r="AP3538" s="158"/>
      <c r="AQ3538" s="1"/>
      <c r="AR3538" s="1"/>
      <c r="AS3538" s="1"/>
      <c r="AT3538" s="1"/>
      <c r="AU3538" s="1"/>
    </row>
    <row r="3539" spans="34:47">
      <c r="AH3539" s="6">
        <f t="shared" si="484"/>
        <v>3509</v>
      </c>
      <c r="AI3539" s="7">
        <f t="shared" ca="1" si="485"/>
        <v>46179</v>
      </c>
      <c r="AJ3539" s="210">
        <f t="shared" ca="1" si="486"/>
        <v>4.1749999999999998</v>
      </c>
      <c r="AK3539" s="8">
        <f t="shared" ca="1" si="487"/>
        <v>1.0001159722222221</v>
      </c>
      <c r="AL3539" s="98">
        <f t="shared" ca="1" si="488"/>
        <v>4.1424584873062775</v>
      </c>
      <c r="AM3539" s="106">
        <f t="shared" ca="1" si="482"/>
        <v>34972.215758791361</v>
      </c>
      <c r="AN3539" s="10">
        <f t="shared" ca="1" si="483"/>
        <v>1.0824943948937182</v>
      </c>
      <c r="AO3539" s="158"/>
      <c r="AP3539" s="158"/>
      <c r="AQ3539" s="1"/>
      <c r="AR3539" s="1"/>
      <c r="AS3539" s="1"/>
      <c r="AT3539" s="1"/>
      <c r="AU3539" s="1"/>
    </row>
    <row r="3540" spans="34:47">
      <c r="AH3540" s="6">
        <f t="shared" si="484"/>
        <v>3510</v>
      </c>
      <c r="AI3540" s="7">
        <f t="shared" ca="1" si="485"/>
        <v>46180</v>
      </c>
      <c r="AJ3540" s="210">
        <f t="shared" ca="1" si="486"/>
        <v>4.1749999999999998</v>
      </c>
      <c r="AK3540" s="8">
        <f t="shared" ca="1" si="487"/>
        <v>1.0001159722222221</v>
      </c>
      <c r="AL3540" s="98">
        <f t="shared" ca="1" si="488"/>
        <v>4.1425100493411193</v>
      </c>
      <c r="AM3540" s="106">
        <f t="shared" ca="1" si="482"/>
        <v>34975.097520751318</v>
      </c>
      <c r="AN3540" s="10">
        <f t="shared" ca="1" si="483"/>
        <v>1.0825371702481101</v>
      </c>
      <c r="AO3540" s="158"/>
      <c r="AP3540" s="158"/>
      <c r="AQ3540" s="1"/>
      <c r="AR3540" s="1"/>
      <c r="AS3540" s="1"/>
      <c r="AT3540" s="1"/>
      <c r="AU3540" s="1"/>
    </row>
    <row r="3541" spans="34:47">
      <c r="AH3541" s="6">
        <f t="shared" si="484"/>
        <v>3511</v>
      </c>
      <c r="AI3541" s="7">
        <f t="shared" ca="1" si="485"/>
        <v>46181</v>
      </c>
      <c r="AJ3541" s="210">
        <f t="shared" ca="1" si="486"/>
        <v>4.1749999999999998</v>
      </c>
      <c r="AK3541" s="8">
        <f t="shared" ca="1" si="487"/>
        <v>1.0001159722222221</v>
      </c>
      <c r="AL3541" s="98">
        <f t="shared" ca="1" si="488"/>
        <v>4.142561582029769</v>
      </c>
      <c r="AM3541" s="106">
        <f t="shared" ca="1" si="482"/>
        <v>34977.979520172688</v>
      </c>
      <c r="AN3541" s="10">
        <f t="shared" ca="1" si="483"/>
        <v>1.0825799212541121</v>
      </c>
      <c r="AO3541" s="158"/>
      <c r="AP3541" s="158"/>
      <c r="AQ3541" s="1"/>
      <c r="AR3541" s="1"/>
      <c r="AS3541" s="1"/>
      <c r="AT3541" s="1"/>
      <c r="AU3541" s="1"/>
    </row>
    <row r="3542" spans="34:47">
      <c r="AH3542" s="6">
        <f t="shared" si="484"/>
        <v>3512</v>
      </c>
      <c r="AI3542" s="7">
        <f t="shared" ca="1" si="485"/>
        <v>46182</v>
      </c>
      <c r="AJ3542" s="210">
        <f t="shared" ca="1" si="486"/>
        <v>4.1749999999999998</v>
      </c>
      <c r="AK3542" s="8">
        <f t="shared" ca="1" si="487"/>
        <v>1.0001159722222221</v>
      </c>
      <c r="AL3542" s="98">
        <f t="shared" ca="1" si="488"/>
        <v>4.1426130853972509</v>
      </c>
      <c r="AM3542" s="106">
        <f t="shared" ca="1" si="482"/>
        <v>34980.86175707505</v>
      </c>
      <c r="AN3542" s="10">
        <f t="shared" ca="1" si="483"/>
        <v>1.0826226479325074</v>
      </c>
      <c r="AO3542" s="158"/>
      <c r="AP3542" s="158"/>
      <c r="AQ3542" s="1"/>
      <c r="AR3542" s="1"/>
      <c r="AS3542" s="1"/>
      <c r="AT3542" s="1"/>
      <c r="AU3542" s="1"/>
    </row>
    <row r="3543" spans="34:47">
      <c r="AH3543" s="6">
        <f t="shared" si="484"/>
        <v>3513</v>
      </c>
      <c r="AI3543" s="7">
        <f t="shared" ca="1" si="485"/>
        <v>46183</v>
      </c>
      <c r="AJ3543" s="210">
        <f t="shared" ca="1" si="486"/>
        <v>4.1749999999999998</v>
      </c>
      <c r="AK3543" s="8">
        <f t="shared" ca="1" si="487"/>
        <v>1.0001159722222221</v>
      </c>
      <c r="AL3543" s="98">
        <f t="shared" ca="1" si="488"/>
        <v>4.1426645594686118</v>
      </c>
      <c r="AM3543" s="106">
        <f t="shared" ca="1" si="482"/>
        <v>34983.744231477969</v>
      </c>
      <c r="AN3543" s="10">
        <f t="shared" ca="1" si="483"/>
        <v>1.0826653503040573</v>
      </c>
      <c r="AO3543" s="158"/>
      <c r="AP3543" s="158"/>
      <c r="AQ3543" s="1"/>
      <c r="AR3543" s="1"/>
      <c r="AS3543" s="1"/>
      <c r="AT3543" s="1"/>
      <c r="AU3543" s="1"/>
    </row>
    <row r="3544" spans="34:47">
      <c r="AH3544" s="6">
        <f t="shared" si="484"/>
        <v>3514</v>
      </c>
      <c r="AI3544" s="7">
        <f t="shared" ca="1" si="485"/>
        <v>46184</v>
      </c>
      <c r="AJ3544" s="210">
        <f t="shared" ca="1" si="486"/>
        <v>4.1749999999999998</v>
      </c>
      <c r="AK3544" s="8">
        <f t="shared" ca="1" si="487"/>
        <v>1.0001159722222221</v>
      </c>
      <c r="AL3544" s="98">
        <f t="shared" ca="1" si="488"/>
        <v>4.1427160042688094</v>
      </c>
      <c r="AM3544" s="106">
        <f t="shared" ca="1" si="482"/>
        <v>34986.62694340101</v>
      </c>
      <c r="AN3544" s="10">
        <f t="shared" ca="1" si="483"/>
        <v>1.0827080283894785</v>
      </c>
      <c r="AO3544" s="158"/>
      <c r="AP3544" s="158"/>
      <c r="AQ3544" s="1"/>
      <c r="AR3544" s="1"/>
      <c r="AS3544" s="1"/>
      <c r="AT3544" s="1"/>
      <c r="AU3544" s="1"/>
    </row>
    <row r="3545" spans="34:47">
      <c r="AH3545" s="6">
        <f t="shared" si="484"/>
        <v>3515</v>
      </c>
      <c r="AI3545" s="7">
        <f t="shared" ca="1" si="485"/>
        <v>46185</v>
      </c>
      <c r="AJ3545" s="210">
        <f t="shared" ca="1" si="486"/>
        <v>4.1749999999999998</v>
      </c>
      <c r="AK3545" s="8">
        <f t="shared" ca="1" si="487"/>
        <v>1.0001159722222221</v>
      </c>
      <c r="AL3545" s="98">
        <f t="shared" ca="1" si="488"/>
        <v>4.1427674198228237</v>
      </c>
      <c r="AM3545" s="106">
        <f t="shared" ca="1" si="482"/>
        <v>34989.509892863753</v>
      </c>
      <c r="AN3545" s="10">
        <f t="shared" ca="1" si="483"/>
        <v>1.0827506822094879</v>
      </c>
      <c r="AO3545" s="158"/>
      <c r="AP3545" s="158"/>
      <c r="AQ3545" s="1"/>
      <c r="AR3545" s="1"/>
      <c r="AS3545" s="1"/>
      <c r="AT3545" s="1"/>
      <c r="AU3545" s="1"/>
    </row>
    <row r="3546" spans="34:47">
      <c r="AH3546" s="6">
        <f t="shared" si="484"/>
        <v>3516</v>
      </c>
      <c r="AI3546" s="7">
        <f t="shared" ca="1" si="485"/>
        <v>46186</v>
      </c>
      <c r="AJ3546" s="210">
        <f t="shared" ca="1" si="486"/>
        <v>4.1749999999999998</v>
      </c>
      <c r="AK3546" s="8">
        <f t="shared" ca="1" si="487"/>
        <v>1.0001159722222221</v>
      </c>
      <c r="AL3546" s="98">
        <f t="shared" ca="1" si="488"/>
        <v>4.1428188061555904</v>
      </c>
      <c r="AM3546" s="106">
        <f t="shared" ca="1" si="482"/>
        <v>34992.393079885762</v>
      </c>
      <c r="AN3546" s="10">
        <f t="shared" ca="1" si="483"/>
        <v>1.0827933117848243</v>
      </c>
      <c r="AO3546" s="158"/>
      <c r="AP3546" s="158"/>
      <c r="AQ3546" s="1"/>
      <c r="AR3546" s="1"/>
      <c r="AS3546" s="1"/>
      <c r="AT3546" s="1"/>
      <c r="AU3546" s="1"/>
    </row>
    <row r="3547" spans="34:47">
      <c r="AH3547" s="6">
        <f t="shared" si="484"/>
        <v>3517</v>
      </c>
      <c r="AI3547" s="7">
        <f t="shared" ca="1" si="485"/>
        <v>46187</v>
      </c>
      <c r="AJ3547" s="210">
        <f t="shared" ca="1" si="486"/>
        <v>4.1749999999999998</v>
      </c>
      <c r="AK3547" s="8">
        <f t="shared" ca="1" si="487"/>
        <v>1.0001159722222221</v>
      </c>
      <c r="AL3547" s="98">
        <f t="shared" ca="1" si="488"/>
        <v>4.1428701632920006</v>
      </c>
      <c r="AM3547" s="106">
        <f t="shared" ca="1" si="482"/>
        <v>34995.276504486617</v>
      </c>
      <c r="AN3547" s="10">
        <f t="shared" ca="1" si="483"/>
        <v>1.0828359171360935</v>
      </c>
      <c r="AO3547" s="158"/>
      <c r="AP3547" s="158"/>
      <c r="AQ3547" s="1"/>
      <c r="AR3547" s="1"/>
      <c r="AS3547" s="1"/>
      <c r="AT3547" s="1"/>
      <c r="AU3547" s="1"/>
    </row>
    <row r="3548" spans="34:47">
      <c r="AH3548" s="6">
        <f t="shared" si="484"/>
        <v>3518</v>
      </c>
      <c r="AI3548" s="7">
        <f t="shared" ca="1" si="485"/>
        <v>46188</v>
      </c>
      <c r="AJ3548" s="210">
        <f t="shared" ca="1" si="486"/>
        <v>4.1749999999999998</v>
      </c>
      <c r="AK3548" s="8">
        <f t="shared" ca="1" si="487"/>
        <v>1.0001159722222221</v>
      </c>
      <c r="AL3548" s="98">
        <f t="shared" ca="1" si="488"/>
        <v>4.1429214912569456</v>
      </c>
      <c r="AM3548" s="106">
        <f t="shared" ca="1" si="482"/>
        <v>34998.160166685899</v>
      </c>
      <c r="AN3548" s="10">
        <f t="shared" ca="1" si="483"/>
        <v>1.0828784982839679</v>
      </c>
      <c r="AO3548" s="158"/>
      <c r="AP3548" s="158"/>
      <c r="AQ3548" s="1"/>
      <c r="AR3548" s="1"/>
      <c r="AS3548" s="1"/>
      <c r="AT3548" s="1"/>
      <c r="AU3548" s="1"/>
    </row>
    <row r="3549" spans="34:47">
      <c r="AH3549" s="6">
        <f t="shared" si="484"/>
        <v>3519</v>
      </c>
      <c r="AI3549" s="7">
        <f t="shared" ca="1" si="485"/>
        <v>46189</v>
      </c>
      <c r="AJ3549" s="210">
        <f t="shared" ca="1" si="486"/>
        <v>4.1749999999999998</v>
      </c>
      <c r="AK3549" s="8">
        <f t="shared" ca="1" si="487"/>
        <v>1.0001159722222221</v>
      </c>
      <c r="AL3549" s="98">
        <f t="shared" ca="1" si="488"/>
        <v>4.14297279007525</v>
      </c>
      <c r="AM3549" s="106">
        <f t="shared" ca="1" si="482"/>
        <v>35001.044066503186</v>
      </c>
      <c r="AN3549" s="10">
        <f t="shared" ca="1" si="483"/>
        <v>1.0829210552490309</v>
      </c>
      <c r="AO3549" s="158"/>
      <c r="AP3549" s="158"/>
      <c r="AQ3549" s="1"/>
      <c r="AR3549" s="1"/>
      <c r="AS3549" s="1"/>
      <c r="AT3549" s="1"/>
      <c r="AU3549" s="1"/>
    </row>
    <row r="3550" spans="34:47">
      <c r="AH3550" s="6">
        <f t="shared" si="484"/>
        <v>3520</v>
      </c>
      <c r="AI3550" s="7">
        <f t="shared" ca="1" si="485"/>
        <v>46190</v>
      </c>
      <c r="AJ3550" s="210">
        <f t="shared" ca="1" si="486"/>
        <v>4.1749999999999998</v>
      </c>
      <c r="AK3550" s="8">
        <f t="shared" ca="1" si="487"/>
        <v>1.0001159722222221</v>
      </c>
      <c r="AL3550" s="98">
        <f t="shared" ca="1" si="488"/>
        <v>4.1430240597717605</v>
      </c>
      <c r="AM3550" s="106">
        <f t="shared" ca="1" si="482"/>
        <v>35003.92820395805</v>
      </c>
      <c r="AN3550" s="10">
        <f t="shared" ca="1" si="483"/>
        <v>1.0829635880519328</v>
      </c>
      <c r="AO3550" s="158"/>
      <c r="AP3550" s="158"/>
      <c r="AQ3550" s="1"/>
      <c r="AR3550" s="1"/>
      <c r="AS3550" s="1"/>
      <c r="AT3550" s="1"/>
      <c r="AU3550" s="1"/>
    </row>
    <row r="3551" spans="34:47">
      <c r="AH3551" s="6">
        <f t="shared" si="484"/>
        <v>3521</v>
      </c>
      <c r="AI3551" s="7">
        <f t="shared" ca="1" si="485"/>
        <v>46191</v>
      </c>
      <c r="AJ3551" s="210">
        <f t="shared" ca="1" si="486"/>
        <v>4.1749999999999998</v>
      </c>
      <c r="AK3551" s="8">
        <f t="shared" ca="1" si="487"/>
        <v>1.0001159722222221</v>
      </c>
      <c r="AL3551" s="98">
        <f t="shared" ca="1" si="488"/>
        <v>4.1430753003712351</v>
      </c>
      <c r="AM3551" s="106">
        <f t="shared" ref="AM3551:AM3614" ca="1" si="489">Geom_Interp(AI3551,$AZ$2:$AZ$109,$BA$2:$BA$109)</f>
        <v>35006.812579070072</v>
      </c>
      <c r="AN3551" s="10">
        <f t="shared" ref="AN3551:AN3614" ca="1" si="490">100*(((1+AL3551/100)^(AH3551/365)*$AM$29/AM3551)^(365/AH3551)-1)</f>
        <v>1.0830060967131905</v>
      </c>
      <c r="AO3551" s="158"/>
      <c r="AP3551" s="158"/>
      <c r="AQ3551" s="1"/>
      <c r="AR3551" s="1"/>
      <c r="AS3551" s="1"/>
      <c r="AT3551" s="1"/>
      <c r="AU3551" s="1"/>
    </row>
    <row r="3552" spans="34:47">
      <c r="AH3552" s="6">
        <f t="shared" si="484"/>
        <v>3522</v>
      </c>
      <c r="AI3552" s="7">
        <f ca="1">+AH3552+$C$1</f>
        <v>46192</v>
      </c>
      <c r="AJ3552" s="210">
        <f t="shared" ref="AJ3552:AJ3615" ca="1" si="491">IF(AH3552&lt;365,VLOOKUP(LOOKUP(AI3552,$AI$2:$AI$23),$AI$2:$AK$23,3,0),Lin_Interp(AH3552,$AJ$2:$AJ$23,$AK$2:$AK$23))</f>
        <v>4.1749999999999998</v>
      </c>
      <c r="AK3552" s="8">
        <f ca="1">+(1+AJ3552/36000)</f>
        <v>1.0001159722222221</v>
      </c>
      <c r="AL3552" s="98">
        <f t="shared" ca="1" si="488"/>
        <v>4.1431265118984539</v>
      </c>
      <c r="AM3552" s="106">
        <f t="shared" ca="1" si="489"/>
        <v>35009.697191858853</v>
      </c>
      <c r="AN3552" s="10">
        <f t="shared" ca="1" si="490"/>
        <v>1.0830485812533652</v>
      </c>
      <c r="AO3552" s="158"/>
      <c r="AP3552" s="158"/>
      <c r="AQ3552" s="1"/>
      <c r="AR3552" s="1"/>
      <c r="AS3552" s="1"/>
      <c r="AT3552" s="1"/>
      <c r="AU3552" s="1"/>
    </row>
    <row r="3553" spans="34:47">
      <c r="AH3553" s="6">
        <f t="shared" si="484"/>
        <v>3523</v>
      </c>
      <c r="AI3553" s="7">
        <f ca="1">+AH3553+$C$1</f>
        <v>46193</v>
      </c>
      <c r="AJ3553" s="210">
        <f t="shared" ca="1" si="491"/>
        <v>4.1749999999999998</v>
      </c>
      <c r="AK3553" s="8">
        <f ca="1">+(1+AJ3553/36000)</f>
        <v>1.0001159722222221</v>
      </c>
      <c r="AL3553" s="98">
        <f t="shared" ref="AL3553:AL3616" ca="1" si="492">100*(((1+AL3552/100)^(AH3552/365)*AK3553)^(365/AH3553)-1)</f>
        <v>4.1431776943781529</v>
      </c>
      <c r="AM3553" s="106">
        <f t="shared" ca="1" si="489"/>
        <v>35012.582042343965</v>
      </c>
      <c r="AN3553" s="10">
        <f t="shared" ca="1" si="490"/>
        <v>1.0830910416929962</v>
      </c>
      <c r="AO3553" s="158"/>
      <c r="AP3553" s="158"/>
      <c r="AQ3553" s="1"/>
      <c r="AR3553" s="1"/>
      <c r="AS3553" s="1"/>
      <c r="AT3553" s="1"/>
      <c r="AU3553" s="1"/>
    </row>
    <row r="3554" spans="34:47">
      <c r="AH3554" s="6">
        <f t="shared" si="484"/>
        <v>3524</v>
      </c>
      <c r="AI3554" s="7">
        <f ca="1">+AH3554+$C$1</f>
        <v>46194</v>
      </c>
      <c r="AJ3554" s="210">
        <f t="shared" ca="1" si="491"/>
        <v>4.1749999999999998</v>
      </c>
      <c r="AK3554" s="8">
        <f ca="1">+(1+AJ3554/36000)</f>
        <v>1.0001159722222221</v>
      </c>
      <c r="AL3554" s="98">
        <f t="shared" ca="1" si="492"/>
        <v>4.1432288478350454</v>
      </c>
      <c r="AM3554" s="106">
        <f t="shared" ca="1" si="489"/>
        <v>35015.467130544988</v>
      </c>
      <c r="AN3554" s="10">
        <f t="shared" ca="1" si="490"/>
        <v>1.0831334780526003</v>
      </c>
      <c r="AO3554" s="158"/>
      <c r="AP3554" s="158"/>
      <c r="AQ3554" s="1"/>
      <c r="AR3554" s="1"/>
      <c r="AS3554" s="1"/>
      <c r="AT3554" s="1"/>
      <c r="AU3554" s="1"/>
    </row>
    <row r="3555" spans="34:47">
      <c r="AH3555" s="6">
        <f t="shared" si="484"/>
        <v>3525</v>
      </c>
      <c r="AI3555" s="7">
        <f ca="1">+AH3555+$C$1</f>
        <v>46195</v>
      </c>
      <c r="AJ3555" s="210">
        <f t="shared" ca="1" si="491"/>
        <v>4.1749999999999998</v>
      </c>
      <c r="AK3555" s="8">
        <f ca="1">+(1+AJ3555/36000)</f>
        <v>1.0001159722222221</v>
      </c>
      <c r="AL3555" s="98">
        <f t="shared" ca="1" si="492"/>
        <v>4.1432799722938007</v>
      </c>
      <c r="AM3555" s="106">
        <f t="shared" ca="1" si="489"/>
        <v>35018.352456481516</v>
      </c>
      <c r="AN3555" s="10">
        <f t="shared" ca="1" si="490"/>
        <v>1.0831758903526278</v>
      </c>
      <c r="AO3555" s="158"/>
      <c r="AP3555" s="158"/>
      <c r="AQ3555" s="1"/>
      <c r="AR3555" s="1"/>
      <c r="AS3555" s="1"/>
      <c r="AT3555" s="1"/>
      <c r="AU3555" s="1"/>
    </row>
    <row r="3556" spans="34:47">
      <c r="AH3556" s="6">
        <f t="shared" ref="AH3556:AH3570" si="493">$AI$29+AH3555</f>
        <v>3526</v>
      </c>
      <c r="AI3556" s="7">
        <f t="shared" ref="AI3556:AI3570" ca="1" si="494">+AH3556+$C$1</f>
        <v>46196</v>
      </c>
      <c r="AJ3556" s="210">
        <f t="shared" ca="1" si="491"/>
        <v>4.1749999999999998</v>
      </c>
      <c r="AK3556" s="8">
        <f t="shared" ref="AK3556:AK3619" ca="1" si="495">+(1+AJ3556/36000)</f>
        <v>1.0001159722222221</v>
      </c>
      <c r="AL3556" s="98">
        <f t="shared" ca="1" si="492"/>
        <v>4.143331067779088</v>
      </c>
      <c r="AM3556" s="106">
        <f t="shared" ca="1" si="489"/>
        <v>35021.23802017315</v>
      </c>
      <c r="AN3556" s="10">
        <f t="shared" ca="1" si="490"/>
        <v>1.0832182786135514</v>
      </c>
      <c r="AO3556" s="158"/>
      <c r="AP3556" s="158"/>
      <c r="AQ3556" s="1"/>
      <c r="AR3556" s="1"/>
      <c r="AS3556" s="1"/>
      <c r="AT3556" s="1"/>
      <c r="AU3556" s="1"/>
    </row>
    <row r="3557" spans="34:47">
      <c r="AH3557" s="6">
        <f t="shared" si="493"/>
        <v>3527</v>
      </c>
      <c r="AI3557" s="7">
        <f t="shared" ca="1" si="494"/>
        <v>46197</v>
      </c>
      <c r="AJ3557" s="210">
        <f t="shared" ca="1" si="491"/>
        <v>4.1749999999999998</v>
      </c>
      <c r="AK3557" s="8">
        <f t="shared" ca="1" si="495"/>
        <v>1.0001159722222221</v>
      </c>
      <c r="AL3557" s="98">
        <f t="shared" ca="1" si="492"/>
        <v>4.1433821343155097</v>
      </c>
      <c r="AM3557" s="106">
        <f t="shared" ca="1" si="489"/>
        <v>35024.12382163947</v>
      </c>
      <c r="AN3557" s="10">
        <f t="shared" ca="1" si="490"/>
        <v>1.0832606428557767</v>
      </c>
      <c r="AO3557" s="158"/>
      <c r="AP3557" s="158"/>
    </row>
    <row r="3558" spans="34:47">
      <c r="AH3558" s="6">
        <f t="shared" si="493"/>
        <v>3528</v>
      </c>
      <c r="AI3558" s="7">
        <f t="shared" ca="1" si="494"/>
        <v>46198</v>
      </c>
      <c r="AJ3558" s="210">
        <f t="shared" ca="1" si="491"/>
        <v>4.1749999999999998</v>
      </c>
      <c r="AK3558" s="8">
        <f t="shared" ca="1" si="495"/>
        <v>1.0001159722222221</v>
      </c>
      <c r="AL3558" s="98">
        <f t="shared" ca="1" si="492"/>
        <v>4.1434331719276685</v>
      </c>
      <c r="AM3558" s="106">
        <f t="shared" ca="1" si="489"/>
        <v>35027.009860900063</v>
      </c>
      <c r="AN3558" s="10">
        <f t="shared" ca="1" si="490"/>
        <v>1.0833029830997543</v>
      </c>
      <c r="AO3558" s="158"/>
      <c r="AP3558" s="158"/>
    </row>
    <row r="3559" spans="34:47">
      <c r="AH3559" s="6">
        <f t="shared" si="493"/>
        <v>3529</v>
      </c>
      <c r="AI3559" s="7">
        <f t="shared" ca="1" si="494"/>
        <v>46199</v>
      </c>
      <c r="AJ3559" s="210">
        <f t="shared" ca="1" si="491"/>
        <v>4.1749999999999998</v>
      </c>
      <c r="AK3559" s="8">
        <f t="shared" ca="1" si="495"/>
        <v>1.0001159722222221</v>
      </c>
      <c r="AL3559" s="98">
        <f t="shared" ca="1" si="492"/>
        <v>4.1434841806401224</v>
      </c>
      <c r="AM3559" s="106">
        <f t="shared" ca="1" si="489"/>
        <v>35029.896137974538</v>
      </c>
      <c r="AN3559" s="10">
        <f t="shared" ca="1" si="490"/>
        <v>1.0833452993658454</v>
      </c>
      <c r="AO3559" s="158"/>
      <c r="AP3559" s="158"/>
    </row>
    <row r="3560" spans="34:47">
      <c r="AH3560" s="6">
        <f t="shared" si="493"/>
        <v>3530</v>
      </c>
      <c r="AI3560" s="7">
        <f t="shared" ca="1" si="494"/>
        <v>46200</v>
      </c>
      <c r="AJ3560" s="210">
        <f t="shared" ca="1" si="491"/>
        <v>4.1749999999999998</v>
      </c>
      <c r="AK3560" s="8">
        <f t="shared" ca="1" si="495"/>
        <v>1.0001159722222221</v>
      </c>
      <c r="AL3560" s="98">
        <f t="shared" ca="1" si="492"/>
        <v>4.1435351604774295</v>
      </c>
      <c r="AM3560" s="106">
        <f t="shared" ca="1" si="489"/>
        <v>35032.782652882481</v>
      </c>
      <c r="AN3560" s="10">
        <f t="shared" ca="1" si="490"/>
        <v>1.0833875916744118</v>
      </c>
      <c r="AO3560" s="158"/>
      <c r="AP3560" s="158"/>
    </row>
    <row r="3561" spans="34:47">
      <c r="AH3561" s="6">
        <f t="shared" si="493"/>
        <v>3531</v>
      </c>
      <c r="AI3561" s="7">
        <f t="shared" ca="1" si="494"/>
        <v>46201</v>
      </c>
      <c r="AJ3561" s="210">
        <f t="shared" ca="1" si="491"/>
        <v>4.1749999999999998</v>
      </c>
      <c r="AK3561" s="8">
        <f t="shared" ca="1" si="495"/>
        <v>1.0001159722222221</v>
      </c>
      <c r="AL3561" s="98">
        <f t="shared" ca="1" si="492"/>
        <v>4.1435861114640815</v>
      </c>
      <c r="AM3561" s="106">
        <f t="shared" ca="1" si="489"/>
        <v>35035.669405643494</v>
      </c>
      <c r="AN3561" s="10">
        <f t="shared" ca="1" si="490"/>
        <v>1.0834298600457926</v>
      </c>
      <c r="AO3561" s="158"/>
      <c r="AP3561" s="158"/>
    </row>
    <row r="3562" spans="34:47">
      <c r="AH3562" s="6">
        <f t="shared" si="493"/>
        <v>3532</v>
      </c>
      <c r="AI3562" s="7">
        <f t="shared" ca="1" si="494"/>
        <v>46202</v>
      </c>
      <c r="AJ3562" s="210">
        <f t="shared" ca="1" si="491"/>
        <v>4.1749999999999998</v>
      </c>
      <c r="AK3562" s="8">
        <f t="shared" ca="1" si="495"/>
        <v>1.0001159722222221</v>
      </c>
      <c r="AL3562" s="98">
        <f t="shared" ca="1" si="492"/>
        <v>4.1436370336245698</v>
      </c>
      <c r="AM3562" s="106">
        <f t="shared" ca="1" si="489"/>
        <v>35038.556396277178</v>
      </c>
      <c r="AN3562" s="10">
        <f t="shared" ca="1" si="490"/>
        <v>1.0834721045003048</v>
      </c>
      <c r="AO3562" s="158"/>
      <c r="AP3562" s="158"/>
    </row>
    <row r="3563" spans="34:47">
      <c r="AH3563" s="6">
        <f t="shared" si="493"/>
        <v>3533</v>
      </c>
      <c r="AI3563" s="7">
        <f t="shared" ca="1" si="494"/>
        <v>46203</v>
      </c>
      <c r="AJ3563" s="210">
        <f t="shared" ca="1" si="491"/>
        <v>4.1749999999999998</v>
      </c>
      <c r="AK3563" s="8">
        <f t="shared" ca="1" si="495"/>
        <v>1.0001159722222221</v>
      </c>
      <c r="AL3563" s="98">
        <f t="shared" ca="1" si="492"/>
        <v>4.1436879269833637</v>
      </c>
      <c r="AM3563" s="106">
        <f t="shared" ca="1" si="489"/>
        <v>35041.443624803127</v>
      </c>
      <c r="AN3563" s="10">
        <f t="shared" ca="1" si="490"/>
        <v>1.0835143250582657</v>
      </c>
      <c r="AO3563" s="158"/>
      <c r="AP3563" s="158"/>
    </row>
    <row r="3564" spans="34:47">
      <c r="AH3564" s="6">
        <f t="shared" si="493"/>
        <v>3534</v>
      </c>
      <c r="AI3564" s="7">
        <f t="shared" ca="1" si="494"/>
        <v>46204</v>
      </c>
      <c r="AJ3564" s="210">
        <f t="shared" ca="1" si="491"/>
        <v>4.1749999999999998</v>
      </c>
      <c r="AK3564" s="8">
        <f t="shared" ca="1" si="495"/>
        <v>1.0001159722222221</v>
      </c>
      <c r="AL3564" s="98">
        <f t="shared" ca="1" si="492"/>
        <v>4.143738791564866</v>
      </c>
      <c r="AM3564" s="106">
        <f t="shared" ca="1" si="489"/>
        <v>35044.331091240958</v>
      </c>
      <c r="AN3564" s="10">
        <f t="shared" ca="1" si="490"/>
        <v>1.0835565217399035</v>
      </c>
      <c r="AO3564" s="158"/>
      <c r="AP3564" s="158"/>
    </row>
    <row r="3565" spans="34:47">
      <c r="AH3565" s="6">
        <f t="shared" si="493"/>
        <v>3535</v>
      </c>
      <c r="AI3565" s="7">
        <f t="shared" ca="1" si="494"/>
        <v>46205</v>
      </c>
      <c r="AJ3565" s="210">
        <f t="shared" ca="1" si="491"/>
        <v>4.1749999999999998</v>
      </c>
      <c r="AK3565" s="8">
        <f t="shared" ca="1" si="495"/>
        <v>1.0001159722222221</v>
      </c>
      <c r="AL3565" s="98">
        <f t="shared" ca="1" si="492"/>
        <v>4.1437896273935015</v>
      </c>
      <c r="AM3565" s="106">
        <f t="shared" ca="1" si="489"/>
        <v>35047.218795610257</v>
      </c>
      <c r="AN3565" s="10">
        <f t="shared" ca="1" si="490"/>
        <v>1.0835986945654907</v>
      </c>
      <c r="AO3565" s="158"/>
      <c r="AP3565" s="158"/>
    </row>
    <row r="3566" spans="34:47">
      <c r="AH3566" s="6">
        <f t="shared" si="493"/>
        <v>3536</v>
      </c>
      <c r="AI3566" s="7">
        <f t="shared" ca="1" si="494"/>
        <v>46206</v>
      </c>
      <c r="AJ3566" s="210">
        <f t="shared" ca="1" si="491"/>
        <v>4.1749999999999998</v>
      </c>
      <c r="AK3566" s="8">
        <f t="shared" ca="1" si="495"/>
        <v>1.0001159722222221</v>
      </c>
      <c r="AL3566" s="98">
        <f t="shared" ca="1" si="492"/>
        <v>4.1438404344936286</v>
      </c>
      <c r="AM3566" s="106">
        <f t="shared" ca="1" si="489"/>
        <v>35050.106737930641</v>
      </c>
      <c r="AN3566" s="10">
        <f t="shared" ca="1" si="490"/>
        <v>1.0836408435552558</v>
      </c>
      <c r="AO3566" s="158"/>
      <c r="AP3566" s="158"/>
    </row>
    <row r="3567" spans="34:47">
      <c r="AH3567" s="6">
        <f t="shared" si="493"/>
        <v>3537</v>
      </c>
      <c r="AI3567" s="7">
        <f t="shared" ca="1" si="494"/>
        <v>46207</v>
      </c>
      <c r="AJ3567" s="210">
        <f t="shared" ca="1" si="491"/>
        <v>4.1749999999999998</v>
      </c>
      <c r="AK3567" s="8">
        <f t="shared" ca="1" si="495"/>
        <v>1.0001159722222221</v>
      </c>
      <c r="AL3567" s="98">
        <f t="shared" ca="1" si="492"/>
        <v>4.1438912128896055</v>
      </c>
      <c r="AM3567" s="106">
        <f t="shared" ca="1" si="489"/>
        <v>35052.99491822171</v>
      </c>
      <c r="AN3567" s="10">
        <f t="shared" ca="1" si="490"/>
        <v>1.0836829687294047</v>
      </c>
      <c r="AO3567" s="158"/>
      <c r="AP3567" s="158"/>
    </row>
    <row r="3568" spans="34:47">
      <c r="AH3568" s="6">
        <f t="shared" si="493"/>
        <v>3538</v>
      </c>
      <c r="AI3568" s="7">
        <f t="shared" ca="1" si="494"/>
        <v>46208</v>
      </c>
      <c r="AJ3568" s="210">
        <f t="shared" ca="1" si="491"/>
        <v>4.1749999999999998</v>
      </c>
      <c r="AK3568" s="8">
        <f t="shared" ca="1" si="495"/>
        <v>1.0001159722222221</v>
      </c>
      <c r="AL3568" s="98">
        <f t="shared" ca="1" si="492"/>
        <v>4.1439419626057461</v>
      </c>
      <c r="AM3568" s="106">
        <f t="shared" ca="1" si="489"/>
        <v>35055.883336503088</v>
      </c>
      <c r="AN3568" s="10">
        <f t="shared" ca="1" si="490"/>
        <v>1.0837250701080992</v>
      </c>
      <c r="AO3568" s="158"/>
      <c r="AP3568" s="158"/>
    </row>
    <row r="3569" spans="34:42">
      <c r="AH3569" s="6">
        <f t="shared" si="493"/>
        <v>3539</v>
      </c>
      <c r="AI3569" s="7">
        <f t="shared" ca="1" si="494"/>
        <v>46209</v>
      </c>
      <c r="AJ3569" s="210">
        <f t="shared" ca="1" si="491"/>
        <v>4.1749999999999998</v>
      </c>
      <c r="AK3569" s="8">
        <f t="shared" ca="1" si="495"/>
        <v>1.0001159722222221</v>
      </c>
      <c r="AL3569" s="98">
        <f t="shared" ca="1" si="492"/>
        <v>4.1439926836663199</v>
      </c>
      <c r="AM3569" s="106">
        <f t="shared" ca="1" si="489"/>
        <v>35058.771992794369</v>
      </c>
      <c r="AN3569" s="10">
        <f t="shared" ca="1" si="490"/>
        <v>1.0837671477114785</v>
      </c>
      <c r="AO3569" s="158"/>
      <c r="AP3569" s="158"/>
    </row>
    <row r="3570" spans="34:42">
      <c r="AH3570" s="6">
        <f t="shared" si="493"/>
        <v>3540</v>
      </c>
      <c r="AI3570" s="7">
        <f t="shared" ca="1" si="494"/>
        <v>46210</v>
      </c>
      <c r="AJ3570" s="210">
        <f t="shared" ca="1" si="491"/>
        <v>4.1749999999999998</v>
      </c>
      <c r="AK3570" s="8">
        <f t="shared" ca="1" si="495"/>
        <v>1.0001159722222221</v>
      </c>
      <c r="AL3570" s="98">
        <f t="shared" ca="1" si="492"/>
        <v>4.1440433760956186</v>
      </c>
      <c r="AM3570" s="106">
        <f t="shared" ca="1" si="489"/>
        <v>35061.660887115177</v>
      </c>
      <c r="AN3570" s="10">
        <f t="shared" ca="1" si="490"/>
        <v>1.0838092015597267</v>
      </c>
      <c r="AO3570" s="158"/>
      <c r="AP3570" s="158"/>
    </row>
    <row r="3571" spans="34:42">
      <c r="AH3571" s="6">
        <f t="shared" ref="AH3571:AH3634" si="496">$AI$29+AH3570</f>
        <v>3541</v>
      </c>
      <c r="AI3571" s="7">
        <f t="shared" ref="AI3571:AI3634" ca="1" si="497">+AH3571+$C$1</f>
        <v>46211</v>
      </c>
      <c r="AJ3571" s="210">
        <f t="shared" ca="1" si="491"/>
        <v>4.1749999999999998</v>
      </c>
      <c r="AK3571" s="8">
        <f t="shared" ca="1" si="495"/>
        <v>1.0001159722222221</v>
      </c>
      <c r="AL3571" s="98">
        <f t="shared" ca="1" si="492"/>
        <v>4.1440940399178672</v>
      </c>
      <c r="AM3571" s="106">
        <f t="shared" ca="1" si="489"/>
        <v>35064.550019485119</v>
      </c>
      <c r="AN3571" s="10">
        <f t="shared" ca="1" si="490"/>
        <v>1.0838512316729165</v>
      </c>
      <c r="AO3571" s="158"/>
      <c r="AP3571" s="158"/>
    </row>
    <row r="3572" spans="34:42">
      <c r="AH3572" s="6">
        <f t="shared" si="496"/>
        <v>3542</v>
      </c>
      <c r="AI3572" s="7">
        <f t="shared" ca="1" si="497"/>
        <v>46212</v>
      </c>
      <c r="AJ3572" s="210">
        <f t="shared" ca="1" si="491"/>
        <v>4.1749999999999998</v>
      </c>
      <c r="AK3572" s="8">
        <f t="shared" ca="1" si="495"/>
        <v>1.0001159722222221</v>
      </c>
      <c r="AL3572" s="98">
        <f t="shared" ca="1" si="492"/>
        <v>4.1441446751572686</v>
      </c>
      <c r="AM3572" s="106">
        <f t="shared" ca="1" si="489"/>
        <v>35067.439389923813</v>
      </c>
      <c r="AN3572" s="10">
        <f t="shared" ca="1" si="490"/>
        <v>1.083893238071143</v>
      </c>
      <c r="AO3572" s="158"/>
      <c r="AP3572" s="158"/>
    </row>
    <row r="3573" spans="34:42">
      <c r="AH3573" s="6">
        <f t="shared" si="496"/>
        <v>3543</v>
      </c>
      <c r="AI3573" s="7">
        <f t="shared" ca="1" si="497"/>
        <v>46213</v>
      </c>
      <c r="AJ3573" s="210">
        <f t="shared" ca="1" si="491"/>
        <v>4.1749999999999998</v>
      </c>
      <c r="AK3573" s="8">
        <f t="shared" ca="1" si="495"/>
        <v>1.0001159722222221</v>
      </c>
      <c r="AL3573" s="98">
        <f t="shared" ca="1" si="492"/>
        <v>4.1441952818380257</v>
      </c>
      <c r="AM3573" s="106">
        <f t="shared" ca="1" si="489"/>
        <v>35070.328998450874</v>
      </c>
      <c r="AN3573" s="10">
        <f t="shared" ca="1" si="490"/>
        <v>1.0839352207745012</v>
      </c>
      <c r="AO3573" s="158"/>
      <c r="AP3573" s="158"/>
    </row>
    <row r="3574" spans="34:42">
      <c r="AH3574" s="6">
        <f t="shared" si="496"/>
        <v>3544</v>
      </c>
      <c r="AI3574" s="7">
        <f t="shared" ca="1" si="497"/>
        <v>46214</v>
      </c>
      <c r="AJ3574" s="210">
        <f t="shared" ca="1" si="491"/>
        <v>4.1749999999999998</v>
      </c>
      <c r="AK3574" s="8">
        <f t="shared" ca="1" si="495"/>
        <v>1.0001159722222221</v>
      </c>
      <c r="AL3574" s="98">
        <f t="shared" ca="1" si="492"/>
        <v>4.1442458599842746</v>
      </c>
      <c r="AM3574" s="106">
        <f t="shared" ca="1" si="489"/>
        <v>35073.218845085932</v>
      </c>
      <c r="AN3574" s="10">
        <f t="shared" ca="1" si="490"/>
        <v>1.0839771798029973</v>
      </c>
      <c r="AO3574" s="158"/>
      <c r="AP3574" s="158"/>
    </row>
    <row r="3575" spans="34:42">
      <c r="AH3575" s="6">
        <f t="shared" si="496"/>
        <v>3545</v>
      </c>
      <c r="AI3575" s="7">
        <f t="shared" ca="1" si="497"/>
        <v>46215</v>
      </c>
      <c r="AJ3575" s="210">
        <f t="shared" ca="1" si="491"/>
        <v>4.1749999999999998</v>
      </c>
      <c r="AK3575" s="8">
        <f t="shared" ca="1" si="495"/>
        <v>1.0001159722222221</v>
      </c>
      <c r="AL3575" s="98">
        <f t="shared" ca="1" si="492"/>
        <v>4.1442964096201518</v>
      </c>
      <c r="AM3575" s="106">
        <f t="shared" ca="1" si="489"/>
        <v>35076.108929848589</v>
      </c>
      <c r="AN3575" s="10">
        <f t="shared" ca="1" si="490"/>
        <v>1.084019115176682</v>
      </c>
      <c r="AO3575" s="158"/>
      <c r="AP3575" s="158"/>
    </row>
    <row r="3576" spans="34:42">
      <c r="AH3576" s="6">
        <f t="shared" si="496"/>
        <v>3546</v>
      </c>
      <c r="AI3576" s="7">
        <f t="shared" ca="1" si="497"/>
        <v>46216</v>
      </c>
      <c r="AJ3576" s="210">
        <f t="shared" ca="1" si="491"/>
        <v>4.1749999999999998</v>
      </c>
      <c r="AK3576" s="8">
        <f t="shared" ca="1" si="495"/>
        <v>1.0001159722222221</v>
      </c>
      <c r="AL3576" s="98">
        <f t="shared" ca="1" si="492"/>
        <v>4.1443469307697489</v>
      </c>
      <c r="AM3576" s="106">
        <f t="shared" ca="1" si="489"/>
        <v>35078.999252758476</v>
      </c>
      <c r="AN3576" s="10">
        <f t="shared" ca="1" si="490"/>
        <v>1.0840610269155171</v>
      </c>
      <c r="AO3576" s="158"/>
      <c r="AP3576" s="158"/>
    </row>
    <row r="3577" spans="34:42">
      <c r="AH3577" s="6">
        <f t="shared" si="496"/>
        <v>3547</v>
      </c>
      <c r="AI3577" s="7">
        <f t="shared" ca="1" si="497"/>
        <v>46217</v>
      </c>
      <c r="AJ3577" s="210">
        <f t="shared" ca="1" si="491"/>
        <v>4.1749999999999998</v>
      </c>
      <c r="AK3577" s="8">
        <f t="shared" ca="1" si="495"/>
        <v>1.0001159722222221</v>
      </c>
      <c r="AL3577" s="98">
        <f t="shared" ca="1" si="492"/>
        <v>4.1443974234571357</v>
      </c>
      <c r="AM3577" s="106">
        <f t="shared" ca="1" si="489"/>
        <v>35081.889813835231</v>
      </c>
      <c r="AN3577" s="10">
        <f t="shared" ca="1" si="490"/>
        <v>1.0841029150395087</v>
      </c>
      <c r="AO3577" s="158"/>
      <c r="AP3577" s="158"/>
    </row>
    <row r="3578" spans="34:42">
      <c r="AH3578" s="6">
        <f t="shared" si="496"/>
        <v>3548</v>
      </c>
      <c r="AI3578" s="7">
        <f t="shared" ca="1" si="497"/>
        <v>46218</v>
      </c>
      <c r="AJ3578" s="210">
        <f t="shared" ca="1" si="491"/>
        <v>4.1749999999999998</v>
      </c>
      <c r="AK3578" s="8">
        <f t="shared" ca="1" si="495"/>
        <v>1.0001159722222221</v>
      </c>
      <c r="AL3578" s="98">
        <f t="shared" ca="1" si="492"/>
        <v>4.1444478877063595</v>
      </c>
      <c r="AM3578" s="106">
        <f t="shared" ca="1" si="489"/>
        <v>35084.780613098446</v>
      </c>
      <c r="AN3578" s="10">
        <f t="shared" ca="1" si="490"/>
        <v>1.0841447795685966</v>
      </c>
      <c r="AO3578" s="158"/>
      <c r="AP3578" s="158"/>
    </row>
    <row r="3579" spans="34:42">
      <c r="AH3579" s="6">
        <f t="shared" si="496"/>
        <v>3549</v>
      </c>
      <c r="AI3579" s="7">
        <f t="shared" ca="1" si="497"/>
        <v>46219</v>
      </c>
      <c r="AJ3579" s="210">
        <f t="shared" ca="1" si="491"/>
        <v>4.1749999999999998</v>
      </c>
      <c r="AK3579" s="8">
        <f t="shared" ca="1" si="495"/>
        <v>1.0001159722222221</v>
      </c>
      <c r="AL3579" s="98">
        <f t="shared" ca="1" si="492"/>
        <v>4.1444983235414457</v>
      </c>
      <c r="AM3579" s="106">
        <f t="shared" ca="1" si="489"/>
        <v>35087.671650567783</v>
      </c>
      <c r="AN3579" s="10">
        <f t="shared" ca="1" si="490"/>
        <v>1.084186620522698</v>
      </c>
      <c r="AO3579" s="158"/>
      <c r="AP3579" s="158"/>
    </row>
    <row r="3580" spans="34:42">
      <c r="AH3580" s="6">
        <f t="shared" si="496"/>
        <v>3550</v>
      </c>
      <c r="AI3580" s="7">
        <f t="shared" ca="1" si="497"/>
        <v>46220</v>
      </c>
      <c r="AJ3580" s="210">
        <f t="shared" ca="1" si="491"/>
        <v>4.1749999999999998</v>
      </c>
      <c r="AK3580" s="8">
        <f t="shared" ca="1" si="495"/>
        <v>1.0001159722222221</v>
      </c>
      <c r="AL3580" s="98">
        <f t="shared" ca="1" si="492"/>
        <v>4.1445487309863749</v>
      </c>
      <c r="AM3580" s="106">
        <f t="shared" ca="1" si="489"/>
        <v>35090.56292626285</v>
      </c>
      <c r="AN3580" s="10">
        <f t="shared" ca="1" si="490"/>
        <v>1.0842284379217304</v>
      </c>
      <c r="AO3580" s="158"/>
      <c r="AP3580" s="158"/>
    </row>
    <row r="3581" spans="34:42">
      <c r="AH3581" s="6">
        <f t="shared" si="496"/>
        <v>3551</v>
      </c>
      <c r="AI3581" s="7">
        <f t="shared" ca="1" si="497"/>
        <v>46221</v>
      </c>
      <c r="AJ3581" s="210">
        <f t="shared" ca="1" si="491"/>
        <v>4.1749999999999998</v>
      </c>
      <c r="AK3581" s="8">
        <f t="shared" ca="1" si="495"/>
        <v>1.0001159722222221</v>
      </c>
      <c r="AL3581" s="98">
        <f t="shared" ca="1" si="492"/>
        <v>4.144599110065128</v>
      </c>
      <c r="AM3581" s="106">
        <f t="shared" ca="1" si="489"/>
        <v>35093.454440203277</v>
      </c>
      <c r="AN3581" s="10">
        <f t="shared" ca="1" si="490"/>
        <v>1.0842702317856112</v>
      </c>
      <c r="AO3581" s="158"/>
      <c r="AP3581" s="158"/>
    </row>
    <row r="3582" spans="34:42">
      <c r="AH3582" s="6">
        <f t="shared" si="496"/>
        <v>3552</v>
      </c>
      <c r="AI3582" s="7">
        <f t="shared" ca="1" si="497"/>
        <v>46222</v>
      </c>
      <c r="AJ3582" s="210">
        <f t="shared" ca="1" si="491"/>
        <v>4.1749999999999998</v>
      </c>
      <c r="AK3582" s="8">
        <f t="shared" ca="1" si="495"/>
        <v>1.0001159722222221</v>
      </c>
      <c r="AL3582" s="98">
        <f t="shared" ca="1" si="492"/>
        <v>4.1446494608016193</v>
      </c>
      <c r="AM3582" s="106">
        <f t="shared" ca="1" si="489"/>
        <v>35096.346192408702</v>
      </c>
      <c r="AN3582" s="10">
        <f t="shared" ca="1" si="490"/>
        <v>1.0843120021341468</v>
      </c>
      <c r="AO3582" s="158"/>
      <c r="AP3582" s="158"/>
    </row>
    <row r="3583" spans="34:42">
      <c r="AH3583" s="6">
        <f t="shared" si="496"/>
        <v>3553</v>
      </c>
      <c r="AI3583" s="7">
        <f t="shared" ca="1" si="497"/>
        <v>46223</v>
      </c>
      <c r="AJ3583" s="210">
        <f t="shared" ca="1" si="491"/>
        <v>4.1749999999999998</v>
      </c>
      <c r="AK3583" s="8">
        <f t="shared" ca="1" si="495"/>
        <v>1.0001159722222221</v>
      </c>
      <c r="AL3583" s="98">
        <f t="shared" ca="1" si="492"/>
        <v>4.1446997832197852</v>
      </c>
      <c r="AM3583" s="106">
        <f t="shared" ca="1" si="489"/>
        <v>35099.238182898764</v>
      </c>
      <c r="AN3583" s="10">
        <f t="shared" ca="1" si="490"/>
        <v>1.0843537489872324</v>
      </c>
      <c r="AO3583" s="158"/>
      <c r="AP3583" s="158"/>
    </row>
    <row r="3584" spans="34:42">
      <c r="AH3584" s="6">
        <f t="shared" si="496"/>
        <v>3554</v>
      </c>
      <c r="AI3584" s="7">
        <f t="shared" ca="1" si="497"/>
        <v>46224</v>
      </c>
      <c r="AJ3584" s="210">
        <f t="shared" ca="1" si="491"/>
        <v>4.1749999999999998</v>
      </c>
      <c r="AK3584" s="8">
        <f t="shared" ca="1" si="495"/>
        <v>1.0001159722222221</v>
      </c>
      <c r="AL3584" s="98">
        <f t="shared" ca="1" si="492"/>
        <v>4.1447500773434953</v>
      </c>
      <c r="AM3584" s="106">
        <f t="shared" ca="1" si="489"/>
        <v>35102.130411693084</v>
      </c>
      <c r="AN3584" s="10">
        <f t="shared" ca="1" si="490"/>
        <v>1.0843954723646521</v>
      </c>
      <c r="AO3584" s="158"/>
      <c r="AP3584" s="158"/>
    </row>
    <row r="3585" spans="34:42">
      <c r="AH3585" s="6">
        <f t="shared" si="496"/>
        <v>3555</v>
      </c>
      <c r="AI3585" s="7">
        <f t="shared" ca="1" si="497"/>
        <v>46225</v>
      </c>
      <c r="AJ3585" s="210">
        <f t="shared" ca="1" si="491"/>
        <v>4.1749999999999998</v>
      </c>
      <c r="AK3585" s="8">
        <f t="shared" ca="1" si="495"/>
        <v>1.0001159722222221</v>
      </c>
      <c r="AL3585" s="98">
        <f t="shared" ca="1" si="492"/>
        <v>4.1448003431965974</v>
      </c>
      <c r="AM3585" s="106">
        <f t="shared" ca="1" si="489"/>
        <v>35105.022878811309</v>
      </c>
      <c r="AN3585" s="10">
        <f t="shared" ca="1" si="490"/>
        <v>1.0844371722862123</v>
      </c>
      <c r="AO3585" s="158"/>
      <c r="AP3585" s="158"/>
    </row>
    <row r="3586" spans="34:42">
      <c r="AH3586" s="6">
        <f t="shared" si="496"/>
        <v>3556</v>
      </c>
      <c r="AI3586" s="7">
        <f t="shared" ca="1" si="497"/>
        <v>46226</v>
      </c>
      <c r="AJ3586" s="210">
        <f t="shared" ca="1" si="491"/>
        <v>4.1749999999999998</v>
      </c>
      <c r="AK3586" s="8">
        <f t="shared" ca="1" si="495"/>
        <v>1.0001159722222221</v>
      </c>
      <c r="AL3586" s="98">
        <f t="shared" ca="1" si="492"/>
        <v>4.144850580802939</v>
      </c>
      <c r="AM3586" s="106">
        <f t="shared" ca="1" si="489"/>
        <v>35107.915584273076</v>
      </c>
      <c r="AN3586" s="10">
        <f t="shared" ca="1" si="490"/>
        <v>1.084478848771675</v>
      </c>
      <c r="AO3586" s="158"/>
      <c r="AP3586" s="158"/>
    </row>
    <row r="3587" spans="34:42">
      <c r="AH3587" s="6">
        <f t="shared" si="496"/>
        <v>3557</v>
      </c>
      <c r="AI3587" s="7">
        <f t="shared" ca="1" si="497"/>
        <v>46227</v>
      </c>
      <c r="AJ3587" s="210">
        <f t="shared" ca="1" si="491"/>
        <v>4.1749999999999998</v>
      </c>
      <c r="AK3587" s="8">
        <f t="shared" ca="1" si="495"/>
        <v>1.0001159722222221</v>
      </c>
      <c r="AL3587" s="98">
        <f t="shared" ca="1" si="492"/>
        <v>4.1449007901863233</v>
      </c>
      <c r="AM3587" s="106">
        <f t="shared" ca="1" si="489"/>
        <v>35110.808528098023</v>
      </c>
      <c r="AN3587" s="10">
        <f t="shared" ca="1" si="490"/>
        <v>1.0845205018408244</v>
      </c>
      <c r="AO3587" s="158"/>
      <c r="AP3587" s="158"/>
    </row>
    <row r="3588" spans="34:42">
      <c r="AH3588" s="6">
        <f t="shared" si="496"/>
        <v>3558</v>
      </c>
      <c r="AI3588" s="7">
        <f t="shared" ca="1" si="497"/>
        <v>46228</v>
      </c>
      <c r="AJ3588" s="210">
        <f t="shared" ca="1" si="491"/>
        <v>4.1749999999999998</v>
      </c>
      <c r="AK3588" s="8">
        <f t="shared" ca="1" si="495"/>
        <v>1.0001159722222221</v>
      </c>
      <c r="AL3588" s="98">
        <f t="shared" ca="1" si="492"/>
        <v>4.1449509713705091</v>
      </c>
      <c r="AM3588" s="106">
        <f t="shared" ca="1" si="489"/>
        <v>35113.701710305788</v>
      </c>
      <c r="AN3588" s="10">
        <f t="shared" ca="1" si="490"/>
        <v>1.0845621315133558</v>
      </c>
      <c r="AO3588" s="158"/>
      <c r="AP3588" s="158"/>
    </row>
    <row r="3589" spans="34:42">
      <c r="AH3589" s="6">
        <f t="shared" si="496"/>
        <v>3559</v>
      </c>
      <c r="AI3589" s="7">
        <f t="shared" ca="1" si="497"/>
        <v>46229</v>
      </c>
      <c r="AJ3589" s="210">
        <f t="shared" ca="1" si="491"/>
        <v>4.1749999999999998</v>
      </c>
      <c r="AK3589" s="8">
        <f t="shared" ca="1" si="495"/>
        <v>1.0001159722222221</v>
      </c>
      <c r="AL3589" s="98">
        <f t="shared" ca="1" si="492"/>
        <v>4.1450011243792551</v>
      </c>
      <c r="AM3589" s="106">
        <f t="shared" ca="1" si="489"/>
        <v>35116.595130916023</v>
      </c>
      <c r="AN3589" s="10">
        <f t="shared" ca="1" si="490"/>
        <v>1.0846037378089868</v>
      </c>
      <c r="AO3589" s="158"/>
      <c r="AP3589" s="158"/>
    </row>
    <row r="3590" spans="34:42">
      <c r="AH3590" s="6">
        <f t="shared" si="496"/>
        <v>3560</v>
      </c>
      <c r="AI3590" s="7">
        <f t="shared" ca="1" si="497"/>
        <v>46230</v>
      </c>
      <c r="AJ3590" s="210">
        <f t="shared" ca="1" si="491"/>
        <v>4.1749999999999998</v>
      </c>
      <c r="AK3590" s="8">
        <f t="shared" ca="1" si="495"/>
        <v>1.0001159722222221</v>
      </c>
      <c r="AL3590" s="98">
        <f t="shared" ca="1" si="492"/>
        <v>4.1450512492362979</v>
      </c>
      <c r="AM3590" s="106">
        <f t="shared" ca="1" si="489"/>
        <v>35119.488789948366</v>
      </c>
      <c r="AN3590" s="10">
        <f t="shared" ca="1" si="490"/>
        <v>1.0846453207474127</v>
      </c>
      <c r="AO3590" s="158"/>
      <c r="AP3590" s="158"/>
    </row>
    <row r="3591" spans="34:42">
      <c r="AH3591" s="6">
        <f t="shared" si="496"/>
        <v>3561</v>
      </c>
      <c r="AI3591" s="7">
        <f t="shared" ca="1" si="497"/>
        <v>46231</v>
      </c>
      <c r="AJ3591" s="210">
        <f t="shared" ca="1" si="491"/>
        <v>4.1749999999999998</v>
      </c>
      <c r="AK3591" s="8">
        <f t="shared" ca="1" si="495"/>
        <v>1.0001159722222221</v>
      </c>
      <c r="AL3591" s="98">
        <f t="shared" ca="1" si="492"/>
        <v>4.1451013459653074</v>
      </c>
      <c r="AM3591" s="106">
        <f t="shared" ca="1" si="489"/>
        <v>35122.382687422461</v>
      </c>
      <c r="AN3591" s="10">
        <f t="shared" ca="1" si="490"/>
        <v>1.0846868803482845</v>
      </c>
      <c r="AO3591" s="158"/>
      <c r="AP3591" s="158"/>
    </row>
    <row r="3592" spans="34:42">
      <c r="AH3592" s="6">
        <f t="shared" si="496"/>
        <v>3562</v>
      </c>
      <c r="AI3592" s="7">
        <f t="shared" ca="1" si="497"/>
        <v>46232</v>
      </c>
      <c r="AJ3592" s="210">
        <f t="shared" ca="1" si="491"/>
        <v>4.1749999999999998</v>
      </c>
      <c r="AK3592" s="8">
        <f t="shared" ca="1" si="495"/>
        <v>1.0001159722222221</v>
      </c>
      <c r="AL3592" s="98">
        <f t="shared" ca="1" si="492"/>
        <v>4.1451514145899759</v>
      </c>
      <c r="AM3592" s="106">
        <f t="shared" ca="1" si="489"/>
        <v>35125.276823357963</v>
      </c>
      <c r="AN3592" s="10">
        <f t="shared" ca="1" si="490"/>
        <v>1.084728416631231</v>
      </c>
      <c r="AO3592" s="158"/>
      <c r="AP3592" s="158"/>
    </row>
    <row r="3593" spans="34:42">
      <c r="AH3593" s="6">
        <f t="shared" si="496"/>
        <v>3563</v>
      </c>
      <c r="AI3593" s="7">
        <f t="shared" ca="1" si="497"/>
        <v>46233</v>
      </c>
      <c r="AJ3593" s="210">
        <f t="shared" ca="1" si="491"/>
        <v>4.1749999999999998</v>
      </c>
      <c r="AK3593" s="8">
        <f t="shared" ca="1" si="495"/>
        <v>1.0001159722222221</v>
      </c>
      <c r="AL3593" s="98">
        <f t="shared" ca="1" si="492"/>
        <v>4.1452014551339289</v>
      </c>
      <c r="AM3593" s="106">
        <f t="shared" ca="1" si="489"/>
        <v>35128.171197774522</v>
      </c>
      <c r="AN3593" s="10">
        <f t="shared" ca="1" si="490"/>
        <v>1.084769929615903</v>
      </c>
      <c r="AO3593" s="158"/>
      <c r="AP3593" s="158"/>
    </row>
    <row r="3594" spans="34:42">
      <c r="AH3594" s="6">
        <f t="shared" si="496"/>
        <v>3564</v>
      </c>
      <c r="AI3594" s="7">
        <f t="shared" ca="1" si="497"/>
        <v>46234</v>
      </c>
      <c r="AJ3594" s="210">
        <f t="shared" ca="1" si="491"/>
        <v>4.1749999999999998</v>
      </c>
      <c r="AK3594" s="8">
        <f t="shared" ca="1" si="495"/>
        <v>1.0001159722222221</v>
      </c>
      <c r="AL3594" s="98">
        <f t="shared" ca="1" si="492"/>
        <v>4.1452514676207919</v>
      </c>
      <c r="AM3594" s="106">
        <f t="shared" ca="1" si="489"/>
        <v>35131.065810691776</v>
      </c>
      <c r="AN3594" s="10">
        <f t="shared" ca="1" si="490"/>
        <v>1.084811419321885</v>
      </c>
      <c r="AO3594" s="158"/>
      <c r="AP3594" s="158"/>
    </row>
    <row r="3595" spans="34:42">
      <c r="AH3595" s="6">
        <f t="shared" si="496"/>
        <v>3565</v>
      </c>
      <c r="AI3595" s="7">
        <f t="shared" ca="1" si="497"/>
        <v>46235</v>
      </c>
      <c r="AJ3595" s="210">
        <f t="shared" ca="1" si="491"/>
        <v>4.1749999999999998</v>
      </c>
      <c r="AK3595" s="8">
        <f t="shared" ca="1" si="495"/>
        <v>1.0001159722222221</v>
      </c>
      <c r="AL3595" s="98">
        <f t="shared" ca="1" si="492"/>
        <v>4.1453014520741682</v>
      </c>
      <c r="AM3595" s="106">
        <f t="shared" ca="1" si="489"/>
        <v>35133.960662129393</v>
      </c>
      <c r="AN3595" s="10">
        <f t="shared" ca="1" si="490"/>
        <v>1.0848528857687612</v>
      </c>
      <c r="AO3595" s="158"/>
      <c r="AP3595" s="158"/>
    </row>
    <row r="3596" spans="34:42">
      <c r="AH3596" s="6">
        <f t="shared" si="496"/>
        <v>3566</v>
      </c>
      <c r="AI3596" s="7">
        <f t="shared" ca="1" si="497"/>
        <v>46236</v>
      </c>
      <c r="AJ3596" s="210">
        <f t="shared" ca="1" si="491"/>
        <v>4.1749999999999998</v>
      </c>
      <c r="AK3596" s="8">
        <f t="shared" ca="1" si="495"/>
        <v>1.0001159722222221</v>
      </c>
      <c r="AL3596" s="98">
        <f t="shared" ca="1" si="492"/>
        <v>4.1453514085175946</v>
      </c>
      <c r="AM3596" s="106">
        <f t="shared" ca="1" si="489"/>
        <v>35136.855752107018</v>
      </c>
      <c r="AN3596" s="10">
        <f t="shared" ca="1" si="490"/>
        <v>1.0848943289760493</v>
      </c>
      <c r="AO3596" s="158"/>
      <c r="AP3596" s="158"/>
    </row>
    <row r="3597" spans="34:42">
      <c r="AH3597" s="6">
        <f t="shared" si="496"/>
        <v>3567</v>
      </c>
      <c r="AI3597" s="7">
        <f t="shared" ca="1" si="497"/>
        <v>46237</v>
      </c>
      <c r="AJ3597" s="210">
        <f t="shared" ca="1" si="491"/>
        <v>4.1749999999999998</v>
      </c>
      <c r="AK3597" s="8">
        <f t="shared" ca="1" si="495"/>
        <v>1.0001159722222221</v>
      </c>
      <c r="AL3597" s="98">
        <f t="shared" ca="1" si="492"/>
        <v>4.1454013369746301</v>
      </c>
      <c r="AM3597" s="106">
        <f t="shared" ca="1" si="489"/>
        <v>35139.75108064431</v>
      </c>
      <c r="AN3597" s="10">
        <f t="shared" ca="1" si="490"/>
        <v>1.0849357489633116</v>
      </c>
      <c r="AO3597" s="158"/>
      <c r="AP3597" s="158"/>
    </row>
    <row r="3598" spans="34:42">
      <c r="AH3598" s="6">
        <f t="shared" si="496"/>
        <v>3568</v>
      </c>
      <c r="AI3598" s="7">
        <f t="shared" ca="1" si="497"/>
        <v>46238</v>
      </c>
      <c r="AJ3598" s="210">
        <f t="shared" ca="1" si="491"/>
        <v>4.1749999999999998</v>
      </c>
      <c r="AK3598" s="8">
        <f t="shared" ca="1" si="495"/>
        <v>1.0001159722222221</v>
      </c>
      <c r="AL3598" s="98">
        <f t="shared" ca="1" si="492"/>
        <v>4.1454512374687891</v>
      </c>
      <c r="AM3598" s="106">
        <f t="shared" ca="1" si="489"/>
        <v>35142.646647760928</v>
      </c>
      <c r="AN3598" s="10">
        <f t="shared" ca="1" si="490"/>
        <v>1.0849771457500657</v>
      </c>
      <c r="AO3598" s="158"/>
      <c r="AP3598" s="158"/>
    </row>
    <row r="3599" spans="34:42">
      <c r="AH3599" s="6">
        <f t="shared" si="496"/>
        <v>3569</v>
      </c>
      <c r="AI3599" s="7">
        <f t="shared" ca="1" si="497"/>
        <v>46239</v>
      </c>
      <c r="AJ3599" s="210">
        <f t="shared" ca="1" si="491"/>
        <v>4.1749999999999998</v>
      </c>
      <c r="AK3599" s="8">
        <f t="shared" ca="1" si="495"/>
        <v>1.0001159722222221</v>
      </c>
      <c r="AL3599" s="98">
        <f t="shared" ca="1" si="492"/>
        <v>4.1455011100235417</v>
      </c>
      <c r="AM3599" s="106">
        <f t="shared" ca="1" si="489"/>
        <v>35145.542453476541</v>
      </c>
      <c r="AN3599" s="10">
        <f t="shared" ca="1" si="490"/>
        <v>1.0850185193557849</v>
      </c>
      <c r="AO3599" s="158"/>
      <c r="AP3599" s="158"/>
    </row>
    <row r="3600" spans="34:42">
      <c r="AH3600" s="6">
        <f t="shared" si="496"/>
        <v>3570</v>
      </c>
      <c r="AI3600" s="7">
        <f t="shared" ca="1" si="497"/>
        <v>46240</v>
      </c>
      <c r="AJ3600" s="210">
        <f t="shared" ca="1" si="491"/>
        <v>4.1749999999999998</v>
      </c>
      <c r="AK3600" s="8">
        <f t="shared" ca="1" si="495"/>
        <v>1.0001159722222221</v>
      </c>
      <c r="AL3600" s="98">
        <f t="shared" ca="1" si="492"/>
        <v>4.1455509546623359</v>
      </c>
      <c r="AM3600" s="106">
        <f t="shared" ca="1" si="489"/>
        <v>35148.438497810785</v>
      </c>
      <c r="AN3600" s="10">
        <f t="shared" ca="1" si="490"/>
        <v>1.0850598697999203</v>
      </c>
      <c r="AO3600" s="158"/>
      <c r="AP3600" s="158"/>
    </row>
    <row r="3601" spans="34:42">
      <c r="AH3601" s="6">
        <f t="shared" si="496"/>
        <v>3571</v>
      </c>
      <c r="AI3601" s="7">
        <f t="shared" ca="1" si="497"/>
        <v>46241</v>
      </c>
      <c r="AJ3601" s="210">
        <f t="shared" ca="1" si="491"/>
        <v>4.1749999999999998</v>
      </c>
      <c r="AK3601" s="8">
        <f t="shared" ca="1" si="495"/>
        <v>1.0001159722222221</v>
      </c>
      <c r="AL3601" s="98">
        <f t="shared" ca="1" si="492"/>
        <v>4.1456007714086196</v>
      </c>
      <c r="AM3601" s="106">
        <f t="shared" ca="1" si="489"/>
        <v>35151.334780783342</v>
      </c>
      <c r="AN3601" s="10">
        <f t="shared" ca="1" si="490"/>
        <v>1.0851011971019009</v>
      </c>
      <c r="AO3601" s="158"/>
      <c r="AP3601" s="158"/>
    </row>
    <row r="3602" spans="34:42">
      <c r="AH3602" s="6">
        <f t="shared" si="496"/>
        <v>3572</v>
      </c>
      <c r="AI3602" s="7">
        <f t="shared" ca="1" si="497"/>
        <v>46242</v>
      </c>
      <c r="AJ3602" s="210">
        <f t="shared" ca="1" si="491"/>
        <v>4.1749999999999998</v>
      </c>
      <c r="AK3602" s="8">
        <f t="shared" ca="1" si="495"/>
        <v>1.0001159722222221</v>
      </c>
      <c r="AL3602" s="98">
        <f t="shared" ca="1" si="492"/>
        <v>4.1456505602857963</v>
      </c>
      <c r="AM3602" s="106">
        <f t="shared" ca="1" si="489"/>
        <v>35154.231302413871</v>
      </c>
      <c r="AN3602" s="10">
        <f t="shared" ca="1" si="490"/>
        <v>1.0851425012811999</v>
      </c>
      <c r="AO3602" s="158"/>
      <c r="AP3602" s="158"/>
    </row>
    <row r="3603" spans="34:42">
      <c r="AH3603" s="6">
        <f t="shared" si="496"/>
        <v>3573</v>
      </c>
      <c r="AI3603" s="7">
        <f t="shared" ca="1" si="497"/>
        <v>46243</v>
      </c>
      <c r="AJ3603" s="210">
        <f t="shared" ca="1" si="491"/>
        <v>4.1749999999999998</v>
      </c>
      <c r="AK3603" s="8">
        <f t="shared" ca="1" si="495"/>
        <v>1.0001159722222221</v>
      </c>
      <c r="AL3603" s="98">
        <f t="shared" ca="1" si="492"/>
        <v>4.1457003213172472</v>
      </c>
      <c r="AM3603" s="106">
        <f t="shared" ca="1" si="489"/>
        <v>35157.128062722048</v>
      </c>
      <c r="AN3603" s="10">
        <f t="shared" ca="1" si="490"/>
        <v>1.0851837823572019</v>
      </c>
      <c r="AO3603" s="158"/>
      <c r="AP3603" s="158"/>
    </row>
    <row r="3604" spans="34:42">
      <c r="AH3604" s="6">
        <f t="shared" si="496"/>
        <v>3574</v>
      </c>
      <c r="AI3604" s="7">
        <f t="shared" ca="1" si="497"/>
        <v>46244</v>
      </c>
      <c r="AJ3604" s="210">
        <f t="shared" ca="1" si="491"/>
        <v>4.1749999999999998</v>
      </c>
      <c r="AK3604" s="8">
        <f t="shared" ca="1" si="495"/>
        <v>1.0001159722222221</v>
      </c>
      <c r="AL3604" s="98">
        <f t="shared" ca="1" si="492"/>
        <v>4.1457500545263315</v>
      </c>
      <c r="AM3604" s="106">
        <f t="shared" ca="1" si="489"/>
        <v>35160.025061727516</v>
      </c>
      <c r="AN3604" s="10">
        <f t="shared" ca="1" si="490"/>
        <v>1.0852250403492691</v>
      </c>
      <c r="AO3604" s="158"/>
      <c r="AP3604" s="158"/>
    </row>
    <row r="3605" spans="34:42">
      <c r="AH3605" s="6">
        <f t="shared" si="496"/>
        <v>3575</v>
      </c>
      <c r="AI3605" s="7">
        <f t="shared" ca="1" si="497"/>
        <v>46245</v>
      </c>
      <c r="AJ3605" s="210">
        <f t="shared" ca="1" si="491"/>
        <v>4.1749999999999998</v>
      </c>
      <c r="AK3605" s="8">
        <f t="shared" ca="1" si="495"/>
        <v>1.0001159722222221</v>
      </c>
      <c r="AL3605" s="98">
        <f t="shared" ca="1" si="492"/>
        <v>4.1457997599363638</v>
      </c>
      <c r="AM3605" s="106">
        <f t="shared" ca="1" si="489"/>
        <v>35162.922299449965</v>
      </c>
      <c r="AN3605" s="10">
        <f t="shared" ca="1" si="490"/>
        <v>1.0852662752767639</v>
      </c>
      <c r="AO3605" s="158"/>
      <c r="AP3605" s="158"/>
    </row>
    <row r="3606" spans="34:42">
      <c r="AH3606" s="6">
        <f t="shared" si="496"/>
        <v>3576</v>
      </c>
      <c r="AI3606" s="7">
        <f t="shared" ca="1" si="497"/>
        <v>46246</v>
      </c>
      <c r="AJ3606" s="210">
        <f t="shared" ca="1" si="491"/>
        <v>4.1749999999999998</v>
      </c>
      <c r="AK3606" s="8">
        <f t="shared" ca="1" si="495"/>
        <v>1.0001159722222221</v>
      </c>
      <c r="AL3606" s="98">
        <f t="shared" ca="1" si="492"/>
        <v>4.1458494375706589</v>
      </c>
      <c r="AM3606" s="106">
        <f t="shared" ca="1" si="489"/>
        <v>35165.819775909062</v>
      </c>
      <c r="AN3606" s="10">
        <f t="shared" ca="1" si="490"/>
        <v>1.0853074871590263</v>
      </c>
      <c r="AO3606" s="158"/>
      <c r="AP3606" s="158"/>
    </row>
    <row r="3607" spans="34:42">
      <c r="AH3607" s="6">
        <f t="shared" si="496"/>
        <v>3577</v>
      </c>
      <c r="AI3607" s="7">
        <f t="shared" ca="1" si="497"/>
        <v>46247</v>
      </c>
      <c r="AJ3607" s="210">
        <f t="shared" ca="1" si="491"/>
        <v>4.1749999999999998</v>
      </c>
      <c r="AK3607" s="8">
        <f t="shared" ca="1" si="495"/>
        <v>1.0001159722222221</v>
      </c>
      <c r="AL3607" s="98">
        <f t="shared" ca="1" si="492"/>
        <v>4.145899087452487</v>
      </c>
      <c r="AM3607" s="106">
        <f t="shared" ca="1" si="489"/>
        <v>35168.717491124466</v>
      </c>
      <c r="AN3607" s="10">
        <f t="shared" ca="1" si="490"/>
        <v>1.0853486760153741</v>
      </c>
      <c r="AO3607" s="158"/>
      <c r="AP3607" s="158"/>
    </row>
    <row r="3608" spans="34:42">
      <c r="AH3608" s="6">
        <f t="shared" si="496"/>
        <v>3578</v>
      </c>
      <c r="AI3608" s="7">
        <f t="shared" ca="1" si="497"/>
        <v>46248</v>
      </c>
      <c r="AJ3608" s="210">
        <f t="shared" ca="1" si="491"/>
        <v>4.1749999999999998</v>
      </c>
      <c r="AK3608" s="8">
        <f t="shared" ca="1" si="495"/>
        <v>1.0001159722222221</v>
      </c>
      <c r="AL3608" s="98">
        <f t="shared" ca="1" si="492"/>
        <v>4.1459487096050962</v>
      </c>
      <c r="AM3608" s="106">
        <f t="shared" ca="1" si="489"/>
        <v>35171.615445115873</v>
      </c>
      <c r="AN3608" s="10">
        <f t="shared" ca="1" si="490"/>
        <v>1.0853898418651031</v>
      </c>
      <c r="AO3608" s="158"/>
      <c r="AP3608" s="158"/>
    </row>
    <row r="3609" spans="34:42">
      <c r="AH3609" s="6">
        <f t="shared" si="496"/>
        <v>3579</v>
      </c>
      <c r="AI3609" s="7">
        <f t="shared" ca="1" si="497"/>
        <v>46249</v>
      </c>
      <c r="AJ3609" s="210">
        <f t="shared" ca="1" si="491"/>
        <v>4.1749999999999998</v>
      </c>
      <c r="AK3609" s="8">
        <f t="shared" ca="1" si="495"/>
        <v>1.0001159722222221</v>
      </c>
      <c r="AL3609" s="98">
        <f t="shared" ca="1" si="492"/>
        <v>4.1459983040517123</v>
      </c>
      <c r="AM3609" s="106">
        <f t="shared" ca="1" si="489"/>
        <v>35174.513637902935</v>
      </c>
      <c r="AN3609" s="10">
        <f t="shared" ca="1" si="490"/>
        <v>1.0854309847274646</v>
      </c>
      <c r="AO3609" s="158"/>
      <c r="AP3609" s="158"/>
    </row>
    <row r="3610" spans="34:42">
      <c r="AH3610" s="6">
        <f t="shared" si="496"/>
        <v>3580</v>
      </c>
      <c r="AI3610" s="7">
        <f t="shared" ca="1" si="497"/>
        <v>46250</v>
      </c>
      <c r="AJ3610" s="210">
        <f t="shared" ca="1" si="491"/>
        <v>4.1749999999999998</v>
      </c>
      <c r="AK3610" s="8">
        <f t="shared" ca="1" si="495"/>
        <v>1.0001159722222221</v>
      </c>
      <c r="AL3610" s="98">
        <f t="shared" ca="1" si="492"/>
        <v>4.146047870815539</v>
      </c>
      <c r="AM3610" s="106">
        <f t="shared" ca="1" si="489"/>
        <v>35177.412069505343</v>
      </c>
      <c r="AN3610" s="10">
        <f t="shared" ca="1" si="490"/>
        <v>1.0854721046217319</v>
      </c>
      <c r="AO3610" s="158"/>
      <c r="AP3610" s="158"/>
    </row>
    <row r="3611" spans="34:42">
      <c r="AH3611" s="6">
        <f t="shared" si="496"/>
        <v>3581</v>
      </c>
      <c r="AI3611" s="7">
        <f t="shared" ca="1" si="497"/>
        <v>46251</v>
      </c>
      <c r="AJ3611" s="210">
        <f t="shared" ca="1" si="491"/>
        <v>4.1749999999999998</v>
      </c>
      <c r="AK3611" s="8">
        <f t="shared" ca="1" si="495"/>
        <v>1.0001159722222221</v>
      </c>
      <c r="AL3611" s="98">
        <f t="shared" ca="1" si="492"/>
        <v>4.1460974099197356</v>
      </c>
      <c r="AM3611" s="106">
        <f t="shared" ca="1" si="489"/>
        <v>35180.310739942783</v>
      </c>
      <c r="AN3611" s="10">
        <f t="shared" ca="1" si="490"/>
        <v>1.0855132015671343</v>
      </c>
      <c r="AO3611" s="158"/>
      <c r="AP3611" s="158"/>
    </row>
    <row r="3612" spans="34:42">
      <c r="AH3612" s="6">
        <f t="shared" si="496"/>
        <v>3582</v>
      </c>
      <c r="AI3612" s="7">
        <f t="shared" ca="1" si="497"/>
        <v>46252</v>
      </c>
      <c r="AJ3612" s="210">
        <f t="shared" ca="1" si="491"/>
        <v>4.1749999999999998</v>
      </c>
      <c r="AK3612" s="8">
        <f t="shared" ca="1" si="495"/>
        <v>1.0001159722222221</v>
      </c>
      <c r="AL3612" s="98">
        <f t="shared" ca="1" si="492"/>
        <v>4.1461469213874391</v>
      </c>
      <c r="AM3612" s="106">
        <f t="shared" ca="1" si="489"/>
        <v>35183.209649234923</v>
      </c>
      <c r="AN3612" s="10">
        <f t="shared" ca="1" si="490"/>
        <v>1.0855542755828118</v>
      </c>
      <c r="AO3612" s="158"/>
      <c r="AP3612" s="158"/>
    </row>
    <row r="3613" spans="34:42">
      <c r="AH3613" s="6">
        <f t="shared" si="496"/>
        <v>3583</v>
      </c>
      <c r="AI3613" s="7">
        <f t="shared" ca="1" si="497"/>
        <v>46253</v>
      </c>
      <c r="AJ3613" s="210">
        <f t="shared" ca="1" si="491"/>
        <v>4.1749999999999998</v>
      </c>
      <c r="AK3613" s="8">
        <f t="shared" ca="1" si="495"/>
        <v>1.0001159722222221</v>
      </c>
      <c r="AL3613" s="98">
        <f t="shared" ca="1" si="492"/>
        <v>4.1461964052417866</v>
      </c>
      <c r="AM3613" s="106">
        <f t="shared" ca="1" si="489"/>
        <v>35186.108797401437</v>
      </c>
      <c r="AN3613" s="10">
        <f t="shared" ca="1" si="490"/>
        <v>1.085595326688038</v>
      </c>
      <c r="AO3613" s="158"/>
      <c r="AP3613" s="158"/>
    </row>
    <row r="3614" spans="34:42">
      <c r="AH3614" s="6">
        <f t="shared" si="496"/>
        <v>3584</v>
      </c>
      <c r="AI3614" s="7">
        <f t="shared" ca="1" si="497"/>
        <v>46254</v>
      </c>
      <c r="AJ3614" s="210">
        <f t="shared" ca="1" si="491"/>
        <v>4.1749999999999998</v>
      </c>
      <c r="AK3614" s="8">
        <f t="shared" ca="1" si="495"/>
        <v>1.0001159722222221</v>
      </c>
      <c r="AL3614" s="98">
        <f t="shared" ca="1" si="492"/>
        <v>4.1462458615058706</v>
      </c>
      <c r="AM3614" s="106">
        <f t="shared" ca="1" si="489"/>
        <v>35189.008184462029</v>
      </c>
      <c r="AN3614" s="10">
        <f t="shared" ca="1" si="490"/>
        <v>1.0856363549019088</v>
      </c>
      <c r="AO3614" s="158"/>
      <c r="AP3614" s="158"/>
    </row>
    <row r="3615" spans="34:42">
      <c r="AH3615" s="6">
        <f t="shared" si="496"/>
        <v>3585</v>
      </c>
      <c r="AI3615" s="7">
        <f t="shared" ca="1" si="497"/>
        <v>46255</v>
      </c>
      <c r="AJ3615" s="210">
        <f t="shared" ca="1" si="491"/>
        <v>4.1749999999999998</v>
      </c>
      <c r="AK3615" s="8">
        <f t="shared" ca="1" si="495"/>
        <v>1.0001159722222221</v>
      </c>
      <c r="AL3615" s="98">
        <f t="shared" ca="1" si="492"/>
        <v>4.1462952902027617</v>
      </c>
      <c r="AM3615" s="106">
        <f t="shared" ref="AM3615:AM3678" ca="1" si="498">Geom_Interp(AI3615,$AZ$2:$AZ$109,$BA$2:$BA$109)</f>
        <v>35191.907810436373</v>
      </c>
      <c r="AN3615" s="10">
        <f t="shared" ref="AN3615:AN3678" ca="1" si="499">100*(((1+AL3615/100)^(AH3615/365)*$AM$29/AM3615)^(365/AH3615)-1)</f>
        <v>1.0856773602436309</v>
      </c>
      <c r="AO3615" s="158"/>
      <c r="AP3615" s="158"/>
    </row>
    <row r="3616" spans="34:42">
      <c r="AH3616" s="6">
        <f t="shared" si="496"/>
        <v>3586</v>
      </c>
      <c r="AI3616" s="7">
        <f t="shared" ca="1" si="497"/>
        <v>46256</v>
      </c>
      <c r="AJ3616" s="210">
        <f t="shared" ref="AJ3616:AJ3679" ca="1" si="500">IF(AH3616&lt;365,VLOOKUP(LOOKUP(AI3616,$AI$2:$AI$23),$AI$2:$AK$23,3,0),Lin_Interp(AH3616,$AJ$2:$AJ$23,$AK$2:$AK$23))</f>
        <v>4.1749999999999998</v>
      </c>
      <c r="AK3616" s="8">
        <f t="shared" ca="1" si="495"/>
        <v>1.0001159722222221</v>
      </c>
      <c r="AL3616" s="98">
        <f t="shared" ca="1" si="492"/>
        <v>4.1463446913554858</v>
      </c>
      <c r="AM3616" s="106">
        <f t="shared" ca="1" si="498"/>
        <v>35194.807675344149</v>
      </c>
      <c r="AN3616" s="10">
        <f t="shared" ca="1" si="499"/>
        <v>1.0857183427322559</v>
      </c>
      <c r="AO3616" s="158"/>
      <c r="AP3616" s="158"/>
    </row>
    <row r="3617" spans="34:42">
      <c r="AH3617" s="6">
        <f t="shared" si="496"/>
        <v>3587</v>
      </c>
      <c r="AI3617" s="7">
        <f t="shared" ca="1" si="497"/>
        <v>46257</v>
      </c>
      <c r="AJ3617" s="210">
        <f t="shared" ca="1" si="500"/>
        <v>4.1749999999999998</v>
      </c>
      <c r="AK3617" s="8">
        <f t="shared" ca="1" si="495"/>
        <v>1.0001159722222221</v>
      </c>
      <c r="AL3617" s="98">
        <f t="shared" ref="AL3617:AL3680" ca="1" si="501">100*(((1+AL3616/100)^(AH3616/365)*AK3617)^(365/AH3617)-1)</f>
        <v>4.1463940649870912</v>
      </c>
      <c r="AM3617" s="106">
        <f t="shared" ca="1" si="498"/>
        <v>35197.70777920507</v>
      </c>
      <c r="AN3617" s="10">
        <f t="shared" ca="1" si="499"/>
        <v>1.0857593023869461</v>
      </c>
      <c r="AO3617" s="158"/>
      <c r="AP3617" s="158"/>
    </row>
    <row r="3618" spans="34:42">
      <c r="AH3618" s="6">
        <f t="shared" si="496"/>
        <v>3588</v>
      </c>
      <c r="AI3618" s="7">
        <f t="shared" ca="1" si="497"/>
        <v>46258</v>
      </c>
      <c r="AJ3618" s="210">
        <f t="shared" ca="1" si="500"/>
        <v>4.1749999999999998</v>
      </c>
      <c r="AK3618" s="8">
        <f t="shared" ca="1" si="495"/>
        <v>1.0001159722222221</v>
      </c>
      <c r="AL3618" s="98">
        <f t="shared" ca="1" si="501"/>
        <v>4.1464434111205373</v>
      </c>
      <c r="AM3618" s="106">
        <f t="shared" ca="1" si="498"/>
        <v>35200.608122038801</v>
      </c>
      <c r="AN3618" s="10">
        <f t="shared" ca="1" si="499"/>
        <v>1.0858002392267307</v>
      </c>
      <c r="AO3618" s="158"/>
      <c r="AP3618" s="158"/>
    </row>
    <row r="3619" spans="34:42">
      <c r="AH3619" s="6">
        <f t="shared" si="496"/>
        <v>3589</v>
      </c>
      <c r="AI3619" s="7">
        <f t="shared" ca="1" si="497"/>
        <v>46259</v>
      </c>
      <c r="AJ3619" s="210">
        <f t="shared" ca="1" si="500"/>
        <v>4.1749999999999998</v>
      </c>
      <c r="AK3619" s="8">
        <f t="shared" ca="1" si="495"/>
        <v>1.0001159722222221</v>
      </c>
      <c r="AL3619" s="98">
        <f t="shared" ca="1" si="501"/>
        <v>4.1464927297788057</v>
      </c>
      <c r="AM3619" s="106">
        <f t="shared" ca="1" si="498"/>
        <v>35203.508703865045</v>
      </c>
      <c r="AN3619" s="10">
        <f t="shared" ca="1" si="499"/>
        <v>1.0858411532707057</v>
      </c>
      <c r="AO3619" s="158"/>
      <c r="AP3619" s="158"/>
    </row>
    <row r="3620" spans="34:42">
      <c r="AH3620" s="6">
        <f t="shared" si="496"/>
        <v>3590</v>
      </c>
      <c r="AI3620" s="7">
        <f t="shared" ca="1" si="497"/>
        <v>46260</v>
      </c>
      <c r="AJ3620" s="210">
        <f t="shared" ca="1" si="500"/>
        <v>4.1749999999999998</v>
      </c>
      <c r="AK3620" s="8">
        <f t="shared" ref="AK3620:AK3683" ca="1" si="502">+(1+AJ3620/36000)</f>
        <v>1.0001159722222221</v>
      </c>
      <c r="AL3620" s="98">
        <f t="shared" ca="1" si="501"/>
        <v>4.1465420209848336</v>
      </c>
      <c r="AM3620" s="106">
        <f t="shared" ca="1" si="498"/>
        <v>35206.409524703486</v>
      </c>
      <c r="AN3620" s="10">
        <f t="shared" ca="1" si="499"/>
        <v>1.0858820445378781</v>
      </c>
      <c r="AO3620" s="158"/>
      <c r="AP3620" s="158"/>
    </row>
    <row r="3621" spans="34:42">
      <c r="AH3621" s="6">
        <f t="shared" si="496"/>
        <v>3591</v>
      </c>
      <c r="AI3621" s="7">
        <f t="shared" ca="1" si="497"/>
        <v>46261</v>
      </c>
      <c r="AJ3621" s="210">
        <f t="shared" ca="1" si="500"/>
        <v>4.1749999999999998</v>
      </c>
      <c r="AK3621" s="8">
        <f t="shared" ca="1" si="502"/>
        <v>1.0001159722222221</v>
      </c>
      <c r="AL3621" s="98">
        <f t="shared" ca="1" si="501"/>
        <v>4.146591284761536</v>
      </c>
      <c r="AM3621" s="106">
        <f t="shared" ca="1" si="498"/>
        <v>35209.310584573832</v>
      </c>
      <c r="AN3621" s="10">
        <f t="shared" ca="1" si="499"/>
        <v>1.0859229130472769</v>
      </c>
      <c r="AO3621" s="158"/>
      <c r="AP3621" s="158"/>
    </row>
    <row r="3622" spans="34:42">
      <c r="AH3622" s="6">
        <f t="shared" si="496"/>
        <v>3592</v>
      </c>
      <c r="AI3622" s="7">
        <f t="shared" ca="1" si="497"/>
        <v>46262</v>
      </c>
      <c r="AJ3622" s="210">
        <f t="shared" ca="1" si="500"/>
        <v>4.1749999999999998</v>
      </c>
      <c r="AK3622" s="8">
        <f t="shared" ca="1" si="502"/>
        <v>1.0001159722222221</v>
      </c>
      <c r="AL3622" s="98">
        <f t="shared" ca="1" si="501"/>
        <v>4.1466405211318058</v>
      </c>
      <c r="AM3622" s="106">
        <f t="shared" ca="1" si="498"/>
        <v>35212.211883495773</v>
      </c>
      <c r="AN3622" s="10">
        <f t="shared" ca="1" si="499"/>
        <v>1.0859637588178872</v>
      </c>
      <c r="AO3622" s="158"/>
      <c r="AP3622" s="158"/>
    </row>
    <row r="3623" spans="34:42">
      <c r="AH3623" s="6">
        <f t="shared" si="496"/>
        <v>3593</v>
      </c>
      <c r="AI3623" s="7">
        <f t="shared" ca="1" si="497"/>
        <v>46263</v>
      </c>
      <c r="AJ3623" s="210">
        <f t="shared" ca="1" si="500"/>
        <v>4.1749999999999998</v>
      </c>
      <c r="AK3623" s="8">
        <f t="shared" ca="1" si="502"/>
        <v>1.0001159722222221</v>
      </c>
      <c r="AL3623" s="98">
        <f t="shared" ca="1" si="501"/>
        <v>4.1466897301184913</v>
      </c>
      <c r="AM3623" s="106">
        <f t="shared" ca="1" si="498"/>
        <v>35215.113421489012</v>
      </c>
      <c r="AN3623" s="10">
        <f t="shared" ca="1" si="499"/>
        <v>1.0860045818686492</v>
      </c>
      <c r="AO3623" s="158"/>
      <c r="AP3623" s="158"/>
    </row>
    <row r="3624" spans="34:42">
      <c r="AH3624" s="6">
        <f t="shared" si="496"/>
        <v>3594</v>
      </c>
      <c r="AI3624" s="7">
        <f t="shared" ca="1" si="497"/>
        <v>46264</v>
      </c>
      <c r="AJ3624" s="210">
        <f t="shared" ca="1" si="500"/>
        <v>4.1749999999999998</v>
      </c>
      <c r="AK3624" s="8">
        <f t="shared" ca="1" si="502"/>
        <v>1.0001159722222221</v>
      </c>
      <c r="AL3624" s="98">
        <f t="shared" ca="1" si="501"/>
        <v>4.1467389117444631</v>
      </c>
      <c r="AM3624" s="106">
        <f t="shared" ca="1" si="498"/>
        <v>35218.015198573237</v>
      </c>
      <c r="AN3624" s="10">
        <f t="shared" ca="1" si="499"/>
        <v>1.0860453822185923</v>
      </c>
      <c r="AO3624" s="158"/>
      <c r="AP3624" s="158"/>
    </row>
    <row r="3625" spans="34:42">
      <c r="AH3625" s="6">
        <f t="shared" si="496"/>
        <v>3595</v>
      </c>
      <c r="AI3625" s="7">
        <f t="shared" ca="1" si="497"/>
        <v>46265</v>
      </c>
      <c r="AJ3625" s="210">
        <f t="shared" ca="1" si="500"/>
        <v>4.1749999999999998</v>
      </c>
      <c r="AK3625" s="8">
        <f t="shared" ca="1" si="502"/>
        <v>1.0001159722222221</v>
      </c>
      <c r="AL3625" s="98">
        <f t="shared" ca="1" si="501"/>
        <v>4.1467880660325029</v>
      </c>
      <c r="AM3625" s="106">
        <f t="shared" ca="1" si="498"/>
        <v>35220.917214768167</v>
      </c>
      <c r="AN3625" s="10">
        <f t="shared" ca="1" si="499"/>
        <v>1.0860861598865901</v>
      </c>
      <c r="AO3625" s="158"/>
      <c r="AP3625" s="158"/>
    </row>
    <row r="3626" spans="34:42">
      <c r="AH3626" s="6">
        <f t="shared" si="496"/>
        <v>3596</v>
      </c>
      <c r="AI3626" s="7">
        <f t="shared" ca="1" si="497"/>
        <v>46266</v>
      </c>
      <c r="AJ3626" s="210">
        <f t="shared" ca="1" si="500"/>
        <v>4.1749999999999998</v>
      </c>
      <c r="AK3626" s="8">
        <f t="shared" ca="1" si="502"/>
        <v>1.0001159722222221</v>
      </c>
      <c r="AL3626" s="98">
        <f t="shared" ca="1" si="501"/>
        <v>4.1468371930054149</v>
      </c>
      <c r="AM3626" s="106">
        <f t="shared" ca="1" si="498"/>
        <v>35223.819470093484</v>
      </c>
      <c r="AN3626" s="10">
        <f t="shared" ca="1" si="499"/>
        <v>1.0861269148915831</v>
      </c>
      <c r="AO3626" s="158"/>
      <c r="AP3626" s="158"/>
    </row>
    <row r="3627" spans="34:42">
      <c r="AH3627" s="6">
        <f t="shared" si="496"/>
        <v>3597</v>
      </c>
      <c r="AI3627" s="7">
        <f t="shared" ca="1" si="497"/>
        <v>46267</v>
      </c>
      <c r="AJ3627" s="210">
        <f t="shared" ca="1" si="500"/>
        <v>4.1749999999999998</v>
      </c>
      <c r="AK3627" s="8">
        <f t="shared" ca="1" si="502"/>
        <v>1.0001159722222221</v>
      </c>
      <c r="AL3627" s="98">
        <f t="shared" ca="1" si="501"/>
        <v>4.1468862926859584</v>
      </c>
      <c r="AM3627" s="106">
        <f t="shared" ca="1" si="498"/>
        <v>35226.721964568904</v>
      </c>
      <c r="AN3627" s="10">
        <f t="shared" ca="1" si="499"/>
        <v>1.0861676472524229</v>
      </c>
      <c r="AO3627" s="158"/>
      <c r="AP3627" s="158"/>
    </row>
    <row r="3628" spans="34:42">
      <c r="AH3628" s="6">
        <f t="shared" si="496"/>
        <v>3598</v>
      </c>
      <c r="AI3628" s="7">
        <f t="shared" ca="1" si="497"/>
        <v>46268</v>
      </c>
      <c r="AJ3628" s="210">
        <f t="shared" ca="1" si="500"/>
        <v>4.1749999999999998</v>
      </c>
      <c r="AK3628" s="8">
        <f t="shared" ca="1" si="502"/>
        <v>1.0001159722222221</v>
      </c>
      <c r="AL3628" s="98">
        <f t="shared" ca="1" si="501"/>
        <v>4.1469353650968488</v>
      </c>
      <c r="AM3628" s="106">
        <f t="shared" ca="1" si="498"/>
        <v>35229.624698214146</v>
      </c>
      <c r="AN3628" s="10">
        <f t="shared" ca="1" si="499"/>
        <v>1.0862083569879832</v>
      </c>
      <c r="AO3628" s="158"/>
      <c r="AP3628" s="158"/>
    </row>
    <row r="3629" spans="34:42">
      <c r="AH3629" s="6">
        <f t="shared" si="496"/>
        <v>3599</v>
      </c>
      <c r="AI3629" s="7">
        <f t="shared" ca="1" si="497"/>
        <v>46269</v>
      </c>
      <c r="AJ3629" s="210">
        <f t="shared" ca="1" si="500"/>
        <v>4.1749999999999998</v>
      </c>
      <c r="AK3629" s="8">
        <f t="shared" ca="1" si="502"/>
        <v>1.0001159722222221</v>
      </c>
      <c r="AL3629" s="98">
        <f t="shared" ca="1" si="501"/>
        <v>4.1469844102608233</v>
      </c>
      <c r="AM3629" s="106">
        <f t="shared" ca="1" si="498"/>
        <v>35232.527671048891</v>
      </c>
      <c r="AN3629" s="10">
        <f t="shared" ca="1" si="499"/>
        <v>1.086249044117138</v>
      </c>
      <c r="AO3629" s="158"/>
      <c r="AP3629" s="158"/>
    </row>
    <row r="3630" spans="34:42">
      <c r="AH3630" s="6">
        <f t="shared" si="496"/>
        <v>3600</v>
      </c>
      <c r="AI3630" s="7">
        <f t="shared" ca="1" si="497"/>
        <v>46270</v>
      </c>
      <c r="AJ3630" s="210">
        <f t="shared" ca="1" si="500"/>
        <v>4.1749999999999998</v>
      </c>
      <c r="AK3630" s="8">
        <f t="shared" ca="1" si="502"/>
        <v>1.0001159722222221</v>
      </c>
      <c r="AL3630" s="98">
        <f t="shared" ca="1" si="501"/>
        <v>4.147033428200575</v>
      </c>
      <c r="AM3630" s="106">
        <f t="shared" ca="1" si="498"/>
        <v>35235.430883092871</v>
      </c>
      <c r="AN3630" s="10">
        <f t="shared" ca="1" si="499"/>
        <v>1.0862897086586942</v>
      </c>
      <c r="AO3630" s="158"/>
      <c r="AP3630" s="158"/>
    </row>
    <row r="3631" spans="34:42">
      <c r="AH3631" s="6">
        <f t="shared" si="496"/>
        <v>3601</v>
      </c>
      <c r="AI3631" s="7">
        <f t="shared" ca="1" si="497"/>
        <v>46271</v>
      </c>
      <c r="AJ3631" s="210">
        <f t="shared" ca="1" si="500"/>
        <v>4.1749999999999998</v>
      </c>
      <c r="AK3631" s="8">
        <f t="shared" ca="1" si="502"/>
        <v>1.0001159722222221</v>
      </c>
      <c r="AL3631" s="98">
        <f t="shared" ca="1" si="501"/>
        <v>4.1470824189387523</v>
      </c>
      <c r="AM3631" s="106">
        <f t="shared" ca="1" si="498"/>
        <v>35238.334334365783</v>
      </c>
      <c r="AN3631" s="10">
        <f t="shared" ca="1" si="499"/>
        <v>1.0863303506314592</v>
      </c>
      <c r="AO3631" s="158"/>
      <c r="AP3631" s="158"/>
    </row>
    <row r="3632" spans="34:42">
      <c r="AH3632" s="6">
        <f t="shared" si="496"/>
        <v>3602</v>
      </c>
      <c r="AI3632" s="7">
        <f t="shared" ca="1" si="497"/>
        <v>46272</v>
      </c>
      <c r="AJ3632" s="210">
        <f t="shared" ca="1" si="500"/>
        <v>4.1749999999999998</v>
      </c>
      <c r="AK3632" s="8">
        <f t="shared" ca="1" si="502"/>
        <v>1.0001159722222221</v>
      </c>
      <c r="AL3632" s="98">
        <f t="shared" ca="1" si="501"/>
        <v>4.1471313824979816</v>
      </c>
      <c r="AM3632" s="106">
        <f t="shared" ca="1" si="498"/>
        <v>35241.238024887345</v>
      </c>
      <c r="AN3632" s="10">
        <f t="shared" ca="1" si="499"/>
        <v>1.0863709700542179</v>
      </c>
      <c r="AO3632" s="158"/>
      <c r="AP3632" s="158"/>
    </row>
    <row r="3633" spans="34:42">
      <c r="AH3633" s="6">
        <f t="shared" si="496"/>
        <v>3603</v>
      </c>
      <c r="AI3633" s="7">
        <f t="shared" ca="1" si="497"/>
        <v>46273</v>
      </c>
      <c r="AJ3633" s="210">
        <f t="shared" ca="1" si="500"/>
        <v>4.1749999999999998</v>
      </c>
      <c r="AK3633" s="8">
        <f t="shared" ca="1" si="502"/>
        <v>1.0001159722222221</v>
      </c>
      <c r="AL3633" s="98">
        <f t="shared" ca="1" si="501"/>
        <v>4.1471803189008893</v>
      </c>
      <c r="AM3633" s="106">
        <f t="shared" ca="1" si="498"/>
        <v>35244.141954677281</v>
      </c>
      <c r="AN3633" s="10">
        <f t="shared" ca="1" si="499"/>
        <v>1.0864115669457108</v>
      </c>
      <c r="AO3633" s="158"/>
      <c r="AP3633" s="158"/>
    </row>
    <row r="3634" spans="34:42">
      <c r="AH3634" s="6">
        <f t="shared" si="496"/>
        <v>3604</v>
      </c>
      <c r="AI3634" s="7">
        <f t="shared" ca="1" si="497"/>
        <v>46274</v>
      </c>
      <c r="AJ3634" s="210">
        <f t="shared" ca="1" si="500"/>
        <v>4.1749999999999998</v>
      </c>
      <c r="AK3634" s="8">
        <f t="shared" ca="1" si="502"/>
        <v>1.0001159722222221</v>
      </c>
      <c r="AL3634" s="98">
        <f t="shared" ca="1" si="501"/>
        <v>4.1472292281700573</v>
      </c>
      <c r="AM3634" s="106">
        <f t="shared" ca="1" si="498"/>
        <v>35247.046123755295</v>
      </c>
      <c r="AN3634" s="10">
        <f t="shared" ca="1" si="499"/>
        <v>1.086452141324723</v>
      </c>
      <c r="AO3634" s="158"/>
      <c r="AP3634" s="158"/>
    </row>
    <row r="3635" spans="34:42">
      <c r="AH3635" s="6">
        <f t="shared" ref="AH3635:AH3698" si="503">$AI$29+AH3634</f>
        <v>3605</v>
      </c>
      <c r="AI3635" s="7">
        <f t="shared" ref="AI3635:AI3698" ca="1" si="504">+AH3635+$C$1</f>
        <v>46275</v>
      </c>
      <c r="AJ3635" s="210">
        <f t="shared" ca="1" si="500"/>
        <v>4.1749999999999998</v>
      </c>
      <c r="AK3635" s="8">
        <f t="shared" ca="1" si="502"/>
        <v>1.0001159722222221</v>
      </c>
      <c r="AL3635" s="98">
        <f t="shared" ca="1" si="501"/>
        <v>4.1472781103280454</v>
      </c>
      <c r="AM3635" s="106">
        <f t="shared" ca="1" si="498"/>
        <v>35249.950532141098</v>
      </c>
      <c r="AN3635" s="10">
        <f t="shared" ca="1" si="499"/>
        <v>1.0864926932099284</v>
      </c>
      <c r="AO3635" s="158"/>
      <c r="AP3635" s="158"/>
    </row>
    <row r="3636" spans="34:42">
      <c r="AH3636" s="6">
        <f t="shared" si="503"/>
        <v>3606</v>
      </c>
      <c r="AI3636" s="7">
        <f t="shared" ca="1" si="504"/>
        <v>46276</v>
      </c>
      <c r="AJ3636" s="210">
        <f t="shared" ca="1" si="500"/>
        <v>4.1749999999999998</v>
      </c>
      <c r="AK3636" s="8">
        <f t="shared" ca="1" si="502"/>
        <v>1.0001159722222221</v>
      </c>
      <c r="AL3636" s="98">
        <f t="shared" ca="1" si="501"/>
        <v>4.147326965397391</v>
      </c>
      <c r="AM3636" s="106">
        <f t="shared" ca="1" si="498"/>
        <v>35252.855179854429</v>
      </c>
      <c r="AN3636" s="10">
        <f t="shared" ca="1" si="499"/>
        <v>1.0865332226200675</v>
      </c>
      <c r="AO3636" s="158"/>
      <c r="AP3636" s="158"/>
    </row>
    <row r="3637" spans="34:42">
      <c r="AH3637" s="6">
        <f t="shared" si="503"/>
        <v>3607</v>
      </c>
      <c r="AI3637" s="7">
        <f t="shared" ca="1" si="504"/>
        <v>46277</v>
      </c>
      <c r="AJ3637" s="210">
        <f t="shared" ca="1" si="500"/>
        <v>4.1749999999999998</v>
      </c>
      <c r="AK3637" s="8">
        <f t="shared" ca="1" si="502"/>
        <v>1.0001159722222221</v>
      </c>
      <c r="AL3637" s="98">
        <f t="shared" ca="1" si="501"/>
        <v>4.1473757934005873</v>
      </c>
      <c r="AM3637" s="106">
        <f t="shared" ca="1" si="498"/>
        <v>35255.760066914998</v>
      </c>
      <c r="AN3637" s="10">
        <f t="shared" ca="1" si="499"/>
        <v>1.0865737295737699</v>
      </c>
      <c r="AO3637" s="158"/>
      <c r="AP3637" s="158"/>
    </row>
    <row r="3638" spans="34:42">
      <c r="AH3638" s="6">
        <f t="shared" si="503"/>
        <v>3608</v>
      </c>
      <c r="AI3638" s="7">
        <f t="shared" ca="1" si="504"/>
        <v>46278</v>
      </c>
      <c r="AJ3638" s="210">
        <f t="shared" ca="1" si="500"/>
        <v>4.1749999999999998</v>
      </c>
      <c r="AK3638" s="8">
        <f t="shared" ca="1" si="502"/>
        <v>1.0001159722222221</v>
      </c>
      <c r="AL3638" s="98">
        <f t="shared" ca="1" si="501"/>
        <v>4.1474245943601495</v>
      </c>
      <c r="AM3638" s="106">
        <f t="shared" ca="1" si="498"/>
        <v>35258.665193342531</v>
      </c>
      <c r="AN3638" s="10">
        <f t="shared" ca="1" si="499"/>
        <v>1.0866142140897539</v>
      </c>
      <c r="AO3638" s="158"/>
      <c r="AP3638" s="158"/>
    </row>
    <row r="3639" spans="34:42">
      <c r="AH3639" s="6">
        <f t="shared" si="503"/>
        <v>3609</v>
      </c>
      <c r="AI3639" s="7">
        <f t="shared" ca="1" si="504"/>
        <v>46279</v>
      </c>
      <c r="AJ3639" s="210">
        <f t="shared" ca="1" si="500"/>
        <v>4.1749999999999998</v>
      </c>
      <c r="AK3639" s="8">
        <f t="shared" ca="1" si="502"/>
        <v>1.0001159722222221</v>
      </c>
      <c r="AL3639" s="98">
        <f t="shared" ca="1" si="501"/>
        <v>4.1474733682985265</v>
      </c>
      <c r="AM3639" s="106">
        <f t="shared" ca="1" si="498"/>
        <v>35261.570559156746</v>
      </c>
      <c r="AN3639" s="10">
        <f t="shared" ca="1" si="499"/>
        <v>1.0866546761866269</v>
      </c>
      <c r="AO3639" s="158"/>
      <c r="AP3639" s="158"/>
    </row>
    <row r="3640" spans="34:42">
      <c r="AH3640" s="6">
        <f t="shared" si="503"/>
        <v>3610</v>
      </c>
      <c r="AI3640" s="7">
        <f t="shared" ca="1" si="504"/>
        <v>46280</v>
      </c>
      <c r="AJ3640" s="210">
        <f t="shared" ca="1" si="500"/>
        <v>4.1749999999999998</v>
      </c>
      <c r="AK3640" s="8">
        <f t="shared" ca="1" si="502"/>
        <v>1.0001159722222221</v>
      </c>
      <c r="AL3640" s="98">
        <f t="shared" ca="1" si="501"/>
        <v>4.1475221152381447</v>
      </c>
      <c r="AM3640" s="106">
        <f t="shared" ca="1" si="498"/>
        <v>35264.476164377375</v>
      </c>
      <c r="AN3640" s="10">
        <f t="shared" ca="1" si="499"/>
        <v>1.0866951158829963</v>
      </c>
      <c r="AO3640" s="158"/>
      <c r="AP3640" s="158"/>
    </row>
    <row r="3641" spans="34:42">
      <c r="AH3641" s="6">
        <f t="shared" si="503"/>
        <v>3611</v>
      </c>
      <c r="AI3641" s="7">
        <f t="shared" ca="1" si="504"/>
        <v>46281</v>
      </c>
      <c r="AJ3641" s="210">
        <f t="shared" ca="1" si="500"/>
        <v>4.1749999999999998</v>
      </c>
      <c r="AK3641" s="8">
        <f t="shared" ca="1" si="502"/>
        <v>1.0001159722222221</v>
      </c>
      <c r="AL3641" s="98">
        <f t="shared" ca="1" si="501"/>
        <v>4.1475708352014307</v>
      </c>
      <c r="AM3641" s="106">
        <f t="shared" ca="1" si="498"/>
        <v>35267.382009024142</v>
      </c>
      <c r="AN3641" s="10">
        <f t="shared" ca="1" si="499"/>
        <v>1.0867355331974693</v>
      </c>
      <c r="AO3641" s="158"/>
      <c r="AP3641" s="158"/>
    </row>
    <row r="3642" spans="34:42">
      <c r="AH3642" s="6">
        <f t="shared" si="503"/>
        <v>3612</v>
      </c>
      <c r="AI3642" s="7">
        <f t="shared" ca="1" si="504"/>
        <v>46282</v>
      </c>
      <c r="AJ3642" s="210">
        <f t="shared" ca="1" si="500"/>
        <v>4.1749999999999998</v>
      </c>
      <c r="AK3642" s="8">
        <f t="shared" ca="1" si="502"/>
        <v>1.0001159722222221</v>
      </c>
      <c r="AL3642" s="98">
        <f t="shared" ca="1" si="501"/>
        <v>4.1476195282107664</v>
      </c>
      <c r="AM3642" s="106">
        <f t="shared" ca="1" si="498"/>
        <v>35270.288093116775</v>
      </c>
      <c r="AN3642" s="10">
        <f t="shared" ca="1" si="499"/>
        <v>1.0867759281486311</v>
      </c>
      <c r="AO3642" s="158"/>
      <c r="AP3642" s="158"/>
    </row>
    <row r="3643" spans="34:42">
      <c r="AH3643" s="6">
        <f t="shared" si="503"/>
        <v>3613</v>
      </c>
      <c r="AI3643" s="7">
        <f t="shared" ca="1" si="504"/>
        <v>46283</v>
      </c>
      <c r="AJ3643" s="210">
        <f t="shared" ca="1" si="500"/>
        <v>4.1749999999999998</v>
      </c>
      <c r="AK3643" s="8">
        <f t="shared" ca="1" si="502"/>
        <v>1.0001159722222221</v>
      </c>
      <c r="AL3643" s="98">
        <f t="shared" ca="1" si="501"/>
        <v>4.1476681942885119</v>
      </c>
      <c r="AM3643" s="106">
        <f t="shared" ca="1" si="498"/>
        <v>35273.194416675004</v>
      </c>
      <c r="AN3643" s="10">
        <f t="shared" ca="1" si="499"/>
        <v>1.0868163007550224</v>
      </c>
      <c r="AO3643" s="158"/>
      <c r="AP3643" s="158"/>
    </row>
    <row r="3644" spans="34:42">
      <c r="AH3644" s="6">
        <f t="shared" si="503"/>
        <v>3614</v>
      </c>
      <c r="AI3644" s="7">
        <f t="shared" ca="1" si="504"/>
        <v>46284</v>
      </c>
      <c r="AJ3644" s="210">
        <f t="shared" ca="1" si="500"/>
        <v>4.1749999999999998</v>
      </c>
      <c r="AK3644" s="8">
        <f t="shared" ca="1" si="502"/>
        <v>1.0001159722222221</v>
      </c>
      <c r="AL3644" s="98">
        <f t="shared" ca="1" si="501"/>
        <v>4.1477168334570047</v>
      </c>
      <c r="AM3644" s="106">
        <f t="shared" ca="1" si="498"/>
        <v>35276.100979718569</v>
      </c>
      <c r="AN3644" s="10">
        <f t="shared" ca="1" si="499"/>
        <v>1.0868566510352062</v>
      </c>
      <c r="AO3644" s="158"/>
      <c r="AP3644" s="158"/>
    </row>
    <row r="3645" spans="34:42">
      <c r="AH3645" s="6">
        <f t="shared" si="503"/>
        <v>3615</v>
      </c>
      <c r="AI3645" s="7">
        <f t="shared" ca="1" si="504"/>
        <v>46285</v>
      </c>
      <c r="AJ3645" s="210">
        <f t="shared" ca="1" si="500"/>
        <v>4.1749999999999998</v>
      </c>
      <c r="AK3645" s="8">
        <f t="shared" ca="1" si="502"/>
        <v>1.0001159722222221</v>
      </c>
      <c r="AL3645" s="98">
        <f t="shared" ca="1" si="501"/>
        <v>4.1477654457385604</v>
      </c>
      <c r="AM3645" s="106">
        <f t="shared" ca="1" si="498"/>
        <v>35279.007782267203</v>
      </c>
      <c r="AN3645" s="10">
        <f t="shared" ca="1" si="499"/>
        <v>1.0868969790076566</v>
      </c>
      <c r="AO3645" s="158"/>
      <c r="AP3645" s="158"/>
    </row>
    <row r="3646" spans="34:42">
      <c r="AH3646" s="6">
        <f t="shared" si="503"/>
        <v>3616</v>
      </c>
      <c r="AI3646" s="7">
        <f t="shared" ca="1" si="504"/>
        <v>46286</v>
      </c>
      <c r="AJ3646" s="210">
        <f t="shared" ca="1" si="500"/>
        <v>4.1749999999999998</v>
      </c>
      <c r="AK3646" s="8">
        <f t="shared" ca="1" si="502"/>
        <v>1.0001159722222221</v>
      </c>
      <c r="AL3646" s="98">
        <f t="shared" ca="1" si="501"/>
        <v>4.1478140311554501</v>
      </c>
      <c r="AM3646" s="106">
        <f t="shared" ca="1" si="498"/>
        <v>35281.914824340638</v>
      </c>
      <c r="AN3646" s="10">
        <f t="shared" ca="1" si="499"/>
        <v>1.086937284690892</v>
      </c>
      <c r="AO3646" s="158"/>
      <c r="AP3646" s="158"/>
    </row>
    <row r="3647" spans="34:42">
      <c r="AH3647" s="6">
        <f t="shared" si="503"/>
        <v>3617</v>
      </c>
      <c r="AI3647" s="7">
        <f t="shared" ca="1" si="504"/>
        <v>46287</v>
      </c>
      <c r="AJ3647" s="210">
        <f t="shared" ca="1" si="500"/>
        <v>4.1749999999999998</v>
      </c>
      <c r="AK3647" s="8">
        <f t="shared" ca="1" si="502"/>
        <v>1.0001159722222221</v>
      </c>
      <c r="AL3647" s="98">
        <f t="shared" ca="1" si="501"/>
        <v>4.1478625897299448</v>
      </c>
      <c r="AM3647" s="106">
        <f t="shared" ca="1" si="498"/>
        <v>35284.822105958599</v>
      </c>
      <c r="AN3647" s="10">
        <f t="shared" ca="1" si="499"/>
        <v>1.0869775681033644</v>
      </c>
      <c r="AO3647" s="158"/>
      <c r="AP3647" s="158"/>
    </row>
    <row r="3648" spans="34:42">
      <c r="AH3648" s="6">
        <f t="shared" si="503"/>
        <v>3618</v>
      </c>
      <c r="AI3648" s="7">
        <f t="shared" ca="1" si="504"/>
        <v>46288</v>
      </c>
      <c r="AJ3648" s="210">
        <f t="shared" ca="1" si="500"/>
        <v>4.1749999999999998</v>
      </c>
      <c r="AK3648" s="8">
        <f t="shared" ca="1" si="502"/>
        <v>1.0001159722222221</v>
      </c>
      <c r="AL3648" s="98">
        <f t="shared" ca="1" si="501"/>
        <v>4.1479111214842934</v>
      </c>
      <c r="AM3648" s="106">
        <f t="shared" ca="1" si="498"/>
        <v>35287.729627140841</v>
      </c>
      <c r="AN3648" s="10">
        <f t="shared" ca="1" si="499"/>
        <v>1.087017829263548</v>
      </c>
      <c r="AO3648" s="158"/>
      <c r="AP3648" s="158"/>
    </row>
    <row r="3649" spans="34:42">
      <c r="AH3649" s="6">
        <f t="shared" si="503"/>
        <v>3619</v>
      </c>
      <c r="AI3649" s="7">
        <f t="shared" ca="1" si="504"/>
        <v>46289</v>
      </c>
      <c r="AJ3649" s="210">
        <f t="shared" ca="1" si="500"/>
        <v>4.1749999999999998</v>
      </c>
      <c r="AK3649" s="8">
        <f t="shared" ca="1" si="502"/>
        <v>1.0001159722222221</v>
      </c>
      <c r="AL3649" s="98">
        <f t="shared" ca="1" si="501"/>
        <v>4.1479596264407226</v>
      </c>
      <c r="AM3649" s="106">
        <f t="shared" ca="1" si="498"/>
        <v>35290.637387907103</v>
      </c>
      <c r="AN3649" s="10">
        <f t="shared" ca="1" si="499"/>
        <v>1.0870580681898945</v>
      </c>
      <c r="AO3649" s="158"/>
      <c r="AP3649" s="158"/>
    </row>
    <row r="3650" spans="34:42">
      <c r="AH3650" s="6">
        <f t="shared" si="503"/>
        <v>3620</v>
      </c>
      <c r="AI3650" s="7">
        <f t="shared" ca="1" si="504"/>
        <v>46290</v>
      </c>
      <c r="AJ3650" s="210">
        <f t="shared" ca="1" si="500"/>
        <v>4.1749999999999998</v>
      </c>
      <c r="AK3650" s="8">
        <f t="shared" ca="1" si="502"/>
        <v>1.0001159722222221</v>
      </c>
      <c r="AL3650" s="98">
        <f t="shared" ca="1" si="501"/>
        <v>4.1480081046213924</v>
      </c>
      <c r="AM3650" s="106">
        <f t="shared" ca="1" si="498"/>
        <v>35293.545388277133</v>
      </c>
      <c r="AN3650" s="10">
        <f t="shared" ca="1" si="499"/>
        <v>1.0870982849007671</v>
      </c>
      <c r="AO3650" s="158"/>
      <c r="AP3650" s="158"/>
    </row>
    <row r="3651" spans="34:42">
      <c r="AH3651" s="6">
        <f t="shared" si="503"/>
        <v>3621</v>
      </c>
      <c r="AI3651" s="7">
        <f t="shared" ca="1" si="504"/>
        <v>46291</v>
      </c>
      <c r="AJ3651" s="210">
        <f t="shared" ca="1" si="500"/>
        <v>4.1749999999999998</v>
      </c>
      <c r="AK3651" s="8">
        <f t="shared" ca="1" si="502"/>
        <v>1.0001159722222221</v>
      </c>
      <c r="AL3651" s="98">
        <f t="shared" ca="1" si="501"/>
        <v>4.148056556048485</v>
      </c>
      <c r="AM3651" s="106">
        <f t="shared" ca="1" si="498"/>
        <v>35296.453628270654</v>
      </c>
      <c r="AN3651" s="10">
        <f t="shared" ca="1" si="499"/>
        <v>1.0871384794146177</v>
      </c>
      <c r="AO3651" s="158"/>
      <c r="AP3651" s="158"/>
    </row>
    <row r="3652" spans="34:42">
      <c r="AH3652" s="6">
        <f t="shared" si="503"/>
        <v>3622</v>
      </c>
      <c r="AI3652" s="7">
        <f t="shared" ca="1" si="504"/>
        <v>46292</v>
      </c>
      <c r="AJ3652" s="210">
        <f t="shared" ca="1" si="500"/>
        <v>4.1749999999999998</v>
      </c>
      <c r="AK3652" s="8">
        <f t="shared" ca="1" si="502"/>
        <v>1.0001159722222221</v>
      </c>
      <c r="AL3652" s="98">
        <f t="shared" ca="1" si="501"/>
        <v>4.1481049807441384</v>
      </c>
      <c r="AM3652" s="106">
        <f t="shared" ca="1" si="498"/>
        <v>35299.362107907429</v>
      </c>
      <c r="AN3652" s="10">
        <f t="shared" ca="1" si="499"/>
        <v>1.087178651749765</v>
      </c>
      <c r="AO3652" s="158"/>
      <c r="AP3652" s="158"/>
    </row>
    <row r="3653" spans="34:42">
      <c r="AH3653" s="6">
        <f t="shared" si="503"/>
        <v>3623</v>
      </c>
      <c r="AI3653" s="7">
        <f t="shared" ca="1" si="504"/>
        <v>46293</v>
      </c>
      <c r="AJ3653" s="210">
        <f t="shared" ca="1" si="500"/>
        <v>4.1749999999999998</v>
      </c>
      <c r="AK3653" s="8">
        <f t="shared" ca="1" si="502"/>
        <v>1.0001159722222221</v>
      </c>
      <c r="AL3653" s="98">
        <f t="shared" ca="1" si="501"/>
        <v>4.1481533787304681</v>
      </c>
      <c r="AM3653" s="106">
        <f t="shared" ca="1" si="498"/>
        <v>35302.270827207198</v>
      </c>
      <c r="AN3653" s="10">
        <f t="shared" ca="1" si="499"/>
        <v>1.0872188019245943</v>
      </c>
      <c r="AO3653" s="158"/>
      <c r="AP3653" s="158"/>
    </row>
    <row r="3654" spans="34:42">
      <c r="AH3654" s="6">
        <f t="shared" si="503"/>
        <v>3624</v>
      </c>
      <c r="AI3654" s="7">
        <f t="shared" ca="1" si="504"/>
        <v>46294</v>
      </c>
      <c r="AJ3654" s="210">
        <f t="shared" ca="1" si="500"/>
        <v>4.1749999999999998</v>
      </c>
      <c r="AK3654" s="8">
        <f t="shared" ca="1" si="502"/>
        <v>1.0001159722222221</v>
      </c>
      <c r="AL3654" s="98">
        <f t="shared" ca="1" si="501"/>
        <v>4.1482017500295676</v>
      </c>
      <c r="AM3654" s="106">
        <f t="shared" ca="1" si="498"/>
        <v>35305.179786189707</v>
      </c>
      <c r="AN3654" s="10">
        <f t="shared" ca="1" si="499"/>
        <v>1.0872589299574242</v>
      </c>
      <c r="AO3654" s="158"/>
      <c r="AP3654" s="158"/>
    </row>
    <row r="3655" spans="34:42">
      <c r="AH3655" s="6">
        <f t="shared" si="503"/>
        <v>3625</v>
      </c>
      <c r="AI3655" s="7">
        <f t="shared" ca="1" si="504"/>
        <v>46295</v>
      </c>
      <c r="AJ3655" s="210">
        <f t="shared" ca="1" si="500"/>
        <v>4.1749999999999998</v>
      </c>
      <c r="AK3655" s="8">
        <f t="shared" ca="1" si="502"/>
        <v>1.0001159722222221</v>
      </c>
      <c r="AL3655" s="98">
        <f t="shared" ca="1" si="501"/>
        <v>4.1482500946634859</v>
      </c>
      <c r="AM3655" s="106">
        <f t="shared" ca="1" si="498"/>
        <v>35308.088984874717</v>
      </c>
      <c r="AN3655" s="10">
        <f t="shared" ca="1" si="499"/>
        <v>1.0872990358665513</v>
      </c>
      <c r="AO3655" s="158"/>
      <c r="AP3655" s="158"/>
    </row>
    <row r="3656" spans="34:42">
      <c r="AH3656" s="6">
        <f t="shared" si="503"/>
        <v>3626</v>
      </c>
      <c r="AI3656" s="7">
        <f t="shared" ca="1" si="504"/>
        <v>46296</v>
      </c>
      <c r="AJ3656" s="210">
        <f t="shared" ca="1" si="500"/>
        <v>4.1749999999999998</v>
      </c>
      <c r="AK3656" s="8">
        <f t="shared" ca="1" si="502"/>
        <v>1.0001159722222221</v>
      </c>
      <c r="AL3656" s="98">
        <f t="shared" ca="1" si="501"/>
        <v>4.1482984126542943</v>
      </c>
      <c r="AM3656" s="106">
        <f t="shared" ca="1" si="498"/>
        <v>35310.998423281962</v>
      </c>
      <c r="AN3656" s="10">
        <f t="shared" ca="1" si="499"/>
        <v>1.0873391196702942</v>
      </c>
      <c r="AO3656" s="158"/>
      <c r="AP3656" s="158"/>
    </row>
    <row r="3657" spans="34:42">
      <c r="AH3657" s="6">
        <f t="shared" si="503"/>
        <v>3627</v>
      </c>
      <c r="AI3657" s="7">
        <f t="shared" ca="1" si="504"/>
        <v>46297</v>
      </c>
      <c r="AJ3657" s="210">
        <f t="shared" ca="1" si="500"/>
        <v>4.1749999999999998</v>
      </c>
      <c r="AK3657" s="8">
        <f t="shared" ca="1" si="502"/>
        <v>1.0001159722222221</v>
      </c>
      <c r="AL3657" s="98">
        <f t="shared" ca="1" si="501"/>
        <v>4.1483467040239974</v>
      </c>
      <c r="AM3657" s="106">
        <f t="shared" ca="1" si="498"/>
        <v>35313.908101431218</v>
      </c>
      <c r="AN3657" s="10">
        <f t="shared" ca="1" si="499"/>
        <v>1.0873791813869049</v>
      </c>
      <c r="AO3657" s="158"/>
      <c r="AP3657" s="158"/>
    </row>
    <row r="3658" spans="34:42">
      <c r="AH3658" s="6">
        <f t="shared" si="503"/>
        <v>3628</v>
      </c>
      <c r="AI3658" s="7">
        <f t="shared" ca="1" si="504"/>
        <v>46298</v>
      </c>
      <c r="AJ3658" s="210">
        <f t="shared" ca="1" si="500"/>
        <v>4.1749999999999998</v>
      </c>
      <c r="AK3658" s="8">
        <f t="shared" ca="1" si="502"/>
        <v>1.0001159722222221</v>
      </c>
      <c r="AL3658" s="98">
        <f t="shared" ca="1" si="501"/>
        <v>4.1483949687945776</v>
      </c>
      <c r="AM3658" s="106">
        <f t="shared" ca="1" si="498"/>
        <v>35316.818019342223</v>
      </c>
      <c r="AN3658" s="10">
        <f t="shared" ca="1" si="499"/>
        <v>1.0874192210346356</v>
      </c>
      <c r="AO3658" s="158"/>
      <c r="AP3658" s="158"/>
    </row>
    <row r="3659" spans="34:42">
      <c r="AH3659" s="6">
        <f t="shared" si="503"/>
        <v>3629</v>
      </c>
      <c r="AI3659" s="7">
        <f t="shared" ca="1" si="504"/>
        <v>46299</v>
      </c>
      <c r="AJ3659" s="210">
        <f t="shared" ca="1" si="500"/>
        <v>4.1749999999999998</v>
      </c>
      <c r="AK3659" s="8">
        <f t="shared" ca="1" si="502"/>
        <v>1.0001159722222221</v>
      </c>
      <c r="AL3659" s="98">
        <f t="shared" ca="1" si="501"/>
        <v>4.1484432069880173</v>
      </c>
      <c r="AM3659" s="106">
        <f t="shared" ca="1" si="498"/>
        <v>35319.728177034733</v>
      </c>
      <c r="AN3659" s="10">
        <f t="shared" ca="1" si="499"/>
        <v>1.0874592386317161</v>
      </c>
      <c r="AO3659" s="158"/>
      <c r="AP3659" s="158"/>
    </row>
    <row r="3660" spans="34:42">
      <c r="AH3660" s="6">
        <f t="shared" si="503"/>
        <v>3630</v>
      </c>
      <c r="AI3660" s="7">
        <f t="shared" ca="1" si="504"/>
        <v>46300</v>
      </c>
      <c r="AJ3660" s="210">
        <f t="shared" ca="1" si="500"/>
        <v>4.1749999999999998</v>
      </c>
      <c r="AK3660" s="8">
        <f t="shared" ca="1" si="502"/>
        <v>1.0001159722222221</v>
      </c>
      <c r="AL3660" s="98">
        <f t="shared" ca="1" si="501"/>
        <v>4.1484914186262767</v>
      </c>
      <c r="AM3660" s="106">
        <f t="shared" ca="1" si="498"/>
        <v>35322.638574528522</v>
      </c>
      <c r="AN3660" s="10">
        <f t="shared" ca="1" si="499"/>
        <v>1.0874992341963763</v>
      </c>
      <c r="AO3660" s="158"/>
      <c r="AP3660" s="158"/>
    </row>
    <row r="3661" spans="34:42">
      <c r="AH3661" s="6">
        <f t="shared" si="503"/>
        <v>3631</v>
      </c>
      <c r="AI3661" s="7">
        <f t="shared" ca="1" si="504"/>
        <v>46301</v>
      </c>
      <c r="AJ3661" s="210">
        <f t="shared" ca="1" si="500"/>
        <v>4.1749999999999998</v>
      </c>
      <c r="AK3661" s="8">
        <f t="shared" ca="1" si="502"/>
        <v>1.0001159722222221</v>
      </c>
      <c r="AL3661" s="98">
        <f t="shared" ca="1" si="501"/>
        <v>4.1485396037312494</v>
      </c>
      <c r="AM3661" s="106">
        <f t="shared" ca="1" si="498"/>
        <v>35325.549211843339</v>
      </c>
      <c r="AN3661" s="10">
        <f t="shared" ca="1" si="499"/>
        <v>1.0875392077467794</v>
      </c>
      <c r="AO3661" s="158"/>
      <c r="AP3661" s="158"/>
    </row>
    <row r="3662" spans="34:42">
      <c r="AH3662" s="6">
        <f t="shared" si="503"/>
        <v>3632</v>
      </c>
      <c r="AI3662" s="7">
        <f t="shared" ca="1" si="504"/>
        <v>46302</v>
      </c>
      <c r="AJ3662" s="210">
        <f t="shared" ca="1" si="500"/>
        <v>4.1749999999999998</v>
      </c>
      <c r="AK3662" s="8">
        <f t="shared" ca="1" si="502"/>
        <v>1.0001159722222221</v>
      </c>
      <c r="AL3662" s="98">
        <f t="shared" ca="1" si="501"/>
        <v>4.1485877623248513</v>
      </c>
      <c r="AM3662" s="106">
        <f t="shared" ca="1" si="498"/>
        <v>35328.460088998945</v>
      </c>
      <c r="AN3662" s="10">
        <f t="shared" ca="1" si="499"/>
        <v>1.0875791593011108</v>
      </c>
      <c r="AO3662" s="158"/>
      <c r="AP3662" s="158"/>
    </row>
    <row r="3663" spans="34:42">
      <c r="AH3663" s="6">
        <f t="shared" si="503"/>
        <v>3633</v>
      </c>
      <c r="AI3663" s="7">
        <f t="shared" ca="1" si="504"/>
        <v>46303</v>
      </c>
      <c r="AJ3663" s="210">
        <f t="shared" ca="1" si="500"/>
        <v>4.1749999999999998</v>
      </c>
      <c r="AK3663" s="8">
        <f t="shared" ca="1" si="502"/>
        <v>1.0001159722222221</v>
      </c>
      <c r="AL3663" s="98">
        <f t="shared" ca="1" si="501"/>
        <v>4.1486358944289536</v>
      </c>
      <c r="AM3663" s="106">
        <f t="shared" ca="1" si="498"/>
        <v>35331.371206015108</v>
      </c>
      <c r="AN3663" s="10">
        <f t="shared" ca="1" si="499"/>
        <v>1.0876190888775117</v>
      </c>
      <c r="AO3663" s="158"/>
      <c r="AP3663" s="158"/>
    </row>
    <row r="3664" spans="34:42">
      <c r="AH3664" s="6">
        <f t="shared" si="503"/>
        <v>3634</v>
      </c>
      <c r="AI3664" s="7">
        <f t="shared" ca="1" si="504"/>
        <v>46304</v>
      </c>
      <c r="AJ3664" s="210">
        <f t="shared" ca="1" si="500"/>
        <v>4.1749999999999998</v>
      </c>
      <c r="AK3664" s="8">
        <f t="shared" ca="1" si="502"/>
        <v>1.0001159722222221</v>
      </c>
      <c r="AL3664" s="98">
        <f t="shared" ca="1" si="501"/>
        <v>4.1486840000654057</v>
      </c>
      <c r="AM3664" s="106">
        <f t="shared" ca="1" si="498"/>
        <v>35334.282562911583</v>
      </c>
      <c r="AN3664" s="10">
        <f t="shared" ca="1" si="499"/>
        <v>1.087658996494123</v>
      </c>
      <c r="AO3664" s="158"/>
      <c r="AP3664" s="158"/>
    </row>
    <row r="3665" spans="34:42">
      <c r="AH3665" s="6">
        <f t="shared" si="503"/>
        <v>3635</v>
      </c>
      <c r="AI3665" s="7">
        <f t="shared" ca="1" si="504"/>
        <v>46305</v>
      </c>
      <c r="AJ3665" s="210">
        <f t="shared" ca="1" si="500"/>
        <v>4.1749999999999998</v>
      </c>
      <c r="AK3665" s="8">
        <f t="shared" ca="1" si="502"/>
        <v>1.0001159722222221</v>
      </c>
      <c r="AL3665" s="98">
        <f t="shared" ca="1" si="501"/>
        <v>4.1487320792560345</v>
      </c>
      <c r="AM3665" s="106">
        <f t="shared" ca="1" si="498"/>
        <v>35337.194159708153</v>
      </c>
      <c r="AN3665" s="10">
        <f t="shared" ca="1" si="499"/>
        <v>1.0876988821690636</v>
      </c>
      <c r="AO3665" s="158"/>
      <c r="AP3665" s="158"/>
    </row>
    <row r="3666" spans="34:42">
      <c r="AH3666" s="6">
        <f t="shared" si="503"/>
        <v>3636</v>
      </c>
      <c r="AI3666" s="7">
        <f t="shared" ca="1" si="504"/>
        <v>46306</v>
      </c>
      <c r="AJ3666" s="210">
        <f t="shared" ca="1" si="500"/>
        <v>4.1749999999999998</v>
      </c>
      <c r="AK3666" s="8">
        <f t="shared" ca="1" si="502"/>
        <v>1.0001159722222221</v>
      </c>
      <c r="AL3666" s="98">
        <f t="shared" ca="1" si="501"/>
        <v>4.1487801320226447</v>
      </c>
      <c r="AM3666" s="106">
        <f t="shared" ca="1" si="498"/>
        <v>35340.105996424572</v>
      </c>
      <c r="AN3666" s="10">
        <f t="shared" ca="1" si="499"/>
        <v>1.087738745920408</v>
      </c>
      <c r="AO3666" s="158"/>
      <c r="AP3666" s="158"/>
    </row>
    <row r="3667" spans="34:42">
      <c r="AH3667" s="6">
        <f t="shared" si="503"/>
        <v>3637</v>
      </c>
      <c r="AI3667" s="7">
        <f t="shared" ca="1" si="504"/>
        <v>46307</v>
      </c>
      <c r="AJ3667" s="210">
        <f t="shared" ca="1" si="500"/>
        <v>4.1749999999999998</v>
      </c>
      <c r="AK3667" s="8">
        <f t="shared" ca="1" si="502"/>
        <v>1.0001159722222221</v>
      </c>
      <c r="AL3667" s="98">
        <f t="shared" ca="1" si="501"/>
        <v>4.148828158387019</v>
      </c>
      <c r="AM3667" s="106">
        <f t="shared" ca="1" si="498"/>
        <v>35343.01807308061</v>
      </c>
      <c r="AN3667" s="10">
        <f t="shared" ca="1" si="499"/>
        <v>1.0877785877662527</v>
      </c>
      <c r="AO3667" s="158"/>
      <c r="AP3667" s="158"/>
    </row>
    <row r="3668" spans="34:42">
      <c r="AH3668" s="6">
        <f t="shared" si="503"/>
        <v>3638</v>
      </c>
      <c r="AI3668" s="7">
        <f t="shared" ca="1" si="504"/>
        <v>46308</v>
      </c>
      <c r="AJ3668" s="210">
        <f t="shared" ca="1" si="500"/>
        <v>4.1749999999999998</v>
      </c>
      <c r="AK3668" s="8">
        <f t="shared" ca="1" si="502"/>
        <v>1.0001159722222221</v>
      </c>
      <c r="AL3668" s="98">
        <f t="shared" ca="1" si="501"/>
        <v>4.1488761583708955</v>
      </c>
      <c r="AM3668" s="106">
        <f t="shared" ca="1" si="498"/>
        <v>35345.930389696055</v>
      </c>
      <c r="AN3668" s="10">
        <f t="shared" ca="1" si="499"/>
        <v>1.0878184077246056</v>
      </c>
      <c r="AO3668" s="158"/>
      <c r="AP3668" s="158"/>
    </row>
    <row r="3669" spans="34:42">
      <c r="AH3669" s="6">
        <f t="shared" si="503"/>
        <v>3639</v>
      </c>
      <c r="AI3669" s="7">
        <f t="shared" ca="1" si="504"/>
        <v>46309</v>
      </c>
      <c r="AJ3669" s="210">
        <f t="shared" ca="1" si="500"/>
        <v>4.1749999999999998</v>
      </c>
      <c r="AK3669" s="8">
        <f t="shared" ca="1" si="502"/>
        <v>1.0001159722222221</v>
      </c>
      <c r="AL3669" s="98">
        <f t="shared" ca="1" si="501"/>
        <v>4.1489241319960124</v>
      </c>
      <c r="AM3669" s="106">
        <f t="shared" ca="1" si="498"/>
        <v>35348.842946290657</v>
      </c>
      <c r="AN3669" s="10">
        <f t="shared" ca="1" si="499"/>
        <v>1.0878582058135411</v>
      </c>
      <c r="AO3669" s="158"/>
      <c r="AP3669" s="158"/>
    </row>
    <row r="3670" spans="34:42">
      <c r="AH3670" s="6">
        <f t="shared" si="503"/>
        <v>3640</v>
      </c>
      <c r="AI3670" s="7">
        <f t="shared" ca="1" si="504"/>
        <v>46310</v>
      </c>
      <c r="AJ3670" s="210">
        <f t="shared" ca="1" si="500"/>
        <v>4.1749999999999998</v>
      </c>
      <c r="AK3670" s="8">
        <f t="shared" ca="1" si="502"/>
        <v>1.0001159722222221</v>
      </c>
      <c r="AL3670" s="98">
        <f t="shared" ca="1" si="501"/>
        <v>4.1489720792840634</v>
      </c>
      <c r="AM3670" s="106">
        <f t="shared" ca="1" si="498"/>
        <v>35351.755742884205</v>
      </c>
      <c r="AN3670" s="10">
        <f t="shared" ca="1" si="499"/>
        <v>1.0878979820510226</v>
      </c>
      <c r="AO3670" s="158"/>
      <c r="AP3670" s="158"/>
    </row>
    <row r="3671" spans="34:42">
      <c r="AH3671" s="6">
        <f t="shared" si="503"/>
        <v>3641</v>
      </c>
      <c r="AI3671" s="7">
        <f t="shared" ca="1" si="504"/>
        <v>46311</v>
      </c>
      <c r="AJ3671" s="210">
        <f t="shared" ca="1" si="500"/>
        <v>4.1749999999999998</v>
      </c>
      <c r="AK3671" s="8">
        <f t="shared" ca="1" si="502"/>
        <v>1.0001159722222221</v>
      </c>
      <c r="AL3671" s="98">
        <f t="shared" ca="1" si="501"/>
        <v>4.1490200002567423</v>
      </c>
      <c r="AM3671" s="106">
        <f t="shared" ca="1" si="498"/>
        <v>35354.668779496475</v>
      </c>
      <c r="AN3671" s="10">
        <f t="shared" ca="1" si="499"/>
        <v>1.0879377364550802</v>
      </c>
      <c r="AO3671" s="158"/>
      <c r="AP3671" s="158"/>
    </row>
    <row r="3672" spans="34:42">
      <c r="AH3672" s="6">
        <f t="shared" si="503"/>
        <v>3642</v>
      </c>
      <c r="AI3672" s="7">
        <f t="shared" ca="1" si="504"/>
        <v>46312</v>
      </c>
      <c r="AJ3672" s="210">
        <f t="shared" ca="1" si="500"/>
        <v>4.1749999999999998</v>
      </c>
      <c r="AK3672" s="8">
        <f t="shared" ca="1" si="502"/>
        <v>1.0001159722222221</v>
      </c>
      <c r="AL3672" s="98">
        <f t="shared" ca="1" si="501"/>
        <v>4.1490678949357207</v>
      </c>
      <c r="AM3672" s="106">
        <f t="shared" ca="1" si="498"/>
        <v>35357.582056147236</v>
      </c>
      <c r="AN3672" s="10">
        <f t="shared" ca="1" si="499"/>
        <v>1.0879774690436772</v>
      </c>
      <c r="AO3672" s="158"/>
      <c r="AP3672" s="158"/>
    </row>
    <row r="3673" spans="34:42">
      <c r="AH3673" s="6">
        <f t="shared" si="503"/>
        <v>3643</v>
      </c>
      <c r="AI3673" s="7">
        <f t="shared" ca="1" si="504"/>
        <v>46313</v>
      </c>
      <c r="AJ3673" s="210">
        <f t="shared" ca="1" si="500"/>
        <v>4.1749999999999998</v>
      </c>
      <c r="AK3673" s="8">
        <f t="shared" ca="1" si="502"/>
        <v>1.0001159722222221</v>
      </c>
      <c r="AL3673" s="98">
        <f t="shared" ca="1" si="501"/>
        <v>4.1491157633426257</v>
      </c>
      <c r="AM3673" s="106">
        <f t="shared" ca="1" si="498"/>
        <v>35360.495572856278</v>
      </c>
      <c r="AN3673" s="10">
        <f t="shared" ca="1" si="499"/>
        <v>1.0880171798347771</v>
      </c>
      <c r="AO3673" s="158"/>
      <c r="AP3673" s="158"/>
    </row>
    <row r="3674" spans="34:42">
      <c r="AH3674" s="6">
        <f t="shared" si="503"/>
        <v>3644</v>
      </c>
      <c r="AI3674" s="7">
        <f t="shared" ca="1" si="504"/>
        <v>46314</v>
      </c>
      <c r="AJ3674" s="210">
        <f t="shared" ca="1" si="500"/>
        <v>4.1749999999999998</v>
      </c>
      <c r="AK3674" s="8">
        <f t="shared" ca="1" si="502"/>
        <v>1.0001159722222221</v>
      </c>
      <c r="AL3674" s="98">
        <f t="shared" ca="1" si="501"/>
        <v>4.1491636054990622</v>
      </c>
      <c r="AM3674" s="106">
        <f t="shared" ca="1" si="498"/>
        <v>35363.409329643378</v>
      </c>
      <c r="AN3674" s="10">
        <f t="shared" ca="1" si="499"/>
        <v>1.0880568688462988</v>
      </c>
      <c r="AO3674" s="158"/>
      <c r="AP3674" s="158"/>
    </row>
    <row r="3675" spans="34:42">
      <c r="AH3675" s="6">
        <f t="shared" si="503"/>
        <v>3645</v>
      </c>
      <c r="AI3675" s="7">
        <f t="shared" ca="1" si="504"/>
        <v>46315</v>
      </c>
      <c r="AJ3675" s="210">
        <f t="shared" ca="1" si="500"/>
        <v>4.1749999999999998</v>
      </c>
      <c r="AK3675" s="8">
        <f t="shared" ca="1" si="502"/>
        <v>1.0001159722222221</v>
      </c>
      <c r="AL3675" s="98">
        <f t="shared" ca="1" si="501"/>
        <v>4.1492114214266129</v>
      </c>
      <c r="AM3675" s="106">
        <f t="shared" ca="1" si="498"/>
        <v>35366.323326528312</v>
      </c>
      <c r="AN3675" s="10">
        <f t="shared" ca="1" si="499"/>
        <v>1.0880965360961614</v>
      </c>
      <c r="AO3675" s="158"/>
      <c r="AP3675" s="158"/>
    </row>
    <row r="3676" spans="34:42">
      <c r="AH3676" s="6">
        <f t="shared" si="503"/>
        <v>3646</v>
      </c>
      <c r="AI3676" s="7">
        <f t="shared" ca="1" si="504"/>
        <v>46316</v>
      </c>
      <c r="AJ3676" s="210">
        <f t="shared" ca="1" si="500"/>
        <v>4.1749999999999998</v>
      </c>
      <c r="AK3676" s="8">
        <f t="shared" ca="1" si="502"/>
        <v>1.0001159722222221</v>
      </c>
      <c r="AL3676" s="98">
        <f t="shared" ca="1" si="501"/>
        <v>4.1492592111468385</v>
      </c>
      <c r="AM3676" s="106">
        <f t="shared" ca="1" si="498"/>
        <v>35369.237563530878</v>
      </c>
      <c r="AN3676" s="10">
        <f t="shared" ca="1" si="499"/>
        <v>1.0881361816022173</v>
      </c>
      <c r="AO3676" s="158"/>
      <c r="AP3676" s="158"/>
    </row>
    <row r="3677" spans="34:42">
      <c r="AH3677" s="6">
        <f t="shared" si="503"/>
        <v>3647</v>
      </c>
      <c r="AI3677" s="7">
        <f t="shared" ca="1" si="504"/>
        <v>46317</v>
      </c>
      <c r="AJ3677" s="210">
        <f t="shared" ca="1" si="500"/>
        <v>4.1749999999999998</v>
      </c>
      <c r="AK3677" s="8">
        <f t="shared" ca="1" si="502"/>
        <v>1.0001159722222221</v>
      </c>
      <c r="AL3677" s="98">
        <f t="shared" ca="1" si="501"/>
        <v>4.1493069746812772</v>
      </c>
      <c r="AM3677" s="106">
        <f t="shared" ca="1" si="498"/>
        <v>35372.152040670851</v>
      </c>
      <c r="AN3677" s="10">
        <f t="shared" ca="1" si="499"/>
        <v>1.0881758053823853</v>
      </c>
      <c r="AO3677" s="158"/>
      <c r="AP3677" s="158"/>
    </row>
    <row r="3678" spans="34:42">
      <c r="AH3678" s="6">
        <f t="shared" si="503"/>
        <v>3648</v>
      </c>
      <c r="AI3678" s="7">
        <f t="shared" ca="1" si="504"/>
        <v>46318</v>
      </c>
      <c r="AJ3678" s="210">
        <f t="shared" ca="1" si="500"/>
        <v>4.1749999999999998</v>
      </c>
      <c r="AK3678" s="8">
        <f t="shared" ca="1" si="502"/>
        <v>1.0001159722222221</v>
      </c>
      <c r="AL3678" s="98">
        <f t="shared" ca="1" si="501"/>
        <v>4.1493547120514673</v>
      </c>
      <c r="AM3678" s="106">
        <f t="shared" ca="1" si="498"/>
        <v>35375.066757968016</v>
      </c>
      <c r="AN3678" s="10">
        <f t="shared" ca="1" si="499"/>
        <v>1.0882154074545181</v>
      </c>
      <c r="AO3678" s="158"/>
      <c r="AP3678" s="158"/>
    </row>
    <row r="3679" spans="34:42">
      <c r="AH3679" s="6">
        <f t="shared" si="503"/>
        <v>3649</v>
      </c>
      <c r="AI3679" s="7">
        <f t="shared" ca="1" si="504"/>
        <v>46319</v>
      </c>
      <c r="AJ3679" s="210">
        <f t="shared" ca="1" si="500"/>
        <v>4.1749999999999998</v>
      </c>
      <c r="AK3679" s="8">
        <f t="shared" ca="1" si="502"/>
        <v>1.0001159722222221</v>
      </c>
      <c r="AL3679" s="98">
        <f t="shared" ca="1" si="501"/>
        <v>4.1494024232788806</v>
      </c>
      <c r="AM3679" s="106">
        <f t="shared" ref="AM3679:AM3742" ca="1" si="505">Geom_Interp(AI3679,$AZ$2:$AZ$109,$BA$2:$BA$109)</f>
        <v>35377.981715442183</v>
      </c>
      <c r="AN3679" s="10">
        <f t="shared" ref="AN3679:AN3742" ca="1" si="506">100*(((1+AL3679/100)^(AH3679/365)*$AM$29/AM3679)^(365/AH3679)-1)</f>
        <v>1.0882549878364456</v>
      </c>
      <c r="AO3679" s="158"/>
      <c r="AP3679" s="158"/>
    </row>
    <row r="3680" spans="34:42">
      <c r="AH3680" s="6">
        <f t="shared" si="503"/>
        <v>3650</v>
      </c>
      <c r="AI3680" s="7">
        <f t="shared" ca="1" si="504"/>
        <v>46320</v>
      </c>
      <c r="AJ3680" s="210">
        <f t="shared" ref="AJ3680:AJ3743" ca="1" si="507">IF(AH3680&lt;365,VLOOKUP(LOOKUP(AI3680,$AI$2:$AI$23),$AI$2:$AK$23,3,0),Lin_Interp(AH3680,$AJ$2:$AJ$23,$AK$2:$AK$23))</f>
        <v>4.1749999999999998</v>
      </c>
      <c r="AK3680" s="8">
        <f t="shared" ca="1" si="502"/>
        <v>1.0001159722222221</v>
      </c>
      <c r="AL3680" s="98">
        <f t="shared" ca="1" si="501"/>
        <v>4.1494501083849888</v>
      </c>
      <c r="AM3680" s="106">
        <f t="shared" ca="1" si="505"/>
        <v>35380.896913113116</v>
      </c>
      <c r="AN3680" s="10">
        <f t="shared" ca="1" si="506"/>
        <v>1.0882945465459537</v>
      </c>
      <c r="AO3680" s="158"/>
      <c r="AP3680" s="158"/>
    </row>
    <row r="3681" spans="34:42">
      <c r="AH3681" s="6">
        <f t="shared" si="503"/>
        <v>3651</v>
      </c>
      <c r="AI3681" s="7">
        <f t="shared" ca="1" si="504"/>
        <v>46321</v>
      </c>
      <c r="AJ3681" s="210">
        <f t="shared" ca="1" si="507"/>
        <v>4.1749999999999998</v>
      </c>
      <c r="AK3681" s="8">
        <f t="shared" ca="1" si="502"/>
        <v>1.0001159722222221</v>
      </c>
      <c r="AL3681" s="98">
        <f t="shared" ref="AL3681:AL3744" ca="1" si="508">100*(((1+AL3680/100)^(AH3680/365)*AK3681)^(365/AH3681)-1)</f>
        <v>4.1494977673912636</v>
      </c>
      <c r="AM3681" s="106">
        <f t="shared" ca="1" si="505"/>
        <v>35383.812351000626</v>
      </c>
      <c r="AN3681" s="10">
        <f t="shared" ca="1" si="506"/>
        <v>1.0883340836008726</v>
      </c>
      <c r="AO3681" s="158"/>
      <c r="AP3681" s="158"/>
    </row>
    <row r="3682" spans="34:42">
      <c r="AH3682" s="6">
        <f t="shared" si="503"/>
        <v>3652</v>
      </c>
      <c r="AI3682" s="7">
        <f t="shared" ca="1" si="504"/>
        <v>46322</v>
      </c>
      <c r="AJ3682" s="210">
        <f t="shared" ca="1" si="507"/>
        <v>4.1749999999999998</v>
      </c>
      <c r="AK3682" s="8">
        <f t="shared" ca="1" si="502"/>
        <v>1.0001159722222221</v>
      </c>
      <c r="AL3682" s="98">
        <f t="shared" ca="1" si="508"/>
        <v>4.1495454003190879</v>
      </c>
      <c r="AM3682" s="106">
        <f t="shared" ca="1" si="505"/>
        <v>35386.728029124497</v>
      </c>
      <c r="AN3682" s="10">
        <f t="shared" ca="1" si="506"/>
        <v>1.0883735990189658</v>
      </c>
      <c r="AO3682" s="158"/>
      <c r="AP3682" s="158"/>
    </row>
    <row r="3683" spans="34:42">
      <c r="AH3683" s="6">
        <f t="shared" si="503"/>
        <v>3653</v>
      </c>
      <c r="AI3683" s="7">
        <f t="shared" ca="1" si="504"/>
        <v>46323</v>
      </c>
      <c r="AJ3683" s="210">
        <f t="shared" ca="1" si="507"/>
        <v>4.1749999999999998</v>
      </c>
      <c r="AK3683" s="8">
        <f t="shared" ca="1" si="502"/>
        <v>1.0001159722222221</v>
      </c>
      <c r="AL3683" s="98">
        <f t="shared" ca="1" si="508"/>
        <v>4.149593007189889</v>
      </c>
      <c r="AM3683" s="106">
        <f t="shared" ca="1" si="505"/>
        <v>35389.643947504534</v>
      </c>
      <c r="AN3683" s="10">
        <f t="shared" ca="1" si="506"/>
        <v>1.0884130928179969</v>
      </c>
      <c r="AO3683" s="158"/>
      <c r="AP3683" s="158"/>
    </row>
    <row r="3684" spans="34:42">
      <c r="AH3684" s="6">
        <f t="shared" si="503"/>
        <v>3654</v>
      </c>
      <c r="AI3684" s="7">
        <f t="shared" ca="1" si="504"/>
        <v>46324</v>
      </c>
      <c r="AJ3684" s="210">
        <f t="shared" ca="1" si="507"/>
        <v>4.1749999999999998</v>
      </c>
      <c r="AK3684" s="8">
        <f t="shared" ref="AK3684:AK3747" ca="1" si="509">+(1+AJ3684/36000)</f>
        <v>1.0001159722222221</v>
      </c>
      <c r="AL3684" s="98">
        <f t="shared" ca="1" si="508"/>
        <v>4.1496405880250276</v>
      </c>
      <c r="AM3684" s="106">
        <f t="shared" ca="1" si="505"/>
        <v>35392.560106160527</v>
      </c>
      <c r="AN3684" s="10">
        <f t="shared" ca="1" si="506"/>
        <v>1.0884525650157073</v>
      </c>
      <c r="AO3684" s="158"/>
      <c r="AP3684" s="158"/>
    </row>
    <row r="3685" spans="34:42">
      <c r="AH3685" s="6">
        <f t="shared" si="503"/>
        <v>3655</v>
      </c>
      <c r="AI3685" s="7">
        <f t="shared" ca="1" si="504"/>
        <v>46325</v>
      </c>
      <c r="AJ3685" s="210">
        <f t="shared" ca="1" si="507"/>
        <v>4.1749999999999998</v>
      </c>
      <c r="AK3685" s="8">
        <f t="shared" ca="1" si="509"/>
        <v>1.0001159722222221</v>
      </c>
      <c r="AL3685" s="98">
        <f t="shared" ca="1" si="508"/>
        <v>4.1496881428458643</v>
      </c>
      <c r="AM3685" s="106">
        <f t="shared" ca="1" si="505"/>
        <v>35395.476505112274</v>
      </c>
      <c r="AN3685" s="10">
        <f t="shared" ca="1" si="506"/>
        <v>1.0884920156297717</v>
      </c>
      <c r="AO3685" s="158"/>
      <c r="AP3685" s="158"/>
    </row>
    <row r="3686" spans="34:42">
      <c r="AH3686" s="6">
        <f t="shared" si="503"/>
        <v>3656</v>
      </c>
      <c r="AI3686" s="7">
        <f t="shared" ca="1" si="504"/>
        <v>46326</v>
      </c>
      <c r="AJ3686" s="210">
        <f t="shared" ca="1" si="507"/>
        <v>4.1749999999999998</v>
      </c>
      <c r="AK3686" s="8">
        <f t="shared" ca="1" si="509"/>
        <v>1.0001159722222221</v>
      </c>
      <c r="AL3686" s="98">
        <f t="shared" ca="1" si="508"/>
        <v>4.1497356716737155</v>
      </c>
      <c r="AM3686" s="106">
        <f t="shared" ca="1" si="505"/>
        <v>35398.393144379588</v>
      </c>
      <c r="AN3686" s="10">
        <f t="shared" ca="1" si="506"/>
        <v>1.0885314446779315</v>
      </c>
      <c r="AO3686" s="158"/>
      <c r="AP3686" s="158"/>
    </row>
    <row r="3687" spans="34:42">
      <c r="AH3687" s="6">
        <f t="shared" si="503"/>
        <v>3657</v>
      </c>
      <c r="AI3687" s="7">
        <f t="shared" ca="1" si="504"/>
        <v>46327</v>
      </c>
      <c r="AJ3687" s="210">
        <f t="shared" ca="1" si="507"/>
        <v>4.1749999999999998</v>
      </c>
      <c r="AK3687" s="8">
        <f t="shared" ca="1" si="509"/>
        <v>1.0001159722222221</v>
      </c>
      <c r="AL3687" s="98">
        <f t="shared" ca="1" si="508"/>
        <v>4.1497831745298974</v>
      </c>
      <c r="AM3687" s="106">
        <f t="shared" ca="1" si="505"/>
        <v>35401.31002398226</v>
      </c>
      <c r="AN3687" s="10">
        <f t="shared" ca="1" si="506"/>
        <v>1.0885708521778614</v>
      </c>
      <c r="AO3687" s="158"/>
      <c r="AP3687" s="158"/>
    </row>
    <row r="3688" spans="34:42">
      <c r="AH3688" s="6">
        <f t="shared" si="503"/>
        <v>3658</v>
      </c>
      <c r="AI3688" s="7">
        <f t="shared" ca="1" si="504"/>
        <v>46328</v>
      </c>
      <c r="AJ3688" s="210">
        <f t="shared" ca="1" si="507"/>
        <v>4.1749999999999998</v>
      </c>
      <c r="AK3688" s="8">
        <f t="shared" ca="1" si="509"/>
        <v>1.0001159722222221</v>
      </c>
      <c r="AL3688" s="98">
        <f t="shared" ca="1" si="508"/>
        <v>4.1498306514357042</v>
      </c>
      <c r="AM3688" s="106">
        <f t="shared" ca="1" si="505"/>
        <v>35404.227143940094</v>
      </c>
      <c r="AN3688" s="10">
        <f t="shared" ca="1" si="506"/>
        <v>1.0886102381472362</v>
      </c>
      <c r="AO3688" s="158"/>
      <c r="AP3688" s="158"/>
    </row>
    <row r="3689" spans="34:42">
      <c r="AH3689" s="6">
        <f t="shared" si="503"/>
        <v>3659</v>
      </c>
      <c r="AI3689" s="7">
        <f t="shared" ca="1" si="504"/>
        <v>46329</v>
      </c>
      <c r="AJ3689" s="210">
        <f t="shared" ca="1" si="507"/>
        <v>4.1749999999999998</v>
      </c>
      <c r="AK3689" s="8">
        <f t="shared" ca="1" si="509"/>
        <v>1.0001159722222221</v>
      </c>
      <c r="AL3689" s="98">
        <f t="shared" ca="1" si="508"/>
        <v>4.1498781024123854</v>
      </c>
      <c r="AM3689" s="106">
        <f t="shared" ca="1" si="505"/>
        <v>35407.144504272896</v>
      </c>
      <c r="AN3689" s="10">
        <f t="shared" ca="1" si="506"/>
        <v>1.0886496026036641</v>
      </c>
      <c r="AO3689" s="158"/>
      <c r="AP3689" s="158"/>
    </row>
    <row r="3690" spans="34:42">
      <c r="AH3690" s="6">
        <f t="shared" si="503"/>
        <v>3660</v>
      </c>
      <c r="AI3690" s="7">
        <f t="shared" ca="1" si="504"/>
        <v>46330</v>
      </c>
      <c r="AJ3690" s="210">
        <f t="shared" ca="1" si="507"/>
        <v>4.1749999999999998</v>
      </c>
      <c r="AK3690" s="8">
        <f t="shared" ca="1" si="509"/>
        <v>1.0001159722222221</v>
      </c>
      <c r="AL3690" s="98">
        <f t="shared" ca="1" si="508"/>
        <v>4.1499255274811686</v>
      </c>
      <c r="AM3690" s="106">
        <f t="shared" ca="1" si="505"/>
        <v>35410.062105000485</v>
      </c>
      <c r="AN3690" s="10">
        <f t="shared" ca="1" si="506"/>
        <v>1.0886889455647752</v>
      </c>
      <c r="AO3690" s="158"/>
      <c r="AP3690" s="158"/>
    </row>
    <row r="3691" spans="34:42">
      <c r="AH3691" s="6">
        <f t="shared" si="503"/>
        <v>3661</v>
      </c>
      <c r="AI3691" s="7">
        <f t="shared" ca="1" si="504"/>
        <v>46331</v>
      </c>
      <c r="AJ3691" s="210">
        <f t="shared" ca="1" si="507"/>
        <v>4.1749999999999998</v>
      </c>
      <c r="AK3691" s="8">
        <f t="shared" ca="1" si="509"/>
        <v>1.0001159722222221</v>
      </c>
      <c r="AL3691" s="98">
        <f t="shared" ca="1" si="508"/>
        <v>4.149972926663259</v>
      </c>
      <c r="AM3691" s="106">
        <f t="shared" ca="1" si="505"/>
        <v>35412.979946142652</v>
      </c>
      <c r="AN3691" s="10">
        <f t="shared" ca="1" si="506"/>
        <v>1.0887282670481557</v>
      </c>
      <c r="AO3691" s="158"/>
      <c r="AP3691" s="158"/>
    </row>
    <row r="3692" spans="34:42">
      <c r="AH3692" s="6">
        <f t="shared" si="503"/>
        <v>3662</v>
      </c>
      <c r="AI3692" s="7">
        <f t="shared" ca="1" si="504"/>
        <v>46332</v>
      </c>
      <c r="AJ3692" s="210">
        <f t="shared" ca="1" si="507"/>
        <v>4.1749999999999998</v>
      </c>
      <c r="AK3692" s="8">
        <f t="shared" ca="1" si="509"/>
        <v>1.0001159722222221</v>
      </c>
      <c r="AL3692" s="98">
        <f t="shared" ca="1" si="508"/>
        <v>4.1500202999798619</v>
      </c>
      <c r="AM3692" s="106">
        <f t="shared" ca="1" si="505"/>
        <v>35415.898027719217</v>
      </c>
      <c r="AN3692" s="10">
        <f t="shared" ca="1" si="506"/>
        <v>1.0887675670714136</v>
      </c>
      <c r="AO3692" s="158"/>
      <c r="AP3692" s="158"/>
    </row>
    <row r="3693" spans="34:42">
      <c r="AH3693" s="6">
        <f t="shared" si="503"/>
        <v>3663</v>
      </c>
      <c r="AI3693" s="7">
        <f t="shared" ca="1" si="504"/>
        <v>46333</v>
      </c>
      <c r="AJ3693" s="210">
        <f t="shared" ca="1" si="507"/>
        <v>4.1749999999999998</v>
      </c>
      <c r="AK3693" s="8">
        <f t="shared" ca="1" si="509"/>
        <v>1.0001159722222221</v>
      </c>
      <c r="AL3693" s="98">
        <f t="shared" ca="1" si="508"/>
        <v>4.1500676474521381</v>
      </c>
      <c r="AM3693" s="106">
        <f t="shared" ca="1" si="505"/>
        <v>35418.816349749992</v>
      </c>
      <c r="AN3693" s="10">
        <f t="shared" ca="1" si="506"/>
        <v>1.0888068456520905</v>
      </c>
      <c r="AO3693" s="158"/>
      <c r="AP3693" s="158"/>
    </row>
    <row r="3694" spans="34:42">
      <c r="AH3694" s="6">
        <f t="shared" si="503"/>
        <v>3664</v>
      </c>
      <c r="AI3694" s="7">
        <f t="shared" ca="1" si="504"/>
        <v>46334</v>
      </c>
      <c r="AJ3694" s="210">
        <f t="shared" ca="1" si="507"/>
        <v>4.1749999999999998</v>
      </c>
      <c r="AK3694" s="8">
        <f t="shared" ca="1" si="509"/>
        <v>1.0001159722222221</v>
      </c>
      <c r="AL3694" s="98">
        <f t="shared" ca="1" si="508"/>
        <v>4.1501149691012262</v>
      </c>
      <c r="AM3694" s="106">
        <f t="shared" ca="1" si="505"/>
        <v>35421.734912254789</v>
      </c>
      <c r="AN3694" s="10">
        <f t="shared" ca="1" si="506"/>
        <v>1.0888461028077501</v>
      </c>
      <c r="AO3694" s="158"/>
      <c r="AP3694" s="158"/>
    </row>
    <row r="3695" spans="34:42">
      <c r="AH3695" s="6">
        <f t="shared" si="503"/>
        <v>3665</v>
      </c>
      <c r="AI3695" s="7">
        <f t="shared" ca="1" si="504"/>
        <v>46335</v>
      </c>
      <c r="AJ3695" s="210">
        <f t="shared" ca="1" si="507"/>
        <v>4.1749999999999998</v>
      </c>
      <c r="AK3695" s="8">
        <f t="shared" ca="1" si="509"/>
        <v>1.0001159722222221</v>
      </c>
      <c r="AL3695" s="98">
        <f t="shared" ca="1" si="508"/>
        <v>4.150162264948265</v>
      </c>
      <c r="AM3695" s="106">
        <f t="shared" ca="1" si="505"/>
        <v>35424.653715253429</v>
      </c>
      <c r="AN3695" s="10">
        <f t="shared" ca="1" si="506"/>
        <v>1.0888853385559338</v>
      </c>
      <c r="AO3695" s="158"/>
      <c r="AP3695" s="158"/>
    </row>
    <row r="3696" spans="34:42">
      <c r="AH3696" s="6">
        <f t="shared" si="503"/>
        <v>3666</v>
      </c>
      <c r="AI3696" s="7">
        <f t="shared" ca="1" si="504"/>
        <v>46336</v>
      </c>
      <c r="AJ3696" s="210">
        <f t="shared" ca="1" si="507"/>
        <v>4.1749999999999998</v>
      </c>
      <c r="AK3696" s="8">
        <f t="shared" ca="1" si="509"/>
        <v>1.0001159722222221</v>
      </c>
      <c r="AL3696" s="98">
        <f t="shared" ca="1" si="508"/>
        <v>4.1502095350143264</v>
      </c>
      <c r="AM3696" s="106">
        <f t="shared" ca="1" si="505"/>
        <v>35427.572758765724</v>
      </c>
      <c r="AN3696" s="10">
        <f t="shared" ca="1" si="506"/>
        <v>1.0889245529140945</v>
      </c>
      <c r="AO3696" s="158"/>
      <c r="AP3696" s="158"/>
    </row>
    <row r="3697" spans="34:42">
      <c r="AH3697" s="6">
        <f t="shared" si="503"/>
        <v>3667</v>
      </c>
      <c r="AI3697" s="7">
        <f t="shared" ca="1" si="504"/>
        <v>46337</v>
      </c>
      <c r="AJ3697" s="210">
        <f t="shared" ca="1" si="507"/>
        <v>4.1749999999999998</v>
      </c>
      <c r="AK3697" s="8">
        <f t="shared" ca="1" si="509"/>
        <v>1.0001159722222221</v>
      </c>
      <c r="AL3697" s="98">
        <f t="shared" ca="1" si="508"/>
        <v>4.1502567793205047</v>
      </c>
      <c r="AM3697" s="106">
        <f t="shared" ca="1" si="505"/>
        <v>35430.492042811486</v>
      </c>
      <c r="AN3697" s="10">
        <f t="shared" ca="1" si="506"/>
        <v>1.0889637458997736</v>
      </c>
      <c r="AO3697" s="158"/>
      <c r="AP3697" s="158"/>
    </row>
    <row r="3698" spans="34:42">
      <c r="AH3698" s="6">
        <f t="shared" si="503"/>
        <v>3668</v>
      </c>
      <c r="AI3698" s="7">
        <f t="shared" ca="1" si="504"/>
        <v>46338</v>
      </c>
      <c r="AJ3698" s="210">
        <f t="shared" ca="1" si="507"/>
        <v>4.1749999999999998</v>
      </c>
      <c r="AK3698" s="8">
        <f t="shared" ca="1" si="509"/>
        <v>1.0001159722222221</v>
      </c>
      <c r="AL3698" s="98">
        <f t="shared" ca="1" si="508"/>
        <v>4.1503039978878276</v>
      </c>
      <c r="AM3698" s="106">
        <f t="shared" ca="1" si="505"/>
        <v>35433.411567410556</v>
      </c>
      <c r="AN3698" s="10">
        <f t="shared" ca="1" si="506"/>
        <v>1.0890029175304017</v>
      </c>
      <c r="AO3698" s="158"/>
      <c r="AP3698" s="158"/>
    </row>
    <row r="3699" spans="34:42">
      <c r="AH3699" s="6">
        <f t="shared" ref="AH3699:AH3762" si="510">$AI$29+AH3698</f>
        <v>3669</v>
      </c>
      <c r="AI3699" s="7">
        <f t="shared" ref="AI3699:AI3762" ca="1" si="511">+AH3699+$C$1</f>
        <v>46339</v>
      </c>
      <c r="AJ3699" s="210">
        <f t="shared" ca="1" si="507"/>
        <v>4.1749999999999998</v>
      </c>
      <c r="AK3699" s="8">
        <f t="shared" ca="1" si="509"/>
        <v>1.0001159722222221</v>
      </c>
      <c r="AL3699" s="98">
        <f t="shared" ca="1" si="508"/>
        <v>4.1503511907373447</v>
      </c>
      <c r="AM3699" s="106">
        <f t="shared" ca="1" si="505"/>
        <v>35436.331332582726</v>
      </c>
      <c r="AN3699" s="10">
        <f t="shared" ca="1" si="506"/>
        <v>1.0890420678234314</v>
      </c>
      <c r="AO3699" s="158"/>
      <c r="AP3699" s="158"/>
    </row>
    <row r="3700" spans="34:42">
      <c r="AH3700" s="6">
        <f t="shared" si="510"/>
        <v>3670</v>
      </c>
      <c r="AI3700" s="7">
        <f t="shared" ca="1" si="511"/>
        <v>46340</v>
      </c>
      <c r="AJ3700" s="210">
        <f t="shared" ca="1" si="507"/>
        <v>4.1749999999999998</v>
      </c>
      <c r="AK3700" s="8">
        <f t="shared" ca="1" si="509"/>
        <v>1.0001159722222221</v>
      </c>
      <c r="AL3700" s="98">
        <f t="shared" ca="1" si="508"/>
        <v>4.1503983578900616</v>
      </c>
      <c r="AM3700" s="106">
        <f t="shared" ca="1" si="505"/>
        <v>35439.251338347851</v>
      </c>
      <c r="AN3700" s="10">
        <f t="shared" ca="1" si="506"/>
        <v>1.0890811967963154</v>
      </c>
      <c r="AO3700" s="158"/>
      <c r="AP3700" s="158"/>
    </row>
    <row r="3701" spans="34:42">
      <c r="AH3701" s="6">
        <f t="shared" si="510"/>
        <v>3671</v>
      </c>
      <c r="AI3701" s="7">
        <f t="shared" ca="1" si="511"/>
        <v>46341</v>
      </c>
      <c r="AJ3701" s="210">
        <f t="shared" ca="1" si="507"/>
        <v>4.1749999999999998</v>
      </c>
      <c r="AK3701" s="8">
        <f t="shared" ca="1" si="509"/>
        <v>1.0001159722222221</v>
      </c>
      <c r="AL3701" s="98">
        <f t="shared" ca="1" si="508"/>
        <v>4.1504454993669393</v>
      </c>
      <c r="AM3701" s="106">
        <f t="shared" ca="1" si="505"/>
        <v>35442.171584725729</v>
      </c>
      <c r="AN3701" s="10">
        <f t="shared" ca="1" si="506"/>
        <v>1.0891203044664399</v>
      </c>
      <c r="AO3701" s="158"/>
      <c r="AP3701" s="158"/>
    </row>
    <row r="3702" spans="34:42">
      <c r="AH3702" s="6">
        <f t="shared" si="510"/>
        <v>3672</v>
      </c>
      <c r="AI3702" s="7">
        <f t="shared" ca="1" si="511"/>
        <v>46342</v>
      </c>
      <c r="AJ3702" s="210">
        <f t="shared" ca="1" si="507"/>
        <v>4.1749999999999998</v>
      </c>
      <c r="AK3702" s="8">
        <f t="shared" ca="1" si="509"/>
        <v>1.0001159722222221</v>
      </c>
      <c r="AL3702" s="98">
        <f t="shared" ca="1" si="508"/>
        <v>4.150492615188961</v>
      </c>
      <c r="AM3702" s="106">
        <f t="shared" ca="1" si="505"/>
        <v>35445.092071736202</v>
      </c>
      <c r="AN3702" s="10">
        <f t="shared" ca="1" si="506"/>
        <v>1.0891593908512354</v>
      </c>
      <c r="AO3702" s="158"/>
      <c r="AP3702" s="158"/>
    </row>
    <row r="3703" spans="34:42">
      <c r="AH3703" s="6">
        <f t="shared" si="510"/>
        <v>3673</v>
      </c>
      <c r="AI3703" s="7">
        <f t="shared" ca="1" si="511"/>
        <v>46343</v>
      </c>
      <c r="AJ3703" s="210">
        <f t="shared" ca="1" si="507"/>
        <v>4.1749999999999998</v>
      </c>
      <c r="AK3703" s="8">
        <f t="shared" ca="1" si="509"/>
        <v>1.0001159722222221</v>
      </c>
      <c r="AL3703" s="98">
        <f t="shared" ca="1" si="508"/>
        <v>4.1505397053770432</v>
      </c>
      <c r="AM3703" s="106">
        <f t="shared" ca="1" si="505"/>
        <v>35448.012799399097</v>
      </c>
      <c r="AN3703" s="10">
        <f t="shared" ca="1" si="506"/>
        <v>1.089198455967999</v>
      </c>
      <c r="AO3703" s="158"/>
      <c r="AP3703" s="158"/>
    </row>
    <row r="3704" spans="34:42">
      <c r="AH3704" s="6">
        <f t="shared" si="510"/>
        <v>3674</v>
      </c>
      <c r="AI3704" s="7">
        <f t="shared" ca="1" si="511"/>
        <v>46344</v>
      </c>
      <c r="AJ3704" s="210">
        <f t="shared" ca="1" si="507"/>
        <v>4.1749999999999998</v>
      </c>
      <c r="AK3704" s="8">
        <f t="shared" ca="1" si="509"/>
        <v>1.0001159722222221</v>
      </c>
      <c r="AL3704" s="98">
        <f t="shared" ca="1" si="508"/>
        <v>4.1505867699521248</v>
      </c>
      <c r="AM3704" s="106">
        <f t="shared" ca="1" si="505"/>
        <v>35450.933767734248</v>
      </c>
      <c r="AN3704" s="10">
        <f t="shared" ca="1" si="506"/>
        <v>1.0892374998341836</v>
      </c>
      <c r="AO3704" s="158"/>
      <c r="AP3704" s="158"/>
    </row>
    <row r="3705" spans="34:42">
      <c r="AH3705" s="6">
        <f t="shared" si="510"/>
        <v>3675</v>
      </c>
      <c r="AI3705" s="7">
        <f t="shared" ca="1" si="511"/>
        <v>46345</v>
      </c>
      <c r="AJ3705" s="210">
        <f t="shared" ca="1" si="507"/>
        <v>4.1749999999999998</v>
      </c>
      <c r="AK3705" s="8">
        <f t="shared" ca="1" si="509"/>
        <v>1.0001159722222221</v>
      </c>
      <c r="AL3705" s="98">
        <f t="shared" ca="1" si="508"/>
        <v>4.1506338089350781</v>
      </c>
      <c r="AM3705" s="106">
        <f t="shared" ca="1" si="505"/>
        <v>35453.854976761475</v>
      </c>
      <c r="AN3705" s="10">
        <f t="shared" ca="1" si="506"/>
        <v>1.089276522467042</v>
      </c>
      <c r="AO3705" s="158"/>
      <c r="AP3705" s="158"/>
    </row>
    <row r="3706" spans="34:42">
      <c r="AH3706" s="6">
        <f t="shared" si="510"/>
        <v>3676</v>
      </c>
      <c r="AI3706" s="7">
        <f t="shared" ca="1" si="511"/>
        <v>46346</v>
      </c>
      <c r="AJ3706" s="210">
        <f t="shared" ca="1" si="507"/>
        <v>4.1749999999999998</v>
      </c>
      <c r="AK3706" s="8">
        <f t="shared" ca="1" si="509"/>
        <v>1.0001159722222221</v>
      </c>
      <c r="AL3706" s="98">
        <f t="shared" ca="1" si="508"/>
        <v>4.150680822346775</v>
      </c>
      <c r="AM3706" s="106">
        <f t="shared" ca="1" si="505"/>
        <v>35456.776426500619</v>
      </c>
      <c r="AN3706" s="10">
        <f t="shared" ca="1" si="506"/>
        <v>1.0893155238839158</v>
      </c>
      <c r="AO3706" s="158"/>
      <c r="AP3706" s="158"/>
    </row>
    <row r="3707" spans="34:42">
      <c r="AH3707" s="6">
        <f t="shared" si="510"/>
        <v>3677</v>
      </c>
      <c r="AI3707" s="7">
        <f t="shared" ca="1" si="511"/>
        <v>46347</v>
      </c>
      <c r="AJ3707" s="210">
        <f t="shared" ca="1" si="507"/>
        <v>4.1749999999999998</v>
      </c>
      <c r="AK3707" s="8">
        <f t="shared" ca="1" si="509"/>
        <v>1.0001159722222221</v>
      </c>
      <c r="AL3707" s="98">
        <f t="shared" ca="1" si="508"/>
        <v>4.1507278102080658</v>
      </c>
      <c r="AM3707" s="106">
        <f t="shared" ca="1" si="505"/>
        <v>35459.698116971507</v>
      </c>
      <c r="AN3707" s="10">
        <f t="shared" ca="1" si="506"/>
        <v>1.0893545041021246</v>
      </c>
      <c r="AO3707" s="158"/>
      <c r="AP3707" s="158"/>
    </row>
    <row r="3708" spans="34:42">
      <c r="AH3708" s="6">
        <f t="shared" si="510"/>
        <v>3678</v>
      </c>
      <c r="AI3708" s="7">
        <f t="shared" ca="1" si="511"/>
        <v>46348</v>
      </c>
      <c r="AJ3708" s="210">
        <f t="shared" ca="1" si="507"/>
        <v>4.1749999999999998</v>
      </c>
      <c r="AK3708" s="8">
        <f t="shared" ca="1" si="509"/>
        <v>1.0001159722222221</v>
      </c>
      <c r="AL3708" s="98">
        <f t="shared" ca="1" si="508"/>
        <v>4.1507747725397781</v>
      </c>
      <c r="AM3708" s="106">
        <f t="shared" ca="1" si="505"/>
        <v>35462.620048193989</v>
      </c>
      <c r="AN3708" s="10">
        <f t="shared" ca="1" si="506"/>
        <v>1.0893934631389435</v>
      </c>
      <c r="AO3708" s="158"/>
      <c r="AP3708" s="158"/>
    </row>
    <row r="3709" spans="34:42">
      <c r="AH3709" s="6">
        <f t="shared" si="510"/>
        <v>3679</v>
      </c>
      <c r="AI3709" s="7">
        <f t="shared" ca="1" si="511"/>
        <v>46349</v>
      </c>
      <c r="AJ3709" s="210">
        <f t="shared" ca="1" si="507"/>
        <v>4.1749999999999998</v>
      </c>
      <c r="AK3709" s="8">
        <f t="shared" ca="1" si="509"/>
        <v>1.0001159722222221</v>
      </c>
      <c r="AL3709" s="98">
        <f t="shared" ca="1" si="508"/>
        <v>4.1508217093626953</v>
      </c>
      <c r="AM3709" s="106">
        <f t="shared" ca="1" si="505"/>
        <v>35465.542220187897</v>
      </c>
      <c r="AN3709" s="10">
        <f t="shared" ca="1" si="506"/>
        <v>1.089432401011603</v>
      </c>
      <c r="AO3709" s="158"/>
      <c r="AP3709" s="158"/>
    </row>
    <row r="3710" spans="34:42">
      <c r="AH3710" s="6">
        <f t="shared" si="510"/>
        <v>3680</v>
      </c>
      <c r="AI3710" s="7">
        <f t="shared" ca="1" si="511"/>
        <v>46350</v>
      </c>
      <c r="AJ3710" s="210">
        <f t="shared" ca="1" si="507"/>
        <v>4.1749999999999998</v>
      </c>
      <c r="AK3710" s="8">
        <f t="shared" ca="1" si="509"/>
        <v>1.0001159722222221</v>
      </c>
      <c r="AL3710" s="98">
        <f t="shared" ca="1" si="508"/>
        <v>4.1508686206976009</v>
      </c>
      <c r="AM3710" s="106">
        <f t="shared" ca="1" si="505"/>
        <v>35468.464632973068</v>
      </c>
      <c r="AN3710" s="10">
        <f t="shared" ca="1" si="506"/>
        <v>1.0894713177373561</v>
      </c>
      <c r="AO3710" s="158"/>
      <c r="AP3710" s="158"/>
    </row>
    <row r="3711" spans="34:42">
      <c r="AH3711" s="6">
        <f t="shared" si="510"/>
        <v>3681</v>
      </c>
      <c r="AI3711" s="7">
        <f t="shared" ca="1" si="511"/>
        <v>46351</v>
      </c>
      <c r="AJ3711" s="210">
        <f t="shared" ca="1" si="507"/>
        <v>4.1749999999999998</v>
      </c>
      <c r="AK3711" s="8">
        <f t="shared" ca="1" si="509"/>
        <v>1.0001159722222221</v>
      </c>
      <c r="AL3711" s="98">
        <f t="shared" ca="1" si="508"/>
        <v>4.1509155065652559</v>
      </c>
      <c r="AM3711" s="106">
        <f t="shared" ca="1" si="505"/>
        <v>35471.387286569348</v>
      </c>
      <c r="AN3711" s="10">
        <f t="shared" ca="1" si="506"/>
        <v>1.0895102133334333</v>
      </c>
      <c r="AO3711" s="158"/>
      <c r="AP3711" s="158"/>
    </row>
    <row r="3712" spans="34:42">
      <c r="AH3712" s="6">
        <f t="shared" si="510"/>
        <v>3682</v>
      </c>
      <c r="AI3712" s="7">
        <f t="shared" ca="1" si="511"/>
        <v>46352</v>
      </c>
      <c r="AJ3712" s="210">
        <f t="shared" ca="1" si="507"/>
        <v>4.1749999999999998</v>
      </c>
      <c r="AK3712" s="8">
        <f t="shared" ca="1" si="509"/>
        <v>1.0001159722222221</v>
      </c>
      <c r="AL3712" s="98">
        <f t="shared" ca="1" si="508"/>
        <v>4.1509623669863993</v>
      </c>
      <c r="AM3712" s="106">
        <f t="shared" ca="1" si="505"/>
        <v>35474.310180996581</v>
      </c>
      <c r="AN3712" s="10">
        <f t="shared" ca="1" si="506"/>
        <v>1.0895490878170433</v>
      </c>
      <c r="AO3712" s="158"/>
      <c r="AP3712" s="158"/>
    </row>
    <row r="3713" spans="34:42">
      <c r="AH3713" s="6">
        <f t="shared" si="510"/>
        <v>3683</v>
      </c>
      <c r="AI3713" s="7">
        <f t="shared" ca="1" si="511"/>
        <v>46353</v>
      </c>
      <c r="AJ3713" s="210">
        <f t="shared" ca="1" si="507"/>
        <v>4.1749999999999998</v>
      </c>
      <c r="AK3713" s="8">
        <f t="shared" ca="1" si="509"/>
        <v>1.0001159722222221</v>
      </c>
      <c r="AL3713" s="98">
        <f t="shared" ca="1" si="508"/>
        <v>4.1510092019817257</v>
      </c>
      <c r="AM3713" s="106">
        <f t="shared" ca="1" si="505"/>
        <v>35477.233316274607</v>
      </c>
      <c r="AN3713" s="10">
        <f t="shared" ca="1" si="506"/>
        <v>1.0895879412053722</v>
      </c>
      <c r="AO3713" s="158"/>
      <c r="AP3713" s="158"/>
    </row>
    <row r="3714" spans="34:42">
      <c r="AH3714" s="6">
        <f t="shared" si="510"/>
        <v>3684</v>
      </c>
      <c r="AI3714" s="7">
        <f t="shared" ca="1" si="511"/>
        <v>46354</v>
      </c>
      <c r="AJ3714" s="210">
        <f t="shared" ca="1" si="507"/>
        <v>4.1749999999999998</v>
      </c>
      <c r="AK3714" s="8">
        <f t="shared" ca="1" si="509"/>
        <v>1.0001159722222221</v>
      </c>
      <c r="AL3714" s="98">
        <f t="shared" ca="1" si="508"/>
        <v>4.1510560115719297</v>
      </c>
      <c r="AM3714" s="106">
        <f t="shared" ca="1" si="505"/>
        <v>35480.156692423268</v>
      </c>
      <c r="AN3714" s="10">
        <f t="shared" ca="1" si="506"/>
        <v>1.0896267735155618</v>
      </c>
      <c r="AO3714" s="158"/>
      <c r="AP3714" s="158"/>
    </row>
    <row r="3715" spans="34:42">
      <c r="AH3715" s="6">
        <f t="shared" si="510"/>
        <v>3685</v>
      </c>
      <c r="AI3715" s="7">
        <f t="shared" ca="1" si="511"/>
        <v>46355</v>
      </c>
      <c r="AJ3715" s="210">
        <f t="shared" ca="1" si="507"/>
        <v>4.1749999999999998</v>
      </c>
      <c r="AK3715" s="8">
        <f t="shared" ca="1" si="509"/>
        <v>1.0001159722222221</v>
      </c>
      <c r="AL3715" s="98">
        <f t="shared" ca="1" si="508"/>
        <v>4.1511027957776836</v>
      </c>
      <c r="AM3715" s="106">
        <f t="shared" ca="1" si="505"/>
        <v>35483.080309462428</v>
      </c>
      <c r="AN3715" s="10">
        <f t="shared" ca="1" si="506"/>
        <v>1.0896655847647763</v>
      </c>
      <c r="AO3715" s="158"/>
      <c r="AP3715" s="158"/>
    </row>
    <row r="3716" spans="34:42">
      <c r="AH3716" s="6">
        <f t="shared" si="510"/>
        <v>3686</v>
      </c>
      <c r="AI3716" s="7">
        <f t="shared" ca="1" si="511"/>
        <v>46356</v>
      </c>
      <c r="AJ3716" s="210">
        <f t="shared" ca="1" si="507"/>
        <v>4.1749999999999998</v>
      </c>
      <c r="AK3716" s="8">
        <f t="shared" ca="1" si="509"/>
        <v>1.0001159722222221</v>
      </c>
      <c r="AL3716" s="98">
        <f t="shared" ca="1" si="508"/>
        <v>4.1511495546196153</v>
      </c>
      <c r="AM3716" s="106">
        <f t="shared" ca="1" si="505"/>
        <v>35486.004167411927</v>
      </c>
      <c r="AN3716" s="10">
        <f t="shared" ca="1" si="506"/>
        <v>1.0897043749701352</v>
      </c>
      <c r="AO3716" s="158"/>
      <c r="AP3716" s="158"/>
    </row>
    <row r="3717" spans="34:42">
      <c r="AH3717" s="6">
        <f t="shared" si="510"/>
        <v>3687</v>
      </c>
      <c r="AI3717" s="7">
        <f t="shared" ca="1" si="511"/>
        <v>46357</v>
      </c>
      <c r="AJ3717" s="210">
        <f t="shared" ca="1" si="507"/>
        <v>4.1749999999999998</v>
      </c>
      <c r="AK3717" s="8">
        <f t="shared" ca="1" si="509"/>
        <v>1.0001159722222221</v>
      </c>
      <c r="AL3717" s="98">
        <f t="shared" ca="1" si="508"/>
        <v>4.151196288118375</v>
      </c>
      <c r="AM3717" s="106">
        <f t="shared" ca="1" si="505"/>
        <v>35488.928266291616</v>
      </c>
      <c r="AN3717" s="10">
        <f t="shared" ca="1" si="506"/>
        <v>1.0897431441487804</v>
      </c>
      <c r="AO3717" s="158"/>
      <c r="AP3717" s="158"/>
    </row>
    <row r="3718" spans="34:42">
      <c r="AH3718" s="6">
        <f t="shared" si="510"/>
        <v>3688</v>
      </c>
      <c r="AI3718" s="7">
        <f t="shared" ca="1" si="511"/>
        <v>46358</v>
      </c>
      <c r="AJ3718" s="210">
        <f t="shared" ca="1" si="507"/>
        <v>4.1749999999999998</v>
      </c>
      <c r="AK3718" s="8">
        <f t="shared" ca="1" si="509"/>
        <v>1.0001159722222221</v>
      </c>
      <c r="AL3718" s="98">
        <f t="shared" ca="1" si="508"/>
        <v>4.1512429962945241</v>
      </c>
      <c r="AM3718" s="106">
        <f t="shared" ca="1" si="505"/>
        <v>35491.852606121349</v>
      </c>
      <c r="AN3718" s="10">
        <f t="shared" ca="1" si="506"/>
        <v>1.0897818923177649</v>
      </c>
      <c r="AO3718" s="158"/>
      <c r="AP3718" s="158"/>
    </row>
    <row r="3719" spans="34:42">
      <c r="AH3719" s="6">
        <f t="shared" si="510"/>
        <v>3689</v>
      </c>
      <c r="AI3719" s="7">
        <f t="shared" ca="1" si="511"/>
        <v>46359</v>
      </c>
      <c r="AJ3719" s="210">
        <f t="shared" ca="1" si="507"/>
        <v>4.1749999999999998</v>
      </c>
      <c r="AK3719" s="8">
        <f t="shared" ca="1" si="509"/>
        <v>1.0001159722222221</v>
      </c>
      <c r="AL3719" s="98">
        <f t="shared" ca="1" si="508"/>
        <v>4.1512896791686682</v>
      </c>
      <c r="AM3719" s="106">
        <f t="shared" ca="1" si="505"/>
        <v>35494.777186920976</v>
      </c>
      <c r="AN3719" s="10">
        <f t="shared" ca="1" si="506"/>
        <v>1.0898206194941862</v>
      </c>
      <c r="AO3719" s="158"/>
      <c r="AP3719" s="158"/>
    </row>
    <row r="3720" spans="34:42">
      <c r="AH3720" s="6">
        <f t="shared" si="510"/>
        <v>3690</v>
      </c>
      <c r="AI3720" s="7">
        <f t="shared" ca="1" si="511"/>
        <v>46360</v>
      </c>
      <c r="AJ3720" s="210">
        <f t="shared" ca="1" si="507"/>
        <v>4.1749999999999998</v>
      </c>
      <c r="AK3720" s="8">
        <f t="shared" ca="1" si="509"/>
        <v>1.0001159722222221</v>
      </c>
      <c r="AL3720" s="98">
        <f t="shared" ca="1" si="508"/>
        <v>4.1513363367613465</v>
      </c>
      <c r="AM3720" s="106">
        <f t="shared" ca="1" si="505"/>
        <v>35497.702008710359</v>
      </c>
      <c r="AN3720" s="10">
        <f t="shared" ca="1" si="506"/>
        <v>1.089859325695075</v>
      </c>
      <c r="AO3720" s="158"/>
      <c r="AP3720" s="158"/>
    </row>
    <row r="3721" spans="34:42">
      <c r="AH3721" s="6">
        <f t="shared" si="510"/>
        <v>3691</v>
      </c>
      <c r="AI3721" s="7">
        <f t="shared" ca="1" si="511"/>
        <v>46361</v>
      </c>
      <c r="AJ3721" s="210">
        <f t="shared" ca="1" si="507"/>
        <v>4.1749999999999998</v>
      </c>
      <c r="AK3721" s="8">
        <f t="shared" ca="1" si="509"/>
        <v>1.0001159722222221</v>
      </c>
      <c r="AL3721" s="98">
        <f t="shared" ca="1" si="508"/>
        <v>4.1513829690930981</v>
      </c>
      <c r="AM3721" s="106">
        <f t="shared" ca="1" si="505"/>
        <v>35500.627071509356</v>
      </c>
      <c r="AN3721" s="10">
        <f t="shared" ca="1" si="506"/>
        <v>1.0898980109375067</v>
      </c>
      <c r="AO3721" s="158"/>
      <c r="AP3721" s="158"/>
    </row>
    <row r="3722" spans="34:42">
      <c r="AH3722" s="6">
        <f t="shared" si="510"/>
        <v>3692</v>
      </c>
      <c r="AI3722" s="7">
        <f t="shared" ca="1" si="511"/>
        <v>46362</v>
      </c>
      <c r="AJ3722" s="210">
        <f t="shared" ca="1" si="507"/>
        <v>4.1749999999999998</v>
      </c>
      <c r="AK3722" s="8">
        <f t="shared" ca="1" si="509"/>
        <v>1.0001159722222221</v>
      </c>
      <c r="AL3722" s="98">
        <f t="shared" ca="1" si="508"/>
        <v>4.1514295761844178</v>
      </c>
      <c r="AM3722" s="106">
        <f t="shared" ca="1" si="505"/>
        <v>35503.552375337829</v>
      </c>
      <c r="AN3722" s="10">
        <f t="shared" ca="1" si="506"/>
        <v>1.0899366752384898</v>
      </c>
      <c r="AO3722" s="158"/>
      <c r="AP3722" s="158"/>
    </row>
    <row r="3723" spans="34:42">
      <c r="AH3723" s="6">
        <f t="shared" si="510"/>
        <v>3693</v>
      </c>
      <c r="AI3723" s="7">
        <f t="shared" ca="1" si="511"/>
        <v>46363</v>
      </c>
      <c r="AJ3723" s="210">
        <f t="shared" ca="1" si="507"/>
        <v>4.1749999999999998</v>
      </c>
      <c r="AK3723" s="8">
        <f t="shared" ca="1" si="509"/>
        <v>1.0001159722222221</v>
      </c>
      <c r="AL3723" s="98">
        <f t="shared" ca="1" si="508"/>
        <v>4.1514761580558002</v>
      </c>
      <c r="AM3723" s="106">
        <f t="shared" ca="1" si="505"/>
        <v>35506.477920215628</v>
      </c>
      <c r="AN3723" s="10">
        <f t="shared" ca="1" si="506"/>
        <v>1.0899753186149885</v>
      </c>
      <c r="AO3723" s="158"/>
      <c r="AP3723" s="158"/>
    </row>
    <row r="3724" spans="34:42">
      <c r="AH3724" s="6">
        <f t="shared" si="510"/>
        <v>3694</v>
      </c>
      <c r="AI3724" s="7">
        <f t="shared" ca="1" si="511"/>
        <v>46364</v>
      </c>
      <c r="AJ3724" s="210">
        <f t="shared" ca="1" si="507"/>
        <v>4.1749999999999998</v>
      </c>
      <c r="AK3724" s="8">
        <f t="shared" ca="1" si="509"/>
        <v>1.0001159722222221</v>
      </c>
      <c r="AL3724" s="98">
        <f t="shared" ca="1" si="508"/>
        <v>4.1515227147277178</v>
      </c>
      <c r="AM3724" s="106">
        <f t="shared" ca="1" si="505"/>
        <v>35509.40370616263</v>
      </c>
      <c r="AN3724" s="10">
        <f t="shared" ca="1" si="506"/>
        <v>1.0900139410840115</v>
      </c>
      <c r="AO3724" s="158"/>
      <c r="AP3724" s="158"/>
    </row>
    <row r="3725" spans="34:42">
      <c r="AH3725" s="6">
        <f t="shared" si="510"/>
        <v>3695</v>
      </c>
      <c r="AI3725" s="7">
        <f t="shared" ca="1" si="511"/>
        <v>46365</v>
      </c>
      <c r="AJ3725" s="210">
        <f t="shared" ca="1" si="507"/>
        <v>4.1749999999999998</v>
      </c>
      <c r="AK3725" s="8">
        <f t="shared" ca="1" si="509"/>
        <v>1.0001159722222221</v>
      </c>
      <c r="AL3725" s="98">
        <f t="shared" ca="1" si="508"/>
        <v>4.1515692462205989</v>
      </c>
      <c r="AM3725" s="106">
        <f t="shared" ca="1" si="505"/>
        <v>35512.329733198683</v>
      </c>
      <c r="AN3725" s="10">
        <f t="shared" ca="1" si="506"/>
        <v>1.0900525426625229</v>
      </c>
      <c r="AO3725" s="158"/>
      <c r="AP3725" s="158"/>
    </row>
    <row r="3726" spans="34:42">
      <c r="AH3726" s="6">
        <f t="shared" si="510"/>
        <v>3696</v>
      </c>
      <c r="AI3726" s="7">
        <f t="shared" ca="1" si="511"/>
        <v>46366</v>
      </c>
      <c r="AJ3726" s="210">
        <f t="shared" ca="1" si="507"/>
        <v>4.1749999999999998</v>
      </c>
      <c r="AK3726" s="8">
        <f t="shared" ca="1" si="509"/>
        <v>1.0001159722222221</v>
      </c>
      <c r="AL3726" s="98">
        <f t="shared" ca="1" si="508"/>
        <v>4.1516157525548714</v>
      </c>
      <c r="AM3726" s="106">
        <f t="shared" ca="1" si="505"/>
        <v>35515.256001343674</v>
      </c>
      <c r="AN3726" s="10">
        <f t="shared" ca="1" si="506"/>
        <v>1.0900911233674426</v>
      </c>
      <c r="AO3726" s="158"/>
      <c r="AP3726" s="158"/>
    </row>
    <row r="3727" spans="34:42">
      <c r="AH3727" s="6">
        <f t="shared" si="510"/>
        <v>3697</v>
      </c>
      <c r="AI3727" s="7">
        <f t="shared" ca="1" si="511"/>
        <v>46367</v>
      </c>
      <c r="AJ3727" s="210">
        <f t="shared" ca="1" si="507"/>
        <v>4.1749999999999998</v>
      </c>
      <c r="AK3727" s="8">
        <f t="shared" ca="1" si="509"/>
        <v>1.0001159722222221</v>
      </c>
      <c r="AL3727" s="98">
        <f t="shared" ca="1" si="508"/>
        <v>4.1516622337509412</v>
      </c>
      <c r="AM3727" s="106">
        <f t="shared" ca="1" si="505"/>
        <v>35518.182510617444</v>
      </c>
      <c r="AN3727" s="10">
        <f t="shared" ca="1" si="506"/>
        <v>1.0901296832157348</v>
      </c>
      <c r="AO3727" s="158"/>
      <c r="AP3727" s="158"/>
    </row>
    <row r="3728" spans="34:42">
      <c r="AH3728" s="6">
        <f t="shared" si="510"/>
        <v>3698</v>
      </c>
      <c r="AI3728" s="7">
        <f t="shared" ca="1" si="511"/>
        <v>46368</v>
      </c>
      <c r="AJ3728" s="210">
        <f t="shared" ca="1" si="507"/>
        <v>4.1749999999999998</v>
      </c>
      <c r="AK3728" s="8">
        <f t="shared" ca="1" si="509"/>
        <v>1.0001159722222221</v>
      </c>
      <c r="AL3728" s="98">
        <f t="shared" ca="1" si="508"/>
        <v>4.15170868982917</v>
      </c>
      <c r="AM3728" s="106">
        <f t="shared" ca="1" si="505"/>
        <v>35521.109261039892</v>
      </c>
      <c r="AN3728" s="10">
        <f t="shared" ca="1" si="506"/>
        <v>1.0901682222242748</v>
      </c>
      <c r="AO3728" s="158"/>
      <c r="AP3728" s="158"/>
    </row>
    <row r="3729" spans="34:42">
      <c r="AH3729" s="6">
        <f t="shared" si="510"/>
        <v>3699</v>
      </c>
      <c r="AI3729" s="7">
        <f t="shared" ca="1" si="511"/>
        <v>46369</v>
      </c>
      <c r="AJ3729" s="210">
        <f t="shared" ca="1" si="507"/>
        <v>4.1749999999999998</v>
      </c>
      <c r="AK3729" s="8">
        <f t="shared" ca="1" si="509"/>
        <v>1.0001159722222221</v>
      </c>
      <c r="AL3729" s="98">
        <f t="shared" ca="1" si="508"/>
        <v>4.1517551208099412</v>
      </c>
      <c r="AM3729" s="106">
        <f t="shared" ca="1" si="505"/>
        <v>35524.036252630875</v>
      </c>
      <c r="AN3729" s="10">
        <f t="shared" ca="1" si="506"/>
        <v>1.0902067404100046</v>
      </c>
      <c r="AO3729" s="158"/>
      <c r="AP3729" s="158"/>
    </row>
    <row r="3730" spans="34:42">
      <c r="AH3730" s="6">
        <f t="shared" si="510"/>
        <v>3700</v>
      </c>
      <c r="AI3730" s="7">
        <f t="shared" ca="1" si="511"/>
        <v>46370</v>
      </c>
      <c r="AJ3730" s="210">
        <f t="shared" ca="1" si="507"/>
        <v>4.1749999999999998</v>
      </c>
      <c r="AK3730" s="8">
        <f t="shared" ca="1" si="509"/>
        <v>1.0001159722222221</v>
      </c>
      <c r="AL3730" s="98">
        <f t="shared" ca="1" si="508"/>
        <v>4.15180152671355</v>
      </c>
      <c r="AM3730" s="106">
        <f t="shared" ca="1" si="505"/>
        <v>35526.963485410262</v>
      </c>
      <c r="AN3730" s="10">
        <f t="shared" ca="1" si="506"/>
        <v>1.0902452377897109</v>
      </c>
      <c r="AO3730" s="158"/>
      <c r="AP3730" s="158"/>
    </row>
    <row r="3731" spans="34:42">
      <c r="AH3731" s="6">
        <f t="shared" si="510"/>
        <v>3701</v>
      </c>
      <c r="AI3731" s="7">
        <f t="shared" ca="1" si="511"/>
        <v>46371</v>
      </c>
      <c r="AJ3731" s="210">
        <f t="shared" ca="1" si="507"/>
        <v>4.1749999999999998</v>
      </c>
      <c r="AK3731" s="8">
        <f t="shared" ca="1" si="509"/>
        <v>1.0001159722222221</v>
      </c>
      <c r="AL3731" s="98">
        <f t="shared" ca="1" si="508"/>
        <v>4.1518479075603354</v>
      </c>
      <c r="AM3731" s="106">
        <f t="shared" ca="1" si="505"/>
        <v>35529.890959397926</v>
      </c>
      <c r="AN3731" s="10">
        <f t="shared" ca="1" si="506"/>
        <v>1.0902837143803357</v>
      </c>
      <c r="AO3731" s="158"/>
      <c r="AP3731" s="158"/>
    </row>
    <row r="3732" spans="34:42">
      <c r="AH3732" s="6">
        <f t="shared" si="510"/>
        <v>3702</v>
      </c>
      <c r="AI3732" s="7">
        <f t="shared" ca="1" si="511"/>
        <v>46372</v>
      </c>
      <c r="AJ3732" s="210">
        <f t="shared" ca="1" si="507"/>
        <v>4.1749999999999998</v>
      </c>
      <c r="AK3732" s="8">
        <f t="shared" ca="1" si="509"/>
        <v>1.0001159722222221</v>
      </c>
      <c r="AL3732" s="98">
        <f t="shared" ca="1" si="508"/>
        <v>4.1518942633705702</v>
      </c>
      <c r="AM3732" s="106">
        <f t="shared" ca="1" si="505"/>
        <v>35532.818674613751</v>
      </c>
      <c r="AN3732" s="10">
        <f t="shared" ca="1" si="506"/>
        <v>1.0903221701986432</v>
      </c>
      <c r="AO3732" s="158"/>
      <c r="AP3732" s="158"/>
    </row>
    <row r="3733" spans="34:42">
      <c r="AH3733" s="6">
        <f t="shared" si="510"/>
        <v>3703</v>
      </c>
      <c r="AI3733" s="7">
        <f t="shared" ca="1" si="511"/>
        <v>46373</v>
      </c>
      <c r="AJ3733" s="210">
        <f t="shared" ca="1" si="507"/>
        <v>4.1749999999999998</v>
      </c>
      <c r="AK3733" s="8">
        <f t="shared" ca="1" si="509"/>
        <v>1.0001159722222221</v>
      </c>
      <c r="AL3733" s="98">
        <f t="shared" ca="1" si="508"/>
        <v>4.1519405941645271</v>
      </c>
      <c r="AM3733" s="106">
        <f t="shared" ca="1" si="505"/>
        <v>35535.746631077607</v>
      </c>
      <c r="AN3733" s="10">
        <f t="shared" ca="1" si="506"/>
        <v>1.0903606052614867</v>
      </c>
      <c r="AO3733" s="158"/>
      <c r="AP3733" s="158"/>
    </row>
    <row r="3734" spans="34:42">
      <c r="AH3734" s="6">
        <f t="shared" si="510"/>
        <v>3704</v>
      </c>
      <c r="AI3734" s="7">
        <f t="shared" ca="1" si="511"/>
        <v>46374</v>
      </c>
      <c r="AJ3734" s="210">
        <f t="shared" ca="1" si="507"/>
        <v>4.1749999999999998</v>
      </c>
      <c r="AK3734" s="8">
        <f t="shared" ca="1" si="509"/>
        <v>1.0001159722222221</v>
      </c>
      <c r="AL3734" s="98">
        <f t="shared" ca="1" si="508"/>
        <v>4.1519868999624565</v>
      </c>
      <c r="AM3734" s="106">
        <f t="shared" ca="1" si="505"/>
        <v>35538.674828809388</v>
      </c>
      <c r="AN3734" s="10">
        <f t="shared" ca="1" si="506"/>
        <v>1.090399019585675</v>
      </c>
      <c r="AO3734" s="158"/>
      <c r="AP3734" s="158"/>
    </row>
    <row r="3735" spans="34:42">
      <c r="AH3735" s="6">
        <f t="shared" si="510"/>
        <v>3705</v>
      </c>
      <c r="AI3735" s="7">
        <f t="shared" ca="1" si="511"/>
        <v>46375</v>
      </c>
      <c r="AJ3735" s="210">
        <f t="shared" ca="1" si="507"/>
        <v>4.1749999999999998</v>
      </c>
      <c r="AK3735" s="8">
        <f t="shared" ca="1" si="509"/>
        <v>1.0001159722222221</v>
      </c>
      <c r="AL3735" s="98">
        <f t="shared" ca="1" si="508"/>
        <v>4.1520331807845645</v>
      </c>
      <c r="AM3735" s="106">
        <f t="shared" ca="1" si="505"/>
        <v>35541.603267828956</v>
      </c>
      <c r="AN3735" s="10">
        <f t="shared" ca="1" si="506"/>
        <v>1.0904374131879502</v>
      </c>
      <c r="AO3735" s="158"/>
      <c r="AP3735" s="158"/>
    </row>
    <row r="3736" spans="34:42">
      <c r="AH3736" s="6">
        <f t="shared" si="510"/>
        <v>3706</v>
      </c>
      <c r="AI3736" s="7">
        <f t="shared" ca="1" si="511"/>
        <v>46376</v>
      </c>
      <c r="AJ3736" s="210">
        <f t="shared" ca="1" si="507"/>
        <v>4.1749999999999998</v>
      </c>
      <c r="AK3736" s="8">
        <f t="shared" ca="1" si="509"/>
        <v>1.0001159722222221</v>
      </c>
      <c r="AL3736" s="98">
        <f t="shared" ca="1" si="508"/>
        <v>4.1520794366510572</v>
      </c>
      <c r="AM3736" s="106">
        <f t="shared" ca="1" si="505"/>
        <v>35544.531948156204</v>
      </c>
      <c r="AN3736" s="10">
        <f t="shared" ca="1" si="506"/>
        <v>1.0904757860850989</v>
      </c>
      <c r="AO3736" s="158"/>
      <c r="AP3736" s="158"/>
    </row>
    <row r="3737" spans="34:42">
      <c r="AH3737" s="6">
        <f t="shared" si="510"/>
        <v>3707</v>
      </c>
      <c r="AI3737" s="7">
        <f t="shared" ca="1" si="511"/>
        <v>46377</v>
      </c>
      <c r="AJ3737" s="210">
        <f t="shared" ca="1" si="507"/>
        <v>4.1749999999999998</v>
      </c>
      <c r="AK3737" s="8">
        <f t="shared" ca="1" si="509"/>
        <v>1.0001159722222221</v>
      </c>
      <c r="AL3737" s="98">
        <f t="shared" ca="1" si="508"/>
        <v>4.1521256675821183</v>
      </c>
      <c r="AM3737" s="106">
        <f t="shared" ca="1" si="505"/>
        <v>35547.46086981101</v>
      </c>
      <c r="AN3737" s="10">
        <f t="shared" ca="1" si="506"/>
        <v>1.0905141382938632</v>
      </c>
      <c r="AO3737" s="158"/>
      <c r="AP3737" s="158"/>
    </row>
    <row r="3738" spans="34:42">
      <c r="AH3738" s="6">
        <f t="shared" si="510"/>
        <v>3708</v>
      </c>
      <c r="AI3738" s="7">
        <f t="shared" ca="1" si="511"/>
        <v>46378</v>
      </c>
      <c r="AJ3738" s="210">
        <f t="shared" ca="1" si="507"/>
        <v>4.1749999999999998</v>
      </c>
      <c r="AK3738" s="8">
        <f t="shared" ca="1" si="509"/>
        <v>1.0001159722222221</v>
      </c>
      <c r="AL3738" s="98">
        <f t="shared" ca="1" si="508"/>
        <v>4.1521718735979096</v>
      </c>
      <c r="AM3738" s="106">
        <f t="shared" ca="1" si="505"/>
        <v>35550.390032813273</v>
      </c>
      <c r="AN3738" s="10">
        <f t="shared" ca="1" si="506"/>
        <v>1.0905524698309854</v>
      </c>
      <c r="AO3738" s="158"/>
      <c r="AP3738" s="158"/>
    </row>
    <row r="3739" spans="34:42">
      <c r="AH3739" s="6">
        <f t="shared" si="510"/>
        <v>3709</v>
      </c>
      <c r="AI3739" s="7">
        <f t="shared" ca="1" si="511"/>
        <v>46379</v>
      </c>
      <c r="AJ3739" s="210">
        <f t="shared" ca="1" si="507"/>
        <v>4.1749999999999998</v>
      </c>
      <c r="AK3739" s="8">
        <f t="shared" ca="1" si="509"/>
        <v>1.0001159722222221</v>
      </c>
      <c r="AL3739" s="98">
        <f t="shared" ca="1" si="508"/>
        <v>4.1522180547185705</v>
      </c>
      <c r="AM3739" s="106">
        <f t="shared" ca="1" si="505"/>
        <v>35553.319437182858</v>
      </c>
      <c r="AN3739" s="10">
        <f t="shared" ca="1" si="506"/>
        <v>1.090590780713141</v>
      </c>
      <c r="AO3739" s="158"/>
      <c r="AP3739" s="158"/>
    </row>
    <row r="3740" spans="34:42">
      <c r="AH3740" s="6">
        <f t="shared" si="510"/>
        <v>3710</v>
      </c>
      <c r="AI3740" s="7">
        <f t="shared" ca="1" si="511"/>
        <v>46380</v>
      </c>
      <c r="AJ3740" s="210">
        <f t="shared" ca="1" si="507"/>
        <v>4.1749999999999998</v>
      </c>
      <c r="AK3740" s="8">
        <f t="shared" ca="1" si="509"/>
        <v>1.0001159722222221</v>
      </c>
      <c r="AL3740" s="98">
        <f t="shared" ca="1" si="508"/>
        <v>4.1522642109641961</v>
      </c>
      <c r="AM3740" s="106">
        <f t="shared" ca="1" si="505"/>
        <v>35556.249082939677</v>
      </c>
      <c r="AN3740" s="10">
        <f t="shared" ca="1" si="506"/>
        <v>1.0906290709570277</v>
      </c>
      <c r="AO3740" s="158"/>
      <c r="AP3740" s="158"/>
    </row>
    <row r="3741" spans="34:42">
      <c r="AH3741" s="6">
        <f t="shared" si="510"/>
        <v>3711</v>
      </c>
      <c r="AI3741" s="7">
        <f t="shared" ca="1" si="511"/>
        <v>46381</v>
      </c>
      <c r="AJ3741" s="210">
        <f t="shared" ca="1" si="507"/>
        <v>4.1749999999999998</v>
      </c>
      <c r="AK3741" s="8">
        <f t="shared" ca="1" si="509"/>
        <v>1.0001159722222221</v>
      </c>
      <c r="AL3741" s="98">
        <f t="shared" ca="1" si="508"/>
        <v>4.1523103423549035</v>
      </c>
      <c r="AM3741" s="106">
        <f t="shared" ca="1" si="505"/>
        <v>35559.17897010361</v>
      </c>
      <c r="AN3741" s="10">
        <f t="shared" ca="1" si="506"/>
        <v>1.0906673405793432</v>
      </c>
      <c r="AO3741" s="158"/>
      <c r="AP3741" s="158"/>
    </row>
    <row r="3742" spans="34:42">
      <c r="AH3742" s="6">
        <f t="shared" si="510"/>
        <v>3712</v>
      </c>
      <c r="AI3742" s="7">
        <f t="shared" ca="1" si="511"/>
        <v>46382</v>
      </c>
      <c r="AJ3742" s="210">
        <f t="shared" ca="1" si="507"/>
        <v>4.1749999999999998</v>
      </c>
      <c r="AK3742" s="8">
        <f t="shared" ca="1" si="509"/>
        <v>1.0001159722222221</v>
      </c>
      <c r="AL3742" s="98">
        <f t="shared" ca="1" si="508"/>
        <v>4.1523564489107434</v>
      </c>
      <c r="AM3742" s="106">
        <f t="shared" ca="1" si="505"/>
        <v>35562.109098694549</v>
      </c>
      <c r="AN3742" s="10">
        <f t="shared" ca="1" si="506"/>
        <v>1.0907055895967188</v>
      </c>
      <c r="AO3742" s="158"/>
      <c r="AP3742" s="158"/>
    </row>
    <row r="3743" spans="34:42">
      <c r="AH3743" s="6">
        <f t="shared" si="510"/>
        <v>3713</v>
      </c>
      <c r="AI3743" s="7">
        <f t="shared" ca="1" si="511"/>
        <v>46383</v>
      </c>
      <c r="AJ3743" s="210">
        <f t="shared" ca="1" si="507"/>
        <v>4.1749999999999998</v>
      </c>
      <c r="AK3743" s="8">
        <f t="shared" ca="1" si="509"/>
        <v>1.0001159722222221</v>
      </c>
      <c r="AL3743" s="98">
        <f t="shared" ca="1" si="508"/>
        <v>4.1524025306517887</v>
      </c>
      <c r="AM3743" s="106">
        <f t="shared" ref="AM3743:AM3806" ca="1" si="512">Geom_Interp(AI3743,$AZ$2:$AZ$109,$BA$2:$BA$109)</f>
        <v>35565.039468732386</v>
      </c>
      <c r="AN3743" s="10">
        <f t="shared" ref="AN3743:AN3806" ca="1" si="513">100*(((1+AL3743/100)^(AH3743/365)*$AM$29/AM3743)^(365/AH3743)-1)</f>
        <v>1.0907438180258078</v>
      </c>
      <c r="AO3743" s="158"/>
      <c r="AP3743" s="158"/>
    </row>
    <row r="3744" spans="34:42">
      <c r="AH3744" s="6">
        <f t="shared" si="510"/>
        <v>3714</v>
      </c>
      <c r="AI3744" s="7">
        <f t="shared" ca="1" si="511"/>
        <v>46384</v>
      </c>
      <c r="AJ3744" s="210">
        <f t="shared" ref="AJ3744:AJ3807" ca="1" si="514">IF(AH3744&lt;365,VLOOKUP(LOOKUP(AI3744,$AI$2:$AI$23),$AI$2:$AK$23,3,0),Lin_Interp(AH3744,$AJ$2:$AJ$23,$AK$2:$AK$23))</f>
        <v>4.1749999999999998</v>
      </c>
      <c r="AK3744" s="8">
        <f t="shared" ca="1" si="509"/>
        <v>1.0001159722222221</v>
      </c>
      <c r="AL3744" s="98">
        <f t="shared" ca="1" si="508"/>
        <v>4.1524485875980455</v>
      </c>
      <c r="AM3744" s="106">
        <f t="shared" ca="1" si="512"/>
        <v>35567.970080237021</v>
      </c>
      <c r="AN3744" s="10">
        <f t="shared" ca="1" si="513"/>
        <v>1.090782025883219</v>
      </c>
      <c r="AO3744" s="158"/>
      <c r="AP3744" s="158"/>
    </row>
    <row r="3745" spans="34:42">
      <c r="AH3745" s="6">
        <f t="shared" si="510"/>
        <v>3715</v>
      </c>
      <c r="AI3745" s="7">
        <f t="shared" ca="1" si="511"/>
        <v>46385</v>
      </c>
      <c r="AJ3745" s="210">
        <f t="shared" ca="1" si="514"/>
        <v>4.1749999999999998</v>
      </c>
      <c r="AK3745" s="8">
        <f t="shared" ca="1" si="509"/>
        <v>1.0001159722222221</v>
      </c>
      <c r="AL3745" s="98">
        <f t="shared" ref="AL3745:AL3808" ca="1" si="515">100*(((1+AL3744/100)^(AH3744/365)*AK3745)^(365/AH3745)-1)</f>
        <v>4.1524946197695201</v>
      </c>
      <c r="AM3745" s="106">
        <f t="shared" ca="1" si="512"/>
        <v>35570.900933228353</v>
      </c>
      <c r="AN3745" s="10">
        <f t="shared" ca="1" si="513"/>
        <v>1.0908202131855393</v>
      </c>
      <c r="AO3745" s="158"/>
      <c r="AP3745" s="158"/>
    </row>
    <row r="3746" spans="34:42">
      <c r="AH3746" s="6">
        <f t="shared" si="510"/>
        <v>3716</v>
      </c>
      <c r="AI3746" s="7">
        <f t="shared" ca="1" si="511"/>
        <v>46386</v>
      </c>
      <c r="AJ3746" s="210">
        <f t="shared" ca="1" si="514"/>
        <v>4.1749999999999998</v>
      </c>
      <c r="AK3746" s="8">
        <f t="shared" ca="1" si="509"/>
        <v>1.0001159722222221</v>
      </c>
      <c r="AL3746" s="98">
        <f t="shared" ca="1" si="515"/>
        <v>4.1525406271862186</v>
      </c>
      <c r="AM3746" s="106">
        <f t="shared" ca="1" si="512"/>
        <v>35573.832027726268</v>
      </c>
      <c r="AN3746" s="10">
        <f t="shared" ca="1" si="513"/>
        <v>1.0908583799493998</v>
      </c>
      <c r="AO3746" s="158"/>
      <c r="AP3746" s="158"/>
    </row>
    <row r="3747" spans="34:42">
      <c r="AH3747" s="6">
        <f t="shared" si="510"/>
        <v>3717</v>
      </c>
      <c r="AI3747" s="7">
        <f t="shared" ca="1" si="511"/>
        <v>46387</v>
      </c>
      <c r="AJ3747" s="210">
        <f t="shared" ca="1" si="514"/>
        <v>4.1749999999999998</v>
      </c>
      <c r="AK3747" s="8">
        <f t="shared" ca="1" si="509"/>
        <v>1.0001159722222221</v>
      </c>
      <c r="AL3747" s="98">
        <f t="shared" ca="1" si="515"/>
        <v>4.1525866098680808</v>
      </c>
      <c r="AM3747" s="106">
        <f t="shared" ca="1" si="512"/>
        <v>35576.763363750688</v>
      </c>
      <c r="AN3747" s="10">
        <f t="shared" ca="1" si="513"/>
        <v>1.0908965261912984</v>
      </c>
      <c r="AO3747" s="158"/>
      <c r="AP3747" s="158"/>
    </row>
    <row r="3748" spans="34:42">
      <c r="AH3748" s="6">
        <f t="shared" si="510"/>
        <v>3718</v>
      </c>
      <c r="AI3748" s="7">
        <f t="shared" ca="1" si="511"/>
        <v>46388</v>
      </c>
      <c r="AJ3748" s="210">
        <f t="shared" ca="1" si="514"/>
        <v>4.1749999999999998</v>
      </c>
      <c r="AK3748" s="8">
        <f t="shared" ref="AK3748:AK3811" ca="1" si="516">+(1+AJ3748/36000)</f>
        <v>1.0001159722222221</v>
      </c>
      <c r="AL3748" s="98">
        <f t="shared" ca="1" si="515"/>
        <v>4.1526325678350462</v>
      </c>
      <c r="AM3748" s="106">
        <f t="shared" ca="1" si="512"/>
        <v>35579.694941321497</v>
      </c>
      <c r="AN3748" s="10">
        <f t="shared" ca="1" si="513"/>
        <v>1.0909346519278218</v>
      </c>
      <c r="AO3748" s="158"/>
      <c r="AP3748" s="158"/>
    </row>
    <row r="3749" spans="34:42">
      <c r="AH3749" s="6">
        <f t="shared" si="510"/>
        <v>3719</v>
      </c>
      <c r="AI3749" s="7">
        <f t="shared" ca="1" si="511"/>
        <v>46389</v>
      </c>
      <c r="AJ3749" s="210">
        <f t="shared" ca="1" si="514"/>
        <v>4.1749999999999998</v>
      </c>
      <c r="AK3749" s="8">
        <f t="shared" ca="1" si="516"/>
        <v>1.0001159722222221</v>
      </c>
      <c r="AL3749" s="98">
        <f t="shared" ca="1" si="515"/>
        <v>4.1526785011070544</v>
      </c>
      <c r="AM3749" s="106">
        <f t="shared" ca="1" si="512"/>
        <v>35582.626760458603</v>
      </c>
      <c r="AN3749" s="10">
        <f t="shared" ca="1" si="513"/>
        <v>1.0909727571754901</v>
      </c>
      <c r="AO3749" s="158"/>
      <c r="AP3749" s="158"/>
    </row>
    <row r="3750" spans="34:42">
      <c r="AH3750" s="6">
        <f t="shared" si="510"/>
        <v>3720</v>
      </c>
      <c r="AI3750" s="7">
        <f t="shared" ca="1" si="511"/>
        <v>46390</v>
      </c>
      <c r="AJ3750" s="210">
        <f t="shared" ca="1" si="514"/>
        <v>4.1749999999999998</v>
      </c>
      <c r="AK3750" s="8">
        <f t="shared" ca="1" si="516"/>
        <v>1.0001159722222221</v>
      </c>
      <c r="AL3750" s="98">
        <f t="shared" ca="1" si="515"/>
        <v>4.1527244097040006</v>
      </c>
      <c r="AM3750" s="106">
        <f t="shared" ca="1" si="512"/>
        <v>35585.558821181912</v>
      </c>
      <c r="AN3750" s="10">
        <f t="shared" ca="1" si="513"/>
        <v>1.0910108419508235</v>
      </c>
      <c r="AO3750" s="158"/>
      <c r="AP3750" s="158"/>
    </row>
    <row r="3751" spans="34:42">
      <c r="AH3751" s="6">
        <f t="shared" si="510"/>
        <v>3721</v>
      </c>
      <c r="AI3751" s="7">
        <f t="shared" ca="1" si="511"/>
        <v>46391</v>
      </c>
      <c r="AJ3751" s="210">
        <f t="shared" ca="1" si="514"/>
        <v>4.1749999999999998</v>
      </c>
      <c r="AK3751" s="8">
        <f t="shared" ca="1" si="516"/>
        <v>1.0001159722222221</v>
      </c>
      <c r="AL3751" s="98">
        <f t="shared" ca="1" si="515"/>
        <v>4.1527702936457578</v>
      </c>
      <c r="AM3751" s="106">
        <f t="shared" ca="1" si="512"/>
        <v>35588.491123511347</v>
      </c>
      <c r="AN3751" s="10">
        <f t="shared" ca="1" si="513"/>
        <v>1.0910489062703199</v>
      </c>
      <c r="AO3751" s="158"/>
      <c r="AP3751" s="158"/>
    </row>
    <row r="3752" spans="34:42">
      <c r="AH3752" s="6">
        <f t="shared" si="510"/>
        <v>3722</v>
      </c>
      <c r="AI3752" s="7">
        <f t="shared" ca="1" si="511"/>
        <v>46392</v>
      </c>
      <c r="AJ3752" s="210">
        <f t="shared" ca="1" si="514"/>
        <v>4.1749999999999998</v>
      </c>
      <c r="AK3752" s="8">
        <f t="shared" ca="1" si="516"/>
        <v>1.0001159722222221</v>
      </c>
      <c r="AL3752" s="98">
        <f t="shared" ca="1" si="515"/>
        <v>4.1528161529521768</v>
      </c>
      <c r="AM3752" s="106">
        <f t="shared" ca="1" si="512"/>
        <v>35591.423667466785</v>
      </c>
      <c r="AN3752" s="10">
        <f t="shared" ca="1" si="513"/>
        <v>1.0910869501504328</v>
      </c>
      <c r="AO3752" s="158"/>
      <c r="AP3752" s="158"/>
    </row>
    <row r="3753" spans="34:42">
      <c r="AH3753" s="6">
        <f t="shared" si="510"/>
        <v>3723</v>
      </c>
      <c r="AI3753" s="7">
        <f t="shared" ca="1" si="511"/>
        <v>46393</v>
      </c>
      <c r="AJ3753" s="210">
        <f t="shared" ca="1" si="514"/>
        <v>4.1749999999999998</v>
      </c>
      <c r="AK3753" s="8">
        <f t="shared" ca="1" si="516"/>
        <v>1.0001159722222221</v>
      </c>
      <c r="AL3753" s="98">
        <f t="shared" ca="1" si="515"/>
        <v>4.1528619876431083</v>
      </c>
      <c r="AM3753" s="106">
        <f t="shared" ca="1" si="512"/>
        <v>35594.356453068154</v>
      </c>
      <c r="AN3753" s="10">
        <f t="shared" ca="1" si="513"/>
        <v>1.0911249736076378</v>
      </c>
      <c r="AO3753" s="158"/>
      <c r="AP3753" s="158"/>
    </row>
    <row r="3754" spans="34:42">
      <c r="AH3754" s="6">
        <f t="shared" si="510"/>
        <v>3724</v>
      </c>
      <c r="AI3754" s="7">
        <f t="shared" ca="1" si="511"/>
        <v>46394</v>
      </c>
      <c r="AJ3754" s="210">
        <f t="shared" ca="1" si="514"/>
        <v>4.1749999999999998</v>
      </c>
      <c r="AK3754" s="8">
        <f t="shared" ca="1" si="516"/>
        <v>1.0001159722222221</v>
      </c>
      <c r="AL3754" s="98">
        <f t="shared" ca="1" si="515"/>
        <v>4.1529077977383588</v>
      </c>
      <c r="AM3754" s="106">
        <f t="shared" ca="1" si="512"/>
        <v>35597.28948033537</v>
      </c>
      <c r="AN3754" s="10">
        <f t="shared" ca="1" si="513"/>
        <v>1.0911629766583886</v>
      </c>
      <c r="AO3754" s="158"/>
      <c r="AP3754" s="158"/>
    </row>
    <row r="3755" spans="34:42">
      <c r="AH3755" s="6">
        <f t="shared" si="510"/>
        <v>3725</v>
      </c>
      <c r="AI3755" s="7">
        <f t="shared" ca="1" si="511"/>
        <v>46395</v>
      </c>
      <c r="AJ3755" s="210">
        <f t="shared" ca="1" si="514"/>
        <v>4.1749999999999998</v>
      </c>
      <c r="AK3755" s="8">
        <f t="shared" ca="1" si="516"/>
        <v>1.0001159722222221</v>
      </c>
      <c r="AL3755" s="98">
        <f t="shared" ca="1" si="515"/>
        <v>4.1529535832577125</v>
      </c>
      <c r="AM3755" s="106">
        <f t="shared" ca="1" si="512"/>
        <v>35600.222749288347</v>
      </c>
      <c r="AN3755" s="10">
        <f t="shared" ca="1" si="513"/>
        <v>1.0912009593190719</v>
      </c>
      <c r="AO3755" s="158"/>
      <c r="AP3755" s="158"/>
    </row>
    <row r="3756" spans="34:42">
      <c r="AH3756" s="6">
        <f t="shared" si="510"/>
        <v>3726</v>
      </c>
      <c r="AI3756" s="7">
        <f t="shared" ca="1" si="511"/>
        <v>46396</v>
      </c>
      <c r="AJ3756" s="210">
        <f t="shared" ca="1" si="514"/>
        <v>4.1749999999999998</v>
      </c>
      <c r="AK3756" s="8">
        <f t="shared" ca="1" si="516"/>
        <v>1.0001159722222221</v>
      </c>
      <c r="AL3756" s="98">
        <f t="shared" ca="1" si="515"/>
        <v>4.1529993442209312</v>
      </c>
      <c r="AM3756" s="106">
        <f t="shared" ca="1" si="512"/>
        <v>35603.156259946991</v>
      </c>
      <c r="AN3756" s="10">
        <f t="shared" ca="1" si="513"/>
        <v>1.0912389216061191</v>
      </c>
      <c r="AO3756" s="158"/>
      <c r="AP3756" s="158"/>
    </row>
    <row r="3757" spans="34:42">
      <c r="AH3757" s="6">
        <f t="shared" si="510"/>
        <v>3727</v>
      </c>
      <c r="AI3757" s="7">
        <f t="shared" ca="1" si="511"/>
        <v>46397</v>
      </c>
      <c r="AJ3757" s="210">
        <f t="shared" ca="1" si="514"/>
        <v>4.1749999999999998</v>
      </c>
      <c r="AK3757" s="8">
        <f t="shared" ca="1" si="516"/>
        <v>1.0001159722222221</v>
      </c>
      <c r="AL3757" s="98">
        <f t="shared" ca="1" si="515"/>
        <v>4.1530450806477992</v>
      </c>
      <c r="AM3757" s="106">
        <f t="shared" ca="1" si="512"/>
        <v>35606.090012331224</v>
      </c>
      <c r="AN3757" s="10">
        <f t="shared" ca="1" si="513"/>
        <v>1.0912768635359171</v>
      </c>
      <c r="AO3757" s="158"/>
      <c r="AP3757" s="158"/>
    </row>
    <row r="3758" spans="34:42">
      <c r="AH3758" s="6">
        <f t="shared" si="510"/>
        <v>3728</v>
      </c>
      <c r="AI3758" s="7">
        <f t="shared" ca="1" si="511"/>
        <v>46398</v>
      </c>
      <c r="AJ3758" s="210">
        <f t="shared" ca="1" si="514"/>
        <v>4.1749999999999998</v>
      </c>
      <c r="AK3758" s="8">
        <f t="shared" ca="1" si="516"/>
        <v>1.0001159722222221</v>
      </c>
      <c r="AL3758" s="98">
        <f t="shared" ca="1" si="515"/>
        <v>4.1530907925580118</v>
      </c>
      <c r="AM3758" s="106">
        <f t="shared" ca="1" si="512"/>
        <v>35609.024006460968</v>
      </c>
      <c r="AN3758" s="10">
        <f t="shared" ca="1" si="513"/>
        <v>1.0913147851248306</v>
      </c>
      <c r="AO3758" s="158"/>
      <c r="AP3758" s="158"/>
    </row>
    <row r="3759" spans="34:42">
      <c r="AH3759" s="6">
        <f t="shared" si="510"/>
        <v>3729</v>
      </c>
      <c r="AI3759" s="7">
        <f t="shared" ca="1" si="511"/>
        <v>46399</v>
      </c>
      <c r="AJ3759" s="210">
        <f t="shared" ca="1" si="514"/>
        <v>4.1749999999999998</v>
      </c>
      <c r="AK3759" s="8">
        <f t="shared" ca="1" si="516"/>
        <v>1.0001159722222221</v>
      </c>
      <c r="AL3759" s="98">
        <f t="shared" ca="1" si="515"/>
        <v>4.1531364799712867</v>
      </c>
      <c r="AM3759" s="106">
        <f t="shared" ca="1" si="512"/>
        <v>35611.958242356137</v>
      </c>
      <c r="AN3759" s="10">
        <f t="shared" ca="1" si="513"/>
        <v>1.0913526863891798</v>
      </c>
      <c r="AO3759" s="158"/>
      <c r="AP3759" s="158"/>
    </row>
    <row r="3760" spans="34:42">
      <c r="AH3760" s="6">
        <f t="shared" si="510"/>
        <v>3730</v>
      </c>
      <c r="AI3760" s="7">
        <f t="shared" ca="1" si="511"/>
        <v>46400</v>
      </c>
      <c r="AJ3760" s="210">
        <f t="shared" ca="1" si="514"/>
        <v>4.1749999999999998</v>
      </c>
      <c r="AK3760" s="8">
        <f t="shared" ca="1" si="516"/>
        <v>1.0001159722222221</v>
      </c>
      <c r="AL3760" s="98">
        <f t="shared" ca="1" si="515"/>
        <v>4.153182142907319</v>
      </c>
      <c r="AM3760" s="106">
        <f t="shared" ca="1" si="512"/>
        <v>35614.892720036652</v>
      </c>
      <c r="AN3760" s="10">
        <f t="shared" ca="1" si="513"/>
        <v>1.0913905673453739</v>
      </c>
      <c r="AO3760" s="158"/>
      <c r="AP3760" s="158"/>
    </row>
    <row r="3761" spans="31:42">
      <c r="AH3761" s="6">
        <f t="shared" si="510"/>
        <v>3731</v>
      </c>
      <c r="AI3761" s="7">
        <f t="shared" ca="1" si="511"/>
        <v>46401</v>
      </c>
      <c r="AJ3761" s="210">
        <f t="shared" ca="1" si="514"/>
        <v>4.1749999999999998</v>
      </c>
      <c r="AK3761" s="8">
        <f t="shared" ca="1" si="516"/>
        <v>1.0001159722222221</v>
      </c>
      <c r="AL3761" s="98">
        <f t="shared" ca="1" si="515"/>
        <v>4.1532277813857821</v>
      </c>
      <c r="AM3761" s="106">
        <f t="shared" ca="1" si="512"/>
        <v>35617.827439522436</v>
      </c>
      <c r="AN3761" s="10">
        <f t="shared" ca="1" si="513"/>
        <v>1.0914284280096886</v>
      </c>
      <c r="AO3761" s="158"/>
      <c r="AP3761" s="158"/>
    </row>
    <row r="3762" spans="31:42">
      <c r="AH3762" s="6">
        <f t="shared" si="510"/>
        <v>3732</v>
      </c>
      <c r="AI3762" s="7">
        <f t="shared" ca="1" si="511"/>
        <v>46402</v>
      </c>
      <c r="AJ3762" s="210">
        <f t="shared" ca="1" si="514"/>
        <v>4.1749999999999998</v>
      </c>
      <c r="AK3762" s="8">
        <f t="shared" ca="1" si="516"/>
        <v>1.0001159722222221</v>
      </c>
      <c r="AL3762" s="98">
        <f t="shared" ca="1" si="515"/>
        <v>4.1532733954263046</v>
      </c>
      <c r="AM3762" s="106">
        <f t="shared" ca="1" si="512"/>
        <v>35620.762400833417</v>
      </c>
      <c r="AN3762" s="10">
        <f t="shared" ca="1" si="513"/>
        <v>1.0914662683984222</v>
      </c>
      <c r="AO3762" s="158"/>
      <c r="AP3762" s="158"/>
    </row>
    <row r="3763" spans="31:42">
      <c r="AH3763" s="6">
        <f>$AI$29+AH3762</f>
        <v>3733</v>
      </c>
      <c r="AI3763" s="7">
        <f ca="1">+AH3763+$C$1</f>
        <v>46403</v>
      </c>
      <c r="AJ3763" s="210">
        <f t="shared" ca="1" si="514"/>
        <v>4.1749999999999998</v>
      </c>
      <c r="AK3763" s="8">
        <f t="shared" ca="1" si="516"/>
        <v>1.0001159722222221</v>
      </c>
      <c r="AL3763" s="98">
        <f t="shared" ca="1" si="515"/>
        <v>4.1533189850484931</v>
      </c>
      <c r="AM3763" s="106">
        <f t="shared" ca="1" si="512"/>
        <v>35623.697603989523</v>
      </c>
      <c r="AN3763" s="10">
        <f t="shared" ca="1" si="513"/>
        <v>1.0915040885278504</v>
      </c>
      <c r="AO3763" s="158"/>
      <c r="AP3763" s="158"/>
    </row>
    <row r="3764" spans="31:42">
      <c r="AH3764" s="6">
        <f>$AI$29+AH3763</f>
        <v>3734</v>
      </c>
      <c r="AI3764" s="7">
        <f ca="1">+AH3764+$C$1</f>
        <v>46404</v>
      </c>
      <c r="AJ3764" s="210">
        <f t="shared" ca="1" si="514"/>
        <v>4.1749999999999998</v>
      </c>
      <c r="AK3764" s="8">
        <f t="shared" ca="1" si="516"/>
        <v>1.0001159722222221</v>
      </c>
      <c r="AL3764" s="98">
        <f t="shared" ca="1" si="515"/>
        <v>4.1533645502719763</v>
      </c>
      <c r="AM3764" s="106">
        <f t="shared" ca="1" si="512"/>
        <v>35626.633049010685</v>
      </c>
      <c r="AN3764" s="10">
        <f t="shared" ca="1" si="513"/>
        <v>1.0915418884142492</v>
      </c>
      <c r="AO3764" s="158"/>
      <c r="AP3764" s="158"/>
    </row>
    <row r="3765" spans="31:42">
      <c r="AH3765" s="6">
        <f>$AI$29+AH3764</f>
        <v>3735</v>
      </c>
      <c r="AI3765" s="7">
        <f ca="1">+AH3765+$C$1</f>
        <v>46405</v>
      </c>
      <c r="AJ3765" s="210">
        <f t="shared" ca="1" si="514"/>
        <v>4.1749999999999998</v>
      </c>
      <c r="AK3765" s="8">
        <f t="shared" ca="1" si="516"/>
        <v>1.0001159722222221</v>
      </c>
      <c r="AL3765" s="98">
        <f t="shared" ca="1" si="515"/>
        <v>4.1534100911163385</v>
      </c>
      <c r="AM3765" s="106">
        <f t="shared" ca="1" si="512"/>
        <v>35629.568735916837</v>
      </c>
      <c r="AN3765" s="10">
        <f t="shared" ca="1" si="513"/>
        <v>1.0915796680738721</v>
      </c>
      <c r="AO3765" s="158"/>
      <c r="AP3765" s="158"/>
    </row>
    <row r="3766" spans="31:42">
      <c r="AH3766" s="6">
        <f>$AI$29+AH3765</f>
        <v>3736</v>
      </c>
      <c r="AI3766" s="7">
        <f ca="1">+AH3766+$C$1</f>
        <v>46406</v>
      </c>
      <c r="AJ3766" s="210">
        <f t="shared" ca="1" si="514"/>
        <v>4.1749999999999998</v>
      </c>
      <c r="AK3766" s="8">
        <f t="shared" ca="1" si="516"/>
        <v>1.0001159722222221</v>
      </c>
      <c r="AL3766" s="98">
        <f t="shared" ca="1" si="515"/>
        <v>4.1534556076011198</v>
      </c>
      <c r="AM3766" s="106">
        <f t="shared" ca="1" si="512"/>
        <v>35632.504664727894</v>
      </c>
      <c r="AN3766" s="10">
        <f t="shared" ca="1" si="513"/>
        <v>1.0916174275229285</v>
      </c>
      <c r="AO3766" s="158"/>
      <c r="AP3766" s="158"/>
    </row>
    <row r="3767" spans="31:42">
      <c r="AE3767" s="23">
        <f>30*365</f>
        <v>10950</v>
      </c>
      <c r="AH3767" s="6">
        <f t="shared" ref="AH3767:AH3830" si="517">$AI$29+AH3766</f>
        <v>3737</v>
      </c>
      <c r="AI3767" s="7">
        <f t="shared" ref="AI3767:AI3830" ca="1" si="518">+AH3767+$C$1</f>
        <v>46407</v>
      </c>
      <c r="AJ3767" s="210">
        <f t="shared" ca="1" si="514"/>
        <v>4.1749999999999998</v>
      </c>
      <c r="AK3767" s="8">
        <f t="shared" ca="1" si="516"/>
        <v>1.0001159722222221</v>
      </c>
      <c r="AL3767" s="98">
        <f t="shared" ca="1" si="515"/>
        <v>4.1535010997458821</v>
      </c>
      <c r="AM3767" s="106">
        <f t="shared" ca="1" si="512"/>
        <v>35635.440835463793</v>
      </c>
      <c r="AN3767" s="10">
        <f t="shared" ca="1" si="513"/>
        <v>1.0916551667776941</v>
      </c>
      <c r="AO3767" s="158"/>
      <c r="AP3767" s="158"/>
    </row>
    <row r="3768" spans="31:42">
      <c r="AH3768" s="6">
        <f t="shared" si="517"/>
        <v>3738</v>
      </c>
      <c r="AI3768" s="7">
        <f t="shared" ca="1" si="518"/>
        <v>46408</v>
      </c>
      <c r="AJ3768" s="210">
        <f t="shared" ca="1" si="514"/>
        <v>4.1749999999999998</v>
      </c>
      <c r="AK3768" s="8">
        <f t="shared" ca="1" si="516"/>
        <v>1.0001159722222221</v>
      </c>
      <c r="AL3768" s="98">
        <f t="shared" ca="1" si="515"/>
        <v>4.1535465675701211</v>
      </c>
      <c r="AM3768" s="106">
        <f t="shared" ca="1" si="512"/>
        <v>35638.377248144483</v>
      </c>
      <c r="AN3768" s="10">
        <f t="shared" ca="1" si="513"/>
        <v>1.0916928858542896</v>
      </c>
      <c r="AO3768" s="158"/>
      <c r="AP3768" s="158"/>
    </row>
    <row r="3769" spans="31:42">
      <c r="AH3769" s="6">
        <f t="shared" si="517"/>
        <v>3739</v>
      </c>
      <c r="AI3769" s="7">
        <f t="shared" ca="1" si="518"/>
        <v>46409</v>
      </c>
      <c r="AJ3769" s="210">
        <f t="shared" ca="1" si="514"/>
        <v>4.1749999999999998</v>
      </c>
      <c r="AK3769" s="8">
        <f t="shared" ca="1" si="516"/>
        <v>1.0001159722222221</v>
      </c>
      <c r="AL3769" s="98">
        <f t="shared" ca="1" si="515"/>
        <v>4.1535920110933544</v>
      </c>
      <c r="AM3769" s="106">
        <f t="shared" ca="1" si="512"/>
        <v>35641.313902789894</v>
      </c>
      <c r="AN3769" s="10">
        <f t="shared" ca="1" si="513"/>
        <v>1.091730584768924</v>
      </c>
      <c r="AO3769" s="158"/>
      <c r="AP3769" s="158"/>
    </row>
    <row r="3770" spans="31:42">
      <c r="AH3770" s="6">
        <f t="shared" si="517"/>
        <v>3740</v>
      </c>
      <c r="AI3770" s="7">
        <f t="shared" ca="1" si="518"/>
        <v>46410</v>
      </c>
      <c r="AJ3770" s="210">
        <f t="shared" ca="1" si="514"/>
        <v>4.1749999999999998</v>
      </c>
      <c r="AK3770" s="8">
        <f t="shared" ca="1" si="516"/>
        <v>1.0001159722222221</v>
      </c>
      <c r="AL3770" s="98">
        <f t="shared" ca="1" si="515"/>
        <v>4.1536374303350554</v>
      </c>
      <c r="AM3770" s="106">
        <f t="shared" ca="1" si="512"/>
        <v>35644.250799419962</v>
      </c>
      <c r="AN3770" s="10">
        <f t="shared" ca="1" si="513"/>
        <v>1.0917682635377624</v>
      </c>
      <c r="AO3770" s="158"/>
      <c r="AP3770" s="158"/>
    </row>
    <row r="3771" spans="31:42">
      <c r="AH3771" s="6">
        <f t="shared" si="517"/>
        <v>3741</v>
      </c>
      <c r="AI3771" s="7">
        <f t="shared" ca="1" si="518"/>
        <v>46411</v>
      </c>
      <c r="AJ3771" s="210">
        <f t="shared" ca="1" si="514"/>
        <v>4.1749999999999998</v>
      </c>
      <c r="AK3771" s="8">
        <f t="shared" ca="1" si="516"/>
        <v>1.0001159722222221</v>
      </c>
      <c r="AL3771" s="98">
        <f t="shared" ca="1" si="515"/>
        <v>4.1536828253146751</v>
      </c>
      <c r="AM3771" s="106">
        <f t="shared" ca="1" si="512"/>
        <v>35647.187938054616</v>
      </c>
      <c r="AN3771" s="10">
        <f t="shared" ca="1" si="513"/>
        <v>1.0918059221769694</v>
      </c>
      <c r="AO3771" s="158"/>
      <c r="AP3771" s="158"/>
    </row>
    <row r="3772" spans="31:42">
      <c r="AH3772" s="6">
        <f t="shared" si="517"/>
        <v>3742</v>
      </c>
      <c r="AI3772" s="7">
        <f t="shared" ca="1" si="518"/>
        <v>46412</v>
      </c>
      <c r="AJ3772" s="210">
        <f t="shared" ca="1" si="514"/>
        <v>4.1749999999999998</v>
      </c>
      <c r="AK3772" s="8">
        <f t="shared" ca="1" si="516"/>
        <v>1.0001159722222221</v>
      </c>
      <c r="AL3772" s="98">
        <f t="shared" ca="1" si="515"/>
        <v>4.1537281960516426</v>
      </c>
      <c r="AM3772" s="106">
        <f t="shared" ca="1" si="512"/>
        <v>35650.125318713814</v>
      </c>
      <c r="AN3772" s="10">
        <f t="shared" ca="1" si="513"/>
        <v>1.0918435607026211</v>
      </c>
      <c r="AO3772" s="158"/>
      <c r="AP3772" s="158"/>
    </row>
    <row r="3773" spans="31:42">
      <c r="AH3773" s="6">
        <f t="shared" si="517"/>
        <v>3743</v>
      </c>
      <c r="AI3773" s="7">
        <f t="shared" ca="1" si="518"/>
        <v>46413</v>
      </c>
      <c r="AJ3773" s="210">
        <f t="shared" ca="1" si="514"/>
        <v>4.1749999999999998</v>
      </c>
      <c r="AK3773" s="8">
        <f t="shared" ca="1" si="516"/>
        <v>1.0001159722222221</v>
      </c>
      <c r="AL3773" s="98">
        <f t="shared" ca="1" si="515"/>
        <v>4.1537735425653644</v>
      </c>
      <c r="AM3773" s="106">
        <f t="shared" ca="1" si="512"/>
        <v>35653.062941417498</v>
      </c>
      <c r="AN3773" s="10">
        <f t="shared" ca="1" si="513"/>
        <v>1.091881179130838</v>
      </c>
      <c r="AO3773" s="158"/>
      <c r="AP3773" s="158"/>
    </row>
    <row r="3774" spans="31:42">
      <c r="AH3774" s="6">
        <f t="shared" si="517"/>
        <v>3744</v>
      </c>
      <c r="AI3774" s="7">
        <f t="shared" ca="1" si="518"/>
        <v>46414</v>
      </c>
      <c r="AJ3774" s="210">
        <f t="shared" ca="1" si="514"/>
        <v>4.1749999999999998</v>
      </c>
      <c r="AK3774" s="8">
        <f t="shared" ca="1" si="516"/>
        <v>1.0001159722222221</v>
      </c>
      <c r="AL3774" s="98">
        <f t="shared" ca="1" si="515"/>
        <v>4.1538188648752472</v>
      </c>
      <c r="AM3774" s="106">
        <f t="shared" ca="1" si="512"/>
        <v>35656.000806185606</v>
      </c>
      <c r="AN3774" s="10">
        <f t="shared" ca="1" si="513"/>
        <v>1.0919187774777406</v>
      </c>
      <c r="AO3774" s="158"/>
      <c r="AP3774" s="158"/>
    </row>
    <row r="3775" spans="31:42">
      <c r="AH3775" s="6">
        <f t="shared" si="517"/>
        <v>3745</v>
      </c>
      <c r="AI3775" s="7">
        <f t="shared" ca="1" si="518"/>
        <v>46415</v>
      </c>
      <c r="AJ3775" s="210">
        <f t="shared" ca="1" si="514"/>
        <v>4.1749999999999998</v>
      </c>
      <c r="AK3775" s="8">
        <f t="shared" ca="1" si="516"/>
        <v>1.0001159722222221</v>
      </c>
      <c r="AL3775" s="98">
        <f t="shared" ca="1" si="515"/>
        <v>4.1538641630006756</v>
      </c>
      <c r="AM3775" s="106">
        <f t="shared" ca="1" si="512"/>
        <v>35658.938913038095</v>
      </c>
      <c r="AN3775" s="10">
        <f t="shared" ca="1" si="513"/>
        <v>1.0919563557593825</v>
      </c>
      <c r="AO3775" s="158"/>
      <c r="AP3775" s="158"/>
    </row>
    <row r="3776" spans="31:42">
      <c r="AH3776" s="6">
        <f t="shared" si="517"/>
        <v>3746</v>
      </c>
      <c r="AI3776" s="7">
        <f t="shared" ca="1" si="518"/>
        <v>46416</v>
      </c>
      <c r="AJ3776" s="210">
        <f t="shared" ca="1" si="514"/>
        <v>4.1749999999999998</v>
      </c>
      <c r="AK3776" s="8">
        <f t="shared" ca="1" si="516"/>
        <v>1.0001159722222221</v>
      </c>
      <c r="AL3776" s="98">
        <f t="shared" ca="1" si="515"/>
        <v>4.1539094369609897</v>
      </c>
      <c r="AM3776" s="106">
        <f t="shared" ca="1" si="512"/>
        <v>35661.877261994894</v>
      </c>
      <c r="AN3776" s="10">
        <f t="shared" ca="1" si="513"/>
        <v>1.09199391399184</v>
      </c>
      <c r="AO3776" s="158"/>
      <c r="AP3776" s="158"/>
    </row>
    <row r="3777" spans="34:42">
      <c r="AH3777" s="6">
        <f t="shared" si="517"/>
        <v>3747</v>
      </c>
      <c r="AI3777" s="7">
        <f t="shared" ca="1" si="518"/>
        <v>46417</v>
      </c>
      <c r="AJ3777" s="210">
        <f t="shared" ca="1" si="514"/>
        <v>4.1749999999999998</v>
      </c>
      <c r="AK3777" s="8">
        <f t="shared" ca="1" si="516"/>
        <v>1.0001159722222221</v>
      </c>
      <c r="AL3777" s="98">
        <f t="shared" ca="1" si="515"/>
        <v>4.1539546867755295</v>
      </c>
      <c r="AM3777" s="106">
        <f t="shared" ca="1" si="512"/>
        <v>35664.815853075968</v>
      </c>
      <c r="AN3777" s="10">
        <f t="shared" ca="1" si="513"/>
        <v>1.0920314521911445</v>
      </c>
      <c r="AO3777" s="158"/>
      <c r="AP3777" s="158"/>
    </row>
    <row r="3778" spans="34:42">
      <c r="AH3778" s="6">
        <f t="shared" si="517"/>
        <v>3748</v>
      </c>
      <c r="AI3778" s="7">
        <f t="shared" ca="1" si="518"/>
        <v>46418</v>
      </c>
      <c r="AJ3778" s="210">
        <f t="shared" ca="1" si="514"/>
        <v>4.1749999999999998</v>
      </c>
      <c r="AK3778" s="8">
        <f t="shared" ca="1" si="516"/>
        <v>1.0001159722222221</v>
      </c>
      <c r="AL3778" s="98">
        <f t="shared" ca="1" si="515"/>
        <v>4.1539999124635907</v>
      </c>
      <c r="AM3778" s="106">
        <f t="shared" ca="1" si="512"/>
        <v>35667.754686301261</v>
      </c>
      <c r="AN3778" s="10">
        <f t="shared" ca="1" si="513"/>
        <v>1.0920689703733277</v>
      </c>
      <c r="AO3778" s="158"/>
      <c r="AP3778" s="158"/>
    </row>
    <row r="3779" spans="34:42">
      <c r="AH3779" s="6">
        <f t="shared" si="517"/>
        <v>3749</v>
      </c>
      <c r="AI3779" s="7">
        <f t="shared" ca="1" si="518"/>
        <v>46419</v>
      </c>
      <c r="AJ3779" s="210">
        <f t="shared" ca="1" si="514"/>
        <v>4.1749999999999998</v>
      </c>
      <c r="AK3779" s="8">
        <f t="shared" ca="1" si="516"/>
        <v>1.0001159722222221</v>
      </c>
      <c r="AL3779" s="98">
        <f t="shared" ca="1" si="515"/>
        <v>4.1540451140444912</v>
      </c>
      <c r="AM3779" s="106">
        <f t="shared" ca="1" si="512"/>
        <v>35670.693761690738</v>
      </c>
      <c r="AN3779" s="10">
        <f t="shared" ca="1" si="513"/>
        <v>1.0921064685543991</v>
      </c>
      <c r="AO3779" s="158"/>
      <c r="AP3779" s="158"/>
    </row>
    <row r="3780" spans="34:42">
      <c r="AH3780" s="6">
        <f t="shared" si="517"/>
        <v>3750</v>
      </c>
      <c r="AI3780" s="7">
        <f t="shared" ca="1" si="518"/>
        <v>46420</v>
      </c>
      <c r="AJ3780" s="210">
        <f t="shared" ca="1" si="514"/>
        <v>4.1749999999999998</v>
      </c>
      <c r="AK3780" s="8">
        <f t="shared" ca="1" si="516"/>
        <v>1.0001159722222221</v>
      </c>
      <c r="AL3780" s="98">
        <f t="shared" ca="1" si="515"/>
        <v>4.1540902915374822</v>
      </c>
      <c r="AM3780" s="106">
        <f t="shared" ca="1" si="512"/>
        <v>35673.633079264342</v>
      </c>
      <c r="AN3780" s="10">
        <f t="shared" ca="1" si="513"/>
        <v>1.0921439467503236</v>
      </c>
      <c r="AO3780" s="158"/>
      <c r="AP3780" s="158"/>
    </row>
    <row r="3781" spans="34:42">
      <c r="AH3781" s="6">
        <f t="shared" si="517"/>
        <v>3751</v>
      </c>
      <c r="AI3781" s="7">
        <f t="shared" ca="1" si="518"/>
        <v>46421</v>
      </c>
      <c r="AJ3781" s="210">
        <f t="shared" ca="1" si="514"/>
        <v>4.1749999999999998</v>
      </c>
      <c r="AK3781" s="8">
        <f t="shared" ca="1" si="516"/>
        <v>1.0001159722222221</v>
      </c>
      <c r="AL3781" s="98">
        <f t="shared" ca="1" si="515"/>
        <v>4.1541354449618151</v>
      </c>
      <c r="AM3781" s="106">
        <f t="shared" ca="1" si="512"/>
        <v>35676.572639042031</v>
      </c>
      <c r="AN3781" s="10">
        <f t="shared" ca="1" si="513"/>
        <v>1.0921814049771106</v>
      </c>
      <c r="AO3781" s="158"/>
      <c r="AP3781" s="158"/>
    </row>
    <row r="3782" spans="34:42">
      <c r="AH3782" s="6">
        <f t="shared" si="517"/>
        <v>3752</v>
      </c>
      <c r="AI3782" s="7">
        <f t="shared" ca="1" si="518"/>
        <v>46422</v>
      </c>
      <c r="AJ3782" s="210">
        <f t="shared" ca="1" si="514"/>
        <v>4.1749999999999998</v>
      </c>
      <c r="AK3782" s="8">
        <f t="shared" ca="1" si="516"/>
        <v>1.0001159722222221</v>
      </c>
      <c r="AL3782" s="98">
        <f t="shared" ca="1" si="515"/>
        <v>4.1541805743366966</v>
      </c>
      <c r="AM3782" s="106">
        <f t="shared" ca="1" si="512"/>
        <v>35679.512441043771</v>
      </c>
      <c r="AN3782" s="10">
        <f t="shared" ca="1" si="513"/>
        <v>1.0922188432506585</v>
      </c>
      <c r="AO3782" s="158"/>
      <c r="AP3782" s="158"/>
    </row>
    <row r="3783" spans="34:42">
      <c r="AH3783" s="6">
        <f t="shared" si="517"/>
        <v>3753</v>
      </c>
      <c r="AI3783" s="7">
        <f t="shared" ca="1" si="518"/>
        <v>46423</v>
      </c>
      <c r="AJ3783" s="210">
        <f t="shared" ca="1" si="514"/>
        <v>4.1749999999999998</v>
      </c>
      <c r="AK3783" s="8">
        <f t="shared" ca="1" si="516"/>
        <v>1.0001159722222221</v>
      </c>
      <c r="AL3783" s="98">
        <f t="shared" ca="1" si="515"/>
        <v>4.1542256796813559</v>
      </c>
      <c r="AM3783" s="106">
        <f t="shared" ca="1" si="512"/>
        <v>35682.452485289505</v>
      </c>
      <c r="AN3783" s="10">
        <f t="shared" ca="1" si="513"/>
        <v>1.0922562615869547</v>
      </c>
      <c r="AO3783" s="158"/>
      <c r="AP3783" s="158"/>
    </row>
    <row r="3784" spans="34:42">
      <c r="AH3784" s="6">
        <f t="shared" si="517"/>
        <v>3754</v>
      </c>
      <c r="AI3784" s="7">
        <f t="shared" ca="1" si="518"/>
        <v>46424</v>
      </c>
      <c r="AJ3784" s="210">
        <f t="shared" ca="1" si="514"/>
        <v>4.1749999999999998</v>
      </c>
      <c r="AK3784" s="8">
        <f t="shared" ca="1" si="516"/>
        <v>1.0001159722222221</v>
      </c>
      <c r="AL3784" s="98">
        <f t="shared" ca="1" si="515"/>
        <v>4.1542707610149998</v>
      </c>
      <c r="AM3784" s="106">
        <f t="shared" ca="1" si="512"/>
        <v>35685.392771799212</v>
      </c>
      <c r="AN3784" s="10">
        <f t="shared" ca="1" si="513"/>
        <v>1.0922936600019195</v>
      </c>
      <c r="AO3784" s="158"/>
      <c r="AP3784" s="158"/>
    </row>
    <row r="3785" spans="34:42">
      <c r="AH3785" s="6">
        <f t="shared" si="517"/>
        <v>3755</v>
      </c>
      <c r="AI3785" s="7">
        <f t="shared" ca="1" si="518"/>
        <v>46425</v>
      </c>
      <c r="AJ3785" s="210">
        <f t="shared" ca="1" si="514"/>
        <v>4.1749999999999998</v>
      </c>
      <c r="AK3785" s="8">
        <f t="shared" ca="1" si="516"/>
        <v>1.0001159722222221</v>
      </c>
      <c r="AL3785" s="98">
        <f t="shared" ca="1" si="515"/>
        <v>4.1543158183567686</v>
      </c>
      <c r="AM3785" s="106">
        <f t="shared" ca="1" si="512"/>
        <v>35688.333300592843</v>
      </c>
      <c r="AN3785" s="10">
        <f t="shared" ca="1" si="513"/>
        <v>1.0923310385114293</v>
      </c>
      <c r="AO3785" s="158"/>
      <c r="AP3785" s="158"/>
    </row>
    <row r="3786" spans="34:42">
      <c r="AH3786" s="6">
        <f t="shared" si="517"/>
        <v>3756</v>
      </c>
      <c r="AI3786" s="7">
        <f t="shared" ca="1" si="518"/>
        <v>46426</v>
      </c>
      <c r="AJ3786" s="210">
        <f t="shared" ca="1" si="514"/>
        <v>4.1749999999999998</v>
      </c>
      <c r="AK3786" s="8">
        <f t="shared" ca="1" si="516"/>
        <v>1.0001159722222221</v>
      </c>
      <c r="AL3786" s="98">
        <f t="shared" ca="1" si="515"/>
        <v>4.1543608517258246</v>
      </c>
      <c r="AM3786" s="106">
        <f t="shared" ca="1" si="512"/>
        <v>35691.274071690365</v>
      </c>
      <c r="AN3786" s="10">
        <f t="shared" ca="1" si="513"/>
        <v>1.0923683971314047</v>
      </c>
      <c r="AO3786" s="158"/>
      <c r="AP3786" s="158"/>
    </row>
    <row r="3787" spans="34:42">
      <c r="AH3787" s="6">
        <f t="shared" si="517"/>
        <v>3757</v>
      </c>
      <c r="AI3787" s="7">
        <f t="shared" ca="1" si="518"/>
        <v>46427</v>
      </c>
      <c r="AJ3787" s="210">
        <f t="shared" ca="1" si="514"/>
        <v>4.1749999999999998</v>
      </c>
      <c r="AK3787" s="8">
        <f t="shared" ca="1" si="516"/>
        <v>1.0001159722222221</v>
      </c>
      <c r="AL3787" s="98">
        <f t="shared" ca="1" si="515"/>
        <v>4.154405861141286</v>
      </c>
      <c r="AM3787" s="106">
        <f t="shared" ca="1" si="512"/>
        <v>35694.21508511174</v>
      </c>
      <c r="AN3787" s="10">
        <f t="shared" ca="1" si="513"/>
        <v>1.0924057358776995</v>
      </c>
      <c r="AO3787" s="158"/>
      <c r="AP3787" s="158"/>
    </row>
    <row r="3788" spans="34:42">
      <c r="AH3788" s="6">
        <f t="shared" si="517"/>
        <v>3758</v>
      </c>
      <c r="AI3788" s="7">
        <f t="shared" ca="1" si="518"/>
        <v>46428</v>
      </c>
      <c r="AJ3788" s="210">
        <f t="shared" ca="1" si="514"/>
        <v>4.1749999999999998</v>
      </c>
      <c r="AK3788" s="8">
        <f t="shared" ca="1" si="516"/>
        <v>1.0001159722222221</v>
      </c>
      <c r="AL3788" s="98">
        <f t="shared" ca="1" si="515"/>
        <v>4.1544508466222707</v>
      </c>
      <c r="AM3788" s="106">
        <f t="shared" ca="1" si="512"/>
        <v>35697.156340876951</v>
      </c>
      <c r="AN3788" s="10">
        <f t="shared" ca="1" si="513"/>
        <v>1.0924430547661679</v>
      </c>
      <c r="AO3788" s="158"/>
      <c r="AP3788" s="158"/>
    </row>
    <row r="3789" spans="34:42">
      <c r="AH3789" s="6">
        <f t="shared" si="517"/>
        <v>3759</v>
      </c>
      <c r="AI3789" s="7">
        <f t="shared" ca="1" si="518"/>
        <v>46429</v>
      </c>
      <c r="AJ3789" s="210">
        <f t="shared" ca="1" si="514"/>
        <v>4.1749999999999998</v>
      </c>
      <c r="AK3789" s="8">
        <f t="shared" ca="1" si="516"/>
        <v>1.0001159722222221</v>
      </c>
      <c r="AL3789" s="98">
        <f t="shared" ca="1" si="515"/>
        <v>4.1544958081878525</v>
      </c>
      <c r="AM3789" s="106">
        <f t="shared" ca="1" si="512"/>
        <v>35700.097839005961</v>
      </c>
      <c r="AN3789" s="10">
        <f t="shared" ca="1" si="513"/>
        <v>1.0924803538126637</v>
      </c>
      <c r="AO3789" s="158"/>
      <c r="AP3789" s="158"/>
    </row>
    <row r="3790" spans="34:42">
      <c r="AH3790" s="6">
        <f t="shared" si="517"/>
        <v>3760</v>
      </c>
      <c r="AI3790" s="7">
        <f t="shared" ca="1" si="518"/>
        <v>46430</v>
      </c>
      <c r="AJ3790" s="210">
        <f t="shared" ca="1" si="514"/>
        <v>4.1749999999999998</v>
      </c>
      <c r="AK3790" s="8">
        <f t="shared" ca="1" si="516"/>
        <v>1.0001159722222221</v>
      </c>
      <c r="AL3790" s="98">
        <f t="shared" ca="1" si="515"/>
        <v>4.1545407458571049</v>
      </c>
      <c r="AM3790" s="106">
        <f t="shared" ca="1" si="512"/>
        <v>35703.039579518736</v>
      </c>
      <c r="AN3790" s="10">
        <f t="shared" ca="1" si="513"/>
        <v>1.0925176330329744</v>
      </c>
      <c r="AO3790" s="158"/>
      <c r="AP3790" s="158"/>
    </row>
    <row r="3791" spans="34:42">
      <c r="AH3791" s="6">
        <f t="shared" si="517"/>
        <v>3761</v>
      </c>
      <c r="AI3791" s="7">
        <f t="shared" ca="1" si="518"/>
        <v>46431</v>
      </c>
      <c r="AJ3791" s="210">
        <f t="shared" ca="1" si="514"/>
        <v>4.1749999999999998</v>
      </c>
      <c r="AK3791" s="8">
        <f t="shared" ca="1" si="516"/>
        <v>1.0001159722222221</v>
      </c>
      <c r="AL3791" s="98">
        <f t="shared" ca="1" si="515"/>
        <v>4.1545856596490571</v>
      </c>
      <c r="AM3791" s="106">
        <f t="shared" ca="1" si="512"/>
        <v>35705.981562435256</v>
      </c>
      <c r="AN3791" s="10">
        <f t="shared" ca="1" si="513"/>
        <v>1.0925548924429096</v>
      </c>
      <c r="AO3791" s="158"/>
      <c r="AP3791" s="158"/>
    </row>
    <row r="3792" spans="34:42">
      <c r="AH3792" s="6">
        <f t="shared" si="517"/>
        <v>3762</v>
      </c>
      <c r="AI3792" s="7">
        <f t="shared" ca="1" si="518"/>
        <v>46432</v>
      </c>
      <c r="AJ3792" s="210">
        <f t="shared" ca="1" si="514"/>
        <v>4.1749999999999998</v>
      </c>
      <c r="AK3792" s="8">
        <f t="shared" ca="1" si="516"/>
        <v>1.0001159722222221</v>
      </c>
      <c r="AL3792" s="98">
        <f t="shared" ca="1" si="515"/>
        <v>4.1546305495827607</v>
      </c>
      <c r="AM3792" s="106">
        <f t="shared" ca="1" si="512"/>
        <v>35708.923787775486</v>
      </c>
      <c r="AN3792" s="10">
        <f t="shared" ca="1" si="513"/>
        <v>1.0925921320582788</v>
      </c>
      <c r="AO3792" s="158"/>
      <c r="AP3792" s="158"/>
    </row>
    <row r="3793" spans="34:42">
      <c r="AH3793" s="6">
        <f t="shared" si="517"/>
        <v>3763</v>
      </c>
      <c r="AI3793" s="7">
        <f t="shared" ca="1" si="518"/>
        <v>46433</v>
      </c>
      <c r="AJ3793" s="210">
        <f t="shared" ca="1" si="514"/>
        <v>4.1749999999999998</v>
      </c>
      <c r="AK3793" s="8">
        <f t="shared" ca="1" si="516"/>
        <v>1.0001159722222221</v>
      </c>
      <c r="AL3793" s="98">
        <f t="shared" ca="1" si="515"/>
        <v>4.1546754156772003</v>
      </c>
      <c r="AM3793" s="106">
        <f t="shared" ca="1" si="512"/>
        <v>35711.866255559406</v>
      </c>
      <c r="AN3793" s="10">
        <f t="shared" ca="1" si="513"/>
        <v>1.0926293518948471</v>
      </c>
      <c r="AO3793" s="158"/>
      <c r="AP3793" s="158"/>
    </row>
    <row r="3794" spans="34:42">
      <c r="AH3794" s="6">
        <f t="shared" si="517"/>
        <v>3764</v>
      </c>
      <c r="AI3794" s="7">
        <f t="shared" ca="1" si="518"/>
        <v>46434</v>
      </c>
      <c r="AJ3794" s="210">
        <f t="shared" ca="1" si="514"/>
        <v>4.1749999999999998</v>
      </c>
      <c r="AK3794" s="8">
        <f t="shared" ca="1" si="516"/>
        <v>1.0001159722222221</v>
      </c>
      <c r="AL3794" s="98">
        <f t="shared" ca="1" si="515"/>
        <v>4.1547202579513609</v>
      </c>
      <c r="AM3794" s="106">
        <f t="shared" ca="1" si="512"/>
        <v>35714.808965806988</v>
      </c>
      <c r="AN3794" s="10">
        <f t="shared" ca="1" si="513"/>
        <v>1.0926665519683576</v>
      </c>
      <c r="AO3794" s="158"/>
      <c r="AP3794" s="158"/>
    </row>
    <row r="3795" spans="34:42">
      <c r="AH3795" s="6">
        <f t="shared" si="517"/>
        <v>3765</v>
      </c>
      <c r="AI3795" s="7">
        <f t="shared" ca="1" si="518"/>
        <v>46435</v>
      </c>
      <c r="AJ3795" s="210">
        <f t="shared" ca="1" si="514"/>
        <v>4.1749999999999998</v>
      </c>
      <c r="AK3795" s="8">
        <f t="shared" ca="1" si="516"/>
        <v>1.0001159722222221</v>
      </c>
      <c r="AL3795" s="98">
        <f t="shared" ca="1" si="515"/>
        <v>4.1547650764242272</v>
      </c>
      <c r="AM3795" s="106">
        <f t="shared" ca="1" si="512"/>
        <v>35717.751918538226</v>
      </c>
      <c r="AN3795" s="10">
        <f t="shared" ca="1" si="513"/>
        <v>1.0927037322945532</v>
      </c>
      <c r="AO3795" s="158"/>
      <c r="AP3795" s="158"/>
    </row>
    <row r="3796" spans="34:42">
      <c r="AH3796" s="6">
        <f t="shared" si="517"/>
        <v>3766</v>
      </c>
      <c r="AI3796" s="7">
        <f t="shared" ca="1" si="518"/>
        <v>46436</v>
      </c>
      <c r="AJ3796" s="210">
        <f t="shared" ca="1" si="514"/>
        <v>4.1749999999999998</v>
      </c>
      <c r="AK3796" s="8">
        <f t="shared" ca="1" si="516"/>
        <v>1.0001159722222221</v>
      </c>
      <c r="AL3796" s="98">
        <f t="shared" ca="1" si="515"/>
        <v>4.1548098711147174</v>
      </c>
      <c r="AM3796" s="106">
        <f t="shared" ca="1" si="512"/>
        <v>35720.695113773094</v>
      </c>
      <c r="AN3796" s="10">
        <f t="shared" ca="1" si="513"/>
        <v>1.0927408928891325</v>
      </c>
      <c r="AO3796" s="158"/>
      <c r="AP3796" s="158"/>
    </row>
    <row r="3797" spans="34:42">
      <c r="AH3797" s="6">
        <f t="shared" si="517"/>
        <v>3767</v>
      </c>
      <c r="AI3797" s="7">
        <f t="shared" ca="1" si="518"/>
        <v>46437</v>
      </c>
      <c r="AJ3797" s="210">
        <f t="shared" ca="1" si="514"/>
        <v>4.1749999999999998</v>
      </c>
      <c r="AK3797" s="8">
        <f t="shared" ca="1" si="516"/>
        <v>1.0001159722222221</v>
      </c>
      <c r="AL3797" s="98">
        <f t="shared" ca="1" si="515"/>
        <v>4.154854642041772</v>
      </c>
      <c r="AM3797" s="106">
        <f t="shared" ca="1" si="512"/>
        <v>35723.638551531571</v>
      </c>
      <c r="AN3797" s="10">
        <f t="shared" ca="1" si="513"/>
        <v>1.0927780337678161</v>
      </c>
      <c r="AO3797" s="158"/>
      <c r="AP3797" s="158"/>
    </row>
    <row r="3798" spans="34:42">
      <c r="AH3798" s="6">
        <f t="shared" si="517"/>
        <v>3768</v>
      </c>
      <c r="AI3798" s="7">
        <f t="shared" ca="1" si="518"/>
        <v>46438</v>
      </c>
      <c r="AJ3798" s="210">
        <f t="shared" ca="1" si="514"/>
        <v>4.1749999999999998</v>
      </c>
      <c r="AK3798" s="8">
        <f t="shared" ca="1" si="516"/>
        <v>1.0001159722222221</v>
      </c>
      <c r="AL3798" s="98">
        <f t="shared" ca="1" si="515"/>
        <v>4.1548993892243091</v>
      </c>
      <c r="AM3798" s="106">
        <f t="shared" ca="1" si="512"/>
        <v>35726.582231833643</v>
      </c>
      <c r="AN3798" s="10">
        <f t="shared" ca="1" si="513"/>
        <v>1.092815154946325</v>
      </c>
      <c r="AO3798" s="158"/>
      <c r="AP3798" s="158"/>
    </row>
    <row r="3799" spans="34:42">
      <c r="AH3799" s="6">
        <f t="shared" si="517"/>
        <v>3769</v>
      </c>
      <c r="AI3799" s="7">
        <f t="shared" ca="1" si="518"/>
        <v>46439</v>
      </c>
      <c r="AJ3799" s="210">
        <f t="shared" ca="1" si="514"/>
        <v>4.1749999999999998</v>
      </c>
      <c r="AK3799" s="8">
        <f t="shared" ca="1" si="516"/>
        <v>1.0001159722222221</v>
      </c>
      <c r="AL3799" s="98">
        <f t="shared" ca="1" si="515"/>
        <v>4.1549441126811804</v>
      </c>
      <c r="AM3799" s="106">
        <f t="shared" ca="1" si="512"/>
        <v>35729.526154699292</v>
      </c>
      <c r="AN3799" s="10">
        <f t="shared" ca="1" si="513"/>
        <v>1.0928522564402687</v>
      </c>
      <c r="AO3799" s="158"/>
      <c r="AP3799" s="158"/>
    </row>
    <row r="3800" spans="34:42">
      <c r="AH3800" s="6">
        <f t="shared" si="517"/>
        <v>3770</v>
      </c>
      <c r="AI3800" s="7">
        <f t="shared" ca="1" si="518"/>
        <v>46440</v>
      </c>
      <c r="AJ3800" s="210">
        <f t="shared" ca="1" si="514"/>
        <v>4.1749999999999998</v>
      </c>
      <c r="AK3800" s="8">
        <f t="shared" ca="1" si="516"/>
        <v>1.0001159722222221</v>
      </c>
      <c r="AL3800" s="98">
        <f t="shared" ca="1" si="515"/>
        <v>4.1549888124312817</v>
      </c>
      <c r="AM3800" s="106">
        <f t="shared" ca="1" si="512"/>
        <v>35732.470320148524</v>
      </c>
      <c r="AN3800" s="10">
        <f t="shared" ca="1" si="513"/>
        <v>1.0928893382653238</v>
      </c>
      <c r="AO3800" s="158"/>
      <c r="AP3800" s="158"/>
    </row>
    <row r="3801" spans="34:42">
      <c r="AH3801" s="6">
        <f t="shared" si="517"/>
        <v>3771</v>
      </c>
      <c r="AI3801" s="7">
        <f t="shared" ca="1" si="518"/>
        <v>46441</v>
      </c>
      <c r="AJ3801" s="210">
        <f t="shared" ca="1" si="514"/>
        <v>4.1749999999999998</v>
      </c>
      <c r="AK3801" s="8">
        <f t="shared" ca="1" si="516"/>
        <v>1.0001159722222221</v>
      </c>
      <c r="AL3801" s="98">
        <f t="shared" ca="1" si="515"/>
        <v>4.1550334884934426</v>
      </c>
      <c r="AM3801" s="106">
        <f t="shared" ca="1" si="512"/>
        <v>35735.4147282013</v>
      </c>
      <c r="AN3801" s="10">
        <f t="shared" ca="1" si="513"/>
        <v>1.0929264004371442</v>
      </c>
      <c r="AO3801" s="158"/>
      <c r="AP3801" s="158"/>
    </row>
    <row r="3802" spans="34:42">
      <c r="AH3802" s="6">
        <f t="shared" si="517"/>
        <v>3772</v>
      </c>
      <c r="AI3802" s="7">
        <f t="shared" ca="1" si="518"/>
        <v>46442</v>
      </c>
      <c r="AJ3802" s="210">
        <f t="shared" ca="1" si="514"/>
        <v>4.1749999999999998</v>
      </c>
      <c r="AK3802" s="8">
        <f t="shared" ca="1" si="516"/>
        <v>1.0001159722222221</v>
      </c>
      <c r="AL3802" s="98">
        <f t="shared" ca="1" si="515"/>
        <v>4.1550781408864923</v>
      </c>
      <c r="AM3802" s="106">
        <f t="shared" ca="1" si="512"/>
        <v>35738.359378877634</v>
      </c>
      <c r="AN3802" s="10">
        <f t="shared" ca="1" si="513"/>
        <v>1.0929634429713397</v>
      </c>
      <c r="AO3802" s="158"/>
      <c r="AP3802" s="158"/>
    </row>
    <row r="3803" spans="34:42">
      <c r="AH3803" s="6">
        <f t="shared" si="517"/>
        <v>3773</v>
      </c>
      <c r="AI3803" s="7">
        <f t="shared" ca="1" si="518"/>
        <v>46443</v>
      </c>
      <c r="AJ3803" s="210">
        <f t="shared" ca="1" si="514"/>
        <v>4.1749999999999998</v>
      </c>
      <c r="AK3803" s="8">
        <f t="shared" ca="1" si="516"/>
        <v>1.0001159722222221</v>
      </c>
      <c r="AL3803" s="98">
        <f t="shared" ca="1" si="515"/>
        <v>4.1551227696292381</v>
      </c>
      <c r="AM3803" s="106">
        <f t="shared" ca="1" si="512"/>
        <v>35741.304272197507</v>
      </c>
      <c r="AN3803" s="10">
        <f t="shared" ca="1" si="513"/>
        <v>1.0930004658835202</v>
      </c>
      <c r="AO3803" s="158"/>
      <c r="AP3803" s="158"/>
    </row>
    <row r="3804" spans="34:42">
      <c r="AH3804" s="6">
        <f t="shared" si="517"/>
        <v>3774</v>
      </c>
      <c r="AI3804" s="7">
        <f t="shared" ca="1" si="518"/>
        <v>46444</v>
      </c>
      <c r="AJ3804" s="210">
        <f t="shared" ca="1" si="514"/>
        <v>4.1749999999999998</v>
      </c>
      <c r="AK3804" s="8">
        <f t="shared" ca="1" si="516"/>
        <v>1.0001159722222221</v>
      </c>
      <c r="AL3804" s="98">
        <f t="shared" ca="1" si="515"/>
        <v>4.1551673747404427</v>
      </c>
      <c r="AM3804" s="106">
        <f t="shared" ca="1" si="512"/>
        <v>35744.24940818092</v>
      </c>
      <c r="AN3804" s="10">
        <f t="shared" ca="1" si="513"/>
        <v>1.0930374691892286</v>
      </c>
      <c r="AO3804" s="158"/>
      <c r="AP3804" s="158"/>
    </row>
    <row r="3805" spans="34:42">
      <c r="AH3805" s="6">
        <f t="shared" si="517"/>
        <v>3775</v>
      </c>
      <c r="AI3805" s="7">
        <f t="shared" ca="1" si="518"/>
        <v>46445</v>
      </c>
      <c r="AJ3805" s="210">
        <f t="shared" ca="1" si="514"/>
        <v>4.1749999999999998</v>
      </c>
      <c r="AK3805" s="8">
        <f t="shared" ca="1" si="516"/>
        <v>1.0001159722222221</v>
      </c>
      <c r="AL3805" s="98">
        <f t="shared" ca="1" si="515"/>
        <v>4.1552119562388912</v>
      </c>
      <c r="AM3805" s="106">
        <f t="shared" ca="1" si="512"/>
        <v>35747.19478684786</v>
      </c>
      <c r="AN3805" s="10">
        <f t="shared" ca="1" si="513"/>
        <v>1.093074452904097</v>
      </c>
      <c r="AO3805" s="158"/>
      <c r="AP3805" s="158"/>
    </row>
    <row r="3806" spans="34:42">
      <c r="AH3806" s="6">
        <f t="shared" si="517"/>
        <v>3776</v>
      </c>
      <c r="AI3806" s="7">
        <f t="shared" ca="1" si="518"/>
        <v>46446</v>
      </c>
      <c r="AJ3806" s="210">
        <f t="shared" ca="1" si="514"/>
        <v>4.1749999999999998</v>
      </c>
      <c r="AK3806" s="8">
        <f t="shared" ca="1" si="516"/>
        <v>1.0001159722222221</v>
      </c>
      <c r="AL3806" s="98">
        <f t="shared" ca="1" si="515"/>
        <v>4.155256514143324</v>
      </c>
      <c r="AM3806" s="106">
        <f t="shared" ca="1" si="512"/>
        <v>35750.140408218329</v>
      </c>
      <c r="AN3806" s="10">
        <f t="shared" ca="1" si="513"/>
        <v>1.0931114170436462</v>
      </c>
      <c r="AO3806" s="158"/>
      <c r="AP3806" s="158"/>
    </row>
    <row r="3807" spans="34:42">
      <c r="AH3807" s="6">
        <f t="shared" si="517"/>
        <v>3777</v>
      </c>
      <c r="AI3807" s="7">
        <f t="shared" ca="1" si="518"/>
        <v>46447</v>
      </c>
      <c r="AJ3807" s="210">
        <f t="shared" ca="1" si="514"/>
        <v>4.1749999999999998</v>
      </c>
      <c r="AK3807" s="8">
        <f t="shared" ca="1" si="516"/>
        <v>1.0001159722222221</v>
      </c>
      <c r="AL3807" s="98">
        <f t="shared" ca="1" si="515"/>
        <v>4.1553010484724817</v>
      </c>
      <c r="AM3807" s="106">
        <f t="shared" ref="AM3807:AM3870" ca="1" si="519">Geom_Interp(AI3807,$AZ$2:$AZ$109,$BA$2:$BA$109)</f>
        <v>35753.086272312328</v>
      </c>
      <c r="AN3807" s="10">
        <f t="shared" ref="AN3807:AN3870" ca="1" si="520">100*(((1+AL3807/100)^(AH3807/365)*$AM$29/AM3807)^(365/AH3807)-1)</f>
        <v>1.0931483616234194</v>
      </c>
      <c r="AO3807" s="158"/>
      <c r="AP3807" s="158"/>
    </row>
    <row r="3808" spans="34:42">
      <c r="AH3808" s="6">
        <f t="shared" si="517"/>
        <v>3778</v>
      </c>
      <c r="AI3808" s="7">
        <f t="shared" ca="1" si="518"/>
        <v>46448</v>
      </c>
      <c r="AJ3808" s="210">
        <f t="shared" ref="AJ3808:AJ3871" ca="1" si="521">IF(AH3808&lt;365,VLOOKUP(LOOKUP(AI3808,$AI$2:$AI$23),$AI$2:$AK$23,3,0),Lin_Interp(AH3808,$AJ$2:$AJ$23,$AK$2:$AK$23))</f>
        <v>4.1749999999999998</v>
      </c>
      <c r="AK3808" s="8">
        <f t="shared" ca="1" si="516"/>
        <v>1.0001159722222221</v>
      </c>
      <c r="AL3808" s="98">
        <f t="shared" ca="1" si="515"/>
        <v>4.1553455592450383</v>
      </c>
      <c r="AM3808" s="106">
        <f t="shared" ca="1" si="519"/>
        <v>35756.032379149859</v>
      </c>
      <c r="AN3808" s="10">
        <f t="shared" ca="1" si="520"/>
        <v>1.0931852866589375</v>
      </c>
      <c r="AO3808" s="158"/>
      <c r="AP3808" s="158"/>
    </row>
    <row r="3809" spans="34:42">
      <c r="AH3809" s="6">
        <f t="shared" si="517"/>
        <v>3779</v>
      </c>
      <c r="AI3809" s="7">
        <f t="shared" ca="1" si="518"/>
        <v>46449</v>
      </c>
      <c r="AJ3809" s="210">
        <f t="shared" ca="1" si="521"/>
        <v>4.1749999999999998</v>
      </c>
      <c r="AK3809" s="8">
        <f t="shared" ca="1" si="516"/>
        <v>1.0001159722222221</v>
      </c>
      <c r="AL3809" s="98">
        <f t="shared" ref="AL3809:AL3872" ca="1" si="522">100*(((1+AL3808/100)^(AH3808/365)*AK3809)^(365/AH3809)-1)</f>
        <v>4.1553900464797122</v>
      </c>
      <c r="AM3809" s="106">
        <f t="shared" ca="1" si="519"/>
        <v>35758.978728750924</v>
      </c>
      <c r="AN3809" s="10">
        <f t="shared" ca="1" si="520"/>
        <v>1.0932221921657215</v>
      </c>
      <c r="AO3809" s="158"/>
      <c r="AP3809" s="158"/>
    </row>
    <row r="3810" spans="34:42">
      <c r="AH3810" s="6">
        <f t="shared" si="517"/>
        <v>3780</v>
      </c>
      <c r="AI3810" s="7">
        <f t="shared" ca="1" si="518"/>
        <v>46450</v>
      </c>
      <c r="AJ3810" s="210">
        <f t="shared" ca="1" si="521"/>
        <v>4.1749999999999998</v>
      </c>
      <c r="AK3810" s="8">
        <f t="shared" ca="1" si="516"/>
        <v>1.0001159722222221</v>
      </c>
      <c r="AL3810" s="98">
        <f t="shared" ca="1" si="522"/>
        <v>4.1554345101951551</v>
      </c>
      <c r="AM3810" s="106">
        <f t="shared" ca="1" si="519"/>
        <v>35761.925321135517</v>
      </c>
      <c r="AN3810" s="10">
        <f t="shared" ca="1" si="520"/>
        <v>1.0932590781592477</v>
      </c>
      <c r="AO3810" s="158"/>
      <c r="AP3810" s="158"/>
    </row>
    <row r="3811" spans="34:42">
      <c r="AH3811" s="6">
        <f t="shared" si="517"/>
        <v>3781</v>
      </c>
      <c r="AI3811" s="7">
        <f t="shared" ca="1" si="518"/>
        <v>46451</v>
      </c>
      <c r="AJ3811" s="210">
        <f t="shared" ca="1" si="521"/>
        <v>4.1749999999999998</v>
      </c>
      <c r="AK3811" s="8">
        <f t="shared" ca="1" si="516"/>
        <v>1.0001159722222221</v>
      </c>
      <c r="AL3811" s="98">
        <f t="shared" ca="1" si="522"/>
        <v>4.1554789504099965</v>
      </c>
      <c r="AM3811" s="106">
        <f t="shared" ca="1" si="519"/>
        <v>35764.872156323661</v>
      </c>
      <c r="AN3811" s="10">
        <f t="shared" ca="1" si="520"/>
        <v>1.0932959446549484</v>
      </c>
      <c r="AO3811" s="158"/>
      <c r="AP3811" s="158"/>
    </row>
    <row r="3812" spans="34:42">
      <c r="AH3812" s="6">
        <f t="shared" si="517"/>
        <v>3782</v>
      </c>
      <c r="AI3812" s="7">
        <f t="shared" ca="1" si="518"/>
        <v>46452</v>
      </c>
      <c r="AJ3812" s="210">
        <f t="shared" ca="1" si="521"/>
        <v>4.1749999999999998</v>
      </c>
      <c r="AK3812" s="8">
        <f t="shared" ref="AK3812:AK3875" ca="1" si="523">+(1+AJ3812/36000)</f>
        <v>1.0001159722222221</v>
      </c>
      <c r="AL3812" s="98">
        <f t="shared" ca="1" si="522"/>
        <v>4.1555233671428882</v>
      </c>
      <c r="AM3812" s="106">
        <f t="shared" ca="1" si="519"/>
        <v>35767.819234335344</v>
      </c>
      <c r="AN3812" s="10">
        <f t="shared" ca="1" si="520"/>
        <v>1.0933327916683666</v>
      </c>
      <c r="AO3812" s="158"/>
      <c r="AP3812" s="158"/>
    </row>
    <row r="3813" spans="34:42">
      <c r="AH3813" s="6">
        <f t="shared" si="517"/>
        <v>3783</v>
      </c>
      <c r="AI3813" s="7">
        <f t="shared" ca="1" si="518"/>
        <v>46453</v>
      </c>
      <c r="AJ3813" s="210">
        <f t="shared" ca="1" si="521"/>
        <v>4.1749999999999998</v>
      </c>
      <c r="AK3813" s="8">
        <f t="shared" ca="1" si="523"/>
        <v>1.0001159722222221</v>
      </c>
      <c r="AL3813" s="98">
        <f t="shared" ca="1" si="522"/>
        <v>4.1555677604124153</v>
      </c>
      <c r="AM3813" s="106">
        <f t="shared" ca="1" si="519"/>
        <v>35770.766555190596</v>
      </c>
      <c r="AN3813" s="10">
        <f t="shared" ca="1" si="520"/>
        <v>1.0933696192148457</v>
      </c>
      <c r="AO3813" s="158"/>
      <c r="AP3813" s="158"/>
    </row>
    <row r="3814" spans="34:42">
      <c r="AH3814" s="6">
        <f t="shared" si="517"/>
        <v>3784</v>
      </c>
      <c r="AI3814" s="7">
        <f t="shared" ca="1" si="518"/>
        <v>46454</v>
      </c>
      <c r="AJ3814" s="210">
        <f t="shared" ca="1" si="521"/>
        <v>4.1749999999999998</v>
      </c>
      <c r="AK3814" s="8">
        <f t="shared" ca="1" si="523"/>
        <v>1.0001159722222221</v>
      </c>
      <c r="AL3814" s="98">
        <f t="shared" ca="1" si="522"/>
        <v>4.1556121302371851</v>
      </c>
      <c r="AM3814" s="106">
        <f t="shared" ca="1" si="519"/>
        <v>35773.714118909411</v>
      </c>
      <c r="AN3814" s="10">
        <f t="shared" ca="1" si="520"/>
        <v>1.093406427309862</v>
      </c>
      <c r="AO3814" s="158"/>
      <c r="AP3814" s="158"/>
    </row>
    <row r="3815" spans="34:42">
      <c r="AH3815" s="6">
        <f t="shared" si="517"/>
        <v>3785</v>
      </c>
      <c r="AI3815" s="7">
        <f t="shared" ca="1" si="518"/>
        <v>46455</v>
      </c>
      <c r="AJ3815" s="210">
        <f t="shared" ca="1" si="521"/>
        <v>4.1749999999999998</v>
      </c>
      <c r="AK3815" s="8">
        <f t="shared" ca="1" si="523"/>
        <v>1.0001159722222221</v>
      </c>
      <c r="AL3815" s="98">
        <f t="shared" ca="1" si="522"/>
        <v>4.1556564766357607</v>
      </c>
      <c r="AM3815" s="106">
        <f t="shared" ca="1" si="519"/>
        <v>35776.661925511806</v>
      </c>
      <c r="AN3815" s="10">
        <f t="shared" ca="1" si="520"/>
        <v>1.0934432159688479</v>
      </c>
      <c r="AO3815" s="158"/>
      <c r="AP3815" s="158"/>
    </row>
    <row r="3816" spans="34:42">
      <c r="AH3816" s="6">
        <f t="shared" si="517"/>
        <v>3786</v>
      </c>
      <c r="AI3816" s="7">
        <f t="shared" ca="1" si="518"/>
        <v>46456</v>
      </c>
      <c r="AJ3816" s="210">
        <f t="shared" ca="1" si="521"/>
        <v>4.1749999999999998</v>
      </c>
      <c r="AK3816" s="8">
        <f t="shared" ca="1" si="523"/>
        <v>1.0001159722222221</v>
      </c>
      <c r="AL3816" s="98">
        <f t="shared" ca="1" si="522"/>
        <v>4.1557007996266826</v>
      </c>
      <c r="AM3816" s="106">
        <f t="shared" ca="1" si="519"/>
        <v>35779.609975017796</v>
      </c>
      <c r="AN3816" s="10">
        <f t="shared" ca="1" si="520"/>
        <v>1.0934799852071464</v>
      </c>
      <c r="AO3816" s="158"/>
      <c r="AP3816" s="158"/>
    </row>
    <row r="3817" spans="34:42">
      <c r="AH3817" s="6">
        <f t="shared" si="517"/>
        <v>3787</v>
      </c>
      <c r="AI3817" s="7">
        <f t="shared" ca="1" si="518"/>
        <v>46457</v>
      </c>
      <c r="AJ3817" s="210">
        <f t="shared" ca="1" si="521"/>
        <v>4.1749999999999998</v>
      </c>
      <c r="AK3817" s="8">
        <f t="shared" ca="1" si="523"/>
        <v>1.0001159722222221</v>
      </c>
      <c r="AL3817" s="98">
        <f t="shared" ca="1" si="522"/>
        <v>4.1557450992284695</v>
      </c>
      <c r="AM3817" s="106">
        <f t="shared" ca="1" si="519"/>
        <v>35782.558267447399</v>
      </c>
      <c r="AN3817" s="10">
        <f t="shared" ca="1" si="520"/>
        <v>1.0935167350401231</v>
      </c>
      <c r="AO3817" s="158"/>
      <c r="AP3817" s="158"/>
    </row>
    <row r="3818" spans="34:42">
      <c r="AH3818" s="6">
        <f t="shared" si="517"/>
        <v>3788</v>
      </c>
      <c r="AI3818" s="7">
        <f t="shared" ca="1" si="518"/>
        <v>46458</v>
      </c>
      <c r="AJ3818" s="210">
        <f t="shared" ca="1" si="521"/>
        <v>4.1749999999999998</v>
      </c>
      <c r="AK3818" s="8">
        <f t="shared" ca="1" si="523"/>
        <v>1.0001159722222221</v>
      </c>
      <c r="AL3818" s="98">
        <f t="shared" ca="1" si="522"/>
        <v>4.1557893754596398</v>
      </c>
      <c r="AM3818" s="106">
        <f t="shared" ca="1" si="519"/>
        <v>35785.50680282063</v>
      </c>
      <c r="AN3818" s="10">
        <f t="shared" ca="1" si="520"/>
        <v>1.0935534654831436</v>
      </c>
      <c r="AO3818" s="158"/>
      <c r="AP3818" s="158"/>
    </row>
    <row r="3819" spans="34:42">
      <c r="AH3819" s="6">
        <f t="shared" si="517"/>
        <v>3789</v>
      </c>
      <c r="AI3819" s="7">
        <f t="shared" ca="1" si="518"/>
        <v>46459</v>
      </c>
      <c r="AJ3819" s="210">
        <f t="shared" ca="1" si="521"/>
        <v>4.1749999999999998</v>
      </c>
      <c r="AK3819" s="8">
        <f t="shared" ca="1" si="523"/>
        <v>1.0001159722222221</v>
      </c>
      <c r="AL3819" s="98">
        <f t="shared" ca="1" si="522"/>
        <v>4.1558336283386899</v>
      </c>
      <c r="AM3819" s="106">
        <f t="shared" ca="1" si="519"/>
        <v>35788.455581157497</v>
      </c>
      <c r="AN3819" s="10">
        <f t="shared" ca="1" si="520"/>
        <v>1.0935901765515954</v>
      </c>
      <c r="AO3819" s="158"/>
      <c r="AP3819" s="158"/>
    </row>
    <row r="3820" spans="34:42">
      <c r="AH3820" s="6">
        <f t="shared" si="517"/>
        <v>3790</v>
      </c>
      <c r="AI3820" s="7">
        <f t="shared" ca="1" si="518"/>
        <v>46460</v>
      </c>
      <c r="AJ3820" s="210">
        <f t="shared" ca="1" si="521"/>
        <v>4.1749999999999998</v>
      </c>
      <c r="AK3820" s="8">
        <f t="shared" ca="1" si="523"/>
        <v>1.0001159722222221</v>
      </c>
      <c r="AL3820" s="98">
        <f t="shared" ca="1" si="522"/>
        <v>4.1558778578840938</v>
      </c>
      <c r="AM3820" s="106">
        <f t="shared" ca="1" si="519"/>
        <v>35791.404602478047</v>
      </c>
      <c r="AN3820" s="10">
        <f t="shared" ca="1" si="520"/>
        <v>1.0936268682607775</v>
      </c>
      <c r="AO3820" s="158"/>
      <c r="AP3820" s="158"/>
    </row>
    <row r="3821" spans="34:42">
      <c r="AH3821" s="6">
        <f t="shared" si="517"/>
        <v>3791</v>
      </c>
      <c r="AI3821" s="7">
        <f t="shared" ca="1" si="518"/>
        <v>46461</v>
      </c>
      <c r="AJ3821" s="210">
        <f t="shared" ca="1" si="521"/>
        <v>4.1749999999999998</v>
      </c>
      <c r="AK3821" s="8">
        <f t="shared" ca="1" si="523"/>
        <v>1.0001159722222221</v>
      </c>
      <c r="AL3821" s="98">
        <f t="shared" ca="1" si="522"/>
        <v>4.1559220641142813</v>
      </c>
      <c r="AM3821" s="106">
        <f t="shared" ca="1" si="519"/>
        <v>35794.353866802281</v>
      </c>
      <c r="AN3821" s="10">
        <f t="shared" ca="1" si="520"/>
        <v>1.0936635406259665</v>
      </c>
      <c r="AO3821" s="158"/>
      <c r="AP3821" s="158"/>
    </row>
    <row r="3822" spans="34:42">
      <c r="AH3822" s="6">
        <f t="shared" si="517"/>
        <v>3792</v>
      </c>
      <c r="AI3822" s="7">
        <f t="shared" ca="1" si="518"/>
        <v>46462</v>
      </c>
      <c r="AJ3822" s="210">
        <f t="shared" ca="1" si="521"/>
        <v>4.1749999999999998</v>
      </c>
      <c r="AK3822" s="8">
        <f t="shared" ca="1" si="523"/>
        <v>1.0001159722222221</v>
      </c>
      <c r="AL3822" s="98">
        <f t="shared" ca="1" si="522"/>
        <v>4.1559662470477043</v>
      </c>
      <c r="AM3822" s="106">
        <f t="shared" ca="1" si="519"/>
        <v>35797.303374150222</v>
      </c>
      <c r="AN3822" s="10">
        <f t="shared" ca="1" si="520"/>
        <v>1.0937001936625057</v>
      </c>
      <c r="AO3822" s="158"/>
      <c r="AP3822" s="158"/>
    </row>
    <row r="3823" spans="34:42">
      <c r="AH3823" s="6">
        <f t="shared" si="517"/>
        <v>3793</v>
      </c>
      <c r="AI3823" s="7">
        <f t="shared" ca="1" si="518"/>
        <v>46463</v>
      </c>
      <c r="AJ3823" s="210">
        <f t="shared" ca="1" si="521"/>
        <v>4.1749999999999998</v>
      </c>
      <c r="AK3823" s="8">
        <f t="shared" ca="1" si="523"/>
        <v>1.0001159722222221</v>
      </c>
      <c r="AL3823" s="98">
        <f t="shared" ca="1" si="522"/>
        <v>4.1560104067027481</v>
      </c>
      <c r="AM3823" s="106">
        <f t="shared" ca="1" si="519"/>
        <v>35800.253124541916</v>
      </c>
      <c r="AN3823" s="10">
        <f t="shared" ca="1" si="520"/>
        <v>1.0937368273856274</v>
      </c>
      <c r="AO3823" s="158"/>
      <c r="AP3823" s="158"/>
    </row>
    <row r="3824" spans="34:42">
      <c r="AH3824" s="6">
        <f t="shared" si="517"/>
        <v>3794</v>
      </c>
      <c r="AI3824" s="7">
        <f t="shared" ca="1" si="518"/>
        <v>46464</v>
      </c>
      <c r="AJ3824" s="210">
        <f t="shared" ca="1" si="521"/>
        <v>4.1749999999999998</v>
      </c>
      <c r="AK3824" s="8">
        <f t="shared" ca="1" si="523"/>
        <v>1.0001159722222221</v>
      </c>
      <c r="AL3824" s="98">
        <f t="shared" ca="1" si="522"/>
        <v>4.1560545430978202</v>
      </c>
      <c r="AM3824" s="106">
        <f t="shared" ca="1" si="519"/>
        <v>35803.203117997364</v>
      </c>
      <c r="AN3824" s="10">
        <f t="shared" ca="1" si="520"/>
        <v>1.0937734418106304</v>
      </c>
      <c r="AO3824" s="158"/>
      <c r="AP3824" s="158"/>
    </row>
    <row r="3825" spans="34:42">
      <c r="AH3825" s="6">
        <f t="shared" si="517"/>
        <v>3795</v>
      </c>
      <c r="AI3825" s="7">
        <f t="shared" ca="1" si="518"/>
        <v>46465</v>
      </c>
      <c r="AJ3825" s="210">
        <f t="shared" ca="1" si="521"/>
        <v>4.1749999999999998</v>
      </c>
      <c r="AK3825" s="8">
        <f t="shared" ca="1" si="523"/>
        <v>1.0001159722222221</v>
      </c>
      <c r="AL3825" s="98">
        <f t="shared" ca="1" si="522"/>
        <v>4.1560986562513058</v>
      </c>
      <c r="AM3825" s="106">
        <f t="shared" ca="1" si="519"/>
        <v>35806.153354536611</v>
      </c>
      <c r="AN3825" s="10">
        <f t="shared" ca="1" si="520"/>
        <v>1.093810036952747</v>
      </c>
      <c r="AO3825" s="158"/>
      <c r="AP3825" s="158"/>
    </row>
    <row r="3826" spans="34:42">
      <c r="AH3826" s="6">
        <f t="shared" si="517"/>
        <v>3796</v>
      </c>
      <c r="AI3826" s="7">
        <f t="shared" ca="1" si="518"/>
        <v>46466</v>
      </c>
      <c r="AJ3826" s="210">
        <f t="shared" ca="1" si="521"/>
        <v>4.1749999999999998</v>
      </c>
      <c r="AK3826" s="8">
        <f t="shared" ca="1" si="523"/>
        <v>1.0001159722222221</v>
      </c>
      <c r="AL3826" s="98">
        <f t="shared" ca="1" si="522"/>
        <v>4.1561427461815459</v>
      </c>
      <c r="AM3826" s="106">
        <f t="shared" ca="1" si="519"/>
        <v>35809.103834179681</v>
      </c>
      <c r="AN3826" s="10">
        <f t="shared" ca="1" si="520"/>
        <v>1.0938466128272095</v>
      </c>
      <c r="AO3826" s="158"/>
      <c r="AP3826" s="158"/>
    </row>
    <row r="3827" spans="34:42">
      <c r="AH3827" s="6">
        <f t="shared" si="517"/>
        <v>3797</v>
      </c>
      <c r="AI3827" s="7">
        <f t="shared" ca="1" si="518"/>
        <v>46467</v>
      </c>
      <c r="AJ3827" s="210">
        <f t="shared" ca="1" si="521"/>
        <v>4.1749999999999998</v>
      </c>
      <c r="AK3827" s="8">
        <f t="shared" ca="1" si="523"/>
        <v>1.0001159722222221</v>
      </c>
      <c r="AL3827" s="98">
        <f t="shared" ca="1" si="522"/>
        <v>4.1561868129068591</v>
      </c>
      <c r="AM3827" s="106">
        <f t="shared" ca="1" si="519"/>
        <v>35812.054556946612</v>
      </c>
      <c r="AN3827" s="10">
        <f t="shared" ca="1" si="520"/>
        <v>1.0938831694492057</v>
      </c>
      <c r="AO3827" s="158"/>
      <c r="AP3827" s="158"/>
    </row>
    <row r="3828" spans="34:42">
      <c r="AH3828" s="6">
        <f t="shared" si="517"/>
        <v>3798</v>
      </c>
      <c r="AI3828" s="7">
        <f t="shared" ca="1" si="518"/>
        <v>46468</v>
      </c>
      <c r="AJ3828" s="210">
        <f t="shared" ca="1" si="521"/>
        <v>4.1749999999999998</v>
      </c>
      <c r="AK3828" s="8">
        <f t="shared" ca="1" si="523"/>
        <v>1.0001159722222221</v>
      </c>
      <c r="AL3828" s="98">
        <f t="shared" ca="1" si="522"/>
        <v>4.1562308564455863</v>
      </c>
      <c r="AM3828" s="106">
        <f t="shared" ca="1" si="519"/>
        <v>35815.005522857427</v>
      </c>
      <c r="AN3828" s="10">
        <f t="shared" ca="1" si="520"/>
        <v>1.0939197068339679</v>
      </c>
      <c r="AO3828" s="158"/>
      <c r="AP3828" s="158"/>
    </row>
    <row r="3829" spans="34:42">
      <c r="AH3829" s="6">
        <f t="shared" si="517"/>
        <v>3799</v>
      </c>
      <c r="AI3829" s="7">
        <f t="shared" ca="1" si="518"/>
        <v>46469</v>
      </c>
      <c r="AJ3829" s="210">
        <f t="shared" ca="1" si="521"/>
        <v>4.1749999999999998</v>
      </c>
      <c r="AK3829" s="8">
        <f t="shared" ca="1" si="523"/>
        <v>1.0001159722222221</v>
      </c>
      <c r="AL3829" s="98">
        <f t="shared" ca="1" si="522"/>
        <v>4.1562748768160018</v>
      </c>
      <c r="AM3829" s="106">
        <f t="shared" ca="1" si="519"/>
        <v>35817.956731932172</v>
      </c>
      <c r="AN3829" s="10">
        <f t="shared" ca="1" si="520"/>
        <v>1.0939562249966395</v>
      </c>
      <c r="AO3829" s="158"/>
      <c r="AP3829" s="158"/>
    </row>
    <row r="3830" spans="34:42">
      <c r="AH3830" s="6">
        <f t="shared" si="517"/>
        <v>3800</v>
      </c>
      <c r="AI3830" s="7">
        <f t="shared" ca="1" si="518"/>
        <v>46470</v>
      </c>
      <c r="AJ3830" s="210">
        <f t="shared" ca="1" si="521"/>
        <v>4.1749999999999998</v>
      </c>
      <c r="AK3830" s="8">
        <f t="shared" ca="1" si="523"/>
        <v>1.0001159722222221</v>
      </c>
      <c r="AL3830" s="98">
        <f t="shared" ca="1" si="522"/>
        <v>4.1563188740364021</v>
      </c>
      <c r="AM3830" s="106">
        <f t="shared" ca="1" si="519"/>
        <v>35820.908184190885</v>
      </c>
      <c r="AN3830" s="10">
        <f t="shared" ca="1" si="520"/>
        <v>1.0939927239524305</v>
      </c>
      <c r="AO3830" s="158"/>
      <c r="AP3830" s="158"/>
    </row>
    <row r="3831" spans="34:42">
      <c r="AH3831" s="6">
        <f t="shared" ref="AH3831:AH3894" si="524">$AI$29+AH3830</f>
        <v>3801</v>
      </c>
      <c r="AI3831" s="7">
        <f t="shared" ref="AI3831:AI3894" ca="1" si="525">+AH3831+$C$1</f>
        <v>46471</v>
      </c>
      <c r="AJ3831" s="210">
        <f t="shared" ca="1" si="521"/>
        <v>4.1749999999999998</v>
      </c>
      <c r="AK3831" s="8">
        <f t="shared" ca="1" si="523"/>
        <v>1.0001159722222221</v>
      </c>
      <c r="AL3831" s="98">
        <f t="shared" ca="1" si="522"/>
        <v>4.1563628481250392</v>
      </c>
      <c r="AM3831" s="106">
        <f t="shared" ca="1" si="519"/>
        <v>35823.859879653603</v>
      </c>
      <c r="AN3831" s="10">
        <f t="shared" ca="1" si="520"/>
        <v>1.0940292037164623</v>
      </c>
      <c r="AO3831" s="158"/>
      <c r="AP3831" s="158"/>
    </row>
    <row r="3832" spans="34:42">
      <c r="AH3832" s="6">
        <f t="shared" si="524"/>
        <v>3802</v>
      </c>
      <c r="AI3832" s="7">
        <f t="shared" ca="1" si="525"/>
        <v>46472</v>
      </c>
      <c r="AJ3832" s="210">
        <f t="shared" ca="1" si="521"/>
        <v>4.1749999999999998</v>
      </c>
      <c r="AK3832" s="8">
        <f t="shared" ca="1" si="523"/>
        <v>1.0001159722222221</v>
      </c>
      <c r="AL3832" s="98">
        <f t="shared" ca="1" si="522"/>
        <v>4.156406799100143</v>
      </c>
      <c r="AM3832" s="106">
        <f t="shared" ca="1" si="519"/>
        <v>35826.811818340357</v>
      </c>
      <c r="AN3832" s="10">
        <f t="shared" ca="1" si="520"/>
        <v>1.0940656643038782</v>
      </c>
      <c r="AO3832" s="158"/>
      <c r="AP3832" s="158"/>
    </row>
    <row r="3833" spans="34:42">
      <c r="AH3833" s="6">
        <f t="shared" si="524"/>
        <v>3803</v>
      </c>
      <c r="AI3833" s="7">
        <f t="shared" ca="1" si="525"/>
        <v>46473</v>
      </c>
      <c r="AJ3833" s="210">
        <f t="shared" ca="1" si="521"/>
        <v>4.1749999999999998</v>
      </c>
      <c r="AK3833" s="8">
        <f t="shared" ca="1" si="523"/>
        <v>1.0001159722222221</v>
      </c>
      <c r="AL3833" s="98">
        <f t="shared" ca="1" si="522"/>
        <v>4.1564507269799211</v>
      </c>
      <c r="AM3833" s="106">
        <f t="shared" ca="1" si="519"/>
        <v>35829.7640002712</v>
      </c>
      <c r="AN3833" s="10">
        <f t="shared" ca="1" si="520"/>
        <v>1.0941021057297551</v>
      </c>
      <c r="AO3833" s="158"/>
      <c r="AP3833" s="158"/>
    </row>
    <row r="3834" spans="34:42">
      <c r="AH3834" s="6">
        <f t="shared" si="524"/>
        <v>3804</v>
      </c>
      <c r="AI3834" s="7">
        <f t="shared" ca="1" si="525"/>
        <v>46474</v>
      </c>
      <c r="AJ3834" s="210">
        <f t="shared" ca="1" si="521"/>
        <v>4.1749999999999998</v>
      </c>
      <c r="AK3834" s="8">
        <f t="shared" ca="1" si="523"/>
        <v>1.0001159722222221</v>
      </c>
      <c r="AL3834" s="98">
        <f t="shared" ca="1" si="522"/>
        <v>4.1564946317825813</v>
      </c>
      <c r="AM3834" s="106">
        <f t="shared" ca="1" si="519"/>
        <v>35832.716425466169</v>
      </c>
      <c r="AN3834" s="10">
        <f t="shared" ca="1" si="520"/>
        <v>1.0941385280092364</v>
      </c>
      <c r="AO3834" s="158"/>
      <c r="AP3834" s="158"/>
    </row>
    <row r="3835" spans="34:42">
      <c r="AH3835" s="6">
        <f t="shared" si="524"/>
        <v>3805</v>
      </c>
      <c r="AI3835" s="7">
        <f t="shared" ca="1" si="525"/>
        <v>46475</v>
      </c>
      <c r="AJ3835" s="210">
        <f t="shared" ca="1" si="521"/>
        <v>4.1749999999999998</v>
      </c>
      <c r="AK3835" s="8">
        <f t="shared" ca="1" si="523"/>
        <v>1.0001159722222221</v>
      </c>
      <c r="AL3835" s="98">
        <f t="shared" ca="1" si="522"/>
        <v>4.1565385135263089</v>
      </c>
      <c r="AM3835" s="106">
        <f t="shared" ca="1" si="519"/>
        <v>35835.669093945304</v>
      </c>
      <c r="AN3835" s="10">
        <f t="shared" ca="1" si="520"/>
        <v>1.0941749311574211</v>
      </c>
      <c r="AO3835" s="158"/>
      <c r="AP3835" s="158"/>
    </row>
    <row r="3836" spans="34:42">
      <c r="AH3836" s="6">
        <f t="shared" si="524"/>
        <v>3806</v>
      </c>
      <c r="AI3836" s="7">
        <f t="shared" ca="1" si="525"/>
        <v>46476</v>
      </c>
      <c r="AJ3836" s="210">
        <f t="shared" ca="1" si="521"/>
        <v>4.1749999999999998</v>
      </c>
      <c r="AK3836" s="8">
        <f t="shared" ca="1" si="523"/>
        <v>1.0001159722222221</v>
      </c>
      <c r="AL3836" s="98">
        <f t="shared" ca="1" si="522"/>
        <v>4.1565823722292672</v>
      </c>
      <c r="AM3836" s="106">
        <f t="shared" ca="1" si="519"/>
        <v>35838.622005728677</v>
      </c>
      <c r="AN3836" s="10">
        <f t="shared" ca="1" si="520"/>
        <v>1.0942113151893196</v>
      </c>
      <c r="AO3836" s="158"/>
      <c r="AP3836" s="158"/>
    </row>
    <row r="3837" spans="34:42">
      <c r="AH3837" s="6">
        <f t="shared" si="524"/>
        <v>3807</v>
      </c>
      <c r="AI3837" s="7">
        <f t="shared" ca="1" si="525"/>
        <v>46477</v>
      </c>
      <c r="AJ3837" s="210">
        <f t="shared" ca="1" si="521"/>
        <v>4.1749999999999998</v>
      </c>
      <c r="AK3837" s="8">
        <f t="shared" ca="1" si="523"/>
        <v>1.0001159722222221</v>
      </c>
      <c r="AL3837" s="98">
        <f t="shared" ca="1" si="522"/>
        <v>4.1566262079095972</v>
      </c>
      <c r="AM3837" s="106">
        <f t="shared" ca="1" si="519"/>
        <v>35841.575160836299</v>
      </c>
      <c r="AN3837" s="10">
        <f t="shared" ca="1" si="520"/>
        <v>1.0942476801200529</v>
      </c>
      <c r="AO3837" s="158"/>
      <c r="AP3837" s="158"/>
    </row>
    <row r="3838" spans="34:42">
      <c r="AH3838" s="6">
        <f t="shared" si="524"/>
        <v>3808</v>
      </c>
      <c r="AI3838" s="7">
        <f t="shared" ca="1" si="525"/>
        <v>46478</v>
      </c>
      <c r="AJ3838" s="210">
        <f t="shared" ca="1" si="521"/>
        <v>4.1749999999999998</v>
      </c>
      <c r="AK3838" s="8">
        <f t="shared" ca="1" si="523"/>
        <v>1.0001159722222221</v>
      </c>
      <c r="AL3838" s="98">
        <f t="shared" ca="1" si="522"/>
        <v>4.1566700205854179</v>
      </c>
      <c r="AM3838" s="106">
        <f t="shared" ca="1" si="519"/>
        <v>35844.528559288257</v>
      </c>
      <c r="AN3838" s="10">
        <f t="shared" ca="1" si="520"/>
        <v>1.0942840259646314</v>
      </c>
      <c r="AO3838" s="158"/>
      <c r="AP3838" s="158"/>
    </row>
    <row r="3839" spans="34:42">
      <c r="AH3839" s="6">
        <f t="shared" si="524"/>
        <v>3809</v>
      </c>
      <c r="AI3839" s="7">
        <f t="shared" ca="1" si="525"/>
        <v>46479</v>
      </c>
      <c r="AJ3839" s="210">
        <f t="shared" ca="1" si="521"/>
        <v>4.1749999999999998</v>
      </c>
      <c r="AK3839" s="8">
        <f t="shared" ca="1" si="523"/>
        <v>1.0001159722222221</v>
      </c>
      <c r="AL3839" s="98">
        <f t="shared" ca="1" si="522"/>
        <v>4.156713810274848</v>
      </c>
      <c r="AM3839" s="106">
        <f t="shared" ca="1" si="519"/>
        <v>35847.482201104584</v>
      </c>
      <c r="AN3839" s="10">
        <f t="shared" ca="1" si="520"/>
        <v>1.0943203527380652</v>
      </c>
      <c r="AO3839" s="158"/>
      <c r="AP3839" s="158"/>
    </row>
    <row r="3840" spans="34:42">
      <c r="AH3840" s="6">
        <f t="shared" si="524"/>
        <v>3810</v>
      </c>
      <c r="AI3840" s="7">
        <f t="shared" ca="1" si="525"/>
        <v>46480</v>
      </c>
      <c r="AJ3840" s="210">
        <f t="shared" ca="1" si="521"/>
        <v>4.1749999999999998</v>
      </c>
      <c r="AK3840" s="8">
        <f t="shared" ca="1" si="523"/>
        <v>1.0001159722222221</v>
      </c>
      <c r="AL3840" s="98">
        <f t="shared" ca="1" si="522"/>
        <v>4.1567575769959619</v>
      </c>
      <c r="AM3840" s="106">
        <f t="shared" ca="1" si="519"/>
        <v>35850.43608630533</v>
      </c>
      <c r="AN3840" s="10">
        <f t="shared" ca="1" si="520"/>
        <v>1.0943566604553867</v>
      </c>
      <c r="AO3840" s="158"/>
      <c r="AP3840" s="158"/>
    </row>
    <row r="3841" spans="34:42">
      <c r="AH3841" s="6">
        <f t="shared" si="524"/>
        <v>3811</v>
      </c>
      <c r="AI3841" s="7">
        <f t="shared" ca="1" si="525"/>
        <v>46481</v>
      </c>
      <c r="AJ3841" s="210">
        <f t="shared" ca="1" si="521"/>
        <v>4.1749999999999998</v>
      </c>
      <c r="AK3841" s="8">
        <f t="shared" ca="1" si="523"/>
        <v>1.0001159722222221</v>
      </c>
      <c r="AL3841" s="98">
        <f t="shared" ca="1" si="522"/>
        <v>4.156801320766812</v>
      </c>
      <c r="AM3841" s="106">
        <f t="shared" ca="1" si="519"/>
        <v>35853.390214910556</v>
      </c>
      <c r="AN3841" s="10">
        <f t="shared" ca="1" si="520"/>
        <v>1.0943929491315396</v>
      </c>
      <c r="AO3841" s="158"/>
      <c r="AP3841" s="158"/>
    </row>
    <row r="3842" spans="34:42">
      <c r="AH3842" s="6">
        <f t="shared" si="524"/>
        <v>3812</v>
      </c>
      <c r="AI3842" s="7">
        <f t="shared" ca="1" si="525"/>
        <v>46482</v>
      </c>
      <c r="AJ3842" s="210">
        <f t="shared" ca="1" si="521"/>
        <v>4.1749999999999998</v>
      </c>
      <c r="AK3842" s="8">
        <f t="shared" ca="1" si="523"/>
        <v>1.0001159722222221</v>
      </c>
      <c r="AL3842" s="98">
        <f t="shared" ca="1" si="522"/>
        <v>4.1568450416054503</v>
      </c>
      <c r="AM3842" s="106">
        <f t="shared" ca="1" si="519"/>
        <v>35856.344586940329</v>
      </c>
      <c r="AN3842" s="10">
        <f t="shared" ca="1" si="520"/>
        <v>1.0944292187815341</v>
      </c>
      <c r="AO3842" s="158"/>
      <c r="AP3842" s="158"/>
    </row>
    <row r="3843" spans="34:42">
      <c r="AH3843" s="6">
        <f t="shared" si="524"/>
        <v>3813</v>
      </c>
      <c r="AI3843" s="7">
        <f t="shared" ca="1" si="525"/>
        <v>46483</v>
      </c>
      <c r="AJ3843" s="210">
        <f t="shared" ca="1" si="521"/>
        <v>4.1749999999999998</v>
      </c>
      <c r="AK3843" s="8">
        <f t="shared" ca="1" si="523"/>
        <v>1.0001159722222221</v>
      </c>
      <c r="AL3843" s="98">
        <f t="shared" ca="1" si="522"/>
        <v>4.1568887395299292</v>
      </c>
      <c r="AM3843" s="106">
        <f t="shared" ca="1" si="519"/>
        <v>35859.299202414695</v>
      </c>
      <c r="AN3843" s="10">
        <f t="shared" ca="1" si="520"/>
        <v>1.094465469420336</v>
      </c>
      <c r="AO3843" s="158"/>
      <c r="AP3843" s="158"/>
    </row>
    <row r="3844" spans="34:42">
      <c r="AH3844" s="6">
        <f t="shared" si="524"/>
        <v>3814</v>
      </c>
      <c r="AI3844" s="7">
        <f t="shared" ca="1" si="525"/>
        <v>46484</v>
      </c>
      <c r="AJ3844" s="210">
        <f t="shared" ca="1" si="521"/>
        <v>4.1749999999999998</v>
      </c>
      <c r="AK3844" s="8">
        <f t="shared" ca="1" si="523"/>
        <v>1.0001159722222221</v>
      </c>
      <c r="AL3844" s="98">
        <f t="shared" ca="1" si="522"/>
        <v>4.1569324145582343</v>
      </c>
      <c r="AM3844" s="106">
        <f t="shared" ca="1" si="519"/>
        <v>35862.254061353706</v>
      </c>
      <c r="AN3844" s="10">
        <f t="shared" ca="1" si="520"/>
        <v>1.0945017010628888</v>
      </c>
      <c r="AO3844" s="158"/>
      <c r="AP3844" s="158"/>
    </row>
    <row r="3845" spans="34:42">
      <c r="AH3845" s="6">
        <f t="shared" si="524"/>
        <v>3815</v>
      </c>
      <c r="AI3845" s="7">
        <f t="shared" ca="1" si="525"/>
        <v>46485</v>
      </c>
      <c r="AJ3845" s="210">
        <f t="shared" ca="1" si="521"/>
        <v>4.1749999999999998</v>
      </c>
      <c r="AK3845" s="8">
        <f t="shared" ca="1" si="523"/>
        <v>1.0001159722222221</v>
      </c>
      <c r="AL3845" s="98">
        <f t="shared" ca="1" si="522"/>
        <v>4.1569760667083733</v>
      </c>
      <c r="AM3845" s="106">
        <f t="shared" ca="1" si="519"/>
        <v>35865.209163777443</v>
      </c>
      <c r="AN3845" s="10">
        <f t="shared" ca="1" si="520"/>
        <v>1.094537913724114</v>
      </c>
      <c r="AO3845" s="158"/>
      <c r="AP3845" s="158"/>
    </row>
    <row r="3846" spans="34:42">
      <c r="AH3846" s="6">
        <f t="shared" si="524"/>
        <v>3816</v>
      </c>
      <c r="AI3846" s="7">
        <f t="shared" ca="1" si="525"/>
        <v>46486</v>
      </c>
      <c r="AJ3846" s="210">
        <f t="shared" ca="1" si="521"/>
        <v>4.1749999999999998</v>
      </c>
      <c r="AK3846" s="8">
        <f t="shared" ca="1" si="523"/>
        <v>1.0001159722222221</v>
      </c>
      <c r="AL3846" s="98">
        <f t="shared" ca="1" si="522"/>
        <v>4.1570196959982875</v>
      </c>
      <c r="AM3846" s="106">
        <f t="shared" ca="1" si="519"/>
        <v>35868.164509705966</v>
      </c>
      <c r="AN3846" s="10">
        <f t="shared" ca="1" si="520"/>
        <v>1.0945741074188886</v>
      </c>
      <c r="AO3846" s="158"/>
      <c r="AP3846" s="158"/>
    </row>
    <row r="3847" spans="34:42">
      <c r="AH3847" s="6">
        <f t="shared" si="524"/>
        <v>3817</v>
      </c>
      <c r="AI3847" s="7">
        <f t="shared" ca="1" si="525"/>
        <v>46487</v>
      </c>
      <c r="AJ3847" s="210">
        <f t="shared" ca="1" si="521"/>
        <v>4.1749999999999998</v>
      </c>
      <c r="AK3847" s="8">
        <f t="shared" ca="1" si="523"/>
        <v>1.0001159722222221</v>
      </c>
      <c r="AL3847" s="98">
        <f t="shared" ca="1" si="522"/>
        <v>4.1570633024459624</v>
      </c>
      <c r="AM3847" s="106">
        <f t="shared" ca="1" si="519"/>
        <v>35871.120099159336</v>
      </c>
      <c r="AN3847" s="10">
        <f t="shared" ca="1" si="520"/>
        <v>1.094610282162134</v>
      </c>
      <c r="AO3847" s="158"/>
      <c r="AP3847" s="158"/>
    </row>
    <row r="3848" spans="34:42">
      <c r="AH3848" s="6">
        <f t="shared" si="524"/>
        <v>3818</v>
      </c>
      <c r="AI3848" s="7">
        <f t="shared" ca="1" si="525"/>
        <v>46488</v>
      </c>
      <c r="AJ3848" s="210">
        <f t="shared" ca="1" si="521"/>
        <v>4.1749999999999998</v>
      </c>
      <c r="AK3848" s="8">
        <f t="shared" ca="1" si="523"/>
        <v>1.0001159722222221</v>
      </c>
      <c r="AL3848" s="98">
        <f t="shared" ca="1" si="522"/>
        <v>4.1571068860693172</v>
      </c>
      <c r="AM3848" s="106">
        <f t="shared" ca="1" si="519"/>
        <v>35874.075932157612</v>
      </c>
      <c r="AN3848" s="10">
        <f t="shared" ca="1" si="520"/>
        <v>1.0946464379687715</v>
      </c>
      <c r="AO3848" s="158"/>
      <c r="AP3848" s="158"/>
    </row>
    <row r="3849" spans="34:42">
      <c r="AH3849" s="6">
        <f t="shared" si="524"/>
        <v>3819</v>
      </c>
      <c r="AI3849" s="7">
        <f t="shared" ca="1" si="525"/>
        <v>46489</v>
      </c>
      <c r="AJ3849" s="210">
        <f t="shared" ca="1" si="521"/>
        <v>4.1749999999999998</v>
      </c>
      <c r="AK3849" s="8">
        <f t="shared" ca="1" si="523"/>
        <v>1.0001159722222221</v>
      </c>
      <c r="AL3849" s="98">
        <f t="shared" ca="1" si="522"/>
        <v>4.1571504468862708</v>
      </c>
      <c r="AM3849" s="106">
        <f t="shared" ca="1" si="519"/>
        <v>35877.032008720867</v>
      </c>
      <c r="AN3849" s="10">
        <f t="shared" ca="1" si="520"/>
        <v>1.0946825748536115</v>
      </c>
      <c r="AO3849" s="158"/>
      <c r="AP3849" s="158"/>
    </row>
    <row r="3850" spans="34:42">
      <c r="AH3850" s="6">
        <f t="shared" si="524"/>
        <v>3820</v>
      </c>
      <c r="AI3850" s="7">
        <f t="shared" ca="1" si="525"/>
        <v>46490</v>
      </c>
      <c r="AJ3850" s="210">
        <f t="shared" ca="1" si="521"/>
        <v>4.1749999999999998</v>
      </c>
      <c r="AK3850" s="8">
        <f t="shared" ca="1" si="523"/>
        <v>1.0001159722222221</v>
      </c>
      <c r="AL3850" s="98">
        <f t="shared" ca="1" si="522"/>
        <v>4.1571939849147199</v>
      </c>
      <c r="AM3850" s="106">
        <f t="shared" ca="1" si="519"/>
        <v>35879.988328869185</v>
      </c>
      <c r="AN3850" s="10">
        <f t="shared" ca="1" si="520"/>
        <v>1.0947186928315311</v>
      </c>
      <c r="AO3850" s="158"/>
      <c r="AP3850" s="158"/>
    </row>
    <row r="3851" spans="34:42">
      <c r="AH3851" s="6">
        <f t="shared" si="524"/>
        <v>3821</v>
      </c>
      <c r="AI3851" s="7">
        <f t="shared" ca="1" si="525"/>
        <v>46491</v>
      </c>
      <c r="AJ3851" s="210">
        <f t="shared" ca="1" si="521"/>
        <v>4.1749999999999998</v>
      </c>
      <c r="AK3851" s="8">
        <f t="shared" ca="1" si="523"/>
        <v>1.0001159722222221</v>
      </c>
      <c r="AL3851" s="98">
        <f t="shared" ca="1" si="522"/>
        <v>4.1572375001725392</v>
      </c>
      <c r="AM3851" s="106">
        <f t="shared" ca="1" si="519"/>
        <v>35882.94489262261</v>
      </c>
      <c r="AN3851" s="10">
        <f t="shared" ca="1" si="520"/>
        <v>1.0947547919173628</v>
      </c>
      <c r="AO3851" s="158"/>
      <c r="AP3851" s="158"/>
    </row>
    <row r="3852" spans="34:42">
      <c r="AH3852" s="6">
        <f t="shared" si="524"/>
        <v>3822</v>
      </c>
      <c r="AI3852" s="7">
        <f t="shared" ca="1" si="525"/>
        <v>46492</v>
      </c>
      <c r="AJ3852" s="210">
        <f t="shared" ca="1" si="521"/>
        <v>4.1749999999999998</v>
      </c>
      <c r="AK3852" s="8">
        <f t="shared" ca="1" si="523"/>
        <v>1.0001159722222221</v>
      </c>
      <c r="AL3852" s="98">
        <f t="shared" ca="1" si="522"/>
        <v>4.1572809926775811</v>
      </c>
      <c r="AM3852" s="106">
        <f t="shared" ca="1" si="519"/>
        <v>35885.901700001246</v>
      </c>
      <c r="AN3852" s="10">
        <f t="shared" ca="1" si="520"/>
        <v>1.0947908721258948</v>
      </c>
      <c r="AO3852" s="158"/>
      <c r="AP3852" s="158"/>
    </row>
    <row r="3853" spans="34:42">
      <c r="AH3853" s="6">
        <f t="shared" si="524"/>
        <v>3823</v>
      </c>
      <c r="AI3853" s="7">
        <f t="shared" ca="1" si="525"/>
        <v>46493</v>
      </c>
      <c r="AJ3853" s="210">
        <f t="shared" ca="1" si="521"/>
        <v>4.1749999999999998</v>
      </c>
      <c r="AK3853" s="8">
        <f t="shared" ca="1" si="523"/>
        <v>1.0001159722222221</v>
      </c>
      <c r="AL3853" s="98">
        <f t="shared" ca="1" si="522"/>
        <v>4.1573244624476979</v>
      </c>
      <c r="AM3853" s="106">
        <f t="shared" ca="1" si="519"/>
        <v>35888.858751025153</v>
      </c>
      <c r="AN3853" s="10">
        <f t="shared" ca="1" si="520"/>
        <v>1.0948269334719596</v>
      </c>
      <c r="AO3853" s="158"/>
      <c r="AP3853" s="158"/>
    </row>
    <row r="3854" spans="34:42">
      <c r="AH3854" s="6">
        <f t="shared" si="524"/>
        <v>3824</v>
      </c>
      <c r="AI3854" s="7">
        <f t="shared" ca="1" si="525"/>
        <v>46494</v>
      </c>
      <c r="AJ3854" s="210">
        <f t="shared" ca="1" si="521"/>
        <v>4.1749999999999998</v>
      </c>
      <c r="AK3854" s="8">
        <f t="shared" ca="1" si="523"/>
        <v>1.0001159722222221</v>
      </c>
      <c r="AL3854" s="98">
        <f t="shared" ca="1" si="522"/>
        <v>4.1573679095006977</v>
      </c>
      <c r="AM3854" s="106">
        <f t="shared" ca="1" si="519"/>
        <v>35891.816045714404</v>
      </c>
      <c r="AN3854" s="10">
        <f t="shared" ca="1" si="520"/>
        <v>1.0948629759703454</v>
      </c>
      <c r="AO3854" s="158"/>
      <c r="AP3854" s="158"/>
    </row>
    <row r="3855" spans="34:42">
      <c r="AH3855" s="6">
        <f t="shared" si="524"/>
        <v>3825</v>
      </c>
      <c r="AI3855" s="7">
        <f t="shared" ca="1" si="525"/>
        <v>46495</v>
      </c>
      <c r="AJ3855" s="210">
        <f t="shared" ca="1" si="521"/>
        <v>4.1749999999999998</v>
      </c>
      <c r="AK3855" s="8">
        <f t="shared" ca="1" si="523"/>
        <v>1.0001159722222221</v>
      </c>
      <c r="AL3855" s="98">
        <f t="shared" ca="1" si="522"/>
        <v>4.1574113338544105</v>
      </c>
      <c r="AM3855" s="106">
        <f t="shared" ca="1" si="519"/>
        <v>35894.773584089089</v>
      </c>
      <c r="AN3855" s="10">
        <f t="shared" ca="1" si="520"/>
        <v>1.0948989996358405</v>
      </c>
      <c r="AO3855" s="158"/>
      <c r="AP3855" s="158"/>
    </row>
    <row r="3856" spans="34:42">
      <c r="AH3856" s="6">
        <f t="shared" si="524"/>
        <v>3826</v>
      </c>
      <c r="AI3856" s="7">
        <f t="shared" ca="1" si="525"/>
        <v>46496</v>
      </c>
      <c r="AJ3856" s="210">
        <f t="shared" ca="1" si="521"/>
        <v>4.1749999999999998</v>
      </c>
      <c r="AK3856" s="8">
        <f t="shared" ca="1" si="523"/>
        <v>1.0001159722222221</v>
      </c>
      <c r="AL3856" s="98">
        <f t="shared" ca="1" si="522"/>
        <v>4.1574547355266001</v>
      </c>
      <c r="AM3856" s="106">
        <f t="shared" ca="1" si="519"/>
        <v>35897.731366169275</v>
      </c>
      <c r="AN3856" s="10">
        <f t="shared" ca="1" si="520"/>
        <v>1.0949350044831663</v>
      </c>
      <c r="AO3856" s="158"/>
      <c r="AP3856" s="158"/>
    </row>
    <row r="3857" spans="34:42">
      <c r="AH3857" s="6">
        <f t="shared" si="524"/>
        <v>3827</v>
      </c>
      <c r="AI3857" s="7">
        <f t="shared" ca="1" si="525"/>
        <v>46497</v>
      </c>
      <c r="AJ3857" s="210">
        <f t="shared" ca="1" si="521"/>
        <v>4.1749999999999998</v>
      </c>
      <c r="AK3857" s="8">
        <f t="shared" ca="1" si="523"/>
        <v>1.0001159722222221</v>
      </c>
      <c r="AL3857" s="98">
        <f t="shared" ca="1" si="522"/>
        <v>4.1574981145350298</v>
      </c>
      <c r="AM3857" s="106">
        <f t="shared" ca="1" si="519"/>
        <v>35900.689391975058</v>
      </c>
      <c r="AN3857" s="10">
        <f t="shared" ca="1" si="520"/>
        <v>1.0949709905270888</v>
      </c>
      <c r="AO3857" s="158"/>
      <c r="AP3857" s="158"/>
    </row>
    <row r="3858" spans="34:42">
      <c r="AH3858" s="6">
        <f t="shared" si="524"/>
        <v>3828</v>
      </c>
      <c r="AI3858" s="7">
        <f t="shared" ca="1" si="525"/>
        <v>46498</v>
      </c>
      <c r="AJ3858" s="210">
        <f t="shared" ca="1" si="521"/>
        <v>4.1749999999999998</v>
      </c>
      <c r="AK3858" s="8">
        <f t="shared" ca="1" si="523"/>
        <v>1.0001159722222221</v>
      </c>
      <c r="AL3858" s="98">
        <f t="shared" ca="1" si="522"/>
        <v>4.1575414708974412</v>
      </c>
      <c r="AM3858" s="106">
        <f t="shared" ca="1" si="519"/>
        <v>35903.647661526506</v>
      </c>
      <c r="AN3858" s="10">
        <f t="shared" ca="1" si="520"/>
        <v>1.0950069577823074</v>
      </c>
      <c r="AO3858" s="158"/>
      <c r="AP3858" s="158"/>
    </row>
    <row r="3859" spans="34:42">
      <c r="AH3859" s="6">
        <f t="shared" si="524"/>
        <v>3829</v>
      </c>
      <c r="AI3859" s="7">
        <f t="shared" ca="1" si="525"/>
        <v>46499</v>
      </c>
      <c r="AJ3859" s="210">
        <f t="shared" ca="1" si="521"/>
        <v>4.1749999999999998</v>
      </c>
      <c r="AK3859" s="8">
        <f t="shared" ca="1" si="523"/>
        <v>1.0001159722222221</v>
      </c>
      <c r="AL3859" s="98">
        <f t="shared" ca="1" si="522"/>
        <v>4.1575848046315755</v>
      </c>
      <c r="AM3859" s="106">
        <f t="shared" ca="1" si="519"/>
        <v>35906.606174843713</v>
      </c>
      <c r="AN3859" s="10">
        <f t="shared" ca="1" si="520"/>
        <v>1.0950429062635436</v>
      </c>
      <c r="AO3859" s="158"/>
      <c r="AP3859" s="158"/>
    </row>
    <row r="3860" spans="34:42">
      <c r="AH3860" s="6">
        <f t="shared" si="524"/>
        <v>3830</v>
      </c>
      <c r="AI3860" s="7">
        <f t="shared" ca="1" si="525"/>
        <v>46500</v>
      </c>
      <c r="AJ3860" s="210">
        <f t="shared" ca="1" si="521"/>
        <v>4.1749999999999998</v>
      </c>
      <c r="AK3860" s="8">
        <f t="shared" ca="1" si="523"/>
        <v>1.0001159722222221</v>
      </c>
      <c r="AL3860" s="98">
        <f t="shared" ca="1" si="522"/>
        <v>4.157628115755152</v>
      </c>
      <c r="AM3860" s="106">
        <f t="shared" ca="1" si="519"/>
        <v>35909.564931946763</v>
      </c>
      <c r="AN3860" s="10">
        <f t="shared" ca="1" si="520"/>
        <v>1.095078835985519</v>
      </c>
      <c r="AO3860" s="158"/>
      <c r="AP3860" s="158"/>
    </row>
    <row r="3861" spans="34:42">
      <c r="AH3861" s="6">
        <f t="shared" si="524"/>
        <v>3831</v>
      </c>
      <c r="AI3861" s="7">
        <f t="shared" ca="1" si="525"/>
        <v>46501</v>
      </c>
      <c r="AJ3861" s="210">
        <f t="shared" ca="1" si="521"/>
        <v>4.1749999999999998</v>
      </c>
      <c r="AK3861" s="8">
        <f t="shared" ca="1" si="523"/>
        <v>1.0001159722222221</v>
      </c>
      <c r="AL3861" s="98">
        <f t="shared" ca="1" si="522"/>
        <v>4.1576714042858454</v>
      </c>
      <c r="AM3861" s="106">
        <f t="shared" ca="1" si="519"/>
        <v>35912.523932855744</v>
      </c>
      <c r="AN3861" s="10">
        <f t="shared" ca="1" si="520"/>
        <v>1.0951147469628886</v>
      </c>
      <c r="AO3861" s="158"/>
      <c r="AP3861" s="158"/>
    </row>
    <row r="3862" spans="34:42">
      <c r="AH3862" s="6">
        <f t="shared" si="524"/>
        <v>3832</v>
      </c>
      <c r="AI3862" s="7">
        <f t="shared" ca="1" si="525"/>
        <v>46502</v>
      </c>
      <c r="AJ3862" s="210">
        <f t="shared" ca="1" si="521"/>
        <v>4.1749999999999998</v>
      </c>
      <c r="AK3862" s="8">
        <f t="shared" ca="1" si="523"/>
        <v>1.0001159722222221</v>
      </c>
      <c r="AL3862" s="98">
        <f t="shared" ca="1" si="522"/>
        <v>4.1577146702413526</v>
      </c>
      <c r="AM3862" s="106">
        <f t="shared" ca="1" si="519"/>
        <v>35915.483177590751</v>
      </c>
      <c r="AN3862" s="10">
        <f t="shared" ca="1" si="520"/>
        <v>1.0951506392103294</v>
      </c>
      <c r="AO3862" s="158"/>
      <c r="AP3862" s="158"/>
    </row>
    <row r="3863" spans="34:42">
      <c r="AH3863" s="6">
        <f t="shared" si="524"/>
        <v>3833</v>
      </c>
      <c r="AI3863" s="7">
        <f t="shared" ca="1" si="525"/>
        <v>46503</v>
      </c>
      <c r="AJ3863" s="210">
        <f t="shared" ca="1" si="521"/>
        <v>4.1749999999999998</v>
      </c>
      <c r="AK3863" s="8">
        <f t="shared" ca="1" si="523"/>
        <v>1.0001159722222221</v>
      </c>
      <c r="AL3863" s="98">
        <f t="shared" ca="1" si="522"/>
        <v>4.1577579136393039</v>
      </c>
      <c r="AM3863" s="106">
        <f t="shared" ca="1" si="519"/>
        <v>35918.442666171868</v>
      </c>
      <c r="AN3863" s="10">
        <f t="shared" ca="1" si="520"/>
        <v>1.0951865127424742</v>
      </c>
      <c r="AO3863" s="158"/>
      <c r="AP3863" s="158"/>
    </row>
    <row r="3864" spans="34:42">
      <c r="AH3864" s="6">
        <f t="shared" si="524"/>
        <v>3834</v>
      </c>
      <c r="AI3864" s="7">
        <f t="shared" ca="1" si="525"/>
        <v>46504</v>
      </c>
      <c r="AJ3864" s="210">
        <f t="shared" ca="1" si="521"/>
        <v>4.1749999999999998</v>
      </c>
      <c r="AK3864" s="8">
        <f t="shared" ca="1" si="523"/>
        <v>1.0001159722222221</v>
      </c>
      <c r="AL3864" s="98">
        <f t="shared" ca="1" si="522"/>
        <v>4.157801134497352</v>
      </c>
      <c r="AM3864" s="106">
        <f t="shared" ca="1" si="519"/>
        <v>35921.40239861919</v>
      </c>
      <c r="AN3864" s="10">
        <f t="shared" ca="1" si="520"/>
        <v>1.0952223675739781</v>
      </c>
      <c r="AO3864" s="158"/>
      <c r="AP3864" s="158"/>
    </row>
    <row r="3865" spans="34:42">
      <c r="AH3865" s="6">
        <f t="shared" si="524"/>
        <v>3835</v>
      </c>
      <c r="AI3865" s="7">
        <f t="shared" ca="1" si="525"/>
        <v>46505</v>
      </c>
      <c r="AJ3865" s="210">
        <f t="shared" ca="1" si="521"/>
        <v>4.1749999999999998</v>
      </c>
      <c r="AK3865" s="8">
        <f t="shared" ca="1" si="523"/>
        <v>1.0001159722222221</v>
      </c>
      <c r="AL3865" s="98">
        <f t="shared" ca="1" si="522"/>
        <v>4.1578443328331049</v>
      </c>
      <c r="AM3865" s="106">
        <f t="shared" ca="1" si="519"/>
        <v>35924.362374952827</v>
      </c>
      <c r="AN3865" s="10">
        <f t="shared" ca="1" si="520"/>
        <v>1.0952582037194514</v>
      </c>
      <c r="AO3865" s="158"/>
      <c r="AP3865" s="158"/>
    </row>
    <row r="3866" spans="34:42">
      <c r="AH3866" s="6">
        <f t="shared" si="524"/>
        <v>3836</v>
      </c>
      <c r="AI3866" s="7">
        <f t="shared" ca="1" si="525"/>
        <v>46506</v>
      </c>
      <c r="AJ3866" s="210">
        <f t="shared" ca="1" si="521"/>
        <v>4.1749999999999998</v>
      </c>
      <c r="AK3866" s="8">
        <f t="shared" ca="1" si="523"/>
        <v>1.0001159722222221</v>
      </c>
      <c r="AL3866" s="98">
        <f t="shared" ca="1" si="522"/>
        <v>4.1578875086641709</v>
      </c>
      <c r="AM3866" s="106">
        <f t="shared" ca="1" si="519"/>
        <v>35927.322595192847</v>
      </c>
      <c r="AN3866" s="10">
        <f t="shared" ca="1" si="520"/>
        <v>1.0952940211935047</v>
      </c>
      <c r="AO3866" s="158"/>
      <c r="AP3866" s="158"/>
    </row>
    <row r="3867" spans="34:42">
      <c r="AH3867" s="6">
        <f t="shared" si="524"/>
        <v>3837</v>
      </c>
      <c r="AI3867" s="7">
        <f t="shared" ca="1" si="525"/>
        <v>46507</v>
      </c>
      <c r="AJ3867" s="210">
        <f t="shared" ca="1" si="521"/>
        <v>4.1749999999999998</v>
      </c>
      <c r="AK3867" s="8">
        <f t="shared" ca="1" si="523"/>
        <v>1.0001159722222221</v>
      </c>
      <c r="AL3867" s="98">
        <f t="shared" ca="1" si="522"/>
        <v>4.1579306620081136</v>
      </c>
      <c r="AM3867" s="106">
        <f t="shared" ca="1" si="519"/>
        <v>35930.283059359375</v>
      </c>
      <c r="AN3867" s="10">
        <f t="shared" ca="1" si="520"/>
        <v>1.095329820010682</v>
      </c>
      <c r="AO3867" s="158"/>
      <c r="AP3867" s="158"/>
    </row>
    <row r="3868" spans="34:42">
      <c r="AH3868" s="6">
        <f t="shared" si="524"/>
        <v>3838</v>
      </c>
      <c r="AI3868" s="7">
        <f t="shared" ca="1" si="525"/>
        <v>46508</v>
      </c>
      <c r="AJ3868" s="210">
        <f t="shared" ca="1" si="521"/>
        <v>4.1749999999999998</v>
      </c>
      <c r="AK3868" s="8">
        <f t="shared" ca="1" si="523"/>
        <v>1.0001159722222221</v>
      </c>
      <c r="AL3868" s="98">
        <f t="shared" ca="1" si="522"/>
        <v>4.1579737928825189</v>
      </c>
      <c r="AM3868" s="106">
        <f t="shared" ca="1" si="519"/>
        <v>35933.243767472493</v>
      </c>
      <c r="AN3868" s="10">
        <f t="shared" ca="1" si="520"/>
        <v>1.0953656001856382</v>
      </c>
      <c r="AO3868" s="158"/>
      <c r="AP3868" s="158"/>
    </row>
    <row r="3869" spans="34:42">
      <c r="AH3869" s="6">
        <f t="shared" si="524"/>
        <v>3839</v>
      </c>
      <c r="AI3869" s="7">
        <f t="shared" ca="1" si="525"/>
        <v>46509</v>
      </c>
      <c r="AJ3869" s="210">
        <f t="shared" ca="1" si="521"/>
        <v>4.1749999999999998</v>
      </c>
      <c r="AK3869" s="8">
        <f t="shared" ca="1" si="523"/>
        <v>1.0001159722222221</v>
      </c>
      <c r="AL3869" s="98">
        <f t="shared" ca="1" si="522"/>
        <v>4.1580169013049062</v>
      </c>
      <c r="AM3869" s="106">
        <f t="shared" ca="1" si="519"/>
        <v>35936.204719552312</v>
      </c>
      <c r="AN3869" s="10">
        <f t="shared" ca="1" si="520"/>
        <v>1.0954013617328506</v>
      </c>
      <c r="AO3869" s="158"/>
      <c r="AP3869" s="158"/>
    </row>
    <row r="3870" spans="34:42">
      <c r="AH3870" s="6">
        <f t="shared" si="524"/>
        <v>3840</v>
      </c>
      <c r="AI3870" s="7">
        <f t="shared" ca="1" si="525"/>
        <v>46510</v>
      </c>
      <c r="AJ3870" s="210">
        <f t="shared" ca="1" si="521"/>
        <v>4.1749999999999998</v>
      </c>
      <c r="AK3870" s="8">
        <f t="shared" ca="1" si="523"/>
        <v>1.0001159722222221</v>
      </c>
      <c r="AL3870" s="98">
        <f t="shared" ca="1" si="522"/>
        <v>4.1580599872928392</v>
      </c>
      <c r="AM3870" s="106">
        <f t="shared" ca="1" si="519"/>
        <v>35939.165915618942</v>
      </c>
      <c r="AN3870" s="10">
        <f t="shared" ca="1" si="520"/>
        <v>1.0954371046669076</v>
      </c>
      <c r="AO3870" s="158"/>
      <c r="AP3870" s="158"/>
    </row>
    <row r="3871" spans="34:42">
      <c r="AH3871" s="6">
        <f t="shared" si="524"/>
        <v>3841</v>
      </c>
      <c r="AI3871" s="7">
        <f t="shared" ca="1" si="525"/>
        <v>46511</v>
      </c>
      <c r="AJ3871" s="210">
        <f t="shared" ca="1" si="521"/>
        <v>4.1749999999999998</v>
      </c>
      <c r="AK3871" s="8">
        <f t="shared" ca="1" si="523"/>
        <v>1.0001159722222221</v>
      </c>
      <c r="AL3871" s="98">
        <f t="shared" ca="1" si="522"/>
        <v>4.1581030508637928</v>
      </c>
      <c r="AM3871" s="106">
        <f t="shared" ref="AM3871:AM3934" ca="1" si="526">Geom_Interp(AI3871,$AZ$2:$AZ$109,$BA$2:$BA$109)</f>
        <v>35942.127355692464</v>
      </c>
      <c r="AN3871" s="10">
        <f t="shared" ref="AN3871:AN3934" ca="1" si="527">100*(((1+AL3871/100)^(AH3871/365)*$AM$29/AM3871)^(365/AH3871)-1)</f>
        <v>1.0954728290023308</v>
      </c>
      <c r="AO3871" s="158"/>
      <c r="AP3871" s="158"/>
    </row>
    <row r="3872" spans="34:42">
      <c r="AH3872" s="6">
        <f t="shared" si="524"/>
        <v>3842</v>
      </c>
      <c r="AI3872" s="7">
        <f t="shared" ca="1" si="525"/>
        <v>46512</v>
      </c>
      <c r="AJ3872" s="210">
        <f t="shared" ref="AJ3872:AJ3935" ca="1" si="528">IF(AH3872&lt;365,VLOOKUP(LOOKUP(AI3872,$AI$2:$AI$23),$AI$2:$AK$23,3,0),Lin_Interp(AH3872,$AJ$2:$AJ$23,$AK$2:$AK$23))</f>
        <v>4.1749999999999998</v>
      </c>
      <c r="AK3872" s="8">
        <f t="shared" ca="1" si="523"/>
        <v>1.0001159722222221</v>
      </c>
      <c r="AL3872" s="98">
        <f t="shared" ca="1" si="522"/>
        <v>4.1581460920352642</v>
      </c>
      <c r="AM3872" s="106">
        <f t="shared" ca="1" si="526"/>
        <v>35945.089039793005</v>
      </c>
      <c r="AN3872" s="10">
        <f t="shared" ca="1" si="527"/>
        <v>1.0955085347536198</v>
      </c>
      <c r="AO3872" s="158"/>
      <c r="AP3872" s="158"/>
    </row>
    <row r="3873" spans="34:42">
      <c r="AH3873" s="6">
        <f t="shared" si="524"/>
        <v>3843</v>
      </c>
      <c r="AI3873" s="7">
        <f t="shared" ca="1" si="525"/>
        <v>46513</v>
      </c>
      <c r="AJ3873" s="210">
        <f t="shared" ca="1" si="528"/>
        <v>4.1749999999999998</v>
      </c>
      <c r="AK3873" s="8">
        <f t="shared" ca="1" si="523"/>
        <v>1.0001159722222221</v>
      </c>
      <c r="AL3873" s="98">
        <f t="shared" ref="AL3873:AL3936" ca="1" si="529">100*(((1+AL3872/100)^(AH3872/365)*AK3873)^(365/AH3873)-1)</f>
        <v>4.1581891108247282</v>
      </c>
      <c r="AM3873" s="106">
        <f t="shared" ca="1" si="526"/>
        <v>35948.050967940668</v>
      </c>
      <c r="AN3873" s="10">
        <f t="shared" ca="1" si="527"/>
        <v>1.095544221935274</v>
      </c>
      <c r="AO3873" s="158"/>
      <c r="AP3873" s="158"/>
    </row>
    <row r="3874" spans="34:42">
      <c r="AH3874" s="6">
        <f t="shared" si="524"/>
        <v>3844</v>
      </c>
      <c r="AI3874" s="7">
        <f t="shared" ca="1" si="525"/>
        <v>46514</v>
      </c>
      <c r="AJ3874" s="210">
        <f t="shared" ca="1" si="528"/>
        <v>4.1749999999999998</v>
      </c>
      <c r="AK3874" s="8">
        <f t="shared" ca="1" si="523"/>
        <v>1.0001159722222221</v>
      </c>
      <c r="AL3874" s="98">
        <f t="shared" ca="1" si="529"/>
        <v>4.1582321072496597</v>
      </c>
      <c r="AM3874" s="106">
        <f t="shared" ca="1" si="526"/>
        <v>35951.013140155563</v>
      </c>
      <c r="AN3874" s="10">
        <f t="shared" ca="1" si="527"/>
        <v>1.0955798905618153</v>
      </c>
      <c r="AO3874" s="158"/>
      <c r="AP3874" s="158"/>
    </row>
    <row r="3875" spans="34:42">
      <c r="AH3875" s="6">
        <f t="shared" si="524"/>
        <v>3845</v>
      </c>
      <c r="AI3875" s="7">
        <f t="shared" ca="1" si="525"/>
        <v>46515</v>
      </c>
      <c r="AJ3875" s="210">
        <f t="shared" ca="1" si="528"/>
        <v>4.1749999999999998</v>
      </c>
      <c r="AK3875" s="8">
        <f t="shared" ca="1" si="523"/>
        <v>1.0001159722222221</v>
      </c>
      <c r="AL3875" s="98">
        <f t="shared" ca="1" si="529"/>
        <v>4.1582750813274671</v>
      </c>
      <c r="AM3875" s="106">
        <f t="shared" ca="1" si="526"/>
        <v>35953.975556457801</v>
      </c>
      <c r="AN3875" s="10">
        <f t="shared" ca="1" si="527"/>
        <v>1.0956155406476764</v>
      </c>
      <c r="AO3875" s="158"/>
      <c r="AP3875" s="158"/>
    </row>
    <row r="3876" spans="34:42">
      <c r="AH3876" s="6">
        <f t="shared" si="524"/>
        <v>3846</v>
      </c>
      <c r="AI3876" s="7">
        <f t="shared" ca="1" si="525"/>
        <v>46516</v>
      </c>
      <c r="AJ3876" s="210">
        <f t="shared" ca="1" si="528"/>
        <v>4.1749999999999998</v>
      </c>
      <c r="AK3876" s="8">
        <f t="shared" ref="AK3876:AK3939" ca="1" si="530">+(1+AJ3876/36000)</f>
        <v>1.0001159722222221</v>
      </c>
      <c r="AL3876" s="98">
        <f t="shared" ca="1" si="529"/>
        <v>4.1583180330755809</v>
      </c>
      <c r="AM3876" s="106">
        <f t="shared" ca="1" si="526"/>
        <v>35956.938216867486</v>
      </c>
      <c r="AN3876" s="10">
        <f t="shared" ca="1" si="527"/>
        <v>1.0956511722072904</v>
      </c>
      <c r="AO3876" s="158"/>
      <c r="AP3876" s="158"/>
    </row>
    <row r="3877" spans="34:42">
      <c r="AH3877" s="6">
        <f t="shared" si="524"/>
        <v>3847</v>
      </c>
      <c r="AI3877" s="7">
        <f t="shared" ca="1" si="525"/>
        <v>46517</v>
      </c>
      <c r="AJ3877" s="210">
        <f t="shared" ca="1" si="528"/>
        <v>4.1749999999999998</v>
      </c>
      <c r="AK3877" s="8">
        <f t="shared" ca="1" si="530"/>
        <v>1.0001159722222221</v>
      </c>
      <c r="AL3877" s="98">
        <f t="shared" ca="1" si="529"/>
        <v>4.1583609625113871</v>
      </c>
      <c r="AM3877" s="106">
        <f t="shared" ca="1" si="526"/>
        <v>35959.90112140475</v>
      </c>
      <c r="AN3877" s="10">
        <f t="shared" ca="1" si="527"/>
        <v>1.0956867852551344</v>
      </c>
      <c r="AO3877" s="158"/>
      <c r="AP3877" s="158"/>
    </row>
    <row r="3878" spans="34:42">
      <c r="AH3878" s="6">
        <f t="shared" si="524"/>
        <v>3848</v>
      </c>
      <c r="AI3878" s="7">
        <f t="shared" ca="1" si="525"/>
        <v>46518</v>
      </c>
      <c r="AJ3878" s="210">
        <f t="shared" ca="1" si="528"/>
        <v>4.1749999999999998</v>
      </c>
      <c r="AK3878" s="8">
        <f t="shared" ca="1" si="530"/>
        <v>1.0001159722222221</v>
      </c>
      <c r="AL3878" s="98">
        <f t="shared" ca="1" si="529"/>
        <v>4.1584038696522718</v>
      </c>
      <c r="AM3878" s="106">
        <f t="shared" ca="1" si="526"/>
        <v>35962.864270089696</v>
      </c>
      <c r="AN3878" s="10">
        <f t="shared" ca="1" si="527"/>
        <v>1.0957223798055971</v>
      </c>
      <c r="AO3878" s="158"/>
      <c r="AP3878" s="158"/>
    </row>
    <row r="3879" spans="34:42">
      <c r="AH3879" s="6">
        <f t="shared" si="524"/>
        <v>3849</v>
      </c>
      <c r="AI3879" s="7">
        <f t="shared" ca="1" si="525"/>
        <v>46519</v>
      </c>
      <c r="AJ3879" s="210">
        <f t="shared" ca="1" si="528"/>
        <v>4.1749999999999998</v>
      </c>
      <c r="AK3879" s="8">
        <f t="shared" ca="1" si="530"/>
        <v>1.0001159722222221</v>
      </c>
      <c r="AL3879" s="98">
        <f t="shared" ca="1" si="529"/>
        <v>4.1584467545156212</v>
      </c>
      <c r="AM3879" s="106">
        <f t="shared" ca="1" si="526"/>
        <v>35965.827662942451</v>
      </c>
      <c r="AN3879" s="10">
        <f t="shared" ca="1" si="527"/>
        <v>1.0957579558731112</v>
      </c>
      <c r="AO3879" s="158"/>
      <c r="AP3879" s="158"/>
    </row>
    <row r="3880" spans="34:42">
      <c r="AH3880" s="6">
        <f t="shared" si="524"/>
        <v>3850</v>
      </c>
      <c r="AI3880" s="7">
        <f t="shared" ca="1" si="525"/>
        <v>46520</v>
      </c>
      <c r="AJ3880" s="210">
        <f t="shared" ca="1" si="528"/>
        <v>4.1749999999999998</v>
      </c>
      <c r="AK3880" s="8">
        <f t="shared" ca="1" si="530"/>
        <v>1.0001159722222221</v>
      </c>
      <c r="AL3880" s="98">
        <f t="shared" ca="1" si="529"/>
        <v>4.1584896171187546</v>
      </c>
      <c r="AM3880" s="106">
        <f t="shared" ca="1" si="526"/>
        <v>35968.791299983131</v>
      </c>
      <c r="AN3880" s="10">
        <f t="shared" ca="1" si="527"/>
        <v>1.0957935134720653</v>
      </c>
      <c r="AO3880" s="158"/>
      <c r="AP3880" s="158"/>
    </row>
    <row r="3881" spans="34:42">
      <c r="AH3881" s="6">
        <f t="shared" si="524"/>
        <v>3851</v>
      </c>
      <c r="AI3881" s="7">
        <f t="shared" ca="1" si="525"/>
        <v>46521</v>
      </c>
      <c r="AJ3881" s="210">
        <f t="shared" ca="1" si="528"/>
        <v>4.1749999999999998</v>
      </c>
      <c r="AK3881" s="8">
        <f t="shared" ca="1" si="530"/>
        <v>1.0001159722222221</v>
      </c>
      <c r="AL3881" s="98">
        <f t="shared" ca="1" si="529"/>
        <v>4.1585324574790139</v>
      </c>
      <c r="AM3881" s="106">
        <f t="shared" ca="1" si="526"/>
        <v>35971.755181231856</v>
      </c>
      <c r="AN3881" s="10">
        <f t="shared" ca="1" si="527"/>
        <v>1.0958290526168479</v>
      </c>
      <c r="AO3881" s="158"/>
      <c r="AP3881" s="158"/>
    </row>
    <row r="3882" spans="34:42">
      <c r="AH3882" s="6">
        <f t="shared" si="524"/>
        <v>3852</v>
      </c>
      <c r="AI3882" s="7">
        <f t="shared" ca="1" si="525"/>
        <v>46522</v>
      </c>
      <c r="AJ3882" s="210">
        <f t="shared" ca="1" si="528"/>
        <v>4.1749999999999998</v>
      </c>
      <c r="AK3882" s="8">
        <f t="shared" ca="1" si="530"/>
        <v>1.0001159722222221</v>
      </c>
      <c r="AL3882" s="98">
        <f t="shared" ca="1" si="529"/>
        <v>4.1585752756136962</v>
      </c>
      <c r="AM3882" s="106">
        <f t="shared" ca="1" si="526"/>
        <v>35974.719306708757</v>
      </c>
      <c r="AN3882" s="10">
        <f t="shared" ca="1" si="527"/>
        <v>1.0958645733217809</v>
      </c>
      <c r="AO3882" s="158"/>
      <c r="AP3882" s="158"/>
    </row>
    <row r="3883" spans="34:42">
      <c r="AH3883" s="6">
        <f t="shared" si="524"/>
        <v>3853</v>
      </c>
      <c r="AI3883" s="7">
        <f t="shared" ca="1" si="525"/>
        <v>46523</v>
      </c>
      <c r="AJ3883" s="210">
        <f t="shared" ca="1" si="528"/>
        <v>4.1749999999999998</v>
      </c>
      <c r="AK3883" s="8">
        <f t="shared" ca="1" si="530"/>
        <v>1.0001159722222221</v>
      </c>
      <c r="AL3883" s="98">
        <f t="shared" ca="1" si="529"/>
        <v>4.1586180715400989</v>
      </c>
      <c r="AM3883" s="106">
        <f t="shared" ca="1" si="526"/>
        <v>35977.683676433939</v>
      </c>
      <c r="AN3883" s="10">
        <f t="shared" ca="1" si="527"/>
        <v>1.0959000756012527</v>
      </c>
      <c r="AO3883" s="158"/>
      <c r="AP3883" s="158"/>
    </row>
    <row r="3884" spans="34:42">
      <c r="AH3884" s="6">
        <f t="shared" si="524"/>
        <v>3854</v>
      </c>
      <c r="AI3884" s="7">
        <f t="shared" ca="1" si="525"/>
        <v>46524</v>
      </c>
      <c r="AJ3884" s="210">
        <f t="shared" ca="1" si="528"/>
        <v>4.1749999999999998</v>
      </c>
      <c r="AK3884" s="8">
        <f t="shared" ca="1" si="530"/>
        <v>1.0001159722222221</v>
      </c>
      <c r="AL3884" s="98">
        <f t="shared" ca="1" si="529"/>
        <v>4.158660845275497</v>
      </c>
      <c r="AM3884" s="106">
        <f t="shared" ca="1" si="526"/>
        <v>35980.648290427547</v>
      </c>
      <c r="AN3884" s="10">
        <f t="shared" ca="1" si="527"/>
        <v>1.0959355594695852</v>
      </c>
      <c r="AO3884" s="158"/>
      <c r="AP3884" s="158"/>
    </row>
    <row r="3885" spans="34:42">
      <c r="AH3885" s="6">
        <f t="shared" si="524"/>
        <v>3855</v>
      </c>
      <c r="AI3885" s="7">
        <f t="shared" ca="1" si="525"/>
        <v>46525</v>
      </c>
      <c r="AJ3885" s="210">
        <f t="shared" ca="1" si="528"/>
        <v>4.1749999999999998</v>
      </c>
      <c r="AK3885" s="8">
        <f t="shared" ca="1" si="530"/>
        <v>1.0001159722222221</v>
      </c>
      <c r="AL3885" s="98">
        <f t="shared" ca="1" si="529"/>
        <v>4.1587035968371433</v>
      </c>
      <c r="AM3885" s="106">
        <f t="shared" ca="1" si="526"/>
        <v>35983.613148709708</v>
      </c>
      <c r="AN3885" s="10">
        <f t="shared" ca="1" si="527"/>
        <v>1.0959710249410781</v>
      </c>
      <c r="AO3885" s="158"/>
      <c r="AP3885" s="158"/>
    </row>
    <row r="3886" spans="34:42">
      <c r="AH3886" s="6">
        <f t="shared" si="524"/>
        <v>3856</v>
      </c>
      <c r="AI3886" s="7">
        <f t="shared" ca="1" si="525"/>
        <v>46526</v>
      </c>
      <c r="AJ3886" s="210">
        <f t="shared" ca="1" si="528"/>
        <v>4.1749999999999998</v>
      </c>
      <c r="AK3886" s="8">
        <f t="shared" ca="1" si="530"/>
        <v>1.0001159722222221</v>
      </c>
      <c r="AL3886" s="98">
        <f t="shared" ca="1" si="529"/>
        <v>4.1587463262422686</v>
      </c>
      <c r="AM3886" s="106">
        <f t="shared" ca="1" si="526"/>
        <v>35986.578251300547</v>
      </c>
      <c r="AN3886" s="10">
        <f t="shared" ca="1" si="527"/>
        <v>1.0960064720300311</v>
      </c>
      <c r="AO3886" s="158"/>
      <c r="AP3886" s="158"/>
    </row>
    <row r="3887" spans="34:42">
      <c r="AH3887" s="6">
        <f t="shared" si="524"/>
        <v>3857</v>
      </c>
      <c r="AI3887" s="7">
        <f t="shared" ca="1" si="525"/>
        <v>46527</v>
      </c>
      <c r="AJ3887" s="210">
        <f t="shared" ca="1" si="528"/>
        <v>4.1749999999999998</v>
      </c>
      <c r="AK3887" s="8">
        <f t="shared" ca="1" si="530"/>
        <v>1.0001159722222221</v>
      </c>
      <c r="AL3887" s="98">
        <f t="shared" ca="1" si="529"/>
        <v>4.1587890335081035</v>
      </c>
      <c r="AM3887" s="106">
        <f t="shared" ca="1" si="526"/>
        <v>35989.543598220196</v>
      </c>
      <c r="AN3887" s="10">
        <f t="shared" ca="1" si="527"/>
        <v>1.096041900750766</v>
      </c>
      <c r="AO3887" s="158"/>
      <c r="AP3887" s="158"/>
    </row>
    <row r="3888" spans="34:42">
      <c r="AH3888" s="6">
        <f t="shared" si="524"/>
        <v>3858</v>
      </c>
      <c r="AI3888" s="7">
        <f t="shared" ca="1" si="525"/>
        <v>46528</v>
      </c>
      <c r="AJ3888" s="210">
        <f t="shared" ca="1" si="528"/>
        <v>4.1749999999999998</v>
      </c>
      <c r="AK3888" s="8">
        <f t="shared" ca="1" si="530"/>
        <v>1.0001159722222221</v>
      </c>
      <c r="AL3888" s="98">
        <f t="shared" ca="1" si="529"/>
        <v>4.1588317186518564</v>
      </c>
      <c r="AM3888" s="106">
        <f t="shared" ca="1" si="526"/>
        <v>35992.509189488781</v>
      </c>
      <c r="AN3888" s="10">
        <f t="shared" ca="1" si="527"/>
        <v>1.0960773111175603</v>
      </c>
      <c r="AO3888" s="158"/>
      <c r="AP3888" s="158"/>
    </row>
    <row r="3889" spans="34:42">
      <c r="AH3889" s="6">
        <f t="shared" si="524"/>
        <v>3859</v>
      </c>
      <c r="AI3889" s="7">
        <f t="shared" ca="1" si="525"/>
        <v>46529</v>
      </c>
      <c r="AJ3889" s="210">
        <f t="shared" ca="1" si="528"/>
        <v>4.1749999999999998</v>
      </c>
      <c r="AK3889" s="8">
        <f t="shared" ca="1" si="530"/>
        <v>1.0001159722222221</v>
      </c>
      <c r="AL3889" s="98">
        <f t="shared" ca="1" si="529"/>
        <v>4.1588743816906915</v>
      </c>
      <c r="AM3889" s="106">
        <f t="shared" ca="1" si="526"/>
        <v>35995.475025126449</v>
      </c>
      <c r="AN3889" s="10">
        <f t="shared" ca="1" si="527"/>
        <v>1.0961127031446249</v>
      </c>
      <c r="AO3889" s="158"/>
      <c r="AP3889" s="158"/>
    </row>
    <row r="3890" spans="34:42">
      <c r="AH3890" s="6">
        <f t="shared" si="524"/>
        <v>3860</v>
      </c>
      <c r="AI3890" s="7">
        <f t="shared" ca="1" si="525"/>
        <v>46530</v>
      </c>
      <c r="AJ3890" s="210">
        <f t="shared" ca="1" si="528"/>
        <v>4.1749999999999998</v>
      </c>
      <c r="AK3890" s="8">
        <f t="shared" ca="1" si="530"/>
        <v>1.0001159722222221</v>
      </c>
      <c r="AL3890" s="98">
        <f t="shared" ca="1" si="529"/>
        <v>4.1589170226417949</v>
      </c>
      <c r="AM3890" s="106">
        <f t="shared" ca="1" si="526"/>
        <v>35998.441105153332</v>
      </c>
      <c r="AN3890" s="10">
        <f t="shared" ca="1" si="527"/>
        <v>1.0961480768462595</v>
      </c>
      <c r="AO3890" s="158"/>
      <c r="AP3890" s="158"/>
    </row>
    <row r="3891" spans="34:42">
      <c r="AH3891" s="6">
        <f t="shared" si="524"/>
        <v>3861</v>
      </c>
      <c r="AI3891" s="7">
        <f t="shared" ca="1" si="525"/>
        <v>46531</v>
      </c>
      <c r="AJ3891" s="210">
        <f t="shared" ca="1" si="528"/>
        <v>4.1749999999999998</v>
      </c>
      <c r="AK3891" s="8">
        <f t="shared" ca="1" si="530"/>
        <v>1.0001159722222221</v>
      </c>
      <c r="AL3891" s="98">
        <f t="shared" ca="1" si="529"/>
        <v>4.1589596415223085</v>
      </c>
      <c r="AM3891" s="106">
        <f t="shared" ca="1" si="526"/>
        <v>36001.407429589563</v>
      </c>
      <c r="AN3891" s="10">
        <f t="shared" ca="1" si="527"/>
        <v>1.0961834322366526</v>
      </c>
      <c r="AO3891" s="158"/>
      <c r="AP3891" s="158"/>
    </row>
    <row r="3892" spans="34:42">
      <c r="AH3892" s="6">
        <f t="shared" si="524"/>
        <v>3862</v>
      </c>
      <c r="AI3892" s="7">
        <f t="shared" ca="1" si="525"/>
        <v>46532</v>
      </c>
      <c r="AJ3892" s="210">
        <f t="shared" ca="1" si="528"/>
        <v>4.1749999999999998</v>
      </c>
      <c r="AK3892" s="8">
        <f t="shared" ca="1" si="530"/>
        <v>1.0001159722222221</v>
      </c>
      <c r="AL3892" s="98">
        <f t="shared" ca="1" si="529"/>
        <v>4.1590022383493519</v>
      </c>
      <c r="AM3892" s="106">
        <f t="shared" ca="1" si="526"/>
        <v>36004.373998455289</v>
      </c>
      <c r="AN3892" s="10">
        <f t="shared" ca="1" si="527"/>
        <v>1.0962187693300374</v>
      </c>
      <c r="AO3892" s="158"/>
      <c r="AP3892" s="158"/>
    </row>
    <row r="3893" spans="34:42">
      <c r="AH3893" s="6">
        <f t="shared" si="524"/>
        <v>3863</v>
      </c>
      <c r="AI3893" s="7">
        <f t="shared" ca="1" si="525"/>
        <v>46533</v>
      </c>
      <c r="AJ3893" s="210">
        <f t="shared" ca="1" si="528"/>
        <v>4.1749999999999998</v>
      </c>
      <c r="AK3893" s="8">
        <f t="shared" ca="1" si="530"/>
        <v>1.0001159722222221</v>
      </c>
      <c r="AL3893" s="98">
        <f t="shared" ca="1" si="529"/>
        <v>4.1590448131400448</v>
      </c>
      <c r="AM3893" s="106">
        <f t="shared" ca="1" si="526"/>
        <v>36007.340811770649</v>
      </c>
      <c r="AN3893" s="10">
        <f t="shared" ca="1" si="527"/>
        <v>1.0962540881405802</v>
      </c>
      <c r="AO3893" s="158"/>
      <c r="AP3893" s="158"/>
    </row>
    <row r="3894" spans="34:42">
      <c r="AH3894" s="6">
        <f t="shared" si="524"/>
        <v>3864</v>
      </c>
      <c r="AI3894" s="7">
        <f t="shared" ca="1" si="525"/>
        <v>46534</v>
      </c>
      <c r="AJ3894" s="210">
        <f t="shared" ca="1" si="528"/>
        <v>4.1749999999999998</v>
      </c>
      <c r="AK3894" s="8">
        <f t="shared" ca="1" si="530"/>
        <v>1.0001159722222221</v>
      </c>
      <c r="AL3894" s="98">
        <f t="shared" ca="1" si="529"/>
        <v>4.1590873659114846</v>
      </c>
      <c r="AM3894" s="106">
        <f t="shared" ca="1" si="526"/>
        <v>36010.307869555778</v>
      </c>
      <c r="AN3894" s="10">
        <f t="shared" ca="1" si="527"/>
        <v>1.0962893886825142</v>
      </c>
      <c r="AO3894" s="158"/>
      <c r="AP3894" s="158"/>
    </row>
    <row r="3895" spans="34:42">
      <c r="AH3895" s="6">
        <f t="shared" ref="AH3895:AH3958" si="531">$AI$29+AH3894</f>
        <v>3865</v>
      </c>
      <c r="AI3895" s="7">
        <f t="shared" ref="AI3895:AI3958" ca="1" si="532">+AH3895+$C$1</f>
        <v>46535</v>
      </c>
      <c r="AJ3895" s="210">
        <f t="shared" ca="1" si="528"/>
        <v>4.1749999999999998</v>
      </c>
      <c r="AK3895" s="8">
        <f t="shared" ca="1" si="530"/>
        <v>1.0001159722222221</v>
      </c>
      <c r="AL3895" s="98">
        <f t="shared" ca="1" si="529"/>
        <v>4.1591298966807466</v>
      </c>
      <c r="AM3895" s="106">
        <f t="shared" ca="1" si="526"/>
        <v>36013.275171830828</v>
      </c>
      <c r="AN3895" s="10">
        <f t="shared" ca="1" si="527"/>
        <v>1.0963246709699837</v>
      </c>
      <c r="AO3895" s="158"/>
      <c r="AP3895" s="158"/>
    </row>
    <row r="3896" spans="34:42">
      <c r="AH3896" s="6">
        <f t="shared" si="531"/>
        <v>3866</v>
      </c>
      <c r="AI3896" s="7">
        <f t="shared" ca="1" si="532"/>
        <v>46536</v>
      </c>
      <c r="AJ3896" s="210">
        <f t="shared" ca="1" si="528"/>
        <v>4.1749999999999998</v>
      </c>
      <c r="AK3896" s="8">
        <f t="shared" ca="1" si="530"/>
        <v>1.0001159722222221</v>
      </c>
      <c r="AL3896" s="98">
        <f t="shared" ca="1" si="529"/>
        <v>4.159172405464906</v>
      </c>
      <c r="AM3896" s="106">
        <f t="shared" ca="1" si="526"/>
        <v>36016.242718615955</v>
      </c>
      <c r="AN3896" s="10">
        <f t="shared" ca="1" si="527"/>
        <v>1.0963599350171549</v>
      </c>
      <c r="AO3896" s="158"/>
      <c r="AP3896" s="158"/>
    </row>
    <row r="3897" spans="34:42">
      <c r="AH3897" s="6">
        <f t="shared" si="531"/>
        <v>3867</v>
      </c>
      <c r="AI3897" s="7">
        <f t="shared" ca="1" si="532"/>
        <v>46537</v>
      </c>
      <c r="AJ3897" s="210">
        <f t="shared" ca="1" si="528"/>
        <v>4.1749999999999998</v>
      </c>
      <c r="AK3897" s="8">
        <f t="shared" ca="1" si="530"/>
        <v>1.0001159722222221</v>
      </c>
      <c r="AL3897" s="98">
        <f t="shared" ca="1" si="529"/>
        <v>4.1592148922809935</v>
      </c>
      <c r="AM3897" s="106">
        <f t="shared" ca="1" si="526"/>
        <v>36019.21050993129</v>
      </c>
      <c r="AN3897" s="10">
        <f t="shared" ca="1" si="527"/>
        <v>1.0963951808381722</v>
      </c>
      <c r="AO3897" s="158"/>
      <c r="AP3897" s="158"/>
    </row>
    <row r="3898" spans="34:42">
      <c r="AH3898" s="6">
        <f t="shared" si="531"/>
        <v>3868</v>
      </c>
      <c r="AI3898" s="7">
        <f t="shared" ca="1" si="532"/>
        <v>46538</v>
      </c>
      <c r="AJ3898" s="210">
        <f t="shared" ca="1" si="528"/>
        <v>4.1749999999999998</v>
      </c>
      <c r="AK3898" s="8">
        <f t="shared" ca="1" si="530"/>
        <v>1.0001159722222221</v>
      </c>
      <c r="AL3898" s="98">
        <f t="shared" ca="1" si="529"/>
        <v>4.1592573571460401</v>
      </c>
      <c r="AM3898" s="106">
        <f t="shared" ca="1" si="526"/>
        <v>36022.178545796989</v>
      </c>
      <c r="AN3898" s="10">
        <f t="shared" ca="1" si="527"/>
        <v>1.0964304084471799</v>
      </c>
      <c r="AO3898" s="158"/>
      <c r="AP3898" s="158"/>
    </row>
    <row r="3899" spans="34:42">
      <c r="AH3899" s="6">
        <f t="shared" si="531"/>
        <v>3869</v>
      </c>
      <c r="AI3899" s="7">
        <f t="shared" ca="1" si="532"/>
        <v>46539</v>
      </c>
      <c r="AJ3899" s="210">
        <f t="shared" ca="1" si="528"/>
        <v>4.1749999999999998</v>
      </c>
      <c r="AK3899" s="8">
        <f t="shared" ca="1" si="530"/>
        <v>1.0001159722222221</v>
      </c>
      <c r="AL3899" s="98">
        <f t="shared" ca="1" si="529"/>
        <v>4.159299800077032</v>
      </c>
      <c r="AM3899" s="106">
        <f t="shared" ca="1" si="526"/>
        <v>36025.146826233206</v>
      </c>
      <c r="AN3899" s="10">
        <f t="shared" ca="1" si="527"/>
        <v>1.0964656178582333</v>
      </c>
      <c r="AO3899" s="158"/>
      <c r="AP3899" s="158"/>
    </row>
    <row r="3900" spans="34:42">
      <c r="AH3900" s="6">
        <f t="shared" si="531"/>
        <v>3870</v>
      </c>
      <c r="AI3900" s="7">
        <f t="shared" ca="1" si="532"/>
        <v>46540</v>
      </c>
      <c r="AJ3900" s="210">
        <f t="shared" ca="1" si="528"/>
        <v>4.1749999999999998</v>
      </c>
      <c r="AK3900" s="8">
        <f t="shared" ca="1" si="530"/>
        <v>1.0001159722222221</v>
      </c>
      <c r="AL3900" s="98">
        <f t="shared" ca="1" si="529"/>
        <v>4.1593422210909781</v>
      </c>
      <c r="AM3900" s="106">
        <f t="shared" ca="1" si="526"/>
        <v>36028.115351260094</v>
      </c>
      <c r="AN3900" s="10">
        <f t="shared" ca="1" si="527"/>
        <v>1.0965008090854544</v>
      </c>
      <c r="AO3900" s="158"/>
      <c r="AP3900" s="158"/>
    </row>
    <row r="3901" spans="34:42">
      <c r="AH3901" s="6">
        <f t="shared" si="531"/>
        <v>3871</v>
      </c>
      <c r="AI3901" s="7">
        <f t="shared" ca="1" si="532"/>
        <v>46541</v>
      </c>
      <c r="AJ3901" s="210">
        <f t="shared" ca="1" si="528"/>
        <v>4.1749999999999998</v>
      </c>
      <c r="AK3901" s="8">
        <f t="shared" ca="1" si="530"/>
        <v>1.0001159722222221</v>
      </c>
      <c r="AL3901" s="98">
        <f t="shared" ca="1" si="529"/>
        <v>4.1593846202048423</v>
      </c>
      <c r="AM3901" s="106">
        <f t="shared" ca="1" si="526"/>
        <v>36031.084120897802</v>
      </c>
      <c r="AN3901" s="10">
        <f t="shared" ca="1" si="527"/>
        <v>1.0965359821429432</v>
      </c>
      <c r="AO3901" s="158"/>
      <c r="AP3901" s="158"/>
    </row>
    <row r="3902" spans="34:42">
      <c r="AH3902" s="6">
        <f t="shared" si="531"/>
        <v>3872</v>
      </c>
      <c r="AI3902" s="7">
        <f t="shared" ca="1" si="532"/>
        <v>46542</v>
      </c>
      <c r="AJ3902" s="210">
        <f t="shared" ca="1" si="528"/>
        <v>4.1749999999999998</v>
      </c>
      <c r="AK3902" s="8">
        <f t="shared" ca="1" si="530"/>
        <v>1.0001159722222221</v>
      </c>
      <c r="AL3902" s="98">
        <f t="shared" ca="1" si="529"/>
        <v>4.1594269974355891</v>
      </c>
      <c r="AM3902" s="106">
        <f t="shared" ca="1" si="526"/>
        <v>36034.053135166498</v>
      </c>
      <c r="AN3902" s="10">
        <f t="shared" ca="1" si="527"/>
        <v>1.0965711370447551</v>
      </c>
      <c r="AO3902" s="158"/>
      <c r="AP3902" s="158"/>
    </row>
    <row r="3903" spans="34:42">
      <c r="AH3903" s="6">
        <f t="shared" si="531"/>
        <v>3873</v>
      </c>
      <c r="AI3903" s="7">
        <f t="shared" ca="1" si="532"/>
        <v>46543</v>
      </c>
      <c r="AJ3903" s="210">
        <f t="shared" ca="1" si="528"/>
        <v>4.1749999999999998</v>
      </c>
      <c r="AK3903" s="8">
        <f t="shared" ca="1" si="530"/>
        <v>1.0001159722222221</v>
      </c>
      <c r="AL3903" s="98">
        <f t="shared" ca="1" si="529"/>
        <v>4.1594693528001603</v>
      </c>
      <c r="AM3903" s="106">
        <f t="shared" ca="1" si="526"/>
        <v>36037.022394086322</v>
      </c>
      <c r="AN3903" s="10">
        <f t="shared" ca="1" si="527"/>
        <v>1.0966062738049676</v>
      </c>
      <c r="AO3903" s="158"/>
      <c r="AP3903" s="158"/>
    </row>
    <row r="3904" spans="34:42">
      <c r="AH3904" s="6">
        <f t="shared" si="531"/>
        <v>3874</v>
      </c>
      <c r="AI3904" s="7">
        <f t="shared" ca="1" si="532"/>
        <v>46544</v>
      </c>
      <c r="AJ3904" s="210">
        <f t="shared" ca="1" si="528"/>
        <v>4.1749999999999998</v>
      </c>
      <c r="AK3904" s="8">
        <f t="shared" ca="1" si="530"/>
        <v>1.0001159722222221</v>
      </c>
      <c r="AL3904" s="98">
        <f t="shared" ca="1" si="529"/>
        <v>4.1595116863154535</v>
      </c>
      <c r="AM3904" s="106">
        <f t="shared" ca="1" si="526"/>
        <v>36039.991897677442</v>
      </c>
      <c r="AN3904" s="10">
        <f t="shared" ca="1" si="527"/>
        <v>1.0966413924375695</v>
      </c>
      <c r="AO3904" s="158"/>
      <c r="AP3904" s="158"/>
    </row>
    <row r="3905" spans="34:42">
      <c r="AH3905" s="6">
        <f t="shared" si="531"/>
        <v>3875</v>
      </c>
      <c r="AI3905" s="7">
        <f t="shared" ca="1" si="532"/>
        <v>46545</v>
      </c>
      <c r="AJ3905" s="210">
        <f t="shared" ca="1" si="528"/>
        <v>4.1749999999999998</v>
      </c>
      <c r="AK3905" s="8">
        <f t="shared" ca="1" si="530"/>
        <v>1.0001159722222221</v>
      </c>
      <c r="AL3905" s="98">
        <f t="shared" ca="1" si="529"/>
        <v>4.1595539979983887</v>
      </c>
      <c r="AM3905" s="106">
        <f t="shared" ca="1" si="526"/>
        <v>36042.961645960029</v>
      </c>
      <c r="AN3905" s="10">
        <f t="shared" ca="1" si="527"/>
        <v>1.0966764929566386</v>
      </c>
      <c r="AO3905" s="158"/>
      <c r="AP3905" s="158"/>
    </row>
    <row r="3906" spans="34:42">
      <c r="AH3906" s="6">
        <f t="shared" si="531"/>
        <v>3876</v>
      </c>
      <c r="AI3906" s="7">
        <f t="shared" ca="1" si="532"/>
        <v>46546</v>
      </c>
      <c r="AJ3906" s="210">
        <f t="shared" ca="1" si="528"/>
        <v>4.1749999999999998</v>
      </c>
      <c r="AK3906" s="8">
        <f t="shared" ca="1" si="530"/>
        <v>1.0001159722222221</v>
      </c>
      <c r="AL3906" s="98">
        <f t="shared" ca="1" si="529"/>
        <v>4.159596287865841</v>
      </c>
      <c r="AM3906" s="106">
        <f t="shared" ca="1" si="526"/>
        <v>36045.931638954236</v>
      </c>
      <c r="AN3906" s="10">
        <f t="shared" ca="1" si="527"/>
        <v>1.0967115753761636</v>
      </c>
      <c r="AO3906" s="158"/>
      <c r="AP3906" s="158"/>
    </row>
    <row r="3907" spans="34:42">
      <c r="AH3907" s="6">
        <f t="shared" si="531"/>
        <v>3877</v>
      </c>
      <c r="AI3907" s="7">
        <f t="shared" ca="1" si="532"/>
        <v>46547</v>
      </c>
      <c r="AJ3907" s="210">
        <f t="shared" ca="1" si="528"/>
        <v>4.1749999999999998</v>
      </c>
      <c r="AK3907" s="8">
        <f t="shared" ca="1" si="530"/>
        <v>1.0001159722222221</v>
      </c>
      <c r="AL3907" s="98">
        <f t="shared" ca="1" si="529"/>
        <v>4.159638555934686</v>
      </c>
      <c r="AM3907" s="106">
        <f t="shared" ca="1" si="526"/>
        <v>36048.901876680233</v>
      </c>
      <c r="AN3907" s="10">
        <f t="shared" ca="1" si="527"/>
        <v>1.0967466397101333</v>
      </c>
      <c r="AO3907" s="158"/>
      <c r="AP3907" s="158"/>
    </row>
    <row r="3908" spans="34:42">
      <c r="AH3908" s="6">
        <f t="shared" si="531"/>
        <v>3878</v>
      </c>
      <c r="AI3908" s="7">
        <f t="shared" ca="1" si="532"/>
        <v>46548</v>
      </c>
      <c r="AJ3908" s="210">
        <f t="shared" ca="1" si="528"/>
        <v>4.1749999999999998</v>
      </c>
      <c r="AK3908" s="8">
        <f t="shared" ca="1" si="530"/>
        <v>1.0001159722222221</v>
      </c>
      <c r="AL3908" s="98">
        <f t="shared" ca="1" si="529"/>
        <v>4.1596808022217768</v>
      </c>
      <c r="AM3908" s="106">
        <f t="shared" ca="1" si="526"/>
        <v>36051.872359158173</v>
      </c>
      <c r="AN3908" s="10">
        <f t="shared" ca="1" si="527"/>
        <v>1.0967816859725366</v>
      </c>
      <c r="AO3908" s="158"/>
      <c r="AP3908" s="158"/>
    </row>
    <row r="3909" spans="34:42">
      <c r="AH3909" s="6">
        <f t="shared" si="531"/>
        <v>3879</v>
      </c>
      <c r="AI3909" s="7">
        <f t="shared" ca="1" si="532"/>
        <v>46549</v>
      </c>
      <c r="AJ3909" s="210">
        <f t="shared" ca="1" si="528"/>
        <v>4.1749999999999998</v>
      </c>
      <c r="AK3909" s="8">
        <f t="shared" ca="1" si="530"/>
        <v>1.0001159722222221</v>
      </c>
      <c r="AL3909" s="98">
        <f t="shared" ca="1" si="529"/>
        <v>4.1597230267439222</v>
      </c>
      <c r="AM3909" s="106">
        <f t="shared" ca="1" si="526"/>
        <v>36054.84308640824</v>
      </c>
      <c r="AN3909" s="10">
        <f t="shared" ca="1" si="527"/>
        <v>1.0968167141773177</v>
      </c>
      <c r="AO3909" s="158"/>
      <c r="AP3909" s="158"/>
    </row>
    <row r="3910" spans="34:42">
      <c r="AH3910" s="6">
        <f t="shared" si="531"/>
        <v>3880</v>
      </c>
      <c r="AI3910" s="7">
        <f t="shared" ca="1" si="532"/>
        <v>46550</v>
      </c>
      <c r="AJ3910" s="210">
        <f t="shared" ca="1" si="528"/>
        <v>4.1749999999999998</v>
      </c>
      <c r="AK3910" s="8">
        <f t="shared" ca="1" si="530"/>
        <v>1.0001159722222221</v>
      </c>
      <c r="AL3910" s="98">
        <f t="shared" ca="1" si="529"/>
        <v>4.1597652295179532</v>
      </c>
      <c r="AM3910" s="106">
        <f t="shared" ca="1" si="526"/>
        <v>36057.814058450589</v>
      </c>
      <c r="AN3910" s="10">
        <f t="shared" ca="1" si="527"/>
        <v>1.0968517243384657</v>
      </c>
      <c r="AO3910" s="158"/>
      <c r="AP3910" s="158"/>
    </row>
    <row r="3911" spans="34:42">
      <c r="AH3911" s="6">
        <f t="shared" si="531"/>
        <v>3881</v>
      </c>
      <c r="AI3911" s="7">
        <f t="shared" ca="1" si="532"/>
        <v>46551</v>
      </c>
      <c r="AJ3911" s="210">
        <f t="shared" ca="1" si="528"/>
        <v>4.1749999999999998</v>
      </c>
      <c r="AK3911" s="8">
        <f t="shared" ca="1" si="530"/>
        <v>1.0001159722222221</v>
      </c>
      <c r="AL3911" s="98">
        <f t="shared" ca="1" si="529"/>
        <v>4.1598074105606786</v>
      </c>
      <c r="AM3911" s="106">
        <f t="shared" ca="1" si="526"/>
        <v>36060.785275305403</v>
      </c>
      <c r="AN3911" s="10">
        <f t="shared" ca="1" si="527"/>
        <v>1.0968867164699025</v>
      </c>
      <c r="AO3911" s="158"/>
      <c r="AP3911" s="158"/>
    </row>
    <row r="3912" spans="34:42">
      <c r="AH3912" s="6">
        <f t="shared" si="531"/>
        <v>3882</v>
      </c>
      <c r="AI3912" s="7">
        <f t="shared" ca="1" si="532"/>
        <v>46552</v>
      </c>
      <c r="AJ3912" s="210">
        <f t="shared" ca="1" si="528"/>
        <v>4.1749999999999998</v>
      </c>
      <c r="AK3912" s="8">
        <f t="shared" ca="1" si="530"/>
        <v>1.0001159722222221</v>
      </c>
      <c r="AL3912" s="98">
        <f t="shared" ca="1" si="529"/>
        <v>4.1598495698888627</v>
      </c>
      <c r="AM3912" s="106">
        <f t="shared" ca="1" si="526"/>
        <v>36063.756736992858</v>
      </c>
      <c r="AN3912" s="10">
        <f t="shared" ca="1" si="527"/>
        <v>1.0969216905855506</v>
      </c>
      <c r="AO3912" s="158"/>
      <c r="AP3912" s="158"/>
    </row>
    <row r="3913" spans="34:42">
      <c r="AH3913" s="6">
        <f t="shared" si="531"/>
        <v>3883</v>
      </c>
      <c r="AI3913" s="7">
        <f t="shared" ca="1" si="532"/>
        <v>46553</v>
      </c>
      <c r="AJ3913" s="210">
        <f t="shared" ca="1" si="528"/>
        <v>4.1749999999999998</v>
      </c>
      <c r="AK3913" s="8">
        <f t="shared" ca="1" si="530"/>
        <v>1.0001159722222221</v>
      </c>
      <c r="AL3913" s="98">
        <f t="shared" ca="1" si="529"/>
        <v>4.1598917075192698</v>
      </c>
      <c r="AM3913" s="106">
        <f t="shared" ca="1" si="526"/>
        <v>36066.728443533117</v>
      </c>
      <c r="AN3913" s="10">
        <f t="shared" ca="1" si="527"/>
        <v>1.0969566466993319</v>
      </c>
      <c r="AO3913" s="158"/>
      <c r="AP3913" s="158"/>
    </row>
    <row r="3914" spans="34:42">
      <c r="AH3914" s="6">
        <f t="shared" si="531"/>
        <v>3884</v>
      </c>
      <c r="AI3914" s="7">
        <f t="shared" ca="1" si="532"/>
        <v>46554</v>
      </c>
      <c r="AJ3914" s="210">
        <f t="shared" ca="1" si="528"/>
        <v>4.1749999999999998</v>
      </c>
      <c r="AK3914" s="8">
        <f t="shared" ca="1" si="530"/>
        <v>1.0001159722222221</v>
      </c>
      <c r="AL3914" s="98">
        <f t="shared" ca="1" si="529"/>
        <v>4.1599338234686645</v>
      </c>
      <c r="AM3914" s="106">
        <f t="shared" ca="1" si="526"/>
        <v>36069.700394946361</v>
      </c>
      <c r="AN3914" s="10">
        <f t="shared" ca="1" si="527"/>
        <v>1.0969915848251244</v>
      </c>
      <c r="AO3914" s="158"/>
      <c r="AP3914" s="158"/>
    </row>
    <row r="3915" spans="34:42">
      <c r="AH3915" s="6">
        <f t="shared" si="531"/>
        <v>3885</v>
      </c>
      <c r="AI3915" s="7">
        <f t="shared" ca="1" si="532"/>
        <v>46555</v>
      </c>
      <c r="AJ3915" s="210">
        <f t="shared" ca="1" si="528"/>
        <v>4.1749999999999998</v>
      </c>
      <c r="AK3915" s="8">
        <f t="shared" ca="1" si="530"/>
        <v>1.0001159722222221</v>
      </c>
      <c r="AL3915" s="98">
        <f t="shared" ca="1" si="529"/>
        <v>4.1599759177537665</v>
      </c>
      <c r="AM3915" s="106">
        <f t="shared" ca="1" si="526"/>
        <v>36072.672591252769</v>
      </c>
      <c r="AN3915" s="10">
        <f t="shared" ca="1" si="527"/>
        <v>1.097026504976828</v>
      </c>
      <c r="AO3915" s="158"/>
      <c r="AP3915" s="158"/>
    </row>
    <row r="3916" spans="34:42">
      <c r="AH3916" s="6">
        <f t="shared" si="531"/>
        <v>3886</v>
      </c>
      <c r="AI3916" s="7">
        <f t="shared" ca="1" si="532"/>
        <v>46556</v>
      </c>
      <c r="AJ3916" s="210">
        <f t="shared" ca="1" si="528"/>
        <v>4.1749999999999998</v>
      </c>
      <c r="AK3916" s="8">
        <f t="shared" ca="1" si="530"/>
        <v>1.0001159722222221</v>
      </c>
      <c r="AL3916" s="98">
        <f t="shared" ca="1" si="529"/>
        <v>4.1600179903912737</v>
      </c>
      <c r="AM3916" s="106">
        <f t="shared" ca="1" si="526"/>
        <v>36075.645032472516</v>
      </c>
      <c r="AN3916" s="10">
        <f t="shared" ca="1" si="527"/>
        <v>1.0970614071682983</v>
      </c>
      <c r="AO3916" s="158"/>
      <c r="AP3916" s="158"/>
    </row>
    <row r="3917" spans="34:42">
      <c r="AH3917" s="6">
        <f t="shared" si="531"/>
        <v>3887</v>
      </c>
      <c r="AI3917" s="7">
        <f t="shared" ca="1" si="532"/>
        <v>46557</v>
      </c>
      <c r="AJ3917" s="210">
        <f t="shared" ca="1" si="528"/>
        <v>4.1749999999999998</v>
      </c>
      <c r="AK3917" s="8">
        <f t="shared" ca="1" si="530"/>
        <v>1.0001159722222221</v>
      </c>
      <c r="AL3917" s="98">
        <f t="shared" ca="1" si="529"/>
        <v>4.1600600413978839</v>
      </c>
      <c r="AM3917" s="106">
        <f t="shared" ca="1" si="526"/>
        <v>36078.617718625785</v>
      </c>
      <c r="AN3917" s="10">
        <f t="shared" ca="1" si="527"/>
        <v>1.0970962914133686</v>
      </c>
      <c r="AO3917" s="158"/>
      <c r="AP3917" s="158"/>
    </row>
    <row r="3918" spans="34:42">
      <c r="AH3918" s="6">
        <f t="shared" si="531"/>
        <v>3888</v>
      </c>
      <c r="AI3918" s="7">
        <f t="shared" ca="1" si="532"/>
        <v>46558</v>
      </c>
      <c r="AJ3918" s="210">
        <f t="shared" ca="1" si="528"/>
        <v>4.1749999999999998</v>
      </c>
      <c r="AK3918" s="8">
        <f t="shared" ca="1" si="530"/>
        <v>1.0001159722222221</v>
      </c>
      <c r="AL3918" s="98">
        <f t="shared" ca="1" si="529"/>
        <v>4.1601020707902947</v>
      </c>
      <c r="AM3918" s="106">
        <f t="shared" ca="1" si="526"/>
        <v>36081.590649732767</v>
      </c>
      <c r="AN3918" s="10">
        <f t="shared" ca="1" si="527"/>
        <v>1.0971311577259169</v>
      </c>
      <c r="AO3918" s="158"/>
      <c r="AP3918" s="158"/>
    </row>
    <row r="3919" spans="34:42">
      <c r="AH3919" s="6">
        <f t="shared" si="531"/>
        <v>3889</v>
      </c>
      <c r="AI3919" s="7">
        <f t="shared" ca="1" si="532"/>
        <v>46559</v>
      </c>
      <c r="AJ3919" s="210">
        <f t="shared" ca="1" si="528"/>
        <v>4.1749999999999998</v>
      </c>
      <c r="AK3919" s="8">
        <f t="shared" ca="1" si="530"/>
        <v>1.0001159722222221</v>
      </c>
      <c r="AL3919" s="98">
        <f t="shared" ca="1" si="529"/>
        <v>4.1601440785851374</v>
      </c>
      <c r="AM3919" s="106">
        <f t="shared" ca="1" si="526"/>
        <v>36084.563825813639</v>
      </c>
      <c r="AN3919" s="10">
        <f t="shared" ca="1" si="527"/>
        <v>1.0971660061197097</v>
      </c>
      <c r="AO3919" s="158"/>
      <c r="AP3919" s="158"/>
    </row>
    <row r="3920" spans="34:42">
      <c r="AH3920" s="6">
        <f t="shared" si="531"/>
        <v>3890</v>
      </c>
      <c r="AI3920" s="7">
        <f t="shared" ca="1" si="532"/>
        <v>46560</v>
      </c>
      <c r="AJ3920" s="210">
        <f t="shared" ca="1" si="528"/>
        <v>4.1749999999999998</v>
      </c>
      <c r="AK3920" s="8">
        <f t="shared" ca="1" si="530"/>
        <v>1.0001159722222221</v>
      </c>
      <c r="AL3920" s="98">
        <f t="shared" ca="1" si="529"/>
        <v>4.1601860647990874</v>
      </c>
      <c r="AM3920" s="106">
        <f t="shared" ca="1" si="526"/>
        <v>36087.537246888583</v>
      </c>
      <c r="AN3920" s="10">
        <f t="shared" ca="1" si="527"/>
        <v>1.097200836608625</v>
      </c>
      <c r="AO3920" s="158"/>
      <c r="AP3920" s="158"/>
    </row>
    <row r="3921" spans="34:42">
      <c r="AH3921" s="6">
        <f t="shared" si="531"/>
        <v>3891</v>
      </c>
      <c r="AI3921" s="7">
        <f t="shared" ca="1" si="532"/>
        <v>46561</v>
      </c>
      <c r="AJ3921" s="210">
        <f t="shared" ca="1" si="528"/>
        <v>4.1749999999999998</v>
      </c>
      <c r="AK3921" s="8">
        <f t="shared" ca="1" si="530"/>
        <v>1.0001159722222221</v>
      </c>
      <c r="AL3921" s="98">
        <f t="shared" ca="1" si="529"/>
        <v>4.1602280294487537</v>
      </c>
      <c r="AM3921" s="106">
        <f t="shared" ca="1" si="526"/>
        <v>36090.510912977799</v>
      </c>
      <c r="AN3921" s="10">
        <f t="shared" ca="1" si="527"/>
        <v>1.0972356492064295</v>
      </c>
      <c r="AO3921" s="158"/>
      <c r="AP3921" s="158"/>
    </row>
    <row r="3922" spans="34:42">
      <c r="AH3922" s="6">
        <f t="shared" si="531"/>
        <v>3892</v>
      </c>
      <c r="AI3922" s="7">
        <f t="shared" ca="1" si="532"/>
        <v>46562</v>
      </c>
      <c r="AJ3922" s="210">
        <f t="shared" ca="1" si="528"/>
        <v>4.1749999999999998</v>
      </c>
      <c r="AK3922" s="8">
        <f t="shared" ca="1" si="530"/>
        <v>1.0001159722222221</v>
      </c>
      <c r="AL3922" s="98">
        <f t="shared" ca="1" si="529"/>
        <v>4.1602699725507453</v>
      </c>
      <c r="AM3922" s="106">
        <f t="shared" ca="1" si="526"/>
        <v>36093.484824101462</v>
      </c>
      <c r="AN3922" s="10">
        <f t="shared" ca="1" si="527"/>
        <v>1.0972704439268899</v>
      </c>
      <c r="AO3922" s="158"/>
      <c r="AP3922" s="158"/>
    </row>
    <row r="3923" spans="34:42">
      <c r="AH3923" s="6">
        <f t="shared" si="531"/>
        <v>3893</v>
      </c>
      <c r="AI3923" s="7">
        <f t="shared" ca="1" si="532"/>
        <v>46563</v>
      </c>
      <c r="AJ3923" s="210">
        <f t="shared" ca="1" si="528"/>
        <v>4.1749999999999998</v>
      </c>
      <c r="AK3923" s="8">
        <f t="shared" ca="1" si="530"/>
        <v>1.0001159722222221</v>
      </c>
      <c r="AL3923" s="98">
        <f t="shared" ca="1" si="529"/>
        <v>4.1603118941216488</v>
      </c>
      <c r="AM3923" s="106">
        <f t="shared" ca="1" si="526"/>
        <v>36096.458980279771</v>
      </c>
      <c r="AN3923" s="10">
        <f t="shared" ca="1" si="527"/>
        <v>1.0973052207837952</v>
      </c>
      <c r="AO3923" s="158"/>
      <c r="AP3923" s="158"/>
    </row>
    <row r="3924" spans="34:42">
      <c r="AH3924" s="6">
        <f t="shared" si="531"/>
        <v>3894</v>
      </c>
      <c r="AI3924" s="7">
        <f t="shared" ca="1" si="532"/>
        <v>46564</v>
      </c>
      <c r="AJ3924" s="210">
        <f t="shared" ca="1" si="528"/>
        <v>4.1749999999999998</v>
      </c>
      <c r="AK3924" s="8">
        <f t="shared" ca="1" si="530"/>
        <v>1.0001159722222221</v>
      </c>
      <c r="AL3924" s="98">
        <f t="shared" ca="1" si="529"/>
        <v>4.1603537941780511</v>
      </c>
      <c r="AM3924" s="106">
        <f t="shared" ca="1" si="526"/>
        <v>36099.43338153293</v>
      </c>
      <c r="AN3924" s="10">
        <f t="shared" ca="1" si="527"/>
        <v>1.09733997979089</v>
      </c>
      <c r="AO3924" s="158"/>
      <c r="AP3924" s="158"/>
    </row>
    <row r="3925" spans="34:42">
      <c r="AH3925" s="6">
        <f t="shared" si="531"/>
        <v>3895</v>
      </c>
      <c r="AI3925" s="7">
        <f t="shared" ca="1" si="532"/>
        <v>46565</v>
      </c>
      <c r="AJ3925" s="210">
        <f t="shared" ca="1" si="528"/>
        <v>4.1749999999999998</v>
      </c>
      <c r="AK3925" s="8">
        <f t="shared" ca="1" si="530"/>
        <v>1.0001159722222221</v>
      </c>
      <c r="AL3925" s="98">
        <f t="shared" ca="1" si="529"/>
        <v>4.1603956727364944</v>
      </c>
      <c r="AM3925" s="106">
        <f t="shared" ca="1" si="526"/>
        <v>36102.408027881109</v>
      </c>
      <c r="AN3925" s="10">
        <f t="shared" ca="1" si="527"/>
        <v>1.0973747209618967</v>
      </c>
      <c r="AO3925" s="158"/>
      <c r="AP3925" s="158"/>
    </row>
    <row r="3926" spans="34:42">
      <c r="AH3926" s="6">
        <f t="shared" si="531"/>
        <v>3896</v>
      </c>
      <c r="AI3926" s="7">
        <f t="shared" ca="1" si="532"/>
        <v>46566</v>
      </c>
      <c r="AJ3926" s="210">
        <f t="shared" ca="1" si="528"/>
        <v>4.1749999999999998</v>
      </c>
      <c r="AK3926" s="8">
        <f t="shared" ca="1" si="530"/>
        <v>1.0001159722222221</v>
      </c>
      <c r="AL3926" s="98">
        <f t="shared" ca="1" si="529"/>
        <v>4.1604375298135432</v>
      </c>
      <c r="AM3926" s="106">
        <f t="shared" ca="1" si="526"/>
        <v>36105.382919344534</v>
      </c>
      <c r="AN3926" s="10">
        <f t="shared" ca="1" si="527"/>
        <v>1.097409444310582</v>
      </c>
      <c r="AO3926" s="158"/>
      <c r="AP3926" s="158"/>
    </row>
    <row r="3927" spans="34:42">
      <c r="AH3927" s="6">
        <f t="shared" si="531"/>
        <v>3897</v>
      </c>
      <c r="AI3927" s="7">
        <f t="shared" ca="1" si="532"/>
        <v>46567</v>
      </c>
      <c r="AJ3927" s="210">
        <f t="shared" ca="1" si="528"/>
        <v>4.1749999999999998</v>
      </c>
      <c r="AK3927" s="8">
        <f t="shared" ca="1" si="530"/>
        <v>1.0001159722222221</v>
      </c>
      <c r="AL3927" s="98">
        <f t="shared" ca="1" si="529"/>
        <v>4.1604793654256955</v>
      </c>
      <c r="AM3927" s="106">
        <f t="shared" ca="1" si="526"/>
        <v>36108.358055943369</v>
      </c>
      <c r="AN3927" s="10">
        <f t="shared" ca="1" si="527"/>
        <v>1.0974441498506238</v>
      </c>
      <c r="AO3927" s="158"/>
      <c r="AP3927" s="158"/>
    </row>
    <row r="3928" spans="34:42">
      <c r="AH3928" s="6">
        <f t="shared" si="531"/>
        <v>3898</v>
      </c>
      <c r="AI3928" s="7">
        <f t="shared" ca="1" si="532"/>
        <v>46568</v>
      </c>
      <c r="AJ3928" s="210">
        <f t="shared" ca="1" si="528"/>
        <v>4.1749999999999998</v>
      </c>
      <c r="AK3928" s="8">
        <f t="shared" ca="1" si="530"/>
        <v>1.0001159722222221</v>
      </c>
      <c r="AL3928" s="98">
        <f t="shared" ca="1" si="529"/>
        <v>4.1605211795894714</v>
      </c>
      <c r="AM3928" s="106">
        <f t="shared" ca="1" si="526"/>
        <v>36111.333437697838</v>
      </c>
      <c r="AN3928" s="10">
        <f t="shared" ca="1" si="527"/>
        <v>1.0974788375957001</v>
      </c>
      <c r="AO3928" s="158"/>
      <c r="AP3928" s="158"/>
    </row>
    <row r="3929" spans="34:42">
      <c r="AH3929" s="6">
        <f t="shared" si="531"/>
        <v>3899</v>
      </c>
      <c r="AI3929" s="7">
        <f t="shared" ca="1" si="532"/>
        <v>46569</v>
      </c>
      <c r="AJ3929" s="210">
        <f t="shared" ca="1" si="528"/>
        <v>4.1749999999999998</v>
      </c>
      <c r="AK3929" s="8">
        <f t="shared" ca="1" si="530"/>
        <v>1.0001159722222221</v>
      </c>
      <c r="AL3929" s="98">
        <f t="shared" ca="1" si="529"/>
        <v>4.1605629723213688</v>
      </c>
      <c r="AM3929" s="106">
        <f t="shared" ca="1" si="526"/>
        <v>36114.309064628134</v>
      </c>
      <c r="AN3929" s="10">
        <f t="shared" ca="1" si="527"/>
        <v>1.0975135075595555</v>
      </c>
      <c r="AO3929" s="158"/>
      <c r="AP3929" s="158"/>
    </row>
    <row r="3930" spans="34:42">
      <c r="AH3930" s="6">
        <f t="shared" si="531"/>
        <v>3900</v>
      </c>
      <c r="AI3930" s="7">
        <f t="shared" ca="1" si="532"/>
        <v>46570</v>
      </c>
      <c r="AJ3930" s="210">
        <f t="shared" ca="1" si="528"/>
        <v>4.1749999999999998</v>
      </c>
      <c r="AK3930" s="8">
        <f t="shared" ca="1" si="530"/>
        <v>1.0001159722222221</v>
      </c>
      <c r="AL3930" s="98">
        <f t="shared" ca="1" si="529"/>
        <v>4.1606047436378413</v>
      </c>
      <c r="AM3930" s="106">
        <f t="shared" ca="1" si="526"/>
        <v>36117.284936754462</v>
      </c>
      <c r="AN3930" s="10">
        <f t="shared" ca="1" si="527"/>
        <v>1.0975481597558012</v>
      </c>
      <c r="AO3930" s="158"/>
      <c r="AP3930" s="158"/>
    </row>
    <row r="3931" spans="34:42">
      <c r="AH3931" s="6">
        <f t="shared" si="531"/>
        <v>3901</v>
      </c>
      <c r="AI3931" s="7">
        <f t="shared" ca="1" si="532"/>
        <v>46571</v>
      </c>
      <c r="AJ3931" s="210">
        <f t="shared" ca="1" si="528"/>
        <v>4.1749999999999998</v>
      </c>
      <c r="AK3931" s="8">
        <f t="shared" ca="1" si="530"/>
        <v>1.0001159722222221</v>
      </c>
      <c r="AL3931" s="98">
        <f t="shared" ca="1" si="529"/>
        <v>4.1606464935553644</v>
      </c>
      <c r="AM3931" s="106">
        <f t="shared" ca="1" si="526"/>
        <v>36120.261054097027</v>
      </c>
      <c r="AN3931" s="10">
        <f t="shared" ca="1" si="527"/>
        <v>1.0975827941981153</v>
      </c>
      <c r="AO3931" s="158"/>
      <c r="AP3931" s="158"/>
    </row>
    <row r="3932" spans="34:42">
      <c r="AH3932" s="6">
        <f t="shared" si="531"/>
        <v>3902</v>
      </c>
      <c r="AI3932" s="7">
        <f t="shared" ca="1" si="532"/>
        <v>46572</v>
      </c>
      <c r="AJ3932" s="210">
        <f t="shared" ca="1" si="528"/>
        <v>4.1749999999999998</v>
      </c>
      <c r="AK3932" s="8">
        <f t="shared" ca="1" si="530"/>
        <v>1.0001159722222221</v>
      </c>
      <c r="AL3932" s="98">
        <f t="shared" ca="1" si="529"/>
        <v>4.1606882220903696</v>
      </c>
      <c r="AM3932" s="106">
        <f t="shared" ca="1" si="526"/>
        <v>36123.237416676035</v>
      </c>
      <c r="AN3932" s="10">
        <f t="shared" ca="1" si="527"/>
        <v>1.0976174109001535</v>
      </c>
      <c r="AO3932" s="158"/>
      <c r="AP3932" s="158"/>
    </row>
    <row r="3933" spans="34:42">
      <c r="AH3933" s="6">
        <f t="shared" si="531"/>
        <v>3903</v>
      </c>
      <c r="AI3933" s="7">
        <f t="shared" ca="1" si="532"/>
        <v>46573</v>
      </c>
      <c r="AJ3933" s="210">
        <f t="shared" ca="1" si="528"/>
        <v>4.1749999999999998</v>
      </c>
      <c r="AK3933" s="8">
        <f t="shared" ca="1" si="530"/>
        <v>1.0001159722222221</v>
      </c>
      <c r="AL3933" s="98">
        <f t="shared" ca="1" si="529"/>
        <v>4.1607299292592659</v>
      </c>
      <c r="AM3933" s="106">
        <f t="shared" ca="1" si="526"/>
        <v>36126.214024511683</v>
      </c>
      <c r="AN3933" s="10">
        <f t="shared" ca="1" si="527"/>
        <v>1.0976520098755049</v>
      </c>
      <c r="AO3933" s="158"/>
      <c r="AP3933" s="158"/>
    </row>
    <row r="3934" spans="34:42">
      <c r="AH3934" s="6">
        <f t="shared" si="531"/>
        <v>3904</v>
      </c>
      <c r="AI3934" s="7">
        <f t="shared" ca="1" si="532"/>
        <v>46574</v>
      </c>
      <c r="AJ3934" s="210">
        <f t="shared" ca="1" si="528"/>
        <v>4.1749999999999998</v>
      </c>
      <c r="AK3934" s="8">
        <f t="shared" ca="1" si="530"/>
        <v>1.0001159722222221</v>
      </c>
      <c r="AL3934" s="98">
        <f t="shared" ca="1" si="529"/>
        <v>4.1607716150784846</v>
      </c>
      <c r="AM3934" s="106">
        <f t="shared" ca="1" si="526"/>
        <v>36129.190877624198</v>
      </c>
      <c r="AN3934" s="10">
        <f t="shared" ca="1" si="527"/>
        <v>1.0976865911378031</v>
      </c>
      <c r="AO3934" s="158"/>
      <c r="AP3934" s="158"/>
    </row>
    <row r="3935" spans="34:42">
      <c r="AH3935" s="6">
        <f t="shared" si="531"/>
        <v>3905</v>
      </c>
      <c r="AI3935" s="7">
        <f t="shared" ca="1" si="532"/>
        <v>46575</v>
      </c>
      <c r="AJ3935" s="210">
        <f t="shared" ca="1" si="528"/>
        <v>4.1749999999999998</v>
      </c>
      <c r="AK3935" s="8">
        <f t="shared" ca="1" si="530"/>
        <v>1.0001159722222221</v>
      </c>
      <c r="AL3935" s="98">
        <f t="shared" ca="1" si="529"/>
        <v>4.1608132795643904</v>
      </c>
      <c r="AM3935" s="106">
        <f t="shared" ref="AM3935:AM3998" ca="1" si="533">Geom_Interp(AI3935,$AZ$2:$AZ$109,$BA$2:$BA$109)</f>
        <v>36132.167976033779</v>
      </c>
      <c r="AN3935" s="10">
        <f t="shared" ref="AN3935:AN3998" ca="1" si="534">100*(((1+AL3935/100)^(AH3935/365)*$AM$29/AM3935)^(365/AH3935)-1)</f>
        <v>1.0977211547006593</v>
      </c>
      <c r="AO3935" s="158"/>
      <c r="AP3935" s="158"/>
    </row>
    <row r="3936" spans="34:42">
      <c r="AH3936" s="6">
        <f t="shared" si="531"/>
        <v>3906</v>
      </c>
      <c r="AI3936" s="7">
        <f t="shared" ca="1" si="532"/>
        <v>46576</v>
      </c>
      <c r="AJ3936" s="210">
        <f t="shared" ref="AJ3936:AJ3999" ca="1" si="535">IF(AH3936&lt;365,VLOOKUP(LOOKUP(AI3936,$AI$2:$AI$23),$AI$2:$AK$23,3,0),Lin_Interp(AH3936,$AJ$2:$AJ$23,$AK$2:$AK$23))</f>
        <v>4.1749999999999998</v>
      </c>
      <c r="AK3936" s="8">
        <f t="shared" ca="1" si="530"/>
        <v>1.0001159722222221</v>
      </c>
      <c r="AL3936" s="98">
        <f t="shared" ca="1" si="529"/>
        <v>4.1608549227333702</v>
      </c>
      <c r="AM3936" s="106">
        <f t="shared" ca="1" si="533"/>
        <v>36135.145319760653</v>
      </c>
      <c r="AN3936" s="10">
        <f t="shared" ca="1" si="534"/>
        <v>1.0977557005776406</v>
      </c>
      <c r="AO3936" s="158"/>
      <c r="AP3936" s="158"/>
    </row>
    <row r="3937" spans="34:42">
      <c r="AH3937" s="6">
        <f t="shared" si="531"/>
        <v>3907</v>
      </c>
      <c r="AI3937" s="7">
        <f t="shared" ca="1" si="532"/>
        <v>46577</v>
      </c>
      <c r="AJ3937" s="210">
        <f t="shared" ca="1" si="535"/>
        <v>4.1749999999999998</v>
      </c>
      <c r="AK3937" s="8">
        <f t="shared" ca="1" si="530"/>
        <v>1.0001159722222221</v>
      </c>
      <c r="AL3937" s="98">
        <f t="shared" ref="AL3937:AL4000" ca="1" si="536">100*(((1+AL3936/100)^(AH3936/365)*AK3937)^(365/AH3937)-1)</f>
        <v>4.1608965446017665</v>
      </c>
      <c r="AM3937" s="106">
        <f t="shared" ca="1" si="533"/>
        <v>36138.122908825011</v>
      </c>
      <c r="AN3937" s="10">
        <f t="shared" ca="1" si="534"/>
        <v>1.0977902287822916</v>
      </c>
      <c r="AO3937" s="158"/>
      <c r="AP3937" s="158"/>
    </row>
    <row r="3938" spans="34:42">
      <c r="AH3938" s="6">
        <f t="shared" si="531"/>
        <v>3908</v>
      </c>
      <c r="AI3938" s="7">
        <f t="shared" ca="1" si="532"/>
        <v>46578</v>
      </c>
      <c r="AJ3938" s="210">
        <f t="shared" ca="1" si="535"/>
        <v>4.1749999999999998</v>
      </c>
      <c r="AK3938" s="8">
        <f t="shared" ca="1" si="530"/>
        <v>1.0001159722222221</v>
      </c>
      <c r="AL3938" s="98">
        <f t="shared" ca="1" si="536"/>
        <v>4.160938145185944</v>
      </c>
      <c r="AM3938" s="106">
        <f t="shared" ca="1" si="533"/>
        <v>36141.100743247087</v>
      </c>
      <c r="AN3938" s="10">
        <f t="shared" ca="1" si="534"/>
        <v>1.0978247393282459</v>
      </c>
      <c r="AO3938" s="158"/>
      <c r="AP3938" s="158"/>
    </row>
    <row r="3939" spans="34:42">
      <c r="AH3939" s="6">
        <f t="shared" si="531"/>
        <v>3909</v>
      </c>
      <c r="AI3939" s="7">
        <f t="shared" ca="1" si="532"/>
        <v>46579</v>
      </c>
      <c r="AJ3939" s="210">
        <f t="shared" ca="1" si="535"/>
        <v>4.1749999999999998</v>
      </c>
      <c r="AK3939" s="8">
        <f t="shared" ca="1" si="530"/>
        <v>1.0001159722222221</v>
      </c>
      <c r="AL3939" s="98">
        <f t="shared" ca="1" si="536"/>
        <v>4.1609797245022007</v>
      </c>
      <c r="AM3939" s="106">
        <f t="shared" ca="1" si="533"/>
        <v>36144.078823047101</v>
      </c>
      <c r="AN3939" s="10">
        <f t="shared" ca="1" si="534"/>
        <v>1.0978592322289815</v>
      </c>
      <c r="AO3939" s="158"/>
      <c r="AP3939" s="158"/>
    </row>
    <row r="3940" spans="34:42">
      <c r="AH3940" s="6">
        <f t="shared" si="531"/>
        <v>3910</v>
      </c>
      <c r="AI3940" s="7">
        <f t="shared" ca="1" si="532"/>
        <v>46580</v>
      </c>
      <c r="AJ3940" s="210">
        <f t="shared" ca="1" si="535"/>
        <v>4.1749999999999998</v>
      </c>
      <c r="AK3940" s="8">
        <f t="shared" ref="AK3940:AK4003" ca="1" si="537">+(1+AJ3940/36000)</f>
        <v>1.0001159722222221</v>
      </c>
      <c r="AL3940" s="98">
        <f t="shared" ca="1" si="536"/>
        <v>4.1610212825668569</v>
      </c>
      <c r="AM3940" s="106">
        <f t="shared" ca="1" si="533"/>
        <v>36147.057148245258</v>
      </c>
      <c r="AN3940" s="10">
        <f t="shared" ca="1" si="534"/>
        <v>1.0978937074980655</v>
      </c>
      <c r="AO3940" s="158"/>
      <c r="AP3940" s="158"/>
    </row>
    <row r="3941" spans="34:42">
      <c r="AH3941" s="6">
        <f t="shared" si="531"/>
        <v>3911</v>
      </c>
      <c r="AI3941" s="7">
        <f t="shared" ca="1" si="532"/>
        <v>46581</v>
      </c>
      <c r="AJ3941" s="210">
        <f t="shared" ca="1" si="535"/>
        <v>4.1749999999999998</v>
      </c>
      <c r="AK3941" s="8">
        <f t="shared" ca="1" si="537"/>
        <v>1.0001159722222221</v>
      </c>
      <c r="AL3941" s="98">
        <f t="shared" ca="1" si="536"/>
        <v>4.1610628193961885</v>
      </c>
      <c r="AM3941" s="106">
        <f t="shared" ca="1" si="533"/>
        <v>36150.035718861785</v>
      </c>
      <c r="AN3941" s="10">
        <f t="shared" ca="1" si="534"/>
        <v>1.0979281651489758</v>
      </c>
      <c r="AO3941" s="158"/>
      <c r="AP3941" s="158"/>
    </row>
    <row r="3942" spans="34:42">
      <c r="AH3942" s="6">
        <f t="shared" si="531"/>
        <v>3912</v>
      </c>
      <c r="AI3942" s="7">
        <f t="shared" ca="1" si="532"/>
        <v>46582</v>
      </c>
      <c r="AJ3942" s="210">
        <f t="shared" ca="1" si="535"/>
        <v>4.1749999999999998</v>
      </c>
      <c r="AK3942" s="8">
        <f t="shared" ca="1" si="537"/>
        <v>1.0001159722222221</v>
      </c>
      <c r="AL3942" s="98">
        <f t="shared" ca="1" si="536"/>
        <v>4.1611043350064714</v>
      </c>
      <c r="AM3942" s="106">
        <f t="shared" ca="1" si="533"/>
        <v>36153.014534916918</v>
      </c>
      <c r="AN3942" s="10">
        <f t="shared" ca="1" si="534"/>
        <v>1.0979626051952573</v>
      </c>
      <c r="AO3942" s="158"/>
      <c r="AP3942" s="158"/>
    </row>
    <row r="3943" spans="34:42">
      <c r="AH3943" s="6">
        <f t="shared" si="531"/>
        <v>3913</v>
      </c>
      <c r="AI3943" s="7">
        <f t="shared" ca="1" si="532"/>
        <v>46583</v>
      </c>
      <c r="AJ3943" s="210">
        <f t="shared" ca="1" si="535"/>
        <v>4.1749999999999998</v>
      </c>
      <c r="AK3943" s="8">
        <f t="shared" ca="1" si="537"/>
        <v>1.0001159722222221</v>
      </c>
      <c r="AL3943" s="98">
        <f t="shared" ca="1" si="536"/>
        <v>4.1611458294139592</v>
      </c>
      <c r="AM3943" s="106">
        <f t="shared" ca="1" si="533"/>
        <v>36155.993596430861</v>
      </c>
      <c r="AN3943" s="10">
        <f t="shared" ca="1" si="534"/>
        <v>1.0979970276503437</v>
      </c>
      <c r="AO3943" s="158"/>
      <c r="AP3943" s="158"/>
    </row>
    <row r="3944" spans="34:42">
      <c r="AH3944" s="6">
        <f t="shared" si="531"/>
        <v>3914</v>
      </c>
      <c r="AI3944" s="7">
        <f t="shared" ca="1" si="532"/>
        <v>46584</v>
      </c>
      <c r="AJ3944" s="210">
        <f t="shared" ca="1" si="535"/>
        <v>4.1749999999999998</v>
      </c>
      <c r="AK3944" s="8">
        <f t="shared" ca="1" si="537"/>
        <v>1.0001159722222221</v>
      </c>
      <c r="AL3944" s="98">
        <f t="shared" ca="1" si="536"/>
        <v>4.1611873026349055</v>
      </c>
      <c r="AM3944" s="106">
        <f t="shared" ca="1" si="533"/>
        <v>36158.972903423855</v>
      </c>
      <c r="AN3944" s="10">
        <f t="shared" ca="1" si="534"/>
        <v>1.0980314325277796</v>
      </c>
      <c r="AO3944" s="158"/>
      <c r="AP3944" s="158"/>
    </row>
    <row r="3945" spans="34:42">
      <c r="AH3945" s="6">
        <f t="shared" si="531"/>
        <v>3915</v>
      </c>
      <c r="AI3945" s="7">
        <f t="shared" ca="1" si="532"/>
        <v>46585</v>
      </c>
      <c r="AJ3945" s="210">
        <f t="shared" ca="1" si="535"/>
        <v>4.1749999999999998</v>
      </c>
      <c r="AK3945" s="8">
        <f t="shared" ca="1" si="537"/>
        <v>1.0001159722222221</v>
      </c>
      <c r="AL3945" s="98">
        <f t="shared" ca="1" si="536"/>
        <v>4.1612287546855198</v>
      </c>
      <c r="AM3945" s="106">
        <f t="shared" ca="1" si="533"/>
        <v>36161.952455916115</v>
      </c>
      <c r="AN3945" s="10">
        <f t="shared" ca="1" si="534"/>
        <v>1.0980658198409765</v>
      </c>
      <c r="AO3945" s="158"/>
      <c r="AP3945" s="158"/>
    </row>
    <row r="3946" spans="34:42">
      <c r="AH3946" s="6">
        <f t="shared" si="531"/>
        <v>3916</v>
      </c>
      <c r="AI3946" s="7">
        <f t="shared" ca="1" si="532"/>
        <v>46586</v>
      </c>
      <c r="AJ3946" s="210">
        <f t="shared" ca="1" si="535"/>
        <v>4.1749999999999998</v>
      </c>
      <c r="AK3946" s="8">
        <f t="shared" ca="1" si="537"/>
        <v>1.0001159722222221</v>
      </c>
      <c r="AL3946" s="98">
        <f t="shared" ca="1" si="536"/>
        <v>4.1612701855820111</v>
      </c>
      <c r="AM3946" s="106">
        <f t="shared" ca="1" si="533"/>
        <v>36164.93225392788</v>
      </c>
      <c r="AN3946" s="10">
        <f t="shared" ca="1" si="534"/>
        <v>1.0981001896033904</v>
      </c>
      <c r="AO3946" s="158"/>
      <c r="AP3946" s="158"/>
    </row>
    <row r="3947" spans="34:42">
      <c r="AH3947" s="6">
        <f t="shared" si="531"/>
        <v>3917</v>
      </c>
      <c r="AI3947" s="7">
        <f t="shared" ca="1" si="532"/>
        <v>46587</v>
      </c>
      <c r="AJ3947" s="210">
        <f t="shared" ca="1" si="535"/>
        <v>4.1749999999999998</v>
      </c>
      <c r="AK3947" s="8">
        <f t="shared" ca="1" si="537"/>
        <v>1.0001159722222221</v>
      </c>
      <c r="AL3947" s="98">
        <f t="shared" ca="1" si="536"/>
        <v>4.1613115953405666</v>
      </c>
      <c r="AM3947" s="106">
        <f t="shared" ca="1" si="533"/>
        <v>36167.912297479386</v>
      </c>
      <c r="AN3947" s="10">
        <f t="shared" ca="1" si="534"/>
        <v>1.0981345418284549</v>
      </c>
      <c r="AO3947" s="158"/>
      <c r="AP3947" s="158"/>
    </row>
    <row r="3948" spans="34:42">
      <c r="AH3948" s="6">
        <f t="shared" si="531"/>
        <v>3918</v>
      </c>
      <c r="AI3948" s="7">
        <f t="shared" ca="1" si="532"/>
        <v>46588</v>
      </c>
      <c r="AJ3948" s="210">
        <f t="shared" ca="1" si="535"/>
        <v>4.1749999999999998</v>
      </c>
      <c r="AK3948" s="8">
        <f t="shared" ca="1" si="537"/>
        <v>1.0001159722222221</v>
      </c>
      <c r="AL3948" s="98">
        <f t="shared" ca="1" si="536"/>
        <v>4.1613529839773511</v>
      </c>
      <c r="AM3948" s="106">
        <f t="shared" ca="1" si="533"/>
        <v>36170.89258659086</v>
      </c>
      <c r="AN3948" s="10">
        <f t="shared" ca="1" si="534"/>
        <v>1.0981688765295816</v>
      </c>
      <c r="AO3948" s="158"/>
      <c r="AP3948" s="158"/>
    </row>
    <row r="3949" spans="34:42">
      <c r="AH3949" s="6">
        <f t="shared" si="531"/>
        <v>3919</v>
      </c>
      <c r="AI3949" s="7">
        <f t="shared" ca="1" si="532"/>
        <v>46589</v>
      </c>
      <c r="AJ3949" s="210">
        <f t="shared" ca="1" si="535"/>
        <v>4.1749999999999998</v>
      </c>
      <c r="AK3949" s="8">
        <f t="shared" ca="1" si="537"/>
        <v>1.0001159722222221</v>
      </c>
      <c r="AL3949" s="98">
        <f t="shared" ca="1" si="536"/>
        <v>4.1613943515085294</v>
      </c>
      <c r="AM3949" s="106">
        <f t="shared" ca="1" si="533"/>
        <v>36173.873121282522</v>
      </c>
      <c r="AN3949" s="10">
        <f t="shared" ca="1" si="534"/>
        <v>1.0982031937201819</v>
      </c>
      <c r="AO3949" s="158"/>
      <c r="AP3949" s="158"/>
    </row>
    <row r="3950" spans="34:42">
      <c r="AH3950" s="6">
        <f t="shared" si="531"/>
        <v>3920</v>
      </c>
      <c r="AI3950" s="7">
        <f t="shared" ca="1" si="532"/>
        <v>46590</v>
      </c>
      <c r="AJ3950" s="210">
        <f t="shared" ca="1" si="535"/>
        <v>4.1749999999999998</v>
      </c>
      <c r="AK3950" s="8">
        <f t="shared" ca="1" si="537"/>
        <v>1.0001159722222221</v>
      </c>
      <c r="AL3950" s="98">
        <f t="shared" ca="1" si="536"/>
        <v>4.1614356979502443</v>
      </c>
      <c r="AM3950" s="106">
        <f t="shared" ca="1" si="533"/>
        <v>36176.853901574636</v>
      </c>
      <c r="AN3950" s="10">
        <f t="shared" ca="1" si="534"/>
        <v>1.0982374934136674</v>
      </c>
      <c r="AO3950" s="158"/>
      <c r="AP3950" s="158"/>
    </row>
    <row r="3951" spans="34:42">
      <c r="AH3951" s="6">
        <f t="shared" si="531"/>
        <v>3921</v>
      </c>
      <c r="AI3951" s="7">
        <f t="shared" ca="1" si="532"/>
        <v>46591</v>
      </c>
      <c r="AJ3951" s="210">
        <f t="shared" ca="1" si="535"/>
        <v>4.1749999999999998</v>
      </c>
      <c r="AK3951" s="8">
        <f t="shared" ca="1" si="537"/>
        <v>1.0001159722222221</v>
      </c>
      <c r="AL3951" s="98">
        <f t="shared" ca="1" si="536"/>
        <v>4.161477023318616</v>
      </c>
      <c r="AM3951" s="106">
        <f t="shared" ca="1" si="533"/>
        <v>36179.834927487413</v>
      </c>
      <c r="AN3951" s="10">
        <f t="shared" ca="1" si="534"/>
        <v>1.0982717756233829</v>
      </c>
      <c r="AO3951" s="158"/>
      <c r="AP3951" s="158"/>
    </row>
    <row r="3952" spans="34:42">
      <c r="AH3952" s="6">
        <f t="shared" si="531"/>
        <v>3922</v>
      </c>
      <c r="AI3952" s="7">
        <f t="shared" ca="1" si="532"/>
        <v>46592</v>
      </c>
      <c r="AJ3952" s="210">
        <f t="shared" ca="1" si="535"/>
        <v>4.1749999999999998</v>
      </c>
      <c r="AK3952" s="8">
        <f t="shared" ca="1" si="537"/>
        <v>1.0001159722222221</v>
      </c>
      <c r="AL3952" s="98">
        <f t="shared" ca="1" si="536"/>
        <v>4.1615183276297429</v>
      </c>
      <c r="AM3952" s="106">
        <f t="shared" ca="1" si="533"/>
        <v>36182.816199041117</v>
      </c>
      <c r="AN3952" s="10">
        <f t="shared" ca="1" si="534"/>
        <v>1.0983060403627176</v>
      </c>
      <c r="AO3952" s="158"/>
      <c r="AP3952" s="158"/>
    </row>
    <row r="3953" spans="34:42">
      <c r="AH3953" s="6">
        <f t="shared" si="531"/>
        <v>3923</v>
      </c>
      <c r="AI3953" s="7">
        <f t="shared" ca="1" si="532"/>
        <v>46593</v>
      </c>
      <c r="AJ3953" s="210">
        <f t="shared" ca="1" si="535"/>
        <v>4.1749999999999998</v>
      </c>
      <c r="AK3953" s="8">
        <f t="shared" ca="1" si="537"/>
        <v>1.0001159722222221</v>
      </c>
      <c r="AL3953" s="98">
        <f t="shared" ca="1" si="536"/>
        <v>4.1615596108997233</v>
      </c>
      <c r="AM3953" s="106">
        <f t="shared" ca="1" si="533"/>
        <v>36185.797716255969</v>
      </c>
      <c r="AN3953" s="10">
        <f t="shared" ca="1" si="534"/>
        <v>1.0983402876450166</v>
      </c>
      <c r="AO3953" s="158"/>
      <c r="AP3953" s="158"/>
    </row>
    <row r="3954" spans="34:42">
      <c r="AH3954" s="6">
        <f t="shared" si="531"/>
        <v>3924</v>
      </c>
      <c r="AI3954" s="7">
        <f t="shared" ca="1" si="532"/>
        <v>46594</v>
      </c>
      <c r="AJ3954" s="210">
        <f t="shared" ca="1" si="535"/>
        <v>4.1749999999999998</v>
      </c>
      <c r="AK3954" s="8">
        <f t="shared" ca="1" si="537"/>
        <v>1.0001159722222221</v>
      </c>
      <c r="AL3954" s="98">
        <f t="shared" ca="1" si="536"/>
        <v>4.161600873144633</v>
      </c>
      <c r="AM3954" s="106">
        <f t="shared" ca="1" si="533"/>
        <v>36188.779479152225</v>
      </c>
      <c r="AN3954" s="10">
        <f t="shared" ca="1" si="534"/>
        <v>1.0983745174836246</v>
      </c>
      <c r="AO3954" s="158"/>
      <c r="AP3954" s="158"/>
    </row>
    <row r="3955" spans="34:42">
      <c r="AH3955" s="6">
        <f t="shared" si="531"/>
        <v>3925</v>
      </c>
      <c r="AI3955" s="7">
        <f t="shared" ca="1" si="532"/>
        <v>46595</v>
      </c>
      <c r="AJ3955" s="210">
        <f t="shared" ca="1" si="535"/>
        <v>4.1749999999999998</v>
      </c>
      <c r="AK3955" s="8">
        <f t="shared" ca="1" si="537"/>
        <v>1.0001159722222221</v>
      </c>
      <c r="AL3955" s="98">
        <f t="shared" ca="1" si="536"/>
        <v>4.161642114380526</v>
      </c>
      <c r="AM3955" s="106">
        <f t="shared" ca="1" si="533"/>
        <v>36191.761487750118</v>
      </c>
      <c r="AN3955" s="10">
        <f t="shared" ca="1" si="534"/>
        <v>1.0984087298918421</v>
      </c>
      <c r="AO3955" s="158"/>
      <c r="AP3955" s="158"/>
    </row>
    <row r="3956" spans="34:42">
      <c r="AH3956" s="6">
        <f t="shared" si="531"/>
        <v>3926</v>
      </c>
      <c r="AI3956" s="7">
        <f t="shared" ca="1" si="532"/>
        <v>46596</v>
      </c>
      <c r="AJ3956" s="210">
        <f t="shared" ca="1" si="535"/>
        <v>4.1749999999999998</v>
      </c>
      <c r="AK3956" s="8">
        <f t="shared" ca="1" si="537"/>
        <v>1.0001159722222221</v>
      </c>
      <c r="AL3956" s="98">
        <f t="shared" ca="1" si="536"/>
        <v>4.1616833346234561</v>
      </c>
      <c r="AM3956" s="106">
        <f t="shared" ca="1" si="533"/>
        <v>36194.743742069906</v>
      </c>
      <c r="AN3956" s="10">
        <f t="shared" ca="1" si="534"/>
        <v>1.0984429248829919</v>
      </c>
      <c r="AO3956" s="158"/>
      <c r="AP3956" s="158"/>
    </row>
    <row r="3957" spans="34:42">
      <c r="AH3957" s="6">
        <f t="shared" si="531"/>
        <v>3927</v>
      </c>
      <c r="AI3957" s="7">
        <f t="shared" ca="1" si="532"/>
        <v>46597</v>
      </c>
      <c r="AJ3957" s="210">
        <f t="shared" ca="1" si="535"/>
        <v>4.1749999999999998</v>
      </c>
      <c r="AK3957" s="8">
        <f t="shared" ca="1" si="537"/>
        <v>1.0001159722222221</v>
      </c>
      <c r="AL3957" s="98">
        <f t="shared" ca="1" si="536"/>
        <v>4.1617245338894326</v>
      </c>
      <c r="AM3957" s="106">
        <f t="shared" ca="1" si="533"/>
        <v>36197.72624213183</v>
      </c>
      <c r="AN3957" s="10">
        <f t="shared" ca="1" si="534"/>
        <v>1.0984771024703965</v>
      </c>
      <c r="AO3957" s="158"/>
      <c r="AP3957" s="158"/>
    </row>
    <row r="3958" spans="34:42">
      <c r="AH3958" s="6">
        <f t="shared" si="531"/>
        <v>3928</v>
      </c>
      <c r="AI3958" s="7">
        <f t="shared" ca="1" si="532"/>
        <v>46598</v>
      </c>
      <c r="AJ3958" s="210">
        <f t="shared" ca="1" si="535"/>
        <v>4.1749999999999998</v>
      </c>
      <c r="AK3958" s="8">
        <f t="shared" ca="1" si="537"/>
        <v>1.0001159722222221</v>
      </c>
      <c r="AL3958" s="98">
        <f t="shared" ca="1" si="536"/>
        <v>4.1617657121944651</v>
      </c>
      <c r="AM3958" s="106">
        <f t="shared" ca="1" si="533"/>
        <v>36200.708987956139</v>
      </c>
      <c r="AN3958" s="10">
        <f t="shared" ca="1" si="534"/>
        <v>1.0985112626672899</v>
      </c>
      <c r="AO3958" s="158"/>
      <c r="AP3958" s="158"/>
    </row>
    <row r="3959" spans="34:42">
      <c r="AH3959" s="6">
        <f t="shared" ref="AH3959:AH4022" si="538">$AI$29+AH3958</f>
        <v>3929</v>
      </c>
      <c r="AI3959" s="7">
        <f t="shared" ref="AI3959:AI4022" ca="1" si="539">+AH3959+$C$1</f>
        <v>46599</v>
      </c>
      <c r="AJ3959" s="210">
        <f t="shared" ca="1" si="535"/>
        <v>4.1749999999999998</v>
      </c>
      <c r="AK3959" s="8">
        <f t="shared" ca="1" si="537"/>
        <v>1.0001159722222221</v>
      </c>
      <c r="AL3959" s="98">
        <f t="shared" ca="1" si="536"/>
        <v>4.1618068695545629</v>
      </c>
      <c r="AM3959" s="106">
        <f t="shared" ca="1" si="533"/>
        <v>36203.691979563089</v>
      </c>
      <c r="AN3959" s="10">
        <f t="shared" ca="1" si="534"/>
        <v>1.0985454054869948</v>
      </c>
      <c r="AO3959" s="158"/>
      <c r="AP3959" s="158"/>
    </row>
    <row r="3960" spans="34:42">
      <c r="AH3960" s="6">
        <f t="shared" si="538"/>
        <v>3930</v>
      </c>
      <c r="AI3960" s="7">
        <f t="shared" ca="1" si="539"/>
        <v>46600</v>
      </c>
      <c r="AJ3960" s="210">
        <f t="shared" ca="1" si="535"/>
        <v>4.1749999999999998</v>
      </c>
      <c r="AK3960" s="8">
        <f t="shared" ca="1" si="537"/>
        <v>1.0001159722222221</v>
      </c>
      <c r="AL3960" s="98">
        <f t="shared" ca="1" si="536"/>
        <v>4.161848005985691</v>
      </c>
      <c r="AM3960" s="106">
        <f t="shared" ca="1" si="533"/>
        <v>36206.67521697293</v>
      </c>
      <c r="AN3960" s="10">
        <f t="shared" ca="1" si="534"/>
        <v>1.0985795309427449</v>
      </c>
      <c r="AO3960" s="158"/>
      <c r="AP3960" s="158"/>
    </row>
    <row r="3961" spans="34:42">
      <c r="AH3961" s="6">
        <f t="shared" si="538"/>
        <v>3931</v>
      </c>
      <c r="AI3961" s="7">
        <f t="shared" ca="1" si="539"/>
        <v>46601</v>
      </c>
      <c r="AJ3961" s="210">
        <f t="shared" ca="1" si="535"/>
        <v>4.1749999999999998</v>
      </c>
      <c r="AK3961" s="8">
        <f t="shared" ca="1" si="537"/>
        <v>1.0001159722222221</v>
      </c>
      <c r="AL3961" s="98">
        <f t="shared" ca="1" si="536"/>
        <v>4.1618891215037923</v>
      </c>
      <c r="AM3961" s="106">
        <f t="shared" ca="1" si="533"/>
        <v>36209.658700205917</v>
      </c>
      <c r="AN3961" s="10">
        <f t="shared" ca="1" si="534"/>
        <v>1.0986136390477519</v>
      </c>
      <c r="AO3961" s="158"/>
      <c r="AP3961" s="158"/>
    </row>
    <row r="3962" spans="34:42">
      <c r="AH3962" s="6">
        <f t="shared" si="538"/>
        <v>3932</v>
      </c>
      <c r="AI3962" s="7">
        <f t="shared" ca="1" si="539"/>
        <v>46602</v>
      </c>
      <c r="AJ3962" s="210">
        <f t="shared" ca="1" si="535"/>
        <v>4.1749999999999998</v>
      </c>
      <c r="AK3962" s="8">
        <f t="shared" ca="1" si="537"/>
        <v>1.0001159722222221</v>
      </c>
      <c r="AL3962" s="98">
        <f t="shared" ca="1" si="536"/>
        <v>4.1619302161248317</v>
      </c>
      <c r="AM3962" s="106">
        <f t="shared" ca="1" si="533"/>
        <v>36212.642429282307</v>
      </c>
      <c r="AN3962" s="10">
        <f t="shared" ca="1" si="534"/>
        <v>1.0986477298152719</v>
      </c>
      <c r="AO3962" s="158"/>
      <c r="AP3962" s="158"/>
    </row>
    <row r="3963" spans="34:42">
      <c r="AH3963" s="6">
        <f t="shared" si="538"/>
        <v>3933</v>
      </c>
      <c r="AI3963" s="7">
        <f t="shared" ca="1" si="539"/>
        <v>46603</v>
      </c>
      <c r="AJ3963" s="210">
        <f t="shared" ca="1" si="535"/>
        <v>4.1749999999999998</v>
      </c>
      <c r="AK3963" s="8">
        <f t="shared" ca="1" si="537"/>
        <v>1.0001159722222221</v>
      </c>
      <c r="AL3963" s="98">
        <f t="shared" ca="1" si="536"/>
        <v>4.1619712898647299</v>
      </c>
      <c r="AM3963" s="106">
        <f t="shared" ca="1" si="533"/>
        <v>36215.626404222356</v>
      </c>
      <c r="AN3963" s="10">
        <f t="shared" ca="1" si="534"/>
        <v>1.0986818032585388</v>
      </c>
      <c r="AO3963" s="158"/>
      <c r="AP3963" s="158"/>
    </row>
    <row r="3964" spans="34:42">
      <c r="AH3964" s="6">
        <f t="shared" si="538"/>
        <v>3934</v>
      </c>
      <c r="AI3964" s="7">
        <f t="shared" ca="1" si="539"/>
        <v>46604</v>
      </c>
      <c r="AJ3964" s="210">
        <f t="shared" ca="1" si="535"/>
        <v>4.1749999999999998</v>
      </c>
      <c r="AK3964" s="8">
        <f t="shared" ca="1" si="537"/>
        <v>1.0001159722222221</v>
      </c>
      <c r="AL3964" s="98">
        <f t="shared" ca="1" si="536"/>
        <v>4.1620123427394073</v>
      </c>
      <c r="AM3964" s="106">
        <f t="shared" ca="1" si="533"/>
        <v>36218.61062504632</v>
      </c>
      <c r="AN3964" s="10">
        <f t="shared" ca="1" si="534"/>
        <v>1.098715859390742</v>
      </c>
      <c r="AO3964" s="158"/>
      <c r="AP3964" s="158"/>
    </row>
    <row r="3965" spans="34:42">
      <c r="AH3965" s="6">
        <f t="shared" si="538"/>
        <v>3935</v>
      </c>
      <c r="AI3965" s="7">
        <f t="shared" ca="1" si="539"/>
        <v>46605</v>
      </c>
      <c r="AJ3965" s="210">
        <f t="shared" ca="1" si="535"/>
        <v>4.1749999999999998</v>
      </c>
      <c r="AK3965" s="8">
        <f t="shared" ca="1" si="537"/>
        <v>1.0001159722222221</v>
      </c>
      <c r="AL3965" s="98">
        <f t="shared" ca="1" si="536"/>
        <v>4.1620533747647404</v>
      </c>
      <c r="AM3965" s="106">
        <f t="shared" ca="1" si="533"/>
        <v>36221.595091774463</v>
      </c>
      <c r="AN3965" s="10">
        <f t="shared" ca="1" si="534"/>
        <v>1.0987498982250488</v>
      </c>
      <c r="AO3965" s="158"/>
      <c r="AP3965" s="158"/>
    </row>
    <row r="3966" spans="34:42">
      <c r="AH3966" s="6">
        <f t="shared" si="538"/>
        <v>3936</v>
      </c>
      <c r="AI3966" s="7">
        <f t="shared" ca="1" si="539"/>
        <v>46606</v>
      </c>
      <c r="AJ3966" s="210">
        <f t="shared" ca="1" si="535"/>
        <v>4.1749999999999998</v>
      </c>
      <c r="AK3966" s="8">
        <f t="shared" ca="1" si="537"/>
        <v>1.0001159722222221</v>
      </c>
      <c r="AL3966" s="98">
        <f t="shared" ca="1" si="536"/>
        <v>4.1620943859566273</v>
      </c>
      <c r="AM3966" s="106">
        <f t="shared" ca="1" si="533"/>
        <v>36224.579804427056</v>
      </c>
      <c r="AN3966" s="10">
        <f t="shared" ca="1" si="534"/>
        <v>1.0987839197746485</v>
      </c>
      <c r="AO3966" s="158"/>
      <c r="AP3966" s="158"/>
    </row>
    <row r="3967" spans="34:42">
      <c r="AH3967" s="6">
        <f t="shared" si="538"/>
        <v>3937</v>
      </c>
      <c r="AI3967" s="7">
        <f t="shared" ca="1" si="539"/>
        <v>46607</v>
      </c>
      <c r="AJ3967" s="210">
        <f t="shared" ca="1" si="535"/>
        <v>4.1749999999999998</v>
      </c>
      <c r="AK3967" s="8">
        <f t="shared" ca="1" si="537"/>
        <v>1.0001159722222221</v>
      </c>
      <c r="AL3967" s="98">
        <f t="shared" ca="1" si="536"/>
        <v>4.1621353763309221</v>
      </c>
      <c r="AM3967" s="106">
        <f t="shared" ca="1" si="533"/>
        <v>36227.564763024355</v>
      </c>
      <c r="AN3967" s="10">
        <f t="shared" ca="1" si="534"/>
        <v>1.0988179240527307</v>
      </c>
      <c r="AO3967" s="158"/>
      <c r="AP3967" s="158"/>
    </row>
    <row r="3968" spans="34:42">
      <c r="AH3968" s="6">
        <f t="shared" si="538"/>
        <v>3938</v>
      </c>
      <c r="AI3968" s="7">
        <f t="shared" ca="1" si="539"/>
        <v>46608</v>
      </c>
      <c r="AJ3968" s="210">
        <f t="shared" ca="1" si="535"/>
        <v>4.1749999999999998</v>
      </c>
      <c r="AK3968" s="8">
        <f t="shared" ca="1" si="537"/>
        <v>1.0001159722222221</v>
      </c>
      <c r="AL3968" s="98">
        <f t="shared" ca="1" si="536"/>
        <v>4.1621763459034788</v>
      </c>
      <c r="AM3968" s="106">
        <f t="shared" ca="1" si="533"/>
        <v>36230.549967586623</v>
      </c>
      <c r="AN3968" s="10">
        <f t="shared" ca="1" si="534"/>
        <v>1.0988519110724182</v>
      </c>
      <c r="AO3968" s="158"/>
      <c r="AP3968" s="158"/>
    </row>
    <row r="3969" spans="34:42">
      <c r="AH3969" s="6">
        <f t="shared" si="538"/>
        <v>3939</v>
      </c>
      <c r="AI3969" s="7">
        <f t="shared" ca="1" si="539"/>
        <v>46609</v>
      </c>
      <c r="AJ3969" s="210">
        <f t="shared" ca="1" si="535"/>
        <v>4.1749999999999998</v>
      </c>
      <c r="AK3969" s="8">
        <f t="shared" ca="1" si="537"/>
        <v>1.0001159722222221</v>
      </c>
      <c r="AL3969" s="98">
        <f t="shared" ca="1" si="536"/>
        <v>4.162217294690107</v>
      </c>
      <c r="AM3969" s="106">
        <f t="shared" ca="1" si="533"/>
        <v>36233.535418134139</v>
      </c>
      <c r="AN3969" s="10">
        <f t="shared" ca="1" si="534"/>
        <v>1.0988858808468338</v>
      </c>
      <c r="AO3969" s="158"/>
      <c r="AP3969" s="158"/>
    </row>
    <row r="3970" spans="34:42">
      <c r="AH3970" s="6">
        <f t="shared" si="538"/>
        <v>3940</v>
      </c>
      <c r="AI3970" s="7">
        <f t="shared" ca="1" si="539"/>
        <v>46610</v>
      </c>
      <c r="AJ3970" s="210">
        <f t="shared" ca="1" si="535"/>
        <v>4.1749999999999998</v>
      </c>
      <c r="AK3970" s="8">
        <f t="shared" ca="1" si="537"/>
        <v>1.0001159722222221</v>
      </c>
      <c r="AL3970" s="98">
        <f t="shared" ca="1" si="536"/>
        <v>4.1622582227066385</v>
      </c>
      <c r="AM3970" s="106">
        <f t="shared" ca="1" si="533"/>
        <v>36236.521114687166</v>
      </c>
      <c r="AN3970" s="10">
        <f t="shared" ca="1" si="534"/>
        <v>1.0989198333891226</v>
      </c>
      <c r="AO3970" s="158"/>
      <c r="AP3970" s="158"/>
    </row>
    <row r="3971" spans="34:42">
      <c r="AH3971" s="6">
        <f t="shared" si="538"/>
        <v>3941</v>
      </c>
      <c r="AI3971" s="7">
        <f t="shared" ca="1" si="539"/>
        <v>46611</v>
      </c>
      <c r="AJ3971" s="210">
        <f t="shared" ca="1" si="535"/>
        <v>4.1749999999999998</v>
      </c>
      <c r="AK3971" s="8">
        <f t="shared" ca="1" si="537"/>
        <v>1.0001159722222221</v>
      </c>
      <c r="AL3971" s="98">
        <f t="shared" ca="1" si="536"/>
        <v>4.1622991299688605</v>
      </c>
      <c r="AM3971" s="106">
        <f t="shared" ca="1" si="533"/>
        <v>36239.507057265968</v>
      </c>
      <c r="AN3971" s="10">
        <f t="shared" ca="1" si="534"/>
        <v>1.0989537687123629</v>
      </c>
      <c r="AO3971" s="158"/>
      <c r="AP3971" s="158"/>
    </row>
    <row r="3972" spans="34:42">
      <c r="AH3972" s="6">
        <f t="shared" si="538"/>
        <v>3942</v>
      </c>
      <c r="AI3972" s="7">
        <f t="shared" ca="1" si="539"/>
        <v>46612</v>
      </c>
      <c r="AJ3972" s="210">
        <f t="shared" ca="1" si="535"/>
        <v>4.1749999999999998</v>
      </c>
      <c r="AK3972" s="8">
        <f t="shared" ca="1" si="537"/>
        <v>1.0001159722222221</v>
      </c>
      <c r="AL3972" s="98">
        <f t="shared" ca="1" si="536"/>
        <v>4.1623400164925606</v>
      </c>
      <c r="AM3972" s="106">
        <f t="shared" ca="1" si="533"/>
        <v>36242.49324589083</v>
      </c>
      <c r="AN3972" s="10">
        <f t="shared" ca="1" si="534"/>
        <v>1.0989876868296999</v>
      </c>
      <c r="AO3972" s="158"/>
      <c r="AP3972" s="158"/>
    </row>
    <row r="3973" spans="34:42">
      <c r="AH3973" s="6">
        <f t="shared" si="538"/>
        <v>3943</v>
      </c>
      <c r="AI3973" s="7">
        <f t="shared" ca="1" si="539"/>
        <v>46613</v>
      </c>
      <c r="AJ3973" s="210">
        <f t="shared" ca="1" si="535"/>
        <v>4.1749999999999998</v>
      </c>
      <c r="AK3973" s="8">
        <f t="shared" ca="1" si="537"/>
        <v>1.0001159722222221</v>
      </c>
      <c r="AL3973" s="98">
        <f t="shared" ca="1" si="536"/>
        <v>4.162380882293526</v>
      </c>
      <c r="AM3973" s="106">
        <f t="shared" ca="1" si="533"/>
        <v>36245.47968058203</v>
      </c>
      <c r="AN3973" s="10">
        <f t="shared" ca="1" si="534"/>
        <v>1.0990215877541676</v>
      </c>
      <c r="AO3973" s="158"/>
      <c r="AP3973" s="158"/>
    </row>
    <row r="3974" spans="34:42">
      <c r="AH3974" s="6">
        <f t="shared" si="538"/>
        <v>3944</v>
      </c>
      <c r="AI3974" s="7">
        <f t="shared" ca="1" si="539"/>
        <v>46614</v>
      </c>
      <c r="AJ3974" s="210">
        <f t="shared" ca="1" si="535"/>
        <v>4.1749999999999998</v>
      </c>
      <c r="AK3974" s="8">
        <f t="shared" ca="1" si="537"/>
        <v>1.0001159722222221</v>
      </c>
      <c r="AL3974" s="98">
        <f t="shared" ca="1" si="536"/>
        <v>4.1624217273874775</v>
      </c>
      <c r="AM3974" s="106">
        <f t="shared" ca="1" si="533"/>
        <v>36248.466361359824</v>
      </c>
      <c r="AN3974" s="10">
        <f t="shared" ca="1" si="534"/>
        <v>1.0990554714988665</v>
      </c>
      <c r="AO3974" s="158"/>
      <c r="AP3974" s="158"/>
    </row>
    <row r="3975" spans="34:42">
      <c r="AH3975" s="6">
        <f t="shared" si="538"/>
        <v>3945</v>
      </c>
      <c r="AI3975" s="7">
        <f t="shared" ca="1" si="539"/>
        <v>46615</v>
      </c>
      <c r="AJ3975" s="210">
        <f t="shared" ca="1" si="535"/>
        <v>4.1749999999999998</v>
      </c>
      <c r="AK3975" s="8">
        <f t="shared" ca="1" si="537"/>
        <v>1.0001159722222221</v>
      </c>
      <c r="AL3975" s="98">
        <f t="shared" ca="1" si="536"/>
        <v>4.1624625517901581</v>
      </c>
      <c r="AM3975" s="106">
        <f t="shared" ca="1" si="533"/>
        <v>36251.453288244506</v>
      </c>
      <c r="AN3975" s="10">
        <f t="shared" ca="1" si="534"/>
        <v>1.0990893380768529</v>
      </c>
      <c r="AO3975" s="158"/>
      <c r="AP3975" s="158"/>
    </row>
    <row r="3976" spans="34:42">
      <c r="AH3976" s="6">
        <f t="shared" si="538"/>
        <v>3946</v>
      </c>
      <c r="AI3976" s="7">
        <f t="shared" ca="1" si="539"/>
        <v>46616</v>
      </c>
      <c r="AJ3976" s="210">
        <f t="shared" ca="1" si="535"/>
        <v>4.1749999999999998</v>
      </c>
      <c r="AK3976" s="8">
        <f t="shared" ca="1" si="537"/>
        <v>1.0001159722222221</v>
      </c>
      <c r="AL3976" s="98">
        <f t="shared" ca="1" si="536"/>
        <v>4.1625033555172886</v>
      </c>
      <c r="AM3976" s="106">
        <f t="shared" ca="1" si="533"/>
        <v>36254.440461256359</v>
      </c>
      <c r="AN3976" s="10">
        <f t="shared" ca="1" si="534"/>
        <v>1.0991231875011387</v>
      </c>
      <c r="AO3976" s="158"/>
      <c r="AP3976" s="158"/>
    </row>
    <row r="3977" spans="34:42">
      <c r="AH3977" s="6">
        <f t="shared" si="538"/>
        <v>3947</v>
      </c>
      <c r="AI3977" s="7">
        <f t="shared" ca="1" si="539"/>
        <v>46617</v>
      </c>
      <c r="AJ3977" s="210">
        <f t="shared" ca="1" si="535"/>
        <v>4.1749999999999998</v>
      </c>
      <c r="AK3977" s="8">
        <f t="shared" ca="1" si="537"/>
        <v>1.0001159722222221</v>
      </c>
      <c r="AL3977" s="98">
        <f t="shared" ca="1" si="536"/>
        <v>4.1625441385845896</v>
      </c>
      <c r="AM3977" s="106">
        <f t="shared" ca="1" si="533"/>
        <v>36257.427880415649</v>
      </c>
      <c r="AN3977" s="10">
        <f t="shared" ca="1" si="534"/>
        <v>1.0991570197848022</v>
      </c>
      <c r="AO3977" s="158"/>
      <c r="AP3977" s="158"/>
    </row>
    <row r="3978" spans="34:42">
      <c r="AH3978" s="6">
        <f t="shared" si="538"/>
        <v>3948</v>
      </c>
      <c r="AI3978" s="7">
        <f t="shared" ca="1" si="539"/>
        <v>46618</v>
      </c>
      <c r="AJ3978" s="210">
        <f t="shared" ca="1" si="535"/>
        <v>4.1749999999999998</v>
      </c>
      <c r="AK3978" s="8">
        <f t="shared" ca="1" si="537"/>
        <v>1.0001159722222221</v>
      </c>
      <c r="AL3978" s="98">
        <f t="shared" ca="1" si="536"/>
        <v>4.1625849010077154</v>
      </c>
      <c r="AM3978" s="106">
        <f t="shared" ca="1" si="533"/>
        <v>36260.415545742668</v>
      </c>
      <c r="AN3978" s="10">
        <f t="shared" ca="1" si="534"/>
        <v>1.0991908349407886</v>
      </c>
      <c r="AO3978" s="158"/>
      <c r="AP3978" s="158"/>
    </row>
    <row r="3979" spans="34:42">
      <c r="AH3979" s="6">
        <f t="shared" si="538"/>
        <v>3949</v>
      </c>
      <c r="AI3979" s="7">
        <f t="shared" ca="1" si="539"/>
        <v>46619</v>
      </c>
      <c r="AJ3979" s="210">
        <f t="shared" ca="1" si="535"/>
        <v>4.1749999999999998</v>
      </c>
      <c r="AK3979" s="8">
        <f t="shared" ca="1" si="537"/>
        <v>1.0001159722222221</v>
      </c>
      <c r="AL3979" s="98">
        <f t="shared" ca="1" si="536"/>
        <v>4.1626256428023645</v>
      </c>
      <c r="AM3979" s="106">
        <f t="shared" ca="1" si="533"/>
        <v>36263.4034572577</v>
      </c>
      <c r="AN3979" s="10">
        <f t="shared" ca="1" si="534"/>
        <v>1.0992246329821764</v>
      </c>
      <c r="AO3979" s="158"/>
      <c r="AP3979" s="158"/>
    </row>
    <row r="3980" spans="34:42">
      <c r="AH3980" s="6">
        <f t="shared" si="538"/>
        <v>3950</v>
      </c>
      <c r="AI3980" s="7">
        <f t="shared" ca="1" si="539"/>
        <v>46620</v>
      </c>
      <c r="AJ3980" s="210">
        <f t="shared" ca="1" si="535"/>
        <v>4.1749999999999998</v>
      </c>
      <c r="AK3980" s="8">
        <f t="shared" ca="1" si="537"/>
        <v>1.0001159722222221</v>
      </c>
      <c r="AL3980" s="98">
        <f t="shared" ca="1" si="536"/>
        <v>4.1626663639841688</v>
      </c>
      <c r="AM3980" s="106">
        <f t="shared" ca="1" si="533"/>
        <v>36266.391614981025</v>
      </c>
      <c r="AN3980" s="10">
        <f t="shared" ca="1" si="534"/>
        <v>1.0992584139219108</v>
      </c>
      <c r="AO3980" s="158"/>
      <c r="AP3980" s="158"/>
    </row>
    <row r="3981" spans="34:42">
      <c r="AH3981" s="6">
        <f t="shared" si="538"/>
        <v>3951</v>
      </c>
      <c r="AI3981" s="7">
        <f t="shared" ca="1" si="539"/>
        <v>46621</v>
      </c>
      <c r="AJ3981" s="210">
        <f t="shared" ca="1" si="535"/>
        <v>4.1749999999999998</v>
      </c>
      <c r="AK3981" s="8">
        <f t="shared" ca="1" si="537"/>
        <v>1.0001159722222221</v>
      </c>
      <c r="AL3981" s="98">
        <f t="shared" ca="1" si="536"/>
        <v>4.1627070645687825</v>
      </c>
      <c r="AM3981" s="106">
        <f t="shared" ca="1" si="533"/>
        <v>36269.380018932949</v>
      </c>
      <c r="AN3981" s="10">
        <f t="shared" ca="1" si="534"/>
        <v>1.0992921777729814</v>
      </c>
      <c r="AO3981" s="158"/>
      <c r="AP3981" s="158"/>
    </row>
    <row r="3982" spans="34:42">
      <c r="AH3982" s="6">
        <f t="shared" si="538"/>
        <v>3952</v>
      </c>
      <c r="AI3982" s="7">
        <f t="shared" ca="1" si="539"/>
        <v>46622</v>
      </c>
      <c r="AJ3982" s="210">
        <f t="shared" ca="1" si="535"/>
        <v>4.1749999999999998</v>
      </c>
      <c r="AK3982" s="8">
        <f t="shared" ca="1" si="537"/>
        <v>1.0001159722222221</v>
      </c>
      <c r="AL3982" s="98">
        <f t="shared" ca="1" si="536"/>
        <v>4.1627477445718375</v>
      </c>
      <c r="AM3982" s="106">
        <f t="shared" ca="1" si="533"/>
        <v>36272.368669133743</v>
      </c>
      <c r="AN3982" s="10">
        <f t="shared" ca="1" si="534"/>
        <v>1.0993259245483555</v>
      </c>
      <c r="AO3982" s="158"/>
      <c r="AP3982" s="158"/>
    </row>
    <row r="3983" spans="34:42">
      <c r="AH3983" s="6">
        <f t="shared" si="538"/>
        <v>3953</v>
      </c>
      <c r="AI3983" s="7">
        <f t="shared" ca="1" si="539"/>
        <v>46623</v>
      </c>
      <c r="AJ3983" s="210">
        <f t="shared" ca="1" si="535"/>
        <v>4.1749999999999998</v>
      </c>
      <c r="AK3983" s="8">
        <f t="shared" ca="1" si="537"/>
        <v>1.0001159722222221</v>
      </c>
      <c r="AL3983" s="98">
        <f t="shared" ca="1" si="536"/>
        <v>4.1627884040089214</v>
      </c>
      <c r="AM3983" s="106">
        <f t="shared" ca="1" si="533"/>
        <v>36275.357565603706</v>
      </c>
      <c r="AN3983" s="10">
        <f t="shared" ca="1" si="534"/>
        <v>1.0993596542609785</v>
      </c>
      <c r="AO3983" s="158"/>
      <c r="AP3983" s="158"/>
    </row>
    <row r="3984" spans="34:42">
      <c r="AH3984" s="6">
        <f t="shared" si="538"/>
        <v>3954</v>
      </c>
      <c r="AI3984" s="7">
        <f t="shared" ca="1" si="539"/>
        <v>46624</v>
      </c>
      <c r="AJ3984" s="210">
        <f t="shared" ca="1" si="535"/>
        <v>4.1749999999999998</v>
      </c>
      <c r="AK3984" s="8">
        <f t="shared" ca="1" si="537"/>
        <v>1.0001159722222221</v>
      </c>
      <c r="AL3984" s="98">
        <f t="shared" ca="1" si="536"/>
        <v>4.1628290428956438</v>
      </c>
      <c r="AM3984" s="106">
        <f t="shared" ca="1" si="533"/>
        <v>36278.346708363126</v>
      </c>
      <c r="AN3984" s="10">
        <f t="shared" ca="1" si="534"/>
        <v>1.0993933669237954</v>
      </c>
      <c r="AO3984" s="158"/>
      <c r="AP3984" s="158"/>
    </row>
    <row r="3985" spans="34:42">
      <c r="AH3985" s="6">
        <f t="shared" si="538"/>
        <v>3955</v>
      </c>
      <c r="AI3985" s="7">
        <f t="shared" ca="1" si="539"/>
        <v>46625</v>
      </c>
      <c r="AJ3985" s="210">
        <f t="shared" ca="1" si="535"/>
        <v>4.1749999999999998</v>
      </c>
      <c r="AK3985" s="8">
        <f t="shared" ca="1" si="537"/>
        <v>1.0001159722222221</v>
      </c>
      <c r="AL3985" s="98">
        <f t="shared" ca="1" si="536"/>
        <v>4.1628696612475702</v>
      </c>
      <c r="AM3985" s="106">
        <f t="shared" ca="1" si="533"/>
        <v>36281.3360974323</v>
      </c>
      <c r="AN3985" s="10">
        <f t="shared" ca="1" si="534"/>
        <v>1.0994270625497071</v>
      </c>
      <c r="AO3985" s="158"/>
      <c r="AP3985" s="158"/>
    </row>
    <row r="3986" spans="34:42">
      <c r="AH3986" s="6">
        <f t="shared" si="538"/>
        <v>3956</v>
      </c>
      <c r="AI3986" s="7">
        <f t="shared" ca="1" si="539"/>
        <v>46626</v>
      </c>
      <c r="AJ3986" s="210">
        <f t="shared" ca="1" si="535"/>
        <v>4.1749999999999998</v>
      </c>
      <c r="AK3986" s="8">
        <f t="shared" ca="1" si="537"/>
        <v>1.0001159722222221</v>
      </c>
      <c r="AL3986" s="98">
        <f t="shared" ca="1" si="536"/>
        <v>4.1629102590802436</v>
      </c>
      <c r="AM3986" s="106">
        <f t="shared" ca="1" si="533"/>
        <v>36284.32573283153</v>
      </c>
      <c r="AN3986" s="10">
        <f t="shared" ca="1" si="534"/>
        <v>1.0994607411516366</v>
      </c>
      <c r="AO3986" s="158"/>
      <c r="AP3986" s="158"/>
    </row>
    <row r="3987" spans="34:42">
      <c r="AH3987" s="6">
        <f t="shared" si="538"/>
        <v>3957</v>
      </c>
      <c r="AI3987" s="7">
        <f t="shared" ca="1" si="539"/>
        <v>46627</v>
      </c>
      <c r="AJ3987" s="210">
        <f t="shared" ca="1" si="535"/>
        <v>4.1749999999999998</v>
      </c>
      <c r="AK3987" s="8">
        <f t="shared" ca="1" si="537"/>
        <v>1.0001159722222221</v>
      </c>
      <c r="AL3987" s="98">
        <f t="shared" ca="1" si="536"/>
        <v>4.1629508364092294</v>
      </c>
      <c r="AM3987" s="106">
        <f t="shared" ca="1" si="533"/>
        <v>36287.315614581108</v>
      </c>
      <c r="AN3987" s="10">
        <f t="shared" ca="1" si="534"/>
        <v>1.0994944027424847</v>
      </c>
      <c r="AO3987" s="158"/>
      <c r="AP3987" s="158"/>
    </row>
    <row r="3988" spans="34:42">
      <c r="AH3988" s="6">
        <f t="shared" si="538"/>
        <v>3958</v>
      </c>
      <c r="AI3988" s="7">
        <f t="shared" ca="1" si="539"/>
        <v>46628</v>
      </c>
      <c r="AJ3988" s="210">
        <f t="shared" ca="1" si="535"/>
        <v>4.1749999999999998</v>
      </c>
      <c r="AK3988" s="8">
        <f t="shared" ca="1" si="537"/>
        <v>1.0001159722222221</v>
      </c>
      <c r="AL3988" s="98">
        <f t="shared" ca="1" si="536"/>
        <v>4.1629913932500706</v>
      </c>
      <c r="AM3988" s="106">
        <f t="shared" ca="1" si="533"/>
        <v>36290.305742701334</v>
      </c>
      <c r="AN3988" s="10">
        <f t="shared" ca="1" si="534"/>
        <v>1.0995280473351743</v>
      </c>
      <c r="AO3988" s="158"/>
      <c r="AP3988" s="158"/>
    </row>
    <row r="3989" spans="34:42">
      <c r="AH3989" s="6">
        <f t="shared" si="538"/>
        <v>3959</v>
      </c>
      <c r="AI3989" s="7">
        <f t="shared" ca="1" si="539"/>
        <v>46629</v>
      </c>
      <c r="AJ3989" s="210">
        <f t="shared" ca="1" si="535"/>
        <v>4.1749999999999998</v>
      </c>
      <c r="AK3989" s="8">
        <f t="shared" ca="1" si="537"/>
        <v>1.0001159722222221</v>
      </c>
      <c r="AL3989" s="98">
        <f t="shared" ca="1" si="536"/>
        <v>4.1630319296182661</v>
      </c>
      <c r="AM3989" s="106">
        <f t="shared" ca="1" si="533"/>
        <v>36293.296117212507</v>
      </c>
      <c r="AN3989" s="10">
        <f t="shared" ca="1" si="534"/>
        <v>1.0995616749425174</v>
      </c>
      <c r="AO3989" s="158"/>
      <c r="AP3989" s="158"/>
    </row>
    <row r="3990" spans="34:42">
      <c r="AH3990" s="6">
        <f t="shared" si="538"/>
        <v>3960</v>
      </c>
      <c r="AI3990" s="7">
        <f t="shared" ca="1" si="539"/>
        <v>46630</v>
      </c>
      <c r="AJ3990" s="210">
        <f t="shared" ca="1" si="535"/>
        <v>4.1749999999999998</v>
      </c>
      <c r="AK3990" s="8">
        <f t="shared" ca="1" si="537"/>
        <v>1.0001159722222221</v>
      </c>
      <c r="AL3990" s="98">
        <f t="shared" ca="1" si="536"/>
        <v>4.1630724455292922</v>
      </c>
      <c r="AM3990" s="106">
        <f t="shared" ca="1" si="533"/>
        <v>36296.286738134942</v>
      </c>
      <c r="AN3990" s="10">
        <f t="shared" ca="1" si="534"/>
        <v>1.0995952855773927</v>
      </c>
      <c r="AO3990" s="158"/>
      <c r="AP3990" s="158"/>
    </row>
    <row r="3991" spans="34:42">
      <c r="AH3991" s="6">
        <f t="shared" si="538"/>
        <v>3961</v>
      </c>
      <c r="AI3991" s="7">
        <f t="shared" ca="1" si="539"/>
        <v>46631</v>
      </c>
      <c r="AJ3991" s="210">
        <f t="shared" ca="1" si="535"/>
        <v>4.1749999999999998</v>
      </c>
      <c r="AK3991" s="8">
        <f t="shared" ca="1" si="537"/>
        <v>1.0001159722222221</v>
      </c>
      <c r="AL3991" s="98">
        <f t="shared" ca="1" si="536"/>
        <v>4.16311294099867</v>
      </c>
      <c r="AM3991" s="106">
        <f t="shared" ca="1" si="533"/>
        <v>36299.277605488925</v>
      </c>
      <c r="AN3991" s="10">
        <f t="shared" ca="1" si="534"/>
        <v>1.0996288792526565</v>
      </c>
      <c r="AO3991" s="158"/>
      <c r="AP3991" s="158"/>
    </row>
    <row r="3992" spans="34:42">
      <c r="AH3992" s="6">
        <f t="shared" si="538"/>
        <v>3962</v>
      </c>
      <c r="AI3992" s="7">
        <f t="shared" ca="1" si="539"/>
        <v>46632</v>
      </c>
      <c r="AJ3992" s="210">
        <f t="shared" ca="1" si="535"/>
        <v>4.1749999999999998</v>
      </c>
      <c r="AK3992" s="8">
        <f t="shared" ca="1" si="537"/>
        <v>1.0001159722222221</v>
      </c>
      <c r="AL3992" s="98">
        <f t="shared" ca="1" si="536"/>
        <v>4.1631534160418315</v>
      </c>
      <c r="AM3992" s="106">
        <f t="shared" ca="1" si="533"/>
        <v>36302.268719294778</v>
      </c>
      <c r="AN3992" s="10">
        <f t="shared" ca="1" si="534"/>
        <v>1.0996624559811208</v>
      </c>
      <c r="AO3992" s="158"/>
      <c r="AP3992" s="158"/>
    </row>
    <row r="3993" spans="34:42">
      <c r="AH3993" s="6">
        <f t="shared" si="538"/>
        <v>3963</v>
      </c>
      <c r="AI3993" s="7">
        <f t="shared" ca="1" si="539"/>
        <v>46633</v>
      </c>
      <c r="AJ3993" s="210">
        <f t="shared" ca="1" si="535"/>
        <v>4.1749999999999998</v>
      </c>
      <c r="AK3993" s="8">
        <f t="shared" ca="1" si="537"/>
        <v>1.0001159722222221</v>
      </c>
      <c r="AL3993" s="98">
        <f t="shared" ca="1" si="536"/>
        <v>4.1631938706742533</v>
      </c>
      <c r="AM3993" s="106">
        <f t="shared" ca="1" si="533"/>
        <v>36305.260079572799</v>
      </c>
      <c r="AN3993" s="10">
        <f t="shared" ca="1" si="534"/>
        <v>1.0996960157756419</v>
      </c>
      <c r="AO3993" s="158"/>
      <c r="AP3993" s="158"/>
    </row>
    <row r="3994" spans="34:42">
      <c r="AH3994" s="6">
        <f t="shared" si="538"/>
        <v>3964</v>
      </c>
      <c r="AI3994" s="7">
        <f t="shared" ca="1" si="539"/>
        <v>46634</v>
      </c>
      <c r="AJ3994" s="210">
        <f t="shared" ca="1" si="535"/>
        <v>4.1749999999999998</v>
      </c>
      <c r="AK3994" s="8">
        <f t="shared" ca="1" si="537"/>
        <v>1.0001159722222221</v>
      </c>
      <c r="AL3994" s="98">
        <f t="shared" ca="1" si="536"/>
        <v>4.1632343049113452</v>
      </c>
      <c r="AM3994" s="106">
        <f t="shared" ca="1" si="533"/>
        <v>36308.251686343312</v>
      </c>
      <c r="AN3994" s="10">
        <f t="shared" ca="1" si="534"/>
        <v>1.0997295586489875</v>
      </c>
      <c r="AO3994" s="158"/>
      <c r="AP3994" s="158"/>
    </row>
    <row r="3995" spans="34:42">
      <c r="AH3995" s="6">
        <f t="shared" si="538"/>
        <v>3965</v>
      </c>
      <c r="AI3995" s="7">
        <f t="shared" ca="1" si="539"/>
        <v>46635</v>
      </c>
      <c r="AJ3995" s="210">
        <f t="shared" ca="1" si="535"/>
        <v>4.1749999999999998</v>
      </c>
      <c r="AK3995" s="8">
        <f t="shared" ca="1" si="537"/>
        <v>1.0001159722222221</v>
      </c>
      <c r="AL3995" s="98">
        <f t="shared" ca="1" si="536"/>
        <v>4.1632747187685393</v>
      </c>
      <c r="AM3995" s="106">
        <f t="shared" ca="1" si="533"/>
        <v>36311.243539626608</v>
      </c>
      <c r="AN3995" s="10">
        <f t="shared" ca="1" si="534"/>
        <v>1.0997630846139694</v>
      </c>
      <c r="AO3995" s="158"/>
      <c r="AP3995" s="158"/>
    </row>
    <row r="3996" spans="34:42">
      <c r="AH3996" s="6">
        <f t="shared" si="538"/>
        <v>3966</v>
      </c>
      <c r="AI3996" s="7">
        <f t="shared" ca="1" si="539"/>
        <v>46636</v>
      </c>
      <c r="AJ3996" s="210">
        <f t="shared" ca="1" si="535"/>
        <v>4.1749999999999998</v>
      </c>
      <c r="AK3996" s="8">
        <f t="shared" ca="1" si="537"/>
        <v>1.0001159722222221</v>
      </c>
      <c r="AL3996" s="98">
        <f t="shared" ca="1" si="536"/>
        <v>4.1633151122612455</v>
      </c>
      <c r="AM3996" s="106">
        <f t="shared" ca="1" si="533"/>
        <v>36314.23563944301</v>
      </c>
      <c r="AN3996" s="10">
        <f t="shared" ca="1" si="534"/>
        <v>1.0997965936833776</v>
      </c>
      <c r="AO3996" s="158"/>
      <c r="AP3996" s="158"/>
    </row>
    <row r="3997" spans="34:42">
      <c r="AH3997" s="6">
        <f t="shared" si="538"/>
        <v>3967</v>
      </c>
      <c r="AI3997" s="7">
        <f t="shared" ca="1" si="539"/>
        <v>46637</v>
      </c>
      <c r="AJ3997" s="210">
        <f t="shared" ca="1" si="535"/>
        <v>4.1749999999999998</v>
      </c>
      <c r="AK3997" s="8">
        <f t="shared" ca="1" si="537"/>
        <v>1.0001159722222221</v>
      </c>
      <c r="AL3997" s="98">
        <f t="shared" ca="1" si="536"/>
        <v>4.1633554854048516</v>
      </c>
      <c r="AM3997" s="106">
        <f t="shared" ca="1" si="533"/>
        <v>36317.227985812839</v>
      </c>
      <c r="AN3997" s="10">
        <f t="shared" ca="1" si="534"/>
        <v>1.0998300858699794</v>
      </c>
      <c r="AO3997" s="158"/>
      <c r="AP3997" s="158"/>
    </row>
    <row r="3998" spans="34:42">
      <c r="AH3998" s="6">
        <f t="shared" si="538"/>
        <v>3968</v>
      </c>
      <c r="AI3998" s="7">
        <f t="shared" ca="1" si="539"/>
        <v>46638</v>
      </c>
      <c r="AJ3998" s="210">
        <f t="shared" ca="1" si="535"/>
        <v>4.1749999999999998</v>
      </c>
      <c r="AK3998" s="8">
        <f t="shared" ca="1" si="537"/>
        <v>1.0001159722222221</v>
      </c>
      <c r="AL3998" s="98">
        <f t="shared" ca="1" si="536"/>
        <v>4.1633958382147229</v>
      </c>
      <c r="AM3998" s="106">
        <f t="shared" ca="1" si="533"/>
        <v>36320.220578756402</v>
      </c>
      <c r="AN3998" s="10">
        <f t="shared" ca="1" si="534"/>
        <v>1.0998635611865204</v>
      </c>
      <c r="AO3998" s="158"/>
      <c r="AP3998" s="158"/>
    </row>
    <row r="3999" spans="34:42">
      <c r="AH3999" s="6">
        <f t="shared" si="538"/>
        <v>3969</v>
      </c>
      <c r="AI3999" s="7">
        <f t="shared" ca="1" si="539"/>
        <v>46639</v>
      </c>
      <c r="AJ3999" s="210">
        <f t="shared" ca="1" si="535"/>
        <v>4.1749999999999998</v>
      </c>
      <c r="AK3999" s="8">
        <f t="shared" ca="1" si="537"/>
        <v>1.0001159722222221</v>
      </c>
      <c r="AL3999" s="98">
        <f t="shared" ca="1" si="536"/>
        <v>4.1634361707062251</v>
      </c>
      <c r="AM3999" s="106">
        <f t="shared" ref="AM3999:AM4062" ca="1" si="540">Geom_Interp(AI3999,$AZ$2:$AZ$109,$BA$2:$BA$109)</f>
        <v>36323.213418294021</v>
      </c>
      <c r="AN3999" s="10">
        <f t="shared" ref="AN3999:AN4062" ca="1" si="541">100*(((1+AL3999/100)^(AH3999/365)*$AM$29/AM3999)^(365/AH3999)-1)</f>
        <v>1.099897019645768</v>
      </c>
      <c r="AO3999" s="158"/>
      <c r="AP3999" s="158"/>
    </row>
    <row r="4000" spans="34:42">
      <c r="AH4000" s="6">
        <f t="shared" si="538"/>
        <v>3970</v>
      </c>
      <c r="AI4000" s="7">
        <f t="shared" ca="1" si="539"/>
        <v>46640</v>
      </c>
      <c r="AJ4000" s="210">
        <f t="shared" ref="AJ4000:AJ4063" ca="1" si="542">IF(AH4000&lt;365,VLOOKUP(LOOKUP(AI4000,$AI$2:$AI$23),$AI$2:$AK$23,3,0),Lin_Interp(AH4000,$AJ$2:$AJ$23,$AK$2:$AK$23))</f>
        <v>4.1749999999999998</v>
      </c>
      <c r="AK4000" s="8">
        <f t="shared" ca="1" si="537"/>
        <v>1.0001159722222221</v>
      </c>
      <c r="AL4000" s="98">
        <f t="shared" ca="1" si="536"/>
        <v>4.1634764828947013</v>
      </c>
      <c r="AM4000" s="106">
        <f t="shared" ca="1" si="540"/>
        <v>36326.206504446011</v>
      </c>
      <c r="AN4000" s="10">
        <f t="shared" ca="1" si="541"/>
        <v>1.0999304612604233</v>
      </c>
      <c r="AO4000" s="158"/>
      <c r="AP4000" s="158"/>
    </row>
    <row r="4001" spans="34:42">
      <c r="AH4001" s="6">
        <f t="shared" si="538"/>
        <v>3971</v>
      </c>
      <c r="AI4001" s="7">
        <f t="shared" ca="1" si="539"/>
        <v>46641</v>
      </c>
      <c r="AJ4001" s="210">
        <f t="shared" ca="1" si="542"/>
        <v>4.1749999999999998</v>
      </c>
      <c r="AK4001" s="8">
        <f t="shared" ca="1" si="537"/>
        <v>1.0001159722222221</v>
      </c>
      <c r="AL4001" s="98">
        <f t="shared" ref="AL4001:AL4064" ca="1" si="543">100*(((1+AL4000/100)^(AH4000/365)*AK4001)^(365/AH4001)-1)</f>
        <v>4.1635167747954727</v>
      </c>
      <c r="AM4001" s="106">
        <f t="shared" ca="1" si="540"/>
        <v>36329.199837232707</v>
      </c>
      <c r="AN4001" s="10">
        <f t="shared" ca="1" si="541"/>
        <v>1.0999638860432093</v>
      </c>
      <c r="AO4001" s="158"/>
      <c r="AP4001" s="158"/>
    </row>
    <row r="4002" spans="34:42">
      <c r="AH4002" s="6">
        <f t="shared" si="538"/>
        <v>3972</v>
      </c>
      <c r="AI4002" s="7">
        <f t="shared" ca="1" si="539"/>
        <v>46642</v>
      </c>
      <c r="AJ4002" s="210">
        <f t="shared" ca="1" si="542"/>
        <v>4.1749999999999998</v>
      </c>
      <c r="AK4002" s="8">
        <f t="shared" ca="1" si="537"/>
        <v>1.0001159722222221</v>
      </c>
      <c r="AL4002" s="98">
        <f t="shared" ca="1" si="543"/>
        <v>4.1635570464238603</v>
      </c>
      <c r="AM4002" s="106">
        <f t="shared" ca="1" si="540"/>
        <v>36332.19341667441</v>
      </c>
      <c r="AN4002" s="10">
        <f t="shared" ca="1" si="541"/>
        <v>1.099997294006827</v>
      </c>
      <c r="AO4002" s="158"/>
      <c r="AP4002" s="158"/>
    </row>
    <row r="4003" spans="34:42">
      <c r="AH4003" s="6">
        <f t="shared" si="538"/>
        <v>3973</v>
      </c>
      <c r="AI4003" s="7">
        <f t="shared" ca="1" si="539"/>
        <v>46643</v>
      </c>
      <c r="AJ4003" s="210">
        <f t="shared" ca="1" si="542"/>
        <v>4.1749999999999998</v>
      </c>
      <c r="AK4003" s="8">
        <f t="shared" ca="1" si="537"/>
        <v>1.0001159722222221</v>
      </c>
      <c r="AL4003" s="98">
        <f t="shared" ca="1" si="543"/>
        <v>4.1635972977951408</v>
      </c>
      <c r="AM4003" s="106">
        <f t="shared" ca="1" si="540"/>
        <v>36335.187242791464</v>
      </c>
      <c r="AN4003" s="10">
        <f t="shared" ca="1" si="541"/>
        <v>1.1000306851639996</v>
      </c>
      <c r="AO4003" s="158"/>
      <c r="AP4003" s="158"/>
    </row>
    <row r="4004" spans="34:42">
      <c r="AH4004" s="6">
        <f t="shared" si="538"/>
        <v>3974</v>
      </c>
      <c r="AI4004" s="7">
        <f t="shared" ca="1" si="539"/>
        <v>46644</v>
      </c>
      <c r="AJ4004" s="210">
        <f t="shared" ca="1" si="542"/>
        <v>4.1749999999999998</v>
      </c>
      <c r="AK4004" s="8">
        <f t="shared" ref="AK4004:AK4067" ca="1" si="544">+(1+AJ4004/36000)</f>
        <v>1.0001159722222221</v>
      </c>
      <c r="AL4004" s="98">
        <f t="shared" ca="1" si="543"/>
        <v>4.163637528924613</v>
      </c>
      <c r="AM4004" s="106">
        <f t="shared" ca="1" si="540"/>
        <v>36338.18131560419</v>
      </c>
      <c r="AN4004" s="10">
        <f t="shared" ca="1" si="541"/>
        <v>1.1000640595273614</v>
      </c>
      <c r="AO4004" s="158"/>
      <c r="AP4004" s="158"/>
    </row>
    <row r="4005" spans="34:42">
      <c r="AH4005" s="6">
        <f t="shared" si="538"/>
        <v>3975</v>
      </c>
      <c r="AI4005" s="7">
        <f t="shared" ca="1" si="539"/>
        <v>46645</v>
      </c>
      <c r="AJ4005" s="210">
        <f t="shared" ca="1" si="542"/>
        <v>4.1749999999999998</v>
      </c>
      <c r="AK4005" s="8">
        <f t="shared" ca="1" si="544"/>
        <v>1.0001159722222221</v>
      </c>
      <c r="AL4005" s="98">
        <f t="shared" ca="1" si="543"/>
        <v>4.1636777398275315</v>
      </c>
      <c r="AM4005" s="106">
        <f t="shared" ca="1" si="540"/>
        <v>36341.175635132917</v>
      </c>
      <c r="AN4005" s="10">
        <f t="shared" ca="1" si="541"/>
        <v>1.1000974171096134</v>
      </c>
      <c r="AO4005" s="158"/>
      <c r="AP4005" s="158"/>
    </row>
    <row r="4006" spans="34:42">
      <c r="AH4006" s="6">
        <f t="shared" si="538"/>
        <v>3976</v>
      </c>
      <c r="AI4006" s="7">
        <f t="shared" ca="1" si="539"/>
        <v>46646</v>
      </c>
      <c r="AJ4006" s="210">
        <f t="shared" ca="1" si="542"/>
        <v>4.1749999999999998</v>
      </c>
      <c r="AK4006" s="8">
        <f t="shared" ca="1" si="544"/>
        <v>1.0001159722222221</v>
      </c>
      <c r="AL4006" s="98">
        <f t="shared" ca="1" si="543"/>
        <v>4.1637179305191507</v>
      </c>
      <c r="AM4006" s="106">
        <f t="shared" ca="1" si="540"/>
        <v>36344.170201397967</v>
      </c>
      <c r="AN4006" s="10">
        <f t="shared" ca="1" si="541"/>
        <v>1.1001307579233899</v>
      </c>
      <c r="AO4006" s="158"/>
      <c r="AP4006" s="158"/>
    </row>
    <row r="4007" spans="34:42">
      <c r="AH4007" s="6">
        <f t="shared" si="538"/>
        <v>3977</v>
      </c>
      <c r="AI4007" s="7">
        <f t="shared" ca="1" si="539"/>
        <v>46647</v>
      </c>
      <c r="AJ4007" s="210">
        <f t="shared" ca="1" si="542"/>
        <v>4.1749999999999998</v>
      </c>
      <c r="AK4007" s="8">
        <f t="shared" ca="1" si="544"/>
        <v>1.0001159722222221</v>
      </c>
      <c r="AL4007" s="98">
        <f t="shared" ca="1" si="543"/>
        <v>4.1637581010147029</v>
      </c>
      <c r="AM4007" s="106">
        <f t="shared" ca="1" si="540"/>
        <v>36347.165014419676</v>
      </c>
      <c r="AN4007" s="10">
        <f t="shared" ca="1" si="541"/>
        <v>1.1001640819813474</v>
      </c>
      <c r="AO4007" s="158"/>
      <c r="AP4007" s="158"/>
    </row>
    <row r="4008" spans="34:42">
      <c r="AH4008" s="6">
        <f t="shared" si="538"/>
        <v>3978</v>
      </c>
      <c r="AI4008" s="7">
        <f t="shared" ca="1" si="539"/>
        <v>46648</v>
      </c>
      <c r="AJ4008" s="210">
        <f t="shared" ca="1" si="542"/>
        <v>4.1749999999999998</v>
      </c>
      <c r="AK4008" s="8">
        <f t="shared" ca="1" si="544"/>
        <v>1.0001159722222221</v>
      </c>
      <c r="AL4008" s="98">
        <f t="shared" ca="1" si="543"/>
        <v>4.1637982513293981</v>
      </c>
      <c r="AM4008" s="106">
        <f t="shared" ca="1" si="540"/>
        <v>36350.16007421838</v>
      </c>
      <c r="AN4008" s="10">
        <f t="shared" ca="1" si="541"/>
        <v>1.1001973892960759</v>
      </c>
      <c r="AO4008" s="158"/>
      <c r="AP4008" s="158"/>
    </row>
    <row r="4009" spans="34:42">
      <c r="AH4009" s="6">
        <f t="shared" si="538"/>
        <v>3979</v>
      </c>
      <c r="AI4009" s="7">
        <f t="shared" ca="1" si="539"/>
        <v>46649</v>
      </c>
      <c r="AJ4009" s="210">
        <f t="shared" ca="1" si="542"/>
        <v>4.1749999999999998</v>
      </c>
      <c r="AK4009" s="8">
        <f t="shared" ca="1" si="544"/>
        <v>1.0001159722222221</v>
      </c>
      <c r="AL4009" s="98">
        <f t="shared" ca="1" si="543"/>
        <v>4.1638383814784463</v>
      </c>
      <c r="AM4009" s="106">
        <f t="shared" ca="1" si="540"/>
        <v>36353.155380814416</v>
      </c>
      <c r="AN4009" s="10">
        <f t="shared" ca="1" si="541"/>
        <v>1.1002306798802319</v>
      </c>
      <c r="AO4009" s="158"/>
      <c r="AP4009" s="158"/>
    </row>
    <row r="4010" spans="34:42">
      <c r="AH4010" s="6">
        <f t="shared" si="538"/>
        <v>3980</v>
      </c>
      <c r="AI4010" s="7">
        <f t="shared" ca="1" si="539"/>
        <v>46650</v>
      </c>
      <c r="AJ4010" s="210">
        <f t="shared" ca="1" si="542"/>
        <v>4.1749999999999998</v>
      </c>
      <c r="AK4010" s="8">
        <f t="shared" ca="1" si="544"/>
        <v>1.0001159722222221</v>
      </c>
      <c r="AL4010" s="98">
        <f t="shared" ca="1" si="543"/>
        <v>4.1638784914770577</v>
      </c>
      <c r="AM4010" s="106">
        <f t="shared" ca="1" si="540"/>
        <v>36356.150934228106</v>
      </c>
      <c r="AN4010" s="10">
        <f t="shared" ca="1" si="541"/>
        <v>1.1002639537464054</v>
      </c>
      <c r="AO4010" s="158"/>
      <c r="AP4010" s="158"/>
    </row>
    <row r="4011" spans="34:42">
      <c r="AH4011" s="6">
        <f t="shared" si="538"/>
        <v>3981</v>
      </c>
      <c r="AI4011" s="7">
        <f t="shared" ca="1" si="539"/>
        <v>46651</v>
      </c>
      <c r="AJ4011" s="210">
        <f t="shared" ca="1" si="542"/>
        <v>4.1749999999999998</v>
      </c>
      <c r="AK4011" s="8">
        <f t="shared" ca="1" si="544"/>
        <v>1.0001159722222221</v>
      </c>
      <c r="AL4011" s="98">
        <f t="shared" ca="1" si="543"/>
        <v>4.1639185813403756</v>
      </c>
      <c r="AM4011" s="106">
        <f t="shared" ca="1" si="540"/>
        <v>36359.146734479807</v>
      </c>
      <c r="AN4011" s="10">
        <f t="shared" ca="1" si="541"/>
        <v>1.1002972109072084</v>
      </c>
      <c r="AO4011" s="158"/>
      <c r="AP4011" s="158"/>
    </row>
    <row r="4012" spans="34:42">
      <c r="AH4012" s="6">
        <f t="shared" si="538"/>
        <v>3982</v>
      </c>
      <c r="AI4012" s="7">
        <f t="shared" ca="1" si="539"/>
        <v>46652</v>
      </c>
      <c r="AJ4012" s="210">
        <f t="shared" ca="1" si="542"/>
        <v>4.1749999999999998</v>
      </c>
      <c r="AK4012" s="8">
        <f t="shared" ca="1" si="544"/>
        <v>1.0001159722222221</v>
      </c>
      <c r="AL4012" s="98">
        <f t="shared" ca="1" si="543"/>
        <v>4.1639586510835658</v>
      </c>
      <c r="AM4012" s="106">
        <f t="shared" ca="1" si="540"/>
        <v>36362.14278158985</v>
      </c>
      <c r="AN4012" s="10">
        <f t="shared" ca="1" si="541"/>
        <v>1.1003304513751644</v>
      </c>
      <c r="AO4012" s="158"/>
      <c r="AP4012" s="158"/>
    </row>
    <row r="4013" spans="34:42">
      <c r="AH4013" s="6">
        <f t="shared" si="538"/>
        <v>3983</v>
      </c>
      <c r="AI4013" s="7">
        <f t="shared" ca="1" si="539"/>
        <v>46653</v>
      </c>
      <c r="AJ4013" s="210">
        <f t="shared" ca="1" si="542"/>
        <v>4.1749999999999998</v>
      </c>
      <c r="AK4013" s="8">
        <f t="shared" ca="1" si="544"/>
        <v>1.0001159722222221</v>
      </c>
      <c r="AL4013" s="98">
        <f t="shared" ca="1" si="543"/>
        <v>4.1639987007217716</v>
      </c>
      <c r="AM4013" s="106">
        <f t="shared" ca="1" si="540"/>
        <v>36365.139075578569</v>
      </c>
      <c r="AN4013" s="10">
        <f t="shared" ca="1" si="541"/>
        <v>1.1003636751628632</v>
      </c>
      <c r="AO4013" s="158"/>
      <c r="AP4013" s="158"/>
    </row>
    <row r="4014" spans="34:42">
      <c r="AH4014" s="6">
        <f t="shared" si="538"/>
        <v>3984</v>
      </c>
      <c r="AI4014" s="7">
        <f t="shared" ca="1" si="539"/>
        <v>46654</v>
      </c>
      <c r="AJ4014" s="210">
        <f t="shared" ca="1" si="542"/>
        <v>4.1749999999999998</v>
      </c>
      <c r="AK4014" s="8">
        <f t="shared" ca="1" si="544"/>
        <v>1.0001159722222221</v>
      </c>
      <c r="AL4014" s="98">
        <f t="shared" ca="1" si="543"/>
        <v>4.1640387302701365</v>
      </c>
      <c r="AM4014" s="106">
        <f t="shared" ca="1" si="540"/>
        <v>36368.135616466323</v>
      </c>
      <c r="AN4014" s="10">
        <f t="shared" ca="1" si="541"/>
        <v>1.1003968822828947</v>
      </c>
      <c r="AO4014" s="158"/>
      <c r="AP4014" s="158"/>
    </row>
    <row r="4015" spans="34:42">
      <c r="AH4015" s="6">
        <f t="shared" si="538"/>
        <v>3985</v>
      </c>
      <c r="AI4015" s="7">
        <f t="shared" ca="1" si="539"/>
        <v>46655</v>
      </c>
      <c r="AJ4015" s="210">
        <f t="shared" ca="1" si="542"/>
        <v>4.1749999999999998</v>
      </c>
      <c r="AK4015" s="8">
        <f t="shared" ca="1" si="544"/>
        <v>1.0001159722222221</v>
      </c>
      <c r="AL4015" s="98">
        <f t="shared" ca="1" si="543"/>
        <v>4.1640787397437595</v>
      </c>
      <c r="AM4015" s="106">
        <f t="shared" ca="1" si="540"/>
        <v>36371.132404273449</v>
      </c>
      <c r="AN4015" s="10">
        <f t="shared" ca="1" si="541"/>
        <v>1.1004300727477379</v>
      </c>
      <c r="AO4015" s="158"/>
      <c r="AP4015" s="158"/>
    </row>
    <row r="4016" spans="34:42">
      <c r="AH4016" s="6">
        <f t="shared" si="538"/>
        <v>3986</v>
      </c>
      <c r="AI4016" s="7">
        <f t="shared" ca="1" si="539"/>
        <v>46656</v>
      </c>
      <c r="AJ4016" s="210">
        <f t="shared" ca="1" si="542"/>
        <v>4.1749999999999998</v>
      </c>
      <c r="AK4016" s="8">
        <f t="shared" ca="1" si="544"/>
        <v>1.0001159722222221</v>
      </c>
      <c r="AL4016" s="98">
        <f t="shared" ca="1" si="543"/>
        <v>4.1641187291577397</v>
      </c>
      <c r="AM4016" s="106">
        <f t="shared" ca="1" si="540"/>
        <v>36374.129439020289</v>
      </c>
      <c r="AN4016" s="10">
        <f t="shared" ca="1" si="541"/>
        <v>1.1004632465699826</v>
      </c>
      <c r="AO4016" s="158"/>
      <c r="AP4016" s="158"/>
    </row>
    <row r="4017" spans="34:42">
      <c r="AH4017" s="6">
        <f t="shared" si="538"/>
        <v>3987</v>
      </c>
      <c r="AI4017" s="7">
        <f t="shared" ca="1" si="539"/>
        <v>46657</v>
      </c>
      <c r="AJ4017" s="210">
        <f t="shared" ca="1" si="542"/>
        <v>4.1749999999999998</v>
      </c>
      <c r="AK4017" s="8">
        <f t="shared" ca="1" si="544"/>
        <v>1.0001159722222221</v>
      </c>
      <c r="AL4017" s="98">
        <f t="shared" ca="1" si="543"/>
        <v>4.1641586985271539</v>
      </c>
      <c r="AM4017" s="106">
        <f t="shared" ca="1" si="540"/>
        <v>36377.126720727196</v>
      </c>
      <c r="AN4017" s="10">
        <f t="shared" ca="1" si="541"/>
        <v>1.1004964037620857</v>
      </c>
      <c r="AO4017" s="158"/>
      <c r="AP4017" s="158"/>
    </row>
    <row r="4018" spans="34:42">
      <c r="AH4018" s="6">
        <f t="shared" si="538"/>
        <v>3988</v>
      </c>
      <c r="AI4018" s="7">
        <f t="shared" ca="1" si="539"/>
        <v>46658</v>
      </c>
      <c r="AJ4018" s="210">
        <f t="shared" ca="1" si="542"/>
        <v>4.1749999999999998</v>
      </c>
      <c r="AK4018" s="8">
        <f t="shared" ca="1" si="544"/>
        <v>1.0001159722222221</v>
      </c>
      <c r="AL4018" s="98">
        <f t="shared" ca="1" si="543"/>
        <v>4.1641986478670789</v>
      </c>
      <c r="AM4018" s="106">
        <f t="shared" ca="1" si="540"/>
        <v>36380.124249414519</v>
      </c>
      <c r="AN4018" s="10">
        <f t="shared" ca="1" si="541"/>
        <v>1.1005295443365704</v>
      </c>
      <c r="AO4018" s="158"/>
      <c r="AP4018" s="158"/>
    </row>
    <row r="4019" spans="34:42">
      <c r="AH4019" s="6">
        <f t="shared" si="538"/>
        <v>3989</v>
      </c>
      <c r="AI4019" s="7">
        <f t="shared" ca="1" si="539"/>
        <v>46659</v>
      </c>
      <c r="AJ4019" s="210">
        <f t="shared" ca="1" si="542"/>
        <v>4.1749999999999998</v>
      </c>
      <c r="AK4019" s="8">
        <f t="shared" ca="1" si="544"/>
        <v>1.0001159722222221</v>
      </c>
      <c r="AL4019" s="98">
        <f t="shared" ca="1" si="543"/>
        <v>4.1642385771925694</v>
      </c>
      <c r="AM4019" s="106">
        <f t="shared" ca="1" si="540"/>
        <v>36383.12202510261</v>
      </c>
      <c r="AN4019" s="10">
        <f t="shared" ca="1" si="541"/>
        <v>1.1005626683059599</v>
      </c>
      <c r="AO4019" s="158"/>
      <c r="AP4019" s="158"/>
    </row>
    <row r="4020" spans="34:42">
      <c r="AH4020" s="6">
        <f t="shared" si="538"/>
        <v>3990</v>
      </c>
      <c r="AI4020" s="7">
        <f t="shared" ca="1" si="539"/>
        <v>46660</v>
      </c>
      <c r="AJ4020" s="210">
        <f t="shared" ca="1" si="542"/>
        <v>4.1749999999999998</v>
      </c>
      <c r="AK4020" s="8">
        <f t="shared" ca="1" si="544"/>
        <v>1.0001159722222221</v>
      </c>
      <c r="AL4020" s="98">
        <f t="shared" ca="1" si="543"/>
        <v>4.1642784865186355</v>
      </c>
      <c r="AM4020" s="106">
        <f t="shared" ca="1" si="540"/>
        <v>36386.120047811826</v>
      </c>
      <c r="AN4020" s="10">
        <f t="shared" ca="1" si="541"/>
        <v>1.1005957756826668</v>
      </c>
      <c r="AO4020" s="158"/>
      <c r="AP4020" s="158"/>
    </row>
    <row r="4021" spans="34:42">
      <c r="AH4021" s="6">
        <f t="shared" si="538"/>
        <v>3991</v>
      </c>
      <c r="AI4021" s="7">
        <f t="shared" ca="1" si="539"/>
        <v>46661</v>
      </c>
      <c r="AJ4021" s="210">
        <f t="shared" ca="1" si="542"/>
        <v>4.1749999999999998</v>
      </c>
      <c r="AK4021" s="8">
        <f t="shared" ca="1" si="544"/>
        <v>1.0001159722222221</v>
      </c>
      <c r="AL4021" s="98">
        <f t="shared" ca="1" si="543"/>
        <v>4.1643183758603319</v>
      </c>
      <c r="AM4021" s="106">
        <f t="shared" ca="1" si="540"/>
        <v>36389.118317562512</v>
      </c>
      <c r="AN4021" s="10">
        <f t="shared" ca="1" si="541"/>
        <v>1.1006288664792141</v>
      </c>
      <c r="AO4021" s="158"/>
      <c r="AP4021" s="158"/>
    </row>
    <row r="4022" spans="34:42">
      <c r="AH4022" s="6">
        <f t="shared" si="538"/>
        <v>3992</v>
      </c>
      <c r="AI4022" s="7">
        <f t="shared" ca="1" si="539"/>
        <v>46662</v>
      </c>
      <c r="AJ4022" s="210">
        <f t="shared" ca="1" si="542"/>
        <v>4.1749999999999998</v>
      </c>
      <c r="AK4022" s="8">
        <f t="shared" ca="1" si="544"/>
        <v>1.0001159722222221</v>
      </c>
      <c r="AL4022" s="98">
        <f t="shared" ca="1" si="543"/>
        <v>4.1643582452326466</v>
      </c>
      <c r="AM4022" s="106">
        <f t="shared" ca="1" si="540"/>
        <v>36392.11683437504</v>
      </c>
      <c r="AN4022" s="10">
        <f t="shared" ca="1" si="541"/>
        <v>1.1006619407080143</v>
      </c>
      <c r="AO4022" s="158"/>
      <c r="AP4022" s="158"/>
    </row>
    <row r="4023" spans="34:42">
      <c r="AH4023" s="6">
        <f t="shared" ref="AH4023:AH4086" si="545">$AI$29+AH4022</f>
        <v>3993</v>
      </c>
      <c r="AI4023" s="7">
        <f t="shared" ref="AI4023:AI4086" ca="1" si="546">+AH4023+$C$1</f>
        <v>46663</v>
      </c>
      <c r="AJ4023" s="210">
        <f t="shared" ca="1" si="542"/>
        <v>4.1749999999999998</v>
      </c>
      <c r="AK4023" s="8">
        <f t="shared" ca="1" si="544"/>
        <v>1.0001159722222221</v>
      </c>
      <c r="AL4023" s="98">
        <f t="shared" ca="1" si="543"/>
        <v>4.1643980946505899</v>
      </c>
      <c r="AM4023" s="106">
        <f t="shared" ca="1" si="540"/>
        <v>36395.115598269746</v>
      </c>
      <c r="AN4023" s="10">
        <f t="shared" ca="1" si="541"/>
        <v>1.100694998381524</v>
      </c>
      <c r="AO4023" s="158"/>
      <c r="AP4023" s="158"/>
    </row>
    <row r="4024" spans="34:42">
      <c r="AH4024" s="6">
        <f t="shared" si="545"/>
        <v>3994</v>
      </c>
      <c r="AI4024" s="7">
        <f t="shared" ca="1" si="546"/>
        <v>46664</v>
      </c>
      <c r="AJ4024" s="210">
        <f t="shared" ca="1" si="542"/>
        <v>4.1749999999999998</v>
      </c>
      <c r="AK4024" s="8">
        <f t="shared" ca="1" si="544"/>
        <v>1.0001159722222221</v>
      </c>
      <c r="AL4024" s="98">
        <f t="shared" ca="1" si="543"/>
        <v>4.1644379241291274</v>
      </c>
      <c r="AM4024" s="106">
        <f t="shared" ca="1" si="540"/>
        <v>36398.11460926701</v>
      </c>
      <c r="AN4024" s="10">
        <f t="shared" ca="1" si="541"/>
        <v>1.1007280395121777</v>
      </c>
      <c r="AO4024" s="158"/>
      <c r="AP4024" s="158"/>
    </row>
    <row r="4025" spans="34:42">
      <c r="AH4025" s="6">
        <f t="shared" si="545"/>
        <v>3995</v>
      </c>
      <c r="AI4025" s="7">
        <f t="shared" ca="1" si="546"/>
        <v>46665</v>
      </c>
      <c r="AJ4025" s="210">
        <f t="shared" ca="1" si="542"/>
        <v>4.1749999999999998</v>
      </c>
      <c r="AK4025" s="8">
        <f t="shared" ca="1" si="544"/>
        <v>1.0001159722222221</v>
      </c>
      <c r="AL4025" s="98">
        <f t="shared" ca="1" si="543"/>
        <v>4.1644777336832028</v>
      </c>
      <c r="AM4025" s="106">
        <f t="shared" ca="1" si="540"/>
        <v>36401.113867387183</v>
      </c>
      <c r="AN4025" s="10">
        <f t="shared" ca="1" si="541"/>
        <v>1.1007610641123655</v>
      </c>
      <c r="AO4025" s="158"/>
      <c r="AP4025" s="158"/>
    </row>
    <row r="4026" spans="34:42">
      <c r="AH4026" s="6">
        <f t="shared" si="545"/>
        <v>3996</v>
      </c>
      <c r="AI4026" s="7">
        <f t="shared" ca="1" si="546"/>
        <v>46666</v>
      </c>
      <c r="AJ4026" s="210">
        <f t="shared" ca="1" si="542"/>
        <v>4.1749999999999998</v>
      </c>
      <c r="AK4026" s="8">
        <f t="shared" ca="1" si="544"/>
        <v>1.0001159722222221</v>
      </c>
      <c r="AL4026" s="98">
        <f t="shared" ca="1" si="543"/>
        <v>4.164517523327782</v>
      </c>
      <c r="AM4026" s="106">
        <f t="shared" ca="1" si="540"/>
        <v>36404.113372650638</v>
      </c>
      <c r="AN4026" s="10">
        <f t="shared" ca="1" si="541"/>
        <v>1.1007940721944998</v>
      </c>
      <c r="AO4026" s="158"/>
      <c r="AP4026" s="158"/>
    </row>
    <row r="4027" spans="34:42">
      <c r="AH4027" s="6">
        <f t="shared" si="545"/>
        <v>3997</v>
      </c>
      <c r="AI4027" s="7">
        <f t="shared" ca="1" si="546"/>
        <v>46667</v>
      </c>
      <c r="AJ4027" s="210">
        <f t="shared" ca="1" si="542"/>
        <v>4.1749999999999998</v>
      </c>
      <c r="AK4027" s="8">
        <f t="shared" ca="1" si="544"/>
        <v>1.0001159722222221</v>
      </c>
      <c r="AL4027" s="98">
        <f t="shared" ca="1" si="543"/>
        <v>4.1645572930777863</v>
      </c>
      <c r="AM4027" s="106">
        <f t="shared" ca="1" si="540"/>
        <v>36407.113125077725</v>
      </c>
      <c r="AN4027" s="10">
        <f t="shared" ca="1" si="541"/>
        <v>1.1008270637709705</v>
      </c>
      <c r="AO4027" s="158"/>
      <c r="AP4027" s="158"/>
    </row>
    <row r="4028" spans="34:42">
      <c r="AH4028" s="6">
        <f t="shared" si="545"/>
        <v>3998</v>
      </c>
      <c r="AI4028" s="7">
        <f t="shared" ca="1" si="546"/>
        <v>46668</v>
      </c>
      <c r="AJ4028" s="210">
        <f t="shared" ca="1" si="542"/>
        <v>4.1749999999999998</v>
      </c>
      <c r="AK4028" s="8">
        <f t="shared" ca="1" si="544"/>
        <v>1.0001159722222221</v>
      </c>
      <c r="AL4028" s="98">
        <f t="shared" ca="1" si="543"/>
        <v>4.1645970429481594</v>
      </c>
      <c r="AM4028" s="106">
        <f t="shared" ca="1" si="540"/>
        <v>36410.113124688825</v>
      </c>
      <c r="AN4028" s="10">
        <f t="shared" ca="1" si="541"/>
        <v>1.10086003885419</v>
      </c>
      <c r="AO4028" s="158"/>
      <c r="AP4028" s="158"/>
    </row>
    <row r="4029" spans="34:42">
      <c r="AH4029" s="6">
        <f t="shared" si="545"/>
        <v>3999</v>
      </c>
      <c r="AI4029" s="7">
        <f t="shared" ca="1" si="546"/>
        <v>46669</v>
      </c>
      <c r="AJ4029" s="210">
        <f t="shared" ca="1" si="542"/>
        <v>4.1749999999999998</v>
      </c>
      <c r="AK4029" s="8">
        <f t="shared" ca="1" si="544"/>
        <v>1.0001159722222221</v>
      </c>
      <c r="AL4029" s="98">
        <f t="shared" ca="1" si="543"/>
        <v>4.1646367729537781</v>
      </c>
      <c r="AM4029" s="106">
        <f t="shared" ca="1" si="540"/>
        <v>36413.113371504296</v>
      </c>
      <c r="AN4029" s="10">
        <f t="shared" ca="1" si="541"/>
        <v>1.1008929974564818</v>
      </c>
      <c r="AO4029" s="158"/>
      <c r="AP4029" s="158"/>
    </row>
    <row r="4030" spans="34:42">
      <c r="AH4030" s="6">
        <f t="shared" si="545"/>
        <v>4000</v>
      </c>
      <c r="AI4030" s="7">
        <f t="shared" ca="1" si="546"/>
        <v>46670</v>
      </c>
      <c r="AJ4030" s="210">
        <f t="shared" ca="1" si="542"/>
        <v>4.1749999999999998</v>
      </c>
      <c r="AK4030" s="8">
        <f t="shared" ca="1" si="544"/>
        <v>1.0001159722222221</v>
      </c>
      <c r="AL4030" s="98">
        <f t="shared" ca="1" si="543"/>
        <v>4.1646764831095417</v>
      </c>
      <c r="AM4030" s="106">
        <f t="shared" ca="1" si="540"/>
        <v>36416.113865544517</v>
      </c>
      <c r="AN4030" s="10">
        <f t="shared" ca="1" si="541"/>
        <v>1.1009259395901916</v>
      </c>
      <c r="AO4030" s="158"/>
      <c r="AP4030" s="158"/>
    </row>
    <row r="4031" spans="34:42">
      <c r="AH4031" s="6">
        <f t="shared" si="545"/>
        <v>4001</v>
      </c>
      <c r="AI4031" s="7">
        <f t="shared" ca="1" si="546"/>
        <v>46671</v>
      </c>
      <c r="AJ4031" s="210">
        <f t="shared" ca="1" si="542"/>
        <v>4.1749999999999998</v>
      </c>
      <c r="AK4031" s="8">
        <f t="shared" ca="1" si="544"/>
        <v>1.0001159722222221</v>
      </c>
      <c r="AL4031" s="98">
        <f t="shared" ca="1" si="543"/>
        <v>4.1647161734303051</v>
      </c>
      <c r="AM4031" s="106">
        <f t="shared" ca="1" si="540"/>
        <v>36419.114606829855</v>
      </c>
      <c r="AN4031" s="10">
        <f t="shared" ca="1" si="541"/>
        <v>1.1009588652676872</v>
      </c>
      <c r="AO4031" s="158"/>
      <c r="AP4031" s="158"/>
    </row>
    <row r="4032" spans="34:42">
      <c r="AH4032" s="6">
        <f t="shared" si="545"/>
        <v>4002</v>
      </c>
      <c r="AI4032" s="7">
        <f t="shared" ca="1" si="546"/>
        <v>46672</v>
      </c>
      <c r="AJ4032" s="210">
        <f t="shared" ca="1" si="542"/>
        <v>4.1749999999999998</v>
      </c>
      <c r="AK4032" s="8">
        <f t="shared" ca="1" si="544"/>
        <v>1.0001159722222221</v>
      </c>
      <c r="AL4032" s="98">
        <f t="shared" ca="1" si="543"/>
        <v>4.1647558439309451</v>
      </c>
      <c r="AM4032" s="106">
        <f t="shared" ca="1" si="540"/>
        <v>36422.115595380681</v>
      </c>
      <c r="AN4032" s="10">
        <f t="shared" ca="1" si="541"/>
        <v>1.100991774501292</v>
      </c>
      <c r="AO4032" s="158"/>
      <c r="AP4032" s="158"/>
    </row>
    <row r="4033" spans="34:42">
      <c r="AH4033" s="6">
        <f t="shared" si="545"/>
        <v>4003</v>
      </c>
      <c r="AI4033" s="7">
        <f t="shared" ca="1" si="546"/>
        <v>46673</v>
      </c>
      <c r="AJ4033" s="210">
        <f t="shared" ca="1" si="542"/>
        <v>4.1749999999999998</v>
      </c>
      <c r="AK4033" s="8">
        <f t="shared" ca="1" si="544"/>
        <v>1.0001159722222221</v>
      </c>
      <c r="AL4033" s="98">
        <f t="shared" ca="1" si="543"/>
        <v>4.1647954946262944</v>
      </c>
      <c r="AM4033" s="106">
        <f t="shared" ca="1" si="540"/>
        <v>36425.116831217376</v>
      </c>
      <c r="AN4033" s="10">
        <f t="shared" ca="1" si="541"/>
        <v>1.1010246673033075</v>
      </c>
      <c r="AO4033" s="158"/>
      <c r="AP4033" s="158"/>
    </row>
    <row r="4034" spans="34:42">
      <c r="AH4034" s="6">
        <f t="shared" si="545"/>
        <v>4004</v>
      </c>
      <c r="AI4034" s="7">
        <f t="shared" ca="1" si="546"/>
        <v>46674</v>
      </c>
      <c r="AJ4034" s="210">
        <f t="shared" ca="1" si="542"/>
        <v>4.1749999999999998</v>
      </c>
      <c r="AK4034" s="8">
        <f t="shared" ca="1" si="544"/>
        <v>1.0001159722222221</v>
      </c>
      <c r="AL4034" s="98">
        <f t="shared" ca="1" si="543"/>
        <v>4.1648351255311855</v>
      </c>
      <c r="AM4034" s="106">
        <f t="shared" ca="1" si="540"/>
        <v>36428.118314360312</v>
      </c>
      <c r="AN4034" s="10">
        <f t="shared" ca="1" si="541"/>
        <v>1.1010575436860348</v>
      </c>
      <c r="AO4034" s="158"/>
      <c r="AP4034" s="158"/>
    </row>
    <row r="4035" spans="34:42">
      <c r="AH4035" s="6">
        <f t="shared" si="545"/>
        <v>4005</v>
      </c>
      <c r="AI4035" s="7">
        <f t="shared" ca="1" si="546"/>
        <v>46675</v>
      </c>
      <c r="AJ4035" s="210">
        <f t="shared" ca="1" si="542"/>
        <v>4.1749999999999998</v>
      </c>
      <c r="AK4035" s="8">
        <f t="shared" ca="1" si="544"/>
        <v>1.0001159722222221</v>
      </c>
      <c r="AL4035" s="98">
        <f t="shared" ca="1" si="543"/>
        <v>4.1648747366604288</v>
      </c>
      <c r="AM4035" s="106">
        <f t="shared" ca="1" si="540"/>
        <v>36431.120044829862</v>
      </c>
      <c r="AN4035" s="10">
        <f t="shared" ca="1" si="541"/>
        <v>1.1010904036617974</v>
      </c>
      <c r="AO4035" s="158"/>
      <c r="AP4035" s="158"/>
    </row>
    <row r="4036" spans="34:42">
      <c r="AH4036" s="6">
        <f t="shared" si="545"/>
        <v>4006</v>
      </c>
      <c r="AI4036" s="7">
        <f t="shared" ca="1" si="546"/>
        <v>46676</v>
      </c>
      <c r="AJ4036" s="210">
        <f t="shared" ca="1" si="542"/>
        <v>4.1749999999999998</v>
      </c>
      <c r="AK4036" s="8">
        <f t="shared" ca="1" si="544"/>
        <v>1.0001159722222221</v>
      </c>
      <c r="AL4036" s="98">
        <f t="shared" ca="1" si="543"/>
        <v>4.1649143280288126</v>
      </c>
      <c r="AM4036" s="106">
        <f t="shared" ca="1" si="540"/>
        <v>36434.122022646428</v>
      </c>
      <c r="AN4036" s="10">
        <f t="shared" ca="1" si="541"/>
        <v>1.1011232472428301</v>
      </c>
      <c r="AO4036" s="158"/>
      <c r="AP4036" s="158"/>
    </row>
    <row r="4037" spans="34:42">
      <c r="AH4037" s="6">
        <f t="shared" si="545"/>
        <v>4007</v>
      </c>
      <c r="AI4037" s="7">
        <f t="shared" ca="1" si="546"/>
        <v>46677</v>
      </c>
      <c r="AJ4037" s="210">
        <f t="shared" ca="1" si="542"/>
        <v>4.1749999999999998</v>
      </c>
      <c r="AK4037" s="8">
        <f t="shared" ca="1" si="544"/>
        <v>1.0001159722222221</v>
      </c>
      <c r="AL4037" s="98">
        <f t="shared" ca="1" si="543"/>
        <v>4.164953899651147</v>
      </c>
      <c r="AM4037" s="106">
        <f t="shared" ca="1" si="540"/>
        <v>36437.124247830368</v>
      </c>
      <c r="AN4037" s="10">
        <f t="shared" ca="1" si="541"/>
        <v>1.1011560744414339</v>
      </c>
      <c r="AO4037" s="158"/>
      <c r="AP4037" s="158"/>
    </row>
    <row r="4038" spans="34:42">
      <c r="AH4038" s="6">
        <f t="shared" si="545"/>
        <v>4008</v>
      </c>
      <c r="AI4038" s="7">
        <f t="shared" ca="1" si="546"/>
        <v>46678</v>
      </c>
      <c r="AJ4038" s="210">
        <f t="shared" ca="1" si="542"/>
        <v>4.1749999999999998</v>
      </c>
      <c r="AK4038" s="8">
        <f t="shared" ca="1" si="544"/>
        <v>1.0001159722222221</v>
      </c>
      <c r="AL4038" s="98">
        <f t="shared" ca="1" si="543"/>
        <v>4.164993451542176</v>
      </c>
      <c r="AM4038" s="106">
        <f t="shared" ca="1" si="540"/>
        <v>36440.126720402077</v>
      </c>
      <c r="AN4038" s="10">
        <f t="shared" ca="1" si="541"/>
        <v>1.1011888852698437</v>
      </c>
      <c r="AO4038" s="158"/>
      <c r="AP4038" s="158"/>
    </row>
    <row r="4039" spans="34:42">
      <c r="AH4039" s="6">
        <f t="shared" si="545"/>
        <v>4009</v>
      </c>
      <c r="AI4039" s="7">
        <f t="shared" ca="1" si="546"/>
        <v>46679</v>
      </c>
      <c r="AJ4039" s="210">
        <f t="shared" ca="1" si="542"/>
        <v>4.1749999999999998</v>
      </c>
      <c r="AK4039" s="8">
        <f t="shared" ca="1" si="544"/>
        <v>1.0001159722222221</v>
      </c>
      <c r="AL4039" s="98">
        <f t="shared" ca="1" si="543"/>
        <v>4.1650329837166655</v>
      </c>
      <c r="AM4039" s="106">
        <f t="shared" ca="1" si="540"/>
        <v>36443.129440381927</v>
      </c>
      <c r="AN4039" s="10">
        <f t="shared" ca="1" si="541"/>
        <v>1.1012216797403163</v>
      </c>
      <c r="AO4039" s="158"/>
      <c r="AP4039" s="158"/>
    </row>
    <row r="4040" spans="34:42">
      <c r="AH4040" s="6">
        <f t="shared" si="545"/>
        <v>4010</v>
      </c>
      <c r="AI4040" s="7">
        <f t="shared" ca="1" si="546"/>
        <v>46680</v>
      </c>
      <c r="AJ4040" s="210">
        <f t="shared" ca="1" si="542"/>
        <v>4.1749999999999998</v>
      </c>
      <c r="AK4040" s="8">
        <f t="shared" ca="1" si="544"/>
        <v>1.0001159722222221</v>
      </c>
      <c r="AL4040" s="98">
        <f t="shared" ca="1" si="543"/>
        <v>4.1650724961893593</v>
      </c>
      <c r="AM4040" s="106">
        <f t="shared" ca="1" si="540"/>
        <v>36446.132407790326</v>
      </c>
      <c r="AN4040" s="10">
        <f t="shared" ca="1" si="541"/>
        <v>1.1012544578650862</v>
      </c>
      <c r="AO4040" s="158"/>
      <c r="AP4040" s="158"/>
    </row>
    <row r="4041" spans="34:42">
      <c r="AH4041" s="6">
        <f t="shared" si="545"/>
        <v>4011</v>
      </c>
      <c r="AI4041" s="7">
        <f t="shared" ca="1" si="546"/>
        <v>46681</v>
      </c>
      <c r="AJ4041" s="210">
        <f t="shared" ca="1" si="542"/>
        <v>4.1749999999999998</v>
      </c>
      <c r="AK4041" s="8">
        <f t="shared" ca="1" si="544"/>
        <v>1.0001159722222221</v>
      </c>
      <c r="AL4041" s="98">
        <f t="shared" ca="1" si="543"/>
        <v>4.1651119889749566</v>
      </c>
      <c r="AM4041" s="106">
        <f t="shared" ca="1" si="540"/>
        <v>36449.135622647642</v>
      </c>
      <c r="AN4041" s="10">
        <f t="shared" ca="1" si="541"/>
        <v>1.1012872196563439</v>
      </c>
      <c r="AO4041" s="158"/>
      <c r="AP4041" s="158"/>
    </row>
    <row r="4042" spans="34:42">
      <c r="AH4042" s="6">
        <f t="shared" si="545"/>
        <v>4012</v>
      </c>
      <c r="AI4042" s="7">
        <f t="shared" ca="1" si="546"/>
        <v>46682</v>
      </c>
      <c r="AJ4042" s="210">
        <f t="shared" ca="1" si="542"/>
        <v>4.1749999999999998</v>
      </c>
      <c r="AK4042" s="8">
        <f t="shared" ca="1" si="544"/>
        <v>1.0001159722222221</v>
      </c>
      <c r="AL4042" s="98">
        <f t="shared" ca="1" si="543"/>
        <v>4.1651514620882013</v>
      </c>
      <c r="AM4042" s="106">
        <f t="shared" ca="1" si="540"/>
        <v>36452.139084974282</v>
      </c>
      <c r="AN4042" s="10">
        <f t="shared" ca="1" si="541"/>
        <v>1.1013199651263239</v>
      </c>
      <c r="AO4042" s="158"/>
      <c r="AP4042" s="158"/>
    </row>
    <row r="4043" spans="34:42">
      <c r="AH4043" s="6">
        <f t="shared" si="545"/>
        <v>4013</v>
      </c>
      <c r="AI4043" s="7">
        <f t="shared" ca="1" si="546"/>
        <v>46683</v>
      </c>
      <c r="AJ4043" s="210">
        <f t="shared" ca="1" si="542"/>
        <v>4.1749999999999998</v>
      </c>
      <c r="AK4043" s="8">
        <f t="shared" ca="1" si="544"/>
        <v>1.0001159722222221</v>
      </c>
      <c r="AL4043" s="98">
        <f t="shared" ca="1" si="543"/>
        <v>4.1651909155437705</v>
      </c>
      <c r="AM4043" s="106">
        <f t="shared" ca="1" si="540"/>
        <v>36455.142794790634</v>
      </c>
      <c r="AN4043" s="10">
        <f t="shared" ca="1" si="541"/>
        <v>1.1013526942871943</v>
      </c>
      <c r="AO4043" s="158"/>
      <c r="AP4043" s="158"/>
    </row>
    <row r="4044" spans="34:42">
      <c r="AH4044" s="6">
        <f t="shared" si="545"/>
        <v>4014</v>
      </c>
      <c r="AI4044" s="7">
        <f t="shared" ca="1" si="546"/>
        <v>46684</v>
      </c>
      <c r="AJ4044" s="210">
        <f t="shared" ca="1" si="542"/>
        <v>4.1749999999999998</v>
      </c>
      <c r="AK4044" s="8">
        <f t="shared" ca="1" si="544"/>
        <v>1.0001159722222221</v>
      </c>
      <c r="AL4044" s="98">
        <f t="shared" ca="1" si="543"/>
        <v>4.1652303493563414</v>
      </c>
      <c r="AM4044" s="106">
        <f t="shared" ca="1" si="540"/>
        <v>36458.146752117078</v>
      </c>
      <c r="AN4044" s="10">
        <f t="shared" ca="1" si="541"/>
        <v>1.1013854071511453</v>
      </c>
      <c r="AO4044" s="158"/>
      <c r="AP4044" s="158"/>
    </row>
    <row r="4045" spans="34:42">
      <c r="AH4045" s="6">
        <f t="shared" si="545"/>
        <v>4015</v>
      </c>
      <c r="AI4045" s="7">
        <f t="shared" ca="1" si="546"/>
        <v>46685</v>
      </c>
      <c r="AJ4045" s="210">
        <f t="shared" ca="1" si="542"/>
        <v>4.1749999999999998</v>
      </c>
      <c r="AK4045" s="8">
        <f t="shared" ca="1" si="544"/>
        <v>1.0001159722222221</v>
      </c>
      <c r="AL4045" s="98">
        <f t="shared" ca="1" si="543"/>
        <v>4.1652697635405911</v>
      </c>
      <c r="AM4045" s="106">
        <f t="shared" ca="1" si="540"/>
        <v>36461.150956974023</v>
      </c>
      <c r="AN4045" s="10">
        <f t="shared" ca="1" si="541"/>
        <v>1.1014181037303672</v>
      </c>
      <c r="AO4045" s="158"/>
      <c r="AP4045" s="158"/>
    </row>
    <row r="4046" spans="34:42">
      <c r="AH4046" s="6">
        <f t="shared" si="545"/>
        <v>4016</v>
      </c>
      <c r="AI4046" s="7">
        <f t="shared" ca="1" si="546"/>
        <v>46686</v>
      </c>
      <c r="AJ4046" s="210">
        <f t="shared" ca="1" si="542"/>
        <v>4.1749999999999998</v>
      </c>
      <c r="AK4046" s="8">
        <f t="shared" ca="1" si="544"/>
        <v>1.0001159722222221</v>
      </c>
      <c r="AL4046" s="98">
        <f t="shared" ca="1" si="543"/>
        <v>4.1653091581111523</v>
      </c>
      <c r="AM4046" s="106">
        <f t="shared" ca="1" si="540"/>
        <v>36464.155409381863</v>
      </c>
      <c r="AN4046" s="10">
        <f t="shared" ca="1" si="541"/>
        <v>1.1014507840369614</v>
      </c>
      <c r="AO4046" s="158"/>
      <c r="AP4046" s="158"/>
    </row>
    <row r="4047" spans="34:42">
      <c r="AH4047" s="6">
        <f t="shared" si="545"/>
        <v>4017</v>
      </c>
      <c r="AI4047" s="7">
        <f t="shared" ca="1" si="546"/>
        <v>46687</v>
      </c>
      <c r="AJ4047" s="210">
        <f t="shared" ca="1" si="542"/>
        <v>4.1749999999999998</v>
      </c>
      <c r="AK4047" s="8">
        <f t="shared" ca="1" si="544"/>
        <v>1.0001159722222221</v>
      </c>
      <c r="AL4047" s="98">
        <f t="shared" ca="1" si="543"/>
        <v>4.16534853308268</v>
      </c>
      <c r="AM4047" s="106">
        <f t="shared" ca="1" si="540"/>
        <v>36467.160109360993</v>
      </c>
      <c r="AN4047" s="10">
        <f t="shared" ca="1" si="541"/>
        <v>1.1014834480831404</v>
      </c>
      <c r="AO4047" s="158"/>
      <c r="AP4047" s="158"/>
    </row>
    <row r="4048" spans="34:42">
      <c r="AH4048" s="6">
        <f t="shared" si="545"/>
        <v>4018</v>
      </c>
      <c r="AI4048" s="7">
        <f t="shared" ca="1" si="546"/>
        <v>46688</v>
      </c>
      <c r="AJ4048" s="210">
        <f t="shared" ca="1" si="542"/>
        <v>4.1749999999999998</v>
      </c>
      <c r="AK4048" s="8">
        <f t="shared" ca="1" si="544"/>
        <v>1.0001159722222221</v>
      </c>
      <c r="AL4048" s="98">
        <f t="shared" ca="1" si="543"/>
        <v>4.1653878884697848</v>
      </c>
      <c r="AM4048" s="106">
        <f t="shared" ca="1" si="540"/>
        <v>36470.165056931823</v>
      </c>
      <c r="AN4048" s="10">
        <f t="shared" ca="1" si="541"/>
        <v>1.1015160958809833</v>
      </c>
      <c r="AO4048" s="158"/>
      <c r="AP4048" s="158"/>
    </row>
    <row r="4049" spans="34:42">
      <c r="AH4049" s="6">
        <f t="shared" si="545"/>
        <v>4019</v>
      </c>
      <c r="AI4049" s="7">
        <f t="shared" ca="1" si="546"/>
        <v>46689</v>
      </c>
      <c r="AJ4049" s="210">
        <f t="shared" ca="1" si="542"/>
        <v>4.1749999999999998</v>
      </c>
      <c r="AK4049" s="8">
        <f t="shared" ca="1" si="544"/>
        <v>1.0001159722222221</v>
      </c>
      <c r="AL4049" s="98">
        <f t="shared" ca="1" si="543"/>
        <v>4.1654272242870993</v>
      </c>
      <c r="AM4049" s="106">
        <f t="shared" ca="1" si="540"/>
        <v>36473.170252114738</v>
      </c>
      <c r="AN4049" s="10">
        <f t="shared" ca="1" si="541"/>
        <v>1.1015487274426583</v>
      </c>
      <c r="AO4049" s="158"/>
      <c r="AP4049" s="158"/>
    </row>
    <row r="4050" spans="34:42">
      <c r="AH4050" s="6">
        <f t="shared" si="545"/>
        <v>4020</v>
      </c>
      <c r="AI4050" s="7">
        <f t="shared" ca="1" si="546"/>
        <v>46690</v>
      </c>
      <c r="AJ4050" s="210">
        <f t="shared" ca="1" si="542"/>
        <v>4.1749999999999998</v>
      </c>
      <c r="AK4050" s="8">
        <f t="shared" ca="1" si="544"/>
        <v>1.0001159722222221</v>
      </c>
      <c r="AL4050" s="98">
        <f t="shared" ca="1" si="543"/>
        <v>4.1654665405491897</v>
      </c>
      <c r="AM4050" s="106">
        <f t="shared" ca="1" si="540"/>
        <v>36476.175694930156</v>
      </c>
      <c r="AN4050" s="10">
        <f t="shared" ca="1" si="541"/>
        <v>1.1015813427802446</v>
      </c>
      <c r="AO4050" s="158"/>
      <c r="AP4050" s="158"/>
    </row>
    <row r="4051" spans="34:42">
      <c r="AH4051" s="6">
        <f t="shared" si="545"/>
        <v>4021</v>
      </c>
      <c r="AI4051" s="7">
        <f t="shared" ca="1" si="546"/>
        <v>46691</v>
      </c>
      <c r="AJ4051" s="210">
        <f t="shared" ca="1" si="542"/>
        <v>4.1749999999999998</v>
      </c>
      <c r="AK4051" s="8">
        <f t="shared" ca="1" si="544"/>
        <v>1.0001159722222221</v>
      </c>
      <c r="AL4051" s="98">
        <f t="shared" ca="1" si="543"/>
        <v>4.1655058372706444</v>
      </c>
      <c r="AM4051" s="106">
        <f t="shared" ca="1" si="540"/>
        <v>36479.181385398486</v>
      </c>
      <c r="AN4051" s="10">
        <f t="shared" ca="1" si="541"/>
        <v>1.1016139419058435</v>
      </c>
      <c r="AO4051" s="158"/>
      <c r="AP4051" s="158"/>
    </row>
    <row r="4052" spans="34:42">
      <c r="AH4052" s="6">
        <f t="shared" si="545"/>
        <v>4022</v>
      </c>
      <c r="AI4052" s="7">
        <f t="shared" ca="1" si="546"/>
        <v>46692</v>
      </c>
      <c r="AJ4052" s="210">
        <f t="shared" ca="1" si="542"/>
        <v>4.1749999999999998</v>
      </c>
      <c r="AK4052" s="8">
        <f t="shared" ca="1" si="544"/>
        <v>1.0001159722222221</v>
      </c>
      <c r="AL4052" s="98">
        <f t="shared" ca="1" si="543"/>
        <v>4.1655451144660294</v>
      </c>
      <c r="AM4052" s="106">
        <f t="shared" ca="1" si="540"/>
        <v>36482.187323540107</v>
      </c>
      <c r="AN4052" s="10">
        <f t="shared" ca="1" si="541"/>
        <v>1.1016465248315344</v>
      </c>
      <c r="AO4052" s="158"/>
      <c r="AP4052" s="158"/>
    </row>
    <row r="4053" spans="34:42">
      <c r="AH4053" s="6">
        <f t="shared" si="545"/>
        <v>4023</v>
      </c>
      <c r="AI4053" s="7">
        <f t="shared" ca="1" si="546"/>
        <v>46693</v>
      </c>
      <c r="AJ4053" s="210">
        <f t="shared" ca="1" si="542"/>
        <v>4.1749999999999998</v>
      </c>
      <c r="AK4053" s="8">
        <f t="shared" ca="1" si="544"/>
        <v>1.0001159722222221</v>
      </c>
      <c r="AL4053" s="98">
        <f t="shared" ca="1" si="543"/>
        <v>4.1655843721498886</v>
      </c>
      <c r="AM4053" s="106">
        <f t="shared" ca="1" si="540"/>
        <v>36485.193509375466</v>
      </c>
      <c r="AN4053" s="10">
        <f t="shared" ca="1" si="541"/>
        <v>1.1016790915693964</v>
      </c>
      <c r="AO4053" s="158"/>
      <c r="AP4053" s="158"/>
    </row>
    <row r="4054" spans="34:42">
      <c r="AH4054" s="6">
        <f t="shared" si="545"/>
        <v>4024</v>
      </c>
      <c r="AI4054" s="7">
        <f t="shared" ca="1" si="546"/>
        <v>46694</v>
      </c>
      <c r="AJ4054" s="210">
        <f t="shared" ca="1" si="542"/>
        <v>4.1749999999999998</v>
      </c>
      <c r="AK4054" s="8">
        <f t="shared" ca="1" si="544"/>
        <v>1.0001159722222221</v>
      </c>
      <c r="AL4054" s="98">
        <f t="shared" ca="1" si="543"/>
        <v>4.1656236103367661</v>
      </c>
      <c r="AM4054" s="106">
        <f t="shared" ca="1" si="540"/>
        <v>36488.199942924948</v>
      </c>
      <c r="AN4054" s="10">
        <f t="shared" ca="1" si="541"/>
        <v>1.1017116421314865</v>
      </c>
      <c r="AO4054" s="158"/>
      <c r="AP4054" s="158"/>
    </row>
    <row r="4055" spans="34:42">
      <c r="AH4055" s="6">
        <f t="shared" si="545"/>
        <v>4025</v>
      </c>
      <c r="AI4055" s="7">
        <f t="shared" ca="1" si="546"/>
        <v>46695</v>
      </c>
      <c r="AJ4055" s="210">
        <f t="shared" ca="1" si="542"/>
        <v>4.1749999999999998</v>
      </c>
      <c r="AK4055" s="8">
        <f t="shared" ca="1" si="544"/>
        <v>1.0001159722222221</v>
      </c>
      <c r="AL4055" s="98">
        <f t="shared" ca="1" si="543"/>
        <v>4.1656628290411835</v>
      </c>
      <c r="AM4055" s="106">
        <f t="shared" ca="1" si="540"/>
        <v>36491.206624208971</v>
      </c>
      <c r="AN4055" s="10">
        <f t="shared" ca="1" si="541"/>
        <v>1.1017441765298841</v>
      </c>
      <c r="AO4055" s="158"/>
      <c r="AP4055" s="158"/>
    </row>
    <row r="4056" spans="34:42">
      <c r="AH4056" s="6">
        <f t="shared" si="545"/>
        <v>4026</v>
      </c>
      <c r="AI4056" s="7">
        <f t="shared" ca="1" si="546"/>
        <v>46696</v>
      </c>
      <c r="AJ4056" s="210">
        <f t="shared" ca="1" si="542"/>
        <v>4.1749999999999998</v>
      </c>
      <c r="AK4056" s="8">
        <f t="shared" ca="1" si="544"/>
        <v>1.0001159722222221</v>
      </c>
      <c r="AL4056" s="98">
        <f t="shared" ca="1" si="543"/>
        <v>4.165702028277618</v>
      </c>
      <c r="AM4056" s="106">
        <f t="shared" ca="1" si="540"/>
        <v>36494.213553247944</v>
      </c>
      <c r="AN4056" s="10">
        <f t="shared" ca="1" si="541"/>
        <v>1.1017766947765573</v>
      </c>
      <c r="AO4056" s="158"/>
      <c r="AP4056" s="158"/>
    </row>
    <row r="4057" spans="34:42">
      <c r="AH4057" s="6">
        <f t="shared" si="545"/>
        <v>4027</v>
      </c>
      <c r="AI4057" s="7">
        <f t="shared" ca="1" si="546"/>
        <v>46697</v>
      </c>
      <c r="AJ4057" s="210">
        <f t="shared" ca="1" si="542"/>
        <v>4.1749999999999998</v>
      </c>
      <c r="AK4057" s="8">
        <f t="shared" ca="1" si="544"/>
        <v>1.0001159722222221</v>
      </c>
      <c r="AL4057" s="98">
        <f t="shared" ca="1" si="543"/>
        <v>4.1657412080605916</v>
      </c>
      <c r="AM4057" s="106">
        <f t="shared" ca="1" si="540"/>
        <v>36497.220730062298</v>
      </c>
      <c r="AN4057" s="10">
        <f t="shared" ca="1" si="541"/>
        <v>1.1018091968835853</v>
      </c>
      <c r="AO4057" s="158"/>
      <c r="AP4057" s="158"/>
    </row>
    <row r="4058" spans="34:42">
      <c r="AH4058" s="6">
        <f t="shared" si="545"/>
        <v>4028</v>
      </c>
      <c r="AI4058" s="7">
        <f t="shared" ca="1" si="546"/>
        <v>46698</v>
      </c>
      <c r="AJ4058" s="210">
        <f t="shared" ca="1" si="542"/>
        <v>4.1749999999999998</v>
      </c>
      <c r="AK4058" s="8">
        <f t="shared" ca="1" si="544"/>
        <v>1.0001159722222221</v>
      </c>
      <c r="AL4058" s="98">
        <f t="shared" ca="1" si="543"/>
        <v>4.1657803684045813</v>
      </c>
      <c r="AM4058" s="106">
        <f t="shared" ca="1" si="540"/>
        <v>36500.228154672426</v>
      </c>
      <c r="AN4058" s="10">
        <f t="shared" ca="1" si="541"/>
        <v>1.1018416828629585</v>
      </c>
      <c r="AO4058" s="158"/>
      <c r="AP4058" s="158"/>
    </row>
    <row r="4059" spans="34:42">
      <c r="AH4059" s="6">
        <f t="shared" si="545"/>
        <v>4029</v>
      </c>
      <c r="AI4059" s="7">
        <f t="shared" ca="1" si="546"/>
        <v>46699</v>
      </c>
      <c r="AJ4059" s="210">
        <f t="shared" ca="1" si="542"/>
        <v>4.1749999999999998</v>
      </c>
      <c r="AK4059" s="8">
        <f t="shared" ca="1" si="544"/>
        <v>1.0001159722222221</v>
      </c>
      <c r="AL4059" s="98">
        <f t="shared" ca="1" si="543"/>
        <v>4.1658195093240424</v>
      </c>
      <c r="AM4059" s="106">
        <f t="shared" ca="1" si="540"/>
        <v>36503.235827098768</v>
      </c>
      <c r="AN4059" s="10">
        <f t="shared" ca="1" si="541"/>
        <v>1.1018741527267117</v>
      </c>
      <c r="AO4059" s="158"/>
      <c r="AP4059" s="158"/>
    </row>
    <row r="4060" spans="34:42">
      <c r="AH4060" s="6">
        <f t="shared" si="545"/>
        <v>4030</v>
      </c>
      <c r="AI4060" s="7">
        <f t="shared" ca="1" si="546"/>
        <v>46700</v>
      </c>
      <c r="AJ4060" s="210">
        <f t="shared" ca="1" si="542"/>
        <v>4.1749999999999998</v>
      </c>
      <c r="AK4060" s="8">
        <f t="shared" ca="1" si="544"/>
        <v>1.0001159722222221</v>
      </c>
      <c r="AL4060" s="98">
        <f t="shared" ca="1" si="543"/>
        <v>4.16585863083343</v>
      </c>
      <c r="AM4060" s="106">
        <f t="shared" ca="1" si="540"/>
        <v>36506.243747361747</v>
      </c>
      <c r="AN4060" s="10">
        <f t="shared" ca="1" si="541"/>
        <v>1.1019066064867911</v>
      </c>
      <c r="AO4060" s="158"/>
      <c r="AP4060" s="158"/>
    </row>
    <row r="4061" spans="34:42">
      <c r="AH4061" s="6">
        <f t="shared" si="545"/>
        <v>4031</v>
      </c>
      <c r="AI4061" s="7">
        <f t="shared" ca="1" si="546"/>
        <v>46701</v>
      </c>
      <c r="AJ4061" s="210">
        <f t="shared" ca="1" si="542"/>
        <v>4.1749999999999998</v>
      </c>
      <c r="AK4061" s="8">
        <f t="shared" ca="1" si="544"/>
        <v>1.0001159722222221</v>
      </c>
      <c r="AL4061" s="98">
        <f t="shared" ca="1" si="543"/>
        <v>4.1658977329471769</v>
      </c>
      <c r="AM4061" s="106">
        <f t="shared" ca="1" si="540"/>
        <v>36509.251915481756</v>
      </c>
      <c r="AN4061" s="10">
        <f t="shared" ca="1" si="541"/>
        <v>1.1019390441551868</v>
      </c>
      <c r="AO4061" s="158"/>
      <c r="AP4061" s="158"/>
    </row>
    <row r="4062" spans="34:42">
      <c r="AH4062" s="6">
        <f t="shared" si="545"/>
        <v>4032</v>
      </c>
      <c r="AI4062" s="7">
        <f t="shared" ca="1" si="546"/>
        <v>46702</v>
      </c>
      <c r="AJ4062" s="210">
        <f t="shared" ca="1" si="542"/>
        <v>4.1749999999999998</v>
      </c>
      <c r="AK4062" s="8">
        <f t="shared" ca="1" si="544"/>
        <v>1.0001159722222221</v>
      </c>
      <c r="AL4062" s="98">
        <f t="shared" ca="1" si="543"/>
        <v>4.1659368156796939</v>
      </c>
      <c r="AM4062" s="106">
        <f t="shared" ca="1" si="540"/>
        <v>36512.26033147925</v>
      </c>
      <c r="AN4062" s="10">
        <f t="shared" ca="1" si="541"/>
        <v>1.1019714657438895</v>
      </c>
      <c r="AO4062" s="158"/>
      <c r="AP4062" s="158"/>
    </row>
    <row r="4063" spans="34:42">
      <c r="AH4063" s="6">
        <f t="shared" si="545"/>
        <v>4033</v>
      </c>
      <c r="AI4063" s="7">
        <f t="shared" ca="1" si="546"/>
        <v>46703</v>
      </c>
      <c r="AJ4063" s="210">
        <f t="shared" ca="1" si="542"/>
        <v>4.1749999999999998</v>
      </c>
      <c r="AK4063" s="8">
        <f t="shared" ca="1" si="544"/>
        <v>1.0001159722222221</v>
      </c>
      <c r="AL4063" s="98">
        <f t="shared" ca="1" si="543"/>
        <v>4.1659758790453916</v>
      </c>
      <c r="AM4063" s="106">
        <f t="shared" ref="AM4063:AM4126" ca="1" si="547">Geom_Interp(AI4063,$AZ$2:$AZ$109,$BA$2:$BA$109)</f>
        <v>36515.268995374645</v>
      </c>
      <c r="AN4063" s="10">
        <f t="shared" ref="AN4063:AN4126" ca="1" si="548">100*(((1+AL4063/100)^(AH4063/365)*$AM$29/AM4063)^(365/AH4063)-1)</f>
        <v>1.1020038712648006</v>
      </c>
      <c r="AO4063" s="158"/>
      <c r="AP4063" s="158"/>
    </row>
    <row r="4064" spans="34:42">
      <c r="AH4064" s="6">
        <f t="shared" si="545"/>
        <v>4034</v>
      </c>
      <c r="AI4064" s="7">
        <f t="shared" ca="1" si="546"/>
        <v>46704</v>
      </c>
      <c r="AJ4064" s="210">
        <f t="shared" ref="AJ4064:AJ4127" ca="1" si="549">IF(AH4064&lt;365,VLOOKUP(LOOKUP(AI4064,$AI$2:$AI$23),$AI$2:$AK$23,3,0),Lin_Interp(AH4064,$AJ$2:$AJ$23,$AK$2:$AK$23))</f>
        <v>4.1749999999999998</v>
      </c>
      <c r="AK4064" s="8">
        <f t="shared" ca="1" si="544"/>
        <v>1.0001159722222221</v>
      </c>
      <c r="AL4064" s="98">
        <f t="shared" ca="1" si="543"/>
        <v>4.1660149230586807</v>
      </c>
      <c r="AM4064" s="106">
        <f t="shared" ca="1" si="547"/>
        <v>36518.277907188356</v>
      </c>
      <c r="AN4064" s="10">
        <f t="shared" ca="1" si="548"/>
        <v>1.1020362607299328</v>
      </c>
      <c r="AO4064" s="158"/>
      <c r="AP4064" s="158"/>
    </row>
    <row r="4065" spans="34:42">
      <c r="AH4065" s="6">
        <f t="shared" si="545"/>
        <v>4035</v>
      </c>
      <c r="AI4065" s="7">
        <f t="shared" ca="1" si="546"/>
        <v>46705</v>
      </c>
      <c r="AJ4065" s="210">
        <f t="shared" ca="1" si="549"/>
        <v>4.1749999999999998</v>
      </c>
      <c r="AK4065" s="8">
        <f t="shared" ca="1" si="544"/>
        <v>1.0001159722222221</v>
      </c>
      <c r="AL4065" s="98">
        <f t="shared" ref="AL4065:AL4128" ca="1" si="550">100*(((1+AL4064/100)^(AH4064/365)*AK4065)^(365/AH4065)-1)</f>
        <v>4.1660539477339054</v>
      </c>
      <c r="AM4065" s="106">
        <f t="shared" ca="1" si="547"/>
        <v>36521.287066940822</v>
      </c>
      <c r="AN4065" s="10">
        <f t="shared" ca="1" si="548"/>
        <v>1.1020686341511432</v>
      </c>
      <c r="AO4065" s="158"/>
      <c r="AP4065" s="158"/>
    </row>
    <row r="4066" spans="34:42">
      <c r="AH4066" s="6">
        <f t="shared" si="545"/>
        <v>4036</v>
      </c>
      <c r="AI4066" s="7">
        <f t="shared" ca="1" si="546"/>
        <v>46706</v>
      </c>
      <c r="AJ4066" s="210">
        <f t="shared" ca="1" si="549"/>
        <v>4.1749999999999998</v>
      </c>
      <c r="AK4066" s="8">
        <f t="shared" ca="1" si="544"/>
        <v>1.0001159722222221</v>
      </c>
      <c r="AL4066" s="98">
        <f t="shared" ca="1" si="550"/>
        <v>4.166092953085454</v>
      </c>
      <c r="AM4066" s="106">
        <f t="shared" ca="1" si="547"/>
        <v>36524.296474652474</v>
      </c>
      <c r="AN4066" s="10">
        <f t="shared" ca="1" si="548"/>
        <v>1.1021009915404001</v>
      </c>
      <c r="AO4066" s="158"/>
      <c r="AP4066" s="158"/>
    </row>
    <row r="4067" spans="34:42">
      <c r="AH4067" s="6">
        <f t="shared" si="545"/>
        <v>4037</v>
      </c>
      <c r="AI4067" s="7">
        <f t="shared" ca="1" si="546"/>
        <v>46707</v>
      </c>
      <c r="AJ4067" s="210">
        <f t="shared" ca="1" si="549"/>
        <v>4.1749999999999998</v>
      </c>
      <c r="AK4067" s="8">
        <f t="shared" ca="1" si="544"/>
        <v>1.0001159722222221</v>
      </c>
      <c r="AL4067" s="98">
        <f t="shared" ca="1" si="550"/>
        <v>4.1661319391276708</v>
      </c>
      <c r="AM4067" s="106">
        <f t="shared" ca="1" si="547"/>
        <v>36527.306130343743</v>
      </c>
      <c r="AN4067" s="10">
        <f t="shared" ca="1" si="548"/>
        <v>1.1021333329095828</v>
      </c>
      <c r="AO4067" s="158"/>
      <c r="AP4067" s="158"/>
    </row>
    <row r="4068" spans="34:42">
      <c r="AH4068" s="6">
        <f t="shared" si="545"/>
        <v>4038</v>
      </c>
      <c r="AI4068" s="7">
        <f t="shared" ca="1" si="546"/>
        <v>46708</v>
      </c>
      <c r="AJ4068" s="210">
        <f t="shared" ca="1" si="549"/>
        <v>4.1749999999999998</v>
      </c>
      <c r="AK4068" s="8">
        <f t="shared" ref="AK4068:AK4131" ca="1" si="551">+(1+AJ4068/36000)</f>
        <v>1.0001159722222221</v>
      </c>
      <c r="AL4068" s="98">
        <f t="shared" ca="1" si="550"/>
        <v>4.1661709058748775</v>
      </c>
      <c r="AM4068" s="106">
        <f t="shared" ca="1" si="547"/>
        <v>36530.316034035066</v>
      </c>
      <c r="AN4068" s="10">
        <f t="shared" ca="1" si="548"/>
        <v>1.102165658270593</v>
      </c>
      <c r="AO4068" s="158"/>
      <c r="AP4068" s="158"/>
    </row>
    <row r="4069" spans="34:42">
      <c r="AH4069" s="6">
        <f t="shared" si="545"/>
        <v>4039</v>
      </c>
      <c r="AI4069" s="7">
        <f t="shared" ca="1" si="546"/>
        <v>46709</v>
      </c>
      <c r="AJ4069" s="210">
        <f t="shared" ca="1" si="549"/>
        <v>4.1749999999999998</v>
      </c>
      <c r="AK4069" s="8">
        <f t="shared" ca="1" si="551"/>
        <v>1.0001159722222221</v>
      </c>
      <c r="AL4069" s="98">
        <f t="shared" ca="1" si="550"/>
        <v>4.1662098533414182</v>
      </c>
      <c r="AM4069" s="106">
        <f t="shared" ca="1" si="547"/>
        <v>36533.326185746875</v>
      </c>
      <c r="AN4069" s="10">
        <f t="shared" ca="1" si="548"/>
        <v>1.1021979676353322</v>
      </c>
      <c r="AO4069" s="158"/>
      <c r="AP4069" s="158"/>
    </row>
    <row r="4070" spans="34:42">
      <c r="AH4070" s="6">
        <f t="shared" si="545"/>
        <v>4040</v>
      </c>
      <c r="AI4070" s="7">
        <f t="shared" ca="1" si="546"/>
        <v>46710</v>
      </c>
      <c r="AJ4070" s="210">
        <f t="shared" ca="1" si="549"/>
        <v>4.1749999999999998</v>
      </c>
      <c r="AK4070" s="8">
        <f t="shared" ca="1" si="551"/>
        <v>1.0001159722222221</v>
      </c>
      <c r="AL4070" s="98">
        <f t="shared" ca="1" si="550"/>
        <v>4.1662487815415705</v>
      </c>
      <c r="AM4070" s="106">
        <f t="shared" ca="1" si="547"/>
        <v>36536.336585499601</v>
      </c>
      <c r="AN4070" s="10">
        <f t="shared" ca="1" si="548"/>
        <v>1.1022302610156354</v>
      </c>
      <c r="AO4070" s="158"/>
      <c r="AP4070" s="158"/>
    </row>
    <row r="4071" spans="34:42">
      <c r="AH4071" s="6">
        <f t="shared" si="545"/>
        <v>4041</v>
      </c>
      <c r="AI4071" s="7">
        <f t="shared" ca="1" si="546"/>
        <v>46711</v>
      </c>
      <c r="AJ4071" s="210">
        <f t="shared" ca="1" si="549"/>
        <v>4.1749999999999998</v>
      </c>
      <c r="AK4071" s="8">
        <f t="shared" ca="1" si="551"/>
        <v>1.0001159722222221</v>
      </c>
      <c r="AL4071" s="98">
        <f t="shared" ca="1" si="550"/>
        <v>4.1662876904896562</v>
      </c>
      <c r="AM4071" s="106">
        <f t="shared" ca="1" si="547"/>
        <v>36539.347233313696</v>
      </c>
      <c r="AN4071" s="10">
        <f t="shared" ca="1" si="548"/>
        <v>1.102262538423382</v>
      </c>
      <c r="AO4071" s="158"/>
      <c r="AP4071" s="158"/>
    </row>
    <row r="4072" spans="34:42">
      <c r="AH4072" s="6">
        <f t="shared" si="545"/>
        <v>4042</v>
      </c>
      <c r="AI4072" s="7">
        <f t="shared" ca="1" si="546"/>
        <v>46712</v>
      </c>
      <c r="AJ4072" s="210">
        <f t="shared" ca="1" si="549"/>
        <v>4.1749999999999998</v>
      </c>
      <c r="AK4072" s="8">
        <f t="shared" ca="1" si="551"/>
        <v>1.0001159722222221</v>
      </c>
      <c r="AL4072" s="98">
        <f t="shared" ca="1" si="550"/>
        <v>4.1663265801999305</v>
      </c>
      <c r="AM4072" s="106">
        <f t="shared" ca="1" si="547"/>
        <v>36542.358129209599</v>
      </c>
      <c r="AN4072" s="10">
        <f t="shared" ca="1" si="548"/>
        <v>1.1022947998704069</v>
      </c>
      <c r="AO4072" s="158"/>
      <c r="AP4072" s="158"/>
    </row>
    <row r="4073" spans="34:42">
      <c r="AH4073" s="6">
        <f t="shared" si="545"/>
        <v>4043</v>
      </c>
      <c r="AI4073" s="7">
        <f t="shared" ca="1" si="546"/>
        <v>46713</v>
      </c>
      <c r="AJ4073" s="210">
        <f t="shared" ca="1" si="549"/>
        <v>4.1749999999999998</v>
      </c>
      <c r="AK4073" s="8">
        <f t="shared" ca="1" si="551"/>
        <v>1.0001159722222221</v>
      </c>
      <c r="AL4073" s="98">
        <f t="shared" ca="1" si="550"/>
        <v>4.166365450686671</v>
      </c>
      <c r="AM4073" s="106">
        <f t="shared" ca="1" si="547"/>
        <v>36545.36927320774</v>
      </c>
      <c r="AN4073" s="10">
        <f t="shared" ca="1" si="548"/>
        <v>1.1023270453685674</v>
      </c>
      <c r="AO4073" s="158"/>
      <c r="AP4073" s="158"/>
    </row>
    <row r="4074" spans="34:42">
      <c r="AH4074" s="6">
        <f t="shared" si="545"/>
        <v>4044</v>
      </c>
      <c r="AI4074" s="7">
        <f t="shared" ca="1" si="546"/>
        <v>46714</v>
      </c>
      <c r="AJ4074" s="210">
        <f t="shared" ca="1" si="549"/>
        <v>4.1749999999999998</v>
      </c>
      <c r="AK4074" s="8">
        <f t="shared" ca="1" si="551"/>
        <v>1.0001159722222221</v>
      </c>
      <c r="AL4074" s="98">
        <f t="shared" ca="1" si="550"/>
        <v>4.1664043019641328</v>
      </c>
      <c r="AM4074" s="106">
        <f t="shared" ca="1" si="547"/>
        <v>36548.380665328572</v>
      </c>
      <c r="AN4074" s="10">
        <f t="shared" ca="1" si="548"/>
        <v>1.1023592749296984</v>
      </c>
      <c r="AO4074" s="158"/>
      <c r="AP4074" s="158"/>
    </row>
    <row r="4075" spans="34:42">
      <c r="AH4075" s="6">
        <f t="shared" si="545"/>
        <v>4045</v>
      </c>
      <c r="AI4075" s="7">
        <f t="shared" ca="1" si="546"/>
        <v>46715</v>
      </c>
      <c r="AJ4075" s="210">
        <f t="shared" ca="1" si="549"/>
        <v>4.1749999999999998</v>
      </c>
      <c r="AK4075" s="8">
        <f t="shared" ca="1" si="551"/>
        <v>1.0001159722222221</v>
      </c>
      <c r="AL4075" s="98">
        <f t="shared" ca="1" si="550"/>
        <v>4.1664431340465269</v>
      </c>
      <c r="AM4075" s="106">
        <f t="shared" ca="1" si="547"/>
        <v>36551.392305592533</v>
      </c>
      <c r="AN4075" s="10">
        <f t="shared" ca="1" si="548"/>
        <v>1.1023914885655683</v>
      </c>
      <c r="AO4075" s="158"/>
      <c r="AP4075" s="158"/>
    </row>
    <row r="4076" spans="34:42">
      <c r="AH4076" s="6">
        <f t="shared" si="545"/>
        <v>4046</v>
      </c>
      <c r="AI4076" s="7">
        <f t="shared" ca="1" si="546"/>
        <v>46716</v>
      </c>
      <c r="AJ4076" s="210">
        <f t="shared" ca="1" si="549"/>
        <v>4.1749999999999998</v>
      </c>
      <c r="AK4076" s="8">
        <f t="shared" ca="1" si="551"/>
        <v>1.0001159722222221</v>
      </c>
      <c r="AL4076" s="98">
        <f t="shared" ca="1" si="550"/>
        <v>4.1664819469481085</v>
      </c>
      <c r="AM4076" s="106">
        <f t="shared" ca="1" si="547"/>
        <v>36554.404194020084</v>
      </c>
      <c r="AN4076" s="10">
        <f t="shared" ca="1" si="548"/>
        <v>1.1024236862880121</v>
      </c>
      <c r="AO4076" s="158"/>
      <c r="AP4076" s="158"/>
    </row>
    <row r="4077" spans="34:42">
      <c r="AH4077" s="6">
        <f t="shared" si="545"/>
        <v>4047</v>
      </c>
      <c r="AI4077" s="7">
        <f t="shared" ca="1" si="546"/>
        <v>46717</v>
      </c>
      <c r="AJ4077" s="210">
        <f t="shared" ca="1" si="549"/>
        <v>4.1749999999999998</v>
      </c>
      <c r="AK4077" s="8">
        <f t="shared" ca="1" si="551"/>
        <v>1.0001159722222221</v>
      </c>
      <c r="AL4077" s="98">
        <f t="shared" ca="1" si="550"/>
        <v>4.1665207406830662</v>
      </c>
      <c r="AM4077" s="106">
        <f t="shared" ca="1" si="547"/>
        <v>36557.416330631662</v>
      </c>
      <c r="AN4077" s="10">
        <f t="shared" ca="1" si="548"/>
        <v>1.1024558681087981</v>
      </c>
      <c r="AO4077" s="158"/>
      <c r="AP4077" s="158"/>
    </row>
    <row r="4078" spans="34:42">
      <c r="AH4078" s="6">
        <f t="shared" si="545"/>
        <v>4048</v>
      </c>
      <c r="AI4078" s="7">
        <f t="shared" ca="1" si="546"/>
        <v>46718</v>
      </c>
      <c r="AJ4078" s="210">
        <f t="shared" ca="1" si="549"/>
        <v>4.1749999999999998</v>
      </c>
      <c r="AK4078" s="8">
        <f t="shared" ca="1" si="551"/>
        <v>1.0001159722222221</v>
      </c>
      <c r="AL4078" s="98">
        <f t="shared" ca="1" si="550"/>
        <v>4.1665595152655888</v>
      </c>
      <c r="AM4078" s="106">
        <f t="shared" ca="1" si="547"/>
        <v>36560.428715447721</v>
      </c>
      <c r="AN4078" s="10">
        <f t="shared" ca="1" si="548"/>
        <v>1.102488034039717</v>
      </c>
      <c r="AO4078" s="158"/>
      <c r="AP4078" s="158"/>
    </row>
    <row r="4079" spans="34:42">
      <c r="AH4079" s="6">
        <f t="shared" si="545"/>
        <v>4049</v>
      </c>
      <c r="AI4079" s="7">
        <f t="shared" ca="1" si="546"/>
        <v>46719</v>
      </c>
      <c r="AJ4079" s="210">
        <f t="shared" ca="1" si="549"/>
        <v>4.1749999999999998</v>
      </c>
      <c r="AK4079" s="8">
        <f t="shared" ca="1" si="551"/>
        <v>1.0001159722222221</v>
      </c>
      <c r="AL4079" s="98">
        <f t="shared" ca="1" si="550"/>
        <v>4.1665982707098648</v>
      </c>
      <c r="AM4079" s="106">
        <f t="shared" ca="1" si="547"/>
        <v>36563.441348488726</v>
      </c>
      <c r="AN4079" s="10">
        <f t="shared" ca="1" si="548"/>
        <v>1.1025201840925147</v>
      </c>
      <c r="AO4079" s="158"/>
      <c r="AP4079" s="158"/>
    </row>
    <row r="4080" spans="34:42">
      <c r="AH4080" s="6">
        <f t="shared" si="545"/>
        <v>4050</v>
      </c>
      <c r="AI4080" s="7">
        <f t="shared" ca="1" si="546"/>
        <v>46720</v>
      </c>
      <c r="AJ4080" s="210">
        <f t="shared" ca="1" si="549"/>
        <v>4.1749999999999998</v>
      </c>
      <c r="AK4080" s="8">
        <f t="shared" ca="1" si="551"/>
        <v>1.0001159722222221</v>
      </c>
      <c r="AL4080" s="98">
        <f t="shared" ca="1" si="550"/>
        <v>4.1666370070300607</v>
      </c>
      <c r="AM4080" s="106">
        <f t="shared" ca="1" si="547"/>
        <v>36566.45422977511</v>
      </c>
      <c r="AN4080" s="10">
        <f t="shared" ca="1" si="548"/>
        <v>1.1025523182789598</v>
      </c>
      <c r="AO4080" s="158"/>
      <c r="AP4080" s="158"/>
    </row>
    <row r="4081" spans="34:42">
      <c r="AH4081" s="6">
        <f t="shared" si="545"/>
        <v>4051</v>
      </c>
      <c r="AI4081" s="7">
        <f t="shared" ca="1" si="546"/>
        <v>46721</v>
      </c>
      <c r="AJ4081" s="210">
        <f t="shared" ca="1" si="549"/>
        <v>4.1749999999999998</v>
      </c>
      <c r="AK4081" s="8">
        <f t="shared" ca="1" si="551"/>
        <v>1.0001159722222221</v>
      </c>
      <c r="AL4081" s="98">
        <f t="shared" ca="1" si="550"/>
        <v>4.1666757242403207</v>
      </c>
      <c r="AM4081" s="106">
        <f t="shared" ca="1" si="547"/>
        <v>36569.467359327347</v>
      </c>
      <c r="AN4081" s="10">
        <f t="shared" ca="1" si="548"/>
        <v>1.1025844366107984</v>
      </c>
      <c r="AO4081" s="158"/>
      <c r="AP4081" s="158"/>
    </row>
    <row r="4082" spans="34:42">
      <c r="AH4082" s="6">
        <f t="shared" si="545"/>
        <v>4052</v>
      </c>
      <c r="AI4082" s="7">
        <f t="shared" ca="1" si="546"/>
        <v>46722</v>
      </c>
      <c r="AJ4082" s="210">
        <f t="shared" ca="1" si="549"/>
        <v>4.1749999999999998</v>
      </c>
      <c r="AK4082" s="8">
        <f t="shared" ca="1" si="551"/>
        <v>1.0001159722222221</v>
      </c>
      <c r="AL4082" s="98">
        <f t="shared" ca="1" si="550"/>
        <v>4.1667144223547892</v>
      </c>
      <c r="AM4082" s="106">
        <f t="shared" ca="1" si="547"/>
        <v>36572.480737165875</v>
      </c>
      <c r="AN4082" s="10">
        <f t="shared" ca="1" si="548"/>
        <v>1.1026165390997544</v>
      </c>
      <c r="AO4082" s="158"/>
      <c r="AP4082" s="158"/>
    </row>
    <row r="4083" spans="34:42">
      <c r="AH4083" s="6">
        <f t="shared" si="545"/>
        <v>4053</v>
      </c>
      <c r="AI4083" s="7">
        <f t="shared" ca="1" si="546"/>
        <v>46723</v>
      </c>
      <c r="AJ4083" s="210">
        <f t="shared" ca="1" si="549"/>
        <v>4.1749999999999998</v>
      </c>
      <c r="AK4083" s="8">
        <f t="shared" ca="1" si="551"/>
        <v>1.0001159722222221</v>
      </c>
      <c r="AL4083" s="98">
        <f t="shared" ca="1" si="550"/>
        <v>4.166753101387588</v>
      </c>
      <c r="AM4083" s="106">
        <f t="shared" ca="1" si="547"/>
        <v>36575.494363311169</v>
      </c>
      <c r="AN4083" s="10">
        <f t="shared" ca="1" si="548"/>
        <v>1.1026486257575518</v>
      </c>
      <c r="AO4083" s="158"/>
      <c r="AP4083" s="158"/>
    </row>
    <row r="4084" spans="34:42">
      <c r="AH4084" s="6">
        <f t="shared" si="545"/>
        <v>4054</v>
      </c>
      <c r="AI4084" s="7">
        <f t="shared" ca="1" si="546"/>
        <v>46724</v>
      </c>
      <c r="AJ4084" s="210">
        <f t="shared" ca="1" si="549"/>
        <v>4.1749999999999998</v>
      </c>
      <c r="AK4084" s="8">
        <f t="shared" ca="1" si="551"/>
        <v>1.0001159722222221</v>
      </c>
      <c r="AL4084" s="98">
        <f t="shared" ca="1" si="550"/>
        <v>4.1667917613528394</v>
      </c>
      <c r="AM4084" s="106">
        <f t="shared" ca="1" si="547"/>
        <v>36578.508237783681</v>
      </c>
      <c r="AN4084" s="10">
        <f t="shared" ca="1" si="548"/>
        <v>1.1026806965959146</v>
      </c>
      <c r="AO4084" s="158"/>
      <c r="AP4084" s="158"/>
    </row>
    <row r="4085" spans="34:42">
      <c r="AH4085" s="6">
        <f t="shared" si="545"/>
        <v>4055</v>
      </c>
      <c r="AI4085" s="7">
        <f t="shared" ca="1" si="546"/>
        <v>46725</v>
      </c>
      <c r="AJ4085" s="210">
        <f t="shared" ca="1" si="549"/>
        <v>4.1749999999999998</v>
      </c>
      <c r="AK4085" s="8">
        <f t="shared" ca="1" si="551"/>
        <v>1.0001159722222221</v>
      </c>
      <c r="AL4085" s="98">
        <f t="shared" ca="1" si="550"/>
        <v>4.1668304022646208</v>
      </c>
      <c r="AM4085" s="106">
        <f t="shared" ca="1" si="547"/>
        <v>36581.522360603885</v>
      </c>
      <c r="AN4085" s="10">
        <f t="shared" ca="1" si="548"/>
        <v>1.1027127516265001</v>
      </c>
      <c r="AO4085" s="158"/>
      <c r="AP4085" s="158"/>
    </row>
    <row r="4086" spans="34:42">
      <c r="AH4086" s="6">
        <f t="shared" si="545"/>
        <v>4056</v>
      </c>
      <c r="AI4086" s="7">
        <f t="shared" ca="1" si="546"/>
        <v>46726</v>
      </c>
      <c r="AJ4086" s="210">
        <f t="shared" ca="1" si="549"/>
        <v>4.1749999999999998</v>
      </c>
      <c r="AK4086" s="8">
        <f t="shared" ca="1" si="551"/>
        <v>1.0001159722222221</v>
      </c>
      <c r="AL4086" s="98">
        <f t="shared" ca="1" si="550"/>
        <v>4.1668690241370099</v>
      </c>
      <c r="AM4086" s="106">
        <f t="shared" ca="1" si="547"/>
        <v>36584.536731792236</v>
      </c>
      <c r="AN4086" s="10">
        <f t="shared" ca="1" si="548"/>
        <v>1.10274479086101</v>
      </c>
      <c r="AO4086" s="158"/>
      <c r="AP4086" s="158"/>
    </row>
    <row r="4087" spans="34:42">
      <c r="AH4087" s="6">
        <f t="shared" ref="AH4087:AH4150" si="552">$AI$29+AH4086</f>
        <v>4057</v>
      </c>
      <c r="AI4087" s="7">
        <f t="shared" ref="AI4087:AI4150" ca="1" si="553">+AH4087+$C$1</f>
        <v>46727</v>
      </c>
      <c r="AJ4087" s="210">
        <f t="shared" ca="1" si="549"/>
        <v>4.1749999999999998</v>
      </c>
      <c r="AK4087" s="8">
        <f t="shared" ca="1" si="551"/>
        <v>1.0001159722222221</v>
      </c>
      <c r="AL4087" s="98">
        <f t="shared" ca="1" si="550"/>
        <v>4.1669076269840843</v>
      </c>
      <c r="AM4087" s="106">
        <f t="shared" ca="1" si="547"/>
        <v>36587.551351369199</v>
      </c>
      <c r="AN4087" s="10">
        <f t="shared" ca="1" si="548"/>
        <v>1.1027768143111238</v>
      </c>
      <c r="AO4087" s="158"/>
      <c r="AP4087" s="158"/>
    </row>
    <row r="4088" spans="34:42">
      <c r="AH4088" s="6">
        <f t="shared" si="552"/>
        <v>4058</v>
      </c>
      <c r="AI4088" s="7">
        <f t="shared" ca="1" si="553"/>
        <v>46728</v>
      </c>
      <c r="AJ4088" s="210">
        <f t="shared" ca="1" si="549"/>
        <v>4.1749999999999998</v>
      </c>
      <c r="AK4088" s="8">
        <f t="shared" ca="1" si="551"/>
        <v>1.0001159722222221</v>
      </c>
      <c r="AL4088" s="98">
        <f t="shared" ca="1" si="550"/>
        <v>4.1669462108199218</v>
      </c>
      <c r="AM4088" s="106">
        <f t="shared" ca="1" si="547"/>
        <v>36590.566219355242</v>
      </c>
      <c r="AN4088" s="10">
        <f t="shared" ca="1" si="548"/>
        <v>1.1028088219885213</v>
      </c>
      <c r="AO4088" s="158"/>
      <c r="AP4088" s="158"/>
    </row>
    <row r="4089" spans="34:42">
      <c r="AH4089" s="6">
        <f t="shared" si="552"/>
        <v>4059</v>
      </c>
      <c r="AI4089" s="7">
        <f t="shared" ca="1" si="553"/>
        <v>46729</v>
      </c>
      <c r="AJ4089" s="210">
        <f t="shared" ca="1" si="549"/>
        <v>4.1749999999999998</v>
      </c>
      <c r="AK4089" s="8">
        <f t="shared" ca="1" si="551"/>
        <v>1.0001159722222221</v>
      </c>
      <c r="AL4089" s="98">
        <f t="shared" ca="1" si="550"/>
        <v>4.1669847756585332</v>
      </c>
      <c r="AM4089" s="106">
        <f t="shared" ca="1" si="547"/>
        <v>36593.581335770839</v>
      </c>
      <c r="AN4089" s="10">
        <f t="shared" ca="1" si="548"/>
        <v>1.1028408139048151</v>
      </c>
      <c r="AO4089" s="158"/>
      <c r="AP4089" s="158"/>
    </row>
    <row r="4090" spans="34:42">
      <c r="AH4090" s="6">
        <f t="shared" si="552"/>
        <v>4060</v>
      </c>
      <c r="AI4090" s="7">
        <f t="shared" ca="1" si="553"/>
        <v>46730</v>
      </c>
      <c r="AJ4090" s="210">
        <f t="shared" ca="1" si="549"/>
        <v>4.1749999999999998</v>
      </c>
      <c r="AK4090" s="8">
        <f t="shared" ca="1" si="551"/>
        <v>1.0001159722222221</v>
      </c>
      <c r="AL4090" s="98">
        <f t="shared" ca="1" si="550"/>
        <v>4.1670233215139518</v>
      </c>
      <c r="AM4090" s="106">
        <f t="shared" ca="1" si="547"/>
        <v>36596.596700636459</v>
      </c>
      <c r="AN4090" s="10">
        <f t="shared" ca="1" si="548"/>
        <v>1.1028727900716406</v>
      </c>
      <c r="AO4090" s="158"/>
      <c r="AP4090" s="158"/>
    </row>
    <row r="4091" spans="34:42">
      <c r="AH4091" s="6">
        <f t="shared" si="552"/>
        <v>4061</v>
      </c>
      <c r="AI4091" s="7">
        <f t="shared" ca="1" si="553"/>
        <v>46731</v>
      </c>
      <c r="AJ4091" s="210">
        <f t="shared" ca="1" si="549"/>
        <v>4.1749999999999998</v>
      </c>
      <c r="AK4091" s="8">
        <f t="shared" ca="1" si="551"/>
        <v>1.0001159722222221</v>
      </c>
      <c r="AL4091" s="98">
        <f t="shared" ca="1" si="550"/>
        <v>4.1670618484001887</v>
      </c>
      <c r="AM4091" s="106">
        <f t="shared" ca="1" si="547"/>
        <v>36599.612313972582</v>
      </c>
      <c r="AN4091" s="10">
        <f t="shared" ca="1" si="548"/>
        <v>1.1029047505006551</v>
      </c>
      <c r="AO4091" s="158"/>
      <c r="AP4091" s="158"/>
    </row>
    <row r="4092" spans="34:42">
      <c r="AH4092" s="6">
        <f t="shared" si="552"/>
        <v>4062</v>
      </c>
      <c r="AI4092" s="7">
        <f t="shared" ca="1" si="553"/>
        <v>46732</v>
      </c>
      <c r="AJ4092" s="210">
        <f t="shared" ca="1" si="549"/>
        <v>4.1749999999999998</v>
      </c>
      <c r="AK4092" s="8">
        <f t="shared" ca="1" si="551"/>
        <v>1.0001159722222221</v>
      </c>
      <c r="AL4092" s="98">
        <f t="shared" ca="1" si="550"/>
        <v>4.1671003563312548</v>
      </c>
      <c r="AM4092" s="106">
        <f t="shared" ca="1" si="547"/>
        <v>36602.628175799662</v>
      </c>
      <c r="AN4092" s="10">
        <f t="shared" ca="1" si="548"/>
        <v>1.1029366952034714</v>
      </c>
      <c r="AO4092" s="158"/>
      <c r="AP4092" s="158"/>
    </row>
    <row r="4093" spans="34:42">
      <c r="AH4093" s="6">
        <f t="shared" si="552"/>
        <v>4063</v>
      </c>
      <c r="AI4093" s="7">
        <f t="shared" ca="1" si="553"/>
        <v>46733</v>
      </c>
      <c r="AJ4093" s="210">
        <f t="shared" ca="1" si="549"/>
        <v>4.1749999999999998</v>
      </c>
      <c r="AK4093" s="8">
        <f t="shared" ca="1" si="551"/>
        <v>1.0001159722222221</v>
      </c>
      <c r="AL4093" s="98">
        <f t="shared" ca="1" si="550"/>
        <v>4.1671388453211167</v>
      </c>
      <c r="AM4093" s="106">
        <f t="shared" ca="1" si="547"/>
        <v>36605.644286138187</v>
      </c>
      <c r="AN4093" s="10">
        <f t="shared" ca="1" si="548"/>
        <v>1.1029686241916803</v>
      </c>
      <c r="AO4093" s="158"/>
      <c r="AP4093" s="158"/>
    </row>
    <row r="4094" spans="34:42">
      <c r="AH4094" s="6">
        <f t="shared" si="552"/>
        <v>4064</v>
      </c>
      <c r="AI4094" s="7">
        <f t="shared" ca="1" si="553"/>
        <v>46734</v>
      </c>
      <c r="AJ4094" s="210">
        <f t="shared" ca="1" si="549"/>
        <v>4.1749999999999998</v>
      </c>
      <c r="AK4094" s="8">
        <f t="shared" ca="1" si="551"/>
        <v>1.0001159722222221</v>
      </c>
      <c r="AL4094" s="98">
        <f t="shared" ca="1" si="550"/>
        <v>4.1671773153837632</v>
      </c>
      <c r="AM4094" s="106">
        <f t="shared" ca="1" si="547"/>
        <v>36608.66064500864</v>
      </c>
      <c r="AN4094" s="10">
        <f t="shared" ca="1" si="548"/>
        <v>1.1030005374768947</v>
      </c>
      <c r="AO4094" s="158"/>
      <c r="AP4094" s="158"/>
    </row>
    <row r="4095" spans="34:42">
      <c r="AH4095" s="6">
        <f t="shared" si="552"/>
        <v>4065</v>
      </c>
      <c r="AI4095" s="7">
        <f t="shared" ca="1" si="553"/>
        <v>46735</v>
      </c>
      <c r="AJ4095" s="210">
        <f t="shared" ca="1" si="549"/>
        <v>4.1749999999999998</v>
      </c>
      <c r="AK4095" s="8">
        <f t="shared" ca="1" si="551"/>
        <v>1.0001159722222221</v>
      </c>
      <c r="AL4095" s="98">
        <f t="shared" ca="1" si="550"/>
        <v>4.1672157665331611</v>
      </c>
      <c r="AM4095" s="106">
        <f t="shared" ca="1" si="547"/>
        <v>36611.677252431502</v>
      </c>
      <c r="AN4095" s="10">
        <f t="shared" ca="1" si="548"/>
        <v>1.1030324350706833</v>
      </c>
      <c r="AO4095" s="158"/>
      <c r="AP4095" s="158"/>
    </row>
    <row r="4096" spans="34:42">
      <c r="AH4096" s="6">
        <f t="shared" si="552"/>
        <v>4066</v>
      </c>
      <c r="AI4096" s="7">
        <f t="shared" ca="1" si="553"/>
        <v>46736</v>
      </c>
      <c r="AJ4096" s="210">
        <f t="shared" ca="1" si="549"/>
        <v>4.1749999999999998</v>
      </c>
      <c r="AK4096" s="8">
        <f t="shared" ca="1" si="551"/>
        <v>1.0001159722222221</v>
      </c>
      <c r="AL4096" s="98">
        <f t="shared" ca="1" si="550"/>
        <v>4.1672541987832323</v>
      </c>
      <c r="AM4096" s="106">
        <f t="shared" ca="1" si="547"/>
        <v>36614.69410842724</v>
      </c>
      <c r="AN4096" s="10">
        <f t="shared" ca="1" si="548"/>
        <v>1.1030643169845922</v>
      </c>
      <c r="AO4096" s="158"/>
      <c r="AP4096" s="158"/>
    </row>
    <row r="4097" spans="34:42">
      <c r="AH4097" s="6">
        <f t="shared" si="552"/>
        <v>4067</v>
      </c>
      <c r="AI4097" s="7">
        <f t="shared" ca="1" si="553"/>
        <v>46737</v>
      </c>
      <c r="AJ4097" s="210">
        <f t="shared" ca="1" si="549"/>
        <v>4.1749999999999998</v>
      </c>
      <c r="AK4097" s="8">
        <f t="shared" ca="1" si="551"/>
        <v>1.0001159722222221</v>
      </c>
      <c r="AL4097" s="98">
        <f t="shared" ca="1" si="550"/>
        <v>4.1672926121479215</v>
      </c>
      <c r="AM4097" s="106">
        <f t="shared" ca="1" si="547"/>
        <v>36617.711213016351</v>
      </c>
      <c r="AN4097" s="10">
        <f t="shared" ca="1" si="548"/>
        <v>1.1030961832302344</v>
      </c>
      <c r="AO4097" s="158"/>
      <c r="AP4097" s="158"/>
    </row>
    <row r="4098" spans="34:42">
      <c r="AH4098" s="6">
        <f t="shared" si="552"/>
        <v>4068</v>
      </c>
      <c r="AI4098" s="7">
        <f t="shared" ca="1" si="553"/>
        <v>46738</v>
      </c>
      <c r="AJ4098" s="210">
        <f t="shared" ca="1" si="549"/>
        <v>4.1749999999999998</v>
      </c>
      <c r="AK4098" s="8">
        <f t="shared" ca="1" si="551"/>
        <v>1.0001159722222221</v>
      </c>
      <c r="AL4098" s="98">
        <f t="shared" ca="1" si="550"/>
        <v>4.1673310066411284</v>
      </c>
      <c r="AM4098" s="106">
        <f t="shared" ca="1" si="547"/>
        <v>36620.728566219303</v>
      </c>
      <c r="AN4098" s="10">
        <f t="shared" ca="1" si="548"/>
        <v>1.1031280338190896</v>
      </c>
      <c r="AO4098" s="158"/>
      <c r="AP4098" s="158"/>
    </row>
    <row r="4099" spans="34:42">
      <c r="AH4099" s="6">
        <f t="shared" si="552"/>
        <v>4069</v>
      </c>
      <c r="AI4099" s="7">
        <f t="shared" ca="1" si="553"/>
        <v>46739</v>
      </c>
      <c r="AJ4099" s="210">
        <f t="shared" ca="1" si="549"/>
        <v>4.1749999999999998</v>
      </c>
      <c r="AK4099" s="8">
        <f t="shared" ca="1" si="551"/>
        <v>1.0001159722222221</v>
      </c>
      <c r="AL4099" s="98">
        <f t="shared" ca="1" si="550"/>
        <v>4.1673693822767754</v>
      </c>
      <c r="AM4099" s="106">
        <f t="shared" ca="1" si="547"/>
        <v>36623.746168056598</v>
      </c>
      <c r="AN4099" s="10">
        <f t="shared" ca="1" si="548"/>
        <v>1.1031598687627708</v>
      </c>
      <c r="AO4099" s="158"/>
      <c r="AP4099" s="158"/>
    </row>
    <row r="4100" spans="34:42">
      <c r="AH4100" s="6">
        <f t="shared" si="552"/>
        <v>4070</v>
      </c>
      <c r="AI4100" s="7">
        <f t="shared" ca="1" si="553"/>
        <v>46740</v>
      </c>
      <c r="AJ4100" s="210">
        <f t="shared" ca="1" si="549"/>
        <v>4.1749999999999998</v>
      </c>
      <c r="AK4100" s="8">
        <f t="shared" ca="1" si="551"/>
        <v>1.0001159722222221</v>
      </c>
      <c r="AL4100" s="98">
        <f t="shared" ca="1" si="550"/>
        <v>4.1674077390687403</v>
      </c>
      <c r="AM4100" s="106">
        <f t="shared" ca="1" si="547"/>
        <v>36626.764018548711</v>
      </c>
      <c r="AN4100" s="10">
        <f t="shared" ca="1" si="548"/>
        <v>1.1031916880727355</v>
      </c>
      <c r="AO4100" s="158"/>
      <c r="AP4100" s="158"/>
    </row>
    <row r="4101" spans="34:42">
      <c r="AH4101" s="6">
        <f t="shared" si="552"/>
        <v>4071</v>
      </c>
      <c r="AI4101" s="7">
        <f t="shared" ca="1" si="553"/>
        <v>46741</v>
      </c>
      <c r="AJ4101" s="210">
        <f t="shared" ca="1" si="549"/>
        <v>4.1749999999999998</v>
      </c>
      <c r="AK4101" s="8">
        <f t="shared" ca="1" si="551"/>
        <v>1.0001159722222221</v>
      </c>
      <c r="AL4101" s="98">
        <f t="shared" ca="1" si="550"/>
        <v>4.1674460770309008</v>
      </c>
      <c r="AM4101" s="106">
        <f t="shared" ca="1" si="547"/>
        <v>36629.782117716153</v>
      </c>
      <c r="AN4101" s="10">
        <f t="shared" ca="1" si="548"/>
        <v>1.1032234917605299</v>
      </c>
      <c r="AO4101" s="158"/>
      <c r="AP4101" s="158"/>
    </row>
    <row r="4102" spans="34:42">
      <c r="AH4102" s="6">
        <f t="shared" si="552"/>
        <v>4072</v>
      </c>
      <c r="AI4102" s="7">
        <f t="shared" ca="1" si="553"/>
        <v>46742</v>
      </c>
      <c r="AJ4102" s="210">
        <f t="shared" ca="1" si="549"/>
        <v>4.1749999999999998</v>
      </c>
      <c r="AK4102" s="8">
        <f t="shared" ca="1" si="551"/>
        <v>1.0001159722222221</v>
      </c>
      <c r="AL4102" s="98">
        <f t="shared" ca="1" si="550"/>
        <v>4.1674843961771124</v>
      </c>
      <c r="AM4102" s="106">
        <f t="shared" ca="1" si="547"/>
        <v>36632.800465579385</v>
      </c>
      <c r="AN4102" s="10">
        <f t="shared" ca="1" si="548"/>
        <v>1.1032552798376338</v>
      </c>
      <c r="AO4102" s="158"/>
      <c r="AP4102" s="158"/>
    </row>
    <row r="4103" spans="34:42">
      <c r="AH4103" s="6">
        <f t="shared" si="552"/>
        <v>4073</v>
      </c>
      <c r="AI4103" s="7">
        <f t="shared" ca="1" si="553"/>
        <v>46743</v>
      </c>
      <c r="AJ4103" s="210">
        <f t="shared" ca="1" si="549"/>
        <v>4.1749999999999998</v>
      </c>
      <c r="AK4103" s="8">
        <f t="shared" ca="1" si="551"/>
        <v>1.0001159722222221</v>
      </c>
      <c r="AL4103" s="98">
        <f t="shared" ca="1" si="550"/>
        <v>4.1675226965212309</v>
      </c>
      <c r="AM4103" s="106">
        <f t="shared" ca="1" si="547"/>
        <v>36635.819062158924</v>
      </c>
      <c r="AN4103" s="10">
        <f t="shared" ca="1" si="548"/>
        <v>1.1032870523155491</v>
      </c>
      <c r="AO4103" s="158"/>
      <c r="AP4103" s="158"/>
    </row>
    <row r="4104" spans="34:42">
      <c r="AH4104" s="6">
        <f t="shared" si="552"/>
        <v>4074</v>
      </c>
      <c r="AI4104" s="7">
        <f t="shared" ca="1" si="553"/>
        <v>46744</v>
      </c>
      <c r="AJ4104" s="210">
        <f t="shared" ca="1" si="549"/>
        <v>4.1749999999999998</v>
      </c>
      <c r="AK4104" s="8">
        <f t="shared" ca="1" si="551"/>
        <v>1.0001159722222221</v>
      </c>
      <c r="AL4104" s="98">
        <f t="shared" ca="1" si="550"/>
        <v>4.1675609780770895</v>
      </c>
      <c r="AM4104" s="106">
        <f t="shared" ca="1" si="547"/>
        <v>36638.837907475252</v>
      </c>
      <c r="AN4104" s="10">
        <f t="shared" ca="1" si="548"/>
        <v>1.1033188092057777</v>
      </c>
      <c r="AO4104" s="158"/>
      <c r="AP4104" s="158"/>
    </row>
    <row r="4105" spans="34:42">
      <c r="AH4105" s="6">
        <f t="shared" si="552"/>
        <v>4075</v>
      </c>
      <c r="AI4105" s="7">
        <f t="shared" ca="1" si="553"/>
        <v>46745</v>
      </c>
      <c r="AJ4105" s="210">
        <f t="shared" ca="1" si="549"/>
        <v>4.1749999999999998</v>
      </c>
      <c r="AK4105" s="8">
        <f t="shared" ca="1" si="551"/>
        <v>1.0001159722222221</v>
      </c>
      <c r="AL4105" s="98">
        <f t="shared" ca="1" si="550"/>
        <v>4.1675992408585216</v>
      </c>
      <c r="AM4105" s="106">
        <f t="shared" ca="1" si="547"/>
        <v>36641.85700154888</v>
      </c>
      <c r="AN4105" s="10">
        <f t="shared" ca="1" si="548"/>
        <v>1.1033505505197549</v>
      </c>
      <c r="AO4105" s="158"/>
      <c r="AP4105" s="158"/>
    </row>
    <row r="4106" spans="34:42">
      <c r="AH4106" s="6">
        <f t="shared" si="552"/>
        <v>4076</v>
      </c>
      <c r="AI4106" s="7">
        <f t="shared" ca="1" si="553"/>
        <v>46746</v>
      </c>
      <c r="AJ4106" s="210">
        <f t="shared" ca="1" si="549"/>
        <v>4.1749999999999998</v>
      </c>
      <c r="AK4106" s="8">
        <f t="shared" ca="1" si="551"/>
        <v>1.0001159722222221</v>
      </c>
      <c r="AL4106" s="98">
        <f t="shared" ca="1" si="550"/>
        <v>4.1676374848793385</v>
      </c>
      <c r="AM4106" s="106">
        <f t="shared" ca="1" si="547"/>
        <v>36644.876344400283</v>
      </c>
      <c r="AN4106" s="10">
        <f t="shared" ca="1" si="548"/>
        <v>1.1033822762689827</v>
      </c>
      <c r="AO4106" s="158"/>
      <c r="AP4106" s="158"/>
    </row>
    <row r="4107" spans="34:42">
      <c r="AH4107" s="6">
        <f t="shared" si="552"/>
        <v>4077</v>
      </c>
      <c r="AI4107" s="7">
        <f t="shared" ca="1" si="553"/>
        <v>46747</v>
      </c>
      <c r="AJ4107" s="210">
        <f t="shared" ca="1" si="549"/>
        <v>4.1749999999999998</v>
      </c>
      <c r="AK4107" s="8">
        <f t="shared" ca="1" si="551"/>
        <v>1.0001159722222221</v>
      </c>
      <c r="AL4107" s="98">
        <f t="shared" ca="1" si="550"/>
        <v>4.1676757101533068</v>
      </c>
      <c r="AM4107" s="106">
        <f t="shared" ca="1" si="547"/>
        <v>36647.895936049979</v>
      </c>
      <c r="AN4107" s="10">
        <f t="shared" ca="1" si="548"/>
        <v>1.1034139864648518</v>
      </c>
      <c r="AO4107" s="158"/>
      <c r="AP4107" s="158"/>
    </row>
    <row r="4108" spans="34:42">
      <c r="AH4108" s="6">
        <f t="shared" si="552"/>
        <v>4078</v>
      </c>
      <c r="AI4108" s="7">
        <f t="shared" ca="1" si="553"/>
        <v>46748</v>
      </c>
      <c r="AJ4108" s="210">
        <f t="shared" ca="1" si="549"/>
        <v>4.1749999999999998</v>
      </c>
      <c r="AK4108" s="8">
        <f t="shared" ca="1" si="551"/>
        <v>1.0001159722222221</v>
      </c>
      <c r="AL4108" s="98">
        <f t="shared" ca="1" si="550"/>
        <v>4.1677139166942156</v>
      </c>
      <c r="AM4108" s="106">
        <f t="shared" ca="1" si="547"/>
        <v>36650.915776518465</v>
      </c>
      <c r="AN4108" s="10">
        <f t="shared" ca="1" si="548"/>
        <v>1.1034456811188198</v>
      </c>
      <c r="AO4108" s="158"/>
      <c r="AP4108" s="158"/>
    </row>
    <row r="4109" spans="34:42">
      <c r="AH4109" s="6">
        <f t="shared" si="552"/>
        <v>4079</v>
      </c>
      <c r="AI4109" s="7">
        <f t="shared" ca="1" si="553"/>
        <v>46749</v>
      </c>
      <c r="AJ4109" s="210">
        <f t="shared" ca="1" si="549"/>
        <v>4.1749999999999998</v>
      </c>
      <c r="AK4109" s="8">
        <f t="shared" ca="1" si="551"/>
        <v>1.0001159722222221</v>
      </c>
      <c r="AL4109" s="98">
        <f t="shared" ca="1" si="550"/>
        <v>4.1677521045158539</v>
      </c>
      <c r="AM4109" s="106">
        <f t="shared" ca="1" si="547"/>
        <v>36653.935865826235</v>
      </c>
      <c r="AN4109" s="10">
        <f t="shared" ca="1" si="548"/>
        <v>1.103477360242322</v>
      </c>
      <c r="AO4109" s="158"/>
      <c r="AP4109" s="158"/>
    </row>
    <row r="4110" spans="34:42">
      <c r="AH4110" s="6">
        <f t="shared" si="552"/>
        <v>4080</v>
      </c>
      <c r="AI4110" s="7">
        <f t="shared" ca="1" si="553"/>
        <v>46750</v>
      </c>
      <c r="AJ4110" s="210">
        <f t="shared" ca="1" si="549"/>
        <v>4.1749999999999998</v>
      </c>
      <c r="AK4110" s="8">
        <f t="shared" ca="1" si="551"/>
        <v>1.0001159722222221</v>
      </c>
      <c r="AL4110" s="98">
        <f t="shared" ca="1" si="550"/>
        <v>4.1677902736319661</v>
      </c>
      <c r="AM4110" s="106">
        <f t="shared" ca="1" si="547"/>
        <v>36656.956203993803</v>
      </c>
      <c r="AN4110" s="10">
        <f t="shared" ca="1" si="548"/>
        <v>1.1035090238467715</v>
      </c>
      <c r="AO4110" s="158"/>
      <c r="AP4110" s="158"/>
    </row>
    <row r="4111" spans="34:42">
      <c r="AH4111" s="6">
        <f t="shared" si="552"/>
        <v>4081</v>
      </c>
      <c r="AI4111" s="7">
        <f t="shared" ca="1" si="553"/>
        <v>46751</v>
      </c>
      <c r="AJ4111" s="210">
        <f t="shared" ca="1" si="549"/>
        <v>4.1749999999999998</v>
      </c>
      <c r="AK4111" s="8">
        <f t="shared" ca="1" si="551"/>
        <v>1.0001159722222221</v>
      </c>
      <c r="AL4111" s="98">
        <f t="shared" ca="1" si="550"/>
        <v>4.1678284240562746</v>
      </c>
      <c r="AM4111" s="106">
        <f t="shared" ca="1" si="547"/>
        <v>36659.976791041678</v>
      </c>
      <c r="AN4111" s="10">
        <f t="shared" ca="1" si="548"/>
        <v>1.1035406719435592</v>
      </c>
      <c r="AO4111" s="158"/>
      <c r="AP4111" s="158"/>
    </row>
    <row r="4112" spans="34:42">
      <c r="AH4112" s="6">
        <f t="shared" si="552"/>
        <v>4082</v>
      </c>
      <c r="AI4112" s="7">
        <f t="shared" ca="1" si="553"/>
        <v>46752</v>
      </c>
      <c r="AJ4112" s="210">
        <f t="shared" ca="1" si="549"/>
        <v>4.1749999999999998</v>
      </c>
      <c r="AK4112" s="8">
        <f t="shared" ca="1" si="551"/>
        <v>1.0001159722222221</v>
      </c>
      <c r="AL4112" s="98">
        <f t="shared" ca="1" si="550"/>
        <v>4.1678665558025241</v>
      </c>
      <c r="AM4112" s="106">
        <f t="shared" ca="1" si="547"/>
        <v>36662.997626990356</v>
      </c>
      <c r="AN4112" s="10">
        <f t="shared" ca="1" si="548"/>
        <v>1.1035723045440538</v>
      </c>
      <c r="AO4112" s="158"/>
      <c r="AP4112" s="158"/>
    </row>
    <row r="4113" spans="34:42">
      <c r="AH4113" s="6">
        <f t="shared" si="552"/>
        <v>4083</v>
      </c>
      <c r="AI4113" s="7">
        <f t="shared" ca="1" si="553"/>
        <v>46753</v>
      </c>
      <c r="AJ4113" s="210">
        <f t="shared" ca="1" si="549"/>
        <v>4.1749999999999998</v>
      </c>
      <c r="AK4113" s="8">
        <f t="shared" ca="1" si="551"/>
        <v>1.0001159722222221</v>
      </c>
      <c r="AL4113" s="98">
        <f t="shared" ca="1" si="550"/>
        <v>4.1679046688844146</v>
      </c>
      <c r="AM4113" s="106">
        <f t="shared" ca="1" si="547"/>
        <v>36666.018711860364</v>
      </c>
      <c r="AN4113" s="10">
        <f t="shared" ca="1" si="548"/>
        <v>1.103603921659646</v>
      </c>
      <c r="AO4113" s="158"/>
      <c r="AP4113" s="158"/>
    </row>
    <row r="4114" spans="34:42">
      <c r="AH4114" s="6">
        <f t="shared" si="552"/>
        <v>4084</v>
      </c>
      <c r="AI4114" s="7">
        <f t="shared" ca="1" si="553"/>
        <v>46754</v>
      </c>
      <c r="AJ4114" s="210">
        <f t="shared" ca="1" si="549"/>
        <v>4.1749999999999998</v>
      </c>
      <c r="AK4114" s="8">
        <f t="shared" ca="1" si="551"/>
        <v>1.0001159722222221</v>
      </c>
      <c r="AL4114" s="98">
        <f t="shared" ca="1" si="550"/>
        <v>4.1679427633156685</v>
      </c>
      <c r="AM4114" s="106">
        <f t="shared" ca="1" si="547"/>
        <v>36669.040045672198</v>
      </c>
      <c r="AN4114" s="10">
        <f t="shared" ca="1" si="548"/>
        <v>1.1036355233017492</v>
      </c>
      <c r="AO4114" s="158"/>
      <c r="AP4114" s="158"/>
    </row>
    <row r="4115" spans="34:42">
      <c r="AH4115" s="6">
        <f t="shared" si="552"/>
        <v>4085</v>
      </c>
      <c r="AI4115" s="7">
        <f t="shared" ca="1" si="553"/>
        <v>46755</v>
      </c>
      <c r="AJ4115" s="210">
        <f t="shared" ca="1" si="549"/>
        <v>4.1749999999999998</v>
      </c>
      <c r="AK4115" s="8">
        <f t="shared" ca="1" si="551"/>
        <v>1.0001159722222221</v>
      </c>
      <c r="AL4115" s="98">
        <f t="shared" ca="1" si="550"/>
        <v>4.1679808391099638</v>
      </c>
      <c r="AM4115" s="106">
        <f t="shared" ca="1" si="547"/>
        <v>36672.061628446383</v>
      </c>
      <c r="AN4115" s="10">
        <f t="shared" ca="1" si="548"/>
        <v>1.1036671094816652</v>
      </c>
      <c r="AO4115" s="158"/>
      <c r="AP4115" s="158"/>
    </row>
    <row r="4116" spans="34:42">
      <c r="AH4116" s="6">
        <f t="shared" si="552"/>
        <v>4086</v>
      </c>
      <c r="AI4116" s="7">
        <f t="shared" ca="1" si="553"/>
        <v>46756</v>
      </c>
      <c r="AJ4116" s="210">
        <f t="shared" ca="1" si="549"/>
        <v>4.1749999999999998</v>
      </c>
      <c r="AK4116" s="8">
        <f t="shared" ca="1" si="551"/>
        <v>1.0001159722222221</v>
      </c>
      <c r="AL4116" s="98">
        <f t="shared" ca="1" si="550"/>
        <v>4.1680188962809561</v>
      </c>
      <c r="AM4116" s="106">
        <f t="shared" ca="1" si="547"/>
        <v>36675.083460203423</v>
      </c>
      <c r="AN4116" s="10">
        <f t="shared" ca="1" si="548"/>
        <v>1.1036986802107629</v>
      </c>
      <c r="AO4116" s="158"/>
      <c r="AP4116" s="158"/>
    </row>
    <row r="4117" spans="34:42">
      <c r="AH4117" s="6">
        <f t="shared" si="552"/>
        <v>4087</v>
      </c>
      <c r="AI4117" s="7">
        <f t="shared" ca="1" si="553"/>
        <v>46757</v>
      </c>
      <c r="AJ4117" s="210">
        <f t="shared" ca="1" si="549"/>
        <v>4.1749999999999998</v>
      </c>
      <c r="AK4117" s="8">
        <f t="shared" ca="1" si="551"/>
        <v>1.0001159722222221</v>
      </c>
      <c r="AL4117" s="98">
        <f t="shared" ca="1" si="550"/>
        <v>4.1680569348423235</v>
      </c>
      <c r="AM4117" s="106">
        <f t="shared" ca="1" si="547"/>
        <v>36678.105540963836</v>
      </c>
      <c r="AN4117" s="10">
        <f t="shared" ca="1" si="548"/>
        <v>1.1037302355003664</v>
      </c>
      <c r="AO4117" s="158"/>
      <c r="AP4117" s="158"/>
    </row>
    <row r="4118" spans="34:42">
      <c r="AH4118" s="6">
        <f t="shared" si="552"/>
        <v>4088</v>
      </c>
      <c r="AI4118" s="7">
        <f t="shared" ca="1" si="553"/>
        <v>46758</v>
      </c>
      <c r="AJ4118" s="210">
        <f t="shared" ca="1" si="549"/>
        <v>4.1749999999999998</v>
      </c>
      <c r="AK4118" s="8">
        <f t="shared" ca="1" si="551"/>
        <v>1.0001159722222221</v>
      </c>
      <c r="AL4118" s="98">
        <f t="shared" ca="1" si="550"/>
        <v>4.1680949548076995</v>
      </c>
      <c r="AM4118" s="106">
        <f t="shared" ca="1" si="547"/>
        <v>36681.127870748147</v>
      </c>
      <c r="AN4118" s="10">
        <f t="shared" ca="1" si="548"/>
        <v>1.1037617753617779</v>
      </c>
      <c r="AO4118" s="158"/>
      <c r="AP4118" s="158"/>
    </row>
    <row r="4119" spans="34:42">
      <c r="AH4119" s="6">
        <f t="shared" si="552"/>
        <v>4089</v>
      </c>
      <c r="AI4119" s="7">
        <f t="shared" ca="1" si="553"/>
        <v>46759</v>
      </c>
      <c r="AJ4119" s="210">
        <f t="shared" ca="1" si="549"/>
        <v>4.1749999999999998</v>
      </c>
      <c r="AK4119" s="8">
        <f t="shared" ca="1" si="551"/>
        <v>1.0001159722222221</v>
      </c>
      <c r="AL4119" s="98">
        <f t="shared" ca="1" si="550"/>
        <v>4.1681329561907399</v>
      </c>
      <c r="AM4119" s="106">
        <f t="shared" ca="1" si="547"/>
        <v>36684.150449576875</v>
      </c>
      <c r="AN4119" s="10">
        <f t="shared" ca="1" si="548"/>
        <v>1.103793299806366</v>
      </c>
      <c r="AO4119" s="158"/>
      <c r="AP4119" s="158"/>
    </row>
    <row r="4120" spans="34:42">
      <c r="AH4120" s="6">
        <f t="shared" si="552"/>
        <v>4090</v>
      </c>
      <c r="AI4120" s="7">
        <f t="shared" ca="1" si="553"/>
        <v>46760</v>
      </c>
      <c r="AJ4120" s="210">
        <f t="shared" ca="1" si="549"/>
        <v>4.1749999999999998</v>
      </c>
      <c r="AK4120" s="8">
        <f t="shared" ca="1" si="551"/>
        <v>1.0001159722222221</v>
      </c>
      <c r="AL4120" s="98">
        <f t="shared" ca="1" si="550"/>
        <v>4.1681709390050337</v>
      </c>
      <c r="AM4120" s="106">
        <f t="shared" ca="1" si="547"/>
        <v>36687.173277470538</v>
      </c>
      <c r="AN4120" s="10">
        <f t="shared" ca="1" si="548"/>
        <v>1.1038248088453884</v>
      </c>
      <c r="AO4120" s="158"/>
      <c r="AP4120" s="158"/>
    </row>
    <row r="4121" spans="34:42">
      <c r="AH4121" s="6">
        <f t="shared" si="552"/>
        <v>4091</v>
      </c>
      <c r="AI4121" s="7">
        <f t="shared" ca="1" si="553"/>
        <v>46761</v>
      </c>
      <c r="AJ4121" s="210">
        <f t="shared" ca="1" si="549"/>
        <v>4.1749999999999998</v>
      </c>
      <c r="AK4121" s="8">
        <f t="shared" ca="1" si="551"/>
        <v>1.0001159722222221</v>
      </c>
      <c r="AL4121" s="98">
        <f t="shared" ca="1" si="550"/>
        <v>4.1682089032642144</v>
      </c>
      <c r="AM4121" s="106">
        <f t="shared" ca="1" si="547"/>
        <v>36690.196354449661</v>
      </c>
      <c r="AN4121" s="10">
        <f t="shared" ca="1" si="548"/>
        <v>1.1038563024901471</v>
      </c>
      <c r="AO4121" s="158"/>
      <c r="AP4121" s="158"/>
    </row>
    <row r="4122" spans="34:42">
      <c r="AH4122" s="6">
        <f t="shared" si="552"/>
        <v>4092</v>
      </c>
      <c r="AI4122" s="7">
        <f t="shared" ca="1" si="553"/>
        <v>46762</v>
      </c>
      <c r="AJ4122" s="210">
        <f t="shared" ca="1" si="549"/>
        <v>4.1749999999999998</v>
      </c>
      <c r="AK4122" s="8">
        <f t="shared" ca="1" si="551"/>
        <v>1.0001159722222221</v>
      </c>
      <c r="AL4122" s="98">
        <f t="shared" ca="1" si="550"/>
        <v>4.1682468489818714</v>
      </c>
      <c r="AM4122" s="106">
        <f t="shared" ca="1" si="547"/>
        <v>36693.219680534763</v>
      </c>
      <c r="AN4122" s="10">
        <f t="shared" ca="1" si="548"/>
        <v>1.1038877807519443</v>
      </c>
      <c r="AO4122" s="158"/>
      <c r="AP4122" s="158"/>
    </row>
    <row r="4123" spans="34:42">
      <c r="AH4123" s="6">
        <f t="shared" si="552"/>
        <v>4093</v>
      </c>
      <c r="AI4123" s="7">
        <f t="shared" ca="1" si="553"/>
        <v>46763</v>
      </c>
      <c r="AJ4123" s="210">
        <f t="shared" ca="1" si="549"/>
        <v>4.1749999999999998</v>
      </c>
      <c r="AK4123" s="8">
        <f t="shared" ca="1" si="551"/>
        <v>1.0001159722222221</v>
      </c>
      <c r="AL4123" s="98">
        <f t="shared" ca="1" si="550"/>
        <v>4.1682847761715713</v>
      </c>
      <c r="AM4123" s="106">
        <f t="shared" ca="1" si="547"/>
        <v>36696.243255746384</v>
      </c>
      <c r="AN4123" s="10">
        <f t="shared" ca="1" si="548"/>
        <v>1.1039192436419931</v>
      </c>
      <c r="AO4123" s="158"/>
      <c r="AP4123" s="158"/>
    </row>
    <row r="4124" spans="34:42">
      <c r="AH4124" s="6">
        <f t="shared" si="552"/>
        <v>4094</v>
      </c>
      <c r="AI4124" s="7">
        <f t="shared" ca="1" si="553"/>
        <v>46764</v>
      </c>
      <c r="AJ4124" s="210">
        <f t="shared" ca="1" si="549"/>
        <v>4.1749999999999998</v>
      </c>
      <c r="AK4124" s="8">
        <f t="shared" ca="1" si="551"/>
        <v>1.0001159722222221</v>
      </c>
      <c r="AL4124" s="98">
        <f t="shared" ca="1" si="550"/>
        <v>4.1683226848468813</v>
      </c>
      <c r="AM4124" s="106">
        <f t="shared" ca="1" si="547"/>
        <v>36699.267080105048</v>
      </c>
      <c r="AN4124" s="10">
        <f t="shared" ca="1" si="548"/>
        <v>1.1039506911715957</v>
      </c>
      <c r="AO4124" s="158"/>
      <c r="AP4124" s="158"/>
    </row>
    <row r="4125" spans="34:42">
      <c r="AH4125" s="6">
        <f t="shared" si="552"/>
        <v>4095</v>
      </c>
      <c r="AI4125" s="7">
        <f t="shared" ca="1" si="553"/>
        <v>46765</v>
      </c>
      <c r="AJ4125" s="210">
        <f t="shared" ca="1" si="549"/>
        <v>4.1749999999999998</v>
      </c>
      <c r="AK4125" s="8">
        <f t="shared" ca="1" si="551"/>
        <v>1.0001159722222221</v>
      </c>
      <c r="AL4125" s="98">
        <f t="shared" ca="1" si="550"/>
        <v>4.1683605750213681</v>
      </c>
      <c r="AM4125" s="106">
        <f t="shared" ca="1" si="547"/>
        <v>36702.291153631268</v>
      </c>
      <c r="AN4125" s="10">
        <f t="shared" ca="1" si="548"/>
        <v>1.1039821233519653</v>
      </c>
      <c r="AO4125" s="158"/>
      <c r="AP4125" s="158"/>
    </row>
    <row r="4126" spans="34:42">
      <c r="AH4126" s="6">
        <f t="shared" si="552"/>
        <v>4096</v>
      </c>
      <c r="AI4126" s="7">
        <f t="shared" ca="1" si="553"/>
        <v>46766</v>
      </c>
      <c r="AJ4126" s="210">
        <f t="shared" ca="1" si="549"/>
        <v>4.1749999999999998</v>
      </c>
      <c r="AK4126" s="8">
        <f t="shared" ca="1" si="551"/>
        <v>1.0001159722222221</v>
      </c>
      <c r="AL4126" s="98">
        <f t="shared" ca="1" si="550"/>
        <v>4.1683984467085544</v>
      </c>
      <c r="AM4126" s="106">
        <f t="shared" ca="1" si="547"/>
        <v>36705.315476345597</v>
      </c>
      <c r="AN4126" s="10">
        <f t="shared" ca="1" si="548"/>
        <v>1.1040135401943818</v>
      </c>
      <c r="AO4126" s="158"/>
      <c r="AP4126" s="158"/>
    </row>
    <row r="4127" spans="34:42">
      <c r="AH4127" s="6">
        <f t="shared" si="552"/>
        <v>4097</v>
      </c>
      <c r="AI4127" s="7">
        <f t="shared" ca="1" si="553"/>
        <v>46767</v>
      </c>
      <c r="AJ4127" s="210">
        <f t="shared" ca="1" si="549"/>
        <v>4.1749999999999998</v>
      </c>
      <c r="AK4127" s="8">
        <f t="shared" ca="1" si="551"/>
        <v>1.0001159722222221</v>
      </c>
      <c r="AL4127" s="98">
        <f t="shared" ca="1" si="550"/>
        <v>4.1684362999219848</v>
      </c>
      <c r="AM4127" s="106">
        <f t="shared" ref="AM4127:AM4190" ca="1" si="554">Geom_Interp(AI4127,$AZ$2:$AZ$109,$BA$2:$BA$109)</f>
        <v>36708.340048268568</v>
      </c>
      <c r="AN4127" s="10">
        <f t="shared" ref="AN4127:AN4190" ca="1" si="555">100*(((1+AL4127/100)^(AH4127/365)*$AM$29/AM4127)^(365/AH4127)-1)</f>
        <v>1.104044941710014</v>
      </c>
      <c r="AO4127" s="158"/>
      <c r="AP4127" s="158"/>
    </row>
    <row r="4128" spans="34:42">
      <c r="AH4128" s="6">
        <f t="shared" si="552"/>
        <v>4098</v>
      </c>
      <c r="AI4128" s="7">
        <f t="shared" ca="1" si="553"/>
        <v>46768</v>
      </c>
      <c r="AJ4128" s="210">
        <f t="shared" ref="AJ4128:AJ4191" ca="1" si="556">IF(AH4128&lt;365,VLOOKUP(LOOKUP(AI4128,$AI$2:$AI$23),$AI$2:$AK$23,3,0),Lin_Interp(AH4128,$AJ$2:$AJ$23,$AK$2:$AK$23))</f>
        <v>4.1749999999999998</v>
      </c>
      <c r="AK4128" s="8">
        <f t="shared" ca="1" si="551"/>
        <v>1.0001159722222221</v>
      </c>
      <c r="AL4128" s="98">
        <f t="shared" ca="1" si="550"/>
        <v>4.1684741346751597</v>
      </c>
      <c r="AM4128" s="106">
        <f t="shared" ca="1" si="554"/>
        <v>36711.3648694207</v>
      </c>
      <c r="AN4128" s="10">
        <f t="shared" ca="1" si="555"/>
        <v>1.1040763279101196</v>
      </c>
      <c r="AO4128" s="158"/>
      <c r="AP4128" s="158"/>
    </row>
    <row r="4129" spans="34:42">
      <c r="AH4129" s="6">
        <f t="shared" si="552"/>
        <v>4099</v>
      </c>
      <c r="AI4129" s="7">
        <f t="shared" ca="1" si="553"/>
        <v>46769</v>
      </c>
      <c r="AJ4129" s="210">
        <f t="shared" ca="1" si="556"/>
        <v>4.1749999999999998</v>
      </c>
      <c r="AK4129" s="8">
        <f t="shared" ca="1" si="551"/>
        <v>1.0001159722222221</v>
      </c>
      <c r="AL4129" s="98">
        <f t="shared" ref="AL4129:AL4192" ca="1" si="557">100*(((1+AL4128/100)^(AH4128/365)*AK4129)^(365/AH4129)-1)</f>
        <v>4.1685119509816015</v>
      </c>
      <c r="AM4129" s="106">
        <f t="shared" ca="1" si="554"/>
        <v>36714.38993982254</v>
      </c>
      <c r="AN4129" s="10">
        <f t="shared" ca="1" si="555"/>
        <v>1.1041076988058895</v>
      </c>
      <c r="AO4129" s="158"/>
      <c r="AP4129" s="158"/>
    </row>
    <row r="4130" spans="34:42">
      <c r="AH4130" s="6">
        <f t="shared" si="552"/>
        <v>4100</v>
      </c>
      <c r="AI4130" s="7">
        <f t="shared" ca="1" si="553"/>
        <v>46770</v>
      </c>
      <c r="AJ4130" s="210">
        <f t="shared" ca="1" si="556"/>
        <v>4.1749999999999998</v>
      </c>
      <c r="AK4130" s="8">
        <f t="shared" ca="1" si="551"/>
        <v>1.0001159722222221</v>
      </c>
      <c r="AL4130" s="98">
        <f t="shared" ca="1" si="557"/>
        <v>4.1685497488547663</v>
      </c>
      <c r="AM4130" s="106">
        <f t="shared" ca="1" si="554"/>
        <v>36717.415259494621</v>
      </c>
      <c r="AN4130" s="10">
        <f t="shared" ca="1" si="555"/>
        <v>1.1041390544084928</v>
      </c>
      <c r="AO4130" s="158"/>
      <c r="AP4130" s="158"/>
    </row>
    <row r="4131" spans="34:42">
      <c r="AH4131" s="6">
        <f t="shared" si="552"/>
        <v>4101</v>
      </c>
      <c r="AI4131" s="7">
        <f t="shared" ca="1" si="553"/>
        <v>46771</v>
      </c>
      <c r="AJ4131" s="210">
        <f t="shared" ca="1" si="556"/>
        <v>4.1749999999999998</v>
      </c>
      <c r="AK4131" s="8">
        <f t="shared" ca="1" si="551"/>
        <v>1.0001159722222221</v>
      </c>
      <c r="AL4131" s="98">
        <f t="shared" ca="1" si="557"/>
        <v>4.1685875283081542</v>
      </c>
      <c r="AM4131" s="106">
        <f t="shared" ca="1" si="554"/>
        <v>36720.440828457497</v>
      </c>
      <c r="AN4131" s="10">
        <f t="shared" ca="1" si="555"/>
        <v>1.1041703947291426</v>
      </c>
      <c r="AO4131" s="158"/>
      <c r="AP4131" s="158"/>
    </row>
    <row r="4132" spans="34:42">
      <c r="AH4132" s="6">
        <f t="shared" si="552"/>
        <v>4102</v>
      </c>
      <c r="AI4132" s="7">
        <f t="shared" ca="1" si="553"/>
        <v>46772</v>
      </c>
      <c r="AJ4132" s="210">
        <f t="shared" ca="1" si="556"/>
        <v>4.1749999999999998</v>
      </c>
      <c r="AK4132" s="8">
        <f t="shared" ref="AK4132:AK4195" ca="1" si="558">+(1+AJ4132/36000)</f>
        <v>1.0001159722222221</v>
      </c>
      <c r="AL4132" s="98">
        <f t="shared" ca="1" si="557"/>
        <v>4.1686252893552211</v>
      </c>
      <c r="AM4132" s="106">
        <f t="shared" ca="1" si="554"/>
        <v>36723.4666467317</v>
      </c>
      <c r="AN4132" s="10">
        <f t="shared" ca="1" si="555"/>
        <v>1.1042017197789855</v>
      </c>
      <c r="AO4132" s="158"/>
      <c r="AP4132" s="158"/>
    </row>
    <row r="4133" spans="34:42">
      <c r="AH4133" s="6">
        <f t="shared" si="552"/>
        <v>4103</v>
      </c>
      <c r="AI4133" s="7">
        <f t="shared" ca="1" si="553"/>
        <v>46773</v>
      </c>
      <c r="AJ4133" s="210">
        <f t="shared" ca="1" si="556"/>
        <v>4.1749999999999998</v>
      </c>
      <c r="AK4133" s="8">
        <f t="shared" ca="1" si="558"/>
        <v>1.0001159722222221</v>
      </c>
      <c r="AL4133" s="98">
        <f t="shared" ca="1" si="557"/>
        <v>4.1686630320094009</v>
      </c>
      <c r="AM4133" s="106">
        <f t="shared" ca="1" si="554"/>
        <v>36726.492714337764</v>
      </c>
      <c r="AN4133" s="10">
        <f t="shared" ca="1" si="555"/>
        <v>1.1042330295691904</v>
      </c>
      <c r="AO4133" s="158"/>
      <c r="AP4133" s="158"/>
    </row>
    <row r="4134" spans="34:42">
      <c r="AH4134" s="6">
        <f t="shared" si="552"/>
        <v>4104</v>
      </c>
      <c r="AI4134" s="7">
        <f t="shared" ca="1" si="553"/>
        <v>46774</v>
      </c>
      <c r="AJ4134" s="210">
        <f t="shared" ca="1" si="556"/>
        <v>4.1749999999999998</v>
      </c>
      <c r="AK4134" s="8">
        <f t="shared" ca="1" si="558"/>
        <v>1.0001159722222221</v>
      </c>
      <c r="AL4134" s="98">
        <f t="shared" ca="1" si="557"/>
        <v>4.1687007562841494</v>
      </c>
      <c r="AM4134" s="106">
        <f t="shared" ca="1" si="554"/>
        <v>36729.519031296259</v>
      </c>
      <c r="AN4134" s="10">
        <f t="shared" ca="1" si="555"/>
        <v>1.104264324110904</v>
      </c>
      <c r="AO4134" s="158"/>
      <c r="AP4134" s="158"/>
    </row>
    <row r="4135" spans="34:42">
      <c r="AH4135" s="6">
        <f t="shared" si="552"/>
        <v>4105</v>
      </c>
      <c r="AI4135" s="7">
        <f t="shared" ca="1" si="553"/>
        <v>46775</v>
      </c>
      <c r="AJ4135" s="210">
        <f t="shared" ca="1" si="556"/>
        <v>4.1749999999999998</v>
      </c>
      <c r="AK4135" s="8">
        <f t="shared" ca="1" si="558"/>
        <v>1.0001159722222221</v>
      </c>
      <c r="AL4135" s="98">
        <f t="shared" ca="1" si="557"/>
        <v>4.168738462192878</v>
      </c>
      <c r="AM4135" s="106">
        <f t="shared" ca="1" si="554"/>
        <v>36732.545597627708</v>
      </c>
      <c r="AN4135" s="10">
        <f t="shared" ca="1" si="555"/>
        <v>1.1042956034152507</v>
      </c>
      <c r="AO4135" s="158"/>
      <c r="AP4135" s="158"/>
    </row>
    <row r="4136" spans="34:42">
      <c r="AH4136" s="6">
        <f t="shared" si="552"/>
        <v>4106</v>
      </c>
      <c r="AI4136" s="7">
        <f t="shared" ca="1" si="553"/>
        <v>46776</v>
      </c>
      <c r="AJ4136" s="210">
        <f t="shared" ca="1" si="556"/>
        <v>4.1749999999999998</v>
      </c>
      <c r="AK4136" s="8">
        <f t="shared" ca="1" si="558"/>
        <v>1.0001159722222221</v>
      </c>
      <c r="AL4136" s="98">
        <f t="shared" ca="1" si="557"/>
        <v>4.1687761497489983</v>
      </c>
      <c r="AM4136" s="106">
        <f t="shared" ca="1" si="554"/>
        <v>36735.572413352675</v>
      </c>
      <c r="AN4136" s="10">
        <f t="shared" ca="1" si="555"/>
        <v>1.1043268674933771</v>
      </c>
      <c r="AO4136" s="158"/>
      <c r="AP4136" s="158"/>
    </row>
    <row r="4137" spans="34:42">
      <c r="AH4137" s="6">
        <f t="shared" si="552"/>
        <v>4107</v>
      </c>
      <c r="AI4137" s="7">
        <f t="shared" ca="1" si="553"/>
        <v>46777</v>
      </c>
      <c r="AJ4137" s="210">
        <f t="shared" ca="1" si="556"/>
        <v>4.1749999999999998</v>
      </c>
      <c r="AK4137" s="8">
        <f t="shared" ca="1" si="558"/>
        <v>1.0001159722222221</v>
      </c>
      <c r="AL4137" s="98">
        <f t="shared" ca="1" si="557"/>
        <v>4.1688138189658996</v>
      </c>
      <c r="AM4137" s="106">
        <f t="shared" ca="1" si="554"/>
        <v>36738.599478491698</v>
      </c>
      <c r="AN4137" s="10">
        <f t="shared" ca="1" si="555"/>
        <v>1.1043581163563854</v>
      </c>
      <c r="AO4137" s="158"/>
      <c r="AP4137" s="158"/>
    </row>
    <row r="4138" spans="34:42">
      <c r="AH4138" s="6">
        <f t="shared" si="552"/>
        <v>4108</v>
      </c>
      <c r="AI4138" s="7">
        <f t="shared" ca="1" si="553"/>
        <v>46778</v>
      </c>
      <c r="AJ4138" s="210">
        <f t="shared" ca="1" si="556"/>
        <v>4.1749999999999998</v>
      </c>
      <c r="AK4138" s="8">
        <f t="shared" ca="1" si="558"/>
        <v>1.0001159722222221</v>
      </c>
      <c r="AL4138" s="98">
        <f t="shared" ca="1" si="557"/>
        <v>4.1688514698569712</v>
      </c>
      <c r="AM4138" s="106">
        <f t="shared" ca="1" si="554"/>
        <v>36741.626793065341</v>
      </c>
      <c r="AN4138" s="10">
        <f t="shared" ca="1" si="555"/>
        <v>1.1043893500154001</v>
      </c>
      <c r="AO4138" s="158"/>
      <c r="AP4138" s="158"/>
    </row>
    <row r="4139" spans="34:42">
      <c r="AH4139" s="6">
        <f t="shared" si="552"/>
        <v>4109</v>
      </c>
      <c r="AI4139" s="7">
        <f t="shared" ca="1" si="553"/>
        <v>46779</v>
      </c>
      <c r="AJ4139" s="210">
        <f t="shared" ca="1" si="556"/>
        <v>4.1749999999999998</v>
      </c>
      <c r="AK4139" s="8">
        <f t="shared" ca="1" si="558"/>
        <v>1.0001159722222221</v>
      </c>
      <c r="AL4139" s="98">
        <f t="shared" ca="1" si="557"/>
        <v>4.1688891024355801</v>
      </c>
      <c r="AM4139" s="106">
        <f t="shared" ca="1" si="554"/>
        <v>36744.65435709415</v>
      </c>
      <c r="AN4139" s="10">
        <f t="shared" ca="1" si="555"/>
        <v>1.104420568481479</v>
      </c>
      <c r="AO4139" s="158"/>
      <c r="AP4139" s="158"/>
    </row>
    <row r="4140" spans="34:42">
      <c r="AH4140" s="6">
        <f t="shared" si="552"/>
        <v>4110</v>
      </c>
      <c r="AI4140" s="7">
        <f t="shared" ca="1" si="553"/>
        <v>46780</v>
      </c>
      <c r="AJ4140" s="210">
        <f t="shared" ca="1" si="556"/>
        <v>4.1749999999999998</v>
      </c>
      <c r="AK4140" s="8">
        <f t="shared" ca="1" si="558"/>
        <v>1.0001159722222221</v>
      </c>
      <c r="AL4140" s="98">
        <f t="shared" ca="1" si="557"/>
        <v>4.1689267167150712</v>
      </c>
      <c r="AM4140" s="106">
        <f t="shared" ca="1" si="554"/>
        <v>36747.682170598688</v>
      </c>
      <c r="AN4140" s="10">
        <f t="shared" ca="1" si="555"/>
        <v>1.1044517717657021</v>
      </c>
      <c r="AO4140" s="158"/>
      <c r="AP4140" s="158"/>
    </row>
    <row r="4141" spans="34:42">
      <c r="AH4141" s="6">
        <f t="shared" si="552"/>
        <v>4111</v>
      </c>
      <c r="AI4141" s="7">
        <f t="shared" ca="1" si="553"/>
        <v>46781</v>
      </c>
      <c r="AJ4141" s="210">
        <f t="shared" ca="1" si="556"/>
        <v>4.1749999999999998</v>
      </c>
      <c r="AK4141" s="8">
        <f t="shared" ca="1" si="558"/>
        <v>1.0001159722222221</v>
      </c>
      <c r="AL4141" s="98">
        <f t="shared" ca="1" si="557"/>
        <v>4.1689643127088116</v>
      </c>
      <c r="AM4141" s="106">
        <f t="shared" ca="1" si="554"/>
        <v>36750.710233599508</v>
      </c>
      <c r="AN4141" s="10">
        <f t="shared" ca="1" si="555"/>
        <v>1.1044829598791717</v>
      </c>
      <c r="AO4141" s="158"/>
      <c r="AP4141" s="158"/>
    </row>
    <row r="4142" spans="34:42">
      <c r="AH4142" s="6">
        <f t="shared" si="552"/>
        <v>4112</v>
      </c>
      <c r="AI4142" s="7">
        <f t="shared" ca="1" si="553"/>
        <v>46782</v>
      </c>
      <c r="AJ4142" s="210">
        <f t="shared" ca="1" si="556"/>
        <v>4.1749999999999998</v>
      </c>
      <c r="AK4142" s="8">
        <f t="shared" ca="1" si="558"/>
        <v>1.0001159722222221</v>
      </c>
      <c r="AL4142" s="98">
        <f t="shared" ca="1" si="557"/>
        <v>4.169001890430124</v>
      </c>
      <c r="AM4142" s="106">
        <f t="shared" ca="1" si="554"/>
        <v>36753.738546117165</v>
      </c>
      <c r="AN4142" s="10">
        <f t="shared" ca="1" si="555"/>
        <v>1.1045141328329677</v>
      </c>
      <c r="AO4142" s="158"/>
      <c r="AP4142" s="158"/>
    </row>
    <row r="4143" spans="34:42">
      <c r="AH4143" s="6">
        <f t="shared" si="552"/>
        <v>4113</v>
      </c>
      <c r="AI4143" s="7">
        <f t="shared" ca="1" si="553"/>
        <v>46783</v>
      </c>
      <c r="AJ4143" s="210">
        <f t="shared" ca="1" si="556"/>
        <v>4.1749999999999998</v>
      </c>
      <c r="AK4143" s="8">
        <f t="shared" ca="1" si="558"/>
        <v>1.0001159722222221</v>
      </c>
      <c r="AL4143" s="98">
        <f t="shared" ca="1" si="557"/>
        <v>4.1690394498923311</v>
      </c>
      <c r="AM4143" s="106">
        <f t="shared" ca="1" si="554"/>
        <v>36756.767108172222</v>
      </c>
      <c r="AN4143" s="10">
        <f t="shared" ca="1" si="555"/>
        <v>1.1045452906380815</v>
      </c>
      <c r="AO4143" s="158"/>
      <c r="AP4143" s="158"/>
    </row>
    <row r="4144" spans="34:42">
      <c r="AH4144" s="6">
        <f t="shared" si="552"/>
        <v>4114</v>
      </c>
      <c r="AI4144" s="7">
        <f t="shared" ca="1" si="553"/>
        <v>46784</v>
      </c>
      <c r="AJ4144" s="210">
        <f t="shared" ca="1" si="556"/>
        <v>4.1749999999999998</v>
      </c>
      <c r="AK4144" s="8">
        <f t="shared" ca="1" si="558"/>
        <v>1.0001159722222221</v>
      </c>
      <c r="AL4144" s="98">
        <f t="shared" ca="1" si="557"/>
        <v>4.1690769911087333</v>
      </c>
      <c r="AM4144" s="106">
        <f t="shared" ca="1" si="554"/>
        <v>36759.795919785232</v>
      </c>
      <c r="AN4144" s="10">
        <f t="shared" ca="1" si="555"/>
        <v>1.1045764333056152</v>
      </c>
      <c r="AO4144" s="158"/>
      <c r="AP4144" s="158"/>
    </row>
    <row r="4145" spans="34:42">
      <c r="AH4145" s="6">
        <f t="shared" si="552"/>
        <v>4115</v>
      </c>
      <c r="AI4145" s="7">
        <f t="shared" ca="1" si="553"/>
        <v>46785</v>
      </c>
      <c r="AJ4145" s="210">
        <f t="shared" ca="1" si="556"/>
        <v>4.1749999999999998</v>
      </c>
      <c r="AK4145" s="8">
        <f t="shared" ca="1" si="558"/>
        <v>1.0001159722222221</v>
      </c>
      <c r="AL4145" s="98">
        <f t="shared" ca="1" si="557"/>
        <v>4.1691145140926089</v>
      </c>
      <c r="AM4145" s="106">
        <f t="shared" ca="1" si="554"/>
        <v>36762.82498097678</v>
      </c>
      <c r="AN4145" s="10">
        <f t="shared" ca="1" si="555"/>
        <v>1.1046075608465378</v>
      </c>
      <c r="AO4145" s="158"/>
      <c r="AP4145" s="158"/>
    </row>
    <row r="4146" spans="34:42">
      <c r="AH4146" s="6">
        <f t="shared" si="552"/>
        <v>4116</v>
      </c>
      <c r="AI4146" s="7">
        <f t="shared" ca="1" si="553"/>
        <v>46786</v>
      </c>
      <c r="AJ4146" s="210">
        <f t="shared" ca="1" si="556"/>
        <v>4.1749999999999998</v>
      </c>
      <c r="AK4146" s="8">
        <f t="shared" ca="1" si="558"/>
        <v>1.0001159722222221</v>
      </c>
      <c r="AL4146" s="98">
        <f t="shared" ca="1" si="557"/>
        <v>4.1691520188572584</v>
      </c>
      <c r="AM4146" s="106">
        <f t="shared" ca="1" si="554"/>
        <v>36765.85429176742</v>
      </c>
      <c r="AN4146" s="10">
        <f t="shared" ca="1" si="555"/>
        <v>1.1046386732719293</v>
      </c>
      <c r="AO4146" s="158"/>
      <c r="AP4146" s="158"/>
    </row>
    <row r="4147" spans="34:42">
      <c r="AH4147" s="6">
        <f t="shared" si="552"/>
        <v>4117</v>
      </c>
      <c r="AI4147" s="7">
        <f t="shared" ca="1" si="553"/>
        <v>46787</v>
      </c>
      <c r="AJ4147" s="210">
        <f t="shared" ca="1" si="556"/>
        <v>4.1749999999999998</v>
      </c>
      <c r="AK4147" s="8">
        <f t="shared" ca="1" si="558"/>
        <v>1.0001159722222221</v>
      </c>
      <c r="AL4147" s="98">
        <f t="shared" ca="1" si="557"/>
        <v>4.1691895054159378</v>
      </c>
      <c r="AM4147" s="106">
        <f t="shared" ca="1" si="554"/>
        <v>36768.883852177722</v>
      </c>
      <c r="AN4147" s="10">
        <f t="shared" ca="1" si="555"/>
        <v>1.1046697705927366</v>
      </c>
      <c r="AO4147" s="158"/>
      <c r="AP4147" s="158"/>
    </row>
    <row r="4148" spans="34:42">
      <c r="AH4148" s="6">
        <f t="shared" si="552"/>
        <v>4118</v>
      </c>
      <c r="AI4148" s="7">
        <f t="shared" ca="1" si="553"/>
        <v>46788</v>
      </c>
      <c r="AJ4148" s="210">
        <f t="shared" ca="1" si="556"/>
        <v>4.1749999999999998</v>
      </c>
      <c r="AK4148" s="8">
        <f t="shared" ca="1" si="558"/>
        <v>1.0001159722222221</v>
      </c>
      <c r="AL4148" s="98">
        <f t="shared" ca="1" si="557"/>
        <v>4.169226973781881</v>
      </c>
      <c r="AM4148" s="106">
        <f t="shared" ca="1" si="554"/>
        <v>36771.913662228246</v>
      </c>
      <c r="AN4148" s="10">
        <f t="shared" ca="1" si="555"/>
        <v>1.1047008528199731</v>
      </c>
      <c r="AO4148" s="158"/>
      <c r="AP4148" s="158"/>
    </row>
    <row r="4149" spans="34:42">
      <c r="AH4149" s="6">
        <f t="shared" si="552"/>
        <v>4119</v>
      </c>
      <c r="AI4149" s="7">
        <f t="shared" ca="1" si="553"/>
        <v>46789</v>
      </c>
      <c r="AJ4149" s="210">
        <f t="shared" ca="1" si="556"/>
        <v>4.1749999999999998</v>
      </c>
      <c r="AK4149" s="8">
        <f t="shared" ca="1" si="558"/>
        <v>1.0001159722222221</v>
      </c>
      <c r="AL4149" s="98">
        <f t="shared" ca="1" si="557"/>
        <v>4.1692644239683663</v>
      </c>
      <c r="AM4149" s="106">
        <f t="shared" ca="1" si="554"/>
        <v>36774.943721939577</v>
      </c>
      <c r="AN4149" s="10">
        <f t="shared" ca="1" si="555"/>
        <v>1.1047319199646521</v>
      </c>
      <c r="AO4149" s="158"/>
      <c r="AP4149" s="158"/>
    </row>
    <row r="4150" spans="34:42">
      <c r="AH4150" s="6">
        <f t="shared" si="552"/>
        <v>4120</v>
      </c>
      <c r="AI4150" s="7">
        <f t="shared" ca="1" si="553"/>
        <v>46790</v>
      </c>
      <c r="AJ4150" s="210">
        <f t="shared" ca="1" si="556"/>
        <v>4.1749999999999998</v>
      </c>
      <c r="AK4150" s="8">
        <f t="shared" ca="1" si="558"/>
        <v>1.0001159722222221</v>
      </c>
      <c r="AL4150" s="98">
        <f t="shared" ca="1" si="557"/>
        <v>4.1693018559886053</v>
      </c>
      <c r="AM4150" s="106">
        <f t="shared" ca="1" si="554"/>
        <v>36777.974031332276</v>
      </c>
      <c r="AN4150" s="10">
        <f t="shared" ca="1" si="555"/>
        <v>1.1047629720377428</v>
      </c>
      <c r="AO4150" s="158"/>
      <c r="AP4150" s="158"/>
    </row>
    <row r="4151" spans="34:42">
      <c r="AH4151" s="6">
        <f t="shared" ref="AH4151:AH4214" si="559">$AI$29+AH4150</f>
        <v>4121</v>
      </c>
      <c r="AI4151" s="7">
        <f t="shared" ref="AI4151:AI4214" ca="1" si="560">+AH4151+$C$1</f>
        <v>46791</v>
      </c>
      <c r="AJ4151" s="210">
        <f t="shared" ca="1" si="556"/>
        <v>4.1749999999999998</v>
      </c>
      <c r="AK4151" s="8">
        <f t="shared" ca="1" si="558"/>
        <v>1.0001159722222221</v>
      </c>
      <c r="AL4151" s="98">
        <f t="shared" ca="1" si="557"/>
        <v>4.1693392698558096</v>
      </c>
      <c r="AM4151" s="106">
        <f t="shared" ca="1" si="554"/>
        <v>36781.004590426921</v>
      </c>
      <c r="AN4151" s="10">
        <f t="shared" ca="1" si="555"/>
        <v>1.1047940090501696</v>
      </c>
      <c r="AO4151" s="158"/>
      <c r="AP4151" s="158"/>
    </row>
    <row r="4152" spans="34:42">
      <c r="AH4152" s="6">
        <f t="shared" si="559"/>
        <v>4122</v>
      </c>
      <c r="AI4152" s="7">
        <f t="shared" ca="1" si="560"/>
        <v>46792</v>
      </c>
      <c r="AJ4152" s="210">
        <f t="shared" ca="1" si="556"/>
        <v>4.1749999999999998</v>
      </c>
      <c r="AK4152" s="8">
        <f t="shared" ca="1" si="558"/>
        <v>1.0001159722222221</v>
      </c>
      <c r="AL4152" s="98">
        <f t="shared" ca="1" si="557"/>
        <v>4.1693766655831688</v>
      </c>
      <c r="AM4152" s="106">
        <f t="shared" ca="1" si="554"/>
        <v>36784.035399244094</v>
      </c>
      <c r="AN4152" s="10">
        <f t="shared" ca="1" si="555"/>
        <v>1.1048250310129237</v>
      </c>
      <c r="AO4152" s="158"/>
      <c r="AP4152" s="158"/>
    </row>
    <row r="4153" spans="34:42">
      <c r="AH4153" s="6">
        <f t="shared" si="559"/>
        <v>4123</v>
      </c>
      <c r="AI4153" s="7">
        <f t="shared" ca="1" si="560"/>
        <v>46793</v>
      </c>
      <c r="AJ4153" s="210">
        <f t="shared" ca="1" si="556"/>
        <v>4.1749999999999998</v>
      </c>
      <c r="AK4153" s="8">
        <f t="shared" ca="1" si="558"/>
        <v>1.0001159722222221</v>
      </c>
      <c r="AL4153" s="98">
        <f t="shared" ca="1" si="557"/>
        <v>4.1694140431838944</v>
      </c>
      <c r="AM4153" s="106">
        <f t="shared" ca="1" si="554"/>
        <v>36787.066457804358</v>
      </c>
      <c r="AN4153" s="10">
        <f t="shared" ca="1" si="555"/>
        <v>1.1048560379369521</v>
      </c>
      <c r="AO4153" s="158"/>
      <c r="AP4153" s="158"/>
    </row>
    <row r="4154" spans="34:42">
      <c r="AH4154" s="6">
        <f t="shared" si="559"/>
        <v>4124</v>
      </c>
      <c r="AI4154" s="7">
        <f t="shared" ca="1" si="560"/>
        <v>46794</v>
      </c>
      <c r="AJ4154" s="210">
        <f t="shared" ca="1" si="556"/>
        <v>4.1749999999999998</v>
      </c>
      <c r="AK4154" s="8">
        <f t="shared" ca="1" si="558"/>
        <v>1.0001159722222221</v>
      </c>
      <c r="AL4154" s="98">
        <f t="shared" ca="1" si="557"/>
        <v>4.1694514026711538</v>
      </c>
      <c r="AM4154" s="106">
        <f t="shared" ca="1" si="554"/>
        <v>36790.097766128296</v>
      </c>
      <c r="AN4154" s="10">
        <f t="shared" ca="1" si="555"/>
        <v>1.1048870298331792</v>
      </c>
      <c r="AO4154" s="158"/>
      <c r="AP4154" s="158"/>
    </row>
    <row r="4155" spans="34:42">
      <c r="AH4155" s="6">
        <f t="shared" si="559"/>
        <v>4125</v>
      </c>
      <c r="AI4155" s="7">
        <f t="shared" ca="1" si="560"/>
        <v>46795</v>
      </c>
      <c r="AJ4155" s="210">
        <f t="shared" ca="1" si="556"/>
        <v>4.1749999999999998</v>
      </c>
      <c r="AK4155" s="8">
        <f t="shared" ca="1" si="558"/>
        <v>1.0001159722222221</v>
      </c>
      <c r="AL4155" s="98">
        <f t="shared" ca="1" si="557"/>
        <v>4.1694887440581141</v>
      </c>
      <c r="AM4155" s="106">
        <f t="shared" ca="1" si="554"/>
        <v>36793.129324236506</v>
      </c>
      <c r="AN4155" s="10">
        <f t="shared" ca="1" si="555"/>
        <v>1.1049180067125297</v>
      </c>
      <c r="AO4155" s="158"/>
      <c r="AP4155" s="158"/>
    </row>
    <row r="4156" spans="34:42">
      <c r="AH4156" s="6">
        <f t="shared" si="559"/>
        <v>4126</v>
      </c>
      <c r="AI4156" s="7">
        <f t="shared" ca="1" si="560"/>
        <v>46796</v>
      </c>
      <c r="AJ4156" s="210">
        <f t="shared" ca="1" si="556"/>
        <v>4.1749999999999998</v>
      </c>
      <c r="AK4156" s="8">
        <f t="shared" ca="1" si="558"/>
        <v>1.0001159722222221</v>
      </c>
      <c r="AL4156" s="98">
        <f t="shared" ca="1" si="557"/>
        <v>4.1695260673579204</v>
      </c>
      <c r="AM4156" s="106">
        <f t="shared" ca="1" si="554"/>
        <v>36796.161132149551</v>
      </c>
      <c r="AN4156" s="10">
        <f t="shared" ca="1" si="555"/>
        <v>1.104948968585906</v>
      </c>
      <c r="AO4156" s="158"/>
      <c r="AP4156" s="158"/>
    </row>
    <row r="4157" spans="34:42">
      <c r="AH4157" s="6">
        <f t="shared" si="559"/>
        <v>4127</v>
      </c>
      <c r="AI4157" s="7">
        <f t="shared" ca="1" si="560"/>
        <v>46797</v>
      </c>
      <c r="AJ4157" s="210">
        <f t="shared" ca="1" si="556"/>
        <v>4.1749999999999998</v>
      </c>
      <c r="AK4157" s="8">
        <f t="shared" ca="1" si="558"/>
        <v>1.0001159722222221</v>
      </c>
      <c r="AL4157" s="98">
        <f t="shared" ca="1" si="557"/>
        <v>4.1695633725837178</v>
      </c>
      <c r="AM4157" s="106">
        <f t="shared" ca="1" si="554"/>
        <v>36799.193189888028</v>
      </c>
      <c r="AN4157" s="10">
        <f t="shared" ca="1" si="555"/>
        <v>1.1049799154642104</v>
      </c>
      <c r="AO4157" s="158"/>
      <c r="AP4157" s="158"/>
    </row>
    <row r="4158" spans="34:42">
      <c r="AH4158" s="6">
        <f t="shared" si="559"/>
        <v>4128</v>
      </c>
      <c r="AI4158" s="7">
        <f t="shared" ca="1" si="560"/>
        <v>46798</v>
      </c>
      <c r="AJ4158" s="210">
        <f t="shared" ca="1" si="556"/>
        <v>4.1749999999999998</v>
      </c>
      <c r="AK4158" s="8">
        <f t="shared" ca="1" si="558"/>
        <v>1.0001159722222221</v>
      </c>
      <c r="AL4158" s="98">
        <f t="shared" ca="1" si="557"/>
        <v>4.169600659748629</v>
      </c>
      <c r="AM4158" s="106">
        <f t="shared" ca="1" si="554"/>
        <v>36802.225497472515</v>
      </c>
      <c r="AN4158" s="10">
        <f t="shared" ca="1" si="555"/>
        <v>1.1050108473583231</v>
      </c>
      <c r="AO4158" s="158"/>
      <c r="AP4158" s="158"/>
    </row>
    <row r="4159" spans="34:42">
      <c r="AH4159" s="6">
        <f t="shared" si="559"/>
        <v>4129</v>
      </c>
      <c r="AI4159" s="7">
        <f t="shared" ca="1" si="560"/>
        <v>46799</v>
      </c>
      <c r="AJ4159" s="210">
        <f t="shared" ca="1" si="556"/>
        <v>4.1749999999999998</v>
      </c>
      <c r="AK4159" s="8">
        <f t="shared" ca="1" si="558"/>
        <v>1.0001159722222221</v>
      </c>
      <c r="AL4159" s="98">
        <f t="shared" ca="1" si="557"/>
        <v>4.1696379288657548</v>
      </c>
      <c r="AM4159" s="106">
        <f t="shared" ca="1" si="554"/>
        <v>36805.258054923601</v>
      </c>
      <c r="AN4159" s="10">
        <f t="shared" ca="1" si="555"/>
        <v>1.1050417642791466</v>
      </c>
      <c r="AO4159" s="158"/>
      <c r="AP4159" s="158"/>
    </row>
    <row r="4160" spans="34:42">
      <c r="AH4160" s="6">
        <f t="shared" si="559"/>
        <v>4130</v>
      </c>
      <c r="AI4160" s="7">
        <f t="shared" ca="1" si="560"/>
        <v>46800</v>
      </c>
      <c r="AJ4160" s="210">
        <f t="shared" ca="1" si="556"/>
        <v>4.1749999999999998</v>
      </c>
      <c r="AK4160" s="8">
        <f t="shared" ca="1" si="558"/>
        <v>1.0001159722222221</v>
      </c>
      <c r="AL4160" s="98">
        <f t="shared" ca="1" si="557"/>
        <v>4.1696751799482179</v>
      </c>
      <c r="AM4160" s="106">
        <f t="shared" ca="1" si="554"/>
        <v>36808.290862261878</v>
      </c>
      <c r="AN4160" s="10">
        <f t="shared" ca="1" si="555"/>
        <v>1.105072666237561</v>
      </c>
      <c r="AO4160" s="158"/>
      <c r="AP4160" s="158"/>
    </row>
    <row r="4161" spans="34:42">
      <c r="AH4161" s="6">
        <f t="shared" si="559"/>
        <v>4131</v>
      </c>
      <c r="AI4161" s="7">
        <f t="shared" ca="1" si="560"/>
        <v>46801</v>
      </c>
      <c r="AJ4161" s="210">
        <f t="shared" ca="1" si="556"/>
        <v>4.1749999999999998</v>
      </c>
      <c r="AK4161" s="8">
        <f t="shared" ca="1" si="558"/>
        <v>1.0001159722222221</v>
      </c>
      <c r="AL4161" s="98">
        <f t="shared" ca="1" si="557"/>
        <v>4.1697124130090968</v>
      </c>
      <c r="AM4161" s="106">
        <f t="shared" ca="1" si="554"/>
        <v>36811.32391950793</v>
      </c>
      <c r="AN4161" s="10">
        <f t="shared" ca="1" si="555"/>
        <v>1.105103553244402</v>
      </c>
      <c r="AO4161" s="158"/>
      <c r="AP4161" s="158"/>
    </row>
    <row r="4162" spans="34:42">
      <c r="AH4162" s="6">
        <f t="shared" si="559"/>
        <v>4132</v>
      </c>
      <c r="AI4162" s="7">
        <f t="shared" ca="1" si="560"/>
        <v>46802</v>
      </c>
      <c r="AJ4162" s="210">
        <f t="shared" ca="1" si="556"/>
        <v>4.1749999999999998</v>
      </c>
      <c r="AK4162" s="8">
        <f t="shared" ca="1" si="558"/>
        <v>1.0001159722222221</v>
      </c>
      <c r="AL4162" s="98">
        <f t="shared" ca="1" si="557"/>
        <v>4.1697496280614477</v>
      </c>
      <c r="AM4162" s="106">
        <f t="shared" ca="1" si="554"/>
        <v>36814.357226682354</v>
      </c>
      <c r="AN4162" s="10">
        <f t="shared" ca="1" si="555"/>
        <v>1.1051344253105055</v>
      </c>
      <c r="AO4162" s="158"/>
      <c r="AP4162" s="158"/>
    </row>
    <row r="4163" spans="34:42">
      <c r="AH4163" s="6">
        <f t="shared" si="559"/>
        <v>4133</v>
      </c>
      <c r="AI4163" s="7">
        <f t="shared" ca="1" si="560"/>
        <v>46803</v>
      </c>
      <c r="AJ4163" s="210">
        <f t="shared" ca="1" si="556"/>
        <v>4.1749999999999998</v>
      </c>
      <c r="AK4163" s="8">
        <f t="shared" ca="1" si="558"/>
        <v>1.0001159722222221</v>
      </c>
      <c r="AL4163" s="98">
        <f t="shared" ca="1" si="557"/>
        <v>4.169786825118349</v>
      </c>
      <c r="AM4163" s="106">
        <f t="shared" ca="1" si="554"/>
        <v>36817.390783805757</v>
      </c>
      <c r="AN4163" s="10">
        <f t="shared" ca="1" si="555"/>
        <v>1.1051652824467517</v>
      </c>
      <c r="AO4163" s="158"/>
      <c r="AP4163" s="158"/>
    </row>
    <row r="4164" spans="34:42">
      <c r="AH4164" s="6">
        <f t="shared" si="559"/>
        <v>4134</v>
      </c>
      <c r="AI4164" s="7">
        <f t="shared" ca="1" si="560"/>
        <v>46804</v>
      </c>
      <c r="AJ4164" s="210">
        <f t="shared" ca="1" si="556"/>
        <v>4.1749999999999998</v>
      </c>
      <c r="AK4164" s="8">
        <f t="shared" ca="1" si="558"/>
        <v>1.0001159722222221</v>
      </c>
      <c r="AL4164" s="98">
        <f t="shared" ca="1" si="557"/>
        <v>4.1698240041928569</v>
      </c>
      <c r="AM4164" s="106">
        <f t="shared" ca="1" si="554"/>
        <v>36820.424590898714</v>
      </c>
      <c r="AN4164" s="10">
        <f t="shared" ca="1" si="555"/>
        <v>1.1051961246639319</v>
      </c>
      <c r="AO4164" s="158"/>
      <c r="AP4164" s="158"/>
    </row>
    <row r="4165" spans="34:42">
      <c r="AH4165" s="6">
        <f t="shared" si="559"/>
        <v>4135</v>
      </c>
      <c r="AI4165" s="7">
        <f t="shared" ca="1" si="560"/>
        <v>46805</v>
      </c>
      <c r="AJ4165" s="210">
        <f t="shared" ca="1" si="556"/>
        <v>4.1749999999999998</v>
      </c>
      <c r="AK4165" s="8">
        <f t="shared" ca="1" si="558"/>
        <v>1.0001159722222221</v>
      </c>
      <c r="AL4165" s="98">
        <f t="shared" ca="1" si="557"/>
        <v>4.1698611652980055</v>
      </c>
      <c r="AM4165" s="106">
        <f t="shared" ca="1" si="554"/>
        <v>36823.458647981832</v>
      </c>
      <c r="AN4165" s="10">
        <f t="shared" ca="1" si="555"/>
        <v>1.1052269519728819</v>
      </c>
      <c r="AO4165" s="158"/>
      <c r="AP4165" s="158"/>
    </row>
    <row r="4166" spans="34:42">
      <c r="AH4166" s="6">
        <f t="shared" si="559"/>
        <v>4136</v>
      </c>
      <c r="AI4166" s="7">
        <f t="shared" ca="1" si="560"/>
        <v>46806</v>
      </c>
      <c r="AJ4166" s="210">
        <f t="shared" ca="1" si="556"/>
        <v>4.1749999999999998</v>
      </c>
      <c r="AK4166" s="8">
        <f t="shared" ca="1" si="558"/>
        <v>1.0001159722222221</v>
      </c>
      <c r="AL4166" s="98">
        <f t="shared" ca="1" si="557"/>
        <v>4.1698983084468066</v>
      </c>
      <c r="AM4166" s="106">
        <f t="shared" ca="1" si="554"/>
        <v>36826.492955075722</v>
      </c>
      <c r="AN4166" s="10">
        <f t="shared" ca="1" si="555"/>
        <v>1.1052577643843708</v>
      </c>
      <c r="AO4166" s="158"/>
      <c r="AP4166" s="158"/>
    </row>
    <row r="4167" spans="34:42">
      <c r="AH4167" s="6">
        <f t="shared" si="559"/>
        <v>4137</v>
      </c>
      <c r="AI4167" s="7">
        <f t="shared" ca="1" si="560"/>
        <v>46807</v>
      </c>
      <c r="AJ4167" s="210">
        <f t="shared" ca="1" si="556"/>
        <v>4.1749999999999998</v>
      </c>
      <c r="AK4167" s="8">
        <f t="shared" ca="1" si="558"/>
        <v>1.0001159722222221</v>
      </c>
      <c r="AL4167" s="98">
        <f t="shared" ca="1" si="557"/>
        <v>4.169935433652272</v>
      </c>
      <c r="AM4167" s="106">
        <f t="shared" ca="1" si="554"/>
        <v>36829.52751220097</v>
      </c>
      <c r="AN4167" s="10">
        <f t="shared" ca="1" si="555"/>
        <v>1.1052885619092567</v>
      </c>
      <c r="AO4167" s="158"/>
      <c r="AP4167" s="158"/>
    </row>
    <row r="4168" spans="34:42">
      <c r="AH4168" s="6">
        <f t="shared" si="559"/>
        <v>4138</v>
      </c>
      <c r="AI4168" s="7">
        <f t="shared" ca="1" si="560"/>
        <v>46808</v>
      </c>
      <c r="AJ4168" s="210">
        <f t="shared" ca="1" si="556"/>
        <v>4.1749999999999998</v>
      </c>
      <c r="AK4168" s="8">
        <f t="shared" ca="1" si="558"/>
        <v>1.0001159722222221</v>
      </c>
      <c r="AL4168" s="98">
        <f t="shared" ca="1" si="557"/>
        <v>4.1699725409274135</v>
      </c>
      <c r="AM4168" s="106">
        <f t="shared" ca="1" si="554"/>
        <v>36832.562319378179</v>
      </c>
      <c r="AN4168" s="10">
        <f t="shared" ca="1" si="555"/>
        <v>1.1053193445582643</v>
      </c>
      <c r="AO4168" s="158"/>
      <c r="AP4168" s="158"/>
    </row>
    <row r="4169" spans="34:42">
      <c r="AH4169" s="6">
        <f t="shared" si="559"/>
        <v>4139</v>
      </c>
      <c r="AI4169" s="7">
        <f t="shared" ca="1" si="560"/>
        <v>46809</v>
      </c>
      <c r="AJ4169" s="210">
        <f t="shared" ca="1" si="556"/>
        <v>4.1749999999999998</v>
      </c>
      <c r="AK4169" s="8">
        <f t="shared" ca="1" si="558"/>
        <v>1.0001159722222221</v>
      </c>
      <c r="AL4169" s="98">
        <f t="shared" ca="1" si="557"/>
        <v>4.1700096302852208</v>
      </c>
      <c r="AM4169" s="106">
        <f t="shared" ca="1" si="554"/>
        <v>36835.597376627964</v>
      </c>
      <c r="AN4169" s="10">
        <f t="shared" ca="1" si="555"/>
        <v>1.1053501123422294</v>
      </c>
      <c r="AO4169" s="158"/>
      <c r="AP4169" s="158"/>
    </row>
    <row r="4170" spans="34:42">
      <c r="AH4170" s="6">
        <f t="shared" si="559"/>
        <v>4140</v>
      </c>
      <c r="AI4170" s="7">
        <f t="shared" ca="1" si="560"/>
        <v>46810</v>
      </c>
      <c r="AJ4170" s="210">
        <f t="shared" ca="1" si="556"/>
        <v>4.1749999999999998</v>
      </c>
      <c r="AK4170" s="8">
        <f t="shared" ca="1" si="558"/>
        <v>1.0001159722222221</v>
      </c>
      <c r="AL4170" s="98">
        <f t="shared" ca="1" si="557"/>
        <v>4.1700467017386611</v>
      </c>
      <c r="AM4170" s="106">
        <f t="shared" ca="1" si="554"/>
        <v>36838.632683970922</v>
      </c>
      <c r="AN4170" s="10">
        <f t="shared" ca="1" si="555"/>
        <v>1.1053808652718988</v>
      </c>
      <c r="AO4170" s="158"/>
      <c r="AP4170" s="158"/>
    </row>
    <row r="4171" spans="34:42">
      <c r="AH4171" s="6">
        <f t="shared" si="559"/>
        <v>4141</v>
      </c>
      <c r="AI4171" s="7">
        <f t="shared" ca="1" si="560"/>
        <v>46811</v>
      </c>
      <c r="AJ4171" s="210">
        <f t="shared" ca="1" si="556"/>
        <v>4.1749999999999998</v>
      </c>
      <c r="AK4171" s="8">
        <f t="shared" ca="1" si="558"/>
        <v>1.0001159722222221</v>
      </c>
      <c r="AL4171" s="98">
        <f t="shared" ca="1" si="557"/>
        <v>4.1700837553006798</v>
      </c>
      <c r="AM4171" s="106">
        <f t="shared" ca="1" si="554"/>
        <v>36841.668241427658</v>
      </c>
      <c r="AN4171" s="10">
        <f t="shared" ca="1" si="555"/>
        <v>1.1054116033579753</v>
      </c>
      <c r="AO4171" s="158"/>
      <c r="AP4171" s="158"/>
    </row>
    <row r="4172" spans="34:42">
      <c r="AH4172" s="6">
        <f t="shared" si="559"/>
        <v>4142</v>
      </c>
      <c r="AI4172" s="7">
        <f t="shared" ca="1" si="560"/>
        <v>46812</v>
      </c>
      <c r="AJ4172" s="210">
        <f t="shared" ca="1" si="556"/>
        <v>4.1749999999999998</v>
      </c>
      <c r="AK4172" s="8">
        <f t="shared" ca="1" si="558"/>
        <v>1.0001159722222221</v>
      </c>
      <c r="AL4172" s="98">
        <f t="shared" ca="1" si="557"/>
        <v>4.1701207909842442</v>
      </c>
      <c r="AM4172" s="106">
        <f t="shared" ca="1" si="554"/>
        <v>36844.704049018801</v>
      </c>
      <c r="AN4172" s="10">
        <f t="shared" ca="1" si="555"/>
        <v>1.1054423266112501</v>
      </c>
      <c r="AO4172" s="158"/>
      <c r="AP4172" s="158"/>
    </row>
    <row r="4173" spans="34:42">
      <c r="AH4173" s="6">
        <f t="shared" si="559"/>
        <v>4143</v>
      </c>
      <c r="AI4173" s="7">
        <f t="shared" ca="1" si="560"/>
        <v>46813</v>
      </c>
      <c r="AJ4173" s="210">
        <f t="shared" ca="1" si="556"/>
        <v>4.1749999999999998</v>
      </c>
      <c r="AK4173" s="8">
        <f t="shared" ca="1" si="558"/>
        <v>1.0001159722222221</v>
      </c>
      <c r="AL4173" s="98">
        <f t="shared" ca="1" si="557"/>
        <v>4.1701578088022995</v>
      </c>
      <c r="AM4173" s="106">
        <f t="shared" ca="1" si="554"/>
        <v>36847.740106764941</v>
      </c>
      <c r="AN4173" s="10">
        <f t="shared" ca="1" si="555"/>
        <v>1.1054730350424702</v>
      </c>
      <c r="AO4173" s="158"/>
      <c r="AP4173" s="158"/>
    </row>
    <row r="4174" spans="34:42">
      <c r="AH4174" s="6">
        <f t="shared" si="559"/>
        <v>4144</v>
      </c>
      <c r="AI4174" s="7">
        <f t="shared" ca="1" si="560"/>
        <v>46814</v>
      </c>
      <c r="AJ4174" s="210">
        <f t="shared" ca="1" si="556"/>
        <v>4.1749999999999998</v>
      </c>
      <c r="AK4174" s="8">
        <f t="shared" ca="1" si="558"/>
        <v>1.0001159722222221</v>
      </c>
      <c r="AL4174" s="98">
        <f t="shared" ca="1" si="557"/>
        <v>4.1701948087677465</v>
      </c>
      <c r="AM4174" s="106">
        <f t="shared" ca="1" si="554"/>
        <v>36850.776414686705</v>
      </c>
      <c r="AN4174" s="10">
        <f t="shared" ca="1" si="555"/>
        <v>1.1055037286623381</v>
      </c>
      <c r="AO4174" s="158"/>
      <c r="AP4174" s="158"/>
    </row>
    <row r="4175" spans="34:42">
      <c r="AH4175" s="6">
        <f t="shared" si="559"/>
        <v>4145</v>
      </c>
      <c r="AI4175" s="7">
        <f t="shared" ca="1" si="560"/>
        <v>46815</v>
      </c>
      <c r="AJ4175" s="210">
        <f t="shared" ca="1" si="556"/>
        <v>4.1749999999999998</v>
      </c>
      <c r="AK4175" s="8">
        <f t="shared" ca="1" si="558"/>
        <v>1.0001159722222221</v>
      </c>
      <c r="AL4175" s="98">
        <f t="shared" ca="1" si="557"/>
        <v>4.1702317908935083</v>
      </c>
      <c r="AM4175" s="106">
        <f t="shared" ca="1" si="554"/>
        <v>36853.812972804706</v>
      </c>
      <c r="AN4175" s="10">
        <f t="shared" ca="1" si="555"/>
        <v>1.1055344074815565</v>
      </c>
      <c r="AO4175" s="158"/>
      <c r="AP4175" s="158"/>
    </row>
    <row r="4176" spans="34:42">
      <c r="AH4176" s="6">
        <f t="shared" si="559"/>
        <v>4146</v>
      </c>
      <c r="AI4176" s="7">
        <f t="shared" ca="1" si="560"/>
        <v>46816</v>
      </c>
      <c r="AJ4176" s="210">
        <f t="shared" ca="1" si="556"/>
        <v>4.1749999999999998</v>
      </c>
      <c r="AK4176" s="8">
        <f t="shared" ca="1" si="558"/>
        <v>1.0001159722222221</v>
      </c>
      <c r="AL4176" s="98">
        <f t="shared" ca="1" si="557"/>
        <v>4.1702687551924855</v>
      </c>
      <c r="AM4176" s="106">
        <f t="shared" ca="1" si="554"/>
        <v>36856.84978113955</v>
      </c>
      <c r="AN4176" s="10">
        <f t="shared" ca="1" si="555"/>
        <v>1.1055650715108278</v>
      </c>
      <c r="AO4176" s="158"/>
      <c r="AP4176" s="158"/>
    </row>
    <row r="4177" spans="34:42">
      <c r="AH4177" s="6">
        <f t="shared" si="559"/>
        <v>4147</v>
      </c>
      <c r="AI4177" s="7">
        <f t="shared" ca="1" si="560"/>
        <v>46817</v>
      </c>
      <c r="AJ4177" s="210">
        <f t="shared" ca="1" si="556"/>
        <v>4.1749999999999998</v>
      </c>
      <c r="AK4177" s="8">
        <f t="shared" ca="1" si="558"/>
        <v>1.0001159722222221</v>
      </c>
      <c r="AL4177" s="98">
        <f t="shared" ca="1" si="557"/>
        <v>4.1703057016775791</v>
      </c>
      <c r="AM4177" s="106">
        <f t="shared" ca="1" si="554"/>
        <v>36859.886839711864</v>
      </c>
      <c r="AN4177" s="10">
        <f t="shared" ca="1" si="555"/>
        <v>1.1055957207608991</v>
      </c>
      <c r="AO4177" s="158"/>
      <c r="AP4177" s="158"/>
    </row>
    <row r="4178" spans="34:42">
      <c r="AH4178" s="6">
        <f t="shared" si="559"/>
        <v>4148</v>
      </c>
      <c r="AI4178" s="7">
        <f t="shared" ca="1" si="560"/>
        <v>46818</v>
      </c>
      <c r="AJ4178" s="210">
        <f t="shared" ca="1" si="556"/>
        <v>4.1749999999999998</v>
      </c>
      <c r="AK4178" s="8">
        <f t="shared" ca="1" si="558"/>
        <v>1.0001159722222221</v>
      </c>
      <c r="AL4178" s="98">
        <f t="shared" ca="1" si="557"/>
        <v>4.1703426303616453</v>
      </c>
      <c r="AM4178" s="106">
        <f t="shared" ca="1" si="554"/>
        <v>36862.924148542268</v>
      </c>
      <c r="AN4178" s="10">
        <f t="shared" ca="1" si="555"/>
        <v>1.105626355242384</v>
      </c>
      <c r="AO4178" s="158"/>
      <c r="AP4178" s="158"/>
    </row>
    <row r="4179" spans="34:42">
      <c r="AH4179" s="6">
        <f t="shared" si="559"/>
        <v>4149</v>
      </c>
      <c r="AI4179" s="7">
        <f t="shared" ca="1" si="560"/>
        <v>46819</v>
      </c>
      <c r="AJ4179" s="210">
        <f t="shared" ca="1" si="556"/>
        <v>4.1749999999999998</v>
      </c>
      <c r="AK4179" s="8">
        <f t="shared" ca="1" si="558"/>
        <v>1.0001159722222221</v>
      </c>
      <c r="AL4179" s="98">
        <f t="shared" ca="1" si="557"/>
        <v>4.1703795412575406</v>
      </c>
      <c r="AM4179" s="106">
        <f t="shared" ca="1" si="554"/>
        <v>36865.961707651375</v>
      </c>
      <c r="AN4179" s="10">
        <f t="shared" ca="1" si="555"/>
        <v>1.1056569749660072</v>
      </c>
      <c r="AO4179" s="158"/>
      <c r="AP4179" s="158"/>
    </row>
    <row r="4180" spans="34:42">
      <c r="AH4180" s="6">
        <f t="shared" si="559"/>
        <v>4150</v>
      </c>
      <c r="AI4180" s="7">
        <f t="shared" ca="1" si="560"/>
        <v>46820</v>
      </c>
      <c r="AJ4180" s="210">
        <f t="shared" ca="1" si="556"/>
        <v>4.1749999999999998</v>
      </c>
      <c r="AK4180" s="8">
        <f t="shared" ca="1" si="558"/>
        <v>1.0001159722222221</v>
      </c>
      <c r="AL4180" s="98">
        <f t="shared" ca="1" si="557"/>
        <v>4.1704164343781214</v>
      </c>
      <c r="AM4180" s="106">
        <f t="shared" ca="1" si="554"/>
        <v>36868.999517059827</v>
      </c>
      <c r="AN4180" s="10">
        <f t="shared" ca="1" si="555"/>
        <v>1.1056875799423604</v>
      </c>
      <c r="AO4180" s="158"/>
      <c r="AP4180" s="158"/>
    </row>
    <row r="4181" spans="34:42">
      <c r="AH4181" s="6">
        <f t="shared" si="559"/>
        <v>4151</v>
      </c>
      <c r="AI4181" s="7">
        <f t="shared" ca="1" si="560"/>
        <v>46821</v>
      </c>
      <c r="AJ4181" s="210">
        <f t="shared" ca="1" si="556"/>
        <v>4.1749999999999998</v>
      </c>
      <c r="AK4181" s="8">
        <f t="shared" ca="1" si="558"/>
        <v>1.0001159722222221</v>
      </c>
      <c r="AL4181" s="98">
        <f t="shared" ca="1" si="557"/>
        <v>4.1704533097362217</v>
      </c>
      <c r="AM4181" s="106">
        <f t="shared" ca="1" si="554"/>
        <v>36872.037576788229</v>
      </c>
      <c r="AN4181" s="10">
        <f t="shared" ca="1" si="555"/>
        <v>1.1057181701821683</v>
      </c>
      <c r="AO4181" s="158"/>
      <c r="AP4181" s="158"/>
    </row>
    <row r="4182" spans="34:42">
      <c r="AH4182" s="6">
        <f t="shared" si="559"/>
        <v>4152</v>
      </c>
      <c r="AI4182" s="7">
        <f t="shared" ca="1" si="560"/>
        <v>46822</v>
      </c>
      <c r="AJ4182" s="210">
        <f t="shared" ca="1" si="556"/>
        <v>4.1749999999999998</v>
      </c>
      <c r="AK4182" s="8">
        <f t="shared" ca="1" si="558"/>
        <v>1.0001159722222221</v>
      </c>
      <c r="AL4182" s="98">
        <f t="shared" ca="1" si="557"/>
        <v>4.1704901673446759</v>
      </c>
      <c r="AM4182" s="106">
        <f t="shared" ca="1" si="554"/>
        <v>36875.075886857216</v>
      </c>
      <c r="AN4182" s="10">
        <f t="shared" ca="1" si="555"/>
        <v>1.1057487456960224</v>
      </c>
      <c r="AO4182" s="158"/>
      <c r="AP4182" s="158"/>
    </row>
    <row r="4183" spans="34:42">
      <c r="AH4183" s="6">
        <f t="shared" si="559"/>
        <v>4153</v>
      </c>
      <c r="AI4183" s="7">
        <f t="shared" ca="1" si="560"/>
        <v>46823</v>
      </c>
      <c r="AJ4183" s="210">
        <f t="shared" ca="1" si="556"/>
        <v>4.1749999999999998</v>
      </c>
      <c r="AK4183" s="8">
        <f t="shared" ca="1" si="558"/>
        <v>1.0001159722222221</v>
      </c>
      <c r="AL4183" s="98">
        <f t="shared" ca="1" si="557"/>
        <v>4.1705270072162959</v>
      </c>
      <c r="AM4183" s="106">
        <f t="shared" ca="1" si="554"/>
        <v>36878.114447287422</v>
      </c>
      <c r="AN4183" s="10">
        <f t="shared" ca="1" si="555"/>
        <v>1.1057793064946031</v>
      </c>
      <c r="AO4183" s="158"/>
      <c r="AP4183" s="158"/>
    </row>
    <row r="4184" spans="34:42">
      <c r="AH4184" s="6">
        <f t="shared" si="559"/>
        <v>4154</v>
      </c>
      <c r="AI4184" s="7">
        <f t="shared" ca="1" si="560"/>
        <v>46824</v>
      </c>
      <c r="AJ4184" s="210">
        <f t="shared" ca="1" si="556"/>
        <v>4.1749999999999998</v>
      </c>
      <c r="AK4184" s="8">
        <f t="shared" ca="1" si="558"/>
        <v>1.0001159722222221</v>
      </c>
      <c r="AL4184" s="98">
        <f t="shared" ca="1" si="557"/>
        <v>4.1705638293638714</v>
      </c>
      <c r="AM4184" s="106">
        <f t="shared" ca="1" si="554"/>
        <v>36881.153258099468</v>
      </c>
      <c r="AN4184" s="10">
        <f t="shared" ca="1" si="555"/>
        <v>1.1058098525884796</v>
      </c>
      <c r="AO4184" s="158"/>
      <c r="AP4184" s="158"/>
    </row>
    <row r="4185" spans="34:42">
      <c r="AH4185" s="6">
        <f t="shared" si="559"/>
        <v>4155</v>
      </c>
      <c r="AI4185" s="7">
        <f t="shared" ca="1" si="560"/>
        <v>46825</v>
      </c>
      <c r="AJ4185" s="210">
        <f t="shared" ca="1" si="556"/>
        <v>4.1749999999999998</v>
      </c>
      <c r="AK4185" s="8">
        <f t="shared" ca="1" si="558"/>
        <v>1.0001159722222221</v>
      </c>
      <c r="AL4185" s="98">
        <f t="shared" ca="1" si="557"/>
        <v>4.1706006338001922</v>
      </c>
      <c r="AM4185" s="106">
        <f t="shared" ca="1" si="554"/>
        <v>36884.192319313996</v>
      </c>
      <c r="AN4185" s="10">
        <f t="shared" ca="1" si="555"/>
        <v>1.105840383988288</v>
      </c>
      <c r="AO4185" s="158"/>
      <c r="AP4185" s="158"/>
    </row>
    <row r="4186" spans="34:42">
      <c r="AH4186" s="6">
        <f t="shared" si="559"/>
        <v>4156</v>
      </c>
      <c r="AI4186" s="7">
        <f t="shared" ca="1" si="560"/>
        <v>46826</v>
      </c>
      <c r="AJ4186" s="210">
        <f t="shared" ca="1" si="556"/>
        <v>4.1749999999999998</v>
      </c>
      <c r="AK4186" s="8">
        <f t="shared" ca="1" si="558"/>
        <v>1.0001159722222221</v>
      </c>
      <c r="AL4186" s="98">
        <f t="shared" ca="1" si="557"/>
        <v>4.1706374205380259</v>
      </c>
      <c r="AM4186" s="106">
        <f t="shared" ca="1" si="554"/>
        <v>36887.231630951625</v>
      </c>
      <c r="AN4186" s="10">
        <f t="shared" ca="1" si="555"/>
        <v>1.1058709007046197</v>
      </c>
      <c r="AO4186" s="158"/>
      <c r="AP4186" s="158"/>
    </row>
    <row r="4187" spans="34:42">
      <c r="AH4187" s="6">
        <f t="shared" si="559"/>
        <v>4157</v>
      </c>
      <c r="AI4187" s="7">
        <f t="shared" ca="1" si="560"/>
        <v>46827</v>
      </c>
      <c r="AJ4187" s="210">
        <f t="shared" ca="1" si="556"/>
        <v>4.1749999999999998</v>
      </c>
      <c r="AK4187" s="8">
        <f t="shared" ca="1" si="558"/>
        <v>1.0001159722222221</v>
      </c>
      <c r="AL4187" s="98">
        <f t="shared" ca="1" si="557"/>
        <v>4.1706741895901622</v>
      </c>
      <c r="AM4187" s="106">
        <f t="shared" ca="1" si="554"/>
        <v>36890.271193033004</v>
      </c>
      <c r="AN4187" s="10">
        <f t="shared" ca="1" si="555"/>
        <v>1.1059014027480885</v>
      </c>
      <c r="AO4187" s="158"/>
      <c r="AP4187" s="158"/>
    </row>
    <row r="4188" spans="34:42">
      <c r="AH4188" s="6">
        <f t="shared" si="559"/>
        <v>4158</v>
      </c>
      <c r="AI4188" s="7">
        <f t="shared" ca="1" si="560"/>
        <v>46828</v>
      </c>
      <c r="AJ4188" s="210">
        <f t="shared" ca="1" si="556"/>
        <v>4.1749999999999998</v>
      </c>
      <c r="AK4188" s="8">
        <f t="shared" ca="1" si="558"/>
        <v>1.0001159722222221</v>
      </c>
      <c r="AL4188" s="98">
        <f t="shared" ca="1" si="557"/>
        <v>4.1707109409693244</v>
      </c>
      <c r="AM4188" s="106">
        <f t="shared" ca="1" si="554"/>
        <v>36893.311005578755</v>
      </c>
      <c r="AN4188" s="10">
        <f t="shared" ca="1" si="555"/>
        <v>1.1059318901292192</v>
      </c>
      <c r="AO4188" s="158"/>
      <c r="AP4188" s="158"/>
    </row>
    <row r="4189" spans="34:42">
      <c r="AH4189" s="6">
        <f t="shared" si="559"/>
        <v>4159</v>
      </c>
      <c r="AI4189" s="7">
        <f t="shared" ca="1" si="560"/>
        <v>46829</v>
      </c>
      <c r="AJ4189" s="210">
        <f t="shared" ca="1" si="556"/>
        <v>4.1749999999999998</v>
      </c>
      <c r="AK4189" s="8">
        <f t="shared" ca="1" si="558"/>
        <v>1.0001159722222221</v>
      </c>
      <c r="AL4189" s="98">
        <f t="shared" ca="1" si="557"/>
        <v>4.1707476746882577</v>
      </c>
      <c r="AM4189" s="106">
        <f t="shared" ca="1" si="554"/>
        <v>36896.35106860954</v>
      </c>
      <c r="AN4189" s="10">
        <f t="shared" ca="1" si="555"/>
        <v>1.1059623628586257</v>
      </c>
      <c r="AO4189" s="158"/>
      <c r="AP4189" s="158"/>
    </row>
    <row r="4190" spans="34:42">
      <c r="AH4190" s="6">
        <f t="shared" si="559"/>
        <v>4160</v>
      </c>
      <c r="AI4190" s="7">
        <f t="shared" ca="1" si="560"/>
        <v>46830</v>
      </c>
      <c r="AJ4190" s="210">
        <f t="shared" ca="1" si="556"/>
        <v>4.1749999999999998</v>
      </c>
      <c r="AK4190" s="8">
        <f t="shared" ca="1" si="558"/>
        <v>1.0001159722222221</v>
      </c>
      <c r="AL4190" s="98">
        <f t="shared" ca="1" si="557"/>
        <v>4.1707843907597075</v>
      </c>
      <c r="AM4190" s="106">
        <f t="shared" ca="1" si="554"/>
        <v>36899.391382145972</v>
      </c>
      <c r="AN4190" s="10">
        <f t="shared" ca="1" si="555"/>
        <v>1.1059928209468772</v>
      </c>
      <c r="AO4190" s="158"/>
      <c r="AP4190" s="158"/>
    </row>
    <row r="4191" spans="34:42">
      <c r="AH4191" s="6">
        <f t="shared" si="559"/>
        <v>4161</v>
      </c>
      <c r="AI4191" s="7">
        <f t="shared" ca="1" si="560"/>
        <v>46831</v>
      </c>
      <c r="AJ4191" s="210">
        <f t="shared" ca="1" si="556"/>
        <v>4.1749999999999998</v>
      </c>
      <c r="AK4191" s="8">
        <f t="shared" ca="1" si="558"/>
        <v>1.0001159722222221</v>
      </c>
      <c r="AL4191" s="98">
        <f t="shared" ca="1" si="557"/>
        <v>4.1708210891963748</v>
      </c>
      <c r="AM4191" s="106">
        <f t="shared" ref="AM4191:AM4254" ca="1" si="561">Geom_Interp(AI4191,$AZ$2:$AZ$109,$BA$2:$BA$109)</f>
        <v>36902.431946208708</v>
      </c>
      <c r="AN4191" s="10">
        <f t="shared" ref="AN4191:AN4254" ca="1" si="562">100*(((1+AL4191/100)^(AH4191/365)*$AM$29/AM4191)^(365/AH4191)-1)</f>
        <v>1.1060232644045209</v>
      </c>
      <c r="AO4191" s="158"/>
      <c r="AP4191" s="158"/>
    </row>
    <row r="4192" spans="34:42">
      <c r="AH4192" s="6">
        <f t="shared" si="559"/>
        <v>4162</v>
      </c>
      <c r="AI4192" s="7">
        <f t="shared" ca="1" si="560"/>
        <v>46832</v>
      </c>
      <c r="AJ4192" s="210">
        <f t="shared" ref="AJ4192:AJ4255" ca="1" si="563">IF(AH4192&lt;365,VLOOKUP(LOOKUP(AI4192,$AI$2:$AI$23),$AI$2:$AK$23,3,0),Lin_Interp(AH4192,$AJ$2:$AJ$23,$AK$2:$AK$23))</f>
        <v>4.1749999999999998</v>
      </c>
      <c r="AK4192" s="8">
        <f t="shared" ca="1" si="558"/>
        <v>1.0001159722222221</v>
      </c>
      <c r="AL4192" s="98">
        <f t="shared" ca="1" si="557"/>
        <v>4.1708577700109606</v>
      </c>
      <c r="AM4192" s="106">
        <f t="shared" ca="1" si="561"/>
        <v>36905.472760818397</v>
      </c>
      <c r="AN4192" s="10">
        <f t="shared" ca="1" si="562"/>
        <v>1.1060536932420595</v>
      </c>
      <c r="AO4192" s="158"/>
      <c r="AP4192" s="158"/>
    </row>
    <row r="4193" spans="34:42">
      <c r="AH4193" s="6">
        <f t="shared" si="559"/>
        <v>4163</v>
      </c>
      <c r="AI4193" s="7">
        <f t="shared" ca="1" si="560"/>
        <v>46833</v>
      </c>
      <c r="AJ4193" s="210">
        <f t="shared" ca="1" si="563"/>
        <v>4.1749999999999998</v>
      </c>
      <c r="AK4193" s="8">
        <f t="shared" ca="1" si="558"/>
        <v>1.0001159722222221</v>
      </c>
      <c r="AL4193" s="98">
        <f t="shared" ref="AL4193:AL4256" ca="1" si="564">100*(((1+AL4192/100)^(AH4192/365)*AK4193)^(365/AH4193)-1)</f>
        <v>4.1708944332161435</v>
      </c>
      <c r="AM4193" s="106">
        <f t="shared" ca="1" si="561"/>
        <v>36908.513825995673</v>
      </c>
      <c r="AN4193" s="10">
        <f t="shared" ca="1" si="562"/>
        <v>1.10608410747004</v>
      </c>
      <c r="AO4193" s="158"/>
      <c r="AP4193" s="158"/>
    </row>
    <row r="4194" spans="34:42">
      <c r="AH4194" s="6">
        <f t="shared" si="559"/>
        <v>4164</v>
      </c>
      <c r="AI4194" s="7">
        <f t="shared" ca="1" si="560"/>
        <v>46834</v>
      </c>
      <c r="AJ4194" s="210">
        <f t="shared" ca="1" si="563"/>
        <v>4.1749999999999998</v>
      </c>
      <c r="AK4194" s="8">
        <f t="shared" ca="1" si="558"/>
        <v>1.0001159722222221</v>
      </c>
      <c r="AL4194" s="98">
        <f t="shared" ca="1" si="564"/>
        <v>4.1709310788246245</v>
      </c>
      <c r="AM4194" s="106">
        <f t="shared" ca="1" si="561"/>
        <v>36911.555141761186</v>
      </c>
      <c r="AN4194" s="10">
        <f t="shared" ca="1" si="562"/>
        <v>1.1061145070989875</v>
      </c>
      <c r="AO4194" s="158"/>
      <c r="AP4194" s="158"/>
    </row>
    <row r="4195" spans="34:42">
      <c r="AH4195" s="6">
        <f t="shared" si="559"/>
        <v>4165</v>
      </c>
      <c r="AI4195" s="7">
        <f t="shared" ca="1" si="560"/>
        <v>46835</v>
      </c>
      <c r="AJ4195" s="210">
        <f t="shared" ca="1" si="563"/>
        <v>4.1749999999999998</v>
      </c>
      <c r="AK4195" s="8">
        <f t="shared" ca="1" si="558"/>
        <v>1.0001159722222221</v>
      </c>
      <c r="AL4195" s="98">
        <f t="shared" ca="1" si="564"/>
        <v>4.1709677068490381</v>
      </c>
      <c r="AM4195" s="106">
        <f t="shared" ca="1" si="561"/>
        <v>36914.596708135592</v>
      </c>
      <c r="AN4195" s="10">
        <f t="shared" ca="1" si="562"/>
        <v>1.1061448921393824</v>
      </c>
      <c r="AO4195" s="158"/>
      <c r="AP4195" s="158"/>
    </row>
    <row r="4196" spans="34:42">
      <c r="AH4196" s="6">
        <f t="shared" si="559"/>
        <v>4166</v>
      </c>
      <c r="AI4196" s="7">
        <f t="shared" ca="1" si="560"/>
        <v>46836</v>
      </c>
      <c r="AJ4196" s="210">
        <f t="shared" ca="1" si="563"/>
        <v>4.1749999999999998</v>
      </c>
      <c r="AK4196" s="8">
        <f t="shared" ref="AK4196:AK4259" ca="1" si="565">+(1+AJ4196/36000)</f>
        <v>1.0001159722222221</v>
      </c>
      <c r="AL4196" s="98">
        <f t="shared" ca="1" si="564"/>
        <v>4.1710043173020628</v>
      </c>
      <c r="AM4196" s="106">
        <f t="shared" ca="1" si="561"/>
        <v>36917.638525139533</v>
      </c>
      <c r="AN4196" s="10">
        <f t="shared" ca="1" si="562"/>
        <v>1.1061752626017718</v>
      </c>
      <c r="AO4196" s="158"/>
      <c r="AP4196" s="158"/>
    </row>
    <row r="4197" spans="34:42">
      <c r="AH4197" s="6">
        <f t="shared" si="559"/>
        <v>4167</v>
      </c>
      <c r="AI4197" s="7">
        <f t="shared" ca="1" si="560"/>
        <v>46837</v>
      </c>
      <c r="AJ4197" s="210">
        <f t="shared" ca="1" si="563"/>
        <v>4.1749999999999998</v>
      </c>
      <c r="AK4197" s="8">
        <f t="shared" ca="1" si="565"/>
        <v>1.0001159722222221</v>
      </c>
      <c r="AL4197" s="98">
        <f t="shared" ca="1" si="564"/>
        <v>4.1710409101963331</v>
      </c>
      <c r="AM4197" s="106">
        <f t="shared" ca="1" si="561"/>
        <v>36920.680592793666</v>
      </c>
      <c r="AN4197" s="10">
        <f t="shared" ca="1" si="562"/>
        <v>1.106205618496614</v>
      </c>
      <c r="AO4197" s="158"/>
      <c r="AP4197" s="158"/>
    </row>
    <row r="4198" spans="34:42">
      <c r="AH4198" s="6">
        <f t="shared" si="559"/>
        <v>4168</v>
      </c>
      <c r="AI4198" s="7">
        <f t="shared" ca="1" si="560"/>
        <v>46838</v>
      </c>
      <c r="AJ4198" s="210">
        <f t="shared" ca="1" si="563"/>
        <v>4.1749999999999998</v>
      </c>
      <c r="AK4198" s="8">
        <f t="shared" ca="1" si="565"/>
        <v>1.0001159722222221</v>
      </c>
      <c r="AL4198" s="98">
        <f t="shared" ca="1" si="564"/>
        <v>4.1710774855444832</v>
      </c>
      <c r="AM4198" s="106">
        <f t="shared" ca="1" si="561"/>
        <v>36923.722911118639</v>
      </c>
      <c r="AN4198" s="10">
        <f t="shared" ca="1" si="562"/>
        <v>1.1062359598344118</v>
      </c>
      <c r="AO4198" s="158"/>
      <c r="AP4198" s="158"/>
    </row>
    <row r="4199" spans="34:42">
      <c r="AH4199" s="6">
        <f t="shared" si="559"/>
        <v>4169</v>
      </c>
      <c r="AI4199" s="7">
        <f t="shared" ca="1" si="560"/>
        <v>46839</v>
      </c>
      <c r="AJ4199" s="210">
        <f t="shared" ca="1" si="563"/>
        <v>4.1749999999999998</v>
      </c>
      <c r="AK4199" s="8">
        <f t="shared" ca="1" si="565"/>
        <v>1.0001159722222221</v>
      </c>
      <c r="AL4199" s="98">
        <f t="shared" ca="1" si="564"/>
        <v>4.1711140433591254</v>
      </c>
      <c r="AM4199" s="106">
        <f t="shared" ca="1" si="561"/>
        <v>36926.765480135116</v>
      </c>
      <c r="AN4199" s="10">
        <f t="shared" ca="1" si="562"/>
        <v>1.1062662866256012</v>
      </c>
      <c r="AO4199" s="158"/>
      <c r="AP4199" s="158"/>
    </row>
    <row r="4200" spans="34:42">
      <c r="AH4200" s="6">
        <f t="shared" si="559"/>
        <v>4170</v>
      </c>
      <c r="AI4200" s="7">
        <f t="shared" ca="1" si="560"/>
        <v>46840</v>
      </c>
      <c r="AJ4200" s="210">
        <f t="shared" ca="1" si="563"/>
        <v>4.1749999999999998</v>
      </c>
      <c r="AK4200" s="8">
        <f t="shared" ca="1" si="565"/>
        <v>1.0001159722222221</v>
      </c>
      <c r="AL4200" s="98">
        <f t="shared" ca="1" si="564"/>
        <v>4.1711505836528495</v>
      </c>
      <c r="AM4200" s="106">
        <f t="shared" ca="1" si="561"/>
        <v>36929.808299863747</v>
      </c>
      <c r="AN4200" s="10">
        <f t="shared" ca="1" si="562"/>
        <v>1.1062965988806628</v>
      </c>
      <c r="AO4200" s="158"/>
      <c r="AP4200" s="158"/>
    </row>
    <row r="4201" spans="34:42">
      <c r="AH4201" s="6">
        <f t="shared" si="559"/>
        <v>4171</v>
      </c>
      <c r="AI4201" s="7">
        <f t="shared" ca="1" si="560"/>
        <v>46841</v>
      </c>
      <c r="AJ4201" s="210">
        <f t="shared" ca="1" si="563"/>
        <v>4.1749999999999998</v>
      </c>
      <c r="AK4201" s="8">
        <f t="shared" ca="1" si="565"/>
        <v>1.0001159722222221</v>
      </c>
      <c r="AL4201" s="98">
        <f t="shared" ca="1" si="564"/>
        <v>4.1711871064382677</v>
      </c>
      <c r="AM4201" s="106">
        <f t="shared" ca="1" si="561"/>
        <v>36932.851370325196</v>
      </c>
      <c r="AN4201" s="10">
        <f t="shared" ca="1" si="562"/>
        <v>1.1063268966100326</v>
      </c>
      <c r="AO4201" s="158"/>
      <c r="AP4201" s="158"/>
    </row>
    <row r="4202" spans="34:42">
      <c r="AH4202" s="6">
        <f t="shared" si="559"/>
        <v>4172</v>
      </c>
      <c r="AI4202" s="7">
        <f t="shared" ca="1" si="560"/>
        <v>46842</v>
      </c>
      <c r="AJ4202" s="210">
        <f t="shared" ca="1" si="563"/>
        <v>4.1749999999999998</v>
      </c>
      <c r="AK4202" s="8">
        <f t="shared" ca="1" si="565"/>
        <v>1.0001159722222221</v>
      </c>
      <c r="AL4202" s="98">
        <f t="shared" ca="1" si="564"/>
        <v>4.17122361172797</v>
      </c>
      <c r="AM4202" s="106">
        <f t="shared" ca="1" si="561"/>
        <v>36935.894691540117</v>
      </c>
      <c r="AN4202" s="10">
        <f t="shared" ca="1" si="562"/>
        <v>1.1063571798241689</v>
      </c>
      <c r="AO4202" s="158"/>
      <c r="AP4202" s="158"/>
    </row>
    <row r="4203" spans="34:42">
      <c r="AH4203" s="6">
        <f t="shared" si="559"/>
        <v>4173</v>
      </c>
      <c r="AI4203" s="7">
        <f t="shared" ca="1" si="560"/>
        <v>46843</v>
      </c>
      <c r="AJ4203" s="210">
        <f t="shared" ca="1" si="563"/>
        <v>4.1749999999999998</v>
      </c>
      <c r="AK4203" s="8">
        <f t="shared" ca="1" si="565"/>
        <v>1.0001159722222221</v>
      </c>
      <c r="AL4203" s="98">
        <f t="shared" ca="1" si="564"/>
        <v>4.1712600995345017</v>
      </c>
      <c r="AM4203" s="106">
        <f t="shared" ca="1" si="561"/>
        <v>36938.938263529184</v>
      </c>
      <c r="AN4203" s="10">
        <f t="shared" ca="1" si="562"/>
        <v>1.1063874485334857</v>
      </c>
      <c r="AO4203" s="158"/>
      <c r="AP4203" s="158"/>
    </row>
    <row r="4204" spans="34:42">
      <c r="AH4204" s="6">
        <f t="shared" si="559"/>
        <v>4174</v>
      </c>
      <c r="AI4204" s="7">
        <f t="shared" ca="1" si="560"/>
        <v>46844</v>
      </c>
      <c r="AJ4204" s="210">
        <f t="shared" ca="1" si="563"/>
        <v>4.1749999999999998</v>
      </c>
      <c r="AK4204" s="8">
        <f t="shared" ca="1" si="565"/>
        <v>1.0001159722222221</v>
      </c>
      <c r="AL4204" s="98">
        <f t="shared" ca="1" si="564"/>
        <v>4.1712965698704307</v>
      </c>
      <c r="AM4204" s="106">
        <f t="shared" ca="1" si="561"/>
        <v>36941.982086313059</v>
      </c>
      <c r="AN4204" s="10">
        <f t="shared" ca="1" si="562"/>
        <v>1.1064177027483968</v>
      </c>
      <c r="AO4204" s="158"/>
      <c r="AP4204" s="158"/>
    </row>
    <row r="4205" spans="34:42">
      <c r="AH4205" s="6">
        <f t="shared" si="559"/>
        <v>4175</v>
      </c>
      <c r="AI4205" s="7">
        <f t="shared" ca="1" si="560"/>
        <v>46845</v>
      </c>
      <c r="AJ4205" s="210">
        <f t="shared" ca="1" si="563"/>
        <v>4.1749999999999998</v>
      </c>
      <c r="AK4205" s="8">
        <f t="shared" ca="1" si="565"/>
        <v>1.0001159722222221</v>
      </c>
      <c r="AL4205" s="98">
        <f t="shared" ca="1" si="564"/>
        <v>4.1713330227483025</v>
      </c>
      <c r="AM4205" s="106">
        <f t="shared" ca="1" si="561"/>
        <v>36945.026159912391</v>
      </c>
      <c r="AN4205" s="10">
        <f t="shared" ca="1" si="562"/>
        <v>1.1064479424793161</v>
      </c>
      <c r="AO4205" s="158"/>
      <c r="AP4205" s="158"/>
    </row>
    <row r="4206" spans="34:42">
      <c r="AH4206" s="6">
        <f t="shared" si="559"/>
        <v>4176</v>
      </c>
      <c r="AI4206" s="7">
        <f t="shared" ca="1" si="560"/>
        <v>46846</v>
      </c>
      <c r="AJ4206" s="210">
        <f t="shared" ca="1" si="563"/>
        <v>4.1749999999999998</v>
      </c>
      <c r="AK4206" s="8">
        <f t="shared" ca="1" si="565"/>
        <v>1.0001159722222221</v>
      </c>
      <c r="AL4206" s="98">
        <f t="shared" ca="1" si="564"/>
        <v>4.1713694581806404</v>
      </c>
      <c r="AM4206" s="106">
        <f t="shared" ca="1" si="561"/>
        <v>36948.070484347867</v>
      </c>
      <c r="AN4206" s="10">
        <f t="shared" ca="1" si="562"/>
        <v>1.1064781677366575</v>
      </c>
      <c r="AO4206" s="158"/>
      <c r="AP4206" s="158"/>
    </row>
    <row r="4207" spans="34:42">
      <c r="AH4207" s="6">
        <f t="shared" si="559"/>
        <v>4177</v>
      </c>
      <c r="AI4207" s="7">
        <f t="shared" ca="1" si="560"/>
        <v>46847</v>
      </c>
      <c r="AJ4207" s="210">
        <f t="shared" ca="1" si="563"/>
        <v>4.1749999999999998</v>
      </c>
      <c r="AK4207" s="8">
        <f t="shared" ca="1" si="565"/>
        <v>1.0001159722222221</v>
      </c>
      <c r="AL4207" s="98">
        <f t="shared" ca="1" si="564"/>
        <v>4.1714058761799677</v>
      </c>
      <c r="AM4207" s="106">
        <f t="shared" ca="1" si="561"/>
        <v>36951.115059640149</v>
      </c>
      <c r="AN4207" s="10">
        <f t="shared" ca="1" si="562"/>
        <v>1.1065083785307683</v>
      </c>
      <c r="AO4207" s="158"/>
      <c r="AP4207" s="158"/>
    </row>
    <row r="4208" spans="34:42">
      <c r="AH4208" s="6">
        <f t="shared" si="559"/>
        <v>4178</v>
      </c>
      <c r="AI4208" s="7">
        <f t="shared" ca="1" si="560"/>
        <v>46848</v>
      </c>
      <c r="AJ4208" s="210">
        <f t="shared" ca="1" si="563"/>
        <v>4.1749999999999998</v>
      </c>
      <c r="AK4208" s="8">
        <f t="shared" ca="1" si="565"/>
        <v>1.0001159722222221</v>
      </c>
      <c r="AL4208" s="98">
        <f t="shared" ca="1" si="564"/>
        <v>4.1714422767588077</v>
      </c>
      <c r="AM4208" s="106">
        <f t="shared" ca="1" si="561"/>
        <v>36954.15988580991</v>
      </c>
      <c r="AN4208" s="10">
        <f t="shared" ca="1" si="562"/>
        <v>1.1065385748720846</v>
      </c>
      <c r="AO4208" s="158"/>
      <c r="AP4208" s="158"/>
    </row>
    <row r="4209" spans="34:42">
      <c r="AH4209" s="6">
        <f t="shared" si="559"/>
        <v>4179</v>
      </c>
      <c r="AI4209" s="7">
        <f t="shared" ca="1" si="560"/>
        <v>46849</v>
      </c>
      <c r="AJ4209" s="210">
        <f t="shared" ca="1" si="563"/>
        <v>4.1749999999999998</v>
      </c>
      <c r="AK4209" s="8">
        <f t="shared" ca="1" si="565"/>
        <v>1.0001159722222221</v>
      </c>
      <c r="AL4209" s="98">
        <f t="shared" ca="1" si="564"/>
        <v>4.1714786599296394</v>
      </c>
      <c r="AM4209" s="106">
        <f t="shared" ca="1" si="561"/>
        <v>36957.204962877819</v>
      </c>
      <c r="AN4209" s="10">
        <f t="shared" ca="1" si="562"/>
        <v>1.1065687567709315</v>
      </c>
      <c r="AO4209" s="158"/>
      <c r="AP4209" s="158"/>
    </row>
    <row r="4210" spans="34:42">
      <c r="AH4210" s="6">
        <f t="shared" si="559"/>
        <v>4180</v>
      </c>
      <c r="AI4210" s="7">
        <f t="shared" ca="1" si="560"/>
        <v>46850</v>
      </c>
      <c r="AJ4210" s="210">
        <f t="shared" ca="1" si="563"/>
        <v>4.1749999999999998</v>
      </c>
      <c r="AK4210" s="8">
        <f t="shared" ca="1" si="565"/>
        <v>1.0001159722222221</v>
      </c>
      <c r="AL4210" s="98">
        <f t="shared" ca="1" si="564"/>
        <v>4.1715150257049416</v>
      </c>
      <c r="AM4210" s="106">
        <f t="shared" ca="1" si="561"/>
        <v>36960.250290864547</v>
      </c>
      <c r="AN4210" s="10">
        <f t="shared" ca="1" si="562"/>
        <v>1.1065989242376784</v>
      </c>
      <c r="AO4210" s="158"/>
      <c r="AP4210" s="158"/>
    </row>
    <row r="4211" spans="34:42">
      <c r="AH4211" s="6">
        <f t="shared" si="559"/>
        <v>4181</v>
      </c>
      <c r="AI4211" s="7">
        <f t="shared" ca="1" si="560"/>
        <v>46851</v>
      </c>
      <c r="AJ4211" s="210">
        <f t="shared" ca="1" si="563"/>
        <v>4.1749999999999998</v>
      </c>
      <c r="AK4211" s="8">
        <f t="shared" ca="1" si="565"/>
        <v>1.0001159722222221</v>
      </c>
      <c r="AL4211" s="98">
        <f t="shared" ca="1" si="564"/>
        <v>4.1715513740972154</v>
      </c>
      <c r="AM4211" s="106">
        <f t="shared" ca="1" si="561"/>
        <v>36963.295869790782</v>
      </c>
      <c r="AN4211" s="10">
        <f t="shared" ca="1" si="562"/>
        <v>1.1066290772826948</v>
      </c>
      <c r="AO4211" s="158"/>
      <c r="AP4211" s="158"/>
    </row>
    <row r="4212" spans="34:42">
      <c r="AH4212" s="6">
        <f t="shared" si="559"/>
        <v>4182</v>
      </c>
      <c r="AI4212" s="7">
        <f t="shared" ca="1" si="560"/>
        <v>46852</v>
      </c>
      <c r="AJ4212" s="210">
        <f t="shared" ca="1" si="563"/>
        <v>4.1749999999999998</v>
      </c>
      <c r="AK4212" s="8">
        <f t="shared" ca="1" si="565"/>
        <v>1.0001159722222221</v>
      </c>
      <c r="AL4212" s="98">
        <f t="shared" ca="1" si="564"/>
        <v>4.1715877051188954</v>
      </c>
      <c r="AM4212" s="106">
        <f t="shared" ca="1" si="561"/>
        <v>36966.341699677192</v>
      </c>
      <c r="AN4212" s="10">
        <f t="shared" ca="1" si="562"/>
        <v>1.1066592159162836</v>
      </c>
      <c r="AO4212" s="158"/>
      <c r="AP4212" s="158"/>
    </row>
    <row r="4213" spans="34:42">
      <c r="AH4213" s="6">
        <f t="shared" si="559"/>
        <v>4183</v>
      </c>
      <c r="AI4213" s="7">
        <f t="shared" ca="1" si="560"/>
        <v>46853</v>
      </c>
      <c r="AJ4213" s="210">
        <f t="shared" ca="1" si="563"/>
        <v>4.1749999999999998</v>
      </c>
      <c r="AK4213" s="8">
        <f t="shared" ca="1" si="565"/>
        <v>1.0001159722222221</v>
      </c>
      <c r="AL4213" s="98">
        <f t="shared" ca="1" si="564"/>
        <v>4.1716240187824383</v>
      </c>
      <c r="AM4213" s="106">
        <f t="shared" ca="1" si="561"/>
        <v>36969.387780544457</v>
      </c>
      <c r="AN4213" s="10">
        <f t="shared" ca="1" si="562"/>
        <v>1.1066893401487921</v>
      </c>
      <c r="AO4213" s="158"/>
      <c r="AP4213" s="158"/>
    </row>
    <row r="4214" spans="34:42">
      <c r="AH4214" s="6">
        <f t="shared" si="559"/>
        <v>4184</v>
      </c>
      <c r="AI4214" s="7">
        <f t="shared" ca="1" si="560"/>
        <v>46854</v>
      </c>
      <c r="AJ4214" s="210">
        <f t="shared" ca="1" si="563"/>
        <v>4.1749999999999998</v>
      </c>
      <c r="AK4214" s="8">
        <f t="shared" ca="1" si="565"/>
        <v>1.0001159722222221</v>
      </c>
      <c r="AL4214" s="98">
        <f t="shared" ca="1" si="564"/>
        <v>4.1716603151002785</v>
      </c>
      <c r="AM4214" s="106">
        <f t="shared" ca="1" si="561"/>
        <v>36972.434112413262</v>
      </c>
      <c r="AN4214" s="10">
        <f t="shared" ca="1" si="562"/>
        <v>1.1067194499905231</v>
      </c>
      <c r="AO4214" s="158"/>
      <c r="AP4214" s="158"/>
    </row>
    <row r="4215" spans="34:42">
      <c r="AH4215" s="6">
        <f t="shared" ref="AH4215:AH4278" si="566">$AI$29+AH4214</f>
        <v>4185</v>
      </c>
      <c r="AI4215" s="7">
        <f t="shared" ref="AI4215:AI4278" ca="1" si="567">+AH4215+$C$1</f>
        <v>46855</v>
      </c>
      <c r="AJ4215" s="210">
        <f t="shared" ca="1" si="563"/>
        <v>4.1749999999999998</v>
      </c>
      <c r="AK4215" s="8">
        <f t="shared" ca="1" si="565"/>
        <v>1.0001159722222221</v>
      </c>
      <c r="AL4215" s="98">
        <f t="shared" ca="1" si="564"/>
        <v>4.1716965940848505</v>
      </c>
      <c r="AM4215" s="106">
        <f t="shared" ca="1" si="561"/>
        <v>36975.480695304293</v>
      </c>
      <c r="AN4215" s="10">
        <f t="shared" ca="1" si="562"/>
        <v>1.1067495454518239</v>
      </c>
      <c r="AO4215" s="158"/>
      <c r="AP4215" s="158"/>
    </row>
    <row r="4216" spans="34:42">
      <c r="AH4216" s="6">
        <f t="shared" si="566"/>
        <v>4186</v>
      </c>
      <c r="AI4216" s="7">
        <f t="shared" ca="1" si="567"/>
        <v>46856</v>
      </c>
      <c r="AJ4216" s="210">
        <f t="shared" ca="1" si="563"/>
        <v>4.1749999999999998</v>
      </c>
      <c r="AK4216" s="8">
        <f t="shared" ca="1" si="565"/>
        <v>1.0001159722222221</v>
      </c>
      <c r="AL4216" s="98">
        <f t="shared" ca="1" si="564"/>
        <v>4.1717328557485667</v>
      </c>
      <c r="AM4216" s="106">
        <f t="shared" ca="1" si="561"/>
        <v>36978.527529238228</v>
      </c>
      <c r="AN4216" s="10">
        <f t="shared" ca="1" si="562"/>
        <v>1.1067796265429974</v>
      </c>
      <c r="AO4216" s="158"/>
      <c r="AP4216" s="158"/>
    </row>
    <row r="4217" spans="34:42">
      <c r="AH4217" s="6">
        <f t="shared" si="566"/>
        <v>4187</v>
      </c>
      <c r="AI4217" s="7">
        <f t="shared" ca="1" si="567"/>
        <v>46857</v>
      </c>
      <c r="AJ4217" s="210">
        <f t="shared" ca="1" si="563"/>
        <v>4.1749999999999998</v>
      </c>
      <c r="AK4217" s="8">
        <f t="shared" ca="1" si="565"/>
        <v>1.0001159722222221</v>
      </c>
      <c r="AL4217" s="98">
        <f t="shared" ca="1" si="564"/>
        <v>4.1717691001038171</v>
      </c>
      <c r="AM4217" s="106">
        <f t="shared" ca="1" si="561"/>
        <v>36981.574614235753</v>
      </c>
      <c r="AN4217" s="10">
        <f t="shared" ca="1" si="562"/>
        <v>1.1068096932742799</v>
      </c>
      <c r="AO4217" s="158"/>
      <c r="AP4217" s="158"/>
    </row>
    <row r="4218" spans="34:42">
      <c r="AH4218" s="6">
        <f t="shared" si="566"/>
        <v>4188</v>
      </c>
      <c r="AI4218" s="7">
        <f t="shared" ca="1" si="567"/>
        <v>46858</v>
      </c>
      <c r="AJ4218" s="210">
        <f t="shared" ca="1" si="563"/>
        <v>4.1749999999999998</v>
      </c>
      <c r="AK4218" s="8">
        <f t="shared" ca="1" si="565"/>
        <v>1.0001159722222221</v>
      </c>
      <c r="AL4218" s="98">
        <f t="shared" ca="1" si="564"/>
        <v>4.171805327163014</v>
      </c>
      <c r="AM4218" s="106">
        <f t="shared" ca="1" si="561"/>
        <v>36984.621950317567</v>
      </c>
      <c r="AN4218" s="10">
        <f t="shared" ca="1" si="562"/>
        <v>1.1068397456559964</v>
      </c>
      <c r="AO4218" s="158"/>
      <c r="AP4218" s="158"/>
    </row>
    <row r="4219" spans="34:42">
      <c r="AH4219" s="6">
        <f t="shared" si="566"/>
        <v>4189</v>
      </c>
      <c r="AI4219" s="7">
        <f t="shared" ca="1" si="567"/>
        <v>46859</v>
      </c>
      <c r="AJ4219" s="210">
        <f t="shared" ca="1" si="563"/>
        <v>4.1749999999999998</v>
      </c>
      <c r="AK4219" s="8">
        <f t="shared" ca="1" si="565"/>
        <v>1.0001159722222221</v>
      </c>
      <c r="AL4219" s="98">
        <f t="shared" ca="1" si="564"/>
        <v>4.1718415369385031</v>
      </c>
      <c r="AM4219" s="106">
        <f t="shared" ca="1" si="561"/>
        <v>36987.669537504349</v>
      </c>
      <c r="AN4219" s="10">
        <f t="shared" ca="1" si="562"/>
        <v>1.1068697836983832</v>
      </c>
      <c r="AO4219" s="158"/>
      <c r="AP4219" s="158"/>
    </row>
    <row r="4220" spans="34:42">
      <c r="AH4220" s="6">
        <f t="shared" si="566"/>
        <v>4190</v>
      </c>
      <c r="AI4220" s="7">
        <f t="shared" ca="1" si="567"/>
        <v>46860</v>
      </c>
      <c r="AJ4220" s="210">
        <f t="shared" ca="1" si="563"/>
        <v>4.1749999999999998</v>
      </c>
      <c r="AK4220" s="8">
        <f t="shared" ca="1" si="565"/>
        <v>1.0001159722222221</v>
      </c>
      <c r="AL4220" s="98">
        <f t="shared" ca="1" si="564"/>
        <v>4.1718777294426745</v>
      </c>
      <c r="AM4220" s="106">
        <f t="shared" ca="1" si="561"/>
        <v>36990.717375816785</v>
      </c>
      <c r="AN4220" s="10">
        <f t="shared" ca="1" si="562"/>
        <v>1.1068998074117431</v>
      </c>
      <c r="AO4220" s="158"/>
      <c r="AP4220" s="158"/>
    </row>
    <row r="4221" spans="34:42">
      <c r="AH4221" s="6">
        <f t="shared" si="566"/>
        <v>4191</v>
      </c>
      <c r="AI4221" s="7">
        <f t="shared" ca="1" si="567"/>
        <v>46861</v>
      </c>
      <c r="AJ4221" s="210">
        <f t="shared" ca="1" si="563"/>
        <v>4.1749999999999998</v>
      </c>
      <c r="AK4221" s="8">
        <f t="shared" ca="1" si="565"/>
        <v>1.0001159722222221</v>
      </c>
      <c r="AL4221" s="98">
        <f t="shared" ca="1" si="564"/>
        <v>4.1719139046878739</v>
      </c>
      <c r="AM4221" s="106">
        <f t="shared" ca="1" si="561"/>
        <v>36993.765465275581</v>
      </c>
      <c r="AN4221" s="10">
        <f t="shared" ca="1" si="562"/>
        <v>1.1069298168062902</v>
      </c>
      <c r="AO4221" s="158"/>
      <c r="AP4221" s="158"/>
    </row>
    <row r="4222" spans="34:42">
      <c r="AH4222" s="6">
        <f t="shared" si="566"/>
        <v>4192</v>
      </c>
      <c r="AI4222" s="7">
        <f t="shared" ca="1" si="567"/>
        <v>46862</v>
      </c>
      <c r="AJ4222" s="210">
        <f t="shared" ca="1" si="563"/>
        <v>4.1749999999999998</v>
      </c>
      <c r="AK4222" s="8">
        <f t="shared" ca="1" si="565"/>
        <v>1.0001159722222221</v>
      </c>
      <c r="AL4222" s="98">
        <f t="shared" ca="1" si="564"/>
        <v>4.171950062686447</v>
      </c>
      <c r="AM4222" s="106">
        <f t="shared" ca="1" si="561"/>
        <v>36996.813805901424</v>
      </c>
      <c r="AN4222" s="10">
        <f t="shared" ca="1" si="562"/>
        <v>1.106959811892283</v>
      </c>
      <c r="AO4222" s="158"/>
      <c r="AP4222" s="158"/>
    </row>
    <row r="4223" spans="34:42">
      <c r="AH4223" s="6">
        <f t="shared" si="566"/>
        <v>4193</v>
      </c>
      <c r="AI4223" s="7">
        <f t="shared" ca="1" si="567"/>
        <v>46863</v>
      </c>
      <c r="AJ4223" s="210">
        <f t="shared" ca="1" si="563"/>
        <v>4.1749999999999998</v>
      </c>
      <c r="AK4223" s="8">
        <f t="shared" ca="1" si="565"/>
        <v>1.0001159722222221</v>
      </c>
      <c r="AL4223" s="98">
        <f t="shared" ca="1" si="564"/>
        <v>4.1719862034507171</v>
      </c>
      <c r="AM4223" s="106">
        <f t="shared" ca="1" si="561"/>
        <v>36999.862397715013</v>
      </c>
      <c r="AN4223" s="10">
        <f t="shared" ca="1" si="562"/>
        <v>1.1069897926799355</v>
      </c>
      <c r="AO4223" s="158"/>
      <c r="AP4223" s="158"/>
    </row>
    <row r="4224" spans="34:42">
      <c r="AH4224" s="6">
        <f t="shared" si="566"/>
        <v>4194</v>
      </c>
      <c r="AI4224" s="7">
        <f t="shared" ca="1" si="567"/>
        <v>46864</v>
      </c>
      <c r="AJ4224" s="210">
        <f t="shared" ca="1" si="563"/>
        <v>4.1749999999999998</v>
      </c>
      <c r="AK4224" s="8">
        <f t="shared" ca="1" si="565"/>
        <v>1.0001159722222221</v>
      </c>
      <c r="AL4224" s="98">
        <f t="shared" ca="1" si="564"/>
        <v>4.1720223269930079</v>
      </c>
      <c r="AM4224" s="106">
        <f t="shared" ca="1" si="561"/>
        <v>37002.911240737049</v>
      </c>
      <c r="AN4224" s="10">
        <f t="shared" ca="1" si="562"/>
        <v>1.1070197591794839</v>
      </c>
      <c r="AO4224" s="158"/>
      <c r="AP4224" s="158"/>
    </row>
    <row r="4225" spans="34:42">
      <c r="AH4225" s="6">
        <f t="shared" si="566"/>
        <v>4195</v>
      </c>
      <c r="AI4225" s="7">
        <f t="shared" ca="1" si="567"/>
        <v>46865</v>
      </c>
      <c r="AJ4225" s="210">
        <f t="shared" ca="1" si="563"/>
        <v>4.1749999999999998</v>
      </c>
      <c r="AK4225" s="8">
        <f t="shared" ca="1" si="565"/>
        <v>1.0001159722222221</v>
      </c>
      <c r="AL4225" s="98">
        <f t="shared" ca="1" si="564"/>
        <v>4.1720584333256427</v>
      </c>
      <c r="AM4225" s="106">
        <f t="shared" ca="1" si="561"/>
        <v>37005.960334988231</v>
      </c>
      <c r="AN4225" s="10">
        <f t="shared" ca="1" si="562"/>
        <v>1.1070497114011646</v>
      </c>
      <c r="AO4225" s="158"/>
      <c r="AP4225" s="158"/>
    </row>
    <row r="4226" spans="34:42">
      <c r="AH4226" s="6">
        <f t="shared" si="566"/>
        <v>4196</v>
      </c>
      <c r="AI4226" s="7">
        <f t="shared" ca="1" si="567"/>
        <v>46866</v>
      </c>
      <c r="AJ4226" s="210">
        <f t="shared" ca="1" si="563"/>
        <v>4.1749999999999998</v>
      </c>
      <c r="AK4226" s="8">
        <f t="shared" ca="1" si="565"/>
        <v>1.0001159722222221</v>
      </c>
      <c r="AL4226" s="98">
        <f t="shared" ca="1" si="564"/>
        <v>4.1720945224609007</v>
      </c>
      <c r="AM4226" s="106">
        <f t="shared" ca="1" si="561"/>
        <v>37009.009680489253</v>
      </c>
      <c r="AN4226" s="10">
        <f t="shared" ca="1" si="562"/>
        <v>1.1070796493551471</v>
      </c>
      <c r="AO4226" s="158"/>
      <c r="AP4226" s="158"/>
    </row>
    <row r="4227" spans="34:42">
      <c r="AH4227" s="6">
        <f t="shared" si="566"/>
        <v>4197</v>
      </c>
      <c r="AI4227" s="7">
        <f t="shared" ca="1" si="567"/>
        <v>46867</v>
      </c>
      <c r="AJ4227" s="210">
        <f t="shared" ca="1" si="563"/>
        <v>4.1749999999999998</v>
      </c>
      <c r="AK4227" s="8">
        <f t="shared" ca="1" si="565"/>
        <v>1.0001159722222221</v>
      </c>
      <c r="AL4227" s="98">
        <f t="shared" ca="1" si="564"/>
        <v>4.1721305944110609</v>
      </c>
      <c r="AM4227" s="106">
        <f t="shared" ca="1" si="561"/>
        <v>37012.059277260836</v>
      </c>
      <c r="AN4227" s="10">
        <f t="shared" ca="1" si="562"/>
        <v>1.1071095730516234</v>
      </c>
      <c r="AO4227" s="158"/>
      <c r="AP4227" s="158"/>
    </row>
    <row r="4228" spans="34:42">
      <c r="AH4228" s="6">
        <f t="shared" si="566"/>
        <v>4198</v>
      </c>
      <c r="AI4228" s="7">
        <f t="shared" ca="1" si="567"/>
        <v>46868</v>
      </c>
      <c r="AJ4228" s="210">
        <f t="shared" ca="1" si="563"/>
        <v>4.1749999999999998</v>
      </c>
      <c r="AK4228" s="8">
        <f t="shared" ca="1" si="565"/>
        <v>1.0001159722222221</v>
      </c>
      <c r="AL4228" s="98">
        <f t="shared" ca="1" si="564"/>
        <v>4.1721666491884024</v>
      </c>
      <c r="AM4228" s="106">
        <f t="shared" ca="1" si="561"/>
        <v>37015.109125323659</v>
      </c>
      <c r="AN4228" s="10">
        <f t="shared" ca="1" si="562"/>
        <v>1.1071394825007852</v>
      </c>
      <c r="AO4228" s="158"/>
      <c r="AP4228" s="158"/>
    </row>
    <row r="4229" spans="34:42">
      <c r="AH4229" s="6">
        <f t="shared" si="566"/>
        <v>4199</v>
      </c>
      <c r="AI4229" s="7">
        <f t="shared" ca="1" si="567"/>
        <v>46869</v>
      </c>
      <c r="AJ4229" s="210">
        <f t="shared" ca="1" si="563"/>
        <v>4.1749999999999998</v>
      </c>
      <c r="AK4229" s="8">
        <f t="shared" ca="1" si="565"/>
        <v>1.0001159722222221</v>
      </c>
      <c r="AL4229" s="98">
        <f t="shared" ca="1" si="564"/>
        <v>4.172202686805182</v>
      </c>
      <c r="AM4229" s="106">
        <f t="shared" ca="1" si="561"/>
        <v>37018.159224698451</v>
      </c>
      <c r="AN4229" s="10">
        <f t="shared" ca="1" si="562"/>
        <v>1.1071693777128022</v>
      </c>
      <c r="AO4229" s="158"/>
      <c r="AP4229" s="158"/>
    </row>
    <row r="4230" spans="34:42">
      <c r="AH4230" s="6">
        <f t="shared" si="566"/>
        <v>4200</v>
      </c>
      <c r="AI4230" s="7">
        <f t="shared" ca="1" si="567"/>
        <v>46870</v>
      </c>
      <c r="AJ4230" s="210">
        <f t="shared" ca="1" si="563"/>
        <v>4.1749999999999998</v>
      </c>
      <c r="AK4230" s="8">
        <f t="shared" ca="1" si="565"/>
        <v>1.0001159722222221</v>
      </c>
      <c r="AL4230" s="98">
        <f t="shared" ca="1" si="564"/>
        <v>4.1722387072736566</v>
      </c>
      <c r="AM4230" s="106">
        <f t="shared" ca="1" si="561"/>
        <v>37021.209575405912</v>
      </c>
      <c r="AN4230" s="10">
        <f t="shared" ca="1" si="562"/>
        <v>1.1071992586978219</v>
      </c>
      <c r="AO4230" s="158"/>
      <c r="AP4230" s="158"/>
    </row>
    <row r="4231" spans="34:42">
      <c r="AH4231" s="6">
        <f t="shared" si="566"/>
        <v>4201</v>
      </c>
      <c r="AI4231" s="7">
        <f t="shared" ca="1" si="567"/>
        <v>46871</v>
      </c>
      <c r="AJ4231" s="210">
        <f t="shared" ca="1" si="563"/>
        <v>4.1749999999999998</v>
      </c>
      <c r="AK4231" s="8">
        <f t="shared" ca="1" si="565"/>
        <v>1.0001159722222221</v>
      </c>
      <c r="AL4231" s="98">
        <f t="shared" ca="1" si="564"/>
        <v>4.1722747106060387</v>
      </c>
      <c r="AM4231" s="106">
        <f t="shared" ca="1" si="561"/>
        <v>37024.260177466756</v>
      </c>
      <c r="AN4231" s="10">
        <f t="shared" ca="1" si="562"/>
        <v>1.1072291254660138</v>
      </c>
      <c r="AO4231" s="158"/>
      <c r="AP4231" s="158"/>
    </row>
    <row r="4232" spans="34:42">
      <c r="AH4232" s="6">
        <f t="shared" si="566"/>
        <v>4202</v>
      </c>
      <c r="AI4232" s="7">
        <f t="shared" ca="1" si="567"/>
        <v>46872</v>
      </c>
      <c r="AJ4232" s="210">
        <f t="shared" ca="1" si="563"/>
        <v>4.1749999999999998</v>
      </c>
      <c r="AK4232" s="8">
        <f t="shared" ca="1" si="565"/>
        <v>1.0001159722222221</v>
      </c>
      <c r="AL4232" s="98">
        <f t="shared" ca="1" si="564"/>
        <v>4.1723106968145851</v>
      </c>
      <c r="AM4232" s="106">
        <f t="shared" ca="1" si="561"/>
        <v>37027.311030901685</v>
      </c>
      <c r="AN4232" s="10">
        <f t="shared" ca="1" si="562"/>
        <v>1.1072589780275477</v>
      </c>
      <c r="AO4232" s="158"/>
      <c r="AP4232" s="158"/>
    </row>
    <row r="4233" spans="34:42">
      <c r="AH4233" s="6">
        <f t="shared" si="566"/>
        <v>4203</v>
      </c>
      <c r="AI4233" s="7">
        <f t="shared" ca="1" si="567"/>
        <v>46873</v>
      </c>
      <c r="AJ4233" s="210">
        <f t="shared" ca="1" si="563"/>
        <v>4.1749999999999998</v>
      </c>
      <c r="AK4233" s="8">
        <f t="shared" ca="1" si="565"/>
        <v>1.0001159722222221</v>
      </c>
      <c r="AL4233" s="98">
        <f t="shared" ca="1" si="564"/>
        <v>4.1723466659114861</v>
      </c>
      <c r="AM4233" s="106">
        <f t="shared" ca="1" si="561"/>
        <v>37030.362135731426</v>
      </c>
      <c r="AN4233" s="10">
        <f t="shared" ca="1" si="562"/>
        <v>1.1072888163925043</v>
      </c>
      <c r="AO4233" s="158"/>
      <c r="AP4233" s="158"/>
    </row>
    <row r="4234" spans="34:42">
      <c r="AH4234" s="6">
        <f t="shared" si="566"/>
        <v>4204</v>
      </c>
      <c r="AI4234" s="7">
        <f t="shared" ca="1" si="567"/>
        <v>46874</v>
      </c>
      <c r="AJ4234" s="210">
        <f t="shared" ca="1" si="563"/>
        <v>4.1749999999999998</v>
      </c>
      <c r="AK4234" s="8">
        <f t="shared" ca="1" si="565"/>
        <v>1.0001159722222221</v>
      </c>
      <c r="AL4234" s="98">
        <f t="shared" ca="1" si="564"/>
        <v>4.172382617908954</v>
      </c>
      <c r="AM4234" s="106">
        <f t="shared" ca="1" si="561"/>
        <v>37033.41349197668</v>
      </c>
      <c r="AN4234" s="10">
        <f t="shared" ca="1" si="562"/>
        <v>1.1073186405710311</v>
      </c>
      <c r="AO4234" s="158"/>
      <c r="AP4234" s="158"/>
    </row>
    <row r="4235" spans="34:42">
      <c r="AH4235" s="6">
        <f t="shared" si="566"/>
        <v>4205</v>
      </c>
      <c r="AI4235" s="7">
        <f t="shared" ca="1" si="567"/>
        <v>46875</v>
      </c>
      <c r="AJ4235" s="210">
        <f t="shared" ca="1" si="563"/>
        <v>4.1749999999999998</v>
      </c>
      <c r="AK4235" s="8">
        <f t="shared" ca="1" si="565"/>
        <v>1.0001159722222221</v>
      </c>
      <c r="AL4235" s="98">
        <f t="shared" ca="1" si="564"/>
        <v>4.1724185528191793</v>
      </c>
      <c r="AM4235" s="106">
        <f t="shared" ca="1" si="561"/>
        <v>37036.465099658177</v>
      </c>
      <c r="AN4235" s="10">
        <f t="shared" ca="1" si="562"/>
        <v>1.1073484505732534</v>
      </c>
      <c r="AO4235" s="158"/>
      <c r="AP4235" s="158"/>
    </row>
    <row r="4236" spans="34:42">
      <c r="AH4236" s="6">
        <f t="shared" si="566"/>
        <v>4206</v>
      </c>
      <c r="AI4236" s="7">
        <f t="shared" ca="1" si="567"/>
        <v>46876</v>
      </c>
      <c r="AJ4236" s="210">
        <f t="shared" ca="1" si="563"/>
        <v>4.1749999999999998</v>
      </c>
      <c r="AK4236" s="8">
        <f t="shared" ca="1" si="565"/>
        <v>1.0001159722222221</v>
      </c>
      <c r="AL4236" s="98">
        <f t="shared" ca="1" si="564"/>
        <v>4.1724544706543298</v>
      </c>
      <c r="AM4236" s="106">
        <f t="shared" ca="1" si="561"/>
        <v>37039.51695879663</v>
      </c>
      <c r="AN4236" s="10">
        <f t="shared" ca="1" si="562"/>
        <v>1.1073782464092741</v>
      </c>
      <c r="AO4236" s="158"/>
      <c r="AP4236" s="158"/>
    </row>
    <row r="4237" spans="34:42">
      <c r="AH4237" s="6">
        <f t="shared" si="566"/>
        <v>4207</v>
      </c>
      <c r="AI4237" s="7">
        <f t="shared" ca="1" si="567"/>
        <v>46877</v>
      </c>
      <c r="AJ4237" s="210">
        <f t="shared" ca="1" si="563"/>
        <v>4.1749999999999998</v>
      </c>
      <c r="AK4237" s="8">
        <f t="shared" ca="1" si="565"/>
        <v>1.0001159722222221</v>
      </c>
      <c r="AL4237" s="98">
        <f t="shared" ca="1" si="564"/>
        <v>4.172490371426596</v>
      </c>
      <c r="AM4237" s="106">
        <f t="shared" ca="1" si="561"/>
        <v>37042.569069412762</v>
      </c>
      <c r="AN4237" s="10">
        <f t="shared" ca="1" si="562"/>
        <v>1.107408028089174</v>
      </c>
      <c r="AO4237" s="158"/>
      <c r="AP4237" s="158"/>
    </row>
    <row r="4238" spans="34:42">
      <c r="AH4238" s="6">
        <f t="shared" si="566"/>
        <v>4208</v>
      </c>
      <c r="AI4238" s="7">
        <f t="shared" ca="1" si="567"/>
        <v>46878</v>
      </c>
      <c r="AJ4238" s="210">
        <f t="shared" ca="1" si="563"/>
        <v>4.1749999999999998</v>
      </c>
      <c r="AK4238" s="8">
        <f t="shared" ca="1" si="565"/>
        <v>1.0001159722222221</v>
      </c>
      <c r="AL4238" s="98">
        <f t="shared" ca="1" si="564"/>
        <v>4.1725262551481235</v>
      </c>
      <c r="AM4238" s="106">
        <f t="shared" ca="1" si="561"/>
        <v>37045.621431527288</v>
      </c>
      <c r="AN4238" s="10">
        <f t="shared" ca="1" si="562"/>
        <v>1.1074377956230563</v>
      </c>
      <c r="AO4238" s="158"/>
      <c r="AP4238" s="158"/>
    </row>
    <row r="4239" spans="34:42">
      <c r="AH4239" s="6">
        <f t="shared" si="566"/>
        <v>4209</v>
      </c>
      <c r="AI4239" s="7">
        <f t="shared" ca="1" si="567"/>
        <v>46879</v>
      </c>
      <c r="AJ4239" s="210">
        <f t="shared" ca="1" si="563"/>
        <v>4.1749999999999998</v>
      </c>
      <c r="AK4239" s="8">
        <f t="shared" ca="1" si="565"/>
        <v>1.0001159722222221</v>
      </c>
      <c r="AL4239" s="98">
        <f t="shared" ca="1" si="564"/>
        <v>4.1725621218310582</v>
      </c>
      <c r="AM4239" s="106">
        <f t="shared" ca="1" si="561"/>
        <v>37048.674045160937</v>
      </c>
      <c r="AN4239" s="10">
        <f t="shared" ca="1" si="562"/>
        <v>1.1074675490210018</v>
      </c>
      <c r="AO4239" s="158"/>
      <c r="AP4239" s="158"/>
    </row>
    <row r="4240" spans="34:42">
      <c r="AH4240" s="6">
        <f t="shared" si="566"/>
        <v>4210</v>
      </c>
      <c r="AI4240" s="7">
        <f t="shared" ca="1" si="567"/>
        <v>46880</v>
      </c>
      <c r="AJ4240" s="210">
        <f t="shared" ca="1" si="563"/>
        <v>4.1749999999999998</v>
      </c>
      <c r="AK4240" s="8">
        <f t="shared" ca="1" si="565"/>
        <v>1.0001159722222221</v>
      </c>
      <c r="AL4240" s="98">
        <f t="shared" ca="1" si="564"/>
        <v>4.1725979714875239</v>
      </c>
      <c r="AM4240" s="106">
        <f t="shared" ca="1" si="561"/>
        <v>37051.726910334437</v>
      </c>
      <c r="AN4240" s="10">
        <f t="shared" ca="1" si="562"/>
        <v>1.1074972882930467</v>
      </c>
      <c r="AO4240" s="158"/>
      <c r="AP4240" s="158"/>
    </row>
    <row r="4241" spans="34:42">
      <c r="AH4241" s="6">
        <f t="shared" si="566"/>
        <v>4211</v>
      </c>
      <c r="AI4241" s="7">
        <f t="shared" ca="1" si="567"/>
        <v>46881</v>
      </c>
      <c r="AJ4241" s="210">
        <f t="shared" ca="1" si="563"/>
        <v>4.1749999999999998</v>
      </c>
      <c r="AK4241" s="8">
        <f t="shared" ca="1" si="565"/>
        <v>1.0001159722222221</v>
      </c>
      <c r="AL4241" s="98">
        <f t="shared" ca="1" si="564"/>
        <v>4.172633804129644</v>
      </c>
      <c r="AM4241" s="106">
        <f t="shared" ca="1" si="561"/>
        <v>37054.780027068511</v>
      </c>
      <c r="AN4241" s="10">
        <f t="shared" ca="1" si="562"/>
        <v>1.1075270134492943</v>
      </c>
      <c r="AO4241" s="158"/>
      <c r="AP4241" s="158"/>
    </row>
    <row r="4242" spans="34:42">
      <c r="AH4242" s="6">
        <f t="shared" si="566"/>
        <v>4212</v>
      </c>
      <c r="AI4242" s="7">
        <f t="shared" ca="1" si="567"/>
        <v>46882</v>
      </c>
      <c r="AJ4242" s="210">
        <f t="shared" ca="1" si="563"/>
        <v>4.1749999999999998</v>
      </c>
      <c r="AK4242" s="8">
        <f t="shared" ca="1" si="565"/>
        <v>1.0001159722222221</v>
      </c>
      <c r="AL4242" s="98">
        <f t="shared" ca="1" si="564"/>
        <v>4.1726696197695201</v>
      </c>
      <c r="AM4242" s="106">
        <f t="shared" ca="1" si="561"/>
        <v>37057.833395383888</v>
      </c>
      <c r="AN4242" s="10">
        <f t="shared" ca="1" si="562"/>
        <v>1.1075567244997364</v>
      </c>
      <c r="AO4242" s="158"/>
      <c r="AP4242" s="158"/>
    </row>
    <row r="4243" spans="34:42">
      <c r="AH4243" s="6">
        <f t="shared" si="566"/>
        <v>4213</v>
      </c>
      <c r="AI4243" s="7">
        <f t="shared" ca="1" si="567"/>
        <v>46883</v>
      </c>
      <c r="AJ4243" s="210">
        <f t="shared" ca="1" si="563"/>
        <v>4.1749999999999998</v>
      </c>
      <c r="AK4243" s="8">
        <f t="shared" ca="1" si="565"/>
        <v>1.0001159722222221</v>
      </c>
      <c r="AL4243" s="98">
        <f t="shared" ca="1" si="564"/>
        <v>4.1727054184192758</v>
      </c>
      <c r="AM4243" s="106">
        <f t="shared" ca="1" si="561"/>
        <v>37060.887015301312</v>
      </c>
      <c r="AN4243" s="10">
        <f t="shared" ca="1" si="562"/>
        <v>1.107586421454454</v>
      </c>
      <c r="AO4243" s="158"/>
      <c r="AP4243" s="158"/>
    </row>
    <row r="4244" spans="34:42">
      <c r="AH4244" s="6">
        <f t="shared" si="566"/>
        <v>4214</v>
      </c>
      <c r="AI4244" s="7">
        <f t="shared" ca="1" si="567"/>
        <v>46884</v>
      </c>
      <c r="AJ4244" s="210">
        <f t="shared" ca="1" si="563"/>
        <v>4.1749999999999998</v>
      </c>
      <c r="AK4244" s="8">
        <f t="shared" ca="1" si="565"/>
        <v>1.0001159722222221</v>
      </c>
      <c r="AL4244" s="98">
        <f t="shared" ca="1" si="564"/>
        <v>4.1727412000909903</v>
      </c>
      <c r="AM4244" s="106">
        <f t="shared" ca="1" si="561"/>
        <v>37063.94088684149</v>
      </c>
      <c r="AN4244" s="10">
        <f t="shared" ca="1" si="562"/>
        <v>1.1076161043234611</v>
      </c>
      <c r="AO4244" s="158"/>
      <c r="AP4244" s="158"/>
    </row>
    <row r="4245" spans="34:42">
      <c r="AH4245" s="6">
        <f t="shared" si="566"/>
        <v>4215</v>
      </c>
      <c r="AI4245" s="7">
        <f t="shared" ca="1" si="567"/>
        <v>46885</v>
      </c>
      <c r="AJ4245" s="210">
        <f t="shared" ca="1" si="563"/>
        <v>4.1749999999999998</v>
      </c>
      <c r="AK4245" s="8">
        <f t="shared" ca="1" si="565"/>
        <v>1.0001159722222221</v>
      </c>
      <c r="AL4245" s="98">
        <f t="shared" ca="1" si="564"/>
        <v>4.1727769647967206</v>
      </c>
      <c r="AM4245" s="106">
        <f t="shared" ca="1" si="561"/>
        <v>37066.995010025174</v>
      </c>
      <c r="AN4245" s="10">
        <f t="shared" ca="1" si="562"/>
        <v>1.1076457731167721</v>
      </c>
      <c r="AO4245" s="158"/>
      <c r="AP4245" s="158"/>
    </row>
    <row r="4246" spans="34:42">
      <c r="AH4246" s="6">
        <f t="shared" si="566"/>
        <v>4216</v>
      </c>
      <c r="AI4246" s="7">
        <f t="shared" ca="1" si="567"/>
        <v>46886</v>
      </c>
      <c r="AJ4246" s="210">
        <f t="shared" ca="1" si="563"/>
        <v>4.1749999999999998</v>
      </c>
      <c r="AK4246" s="8">
        <f t="shared" ca="1" si="565"/>
        <v>1.0001159722222221</v>
      </c>
      <c r="AL4246" s="98">
        <f t="shared" ca="1" si="564"/>
        <v>4.1728127125485459</v>
      </c>
      <c r="AM4246" s="106">
        <f t="shared" ca="1" si="561"/>
        <v>37070.049384873091</v>
      </c>
      <c r="AN4246" s="10">
        <f t="shared" ca="1" si="562"/>
        <v>1.1076754278444234</v>
      </c>
      <c r="AO4246" s="158"/>
      <c r="AP4246" s="158"/>
    </row>
    <row r="4247" spans="34:42">
      <c r="AH4247" s="6">
        <f t="shared" si="566"/>
        <v>4217</v>
      </c>
      <c r="AI4247" s="7">
        <f t="shared" ca="1" si="567"/>
        <v>46887</v>
      </c>
      <c r="AJ4247" s="210">
        <f t="shared" ca="1" si="563"/>
        <v>4.1749999999999998</v>
      </c>
      <c r="AK4247" s="8">
        <f t="shared" ca="1" si="565"/>
        <v>1.0001159722222221</v>
      </c>
      <c r="AL4247" s="98">
        <f t="shared" ca="1" si="564"/>
        <v>4.1728484433585011</v>
      </c>
      <c r="AM4247" s="106">
        <f t="shared" ca="1" si="561"/>
        <v>37073.104011405987</v>
      </c>
      <c r="AN4247" s="10">
        <f t="shared" ca="1" si="562"/>
        <v>1.1077050685163625</v>
      </c>
      <c r="AO4247" s="158"/>
      <c r="AP4247" s="158"/>
    </row>
    <row r="4248" spans="34:42">
      <c r="AH4248" s="6">
        <f t="shared" si="566"/>
        <v>4218</v>
      </c>
      <c r="AI4248" s="7">
        <f t="shared" ca="1" si="567"/>
        <v>46888</v>
      </c>
      <c r="AJ4248" s="210">
        <f t="shared" ca="1" si="563"/>
        <v>4.1749999999999998</v>
      </c>
      <c r="AK4248" s="8">
        <f t="shared" ca="1" si="565"/>
        <v>1.0001159722222221</v>
      </c>
      <c r="AL4248" s="98">
        <f t="shared" ca="1" si="564"/>
        <v>4.1728841572386433</v>
      </c>
      <c r="AM4248" s="106">
        <f t="shared" ca="1" si="561"/>
        <v>37076.158889644597</v>
      </c>
      <c r="AN4248" s="10">
        <f t="shared" ca="1" si="562"/>
        <v>1.1077346951426259</v>
      </c>
      <c r="AO4248" s="158"/>
      <c r="AP4248" s="158"/>
    </row>
    <row r="4249" spans="34:42">
      <c r="AH4249" s="6">
        <f t="shared" si="566"/>
        <v>4219</v>
      </c>
      <c r="AI4249" s="7">
        <f t="shared" ca="1" si="567"/>
        <v>46889</v>
      </c>
      <c r="AJ4249" s="210">
        <f t="shared" ca="1" si="563"/>
        <v>4.1749999999999998</v>
      </c>
      <c r="AK4249" s="8">
        <f t="shared" ca="1" si="565"/>
        <v>1.0001159722222221</v>
      </c>
      <c r="AL4249" s="98">
        <f t="shared" ca="1" si="564"/>
        <v>4.1729198542010071</v>
      </c>
      <c r="AM4249" s="106">
        <f t="shared" ca="1" si="561"/>
        <v>37079.214019609673</v>
      </c>
      <c r="AN4249" s="10">
        <f t="shared" ca="1" si="562"/>
        <v>1.1077643077331834</v>
      </c>
      <c r="AO4249" s="158"/>
      <c r="AP4249" s="158"/>
    </row>
    <row r="4250" spans="34:42">
      <c r="AH4250" s="6">
        <f t="shared" si="566"/>
        <v>4220</v>
      </c>
      <c r="AI4250" s="7">
        <f t="shared" ca="1" si="567"/>
        <v>46890</v>
      </c>
      <c r="AJ4250" s="210">
        <f t="shared" ca="1" si="563"/>
        <v>4.1749999999999998</v>
      </c>
      <c r="AK4250" s="8">
        <f t="shared" ca="1" si="565"/>
        <v>1.0001159722222221</v>
      </c>
      <c r="AL4250" s="98">
        <f t="shared" ca="1" si="564"/>
        <v>4.1729555342576052</v>
      </c>
      <c r="AM4250" s="106">
        <f t="shared" ca="1" si="561"/>
        <v>37082.26940132193</v>
      </c>
      <c r="AN4250" s="10">
        <f t="shared" ca="1" si="562"/>
        <v>1.1077939062980047</v>
      </c>
      <c r="AO4250" s="158"/>
      <c r="AP4250" s="158"/>
    </row>
    <row r="4251" spans="34:42">
      <c r="AH4251" s="6">
        <f t="shared" si="566"/>
        <v>4221</v>
      </c>
      <c r="AI4251" s="7">
        <f t="shared" ca="1" si="567"/>
        <v>46891</v>
      </c>
      <c r="AJ4251" s="210">
        <f t="shared" ca="1" si="563"/>
        <v>4.1749999999999998</v>
      </c>
      <c r="AK4251" s="8">
        <f t="shared" ca="1" si="565"/>
        <v>1.0001159722222221</v>
      </c>
      <c r="AL4251" s="98">
        <f t="shared" ca="1" si="564"/>
        <v>4.1729911974204503</v>
      </c>
      <c r="AM4251" s="106">
        <f t="shared" ca="1" si="561"/>
        <v>37085.325034802139</v>
      </c>
      <c r="AN4251" s="10">
        <f t="shared" ca="1" si="562"/>
        <v>1.1078234908470597</v>
      </c>
      <c r="AO4251" s="158"/>
      <c r="AP4251" s="158"/>
    </row>
    <row r="4252" spans="34:42">
      <c r="AH4252" s="6">
        <f t="shared" si="566"/>
        <v>4222</v>
      </c>
      <c r="AI4252" s="7">
        <f t="shared" ca="1" si="567"/>
        <v>46892</v>
      </c>
      <c r="AJ4252" s="210">
        <f t="shared" ca="1" si="563"/>
        <v>4.1749999999999998</v>
      </c>
      <c r="AK4252" s="8">
        <f t="shared" ca="1" si="565"/>
        <v>1.0001159722222221</v>
      </c>
      <c r="AL4252" s="98">
        <f t="shared" ca="1" si="564"/>
        <v>4.1730268437015106</v>
      </c>
      <c r="AM4252" s="106">
        <f t="shared" ca="1" si="561"/>
        <v>37088.380920071031</v>
      </c>
      <c r="AN4252" s="10">
        <f t="shared" ca="1" si="562"/>
        <v>1.1078530613902737</v>
      </c>
      <c r="AO4252" s="158"/>
      <c r="AP4252" s="158"/>
    </row>
    <row r="4253" spans="34:42">
      <c r="AH4253" s="6">
        <f t="shared" si="566"/>
        <v>4223</v>
      </c>
      <c r="AI4253" s="7">
        <f t="shared" ca="1" si="567"/>
        <v>46893</v>
      </c>
      <c r="AJ4253" s="210">
        <f t="shared" ca="1" si="563"/>
        <v>4.1749999999999998</v>
      </c>
      <c r="AK4253" s="8">
        <f t="shared" ca="1" si="565"/>
        <v>1.0001159722222221</v>
      </c>
      <c r="AL4253" s="98">
        <f t="shared" ca="1" si="564"/>
        <v>4.1730624731127985</v>
      </c>
      <c r="AM4253" s="106">
        <f t="shared" ca="1" si="561"/>
        <v>37091.437057149356</v>
      </c>
      <c r="AN4253" s="10">
        <f t="shared" ca="1" si="562"/>
        <v>1.1078826179376167</v>
      </c>
      <c r="AO4253" s="158"/>
      <c r="AP4253" s="158"/>
    </row>
    <row r="4254" spans="34:42">
      <c r="AH4254" s="6">
        <f t="shared" si="566"/>
        <v>4224</v>
      </c>
      <c r="AI4254" s="7">
        <f t="shared" ca="1" si="567"/>
        <v>46894</v>
      </c>
      <c r="AJ4254" s="210">
        <f t="shared" ca="1" si="563"/>
        <v>4.1749999999999998</v>
      </c>
      <c r="AK4254" s="8">
        <f t="shared" ca="1" si="565"/>
        <v>1.0001159722222221</v>
      </c>
      <c r="AL4254" s="98">
        <f t="shared" ca="1" si="564"/>
        <v>4.1730980856662825</v>
      </c>
      <c r="AM4254" s="106">
        <f t="shared" ca="1" si="561"/>
        <v>37094.493446057873</v>
      </c>
      <c r="AN4254" s="10">
        <f t="shared" ca="1" si="562"/>
        <v>1.1079121604990361</v>
      </c>
      <c r="AO4254" s="158"/>
      <c r="AP4254" s="158"/>
    </row>
    <row r="4255" spans="34:42">
      <c r="AH4255" s="6">
        <f t="shared" si="566"/>
        <v>4225</v>
      </c>
      <c r="AI4255" s="7">
        <f t="shared" ca="1" si="567"/>
        <v>46895</v>
      </c>
      <c r="AJ4255" s="210">
        <f t="shared" ca="1" si="563"/>
        <v>4.1749999999999998</v>
      </c>
      <c r="AK4255" s="8">
        <f t="shared" ca="1" si="565"/>
        <v>1.0001159722222221</v>
      </c>
      <c r="AL4255" s="98">
        <f t="shared" ca="1" si="564"/>
        <v>4.1731336813739084</v>
      </c>
      <c r="AM4255" s="106">
        <f t="shared" ref="AM4255:AM4318" ca="1" si="568">Geom_Interp(AI4255,$AZ$2:$AZ$109,$BA$2:$BA$109)</f>
        <v>37097.550086817319</v>
      </c>
      <c r="AN4255" s="10">
        <f t="shared" ref="AN4255:AN4318" ca="1" si="569">100*(((1+AL4255/100)^(AH4255/365)*$AM$29/AM4255)^(365/AH4255)-1)</f>
        <v>1.1079416890844129</v>
      </c>
      <c r="AO4255" s="158"/>
      <c r="AP4255" s="158"/>
    </row>
    <row r="4256" spans="34:42">
      <c r="AH4256" s="6">
        <f t="shared" si="566"/>
        <v>4226</v>
      </c>
      <c r="AI4256" s="7">
        <f t="shared" ca="1" si="567"/>
        <v>46896</v>
      </c>
      <c r="AJ4256" s="210">
        <f t="shared" ref="AJ4256:AJ4319" ca="1" si="570">IF(AH4256&lt;365,VLOOKUP(LOOKUP(AI4256,$AI$2:$AI$23),$AI$2:$AK$23,3,0),Lin_Interp(AH4256,$AJ$2:$AJ$23,$AK$2:$AK$23))</f>
        <v>4.1749999999999998</v>
      </c>
      <c r="AK4256" s="8">
        <f t="shared" ca="1" si="565"/>
        <v>1.0001159722222221</v>
      </c>
      <c r="AL4256" s="98">
        <f t="shared" ca="1" si="564"/>
        <v>4.1731692602476445</v>
      </c>
      <c r="AM4256" s="106">
        <f t="shared" ca="1" si="568"/>
        <v>37100.606979448465</v>
      </c>
      <c r="AN4256" s="10">
        <f t="shared" ca="1" si="569"/>
        <v>1.1079712037036948</v>
      </c>
      <c r="AO4256" s="158"/>
      <c r="AP4256" s="158"/>
    </row>
    <row r="4257" spans="34:42">
      <c r="AH4257" s="6">
        <f t="shared" si="566"/>
        <v>4227</v>
      </c>
      <c r="AI4257" s="7">
        <f t="shared" ca="1" si="567"/>
        <v>46897</v>
      </c>
      <c r="AJ4257" s="210">
        <f t="shared" ca="1" si="570"/>
        <v>4.1749999999999998</v>
      </c>
      <c r="AK4257" s="8">
        <f t="shared" ca="1" si="565"/>
        <v>1.0001159722222221</v>
      </c>
      <c r="AL4257" s="98">
        <f t="shared" ref="AL4257:AL4320" ca="1" si="571">100*(((1+AL4256/100)^(AH4256/365)*AK4257)^(365/AH4257)-1)</f>
        <v>4.1732048222994145</v>
      </c>
      <c r="AM4257" s="106">
        <f t="shared" ca="1" si="568"/>
        <v>37103.664123972056</v>
      </c>
      <c r="AN4257" s="10">
        <f t="shared" ca="1" si="569"/>
        <v>1.108000704366785</v>
      </c>
      <c r="AO4257" s="158"/>
      <c r="AP4257" s="158"/>
    </row>
    <row r="4258" spans="34:42">
      <c r="AH4258" s="6">
        <f t="shared" si="566"/>
        <v>4228</v>
      </c>
      <c r="AI4258" s="7">
        <f t="shared" ca="1" si="567"/>
        <v>46898</v>
      </c>
      <c r="AJ4258" s="210">
        <f t="shared" ca="1" si="570"/>
        <v>4.1749999999999998</v>
      </c>
      <c r="AK4258" s="8">
        <f t="shared" ca="1" si="565"/>
        <v>1.0001159722222221</v>
      </c>
      <c r="AL4258" s="98">
        <f t="shared" ca="1" si="571"/>
        <v>4.1732403675411645</v>
      </c>
      <c r="AM4258" s="106">
        <f t="shared" ca="1" si="568"/>
        <v>37106.721520408835</v>
      </c>
      <c r="AN4258" s="10">
        <f t="shared" ca="1" si="569"/>
        <v>1.1080301910835866</v>
      </c>
      <c r="AO4258" s="158"/>
      <c r="AP4258" s="158"/>
    </row>
    <row r="4259" spans="34:42">
      <c r="AH4259" s="6">
        <f t="shared" si="566"/>
        <v>4229</v>
      </c>
      <c r="AI4259" s="7">
        <f t="shared" ca="1" si="567"/>
        <v>46899</v>
      </c>
      <c r="AJ4259" s="210">
        <f t="shared" ca="1" si="570"/>
        <v>4.1749999999999998</v>
      </c>
      <c r="AK4259" s="8">
        <f t="shared" ca="1" si="565"/>
        <v>1.0001159722222221</v>
      </c>
      <c r="AL4259" s="98">
        <f t="shared" ca="1" si="571"/>
        <v>4.173275895984796</v>
      </c>
      <c r="AM4259" s="106">
        <f t="shared" ca="1" si="568"/>
        <v>37109.779168779583</v>
      </c>
      <c r="AN4259" s="10">
        <f t="shared" ca="1" si="569"/>
        <v>1.1080596638639584</v>
      </c>
      <c r="AO4259" s="158"/>
      <c r="AP4259" s="158"/>
    </row>
    <row r="4260" spans="34:42">
      <c r="AH4260" s="6">
        <f t="shared" si="566"/>
        <v>4230</v>
      </c>
      <c r="AI4260" s="7">
        <f t="shared" ca="1" si="567"/>
        <v>46900</v>
      </c>
      <c r="AJ4260" s="210">
        <f t="shared" ca="1" si="570"/>
        <v>4.1749999999999998</v>
      </c>
      <c r="AK4260" s="8">
        <f t="shared" ref="AK4260:AK4323" ca="1" si="572">+(1+AJ4260/36000)</f>
        <v>1.0001159722222221</v>
      </c>
      <c r="AL4260" s="98">
        <f t="shared" ca="1" si="571"/>
        <v>4.1733114076422106</v>
      </c>
      <c r="AM4260" s="106">
        <f t="shared" ca="1" si="568"/>
        <v>37112.837069105044</v>
      </c>
      <c r="AN4260" s="10">
        <f t="shared" ca="1" si="569"/>
        <v>1.1080891227177814</v>
      </c>
      <c r="AO4260" s="158"/>
      <c r="AP4260" s="158"/>
    </row>
    <row r="4261" spans="34:42">
      <c r="AH4261" s="6">
        <f t="shared" si="566"/>
        <v>4231</v>
      </c>
      <c r="AI4261" s="7">
        <f t="shared" ca="1" si="567"/>
        <v>46901</v>
      </c>
      <c r="AJ4261" s="210">
        <f t="shared" ca="1" si="570"/>
        <v>4.1749999999999998</v>
      </c>
      <c r="AK4261" s="8">
        <f t="shared" ca="1" si="572"/>
        <v>1.0001159722222221</v>
      </c>
      <c r="AL4261" s="98">
        <f t="shared" ca="1" si="571"/>
        <v>4.17334690252531</v>
      </c>
      <c r="AM4261" s="106">
        <f t="shared" ca="1" si="568"/>
        <v>37115.895221405983</v>
      </c>
      <c r="AN4261" s="10">
        <f t="shared" ca="1" si="569"/>
        <v>1.1081185676549588</v>
      </c>
      <c r="AO4261" s="158"/>
      <c r="AP4261" s="158"/>
    </row>
    <row r="4262" spans="34:42">
      <c r="AH4262" s="6">
        <f t="shared" si="566"/>
        <v>4232</v>
      </c>
      <c r="AI4262" s="7">
        <f t="shared" ca="1" si="567"/>
        <v>46902</v>
      </c>
      <c r="AJ4262" s="210">
        <f t="shared" ca="1" si="570"/>
        <v>4.1749999999999998</v>
      </c>
      <c r="AK4262" s="8">
        <f t="shared" ca="1" si="572"/>
        <v>1.0001159722222221</v>
      </c>
      <c r="AL4262" s="98">
        <f t="shared" ca="1" si="571"/>
        <v>4.1733823806459736</v>
      </c>
      <c r="AM4262" s="106">
        <f t="shared" ca="1" si="568"/>
        <v>37118.953625703165</v>
      </c>
      <c r="AN4262" s="10">
        <f t="shared" ca="1" si="569"/>
        <v>1.1081479986853049</v>
      </c>
      <c r="AO4262" s="158"/>
      <c r="AP4262" s="158"/>
    </row>
    <row r="4263" spans="34:42">
      <c r="AH4263" s="6">
        <f t="shared" si="566"/>
        <v>4233</v>
      </c>
      <c r="AI4263" s="7">
        <f t="shared" ca="1" si="567"/>
        <v>46903</v>
      </c>
      <c r="AJ4263" s="210">
        <f t="shared" ca="1" si="570"/>
        <v>4.1749999999999998</v>
      </c>
      <c r="AK4263" s="8">
        <f t="shared" ca="1" si="572"/>
        <v>1.0001159722222221</v>
      </c>
      <c r="AL4263" s="98">
        <f t="shared" ca="1" si="571"/>
        <v>4.1734178420160806</v>
      </c>
      <c r="AM4263" s="106">
        <f t="shared" ca="1" si="568"/>
        <v>37122.012282017356</v>
      </c>
      <c r="AN4263" s="10">
        <f t="shared" ca="1" si="569"/>
        <v>1.108177415818723</v>
      </c>
      <c r="AO4263" s="158"/>
      <c r="AP4263" s="158"/>
    </row>
    <row r="4264" spans="34:42">
      <c r="AH4264" s="6">
        <f t="shared" si="566"/>
        <v>4234</v>
      </c>
      <c r="AI4264" s="7">
        <f t="shared" ca="1" si="567"/>
        <v>46904</v>
      </c>
      <c r="AJ4264" s="210">
        <f t="shared" ca="1" si="570"/>
        <v>4.1749999999999998</v>
      </c>
      <c r="AK4264" s="8">
        <f t="shared" ca="1" si="572"/>
        <v>1.0001159722222221</v>
      </c>
      <c r="AL4264" s="98">
        <f t="shared" ca="1" si="571"/>
        <v>4.1734532866474883</v>
      </c>
      <c r="AM4264" s="106">
        <f t="shared" ca="1" si="568"/>
        <v>37125.071190369323</v>
      </c>
      <c r="AN4264" s="10">
        <f t="shared" ca="1" si="569"/>
        <v>1.1082068190650052</v>
      </c>
      <c r="AO4264" s="158"/>
      <c r="AP4264" s="158"/>
    </row>
    <row r="4265" spans="34:42">
      <c r="AH4265" s="6">
        <f t="shared" si="566"/>
        <v>4235</v>
      </c>
      <c r="AI4265" s="7">
        <f t="shared" ca="1" si="567"/>
        <v>46905</v>
      </c>
      <c r="AJ4265" s="210">
        <f t="shared" ca="1" si="570"/>
        <v>4.1749999999999998</v>
      </c>
      <c r="AK4265" s="8">
        <f t="shared" ca="1" si="572"/>
        <v>1.0001159722222221</v>
      </c>
      <c r="AL4265" s="98">
        <f t="shared" ca="1" si="571"/>
        <v>4.1734887145520316</v>
      </c>
      <c r="AM4265" s="106">
        <f t="shared" ca="1" si="568"/>
        <v>37128.130350779829</v>
      </c>
      <c r="AN4265" s="10">
        <f t="shared" ca="1" si="569"/>
        <v>1.1082362084340103</v>
      </c>
      <c r="AO4265" s="158"/>
      <c r="AP4265" s="158"/>
    </row>
    <row r="4266" spans="34:42">
      <c r="AH4266" s="6">
        <f t="shared" si="566"/>
        <v>4236</v>
      </c>
      <c r="AI4266" s="7">
        <f t="shared" ca="1" si="567"/>
        <v>46906</v>
      </c>
      <c r="AJ4266" s="210">
        <f t="shared" ca="1" si="570"/>
        <v>4.1749999999999998</v>
      </c>
      <c r="AK4266" s="8">
        <f t="shared" ca="1" si="572"/>
        <v>1.0001159722222221</v>
      </c>
      <c r="AL4266" s="98">
        <f t="shared" ca="1" si="571"/>
        <v>4.1735241257415678</v>
      </c>
      <c r="AM4266" s="106">
        <f t="shared" ca="1" si="568"/>
        <v>37131.189763269649</v>
      </c>
      <c r="AN4266" s="10">
        <f t="shared" ca="1" si="569"/>
        <v>1.1082655839355526</v>
      </c>
      <c r="AO4266" s="158"/>
      <c r="AP4266" s="158"/>
    </row>
    <row r="4267" spans="34:42">
      <c r="AH4267" s="6">
        <f t="shared" si="566"/>
        <v>4237</v>
      </c>
      <c r="AI4267" s="7">
        <f t="shared" ca="1" si="567"/>
        <v>46907</v>
      </c>
      <c r="AJ4267" s="210">
        <f t="shared" ca="1" si="570"/>
        <v>4.1749999999999998</v>
      </c>
      <c r="AK4267" s="8">
        <f t="shared" ca="1" si="572"/>
        <v>1.0001159722222221</v>
      </c>
      <c r="AL4267" s="98">
        <f t="shared" ca="1" si="571"/>
        <v>4.1735595202279097</v>
      </c>
      <c r="AM4267" s="106">
        <f t="shared" ca="1" si="568"/>
        <v>37134.249427859555</v>
      </c>
      <c r="AN4267" s="10">
        <f t="shared" ca="1" si="569"/>
        <v>1.1082949455794466</v>
      </c>
      <c r="AO4267" s="158"/>
      <c r="AP4267" s="158"/>
    </row>
    <row r="4268" spans="34:42">
      <c r="AH4268" s="6">
        <f t="shared" si="566"/>
        <v>4238</v>
      </c>
      <c r="AI4268" s="7">
        <f t="shared" ca="1" si="567"/>
        <v>46908</v>
      </c>
      <c r="AJ4268" s="210">
        <f t="shared" ca="1" si="570"/>
        <v>4.1749999999999998</v>
      </c>
      <c r="AK4268" s="8">
        <f t="shared" ca="1" si="572"/>
        <v>1.0001159722222221</v>
      </c>
      <c r="AL4268" s="98">
        <f t="shared" ca="1" si="571"/>
        <v>4.1735948980228699</v>
      </c>
      <c r="AM4268" s="106">
        <f t="shared" ca="1" si="568"/>
        <v>37137.30934457032</v>
      </c>
      <c r="AN4268" s="10">
        <f t="shared" ca="1" si="569"/>
        <v>1.1083242933754622</v>
      </c>
      <c r="AO4268" s="158"/>
      <c r="AP4268" s="158"/>
    </row>
    <row r="4269" spans="34:42">
      <c r="AH4269" s="6">
        <f t="shared" si="566"/>
        <v>4239</v>
      </c>
      <c r="AI4269" s="7">
        <f t="shared" ca="1" si="567"/>
        <v>46909</v>
      </c>
      <c r="AJ4269" s="210">
        <f t="shared" ca="1" si="570"/>
        <v>4.1749999999999998</v>
      </c>
      <c r="AK4269" s="8">
        <f t="shared" ca="1" si="572"/>
        <v>1.0001159722222221</v>
      </c>
      <c r="AL4269" s="98">
        <f t="shared" ca="1" si="571"/>
        <v>4.1736302591382612</v>
      </c>
      <c r="AM4269" s="106">
        <f t="shared" ca="1" si="568"/>
        <v>37140.369513422709</v>
      </c>
      <c r="AN4269" s="10">
        <f t="shared" ca="1" si="569"/>
        <v>1.108353627333436</v>
      </c>
      <c r="AO4269" s="158"/>
      <c r="AP4269" s="158"/>
    </row>
    <row r="4270" spans="34:42">
      <c r="AH4270" s="6">
        <f t="shared" si="566"/>
        <v>4240</v>
      </c>
      <c r="AI4270" s="7">
        <f t="shared" ca="1" si="567"/>
        <v>46910</v>
      </c>
      <c r="AJ4270" s="210">
        <f t="shared" ca="1" si="570"/>
        <v>4.1749999999999998</v>
      </c>
      <c r="AK4270" s="8">
        <f t="shared" ca="1" si="572"/>
        <v>1.0001159722222221</v>
      </c>
      <c r="AL4270" s="98">
        <f t="shared" ca="1" si="571"/>
        <v>4.1736656035858744</v>
      </c>
      <c r="AM4270" s="106">
        <f t="shared" ca="1" si="568"/>
        <v>37143.42993443751</v>
      </c>
      <c r="AN4270" s="10">
        <f t="shared" ca="1" si="569"/>
        <v>1.1083829474631601</v>
      </c>
      <c r="AO4270" s="158"/>
      <c r="AP4270" s="158"/>
    </row>
    <row r="4271" spans="34:42">
      <c r="AH4271" s="6">
        <f t="shared" si="566"/>
        <v>4241</v>
      </c>
      <c r="AI4271" s="7">
        <f t="shared" ca="1" si="567"/>
        <v>46911</v>
      </c>
      <c r="AJ4271" s="210">
        <f t="shared" ca="1" si="570"/>
        <v>4.1749999999999998</v>
      </c>
      <c r="AK4271" s="8">
        <f t="shared" ca="1" si="572"/>
        <v>1.0001159722222221</v>
      </c>
      <c r="AL4271" s="98">
        <f t="shared" ca="1" si="571"/>
        <v>4.1737009313774998</v>
      </c>
      <c r="AM4271" s="106">
        <f t="shared" ca="1" si="568"/>
        <v>37146.490607635511</v>
      </c>
      <c r="AN4271" s="10">
        <f t="shared" ca="1" si="569"/>
        <v>1.1084122537743824</v>
      </c>
      <c r="AO4271" s="158"/>
      <c r="AP4271" s="158"/>
    </row>
    <row r="4272" spans="34:42">
      <c r="AH4272" s="6">
        <f t="shared" si="566"/>
        <v>4242</v>
      </c>
      <c r="AI4272" s="7">
        <f t="shared" ca="1" si="567"/>
        <v>46912</v>
      </c>
      <c r="AJ4272" s="210">
        <f t="shared" ca="1" si="570"/>
        <v>4.1749999999999998</v>
      </c>
      <c r="AK4272" s="8">
        <f t="shared" ca="1" si="572"/>
        <v>1.0001159722222221</v>
      </c>
      <c r="AL4272" s="98">
        <f t="shared" ca="1" si="571"/>
        <v>4.1737362425249058</v>
      </c>
      <c r="AM4272" s="106">
        <f t="shared" ca="1" si="568"/>
        <v>37149.551533037469</v>
      </c>
      <c r="AN4272" s="10">
        <f t="shared" ca="1" si="569"/>
        <v>1.1084415462768726</v>
      </c>
      <c r="AO4272" s="158"/>
      <c r="AP4272" s="158"/>
    </row>
    <row r="4273" spans="34:42">
      <c r="AH4273" s="6">
        <f t="shared" si="566"/>
        <v>4243</v>
      </c>
      <c r="AI4273" s="7">
        <f t="shared" ca="1" si="567"/>
        <v>46913</v>
      </c>
      <c r="AJ4273" s="210">
        <f t="shared" ca="1" si="570"/>
        <v>4.1749999999999998</v>
      </c>
      <c r="AK4273" s="8">
        <f t="shared" ca="1" si="572"/>
        <v>1.0001159722222221</v>
      </c>
      <c r="AL4273" s="98">
        <f t="shared" ca="1" si="571"/>
        <v>4.1737715370398387</v>
      </c>
      <c r="AM4273" s="106">
        <f t="shared" ca="1" si="568"/>
        <v>37152.61271066418</v>
      </c>
      <c r="AN4273" s="10">
        <f t="shared" ca="1" si="569"/>
        <v>1.1084708249804009</v>
      </c>
      <c r="AO4273" s="158"/>
      <c r="AP4273" s="158"/>
    </row>
    <row r="4274" spans="34:42">
      <c r="AH4274" s="6">
        <f t="shared" si="566"/>
        <v>4244</v>
      </c>
      <c r="AI4274" s="7">
        <f t="shared" ca="1" si="567"/>
        <v>46914</v>
      </c>
      <c r="AJ4274" s="210">
        <f t="shared" ca="1" si="570"/>
        <v>4.1749999999999998</v>
      </c>
      <c r="AK4274" s="8">
        <f t="shared" ca="1" si="572"/>
        <v>1.0001159722222221</v>
      </c>
      <c r="AL4274" s="98">
        <f t="shared" ca="1" si="571"/>
        <v>4.1738068149340668</v>
      </c>
      <c r="AM4274" s="106">
        <f t="shared" ca="1" si="568"/>
        <v>37155.674140536423</v>
      </c>
      <c r="AN4274" s="10">
        <f t="shared" ca="1" si="569"/>
        <v>1.108500089894715</v>
      </c>
      <c r="AO4274" s="158"/>
      <c r="AP4274" s="158"/>
    </row>
    <row r="4275" spans="34:42">
      <c r="AH4275" s="6">
        <f t="shared" si="566"/>
        <v>4245</v>
      </c>
      <c r="AI4275" s="7">
        <f t="shared" ca="1" si="567"/>
        <v>46915</v>
      </c>
      <c r="AJ4275" s="210">
        <f t="shared" ca="1" si="570"/>
        <v>4.1749999999999998</v>
      </c>
      <c r="AK4275" s="8">
        <f t="shared" ca="1" si="572"/>
        <v>1.0001159722222221</v>
      </c>
      <c r="AL4275" s="98">
        <f t="shared" ca="1" si="571"/>
        <v>4.173842076219314</v>
      </c>
      <c r="AM4275" s="106">
        <f t="shared" ca="1" si="568"/>
        <v>37158.735822674986</v>
      </c>
      <c r="AN4275" s="10">
        <f t="shared" ca="1" si="569"/>
        <v>1.1085293410295405</v>
      </c>
      <c r="AO4275" s="158"/>
      <c r="AP4275" s="158"/>
    </row>
    <row r="4276" spans="34:42">
      <c r="AH4276" s="6">
        <f t="shared" si="566"/>
        <v>4246</v>
      </c>
      <c r="AI4276" s="7">
        <f t="shared" ca="1" si="567"/>
        <v>46916</v>
      </c>
      <c r="AJ4276" s="210">
        <f t="shared" ca="1" si="570"/>
        <v>4.1749999999999998</v>
      </c>
      <c r="AK4276" s="8">
        <f t="shared" ca="1" si="572"/>
        <v>1.0001159722222221</v>
      </c>
      <c r="AL4276" s="98">
        <f t="shared" ca="1" si="571"/>
        <v>4.1738773209073043</v>
      </c>
      <c r="AM4276" s="106">
        <f t="shared" ca="1" si="568"/>
        <v>37161.797757100656</v>
      </c>
      <c r="AN4276" s="10">
        <f t="shared" ca="1" si="569"/>
        <v>1.108558578394625</v>
      </c>
      <c r="AO4276" s="158"/>
      <c r="AP4276" s="158"/>
    </row>
    <row r="4277" spans="34:42">
      <c r="AH4277" s="6">
        <f t="shared" si="566"/>
        <v>4247</v>
      </c>
      <c r="AI4277" s="7">
        <f t="shared" ca="1" si="567"/>
        <v>46917</v>
      </c>
      <c r="AJ4277" s="210">
        <f t="shared" ca="1" si="570"/>
        <v>4.1749999999999998</v>
      </c>
      <c r="AK4277" s="8">
        <f t="shared" ca="1" si="572"/>
        <v>1.0001159722222221</v>
      </c>
      <c r="AL4277" s="98">
        <f t="shared" ca="1" si="571"/>
        <v>4.1739125490097617</v>
      </c>
      <c r="AM4277" s="106">
        <f t="shared" ca="1" si="568"/>
        <v>37164.859943834221</v>
      </c>
      <c r="AN4277" s="10">
        <f t="shared" ca="1" si="569"/>
        <v>1.108587801999672</v>
      </c>
      <c r="AO4277" s="158"/>
      <c r="AP4277" s="158"/>
    </row>
    <row r="4278" spans="34:42">
      <c r="AH4278" s="6">
        <f t="shared" si="566"/>
        <v>4248</v>
      </c>
      <c r="AI4278" s="7">
        <f t="shared" ca="1" si="567"/>
        <v>46918</v>
      </c>
      <c r="AJ4278" s="210">
        <f t="shared" ca="1" si="570"/>
        <v>4.1749999999999998</v>
      </c>
      <c r="AK4278" s="8">
        <f t="shared" ca="1" si="572"/>
        <v>1.0001159722222221</v>
      </c>
      <c r="AL4278" s="98">
        <f t="shared" ca="1" si="571"/>
        <v>4.1739477605383879</v>
      </c>
      <c r="AM4278" s="106">
        <f t="shared" ca="1" si="568"/>
        <v>37167.922382896475</v>
      </c>
      <c r="AN4278" s="10">
        <f t="shared" ca="1" si="569"/>
        <v>1.1086170118543848</v>
      </c>
      <c r="AO4278" s="158"/>
      <c r="AP4278" s="158"/>
    </row>
    <row r="4279" spans="34:42">
      <c r="AH4279" s="6">
        <f t="shared" ref="AH4279:AH4342" si="573">$AI$29+AH4278</f>
        <v>4249</v>
      </c>
      <c r="AI4279" s="7">
        <f t="shared" ref="AI4279:AI4342" ca="1" si="574">+AH4279+$C$1</f>
        <v>46919</v>
      </c>
      <c r="AJ4279" s="210">
        <f t="shared" ca="1" si="570"/>
        <v>4.1749999999999998</v>
      </c>
      <c r="AK4279" s="8">
        <f t="shared" ca="1" si="572"/>
        <v>1.0001159722222221</v>
      </c>
      <c r="AL4279" s="98">
        <f t="shared" ca="1" si="571"/>
        <v>4.1739829555048846</v>
      </c>
      <c r="AM4279" s="106">
        <f t="shared" ca="1" si="568"/>
        <v>37170.985074308199</v>
      </c>
      <c r="AN4279" s="10">
        <f t="shared" ca="1" si="569"/>
        <v>1.1086462079685111</v>
      </c>
      <c r="AO4279" s="158"/>
      <c r="AP4279" s="158"/>
    </row>
    <row r="4280" spans="34:42">
      <c r="AH4280" s="6">
        <f t="shared" si="573"/>
        <v>4250</v>
      </c>
      <c r="AI4280" s="7">
        <f t="shared" ca="1" si="574"/>
        <v>46920</v>
      </c>
      <c r="AJ4280" s="210">
        <f t="shared" ca="1" si="570"/>
        <v>4.1749999999999998</v>
      </c>
      <c r="AK4280" s="8">
        <f t="shared" ca="1" si="572"/>
        <v>1.0001159722222221</v>
      </c>
      <c r="AL4280" s="98">
        <f t="shared" ca="1" si="571"/>
        <v>4.1740181339209093</v>
      </c>
      <c r="AM4280" s="106">
        <f t="shared" ca="1" si="568"/>
        <v>37174.048018090209</v>
      </c>
      <c r="AN4280" s="10">
        <f t="shared" ca="1" si="569"/>
        <v>1.1086753903516877</v>
      </c>
      <c r="AO4280" s="158"/>
      <c r="AP4280" s="158"/>
    </row>
    <row r="4281" spans="34:42">
      <c r="AH4281" s="6">
        <f t="shared" si="573"/>
        <v>4251</v>
      </c>
      <c r="AI4281" s="7">
        <f t="shared" ca="1" si="574"/>
        <v>46921</v>
      </c>
      <c r="AJ4281" s="210">
        <f t="shared" ca="1" si="570"/>
        <v>4.1749999999999998</v>
      </c>
      <c r="AK4281" s="8">
        <f t="shared" ca="1" si="572"/>
        <v>1.0001159722222221</v>
      </c>
      <c r="AL4281" s="98">
        <f t="shared" ca="1" si="571"/>
        <v>4.1740532957981635</v>
      </c>
      <c r="AM4281" s="106">
        <f t="shared" ca="1" si="568"/>
        <v>37177.11121426327</v>
      </c>
      <c r="AN4281" s="10">
        <f t="shared" ca="1" si="569"/>
        <v>1.1087045590136402</v>
      </c>
      <c r="AO4281" s="158"/>
      <c r="AP4281" s="158"/>
    </row>
    <row r="4282" spans="34:42">
      <c r="AH4282" s="6">
        <f t="shared" si="573"/>
        <v>4252</v>
      </c>
      <c r="AI4282" s="7">
        <f t="shared" ca="1" si="574"/>
        <v>46922</v>
      </c>
      <c r="AJ4282" s="210">
        <f t="shared" ca="1" si="570"/>
        <v>4.1749999999999998</v>
      </c>
      <c r="AK4282" s="8">
        <f t="shared" ca="1" si="572"/>
        <v>1.0001159722222221</v>
      </c>
      <c r="AL4282" s="98">
        <f t="shared" ca="1" si="571"/>
        <v>4.1740884411482826</v>
      </c>
      <c r="AM4282" s="106">
        <f t="shared" ca="1" si="568"/>
        <v>37180.1746628482</v>
      </c>
      <c r="AN4282" s="10">
        <f t="shared" ca="1" si="569"/>
        <v>1.1087337139640274</v>
      </c>
      <c r="AO4282" s="158"/>
      <c r="AP4282" s="158"/>
    </row>
    <row r="4283" spans="34:42">
      <c r="AH4283" s="6">
        <f t="shared" si="573"/>
        <v>4253</v>
      </c>
      <c r="AI4283" s="7">
        <f t="shared" ca="1" si="574"/>
        <v>46923</v>
      </c>
      <c r="AJ4283" s="210">
        <f t="shared" ca="1" si="570"/>
        <v>4.1749999999999998</v>
      </c>
      <c r="AK4283" s="8">
        <f t="shared" ca="1" si="572"/>
        <v>1.0001159722222221</v>
      </c>
      <c r="AL4283" s="98">
        <f t="shared" ca="1" si="571"/>
        <v>4.174123569982946</v>
      </c>
      <c r="AM4283" s="106">
        <f t="shared" ca="1" si="568"/>
        <v>37183.238363865807</v>
      </c>
      <c r="AN4283" s="10">
        <f t="shared" ca="1" si="569"/>
        <v>1.1087628552125084</v>
      </c>
      <c r="AO4283" s="158"/>
      <c r="AP4283" s="158"/>
    </row>
    <row r="4284" spans="34:42">
      <c r="AH4284" s="6">
        <f t="shared" si="573"/>
        <v>4254</v>
      </c>
      <c r="AI4284" s="7">
        <f t="shared" ca="1" si="574"/>
        <v>46924</v>
      </c>
      <c r="AJ4284" s="210">
        <f t="shared" ca="1" si="570"/>
        <v>4.1749999999999998</v>
      </c>
      <c r="AK4284" s="8">
        <f t="shared" ca="1" si="572"/>
        <v>1.0001159722222221</v>
      </c>
      <c r="AL4284" s="98">
        <f t="shared" ca="1" si="571"/>
        <v>4.1741586823137666</v>
      </c>
      <c r="AM4284" s="106">
        <f t="shared" ca="1" si="568"/>
        <v>37186.302317336871</v>
      </c>
      <c r="AN4284" s="10">
        <f t="shared" ca="1" si="569"/>
        <v>1.1087919827687642</v>
      </c>
      <c r="AO4284" s="158"/>
      <c r="AP4284" s="158"/>
    </row>
    <row r="4285" spans="34:42">
      <c r="AH4285" s="6">
        <f t="shared" si="573"/>
        <v>4255</v>
      </c>
      <c r="AI4285" s="7">
        <f t="shared" ca="1" si="574"/>
        <v>46925</v>
      </c>
      <c r="AJ4285" s="210">
        <f t="shared" ca="1" si="570"/>
        <v>4.1749999999999998</v>
      </c>
      <c r="AK4285" s="8">
        <f t="shared" ca="1" si="572"/>
        <v>1.0001159722222221</v>
      </c>
      <c r="AL4285" s="98">
        <f t="shared" ca="1" si="571"/>
        <v>4.1741937781523797</v>
      </c>
      <c r="AM4285" s="106">
        <f t="shared" ca="1" si="568"/>
        <v>37189.366523282195</v>
      </c>
      <c r="AN4285" s="10">
        <f t="shared" ca="1" si="569"/>
        <v>1.1088210966424095</v>
      </c>
      <c r="AO4285" s="158"/>
      <c r="AP4285" s="158"/>
    </row>
    <row r="4286" spans="34:42">
      <c r="AH4286" s="6">
        <f t="shared" si="573"/>
        <v>4256</v>
      </c>
      <c r="AI4286" s="7">
        <f t="shared" ca="1" si="574"/>
        <v>46926</v>
      </c>
      <c r="AJ4286" s="210">
        <f t="shared" ca="1" si="570"/>
        <v>4.1749999999999998</v>
      </c>
      <c r="AK4286" s="8">
        <f t="shared" ca="1" si="572"/>
        <v>1.0001159722222221</v>
      </c>
      <c r="AL4286" s="98">
        <f t="shared" ca="1" si="571"/>
        <v>4.1742288575103981</v>
      </c>
      <c r="AM4286" s="106">
        <f t="shared" ca="1" si="568"/>
        <v>37192.430981722602</v>
      </c>
      <c r="AN4286" s="10">
        <f t="shared" ca="1" si="569"/>
        <v>1.108850196843103</v>
      </c>
      <c r="AO4286" s="158"/>
      <c r="AP4286" s="158"/>
    </row>
    <row r="4287" spans="34:42">
      <c r="AH4287" s="6">
        <f t="shared" si="573"/>
        <v>4257</v>
      </c>
      <c r="AI4287" s="7">
        <f t="shared" ca="1" si="574"/>
        <v>46927</v>
      </c>
      <c r="AJ4287" s="210">
        <f t="shared" ca="1" si="570"/>
        <v>4.1749999999999998</v>
      </c>
      <c r="AK4287" s="8">
        <f t="shared" ca="1" si="572"/>
        <v>1.0001159722222221</v>
      </c>
      <c r="AL4287" s="98">
        <f t="shared" ca="1" si="571"/>
        <v>4.1742639203994347</v>
      </c>
      <c r="AM4287" s="106">
        <f t="shared" ca="1" si="568"/>
        <v>37195.495692678887</v>
      </c>
      <c r="AN4287" s="10">
        <f t="shared" ca="1" si="569"/>
        <v>1.1088792833804817</v>
      </c>
      <c r="AO4287" s="158"/>
      <c r="AP4287" s="158"/>
    </row>
    <row r="4288" spans="34:42">
      <c r="AH4288" s="6">
        <f t="shared" si="573"/>
        <v>4258</v>
      </c>
      <c r="AI4288" s="7">
        <f t="shared" ca="1" si="574"/>
        <v>46928</v>
      </c>
      <c r="AJ4288" s="210">
        <f t="shared" ca="1" si="570"/>
        <v>4.1749999999999998</v>
      </c>
      <c r="AK4288" s="8">
        <f t="shared" ca="1" si="572"/>
        <v>1.0001159722222221</v>
      </c>
      <c r="AL4288" s="98">
        <f t="shared" ca="1" si="571"/>
        <v>4.1742989668310804</v>
      </c>
      <c r="AM4288" s="106">
        <f t="shared" ca="1" si="568"/>
        <v>37198.560656171852</v>
      </c>
      <c r="AN4288" s="10">
        <f t="shared" ca="1" si="569"/>
        <v>1.10890835626416</v>
      </c>
      <c r="AO4288" s="158"/>
      <c r="AP4288" s="158"/>
    </row>
    <row r="4289" spans="34:42">
      <c r="AH4289" s="6">
        <f t="shared" si="573"/>
        <v>4259</v>
      </c>
      <c r="AI4289" s="7">
        <f t="shared" ca="1" si="574"/>
        <v>46929</v>
      </c>
      <c r="AJ4289" s="210">
        <f t="shared" ca="1" si="570"/>
        <v>4.1749999999999998</v>
      </c>
      <c r="AK4289" s="8">
        <f t="shared" ca="1" si="572"/>
        <v>1.0001159722222221</v>
      </c>
      <c r="AL4289" s="98">
        <f t="shared" ca="1" si="571"/>
        <v>4.1743339968169257</v>
      </c>
      <c r="AM4289" s="106">
        <f t="shared" ca="1" si="568"/>
        <v>37201.625872222306</v>
      </c>
      <c r="AN4289" s="10">
        <f t="shared" ca="1" si="569"/>
        <v>1.1089374155037302</v>
      </c>
      <c r="AO4289" s="158"/>
      <c r="AP4289" s="158"/>
    </row>
    <row r="4290" spans="34:42">
      <c r="AH4290" s="6">
        <f t="shared" si="573"/>
        <v>4260</v>
      </c>
      <c r="AI4290" s="7">
        <f t="shared" ca="1" si="574"/>
        <v>46930</v>
      </c>
      <c r="AJ4290" s="210">
        <f t="shared" ca="1" si="570"/>
        <v>4.1749999999999998</v>
      </c>
      <c r="AK4290" s="8">
        <f t="shared" ca="1" si="572"/>
        <v>1.0001159722222221</v>
      </c>
      <c r="AL4290" s="98">
        <f t="shared" ca="1" si="571"/>
        <v>4.1743690103685394</v>
      </c>
      <c r="AM4290" s="106">
        <f t="shared" ca="1" si="568"/>
        <v>37204.691340851074</v>
      </c>
      <c r="AN4290" s="10">
        <f t="shared" ca="1" si="569"/>
        <v>1.108966461108829</v>
      </c>
      <c r="AO4290" s="158"/>
      <c r="AP4290" s="158"/>
    </row>
    <row r="4291" spans="34:42">
      <c r="AH4291" s="6">
        <f t="shared" si="573"/>
        <v>4261</v>
      </c>
      <c r="AI4291" s="7">
        <f t="shared" ca="1" si="574"/>
        <v>46931</v>
      </c>
      <c r="AJ4291" s="210">
        <f t="shared" ca="1" si="570"/>
        <v>4.1749999999999998</v>
      </c>
      <c r="AK4291" s="8">
        <f t="shared" ca="1" si="572"/>
        <v>1.0001159722222221</v>
      </c>
      <c r="AL4291" s="98">
        <f t="shared" ca="1" si="571"/>
        <v>4.1744040074974897</v>
      </c>
      <c r="AM4291" s="106">
        <f t="shared" ca="1" si="568"/>
        <v>37207.757062078963</v>
      </c>
      <c r="AN4291" s="10">
        <f t="shared" ca="1" si="569"/>
        <v>1.1089954930890267</v>
      </c>
      <c r="AO4291" s="158"/>
      <c r="AP4291" s="158"/>
    </row>
    <row r="4292" spans="34:42">
      <c r="AH4292" s="6">
        <f t="shared" si="573"/>
        <v>4262</v>
      </c>
      <c r="AI4292" s="7">
        <f t="shared" ca="1" si="574"/>
        <v>46932</v>
      </c>
      <c r="AJ4292" s="210">
        <f t="shared" ca="1" si="570"/>
        <v>4.1749999999999998</v>
      </c>
      <c r="AK4292" s="8">
        <f t="shared" ca="1" si="572"/>
        <v>1.0001159722222221</v>
      </c>
      <c r="AL4292" s="98">
        <f t="shared" ca="1" si="571"/>
        <v>4.1744389882153232</v>
      </c>
      <c r="AM4292" s="106">
        <f t="shared" ca="1" si="568"/>
        <v>37210.823035926776</v>
      </c>
      <c r="AN4292" s="10">
        <f t="shared" ca="1" si="569"/>
        <v>1.1090245114539155</v>
      </c>
      <c r="AO4292" s="158"/>
      <c r="AP4292" s="158"/>
    </row>
    <row r="4293" spans="34:42">
      <c r="AH4293" s="6">
        <f t="shared" si="573"/>
        <v>4263</v>
      </c>
      <c r="AI4293" s="7">
        <f t="shared" ca="1" si="574"/>
        <v>46933</v>
      </c>
      <c r="AJ4293" s="210">
        <f t="shared" ca="1" si="570"/>
        <v>4.1749999999999998</v>
      </c>
      <c r="AK4293" s="8">
        <f t="shared" ca="1" si="572"/>
        <v>1.0001159722222221</v>
      </c>
      <c r="AL4293" s="98">
        <f t="shared" ca="1" si="571"/>
        <v>4.1744739525335639</v>
      </c>
      <c r="AM4293" s="106">
        <f t="shared" ca="1" si="568"/>
        <v>37213.889262415352</v>
      </c>
      <c r="AN4293" s="10">
        <f t="shared" ca="1" si="569"/>
        <v>1.1090535162130433</v>
      </c>
      <c r="AO4293" s="158"/>
      <c r="AP4293" s="158"/>
    </row>
    <row r="4294" spans="34:42">
      <c r="AH4294" s="6">
        <f t="shared" si="573"/>
        <v>4264</v>
      </c>
      <c r="AI4294" s="7">
        <f t="shared" ca="1" si="574"/>
        <v>46934</v>
      </c>
      <c r="AJ4294" s="210">
        <f t="shared" ca="1" si="570"/>
        <v>4.1749999999999998</v>
      </c>
      <c r="AK4294" s="8">
        <f t="shared" ca="1" si="572"/>
        <v>1.0001159722222221</v>
      </c>
      <c r="AL4294" s="98">
        <f t="shared" ca="1" si="571"/>
        <v>4.1745089004637581</v>
      </c>
      <c r="AM4294" s="106">
        <f t="shared" ca="1" si="568"/>
        <v>37216.955741565485</v>
      </c>
      <c r="AN4294" s="10">
        <f t="shared" ca="1" si="569"/>
        <v>1.1090825073760247</v>
      </c>
      <c r="AO4294" s="158"/>
      <c r="AP4294" s="158"/>
    </row>
    <row r="4295" spans="34:42">
      <c r="AH4295" s="6">
        <f t="shared" si="573"/>
        <v>4265</v>
      </c>
      <c r="AI4295" s="7">
        <f t="shared" ca="1" si="574"/>
        <v>46935</v>
      </c>
      <c r="AJ4295" s="210">
        <f t="shared" ca="1" si="570"/>
        <v>4.1749999999999998</v>
      </c>
      <c r="AK4295" s="8">
        <f t="shared" ca="1" si="572"/>
        <v>1.0001159722222221</v>
      </c>
      <c r="AL4295" s="98">
        <f t="shared" ca="1" si="571"/>
        <v>4.17454383201743</v>
      </c>
      <c r="AM4295" s="106">
        <f t="shared" ca="1" si="568"/>
        <v>37220.022473398007</v>
      </c>
      <c r="AN4295" s="10">
        <f t="shared" ca="1" si="569"/>
        <v>1.1091114849523853</v>
      </c>
      <c r="AO4295" s="158"/>
      <c r="AP4295" s="158"/>
    </row>
    <row r="4296" spans="34:42">
      <c r="AH4296" s="6">
        <f t="shared" si="573"/>
        <v>4266</v>
      </c>
      <c r="AI4296" s="7">
        <f t="shared" ca="1" si="574"/>
        <v>46936</v>
      </c>
      <c r="AJ4296" s="210">
        <f t="shared" ca="1" si="570"/>
        <v>4.1749999999999998</v>
      </c>
      <c r="AK4296" s="8">
        <f t="shared" ca="1" si="572"/>
        <v>1.0001159722222221</v>
      </c>
      <c r="AL4296" s="98">
        <f t="shared" ca="1" si="571"/>
        <v>4.1745787472060814</v>
      </c>
      <c r="AM4296" s="106">
        <f t="shared" ca="1" si="568"/>
        <v>37223.089457933747</v>
      </c>
      <c r="AN4296" s="10">
        <f t="shared" ca="1" si="569"/>
        <v>1.1091404489516732</v>
      </c>
      <c r="AO4296" s="158"/>
      <c r="AP4296" s="158"/>
    </row>
    <row r="4297" spans="34:42">
      <c r="AH4297" s="6">
        <f t="shared" si="573"/>
        <v>4267</v>
      </c>
      <c r="AI4297" s="7">
        <f t="shared" ca="1" si="574"/>
        <v>46937</v>
      </c>
      <c r="AJ4297" s="210">
        <f t="shared" ca="1" si="570"/>
        <v>4.1749999999999998</v>
      </c>
      <c r="AK4297" s="8">
        <f t="shared" ca="1" si="572"/>
        <v>1.0001159722222221</v>
      </c>
      <c r="AL4297" s="98">
        <f t="shared" ca="1" si="571"/>
        <v>4.1746136460412142</v>
      </c>
      <c r="AM4297" s="106">
        <f t="shared" ca="1" si="568"/>
        <v>37226.156695193502</v>
      </c>
      <c r="AN4297" s="10">
        <f t="shared" ca="1" si="569"/>
        <v>1.1091693993834584</v>
      </c>
      <c r="AO4297" s="158"/>
      <c r="AP4297" s="158"/>
    </row>
    <row r="4298" spans="34:42">
      <c r="AH4298" s="6">
        <f t="shared" si="573"/>
        <v>4268</v>
      </c>
      <c r="AI4298" s="7">
        <f t="shared" ca="1" si="574"/>
        <v>46938</v>
      </c>
      <c r="AJ4298" s="210">
        <f t="shared" ca="1" si="570"/>
        <v>4.1749999999999998</v>
      </c>
      <c r="AK4298" s="8">
        <f t="shared" ca="1" si="572"/>
        <v>1.0001159722222221</v>
      </c>
      <c r="AL4298" s="98">
        <f t="shared" ca="1" si="571"/>
        <v>4.1746485285343082</v>
      </c>
      <c r="AM4298" s="106">
        <f t="shared" ca="1" si="568"/>
        <v>37229.224185198123</v>
      </c>
      <c r="AN4298" s="10">
        <f t="shared" ca="1" si="569"/>
        <v>1.1091983362572444</v>
      </c>
      <c r="AO4298" s="158"/>
      <c r="AP4298" s="158"/>
    </row>
    <row r="4299" spans="34:42">
      <c r="AH4299" s="6">
        <f t="shared" si="573"/>
        <v>4269</v>
      </c>
      <c r="AI4299" s="7">
        <f t="shared" ca="1" si="574"/>
        <v>46939</v>
      </c>
      <c r="AJ4299" s="210">
        <f t="shared" ca="1" si="570"/>
        <v>4.1749999999999998</v>
      </c>
      <c r="AK4299" s="8">
        <f t="shared" ca="1" si="572"/>
        <v>1.0001159722222221</v>
      </c>
      <c r="AL4299" s="98">
        <f t="shared" ca="1" si="571"/>
        <v>4.1746833946968431</v>
      </c>
      <c r="AM4299" s="106">
        <f t="shared" ca="1" si="568"/>
        <v>37232.291927968436</v>
      </c>
      <c r="AN4299" s="10">
        <f t="shared" ca="1" si="569"/>
        <v>1.109227259582557</v>
      </c>
      <c r="AO4299" s="158"/>
      <c r="AP4299" s="158"/>
    </row>
    <row r="4300" spans="34:42">
      <c r="AH4300" s="6">
        <f t="shared" si="573"/>
        <v>4270</v>
      </c>
      <c r="AI4300" s="7">
        <f t="shared" ca="1" si="574"/>
        <v>46940</v>
      </c>
      <c r="AJ4300" s="210">
        <f t="shared" ca="1" si="570"/>
        <v>4.1749999999999998</v>
      </c>
      <c r="AK4300" s="8">
        <f t="shared" ca="1" si="572"/>
        <v>1.0001159722222221</v>
      </c>
      <c r="AL4300" s="98">
        <f t="shared" ca="1" si="571"/>
        <v>4.1747182445402764</v>
      </c>
      <c r="AM4300" s="106">
        <f t="shared" ca="1" si="568"/>
        <v>37235.359923525248</v>
      </c>
      <c r="AN4300" s="10">
        <f t="shared" ca="1" si="569"/>
        <v>1.1092561693689218</v>
      </c>
      <c r="AO4300" s="158"/>
      <c r="AP4300" s="158"/>
    </row>
    <row r="4301" spans="34:42">
      <c r="AH4301" s="6">
        <f t="shared" si="573"/>
        <v>4271</v>
      </c>
      <c r="AI4301" s="7">
        <f t="shared" ca="1" si="574"/>
        <v>46941</v>
      </c>
      <c r="AJ4301" s="210">
        <f t="shared" ca="1" si="570"/>
        <v>4.1749999999999998</v>
      </c>
      <c r="AK4301" s="8">
        <f t="shared" ca="1" si="572"/>
        <v>1.0001159722222221</v>
      </c>
      <c r="AL4301" s="98">
        <f t="shared" ca="1" si="571"/>
        <v>4.1747530780760878</v>
      </c>
      <c r="AM4301" s="106">
        <f t="shared" ca="1" si="568"/>
        <v>37238.428171889405</v>
      </c>
      <c r="AN4301" s="10">
        <f t="shared" ca="1" si="569"/>
        <v>1.1092850656258424</v>
      </c>
      <c r="AO4301" s="158"/>
      <c r="AP4301" s="158"/>
    </row>
    <row r="4302" spans="34:42">
      <c r="AH4302" s="6">
        <f t="shared" si="573"/>
        <v>4272</v>
      </c>
      <c r="AI4302" s="7">
        <f t="shared" ca="1" si="574"/>
        <v>46942</v>
      </c>
      <c r="AJ4302" s="210">
        <f t="shared" ca="1" si="570"/>
        <v>4.1749999999999998</v>
      </c>
      <c r="AK4302" s="8">
        <f t="shared" ca="1" si="572"/>
        <v>1.0001159722222221</v>
      </c>
      <c r="AL4302" s="98">
        <f t="shared" ca="1" si="571"/>
        <v>4.1747878953156903</v>
      </c>
      <c r="AM4302" s="106">
        <f t="shared" ca="1" si="568"/>
        <v>37241.496673081732</v>
      </c>
      <c r="AN4302" s="10">
        <f t="shared" ca="1" si="569"/>
        <v>1.1093139483627779</v>
      </c>
      <c r="AO4302" s="158"/>
      <c r="AP4302" s="158"/>
    </row>
    <row r="4303" spans="34:42">
      <c r="AH4303" s="6">
        <f t="shared" si="573"/>
        <v>4273</v>
      </c>
      <c r="AI4303" s="7">
        <f t="shared" ca="1" si="574"/>
        <v>46943</v>
      </c>
      <c r="AJ4303" s="210">
        <f t="shared" ca="1" si="570"/>
        <v>4.1749999999999998</v>
      </c>
      <c r="AK4303" s="8">
        <f t="shared" ca="1" si="572"/>
        <v>1.0001159722222221</v>
      </c>
      <c r="AL4303" s="98">
        <f t="shared" ca="1" si="571"/>
        <v>4.1748226962705415</v>
      </c>
      <c r="AM4303" s="106">
        <f t="shared" ca="1" si="568"/>
        <v>37244.565427123074</v>
      </c>
      <c r="AN4303" s="10">
        <f t="shared" ca="1" si="569"/>
        <v>1.1093428175892539</v>
      </c>
      <c r="AO4303" s="158"/>
      <c r="AP4303" s="158"/>
    </row>
    <row r="4304" spans="34:42">
      <c r="AH4304" s="6">
        <f t="shared" si="573"/>
        <v>4274</v>
      </c>
      <c r="AI4304" s="7">
        <f t="shared" ca="1" si="574"/>
        <v>46944</v>
      </c>
      <c r="AJ4304" s="210">
        <f t="shared" ca="1" si="570"/>
        <v>4.1749999999999998</v>
      </c>
      <c r="AK4304" s="8">
        <f t="shared" ca="1" si="572"/>
        <v>1.0001159722222221</v>
      </c>
      <c r="AL4304" s="98">
        <f t="shared" ca="1" si="571"/>
        <v>4.1748574809520544</v>
      </c>
      <c r="AM4304" s="106">
        <f t="shared" ca="1" si="568"/>
        <v>37247.634434034248</v>
      </c>
      <c r="AN4304" s="10">
        <f t="shared" ca="1" si="569"/>
        <v>1.1093716733147518</v>
      </c>
      <c r="AO4304" s="158"/>
      <c r="AP4304" s="158"/>
    </row>
    <row r="4305" spans="34:42">
      <c r="AH4305" s="6">
        <f t="shared" si="573"/>
        <v>4275</v>
      </c>
      <c r="AI4305" s="7">
        <f t="shared" ca="1" si="574"/>
        <v>46945</v>
      </c>
      <c r="AJ4305" s="210">
        <f t="shared" ca="1" si="570"/>
        <v>4.1749999999999998</v>
      </c>
      <c r="AK4305" s="8">
        <f t="shared" ca="1" si="572"/>
        <v>1.0001159722222221</v>
      </c>
      <c r="AL4305" s="98">
        <f t="shared" ca="1" si="571"/>
        <v>4.1748922493716201</v>
      </c>
      <c r="AM4305" s="106">
        <f t="shared" ca="1" si="568"/>
        <v>37250.703693836105</v>
      </c>
      <c r="AN4305" s="10">
        <f t="shared" ca="1" si="569"/>
        <v>1.1094005155487086</v>
      </c>
      <c r="AO4305" s="158"/>
      <c r="AP4305" s="158"/>
    </row>
    <row r="4306" spans="34:42">
      <c r="AH4306" s="6">
        <f t="shared" si="573"/>
        <v>4276</v>
      </c>
      <c r="AI4306" s="7">
        <f t="shared" ca="1" si="574"/>
        <v>46946</v>
      </c>
      <c r="AJ4306" s="210">
        <f t="shared" ca="1" si="570"/>
        <v>4.1749999999999998</v>
      </c>
      <c r="AK4306" s="8">
        <f t="shared" ca="1" si="572"/>
        <v>1.0001159722222221</v>
      </c>
      <c r="AL4306" s="98">
        <f t="shared" ca="1" si="571"/>
        <v>4.1749270015406736</v>
      </c>
      <c r="AM4306" s="106">
        <f t="shared" ca="1" si="568"/>
        <v>37253.773206549478</v>
      </c>
      <c r="AN4306" s="10">
        <f t="shared" ca="1" si="569"/>
        <v>1.1094293443006054</v>
      </c>
      <c r="AO4306" s="158"/>
      <c r="AP4306" s="158"/>
    </row>
    <row r="4307" spans="34:42">
      <c r="AH4307" s="6">
        <f t="shared" si="573"/>
        <v>4277</v>
      </c>
      <c r="AI4307" s="7">
        <f t="shared" ca="1" si="574"/>
        <v>46947</v>
      </c>
      <c r="AJ4307" s="210">
        <f t="shared" ca="1" si="570"/>
        <v>4.1749999999999998</v>
      </c>
      <c r="AK4307" s="8">
        <f t="shared" ca="1" si="572"/>
        <v>1.0001159722222221</v>
      </c>
      <c r="AL4307" s="98">
        <f t="shared" ca="1" si="571"/>
        <v>4.1749617374705839</v>
      </c>
      <c r="AM4307" s="106">
        <f t="shared" ca="1" si="568"/>
        <v>37256.842972195212</v>
      </c>
      <c r="AN4307" s="10">
        <f t="shared" ca="1" si="569"/>
        <v>1.1094581595798791</v>
      </c>
      <c r="AO4307" s="158"/>
      <c r="AP4307" s="158"/>
    </row>
    <row r="4308" spans="34:42">
      <c r="AH4308" s="6">
        <f t="shared" si="573"/>
        <v>4278</v>
      </c>
      <c r="AI4308" s="7">
        <f t="shared" ca="1" si="574"/>
        <v>46948</v>
      </c>
      <c r="AJ4308" s="210">
        <f t="shared" ca="1" si="570"/>
        <v>4.1749999999999998</v>
      </c>
      <c r="AK4308" s="8">
        <f t="shared" ca="1" si="572"/>
        <v>1.0001159722222221</v>
      </c>
      <c r="AL4308" s="98">
        <f t="shared" ca="1" si="571"/>
        <v>4.1749964571727416</v>
      </c>
      <c r="AM4308" s="106">
        <f t="shared" ca="1" si="568"/>
        <v>37259.912990794139</v>
      </c>
      <c r="AN4308" s="10">
        <f t="shared" ca="1" si="569"/>
        <v>1.1094869613960112</v>
      </c>
      <c r="AO4308" s="158"/>
      <c r="AP4308" s="158"/>
    </row>
    <row r="4309" spans="34:42">
      <c r="AH4309" s="6">
        <f t="shared" si="573"/>
        <v>4279</v>
      </c>
      <c r="AI4309" s="7">
        <f t="shared" ca="1" si="574"/>
        <v>46949</v>
      </c>
      <c r="AJ4309" s="210">
        <f t="shared" ca="1" si="570"/>
        <v>4.1749999999999998</v>
      </c>
      <c r="AK4309" s="8">
        <f t="shared" ca="1" si="572"/>
        <v>1.0001159722222221</v>
      </c>
      <c r="AL4309" s="98">
        <f t="shared" ca="1" si="571"/>
        <v>4.1750311606585155</v>
      </c>
      <c r="AM4309" s="106">
        <f t="shared" ca="1" si="568"/>
        <v>37262.983262367117</v>
      </c>
      <c r="AN4309" s="10">
        <f t="shared" ca="1" si="569"/>
        <v>1.1095157497583719</v>
      </c>
      <c r="AO4309" s="158"/>
      <c r="AP4309" s="158"/>
    </row>
    <row r="4310" spans="34:42">
      <c r="AH4310" s="6">
        <f t="shared" si="573"/>
        <v>4280</v>
      </c>
      <c r="AI4310" s="7">
        <f t="shared" ca="1" si="574"/>
        <v>46950</v>
      </c>
      <c r="AJ4310" s="210">
        <f t="shared" ca="1" si="570"/>
        <v>4.1749999999999998</v>
      </c>
      <c r="AK4310" s="8">
        <f t="shared" ca="1" si="572"/>
        <v>1.0001159722222221</v>
      </c>
      <c r="AL4310" s="98">
        <f t="shared" ca="1" si="571"/>
        <v>4.1750658479392522</v>
      </c>
      <c r="AM4310" s="106">
        <f t="shared" ca="1" si="568"/>
        <v>37266.053786934972</v>
      </c>
      <c r="AN4310" s="10">
        <f t="shared" ca="1" si="569"/>
        <v>1.1095445246764424</v>
      </c>
      <c r="AO4310" s="158"/>
      <c r="AP4310" s="158"/>
    </row>
    <row r="4311" spans="34:42">
      <c r="AH4311" s="6">
        <f t="shared" si="573"/>
        <v>4281</v>
      </c>
      <c r="AI4311" s="7">
        <f t="shared" ca="1" si="574"/>
        <v>46951</v>
      </c>
      <c r="AJ4311" s="210">
        <f t="shared" ca="1" si="570"/>
        <v>4.1749999999999998</v>
      </c>
      <c r="AK4311" s="8">
        <f t="shared" ca="1" si="572"/>
        <v>1.0001159722222221</v>
      </c>
      <c r="AL4311" s="98">
        <f t="shared" ca="1" si="571"/>
        <v>4.175100519026298</v>
      </c>
      <c r="AM4311" s="106">
        <f t="shared" ca="1" si="568"/>
        <v>37269.12456451857</v>
      </c>
      <c r="AN4311" s="10">
        <f t="shared" ca="1" si="569"/>
        <v>1.1095732861595708</v>
      </c>
      <c r="AO4311" s="158"/>
      <c r="AP4311" s="158"/>
    </row>
    <row r="4312" spans="34:42">
      <c r="AH4312" s="6">
        <f t="shared" si="573"/>
        <v>4282</v>
      </c>
      <c r="AI4312" s="7">
        <f t="shared" ca="1" si="574"/>
        <v>46952</v>
      </c>
      <c r="AJ4312" s="210">
        <f t="shared" ca="1" si="570"/>
        <v>4.1749999999999998</v>
      </c>
      <c r="AK4312" s="8">
        <f t="shared" ca="1" si="572"/>
        <v>1.0001159722222221</v>
      </c>
      <c r="AL4312" s="98">
        <f t="shared" ca="1" si="571"/>
        <v>4.1751351739309994</v>
      </c>
      <c r="AM4312" s="106">
        <f t="shared" ca="1" si="568"/>
        <v>37272.19559513875</v>
      </c>
      <c r="AN4312" s="10">
        <f t="shared" ca="1" si="569"/>
        <v>1.1096020342172386</v>
      </c>
      <c r="AO4312" s="158"/>
      <c r="AP4312" s="158"/>
    </row>
    <row r="4313" spans="34:42">
      <c r="AH4313" s="6">
        <f t="shared" si="573"/>
        <v>4283</v>
      </c>
      <c r="AI4313" s="7">
        <f t="shared" ca="1" si="574"/>
        <v>46953</v>
      </c>
      <c r="AJ4313" s="210">
        <f t="shared" ca="1" si="570"/>
        <v>4.1749999999999998</v>
      </c>
      <c r="AK4313" s="8">
        <f t="shared" ca="1" si="572"/>
        <v>1.0001159722222221</v>
      </c>
      <c r="AL4313" s="98">
        <f t="shared" ca="1" si="571"/>
        <v>4.175169812664703</v>
      </c>
      <c r="AM4313" s="106">
        <f t="shared" ca="1" si="568"/>
        <v>37275.266878816372</v>
      </c>
      <c r="AN4313" s="10">
        <f t="shared" ca="1" si="569"/>
        <v>1.1096307688588158</v>
      </c>
      <c r="AO4313" s="158"/>
      <c r="AP4313" s="158"/>
    </row>
    <row r="4314" spans="34:42">
      <c r="AH4314" s="6">
        <f t="shared" si="573"/>
        <v>4284</v>
      </c>
      <c r="AI4314" s="7">
        <f t="shared" ca="1" si="574"/>
        <v>46954</v>
      </c>
      <c r="AJ4314" s="210">
        <f t="shared" ca="1" si="570"/>
        <v>4.1749999999999998</v>
      </c>
      <c r="AK4314" s="8">
        <f t="shared" ca="1" si="572"/>
        <v>1.0001159722222221</v>
      </c>
      <c r="AL4314" s="98">
        <f t="shared" ca="1" si="571"/>
        <v>4.1752044352386886</v>
      </c>
      <c r="AM4314" s="106">
        <f t="shared" ca="1" si="568"/>
        <v>37278.338415572274</v>
      </c>
      <c r="AN4314" s="10">
        <f t="shared" ca="1" si="569"/>
        <v>1.1096594900936729</v>
      </c>
      <c r="AO4314" s="158"/>
      <c r="AP4314" s="158"/>
    </row>
    <row r="4315" spans="34:42">
      <c r="AH4315" s="6">
        <f t="shared" si="573"/>
        <v>4285</v>
      </c>
      <c r="AI4315" s="7">
        <f t="shared" ca="1" si="574"/>
        <v>46955</v>
      </c>
      <c r="AJ4315" s="210">
        <f t="shared" ca="1" si="570"/>
        <v>4.1749999999999998</v>
      </c>
      <c r="AK4315" s="8">
        <f t="shared" ca="1" si="572"/>
        <v>1.0001159722222221</v>
      </c>
      <c r="AL4315" s="98">
        <f t="shared" ca="1" si="571"/>
        <v>4.1752390416642804</v>
      </c>
      <c r="AM4315" s="106">
        <f t="shared" ca="1" si="568"/>
        <v>37281.410205427324</v>
      </c>
      <c r="AN4315" s="10">
        <f t="shared" ca="1" si="569"/>
        <v>1.1096881979312023</v>
      </c>
      <c r="AO4315" s="158"/>
      <c r="AP4315" s="158"/>
    </row>
    <row r="4316" spans="34:42">
      <c r="AH4316" s="6">
        <f t="shared" si="573"/>
        <v>4286</v>
      </c>
      <c r="AI4316" s="7">
        <f t="shared" ca="1" si="574"/>
        <v>46956</v>
      </c>
      <c r="AJ4316" s="210">
        <f t="shared" ca="1" si="570"/>
        <v>4.1749999999999998</v>
      </c>
      <c r="AK4316" s="8">
        <f t="shared" ca="1" si="572"/>
        <v>1.0001159722222221</v>
      </c>
      <c r="AL4316" s="98">
        <f t="shared" ca="1" si="571"/>
        <v>4.1752736319527806</v>
      </c>
      <c r="AM4316" s="106">
        <f t="shared" ca="1" si="568"/>
        <v>37284.482248402368</v>
      </c>
      <c r="AN4316" s="10">
        <f t="shared" ca="1" si="569"/>
        <v>1.1097168923807965</v>
      </c>
      <c r="AO4316" s="158"/>
      <c r="AP4316" s="158"/>
    </row>
    <row r="4317" spans="34:42">
      <c r="AH4317" s="6">
        <f t="shared" si="573"/>
        <v>4287</v>
      </c>
      <c r="AI4317" s="7">
        <f t="shared" ca="1" si="574"/>
        <v>46957</v>
      </c>
      <c r="AJ4317" s="210">
        <f t="shared" ca="1" si="570"/>
        <v>4.1749999999999998</v>
      </c>
      <c r="AK4317" s="8">
        <f t="shared" ca="1" si="572"/>
        <v>1.0001159722222221</v>
      </c>
      <c r="AL4317" s="98">
        <f t="shared" ca="1" si="571"/>
        <v>4.1753082061154689</v>
      </c>
      <c r="AM4317" s="106">
        <f t="shared" ca="1" si="568"/>
        <v>37287.554544518265</v>
      </c>
      <c r="AN4317" s="10">
        <f t="shared" ca="1" si="569"/>
        <v>1.1097455734518036</v>
      </c>
      <c r="AO4317" s="158"/>
      <c r="AP4317" s="158"/>
    </row>
    <row r="4318" spans="34:42">
      <c r="AH4318" s="6">
        <f t="shared" si="573"/>
        <v>4288</v>
      </c>
      <c r="AI4318" s="7">
        <f t="shared" ca="1" si="574"/>
        <v>46958</v>
      </c>
      <c r="AJ4318" s="210">
        <f t="shared" ca="1" si="570"/>
        <v>4.1749999999999998</v>
      </c>
      <c r="AK4318" s="8">
        <f t="shared" ca="1" si="572"/>
        <v>1.0001159722222221</v>
      </c>
      <c r="AL4318" s="98">
        <f t="shared" ca="1" si="571"/>
        <v>4.1753427641636032</v>
      </c>
      <c r="AM4318" s="106">
        <f t="shared" ca="1" si="568"/>
        <v>37290.627093795876</v>
      </c>
      <c r="AN4318" s="10">
        <f t="shared" ca="1" si="569"/>
        <v>1.1097742411535716</v>
      </c>
      <c r="AO4318" s="158"/>
      <c r="AP4318" s="158"/>
    </row>
    <row r="4319" spans="34:42">
      <c r="AH4319" s="6">
        <f t="shared" si="573"/>
        <v>4289</v>
      </c>
      <c r="AI4319" s="7">
        <f t="shared" ca="1" si="574"/>
        <v>46959</v>
      </c>
      <c r="AJ4319" s="210">
        <f t="shared" ca="1" si="570"/>
        <v>4.1749999999999998</v>
      </c>
      <c r="AK4319" s="8">
        <f t="shared" ca="1" si="572"/>
        <v>1.0001159722222221</v>
      </c>
      <c r="AL4319" s="98">
        <f t="shared" ca="1" si="571"/>
        <v>4.1753773061084631</v>
      </c>
      <c r="AM4319" s="106">
        <f t="shared" ref="AM4319:AM4382" ca="1" si="575">Geom_Interp(AI4319,$AZ$2:$AZ$109,$BA$2:$BA$109)</f>
        <v>37293.699896256061</v>
      </c>
      <c r="AN4319" s="10">
        <f t="shared" ref="AN4319:AN4382" ca="1" si="576">100*(((1+AL4319/100)^(AH4319/365)*$AM$29/AM4319)^(365/AH4319)-1)</f>
        <v>1.1098028954954264</v>
      </c>
      <c r="AO4319" s="158"/>
      <c r="AP4319" s="158"/>
    </row>
    <row r="4320" spans="34:42">
      <c r="AH4320" s="6">
        <f t="shared" si="573"/>
        <v>4290</v>
      </c>
      <c r="AI4320" s="7">
        <f t="shared" ca="1" si="574"/>
        <v>46960</v>
      </c>
      <c r="AJ4320" s="210">
        <f t="shared" ref="AJ4320:AJ4383" ca="1" si="577">IF(AH4320&lt;365,VLOOKUP(LOOKUP(AI4320,$AI$2:$AI$23),$AI$2:$AK$23,3,0),Lin_Interp(AH4320,$AJ$2:$AJ$23,$AK$2:$AK$23))</f>
        <v>4.1749999999999998</v>
      </c>
      <c r="AK4320" s="8">
        <f t="shared" ca="1" si="572"/>
        <v>1.0001159722222221</v>
      </c>
      <c r="AL4320" s="98">
        <f t="shared" ca="1" si="571"/>
        <v>4.1754118319613065</v>
      </c>
      <c r="AM4320" s="106">
        <f t="shared" ca="1" si="575"/>
        <v>37296.772951919687</v>
      </c>
      <c r="AN4320" s="10">
        <f t="shared" ca="1" si="576"/>
        <v>1.1098315364867606</v>
      </c>
      <c r="AO4320" s="158"/>
      <c r="AP4320" s="158"/>
    </row>
    <row r="4321" spans="34:42">
      <c r="AH4321" s="6">
        <f t="shared" si="573"/>
        <v>4291</v>
      </c>
      <c r="AI4321" s="7">
        <f t="shared" ca="1" si="574"/>
        <v>46961</v>
      </c>
      <c r="AJ4321" s="210">
        <f t="shared" ca="1" si="577"/>
        <v>4.1749999999999998</v>
      </c>
      <c r="AK4321" s="8">
        <f t="shared" ca="1" si="572"/>
        <v>1.0001159722222221</v>
      </c>
      <c r="AL4321" s="98">
        <f t="shared" ref="AL4321:AL4384" ca="1" si="578">100*(((1+AL4320/100)^(AH4320/365)*AK4321)^(365/AH4321)-1)</f>
        <v>4.1754463417333687</v>
      </c>
      <c r="AM4321" s="106">
        <f t="shared" ca="1" si="575"/>
        <v>37299.846260807608</v>
      </c>
      <c r="AN4321" s="10">
        <f t="shared" ca="1" si="576"/>
        <v>1.1098601641368777</v>
      </c>
      <c r="AO4321" s="158"/>
      <c r="AP4321" s="158"/>
    </row>
    <row r="4322" spans="34:42">
      <c r="AH4322" s="6">
        <f t="shared" si="573"/>
        <v>4292</v>
      </c>
      <c r="AI4322" s="7">
        <f t="shared" ca="1" si="574"/>
        <v>46962</v>
      </c>
      <c r="AJ4322" s="210">
        <f t="shared" ca="1" si="577"/>
        <v>4.1749999999999998</v>
      </c>
      <c r="AK4322" s="8">
        <f t="shared" ca="1" si="572"/>
        <v>1.0001159722222221</v>
      </c>
      <c r="AL4322" s="98">
        <f t="shared" ca="1" si="578"/>
        <v>4.175480835435863</v>
      </c>
      <c r="AM4322" s="106">
        <f t="shared" ca="1" si="575"/>
        <v>37302.919822940705</v>
      </c>
      <c r="AN4322" s="10">
        <f t="shared" ca="1" si="576"/>
        <v>1.1098887784550593</v>
      </c>
      <c r="AO4322" s="158"/>
      <c r="AP4322" s="158"/>
    </row>
    <row r="4323" spans="34:42">
      <c r="AH4323" s="6">
        <f t="shared" si="573"/>
        <v>4293</v>
      </c>
      <c r="AI4323" s="7">
        <f t="shared" ca="1" si="574"/>
        <v>46963</v>
      </c>
      <c r="AJ4323" s="210">
        <f t="shared" ca="1" si="577"/>
        <v>4.1749999999999998</v>
      </c>
      <c r="AK4323" s="8">
        <f t="shared" ca="1" si="572"/>
        <v>1.0001159722222221</v>
      </c>
      <c r="AL4323" s="98">
        <f t="shared" ca="1" si="578"/>
        <v>4.1755153130800249</v>
      </c>
      <c r="AM4323" s="106">
        <f t="shared" ca="1" si="575"/>
        <v>37305.993638339831</v>
      </c>
      <c r="AN4323" s="10">
        <f t="shared" ca="1" si="576"/>
        <v>1.1099173794506534</v>
      </c>
      <c r="AO4323" s="158"/>
      <c r="AP4323" s="158"/>
    </row>
    <row r="4324" spans="34:42">
      <c r="AH4324" s="6">
        <f t="shared" si="573"/>
        <v>4294</v>
      </c>
      <c r="AI4324" s="7">
        <f t="shared" ca="1" si="574"/>
        <v>46964</v>
      </c>
      <c r="AJ4324" s="210">
        <f t="shared" ca="1" si="577"/>
        <v>4.1749999999999998</v>
      </c>
      <c r="AK4324" s="8">
        <f t="shared" ref="AK4324:AK4387" ca="1" si="579">+(1+AJ4324/36000)</f>
        <v>1.0001159722222221</v>
      </c>
      <c r="AL4324" s="98">
        <f t="shared" ca="1" si="578"/>
        <v>4.1755497746770676</v>
      </c>
      <c r="AM4324" s="106">
        <f t="shared" ca="1" si="575"/>
        <v>37309.067707025861</v>
      </c>
      <c r="AN4324" s="10">
        <f t="shared" ca="1" si="576"/>
        <v>1.1099459671329415</v>
      </c>
      <c r="AO4324" s="158"/>
      <c r="AP4324" s="158"/>
    </row>
    <row r="4325" spans="34:42">
      <c r="AH4325" s="6">
        <f t="shared" si="573"/>
        <v>4295</v>
      </c>
      <c r="AI4325" s="7">
        <f t="shared" ca="1" si="574"/>
        <v>46965</v>
      </c>
      <c r="AJ4325" s="210">
        <f t="shared" ca="1" si="577"/>
        <v>4.1749999999999998</v>
      </c>
      <c r="AK4325" s="8">
        <f t="shared" ca="1" si="579"/>
        <v>1.0001159722222221</v>
      </c>
      <c r="AL4325" s="98">
        <f t="shared" ca="1" si="578"/>
        <v>4.1755842202382043</v>
      </c>
      <c r="AM4325" s="106">
        <f t="shared" ca="1" si="575"/>
        <v>37312.142029019669</v>
      </c>
      <c r="AN4325" s="10">
        <f t="shared" ca="1" si="576"/>
        <v>1.1099745415112494</v>
      </c>
      <c r="AO4325" s="158"/>
      <c r="AP4325" s="158"/>
    </row>
    <row r="4326" spans="34:42">
      <c r="AH4326" s="6">
        <f t="shared" si="573"/>
        <v>4296</v>
      </c>
      <c r="AI4326" s="7">
        <f t="shared" ca="1" si="574"/>
        <v>46966</v>
      </c>
      <c r="AJ4326" s="210">
        <f t="shared" ca="1" si="577"/>
        <v>4.1749999999999998</v>
      </c>
      <c r="AK4326" s="8">
        <f t="shared" ca="1" si="579"/>
        <v>1.0001159722222221</v>
      </c>
      <c r="AL4326" s="98">
        <f t="shared" ca="1" si="578"/>
        <v>4.175618649774604</v>
      </c>
      <c r="AM4326" s="106">
        <f t="shared" ca="1" si="575"/>
        <v>37315.216604342131</v>
      </c>
      <c r="AN4326" s="10">
        <f t="shared" ca="1" si="576"/>
        <v>1.1100031025948365</v>
      </c>
      <c r="AO4326" s="158"/>
      <c r="AP4326" s="158"/>
    </row>
    <row r="4327" spans="34:42">
      <c r="AH4327" s="6">
        <f t="shared" si="573"/>
        <v>4297</v>
      </c>
      <c r="AI4327" s="7">
        <f t="shared" ca="1" si="574"/>
        <v>46967</v>
      </c>
      <c r="AJ4327" s="210">
        <f t="shared" ca="1" si="577"/>
        <v>4.1749999999999998</v>
      </c>
      <c r="AK4327" s="8">
        <f t="shared" ca="1" si="579"/>
        <v>1.0001159722222221</v>
      </c>
      <c r="AL4327" s="98">
        <f t="shared" ca="1" si="578"/>
        <v>4.1756530632974576</v>
      </c>
      <c r="AM4327" s="106">
        <f t="shared" ca="1" si="575"/>
        <v>37318.291433014107</v>
      </c>
      <c r="AN4327" s="10">
        <f t="shared" ca="1" si="576"/>
        <v>1.1100316503929841</v>
      </c>
      <c r="AO4327" s="158"/>
      <c r="AP4327" s="158"/>
    </row>
    <row r="4328" spans="34:42">
      <c r="AH4328" s="6">
        <f t="shared" si="573"/>
        <v>4298</v>
      </c>
      <c r="AI4328" s="7">
        <f t="shared" ca="1" si="574"/>
        <v>46968</v>
      </c>
      <c r="AJ4328" s="210">
        <f t="shared" ca="1" si="577"/>
        <v>4.1749999999999998</v>
      </c>
      <c r="AK4328" s="8">
        <f t="shared" ca="1" si="579"/>
        <v>1.0001159722222221</v>
      </c>
      <c r="AL4328" s="98">
        <f t="shared" ca="1" si="578"/>
        <v>4.175687460817934</v>
      </c>
      <c r="AM4328" s="106">
        <f t="shared" ca="1" si="575"/>
        <v>37321.366515056492</v>
      </c>
      <c r="AN4328" s="10">
        <f t="shared" ca="1" si="576"/>
        <v>1.1100601849149738</v>
      </c>
      <c r="AO4328" s="158"/>
      <c r="AP4328" s="158"/>
    </row>
    <row r="4329" spans="34:42">
      <c r="AH4329" s="6">
        <f t="shared" si="573"/>
        <v>4299</v>
      </c>
      <c r="AI4329" s="7">
        <f t="shared" ca="1" si="574"/>
        <v>46969</v>
      </c>
      <c r="AJ4329" s="210">
        <f t="shared" ca="1" si="577"/>
        <v>4.1749999999999998</v>
      </c>
      <c r="AK4329" s="8">
        <f t="shared" ca="1" si="579"/>
        <v>1.0001159722222221</v>
      </c>
      <c r="AL4329" s="98">
        <f t="shared" ca="1" si="578"/>
        <v>4.175721842347202</v>
      </c>
      <c r="AM4329" s="106">
        <f t="shared" ca="1" si="575"/>
        <v>37324.441850490155</v>
      </c>
      <c r="AN4329" s="10">
        <f t="shared" ca="1" si="576"/>
        <v>1.1100887061700426</v>
      </c>
      <c r="AO4329" s="158"/>
      <c r="AP4329" s="158"/>
    </row>
    <row r="4330" spans="34:42">
      <c r="AH4330" s="6">
        <f t="shared" si="573"/>
        <v>4300</v>
      </c>
      <c r="AI4330" s="7">
        <f t="shared" ca="1" si="574"/>
        <v>46970</v>
      </c>
      <c r="AJ4330" s="210">
        <f t="shared" ca="1" si="577"/>
        <v>4.1749999999999998</v>
      </c>
      <c r="AK4330" s="8">
        <f t="shared" ca="1" si="579"/>
        <v>1.0001159722222221</v>
      </c>
      <c r="AL4330" s="98">
        <f t="shared" ca="1" si="578"/>
        <v>4.1757562078963861</v>
      </c>
      <c r="AM4330" s="106">
        <f t="shared" ca="1" si="575"/>
        <v>37327.517439335978</v>
      </c>
      <c r="AN4330" s="10">
        <f t="shared" ca="1" si="576"/>
        <v>1.1101172141674498</v>
      </c>
      <c r="AO4330" s="158"/>
      <c r="AP4330" s="158"/>
    </row>
    <row r="4331" spans="34:42">
      <c r="AH4331" s="6">
        <f t="shared" si="573"/>
        <v>4301</v>
      </c>
      <c r="AI4331" s="7">
        <f t="shared" ca="1" si="574"/>
        <v>46971</v>
      </c>
      <c r="AJ4331" s="210">
        <f t="shared" ca="1" si="577"/>
        <v>4.1749999999999998</v>
      </c>
      <c r="AK4331" s="8">
        <f t="shared" ca="1" si="579"/>
        <v>1.0001159722222221</v>
      </c>
      <c r="AL4331" s="98">
        <f t="shared" ca="1" si="578"/>
        <v>4.1757905574766552</v>
      </c>
      <c r="AM4331" s="106">
        <f t="shared" ca="1" si="575"/>
        <v>37330.593281614827</v>
      </c>
      <c r="AN4331" s="10">
        <f t="shared" ca="1" si="576"/>
        <v>1.1101457089164546</v>
      </c>
      <c r="AO4331" s="158"/>
      <c r="AP4331" s="158"/>
    </row>
    <row r="4332" spans="34:42">
      <c r="AH4332" s="6">
        <f t="shared" si="573"/>
        <v>4302</v>
      </c>
      <c r="AI4332" s="7">
        <f t="shared" ca="1" si="574"/>
        <v>46972</v>
      </c>
      <c r="AJ4332" s="210">
        <f t="shared" ca="1" si="577"/>
        <v>4.1749999999999998</v>
      </c>
      <c r="AK4332" s="8">
        <f t="shared" ca="1" si="579"/>
        <v>1.0001159722222221</v>
      </c>
      <c r="AL4332" s="98">
        <f t="shared" ca="1" si="578"/>
        <v>4.1758248910991114</v>
      </c>
      <c r="AM4332" s="106">
        <f t="shared" ca="1" si="575"/>
        <v>37333.669377347614</v>
      </c>
      <c r="AN4332" s="10">
        <f t="shared" ca="1" si="576"/>
        <v>1.1101741904262719</v>
      </c>
      <c r="AO4332" s="158"/>
      <c r="AP4332" s="158"/>
    </row>
    <row r="4333" spans="34:42">
      <c r="AH4333" s="6">
        <f t="shared" si="573"/>
        <v>4303</v>
      </c>
      <c r="AI4333" s="7">
        <f t="shared" ca="1" si="574"/>
        <v>46973</v>
      </c>
      <c r="AJ4333" s="210">
        <f t="shared" ca="1" si="577"/>
        <v>4.1749999999999998</v>
      </c>
      <c r="AK4333" s="8">
        <f t="shared" ca="1" si="579"/>
        <v>1.0001159722222221</v>
      </c>
      <c r="AL4333" s="98">
        <f t="shared" ca="1" si="578"/>
        <v>4.1758592087748791</v>
      </c>
      <c r="AM4333" s="106">
        <f t="shared" ca="1" si="575"/>
        <v>37336.7457265552</v>
      </c>
      <c r="AN4333" s="10">
        <f t="shared" ca="1" si="576"/>
        <v>1.1102026587061165</v>
      </c>
      <c r="AO4333" s="158"/>
      <c r="AP4333" s="158"/>
    </row>
    <row r="4334" spans="34:42">
      <c r="AH4334" s="6">
        <f t="shared" si="573"/>
        <v>4304</v>
      </c>
      <c r="AI4334" s="7">
        <f t="shared" ca="1" si="574"/>
        <v>46974</v>
      </c>
      <c r="AJ4334" s="210">
        <f t="shared" ca="1" si="577"/>
        <v>4.1749999999999998</v>
      </c>
      <c r="AK4334" s="8">
        <f t="shared" ca="1" si="579"/>
        <v>1.0001159722222221</v>
      </c>
      <c r="AL4334" s="98">
        <f t="shared" ca="1" si="578"/>
        <v>4.175893510515083</v>
      </c>
      <c r="AM4334" s="106">
        <f t="shared" ca="1" si="575"/>
        <v>37339.822329258488</v>
      </c>
      <c r="AN4334" s="10">
        <f t="shared" ca="1" si="576"/>
        <v>1.1102311137652254</v>
      </c>
      <c r="AO4334" s="158"/>
      <c r="AP4334" s="158"/>
    </row>
    <row r="4335" spans="34:42">
      <c r="AH4335" s="6">
        <f t="shared" si="573"/>
        <v>4305</v>
      </c>
      <c r="AI4335" s="7">
        <f t="shared" ca="1" si="574"/>
        <v>46975</v>
      </c>
      <c r="AJ4335" s="210">
        <f t="shared" ca="1" si="577"/>
        <v>4.1749999999999998</v>
      </c>
      <c r="AK4335" s="8">
        <f t="shared" ca="1" si="579"/>
        <v>1.0001159722222221</v>
      </c>
      <c r="AL4335" s="98">
        <f t="shared" ca="1" si="578"/>
        <v>4.1759277963308028</v>
      </c>
      <c r="AM4335" s="106">
        <f t="shared" ca="1" si="575"/>
        <v>37342.899185478345</v>
      </c>
      <c r="AN4335" s="10">
        <f t="shared" ca="1" si="576"/>
        <v>1.1102595556127914</v>
      </c>
      <c r="AO4335" s="158"/>
      <c r="AP4335" s="158"/>
    </row>
    <row r="4336" spans="34:42">
      <c r="AH4336" s="6">
        <f t="shared" si="573"/>
        <v>4306</v>
      </c>
      <c r="AI4336" s="7">
        <f t="shared" ca="1" si="574"/>
        <v>46976</v>
      </c>
      <c r="AJ4336" s="210">
        <f t="shared" ca="1" si="577"/>
        <v>4.1749999999999998</v>
      </c>
      <c r="AK4336" s="8">
        <f t="shared" ca="1" si="579"/>
        <v>1.0001159722222221</v>
      </c>
      <c r="AL4336" s="98">
        <f t="shared" ca="1" si="578"/>
        <v>4.1759620662331187</v>
      </c>
      <c r="AM4336" s="106">
        <f t="shared" ca="1" si="575"/>
        <v>37345.97629523569</v>
      </c>
      <c r="AN4336" s="10">
        <f t="shared" ca="1" si="576"/>
        <v>1.1102879842580293</v>
      </c>
      <c r="AO4336" s="158"/>
      <c r="AP4336" s="158"/>
    </row>
    <row r="4337" spans="34:42">
      <c r="AH4337" s="6">
        <f t="shared" si="573"/>
        <v>4307</v>
      </c>
      <c r="AI4337" s="7">
        <f t="shared" ca="1" si="574"/>
        <v>46977</v>
      </c>
      <c r="AJ4337" s="210">
        <f t="shared" ca="1" si="577"/>
        <v>4.1749999999999998</v>
      </c>
      <c r="AK4337" s="8">
        <f t="shared" ca="1" si="579"/>
        <v>1.0001159722222221</v>
      </c>
      <c r="AL4337" s="98">
        <f t="shared" ca="1" si="578"/>
        <v>4.1759963202331107</v>
      </c>
      <c r="AM4337" s="106">
        <f t="shared" ca="1" si="575"/>
        <v>37349.053658551391</v>
      </c>
      <c r="AN4337" s="10">
        <f t="shared" ca="1" si="576"/>
        <v>1.1103163997101095</v>
      </c>
      <c r="AO4337" s="158"/>
      <c r="AP4337" s="158"/>
    </row>
    <row r="4338" spans="34:42">
      <c r="AH4338" s="6">
        <f t="shared" si="573"/>
        <v>4308</v>
      </c>
      <c r="AI4338" s="7">
        <f t="shared" ca="1" si="574"/>
        <v>46978</v>
      </c>
      <c r="AJ4338" s="210">
        <f t="shared" ca="1" si="577"/>
        <v>4.1749999999999998</v>
      </c>
      <c r="AK4338" s="8">
        <f t="shared" ca="1" si="579"/>
        <v>1.0001159722222221</v>
      </c>
      <c r="AL4338" s="98">
        <f t="shared" ca="1" si="578"/>
        <v>4.1760305583418589</v>
      </c>
      <c r="AM4338" s="106">
        <f t="shared" ca="1" si="575"/>
        <v>37352.131275446358</v>
      </c>
      <c r="AN4338" s="10">
        <f t="shared" ca="1" si="576"/>
        <v>1.1103448019782247</v>
      </c>
      <c r="AO4338" s="158"/>
      <c r="AP4338" s="158"/>
    </row>
    <row r="4339" spans="34:42">
      <c r="AH4339" s="6">
        <f t="shared" si="573"/>
        <v>4309</v>
      </c>
      <c r="AI4339" s="7">
        <f t="shared" ca="1" si="574"/>
        <v>46979</v>
      </c>
      <c r="AJ4339" s="210">
        <f t="shared" ca="1" si="577"/>
        <v>4.1749999999999998</v>
      </c>
      <c r="AK4339" s="8">
        <f t="shared" ca="1" si="579"/>
        <v>1.0001159722222221</v>
      </c>
      <c r="AL4339" s="98">
        <f t="shared" ca="1" si="578"/>
        <v>4.176064780570421</v>
      </c>
      <c r="AM4339" s="106">
        <f t="shared" ca="1" si="575"/>
        <v>37355.209145941473</v>
      </c>
      <c r="AN4339" s="10">
        <f t="shared" ca="1" si="576"/>
        <v>1.1103731910715453</v>
      </c>
      <c r="AO4339" s="158"/>
      <c r="AP4339" s="158"/>
    </row>
    <row r="4340" spans="34:42">
      <c r="AH4340" s="6">
        <f t="shared" si="573"/>
        <v>4310</v>
      </c>
      <c r="AI4340" s="7">
        <f t="shared" ca="1" si="574"/>
        <v>46980</v>
      </c>
      <c r="AJ4340" s="210">
        <f t="shared" ca="1" si="577"/>
        <v>4.1749999999999998</v>
      </c>
      <c r="AK4340" s="8">
        <f t="shared" ca="1" si="579"/>
        <v>1.0001159722222221</v>
      </c>
      <c r="AL4340" s="98">
        <f t="shared" ca="1" si="578"/>
        <v>4.1760989869298326</v>
      </c>
      <c r="AM4340" s="106">
        <f t="shared" ca="1" si="575"/>
        <v>37358.287270057641</v>
      </c>
      <c r="AN4340" s="10">
        <f t="shared" ca="1" si="576"/>
        <v>1.1104015669992418</v>
      </c>
      <c r="AO4340" s="158"/>
      <c r="AP4340" s="158"/>
    </row>
    <row r="4341" spans="34:42">
      <c r="AH4341" s="6">
        <f t="shared" si="573"/>
        <v>4311</v>
      </c>
      <c r="AI4341" s="7">
        <f t="shared" ca="1" si="574"/>
        <v>46981</v>
      </c>
      <c r="AJ4341" s="210">
        <f t="shared" ca="1" si="577"/>
        <v>4.1749999999999998</v>
      </c>
      <c r="AK4341" s="8">
        <f t="shared" ca="1" si="579"/>
        <v>1.0001159722222221</v>
      </c>
      <c r="AL4341" s="98">
        <f t="shared" ca="1" si="578"/>
        <v>4.1761331774311294</v>
      </c>
      <c r="AM4341" s="106">
        <f t="shared" ca="1" si="575"/>
        <v>37361.365647815757</v>
      </c>
      <c r="AN4341" s="10">
        <f t="shared" ca="1" si="576"/>
        <v>1.1104299297704845</v>
      </c>
      <c r="AO4341" s="158"/>
      <c r="AP4341" s="158"/>
    </row>
    <row r="4342" spans="34:42">
      <c r="AH4342" s="6">
        <f t="shared" si="573"/>
        <v>4312</v>
      </c>
      <c r="AI4342" s="7">
        <f t="shared" ca="1" si="574"/>
        <v>46982</v>
      </c>
      <c r="AJ4342" s="210">
        <f t="shared" ca="1" si="577"/>
        <v>4.1749999999999998</v>
      </c>
      <c r="AK4342" s="8">
        <f t="shared" ca="1" si="579"/>
        <v>1.0001159722222221</v>
      </c>
      <c r="AL4342" s="98">
        <f t="shared" ca="1" si="578"/>
        <v>4.1761673520853249</v>
      </c>
      <c r="AM4342" s="106">
        <f t="shared" ca="1" si="575"/>
        <v>37364.444279236719</v>
      </c>
      <c r="AN4342" s="10">
        <f t="shared" ca="1" si="576"/>
        <v>1.1104582793943774</v>
      </c>
      <c r="AO4342" s="158"/>
      <c r="AP4342" s="158"/>
    </row>
    <row r="4343" spans="34:42">
      <c r="AH4343" s="6">
        <f t="shared" ref="AH4343:AH4406" si="580">$AI$29+AH4342</f>
        <v>4313</v>
      </c>
      <c r="AI4343" s="7">
        <f t="shared" ref="AI4343:AI4406" ca="1" si="581">+AH4343+$C$1</f>
        <v>46983</v>
      </c>
      <c r="AJ4343" s="210">
        <f t="shared" ca="1" si="577"/>
        <v>4.1749999999999998</v>
      </c>
      <c r="AK4343" s="8">
        <f t="shared" ca="1" si="579"/>
        <v>1.0001159722222221</v>
      </c>
      <c r="AL4343" s="98">
        <f t="shared" ca="1" si="578"/>
        <v>4.1762015109034545</v>
      </c>
      <c r="AM4343" s="106">
        <f t="shared" ca="1" si="575"/>
        <v>37367.523164341444</v>
      </c>
      <c r="AN4343" s="10">
        <f t="shared" ca="1" si="576"/>
        <v>1.1104866158800908</v>
      </c>
      <c r="AO4343" s="158"/>
      <c r="AP4343" s="158"/>
    </row>
    <row r="4344" spans="34:42">
      <c r="AH4344" s="6">
        <f t="shared" si="580"/>
        <v>4314</v>
      </c>
      <c r="AI4344" s="7">
        <f t="shared" ca="1" si="581"/>
        <v>46984</v>
      </c>
      <c r="AJ4344" s="210">
        <f t="shared" ca="1" si="577"/>
        <v>4.1749999999999998</v>
      </c>
      <c r="AK4344" s="8">
        <f t="shared" ca="1" si="579"/>
        <v>1.0001159722222221</v>
      </c>
      <c r="AL4344" s="98">
        <f t="shared" ca="1" si="578"/>
        <v>4.1762356538965095</v>
      </c>
      <c r="AM4344" s="106">
        <f t="shared" ca="1" si="575"/>
        <v>37370.602303150823</v>
      </c>
      <c r="AN4344" s="10">
        <f t="shared" ca="1" si="576"/>
        <v>1.1105149392367508</v>
      </c>
      <c r="AO4344" s="158"/>
      <c r="AP4344" s="158"/>
    </row>
    <row r="4345" spans="34:42">
      <c r="AH4345" s="6">
        <f t="shared" si="580"/>
        <v>4315</v>
      </c>
      <c r="AI4345" s="7">
        <f t="shared" ca="1" si="581"/>
        <v>46985</v>
      </c>
      <c r="AJ4345" s="210">
        <f t="shared" ca="1" si="577"/>
        <v>4.1749999999999998</v>
      </c>
      <c r="AK4345" s="8">
        <f t="shared" ca="1" si="579"/>
        <v>1.0001159722222221</v>
      </c>
      <c r="AL4345" s="98">
        <f t="shared" ca="1" si="578"/>
        <v>4.1762697810754812</v>
      </c>
      <c r="AM4345" s="106">
        <f t="shared" ca="1" si="575"/>
        <v>37373.681695685758</v>
      </c>
      <c r="AN4345" s="10">
        <f t="shared" ca="1" si="576"/>
        <v>1.1105432494734835</v>
      </c>
      <c r="AO4345" s="158"/>
      <c r="AP4345" s="158"/>
    </row>
    <row r="4346" spans="34:42">
      <c r="AH4346" s="6">
        <f t="shared" si="580"/>
        <v>4316</v>
      </c>
      <c r="AI4346" s="7">
        <f t="shared" ca="1" si="581"/>
        <v>46986</v>
      </c>
      <c r="AJ4346" s="210">
        <f t="shared" ca="1" si="577"/>
        <v>4.1749999999999998</v>
      </c>
      <c r="AK4346" s="8">
        <f t="shared" ca="1" si="579"/>
        <v>1.0001159722222221</v>
      </c>
      <c r="AL4346" s="98">
        <f t="shared" ca="1" si="578"/>
        <v>4.1763038924513607</v>
      </c>
      <c r="AM4346" s="106">
        <f t="shared" ca="1" si="575"/>
        <v>37376.761341967162</v>
      </c>
      <c r="AN4346" s="10">
        <f t="shared" ca="1" si="576"/>
        <v>1.1105715465993926</v>
      </c>
      <c r="AO4346" s="158"/>
      <c r="AP4346" s="158"/>
    </row>
    <row r="4347" spans="34:42">
      <c r="AH4347" s="6">
        <f t="shared" si="580"/>
        <v>4317</v>
      </c>
      <c r="AI4347" s="7">
        <f t="shared" ca="1" si="581"/>
        <v>46987</v>
      </c>
      <c r="AJ4347" s="210">
        <f t="shared" ca="1" si="577"/>
        <v>4.1749999999999998</v>
      </c>
      <c r="AK4347" s="8">
        <f t="shared" ca="1" si="579"/>
        <v>1.0001159722222221</v>
      </c>
      <c r="AL4347" s="98">
        <f t="shared" ca="1" si="578"/>
        <v>4.1763379880351392</v>
      </c>
      <c r="AM4347" s="106">
        <f t="shared" ca="1" si="575"/>
        <v>37379.841242015951</v>
      </c>
      <c r="AN4347" s="10">
        <f t="shared" ca="1" si="576"/>
        <v>1.1105998306236042</v>
      </c>
      <c r="AO4347" s="158"/>
      <c r="AP4347" s="158"/>
    </row>
    <row r="4348" spans="34:42">
      <c r="AH4348" s="6">
        <f t="shared" si="580"/>
        <v>4318</v>
      </c>
      <c r="AI4348" s="7">
        <f t="shared" ca="1" si="581"/>
        <v>46988</v>
      </c>
      <c r="AJ4348" s="210">
        <f t="shared" ca="1" si="577"/>
        <v>4.1749999999999998</v>
      </c>
      <c r="AK4348" s="8">
        <f t="shared" ca="1" si="579"/>
        <v>1.0001159722222221</v>
      </c>
      <c r="AL4348" s="98">
        <f t="shared" ca="1" si="578"/>
        <v>4.1763720678377636</v>
      </c>
      <c r="AM4348" s="106">
        <f t="shared" ca="1" si="575"/>
        <v>37382.921395853024</v>
      </c>
      <c r="AN4348" s="10">
        <f t="shared" ca="1" si="576"/>
        <v>1.1106281015552</v>
      </c>
      <c r="AO4348" s="158"/>
      <c r="AP4348" s="158"/>
    </row>
    <row r="4349" spans="34:42">
      <c r="AH4349" s="6">
        <f t="shared" si="580"/>
        <v>4319</v>
      </c>
      <c r="AI4349" s="7">
        <f t="shared" ca="1" si="581"/>
        <v>46989</v>
      </c>
      <c r="AJ4349" s="210">
        <f t="shared" ca="1" si="577"/>
        <v>4.1749999999999998</v>
      </c>
      <c r="AK4349" s="8">
        <f t="shared" ca="1" si="579"/>
        <v>1.0001159722222221</v>
      </c>
      <c r="AL4349" s="98">
        <f t="shared" ca="1" si="578"/>
        <v>4.1764061318701806</v>
      </c>
      <c r="AM4349" s="106">
        <f t="shared" ca="1" si="575"/>
        <v>37386.001803499297</v>
      </c>
      <c r="AN4349" s="10">
        <f t="shared" ca="1" si="576"/>
        <v>1.1106563594032615</v>
      </c>
      <c r="AO4349" s="158"/>
      <c r="AP4349" s="158"/>
    </row>
    <row r="4350" spans="34:42">
      <c r="AH4350" s="6">
        <f t="shared" si="580"/>
        <v>4320</v>
      </c>
      <c r="AI4350" s="7">
        <f t="shared" ca="1" si="581"/>
        <v>46990</v>
      </c>
      <c r="AJ4350" s="210">
        <f t="shared" ca="1" si="577"/>
        <v>4.1749999999999998</v>
      </c>
      <c r="AK4350" s="8">
        <f t="shared" ca="1" si="579"/>
        <v>1.0001159722222221</v>
      </c>
      <c r="AL4350" s="98">
        <f t="shared" ca="1" si="578"/>
        <v>4.1764401801433371</v>
      </c>
      <c r="AM4350" s="106">
        <f t="shared" ca="1" si="575"/>
        <v>37389.082464975683</v>
      </c>
      <c r="AN4350" s="10">
        <f t="shared" ca="1" si="576"/>
        <v>1.1106846041768703</v>
      </c>
      <c r="AO4350" s="158"/>
      <c r="AP4350" s="158"/>
    </row>
    <row r="4351" spans="34:42">
      <c r="AH4351" s="6">
        <f t="shared" si="580"/>
        <v>4321</v>
      </c>
      <c r="AI4351" s="7">
        <f t="shared" ca="1" si="581"/>
        <v>46991</v>
      </c>
      <c r="AJ4351" s="210">
        <f t="shared" ca="1" si="577"/>
        <v>4.1749999999999998</v>
      </c>
      <c r="AK4351" s="8">
        <f t="shared" ca="1" si="579"/>
        <v>1.0001159722222221</v>
      </c>
      <c r="AL4351" s="98">
        <f t="shared" ca="1" si="578"/>
        <v>4.1764742126681798</v>
      </c>
      <c r="AM4351" s="106">
        <f t="shared" ca="1" si="575"/>
        <v>37392.163380303107</v>
      </c>
      <c r="AN4351" s="10">
        <f t="shared" ca="1" si="576"/>
        <v>1.1107128358851082</v>
      </c>
      <c r="AO4351" s="158"/>
      <c r="AP4351" s="158"/>
    </row>
    <row r="4352" spans="34:42">
      <c r="AH4352" s="6">
        <f t="shared" si="580"/>
        <v>4322</v>
      </c>
      <c r="AI4352" s="7">
        <f t="shared" ca="1" si="581"/>
        <v>46992</v>
      </c>
      <c r="AJ4352" s="210">
        <f t="shared" ca="1" si="577"/>
        <v>4.1749999999999998</v>
      </c>
      <c r="AK4352" s="8">
        <f t="shared" ca="1" si="579"/>
        <v>1.0001159722222221</v>
      </c>
      <c r="AL4352" s="98">
        <f t="shared" ca="1" si="578"/>
        <v>4.1765082294556333</v>
      </c>
      <c r="AM4352" s="106">
        <f t="shared" ca="1" si="575"/>
        <v>37395.244549502473</v>
      </c>
      <c r="AN4352" s="10">
        <f t="shared" ca="1" si="576"/>
        <v>1.1107410545370566</v>
      </c>
      <c r="AO4352" s="158"/>
      <c r="AP4352" s="158"/>
    </row>
    <row r="4353" spans="34:42">
      <c r="AH4353" s="6">
        <f t="shared" si="580"/>
        <v>4323</v>
      </c>
      <c r="AI4353" s="7">
        <f t="shared" ca="1" si="581"/>
        <v>46993</v>
      </c>
      <c r="AJ4353" s="210">
        <f t="shared" ca="1" si="577"/>
        <v>4.1749999999999998</v>
      </c>
      <c r="AK4353" s="8">
        <f t="shared" ca="1" si="579"/>
        <v>1.0001159722222221</v>
      </c>
      <c r="AL4353" s="98">
        <f t="shared" ca="1" si="578"/>
        <v>4.1765422305166</v>
      </c>
      <c r="AM4353" s="106">
        <f t="shared" ca="1" si="575"/>
        <v>37398.325972594721</v>
      </c>
      <c r="AN4353" s="10">
        <f t="shared" ca="1" si="576"/>
        <v>1.1107692601417307</v>
      </c>
      <c r="AO4353" s="158"/>
      <c r="AP4353" s="158"/>
    </row>
    <row r="4354" spans="34:42">
      <c r="AH4354" s="6">
        <f t="shared" si="580"/>
        <v>4324</v>
      </c>
      <c r="AI4354" s="7">
        <f t="shared" ca="1" si="581"/>
        <v>46994</v>
      </c>
      <c r="AJ4354" s="210">
        <f t="shared" ca="1" si="577"/>
        <v>4.1749999999999998</v>
      </c>
      <c r="AK4354" s="8">
        <f t="shared" ca="1" si="579"/>
        <v>1.0001159722222221</v>
      </c>
      <c r="AL4354" s="98">
        <f t="shared" ca="1" si="578"/>
        <v>4.1765762158619824</v>
      </c>
      <c r="AM4354" s="106">
        <f t="shared" ca="1" si="575"/>
        <v>37401.407649600747</v>
      </c>
      <c r="AN4354" s="10">
        <f t="shared" ca="1" si="576"/>
        <v>1.1107974527082121</v>
      </c>
      <c r="AO4354" s="158"/>
      <c r="AP4354" s="158"/>
    </row>
    <row r="4355" spans="34:42">
      <c r="AH4355" s="6">
        <f t="shared" si="580"/>
        <v>4325</v>
      </c>
      <c r="AI4355" s="7">
        <f t="shared" ca="1" si="581"/>
        <v>46995</v>
      </c>
      <c r="AJ4355" s="210">
        <f t="shared" ca="1" si="577"/>
        <v>4.1749999999999998</v>
      </c>
      <c r="AK4355" s="8">
        <f t="shared" ca="1" si="579"/>
        <v>1.0001159722222221</v>
      </c>
      <c r="AL4355" s="98">
        <f t="shared" ca="1" si="578"/>
        <v>4.1766101855026827</v>
      </c>
      <c r="AM4355" s="106">
        <f t="shared" ca="1" si="575"/>
        <v>37404.489580541493</v>
      </c>
      <c r="AN4355" s="10">
        <f t="shared" ca="1" si="576"/>
        <v>1.1108256322455157</v>
      </c>
      <c r="AO4355" s="158"/>
      <c r="AP4355" s="158"/>
    </row>
    <row r="4356" spans="34:42">
      <c r="AH4356" s="6">
        <f t="shared" si="580"/>
        <v>4326</v>
      </c>
      <c r="AI4356" s="7">
        <f t="shared" ca="1" si="581"/>
        <v>46996</v>
      </c>
      <c r="AJ4356" s="210">
        <f t="shared" ca="1" si="577"/>
        <v>4.1749999999999998</v>
      </c>
      <c r="AK4356" s="8">
        <f t="shared" ca="1" si="579"/>
        <v>1.0001159722222221</v>
      </c>
      <c r="AL4356" s="98">
        <f t="shared" ca="1" si="578"/>
        <v>4.1766441394495812</v>
      </c>
      <c r="AM4356" s="106">
        <f t="shared" ca="1" si="575"/>
        <v>37407.571765437875</v>
      </c>
      <c r="AN4356" s="10">
        <f t="shared" ca="1" si="576"/>
        <v>1.1108537987626788</v>
      </c>
      <c r="AO4356" s="158"/>
      <c r="AP4356" s="158"/>
    </row>
    <row r="4357" spans="34:42">
      <c r="AH4357" s="6">
        <f t="shared" si="580"/>
        <v>4327</v>
      </c>
      <c r="AI4357" s="7">
        <f t="shared" ca="1" si="581"/>
        <v>46997</v>
      </c>
      <c r="AJ4357" s="210">
        <f t="shared" ca="1" si="577"/>
        <v>4.1749999999999998</v>
      </c>
      <c r="AK4357" s="8">
        <f t="shared" ca="1" si="579"/>
        <v>1.0001159722222221</v>
      </c>
      <c r="AL4357" s="98">
        <f t="shared" ca="1" si="578"/>
        <v>4.1766780777135359</v>
      </c>
      <c r="AM4357" s="106">
        <f t="shared" ca="1" si="575"/>
        <v>37410.65420431082</v>
      </c>
      <c r="AN4357" s="10">
        <f t="shared" ca="1" si="576"/>
        <v>1.1108819522687163</v>
      </c>
      <c r="AO4357" s="158"/>
      <c r="AP4357" s="158"/>
    </row>
    <row r="4358" spans="34:42">
      <c r="AH4358" s="6">
        <f t="shared" si="580"/>
        <v>4328</v>
      </c>
      <c r="AI4358" s="7">
        <f t="shared" ca="1" si="581"/>
        <v>46998</v>
      </c>
      <c r="AJ4358" s="210">
        <f t="shared" ca="1" si="577"/>
        <v>4.1749999999999998</v>
      </c>
      <c r="AK4358" s="8">
        <f t="shared" ca="1" si="579"/>
        <v>1.0001159722222221</v>
      </c>
      <c r="AL4358" s="98">
        <f t="shared" ca="1" si="578"/>
        <v>4.176712000305427</v>
      </c>
      <c r="AM4358" s="106">
        <f t="shared" ca="1" si="575"/>
        <v>37413.736897181261</v>
      </c>
      <c r="AN4358" s="10">
        <f t="shared" ca="1" si="576"/>
        <v>1.1109100927726656</v>
      </c>
      <c r="AO4358" s="158"/>
      <c r="AP4358" s="158"/>
    </row>
    <row r="4359" spans="34:42">
      <c r="AH4359" s="6">
        <f t="shared" si="580"/>
        <v>4329</v>
      </c>
      <c r="AI4359" s="7">
        <f t="shared" ca="1" si="581"/>
        <v>46999</v>
      </c>
      <c r="AJ4359" s="210">
        <f t="shared" ca="1" si="577"/>
        <v>4.1749999999999998</v>
      </c>
      <c r="AK4359" s="8">
        <f t="shared" ca="1" si="579"/>
        <v>1.0001159722222221</v>
      </c>
      <c r="AL4359" s="98">
        <f t="shared" ca="1" si="578"/>
        <v>4.1767459072361124</v>
      </c>
      <c r="AM4359" s="106">
        <f t="shared" ca="1" si="575"/>
        <v>37416.819844070124</v>
      </c>
      <c r="AN4359" s="10">
        <f t="shared" ca="1" si="576"/>
        <v>1.1109382202834972</v>
      </c>
      <c r="AO4359" s="158"/>
      <c r="AP4359" s="158"/>
    </row>
    <row r="4360" spans="34:42">
      <c r="AH4360" s="6">
        <f t="shared" si="580"/>
        <v>4330</v>
      </c>
      <c r="AI4360" s="7">
        <f t="shared" ca="1" si="581"/>
        <v>47000</v>
      </c>
      <c r="AJ4360" s="210">
        <f t="shared" ca="1" si="577"/>
        <v>4.1749999999999998</v>
      </c>
      <c r="AK4360" s="8">
        <f t="shared" ca="1" si="579"/>
        <v>1.0001159722222221</v>
      </c>
      <c r="AL4360" s="98">
        <f t="shared" ca="1" si="578"/>
        <v>4.1767797985164279</v>
      </c>
      <c r="AM4360" s="106">
        <f t="shared" ca="1" si="575"/>
        <v>37419.903044998333</v>
      </c>
      <c r="AN4360" s="10">
        <f t="shared" ca="1" si="576"/>
        <v>1.1109663348102483</v>
      </c>
      <c r="AO4360" s="158"/>
      <c r="AP4360" s="158"/>
    </row>
    <row r="4361" spans="34:42">
      <c r="AH4361" s="6">
        <f t="shared" si="580"/>
        <v>4331</v>
      </c>
      <c r="AI4361" s="7">
        <f t="shared" ca="1" si="581"/>
        <v>47001</v>
      </c>
      <c r="AJ4361" s="210">
        <f t="shared" ca="1" si="577"/>
        <v>4.1749999999999998</v>
      </c>
      <c r="AK4361" s="8">
        <f t="shared" ca="1" si="579"/>
        <v>1.0001159722222221</v>
      </c>
      <c r="AL4361" s="98">
        <f t="shared" ca="1" si="578"/>
        <v>4.1768136741571871</v>
      </c>
      <c r="AM4361" s="106">
        <f t="shared" ca="1" si="575"/>
        <v>37422.98649998683</v>
      </c>
      <c r="AN4361" s="10">
        <f t="shared" ca="1" si="576"/>
        <v>1.1109944363618673</v>
      </c>
      <c r="AO4361" s="158"/>
      <c r="AP4361" s="158"/>
    </row>
    <row r="4362" spans="34:42">
      <c r="AH4362" s="6">
        <f t="shared" si="580"/>
        <v>4332</v>
      </c>
      <c r="AI4362" s="7">
        <f t="shared" ca="1" si="581"/>
        <v>47002</v>
      </c>
      <c r="AJ4362" s="210">
        <f t="shared" ca="1" si="577"/>
        <v>4.1749999999999998</v>
      </c>
      <c r="AK4362" s="8">
        <f t="shared" ca="1" si="579"/>
        <v>1.0001159722222221</v>
      </c>
      <c r="AL4362" s="98">
        <f t="shared" ca="1" si="578"/>
        <v>4.1768475341692479</v>
      </c>
      <c r="AM4362" s="106">
        <f t="shared" ca="1" si="575"/>
        <v>37426.070209056546</v>
      </c>
      <c r="AN4362" s="10">
        <f t="shared" ca="1" si="576"/>
        <v>1.1110225249473693</v>
      </c>
      <c r="AO4362" s="158"/>
      <c r="AP4362" s="158"/>
    </row>
    <row r="4363" spans="34:42">
      <c r="AH4363" s="6">
        <f t="shared" si="580"/>
        <v>4333</v>
      </c>
      <c r="AI4363" s="7">
        <f t="shared" ca="1" si="581"/>
        <v>47003</v>
      </c>
      <c r="AJ4363" s="210">
        <f t="shared" ca="1" si="577"/>
        <v>4.1749999999999998</v>
      </c>
      <c r="AK4363" s="8">
        <f t="shared" ca="1" si="579"/>
        <v>1.0001159722222221</v>
      </c>
      <c r="AL4363" s="98">
        <f t="shared" ca="1" si="578"/>
        <v>4.1768813785634018</v>
      </c>
      <c r="AM4363" s="106">
        <f t="shared" ca="1" si="575"/>
        <v>37429.154172228424</v>
      </c>
      <c r="AN4363" s="10">
        <f t="shared" ca="1" si="576"/>
        <v>1.1110506005757026</v>
      </c>
      <c r="AO4363" s="158"/>
      <c r="AP4363" s="158"/>
    </row>
    <row r="4364" spans="34:42">
      <c r="AH4364" s="6">
        <f t="shared" si="580"/>
        <v>4334</v>
      </c>
      <c r="AI4364" s="7">
        <f t="shared" ca="1" si="581"/>
        <v>47004</v>
      </c>
      <c r="AJ4364" s="210">
        <f t="shared" ca="1" si="577"/>
        <v>4.1749999999999998</v>
      </c>
      <c r="AK4364" s="8">
        <f t="shared" ca="1" si="579"/>
        <v>1.0001159722222221</v>
      </c>
      <c r="AL4364" s="98">
        <f t="shared" ca="1" si="578"/>
        <v>4.1769152073504623</v>
      </c>
      <c r="AM4364" s="106">
        <f t="shared" ca="1" si="575"/>
        <v>37432.238389523394</v>
      </c>
      <c r="AN4364" s="10">
        <f t="shared" ca="1" si="576"/>
        <v>1.1110786632558378</v>
      </c>
      <c r="AO4364" s="158"/>
      <c r="AP4364" s="158"/>
    </row>
    <row r="4365" spans="34:42">
      <c r="AH4365" s="6">
        <f t="shared" si="580"/>
        <v>4335</v>
      </c>
      <c r="AI4365" s="7">
        <f t="shared" ca="1" si="581"/>
        <v>47005</v>
      </c>
      <c r="AJ4365" s="210">
        <f t="shared" ca="1" si="577"/>
        <v>4.1749999999999998</v>
      </c>
      <c r="AK4365" s="8">
        <f t="shared" ca="1" si="579"/>
        <v>1.0001159722222221</v>
      </c>
      <c r="AL4365" s="98">
        <f t="shared" ca="1" si="578"/>
        <v>4.1769490205411985</v>
      </c>
      <c r="AM4365" s="106">
        <f t="shared" ca="1" si="575"/>
        <v>37435.322860962406</v>
      </c>
      <c r="AN4365" s="10">
        <f t="shared" ca="1" si="576"/>
        <v>1.1111067129967234</v>
      </c>
      <c r="AO4365" s="158"/>
      <c r="AP4365" s="158"/>
    </row>
    <row r="4366" spans="34:42">
      <c r="AH4366" s="6">
        <f t="shared" si="580"/>
        <v>4336</v>
      </c>
      <c r="AI4366" s="7">
        <f t="shared" ca="1" si="581"/>
        <v>47006</v>
      </c>
      <c r="AJ4366" s="210">
        <f t="shared" ca="1" si="577"/>
        <v>4.1749999999999998</v>
      </c>
      <c r="AK4366" s="8">
        <f t="shared" ca="1" si="579"/>
        <v>1.0001159722222221</v>
      </c>
      <c r="AL4366" s="98">
        <f t="shared" ca="1" si="578"/>
        <v>4.1769828181464241</v>
      </c>
      <c r="AM4366" s="106">
        <f t="shared" ca="1" si="575"/>
        <v>37438.407586566398</v>
      </c>
      <c r="AN4366" s="10">
        <f t="shared" ca="1" si="576"/>
        <v>1.1111347498073076</v>
      </c>
      <c r="AO4366" s="158"/>
      <c r="AP4366" s="158"/>
    </row>
    <row r="4367" spans="34:42">
      <c r="AH4367" s="6">
        <f t="shared" si="580"/>
        <v>4337</v>
      </c>
      <c r="AI4367" s="7">
        <f t="shared" ca="1" si="581"/>
        <v>47007</v>
      </c>
      <c r="AJ4367" s="210">
        <f t="shared" ca="1" si="577"/>
        <v>4.1749999999999998</v>
      </c>
      <c r="AK4367" s="8">
        <f t="shared" ca="1" si="579"/>
        <v>1.0001159722222221</v>
      </c>
      <c r="AL4367" s="98">
        <f t="shared" ca="1" si="578"/>
        <v>4.177016600176886</v>
      </c>
      <c r="AM4367" s="106">
        <f t="shared" ca="1" si="575"/>
        <v>37441.492566356312</v>
      </c>
      <c r="AN4367" s="10">
        <f t="shared" ca="1" si="576"/>
        <v>1.111162773696539</v>
      </c>
      <c r="AO4367" s="158"/>
      <c r="AP4367" s="158"/>
    </row>
    <row r="4368" spans="34:42">
      <c r="AH4368" s="6">
        <f t="shared" si="580"/>
        <v>4338</v>
      </c>
      <c r="AI4368" s="7">
        <f t="shared" ca="1" si="581"/>
        <v>47008</v>
      </c>
      <c r="AJ4368" s="210">
        <f t="shared" ca="1" si="577"/>
        <v>4.1749999999999998</v>
      </c>
      <c r="AK4368" s="8">
        <f t="shared" ca="1" si="579"/>
        <v>1.0001159722222221</v>
      </c>
      <c r="AL4368" s="98">
        <f t="shared" ca="1" si="578"/>
        <v>4.1770503666433756</v>
      </c>
      <c r="AM4368" s="106">
        <f t="shared" ca="1" si="575"/>
        <v>37444.577800353087</v>
      </c>
      <c r="AN4368" s="10">
        <f t="shared" ca="1" si="576"/>
        <v>1.1111907846733438</v>
      </c>
      <c r="AO4368" s="158"/>
      <c r="AP4368" s="158"/>
    </row>
    <row r="4369" spans="34:42">
      <c r="AH4369" s="6">
        <f t="shared" si="580"/>
        <v>4339</v>
      </c>
      <c r="AI4369" s="7">
        <f t="shared" ca="1" si="581"/>
        <v>47009</v>
      </c>
      <c r="AJ4369" s="210">
        <f t="shared" ca="1" si="577"/>
        <v>4.1749999999999998</v>
      </c>
      <c r="AK4369" s="8">
        <f t="shared" ca="1" si="579"/>
        <v>1.0001159722222221</v>
      </c>
      <c r="AL4369" s="98">
        <f t="shared" ca="1" si="578"/>
        <v>4.1770841175566398</v>
      </c>
      <c r="AM4369" s="106">
        <f t="shared" ca="1" si="575"/>
        <v>37447.663288577678</v>
      </c>
      <c r="AN4369" s="10">
        <f t="shared" ca="1" si="576"/>
        <v>1.1112187827466702</v>
      </c>
      <c r="AO4369" s="158"/>
      <c r="AP4369" s="158"/>
    </row>
    <row r="4370" spans="34:42">
      <c r="AH4370" s="6">
        <f t="shared" si="580"/>
        <v>4340</v>
      </c>
      <c r="AI4370" s="7">
        <f t="shared" ca="1" si="581"/>
        <v>47010</v>
      </c>
      <c r="AJ4370" s="210">
        <f t="shared" ca="1" si="577"/>
        <v>4.1749999999999998</v>
      </c>
      <c r="AK4370" s="8">
        <f t="shared" ca="1" si="579"/>
        <v>1.0001159722222221</v>
      </c>
      <c r="AL4370" s="98">
        <f t="shared" ca="1" si="578"/>
        <v>4.1771178529274033</v>
      </c>
      <c r="AM4370" s="106">
        <f t="shared" ca="1" si="575"/>
        <v>37450.749031051033</v>
      </c>
      <c r="AN4370" s="10">
        <f t="shared" ca="1" si="576"/>
        <v>1.1112467679253779</v>
      </c>
      <c r="AO4370" s="158"/>
      <c r="AP4370" s="158"/>
    </row>
    <row r="4371" spans="34:42">
      <c r="AH4371" s="6">
        <f t="shared" si="580"/>
        <v>4341</v>
      </c>
      <c r="AI4371" s="7">
        <f t="shared" ca="1" si="581"/>
        <v>47011</v>
      </c>
      <c r="AJ4371" s="210">
        <f t="shared" ca="1" si="577"/>
        <v>4.1749999999999998</v>
      </c>
      <c r="AK4371" s="8">
        <f t="shared" ca="1" si="579"/>
        <v>1.0001159722222221</v>
      </c>
      <c r="AL4371" s="98">
        <f t="shared" ca="1" si="578"/>
        <v>4.1771515727664132</v>
      </c>
      <c r="AM4371" s="106">
        <f t="shared" ca="1" si="575"/>
        <v>37453.835027794099</v>
      </c>
      <c r="AN4371" s="10">
        <f t="shared" ca="1" si="576"/>
        <v>1.1112747402183931</v>
      </c>
      <c r="AO4371" s="158"/>
      <c r="AP4371" s="158"/>
    </row>
    <row r="4372" spans="34:42">
      <c r="AH4372" s="6">
        <f t="shared" si="580"/>
        <v>4342</v>
      </c>
      <c r="AI4372" s="7">
        <f t="shared" ca="1" si="581"/>
        <v>47012</v>
      </c>
      <c r="AJ4372" s="210">
        <f t="shared" ca="1" si="577"/>
        <v>4.1749999999999998</v>
      </c>
      <c r="AK4372" s="8">
        <f t="shared" ca="1" si="579"/>
        <v>1.0001159722222221</v>
      </c>
      <c r="AL4372" s="98">
        <f t="shared" ca="1" si="578"/>
        <v>4.1771852770843942</v>
      </c>
      <c r="AM4372" s="106">
        <f t="shared" ca="1" si="575"/>
        <v>37456.921278827831</v>
      </c>
      <c r="AN4372" s="10">
        <f t="shared" ca="1" si="576"/>
        <v>1.111302699634642</v>
      </c>
      <c r="AO4372" s="158"/>
      <c r="AP4372" s="158"/>
    </row>
    <row r="4373" spans="34:42">
      <c r="AH4373" s="6">
        <f t="shared" si="580"/>
        <v>4343</v>
      </c>
      <c r="AI4373" s="7">
        <f t="shared" ca="1" si="581"/>
        <v>47013</v>
      </c>
      <c r="AJ4373" s="210">
        <f t="shared" ca="1" si="577"/>
        <v>4.1749999999999998</v>
      </c>
      <c r="AK4373" s="8">
        <f t="shared" ca="1" si="579"/>
        <v>1.0001159722222221</v>
      </c>
      <c r="AL4373" s="98">
        <f t="shared" ca="1" si="578"/>
        <v>4.1772189658920489</v>
      </c>
      <c r="AM4373" s="106">
        <f t="shared" ca="1" si="575"/>
        <v>37460.007784173191</v>
      </c>
      <c r="AN4373" s="10">
        <f t="shared" ca="1" si="576"/>
        <v>1.1113306461829842</v>
      </c>
      <c r="AO4373" s="158"/>
      <c r="AP4373" s="158"/>
    </row>
    <row r="4374" spans="34:42">
      <c r="AH4374" s="6">
        <f t="shared" si="580"/>
        <v>4344</v>
      </c>
      <c r="AI4374" s="7">
        <f t="shared" ca="1" si="581"/>
        <v>47014</v>
      </c>
      <c r="AJ4374" s="210">
        <f t="shared" ca="1" si="577"/>
        <v>4.1749999999999998</v>
      </c>
      <c r="AK4374" s="8">
        <f t="shared" ca="1" si="579"/>
        <v>1.0001159722222221</v>
      </c>
      <c r="AL4374" s="98">
        <f t="shared" ca="1" si="578"/>
        <v>4.1772526392001019</v>
      </c>
      <c r="AM4374" s="106">
        <f t="shared" ca="1" si="575"/>
        <v>37463.094543851119</v>
      </c>
      <c r="AN4374" s="10">
        <f t="shared" ca="1" si="576"/>
        <v>1.1113585798723236</v>
      </c>
      <c r="AO4374" s="158"/>
      <c r="AP4374" s="158"/>
    </row>
    <row r="4375" spans="34:42">
      <c r="AH4375" s="6">
        <f t="shared" si="580"/>
        <v>4345</v>
      </c>
      <c r="AI4375" s="7">
        <f t="shared" ca="1" si="581"/>
        <v>47015</v>
      </c>
      <c r="AJ4375" s="210">
        <f t="shared" ca="1" si="577"/>
        <v>4.1749999999999998</v>
      </c>
      <c r="AK4375" s="8">
        <f t="shared" ca="1" si="579"/>
        <v>1.0001159722222221</v>
      </c>
      <c r="AL4375" s="98">
        <f t="shared" ca="1" si="578"/>
        <v>4.1772862970192337</v>
      </c>
      <c r="AM4375" s="106">
        <f t="shared" ca="1" si="575"/>
        <v>37466.181557882577</v>
      </c>
      <c r="AN4375" s="10">
        <f t="shared" ca="1" si="576"/>
        <v>1.1113865007114976</v>
      </c>
      <c r="AO4375" s="158"/>
      <c r="AP4375" s="158"/>
    </row>
    <row r="4376" spans="34:42">
      <c r="AH4376" s="6">
        <f t="shared" si="580"/>
        <v>4346</v>
      </c>
      <c r="AI4376" s="7">
        <f t="shared" ca="1" si="581"/>
        <v>47016</v>
      </c>
      <c r="AJ4376" s="210">
        <f t="shared" ca="1" si="577"/>
        <v>4.1749999999999998</v>
      </c>
      <c r="AK4376" s="8">
        <f t="shared" ca="1" si="579"/>
        <v>1.0001159722222221</v>
      </c>
      <c r="AL4376" s="98">
        <f t="shared" ca="1" si="578"/>
        <v>4.1773199393601246</v>
      </c>
      <c r="AM4376" s="106">
        <f t="shared" ca="1" si="575"/>
        <v>37469.268826288535</v>
      </c>
      <c r="AN4376" s="10">
        <f t="shared" ca="1" si="576"/>
        <v>1.1114144087094102</v>
      </c>
      <c r="AO4376" s="158"/>
      <c r="AP4376" s="158"/>
    </row>
    <row r="4377" spans="34:42">
      <c r="AH4377" s="6">
        <f t="shared" si="580"/>
        <v>4347</v>
      </c>
      <c r="AI4377" s="7">
        <f t="shared" ca="1" si="581"/>
        <v>47017</v>
      </c>
      <c r="AJ4377" s="210">
        <f t="shared" ca="1" si="577"/>
        <v>4.1749999999999998</v>
      </c>
      <c r="AK4377" s="8">
        <f t="shared" ca="1" si="579"/>
        <v>1.0001159722222221</v>
      </c>
      <c r="AL4377" s="98">
        <f t="shared" ca="1" si="578"/>
        <v>4.1773535662334549</v>
      </c>
      <c r="AM4377" s="106">
        <f t="shared" ca="1" si="575"/>
        <v>37472.35634908994</v>
      </c>
      <c r="AN4377" s="10">
        <f t="shared" ca="1" si="576"/>
        <v>1.1114423038748988</v>
      </c>
      <c r="AO4377" s="158"/>
      <c r="AP4377" s="158"/>
    </row>
    <row r="4378" spans="34:42">
      <c r="AH4378" s="6">
        <f t="shared" si="580"/>
        <v>4348</v>
      </c>
      <c r="AI4378" s="7">
        <f t="shared" ca="1" si="581"/>
        <v>47018</v>
      </c>
      <c r="AJ4378" s="210">
        <f t="shared" ca="1" si="577"/>
        <v>4.1749999999999998</v>
      </c>
      <c r="AK4378" s="8">
        <f t="shared" ca="1" si="579"/>
        <v>1.0001159722222221</v>
      </c>
      <c r="AL4378" s="98">
        <f t="shared" ca="1" si="578"/>
        <v>4.1773871776498828</v>
      </c>
      <c r="AM4378" s="106">
        <f t="shared" ca="1" si="575"/>
        <v>37475.444126307753</v>
      </c>
      <c r="AN4378" s="10">
        <f t="shared" ca="1" si="576"/>
        <v>1.1114701862168008</v>
      </c>
      <c r="AO4378" s="158"/>
      <c r="AP4378" s="158"/>
    </row>
    <row r="4379" spans="34:42">
      <c r="AH4379" s="6">
        <f t="shared" si="580"/>
        <v>4349</v>
      </c>
      <c r="AI4379" s="7">
        <f t="shared" ca="1" si="581"/>
        <v>47019</v>
      </c>
      <c r="AJ4379" s="210">
        <f t="shared" ca="1" si="577"/>
        <v>4.1749999999999998</v>
      </c>
      <c r="AK4379" s="8">
        <f t="shared" ca="1" si="579"/>
        <v>1.0001159722222221</v>
      </c>
      <c r="AL4379" s="98">
        <f t="shared" ca="1" si="578"/>
        <v>4.1774207736200664</v>
      </c>
      <c r="AM4379" s="106">
        <f t="shared" ca="1" si="575"/>
        <v>37478.532157962953</v>
      </c>
      <c r="AN4379" s="10">
        <f t="shared" ca="1" si="576"/>
        <v>1.1114980557439758</v>
      </c>
      <c r="AO4379" s="158"/>
      <c r="AP4379" s="158"/>
    </row>
    <row r="4380" spans="34:42">
      <c r="AH4380" s="6">
        <f t="shared" si="580"/>
        <v>4350</v>
      </c>
      <c r="AI4380" s="7">
        <f t="shared" ca="1" si="581"/>
        <v>47020</v>
      </c>
      <c r="AJ4380" s="210">
        <f t="shared" ca="1" si="577"/>
        <v>4.1749999999999998</v>
      </c>
      <c r="AK4380" s="8">
        <f t="shared" ca="1" si="579"/>
        <v>1.0001159722222221</v>
      </c>
      <c r="AL4380" s="98">
        <f t="shared" ca="1" si="578"/>
        <v>4.1774543541546638</v>
      </c>
      <c r="AM4380" s="106">
        <f t="shared" ca="1" si="575"/>
        <v>37481.6204440765</v>
      </c>
      <c r="AN4380" s="10">
        <f t="shared" ca="1" si="576"/>
        <v>1.111525912465261</v>
      </c>
      <c r="AO4380" s="158"/>
      <c r="AP4380" s="158"/>
    </row>
    <row r="4381" spans="34:42">
      <c r="AH4381" s="6">
        <f t="shared" si="580"/>
        <v>4351</v>
      </c>
      <c r="AI4381" s="7">
        <f t="shared" ca="1" si="581"/>
        <v>47021</v>
      </c>
      <c r="AJ4381" s="210">
        <f t="shared" ca="1" si="577"/>
        <v>4.1749999999999998</v>
      </c>
      <c r="AK4381" s="8">
        <f t="shared" ca="1" si="579"/>
        <v>1.0001159722222221</v>
      </c>
      <c r="AL4381" s="98">
        <f t="shared" ca="1" si="578"/>
        <v>4.1774879192642889</v>
      </c>
      <c r="AM4381" s="106">
        <f t="shared" ca="1" si="575"/>
        <v>37484.708984669356</v>
      </c>
      <c r="AN4381" s="10">
        <f t="shared" ca="1" si="576"/>
        <v>1.1115537563894717</v>
      </c>
      <c r="AO4381" s="158"/>
      <c r="AP4381" s="158"/>
    </row>
    <row r="4382" spans="34:42">
      <c r="AH4382" s="6">
        <f t="shared" si="580"/>
        <v>4352</v>
      </c>
      <c r="AI4382" s="7">
        <f t="shared" ca="1" si="581"/>
        <v>47022</v>
      </c>
      <c r="AJ4382" s="210">
        <f t="shared" ca="1" si="577"/>
        <v>4.1749999999999998</v>
      </c>
      <c r="AK4382" s="8">
        <f t="shared" ca="1" si="579"/>
        <v>1.0001159722222221</v>
      </c>
      <c r="AL4382" s="98">
        <f t="shared" ca="1" si="578"/>
        <v>4.1775214689595774</v>
      </c>
      <c r="AM4382" s="106">
        <f t="shared" ca="1" si="575"/>
        <v>37487.797779762499</v>
      </c>
      <c r="AN4382" s="10">
        <f t="shared" ca="1" si="576"/>
        <v>1.1115815875254009</v>
      </c>
      <c r="AO4382" s="158"/>
      <c r="AP4382" s="158"/>
    </row>
    <row r="4383" spans="34:42">
      <c r="AH4383" s="6">
        <f t="shared" si="580"/>
        <v>4353</v>
      </c>
      <c r="AI4383" s="7">
        <f t="shared" ca="1" si="581"/>
        <v>47023</v>
      </c>
      <c r="AJ4383" s="210">
        <f t="shared" ca="1" si="577"/>
        <v>4.1749999999999998</v>
      </c>
      <c r="AK4383" s="8">
        <f t="shared" ca="1" si="579"/>
        <v>1.0001159722222221</v>
      </c>
      <c r="AL4383" s="98">
        <f t="shared" ca="1" si="578"/>
        <v>4.1775550032511655</v>
      </c>
      <c r="AM4383" s="106">
        <f t="shared" ref="AM4383:AM4446" ca="1" si="582">Geom_Interp(AI4383,$AZ$2:$AZ$109,$BA$2:$BA$109)</f>
        <v>37490.88682937689</v>
      </c>
      <c r="AN4383" s="10">
        <f t="shared" ref="AN4383:AN4446" ca="1" si="583">100*(((1+AL4383/100)^(AH4383/365)*$AM$29/AM4383)^(365/AH4383)-1)</f>
        <v>1.1116094058819082</v>
      </c>
      <c r="AO4383" s="158"/>
      <c r="AP4383" s="158"/>
    </row>
    <row r="4384" spans="34:42">
      <c r="AH4384" s="6">
        <f t="shared" si="580"/>
        <v>4354</v>
      </c>
      <c r="AI4384" s="7">
        <f t="shared" ca="1" si="581"/>
        <v>47024</v>
      </c>
      <c r="AJ4384" s="210">
        <f t="shared" ref="AJ4384:AJ4447" ca="1" si="584">IF(AH4384&lt;365,VLOOKUP(LOOKUP(AI4384,$AI$2:$AI$23),$AI$2:$AK$23,3,0),Lin_Interp(AH4384,$AJ$2:$AJ$23,$AK$2:$AK$23))</f>
        <v>4.1749999999999998</v>
      </c>
      <c r="AK4384" s="8">
        <f t="shared" ca="1" si="579"/>
        <v>1.0001159722222221</v>
      </c>
      <c r="AL4384" s="98">
        <f t="shared" ca="1" si="578"/>
        <v>4.1775885221496223</v>
      </c>
      <c r="AM4384" s="106">
        <f t="shared" ca="1" si="582"/>
        <v>37493.976133533513</v>
      </c>
      <c r="AN4384" s="10">
        <f t="shared" ca="1" si="583"/>
        <v>1.111637211467742</v>
      </c>
      <c r="AO4384" s="158"/>
      <c r="AP4384" s="158"/>
    </row>
    <row r="4385" spans="34:42">
      <c r="AH4385" s="6">
        <f t="shared" si="580"/>
        <v>4355</v>
      </c>
      <c r="AI4385" s="7">
        <f t="shared" ca="1" si="581"/>
        <v>47025</v>
      </c>
      <c r="AJ4385" s="210">
        <f t="shared" ca="1" si="584"/>
        <v>4.1749999999999998</v>
      </c>
      <c r="AK4385" s="8">
        <f t="shared" ca="1" si="579"/>
        <v>1.0001159722222221</v>
      </c>
      <c r="AL4385" s="98">
        <f t="shared" ref="AL4385:AL4448" ca="1" si="585">100*(((1+AL4384/100)^(AH4384/365)*AK4385)^(365/AH4385)-1)</f>
        <v>4.1776220256655616</v>
      </c>
      <c r="AM4385" s="106">
        <f t="shared" ca="1" si="582"/>
        <v>37497.065692253338</v>
      </c>
      <c r="AN4385" s="10">
        <f t="shared" ca="1" si="583"/>
        <v>1.1116650042917176</v>
      </c>
      <c r="AO4385" s="158"/>
      <c r="AP4385" s="158"/>
    </row>
    <row r="4386" spans="34:42">
      <c r="AH4386" s="6">
        <f t="shared" si="580"/>
        <v>4356</v>
      </c>
      <c r="AI4386" s="7">
        <f t="shared" ca="1" si="581"/>
        <v>47026</v>
      </c>
      <c r="AJ4386" s="210">
        <f t="shared" ca="1" si="584"/>
        <v>4.1749999999999998</v>
      </c>
      <c r="AK4386" s="8">
        <f t="shared" ca="1" si="579"/>
        <v>1.0001159722222221</v>
      </c>
      <c r="AL4386" s="98">
        <f t="shared" ca="1" si="585"/>
        <v>4.177655513809575</v>
      </c>
      <c r="AM4386" s="106">
        <f t="shared" ca="1" si="582"/>
        <v>37500.155505557334</v>
      </c>
      <c r="AN4386" s="10">
        <f t="shared" ca="1" si="583"/>
        <v>1.1116927843626279</v>
      </c>
      <c r="AO4386" s="158"/>
      <c r="AP4386" s="158"/>
    </row>
    <row r="4387" spans="34:42">
      <c r="AH4387" s="6">
        <f t="shared" si="580"/>
        <v>4357</v>
      </c>
      <c r="AI4387" s="7">
        <f t="shared" ca="1" si="581"/>
        <v>47027</v>
      </c>
      <c r="AJ4387" s="210">
        <f t="shared" ca="1" si="584"/>
        <v>4.1749999999999998</v>
      </c>
      <c r="AK4387" s="8">
        <f t="shared" ca="1" si="579"/>
        <v>1.0001159722222221</v>
      </c>
      <c r="AL4387" s="98">
        <f t="shared" ca="1" si="585"/>
        <v>4.1776889865922318</v>
      </c>
      <c r="AM4387" s="106">
        <f t="shared" ca="1" si="582"/>
        <v>37503.245573466491</v>
      </c>
      <c r="AN4387" s="10">
        <f t="shared" ca="1" si="583"/>
        <v>1.1117205516892437</v>
      </c>
      <c r="AO4387" s="158"/>
      <c r="AP4387" s="158"/>
    </row>
    <row r="4388" spans="34:42">
      <c r="AH4388" s="6">
        <f t="shared" si="580"/>
        <v>4358</v>
      </c>
      <c r="AI4388" s="7">
        <f t="shared" ca="1" si="581"/>
        <v>47028</v>
      </c>
      <c r="AJ4388" s="210">
        <f t="shared" ca="1" si="584"/>
        <v>4.1749999999999998</v>
      </c>
      <c r="AK4388" s="8">
        <f t="shared" ref="AK4388:AK4451" ca="1" si="586">+(1+AJ4388/36000)</f>
        <v>1.0001159722222221</v>
      </c>
      <c r="AL4388" s="98">
        <f t="shared" ca="1" si="585"/>
        <v>4.1777224440241012</v>
      </c>
      <c r="AM4388" s="106">
        <f t="shared" ca="1" si="582"/>
        <v>37506.335896001779</v>
      </c>
      <c r="AN4388" s="10">
        <f t="shared" ca="1" si="583"/>
        <v>1.1117483062803135</v>
      </c>
      <c r="AO4388" s="158"/>
      <c r="AP4388" s="158"/>
    </row>
    <row r="4389" spans="34:42">
      <c r="AH4389" s="6">
        <f t="shared" si="580"/>
        <v>4359</v>
      </c>
      <c r="AI4389" s="7">
        <f t="shared" ca="1" si="581"/>
        <v>47029</v>
      </c>
      <c r="AJ4389" s="210">
        <f t="shared" ca="1" si="584"/>
        <v>4.1749999999999998</v>
      </c>
      <c r="AK4389" s="8">
        <f t="shared" ca="1" si="586"/>
        <v>1.0001159722222221</v>
      </c>
      <c r="AL4389" s="98">
        <f t="shared" ca="1" si="585"/>
        <v>4.1777558861157527</v>
      </c>
      <c r="AM4389" s="106">
        <f t="shared" ca="1" si="582"/>
        <v>37509.42647318419</v>
      </c>
      <c r="AN4389" s="10">
        <f t="shared" ca="1" si="583"/>
        <v>1.1117760481446304</v>
      </c>
      <c r="AO4389" s="158"/>
      <c r="AP4389" s="158"/>
    </row>
    <row r="4390" spans="34:42">
      <c r="AH4390" s="6">
        <f t="shared" si="580"/>
        <v>4360</v>
      </c>
      <c r="AI4390" s="7">
        <f t="shared" ca="1" si="581"/>
        <v>47030</v>
      </c>
      <c r="AJ4390" s="210">
        <f t="shared" ca="1" si="584"/>
        <v>4.1749999999999998</v>
      </c>
      <c r="AK4390" s="8">
        <f t="shared" ca="1" si="586"/>
        <v>1.0001159722222221</v>
      </c>
      <c r="AL4390" s="98">
        <f t="shared" ca="1" si="585"/>
        <v>4.177789312877711</v>
      </c>
      <c r="AM4390" s="106">
        <f t="shared" ca="1" si="582"/>
        <v>37512.5173050347</v>
      </c>
      <c r="AN4390" s="10">
        <f t="shared" ca="1" si="583"/>
        <v>1.1118037772909206</v>
      </c>
      <c r="AO4390" s="158"/>
      <c r="AP4390" s="158"/>
    </row>
    <row r="4391" spans="34:42">
      <c r="AH4391" s="6">
        <f t="shared" si="580"/>
        <v>4361</v>
      </c>
      <c r="AI4391" s="7">
        <f t="shared" ca="1" si="581"/>
        <v>47031</v>
      </c>
      <c r="AJ4391" s="210">
        <f t="shared" ca="1" si="584"/>
        <v>4.1749999999999998</v>
      </c>
      <c r="AK4391" s="8">
        <f t="shared" ca="1" si="586"/>
        <v>1.0001159722222221</v>
      </c>
      <c r="AL4391" s="98">
        <f t="shared" ca="1" si="585"/>
        <v>4.1778227243205457</v>
      </c>
      <c r="AM4391" s="106">
        <f t="shared" ca="1" si="582"/>
        <v>37515.608391574293</v>
      </c>
      <c r="AN4391" s="10">
        <f t="shared" ca="1" si="583"/>
        <v>1.1118314937279328</v>
      </c>
      <c r="AO4391" s="158"/>
      <c r="AP4391" s="158"/>
    </row>
    <row r="4392" spans="34:42">
      <c r="AH4392" s="6">
        <f t="shared" si="580"/>
        <v>4362</v>
      </c>
      <c r="AI4392" s="7">
        <f t="shared" ca="1" si="581"/>
        <v>47032</v>
      </c>
      <c r="AJ4392" s="210">
        <f t="shared" ca="1" si="584"/>
        <v>4.1749999999999998</v>
      </c>
      <c r="AK4392" s="8">
        <f t="shared" ca="1" si="586"/>
        <v>1.0001159722222221</v>
      </c>
      <c r="AL4392" s="98">
        <f t="shared" ca="1" si="585"/>
        <v>4.1778561204547593</v>
      </c>
      <c r="AM4392" s="106">
        <f t="shared" ca="1" si="582"/>
        <v>37518.699732823959</v>
      </c>
      <c r="AN4392" s="10">
        <f t="shared" ca="1" si="583"/>
        <v>1.1118591974644154</v>
      </c>
      <c r="AO4392" s="158"/>
      <c r="AP4392" s="158"/>
    </row>
    <row r="4393" spans="34:42">
      <c r="AH4393" s="6">
        <f t="shared" si="580"/>
        <v>4363</v>
      </c>
      <c r="AI4393" s="7">
        <f t="shared" ca="1" si="581"/>
        <v>47033</v>
      </c>
      <c r="AJ4393" s="210">
        <f t="shared" ca="1" si="584"/>
        <v>4.1749999999999998</v>
      </c>
      <c r="AK4393" s="8">
        <f t="shared" ca="1" si="586"/>
        <v>1.0001159722222221</v>
      </c>
      <c r="AL4393" s="98">
        <f t="shared" ca="1" si="585"/>
        <v>4.1778895012908768</v>
      </c>
      <c r="AM4393" s="106">
        <f t="shared" ca="1" si="582"/>
        <v>37521.791328804691</v>
      </c>
      <c r="AN4393" s="10">
        <f t="shared" ca="1" si="583"/>
        <v>1.1118868885090949</v>
      </c>
      <c r="AO4393" s="158"/>
      <c r="AP4393" s="158"/>
    </row>
    <row r="4394" spans="34:42">
      <c r="AH4394" s="6">
        <f t="shared" si="580"/>
        <v>4364</v>
      </c>
      <c r="AI4394" s="7">
        <f t="shared" ca="1" si="581"/>
        <v>47034</v>
      </c>
      <c r="AJ4394" s="210">
        <f t="shared" ca="1" si="584"/>
        <v>4.1749999999999998</v>
      </c>
      <c r="AK4394" s="8">
        <f t="shared" ca="1" si="586"/>
        <v>1.0001159722222221</v>
      </c>
      <c r="AL4394" s="98">
        <f t="shared" ca="1" si="585"/>
        <v>4.1779228668394008</v>
      </c>
      <c r="AM4394" s="106">
        <f t="shared" ca="1" si="582"/>
        <v>37524.883179537472</v>
      </c>
      <c r="AN4394" s="10">
        <f t="shared" ca="1" si="583"/>
        <v>1.1119145668706532</v>
      </c>
      <c r="AO4394" s="158"/>
      <c r="AP4394" s="158"/>
    </row>
    <row r="4395" spans="34:42">
      <c r="AH4395" s="6">
        <f t="shared" si="580"/>
        <v>4365</v>
      </c>
      <c r="AI4395" s="7">
        <f t="shared" ca="1" si="581"/>
        <v>47035</v>
      </c>
      <c r="AJ4395" s="210">
        <f t="shared" ca="1" si="584"/>
        <v>4.1749999999999998</v>
      </c>
      <c r="AK4395" s="8">
        <f t="shared" ca="1" si="586"/>
        <v>1.0001159722222221</v>
      </c>
      <c r="AL4395" s="98">
        <f t="shared" ca="1" si="585"/>
        <v>4.1779562171108342</v>
      </c>
      <c r="AM4395" s="106">
        <f t="shared" ca="1" si="582"/>
        <v>37527.975285043292</v>
      </c>
      <c r="AN4395" s="10">
        <f t="shared" ca="1" si="583"/>
        <v>1.1119422325578388</v>
      </c>
      <c r="AO4395" s="158"/>
      <c r="AP4395" s="158"/>
    </row>
    <row r="4396" spans="34:42">
      <c r="AH4396" s="6">
        <f t="shared" si="580"/>
        <v>4366</v>
      </c>
      <c r="AI4396" s="7">
        <f t="shared" ca="1" si="581"/>
        <v>47036</v>
      </c>
      <c r="AJ4396" s="210">
        <f t="shared" ca="1" si="584"/>
        <v>4.1749999999999998</v>
      </c>
      <c r="AK4396" s="8">
        <f t="shared" ca="1" si="586"/>
        <v>1.0001159722222221</v>
      </c>
      <c r="AL4396" s="98">
        <f t="shared" ca="1" si="585"/>
        <v>4.1779895521156796</v>
      </c>
      <c r="AM4396" s="106">
        <f t="shared" ca="1" si="582"/>
        <v>37531.067645343152</v>
      </c>
      <c r="AN4396" s="10">
        <f t="shared" ca="1" si="583"/>
        <v>1.1119698855793558</v>
      </c>
      <c r="AO4396" s="158"/>
      <c r="AP4396" s="158"/>
    </row>
    <row r="4397" spans="34:42">
      <c r="AH4397" s="6">
        <f t="shared" si="580"/>
        <v>4367</v>
      </c>
      <c r="AI4397" s="7">
        <f t="shared" ca="1" si="581"/>
        <v>47037</v>
      </c>
      <c r="AJ4397" s="210">
        <f t="shared" ca="1" si="584"/>
        <v>4.1749999999999998</v>
      </c>
      <c r="AK4397" s="8">
        <f t="shared" ca="1" si="586"/>
        <v>1.0001159722222221</v>
      </c>
      <c r="AL4397" s="98">
        <f t="shared" ca="1" si="585"/>
        <v>4.1780228718644175</v>
      </c>
      <c r="AM4397" s="106">
        <f t="shared" ca="1" si="582"/>
        <v>37534.16026045804</v>
      </c>
      <c r="AN4397" s="10">
        <f t="shared" ca="1" si="583"/>
        <v>1.1119975259438863</v>
      </c>
      <c r="AO4397" s="158"/>
      <c r="AP4397" s="158"/>
    </row>
    <row r="4398" spans="34:42">
      <c r="AH4398" s="6">
        <f t="shared" si="580"/>
        <v>4368</v>
      </c>
      <c r="AI4398" s="7">
        <f t="shared" ca="1" si="581"/>
        <v>47038</v>
      </c>
      <c r="AJ4398" s="210">
        <f t="shared" ca="1" si="584"/>
        <v>4.1749999999999998</v>
      </c>
      <c r="AK4398" s="8">
        <f t="shared" ca="1" si="586"/>
        <v>1.0001159722222221</v>
      </c>
      <c r="AL4398" s="98">
        <f t="shared" ca="1" si="585"/>
        <v>4.1780561763675061</v>
      </c>
      <c r="AM4398" s="106">
        <f t="shared" ca="1" si="582"/>
        <v>37537.253130408964</v>
      </c>
      <c r="AN4398" s="10">
        <f t="shared" ca="1" si="583"/>
        <v>1.1120251536601344</v>
      </c>
      <c r="AO4398" s="158"/>
      <c r="AP4398" s="158"/>
    </row>
    <row r="4399" spans="34:42">
      <c r="AH4399" s="6">
        <f t="shared" si="580"/>
        <v>4369</v>
      </c>
      <c r="AI4399" s="7">
        <f t="shared" ca="1" si="581"/>
        <v>47039</v>
      </c>
      <c r="AJ4399" s="210">
        <f t="shared" ca="1" si="584"/>
        <v>4.1749999999999998</v>
      </c>
      <c r="AK4399" s="8">
        <f t="shared" ca="1" si="586"/>
        <v>1.0001159722222221</v>
      </c>
      <c r="AL4399" s="98">
        <f t="shared" ca="1" si="585"/>
        <v>4.178089465635404</v>
      </c>
      <c r="AM4399" s="106">
        <f t="shared" ca="1" si="582"/>
        <v>37540.346255216908</v>
      </c>
      <c r="AN4399" s="10">
        <f t="shared" ca="1" si="583"/>
        <v>1.1120527687367598</v>
      </c>
      <c r="AO4399" s="158"/>
      <c r="AP4399" s="158"/>
    </row>
    <row r="4400" spans="34:42">
      <c r="AH4400" s="6">
        <f t="shared" si="580"/>
        <v>4370</v>
      </c>
      <c r="AI4400" s="7">
        <f t="shared" ca="1" si="581"/>
        <v>47040</v>
      </c>
      <c r="AJ4400" s="210">
        <f t="shared" ca="1" si="584"/>
        <v>4.1749999999999998</v>
      </c>
      <c r="AK4400" s="8">
        <f t="shared" ca="1" si="586"/>
        <v>1.0001159722222221</v>
      </c>
      <c r="AL4400" s="98">
        <f t="shared" ca="1" si="585"/>
        <v>4.1781227396785692</v>
      </c>
      <c r="AM4400" s="106">
        <f t="shared" ca="1" si="582"/>
        <v>37543.439634902883</v>
      </c>
      <c r="AN4400" s="10">
        <f t="shared" ca="1" si="583"/>
        <v>1.1120803711824445</v>
      </c>
      <c r="AO4400" s="158"/>
      <c r="AP4400" s="158"/>
    </row>
    <row r="4401" spans="34:42">
      <c r="AH4401" s="6">
        <f t="shared" si="580"/>
        <v>4371</v>
      </c>
      <c r="AI4401" s="7">
        <f t="shared" ca="1" si="581"/>
        <v>47041</v>
      </c>
      <c r="AJ4401" s="210">
        <f t="shared" ca="1" si="584"/>
        <v>4.1749999999999998</v>
      </c>
      <c r="AK4401" s="8">
        <f t="shared" ca="1" si="586"/>
        <v>1.0001159722222221</v>
      </c>
      <c r="AL4401" s="98">
        <f t="shared" ca="1" si="585"/>
        <v>4.1781559985074379</v>
      </c>
      <c r="AM4401" s="106">
        <f t="shared" ca="1" si="582"/>
        <v>37546.533269487896</v>
      </c>
      <c r="AN4401" s="10">
        <f t="shared" ca="1" si="583"/>
        <v>1.112107961005826</v>
      </c>
      <c r="AO4401" s="158"/>
      <c r="AP4401" s="158"/>
    </row>
    <row r="4402" spans="34:42">
      <c r="AH4402" s="6">
        <f t="shared" si="580"/>
        <v>4372</v>
      </c>
      <c r="AI4402" s="7">
        <f t="shared" ca="1" si="581"/>
        <v>47042</v>
      </c>
      <c r="AJ4402" s="210">
        <f t="shared" ca="1" si="584"/>
        <v>4.1749999999999998</v>
      </c>
      <c r="AK4402" s="8">
        <f t="shared" ca="1" si="586"/>
        <v>1.0001159722222221</v>
      </c>
      <c r="AL4402" s="98">
        <f t="shared" ca="1" si="585"/>
        <v>4.1781892421324462</v>
      </c>
      <c r="AM4402" s="106">
        <f t="shared" ca="1" si="582"/>
        <v>37549.627158992931</v>
      </c>
      <c r="AN4402" s="10">
        <f t="shared" ca="1" si="583"/>
        <v>1.1121355382156084</v>
      </c>
      <c r="AO4402" s="158"/>
      <c r="AP4402" s="158"/>
    </row>
    <row r="4403" spans="34:42">
      <c r="AH4403" s="6">
        <f t="shared" si="580"/>
        <v>4373</v>
      </c>
      <c r="AI4403" s="7">
        <f t="shared" ca="1" si="581"/>
        <v>47043</v>
      </c>
      <c r="AJ4403" s="210">
        <f t="shared" ca="1" si="584"/>
        <v>4.1749999999999998</v>
      </c>
      <c r="AK4403" s="8">
        <f t="shared" ca="1" si="586"/>
        <v>1.0001159722222221</v>
      </c>
      <c r="AL4403" s="98">
        <f t="shared" ca="1" si="585"/>
        <v>4.1782224705640303</v>
      </c>
      <c r="AM4403" s="106">
        <f t="shared" ca="1" si="582"/>
        <v>37552.721303439015</v>
      </c>
      <c r="AN4403" s="10">
        <f t="shared" ca="1" si="583"/>
        <v>1.1121631028204293</v>
      </c>
      <c r="AO4403" s="158"/>
      <c r="AP4403" s="158"/>
    </row>
    <row r="4404" spans="34:42">
      <c r="AH4404" s="6">
        <f t="shared" si="580"/>
        <v>4374</v>
      </c>
      <c r="AI4404" s="7">
        <f t="shared" ca="1" si="581"/>
        <v>47044</v>
      </c>
      <c r="AJ4404" s="210">
        <f t="shared" ca="1" si="584"/>
        <v>4.1749999999999998</v>
      </c>
      <c r="AK4404" s="8">
        <f t="shared" ca="1" si="586"/>
        <v>1.0001159722222221</v>
      </c>
      <c r="AL4404" s="98">
        <f t="shared" ca="1" si="585"/>
        <v>4.1782556838125817</v>
      </c>
      <c r="AM4404" s="106">
        <f t="shared" ca="1" si="582"/>
        <v>37555.815702847147</v>
      </c>
      <c r="AN4404" s="10">
        <f t="shared" ca="1" si="583"/>
        <v>1.1121906548288818</v>
      </c>
      <c r="AO4404" s="158"/>
      <c r="AP4404" s="158"/>
    </row>
    <row r="4405" spans="34:42">
      <c r="AH4405" s="6">
        <f t="shared" si="580"/>
        <v>4375</v>
      </c>
      <c r="AI4405" s="7">
        <f t="shared" ca="1" si="581"/>
        <v>47045</v>
      </c>
      <c r="AJ4405" s="210">
        <f t="shared" ca="1" si="584"/>
        <v>4.1749999999999998</v>
      </c>
      <c r="AK4405" s="8">
        <f t="shared" ca="1" si="586"/>
        <v>1.0001159722222221</v>
      </c>
      <c r="AL4405" s="98">
        <f t="shared" ca="1" si="585"/>
        <v>4.1782888818885144</v>
      </c>
      <c r="AM4405" s="106">
        <f t="shared" ca="1" si="582"/>
        <v>37558.910357238332</v>
      </c>
      <c r="AN4405" s="10">
        <f t="shared" ca="1" si="583"/>
        <v>1.1122181942496479</v>
      </c>
      <c r="AO4405" s="158"/>
      <c r="AP4405" s="158"/>
    </row>
    <row r="4406" spans="34:42">
      <c r="AH4406" s="6">
        <f t="shared" si="580"/>
        <v>4376</v>
      </c>
      <c r="AI4406" s="7">
        <f t="shared" ca="1" si="581"/>
        <v>47046</v>
      </c>
      <c r="AJ4406" s="210">
        <f t="shared" ca="1" si="584"/>
        <v>4.1749999999999998</v>
      </c>
      <c r="AK4406" s="8">
        <f t="shared" ca="1" si="586"/>
        <v>1.0001159722222221</v>
      </c>
      <c r="AL4406" s="98">
        <f t="shared" ca="1" si="585"/>
        <v>4.1783220648022423</v>
      </c>
      <c r="AM4406" s="106">
        <f t="shared" ca="1" si="582"/>
        <v>37562.005266633598</v>
      </c>
      <c r="AN4406" s="10">
        <f t="shared" ca="1" si="583"/>
        <v>1.112245721091365</v>
      </c>
      <c r="AO4406" s="158"/>
      <c r="AP4406" s="158"/>
    </row>
    <row r="4407" spans="34:42">
      <c r="AH4407" s="6">
        <f t="shared" ref="AH4407:AH4470" si="587">$AI$29+AH4406</f>
        <v>4377</v>
      </c>
      <c r="AI4407" s="7">
        <f t="shared" ref="AI4407:AI4470" ca="1" si="588">+AH4407+$C$1</f>
        <v>47047</v>
      </c>
      <c r="AJ4407" s="210">
        <f t="shared" ca="1" si="584"/>
        <v>4.1749999999999998</v>
      </c>
      <c r="AK4407" s="8">
        <f t="shared" ca="1" si="586"/>
        <v>1.0001159722222221</v>
      </c>
      <c r="AL4407" s="98">
        <f t="shared" ca="1" si="585"/>
        <v>4.1783552325641127</v>
      </c>
      <c r="AM4407" s="106">
        <f t="shared" ca="1" si="582"/>
        <v>37565.100431053936</v>
      </c>
      <c r="AN4407" s="10">
        <f t="shared" ca="1" si="583"/>
        <v>1.1122732353625819</v>
      </c>
      <c r="AO4407" s="158"/>
      <c r="AP4407" s="158"/>
    </row>
    <row r="4408" spans="34:42">
      <c r="AH4408" s="6">
        <f t="shared" si="587"/>
        <v>4378</v>
      </c>
      <c r="AI4408" s="7">
        <f t="shared" ca="1" si="588"/>
        <v>47048</v>
      </c>
      <c r="AJ4408" s="210">
        <f t="shared" ca="1" si="584"/>
        <v>4.1749999999999998</v>
      </c>
      <c r="AK4408" s="8">
        <f t="shared" ca="1" si="586"/>
        <v>1.0001159722222221</v>
      </c>
      <c r="AL4408" s="98">
        <f t="shared" ca="1" si="585"/>
        <v>4.1783883851845394</v>
      </c>
      <c r="AM4408" s="106">
        <f t="shared" ca="1" si="582"/>
        <v>37568.195850520366</v>
      </c>
      <c r="AN4408" s="10">
        <f t="shared" ca="1" si="583"/>
        <v>1.1123007370719806</v>
      </c>
      <c r="AO4408" s="158"/>
      <c r="AP4408" s="158"/>
    </row>
    <row r="4409" spans="34:42">
      <c r="AH4409" s="6">
        <f t="shared" si="587"/>
        <v>4379</v>
      </c>
      <c r="AI4409" s="7">
        <f t="shared" ca="1" si="588"/>
        <v>47049</v>
      </c>
      <c r="AJ4409" s="210">
        <f t="shared" ca="1" si="584"/>
        <v>4.1749999999999998</v>
      </c>
      <c r="AK4409" s="8">
        <f t="shared" ca="1" si="586"/>
        <v>1.0001159722222221</v>
      </c>
      <c r="AL4409" s="98">
        <f t="shared" ca="1" si="585"/>
        <v>4.1784215226738697</v>
      </c>
      <c r="AM4409" s="106">
        <f t="shared" ca="1" si="582"/>
        <v>37571.291525053915</v>
      </c>
      <c r="AN4409" s="10">
        <f t="shared" ca="1" si="583"/>
        <v>1.1123282262281098</v>
      </c>
      <c r="AO4409" s="158"/>
      <c r="AP4409" s="158"/>
    </row>
    <row r="4410" spans="34:42">
      <c r="AH4410" s="6">
        <f t="shared" si="587"/>
        <v>4380</v>
      </c>
      <c r="AI4410" s="7">
        <f t="shared" ca="1" si="588"/>
        <v>47050</v>
      </c>
      <c r="AJ4410" s="210">
        <f t="shared" ca="1" si="584"/>
        <v>4.1749999999999998</v>
      </c>
      <c r="AK4410" s="8">
        <f t="shared" ca="1" si="586"/>
        <v>1.0001159722222221</v>
      </c>
      <c r="AL4410" s="98">
        <f t="shared" ca="1" si="585"/>
        <v>4.1784546450424509</v>
      </c>
      <c r="AM4410" s="106">
        <f t="shared" ca="1" si="582"/>
        <v>37574.387454675583</v>
      </c>
      <c r="AN4410" s="10">
        <f t="shared" ca="1" si="583"/>
        <v>1.1123557028395847</v>
      </c>
      <c r="AO4410" s="158"/>
      <c r="AP4410" s="158"/>
    </row>
    <row r="4411" spans="34:42">
      <c r="AH4411" s="6">
        <f t="shared" si="587"/>
        <v>4381</v>
      </c>
      <c r="AI4411" s="7">
        <f t="shared" ca="1" si="588"/>
        <v>47051</v>
      </c>
      <c r="AJ4411" s="210">
        <f t="shared" ca="1" si="584"/>
        <v>4.1749999999999998</v>
      </c>
      <c r="AK4411" s="8">
        <f t="shared" ca="1" si="586"/>
        <v>1.0001159722222221</v>
      </c>
      <c r="AL4411" s="98">
        <f t="shared" ca="1" si="585"/>
        <v>4.1784877523006303</v>
      </c>
      <c r="AM4411" s="106">
        <f t="shared" ca="1" si="582"/>
        <v>37577.483639406411</v>
      </c>
      <c r="AN4411" s="10">
        <f t="shared" ca="1" si="583"/>
        <v>1.1123831669149986</v>
      </c>
      <c r="AO4411" s="158"/>
      <c r="AP4411" s="158"/>
    </row>
    <row r="4412" spans="34:42">
      <c r="AH4412" s="6">
        <f t="shared" si="587"/>
        <v>4382</v>
      </c>
      <c r="AI4412" s="7">
        <f t="shared" ca="1" si="588"/>
        <v>47052</v>
      </c>
      <c r="AJ4412" s="210">
        <f t="shared" ca="1" si="584"/>
        <v>4.1749999999999998</v>
      </c>
      <c r="AK4412" s="8">
        <f t="shared" ca="1" si="586"/>
        <v>1.0001159722222221</v>
      </c>
      <c r="AL4412" s="98">
        <f t="shared" ca="1" si="585"/>
        <v>4.1785208444587552</v>
      </c>
      <c r="AM4412" s="106">
        <f t="shared" ca="1" si="582"/>
        <v>37580.580079267413</v>
      </c>
      <c r="AN4412" s="10">
        <f t="shared" ca="1" si="583"/>
        <v>1.1124106184629001</v>
      </c>
      <c r="AO4412" s="158"/>
      <c r="AP4412" s="158"/>
    </row>
    <row r="4413" spans="34:42">
      <c r="AH4413" s="6">
        <f t="shared" si="587"/>
        <v>4383</v>
      </c>
      <c r="AI4413" s="7">
        <f t="shared" ca="1" si="588"/>
        <v>47053</v>
      </c>
      <c r="AJ4413" s="210">
        <f t="shared" ca="1" si="584"/>
        <v>4.1749999999999998</v>
      </c>
      <c r="AK4413" s="8">
        <f t="shared" ca="1" si="586"/>
        <v>1.0001159722222221</v>
      </c>
      <c r="AL4413" s="98">
        <f t="shared" ca="1" si="585"/>
        <v>4.1785539215271505</v>
      </c>
      <c r="AM4413" s="106">
        <f t="shared" ca="1" si="582"/>
        <v>37583.676774279607</v>
      </c>
      <c r="AN4413" s="10">
        <f t="shared" ca="1" si="583"/>
        <v>1.1124380574918602</v>
      </c>
      <c r="AO4413" s="158"/>
      <c r="AP4413" s="158"/>
    </row>
    <row r="4414" spans="34:42">
      <c r="AH4414" s="6">
        <f t="shared" si="587"/>
        <v>4384</v>
      </c>
      <c r="AI4414" s="7">
        <f t="shared" ca="1" si="588"/>
        <v>47054</v>
      </c>
      <c r="AJ4414" s="210">
        <f t="shared" ca="1" si="584"/>
        <v>4.1749999999999998</v>
      </c>
      <c r="AK4414" s="8">
        <f t="shared" ca="1" si="586"/>
        <v>1.0001159722222221</v>
      </c>
      <c r="AL4414" s="98">
        <f t="shared" ca="1" si="585"/>
        <v>4.1785869835161416</v>
      </c>
      <c r="AM4414" s="106">
        <f t="shared" ca="1" si="582"/>
        <v>37586.773724464008</v>
      </c>
      <c r="AN4414" s="10">
        <f t="shared" ca="1" si="583"/>
        <v>1.112465484010472</v>
      </c>
      <c r="AO4414" s="158"/>
      <c r="AP4414" s="158"/>
    </row>
    <row r="4415" spans="34:42">
      <c r="AH4415" s="6">
        <f t="shared" si="587"/>
        <v>4385</v>
      </c>
      <c r="AI4415" s="7">
        <f t="shared" ca="1" si="588"/>
        <v>47055</v>
      </c>
      <c r="AJ4415" s="210">
        <f t="shared" ca="1" si="584"/>
        <v>4.1749999999999998</v>
      </c>
      <c r="AK4415" s="8">
        <f t="shared" ca="1" si="586"/>
        <v>1.0001159722222221</v>
      </c>
      <c r="AL4415" s="98">
        <f t="shared" ca="1" si="585"/>
        <v>4.178620030436031</v>
      </c>
      <c r="AM4415" s="106">
        <f t="shared" ca="1" si="582"/>
        <v>37589.870929841665</v>
      </c>
      <c r="AN4415" s="10">
        <f t="shared" ca="1" si="583"/>
        <v>1.1124928980272841</v>
      </c>
      <c r="AO4415" s="158"/>
      <c r="AP4415" s="158"/>
    </row>
    <row r="4416" spans="34:42">
      <c r="AH4416" s="6">
        <f t="shared" si="587"/>
        <v>4386</v>
      </c>
      <c r="AI4416" s="7">
        <f t="shared" ca="1" si="588"/>
        <v>47056</v>
      </c>
      <c r="AJ4416" s="210">
        <f t="shared" ca="1" si="584"/>
        <v>4.1749999999999998</v>
      </c>
      <c r="AK4416" s="8">
        <f t="shared" ca="1" si="586"/>
        <v>1.0001159722222221</v>
      </c>
      <c r="AL4416" s="98">
        <f t="shared" ca="1" si="585"/>
        <v>4.1786530622971219</v>
      </c>
      <c r="AM4416" s="106">
        <f t="shared" ca="1" si="582"/>
        <v>37592.968390433591</v>
      </c>
      <c r="AN4416" s="10">
        <f t="shared" ca="1" si="583"/>
        <v>1.1125202995508232</v>
      </c>
      <c r="AO4416" s="158"/>
      <c r="AP4416" s="158"/>
    </row>
    <row r="4417" spans="34:42">
      <c r="AH4417" s="6">
        <f t="shared" si="587"/>
        <v>4387</v>
      </c>
      <c r="AI4417" s="7">
        <f t="shared" ca="1" si="588"/>
        <v>47057</v>
      </c>
      <c r="AJ4417" s="210">
        <f t="shared" ca="1" si="584"/>
        <v>4.1749999999999998</v>
      </c>
      <c r="AK4417" s="8">
        <f t="shared" ca="1" si="586"/>
        <v>1.0001159722222221</v>
      </c>
      <c r="AL4417" s="98">
        <f t="shared" ca="1" si="585"/>
        <v>4.1786860791097169</v>
      </c>
      <c r="AM4417" s="106">
        <f t="shared" ca="1" si="582"/>
        <v>37596.06610626082</v>
      </c>
      <c r="AN4417" s="10">
        <f t="shared" ca="1" si="583"/>
        <v>1.1125476885896379</v>
      </c>
      <c r="AO4417" s="158"/>
      <c r="AP4417" s="158"/>
    </row>
    <row r="4418" spans="34:42">
      <c r="AH4418" s="6">
        <f t="shared" si="587"/>
        <v>4388</v>
      </c>
      <c r="AI4418" s="7">
        <f t="shared" ca="1" si="588"/>
        <v>47058</v>
      </c>
      <c r="AJ4418" s="210">
        <f t="shared" ca="1" si="584"/>
        <v>4.1749999999999998</v>
      </c>
      <c r="AK4418" s="8">
        <f t="shared" ca="1" si="586"/>
        <v>1.0001159722222221</v>
      </c>
      <c r="AL4418" s="98">
        <f t="shared" ca="1" si="585"/>
        <v>4.1787190808840746</v>
      </c>
      <c r="AM4418" s="106">
        <f t="shared" ca="1" si="582"/>
        <v>37599.164077344394</v>
      </c>
      <c r="AN4418" s="10">
        <f t="shared" ca="1" si="583"/>
        <v>1.1125750651522548</v>
      </c>
      <c r="AO4418" s="158"/>
      <c r="AP4418" s="158"/>
    </row>
    <row r="4419" spans="34:42">
      <c r="AH4419" s="6">
        <f t="shared" si="587"/>
        <v>4389</v>
      </c>
      <c r="AI4419" s="7">
        <f t="shared" ca="1" si="588"/>
        <v>47059</v>
      </c>
      <c r="AJ4419" s="210">
        <f t="shared" ca="1" si="584"/>
        <v>4.1749999999999998</v>
      </c>
      <c r="AK4419" s="8">
        <f t="shared" ca="1" si="586"/>
        <v>1.0001159722222221</v>
      </c>
      <c r="AL4419" s="98">
        <f t="shared" ca="1" si="585"/>
        <v>4.1787520676304757</v>
      </c>
      <c r="AM4419" s="106">
        <f t="shared" ca="1" si="582"/>
        <v>37602.26230370532</v>
      </c>
      <c r="AN4419" s="10">
        <f t="shared" ca="1" si="583"/>
        <v>1.1126024292472003</v>
      </c>
      <c r="AO4419" s="158"/>
      <c r="AP4419" s="158"/>
    </row>
    <row r="4420" spans="34:42">
      <c r="AH4420" s="6">
        <f t="shared" si="587"/>
        <v>4390</v>
      </c>
      <c r="AI4420" s="7">
        <f t="shared" ca="1" si="588"/>
        <v>47060</v>
      </c>
      <c r="AJ4420" s="210">
        <f t="shared" ca="1" si="584"/>
        <v>4.1749999999999998</v>
      </c>
      <c r="AK4420" s="8">
        <f t="shared" ca="1" si="586"/>
        <v>1.0001159722222221</v>
      </c>
      <c r="AL4420" s="98">
        <f t="shared" ca="1" si="585"/>
        <v>4.1787850393591786</v>
      </c>
      <c r="AM4420" s="106">
        <f t="shared" ca="1" si="582"/>
        <v>37605.360785364661</v>
      </c>
      <c r="AN4420" s="10">
        <f t="shared" ca="1" si="583"/>
        <v>1.1126297808829788</v>
      </c>
      <c r="AO4420" s="158"/>
      <c r="AP4420" s="158"/>
    </row>
    <row r="4421" spans="34:42">
      <c r="AH4421" s="6">
        <f t="shared" si="587"/>
        <v>4391</v>
      </c>
      <c r="AI4421" s="7">
        <f t="shared" ca="1" si="588"/>
        <v>47061</v>
      </c>
      <c r="AJ4421" s="210">
        <f t="shared" ca="1" si="584"/>
        <v>4.1749999999999998</v>
      </c>
      <c r="AK4421" s="8">
        <f t="shared" ca="1" si="586"/>
        <v>1.0001159722222221</v>
      </c>
      <c r="AL4421" s="98">
        <f t="shared" ca="1" si="585"/>
        <v>4.1788179960804417</v>
      </c>
      <c r="AM4421" s="106">
        <f t="shared" ca="1" si="582"/>
        <v>37608.459522343444</v>
      </c>
      <c r="AN4421" s="10">
        <f t="shared" ca="1" si="583"/>
        <v>1.1126571200681168</v>
      </c>
      <c r="AO4421" s="158"/>
      <c r="AP4421" s="158"/>
    </row>
    <row r="4422" spans="34:42">
      <c r="AH4422" s="6">
        <f t="shared" si="587"/>
        <v>4392</v>
      </c>
      <c r="AI4422" s="7">
        <f t="shared" ca="1" si="588"/>
        <v>47062</v>
      </c>
      <c r="AJ4422" s="210">
        <f t="shared" ca="1" si="584"/>
        <v>4.1749999999999998</v>
      </c>
      <c r="AK4422" s="8">
        <f t="shared" ca="1" si="586"/>
        <v>1.0001159722222221</v>
      </c>
      <c r="AL4422" s="98">
        <f t="shared" ca="1" si="585"/>
        <v>4.1788509378045235</v>
      </c>
      <c r="AM4422" s="106">
        <f t="shared" ca="1" si="582"/>
        <v>37611.558514662698</v>
      </c>
      <c r="AN4422" s="10">
        <f t="shared" ca="1" si="583"/>
        <v>1.1126844468111186</v>
      </c>
      <c r="AO4422" s="158"/>
      <c r="AP4422" s="158"/>
    </row>
    <row r="4423" spans="34:42">
      <c r="AH4423" s="6">
        <f t="shared" si="587"/>
        <v>4393</v>
      </c>
      <c r="AI4423" s="7">
        <f t="shared" ca="1" si="588"/>
        <v>47063</v>
      </c>
      <c r="AJ4423" s="210">
        <f t="shared" ca="1" si="584"/>
        <v>4.1749999999999998</v>
      </c>
      <c r="AK4423" s="8">
        <f t="shared" ca="1" si="586"/>
        <v>1.0001159722222221</v>
      </c>
      <c r="AL4423" s="98">
        <f t="shared" ca="1" si="585"/>
        <v>4.1788838645416382</v>
      </c>
      <c r="AM4423" s="106">
        <f t="shared" ca="1" si="582"/>
        <v>37614.657762343486</v>
      </c>
      <c r="AN4423" s="10">
        <f t="shared" ca="1" si="583"/>
        <v>1.112711761120444</v>
      </c>
      <c r="AO4423" s="158"/>
      <c r="AP4423" s="158"/>
    </row>
    <row r="4424" spans="34:42">
      <c r="AH4424" s="6">
        <f t="shared" si="587"/>
        <v>4394</v>
      </c>
      <c r="AI4424" s="7">
        <f t="shared" ca="1" si="588"/>
        <v>47064</v>
      </c>
      <c r="AJ4424" s="210">
        <f t="shared" ca="1" si="584"/>
        <v>4.1749999999999998</v>
      </c>
      <c r="AK4424" s="8">
        <f t="shared" ca="1" si="586"/>
        <v>1.0001159722222221</v>
      </c>
      <c r="AL4424" s="98">
        <f t="shared" ca="1" si="585"/>
        <v>4.1789167763020219</v>
      </c>
      <c r="AM4424" s="106">
        <f t="shared" ca="1" si="582"/>
        <v>37617.757265406821</v>
      </c>
      <c r="AN4424" s="10">
        <f t="shared" ca="1" si="583"/>
        <v>1.1127390630045975</v>
      </c>
      <c r="AO4424" s="158"/>
      <c r="AP4424" s="158"/>
    </row>
    <row r="4425" spans="34:42">
      <c r="AH4425" s="6">
        <f t="shared" si="587"/>
        <v>4395</v>
      </c>
      <c r="AI4425" s="7">
        <f t="shared" ca="1" si="588"/>
        <v>47065</v>
      </c>
      <c r="AJ4425" s="210">
        <f t="shared" ca="1" si="584"/>
        <v>4.1749999999999998</v>
      </c>
      <c r="AK4425" s="8">
        <f t="shared" ca="1" si="586"/>
        <v>1.0001159722222221</v>
      </c>
      <c r="AL4425" s="98">
        <f t="shared" ca="1" si="585"/>
        <v>4.1789496730958886</v>
      </c>
      <c r="AM4425" s="106">
        <f t="shared" ca="1" si="582"/>
        <v>37620.857023873774</v>
      </c>
      <c r="AN4425" s="10">
        <f t="shared" ca="1" si="583"/>
        <v>1.112766352472061</v>
      </c>
      <c r="AO4425" s="158"/>
      <c r="AP4425" s="158"/>
    </row>
    <row r="4426" spans="34:42">
      <c r="AH4426" s="6">
        <f t="shared" si="587"/>
        <v>4396</v>
      </c>
      <c r="AI4426" s="7">
        <f t="shared" ca="1" si="588"/>
        <v>47066</v>
      </c>
      <c r="AJ4426" s="210">
        <f t="shared" ca="1" si="584"/>
        <v>4.1749999999999998</v>
      </c>
      <c r="AK4426" s="8">
        <f t="shared" ca="1" si="586"/>
        <v>1.0001159722222221</v>
      </c>
      <c r="AL4426" s="98">
        <f t="shared" ca="1" si="585"/>
        <v>4.1789825549334303</v>
      </c>
      <c r="AM4426" s="106">
        <f t="shared" ca="1" si="582"/>
        <v>37623.957037765373</v>
      </c>
      <c r="AN4426" s="10">
        <f t="shared" ca="1" si="583"/>
        <v>1.1127936295312946</v>
      </c>
      <c r="AO4426" s="158"/>
      <c r="AP4426" s="158"/>
    </row>
    <row r="4427" spans="34:42">
      <c r="AH4427" s="6">
        <f t="shared" si="587"/>
        <v>4397</v>
      </c>
      <c r="AI4427" s="7">
        <f t="shared" ca="1" si="588"/>
        <v>47067</v>
      </c>
      <c r="AJ4427" s="210">
        <f t="shared" ca="1" si="584"/>
        <v>4.1749999999999998</v>
      </c>
      <c r="AK4427" s="8">
        <f t="shared" ca="1" si="586"/>
        <v>1.0001159722222221</v>
      </c>
      <c r="AL4427" s="98">
        <f t="shared" ca="1" si="585"/>
        <v>4.179015421824861</v>
      </c>
      <c r="AM4427" s="106">
        <f t="shared" ca="1" si="582"/>
        <v>37627.057307102674</v>
      </c>
      <c r="AN4427" s="10">
        <f t="shared" ca="1" si="583"/>
        <v>1.1128208941907358</v>
      </c>
      <c r="AO4427" s="158"/>
      <c r="AP4427" s="158"/>
    </row>
    <row r="4428" spans="34:42">
      <c r="AH4428" s="6">
        <f t="shared" si="587"/>
        <v>4398</v>
      </c>
      <c r="AI4428" s="7">
        <f t="shared" ca="1" si="588"/>
        <v>47068</v>
      </c>
      <c r="AJ4428" s="210">
        <f t="shared" ca="1" si="584"/>
        <v>4.1749999999999998</v>
      </c>
      <c r="AK4428" s="8">
        <f t="shared" ca="1" si="586"/>
        <v>1.0001159722222221</v>
      </c>
      <c r="AL4428" s="98">
        <f t="shared" ca="1" si="585"/>
        <v>4.1790482737803725</v>
      </c>
      <c r="AM4428" s="106">
        <f t="shared" ca="1" si="582"/>
        <v>37630.157831906727</v>
      </c>
      <c r="AN4428" s="10">
        <f t="shared" ca="1" si="583"/>
        <v>1.1128481464588891</v>
      </c>
      <c r="AO4428" s="158"/>
      <c r="AP4428" s="158"/>
    </row>
    <row r="4429" spans="34:42">
      <c r="AH4429" s="6">
        <f t="shared" si="587"/>
        <v>4399</v>
      </c>
      <c r="AI4429" s="7">
        <f t="shared" ca="1" si="588"/>
        <v>47069</v>
      </c>
      <c r="AJ4429" s="210">
        <f t="shared" ca="1" si="584"/>
        <v>4.1749999999999998</v>
      </c>
      <c r="AK4429" s="8">
        <f t="shared" ca="1" si="586"/>
        <v>1.0001159722222221</v>
      </c>
      <c r="AL4429" s="98">
        <f t="shared" ca="1" si="585"/>
        <v>4.1790811108101344</v>
      </c>
      <c r="AM4429" s="106">
        <f t="shared" ca="1" si="582"/>
        <v>37633.258612198573</v>
      </c>
      <c r="AN4429" s="10">
        <f t="shared" ca="1" si="583"/>
        <v>1.1128753863441698</v>
      </c>
      <c r="AO4429" s="158"/>
      <c r="AP4429" s="158"/>
    </row>
    <row r="4430" spans="34:42">
      <c r="AH4430" s="6">
        <f t="shared" si="587"/>
        <v>4400</v>
      </c>
      <c r="AI4430" s="7">
        <f t="shared" ca="1" si="588"/>
        <v>47070</v>
      </c>
      <c r="AJ4430" s="210">
        <f t="shared" ca="1" si="584"/>
        <v>4.1749999999999998</v>
      </c>
      <c r="AK4430" s="8">
        <f t="shared" ca="1" si="586"/>
        <v>1.0001159722222221</v>
      </c>
      <c r="AL4430" s="98">
        <f t="shared" ca="1" si="585"/>
        <v>4.1791139329243165</v>
      </c>
      <c r="AM4430" s="106">
        <f t="shared" ca="1" si="582"/>
        <v>37636.35964799927</v>
      </c>
      <c r="AN4430" s="10">
        <f t="shared" ca="1" si="583"/>
        <v>1.1129026138550158</v>
      </c>
      <c r="AO4430" s="158"/>
      <c r="AP4430" s="158"/>
    </row>
    <row r="4431" spans="34:42">
      <c r="AH4431" s="6">
        <f t="shared" si="587"/>
        <v>4401</v>
      </c>
      <c r="AI4431" s="7">
        <f t="shared" ca="1" si="588"/>
        <v>47071</v>
      </c>
      <c r="AJ4431" s="210">
        <f t="shared" ca="1" si="584"/>
        <v>4.1749999999999998</v>
      </c>
      <c r="AK4431" s="8">
        <f t="shared" ca="1" si="586"/>
        <v>1.0001159722222221</v>
      </c>
      <c r="AL4431" s="98">
        <f t="shared" ca="1" si="585"/>
        <v>4.1791467401330662</v>
      </c>
      <c r="AM4431" s="106">
        <f t="shared" ca="1" si="582"/>
        <v>37639.460939329874</v>
      </c>
      <c r="AN4431" s="10">
        <f t="shared" ca="1" si="583"/>
        <v>1.1129298289998646</v>
      </c>
      <c r="AO4431" s="158"/>
      <c r="AP4431" s="158"/>
    </row>
    <row r="4432" spans="34:42">
      <c r="AH4432" s="6">
        <f t="shared" si="587"/>
        <v>4402</v>
      </c>
      <c r="AI4432" s="7">
        <f t="shared" ca="1" si="588"/>
        <v>47072</v>
      </c>
      <c r="AJ4432" s="210">
        <f t="shared" ca="1" si="584"/>
        <v>4.1749999999999998</v>
      </c>
      <c r="AK4432" s="8">
        <f t="shared" ca="1" si="586"/>
        <v>1.0001159722222221</v>
      </c>
      <c r="AL4432" s="98">
        <f t="shared" ca="1" si="585"/>
        <v>4.179179532446553</v>
      </c>
      <c r="AM4432" s="106">
        <f t="shared" ca="1" si="582"/>
        <v>37642.562486211442</v>
      </c>
      <c r="AN4432" s="10">
        <f t="shared" ca="1" si="583"/>
        <v>1.1129570317871096</v>
      </c>
      <c r="AO4432" s="158"/>
      <c r="AP4432" s="158"/>
    </row>
    <row r="4433" spans="34:42">
      <c r="AH4433" s="6">
        <f t="shared" si="587"/>
        <v>4403</v>
      </c>
      <c r="AI4433" s="7">
        <f t="shared" ca="1" si="588"/>
        <v>47073</v>
      </c>
      <c r="AJ4433" s="210">
        <f t="shared" ca="1" si="584"/>
        <v>4.1749999999999998</v>
      </c>
      <c r="AK4433" s="8">
        <f t="shared" ca="1" si="586"/>
        <v>1.0001159722222221</v>
      </c>
      <c r="AL4433" s="98">
        <f t="shared" ca="1" si="585"/>
        <v>4.1792123098749245</v>
      </c>
      <c r="AM4433" s="106">
        <f t="shared" ca="1" si="582"/>
        <v>37645.66428866503</v>
      </c>
      <c r="AN4433" s="10">
        <f t="shared" ca="1" si="583"/>
        <v>1.1129842222252107</v>
      </c>
      <c r="AO4433" s="158"/>
      <c r="AP4433" s="158"/>
    </row>
    <row r="4434" spans="34:42">
      <c r="AH4434" s="6">
        <f t="shared" si="587"/>
        <v>4404</v>
      </c>
      <c r="AI4434" s="7">
        <f t="shared" ca="1" si="588"/>
        <v>47074</v>
      </c>
      <c r="AJ4434" s="210">
        <f t="shared" ca="1" si="584"/>
        <v>4.1749999999999998</v>
      </c>
      <c r="AK4434" s="8">
        <f t="shared" ca="1" si="586"/>
        <v>1.0001159722222221</v>
      </c>
      <c r="AL4434" s="98">
        <f t="shared" ca="1" si="585"/>
        <v>4.1792450724282837</v>
      </c>
      <c r="AM4434" s="106">
        <f t="shared" ca="1" si="582"/>
        <v>37648.766346711694</v>
      </c>
      <c r="AN4434" s="10">
        <f t="shared" ca="1" si="583"/>
        <v>1.1130114003225389</v>
      </c>
      <c r="AO4434" s="158"/>
      <c r="AP4434" s="158"/>
    </row>
    <row r="4435" spans="34:42">
      <c r="AH4435" s="6">
        <f t="shared" si="587"/>
        <v>4405</v>
      </c>
      <c r="AI4435" s="7">
        <f t="shared" ca="1" si="588"/>
        <v>47075</v>
      </c>
      <c r="AJ4435" s="210">
        <f t="shared" ca="1" si="584"/>
        <v>4.1749999999999998</v>
      </c>
      <c r="AK4435" s="8">
        <f t="shared" ca="1" si="586"/>
        <v>1.0001159722222221</v>
      </c>
      <c r="AL4435" s="98">
        <f t="shared" ca="1" si="585"/>
        <v>4.179277820116778</v>
      </c>
      <c r="AM4435" s="106">
        <f t="shared" ca="1" si="582"/>
        <v>37651.8686603725</v>
      </c>
      <c r="AN4435" s="10">
        <f t="shared" ca="1" si="583"/>
        <v>1.1130385660875097</v>
      </c>
      <c r="AO4435" s="158"/>
      <c r="AP4435" s="158"/>
    </row>
    <row r="4436" spans="34:42">
      <c r="AH4436" s="6">
        <f t="shared" si="587"/>
        <v>4406</v>
      </c>
      <c r="AI4436" s="7">
        <f t="shared" ca="1" si="588"/>
        <v>47076</v>
      </c>
      <c r="AJ4436" s="210">
        <f t="shared" ca="1" si="584"/>
        <v>4.1749999999999998</v>
      </c>
      <c r="AK4436" s="8">
        <f t="shared" ca="1" si="586"/>
        <v>1.0001159722222221</v>
      </c>
      <c r="AL4436" s="98">
        <f t="shared" ca="1" si="585"/>
        <v>4.1793105529505103</v>
      </c>
      <c r="AM4436" s="106">
        <f t="shared" ca="1" si="582"/>
        <v>37654.971229668517</v>
      </c>
      <c r="AN4436" s="10">
        <f t="shared" ca="1" si="583"/>
        <v>1.1130657195285165</v>
      </c>
      <c r="AO4436" s="158"/>
      <c r="AP4436" s="158"/>
    </row>
    <row r="4437" spans="34:42">
      <c r="AH4437" s="6">
        <f t="shared" si="587"/>
        <v>4407</v>
      </c>
      <c r="AI4437" s="7">
        <f t="shared" ca="1" si="588"/>
        <v>47077</v>
      </c>
      <c r="AJ4437" s="210">
        <f t="shared" ca="1" si="584"/>
        <v>4.1749999999999998</v>
      </c>
      <c r="AK4437" s="8">
        <f t="shared" ca="1" si="586"/>
        <v>1.0001159722222221</v>
      </c>
      <c r="AL4437" s="98">
        <f t="shared" ca="1" si="585"/>
        <v>4.1793432709396061</v>
      </c>
      <c r="AM4437" s="106">
        <f t="shared" ca="1" si="582"/>
        <v>37658.074054620796</v>
      </c>
      <c r="AN4437" s="10">
        <f t="shared" ca="1" si="583"/>
        <v>1.1130928606539303</v>
      </c>
      <c r="AO4437" s="158"/>
      <c r="AP4437" s="158"/>
    </row>
    <row r="4438" spans="34:42">
      <c r="AH4438" s="6">
        <f t="shared" si="587"/>
        <v>4408</v>
      </c>
      <c r="AI4438" s="7">
        <f t="shared" ca="1" si="588"/>
        <v>47078</v>
      </c>
      <c r="AJ4438" s="210">
        <f t="shared" ca="1" si="584"/>
        <v>4.1749999999999998</v>
      </c>
      <c r="AK4438" s="8">
        <f t="shared" ca="1" si="586"/>
        <v>1.0001159722222221</v>
      </c>
      <c r="AL4438" s="98">
        <f t="shared" ca="1" si="585"/>
        <v>4.1793759740941461</v>
      </c>
      <c r="AM4438" s="106">
        <f t="shared" ca="1" si="582"/>
        <v>37661.1771352504</v>
      </c>
      <c r="AN4438" s="10">
        <f t="shared" ca="1" si="583"/>
        <v>1.1131199894721666</v>
      </c>
      <c r="AO4438" s="158"/>
      <c r="AP4438" s="158"/>
    </row>
    <row r="4439" spans="34:42">
      <c r="AH4439" s="6">
        <f t="shared" si="587"/>
        <v>4409</v>
      </c>
      <c r="AI4439" s="7">
        <f t="shared" ca="1" si="588"/>
        <v>47079</v>
      </c>
      <c r="AJ4439" s="210">
        <f t="shared" ca="1" si="584"/>
        <v>4.1749999999999998</v>
      </c>
      <c r="AK4439" s="8">
        <f t="shared" ca="1" si="586"/>
        <v>1.0001159722222221</v>
      </c>
      <c r="AL4439" s="98">
        <f t="shared" ca="1" si="585"/>
        <v>4.1794086624242111</v>
      </c>
      <c r="AM4439" s="106">
        <f t="shared" ca="1" si="582"/>
        <v>37664.280471578422</v>
      </c>
      <c r="AN4439" s="10">
        <f t="shared" ca="1" si="583"/>
        <v>1.1131471059915521</v>
      </c>
      <c r="AO4439" s="158"/>
      <c r="AP4439" s="158"/>
    </row>
    <row r="4440" spans="34:42">
      <c r="AH4440" s="6">
        <f t="shared" si="587"/>
        <v>4410</v>
      </c>
      <c r="AI4440" s="7">
        <f t="shared" ca="1" si="588"/>
        <v>47080</v>
      </c>
      <c r="AJ4440" s="210">
        <f t="shared" ca="1" si="584"/>
        <v>4.1749999999999998</v>
      </c>
      <c r="AK4440" s="8">
        <f t="shared" ca="1" si="586"/>
        <v>1.0001159722222221</v>
      </c>
      <c r="AL4440" s="98">
        <f t="shared" ca="1" si="585"/>
        <v>4.1794413359398819</v>
      </c>
      <c r="AM4440" s="106">
        <f t="shared" ca="1" si="582"/>
        <v>37667.384063625912</v>
      </c>
      <c r="AN4440" s="10">
        <f t="shared" ca="1" si="583"/>
        <v>1.1131742102204578</v>
      </c>
      <c r="AO4440" s="158"/>
      <c r="AP4440" s="158"/>
    </row>
    <row r="4441" spans="34:42">
      <c r="AH4441" s="6">
        <f t="shared" si="587"/>
        <v>4411</v>
      </c>
      <c r="AI4441" s="7">
        <f t="shared" ca="1" si="588"/>
        <v>47081</v>
      </c>
      <c r="AJ4441" s="210">
        <f t="shared" ca="1" si="584"/>
        <v>4.1749999999999998</v>
      </c>
      <c r="AK4441" s="8">
        <f t="shared" ca="1" si="586"/>
        <v>1.0001159722222221</v>
      </c>
      <c r="AL4441" s="98">
        <f t="shared" ca="1" si="585"/>
        <v>4.1794739946512394</v>
      </c>
      <c r="AM4441" s="106">
        <f t="shared" ca="1" si="582"/>
        <v>37670.487911413948</v>
      </c>
      <c r="AN4441" s="10">
        <f t="shared" ca="1" si="583"/>
        <v>1.1132013021672549</v>
      </c>
      <c r="AO4441" s="158"/>
      <c r="AP4441" s="158"/>
    </row>
    <row r="4442" spans="34:42">
      <c r="AH4442" s="6">
        <f t="shared" si="587"/>
        <v>4412</v>
      </c>
      <c r="AI4442" s="7">
        <f t="shared" ca="1" si="588"/>
        <v>47082</v>
      </c>
      <c r="AJ4442" s="210">
        <f t="shared" ca="1" si="584"/>
        <v>4.1749999999999998</v>
      </c>
      <c r="AK4442" s="8">
        <f t="shared" ca="1" si="586"/>
        <v>1.0001159722222221</v>
      </c>
      <c r="AL4442" s="98">
        <f t="shared" ca="1" si="585"/>
        <v>4.1795066385683421</v>
      </c>
      <c r="AM4442" s="106">
        <f t="shared" ca="1" si="582"/>
        <v>37673.592014963593</v>
      </c>
      <c r="AN4442" s="10">
        <f t="shared" ca="1" si="583"/>
        <v>1.11322838184027</v>
      </c>
      <c r="AO4442" s="158"/>
      <c r="AP4442" s="158"/>
    </row>
    <row r="4443" spans="34:42">
      <c r="AH4443" s="6">
        <f t="shared" si="587"/>
        <v>4413</v>
      </c>
      <c r="AI4443" s="7">
        <f t="shared" ca="1" si="588"/>
        <v>47083</v>
      </c>
      <c r="AJ4443" s="210">
        <f t="shared" ca="1" si="584"/>
        <v>4.1749999999999998</v>
      </c>
      <c r="AK4443" s="8">
        <f t="shared" ca="1" si="586"/>
        <v>1.0001159722222221</v>
      </c>
      <c r="AL4443" s="98">
        <f t="shared" ca="1" si="585"/>
        <v>4.1795392677012266</v>
      </c>
      <c r="AM4443" s="106">
        <f t="shared" ca="1" si="582"/>
        <v>37676.696374295949</v>
      </c>
      <c r="AN4443" s="10">
        <f t="shared" ca="1" si="583"/>
        <v>1.1132554492478519</v>
      </c>
      <c r="AO4443" s="158"/>
      <c r="AP4443" s="158"/>
    </row>
    <row r="4444" spans="34:42">
      <c r="AH4444" s="6">
        <f t="shared" si="587"/>
        <v>4414</v>
      </c>
      <c r="AI4444" s="7">
        <f t="shared" ca="1" si="588"/>
        <v>47084</v>
      </c>
      <c r="AJ4444" s="210">
        <f t="shared" ca="1" si="584"/>
        <v>4.1749999999999998</v>
      </c>
      <c r="AK4444" s="8">
        <f t="shared" ca="1" si="586"/>
        <v>1.0001159722222221</v>
      </c>
      <c r="AL4444" s="98">
        <f t="shared" ca="1" si="585"/>
        <v>4.1795718820599514</v>
      </c>
      <c r="AM4444" s="106">
        <f t="shared" ca="1" si="582"/>
        <v>37679.800989432057</v>
      </c>
      <c r="AN4444" s="10">
        <f t="shared" ca="1" si="583"/>
        <v>1.1132825043983496</v>
      </c>
      <c r="AO4444" s="158"/>
      <c r="AP4444" s="158"/>
    </row>
    <row r="4445" spans="34:42">
      <c r="AH4445" s="6">
        <f t="shared" si="587"/>
        <v>4415</v>
      </c>
      <c r="AI4445" s="7">
        <f t="shared" ca="1" si="588"/>
        <v>47085</v>
      </c>
      <c r="AJ4445" s="210">
        <f t="shared" ca="1" si="584"/>
        <v>4.1749999999999998</v>
      </c>
      <c r="AK4445" s="8">
        <f t="shared" ca="1" si="586"/>
        <v>1.0001159722222221</v>
      </c>
      <c r="AL4445" s="98">
        <f t="shared" ca="1" si="585"/>
        <v>4.1796044816545308</v>
      </c>
      <c r="AM4445" s="106">
        <f t="shared" ca="1" si="582"/>
        <v>37682.905860393017</v>
      </c>
      <c r="AN4445" s="10">
        <f t="shared" ca="1" si="583"/>
        <v>1.1133095473000676</v>
      </c>
      <c r="AO4445" s="158"/>
      <c r="AP4445" s="158"/>
    </row>
    <row r="4446" spans="34:42">
      <c r="AH4446" s="6">
        <f t="shared" si="587"/>
        <v>4416</v>
      </c>
      <c r="AI4446" s="7">
        <f t="shared" ca="1" si="588"/>
        <v>47086</v>
      </c>
      <c r="AJ4446" s="210">
        <f t="shared" ca="1" si="584"/>
        <v>4.1749999999999998</v>
      </c>
      <c r="AK4446" s="8">
        <f t="shared" ca="1" si="586"/>
        <v>1.0001159722222221</v>
      </c>
      <c r="AL4446" s="98">
        <f t="shared" ca="1" si="585"/>
        <v>4.1796370664950011</v>
      </c>
      <c r="AM4446" s="106">
        <f t="shared" ca="1" si="582"/>
        <v>37686.010987199916</v>
      </c>
      <c r="AN4446" s="10">
        <f t="shared" ca="1" si="583"/>
        <v>1.1133365779613102</v>
      </c>
      <c r="AO4446" s="158"/>
      <c r="AP4446" s="158"/>
    </row>
    <row r="4447" spans="34:42">
      <c r="AH4447" s="6">
        <f t="shared" si="587"/>
        <v>4417</v>
      </c>
      <c r="AI4447" s="7">
        <f t="shared" ca="1" si="588"/>
        <v>47087</v>
      </c>
      <c r="AJ4447" s="210">
        <f t="shared" ca="1" si="584"/>
        <v>4.1749999999999998</v>
      </c>
      <c r="AK4447" s="8">
        <f t="shared" ca="1" si="586"/>
        <v>1.0001159722222221</v>
      </c>
      <c r="AL4447" s="98">
        <f t="shared" ca="1" si="585"/>
        <v>4.1796696365913544</v>
      </c>
      <c r="AM4447" s="106">
        <f t="shared" ref="AM4447:AM4510" ca="1" si="589">Geom_Interp(AI4447,$AZ$2:$AZ$109,$BA$2:$BA$109)</f>
        <v>37689.116369873816</v>
      </c>
      <c r="AN4447" s="10">
        <f t="shared" ref="AN4447:AN4510" ca="1" si="590">100*(((1+AL4447/100)^(AH4447/365)*$AM$29/AM4447)^(365/AH4447)-1)</f>
        <v>1.1133635963903821</v>
      </c>
      <c r="AO4447" s="158"/>
      <c r="AP4447" s="158"/>
    </row>
    <row r="4448" spans="34:42">
      <c r="AH4448" s="6">
        <f t="shared" si="587"/>
        <v>4418</v>
      </c>
      <c r="AI4448" s="7">
        <f t="shared" ca="1" si="588"/>
        <v>47088</v>
      </c>
      <c r="AJ4448" s="210">
        <f t="shared" ref="AJ4448:AJ4511" ca="1" si="591">IF(AH4448&lt;365,VLOOKUP(LOOKUP(AI4448,$AI$2:$AI$23),$AI$2:$AK$23,3,0),Lin_Interp(AH4448,$AJ$2:$AJ$23,$AK$2:$AK$23))</f>
        <v>4.1749999999999998</v>
      </c>
      <c r="AK4448" s="8">
        <f t="shared" ca="1" si="586"/>
        <v>1.0001159722222221</v>
      </c>
      <c r="AL4448" s="98">
        <f t="shared" ca="1" si="585"/>
        <v>4.179702191953627</v>
      </c>
      <c r="AM4448" s="106">
        <f t="shared" ca="1" si="589"/>
        <v>37692.22200843582</v>
      </c>
      <c r="AN4448" s="10">
        <f t="shared" ca="1" si="590"/>
        <v>1.1133906025956319</v>
      </c>
      <c r="AO4448" s="158"/>
      <c r="AP4448" s="158"/>
    </row>
    <row r="4449" spans="34:42">
      <c r="AH4449" s="6">
        <f t="shared" si="587"/>
        <v>4419</v>
      </c>
      <c r="AI4449" s="7">
        <f t="shared" ca="1" si="588"/>
        <v>47089</v>
      </c>
      <c r="AJ4449" s="210">
        <f t="shared" ca="1" si="591"/>
        <v>4.1749999999999998</v>
      </c>
      <c r="AK4449" s="8">
        <f t="shared" ca="1" si="586"/>
        <v>1.0001159722222221</v>
      </c>
      <c r="AL4449" s="98">
        <f t="shared" ref="AL4449:AL4512" ca="1" si="592">100*(((1+AL4448/100)^(AH4448/365)*AK4449)^(365/AH4449)-1)</f>
        <v>4.1797347325917888</v>
      </c>
      <c r="AM4449" s="106">
        <f t="shared" ca="1" si="589"/>
        <v>37695.327902906996</v>
      </c>
      <c r="AN4449" s="10">
        <f t="shared" ca="1" si="590"/>
        <v>1.1134175965852977</v>
      </c>
      <c r="AO4449" s="158"/>
      <c r="AP4449" s="158"/>
    </row>
    <row r="4450" spans="34:42">
      <c r="AH4450" s="6">
        <f t="shared" si="587"/>
        <v>4420</v>
      </c>
      <c r="AI4450" s="7">
        <f t="shared" ca="1" si="588"/>
        <v>47090</v>
      </c>
      <c r="AJ4450" s="210">
        <f t="shared" ca="1" si="591"/>
        <v>4.1749999999999998</v>
      </c>
      <c r="AK4450" s="8">
        <f t="shared" ca="1" si="586"/>
        <v>1.0001159722222221</v>
      </c>
      <c r="AL4450" s="98">
        <f t="shared" ca="1" si="592"/>
        <v>4.1797672585158319</v>
      </c>
      <c r="AM4450" s="106">
        <f t="shared" ca="1" si="589"/>
        <v>37698.43405330844</v>
      </c>
      <c r="AN4450" s="10">
        <f t="shared" ca="1" si="590"/>
        <v>1.1134445783676838</v>
      </c>
      <c r="AO4450" s="158"/>
      <c r="AP4450" s="158"/>
    </row>
    <row r="4451" spans="34:42">
      <c r="AH4451" s="6">
        <f t="shared" si="587"/>
        <v>4421</v>
      </c>
      <c r="AI4451" s="7">
        <f t="shared" ca="1" si="588"/>
        <v>47091</v>
      </c>
      <c r="AJ4451" s="210">
        <f t="shared" ca="1" si="591"/>
        <v>4.1749999999999998</v>
      </c>
      <c r="AK4451" s="8">
        <f t="shared" ca="1" si="586"/>
        <v>1.0001159722222221</v>
      </c>
      <c r="AL4451" s="98">
        <f t="shared" ca="1" si="592"/>
        <v>4.1797997697357481</v>
      </c>
      <c r="AM4451" s="106">
        <f t="shared" ca="1" si="589"/>
        <v>37701.540459661242</v>
      </c>
      <c r="AN4451" s="10">
        <f t="shared" ca="1" si="590"/>
        <v>1.1134715479510948</v>
      </c>
      <c r="AO4451" s="158"/>
      <c r="AP4451" s="158"/>
    </row>
    <row r="4452" spans="34:42">
      <c r="AH4452" s="6">
        <f t="shared" si="587"/>
        <v>4422</v>
      </c>
      <c r="AI4452" s="7">
        <f t="shared" ca="1" si="588"/>
        <v>47092</v>
      </c>
      <c r="AJ4452" s="210">
        <f t="shared" ca="1" si="591"/>
        <v>4.1749999999999998</v>
      </c>
      <c r="AK4452" s="8">
        <f t="shared" ref="AK4452:AK4515" ca="1" si="593">+(1+AJ4452/36000)</f>
        <v>1.0001159722222221</v>
      </c>
      <c r="AL4452" s="98">
        <f t="shared" ca="1" si="592"/>
        <v>4.1798322662614851</v>
      </c>
      <c r="AM4452" s="106">
        <f t="shared" ca="1" si="589"/>
        <v>37704.647121986491</v>
      </c>
      <c r="AN4452" s="10">
        <f t="shared" ca="1" si="590"/>
        <v>1.1134985053437685</v>
      </c>
      <c r="AO4452" s="158"/>
      <c r="AP4452" s="158"/>
    </row>
    <row r="4453" spans="34:42">
      <c r="AH4453" s="6">
        <f t="shared" si="587"/>
        <v>4423</v>
      </c>
      <c r="AI4453" s="7">
        <f t="shared" ca="1" si="588"/>
        <v>47093</v>
      </c>
      <c r="AJ4453" s="210">
        <f t="shared" ca="1" si="591"/>
        <v>4.1749999999999998</v>
      </c>
      <c r="AK4453" s="8">
        <f t="shared" ca="1" si="593"/>
        <v>1.0001159722222221</v>
      </c>
      <c r="AL4453" s="98">
        <f t="shared" ca="1" si="592"/>
        <v>4.1798647481030349</v>
      </c>
      <c r="AM4453" s="106">
        <f t="shared" ca="1" si="589"/>
        <v>37707.754040305284</v>
      </c>
      <c r="AN4453" s="10">
        <f t="shared" ca="1" si="590"/>
        <v>1.1135254505539871</v>
      </c>
      <c r="AO4453" s="158"/>
      <c r="AP4453" s="158"/>
    </row>
    <row r="4454" spans="34:42">
      <c r="AH4454" s="6">
        <f t="shared" si="587"/>
        <v>4424</v>
      </c>
      <c r="AI4454" s="7">
        <f t="shared" ca="1" si="588"/>
        <v>47094</v>
      </c>
      <c r="AJ4454" s="210">
        <f t="shared" ca="1" si="591"/>
        <v>4.1749999999999998</v>
      </c>
      <c r="AK4454" s="8">
        <f t="shared" ca="1" si="593"/>
        <v>1.0001159722222221</v>
      </c>
      <c r="AL4454" s="98">
        <f t="shared" ca="1" si="592"/>
        <v>4.1798972152703229</v>
      </c>
      <c r="AM4454" s="106">
        <f t="shared" ca="1" si="589"/>
        <v>37710.861214638702</v>
      </c>
      <c r="AN4454" s="10">
        <f t="shared" ca="1" si="590"/>
        <v>1.1135523835900107</v>
      </c>
      <c r="AO4454" s="158"/>
      <c r="AP4454" s="158"/>
    </row>
    <row r="4455" spans="34:42">
      <c r="AH4455" s="6">
        <f t="shared" si="587"/>
        <v>4425</v>
      </c>
      <c r="AI4455" s="7">
        <f t="shared" ca="1" si="588"/>
        <v>47095</v>
      </c>
      <c r="AJ4455" s="210">
        <f t="shared" ca="1" si="591"/>
        <v>4.1749999999999998</v>
      </c>
      <c r="AK4455" s="8">
        <f t="shared" ca="1" si="593"/>
        <v>1.0001159722222221</v>
      </c>
      <c r="AL4455" s="98">
        <f t="shared" ca="1" si="592"/>
        <v>4.1799296677732967</v>
      </c>
      <c r="AM4455" s="106">
        <f t="shared" ca="1" si="589"/>
        <v>37713.968645007866</v>
      </c>
      <c r="AN4455" s="10">
        <f t="shared" ca="1" si="590"/>
        <v>1.1135793044600772</v>
      </c>
      <c r="AO4455" s="158"/>
      <c r="AP4455" s="158"/>
    </row>
    <row r="4456" spans="34:42">
      <c r="AH4456" s="6">
        <f t="shared" si="587"/>
        <v>4426</v>
      </c>
      <c r="AI4456" s="7">
        <f t="shared" ca="1" si="588"/>
        <v>47096</v>
      </c>
      <c r="AJ4456" s="210">
        <f t="shared" ca="1" si="591"/>
        <v>4.1749999999999998</v>
      </c>
      <c r="AK4456" s="8">
        <f t="shared" ca="1" si="593"/>
        <v>1.0001159722222221</v>
      </c>
      <c r="AL4456" s="98">
        <f t="shared" ca="1" si="592"/>
        <v>4.1799621056218816</v>
      </c>
      <c r="AM4456" s="106">
        <f t="shared" ca="1" si="589"/>
        <v>37717.07633143384</v>
      </c>
      <c r="AN4456" s="10">
        <f t="shared" ca="1" si="590"/>
        <v>1.1136062131724245</v>
      </c>
      <c r="AO4456" s="158"/>
      <c r="AP4456" s="158"/>
    </row>
    <row r="4457" spans="34:42">
      <c r="AH4457" s="6">
        <f t="shared" si="587"/>
        <v>4427</v>
      </c>
      <c r="AI4457" s="7">
        <f t="shared" ca="1" si="588"/>
        <v>47097</v>
      </c>
      <c r="AJ4457" s="210">
        <f t="shared" ca="1" si="591"/>
        <v>4.1749999999999998</v>
      </c>
      <c r="AK4457" s="8">
        <f t="shared" ca="1" si="593"/>
        <v>1.0001159722222221</v>
      </c>
      <c r="AL4457" s="98">
        <f t="shared" ca="1" si="592"/>
        <v>4.1799945288260032</v>
      </c>
      <c r="AM4457" s="106">
        <f t="shared" ca="1" si="589"/>
        <v>37720.184273937753</v>
      </c>
      <c r="AN4457" s="10">
        <f t="shared" ca="1" si="590"/>
        <v>1.1136331097352903</v>
      </c>
      <c r="AO4457" s="158"/>
      <c r="AP4457" s="158"/>
    </row>
    <row r="4458" spans="34:42">
      <c r="AH4458" s="6">
        <f t="shared" si="587"/>
        <v>4428</v>
      </c>
      <c r="AI4458" s="7">
        <f t="shared" ca="1" si="588"/>
        <v>47098</v>
      </c>
      <c r="AJ4458" s="210">
        <f t="shared" ca="1" si="591"/>
        <v>4.1749999999999998</v>
      </c>
      <c r="AK4458" s="8">
        <f t="shared" ca="1" si="593"/>
        <v>1.0001159722222221</v>
      </c>
      <c r="AL4458" s="98">
        <f t="shared" ca="1" si="592"/>
        <v>4.1800269373955867</v>
      </c>
      <c r="AM4458" s="106">
        <f t="shared" ca="1" si="589"/>
        <v>37723.292472540692</v>
      </c>
      <c r="AN4458" s="10">
        <f t="shared" ca="1" si="590"/>
        <v>1.1136599941569125</v>
      </c>
      <c r="AO4458" s="158"/>
      <c r="AP4458" s="158"/>
    </row>
    <row r="4459" spans="34:42">
      <c r="AH4459" s="6">
        <f t="shared" si="587"/>
        <v>4429</v>
      </c>
      <c r="AI4459" s="7">
        <f t="shared" ca="1" si="588"/>
        <v>47099</v>
      </c>
      <c r="AJ4459" s="210">
        <f t="shared" ca="1" si="591"/>
        <v>4.1749999999999998</v>
      </c>
      <c r="AK4459" s="8">
        <f t="shared" ca="1" si="593"/>
        <v>1.0001159722222221</v>
      </c>
      <c r="AL4459" s="98">
        <f t="shared" ca="1" si="592"/>
        <v>4.1800593313405354</v>
      </c>
      <c r="AM4459" s="106">
        <f t="shared" ca="1" si="589"/>
        <v>37726.400927263763</v>
      </c>
      <c r="AN4459" s="10">
        <f t="shared" ca="1" si="590"/>
        <v>1.1136868664454846</v>
      </c>
      <c r="AO4459" s="158"/>
      <c r="AP4459" s="158"/>
    </row>
    <row r="4460" spans="34:42">
      <c r="AH4460" s="6">
        <f t="shared" si="587"/>
        <v>4430</v>
      </c>
      <c r="AI4460" s="7">
        <f t="shared" ca="1" si="588"/>
        <v>47100</v>
      </c>
      <c r="AJ4460" s="210">
        <f t="shared" ca="1" si="591"/>
        <v>4.1749999999999998</v>
      </c>
      <c r="AK4460" s="8">
        <f t="shared" ca="1" si="593"/>
        <v>1.0001159722222221</v>
      </c>
      <c r="AL4460" s="98">
        <f t="shared" ca="1" si="592"/>
        <v>4.1800917106707525</v>
      </c>
      <c r="AM4460" s="106">
        <f t="shared" ca="1" si="589"/>
        <v>37729.509638128067</v>
      </c>
      <c r="AN4460" s="10">
        <f t="shared" ca="1" si="590"/>
        <v>1.1137137266092445</v>
      </c>
      <c r="AO4460" s="158"/>
      <c r="AP4460" s="158"/>
    </row>
    <row r="4461" spans="34:42">
      <c r="AH4461" s="6">
        <f t="shared" si="587"/>
        <v>4431</v>
      </c>
      <c r="AI4461" s="7">
        <f t="shared" ca="1" si="588"/>
        <v>47101</v>
      </c>
      <c r="AJ4461" s="210">
        <f t="shared" ca="1" si="591"/>
        <v>4.1749999999999998</v>
      </c>
      <c r="AK4461" s="8">
        <f t="shared" ca="1" si="593"/>
        <v>1.0001159722222221</v>
      </c>
      <c r="AL4461" s="98">
        <f t="shared" ca="1" si="592"/>
        <v>4.1801240753961189</v>
      </c>
      <c r="AM4461" s="106">
        <f t="shared" ca="1" si="589"/>
        <v>37732.618605154719</v>
      </c>
      <c r="AN4461" s="10">
        <f t="shared" ca="1" si="590"/>
        <v>1.1137405746564077</v>
      </c>
      <c r="AO4461" s="158"/>
      <c r="AP4461" s="158"/>
    </row>
    <row r="4462" spans="34:42">
      <c r="AH4462" s="6">
        <f t="shared" si="587"/>
        <v>4432</v>
      </c>
      <c r="AI4462" s="7">
        <f t="shared" ca="1" si="588"/>
        <v>47102</v>
      </c>
      <c r="AJ4462" s="210">
        <f t="shared" ca="1" si="591"/>
        <v>4.1749999999999998</v>
      </c>
      <c r="AK4462" s="8">
        <f t="shared" ca="1" si="593"/>
        <v>1.0001159722222221</v>
      </c>
      <c r="AL4462" s="98">
        <f t="shared" ca="1" si="592"/>
        <v>4.1801564255264934</v>
      </c>
      <c r="AM4462" s="106">
        <f t="shared" ca="1" si="589"/>
        <v>37735.727828364819</v>
      </c>
      <c r="AN4462" s="10">
        <f t="shared" ca="1" si="590"/>
        <v>1.1137674105951234</v>
      </c>
      <c r="AO4462" s="158"/>
      <c r="AP4462" s="158"/>
    </row>
    <row r="4463" spans="34:42">
      <c r="AH4463" s="6">
        <f t="shared" si="587"/>
        <v>4433</v>
      </c>
      <c r="AI4463" s="7">
        <f t="shared" ca="1" si="588"/>
        <v>47103</v>
      </c>
      <c r="AJ4463" s="210">
        <f t="shared" ca="1" si="591"/>
        <v>4.1749999999999998</v>
      </c>
      <c r="AK4463" s="8">
        <f t="shared" ca="1" si="593"/>
        <v>1.0001159722222221</v>
      </c>
      <c r="AL4463" s="98">
        <f t="shared" ca="1" si="592"/>
        <v>4.1801887610717792</v>
      </c>
      <c r="AM4463" s="106">
        <f t="shared" ca="1" si="589"/>
        <v>37738.837307779475</v>
      </c>
      <c r="AN4463" s="10">
        <f t="shared" ca="1" si="590"/>
        <v>1.1137942344336293</v>
      </c>
      <c r="AO4463" s="158"/>
      <c r="AP4463" s="158"/>
    </row>
    <row r="4464" spans="34:42">
      <c r="AH4464" s="6">
        <f t="shared" si="587"/>
        <v>4434</v>
      </c>
      <c r="AI4464" s="7">
        <f t="shared" ca="1" si="588"/>
        <v>47104</v>
      </c>
      <c r="AJ4464" s="210">
        <f t="shared" ca="1" si="591"/>
        <v>4.1749999999999998</v>
      </c>
      <c r="AK4464" s="8">
        <f t="shared" ca="1" si="593"/>
        <v>1.0001159722222221</v>
      </c>
      <c r="AL4464" s="98">
        <f t="shared" ca="1" si="592"/>
        <v>4.1802210820418129</v>
      </c>
      <c r="AM4464" s="106">
        <f t="shared" ca="1" si="589"/>
        <v>37741.947043419808</v>
      </c>
      <c r="AN4464" s="10">
        <f t="shared" ca="1" si="590"/>
        <v>1.1138210461800524</v>
      </c>
      <c r="AO4464" s="158"/>
      <c r="AP4464" s="158"/>
    </row>
    <row r="4465" spans="34:42">
      <c r="AH4465" s="6">
        <f t="shared" si="587"/>
        <v>4435</v>
      </c>
      <c r="AI4465" s="7">
        <f t="shared" ca="1" si="588"/>
        <v>47105</v>
      </c>
      <c r="AJ4465" s="210">
        <f t="shared" ca="1" si="591"/>
        <v>4.1749999999999998</v>
      </c>
      <c r="AK4465" s="8">
        <f t="shared" ca="1" si="593"/>
        <v>1.0001159722222221</v>
      </c>
      <c r="AL4465" s="98">
        <f t="shared" ca="1" si="592"/>
        <v>4.1802533884464754</v>
      </c>
      <c r="AM4465" s="106">
        <f t="shared" ca="1" si="589"/>
        <v>37745.05703530692</v>
      </c>
      <c r="AN4465" s="10">
        <f t="shared" ca="1" si="590"/>
        <v>1.1138478458426304</v>
      </c>
      <c r="AO4465" s="158"/>
      <c r="AP4465" s="158"/>
    </row>
    <row r="4466" spans="34:42">
      <c r="AH4466" s="6">
        <f t="shared" si="587"/>
        <v>4436</v>
      </c>
      <c r="AI4466" s="7">
        <f t="shared" ca="1" si="588"/>
        <v>47106</v>
      </c>
      <c r="AJ4466" s="210">
        <f t="shared" ca="1" si="591"/>
        <v>4.1749999999999998</v>
      </c>
      <c r="AK4466" s="8">
        <f t="shared" ca="1" si="593"/>
        <v>1.0001159722222221</v>
      </c>
      <c r="AL4466" s="98">
        <f t="shared" ca="1" si="592"/>
        <v>4.1802856802955812</v>
      </c>
      <c r="AM4466" s="106">
        <f t="shared" ca="1" si="589"/>
        <v>37748.167283461946</v>
      </c>
      <c r="AN4466" s="10">
        <f t="shared" ca="1" si="590"/>
        <v>1.1138746334294902</v>
      </c>
      <c r="AO4466" s="158"/>
      <c r="AP4466" s="158"/>
    </row>
    <row r="4467" spans="34:42">
      <c r="AH4467" s="6">
        <f t="shared" si="587"/>
        <v>4437</v>
      </c>
      <c r="AI4467" s="7">
        <f t="shared" ca="1" si="588"/>
        <v>47107</v>
      </c>
      <c r="AJ4467" s="210">
        <f t="shared" ca="1" si="591"/>
        <v>4.1749999999999998</v>
      </c>
      <c r="AK4467" s="8">
        <f t="shared" ca="1" si="593"/>
        <v>1.0001159722222221</v>
      </c>
      <c r="AL4467" s="98">
        <f t="shared" ca="1" si="592"/>
        <v>4.1803179575989891</v>
      </c>
      <c r="AM4467" s="106">
        <f t="shared" ca="1" si="589"/>
        <v>37751.277787905972</v>
      </c>
      <c r="AN4467" s="10">
        <f t="shared" ca="1" si="590"/>
        <v>1.1139014089488253</v>
      </c>
      <c r="AO4467" s="158"/>
      <c r="AP4467" s="158"/>
    </row>
    <row r="4468" spans="34:42">
      <c r="AH4468" s="6">
        <f t="shared" si="587"/>
        <v>4438</v>
      </c>
      <c r="AI4468" s="7">
        <f t="shared" ca="1" si="588"/>
        <v>47108</v>
      </c>
      <c r="AJ4468" s="210">
        <f t="shared" ca="1" si="591"/>
        <v>4.1749999999999998</v>
      </c>
      <c r="AK4468" s="8">
        <f t="shared" ca="1" si="593"/>
        <v>1.0001159722222221</v>
      </c>
      <c r="AL4468" s="98">
        <f t="shared" ca="1" si="592"/>
        <v>4.1803502203664911</v>
      </c>
      <c r="AM4468" s="106">
        <f t="shared" ca="1" si="589"/>
        <v>37754.38854866015</v>
      </c>
      <c r="AN4468" s="10">
        <f t="shared" ca="1" si="590"/>
        <v>1.113928172408718</v>
      </c>
      <c r="AO4468" s="158"/>
      <c r="AP4468" s="158"/>
    </row>
    <row r="4469" spans="34:42">
      <c r="AH4469" s="6">
        <f t="shared" si="587"/>
        <v>4439</v>
      </c>
      <c r="AI4469" s="7">
        <f t="shared" ca="1" si="588"/>
        <v>47109</v>
      </c>
      <c r="AJ4469" s="210">
        <f t="shared" ca="1" si="591"/>
        <v>4.1749999999999998</v>
      </c>
      <c r="AK4469" s="8">
        <f t="shared" ca="1" si="593"/>
        <v>1.0001159722222221</v>
      </c>
      <c r="AL4469" s="98">
        <f t="shared" ca="1" si="592"/>
        <v>4.180382468607946</v>
      </c>
      <c r="AM4469" s="106">
        <f t="shared" ca="1" si="589"/>
        <v>37757.49956574558</v>
      </c>
      <c r="AN4469" s="10">
        <f t="shared" ca="1" si="590"/>
        <v>1.1139549238174062</v>
      </c>
      <c r="AO4469" s="158"/>
      <c r="AP4469" s="158"/>
    </row>
    <row r="4470" spans="34:42">
      <c r="AH4470" s="6">
        <f t="shared" si="587"/>
        <v>4440</v>
      </c>
      <c r="AI4470" s="7">
        <f t="shared" ca="1" si="588"/>
        <v>47110</v>
      </c>
      <c r="AJ4470" s="210">
        <f t="shared" ca="1" si="591"/>
        <v>4.1749999999999998</v>
      </c>
      <c r="AK4470" s="8">
        <f t="shared" ca="1" si="593"/>
        <v>1.0001159722222221</v>
      </c>
      <c r="AL4470" s="98">
        <f t="shared" ca="1" si="592"/>
        <v>4.180414702333124</v>
      </c>
      <c r="AM4470" s="106">
        <f t="shared" ca="1" si="589"/>
        <v>37760.610839183384</v>
      </c>
      <c r="AN4470" s="10">
        <f t="shared" ca="1" si="590"/>
        <v>1.1139816631829502</v>
      </c>
      <c r="AO4470" s="158"/>
      <c r="AP4470" s="158"/>
    </row>
    <row r="4471" spans="34:42">
      <c r="AH4471" s="6">
        <f t="shared" ref="AH4471:AH4534" si="594">$AI$29+AH4470</f>
        <v>4441</v>
      </c>
      <c r="AI4471" s="7">
        <f t="shared" ref="AI4471:AI4534" ca="1" si="595">+AH4471+$C$1</f>
        <v>47111</v>
      </c>
      <c r="AJ4471" s="210">
        <f t="shared" ca="1" si="591"/>
        <v>4.1749999999999998</v>
      </c>
      <c r="AK4471" s="8">
        <f t="shared" ca="1" si="593"/>
        <v>1.0001159722222221</v>
      </c>
      <c r="AL4471" s="98">
        <f t="shared" ca="1" si="592"/>
        <v>4.1804469215518614</v>
      </c>
      <c r="AM4471" s="106">
        <f t="shared" ca="1" si="589"/>
        <v>37763.722368994699</v>
      </c>
      <c r="AN4471" s="10">
        <f t="shared" ca="1" si="590"/>
        <v>1.1140083905135434</v>
      </c>
      <c r="AO4471" s="158"/>
      <c r="AP4471" s="158"/>
    </row>
    <row r="4472" spans="34:42">
      <c r="AH4472" s="6">
        <f t="shared" si="594"/>
        <v>4442</v>
      </c>
      <c r="AI4472" s="7">
        <f t="shared" ca="1" si="595"/>
        <v>47112</v>
      </c>
      <c r="AJ4472" s="210">
        <f t="shared" ca="1" si="591"/>
        <v>4.1749999999999998</v>
      </c>
      <c r="AK4472" s="8">
        <f t="shared" ca="1" si="593"/>
        <v>1.0001159722222221</v>
      </c>
      <c r="AL4472" s="98">
        <f t="shared" ca="1" si="592"/>
        <v>4.1804791262739283</v>
      </c>
      <c r="AM4472" s="106">
        <f t="shared" ca="1" si="589"/>
        <v>37766.834155200639</v>
      </c>
      <c r="AN4472" s="10">
        <f t="shared" ca="1" si="590"/>
        <v>1.1140351058172904</v>
      </c>
      <c r="AO4472" s="158"/>
      <c r="AP4472" s="158"/>
    </row>
    <row r="4473" spans="34:42">
      <c r="AH4473" s="6">
        <f t="shared" si="594"/>
        <v>4443</v>
      </c>
      <c r="AI4473" s="7">
        <f t="shared" ca="1" si="595"/>
        <v>47113</v>
      </c>
      <c r="AJ4473" s="210">
        <f t="shared" ca="1" si="591"/>
        <v>4.1749999999999998</v>
      </c>
      <c r="AK4473" s="8">
        <f t="shared" ca="1" si="593"/>
        <v>1.0001159722222221</v>
      </c>
      <c r="AL4473" s="98">
        <f t="shared" ca="1" si="592"/>
        <v>4.1805113165090946</v>
      </c>
      <c r="AM4473" s="106">
        <f t="shared" ca="1" si="589"/>
        <v>37769.946197822326</v>
      </c>
      <c r="AN4473" s="10">
        <f t="shared" ca="1" si="590"/>
        <v>1.1140618091022514</v>
      </c>
      <c r="AO4473" s="158"/>
      <c r="AP4473" s="158"/>
    </row>
    <row r="4474" spans="34:42">
      <c r="AH4474" s="6">
        <f t="shared" si="594"/>
        <v>4444</v>
      </c>
      <c r="AI4474" s="7">
        <f t="shared" ca="1" si="595"/>
        <v>47114</v>
      </c>
      <c r="AJ4474" s="210">
        <f t="shared" ca="1" si="591"/>
        <v>4.1749999999999998</v>
      </c>
      <c r="AK4474" s="8">
        <f t="shared" ca="1" si="593"/>
        <v>1.0001159722222221</v>
      </c>
      <c r="AL4474" s="98">
        <f t="shared" ca="1" si="592"/>
        <v>4.1805434922671525</v>
      </c>
      <c r="AM4474" s="106">
        <f t="shared" ca="1" si="589"/>
        <v>37773.058496880905</v>
      </c>
      <c r="AN4474" s="10">
        <f t="shared" ca="1" si="590"/>
        <v>1.1140885003766199</v>
      </c>
      <c r="AO4474" s="158"/>
      <c r="AP4474" s="158"/>
    </row>
    <row r="4475" spans="34:42">
      <c r="AH4475" s="6">
        <f t="shared" si="594"/>
        <v>4445</v>
      </c>
      <c r="AI4475" s="7">
        <f t="shared" ca="1" si="595"/>
        <v>47115</v>
      </c>
      <c r="AJ4475" s="210">
        <f t="shared" ca="1" si="591"/>
        <v>4.1749999999999998</v>
      </c>
      <c r="AK4475" s="8">
        <f t="shared" ca="1" si="593"/>
        <v>1.0001159722222221</v>
      </c>
      <c r="AL4475" s="98">
        <f t="shared" ca="1" si="592"/>
        <v>4.1805756535578498</v>
      </c>
      <c r="AM4475" s="106">
        <f t="shared" ca="1" si="589"/>
        <v>37776.171052397498</v>
      </c>
      <c r="AN4475" s="10">
        <f t="shared" ca="1" si="590"/>
        <v>1.1141151796484117</v>
      </c>
      <c r="AO4475" s="158"/>
      <c r="AP4475" s="158"/>
    </row>
    <row r="4476" spans="34:42">
      <c r="AH4476" s="6">
        <f t="shared" si="594"/>
        <v>4446</v>
      </c>
      <c r="AI4476" s="7">
        <f t="shared" ca="1" si="595"/>
        <v>47116</v>
      </c>
      <c r="AJ4476" s="210">
        <f t="shared" ca="1" si="591"/>
        <v>4.1749999999999998</v>
      </c>
      <c r="AK4476" s="8">
        <f t="shared" ca="1" si="593"/>
        <v>1.0001159722222221</v>
      </c>
      <c r="AL4476" s="98">
        <f t="shared" ca="1" si="592"/>
        <v>4.1806078003909564</v>
      </c>
      <c r="AM4476" s="106">
        <f t="shared" ca="1" si="589"/>
        <v>37779.283864393234</v>
      </c>
      <c r="AN4476" s="10">
        <f t="shared" ca="1" si="590"/>
        <v>1.114141846925798</v>
      </c>
      <c r="AO4476" s="158"/>
      <c r="AP4476" s="158"/>
    </row>
    <row r="4477" spans="34:42">
      <c r="AH4477" s="6">
        <f t="shared" si="594"/>
        <v>4447</v>
      </c>
      <c r="AI4477" s="7">
        <f t="shared" ca="1" si="595"/>
        <v>47117</v>
      </c>
      <c r="AJ4477" s="210">
        <f t="shared" ca="1" si="591"/>
        <v>4.1749999999999998</v>
      </c>
      <c r="AK4477" s="8">
        <f t="shared" ca="1" si="593"/>
        <v>1.0001159722222221</v>
      </c>
      <c r="AL4477" s="98">
        <f t="shared" ca="1" si="592"/>
        <v>4.18063993277622</v>
      </c>
      <c r="AM4477" s="106">
        <f t="shared" ca="1" si="589"/>
        <v>37782.396932889249</v>
      </c>
      <c r="AN4477" s="10">
        <f t="shared" ca="1" si="590"/>
        <v>1.1141685022168391</v>
      </c>
      <c r="AO4477" s="158"/>
      <c r="AP4477" s="158"/>
    </row>
    <row r="4478" spans="34:42">
      <c r="AH4478" s="6">
        <f t="shared" si="594"/>
        <v>4448</v>
      </c>
      <c r="AI4478" s="7">
        <f t="shared" ca="1" si="595"/>
        <v>47118</v>
      </c>
      <c r="AJ4478" s="210">
        <f t="shared" ca="1" si="591"/>
        <v>4.1749999999999998</v>
      </c>
      <c r="AK4478" s="8">
        <f t="shared" ca="1" si="593"/>
        <v>1.0001159722222221</v>
      </c>
      <c r="AL4478" s="98">
        <f t="shared" ca="1" si="592"/>
        <v>4.1806720507233663</v>
      </c>
      <c r="AM4478" s="106">
        <f t="shared" ca="1" si="589"/>
        <v>37785.510257906695</v>
      </c>
      <c r="AN4478" s="10">
        <f t="shared" ca="1" si="590"/>
        <v>1.1141951455295951</v>
      </c>
      <c r="AO4478" s="158"/>
      <c r="AP4478" s="158"/>
    </row>
    <row r="4479" spans="34:42">
      <c r="AH4479" s="6">
        <f t="shared" si="594"/>
        <v>4449</v>
      </c>
      <c r="AI4479" s="7">
        <f t="shared" ca="1" si="595"/>
        <v>47119</v>
      </c>
      <c r="AJ4479" s="210">
        <f t="shared" ca="1" si="591"/>
        <v>4.1749999999999998</v>
      </c>
      <c r="AK4479" s="8">
        <f t="shared" ca="1" si="593"/>
        <v>1.0001159722222221</v>
      </c>
      <c r="AL4479" s="98">
        <f t="shared" ca="1" si="592"/>
        <v>4.180704154242143</v>
      </c>
      <c r="AM4479" s="106">
        <f t="shared" ca="1" si="589"/>
        <v>37788.623839466687</v>
      </c>
      <c r="AN4479" s="10">
        <f t="shared" ca="1" si="590"/>
        <v>1.1142217768721707</v>
      </c>
      <c r="AO4479" s="158"/>
      <c r="AP4479" s="158"/>
    </row>
    <row r="4480" spans="34:42">
      <c r="AH4480" s="6">
        <f t="shared" si="594"/>
        <v>4450</v>
      </c>
      <c r="AI4480" s="7">
        <f t="shared" ca="1" si="595"/>
        <v>47120</v>
      </c>
      <c r="AJ4480" s="210">
        <f t="shared" ca="1" si="591"/>
        <v>4.1749999999999998</v>
      </c>
      <c r="AK4480" s="8">
        <f t="shared" ca="1" si="593"/>
        <v>1.0001159722222221</v>
      </c>
      <c r="AL4480" s="98">
        <f t="shared" ca="1" si="592"/>
        <v>4.1807362433422535</v>
      </c>
      <c r="AM4480" s="106">
        <f t="shared" ca="1" si="589"/>
        <v>37791.737677590383</v>
      </c>
      <c r="AN4480" s="10">
        <f t="shared" ca="1" si="590"/>
        <v>1.114248396252604</v>
      </c>
      <c r="AO4480" s="158"/>
      <c r="AP4480" s="158"/>
    </row>
    <row r="4481" spans="34:42">
      <c r="AH4481" s="6">
        <f t="shared" si="594"/>
        <v>4451</v>
      </c>
      <c r="AI4481" s="7">
        <f t="shared" ca="1" si="595"/>
        <v>47121</v>
      </c>
      <c r="AJ4481" s="210">
        <f t="shared" ca="1" si="591"/>
        <v>4.1749999999999998</v>
      </c>
      <c r="AK4481" s="8">
        <f t="shared" ca="1" si="593"/>
        <v>1.0001159722222221</v>
      </c>
      <c r="AL4481" s="98">
        <f t="shared" ca="1" si="592"/>
        <v>4.180768318033401</v>
      </c>
      <c r="AM4481" s="106">
        <f t="shared" ca="1" si="589"/>
        <v>37794.851772298905</v>
      </c>
      <c r="AN4481" s="10">
        <f t="shared" ca="1" si="590"/>
        <v>1.1142750036789328</v>
      </c>
      <c r="AO4481" s="158"/>
      <c r="AP4481" s="158"/>
    </row>
    <row r="4482" spans="34:42">
      <c r="AH4482" s="6">
        <f t="shared" si="594"/>
        <v>4452</v>
      </c>
      <c r="AI4482" s="7">
        <f t="shared" ca="1" si="595"/>
        <v>47122</v>
      </c>
      <c r="AJ4482" s="210">
        <f t="shared" ca="1" si="591"/>
        <v>4.1749999999999998</v>
      </c>
      <c r="AK4482" s="8">
        <f t="shared" ca="1" si="593"/>
        <v>1.0001159722222221</v>
      </c>
      <c r="AL4482" s="98">
        <f t="shared" ca="1" si="592"/>
        <v>4.1808003783253112</v>
      </c>
      <c r="AM4482" s="106">
        <f t="shared" ca="1" si="589"/>
        <v>37797.966123613412</v>
      </c>
      <c r="AN4482" s="10">
        <f t="shared" ca="1" si="590"/>
        <v>1.114301599159262</v>
      </c>
      <c r="AO4482" s="158"/>
      <c r="AP4482" s="158"/>
    </row>
    <row r="4483" spans="34:42">
      <c r="AH4483" s="6">
        <f t="shared" si="594"/>
        <v>4453</v>
      </c>
      <c r="AI4483" s="7">
        <f t="shared" ca="1" si="595"/>
        <v>47123</v>
      </c>
      <c r="AJ4483" s="210">
        <f t="shared" ca="1" si="591"/>
        <v>4.1749999999999998</v>
      </c>
      <c r="AK4483" s="8">
        <f t="shared" ca="1" si="593"/>
        <v>1.0001159722222221</v>
      </c>
      <c r="AL4483" s="98">
        <f t="shared" ca="1" si="592"/>
        <v>4.1808324242276651</v>
      </c>
      <c r="AM4483" s="106">
        <f t="shared" ca="1" si="589"/>
        <v>37801.080731555041</v>
      </c>
      <c r="AN4483" s="10">
        <f t="shared" ca="1" si="590"/>
        <v>1.1143281827016072</v>
      </c>
      <c r="AO4483" s="158"/>
      <c r="AP4483" s="158"/>
    </row>
    <row r="4484" spans="34:42">
      <c r="AH4484" s="6">
        <f t="shared" si="594"/>
        <v>4454</v>
      </c>
      <c r="AI4484" s="7">
        <f t="shared" ca="1" si="595"/>
        <v>47124</v>
      </c>
      <c r="AJ4484" s="210">
        <f t="shared" ca="1" si="591"/>
        <v>4.1749999999999998</v>
      </c>
      <c r="AK4484" s="8">
        <f t="shared" ca="1" si="593"/>
        <v>1.0001159722222221</v>
      </c>
      <c r="AL4484" s="98">
        <f t="shared" ca="1" si="592"/>
        <v>4.180864455750144</v>
      </c>
      <c r="AM4484" s="106">
        <f t="shared" ca="1" si="589"/>
        <v>37804.195596144942</v>
      </c>
      <c r="AN4484" s="10">
        <f t="shared" ca="1" si="590"/>
        <v>1.1143547543140064</v>
      </c>
      <c r="AO4484" s="158"/>
      <c r="AP4484" s="158"/>
    </row>
    <row r="4485" spans="34:42">
      <c r="AH4485" s="6">
        <f t="shared" si="594"/>
        <v>4455</v>
      </c>
      <c r="AI4485" s="7">
        <f t="shared" ca="1" si="595"/>
        <v>47125</v>
      </c>
      <c r="AJ4485" s="210">
        <f t="shared" ca="1" si="591"/>
        <v>4.1749999999999998</v>
      </c>
      <c r="AK4485" s="8">
        <f t="shared" ca="1" si="593"/>
        <v>1.0001159722222221</v>
      </c>
      <c r="AL4485" s="98">
        <f t="shared" ca="1" si="592"/>
        <v>4.1808964729024289</v>
      </c>
      <c r="AM4485" s="106">
        <f t="shared" ca="1" si="589"/>
        <v>37807.310717404253</v>
      </c>
      <c r="AN4485" s="10">
        <f t="shared" ca="1" si="590"/>
        <v>1.1143813140044756</v>
      </c>
      <c r="AO4485" s="158"/>
      <c r="AP4485" s="158"/>
    </row>
    <row r="4486" spans="34:42">
      <c r="AH4486" s="6">
        <f t="shared" si="594"/>
        <v>4456</v>
      </c>
      <c r="AI4486" s="7">
        <f t="shared" ca="1" si="595"/>
        <v>47126</v>
      </c>
      <c r="AJ4486" s="210">
        <f t="shared" ca="1" si="591"/>
        <v>4.1749999999999998</v>
      </c>
      <c r="AK4486" s="8">
        <f t="shared" ca="1" si="593"/>
        <v>1.0001159722222221</v>
      </c>
      <c r="AL4486" s="98">
        <f t="shared" ca="1" si="592"/>
        <v>4.1809284756942011</v>
      </c>
      <c r="AM4486" s="106">
        <f t="shared" ca="1" si="589"/>
        <v>37810.426095354138</v>
      </c>
      <c r="AN4486" s="10">
        <f t="shared" ca="1" si="590"/>
        <v>1.1144078617810749</v>
      </c>
      <c r="AO4486" s="158"/>
      <c r="AP4486" s="158"/>
    </row>
    <row r="4487" spans="34:42">
      <c r="AH4487" s="6">
        <f t="shared" si="594"/>
        <v>4457</v>
      </c>
      <c r="AI4487" s="7">
        <f t="shared" ca="1" si="595"/>
        <v>47127</v>
      </c>
      <c r="AJ4487" s="210">
        <f t="shared" ca="1" si="591"/>
        <v>4.1749999999999998</v>
      </c>
      <c r="AK4487" s="8">
        <f t="shared" ca="1" si="593"/>
        <v>1.0001159722222221</v>
      </c>
      <c r="AL4487" s="98">
        <f t="shared" ca="1" si="592"/>
        <v>4.1809604641351195</v>
      </c>
      <c r="AM4487" s="106">
        <f t="shared" ca="1" si="589"/>
        <v>37813.54173001575</v>
      </c>
      <c r="AN4487" s="10">
        <f t="shared" ca="1" si="590"/>
        <v>1.1144343976517979</v>
      </c>
      <c r="AO4487" s="158"/>
      <c r="AP4487" s="158"/>
    </row>
    <row r="4488" spans="34:42">
      <c r="AH4488" s="6">
        <f t="shared" si="594"/>
        <v>4458</v>
      </c>
      <c r="AI4488" s="7">
        <f t="shared" ca="1" si="595"/>
        <v>47128</v>
      </c>
      <c r="AJ4488" s="210">
        <f t="shared" ca="1" si="591"/>
        <v>4.1749999999999998</v>
      </c>
      <c r="AK4488" s="8">
        <f t="shared" ca="1" si="593"/>
        <v>1.0001159722222221</v>
      </c>
      <c r="AL4488" s="98">
        <f t="shared" ca="1" si="592"/>
        <v>4.1809924382348207</v>
      </c>
      <c r="AM4488" s="106">
        <f t="shared" ca="1" si="589"/>
        <v>37816.657621410232</v>
      </c>
      <c r="AN4488" s="10">
        <f t="shared" ca="1" si="590"/>
        <v>1.114460921624616</v>
      </c>
      <c r="AO4488" s="158"/>
      <c r="AP4488" s="158"/>
    </row>
    <row r="4489" spans="34:42">
      <c r="AH4489" s="6">
        <f t="shared" si="594"/>
        <v>4459</v>
      </c>
      <c r="AI4489" s="7">
        <f t="shared" ca="1" si="595"/>
        <v>47129</v>
      </c>
      <c r="AJ4489" s="210">
        <f t="shared" ca="1" si="591"/>
        <v>4.1749999999999998</v>
      </c>
      <c r="AK4489" s="8">
        <f t="shared" ca="1" si="593"/>
        <v>1.0001159722222221</v>
      </c>
      <c r="AL4489" s="98">
        <f t="shared" ca="1" si="592"/>
        <v>4.1810243980029416</v>
      </c>
      <c r="AM4489" s="106">
        <f t="shared" ca="1" si="589"/>
        <v>37819.773769558735</v>
      </c>
      <c r="AN4489" s="10">
        <f t="shared" ca="1" si="590"/>
        <v>1.1144874337075894</v>
      </c>
      <c r="AO4489" s="158"/>
      <c r="AP4489" s="158"/>
    </row>
    <row r="4490" spans="34:42">
      <c r="AH4490" s="6">
        <f t="shared" si="594"/>
        <v>4460</v>
      </c>
      <c r="AI4490" s="7">
        <f t="shared" ca="1" si="595"/>
        <v>47130</v>
      </c>
      <c r="AJ4490" s="210">
        <f t="shared" ca="1" si="591"/>
        <v>4.1749999999999998</v>
      </c>
      <c r="AK4490" s="8">
        <f t="shared" ca="1" si="593"/>
        <v>1.0001159722222221</v>
      </c>
      <c r="AL4490" s="98">
        <f t="shared" ca="1" si="592"/>
        <v>4.181056343449141</v>
      </c>
      <c r="AM4490" s="106">
        <f t="shared" ca="1" si="589"/>
        <v>37822.89017448244</v>
      </c>
      <c r="AN4490" s="10">
        <f t="shared" ca="1" si="590"/>
        <v>1.1145139339086674</v>
      </c>
      <c r="AO4490" s="158"/>
      <c r="AP4490" s="158"/>
    </row>
    <row r="4491" spans="34:42">
      <c r="AH4491" s="6">
        <f t="shared" si="594"/>
        <v>4461</v>
      </c>
      <c r="AI4491" s="7">
        <f t="shared" ca="1" si="595"/>
        <v>47131</v>
      </c>
      <c r="AJ4491" s="210">
        <f t="shared" ca="1" si="591"/>
        <v>4.1749999999999998</v>
      </c>
      <c r="AK4491" s="8">
        <f t="shared" ca="1" si="593"/>
        <v>1.0001159722222221</v>
      </c>
      <c r="AL4491" s="98">
        <f t="shared" ca="1" si="592"/>
        <v>4.1810882745830114</v>
      </c>
      <c r="AM4491" s="106">
        <f t="shared" ca="1" si="589"/>
        <v>37826.006836202476</v>
      </c>
      <c r="AN4491" s="10">
        <f t="shared" ca="1" si="590"/>
        <v>1.1145404222358657</v>
      </c>
      <c r="AO4491" s="158"/>
      <c r="AP4491" s="158"/>
    </row>
    <row r="4492" spans="34:42">
      <c r="AH4492" s="6">
        <f t="shared" si="594"/>
        <v>4462</v>
      </c>
      <c r="AI4492" s="7">
        <f t="shared" ca="1" si="595"/>
        <v>47132</v>
      </c>
      <c r="AJ4492" s="210">
        <f t="shared" ca="1" si="591"/>
        <v>4.1749999999999998</v>
      </c>
      <c r="AK4492" s="8">
        <f t="shared" ca="1" si="593"/>
        <v>1.0001159722222221</v>
      </c>
      <c r="AL4492" s="98">
        <f t="shared" ca="1" si="592"/>
        <v>4.1811201914141893</v>
      </c>
      <c r="AM4492" s="106">
        <f t="shared" ca="1" si="589"/>
        <v>37829.123754740023</v>
      </c>
      <c r="AN4492" s="10">
        <f t="shared" ca="1" si="590"/>
        <v>1.1145668986971335</v>
      </c>
      <c r="AO4492" s="158"/>
      <c r="AP4492" s="158"/>
    </row>
    <row r="4493" spans="34:42">
      <c r="AH4493" s="6">
        <f t="shared" si="594"/>
        <v>4463</v>
      </c>
      <c r="AI4493" s="7">
        <f t="shared" ca="1" si="595"/>
        <v>47133</v>
      </c>
      <c r="AJ4493" s="210">
        <f t="shared" ca="1" si="591"/>
        <v>4.1749999999999998</v>
      </c>
      <c r="AK4493" s="8">
        <f t="shared" ca="1" si="593"/>
        <v>1.0001159722222221</v>
      </c>
      <c r="AL4493" s="98">
        <f t="shared" ca="1" si="592"/>
        <v>4.1811520939522895</v>
      </c>
      <c r="AM4493" s="106">
        <f t="shared" ca="1" si="589"/>
        <v>37832.240930116233</v>
      </c>
      <c r="AN4493" s="10">
        <f t="shared" ca="1" si="590"/>
        <v>1.1145933633004645</v>
      </c>
      <c r="AO4493" s="158"/>
      <c r="AP4493" s="158"/>
    </row>
    <row r="4494" spans="34:42">
      <c r="AH4494" s="6">
        <f t="shared" si="594"/>
        <v>4464</v>
      </c>
      <c r="AI4494" s="7">
        <f t="shared" ca="1" si="595"/>
        <v>47134</v>
      </c>
      <c r="AJ4494" s="210">
        <f t="shared" ca="1" si="591"/>
        <v>4.1749999999999998</v>
      </c>
      <c r="AK4494" s="8">
        <f t="shared" ca="1" si="593"/>
        <v>1.0001159722222221</v>
      </c>
      <c r="AL4494" s="98">
        <f t="shared" ca="1" si="592"/>
        <v>4.1811839822069041</v>
      </c>
      <c r="AM4494" s="106">
        <f t="shared" ca="1" si="589"/>
        <v>37835.358362352272</v>
      </c>
      <c r="AN4494" s="10">
        <f t="shared" ca="1" si="590"/>
        <v>1.1146198160538301</v>
      </c>
      <c r="AO4494" s="158"/>
      <c r="AP4494" s="158"/>
    </row>
    <row r="4495" spans="34:42">
      <c r="AH4495" s="6">
        <f t="shared" si="594"/>
        <v>4465</v>
      </c>
      <c r="AI4495" s="7">
        <f t="shared" ca="1" si="595"/>
        <v>47135</v>
      </c>
      <c r="AJ4495" s="210">
        <f t="shared" ca="1" si="591"/>
        <v>4.1749999999999998</v>
      </c>
      <c r="AK4495" s="8">
        <f t="shared" ca="1" si="593"/>
        <v>1.0001159722222221</v>
      </c>
      <c r="AL4495" s="98">
        <f t="shared" ca="1" si="592"/>
        <v>4.1812158561876034</v>
      </c>
      <c r="AM4495" s="106">
        <f t="shared" ca="1" si="589"/>
        <v>37838.476051469312</v>
      </c>
      <c r="AN4495" s="10">
        <f t="shared" ca="1" si="590"/>
        <v>1.114646256965135</v>
      </c>
      <c r="AO4495" s="158"/>
      <c r="AP4495" s="158"/>
    </row>
    <row r="4496" spans="34:42">
      <c r="AH4496" s="6">
        <f t="shared" si="594"/>
        <v>4466</v>
      </c>
      <c r="AI4496" s="7">
        <f t="shared" ca="1" si="595"/>
        <v>47136</v>
      </c>
      <c r="AJ4496" s="210">
        <f t="shared" ca="1" si="591"/>
        <v>4.1749999999999998</v>
      </c>
      <c r="AK4496" s="8">
        <f t="shared" ca="1" si="593"/>
        <v>1.0001159722222221</v>
      </c>
      <c r="AL4496" s="98">
        <f t="shared" ca="1" si="592"/>
        <v>4.1812477159040018</v>
      </c>
      <c r="AM4496" s="106">
        <f t="shared" ca="1" si="589"/>
        <v>37841.593997488511</v>
      </c>
      <c r="AN4496" s="10">
        <f t="shared" ca="1" si="590"/>
        <v>1.1146726860424172</v>
      </c>
      <c r="AO4496" s="158"/>
      <c r="AP4496" s="158"/>
    </row>
    <row r="4497" spans="34:42">
      <c r="AH4497" s="6">
        <f t="shared" si="594"/>
        <v>4467</v>
      </c>
      <c r="AI4497" s="7">
        <f t="shared" ca="1" si="595"/>
        <v>47137</v>
      </c>
      <c r="AJ4497" s="210">
        <f t="shared" ca="1" si="591"/>
        <v>4.1749999999999998</v>
      </c>
      <c r="AK4497" s="8">
        <f t="shared" ca="1" si="593"/>
        <v>1.0001159722222221</v>
      </c>
      <c r="AL4497" s="98">
        <f t="shared" ca="1" si="592"/>
        <v>4.1812795613656473</v>
      </c>
      <c r="AM4497" s="106">
        <f t="shared" ca="1" si="589"/>
        <v>37844.712200431051</v>
      </c>
      <c r="AN4497" s="10">
        <f t="shared" ca="1" si="590"/>
        <v>1.1146991032935372</v>
      </c>
      <c r="AO4497" s="158"/>
      <c r="AP4497" s="158"/>
    </row>
    <row r="4498" spans="34:42">
      <c r="AH4498" s="6">
        <f t="shared" si="594"/>
        <v>4468</v>
      </c>
      <c r="AI4498" s="7">
        <f t="shared" ca="1" si="595"/>
        <v>47138</v>
      </c>
      <c r="AJ4498" s="210">
        <f t="shared" ca="1" si="591"/>
        <v>4.1749999999999998</v>
      </c>
      <c r="AK4498" s="8">
        <f t="shared" ca="1" si="593"/>
        <v>1.0001159722222221</v>
      </c>
      <c r="AL4498" s="98">
        <f t="shared" ca="1" si="592"/>
        <v>4.1813113925821099</v>
      </c>
      <c r="AM4498" s="106">
        <f t="shared" ca="1" si="589"/>
        <v>37847.830660318083</v>
      </c>
      <c r="AN4498" s="10">
        <f t="shared" ca="1" si="590"/>
        <v>1.1147255087264663</v>
      </c>
      <c r="AO4498" s="158"/>
      <c r="AP4498" s="158"/>
    </row>
    <row r="4499" spans="34:42">
      <c r="AH4499" s="6">
        <f t="shared" si="594"/>
        <v>4469</v>
      </c>
      <c r="AI4499" s="7">
        <f t="shared" ca="1" si="595"/>
        <v>47139</v>
      </c>
      <c r="AJ4499" s="210">
        <f t="shared" ca="1" si="591"/>
        <v>4.1749999999999998</v>
      </c>
      <c r="AK4499" s="8">
        <f t="shared" ca="1" si="593"/>
        <v>1.0001159722222221</v>
      </c>
      <c r="AL4499" s="98">
        <f t="shared" ca="1" si="592"/>
        <v>4.1813432095629599</v>
      </c>
      <c r="AM4499" s="106">
        <f t="shared" ca="1" si="589"/>
        <v>37850.9493771708</v>
      </c>
      <c r="AN4499" s="10">
        <f t="shared" ca="1" si="590"/>
        <v>1.1147519023491537</v>
      </c>
      <c r="AO4499" s="158"/>
      <c r="AP4499" s="158"/>
    </row>
    <row r="4500" spans="34:42">
      <c r="AH4500" s="6">
        <f t="shared" si="594"/>
        <v>4470</v>
      </c>
      <c r="AI4500" s="7">
        <f t="shared" ca="1" si="595"/>
        <v>47140</v>
      </c>
      <c r="AJ4500" s="210">
        <f t="shared" ca="1" si="591"/>
        <v>4.1749999999999998</v>
      </c>
      <c r="AK4500" s="8">
        <f t="shared" ca="1" si="593"/>
        <v>1.0001159722222221</v>
      </c>
      <c r="AL4500" s="98">
        <f t="shared" ca="1" si="592"/>
        <v>4.1813750123177229</v>
      </c>
      <c r="AM4500" s="106">
        <f t="shared" ca="1" si="589"/>
        <v>37854.068351010363</v>
      </c>
      <c r="AN4500" s="10">
        <f t="shared" ca="1" si="590"/>
        <v>1.114778284169482</v>
      </c>
      <c r="AO4500" s="158"/>
      <c r="AP4500" s="158"/>
    </row>
    <row r="4501" spans="34:42">
      <c r="AH4501" s="6">
        <f t="shared" si="594"/>
        <v>4471</v>
      </c>
      <c r="AI4501" s="7">
        <f t="shared" ca="1" si="595"/>
        <v>47141</v>
      </c>
      <c r="AJ4501" s="210">
        <f t="shared" ca="1" si="591"/>
        <v>4.1749999999999998</v>
      </c>
      <c r="AK4501" s="8">
        <f t="shared" ca="1" si="593"/>
        <v>1.0001159722222221</v>
      </c>
      <c r="AL4501" s="98">
        <f t="shared" ca="1" si="592"/>
        <v>4.1814068008559468</v>
      </c>
      <c r="AM4501" s="106">
        <f t="shared" ca="1" si="589"/>
        <v>37857.187581857957</v>
      </c>
      <c r="AN4501" s="10">
        <f t="shared" ca="1" si="590"/>
        <v>1.114804654195356</v>
      </c>
      <c r="AO4501" s="158"/>
      <c r="AP4501" s="158"/>
    </row>
    <row r="4502" spans="34:42">
      <c r="AH4502" s="6">
        <f t="shared" si="594"/>
        <v>4472</v>
      </c>
      <c r="AI4502" s="7">
        <f t="shared" ca="1" si="595"/>
        <v>47142</v>
      </c>
      <c r="AJ4502" s="210">
        <f t="shared" ca="1" si="591"/>
        <v>4.1749999999999998</v>
      </c>
      <c r="AK4502" s="8">
        <f t="shared" ca="1" si="593"/>
        <v>1.0001159722222221</v>
      </c>
      <c r="AL4502" s="98">
        <f t="shared" ca="1" si="592"/>
        <v>4.1814385751871797</v>
      </c>
      <c r="AM4502" s="106">
        <f t="shared" ca="1" si="589"/>
        <v>37860.307069734758</v>
      </c>
      <c r="AN4502" s="10">
        <f t="shared" ca="1" si="590"/>
        <v>1.1148310124347471</v>
      </c>
      <c r="AO4502" s="158"/>
      <c r="AP4502" s="158"/>
    </row>
    <row r="4503" spans="34:42">
      <c r="AH4503" s="6">
        <f t="shared" si="594"/>
        <v>4473</v>
      </c>
      <c r="AI4503" s="7">
        <f t="shared" ca="1" si="595"/>
        <v>47143</v>
      </c>
      <c r="AJ4503" s="210">
        <f t="shared" ca="1" si="591"/>
        <v>4.1749999999999998</v>
      </c>
      <c r="AK4503" s="8">
        <f t="shared" ca="1" si="593"/>
        <v>1.0001159722222221</v>
      </c>
      <c r="AL4503" s="98">
        <f t="shared" ca="1" si="592"/>
        <v>4.1814703353209248</v>
      </c>
      <c r="AM4503" s="106">
        <f t="shared" ca="1" si="589"/>
        <v>37863.426814661936</v>
      </c>
      <c r="AN4503" s="10">
        <f t="shared" ca="1" si="590"/>
        <v>1.1148573588955157</v>
      </c>
      <c r="AO4503" s="158"/>
      <c r="AP4503" s="158"/>
    </row>
    <row r="4504" spans="34:42">
      <c r="AH4504" s="6">
        <f t="shared" si="594"/>
        <v>4474</v>
      </c>
      <c r="AI4504" s="7">
        <f t="shared" ca="1" si="595"/>
        <v>47144</v>
      </c>
      <c r="AJ4504" s="210">
        <f t="shared" ca="1" si="591"/>
        <v>4.1749999999999998</v>
      </c>
      <c r="AK4504" s="8">
        <f t="shared" ca="1" si="593"/>
        <v>1.0001159722222221</v>
      </c>
      <c r="AL4504" s="98">
        <f t="shared" ca="1" si="592"/>
        <v>4.1815020812667081</v>
      </c>
      <c r="AM4504" s="106">
        <f t="shared" ca="1" si="589"/>
        <v>37866.546816660681</v>
      </c>
      <c r="AN4504" s="10">
        <f t="shared" ca="1" si="590"/>
        <v>1.1148836935855666</v>
      </c>
      <c r="AO4504" s="158"/>
      <c r="AP4504" s="158"/>
    </row>
    <row r="4505" spans="34:42">
      <c r="AH4505" s="6">
        <f t="shared" si="594"/>
        <v>4475</v>
      </c>
      <c r="AI4505" s="7">
        <f t="shared" ca="1" si="595"/>
        <v>47145</v>
      </c>
      <c r="AJ4505" s="210">
        <f t="shared" ca="1" si="591"/>
        <v>4.1749999999999998</v>
      </c>
      <c r="AK4505" s="8">
        <f t="shared" ca="1" si="593"/>
        <v>1.0001159722222221</v>
      </c>
      <c r="AL4505" s="98">
        <f t="shared" ca="1" si="592"/>
        <v>4.1815338130340107</v>
      </c>
      <c r="AM4505" s="106">
        <f t="shared" ca="1" si="589"/>
        <v>37869.667075752186</v>
      </c>
      <c r="AN4505" s="10">
        <f t="shared" ca="1" si="590"/>
        <v>1.1149100165127379</v>
      </c>
      <c r="AO4505" s="158"/>
      <c r="AP4505" s="158"/>
    </row>
    <row r="4506" spans="34:42">
      <c r="AH4506" s="6">
        <f t="shared" si="594"/>
        <v>4476</v>
      </c>
      <c r="AI4506" s="7">
        <f t="shared" ca="1" si="595"/>
        <v>47146</v>
      </c>
      <c r="AJ4506" s="210">
        <f t="shared" ca="1" si="591"/>
        <v>4.1749999999999998</v>
      </c>
      <c r="AK4506" s="8">
        <f t="shared" ca="1" si="593"/>
        <v>1.0001159722222221</v>
      </c>
      <c r="AL4506" s="98">
        <f t="shared" ca="1" si="592"/>
        <v>4.1815655306323585</v>
      </c>
      <c r="AM4506" s="106">
        <f t="shared" ca="1" si="589"/>
        <v>37872.787591957611</v>
      </c>
      <c r="AN4506" s="10">
        <f t="shared" ca="1" si="590"/>
        <v>1.1149363276850011</v>
      </c>
      <c r="AO4506" s="158"/>
      <c r="AP4506" s="158"/>
    </row>
    <row r="4507" spans="34:42">
      <c r="AH4507" s="6">
        <f t="shared" si="594"/>
        <v>4477</v>
      </c>
      <c r="AI4507" s="7">
        <f t="shared" ca="1" si="595"/>
        <v>47147</v>
      </c>
      <c r="AJ4507" s="210">
        <f t="shared" ca="1" si="591"/>
        <v>4.1749999999999998</v>
      </c>
      <c r="AK4507" s="8">
        <f t="shared" ca="1" si="593"/>
        <v>1.0001159722222221</v>
      </c>
      <c r="AL4507" s="98">
        <f t="shared" ca="1" si="592"/>
        <v>4.1815972340712104</v>
      </c>
      <c r="AM4507" s="106">
        <f t="shared" ca="1" si="589"/>
        <v>37875.908365298157</v>
      </c>
      <c r="AN4507" s="10">
        <f t="shared" ca="1" si="590"/>
        <v>1.1149626271101276</v>
      </c>
      <c r="AO4507" s="158"/>
      <c r="AP4507" s="158"/>
    </row>
    <row r="4508" spans="34:42">
      <c r="AH4508" s="6">
        <f t="shared" si="594"/>
        <v>4478</v>
      </c>
      <c r="AI4508" s="7">
        <f t="shared" ca="1" si="595"/>
        <v>47148</v>
      </c>
      <c r="AJ4508" s="210">
        <f t="shared" ca="1" si="591"/>
        <v>4.1749999999999998</v>
      </c>
      <c r="AK4508" s="8">
        <f t="shared" ca="1" si="593"/>
        <v>1.0001159722222221</v>
      </c>
      <c r="AL4508" s="98">
        <f t="shared" ca="1" si="592"/>
        <v>4.1816289233600701</v>
      </c>
      <c r="AM4508" s="106">
        <f t="shared" ca="1" si="589"/>
        <v>37879.029395795013</v>
      </c>
      <c r="AN4508" s="10">
        <f t="shared" ca="1" si="590"/>
        <v>1.1149889147960668</v>
      </c>
      <c r="AO4508" s="158"/>
      <c r="AP4508" s="158"/>
    </row>
    <row r="4509" spans="34:42">
      <c r="AH4509" s="6">
        <f t="shared" si="594"/>
        <v>4479</v>
      </c>
      <c r="AI4509" s="7">
        <f t="shared" ca="1" si="595"/>
        <v>47149</v>
      </c>
      <c r="AJ4509" s="210">
        <f t="shared" ca="1" si="591"/>
        <v>4.1749999999999998</v>
      </c>
      <c r="AK4509" s="8">
        <f t="shared" ca="1" si="593"/>
        <v>1.0001159722222221</v>
      </c>
      <c r="AL4509" s="98">
        <f t="shared" ca="1" si="592"/>
        <v>4.1816605985083966</v>
      </c>
      <c r="AM4509" s="106">
        <f t="shared" ca="1" si="589"/>
        <v>37882.150683469372</v>
      </c>
      <c r="AN4509" s="10">
        <f t="shared" ca="1" si="590"/>
        <v>1.1150151907506123</v>
      </c>
      <c r="AO4509" s="158"/>
      <c r="AP4509" s="158"/>
    </row>
    <row r="4510" spans="34:42">
      <c r="AH4510" s="6">
        <f t="shared" si="594"/>
        <v>4480</v>
      </c>
      <c r="AI4510" s="7">
        <f t="shared" ca="1" si="595"/>
        <v>47150</v>
      </c>
      <c r="AJ4510" s="210">
        <f t="shared" ca="1" si="591"/>
        <v>4.1749999999999998</v>
      </c>
      <c r="AK4510" s="8">
        <f t="shared" ca="1" si="593"/>
        <v>1.0001159722222221</v>
      </c>
      <c r="AL4510" s="98">
        <f t="shared" ca="1" si="592"/>
        <v>4.1816922595256489</v>
      </c>
      <c r="AM4510" s="106">
        <f t="shared" ca="1" si="589"/>
        <v>37885.272228342415</v>
      </c>
      <c r="AN4510" s="10">
        <f t="shared" ca="1" si="590"/>
        <v>1.1150414549816468</v>
      </c>
      <c r="AO4510" s="158"/>
      <c r="AP4510" s="158"/>
    </row>
    <row r="4511" spans="34:42">
      <c r="AH4511" s="6">
        <f t="shared" si="594"/>
        <v>4481</v>
      </c>
      <c r="AI4511" s="7">
        <f t="shared" ca="1" si="595"/>
        <v>47151</v>
      </c>
      <c r="AJ4511" s="210">
        <f t="shared" ca="1" si="591"/>
        <v>4.1749999999999998</v>
      </c>
      <c r="AK4511" s="8">
        <f t="shared" ca="1" si="593"/>
        <v>1.0001159722222221</v>
      </c>
      <c r="AL4511" s="98">
        <f t="shared" ca="1" si="592"/>
        <v>4.1817239064212863</v>
      </c>
      <c r="AM4511" s="106">
        <f t="shared" ref="AM4511:AM4574" ca="1" si="596">Geom_Interp(AI4511,$AZ$2:$AZ$109,$BA$2:$BA$109)</f>
        <v>37888.394030435345</v>
      </c>
      <c r="AN4511" s="10">
        <f t="shared" ref="AN4511:AN4574" ca="1" si="597">100*(((1+AL4511/100)^(AH4511/365)*$AM$29/AM4511)^(365/AH4511)-1)</f>
        <v>1.1150677074970305</v>
      </c>
      <c r="AO4511" s="158"/>
      <c r="AP4511" s="158"/>
    </row>
    <row r="4512" spans="34:42">
      <c r="AH4512" s="6">
        <f t="shared" si="594"/>
        <v>4482</v>
      </c>
      <c r="AI4512" s="7">
        <f t="shared" ca="1" si="595"/>
        <v>47152</v>
      </c>
      <c r="AJ4512" s="210">
        <f t="shared" ref="AJ4512:AJ4575" ca="1" si="598">IF(AH4512&lt;365,VLOOKUP(LOOKUP(AI4512,$AI$2:$AI$23),$AI$2:$AK$23,3,0),Lin_Interp(AH4512,$AJ$2:$AJ$23,$AK$2:$AK$23))</f>
        <v>4.1749999999999998</v>
      </c>
      <c r="AK4512" s="8">
        <f t="shared" ca="1" si="593"/>
        <v>1.0001159722222221</v>
      </c>
      <c r="AL4512" s="98">
        <f t="shared" ca="1" si="592"/>
        <v>4.1817555392047678</v>
      </c>
      <c r="AM4512" s="106">
        <f t="shared" ca="1" si="596"/>
        <v>37891.516089769357</v>
      </c>
      <c r="AN4512" s="10">
        <f t="shared" ca="1" si="597"/>
        <v>1.1150939483045796</v>
      </c>
      <c r="AO4512" s="158"/>
      <c r="AP4512" s="158"/>
    </row>
    <row r="4513" spans="34:42">
      <c r="AH4513" s="6">
        <f t="shared" si="594"/>
        <v>4483</v>
      </c>
      <c r="AI4513" s="7">
        <f t="shared" ca="1" si="595"/>
        <v>47153</v>
      </c>
      <c r="AJ4513" s="210">
        <f t="shared" ca="1" si="598"/>
        <v>4.1749999999999998</v>
      </c>
      <c r="AK4513" s="8">
        <f t="shared" ca="1" si="593"/>
        <v>1.0001159722222221</v>
      </c>
      <c r="AL4513" s="98">
        <f t="shared" ref="AL4513:AL4576" ca="1" si="599">100*(((1+AL4512/100)^(AH4512/365)*AK4513)^(365/AH4513)-1)</f>
        <v>4.1817871578855081</v>
      </c>
      <c r="AM4513" s="106">
        <f t="shared" ca="1" si="596"/>
        <v>37894.638406365644</v>
      </c>
      <c r="AN4513" s="10">
        <f t="shared" ca="1" si="597"/>
        <v>1.11512017741211</v>
      </c>
      <c r="AO4513" s="158"/>
      <c r="AP4513" s="158"/>
    </row>
    <row r="4514" spans="34:42">
      <c r="AH4514" s="6">
        <f t="shared" si="594"/>
        <v>4484</v>
      </c>
      <c r="AI4514" s="7">
        <f t="shared" ca="1" si="595"/>
        <v>47154</v>
      </c>
      <c r="AJ4514" s="210">
        <f t="shared" ca="1" si="598"/>
        <v>4.1749999999999998</v>
      </c>
      <c r="AK4514" s="8">
        <f t="shared" ca="1" si="593"/>
        <v>1.0001159722222221</v>
      </c>
      <c r="AL4514" s="98">
        <f t="shared" ca="1" si="599"/>
        <v>4.1818187624729664</v>
      </c>
      <c r="AM4514" s="106">
        <f t="shared" ca="1" si="596"/>
        <v>37897.760980245403</v>
      </c>
      <c r="AN4514" s="10">
        <f t="shared" ca="1" si="597"/>
        <v>1.115146394827482</v>
      </c>
      <c r="AO4514" s="158"/>
      <c r="AP4514" s="158"/>
    </row>
    <row r="4515" spans="34:42">
      <c r="AH4515" s="6">
        <f t="shared" si="594"/>
        <v>4485</v>
      </c>
      <c r="AI4515" s="7">
        <f t="shared" ca="1" si="595"/>
        <v>47155</v>
      </c>
      <c r="AJ4515" s="210">
        <f t="shared" ca="1" si="598"/>
        <v>4.1749999999999998</v>
      </c>
      <c r="AK4515" s="8">
        <f t="shared" ca="1" si="593"/>
        <v>1.0001159722222221</v>
      </c>
      <c r="AL4515" s="98">
        <f t="shared" ca="1" si="599"/>
        <v>4.181850352976535</v>
      </c>
      <c r="AM4515" s="106">
        <f t="shared" ca="1" si="596"/>
        <v>37900.883811429827</v>
      </c>
      <c r="AN4515" s="10">
        <f t="shared" ca="1" si="597"/>
        <v>1.1151726005584894</v>
      </c>
      <c r="AO4515" s="158"/>
      <c r="AP4515" s="158"/>
    </row>
    <row r="4516" spans="34:42">
      <c r="AH4516" s="6">
        <f t="shared" si="594"/>
        <v>4486</v>
      </c>
      <c r="AI4516" s="7">
        <f t="shared" ca="1" si="595"/>
        <v>47156</v>
      </c>
      <c r="AJ4516" s="210">
        <f t="shared" ca="1" si="598"/>
        <v>4.1749999999999998</v>
      </c>
      <c r="AK4516" s="8">
        <f t="shared" ref="AK4516:AK4579" ca="1" si="600">+(1+AJ4516/36000)</f>
        <v>1.0001159722222221</v>
      </c>
      <c r="AL4516" s="98">
        <f t="shared" ca="1" si="599"/>
        <v>4.1818819294056286</v>
      </c>
      <c r="AM4516" s="106">
        <f t="shared" ca="1" si="596"/>
        <v>37904.006899940141</v>
      </c>
      <c r="AN4516" s="10">
        <f t="shared" ca="1" si="597"/>
        <v>1.115198794612926</v>
      </c>
      <c r="AO4516" s="158"/>
      <c r="AP4516" s="158"/>
    </row>
    <row r="4517" spans="34:42">
      <c r="AH4517" s="6">
        <f t="shared" si="594"/>
        <v>4487</v>
      </c>
      <c r="AI4517" s="7">
        <f t="shared" ca="1" si="595"/>
        <v>47157</v>
      </c>
      <c r="AJ4517" s="210">
        <f t="shared" ca="1" si="598"/>
        <v>4.1749999999999998</v>
      </c>
      <c r="AK4517" s="8">
        <f t="shared" ca="1" si="600"/>
        <v>1.0001159722222221</v>
      </c>
      <c r="AL4517" s="98">
        <f t="shared" ca="1" si="599"/>
        <v>4.1819134917696621</v>
      </c>
      <c r="AM4517" s="106">
        <f t="shared" ca="1" si="596"/>
        <v>37907.13024579754</v>
      </c>
      <c r="AN4517" s="10">
        <f t="shared" ca="1" si="597"/>
        <v>1.11522497699863</v>
      </c>
      <c r="AO4517" s="158"/>
      <c r="AP4517" s="158"/>
    </row>
    <row r="4518" spans="34:42">
      <c r="AH4518" s="6">
        <f t="shared" si="594"/>
        <v>4488</v>
      </c>
      <c r="AI4518" s="7">
        <f t="shared" ca="1" si="595"/>
        <v>47158</v>
      </c>
      <c r="AJ4518" s="210">
        <f t="shared" ca="1" si="598"/>
        <v>4.1749999999999998</v>
      </c>
      <c r="AK4518" s="8">
        <f t="shared" ca="1" si="600"/>
        <v>1.0001159722222221</v>
      </c>
      <c r="AL4518" s="98">
        <f t="shared" ca="1" si="599"/>
        <v>4.1819450400780278</v>
      </c>
      <c r="AM4518" s="106">
        <f t="shared" ca="1" si="596"/>
        <v>37910.253849023218</v>
      </c>
      <c r="AN4518" s="10">
        <f t="shared" ca="1" si="597"/>
        <v>1.1152511477233729</v>
      </c>
      <c r="AO4518" s="158"/>
      <c r="AP4518" s="158"/>
    </row>
    <row r="4519" spans="34:42">
      <c r="AH4519" s="6">
        <f t="shared" si="594"/>
        <v>4489</v>
      </c>
      <c r="AI4519" s="7">
        <f t="shared" ca="1" si="595"/>
        <v>47159</v>
      </c>
      <c r="AJ4519" s="210">
        <f t="shared" ca="1" si="598"/>
        <v>4.1749999999999998</v>
      </c>
      <c r="AK4519" s="8">
        <f t="shared" ca="1" si="600"/>
        <v>1.0001159722222221</v>
      </c>
      <c r="AL4519" s="98">
        <f t="shared" ca="1" si="599"/>
        <v>4.1819765743401183</v>
      </c>
      <c r="AM4519" s="106">
        <f t="shared" ca="1" si="596"/>
        <v>37913.3777096384</v>
      </c>
      <c r="AN4519" s="10">
        <f t="shared" ca="1" si="597"/>
        <v>1.1152773067949484</v>
      </c>
      <c r="AO4519" s="158"/>
      <c r="AP4519" s="158"/>
    </row>
    <row r="4520" spans="34:42">
      <c r="AH4520" s="6">
        <f t="shared" si="594"/>
        <v>4490</v>
      </c>
      <c r="AI4520" s="7">
        <f t="shared" ca="1" si="595"/>
        <v>47160</v>
      </c>
      <c r="AJ4520" s="210">
        <f t="shared" ca="1" si="598"/>
        <v>4.1749999999999998</v>
      </c>
      <c r="AK4520" s="8">
        <f t="shared" ca="1" si="600"/>
        <v>1.0001159722222221</v>
      </c>
      <c r="AL4520" s="98">
        <f t="shared" ca="1" si="599"/>
        <v>4.1820080945653038</v>
      </c>
      <c r="AM4520" s="106">
        <f t="shared" ca="1" si="596"/>
        <v>37916.50182766428</v>
      </c>
      <c r="AN4520" s="10">
        <f t="shared" ca="1" si="597"/>
        <v>1.1153034542211504</v>
      </c>
      <c r="AO4520" s="158"/>
      <c r="AP4520" s="158"/>
    </row>
    <row r="4521" spans="34:42">
      <c r="AH4521" s="6">
        <f t="shared" si="594"/>
        <v>4491</v>
      </c>
      <c r="AI4521" s="7">
        <f t="shared" ca="1" si="595"/>
        <v>47161</v>
      </c>
      <c r="AJ4521" s="210">
        <f t="shared" ca="1" si="598"/>
        <v>4.1749999999999998</v>
      </c>
      <c r="AK4521" s="8">
        <f t="shared" ca="1" si="600"/>
        <v>1.0001159722222221</v>
      </c>
      <c r="AL4521" s="98">
        <f t="shared" ca="1" si="599"/>
        <v>4.1820396007629546</v>
      </c>
      <c r="AM4521" s="106">
        <f t="shared" ca="1" si="596"/>
        <v>37919.626203122076</v>
      </c>
      <c r="AN4521" s="10">
        <f t="shared" ca="1" si="597"/>
        <v>1.1153295900097504</v>
      </c>
      <c r="AO4521" s="158"/>
      <c r="AP4521" s="158"/>
    </row>
    <row r="4522" spans="34:42">
      <c r="AH4522" s="6">
        <f t="shared" si="594"/>
        <v>4492</v>
      </c>
      <c r="AI4522" s="7">
        <f t="shared" ca="1" si="595"/>
        <v>47162</v>
      </c>
      <c r="AJ4522" s="210">
        <f t="shared" ca="1" si="598"/>
        <v>4.1749999999999998</v>
      </c>
      <c r="AK4522" s="8">
        <f t="shared" ca="1" si="600"/>
        <v>1.0001159722222221</v>
      </c>
      <c r="AL4522" s="98">
        <f t="shared" ca="1" si="599"/>
        <v>4.1820710929424409</v>
      </c>
      <c r="AM4522" s="106">
        <f t="shared" ca="1" si="596"/>
        <v>37922.750836033003</v>
      </c>
      <c r="AN4522" s="10">
        <f t="shared" ca="1" si="597"/>
        <v>1.1153557141684978</v>
      </c>
      <c r="AO4522" s="158"/>
      <c r="AP4522" s="158"/>
    </row>
    <row r="4523" spans="34:42">
      <c r="AH4523" s="6">
        <f t="shared" si="594"/>
        <v>4493</v>
      </c>
      <c r="AI4523" s="7">
        <f t="shared" ca="1" si="595"/>
        <v>47163</v>
      </c>
      <c r="AJ4523" s="210">
        <f t="shared" ca="1" si="598"/>
        <v>4.1749999999999998</v>
      </c>
      <c r="AK4523" s="8">
        <f t="shared" ca="1" si="600"/>
        <v>1.0001159722222221</v>
      </c>
      <c r="AL4523" s="98">
        <f t="shared" ca="1" si="599"/>
        <v>4.182102571113111</v>
      </c>
      <c r="AM4523" s="106">
        <f t="shared" ca="1" si="596"/>
        <v>37925.875726418264</v>
      </c>
      <c r="AN4523" s="10">
        <f t="shared" ca="1" si="597"/>
        <v>1.1153818267051641</v>
      </c>
      <c r="AO4523" s="158"/>
      <c r="AP4523" s="158"/>
    </row>
    <row r="4524" spans="34:42">
      <c r="AH4524" s="6">
        <f t="shared" si="594"/>
        <v>4494</v>
      </c>
      <c r="AI4524" s="7">
        <f t="shared" ca="1" si="595"/>
        <v>47164</v>
      </c>
      <c r="AJ4524" s="210">
        <f t="shared" ca="1" si="598"/>
        <v>4.1749999999999998</v>
      </c>
      <c r="AK4524" s="8">
        <f t="shared" ca="1" si="600"/>
        <v>1.0001159722222221</v>
      </c>
      <c r="AL4524" s="98">
        <f t="shared" ca="1" si="599"/>
        <v>4.1821340352842906</v>
      </c>
      <c r="AM4524" s="106">
        <f t="shared" ca="1" si="596"/>
        <v>37929.00087429909</v>
      </c>
      <c r="AN4524" s="10">
        <f t="shared" ca="1" si="597"/>
        <v>1.1154079276274764</v>
      </c>
      <c r="AO4524" s="158"/>
      <c r="AP4524" s="158"/>
    </row>
    <row r="4525" spans="34:42">
      <c r="AH4525" s="6">
        <f t="shared" si="594"/>
        <v>4495</v>
      </c>
      <c r="AI4525" s="7">
        <f t="shared" ca="1" si="595"/>
        <v>47165</v>
      </c>
      <c r="AJ4525" s="210">
        <f t="shared" ca="1" si="598"/>
        <v>4.1749999999999998</v>
      </c>
      <c r="AK4525" s="8">
        <f t="shared" ca="1" si="600"/>
        <v>1.0001159722222221</v>
      </c>
      <c r="AL4525" s="98">
        <f t="shared" ca="1" si="599"/>
        <v>4.1821654854653501</v>
      </c>
      <c r="AM4525" s="106">
        <f t="shared" ca="1" si="596"/>
        <v>37932.126279696698</v>
      </c>
      <c r="AN4525" s="10">
        <f t="shared" ca="1" si="597"/>
        <v>1.1154340169432508</v>
      </c>
      <c r="AO4525" s="158"/>
      <c r="AP4525" s="158"/>
    </row>
    <row r="4526" spans="34:42">
      <c r="AH4526" s="6">
        <f t="shared" si="594"/>
        <v>4496</v>
      </c>
      <c r="AI4526" s="7">
        <f t="shared" ca="1" si="595"/>
        <v>47166</v>
      </c>
      <c r="AJ4526" s="210">
        <f t="shared" ca="1" si="598"/>
        <v>4.1749999999999998</v>
      </c>
      <c r="AK4526" s="8">
        <f t="shared" ca="1" si="600"/>
        <v>1.0001159722222221</v>
      </c>
      <c r="AL4526" s="98">
        <f t="shared" ca="1" si="599"/>
        <v>4.182196921665593</v>
      </c>
      <c r="AM4526" s="106">
        <f t="shared" ca="1" si="596"/>
        <v>37935.251942632298</v>
      </c>
      <c r="AN4526" s="10">
        <f t="shared" ca="1" si="597"/>
        <v>1.1154600946601478</v>
      </c>
      <c r="AO4526" s="158"/>
      <c r="AP4526" s="158"/>
    </row>
    <row r="4527" spans="34:42">
      <c r="AH4527" s="6">
        <f t="shared" si="594"/>
        <v>4497</v>
      </c>
      <c r="AI4527" s="7">
        <f t="shared" ca="1" si="595"/>
        <v>47167</v>
      </c>
      <c r="AJ4527" s="210">
        <f t="shared" ca="1" si="598"/>
        <v>4.1749999999999998</v>
      </c>
      <c r="AK4527" s="8">
        <f t="shared" ca="1" si="600"/>
        <v>1.0001159722222221</v>
      </c>
      <c r="AL4527" s="98">
        <f t="shared" ca="1" si="599"/>
        <v>4.1822283438943453</v>
      </c>
      <c r="AM4527" s="106">
        <f t="shared" ca="1" si="596"/>
        <v>37938.37786312712</v>
      </c>
      <c r="AN4527" s="10">
        <f t="shared" ca="1" si="597"/>
        <v>1.115486160785939</v>
      </c>
      <c r="AO4527" s="158"/>
      <c r="AP4527" s="158"/>
    </row>
    <row r="4528" spans="34:42">
      <c r="AH4528" s="6">
        <f t="shared" si="594"/>
        <v>4498</v>
      </c>
      <c r="AI4528" s="7">
        <f t="shared" ca="1" si="595"/>
        <v>47168</v>
      </c>
      <c r="AJ4528" s="210">
        <f t="shared" ca="1" si="598"/>
        <v>4.1749999999999998</v>
      </c>
      <c r="AK4528" s="8">
        <f t="shared" ca="1" si="600"/>
        <v>1.0001159722222221</v>
      </c>
      <c r="AL4528" s="98">
        <f t="shared" ca="1" si="599"/>
        <v>4.1822597521609328</v>
      </c>
      <c r="AM4528" s="106">
        <f t="shared" ca="1" si="596"/>
        <v>37941.504041202374</v>
      </c>
      <c r="AN4528" s="10">
        <f t="shared" ca="1" si="597"/>
        <v>1.1155122153283736</v>
      </c>
      <c r="AO4528" s="158"/>
      <c r="AP4528" s="158"/>
    </row>
    <row r="4529" spans="34:42">
      <c r="AH4529" s="6">
        <f t="shared" si="594"/>
        <v>4499</v>
      </c>
      <c r="AI4529" s="7">
        <f t="shared" ca="1" si="595"/>
        <v>47169</v>
      </c>
      <c r="AJ4529" s="210">
        <f t="shared" ca="1" si="598"/>
        <v>4.1749999999999998</v>
      </c>
      <c r="AK4529" s="8">
        <f t="shared" ca="1" si="600"/>
        <v>1.0001159722222221</v>
      </c>
      <c r="AL4529" s="98">
        <f t="shared" ca="1" si="599"/>
        <v>4.1822911464746593</v>
      </c>
      <c r="AM4529" s="106">
        <f t="shared" ca="1" si="596"/>
        <v>37944.630476879291</v>
      </c>
      <c r="AN4529" s="10">
        <f t="shared" ca="1" si="597"/>
        <v>1.1155382582951345</v>
      </c>
      <c r="AO4529" s="158"/>
      <c r="AP4529" s="158"/>
    </row>
    <row r="4530" spans="34:42">
      <c r="AH4530" s="6">
        <f t="shared" si="594"/>
        <v>4500</v>
      </c>
      <c r="AI4530" s="7">
        <f t="shared" ca="1" si="595"/>
        <v>47170</v>
      </c>
      <c r="AJ4530" s="210">
        <f t="shared" ca="1" si="598"/>
        <v>4.1749999999999998</v>
      </c>
      <c r="AK4530" s="8">
        <f t="shared" ca="1" si="600"/>
        <v>1.0001159722222221</v>
      </c>
      <c r="AL4530" s="98">
        <f t="shared" ca="1" si="599"/>
        <v>4.1823225268448061</v>
      </c>
      <c r="AM4530" s="106">
        <f t="shared" ca="1" si="596"/>
        <v>37947.757170179117</v>
      </c>
      <c r="AN4530" s="10">
        <f t="shared" ca="1" si="597"/>
        <v>1.1155642896939488</v>
      </c>
      <c r="AO4530" s="158"/>
      <c r="AP4530" s="158"/>
    </row>
    <row r="4531" spans="34:42">
      <c r="AH4531" s="6">
        <f t="shared" si="594"/>
        <v>4501</v>
      </c>
      <c r="AI4531" s="7">
        <f t="shared" ca="1" si="595"/>
        <v>47171</v>
      </c>
      <c r="AJ4531" s="210">
        <f t="shared" ca="1" si="598"/>
        <v>4.1749999999999998</v>
      </c>
      <c r="AK4531" s="8">
        <f t="shared" ca="1" si="600"/>
        <v>1.0001159722222221</v>
      </c>
      <c r="AL4531" s="98">
        <f t="shared" ca="1" si="599"/>
        <v>4.1823538932806548</v>
      </c>
      <c r="AM4531" s="106">
        <f t="shared" ca="1" si="596"/>
        <v>37950.884121123054</v>
      </c>
      <c r="AN4531" s="10">
        <f t="shared" ca="1" si="597"/>
        <v>1.1155903095325215</v>
      </c>
      <c r="AO4531" s="158"/>
      <c r="AP4531" s="158"/>
    </row>
    <row r="4532" spans="34:42">
      <c r="AH4532" s="6">
        <f t="shared" si="594"/>
        <v>4502</v>
      </c>
      <c r="AI4532" s="7">
        <f t="shared" ca="1" si="595"/>
        <v>47172</v>
      </c>
      <c r="AJ4532" s="210">
        <f t="shared" ca="1" si="598"/>
        <v>4.1749999999999998</v>
      </c>
      <c r="AK4532" s="8">
        <f t="shared" ca="1" si="600"/>
        <v>1.0001159722222221</v>
      </c>
      <c r="AL4532" s="98">
        <f t="shared" ca="1" si="599"/>
        <v>4.1823852457915089</v>
      </c>
      <c r="AM4532" s="106">
        <f t="shared" ca="1" si="596"/>
        <v>37954.011329732348</v>
      </c>
      <c r="AN4532" s="10">
        <f t="shared" ca="1" si="597"/>
        <v>1.1156163178185574</v>
      </c>
      <c r="AO4532" s="158"/>
      <c r="AP4532" s="158"/>
    </row>
    <row r="4533" spans="34:42">
      <c r="AH4533" s="6">
        <f t="shared" si="594"/>
        <v>4503</v>
      </c>
      <c r="AI4533" s="7">
        <f t="shared" ca="1" si="595"/>
        <v>47173</v>
      </c>
      <c r="AJ4533" s="210">
        <f t="shared" ca="1" si="598"/>
        <v>4.1749999999999998</v>
      </c>
      <c r="AK4533" s="8">
        <f t="shared" ca="1" si="600"/>
        <v>1.0001159722222221</v>
      </c>
      <c r="AL4533" s="98">
        <f t="shared" ca="1" si="599"/>
        <v>4.1824165843866279</v>
      </c>
      <c r="AM4533" s="106">
        <f t="shared" ca="1" si="596"/>
        <v>37957.138796028223</v>
      </c>
      <c r="AN4533" s="10">
        <f t="shared" ca="1" si="597"/>
        <v>1.1156423145597394</v>
      </c>
      <c r="AO4533" s="158"/>
      <c r="AP4533" s="158"/>
    </row>
    <row r="4534" spans="34:42">
      <c r="AH4534" s="6">
        <f t="shared" si="594"/>
        <v>4504</v>
      </c>
      <c r="AI4534" s="7">
        <f t="shared" ca="1" si="595"/>
        <v>47174</v>
      </c>
      <c r="AJ4534" s="210">
        <f t="shared" ca="1" si="598"/>
        <v>4.1749999999999998</v>
      </c>
      <c r="AK4534" s="8">
        <f t="shared" ca="1" si="600"/>
        <v>1.0001159722222221</v>
      </c>
      <c r="AL4534" s="98">
        <f t="shared" ca="1" si="599"/>
        <v>4.1824479090752709</v>
      </c>
      <c r="AM4534" s="106">
        <f t="shared" ca="1" si="596"/>
        <v>37960.266520031917</v>
      </c>
      <c r="AN4534" s="10">
        <f t="shared" ca="1" si="597"/>
        <v>1.1156682997637501</v>
      </c>
      <c r="AO4534" s="158"/>
      <c r="AP4534" s="158"/>
    </row>
    <row r="4535" spans="34:42">
      <c r="AH4535" s="6">
        <f t="shared" ref="AH4535:AH4563" si="601">$AI$29+AH4534</f>
        <v>4505</v>
      </c>
      <c r="AI4535" s="7">
        <f t="shared" ref="AI4535:AI4563" ca="1" si="602">+AH4535+$C$1</f>
        <v>47175</v>
      </c>
      <c r="AJ4535" s="210">
        <f t="shared" ca="1" si="598"/>
        <v>4.1749999999999998</v>
      </c>
      <c r="AK4535" s="8">
        <f t="shared" ca="1" si="600"/>
        <v>1.0001159722222221</v>
      </c>
      <c r="AL4535" s="98">
        <f t="shared" ca="1" si="599"/>
        <v>4.1824792198666971</v>
      </c>
      <c r="AM4535" s="106">
        <f t="shared" ca="1" si="596"/>
        <v>37963.394501764662</v>
      </c>
      <c r="AN4535" s="10">
        <f t="shared" ca="1" si="597"/>
        <v>1.1156942734382724</v>
      </c>
      <c r="AO4535" s="158"/>
      <c r="AP4535" s="158"/>
    </row>
    <row r="4536" spans="34:42">
      <c r="AH4536" s="6">
        <f t="shared" si="601"/>
        <v>4506</v>
      </c>
      <c r="AI4536" s="7">
        <f t="shared" ca="1" si="602"/>
        <v>47176</v>
      </c>
      <c r="AJ4536" s="210">
        <f t="shared" ca="1" si="598"/>
        <v>4.1749999999999998</v>
      </c>
      <c r="AK4536" s="8">
        <f t="shared" ca="1" si="600"/>
        <v>1.0001159722222221</v>
      </c>
      <c r="AL4536" s="98">
        <f t="shared" ca="1" si="599"/>
        <v>4.1825105167701437</v>
      </c>
      <c r="AM4536" s="106">
        <f t="shared" ca="1" si="596"/>
        <v>37966.522741247696</v>
      </c>
      <c r="AN4536" s="10">
        <f t="shared" ca="1" si="597"/>
        <v>1.115720235590989</v>
      </c>
      <c r="AO4536" s="158"/>
      <c r="AP4536" s="158"/>
    </row>
    <row r="4537" spans="34:42">
      <c r="AH4537" s="6">
        <f t="shared" si="601"/>
        <v>4507</v>
      </c>
      <c r="AI4537" s="7">
        <f t="shared" ca="1" si="602"/>
        <v>47177</v>
      </c>
      <c r="AJ4537" s="210">
        <f t="shared" ca="1" si="598"/>
        <v>4.1749999999999998</v>
      </c>
      <c r="AK4537" s="8">
        <f t="shared" ca="1" si="600"/>
        <v>1.0001159722222221</v>
      </c>
      <c r="AL4537" s="98">
        <f t="shared" ca="1" si="599"/>
        <v>4.1825417997948477</v>
      </c>
      <c r="AM4537" s="106">
        <f t="shared" ca="1" si="596"/>
        <v>37969.651238502265</v>
      </c>
      <c r="AN4537" s="10">
        <f t="shared" ca="1" si="597"/>
        <v>1.1157461862295381</v>
      </c>
      <c r="AO4537" s="158"/>
      <c r="AP4537" s="158"/>
    </row>
    <row r="4538" spans="34:42">
      <c r="AH4538" s="6">
        <f t="shared" si="601"/>
        <v>4508</v>
      </c>
      <c r="AI4538" s="7">
        <f t="shared" ca="1" si="602"/>
        <v>47178</v>
      </c>
      <c r="AJ4538" s="210">
        <f t="shared" ca="1" si="598"/>
        <v>4.1749999999999998</v>
      </c>
      <c r="AK4538" s="8">
        <f t="shared" ca="1" si="600"/>
        <v>1.0001159722222221</v>
      </c>
      <c r="AL4538" s="98">
        <f t="shared" ca="1" si="599"/>
        <v>4.1825730689500462</v>
      </c>
      <c r="AM4538" s="106">
        <f t="shared" ca="1" si="596"/>
        <v>37972.779993549608</v>
      </c>
      <c r="AN4538" s="10">
        <f t="shared" ca="1" si="597"/>
        <v>1.1157721253615804</v>
      </c>
      <c r="AO4538" s="158"/>
      <c r="AP4538" s="158"/>
    </row>
    <row r="4539" spans="34:42">
      <c r="AH4539" s="6">
        <f t="shared" si="601"/>
        <v>4509</v>
      </c>
      <c r="AI4539" s="7">
        <f t="shared" ca="1" si="602"/>
        <v>47179</v>
      </c>
      <c r="AJ4539" s="210">
        <f t="shared" ca="1" si="598"/>
        <v>4.1749999999999998</v>
      </c>
      <c r="AK4539" s="8">
        <f t="shared" ca="1" si="600"/>
        <v>1.0001159722222221</v>
      </c>
      <c r="AL4539" s="98">
        <f t="shared" ca="1" si="599"/>
        <v>4.1826043242449762</v>
      </c>
      <c r="AM4539" s="106">
        <f t="shared" ca="1" si="596"/>
        <v>37975.909006410962</v>
      </c>
      <c r="AN4539" s="10">
        <f t="shared" ca="1" si="597"/>
        <v>1.1157980529947986</v>
      </c>
      <c r="AO4539" s="158"/>
      <c r="AP4539" s="158"/>
    </row>
    <row r="4540" spans="34:42">
      <c r="AH4540" s="6">
        <f t="shared" si="601"/>
        <v>4510</v>
      </c>
      <c r="AI4540" s="7">
        <f t="shared" ca="1" si="602"/>
        <v>47180</v>
      </c>
      <c r="AJ4540" s="210">
        <f t="shared" ca="1" si="598"/>
        <v>4.1749999999999998</v>
      </c>
      <c r="AK4540" s="8">
        <f t="shared" ca="1" si="600"/>
        <v>1.0001159722222221</v>
      </c>
      <c r="AL4540" s="98">
        <f t="shared" ca="1" si="599"/>
        <v>4.1826355656888303</v>
      </c>
      <c r="AM4540" s="106">
        <f t="shared" ca="1" si="596"/>
        <v>37979.038277107567</v>
      </c>
      <c r="AN4540" s="10">
        <f t="shared" ca="1" si="597"/>
        <v>1.115823969136831</v>
      </c>
      <c r="AO4540" s="158"/>
      <c r="AP4540" s="158"/>
    </row>
    <row r="4541" spans="34:42">
      <c r="AH4541" s="6">
        <f t="shared" si="601"/>
        <v>4511</v>
      </c>
      <c r="AI4541" s="7">
        <f t="shared" ca="1" si="602"/>
        <v>47181</v>
      </c>
      <c r="AJ4541" s="210">
        <f t="shared" ca="1" si="598"/>
        <v>4.1749999999999998</v>
      </c>
      <c r="AK4541" s="8">
        <f t="shared" ca="1" si="600"/>
        <v>1.0001159722222221</v>
      </c>
      <c r="AL4541" s="98">
        <f t="shared" ca="1" si="599"/>
        <v>4.1826667932908235</v>
      </c>
      <c r="AM4541" s="106">
        <f t="shared" ca="1" si="596"/>
        <v>37982.167805660669</v>
      </c>
      <c r="AN4541" s="10">
        <f t="shared" ca="1" si="597"/>
        <v>1.1158498737952938</v>
      </c>
      <c r="AO4541" s="158"/>
      <c r="AP4541" s="158"/>
    </row>
    <row r="4542" spans="34:42">
      <c r="AH4542" s="6">
        <f t="shared" si="601"/>
        <v>4512</v>
      </c>
      <c r="AI4542" s="7">
        <f t="shared" ca="1" si="602"/>
        <v>47182</v>
      </c>
      <c r="AJ4542" s="210">
        <f t="shared" ca="1" si="598"/>
        <v>4.1749999999999998</v>
      </c>
      <c r="AK4542" s="8">
        <f t="shared" ca="1" si="600"/>
        <v>1.0001159722222221</v>
      </c>
      <c r="AL4542" s="98">
        <f t="shared" ca="1" si="599"/>
        <v>4.1826980070601483</v>
      </c>
      <c r="AM4542" s="106">
        <f t="shared" ca="1" si="596"/>
        <v>37985.297592091534</v>
      </c>
      <c r="AN4542" s="10">
        <f t="shared" ca="1" si="597"/>
        <v>1.1158757669778474</v>
      </c>
      <c r="AO4542" s="158"/>
      <c r="AP4542" s="158"/>
    </row>
    <row r="4543" spans="34:42">
      <c r="AH4543" s="6">
        <f t="shared" si="601"/>
        <v>4513</v>
      </c>
      <c r="AI4543" s="7">
        <f t="shared" ca="1" si="602"/>
        <v>47183</v>
      </c>
      <c r="AJ4543" s="210">
        <f t="shared" ca="1" si="598"/>
        <v>4.1749999999999998</v>
      </c>
      <c r="AK4543" s="8">
        <f t="shared" ca="1" si="600"/>
        <v>1.0001159722222221</v>
      </c>
      <c r="AL4543" s="98">
        <f t="shared" ca="1" si="599"/>
        <v>4.1827292070059752</v>
      </c>
      <c r="AM4543" s="106">
        <f t="shared" ca="1" si="596"/>
        <v>37988.427636421395</v>
      </c>
      <c r="AN4543" s="10">
        <f t="shared" ca="1" si="597"/>
        <v>1.1159016486920414</v>
      </c>
      <c r="AO4543" s="158"/>
      <c r="AP4543" s="158"/>
    </row>
    <row r="4544" spans="34:42">
      <c r="AH4544" s="6">
        <f t="shared" si="601"/>
        <v>4514</v>
      </c>
      <c r="AI4544" s="7">
        <f t="shared" ca="1" si="602"/>
        <v>47184</v>
      </c>
      <c r="AJ4544" s="210">
        <f t="shared" ca="1" si="598"/>
        <v>4.1749999999999998</v>
      </c>
      <c r="AK4544" s="8">
        <f t="shared" ca="1" si="600"/>
        <v>1.0001159722222221</v>
      </c>
      <c r="AL4544" s="98">
        <f t="shared" ca="1" si="599"/>
        <v>4.182760393137519</v>
      </c>
      <c r="AM4544" s="106">
        <f t="shared" ca="1" si="596"/>
        <v>37991.557938671504</v>
      </c>
      <c r="AN4544" s="10">
        <f t="shared" ca="1" si="597"/>
        <v>1.115927518945603</v>
      </c>
      <c r="AO4544" s="158"/>
      <c r="AP4544" s="158"/>
    </row>
    <row r="4545" spans="34:42">
      <c r="AH4545" s="6">
        <f t="shared" si="601"/>
        <v>4515</v>
      </c>
      <c r="AI4545" s="7">
        <f t="shared" ca="1" si="602"/>
        <v>47185</v>
      </c>
      <c r="AJ4545" s="210">
        <f t="shared" ca="1" si="598"/>
        <v>4.1749999999999998</v>
      </c>
      <c r="AK4545" s="8">
        <f t="shared" ca="1" si="600"/>
        <v>1.0001159722222221</v>
      </c>
      <c r="AL4545" s="98">
        <f t="shared" ca="1" si="599"/>
        <v>4.1827915654639281</v>
      </c>
      <c r="AM4545" s="106">
        <f t="shared" ca="1" si="596"/>
        <v>37994.688498863121</v>
      </c>
      <c r="AN4545" s="10">
        <f t="shared" ca="1" si="597"/>
        <v>1.1159533777460595</v>
      </c>
      <c r="AO4545" s="158"/>
      <c r="AP4545" s="158"/>
    </row>
    <row r="4546" spans="34:42">
      <c r="AH4546" s="6">
        <f t="shared" si="601"/>
        <v>4516</v>
      </c>
      <c r="AI4546" s="7">
        <f t="shared" ca="1" si="602"/>
        <v>47186</v>
      </c>
      <c r="AJ4546" s="210">
        <f t="shared" ca="1" si="598"/>
        <v>4.1749999999999998</v>
      </c>
      <c r="AK4546" s="8">
        <f t="shared" ca="1" si="600"/>
        <v>1.0001159722222221</v>
      </c>
      <c r="AL4546" s="98">
        <f t="shared" ca="1" si="599"/>
        <v>4.1828227239943727</v>
      </c>
      <c r="AM4546" s="106">
        <f t="shared" ca="1" si="596"/>
        <v>37997.8193170175</v>
      </c>
      <c r="AN4546" s="10">
        <f t="shared" ca="1" si="597"/>
        <v>1.115979225101027</v>
      </c>
      <c r="AO4546" s="158"/>
      <c r="AP4546" s="158"/>
    </row>
    <row r="4547" spans="34:42">
      <c r="AH4547" s="6">
        <f t="shared" si="601"/>
        <v>4517</v>
      </c>
      <c r="AI4547" s="7">
        <f t="shared" ca="1" si="602"/>
        <v>47187</v>
      </c>
      <c r="AJ4547" s="210">
        <f t="shared" ca="1" si="598"/>
        <v>4.1749999999999998</v>
      </c>
      <c r="AK4547" s="8">
        <f t="shared" ca="1" si="600"/>
        <v>1.0001159722222221</v>
      </c>
      <c r="AL4547" s="98">
        <f t="shared" ca="1" si="599"/>
        <v>4.1828538687380235</v>
      </c>
      <c r="AM4547" s="106">
        <f t="shared" ca="1" si="596"/>
        <v>38000.950393155894</v>
      </c>
      <c r="AN4547" s="10">
        <f t="shared" ca="1" si="597"/>
        <v>1.1160050610181438</v>
      </c>
      <c r="AO4547" s="158"/>
      <c r="AP4547" s="158"/>
    </row>
    <row r="4548" spans="34:42">
      <c r="AH4548" s="6">
        <f t="shared" si="601"/>
        <v>4518</v>
      </c>
      <c r="AI4548" s="7">
        <f t="shared" ca="1" si="602"/>
        <v>47188</v>
      </c>
      <c r="AJ4548" s="210">
        <f t="shared" ca="1" si="598"/>
        <v>4.1749999999999998</v>
      </c>
      <c r="AK4548" s="8">
        <f t="shared" ca="1" si="600"/>
        <v>1.0001159722222221</v>
      </c>
      <c r="AL4548" s="98">
        <f t="shared" ca="1" si="599"/>
        <v>4.1828849997040063</v>
      </c>
      <c r="AM4548" s="106">
        <f t="shared" ca="1" si="596"/>
        <v>38004.081727299555</v>
      </c>
      <c r="AN4548" s="10">
        <f t="shared" ca="1" si="597"/>
        <v>1.1160308855049594</v>
      </c>
      <c r="AO4548" s="158"/>
      <c r="AP4548" s="158"/>
    </row>
    <row r="4549" spans="34:42">
      <c r="AH4549" s="6">
        <f t="shared" si="601"/>
        <v>4519</v>
      </c>
      <c r="AI4549" s="7">
        <f t="shared" ca="1" si="602"/>
        <v>47189</v>
      </c>
      <c r="AJ4549" s="210">
        <f t="shared" ca="1" si="598"/>
        <v>4.1749999999999998</v>
      </c>
      <c r="AK4549" s="8">
        <f t="shared" ca="1" si="600"/>
        <v>1.0001159722222221</v>
      </c>
      <c r="AL4549" s="98">
        <f t="shared" ca="1" si="599"/>
        <v>4.1829161169014695</v>
      </c>
      <c r="AM4549" s="106">
        <f t="shared" ca="1" si="596"/>
        <v>38007.213319469753</v>
      </c>
      <c r="AN4549" s="10">
        <f t="shared" ca="1" si="597"/>
        <v>1.1160566985690679</v>
      </c>
      <c r="AO4549" s="158"/>
      <c r="AP4549" s="158"/>
    </row>
    <row r="4550" spans="34:42">
      <c r="AH4550" s="6">
        <f t="shared" si="601"/>
        <v>4520</v>
      </c>
      <c r="AI4550" s="7">
        <f t="shared" ca="1" si="602"/>
        <v>47190</v>
      </c>
      <c r="AJ4550" s="210">
        <f t="shared" ca="1" si="598"/>
        <v>4.1749999999999998</v>
      </c>
      <c r="AK4550" s="8">
        <f t="shared" ca="1" si="600"/>
        <v>1.0001159722222221</v>
      </c>
      <c r="AL4550" s="98">
        <f t="shared" ca="1" si="599"/>
        <v>4.1829472203395612</v>
      </c>
      <c r="AM4550" s="106">
        <f t="shared" ca="1" si="596"/>
        <v>38010.345169687753</v>
      </c>
      <c r="AN4550" s="10">
        <f t="shared" ca="1" si="597"/>
        <v>1.116082500218063</v>
      </c>
      <c r="AO4550" s="158"/>
      <c r="AP4550" s="158"/>
    </row>
    <row r="4551" spans="34:42">
      <c r="AH4551" s="6">
        <f t="shared" si="601"/>
        <v>4521</v>
      </c>
      <c r="AI4551" s="7">
        <f t="shared" ca="1" si="602"/>
        <v>47191</v>
      </c>
      <c r="AJ4551" s="210">
        <f t="shared" ca="1" si="598"/>
        <v>4.1749999999999998</v>
      </c>
      <c r="AK4551" s="8">
        <f t="shared" ca="1" si="600"/>
        <v>1.0001159722222221</v>
      </c>
      <c r="AL4551" s="98">
        <f t="shared" ca="1" si="599"/>
        <v>4.1829783100273854</v>
      </c>
      <c r="AM4551" s="106">
        <f t="shared" ca="1" si="596"/>
        <v>38013.477277974802</v>
      </c>
      <c r="AN4551" s="10">
        <f t="shared" ca="1" si="597"/>
        <v>1.1161082904595165</v>
      </c>
      <c r="AO4551" s="158"/>
      <c r="AP4551" s="158"/>
    </row>
    <row r="4552" spans="34:42">
      <c r="AH4552" s="6">
        <f t="shared" si="601"/>
        <v>4522</v>
      </c>
      <c r="AI4552" s="7">
        <f t="shared" ca="1" si="602"/>
        <v>47192</v>
      </c>
      <c r="AJ4552" s="210">
        <f t="shared" ca="1" si="598"/>
        <v>4.1749999999999998</v>
      </c>
      <c r="AK4552" s="8">
        <f t="shared" ca="1" si="600"/>
        <v>1.0001159722222221</v>
      </c>
      <c r="AL4552" s="98">
        <f t="shared" ca="1" si="599"/>
        <v>4.183009385974068</v>
      </c>
      <c r="AM4552" s="106">
        <f t="shared" ca="1" si="596"/>
        <v>38016.609644352182</v>
      </c>
      <c r="AN4552" s="10">
        <f t="shared" ca="1" si="597"/>
        <v>1.1161340693009558</v>
      </c>
      <c r="AO4552" s="158"/>
      <c r="AP4552" s="158"/>
    </row>
    <row r="4553" spans="34:42">
      <c r="AH4553" s="6">
        <f t="shared" si="601"/>
        <v>4523</v>
      </c>
      <c r="AI4553" s="7">
        <f t="shared" ca="1" si="602"/>
        <v>47193</v>
      </c>
      <c r="AJ4553" s="210">
        <f t="shared" ca="1" si="598"/>
        <v>4.1749999999999998</v>
      </c>
      <c r="AK4553" s="8">
        <f t="shared" ca="1" si="600"/>
        <v>1.0001159722222221</v>
      </c>
      <c r="AL4553" s="98">
        <f t="shared" ca="1" si="599"/>
        <v>4.1830404481887129</v>
      </c>
      <c r="AM4553" s="106">
        <f t="shared" ca="1" si="596"/>
        <v>38019.742268841153</v>
      </c>
      <c r="AN4553" s="10">
        <f t="shared" ca="1" si="597"/>
        <v>1.1161598367499748</v>
      </c>
      <c r="AO4553" s="158"/>
      <c r="AP4553" s="158"/>
    </row>
    <row r="4554" spans="34:42">
      <c r="AH4554" s="6">
        <f t="shared" si="601"/>
        <v>4524</v>
      </c>
      <c r="AI4554" s="7">
        <f t="shared" ca="1" si="602"/>
        <v>47194</v>
      </c>
      <c r="AJ4554" s="210">
        <f t="shared" ca="1" si="598"/>
        <v>4.1749999999999998</v>
      </c>
      <c r="AK4554" s="8">
        <f t="shared" ca="1" si="600"/>
        <v>1.0001159722222221</v>
      </c>
      <c r="AL4554" s="98">
        <f t="shared" ca="1" si="599"/>
        <v>4.1830714966804239</v>
      </c>
      <c r="AM4554" s="106">
        <f t="shared" ca="1" si="596"/>
        <v>38022.875151462984</v>
      </c>
      <c r="AN4554" s="10">
        <f t="shared" ca="1" si="597"/>
        <v>1.1161855928141007</v>
      </c>
      <c r="AO4554" s="158"/>
      <c r="AP4554" s="158"/>
    </row>
    <row r="4555" spans="34:42">
      <c r="AH4555" s="6">
        <f t="shared" si="601"/>
        <v>4525</v>
      </c>
      <c r="AI4555" s="7">
        <f t="shared" ca="1" si="602"/>
        <v>47195</v>
      </c>
      <c r="AJ4555" s="210">
        <f t="shared" ca="1" si="598"/>
        <v>4.1749999999999998</v>
      </c>
      <c r="AK4555" s="8">
        <f t="shared" ca="1" si="600"/>
        <v>1.0001159722222221</v>
      </c>
      <c r="AL4555" s="98">
        <f t="shared" ca="1" si="599"/>
        <v>4.1831025314583048</v>
      </c>
      <c r="AM4555" s="106">
        <f t="shared" ca="1" si="596"/>
        <v>38026.008292238948</v>
      </c>
      <c r="AN4555" s="10">
        <f t="shared" ca="1" si="597"/>
        <v>1.1162113375009053</v>
      </c>
      <c r="AO4555" s="158"/>
      <c r="AP4555" s="158"/>
    </row>
    <row r="4556" spans="34:42">
      <c r="AH4556" s="6">
        <f t="shared" si="601"/>
        <v>4526</v>
      </c>
      <c r="AI4556" s="7">
        <f t="shared" ca="1" si="602"/>
        <v>47196</v>
      </c>
      <c r="AJ4556" s="210">
        <f t="shared" ca="1" si="598"/>
        <v>4.1749999999999998</v>
      </c>
      <c r="AK4556" s="8">
        <f t="shared" ca="1" si="600"/>
        <v>1.0001159722222221</v>
      </c>
      <c r="AL4556" s="98">
        <f t="shared" ca="1" si="599"/>
        <v>4.1831335525314151</v>
      </c>
      <c r="AM4556" s="106">
        <f t="shared" ca="1" si="596"/>
        <v>38029.141691190307</v>
      </c>
      <c r="AN4556" s="10">
        <f t="shared" ca="1" si="597"/>
        <v>1.1162370708178937</v>
      </c>
      <c r="AO4556" s="158"/>
      <c r="AP4556" s="158"/>
    </row>
    <row r="4557" spans="34:42">
      <c r="AH4557" s="6">
        <f t="shared" si="601"/>
        <v>4527</v>
      </c>
      <c r="AI4557" s="7">
        <f t="shared" ca="1" si="602"/>
        <v>47197</v>
      </c>
      <c r="AJ4557" s="210">
        <f t="shared" ca="1" si="598"/>
        <v>4.1749999999999998</v>
      </c>
      <c r="AK4557" s="8">
        <f t="shared" ca="1" si="600"/>
        <v>1.0001159722222221</v>
      </c>
      <c r="AL4557" s="98">
        <f t="shared" ca="1" si="599"/>
        <v>4.1831645599088363</v>
      </c>
      <c r="AM4557" s="106">
        <f t="shared" ca="1" si="596"/>
        <v>38032.275348338357</v>
      </c>
      <c r="AN4557" s="10">
        <f t="shared" ca="1" si="597"/>
        <v>1.1162627927725932</v>
      </c>
      <c r="AO4557" s="158"/>
      <c r="AP4557" s="158"/>
    </row>
    <row r="4558" spans="34:42">
      <c r="AH4558" s="6">
        <f t="shared" si="601"/>
        <v>4528</v>
      </c>
      <c r="AI4558" s="7">
        <f t="shared" ca="1" si="602"/>
        <v>47198</v>
      </c>
      <c r="AJ4558" s="210">
        <f t="shared" ca="1" si="598"/>
        <v>4.1749999999999998</v>
      </c>
      <c r="AK4558" s="8">
        <f t="shared" ca="1" si="600"/>
        <v>1.0001159722222221</v>
      </c>
      <c r="AL4558" s="98">
        <f t="shared" ca="1" si="599"/>
        <v>4.1831955535996501</v>
      </c>
      <c r="AM4558" s="106">
        <f t="shared" ca="1" si="596"/>
        <v>38035.40926370435</v>
      </c>
      <c r="AN4558" s="10">
        <f t="shared" ca="1" si="597"/>
        <v>1.1162885033725756</v>
      </c>
      <c r="AO4558" s="158"/>
      <c r="AP4558" s="158"/>
    </row>
    <row r="4559" spans="34:42">
      <c r="AH4559" s="6">
        <f t="shared" si="601"/>
        <v>4529</v>
      </c>
      <c r="AI4559" s="7">
        <f t="shared" ca="1" si="602"/>
        <v>47199</v>
      </c>
      <c r="AJ4559" s="210">
        <f t="shared" ca="1" si="598"/>
        <v>4.1749999999999998</v>
      </c>
      <c r="AK4559" s="8">
        <f t="shared" ca="1" si="600"/>
        <v>1.0001159722222221</v>
      </c>
      <c r="AL4559" s="98">
        <f t="shared" ca="1" si="599"/>
        <v>4.183226533612916</v>
      </c>
      <c r="AM4559" s="106">
        <f t="shared" ca="1" si="596"/>
        <v>38038.54343730957</v>
      </c>
      <c r="AN4559" s="10">
        <f t="shared" ca="1" si="597"/>
        <v>1.1163142026253237</v>
      </c>
      <c r="AO4559" s="158"/>
      <c r="AP4559" s="158"/>
    </row>
    <row r="4560" spans="34:42">
      <c r="AH4560" s="6">
        <f t="shared" si="601"/>
        <v>4530</v>
      </c>
      <c r="AI4560" s="7">
        <f t="shared" ca="1" si="602"/>
        <v>47200</v>
      </c>
      <c r="AJ4560" s="210">
        <f t="shared" ca="1" si="598"/>
        <v>4.1749999999999998</v>
      </c>
      <c r="AK4560" s="8">
        <f t="shared" ca="1" si="600"/>
        <v>1.0001159722222221</v>
      </c>
      <c r="AL4560" s="98">
        <f t="shared" ca="1" si="599"/>
        <v>4.183257499957671</v>
      </c>
      <c r="AM4560" s="106">
        <f t="shared" ca="1" si="596"/>
        <v>38041.677869175306</v>
      </c>
      <c r="AN4560" s="10">
        <f t="shared" ca="1" si="597"/>
        <v>1.1163398905383426</v>
      </c>
      <c r="AO4560" s="158"/>
      <c r="AP4560" s="158"/>
    </row>
    <row r="4561" spans="34:42">
      <c r="AH4561" s="6">
        <f t="shared" si="601"/>
        <v>4531</v>
      </c>
      <c r="AI4561" s="7">
        <f t="shared" ca="1" si="602"/>
        <v>47201</v>
      </c>
      <c r="AJ4561" s="210">
        <f t="shared" ca="1" si="598"/>
        <v>4.1749999999999998</v>
      </c>
      <c r="AK4561" s="8">
        <f t="shared" ca="1" si="600"/>
        <v>1.0001159722222221</v>
      </c>
      <c r="AL4561" s="98">
        <f t="shared" ca="1" si="599"/>
        <v>4.1832884526429748</v>
      </c>
      <c r="AM4561" s="106">
        <f t="shared" ca="1" si="596"/>
        <v>38044.812559322832</v>
      </c>
      <c r="AN4561" s="10">
        <f t="shared" ca="1" si="597"/>
        <v>1.1163655671191597</v>
      </c>
      <c r="AO4561" s="158"/>
      <c r="AP4561" s="158"/>
    </row>
    <row r="4562" spans="34:42">
      <c r="AH4562" s="6">
        <f t="shared" si="601"/>
        <v>4532</v>
      </c>
      <c r="AI4562" s="7">
        <f t="shared" ca="1" si="602"/>
        <v>47202</v>
      </c>
      <c r="AJ4562" s="210">
        <f t="shared" ca="1" si="598"/>
        <v>4.1749999999999998</v>
      </c>
      <c r="AK4562" s="8">
        <f t="shared" ca="1" si="600"/>
        <v>1.0001159722222221</v>
      </c>
      <c r="AL4562" s="98">
        <f t="shared" ca="1" si="599"/>
        <v>4.1833193916778422</v>
      </c>
      <c r="AM4562" s="106">
        <f t="shared" ca="1" si="596"/>
        <v>38047.947507773439</v>
      </c>
      <c r="AN4562" s="10">
        <f t="shared" ca="1" si="597"/>
        <v>1.1163912323752356</v>
      </c>
      <c r="AO4562" s="158"/>
      <c r="AP4562" s="158"/>
    </row>
    <row r="4563" spans="34:42">
      <c r="AH4563" s="6">
        <f t="shared" si="601"/>
        <v>4533</v>
      </c>
      <c r="AI4563" s="7">
        <f t="shared" ca="1" si="602"/>
        <v>47203</v>
      </c>
      <c r="AJ4563" s="210">
        <f t="shared" ca="1" si="598"/>
        <v>4.1749999999999998</v>
      </c>
      <c r="AK4563" s="8">
        <f t="shared" ca="1" si="600"/>
        <v>1.0001159722222221</v>
      </c>
      <c r="AL4563" s="98">
        <f t="shared" ca="1" si="599"/>
        <v>4.1833503170713104</v>
      </c>
      <c r="AM4563" s="106">
        <f t="shared" ca="1" si="596"/>
        <v>38051.082714548393</v>
      </c>
      <c r="AN4563" s="10">
        <f t="shared" ca="1" si="597"/>
        <v>1.1164168863140755</v>
      </c>
      <c r="AO4563" s="158"/>
      <c r="AP4563" s="158"/>
    </row>
    <row r="4564" spans="34:42">
      <c r="AH4564" s="6">
        <f t="shared" ref="AH4564:AH4627" si="603">$AI$29+AH4563</f>
        <v>4534</v>
      </c>
      <c r="AI4564" s="7">
        <f t="shared" ref="AI4564:AI4627" ca="1" si="604">+AH4564+$C$1</f>
        <v>47204</v>
      </c>
      <c r="AJ4564" s="210">
        <f t="shared" ca="1" si="598"/>
        <v>4.1749999999999998</v>
      </c>
      <c r="AK4564" s="8">
        <f t="shared" ca="1" si="600"/>
        <v>1.0001159722222221</v>
      </c>
      <c r="AL4564" s="98">
        <f t="shared" ca="1" si="599"/>
        <v>4.1833812288324168</v>
      </c>
      <c r="AM4564" s="106">
        <f t="shared" ca="1" si="596"/>
        <v>38054.218179668998</v>
      </c>
      <c r="AN4564" s="10">
        <f t="shared" ca="1" si="597"/>
        <v>1.1164425289431845</v>
      </c>
      <c r="AO4564" s="158"/>
      <c r="AP4564" s="158"/>
    </row>
    <row r="4565" spans="34:42">
      <c r="AH4565" s="6">
        <f t="shared" si="603"/>
        <v>4535</v>
      </c>
      <c r="AI4565" s="7">
        <f t="shared" ca="1" si="604"/>
        <v>47205</v>
      </c>
      <c r="AJ4565" s="210">
        <f t="shared" ca="1" si="598"/>
        <v>4.1749999999999998</v>
      </c>
      <c r="AK4565" s="8">
        <f t="shared" ca="1" si="600"/>
        <v>1.0001159722222221</v>
      </c>
      <c r="AL4565" s="98">
        <f t="shared" ca="1" si="599"/>
        <v>4.1834121269701541</v>
      </c>
      <c r="AM4565" s="106">
        <f t="shared" ca="1" si="596"/>
        <v>38057.353903156531</v>
      </c>
      <c r="AN4565" s="10">
        <f t="shared" ca="1" si="597"/>
        <v>1.1164681602700455</v>
      </c>
      <c r="AO4565" s="158"/>
      <c r="AP4565" s="158"/>
    </row>
    <row r="4566" spans="34:42">
      <c r="AH4566" s="6">
        <f t="shared" si="603"/>
        <v>4536</v>
      </c>
      <c r="AI4566" s="7">
        <f t="shared" ca="1" si="604"/>
        <v>47206</v>
      </c>
      <c r="AJ4566" s="210">
        <f t="shared" ca="1" si="598"/>
        <v>4.1749999999999998</v>
      </c>
      <c r="AK4566" s="8">
        <f t="shared" ca="1" si="600"/>
        <v>1.0001159722222221</v>
      </c>
      <c r="AL4566" s="98">
        <f t="shared" ca="1" si="599"/>
        <v>4.1834430114935373</v>
      </c>
      <c r="AM4566" s="106">
        <f t="shared" ca="1" si="596"/>
        <v>38060.489885032293</v>
      </c>
      <c r="AN4566" s="10">
        <f t="shared" ca="1" si="597"/>
        <v>1.1164937803020747</v>
      </c>
      <c r="AO4566" s="158"/>
      <c r="AP4566" s="158"/>
    </row>
    <row r="4567" spans="34:42">
      <c r="AH4567" s="6">
        <f t="shared" si="603"/>
        <v>4537</v>
      </c>
      <c r="AI4567" s="7">
        <f t="shared" ca="1" si="604"/>
        <v>47207</v>
      </c>
      <c r="AJ4567" s="210">
        <f t="shared" ca="1" si="598"/>
        <v>4.1749999999999998</v>
      </c>
      <c r="AK4567" s="8">
        <f t="shared" ca="1" si="600"/>
        <v>1.0001159722222221</v>
      </c>
      <c r="AL4567" s="98">
        <f t="shared" ca="1" si="599"/>
        <v>4.1834738824115369</v>
      </c>
      <c r="AM4567" s="106">
        <f t="shared" ca="1" si="596"/>
        <v>38063.626125317562</v>
      </c>
      <c r="AN4567" s="10">
        <f t="shared" ca="1" si="597"/>
        <v>1.1165193890467773</v>
      </c>
      <c r="AO4567" s="158"/>
      <c r="AP4567" s="158"/>
    </row>
    <row r="4568" spans="34:42">
      <c r="AH4568" s="6">
        <f t="shared" si="603"/>
        <v>4538</v>
      </c>
      <c r="AI4568" s="7">
        <f t="shared" ca="1" si="604"/>
        <v>47208</v>
      </c>
      <c r="AJ4568" s="210">
        <f t="shared" ca="1" si="598"/>
        <v>4.1749999999999998</v>
      </c>
      <c r="AK4568" s="8">
        <f t="shared" ca="1" si="600"/>
        <v>1.0001159722222221</v>
      </c>
      <c r="AL4568" s="98">
        <f t="shared" ca="1" si="599"/>
        <v>4.1835047397331682</v>
      </c>
      <c r="AM4568" s="106">
        <f t="shared" ca="1" si="596"/>
        <v>38066.762624033639</v>
      </c>
      <c r="AN4568" s="10">
        <f t="shared" ca="1" si="597"/>
        <v>1.1165449865116139</v>
      </c>
      <c r="AO4568" s="158"/>
      <c r="AP4568" s="158"/>
    </row>
    <row r="4569" spans="34:42">
      <c r="AH4569" s="6">
        <f t="shared" si="603"/>
        <v>4539</v>
      </c>
      <c r="AI4569" s="7">
        <f t="shared" ca="1" si="604"/>
        <v>47209</v>
      </c>
      <c r="AJ4569" s="210">
        <f t="shared" ca="1" si="598"/>
        <v>4.1749999999999998</v>
      </c>
      <c r="AK4569" s="8">
        <f t="shared" ca="1" si="600"/>
        <v>1.0001159722222221</v>
      </c>
      <c r="AL4569" s="98">
        <f t="shared" ca="1" si="599"/>
        <v>4.1835355834674015</v>
      </c>
      <c r="AM4569" s="106">
        <f t="shared" ca="1" si="596"/>
        <v>38069.899381201823</v>
      </c>
      <c r="AN4569" s="10">
        <f t="shared" ca="1" si="597"/>
        <v>1.116570572704001</v>
      </c>
      <c r="AO4569" s="158"/>
      <c r="AP4569" s="158"/>
    </row>
    <row r="4570" spans="34:42">
      <c r="AH4570" s="6">
        <f t="shared" si="603"/>
        <v>4540</v>
      </c>
      <c r="AI4570" s="7">
        <f t="shared" ca="1" si="604"/>
        <v>47210</v>
      </c>
      <c r="AJ4570" s="210">
        <f t="shared" ca="1" si="598"/>
        <v>4.1749999999999998</v>
      </c>
      <c r="AK4570" s="8">
        <f t="shared" ca="1" si="600"/>
        <v>1.0001159722222221</v>
      </c>
      <c r="AL4570" s="98">
        <f t="shared" ca="1" si="599"/>
        <v>4.1835664136232076</v>
      </c>
      <c r="AM4570" s="106">
        <f t="shared" ca="1" si="596"/>
        <v>38073.036396843403</v>
      </c>
      <c r="AN4570" s="10">
        <f t="shared" ca="1" si="597"/>
        <v>1.1165961476314212</v>
      </c>
      <c r="AO4570" s="158"/>
      <c r="AP4570" s="158"/>
    </row>
    <row r="4571" spans="34:42">
      <c r="AH4571" s="6">
        <f t="shared" si="603"/>
        <v>4541</v>
      </c>
      <c r="AI4571" s="7">
        <f t="shared" ca="1" si="604"/>
        <v>47211</v>
      </c>
      <c r="AJ4571" s="210">
        <f t="shared" ca="1" si="598"/>
        <v>4.1749999999999998</v>
      </c>
      <c r="AK4571" s="8">
        <f t="shared" ca="1" si="600"/>
        <v>1.0001159722222221</v>
      </c>
      <c r="AL4571" s="98">
        <f t="shared" ca="1" si="599"/>
        <v>4.183597230209557</v>
      </c>
      <c r="AM4571" s="106">
        <f t="shared" ca="1" si="596"/>
        <v>38076.173670979682</v>
      </c>
      <c r="AN4571" s="10">
        <f t="shared" ca="1" si="597"/>
        <v>1.1166217113012911</v>
      </c>
      <c r="AO4571" s="158"/>
      <c r="AP4571" s="158"/>
    </row>
    <row r="4572" spans="34:42">
      <c r="AH4572" s="6">
        <f t="shared" si="603"/>
        <v>4542</v>
      </c>
      <c r="AI4572" s="7">
        <f t="shared" ca="1" si="604"/>
        <v>47212</v>
      </c>
      <c r="AJ4572" s="210">
        <f t="shared" ca="1" si="598"/>
        <v>4.1749999999999998</v>
      </c>
      <c r="AK4572" s="8">
        <f t="shared" ca="1" si="600"/>
        <v>1.0001159722222221</v>
      </c>
      <c r="AL4572" s="98">
        <f t="shared" ca="1" si="599"/>
        <v>4.1836280332354203</v>
      </c>
      <c r="AM4572" s="106">
        <f t="shared" ca="1" si="596"/>
        <v>38079.311203631958</v>
      </c>
      <c r="AN4572" s="10">
        <f t="shared" ca="1" si="597"/>
        <v>1.1166472637210711</v>
      </c>
      <c r="AO4572" s="158"/>
      <c r="AP4572" s="158"/>
    </row>
    <row r="4573" spans="34:42">
      <c r="AH4573" s="6">
        <f t="shared" si="603"/>
        <v>4543</v>
      </c>
      <c r="AI4573" s="7">
        <f t="shared" ca="1" si="604"/>
        <v>47213</v>
      </c>
      <c r="AJ4573" s="210">
        <f t="shared" ca="1" si="598"/>
        <v>4.1749999999999998</v>
      </c>
      <c r="AK4573" s="8">
        <f t="shared" ca="1" si="600"/>
        <v>1.0001159722222221</v>
      </c>
      <c r="AL4573" s="98">
        <f t="shared" ca="1" si="599"/>
        <v>4.1836588227097238</v>
      </c>
      <c r="AM4573" s="106">
        <f t="shared" ca="1" si="596"/>
        <v>38082.448994821541</v>
      </c>
      <c r="AN4573" s="10">
        <f t="shared" ca="1" si="597"/>
        <v>1.1166728048981556</v>
      </c>
      <c r="AO4573" s="158"/>
      <c r="AP4573" s="158"/>
    </row>
    <row r="4574" spans="34:42">
      <c r="AH4574" s="6">
        <f t="shared" si="603"/>
        <v>4544</v>
      </c>
      <c r="AI4574" s="7">
        <f t="shared" ca="1" si="604"/>
        <v>47214</v>
      </c>
      <c r="AJ4574" s="210">
        <f t="shared" ca="1" si="598"/>
        <v>4.1749999999999998</v>
      </c>
      <c r="AK4574" s="8">
        <f t="shared" ca="1" si="600"/>
        <v>1.0001159722222221</v>
      </c>
      <c r="AL4574" s="98">
        <f t="shared" ca="1" si="599"/>
        <v>4.1836895986414158</v>
      </c>
      <c r="AM4574" s="106">
        <f t="shared" ca="1" si="596"/>
        <v>38085.587044569722</v>
      </c>
      <c r="AN4574" s="10">
        <f t="shared" ca="1" si="597"/>
        <v>1.1166983348399828</v>
      </c>
      <c r="AO4574" s="158"/>
      <c r="AP4574" s="158"/>
    </row>
    <row r="4575" spans="34:42">
      <c r="AH4575" s="6">
        <f t="shared" si="603"/>
        <v>4545</v>
      </c>
      <c r="AI4575" s="7">
        <f t="shared" ca="1" si="604"/>
        <v>47215</v>
      </c>
      <c r="AJ4575" s="210">
        <f t="shared" ca="1" si="598"/>
        <v>4.1749999999999998</v>
      </c>
      <c r="AK4575" s="8">
        <f t="shared" ca="1" si="600"/>
        <v>1.0001159722222221</v>
      </c>
      <c r="AL4575" s="98">
        <f t="shared" ca="1" si="599"/>
        <v>4.1837203610394225</v>
      </c>
      <c r="AM4575" s="106">
        <f t="shared" ref="AM4575:AM4638" ca="1" si="605">Geom_Interp(AI4575,$AZ$2:$AZ$109,$BA$2:$BA$109)</f>
        <v>38088.725352897804</v>
      </c>
      <c r="AN4575" s="10">
        <f t="shared" ref="AN4575:AN4638" ca="1" si="606">100*(((1+AL4575/100)^(AH4575/365)*$AM$29/AM4575)^(365/AH4575)-1)</f>
        <v>1.116723853553947</v>
      </c>
      <c r="AO4575" s="158"/>
      <c r="AP4575" s="158"/>
    </row>
    <row r="4576" spans="34:42">
      <c r="AH4576" s="6">
        <f t="shared" si="603"/>
        <v>4546</v>
      </c>
      <c r="AI4576" s="7">
        <f t="shared" ca="1" si="604"/>
        <v>47216</v>
      </c>
      <c r="AJ4576" s="210">
        <f t="shared" ref="AJ4576:AJ4639" ca="1" si="607">IF(AH4576&lt;365,VLOOKUP(LOOKUP(AI4576,$AI$2:$AI$23),$AI$2:$AK$23,3,0),Lin_Interp(AH4576,$AJ$2:$AJ$23,$AK$2:$AK$23))</f>
        <v>4.1749999999999998</v>
      </c>
      <c r="AK4576" s="8">
        <f t="shared" ca="1" si="600"/>
        <v>1.0001159722222221</v>
      </c>
      <c r="AL4576" s="98">
        <f t="shared" ca="1" si="599"/>
        <v>4.1837511099126923</v>
      </c>
      <c r="AM4576" s="106">
        <f t="shared" ca="1" si="605"/>
        <v>38091.863919827112</v>
      </c>
      <c r="AN4576" s="10">
        <f t="shared" ca="1" si="606"/>
        <v>1.1167493610474644</v>
      </c>
      <c r="AO4576" s="158"/>
      <c r="AP4576" s="158"/>
    </row>
    <row r="4577" spans="34:42">
      <c r="AH4577" s="6">
        <f t="shared" si="603"/>
        <v>4547</v>
      </c>
      <c r="AI4577" s="7">
        <f t="shared" ca="1" si="604"/>
        <v>47217</v>
      </c>
      <c r="AJ4577" s="210">
        <f t="shared" ca="1" si="607"/>
        <v>4.1749999999999998</v>
      </c>
      <c r="AK4577" s="8">
        <f t="shared" ca="1" si="600"/>
        <v>1.0001159722222221</v>
      </c>
      <c r="AL4577" s="98">
        <f t="shared" ref="AL4577:AL4640" ca="1" si="608">100*(((1+AL4576/100)^(AH4576/365)*AK4577)^(365/AH4577)-1)</f>
        <v>4.183781845270107</v>
      </c>
      <c r="AM4577" s="106">
        <f t="shared" ca="1" si="605"/>
        <v>38095.002745378952</v>
      </c>
      <c r="AN4577" s="10">
        <f t="shared" ca="1" si="606"/>
        <v>1.1167748573279068</v>
      </c>
      <c r="AO4577" s="158"/>
      <c r="AP4577" s="158"/>
    </row>
    <row r="4578" spans="34:42">
      <c r="AH4578" s="6">
        <f t="shared" si="603"/>
        <v>4548</v>
      </c>
      <c r="AI4578" s="7">
        <f t="shared" ca="1" si="604"/>
        <v>47218</v>
      </c>
      <c r="AJ4578" s="210">
        <f t="shared" ca="1" si="607"/>
        <v>4.1749999999999998</v>
      </c>
      <c r="AK4578" s="8">
        <f t="shared" ca="1" si="600"/>
        <v>1.0001159722222221</v>
      </c>
      <c r="AL4578" s="98">
        <f t="shared" ca="1" si="608"/>
        <v>4.1838125671205928</v>
      </c>
      <c r="AM4578" s="106">
        <f t="shared" ca="1" si="605"/>
        <v>38098.141829574619</v>
      </c>
      <c r="AN4578" s="10">
        <f t="shared" ca="1" si="606"/>
        <v>1.1168003424026907</v>
      </c>
      <c r="AO4578" s="158"/>
      <c r="AP4578" s="158"/>
    </row>
    <row r="4579" spans="34:42">
      <c r="AH4579" s="6">
        <f t="shared" si="603"/>
        <v>4549</v>
      </c>
      <c r="AI4579" s="7">
        <f t="shared" ca="1" si="604"/>
        <v>47219</v>
      </c>
      <c r="AJ4579" s="210">
        <f t="shared" ca="1" si="607"/>
        <v>4.1749999999999998</v>
      </c>
      <c r="AK4579" s="8">
        <f t="shared" ca="1" si="600"/>
        <v>1.0001159722222221</v>
      </c>
      <c r="AL4579" s="98">
        <f t="shared" ca="1" si="608"/>
        <v>4.1838432754730537</v>
      </c>
      <c r="AM4579" s="106">
        <f t="shared" ca="1" si="605"/>
        <v>38101.28117243544</v>
      </c>
      <c r="AN4579" s="10">
        <f t="shared" ca="1" si="606"/>
        <v>1.11682581627921</v>
      </c>
      <c r="AO4579" s="158"/>
      <c r="AP4579" s="158"/>
    </row>
    <row r="4580" spans="34:42">
      <c r="AH4580" s="6">
        <f t="shared" si="603"/>
        <v>4550</v>
      </c>
      <c r="AI4580" s="7">
        <f t="shared" ca="1" si="604"/>
        <v>47220</v>
      </c>
      <c r="AJ4580" s="210">
        <f t="shared" ca="1" si="607"/>
        <v>4.1749999999999998</v>
      </c>
      <c r="AK4580" s="8">
        <f t="shared" ref="AK4580:AK4643" ca="1" si="609">+(1+AJ4580/36000)</f>
        <v>1.0001159722222221</v>
      </c>
      <c r="AL4580" s="98">
        <f t="shared" ca="1" si="608"/>
        <v>4.1838739703363936</v>
      </c>
      <c r="AM4580" s="106">
        <f t="shared" ca="1" si="605"/>
        <v>38104.420773982725</v>
      </c>
      <c r="AN4580" s="10">
        <f t="shared" ca="1" si="606"/>
        <v>1.1168512789648366</v>
      </c>
      <c r="AO4580" s="158"/>
      <c r="AP4580" s="158"/>
    </row>
    <row r="4581" spans="34:42">
      <c r="AH4581" s="6">
        <f t="shared" si="603"/>
        <v>4551</v>
      </c>
      <c r="AI4581" s="7">
        <f t="shared" ca="1" si="604"/>
        <v>47221</v>
      </c>
      <c r="AJ4581" s="210">
        <f t="shared" ca="1" si="607"/>
        <v>4.1749999999999998</v>
      </c>
      <c r="AK4581" s="8">
        <f t="shared" ca="1" si="609"/>
        <v>1.0001159722222221</v>
      </c>
      <c r="AL4581" s="98">
        <f t="shared" ca="1" si="608"/>
        <v>4.1839046517194944</v>
      </c>
      <c r="AM4581" s="106">
        <f t="shared" ca="1" si="605"/>
        <v>38107.560634237787</v>
      </c>
      <c r="AN4581" s="10">
        <f t="shared" ca="1" si="606"/>
        <v>1.1168767304669425</v>
      </c>
      <c r="AO4581" s="158"/>
      <c r="AP4581" s="158"/>
    </row>
    <row r="4582" spans="34:42">
      <c r="AH4582" s="6">
        <f t="shared" si="603"/>
        <v>4552</v>
      </c>
      <c r="AI4582" s="7">
        <f t="shared" ca="1" si="604"/>
        <v>47222</v>
      </c>
      <c r="AJ4582" s="210">
        <f t="shared" ca="1" si="607"/>
        <v>4.1749999999999998</v>
      </c>
      <c r="AK4582" s="8">
        <f t="shared" ca="1" si="609"/>
        <v>1.0001159722222221</v>
      </c>
      <c r="AL4582" s="98">
        <f t="shared" ca="1" si="608"/>
        <v>4.1839353196312157</v>
      </c>
      <c r="AM4582" s="106">
        <f t="shared" ca="1" si="605"/>
        <v>38110.70075322195</v>
      </c>
      <c r="AN4582" s="10">
        <f t="shared" ca="1" si="606"/>
        <v>1.1169021707928994</v>
      </c>
      <c r="AO4582" s="158"/>
      <c r="AP4582" s="158"/>
    </row>
    <row r="4583" spans="34:42">
      <c r="AH4583" s="6">
        <f t="shared" si="603"/>
        <v>4553</v>
      </c>
      <c r="AI4583" s="7">
        <f t="shared" ca="1" si="604"/>
        <v>47223</v>
      </c>
      <c r="AJ4583" s="210">
        <f t="shared" ca="1" si="607"/>
        <v>4.1749999999999998</v>
      </c>
      <c r="AK4583" s="8">
        <f t="shared" ca="1" si="609"/>
        <v>1.0001159722222221</v>
      </c>
      <c r="AL4583" s="98">
        <f t="shared" ca="1" si="608"/>
        <v>4.1839659740804391</v>
      </c>
      <c r="AM4583" s="106">
        <f t="shared" ca="1" si="605"/>
        <v>38113.841130956534</v>
      </c>
      <c r="AN4583" s="10">
        <f t="shared" ca="1" si="606"/>
        <v>1.116927599950035</v>
      </c>
      <c r="AO4583" s="158"/>
      <c r="AP4583" s="158"/>
    </row>
    <row r="4584" spans="34:42">
      <c r="AH4584" s="6">
        <f t="shared" si="603"/>
        <v>4554</v>
      </c>
      <c r="AI4584" s="7">
        <f t="shared" ca="1" si="604"/>
        <v>47224</v>
      </c>
      <c r="AJ4584" s="210">
        <f t="shared" ca="1" si="607"/>
        <v>4.1749999999999998</v>
      </c>
      <c r="AK4584" s="8">
        <f t="shared" ca="1" si="609"/>
        <v>1.0001159722222221</v>
      </c>
      <c r="AL4584" s="98">
        <f t="shared" ca="1" si="608"/>
        <v>4.1839966150760244</v>
      </c>
      <c r="AM4584" s="106">
        <f t="shared" ca="1" si="605"/>
        <v>38116.981767462858</v>
      </c>
      <c r="AN4584" s="10">
        <f t="shared" ca="1" si="606"/>
        <v>1.1169530179457432</v>
      </c>
      <c r="AO4584" s="158"/>
      <c r="AP4584" s="158"/>
    </row>
    <row r="4585" spans="34:42">
      <c r="AH4585" s="6">
        <f t="shared" si="603"/>
        <v>4555</v>
      </c>
      <c r="AI4585" s="7">
        <f t="shared" ca="1" si="604"/>
        <v>47225</v>
      </c>
      <c r="AJ4585" s="210">
        <f t="shared" ca="1" si="607"/>
        <v>4.1749999999999998</v>
      </c>
      <c r="AK4585" s="8">
        <f t="shared" ca="1" si="609"/>
        <v>1.0001159722222221</v>
      </c>
      <c r="AL4585" s="98">
        <f t="shared" ca="1" si="608"/>
        <v>4.184027242626831</v>
      </c>
      <c r="AM4585" s="106">
        <f t="shared" ca="1" si="605"/>
        <v>38120.122662762238</v>
      </c>
      <c r="AN4585" s="10">
        <f t="shared" ca="1" si="606"/>
        <v>1.1169784247873515</v>
      </c>
      <c r="AO4585" s="158"/>
      <c r="AP4585" s="158"/>
    </row>
    <row r="4586" spans="34:42">
      <c r="AH4586" s="6">
        <f t="shared" si="603"/>
        <v>4556</v>
      </c>
      <c r="AI4586" s="7">
        <f t="shared" ca="1" si="604"/>
        <v>47226</v>
      </c>
      <c r="AJ4586" s="210">
        <f t="shared" ca="1" si="607"/>
        <v>4.1749999999999998</v>
      </c>
      <c r="AK4586" s="8">
        <f t="shared" ca="1" si="609"/>
        <v>1.0001159722222221</v>
      </c>
      <c r="AL4586" s="98">
        <f t="shared" ca="1" si="608"/>
        <v>4.1840578567417186</v>
      </c>
      <c r="AM4586" s="106">
        <f t="shared" ca="1" si="605"/>
        <v>38123.263816876002</v>
      </c>
      <c r="AN4586" s="10">
        <f t="shared" ca="1" si="606"/>
        <v>1.1170038204822097</v>
      </c>
      <c r="AO4586" s="158"/>
      <c r="AP4586" s="158"/>
    </row>
    <row r="4587" spans="34:42">
      <c r="AH4587" s="6">
        <f t="shared" si="603"/>
        <v>4557</v>
      </c>
      <c r="AI4587" s="7">
        <f t="shared" ca="1" si="604"/>
        <v>47227</v>
      </c>
      <c r="AJ4587" s="210">
        <f t="shared" ca="1" si="607"/>
        <v>4.1749999999999998</v>
      </c>
      <c r="AK4587" s="8">
        <f t="shared" ca="1" si="609"/>
        <v>1.0001159722222221</v>
      </c>
      <c r="AL4587" s="98">
        <f t="shared" ca="1" si="608"/>
        <v>4.1840884574295023</v>
      </c>
      <c r="AM4587" s="106">
        <f t="shared" ca="1" si="605"/>
        <v>38126.40522982549</v>
      </c>
      <c r="AN4587" s="10">
        <f t="shared" ca="1" si="606"/>
        <v>1.1170292050376451</v>
      </c>
      <c r="AO4587" s="158"/>
      <c r="AP4587" s="158"/>
    </row>
    <row r="4588" spans="34:42">
      <c r="AH4588" s="6">
        <f t="shared" si="603"/>
        <v>4558</v>
      </c>
      <c r="AI4588" s="7">
        <f t="shared" ca="1" si="604"/>
        <v>47228</v>
      </c>
      <c r="AJ4588" s="210">
        <f t="shared" ca="1" si="607"/>
        <v>4.1749999999999998</v>
      </c>
      <c r="AK4588" s="8">
        <f t="shared" ca="1" si="609"/>
        <v>1.0001159722222221</v>
      </c>
      <c r="AL4588" s="98">
        <f t="shared" ca="1" si="608"/>
        <v>4.1841190446990417</v>
      </c>
      <c r="AM4588" s="106">
        <f t="shared" ca="1" si="605"/>
        <v>38129.54690163202</v>
      </c>
      <c r="AN4588" s="10">
        <f t="shared" ca="1" si="606"/>
        <v>1.1170545784610075</v>
      </c>
      <c r="AO4588" s="158"/>
      <c r="AP4588" s="158"/>
    </row>
    <row r="4589" spans="34:42">
      <c r="AH4589" s="6">
        <f t="shared" si="603"/>
        <v>4559</v>
      </c>
      <c r="AI4589" s="7">
        <f t="shared" ca="1" si="604"/>
        <v>47229</v>
      </c>
      <c r="AJ4589" s="210">
        <f t="shared" ca="1" si="607"/>
        <v>4.1749999999999998</v>
      </c>
      <c r="AK4589" s="8">
        <f t="shared" ca="1" si="609"/>
        <v>1.0001159722222221</v>
      </c>
      <c r="AL4589" s="98">
        <f t="shared" ca="1" si="608"/>
        <v>4.1841496185591298</v>
      </c>
      <c r="AM4589" s="106">
        <f t="shared" ca="1" si="605"/>
        <v>38132.688832316919</v>
      </c>
      <c r="AN4589" s="10">
        <f t="shared" ca="1" si="606"/>
        <v>1.1170799407595799</v>
      </c>
      <c r="AO4589" s="158"/>
      <c r="AP4589" s="158"/>
    </row>
    <row r="4590" spans="34:42">
      <c r="AH4590" s="6">
        <f t="shared" si="603"/>
        <v>4560</v>
      </c>
      <c r="AI4590" s="7">
        <f t="shared" ca="1" si="604"/>
        <v>47230</v>
      </c>
      <c r="AJ4590" s="210">
        <f t="shared" ca="1" si="607"/>
        <v>4.1749999999999998</v>
      </c>
      <c r="AK4590" s="8">
        <f t="shared" ca="1" si="609"/>
        <v>1.0001159722222221</v>
      </c>
      <c r="AL4590" s="98">
        <f t="shared" ca="1" si="608"/>
        <v>4.184180179018604</v>
      </c>
      <c r="AM4590" s="106">
        <f t="shared" ca="1" si="605"/>
        <v>38135.831021901518</v>
      </c>
      <c r="AN4590" s="10">
        <f t="shared" ca="1" si="606"/>
        <v>1.1171052919406899</v>
      </c>
      <c r="AO4590" s="158"/>
      <c r="AP4590" s="158"/>
    </row>
    <row r="4591" spans="34:42">
      <c r="AH4591" s="6">
        <f t="shared" si="603"/>
        <v>4561</v>
      </c>
      <c r="AI4591" s="7">
        <f t="shared" ca="1" si="604"/>
        <v>47231</v>
      </c>
      <c r="AJ4591" s="210">
        <f t="shared" ca="1" si="607"/>
        <v>4.1749999999999998</v>
      </c>
      <c r="AK4591" s="8">
        <f t="shared" ca="1" si="609"/>
        <v>1.0001159722222221</v>
      </c>
      <c r="AL4591" s="98">
        <f t="shared" ca="1" si="608"/>
        <v>4.1842107260862571</v>
      </c>
      <c r="AM4591" s="106">
        <f t="shared" ca="1" si="605"/>
        <v>38138.97347040716</v>
      </c>
      <c r="AN4591" s="10">
        <f t="shared" ca="1" si="606"/>
        <v>1.1171306320116425</v>
      </c>
      <c r="AO4591" s="158"/>
      <c r="AP4591" s="158"/>
    </row>
    <row r="4592" spans="34:42">
      <c r="AH4592" s="6">
        <f t="shared" si="603"/>
        <v>4562</v>
      </c>
      <c r="AI4592" s="7">
        <f t="shared" ca="1" si="604"/>
        <v>47232</v>
      </c>
      <c r="AJ4592" s="210">
        <f t="shared" ca="1" si="607"/>
        <v>4.1749999999999998</v>
      </c>
      <c r="AK4592" s="8">
        <f t="shared" ca="1" si="609"/>
        <v>1.0001159722222221</v>
      </c>
      <c r="AL4592" s="98">
        <f t="shared" ca="1" si="608"/>
        <v>4.1842412597709044</v>
      </c>
      <c r="AM4592" s="106">
        <f t="shared" ca="1" si="605"/>
        <v>38142.116177855176</v>
      </c>
      <c r="AN4592" s="10">
        <f t="shared" ca="1" si="606"/>
        <v>1.1171559609797654</v>
      </c>
      <c r="AO4592" s="158"/>
      <c r="AP4592" s="158"/>
    </row>
    <row r="4593" spans="34:42">
      <c r="AH4593" s="6">
        <f t="shared" si="603"/>
        <v>4563</v>
      </c>
      <c r="AI4593" s="7">
        <f t="shared" ca="1" si="604"/>
        <v>47233</v>
      </c>
      <c r="AJ4593" s="210">
        <f t="shared" ca="1" si="607"/>
        <v>4.1749999999999998</v>
      </c>
      <c r="AK4593" s="8">
        <f t="shared" ca="1" si="609"/>
        <v>1.0001159722222221</v>
      </c>
      <c r="AL4593" s="98">
        <f t="shared" ca="1" si="608"/>
        <v>4.1842717800813389</v>
      </c>
      <c r="AM4593" s="106">
        <f t="shared" ca="1" si="605"/>
        <v>38145.2591442669</v>
      </c>
      <c r="AN4593" s="10">
        <f t="shared" ca="1" si="606"/>
        <v>1.1171812788523416</v>
      </c>
      <c r="AO4593" s="158"/>
      <c r="AP4593" s="158"/>
    </row>
    <row r="4594" spans="34:42">
      <c r="AH4594" s="6">
        <f t="shared" si="603"/>
        <v>4564</v>
      </c>
      <c r="AI4594" s="7">
        <f t="shared" ca="1" si="604"/>
        <v>47234</v>
      </c>
      <c r="AJ4594" s="210">
        <f t="shared" ca="1" si="607"/>
        <v>4.1749999999999998</v>
      </c>
      <c r="AK4594" s="8">
        <f t="shared" ca="1" si="609"/>
        <v>1.0001159722222221</v>
      </c>
      <c r="AL4594" s="98">
        <f t="shared" ca="1" si="608"/>
        <v>4.1843022870263313</v>
      </c>
      <c r="AM4594" s="106">
        <f t="shared" ca="1" si="605"/>
        <v>38148.40236966368</v>
      </c>
      <c r="AN4594" s="10">
        <f t="shared" ca="1" si="606"/>
        <v>1.1172065856366542</v>
      </c>
      <c r="AO4594" s="158"/>
      <c r="AP4594" s="158"/>
    </row>
    <row r="4595" spans="34:42">
      <c r="AH4595" s="6">
        <f t="shared" si="603"/>
        <v>4565</v>
      </c>
      <c r="AI4595" s="7">
        <f t="shared" ca="1" si="604"/>
        <v>47235</v>
      </c>
      <c r="AJ4595" s="210">
        <f t="shared" ca="1" si="607"/>
        <v>4.1749999999999998</v>
      </c>
      <c r="AK4595" s="8">
        <f t="shared" ca="1" si="609"/>
        <v>1.0001159722222221</v>
      </c>
      <c r="AL4595" s="98">
        <f t="shared" ca="1" si="608"/>
        <v>4.1843327806146746</v>
      </c>
      <c r="AM4595" s="106">
        <f t="shared" ca="1" si="605"/>
        <v>38151.545854066841</v>
      </c>
      <c r="AN4595" s="10">
        <f t="shared" ca="1" si="606"/>
        <v>1.1172318813399862</v>
      </c>
      <c r="AO4595" s="158"/>
      <c r="AP4595" s="158"/>
    </row>
    <row r="4596" spans="34:42">
      <c r="AH4596" s="6">
        <f t="shared" si="603"/>
        <v>4566</v>
      </c>
      <c r="AI4596" s="7">
        <f t="shared" ca="1" si="604"/>
        <v>47236</v>
      </c>
      <c r="AJ4596" s="210">
        <f t="shared" ca="1" si="607"/>
        <v>4.1749999999999998</v>
      </c>
      <c r="AK4596" s="8">
        <f t="shared" ca="1" si="609"/>
        <v>1.0001159722222221</v>
      </c>
      <c r="AL4596" s="98">
        <f t="shared" ca="1" si="608"/>
        <v>4.1843632608551173</v>
      </c>
      <c r="AM4596" s="106">
        <f t="shared" ca="1" si="605"/>
        <v>38154.689597497745</v>
      </c>
      <c r="AN4596" s="10">
        <f t="shared" ca="1" si="606"/>
        <v>1.1172571659695985</v>
      </c>
      <c r="AO4596" s="158"/>
      <c r="AP4596" s="158"/>
    </row>
    <row r="4597" spans="34:42">
      <c r="AH4597" s="6">
        <f t="shared" si="603"/>
        <v>4567</v>
      </c>
      <c r="AI4597" s="7">
        <f t="shared" ca="1" si="604"/>
        <v>47237</v>
      </c>
      <c r="AJ4597" s="210">
        <f t="shared" ca="1" si="607"/>
        <v>4.1749999999999998</v>
      </c>
      <c r="AK4597" s="8">
        <f t="shared" ca="1" si="609"/>
        <v>1.0001159722222221</v>
      </c>
      <c r="AL4597" s="98">
        <f t="shared" ca="1" si="608"/>
        <v>4.1843937277564303</v>
      </c>
      <c r="AM4597" s="106">
        <f t="shared" ca="1" si="605"/>
        <v>38157.833599977719</v>
      </c>
      <c r="AN4597" s="10">
        <f t="shared" ca="1" si="606"/>
        <v>1.1172824395327741</v>
      </c>
      <c r="AO4597" s="158"/>
      <c r="AP4597" s="158"/>
    </row>
    <row r="4598" spans="34:42">
      <c r="AH4598" s="6">
        <f t="shared" si="603"/>
        <v>4568</v>
      </c>
      <c r="AI4598" s="7">
        <f t="shared" ca="1" si="604"/>
        <v>47238</v>
      </c>
      <c r="AJ4598" s="210">
        <f t="shared" ca="1" si="607"/>
        <v>4.1749999999999998</v>
      </c>
      <c r="AK4598" s="8">
        <f t="shared" ca="1" si="609"/>
        <v>1.0001159722222221</v>
      </c>
      <c r="AL4598" s="98">
        <f t="shared" ca="1" si="608"/>
        <v>4.1844241813273841</v>
      </c>
      <c r="AM4598" s="106">
        <f t="shared" ca="1" si="605"/>
        <v>38160.977861528125</v>
      </c>
      <c r="AN4598" s="10">
        <f t="shared" ca="1" si="606"/>
        <v>1.1173077020367739</v>
      </c>
      <c r="AO4598" s="158"/>
      <c r="AP4598" s="158"/>
    </row>
    <row r="4599" spans="34:42">
      <c r="AH4599" s="6">
        <f t="shared" si="603"/>
        <v>4569</v>
      </c>
      <c r="AI4599" s="7">
        <f t="shared" ca="1" si="604"/>
        <v>47239</v>
      </c>
      <c r="AJ4599" s="210">
        <f t="shared" ca="1" si="607"/>
        <v>4.1749999999999998</v>
      </c>
      <c r="AK4599" s="8">
        <f t="shared" ca="1" si="609"/>
        <v>1.0001159722222221</v>
      </c>
      <c r="AL4599" s="98">
        <f t="shared" ca="1" si="608"/>
        <v>4.1844546215767053</v>
      </c>
      <c r="AM4599" s="106">
        <f t="shared" ca="1" si="605"/>
        <v>38164.122382170295</v>
      </c>
      <c r="AN4599" s="10">
        <f t="shared" ca="1" si="606"/>
        <v>1.117332953488881</v>
      </c>
      <c r="AO4599" s="158"/>
      <c r="AP4599" s="158"/>
    </row>
    <row r="4600" spans="34:42">
      <c r="AH4600" s="6">
        <f t="shared" si="603"/>
        <v>4570</v>
      </c>
      <c r="AI4600" s="7">
        <f t="shared" ca="1" si="604"/>
        <v>47240</v>
      </c>
      <c r="AJ4600" s="210">
        <f t="shared" ca="1" si="607"/>
        <v>4.1749999999999998</v>
      </c>
      <c r="AK4600" s="8">
        <f t="shared" ca="1" si="609"/>
        <v>1.0001159722222221</v>
      </c>
      <c r="AL4600" s="98">
        <f t="shared" ca="1" si="608"/>
        <v>4.1844850485131424</v>
      </c>
      <c r="AM4600" s="106">
        <f t="shared" ca="1" si="605"/>
        <v>38167.267161925593</v>
      </c>
      <c r="AN4600" s="10">
        <f t="shared" ca="1" si="606"/>
        <v>1.1173581938963117</v>
      </c>
      <c r="AO4600" s="158"/>
      <c r="AP4600" s="158"/>
    </row>
    <row r="4601" spans="34:42">
      <c r="AH4601" s="6">
        <f t="shared" si="603"/>
        <v>4571</v>
      </c>
      <c r="AI4601" s="7">
        <f t="shared" ca="1" si="604"/>
        <v>47241</v>
      </c>
      <c r="AJ4601" s="210">
        <f t="shared" ca="1" si="607"/>
        <v>4.1749999999999998</v>
      </c>
      <c r="AK4601" s="8">
        <f t="shared" ca="1" si="609"/>
        <v>1.0001159722222221</v>
      </c>
      <c r="AL4601" s="98">
        <f t="shared" ca="1" si="608"/>
        <v>4.1845154621454439</v>
      </c>
      <c r="AM4601" s="106">
        <f t="shared" ca="1" si="605"/>
        <v>38170.412200815357</v>
      </c>
      <c r="AN4601" s="10">
        <f t="shared" ca="1" si="606"/>
        <v>1.1173834232663271</v>
      </c>
      <c r="AO4601" s="158"/>
      <c r="AP4601" s="158"/>
    </row>
    <row r="4602" spans="34:42">
      <c r="AH4602" s="6">
        <f t="shared" si="603"/>
        <v>4572</v>
      </c>
      <c r="AI4602" s="7">
        <f t="shared" ca="1" si="604"/>
        <v>47242</v>
      </c>
      <c r="AJ4602" s="210">
        <f t="shared" ca="1" si="607"/>
        <v>4.1749999999999998</v>
      </c>
      <c r="AK4602" s="8">
        <f t="shared" ca="1" si="609"/>
        <v>1.0001159722222221</v>
      </c>
      <c r="AL4602" s="98">
        <f t="shared" ca="1" si="608"/>
        <v>4.184545862482314</v>
      </c>
      <c r="AM4602" s="106">
        <f t="shared" ca="1" si="605"/>
        <v>38173.557498860951</v>
      </c>
      <c r="AN4602" s="10">
        <f t="shared" ca="1" si="606"/>
        <v>1.1174086416061879</v>
      </c>
      <c r="AO4602" s="158"/>
      <c r="AP4602" s="158"/>
    </row>
    <row r="4603" spans="34:42">
      <c r="AH4603" s="6">
        <f t="shared" si="603"/>
        <v>4573</v>
      </c>
      <c r="AI4603" s="7">
        <f t="shared" ca="1" si="604"/>
        <v>47243</v>
      </c>
      <c r="AJ4603" s="210">
        <f t="shared" ca="1" si="607"/>
        <v>4.1749999999999998</v>
      </c>
      <c r="AK4603" s="8">
        <f t="shared" ca="1" si="609"/>
        <v>1.0001159722222221</v>
      </c>
      <c r="AL4603" s="98">
        <f t="shared" ca="1" si="608"/>
        <v>4.1845762495324568</v>
      </c>
      <c r="AM4603" s="106">
        <f t="shared" ca="1" si="605"/>
        <v>38176.703056083723</v>
      </c>
      <c r="AN4603" s="10">
        <f t="shared" ca="1" si="606"/>
        <v>1.1174338489230662</v>
      </c>
      <c r="AO4603" s="158"/>
      <c r="AP4603" s="158"/>
    </row>
    <row r="4604" spans="34:42">
      <c r="AH4604" s="6">
        <f t="shared" si="603"/>
        <v>4574</v>
      </c>
      <c r="AI4604" s="7">
        <f t="shared" ca="1" si="604"/>
        <v>47244</v>
      </c>
      <c r="AJ4604" s="210">
        <f t="shared" ca="1" si="607"/>
        <v>4.1749999999999998</v>
      </c>
      <c r="AK4604" s="8">
        <f t="shared" ca="1" si="609"/>
        <v>1.0001159722222221</v>
      </c>
      <c r="AL4604" s="98">
        <f t="shared" ca="1" si="608"/>
        <v>4.1846066233045986</v>
      </c>
      <c r="AM4604" s="106">
        <f t="shared" ca="1" si="605"/>
        <v>38179.848872505034</v>
      </c>
      <c r="AN4604" s="10">
        <f t="shared" ca="1" si="606"/>
        <v>1.117459045224245</v>
      </c>
      <c r="AO4604" s="158"/>
      <c r="AP4604" s="158"/>
    </row>
    <row r="4605" spans="34:42">
      <c r="AH4605" s="6">
        <f t="shared" si="603"/>
        <v>4575</v>
      </c>
      <c r="AI4605" s="7">
        <f t="shared" ca="1" si="604"/>
        <v>47245</v>
      </c>
      <c r="AJ4605" s="210">
        <f t="shared" ca="1" si="607"/>
        <v>4.1749999999999998</v>
      </c>
      <c r="AK4605" s="8">
        <f t="shared" ca="1" si="609"/>
        <v>1.0001159722222221</v>
      </c>
      <c r="AL4605" s="98">
        <f t="shared" ca="1" si="608"/>
        <v>4.1846369838074438</v>
      </c>
      <c r="AM4605" s="106">
        <f t="shared" ca="1" si="605"/>
        <v>38182.994948146224</v>
      </c>
      <c r="AN4605" s="10">
        <f t="shared" ca="1" si="606"/>
        <v>1.1174842305168964</v>
      </c>
      <c r="AO4605" s="158"/>
      <c r="AP4605" s="158"/>
    </row>
    <row r="4606" spans="34:42">
      <c r="AH4606" s="6">
        <f t="shared" si="603"/>
        <v>4576</v>
      </c>
      <c r="AI4606" s="7">
        <f t="shared" ca="1" si="604"/>
        <v>47246</v>
      </c>
      <c r="AJ4606" s="210">
        <f t="shared" ca="1" si="607"/>
        <v>4.1749999999999998</v>
      </c>
      <c r="AK4606" s="8">
        <f t="shared" ca="1" si="609"/>
        <v>1.0001159722222221</v>
      </c>
      <c r="AL4606" s="98">
        <f t="shared" ca="1" si="608"/>
        <v>4.184667331049674</v>
      </c>
      <c r="AM4606" s="106">
        <f t="shared" ca="1" si="605"/>
        <v>38186.141283028686</v>
      </c>
      <c r="AN4606" s="10">
        <f t="shared" ca="1" si="606"/>
        <v>1.1175094048082812</v>
      </c>
      <c r="AO4606" s="158"/>
      <c r="AP4606" s="158"/>
    </row>
    <row r="4607" spans="34:42">
      <c r="AH4607" s="6">
        <f t="shared" si="603"/>
        <v>4577</v>
      </c>
      <c r="AI4607" s="7">
        <f t="shared" ca="1" si="604"/>
        <v>47247</v>
      </c>
      <c r="AJ4607" s="210">
        <f t="shared" ca="1" si="607"/>
        <v>4.1749999999999998</v>
      </c>
      <c r="AK4607" s="8">
        <f t="shared" ca="1" si="609"/>
        <v>1.0001159722222221</v>
      </c>
      <c r="AL4607" s="98">
        <f t="shared" ca="1" si="608"/>
        <v>4.1846976650399936</v>
      </c>
      <c r="AM4607" s="106">
        <f t="shared" ca="1" si="605"/>
        <v>38189.287877173767</v>
      </c>
      <c r="AN4607" s="10">
        <f t="shared" ca="1" si="606"/>
        <v>1.1175345681055937</v>
      </c>
      <c r="AO4607" s="158"/>
      <c r="AP4607" s="158"/>
    </row>
    <row r="4608" spans="34:42">
      <c r="AH4608" s="6">
        <f t="shared" si="603"/>
        <v>4578</v>
      </c>
      <c r="AI4608" s="7">
        <f t="shared" ca="1" si="604"/>
        <v>47248</v>
      </c>
      <c r="AJ4608" s="210">
        <f t="shared" ca="1" si="607"/>
        <v>4.1749999999999998</v>
      </c>
      <c r="AK4608" s="8">
        <f t="shared" ca="1" si="609"/>
        <v>1.0001159722222221</v>
      </c>
      <c r="AL4608" s="98">
        <f t="shared" ca="1" si="608"/>
        <v>4.1847279857870623</v>
      </c>
      <c r="AM4608" s="106">
        <f t="shared" ca="1" si="605"/>
        <v>38192.434730602814</v>
      </c>
      <c r="AN4608" s="10">
        <f t="shared" ca="1" si="606"/>
        <v>1.1175597204160059</v>
      </c>
      <c r="AO4608" s="158"/>
      <c r="AP4608" s="158"/>
    </row>
    <row r="4609" spans="34:42">
      <c r="AH4609" s="6">
        <f t="shared" si="603"/>
        <v>4579</v>
      </c>
      <c r="AI4609" s="7">
        <f t="shared" ca="1" si="604"/>
        <v>47249</v>
      </c>
      <c r="AJ4609" s="210">
        <f t="shared" ca="1" si="607"/>
        <v>4.1749999999999998</v>
      </c>
      <c r="AK4609" s="8">
        <f t="shared" ca="1" si="609"/>
        <v>1.0001159722222221</v>
      </c>
      <c r="AL4609" s="98">
        <f t="shared" ca="1" si="608"/>
        <v>4.1847582932995619</v>
      </c>
      <c r="AM4609" s="106">
        <f t="shared" ca="1" si="605"/>
        <v>38195.581843337219</v>
      </c>
      <c r="AN4609" s="10">
        <f t="shared" ca="1" si="606"/>
        <v>1.1175848617467343</v>
      </c>
      <c r="AO4609" s="158"/>
      <c r="AP4609" s="158"/>
    </row>
    <row r="4610" spans="34:42">
      <c r="AH4610" s="6">
        <f t="shared" si="603"/>
        <v>4580</v>
      </c>
      <c r="AI4610" s="7">
        <f t="shared" ca="1" si="604"/>
        <v>47250</v>
      </c>
      <c r="AJ4610" s="210">
        <f t="shared" ca="1" si="607"/>
        <v>4.1749999999999998</v>
      </c>
      <c r="AK4610" s="8">
        <f t="shared" ca="1" si="609"/>
        <v>1.0001159722222221</v>
      </c>
      <c r="AL4610" s="98">
        <f t="shared" ca="1" si="608"/>
        <v>4.1847885875861524</v>
      </c>
      <c r="AM4610" s="106">
        <f t="shared" ca="1" si="605"/>
        <v>38198.729215398336</v>
      </c>
      <c r="AN4610" s="10">
        <f t="shared" ca="1" si="606"/>
        <v>1.1176099921049731</v>
      </c>
      <c r="AO4610" s="158"/>
      <c r="AP4610" s="158"/>
    </row>
    <row r="4611" spans="34:42">
      <c r="AH4611" s="6">
        <f t="shared" si="603"/>
        <v>4581</v>
      </c>
      <c r="AI4611" s="7">
        <f t="shared" ca="1" si="604"/>
        <v>47251</v>
      </c>
      <c r="AJ4611" s="210">
        <f t="shared" ca="1" si="607"/>
        <v>4.1749999999999998</v>
      </c>
      <c r="AK4611" s="8">
        <f t="shared" ca="1" si="609"/>
        <v>1.0001159722222221</v>
      </c>
      <c r="AL4611" s="98">
        <f t="shared" ca="1" si="608"/>
        <v>4.184818868655471</v>
      </c>
      <c r="AM4611" s="106">
        <f t="shared" ca="1" si="605"/>
        <v>38201.876846807529</v>
      </c>
      <c r="AN4611" s="10">
        <f t="shared" ca="1" si="606"/>
        <v>1.1176351114978722</v>
      </c>
      <c r="AO4611" s="158"/>
      <c r="AP4611" s="158"/>
    </row>
    <row r="4612" spans="34:42">
      <c r="AH4612" s="6">
        <f t="shared" si="603"/>
        <v>4582</v>
      </c>
      <c r="AI4612" s="7">
        <f t="shared" ca="1" si="604"/>
        <v>47252</v>
      </c>
      <c r="AJ4612" s="210">
        <f t="shared" ca="1" si="607"/>
        <v>4.1749999999999998</v>
      </c>
      <c r="AK4612" s="8">
        <f t="shared" ca="1" si="609"/>
        <v>1.0001159722222221</v>
      </c>
      <c r="AL4612" s="98">
        <f t="shared" ca="1" si="608"/>
        <v>4.1848491365161999</v>
      </c>
      <c r="AM4612" s="106">
        <f t="shared" ca="1" si="605"/>
        <v>38205.024737586173</v>
      </c>
      <c r="AN4612" s="10">
        <f t="shared" ca="1" si="606"/>
        <v>1.117660219932648</v>
      </c>
      <c r="AO4612" s="158"/>
      <c r="AP4612" s="158"/>
    </row>
    <row r="4613" spans="34:42">
      <c r="AH4613" s="6">
        <f t="shared" si="603"/>
        <v>4583</v>
      </c>
      <c r="AI4613" s="7">
        <f t="shared" ca="1" si="604"/>
        <v>47253</v>
      </c>
      <c r="AJ4613" s="210">
        <f t="shared" ca="1" si="607"/>
        <v>4.1749999999999998</v>
      </c>
      <c r="AK4613" s="8">
        <f t="shared" ca="1" si="609"/>
        <v>1.0001159722222221</v>
      </c>
      <c r="AL4613" s="98">
        <f t="shared" ca="1" si="608"/>
        <v>4.1848793911769544</v>
      </c>
      <c r="AM4613" s="106">
        <f t="shared" ca="1" si="605"/>
        <v>38208.172887755652</v>
      </c>
      <c r="AN4613" s="10">
        <f t="shared" ca="1" si="606"/>
        <v>1.1176853174164503</v>
      </c>
      <c r="AO4613" s="158"/>
      <c r="AP4613" s="158"/>
    </row>
    <row r="4614" spans="34:42">
      <c r="AH4614" s="6">
        <f t="shared" si="603"/>
        <v>4584</v>
      </c>
      <c r="AI4614" s="7">
        <f t="shared" ca="1" si="604"/>
        <v>47254</v>
      </c>
      <c r="AJ4614" s="210">
        <f t="shared" ca="1" si="607"/>
        <v>4.1749999999999998</v>
      </c>
      <c r="AK4614" s="8">
        <f t="shared" ca="1" si="609"/>
        <v>1.0001159722222221</v>
      </c>
      <c r="AL4614" s="98">
        <f t="shared" ca="1" si="608"/>
        <v>4.1849096326463719</v>
      </c>
      <c r="AM4614" s="106">
        <f t="shared" ca="1" si="605"/>
        <v>38211.321297337323</v>
      </c>
      <c r="AN4614" s="10">
        <f t="shared" ca="1" si="606"/>
        <v>1.117710403956429</v>
      </c>
      <c r="AO4614" s="158"/>
      <c r="AP4614" s="158"/>
    </row>
    <row r="4615" spans="34:42">
      <c r="AH4615" s="6">
        <f t="shared" si="603"/>
        <v>4585</v>
      </c>
      <c r="AI4615" s="7">
        <f t="shared" ca="1" si="604"/>
        <v>47255</v>
      </c>
      <c r="AJ4615" s="210">
        <f t="shared" ca="1" si="607"/>
        <v>4.1749999999999998</v>
      </c>
      <c r="AK4615" s="8">
        <f t="shared" ca="1" si="609"/>
        <v>1.0001159722222221</v>
      </c>
      <c r="AL4615" s="98">
        <f t="shared" ca="1" si="608"/>
        <v>4.1849398609330901</v>
      </c>
      <c r="AM4615" s="106">
        <f t="shared" ca="1" si="605"/>
        <v>38214.469966352575</v>
      </c>
      <c r="AN4615" s="10">
        <f t="shared" ca="1" si="606"/>
        <v>1.1177354795597561</v>
      </c>
      <c r="AO4615" s="158"/>
      <c r="AP4615" s="158"/>
    </row>
    <row r="4616" spans="34:42">
      <c r="AH4616" s="6">
        <f t="shared" si="603"/>
        <v>4586</v>
      </c>
      <c r="AI4616" s="7">
        <f t="shared" ca="1" si="604"/>
        <v>47256</v>
      </c>
      <c r="AJ4616" s="210">
        <f t="shared" ca="1" si="607"/>
        <v>4.1749999999999998</v>
      </c>
      <c r="AK4616" s="8">
        <f t="shared" ca="1" si="609"/>
        <v>1.0001159722222221</v>
      </c>
      <c r="AL4616" s="98">
        <f t="shared" ca="1" si="608"/>
        <v>4.184970076045702</v>
      </c>
      <c r="AM4616" s="106">
        <f t="shared" ca="1" si="605"/>
        <v>38217.618894822779</v>
      </c>
      <c r="AN4616" s="10">
        <f t="shared" ca="1" si="606"/>
        <v>1.1177605442335592</v>
      </c>
      <c r="AO4616" s="158"/>
      <c r="AP4616" s="158"/>
    </row>
    <row r="4617" spans="34:42">
      <c r="AH4617" s="6">
        <f t="shared" si="603"/>
        <v>4587</v>
      </c>
      <c r="AI4617" s="7">
        <f t="shared" ca="1" si="604"/>
        <v>47257</v>
      </c>
      <c r="AJ4617" s="210">
        <f t="shared" ca="1" si="607"/>
        <v>4.1749999999999998</v>
      </c>
      <c r="AK4617" s="8">
        <f t="shared" ca="1" si="609"/>
        <v>1.0001159722222221</v>
      </c>
      <c r="AL4617" s="98">
        <f t="shared" ca="1" si="608"/>
        <v>4.1850002779928452</v>
      </c>
      <c r="AM4617" s="106">
        <f t="shared" ca="1" si="605"/>
        <v>38220.768082769311</v>
      </c>
      <c r="AN4617" s="10">
        <f t="shared" ca="1" si="606"/>
        <v>1.1177855979850326</v>
      </c>
      <c r="AO4617" s="158"/>
      <c r="AP4617" s="158"/>
    </row>
    <row r="4618" spans="34:42">
      <c r="AH4618" s="6">
        <f t="shared" si="603"/>
        <v>4588</v>
      </c>
      <c r="AI4618" s="7">
        <f t="shared" ca="1" si="604"/>
        <v>47258</v>
      </c>
      <c r="AJ4618" s="210">
        <f t="shared" ca="1" si="607"/>
        <v>4.1749999999999998</v>
      </c>
      <c r="AK4618" s="8">
        <f t="shared" ca="1" si="609"/>
        <v>1.0001159722222221</v>
      </c>
      <c r="AL4618" s="98">
        <f t="shared" ca="1" si="608"/>
        <v>4.1850304667831129</v>
      </c>
      <c r="AM4618" s="106">
        <f t="shared" ca="1" si="605"/>
        <v>38223.917530213555</v>
      </c>
      <c r="AN4618" s="10">
        <f t="shared" ca="1" si="606"/>
        <v>1.1178106408212596</v>
      </c>
      <c r="AO4618" s="158"/>
      <c r="AP4618" s="158"/>
    </row>
    <row r="4619" spans="34:42">
      <c r="AH4619" s="6">
        <f t="shared" si="603"/>
        <v>4589</v>
      </c>
      <c r="AI4619" s="7">
        <f t="shared" ca="1" si="604"/>
        <v>47259</v>
      </c>
      <c r="AJ4619" s="210">
        <f t="shared" ca="1" si="607"/>
        <v>4.1749999999999998</v>
      </c>
      <c r="AK4619" s="8">
        <f t="shared" ca="1" si="609"/>
        <v>1.0001159722222221</v>
      </c>
      <c r="AL4619" s="98">
        <f t="shared" ca="1" si="608"/>
        <v>4.185060642425098</v>
      </c>
      <c r="AM4619" s="106">
        <f t="shared" ca="1" si="605"/>
        <v>38227.067237176903</v>
      </c>
      <c r="AN4619" s="10">
        <f t="shared" ca="1" si="606"/>
        <v>1.1178356727494121</v>
      </c>
      <c r="AO4619" s="158"/>
      <c r="AP4619" s="158"/>
    </row>
    <row r="4620" spans="34:42">
      <c r="AH4620" s="6">
        <f t="shared" si="603"/>
        <v>4590</v>
      </c>
      <c r="AI4620" s="7">
        <f t="shared" ca="1" si="604"/>
        <v>47260</v>
      </c>
      <c r="AJ4620" s="210">
        <f t="shared" ca="1" si="607"/>
        <v>4.1749999999999998</v>
      </c>
      <c r="AK4620" s="8">
        <f t="shared" ca="1" si="609"/>
        <v>1.0001159722222221</v>
      </c>
      <c r="AL4620" s="98">
        <f t="shared" ca="1" si="608"/>
        <v>4.1850908049273938</v>
      </c>
      <c r="AM4620" s="106">
        <f t="shared" ca="1" si="605"/>
        <v>38230.217203680724</v>
      </c>
      <c r="AN4620" s="10">
        <f t="shared" ca="1" si="606"/>
        <v>1.1178606937765956</v>
      </c>
      <c r="AO4620" s="158"/>
      <c r="AP4620" s="158"/>
    </row>
    <row r="4621" spans="34:42">
      <c r="AH4621" s="6">
        <f t="shared" si="603"/>
        <v>4591</v>
      </c>
      <c r="AI4621" s="7">
        <f t="shared" ca="1" si="604"/>
        <v>47261</v>
      </c>
      <c r="AJ4621" s="210">
        <f t="shared" ca="1" si="607"/>
        <v>4.1749999999999998</v>
      </c>
      <c r="AK4621" s="8">
        <f t="shared" ca="1" si="609"/>
        <v>1.0001159722222221</v>
      </c>
      <c r="AL4621" s="98">
        <f t="shared" ca="1" si="608"/>
        <v>4.1851209542985712</v>
      </c>
      <c r="AM4621" s="106">
        <f t="shared" ca="1" si="605"/>
        <v>38233.367429746417</v>
      </c>
      <c r="AN4621" s="10">
        <f t="shared" ca="1" si="606"/>
        <v>1.1178857039099377</v>
      </c>
      <c r="AO4621" s="158"/>
      <c r="AP4621" s="158"/>
    </row>
    <row r="4622" spans="34:42">
      <c r="AH4622" s="6">
        <f t="shared" si="603"/>
        <v>4592</v>
      </c>
      <c r="AI4622" s="7">
        <f t="shared" ca="1" si="604"/>
        <v>47262</v>
      </c>
      <c r="AJ4622" s="210">
        <f t="shared" ca="1" si="607"/>
        <v>4.1749999999999998</v>
      </c>
      <c r="AK4622" s="8">
        <f t="shared" ca="1" si="609"/>
        <v>1.0001159722222221</v>
      </c>
      <c r="AL4622" s="98">
        <f t="shared" ca="1" si="608"/>
        <v>4.1851510905472011</v>
      </c>
      <c r="AM4622" s="106">
        <f t="shared" ca="1" si="605"/>
        <v>38236.517915395365</v>
      </c>
      <c r="AN4622" s="10">
        <f t="shared" ca="1" si="606"/>
        <v>1.1179107031565438</v>
      </c>
      <c r="AO4622" s="158"/>
      <c r="AP4622" s="158"/>
    </row>
    <row r="4623" spans="34:42">
      <c r="AH4623" s="6">
        <f t="shared" si="603"/>
        <v>4593</v>
      </c>
      <c r="AI4623" s="7">
        <f t="shared" ca="1" si="604"/>
        <v>47263</v>
      </c>
      <c r="AJ4623" s="210">
        <f t="shared" ca="1" si="607"/>
        <v>4.1749999999999998</v>
      </c>
      <c r="AK4623" s="8">
        <f t="shared" ca="1" si="609"/>
        <v>1.0001159722222221</v>
      </c>
      <c r="AL4623" s="98">
        <f t="shared" ca="1" si="608"/>
        <v>4.1851812136818545</v>
      </c>
      <c r="AM4623" s="106">
        <f t="shared" ca="1" si="605"/>
        <v>38239.66866064896</v>
      </c>
      <c r="AN4623" s="10">
        <f t="shared" ca="1" si="606"/>
        <v>1.1179356915235195</v>
      </c>
      <c r="AO4623" s="158"/>
      <c r="AP4623" s="158"/>
    </row>
    <row r="4624" spans="34:42">
      <c r="AH4624" s="6">
        <f t="shared" si="603"/>
        <v>4594</v>
      </c>
      <c r="AI4624" s="7">
        <f t="shared" ca="1" si="604"/>
        <v>47264</v>
      </c>
      <c r="AJ4624" s="210">
        <f t="shared" ca="1" si="607"/>
        <v>4.1749999999999998</v>
      </c>
      <c r="AK4624" s="8">
        <f t="shared" ca="1" si="609"/>
        <v>1.0001159722222221</v>
      </c>
      <c r="AL4624" s="98">
        <f t="shared" ca="1" si="608"/>
        <v>4.1852113237111022</v>
      </c>
      <c r="AM4624" s="106">
        <f t="shared" ca="1" si="605"/>
        <v>38242.819665528594</v>
      </c>
      <c r="AN4624" s="10">
        <f t="shared" ca="1" si="606"/>
        <v>1.11796066901797</v>
      </c>
      <c r="AO4624" s="158"/>
      <c r="AP4624" s="158"/>
    </row>
    <row r="4625" spans="34:42">
      <c r="AH4625" s="6">
        <f t="shared" si="603"/>
        <v>4595</v>
      </c>
      <c r="AI4625" s="7">
        <f t="shared" ca="1" si="604"/>
        <v>47265</v>
      </c>
      <c r="AJ4625" s="210">
        <f t="shared" ca="1" si="607"/>
        <v>4.1749999999999998</v>
      </c>
      <c r="AK4625" s="8">
        <f t="shared" ca="1" si="609"/>
        <v>1.0001159722222221</v>
      </c>
      <c r="AL4625" s="98">
        <f t="shared" ca="1" si="608"/>
        <v>4.1852414206434707</v>
      </c>
      <c r="AM4625" s="106">
        <f t="shared" ca="1" si="605"/>
        <v>38245.970930055664</v>
      </c>
      <c r="AN4625" s="10">
        <f t="shared" ca="1" si="606"/>
        <v>1.1179856356469564</v>
      </c>
      <c r="AO4625" s="158"/>
      <c r="AP4625" s="158"/>
    </row>
    <row r="4626" spans="34:42">
      <c r="AH4626" s="6">
        <f t="shared" si="603"/>
        <v>4596</v>
      </c>
      <c r="AI4626" s="7">
        <f t="shared" ca="1" si="604"/>
        <v>47266</v>
      </c>
      <c r="AJ4626" s="210">
        <f t="shared" ca="1" si="607"/>
        <v>4.1749999999999998</v>
      </c>
      <c r="AK4626" s="8">
        <f t="shared" ca="1" si="609"/>
        <v>1.0001159722222221</v>
      </c>
      <c r="AL4626" s="98">
        <f t="shared" ca="1" si="608"/>
        <v>4.185271504487531</v>
      </c>
      <c r="AM4626" s="106">
        <f t="shared" ca="1" si="605"/>
        <v>38249.122454251556</v>
      </c>
      <c r="AN4626" s="10">
        <f t="shared" ca="1" si="606"/>
        <v>1.1180105914176508</v>
      </c>
      <c r="AO4626" s="158"/>
      <c r="AP4626" s="158"/>
    </row>
    <row r="4627" spans="34:42">
      <c r="AH4627" s="6">
        <f t="shared" si="603"/>
        <v>4597</v>
      </c>
      <c r="AI4627" s="7">
        <f t="shared" ca="1" si="604"/>
        <v>47267</v>
      </c>
      <c r="AJ4627" s="210">
        <f t="shared" ca="1" si="607"/>
        <v>4.1749999999999998</v>
      </c>
      <c r="AK4627" s="8">
        <f t="shared" ca="1" si="609"/>
        <v>1.0001159722222221</v>
      </c>
      <c r="AL4627" s="98">
        <f t="shared" ca="1" si="608"/>
        <v>4.1853015752518097</v>
      </c>
      <c r="AM4627" s="106">
        <f t="shared" ca="1" si="605"/>
        <v>38252.274238137674</v>
      </c>
      <c r="AN4627" s="10">
        <f t="shared" ca="1" si="606"/>
        <v>1.1180355363370698</v>
      </c>
      <c r="AO4627" s="158"/>
      <c r="AP4627" s="158"/>
    </row>
    <row r="4628" spans="34:42">
      <c r="AH4628" s="6">
        <f t="shared" ref="AH4628:AH4691" si="610">$AI$29+AH4627</f>
        <v>4598</v>
      </c>
      <c r="AI4628" s="7">
        <f t="shared" ref="AI4628:AI4691" ca="1" si="611">+AH4628+$C$1</f>
        <v>47268</v>
      </c>
      <c r="AJ4628" s="210">
        <f t="shared" ca="1" si="607"/>
        <v>4.1749999999999998</v>
      </c>
      <c r="AK4628" s="8">
        <f t="shared" ca="1" si="609"/>
        <v>1.0001159722222221</v>
      </c>
      <c r="AL4628" s="98">
        <f t="shared" ca="1" si="608"/>
        <v>4.1853316329448109</v>
      </c>
      <c r="AM4628" s="106">
        <f t="shared" ca="1" si="605"/>
        <v>38255.42628173541</v>
      </c>
      <c r="AN4628" s="10">
        <f t="shared" ca="1" si="606"/>
        <v>1.1180604704122965</v>
      </c>
      <c r="AO4628" s="158"/>
      <c r="AP4628" s="158"/>
    </row>
    <row r="4629" spans="34:42">
      <c r="AH4629" s="6">
        <f t="shared" si="610"/>
        <v>4599</v>
      </c>
      <c r="AI4629" s="7">
        <f t="shared" ca="1" si="611"/>
        <v>47269</v>
      </c>
      <c r="AJ4629" s="210">
        <f t="shared" ca="1" si="607"/>
        <v>4.1749999999999998</v>
      </c>
      <c r="AK4629" s="8">
        <f t="shared" ca="1" si="609"/>
        <v>1.0001159722222221</v>
      </c>
      <c r="AL4629" s="98">
        <f t="shared" ca="1" si="608"/>
        <v>4.1853616775750835</v>
      </c>
      <c r="AM4629" s="106">
        <f t="shared" ca="1" si="605"/>
        <v>38258.57858506617</v>
      </c>
      <c r="AN4629" s="10">
        <f t="shared" ca="1" si="606"/>
        <v>1.1180853936504143</v>
      </c>
      <c r="AO4629" s="158"/>
      <c r="AP4629" s="158"/>
    </row>
    <row r="4630" spans="34:42">
      <c r="AH4630" s="6">
        <f t="shared" si="610"/>
        <v>4600</v>
      </c>
      <c r="AI4630" s="7">
        <f t="shared" ca="1" si="611"/>
        <v>47270</v>
      </c>
      <c r="AJ4630" s="210">
        <f t="shared" ca="1" si="607"/>
        <v>4.1749999999999998</v>
      </c>
      <c r="AK4630" s="8">
        <f t="shared" ca="1" si="609"/>
        <v>1.0001159722222221</v>
      </c>
      <c r="AL4630" s="98">
        <f t="shared" ca="1" si="608"/>
        <v>4.1853917091511317</v>
      </c>
      <c r="AM4630" s="106">
        <f t="shared" ca="1" si="605"/>
        <v>38261.731148151361</v>
      </c>
      <c r="AN4630" s="10">
        <f t="shared" ca="1" si="606"/>
        <v>1.1181103060584618</v>
      </c>
      <c r="AO4630" s="158"/>
      <c r="AP4630" s="158"/>
    </row>
    <row r="4631" spans="34:42">
      <c r="AH4631" s="6">
        <f t="shared" si="610"/>
        <v>4601</v>
      </c>
      <c r="AI4631" s="7">
        <f t="shared" ca="1" si="611"/>
        <v>47271</v>
      </c>
      <c r="AJ4631" s="210">
        <f t="shared" ca="1" si="607"/>
        <v>4.1749999999999998</v>
      </c>
      <c r="AK4631" s="8">
        <f t="shared" ca="1" si="609"/>
        <v>1.0001159722222221</v>
      </c>
      <c r="AL4631" s="98">
        <f t="shared" ca="1" si="608"/>
        <v>4.1854217276814598</v>
      </c>
      <c r="AM4631" s="106">
        <f t="shared" ca="1" si="605"/>
        <v>38264.883971012379</v>
      </c>
      <c r="AN4631" s="10">
        <f t="shared" ca="1" si="606"/>
        <v>1.1181352076435447</v>
      </c>
      <c r="AO4631" s="158"/>
      <c r="AP4631" s="158"/>
    </row>
    <row r="4632" spans="34:42">
      <c r="AH4632" s="6">
        <f t="shared" si="610"/>
        <v>4602</v>
      </c>
      <c r="AI4632" s="7">
        <f t="shared" ca="1" si="611"/>
        <v>47272</v>
      </c>
      <c r="AJ4632" s="210">
        <f t="shared" ca="1" si="607"/>
        <v>4.1749999999999998</v>
      </c>
      <c r="AK4632" s="8">
        <f t="shared" ca="1" si="609"/>
        <v>1.0001159722222221</v>
      </c>
      <c r="AL4632" s="98">
        <f t="shared" ca="1" si="608"/>
        <v>4.1854517331745722</v>
      </c>
      <c r="AM4632" s="106">
        <f t="shared" ca="1" si="605"/>
        <v>38268.037053670625</v>
      </c>
      <c r="AN4632" s="10">
        <f t="shared" ca="1" si="606"/>
        <v>1.1181600984126572</v>
      </c>
      <c r="AO4632" s="158"/>
      <c r="AP4632" s="158"/>
    </row>
    <row r="4633" spans="34:42">
      <c r="AH4633" s="6">
        <f t="shared" si="610"/>
        <v>4603</v>
      </c>
      <c r="AI4633" s="7">
        <f t="shared" ca="1" si="611"/>
        <v>47273</v>
      </c>
      <c r="AJ4633" s="210">
        <f t="shared" ca="1" si="607"/>
        <v>4.1749999999999998</v>
      </c>
      <c r="AK4633" s="8">
        <f t="shared" ca="1" si="609"/>
        <v>1.0001159722222221</v>
      </c>
      <c r="AL4633" s="98">
        <f t="shared" ca="1" si="608"/>
        <v>4.1854817256389509</v>
      </c>
      <c r="AM4633" s="106">
        <f t="shared" ca="1" si="605"/>
        <v>38271.190396147525</v>
      </c>
      <c r="AN4633" s="10">
        <f t="shared" ca="1" si="606"/>
        <v>1.1181849783728826</v>
      </c>
      <c r="AO4633" s="158"/>
      <c r="AP4633" s="158"/>
    </row>
    <row r="4634" spans="34:42">
      <c r="AH4634" s="6">
        <f t="shared" si="610"/>
        <v>4604</v>
      </c>
      <c r="AI4634" s="7">
        <f t="shared" ca="1" si="611"/>
        <v>47274</v>
      </c>
      <c r="AJ4634" s="210">
        <f t="shared" ca="1" si="607"/>
        <v>4.1749999999999998</v>
      </c>
      <c r="AK4634" s="8">
        <f t="shared" ca="1" si="609"/>
        <v>1.0001159722222221</v>
      </c>
      <c r="AL4634" s="98">
        <f t="shared" ca="1" si="608"/>
        <v>4.1855117050831003</v>
      </c>
      <c r="AM4634" s="106">
        <f t="shared" ca="1" si="605"/>
        <v>38274.343998464472</v>
      </c>
      <c r="AN4634" s="10">
        <f t="shared" ca="1" si="606"/>
        <v>1.1182098475312818</v>
      </c>
      <c r="AO4634" s="158"/>
      <c r="AP4634" s="158"/>
    </row>
    <row r="4635" spans="34:42">
      <c r="AH4635" s="6">
        <f t="shared" si="610"/>
        <v>4605</v>
      </c>
      <c r="AI4635" s="7">
        <f t="shared" ca="1" si="611"/>
        <v>47275</v>
      </c>
      <c r="AJ4635" s="210">
        <f t="shared" ca="1" si="607"/>
        <v>4.1749999999999998</v>
      </c>
      <c r="AK4635" s="8">
        <f t="shared" ca="1" si="609"/>
        <v>1.0001159722222221</v>
      </c>
      <c r="AL4635" s="98">
        <f t="shared" ca="1" si="608"/>
        <v>4.1855416715154803</v>
      </c>
      <c r="AM4635" s="106">
        <f t="shared" ca="1" si="605"/>
        <v>38277.497860642892</v>
      </c>
      <c r="AN4635" s="10">
        <f t="shared" ca="1" si="606"/>
        <v>1.1182347058948272</v>
      </c>
      <c r="AO4635" s="158"/>
      <c r="AP4635" s="158"/>
    </row>
    <row r="4636" spans="34:42">
      <c r="AH4636" s="6">
        <f t="shared" si="610"/>
        <v>4606</v>
      </c>
      <c r="AI4636" s="7">
        <f t="shared" ca="1" si="611"/>
        <v>47276</v>
      </c>
      <c r="AJ4636" s="210">
        <f t="shared" ca="1" si="607"/>
        <v>4.1749999999999998</v>
      </c>
      <c r="AK4636" s="8">
        <f t="shared" ca="1" si="609"/>
        <v>1.0001159722222221</v>
      </c>
      <c r="AL4636" s="98">
        <f t="shared" ca="1" si="608"/>
        <v>4.1855716249445507</v>
      </c>
      <c r="AM4636" s="106">
        <f t="shared" ca="1" si="605"/>
        <v>38280.651982704185</v>
      </c>
      <c r="AN4636" s="10">
        <f t="shared" ca="1" si="606"/>
        <v>1.1182595534705575</v>
      </c>
      <c r="AO4636" s="158"/>
      <c r="AP4636" s="158"/>
    </row>
    <row r="4637" spans="34:42">
      <c r="AH4637" s="6">
        <f t="shared" si="610"/>
        <v>4607</v>
      </c>
      <c r="AI4637" s="7">
        <f t="shared" ca="1" si="611"/>
        <v>47277</v>
      </c>
      <c r="AJ4637" s="210">
        <f t="shared" ca="1" si="607"/>
        <v>4.1749999999999998</v>
      </c>
      <c r="AK4637" s="8">
        <f t="shared" ca="1" si="609"/>
        <v>1.0001159722222221</v>
      </c>
      <c r="AL4637" s="98">
        <f t="shared" ca="1" si="608"/>
        <v>4.1856015653787937</v>
      </c>
      <c r="AM4637" s="106">
        <f t="shared" ca="1" si="605"/>
        <v>38283.806364669763</v>
      </c>
      <c r="AN4637" s="10">
        <f t="shared" ca="1" si="606"/>
        <v>1.1182843902655559</v>
      </c>
      <c r="AO4637" s="158"/>
      <c r="AP4637" s="158"/>
    </row>
    <row r="4638" spans="34:42">
      <c r="AH4638" s="6">
        <f t="shared" si="610"/>
        <v>4608</v>
      </c>
      <c r="AI4638" s="7">
        <f t="shared" ca="1" si="611"/>
        <v>47278</v>
      </c>
      <c r="AJ4638" s="210">
        <f t="shared" ca="1" si="607"/>
        <v>4.1749999999999998</v>
      </c>
      <c r="AK4638" s="8">
        <f t="shared" ca="1" si="609"/>
        <v>1.0001159722222221</v>
      </c>
      <c r="AL4638" s="98">
        <f t="shared" ca="1" si="608"/>
        <v>4.1856314928266469</v>
      </c>
      <c r="AM4638" s="106">
        <f t="shared" ca="1" si="605"/>
        <v>38286.961006561061</v>
      </c>
      <c r="AN4638" s="10">
        <f t="shared" ca="1" si="606"/>
        <v>1.1183092162867503</v>
      </c>
      <c r="AO4638" s="158"/>
      <c r="AP4638" s="158"/>
    </row>
    <row r="4639" spans="34:42">
      <c r="AH4639" s="6">
        <f t="shared" si="610"/>
        <v>4609</v>
      </c>
      <c r="AI4639" s="7">
        <f t="shared" ca="1" si="611"/>
        <v>47279</v>
      </c>
      <c r="AJ4639" s="210">
        <f t="shared" ca="1" si="607"/>
        <v>4.1749999999999998</v>
      </c>
      <c r="AK4639" s="8">
        <f t="shared" ca="1" si="609"/>
        <v>1.0001159722222221</v>
      </c>
      <c r="AL4639" s="98">
        <f t="shared" ca="1" si="608"/>
        <v>4.1856614072965703</v>
      </c>
      <c r="AM4639" s="106">
        <f t="shared" ref="AM4639:AM4702" ca="1" si="612">Geom_Interp(AI4639,$AZ$2:$AZ$109,$BA$2:$BA$109)</f>
        <v>38290.115908399479</v>
      </c>
      <c r="AN4639" s="10">
        <f t="shared" ref="AN4639:AN4702" ca="1" si="613">100*(((1+AL4639/100)^(AH4639/365)*$AM$29/AM4639)^(365/AH4639)-1)</f>
        <v>1.1183340315412016</v>
      </c>
      <c r="AO4639" s="158"/>
      <c r="AP4639" s="158"/>
    </row>
    <row r="4640" spans="34:42">
      <c r="AH4640" s="6">
        <f t="shared" si="610"/>
        <v>4610</v>
      </c>
      <c r="AI4640" s="7">
        <f t="shared" ca="1" si="611"/>
        <v>47280</v>
      </c>
      <c r="AJ4640" s="210">
        <f t="shared" ref="AJ4640:AJ4703" ca="1" si="614">IF(AH4640&lt;365,VLOOKUP(LOOKUP(AI4640,$AI$2:$AI$23),$AI$2:$AK$23,3,0),Lin_Interp(AH4640,$AJ$2:$AJ$23,$AK$2:$AK$23))</f>
        <v>4.1749999999999998</v>
      </c>
      <c r="AK4640" s="8">
        <f t="shared" ca="1" si="609"/>
        <v>1.0001159722222221</v>
      </c>
      <c r="AL4640" s="98">
        <f t="shared" ca="1" si="608"/>
        <v>4.1856913087970016</v>
      </c>
      <c r="AM4640" s="106">
        <f t="shared" ca="1" si="612"/>
        <v>38293.271070206443</v>
      </c>
      <c r="AN4640" s="10">
        <f t="shared" ca="1" si="613"/>
        <v>1.1183588360359042</v>
      </c>
      <c r="AO4640" s="158"/>
      <c r="AP4640" s="158"/>
    </row>
    <row r="4641" spans="34:42">
      <c r="AH4641" s="6">
        <f t="shared" si="610"/>
        <v>4611</v>
      </c>
      <c r="AI4641" s="7">
        <f t="shared" ca="1" si="611"/>
        <v>47281</v>
      </c>
      <c r="AJ4641" s="210">
        <f t="shared" ca="1" si="614"/>
        <v>4.1749999999999998</v>
      </c>
      <c r="AK4641" s="8">
        <f t="shared" ca="1" si="609"/>
        <v>1.0001159722222221</v>
      </c>
      <c r="AL4641" s="98">
        <f t="shared" ref="AL4641:AL4704" ca="1" si="615">100*(((1+AL4640/100)^(AH4640/365)*AK4641)^(365/AH4641)-1)</f>
        <v>4.1857211973363784</v>
      </c>
      <c r="AM4641" s="106">
        <f t="shared" ca="1" si="612"/>
        <v>38296.426492003382</v>
      </c>
      <c r="AN4641" s="10">
        <f t="shared" ca="1" si="613"/>
        <v>1.1183836297778749</v>
      </c>
      <c r="AO4641" s="158"/>
      <c r="AP4641" s="158"/>
    </row>
    <row r="4642" spans="34:42">
      <c r="AH4642" s="6">
        <f t="shared" si="610"/>
        <v>4612</v>
      </c>
      <c r="AI4642" s="7">
        <f t="shared" ca="1" si="611"/>
        <v>47282</v>
      </c>
      <c r="AJ4642" s="210">
        <f t="shared" ca="1" si="614"/>
        <v>4.1749999999999998</v>
      </c>
      <c r="AK4642" s="8">
        <f t="shared" ca="1" si="609"/>
        <v>1.0001159722222221</v>
      </c>
      <c r="AL4642" s="98">
        <f t="shared" ca="1" si="615"/>
        <v>4.1857510729231162</v>
      </c>
      <c r="AM4642" s="106">
        <f t="shared" ca="1" si="612"/>
        <v>38299.582173811708</v>
      </c>
      <c r="AN4642" s="10">
        <f t="shared" ca="1" si="613"/>
        <v>1.1184084127740634</v>
      </c>
      <c r="AO4642" s="158"/>
      <c r="AP4642" s="158"/>
    </row>
    <row r="4643" spans="34:42">
      <c r="AH4643" s="6">
        <f t="shared" si="610"/>
        <v>4613</v>
      </c>
      <c r="AI4643" s="7">
        <f t="shared" ca="1" si="611"/>
        <v>47283</v>
      </c>
      <c r="AJ4643" s="210">
        <f t="shared" ca="1" si="614"/>
        <v>4.1749999999999998</v>
      </c>
      <c r="AK4643" s="8">
        <f t="shared" ca="1" si="609"/>
        <v>1.0001159722222221</v>
      </c>
      <c r="AL4643" s="98">
        <f t="shared" ca="1" si="615"/>
        <v>4.1857809355656306</v>
      </c>
      <c r="AM4643" s="106">
        <f t="shared" ca="1" si="612"/>
        <v>38302.73811565285</v>
      </c>
      <c r="AN4643" s="10">
        <f t="shared" ca="1" si="613"/>
        <v>1.1184331850314644</v>
      </c>
      <c r="AO4643" s="158"/>
      <c r="AP4643" s="158"/>
    </row>
    <row r="4644" spans="34:42">
      <c r="AH4644" s="6">
        <f t="shared" si="610"/>
        <v>4614</v>
      </c>
      <c r="AI4644" s="7">
        <f t="shared" ca="1" si="611"/>
        <v>47284</v>
      </c>
      <c r="AJ4644" s="210">
        <f t="shared" ca="1" si="614"/>
        <v>4.1749999999999998</v>
      </c>
      <c r="AK4644" s="8">
        <f t="shared" ref="AK4644:AK4707" ca="1" si="616">+(1+AJ4644/36000)</f>
        <v>1.0001159722222221</v>
      </c>
      <c r="AL4644" s="98">
        <f t="shared" ca="1" si="615"/>
        <v>4.185810785272337</v>
      </c>
      <c r="AM4644" s="106">
        <f t="shared" ca="1" si="612"/>
        <v>38305.894317548235</v>
      </c>
      <c r="AN4644" s="10">
        <f t="shared" ca="1" si="613"/>
        <v>1.1184579465570721</v>
      </c>
      <c r="AO4644" s="158"/>
      <c r="AP4644" s="158"/>
    </row>
    <row r="4645" spans="34:42">
      <c r="AH4645" s="6">
        <f t="shared" si="610"/>
        <v>4615</v>
      </c>
      <c r="AI4645" s="7">
        <f t="shared" ca="1" si="611"/>
        <v>47285</v>
      </c>
      <c r="AJ4645" s="210">
        <f t="shared" ca="1" si="614"/>
        <v>4.1749999999999998</v>
      </c>
      <c r="AK4645" s="8">
        <f t="shared" ca="1" si="616"/>
        <v>1.0001159722222221</v>
      </c>
      <c r="AL4645" s="98">
        <f t="shared" ca="1" si="615"/>
        <v>4.1858406220516287</v>
      </c>
      <c r="AM4645" s="106">
        <f t="shared" ca="1" si="612"/>
        <v>38309.05077951929</v>
      </c>
      <c r="AN4645" s="10">
        <f t="shared" ca="1" si="613"/>
        <v>1.1184826973578588</v>
      </c>
      <c r="AO4645" s="158"/>
      <c r="AP4645" s="158"/>
    </row>
    <row r="4646" spans="34:42">
      <c r="AH4646" s="6">
        <f t="shared" si="610"/>
        <v>4616</v>
      </c>
      <c r="AI4646" s="7">
        <f t="shared" ca="1" si="611"/>
        <v>47286</v>
      </c>
      <c r="AJ4646" s="210">
        <f t="shared" ca="1" si="614"/>
        <v>4.1749999999999998</v>
      </c>
      <c r="AK4646" s="8">
        <f t="shared" ca="1" si="616"/>
        <v>1.0001159722222221</v>
      </c>
      <c r="AL4646" s="98">
        <f t="shared" ca="1" si="615"/>
        <v>4.1858704459119211</v>
      </c>
      <c r="AM4646" s="106">
        <f t="shared" ca="1" si="612"/>
        <v>38312.207501587458</v>
      </c>
      <c r="AN4646" s="10">
        <f t="shared" ca="1" si="613"/>
        <v>1.1185074374407744</v>
      </c>
      <c r="AO4646" s="158"/>
      <c r="AP4646" s="158"/>
    </row>
    <row r="4647" spans="34:42">
      <c r="AH4647" s="6">
        <f t="shared" si="610"/>
        <v>4617</v>
      </c>
      <c r="AI4647" s="7">
        <f t="shared" ca="1" si="611"/>
        <v>47287</v>
      </c>
      <c r="AJ4647" s="210">
        <f t="shared" ca="1" si="614"/>
        <v>4.1749999999999998</v>
      </c>
      <c r="AK4647" s="8">
        <f t="shared" ca="1" si="616"/>
        <v>1.0001159722222221</v>
      </c>
      <c r="AL4647" s="98">
        <f t="shared" ca="1" si="615"/>
        <v>4.1859002568615855</v>
      </c>
      <c r="AM4647" s="106">
        <f t="shared" ca="1" si="612"/>
        <v>38315.364483774167</v>
      </c>
      <c r="AN4647" s="10">
        <f t="shared" ca="1" si="613"/>
        <v>1.118532166812769</v>
      </c>
      <c r="AO4647" s="158"/>
      <c r="AP4647" s="158"/>
    </row>
    <row r="4648" spans="34:42">
      <c r="AH4648" s="6">
        <f t="shared" si="610"/>
        <v>4618</v>
      </c>
      <c r="AI4648" s="7">
        <f t="shared" ca="1" si="611"/>
        <v>47288</v>
      </c>
      <c r="AJ4648" s="210">
        <f t="shared" ca="1" si="614"/>
        <v>4.1749999999999998</v>
      </c>
      <c r="AK4648" s="8">
        <f t="shared" ca="1" si="616"/>
        <v>1.0001159722222221</v>
      </c>
      <c r="AL4648" s="98">
        <f t="shared" ca="1" si="615"/>
        <v>4.185930054909015</v>
      </c>
      <c r="AM4648" s="106">
        <f t="shared" ca="1" si="612"/>
        <v>38318.521726100829</v>
      </c>
      <c r="AN4648" s="10">
        <f t="shared" ca="1" si="613"/>
        <v>1.1185568854808148</v>
      </c>
      <c r="AO4648" s="158"/>
      <c r="AP4648" s="158"/>
    </row>
    <row r="4649" spans="34:42">
      <c r="AH4649" s="6">
        <f t="shared" si="610"/>
        <v>4619</v>
      </c>
      <c r="AI4649" s="7">
        <f t="shared" ca="1" si="611"/>
        <v>47289</v>
      </c>
      <c r="AJ4649" s="210">
        <f t="shared" ca="1" si="614"/>
        <v>4.1749999999999998</v>
      </c>
      <c r="AK4649" s="8">
        <f t="shared" ca="1" si="616"/>
        <v>1.0001159722222221</v>
      </c>
      <c r="AL4649" s="98">
        <f t="shared" ca="1" si="615"/>
        <v>4.1859598400625808</v>
      </c>
      <c r="AM4649" s="106">
        <f t="shared" ca="1" si="612"/>
        <v>38321.679228588917</v>
      </c>
      <c r="AN4649" s="10">
        <f t="shared" ca="1" si="613"/>
        <v>1.1185815934518839</v>
      </c>
      <c r="AO4649" s="158"/>
      <c r="AP4649" s="158"/>
    </row>
    <row r="4650" spans="34:42">
      <c r="AH4650" s="6">
        <f t="shared" si="610"/>
        <v>4620</v>
      </c>
      <c r="AI4650" s="7">
        <f t="shared" ca="1" si="611"/>
        <v>47290</v>
      </c>
      <c r="AJ4650" s="210">
        <f t="shared" ca="1" si="614"/>
        <v>4.1749999999999998</v>
      </c>
      <c r="AK4650" s="8">
        <f t="shared" ca="1" si="616"/>
        <v>1.0001159722222221</v>
      </c>
      <c r="AL4650" s="98">
        <f t="shared" ca="1" si="615"/>
        <v>4.1859896123306539</v>
      </c>
      <c r="AM4650" s="106">
        <f t="shared" ca="1" si="612"/>
        <v>38324.836991259835</v>
      </c>
      <c r="AN4650" s="10">
        <f t="shared" ca="1" si="613"/>
        <v>1.118606290732882</v>
      </c>
      <c r="AO4650" s="158"/>
      <c r="AP4650" s="158"/>
    </row>
    <row r="4651" spans="34:42">
      <c r="AH4651" s="6">
        <f t="shared" si="610"/>
        <v>4621</v>
      </c>
      <c r="AI4651" s="7">
        <f t="shared" ca="1" si="611"/>
        <v>47291</v>
      </c>
      <c r="AJ4651" s="210">
        <f t="shared" ca="1" si="614"/>
        <v>4.1749999999999998</v>
      </c>
      <c r="AK4651" s="8">
        <f t="shared" ca="1" si="616"/>
        <v>1.0001159722222221</v>
      </c>
      <c r="AL4651" s="98">
        <f t="shared" ca="1" si="615"/>
        <v>4.1860193717215832</v>
      </c>
      <c r="AM4651" s="106">
        <f t="shared" ca="1" si="612"/>
        <v>38327.995014135042</v>
      </c>
      <c r="AN4651" s="10">
        <f t="shared" ca="1" si="613"/>
        <v>1.118630977330759</v>
      </c>
      <c r="AO4651" s="158"/>
      <c r="AP4651" s="158"/>
    </row>
    <row r="4652" spans="34:42">
      <c r="AH4652" s="6">
        <f t="shared" si="610"/>
        <v>4622</v>
      </c>
      <c r="AI4652" s="7">
        <f t="shared" ca="1" si="611"/>
        <v>47292</v>
      </c>
      <c r="AJ4652" s="210">
        <f t="shared" ca="1" si="614"/>
        <v>4.1749999999999998</v>
      </c>
      <c r="AK4652" s="8">
        <f t="shared" ca="1" si="616"/>
        <v>1.0001159722222221</v>
      </c>
      <c r="AL4652" s="98">
        <f t="shared" ca="1" si="615"/>
        <v>4.1860491182437398</v>
      </c>
      <c r="AM4652" s="106">
        <f t="shared" ca="1" si="612"/>
        <v>38331.153297235971</v>
      </c>
      <c r="AN4652" s="10">
        <f t="shared" ca="1" si="613"/>
        <v>1.1186556532524428</v>
      </c>
      <c r="AO4652" s="158"/>
      <c r="AP4652" s="158"/>
    </row>
    <row r="4653" spans="34:42">
      <c r="AH4653" s="6">
        <f t="shared" si="610"/>
        <v>4623</v>
      </c>
      <c r="AI4653" s="7">
        <f t="shared" ca="1" si="611"/>
        <v>47293</v>
      </c>
      <c r="AJ4653" s="210">
        <f t="shared" ca="1" si="614"/>
        <v>4.1749999999999998</v>
      </c>
      <c r="AK4653" s="8">
        <f t="shared" ca="1" si="616"/>
        <v>1.0001159722222221</v>
      </c>
      <c r="AL4653" s="98">
        <f t="shared" ca="1" si="615"/>
        <v>4.1860788519054504</v>
      </c>
      <c r="AM4653" s="106">
        <f t="shared" ca="1" si="612"/>
        <v>38334.311840584072</v>
      </c>
      <c r="AN4653" s="10">
        <f t="shared" ca="1" si="613"/>
        <v>1.118680318504861</v>
      </c>
      <c r="AO4653" s="158"/>
      <c r="AP4653" s="158"/>
    </row>
    <row r="4654" spans="34:42">
      <c r="AH4654" s="6">
        <f t="shared" si="610"/>
        <v>4624</v>
      </c>
      <c r="AI4654" s="7">
        <f t="shared" ca="1" si="611"/>
        <v>47294</v>
      </c>
      <c r="AJ4654" s="210">
        <f t="shared" ca="1" si="614"/>
        <v>4.1749999999999998</v>
      </c>
      <c r="AK4654" s="8">
        <f t="shared" ca="1" si="616"/>
        <v>1.0001159722222221</v>
      </c>
      <c r="AL4654" s="98">
        <f t="shared" ca="1" si="615"/>
        <v>4.1861085727150638</v>
      </c>
      <c r="AM4654" s="106">
        <f t="shared" ca="1" si="612"/>
        <v>38337.470644200781</v>
      </c>
      <c r="AN4654" s="10">
        <f t="shared" ca="1" si="613"/>
        <v>1.1187049730949417</v>
      </c>
      <c r="AO4654" s="158"/>
      <c r="AP4654" s="158"/>
    </row>
    <row r="4655" spans="34:42">
      <c r="AH4655" s="6">
        <f t="shared" si="610"/>
        <v>4625</v>
      </c>
      <c r="AI4655" s="7">
        <f t="shared" ca="1" si="611"/>
        <v>47295</v>
      </c>
      <c r="AJ4655" s="210">
        <f t="shared" ca="1" si="614"/>
        <v>4.1749999999999998</v>
      </c>
      <c r="AK4655" s="8">
        <f t="shared" ca="1" si="616"/>
        <v>1.0001159722222221</v>
      </c>
      <c r="AL4655" s="98">
        <f t="shared" ca="1" si="615"/>
        <v>4.1861382806809067</v>
      </c>
      <c r="AM4655" s="106">
        <f t="shared" ca="1" si="612"/>
        <v>38340.629708107546</v>
      </c>
      <c r="AN4655" s="10">
        <f t="shared" ca="1" si="613"/>
        <v>1.118729617029568</v>
      </c>
      <c r="AO4655" s="158"/>
      <c r="AP4655" s="158"/>
    </row>
    <row r="4656" spans="34:42">
      <c r="AH4656" s="6">
        <f t="shared" si="610"/>
        <v>4626</v>
      </c>
      <c r="AI4656" s="7">
        <f t="shared" ca="1" si="611"/>
        <v>47296</v>
      </c>
      <c r="AJ4656" s="210">
        <f t="shared" ca="1" si="614"/>
        <v>4.1749999999999998</v>
      </c>
      <c r="AK4656" s="8">
        <f t="shared" ca="1" si="616"/>
        <v>1.0001159722222221</v>
      </c>
      <c r="AL4656" s="98">
        <f t="shared" ca="1" si="615"/>
        <v>4.1861679758113057</v>
      </c>
      <c r="AM4656" s="106">
        <f t="shared" ca="1" si="612"/>
        <v>38343.789032325825</v>
      </c>
      <c r="AN4656" s="10">
        <f t="shared" ca="1" si="613"/>
        <v>1.1187542503156678</v>
      </c>
      <c r="AO4656" s="158"/>
      <c r="AP4656" s="158"/>
    </row>
    <row r="4657" spans="34:42">
      <c r="AH4657" s="6">
        <f t="shared" si="610"/>
        <v>4627</v>
      </c>
      <c r="AI4657" s="7">
        <f t="shared" ca="1" si="611"/>
        <v>47297</v>
      </c>
      <c r="AJ4657" s="210">
        <f t="shared" ca="1" si="614"/>
        <v>4.1749999999999998</v>
      </c>
      <c r="AK4657" s="8">
        <f t="shared" ca="1" si="616"/>
        <v>1.0001159722222221</v>
      </c>
      <c r="AL4657" s="98">
        <f t="shared" ca="1" si="615"/>
        <v>4.1861976581145877</v>
      </c>
      <c r="AM4657" s="106">
        <f t="shared" ca="1" si="612"/>
        <v>38346.94861687706</v>
      </c>
      <c r="AN4657" s="10">
        <f t="shared" ca="1" si="613"/>
        <v>1.1187788729601467</v>
      </c>
      <c r="AO4657" s="158"/>
      <c r="AP4657" s="158"/>
    </row>
    <row r="4658" spans="34:42">
      <c r="AH4658" s="6">
        <f t="shared" si="610"/>
        <v>4628</v>
      </c>
      <c r="AI4658" s="7">
        <f t="shared" ca="1" si="611"/>
        <v>47298</v>
      </c>
      <c r="AJ4658" s="210">
        <f t="shared" ca="1" si="614"/>
        <v>4.1749999999999998</v>
      </c>
      <c r="AK4658" s="8">
        <f t="shared" ca="1" si="616"/>
        <v>1.0001159722222221</v>
      </c>
      <c r="AL4658" s="98">
        <f t="shared" ca="1" si="615"/>
        <v>4.1862273275990347</v>
      </c>
      <c r="AM4658" s="106">
        <f t="shared" ca="1" si="612"/>
        <v>38350.108461782707</v>
      </c>
      <c r="AN4658" s="10">
        <f t="shared" ca="1" si="613"/>
        <v>1.118803484969888</v>
      </c>
      <c r="AO4658" s="158"/>
      <c r="AP4658" s="158"/>
    </row>
    <row r="4659" spans="34:42">
      <c r="AH4659" s="6">
        <f t="shared" si="610"/>
        <v>4629</v>
      </c>
      <c r="AI4659" s="7">
        <f t="shared" ca="1" si="611"/>
        <v>47299</v>
      </c>
      <c r="AJ4659" s="210">
        <f t="shared" ca="1" si="614"/>
        <v>4.1749999999999998</v>
      </c>
      <c r="AK4659" s="8">
        <f t="shared" ca="1" si="616"/>
        <v>1.0001159722222221</v>
      </c>
      <c r="AL4659" s="98">
        <f t="shared" ca="1" si="615"/>
        <v>4.1862569842729735</v>
      </c>
      <c r="AM4659" s="106">
        <f t="shared" ca="1" si="612"/>
        <v>38353.268567064209</v>
      </c>
      <c r="AN4659" s="10">
        <f t="shared" ca="1" si="613"/>
        <v>1.1188280863517752</v>
      </c>
      <c r="AO4659" s="158"/>
      <c r="AP4659" s="158"/>
    </row>
    <row r="4660" spans="34:42">
      <c r="AH4660" s="6">
        <f t="shared" si="610"/>
        <v>4630</v>
      </c>
      <c r="AI4660" s="7">
        <f t="shared" ca="1" si="611"/>
        <v>47300</v>
      </c>
      <c r="AJ4660" s="210">
        <f t="shared" ca="1" si="614"/>
        <v>4.1749999999999998</v>
      </c>
      <c r="AK4660" s="8">
        <f t="shared" ca="1" si="616"/>
        <v>1.0001159722222221</v>
      </c>
      <c r="AL4660" s="98">
        <f t="shared" ca="1" si="615"/>
        <v>4.1862866281446864</v>
      </c>
      <c r="AM4660" s="106">
        <f t="shared" ca="1" si="612"/>
        <v>38356.428932743031</v>
      </c>
      <c r="AN4660" s="10">
        <f t="shared" ca="1" si="613"/>
        <v>1.1188526771127139</v>
      </c>
      <c r="AO4660" s="158"/>
      <c r="AP4660" s="158"/>
    </row>
    <row r="4661" spans="34:42">
      <c r="AH4661" s="6">
        <f t="shared" si="610"/>
        <v>4631</v>
      </c>
      <c r="AI4661" s="7">
        <f t="shared" ca="1" si="611"/>
        <v>47301</v>
      </c>
      <c r="AJ4661" s="210">
        <f t="shared" ca="1" si="614"/>
        <v>4.1749999999999998</v>
      </c>
      <c r="AK4661" s="8">
        <f t="shared" ca="1" si="616"/>
        <v>1.0001159722222221</v>
      </c>
      <c r="AL4661" s="98">
        <f t="shared" ca="1" si="615"/>
        <v>4.1863162592224556</v>
      </c>
      <c r="AM4661" s="106">
        <f t="shared" ca="1" si="612"/>
        <v>38359.589558840635</v>
      </c>
      <c r="AN4661" s="10">
        <f t="shared" ca="1" si="613"/>
        <v>1.1188772572595429</v>
      </c>
      <c r="AO4661" s="158"/>
      <c r="AP4661" s="158"/>
    </row>
    <row r="4662" spans="34:42">
      <c r="AH4662" s="6">
        <f t="shared" si="610"/>
        <v>4632</v>
      </c>
      <c r="AI4662" s="7">
        <f t="shared" ca="1" si="611"/>
        <v>47302</v>
      </c>
      <c r="AJ4662" s="210">
        <f t="shared" ca="1" si="614"/>
        <v>4.1749999999999998</v>
      </c>
      <c r="AK4662" s="8">
        <f t="shared" ca="1" si="616"/>
        <v>1.0001159722222221</v>
      </c>
      <c r="AL4662" s="98">
        <f t="shared" ca="1" si="615"/>
        <v>4.1863458775145856</v>
      </c>
      <c r="AM4662" s="106">
        <f t="shared" ca="1" si="612"/>
        <v>38362.750445378464</v>
      </c>
      <c r="AN4662" s="10">
        <f t="shared" ca="1" si="613"/>
        <v>1.1189018267991457</v>
      </c>
      <c r="AO4662" s="158"/>
      <c r="AP4662" s="158"/>
    </row>
    <row r="4663" spans="34:42">
      <c r="AH4663" s="6">
        <f t="shared" si="610"/>
        <v>4633</v>
      </c>
      <c r="AI4663" s="7">
        <f t="shared" ca="1" si="611"/>
        <v>47303</v>
      </c>
      <c r="AJ4663" s="210">
        <f t="shared" ca="1" si="614"/>
        <v>4.1749999999999998</v>
      </c>
      <c r="AK4663" s="8">
        <f t="shared" ca="1" si="616"/>
        <v>1.0001159722222221</v>
      </c>
      <c r="AL4663" s="98">
        <f t="shared" ca="1" si="615"/>
        <v>4.1863754830293365</v>
      </c>
      <c r="AM4663" s="106">
        <f t="shared" ca="1" si="612"/>
        <v>38365.911592377997</v>
      </c>
      <c r="AN4663" s="10">
        <f t="shared" ca="1" si="613"/>
        <v>1.118926385738428</v>
      </c>
      <c r="AO4663" s="158"/>
      <c r="AP4663" s="158"/>
    </row>
    <row r="4664" spans="34:42">
      <c r="AH4664" s="6">
        <f t="shared" si="610"/>
        <v>4634</v>
      </c>
      <c r="AI4664" s="7">
        <f t="shared" ca="1" si="611"/>
        <v>47304</v>
      </c>
      <c r="AJ4664" s="210">
        <f t="shared" ca="1" si="614"/>
        <v>4.1749999999999998</v>
      </c>
      <c r="AK4664" s="8">
        <f t="shared" ca="1" si="616"/>
        <v>1.0001159722222221</v>
      </c>
      <c r="AL4664" s="98">
        <f t="shared" ca="1" si="615"/>
        <v>4.1864050757749682</v>
      </c>
      <c r="AM4664" s="106">
        <f t="shared" ca="1" si="612"/>
        <v>38369.072999860677</v>
      </c>
      <c r="AN4664" s="10">
        <f t="shared" ca="1" si="613"/>
        <v>1.1189509340841841</v>
      </c>
      <c r="AO4664" s="158"/>
      <c r="AP4664" s="158"/>
    </row>
    <row r="4665" spans="34:42">
      <c r="AH4665" s="6">
        <f t="shared" si="610"/>
        <v>4635</v>
      </c>
      <c r="AI4665" s="7">
        <f t="shared" ca="1" si="611"/>
        <v>47305</v>
      </c>
      <c r="AJ4665" s="210">
        <f t="shared" ca="1" si="614"/>
        <v>4.1749999999999998</v>
      </c>
      <c r="AK4665" s="8">
        <f t="shared" ca="1" si="616"/>
        <v>1.0001159722222221</v>
      </c>
      <c r="AL4665" s="98">
        <f t="shared" ca="1" si="615"/>
        <v>4.1864346557597409</v>
      </c>
      <c r="AM4665" s="106">
        <f t="shared" ca="1" si="612"/>
        <v>38372.234667847988</v>
      </c>
      <c r="AN4665" s="10">
        <f t="shared" ca="1" si="613"/>
        <v>1.1189754718433198</v>
      </c>
      <c r="AO4665" s="158"/>
      <c r="AP4665" s="158"/>
    </row>
    <row r="4666" spans="34:42">
      <c r="AH4666" s="6">
        <f t="shared" si="610"/>
        <v>4636</v>
      </c>
      <c r="AI4666" s="7">
        <f t="shared" ca="1" si="611"/>
        <v>47306</v>
      </c>
      <c r="AJ4666" s="210">
        <f t="shared" ca="1" si="614"/>
        <v>4.1749999999999998</v>
      </c>
      <c r="AK4666" s="8">
        <f t="shared" ca="1" si="616"/>
        <v>1.0001159722222221</v>
      </c>
      <c r="AL4666" s="98">
        <f t="shared" ca="1" si="615"/>
        <v>4.1864642229919147</v>
      </c>
      <c r="AM4666" s="106">
        <f t="shared" ca="1" si="612"/>
        <v>38375.396596361381</v>
      </c>
      <c r="AN4666" s="10">
        <f t="shared" ca="1" si="613"/>
        <v>1.1189999990226296</v>
      </c>
      <c r="AO4666" s="158"/>
      <c r="AP4666" s="158"/>
    </row>
    <row r="4667" spans="34:42">
      <c r="AH4667" s="6">
        <f t="shared" si="610"/>
        <v>4637</v>
      </c>
      <c r="AI4667" s="7">
        <f t="shared" ca="1" si="611"/>
        <v>47307</v>
      </c>
      <c r="AJ4667" s="210">
        <f t="shared" ca="1" si="614"/>
        <v>4.1749999999999998</v>
      </c>
      <c r="AK4667" s="8">
        <f t="shared" ca="1" si="616"/>
        <v>1.0001159722222221</v>
      </c>
      <c r="AL4667" s="98">
        <f t="shared" ca="1" si="615"/>
        <v>4.1864937774797273</v>
      </c>
      <c r="AM4667" s="106">
        <f t="shared" ca="1" si="612"/>
        <v>38378.558785422327</v>
      </c>
      <c r="AN4667" s="10">
        <f t="shared" ca="1" si="613"/>
        <v>1.1190245156289969</v>
      </c>
      <c r="AO4667" s="158"/>
      <c r="AP4667" s="158"/>
    </row>
    <row r="4668" spans="34:42">
      <c r="AH4668" s="6">
        <f t="shared" si="610"/>
        <v>4638</v>
      </c>
      <c r="AI4668" s="7">
        <f t="shared" ca="1" si="611"/>
        <v>47308</v>
      </c>
      <c r="AJ4668" s="210">
        <f t="shared" ca="1" si="614"/>
        <v>4.1749999999999998</v>
      </c>
      <c r="AK4668" s="8">
        <f t="shared" ca="1" si="616"/>
        <v>1.0001159722222221</v>
      </c>
      <c r="AL4668" s="98">
        <f t="shared" ca="1" si="615"/>
        <v>4.1865233192314388</v>
      </c>
      <c r="AM4668" s="106">
        <f t="shared" ca="1" si="612"/>
        <v>38381.721235052304</v>
      </c>
      <c r="AN4668" s="10">
        <f t="shared" ca="1" si="613"/>
        <v>1.1190490216692606</v>
      </c>
      <c r="AO4668" s="158"/>
      <c r="AP4668" s="158"/>
    </row>
    <row r="4669" spans="34:42">
      <c r="AH4669" s="6">
        <f t="shared" si="610"/>
        <v>4639</v>
      </c>
      <c r="AI4669" s="7">
        <f t="shared" ca="1" si="611"/>
        <v>47309</v>
      </c>
      <c r="AJ4669" s="210">
        <f t="shared" ca="1" si="614"/>
        <v>4.1749999999999998</v>
      </c>
      <c r="AK4669" s="8">
        <f t="shared" ca="1" si="616"/>
        <v>1.0001159722222221</v>
      </c>
      <c r="AL4669" s="98">
        <f t="shared" ca="1" si="615"/>
        <v>4.186552848255265</v>
      </c>
      <c r="AM4669" s="106">
        <f t="shared" ca="1" si="612"/>
        <v>38384.88394527277</v>
      </c>
      <c r="AN4669" s="10">
        <f t="shared" ca="1" si="613"/>
        <v>1.1190735171502375</v>
      </c>
      <c r="AO4669" s="158"/>
      <c r="AP4669" s="158"/>
    </row>
    <row r="4670" spans="34:42">
      <c r="AH4670" s="6">
        <f t="shared" si="610"/>
        <v>4640</v>
      </c>
      <c r="AI4670" s="7">
        <f t="shared" ca="1" si="611"/>
        <v>47310</v>
      </c>
      <c r="AJ4670" s="210">
        <f t="shared" ca="1" si="614"/>
        <v>4.1749999999999998</v>
      </c>
      <c r="AK4670" s="8">
        <f t="shared" ca="1" si="616"/>
        <v>1.0001159722222221</v>
      </c>
      <c r="AL4670" s="98">
        <f t="shared" ca="1" si="615"/>
        <v>4.1865823645594213</v>
      </c>
      <c r="AM4670" s="106">
        <f t="shared" ca="1" si="612"/>
        <v>38388.046916105202</v>
      </c>
      <c r="AN4670" s="10">
        <f t="shared" ca="1" si="613"/>
        <v>1.1190980020787444</v>
      </c>
      <c r="AO4670" s="158"/>
      <c r="AP4670" s="158"/>
    </row>
    <row r="4671" spans="34:42">
      <c r="AH4671" s="6">
        <f t="shared" si="610"/>
        <v>4641</v>
      </c>
      <c r="AI4671" s="7">
        <f t="shared" ca="1" si="611"/>
        <v>47311</v>
      </c>
      <c r="AJ4671" s="210">
        <f t="shared" ca="1" si="614"/>
        <v>4.1749999999999998</v>
      </c>
      <c r="AK4671" s="8">
        <f t="shared" ca="1" si="616"/>
        <v>1.0001159722222221</v>
      </c>
      <c r="AL4671" s="98">
        <f t="shared" ca="1" si="615"/>
        <v>4.1866118681521236</v>
      </c>
      <c r="AM4671" s="106">
        <f t="shared" ca="1" si="612"/>
        <v>38391.210147571088</v>
      </c>
      <c r="AN4671" s="10">
        <f t="shared" ca="1" si="613"/>
        <v>1.1191224764615981</v>
      </c>
      <c r="AO4671" s="158"/>
      <c r="AP4671" s="158"/>
    </row>
    <row r="4672" spans="34:42">
      <c r="AH4672" s="6">
        <f t="shared" si="610"/>
        <v>4642</v>
      </c>
      <c r="AI4672" s="7">
        <f t="shared" ca="1" si="611"/>
        <v>47312</v>
      </c>
      <c r="AJ4672" s="210">
        <f t="shared" ca="1" si="614"/>
        <v>4.1749999999999998</v>
      </c>
      <c r="AK4672" s="8">
        <f t="shared" ca="1" si="616"/>
        <v>1.0001159722222221</v>
      </c>
      <c r="AL4672" s="98">
        <f t="shared" ca="1" si="615"/>
        <v>4.1866413590415874</v>
      </c>
      <c r="AM4672" s="106">
        <f t="shared" ca="1" si="612"/>
        <v>38394.37363969189</v>
      </c>
      <c r="AN4672" s="10">
        <f t="shared" ca="1" si="613"/>
        <v>1.1191469403056153</v>
      </c>
      <c r="AO4672" s="158"/>
      <c r="AP4672" s="158"/>
    </row>
    <row r="4673" spans="34:42">
      <c r="AH4673" s="6">
        <f t="shared" si="610"/>
        <v>4643</v>
      </c>
      <c r="AI4673" s="7">
        <f t="shared" ca="1" si="611"/>
        <v>47313</v>
      </c>
      <c r="AJ4673" s="210">
        <f t="shared" ca="1" si="614"/>
        <v>4.1749999999999998</v>
      </c>
      <c r="AK4673" s="8">
        <f t="shared" ca="1" si="616"/>
        <v>1.0001159722222221</v>
      </c>
      <c r="AL4673" s="98">
        <f t="shared" ca="1" si="615"/>
        <v>4.1866708372360284</v>
      </c>
      <c r="AM4673" s="106">
        <f t="shared" ca="1" si="612"/>
        <v>38397.537392489088</v>
      </c>
      <c r="AN4673" s="10">
        <f t="shared" ca="1" si="613"/>
        <v>1.1191713936175907</v>
      </c>
      <c r="AO4673" s="158"/>
      <c r="AP4673" s="158"/>
    </row>
    <row r="4674" spans="34:42">
      <c r="AH4674" s="6">
        <f t="shared" si="610"/>
        <v>4644</v>
      </c>
      <c r="AI4674" s="7">
        <f t="shared" ca="1" si="611"/>
        <v>47314</v>
      </c>
      <c r="AJ4674" s="210">
        <f t="shared" ca="1" si="614"/>
        <v>4.1749999999999998</v>
      </c>
      <c r="AK4674" s="8">
        <f t="shared" ca="1" si="616"/>
        <v>1.0001159722222221</v>
      </c>
      <c r="AL4674" s="98">
        <f t="shared" ca="1" si="615"/>
        <v>4.1867003027436178</v>
      </c>
      <c r="AM4674" s="106">
        <f t="shared" ca="1" si="612"/>
        <v>38400.701405984168</v>
      </c>
      <c r="AN4674" s="10">
        <f t="shared" ca="1" si="613"/>
        <v>1.1191958364043408</v>
      </c>
      <c r="AO4674" s="158"/>
      <c r="AP4674" s="158"/>
    </row>
    <row r="4675" spans="34:42">
      <c r="AH4675" s="6">
        <f t="shared" si="610"/>
        <v>4645</v>
      </c>
      <c r="AI4675" s="7">
        <f t="shared" ca="1" si="611"/>
        <v>47315</v>
      </c>
      <c r="AJ4675" s="210">
        <f t="shared" ca="1" si="614"/>
        <v>4.1749999999999998</v>
      </c>
      <c r="AK4675" s="8">
        <f t="shared" ca="1" si="616"/>
        <v>1.0001159722222221</v>
      </c>
      <c r="AL4675" s="98">
        <f t="shared" ca="1" si="615"/>
        <v>4.1867297555725713</v>
      </c>
      <c r="AM4675" s="106">
        <f t="shared" ca="1" si="612"/>
        <v>38403.865680198607</v>
      </c>
      <c r="AN4675" s="10">
        <f t="shared" ca="1" si="613"/>
        <v>1.1192202686726604</v>
      </c>
      <c r="AO4675" s="158"/>
      <c r="AP4675" s="158"/>
    </row>
    <row r="4676" spans="34:42">
      <c r="AH4676" s="6">
        <f t="shared" si="610"/>
        <v>4646</v>
      </c>
      <c r="AI4676" s="7">
        <f t="shared" ca="1" si="611"/>
        <v>47316</v>
      </c>
      <c r="AJ4676" s="210">
        <f t="shared" ca="1" si="614"/>
        <v>4.1749999999999998</v>
      </c>
      <c r="AK4676" s="8">
        <f t="shared" ca="1" si="616"/>
        <v>1.0001159722222221</v>
      </c>
      <c r="AL4676" s="98">
        <f t="shared" ca="1" si="615"/>
        <v>4.1867591957310379</v>
      </c>
      <c r="AM4676" s="106">
        <f t="shared" ca="1" si="612"/>
        <v>38407.030215153893</v>
      </c>
      <c r="AN4676" s="10">
        <f t="shared" ca="1" si="613"/>
        <v>1.1192446904293218</v>
      </c>
      <c r="AO4676" s="158"/>
      <c r="AP4676" s="158"/>
    </row>
    <row r="4677" spans="34:42">
      <c r="AH4677" s="6">
        <f t="shared" si="610"/>
        <v>4647</v>
      </c>
      <c r="AI4677" s="7">
        <f t="shared" ca="1" si="611"/>
        <v>47317</v>
      </c>
      <c r="AJ4677" s="210">
        <f t="shared" ca="1" si="614"/>
        <v>4.1749999999999998</v>
      </c>
      <c r="AK4677" s="8">
        <f t="shared" ca="1" si="616"/>
        <v>1.0001159722222221</v>
      </c>
      <c r="AL4677" s="98">
        <f t="shared" ca="1" si="615"/>
        <v>4.1867886232272111</v>
      </c>
      <c r="AM4677" s="106">
        <f t="shared" ca="1" si="612"/>
        <v>38410.195010871503</v>
      </c>
      <c r="AN4677" s="10">
        <f t="shared" ca="1" si="613"/>
        <v>1.1192691016810974</v>
      </c>
      <c r="AO4677" s="158"/>
      <c r="AP4677" s="158"/>
    </row>
    <row r="4678" spans="34:42">
      <c r="AH4678" s="6">
        <f t="shared" si="610"/>
        <v>4648</v>
      </c>
      <c r="AI4678" s="7">
        <f t="shared" ca="1" si="611"/>
        <v>47318</v>
      </c>
      <c r="AJ4678" s="210">
        <f t="shared" ca="1" si="614"/>
        <v>4.1749999999999998</v>
      </c>
      <c r="AK4678" s="8">
        <f t="shared" ca="1" si="616"/>
        <v>1.0001159722222221</v>
      </c>
      <c r="AL4678" s="98">
        <f t="shared" ca="1" si="615"/>
        <v>4.1868180380692621</v>
      </c>
      <c r="AM4678" s="106">
        <f t="shared" ca="1" si="612"/>
        <v>38413.360067372931</v>
      </c>
      <c r="AN4678" s="10">
        <f t="shared" ca="1" si="613"/>
        <v>1.1192935024348039</v>
      </c>
      <c r="AO4678" s="158"/>
      <c r="AP4678" s="158"/>
    </row>
    <row r="4679" spans="34:42">
      <c r="AH4679" s="6">
        <f t="shared" si="610"/>
        <v>4649</v>
      </c>
      <c r="AI4679" s="7">
        <f t="shared" ca="1" si="611"/>
        <v>47319</v>
      </c>
      <c r="AJ4679" s="210">
        <f t="shared" ca="1" si="614"/>
        <v>4.1749999999999998</v>
      </c>
      <c r="AK4679" s="8">
        <f t="shared" ca="1" si="616"/>
        <v>1.0001159722222221</v>
      </c>
      <c r="AL4679" s="98">
        <f t="shared" ca="1" si="615"/>
        <v>4.1868474402653399</v>
      </c>
      <c r="AM4679" s="106">
        <f t="shared" ca="1" si="612"/>
        <v>38416.52538467967</v>
      </c>
      <c r="AN4679" s="10">
        <f t="shared" ca="1" si="613"/>
        <v>1.1193178926971692</v>
      </c>
      <c r="AO4679" s="158"/>
      <c r="AP4679" s="158"/>
    </row>
    <row r="4680" spans="34:42">
      <c r="AH4680" s="6">
        <f t="shared" si="610"/>
        <v>4650</v>
      </c>
      <c r="AI4680" s="7">
        <f t="shared" ca="1" si="611"/>
        <v>47320</v>
      </c>
      <c r="AJ4680" s="210">
        <f t="shared" ca="1" si="614"/>
        <v>4.1749999999999998</v>
      </c>
      <c r="AK4680" s="8">
        <f t="shared" ca="1" si="616"/>
        <v>1.0001159722222221</v>
      </c>
      <c r="AL4680" s="98">
        <f t="shared" ca="1" si="615"/>
        <v>4.1868768298236159</v>
      </c>
      <c r="AM4680" s="106">
        <f t="shared" ca="1" si="612"/>
        <v>38419.690962813205</v>
      </c>
      <c r="AN4680" s="10">
        <f t="shared" ca="1" si="613"/>
        <v>1.119342272474988</v>
      </c>
      <c r="AO4680" s="158"/>
      <c r="AP4680" s="158"/>
    </row>
    <row r="4681" spans="34:42">
      <c r="AH4681" s="6">
        <f t="shared" si="610"/>
        <v>4651</v>
      </c>
      <c r="AI4681" s="7">
        <f t="shared" ca="1" si="611"/>
        <v>47321</v>
      </c>
      <c r="AJ4681" s="210">
        <f t="shared" ca="1" si="614"/>
        <v>4.1749999999999998</v>
      </c>
      <c r="AK4681" s="8">
        <f t="shared" ca="1" si="616"/>
        <v>1.0001159722222221</v>
      </c>
      <c r="AL4681" s="98">
        <f t="shared" ca="1" si="615"/>
        <v>4.1869062067522167</v>
      </c>
      <c r="AM4681" s="106">
        <f t="shared" ca="1" si="612"/>
        <v>38422.856801795024</v>
      </c>
      <c r="AN4681" s="10">
        <f t="shared" ca="1" si="613"/>
        <v>1.1193666417750103</v>
      </c>
      <c r="AO4681" s="158"/>
      <c r="AP4681" s="158"/>
    </row>
    <row r="4682" spans="34:42">
      <c r="AH4682" s="6">
        <f t="shared" si="610"/>
        <v>4652</v>
      </c>
      <c r="AI4682" s="7">
        <f t="shared" ca="1" si="611"/>
        <v>47322</v>
      </c>
      <c r="AJ4682" s="210">
        <f t="shared" ca="1" si="614"/>
        <v>4.1749999999999998</v>
      </c>
      <c r="AK4682" s="8">
        <f t="shared" ca="1" si="616"/>
        <v>1.0001159722222221</v>
      </c>
      <c r="AL4682" s="98">
        <f t="shared" ca="1" si="615"/>
        <v>4.1869355710592915</v>
      </c>
      <c r="AM4682" s="106">
        <f t="shared" ca="1" si="612"/>
        <v>38426.022901646633</v>
      </c>
      <c r="AN4682" s="10">
        <f t="shared" ca="1" si="613"/>
        <v>1.1193910006039864</v>
      </c>
      <c r="AO4682" s="158"/>
      <c r="AP4682" s="158"/>
    </row>
    <row r="4683" spans="34:42">
      <c r="AH4683" s="6">
        <f t="shared" si="610"/>
        <v>4653</v>
      </c>
      <c r="AI4683" s="7">
        <f t="shared" ca="1" si="611"/>
        <v>47323</v>
      </c>
      <c r="AJ4683" s="210">
        <f t="shared" ca="1" si="614"/>
        <v>4.1749999999999998</v>
      </c>
      <c r="AK4683" s="8">
        <f t="shared" ca="1" si="616"/>
        <v>1.0001159722222221</v>
      </c>
      <c r="AL4683" s="98">
        <f t="shared" ca="1" si="615"/>
        <v>4.1869649227529671</v>
      </c>
      <c r="AM4683" s="106">
        <f t="shared" ca="1" si="612"/>
        <v>38429.189262389518</v>
      </c>
      <c r="AN4683" s="10">
        <f t="shared" ca="1" si="613"/>
        <v>1.1194153489686665</v>
      </c>
      <c r="AO4683" s="158"/>
      <c r="AP4683" s="158"/>
    </row>
    <row r="4684" spans="34:42">
      <c r="AH4684" s="6">
        <f t="shared" si="610"/>
        <v>4654</v>
      </c>
      <c r="AI4684" s="7">
        <f t="shared" ca="1" si="611"/>
        <v>47324</v>
      </c>
      <c r="AJ4684" s="210">
        <f t="shared" ca="1" si="614"/>
        <v>4.1749999999999998</v>
      </c>
      <c r="AK4684" s="8">
        <f t="shared" ca="1" si="616"/>
        <v>1.0001159722222221</v>
      </c>
      <c r="AL4684" s="98">
        <f t="shared" ca="1" si="615"/>
        <v>4.1869942618413702</v>
      </c>
      <c r="AM4684" s="106">
        <f t="shared" ca="1" si="612"/>
        <v>38432.355884045181</v>
      </c>
      <c r="AN4684" s="10">
        <f t="shared" ca="1" si="613"/>
        <v>1.1194396868758005</v>
      </c>
      <c r="AO4684" s="158"/>
      <c r="AP4684" s="158"/>
    </row>
    <row r="4685" spans="34:42">
      <c r="AH4685" s="6">
        <f t="shared" si="610"/>
        <v>4655</v>
      </c>
      <c r="AI4685" s="7">
        <f t="shared" ca="1" si="611"/>
        <v>47325</v>
      </c>
      <c r="AJ4685" s="210">
        <f t="shared" ca="1" si="614"/>
        <v>4.1749999999999998</v>
      </c>
      <c r="AK4685" s="8">
        <f t="shared" ca="1" si="616"/>
        <v>1.0001159722222221</v>
      </c>
      <c r="AL4685" s="98">
        <f t="shared" ca="1" si="615"/>
        <v>4.1870235883326279</v>
      </c>
      <c r="AM4685" s="106">
        <f t="shared" ca="1" si="612"/>
        <v>38435.52276663512</v>
      </c>
      <c r="AN4685" s="10">
        <f t="shared" ca="1" si="613"/>
        <v>1.1194640143321166</v>
      </c>
      <c r="AO4685" s="158"/>
      <c r="AP4685" s="158"/>
    </row>
    <row r="4686" spans="34:42">
      <c r="AH4686" s="6">
        <f t="shared" si="610"/>
        <v>4656</v>
      </c>
      <c r="AI4686" s="7">
        <f t="shared" ca="1" si="611"/>
        <v>47326</v>
      </c>
      <c r="AJ4686" s="210">
        <f t="shared" ca="1" si="614"/>
        <v>4.1749999999999998</v>
      </c>
      <c r="AK4686" s="8">
        <f t="shared" ca="1" si="616"/>
        <v>1.0001159722222221</v>
      </c>
      <c r="AL4686" s="98">
        <f t="shared" ca="1" si="615"/>
        <v>4.1870529022348446</v>
      </c>
      <c r="AM4686" s="106">
        <f t="shared" ca="1" si="612"/>
        <v>38438.68991018083</v>
      </c>
      <c r="AN4686" s="10">
        <f t="shared" ca="1" si="613"/>
        <v>1.1194883313443205</v>
      </c>
      <c r="AO4686" s="158"/>
      <c r="AP4686" s="158"/>
    </row>
    <row r="4687" spans="34:42">
      <c r="AH4687" s="6">
        <f t="shared" si="610"/>
        <v>4657</v>
      </c>
      <c r="AI4687" s="7">
        <f t="shared" ca="1" si="611"/>
        <v>47327</v>
      </c>
      <c r="AJ4687" s="210">
        <f t="shared" ca="1" si="614"/>
        <v>4.1749999999999998</v>
      </c>
      <c r="AK4687" s="8">
        <f t="shared" ca="1" si="616"/>
        <v>1.0001159722222221</v>
      </c>
      <c r="AL4687" s="98">
        <f t="shared" ca="1" si="615"/>
        <v>4.187082203556125</v>
      </c>
      <c r="AM4687" s="106">
        <f t="shared" ca="1" si="612"/>
        <v>38441.857314703833</v>
      </c>
      <c r="AN4687" s="10">
        <f t="shared" ca="1" si="613"/>
        <v>1.1195126379191844</v>
      </c>
      <c r="AO4687" s="158"/>
      <c r="AP4687" s="158"/>
    </row>
    <row r="4688" spans="34:42">
      <c r="AH4688" s="6">
        <f t="shared" si="610"/>
        <v>4658</v>
      </c>
      <c r="AI4688" s="7">
        <f t="shared" ca="1" si="611"/>
        <v>47328</v>
      </c>
      <c r="AJ4688" s="210">
        <f t="shared" ca="1" si="614"/>
        <v>4.1749999999999998</v>
      </c>
      <c r="AK4688" s="8">
        <f t="shared" ca="1" si="616"/>
        <v>1.0001159722222221</v>
      </c>
      <c r="AL4688" s="98">
        <f t="shared" ca="1" si="615"/>
        <v>4.1871114923045738</v>
      </c>
      <c r="AM4688" s="106">
        <f t="shared" ca="1" si="612"/>
        <v>38445.024980225615</v>
      </c>
      <c r="AN4688" s="10">
        <f t="shared" ca="1" si="613"/>
        <v>1.1195369340633921</v>
      </c>
      <c r="AO4688" s="158"/>
      <c r="AP4688" s="158"/>
    </row>
    <row r="4689" spans="34:42">
      <c r="AH4689" s="6">
        <f t="shared" si="610"/>
        <v>4659</v>
      </c>
      <c r="AI4689" s="7">
        <f t="shared" ca="1" si="611"/>
        <v>47329</v>
      </c>
      <c r="AJ4689" s="210">
        <f t="shared" ca="1" si="614"/>
        <v>4.1749999999999998</v>
      </c>
      <c r="AK4689" s="8">
        <f t="shared" ca="1" si="616"/>
        <v>1.0001159722222221</v>
      </c>
      <c r="AL4689" s="98">
        <f t="shared" ca="1" si="615"/>
        <v>4.1871407684882733</v>
      </c>
      <c r="AM4689" s="106">
        <f t="shared" ca="1" si="612"/>
        <v>38448.19290676769</v>
      </c>
      <c r="AN4689" s="10">
        <f t="shared" ca="1" si="613"/>
        <v>1.1195612197836713</v>
      </c>
      <c r="AO4689" s="158"/>
      <c r="AP4689" s="158"/>
    </row>
    <row r="4690" spans="34:42">
      <c r="AH4690" s="6">
        <f t="shared" si="610"/>
        <v>4660</v>
      </c>
      <c r="AI4690" s="7">
        <f t="shared" ca="1" si="611"/>
        <v>47330</v>
      </c>
      <c r="AJ4690" s="210">
        <f t="shared" ca="1" si="614"/>
        <v>4.1749999999999998</v>
      </c>
      <c r="AK4690" s="8">
        <f t="shared" ca="1" si="616"/>
        <v>1.0001159722222221</v>
      </c>
      <c r="AL4690" s="98">
        <f t="shared" ca="1" si="615"/>
        <v>4.187170032115306</v>
      </c>
      <c r="AM4690" s="106">
        <f t="shared" ca="1" si="612"/>
        <v>38451.361094351574</v>
      </c>
      <c r="AN4690" s="10">
        <f t="shared" ca="1" si="613"/>
        <v>1.1195854950867279</v>
      </c>
      <c r="AO4690" s="158"/>
      <c r="AP4690" s="158"/>
    </row>
    <row r="4691" spans="34:42">
      <c r="AH4691" s="6">
        <f t="shared" si="610"/>
        <v>4661</v>
      </c>
      <c r="AI4691" s="7">
        <f t="shared" ca="1" si="611"/>
        <v>47331</v>
      </c>
      <c r="AJ4691" s="210">
        <f t="shared" ca="1" si="614"/>
        <v>4.1749999999999998</v>
      </c>
      <c r="AK4691" s="8">
        <f t="shared" ca="1" si="616"/>
        <v>1.0001159722222221</v>
      </c>
      <c r="AL4691" s="98">
        <f t="shared" ca="1" si="615"/>
        <v>4.1871992831937543</v>
      </c>
      <c r="AM4691" s="106">
        <f t="shared" ca="1" si="612"/>
        <v>38454.52954299876</v>
      </c>
      <c r="AN4691" s="10">
        <f t="shared" ca="1" si="613"/>
        <v>1.1196097599792454</v>
      </c>
      <c r="AO4691" s="158"/>
      <c r="AP4691" s="158"/>
    </row>
    <row r="4692" spans="34:42">
      <c r="AH4692" s="6">
        <f t="shared" ref="AH4692:AH4755" si="617">$AI$29+AH4691</f>
        <v>4662</v>
      </c>
      <c r="AI4692" s="7">
        <f t="shared" ref="AI4692:AI4755" ca="1" si="618">+AH4692+$C$1</f>
        <v>47332</v>
      </c>
      <c r="AJ4692" s="210">
        <f t="shared" ca="1" si="614"/>
        <v>4.1749999999999998</v>
      </c>
      <c r="AK4692" s="8">
        <f t="shared" ca="1" si="616"/>
        <v>1.0001159722222221</v>
      </c>
      <c r="AL4692" s="98">
        <f t="shared" ca="1" si="615"/>
        <v>4.1872285217316785</v>
      </c>
      <c r="AM4692" s="106">
        <f t="shared" ca="1" si="612"/>
        <v>38457.698252730777</v>
      </c>
      <c r="AN4692" s="10">
        <f t="shared" ca="1" si="613"/>
        <v>1.1196340144679517</v>
      </c>
      <c r="AO4692" s="158"/>
      <c r="AP4692" s="158"/>
    </row>
    <row r="4693" spans="34:42">
      <c r="AH4693" s="6">
        <f t="shared" si="617"/>
        <v>4663</v>
      </c>
      <c r="AI4693" s="7">
        <f t="shared" ca="1" si="618"/>
        <v>47333</v>
      </c>
      <c r="AJ4693" s="210">
        <f t="shared" ca="1" si="614"/>
        <v>4.1749999999999998</v>
      </c>
      <c r="AK4693" s="8">
        <f t="shared" ca="1" si="616"/>
        <v>1.0001159722222221</v>
      </c>
      <c r="AL4693" s="98">
        <f t="shared" ca="1" si="615"/>
        <v>4.1872577477371387</v>
      </c>
      <c r="AM4693" s="106">
        <f t="shared" ca="1" si="612"/>
        <v>38460.867223569134</v>
      </c>
      <c r="AN4693" s="10">
        <f t="shared" ca="1" si="613"/>
        <v>1.1196582585594861</v>
      </c>
      <c r="AO4693" s="158"/>
      <c r="AP4693" s="158"/>
    </row>
    <row r="4694" spans="34:42">
      <c r="AH4694" s="6">
        <f t="shared" si="617"/>
        <v>4664</v>
      </c>
      <c r="AI4694" s="7">
        <f t="shared" ca="1" si="618"/>
        <v>47334</v>
      </c>
      <c r="AJ4694" s="210">
        <f t="shared" ca="1" si="614"/>
        <v>4.1749999999999998</v>
      </c>
      <c r="AK4694" s="8">
        <f t="shared" ca="1" si="616"/>
        <v>1.0001159722222221</v>
      </c>
      <c r="AL4694" s="98">
        <f t="shared" ca="1" si="615"/>
        <v>4.1872869612182173</v>
      </c>
      <c r="AM4694" s="106">
        <f t="shared" ca="1" si="612"/>
        <v>38464.036455535337</v>
      </c>
      <c r="AN4694" s="10">
        <f t="shared" ca="1" si="613"/>
        <v>1.1196824922605986</v>
      </c>
      <c r="AO4694" s="158"/>
      <c r="AP4694" s="158"/>
    </row>
    <row r="4695" spans="34:42">
      <c r="AH4695" s="6">
        <f t="shared" si="617"/>
        <v>4665</v>
      </c>
      <c r="AI4695" s="7">
        <f t="shared" ca="1" si="618"/>
        <v>47335</v>
      </c>
      <c r="AJ4695" s="210">
        <f t="shared" ca="1" si="614"/>
        <v>4.1749999999999998</v>
      </c>
      <c r="AK4695" s="8">
        <f t="shared" ca="1" si="616"/>
        <v>1.0001159722222221</v>
      </c>
      <c r="AL4695" s="98">
        <f t="shared" ca="1" si="615"/>
        <v>4.1873161621829302</v>
      </c>
      <c r="AM4695" s="106">
        <f t="shared" ca="1" si="612"/>
        <v>38467.20594865091</v>
      </c>
      <c r="AN4695" s="10">
        <f t="shared" ca="1" si="613"/>
        <v>1.1197067155779061</v>
      </c>
      <c r="AO4695" s="158"/>
      <c r="AP4695" s="158"/>
    </row>
    <row r="4696" spans="34:42">
      <c r="AH4696" s="6">
        <f t="shared" si="617"/>
        <v>4666</v>
      </c>
      <c r="AI4696" s="7">
        <f t="shared" ca="1" si="618"/>
        <v>47336</v>
      </c>
      <c r="AJ4696" s="210">
        <f t="shared" ca="1" si="614"/>
        <v>4.1749999999999998</v>
      </c>
      <c r="AK4696" s="8">
        <f t="shared" ca="1" si="616"/>
        <v>1.0001159722222221</v>
      </c>
      <c r="AL4696" s="98">
        <f t="shared" ca="1" si="615"/>
        <v>4.1873453506393377</v>
      </c>
      <c r="AM4696" s="106">
        <f t="shared" ca="1" si="612"/>
        <v>38470.375702937374</v>
      </c>
      <c r="AN4696" s="10">
        <f t="shared" ca="1" si="613"/>
        <v>1.1197309285181145</v>
      </c>
      <c r="AO4696" s="158"/>
      <c r="AP4696" s="158"/>
    </row>
    <row r="4697" spans="34:42">
      <c r="AH4697" s="6">
        <f t="shared" si="617"/>
        <v>4667</v>
      </c>
      <c r="AI4697" s="7">
        <f t="shared" ca="1" si="618"/>
        <v>47337</v>
      </c>
      <c r="AJ4697" s="210">
        <f t="shared" ca="1" si="614"/>
        <v>4.1749999999999998</v>
      </c>
      <c r="AK4697" s="8">
        <f t="shared" ca="1" si="616"/>
        <v>1.0001159722222221</v>
      </c>
      <c r="AL4697" s="98">
        <f t="shared" ca="1" si="615"/>
        <v>4.1873745265954776</v>
      </c>
      <c r="AM4697" s="106">
        <f t="shared" ca="1" si="612"/>
        <v>38473.545718416244</v>
      </c>
      <c r="AN4697" s="10">
        <f t="shared" ca="1" si="613"/>
        <v>1.119755131087885</v>
      </c>
      <c r="AO4697" s="158"/>
      <c r="AP4697" s="158"/>
    </row>
    <row r="4698" spans="34:42">
      <c r="AH4698" s="6">
        <f t="shared" si="617"/>
        <v>4668</v>
      </c>
      <c r="AI4698" s="7">
        <f t="shared" ca="1" si="618"/>
        <v>47338</v>
      </c>
      <c r="AJ4698" s="210">
        <f t="shared" ca="1" si="614"/>
        <v>4.1749999999999998</v>
      </c>
      <c r="AK4698" s="8">
        <f t="shared" ca="1" si="616"/>
        <v>1.0001159722222221</v>
      </c>
      <c r="AL4698" s="98">
        <f t="shared" ca="1" si="615"/>
        <v>4.1874036900593659</v>
      </c>
      <c r="AM4698" s="106">
        <f t="shared" ca="1" si="612"/>
        <v>38476.715995109051</v>
      </c>
      <c r="AN4698" s="10">
        <f t="shared" ca="1" si="613"/>
        <v>1.1197793232938791</v>
      </c>
      <c r="AO4698" s="158"/>
      <c r="AP4698" s="158"/>
    </row>
    <row r="4699" spans="34:42">
      <c r="AH4699" s="6">
        <f t="shared" si="617"/>
        <v>4669</v>
      </c>
      <c r="AI4699" s="7">
        <f t="shared" ca="1" si="618"/>
        <v>47339</v>
      </c>
      <c r="AJ4699" s="210">
        <f t="shared" ca="1" si="614"/>
        <v>4.1749999999999998</v>
      </c>
      <c r="AK4699" s="8">
        <f t="shared" ca="1" si="616"/>
        <v>1.0001159722222221</v>
      </c>
      <c r="AL4699" s="98">
        <f t="shared" ca="1" si="615"/>
        <v>4.1874328410390405</v>
      </c>
      <c r="AM4699" s="106">
        <f t="shared" ca="1" si="612"/>
        <v>38479.886533037323</v>
      </c>
      <c r="AN4699" s="10">
        <f t="shared" ca="1" si="613"/>
        <v>1.1198035051427357</v>
      </c>
      <c r="AO4699" s="158"/>
      <c r="AP4699" s="158"/>
    </row>
    <row r="4700" spans="34:42">
      <c r="AH4700" s="6">
        <f t="shared" si="617"/>
        <v>4670</v>
      </c>
      <c r="AI4700" s="7">
        <f t="shared" ca="1" si="618"/>
        <v>47340</v>
      </c>
      <c r="AJ4700" s="210">
        <f t="shared" ca="1" si="614"/>
        <v>4.1749999999999998</v>
      </c>
      <c r="AK4700" s="8">
        <f t="shared" ca="1" si="616"/>
        <v>1.0001159722222221</v>
      </c>
      <c r="AL4700" s="98">
        <f t="shared" ca="1" si="615"/>
        <v>4.187461979542495</v>
      </c>
      <c r="AM4700" s="106">
        <f t="shared" ca="1" si="612"/>
        <v>38483.057332222568</v>
      </c>
      <c r="AN4700" s="10">
        <f t="shared" ca="1" si="613"/>
        <v>1.1198276766411386</v>
      </c>
      <c r="AO4700" s="158"/>
      <c r="AP4700" s="158"/>
    </row>
    <row r="4701" spans="34:42">
      <c r="AH4701" s="6">
        <f t="shared" si="617"/>
        <v>4671</v>
      </c>
      <c r="AI4701" s="7">
        <f t="shared" ca="1" si="618"/>
        <v>47341</v>
      </c>
      <c r="AJ4701" s="210">
        <f t="shared" ca="1" si="614"/>
        <v>4.1749999999999998</v>
      </c>
      <c r="AK4701" s="8">
        <f t="shared" ca="1" si="616"/>
        <v>1.0001159722222221</v>
      </c>
      <c r="AL4701" s="98">
        <f t="shared" ca="1" si="615"/>
        <v>4.1874911055777453</v>
      </c>
      <c r="AM4701" s="106">
        <f t="shared" ca="1" si="612"/>
        <v>38486.228392686324</v>
      </c>
      <c r="AN4701" s="10">
        <f t="shared" ca="1" si="613"/>
        <v>1.1198518377956823</v>
      </c>
      <c r="AO4701" s="158"/>
      <c r="AP4701" s="158"/>
    </row>
    <row r="4702" spans="34:42">
      <c r="AH4702" s="6">
        <f t="shared" si="617"/>
        <v>4672</v>
      </c>
      <c r="AI4702" s="7">
        <f t="shared" ca="1" si="618"/>
        <v>47342</v>
      </c>
      <c r="AJ4702" s="210">
        <f t="shared" ca="1" si="614"/>
        <v>4.1749999999999998</v>
      </c>
      <c r="AK4702" s="8">
        <f t="shared" ca="1" si="616"/>
        <v>1.0001159722222221</v>
      </c>
      <c r="AL4702" s="98">
        <f t="shared" ca="1" si="615"/>
        <v>4.1875202191528071</v>
      </c>
      <c r="AM4702" s="106">
        <f t="shared" ca="1" si="612"/>
        <v>38489.399714450126</v>
      </c>
      <c r="AN4702" s="10">
        <f t="shared" ca="1" si="613"/>
        <v>1.1198759886130727</v>
      </c>
      <c r="AO4702" s="158"/>
      <c r="AP4702" s="158"/>
    </row>
    <row r="4703" spans="34:42">
      <c r="AH4703" s="6">
        <f t="shared" si="617"/>
        <v>4673</v>
      </c>
      <c r="AI4703" s="7">
        <f t="shared" ca="1" si="618"/>
        <v>47343</v>
      </c>
      <c r="AJ4703" s="210">
        <f t="shared" ca="1" si="614"/>
        <v>4.1749999999999998</v>
      </c>
      <c r="AK4703" s="8">
        <f t="shared" ca="1" si="616"/>
        <v>1.0001159722222221</v>
      </c>
      <c r="AL4703" s="98">
        <f t="shared" ca="1" si="615"/>
        <v>4.187549320275652</v>
      </c>
      <c r="AM4703" s="106">
        <f t="shared" ref="AM4703:AM4766" ca="1" si="619">Geom_Interp(AI4703,$AZ$2:$AZ$109,$BA$2:$BA$109)</f>
        <v>38492.571297535498</v>
      </c>
      <c r="AN4703" s="10">
        <f t="shared" ref="AN4703:AN4766" ca="1" si="620">100*(((1+AL4703/100)^(AH4703/365)*$AM$29/AM4703)^(365/AH4703)-1)</f>
        <v>1.1199001290998822</v>
      </c>
      <c r="AO4703" s="158"/>
      <c r="AP4703" s="158"/>
    </row>
    <row r="4704" spans="34:42">
      <c r="AH4704" s="6">
        <f t="shared" si="617"/>
        <v>4674</v>
      </c>
      <c r="AI4704" s="7">
        <f t="shared" ca="1" si="618"/>
        <v>47344</v>
      </c>
      <c r="AJ4704" s="210">
        <f t="shared" ref="AJ4704:AJ4767" ca="1" si="621">IF(AH4704&lt;365,VLOOKUP(LOOKUP(AI4704,$AI$2:$AI$23),$AI$2:$AK$23,3,0),Lin_Interp(AH4704,$AJ$2:$AJ$23,$AK$2:$AK$23))</f>
        <v>4.1749999999999998</v>
      </c>
      <c r="AK4704" s="8">
        <f t="shared" ca="1" si="616"/>
        <v>1.0001159722222221</v>
      </c>
      <c r="AL4704" s="98">
        <f t="shared" ca="1" si="615"/>
        <v>4.1875784089542956</v>
      </c>
      <c r="AM4704" s="106">
        <f t="shared" ca="1" si="619"/>
        <v>38495.743141963976</v>
      </c>
      <c r="AN4704" s="10">
        <f t="shared" ca="1" si="620"/>
        <v>1.1199242592627723</v>
      </c>
      <c r="AO4704" s="158"/>
      <c r="AP4704" s="158"/>
    </row>
    <row r="4705" spans="34:42">
      <c r="AH4705" s="6">
        <f t="shared" si="617"/>
        <v>4675</v>
      </c>
      <c r="AI4705" s="7">
        <f t="shared" ca="1" si="618"/>
        <v>47345</v>
      </c>
      <c r="AJ4705" s="210">
        <f t="shared" ca="1" si="621"/>
        <v>4.1749999999999998</v>
      </c>
      <c r="AK4705" s="8">
        <f t="shared" ca="1" si="616"/>
        <v>1.0001159722222221</v>
      </c>
      <c r="AL4705" s="98">
        <f t="shared" ref="AL4705:AL4768" ca="1" si="622">100*(((1+AL4704/100)^(AH4704/365)*AK4705)^(365/AH4705)-1)</f>
        <v>4.1876074851966871</v>
      </c>
      <c r="AM4705" s="106">
        <f t="shared" ca="1" si="619"/>
        <v>38498.915247757104</v>
      </c>
      <c r="AN4705" s="10">
        <f t="shared" ca="1" si="620"/>
        <v>1.1199483791083376</v>
      </c>
      <c r="AO4705" s="158"/>
      <c r="AP4705" s="158"/>
    </row>
    <row r="4706" spans="34:42">
      <c r="AH4706" s="6">
        <f t="shared" si="617"/>
        <v>4676</v>
      </c>
      <c r="AI4706" s="7">
        <f t="shared" ca="1" si="618"/>
        <v>47346</v>
      </c>
      <c r="AJ4706" s="210">
        <f t="shared" ca="1" si="621"/>
        <v>4.1749999999999998</v>
      </c>
      <c r="AK4706" s="8">
        <f t="shared" ca="1" si="616"/>
        <v>1.0001159722222221</v>
      </c>
      <c r="AL4706" s="98">
        <f t="shared" ca="1" si="622"/>
        <v>4.1876365490108203</v>
      </c>
      <c r="AM4706" s="106">
        <f t="shared" ca="1" si="619"/>
        <v>38502.087614936398</v>
      </c>
      <c r="AN4706" s="10">
        <f t="shared" ca="1" si="620"/>
        <v>1.1199724886432172</v>
      </c>
      <c r="AO4706" s="158"/>
      <c r="AP4706" s="158"/>
    </row>
    <row r="4707" spans="34:42">
      <c r="AH4707" s="6">
        <f t="shared" si="617"/>
        <v>4677</v>
      </c>
      <c r="AI4707" s="7">
        <f t="shared" ca="1" si="618"/>
        <v>47347</v>
      </c>
      <c r="AJ4707" s="210">
        <f t="shared" ca="1" si="621"/>
        <v>4.1749999999999998</v>
      </c>
      <c r="AK4707" s="8">
        <f t="shared" ca="1" si="616"/>
        <v>1.0001159722222221</v>
      </c>
      <c r="AL4707" s="98">
        <f t="shared" ca="1" si="622"/>
        <v>4.1876656004046442</v>
      </c>
      <c r="AM4707" s="106">
        <f t="shared" ca="1" si="619"/>
        <v>38505.260243523408</v>
      </c>
      <c r="AN4707" s="10">
        <f t="shared" ca="1" si="620"/>
        <v>1.1199965878740059</v>
      </c>
      <c r="AO4707" s="158"/>
      <c r="AP4707" s="158"/>
    </row>
    <row r="4708" spans="34:42">
      <c r="AH4708" s="6">
        <f t="shared" si="617"/>
        <v>4678</v>
      </c>
      <c r="AI4708" s="7">
        <f t="shared" ca="1" si="618"/>
        <v>47348</v>
      </c>
      <c r="AJ4708" s="210">
        <f t="shared" ca="1" si="621"/>
        <v>4.1749999999999998</v>
      </c>
      <c r="AK4708" s="8">
        <f t="shared" ref="AK4708:AK4771" ca="1" si="623">+(1+AJ4708/36000)</f>
        <v>1.0001159722222221</v>
      </c>
      <c r="AL4708" s="98">
        <f t="shared" ca="1" si="622"/>
        <v>4.1876946393861303</v>
      </c>
      <c r="AM4708" s="106">
        <f t="shared" ca="1" si="619"/>
        <v>38508.433133539686</v>
      </c>
      <c r="AN4708" s="10">
        <f t="shared" ca="1" si="620"/>
        <v>1.1200206768073206</v>
      </c>
      <c r="AO4708" s="158"/>
      <c r="AP4708" s="158"/>
    </row>
    <row r="4709" spans="34:42">
      <c r="AH4709" s="6">
        <f t="shared" si="617"/>
        <v>4679</v>
      </c>
      <c r="AI4709" s="7">
        <f t="shared" ca="1" si="618"/>
        <v>47349</v>
      </c>
      <c r="AJ4709" s="210">
        <f t="shared" ca="1" si="621"/>
        <v>4.1749999999999998</v>
      </c>
      <c r="AK4709" s="8">
        <f t="shared" ca="1" si="623"/>
        <v>1.0001159722222221</v>
      </c>
      <c r="AL4709" s="98">
        <f t="shared" ca="1" si="622"/>
        <v>4.18772366596325</v>
      </c>
      <c r="AM4709" s="106">
        <f t="shared" ca="1" si="619"/>
        <v>38511.606285006754</v>
      </c>
      <c r="AN4709" s="10">
        <f t="shared" ca="1" si="620"/>
        <v>1.1200447554497783</v>
      </c>
      <c r="AO4709" s="158"/>
      <c r="AP4709" s="158"/>
    </row>
    <row r="4710" spans="34:42">
      <c r="AH4710" s="6">
        <f t="shared" si="617"/>
        <v>4680</v>
      </c>
      <c r="AI4710" s="7">
        <f t="shared" ca="1" si="618"/>
        <v>47350</v>
      </c>
      <c r="AJ4710" s="210">
        <f t="shared" ca="1" si="621"/>
        <v>4.1749999999999998</v>
      </c>
      <c r="AK4710" s="8">
        <f t="shared" ca="1" si="623"/>
        <v>1.0001159722222221</v>
      </c>
      <c r="AL4710" s="98">
        <f t="shared" ca="1" si="622"/>
        <v>4.1877526801439302</v>
      </c>
      <c r="AM4710" s="106">
        <f t="shared" ca="1" si="619"/>
        <v>38514.779697946171</v>
      </c>
      <c r="AN4710" s="10">
        <f t="shared" ca="1" si="620"/>
        <v>1.1200688238079293</v>
      </c>
      <c r="AO4710" s="158"/>
      <c r="AP4710" s="158"/>
    </row>
    <row r="4711" spans="34:42">
      <c r="AH4711" s="6">
        <f t="shared" si="617"/>
        <v>4681</v>
      </c>
      <c r="AI4711" s="7">
        <f t="shared" ca="1" si="618"/>
        <v>47351</v>
      </c>
      <c r="AJ4711" s="210">
        <f t="shared" ca="1" si="621"/>
        <v>4.1749999999999998</v>
      </c>
      <c r="AK4711" s="8">
        <f t="shared" ca="1" si="623"/>
        <v>1.0001159722222221</v>
      </c>
      <c r="AL4711" s="98">
        <f t="shared" ca="1" si="622"/>
        <v>4.187781681936098</v>
      </c>
      <c r="AM4711" s="106">
        <f t="shared" ca="1" si="619"/>
        <v>38517.953372379467</v>
      </c>
      <c r="AN4711" s="10">
        <f t="shared" ca="1" si="620"/>
        <v>1.1200928818883682</v>
      </c>
      <c r="AO4711" s="158"/>
      <c r="AP4711" s="158"/>
    </row>
    <row r="4712" spans="34:42">
      <c r="AH4712" s="6">
        <f t="shared" si="617"/>
        <v>4682</v>
      </c>
      <c r="AI4712" s="7">
        <f t="shared" ca="1" si="618"/>
        <v>47352</v>
      </c>
      <c r="AJ4712" s="210">
        <f t="shared" ca="1" si="621"/>
        <v>4.1749999999999998</v>
      </c>
      <c r="AK4712" s="8">
        <f t="shared" ca="1" si="623"/>
        <v>1.0001159722222221</v>
      </c>
      <c r="AL4712" s="98">
        <f t="shared" ca="1" si="622"/>
        <v>4.1878106713477026</v>
      </c>
      <c r="AM4712" s="106">
        <f t="shared" ca="1" si="619"/>
        <v>38521.127308328207</v>
      </c>
      <c r="AN4712" s="10">
        <f t="shared" ca="1" si="620"/>
        <v>1.1201169296976898</v>
      </c>
      <c r="AO4712" s="158"/>
      <c r="AP4712" s="158"/>
    </row>
    <row r="4713" spans="34:42">
      <c r="AH4713" s="6">
        <f t="shared" si="617"/>
        <v>4683</v>
      </c>
      <c r="AI4713" s="7">
        <f t="shared" ca="1" si="618"/>
        <v>47353</v>
      </c>
      <c r="AJ4713" s="210">
        <f t="shared" ca="1" si="621"/>
        <v>4.1749999999999998</v>
      </c>
      <c r="AK4713" s="8">
        <f t="shared" ca="1" si="623"/>
        <v>1.0001159722222221</v>
      </c>
      <c r="AL4713" s="98">
        <f t="shared" ca="1" si="622"/>
        <v>4.1878396483866709</v>
      </c>
      <c r="AM4713" s="106">
        <f t="shared" ca="1" si="619"/>
        <v>38524.301505813935</v>
      </c>
      <c r="AN4713" s="10">
        <f t="shared" ca="1" si="620"/>
        <v>1.1201409672424889</v>
      </c>
      <c r="AO4713" s="158"/>
      <c r="AP4713" s="158"/>
    </row>
    <row r="4714" spans="34:42">
      <c r="AH4714" s="6">
        <f t="shared" si="617"/>
        <v>4684</v>
      </c>
      <c r="AI4714" s="7">
        <f t="shared" ca="1" si="618"/>
        <v>47354</v>
      </c>
      <c r="AJ4714" s="210">
        <f t="shared" ca="1" si="621"/>
        <v>4.1749999999999998</v>
      </c>
      <c r="AK4714" s="8">
        <f t="shared" ca="1" si="623"/>
        <v>1.0001159722222221</v>
      </c>
      <c r="AL4714" s="98">
        <f t="shared" ca="1" si="622"/>
        <v>4.1878686130609077</v>
      </c>
      <c r="AM4714" s="106">
        <f t="shared" ca="1" si="619"/>
        <v>38527.475964858189</v>
      </c>
      <c r="AN4714" s="10">
        <f t="shared" ca="1" si="620"/>
        <v>1.1201649945292935</v>
      </c>
      <c r="AO4714" s="158"/>
      <c r="AP4714" s="158"/>
    </row>
    <row r="4715" spans="34:42">
      <c r="AH4715" s="6">
        <f t="shared" si="617"/>
        <v>4685</v>
      </c>
      <c r="AI4715" s="7">
        <f t="shared" ca="1" si="618"/>
        <v>47355</v>
      </c>
      <c r="AJ4715" s="210">
        <f t="shared" ca="1" si="621"/>
        <v>4.1749999999999998</v>
      </c>
      <c r="AK4715" s="8">
        <f t="shared" ca="1" si="623"/>
        <v>1.0001159722222221</v>
      </c>
      <c r="AL4715" s="98">
        <f t="shared" ca="1" si="622"/>
        <v>4.1878975653783401</v>
      </c>
      <c r="AM4715" s="106">
        <f t="shared" ca="1" si="619"/>
        <v>38530.650685482535</v>
      </c>
      <c r="AN4715" s="10">
        <f t="shared" ca="1" si="620"/>
        <v>1.1201890115646762</v>
      </c>
      <c r="AO4715" s="158"/>
      <c r="AP4715" s="158"/>
    </row>
    <row r="4716" spans="34:42">
      <c r="AH4716" s="6">
        <f t="shared" si="617"/>
        <v>4686</v>
      </c>
      <c r="AI4716" s="7">
        <f t="shared" ca="1" si="618"/>
        <v>47356</v>
      </c>
      <c r="AJ4716" s="210">
        <f t="shared" ca="1" si="621"/>
        <v>4.1749999999999998</v>
      </c>
      <c r="AK4716" s="8">
        <f t="shared" ca="1" si="623"/>
        <v>1.0001159722222221</v>
      </c>
      <c r="AL4716" s="98">
        <f t="shared" ca="1" si="622"/>
        <v>4.1879265053468728</v>
      </c>
      <c r="AM4716" s="106">
        <f t="shared" ca="1" si="619"/>
        <v>38533.82566770853</v>
      </c>
      <c r="AN4716" s="10">
        <f t="shared" ca="1" si="620"/>
        <v>1.1202130183552317</v>
      </c>
      <c r="AO4716" s="158"/>
      <c r="AP4716" s="158"/>
    </row>
    <row r="4717" spans="34:42">
      <c r="AH4717" s="6">
        <f t="shared" si="617"/>
        <v>4687</v>
      </c>
      <c r="AI4717" s="7">
        <f t="shared" ca="1" si="618"/>
        <v>47357</v>
      </c>
      <c r="AJ4717" s="210">
        <f t="shared" ca="1" si="621"/>
        <v>4.1749999999999998</v>
      </c>
      <c r="AK4717" s="8">
        <f t="shared" ca="1" si="623"/>
        <v>1.0001159722222221</v>
      </c>
      <c r="AL4717" s="98">
        <f t="shared" ca="1" si="622"/>
        <v>4.1879554329744106</v>
      </c>
      <c r="AM4717" s="106">
        <f t="shared" ca="1" si="619"/>
        <v>38537.000911557727</v>
      </c>
      <c r="AN4717" s="10">
        <f t="shared" ca="1" si="620"/>
        <v>1.1202370149075103</v>
      </c>
      <c r="AO4717" s="158"/>
      <c r="AP4717" s="158"/>
    </row>
    <row r="4718" spans="34:42">
      <c r="AH4718" s="6">
        <f t="shared" si="617"/>
        <v>4688</v>
      </c>
      <c r="AI4718" s="7">
        <f t="shared" ca="1" si="618"/>
        <v>47358</v>
      </c>
      <c r="AJ4718" s="210">
        <f t="shared" ca="1" si="621"/>
        <v>4.1749999999999998</v>
      </c>
      <c r="AK4718" s="8">
        <f t="shared" ca="1" si="623"/>
        <v>1.0001159722222221</v>
      </c>
      <c r="AL4718" s="98">
        <f t="shared" ca="1" si="622"/>
        <v>4.1879843482688361</v>
      </c>
      <c r="AM4718" s="106">
        <f t="shared" ca="1" si="619"/>
        <v>38540.176417051676</v>
      </c>
      <c r="AN4718" s="10">
        <f t="shared" ca="1" si="620"/>
        <v>1.1202610012280401</v>
      </c>
      <c r="AO4718" s="158"/>
      <c r="AP4718" s="158"/>
    </row>
    <row r="4719" spans="34:42">
      <c r="AH4719" s="6">
        <f t="shared" si="617"/>
        <v>4689</v>
      </c>
      <c r="AI4719" s="7">
        <f t="shared" ca="1" si="618"/>
        <v>47359</v>
      </c>
      <c r="AJ4719" s="210">
        <f t="shared" ca="1" si="621"/>
        <v>4.1749999999999998</v>
      </c>
      <c r="AK4719" s="8">
        <f t="shared" ca="1" si="623"/>
        <v>1.0001159722222221</v>
      </c>
      <c r="AL4719" s="98">
        <f t="shared" ca="1" si="622"/>
        <v>4.1880132512380319</v>
      </c>
      <c r="AM4719" s="106">
        <f t="shared" ca="1" si="619"/>
        <v>38543.352184211944</v>
      </c>
      <c r="AN4719" s="10">
        <f t="shared" ca="1" si="620"/>
        <v>1.1202849773233492</v>
      </c>
      <c r="AO4719" s="158"/>
      <c r="AP4719" s="158"/>
    </row>
    <row r="4720" spans="34:42">
      <c r="AH4720" s="6">
        <f t="shared" si="617"/>
        <v>4690</v>
      </c>
      <c r="AI4720" s="7">
        <f t="shared" ca="1" si="618"/>
        <v>47360</v>
      </c>
      <c r="AJ4720" s="210">
        <f t="shared" ca="1" si="621"/>
        <v>4.1749999999999998</v>
      </c>
      <c r="AK4720" s="8">
        <f t="shared" ca="1" si="623"/>
        <v>1.0001159722222221</v>
      </c>
      <c r="AL4720" s="98">
        <f t="shared" ca="1" si="622"/>
        <v>4.1880421418898806</v>
      </c>
      <c r="AM4720" s="106">
        <f t="shared" ca="1" si="619"/>
        <v>38546.528213060097</v>
      </c>
      <c r="AN4720" s="10">
        <f t="shared" ca="1" si="620"/>
        <v>1.1203089432000102</v>
      </c>
      <c r="AO4720" s="158"/>
      <c r="AP4720" s="158"/>
    </row>
    <row r="4721" spans="34:42">
      <c r="AH4721" s="6">
        <f t="shared" si="617"/>
        <v>4691</v>
      </c>
      <c r="AI4721" s="7">
        <f t="shared" ca="1" si="618"/>
        <v>47361</v>
      </c>
      <c r="AJ4721" s="210">
        <f t="shared" ca="1" si="621"/>
        <v>4.1749999999999998</v>
      </c>
      <c r="AK4721" s="8">
        <f t="shared" ca="1" si="623"/>
        <v>1.0001159722222221</v>
      </c>
      <c r="AL4721" s="98">
        <f t="shared" ca="1" si="622"/>
        <v>4.1880710202322646</v>
      </c>
      <c r="AM4721" s="106">
        <f t="shared" ca="1" si="619"/>
        <v>38549.704503617679</v>
      </c>
      <c r="AN4721" s="10">
        <f t="shared" ca="1" si="620"/>
        <v>1.1203328988645289</v>
      </c>
      <c r="AO4721" s="158"/>
      <c r="AP4721" s="158"/>
    </row>
    <row r="4722" spans="34:42">
      <c r="AH4722" s="6">
        <f t="shared" si="617"/>
        <v>4692</v>
      </c>
      <c r="AI4722" s="7">
        <f t="shared" ca="1" si="618"/>
        <v>47362</v>
      </c>
      <c r="AJ4722" s="210">
        <f t="shared" ca="1" si="621"/>
        <v>4.1749999999999998</v>
      </c>
      <c r="AK4722" s="8">
        <f t="shared" ca="1" si="623"/>
        <v>1.0001159722222221</v>
      </c>
      <c r="AL4722" s="98">
        <f t="shared" ca="1" si="622"/>
        <v>4.1880998862730223</v>
      </c>
      <c r="AM4722" s="106">
        <f t="shared" ca="1" si="619"/>
        <v>38552.881055906284</v>
      </c>
      <c r="AN4722" s="10">
        <f t="shared" ca="1" si="620"/>
        <v>1.1203568443234335</v>
      </c>
      <c r="AO4722" s="158"/>
      <c r="AP4722" s="158"/>
    </row>
    <row r="4723" spans="34:42">
      <c r="AH4723" s="6">
        <f t="shared" si="617"/>
        <v>4693</v>
      </c>
      <c r="AI4723" s="7">
        <f t="shared" ca="1" si="618"/>
        <v>47363</v>
      </c>
      <c r="AJ4723" s="210">
        <f t="shared" ca="1" si="621"/>
        <v>4.1749999999999998</v>
      </c>
      <c r="AK4723" s="8">
        <f t="shared" ca="1" si="623"/>
        <v>1.0001159722222221</v>
      </c>
      <c r="AL4723" s="98">
        <f t="shared" ca="1" si="622"/>
        <v>4.1881287400200362</v>
      </c>
      <c r="AM4723" s="106">
        <f t="shared" ca="1" si="619"/>
        <v>38556.057869947464</v>
      </c>
      <c r="AN4723" s="10">
        <f t="shared" ca="1" si="620"/>
        <v>1.1203807795832521</v>
      </c>
      <c r="AO4723" s="158"/>
      <c r="AP4723" s="158"/>
    </row>
    <row r="4724" spans="34:42">
      <c r="AH4724" s="6">
        <f t="shared" si="617"/>
        <v>4694</v>
      </c>
      <c r="AI4724" s="7">
        <f t="shared" ca="1" si="618"/>
        <v>47364</v>
      </c>
      <c r="AJ4724" s="210">
        <f t="shared" ca="1" si="621"/>
        <v>4.1749999999999998</v>
      </c>
      <c r="AK4724" s="8">
        <f t="shared" ca="1" si="623"/>
        <v>1.0001159722222221</v>
      </c>
      <c r="AL4724" s="98">
        <f t="shared" ca="1" si="622"/>
        <v>4.1881575814811445</v>
      </c>
      <c r="AM4724" s="106">
        <f t="shared" ca="1" si="619"/>
        <v>38559.234945762786</v>
      </c>
      <c r="AN4724" s="10">
        <f t="shared" ca="1" si="620"/>
        <v>1.1204047046504906</v>
      </c>
      <c r="AO4724" s="158"/>
      <c r="AP4724" s="158"/>
    </row>
    <row r="4725" spans="34:42">
      <c r="AH4725" s="6">
        <f t="shared" si="617"/>
        <v>4695</v>
      </c>
      <c r="AI4725" s="7">
        <f t="shared" ca="1" si="618"/>
        <v>47365</v>
      </c>
      <c r="AJ4725" s="210">
        <f t="shared" ca="1" si="621"/>
        <v>4.1749999999999998</v>
      </c>
      <c r="AK4725" s="8">
        <f t="shared" ca="1" si="623"/>
        <v>1.0001159722222221</v>
      </c>
      <c r="AL4725" s="98">
        <f t="shared" ca="1" si="622"/>
        <v>4.1881864106642075</v>
      </c>
      <c r="AM4725" s="106">
        <f t="shared" ca="1" si="619"/>
        <v>38562.412283373822</v>
      </c>
      <c r="AN4725" s="10">
        <f t="shared" ca="1" si="620"/>
        <v>1.1204286195316548</v>
      </c>
      <c r="AO4725" s="158"/>
      <c r="AP4725" s="158"/>
    </row>
    <row r="4726" spans="34:42">
      <c r="AH4726" s="6">
        <f t="shared" si="617"/>
        <v>4696</v>
      </c>
      <c r="AI4726" s="7">
        <f t="shared" ca="1" si="618"/>
        <v>47366</v>
      </c>
      <c r="AJ4726" s="210">
        <f t="shared" ca="1" si="621"/>
        <v>4.1749999999999998</v>
      </c>
      <c r="AK4726" s="8">
        <f t="shared" ca="1" si="623"/>
        <v>1.0001159722222221</v>
      </c>
      <c r="AL4726" s="98">
        <f t="shared" ca="1" si="622"/>
        <v>4.1882152275770412</v>
      </c>
      <c r="AM4726" s="106">
        <f t="shared" ca="1" si="619"/>
        <v>38565.589882802145</v>
      </c>
      <c r="AN4726" s="10">
        <f t="shared" ca="1" si="620"/>
        <v>1.120452524233273</v>
      </c>
      <c r="AO4726" s="158"/>
      <c r="AP4726" s="158"/>
    </row>
    <row r="4727" spans="34:42">
      <c r="AH4727" s="6">
        <f t="shared" si="617"/>
        <v>4697</v>
      </c>
      <c r="AI4727" s="7">
        <f t="shared" ca="1" si="618"/>
        <v>47367</v>
      </c>
      <c r="AJ4727" s="210">
        <f t="shared" ca="1" si="621"/>
        <v>4.1749999999999998</v>
      </c>
      <c r="AK4727" s="8">
        <f t="shared" ca="1" si="623"/>
        <v>1.0001159722222221</v>
      </c>
      <c r="AL4727" s="98">
        <f t="shared" ca="1" si="622"/>
        <v>4.1882440322275061</v>
      </c>
      <c r="AM4727" s="106">
        <f t="shared" ca="1" si="619"/>
        <v>38568.767744069322</v>
      </c>
      <c r="AN4727" s="10">
        <f t="shared" ca="1" si="620"/>
        <v>1.1204764187618288</v>
      </c>
      <c r="AO4727" s="158"/>
      <c r="AP4727" s="158"/>
    </row>
    <row r="4728" spans="34:42">
      <c r="AH4728" s="6">
        <f t="shared" si="617"/>
        <v>4698</v>
      </c>
      <c r="AI4728" s="7">
        <f t="shared" ca="1" si="618"/>
        <v>47368</v>
      </c>
      <c r="AJ4728" s="210">
        <f t="shared" ca="1" si="621"/>
        <v>4.1749999999999998</v>
      </c>
      <c r="AK4728" s="8">
        <f t="shared" ca="1" si="623"/>
        <v>1.0001159722222221</v>
      </c>
      <c r="AL4728" s="98">
        <f t="shared" ca="1" si="622"/>
        <v>4.188272824623418</v>
      </c>
      <c r="AM4728" s="106">
        <f t="shared" ca="1" si="619"/>
        <v>38571.945867196948</v>
      </c>
      <c r="AN4728" s="10">
        <f t="shared" ca="1" si="620"/>
        <v>1.1205003031238059</v>
      </c>
      <c r="AO4728" s="158"/>
      <c r="AP4728" s="158"/>
    </row>
    <row r="4729" spans="34:42">
      <c r="AH4729" s="6">
        <f t="shared" si="617"/>
        <v>4699</v>
      </c>
      <c r="AI4729" s="7">
        <f t="shared" ca="1" si="618"/>
        <v>47369</v>
      </c>
      <c r="AJ4729" s="210">
        <f t="shared" ca="1" si="621"/>
        <v>4.1749999999999998</v>
      </c>
      <c r="AK4729" s="8">
        <f t="shared" ca="1" si="623"/>
        <v>1.0001159722222221</v>
      </c>
      <c r="AL4729" s="98">
        <f t="shared" ca="1" si="622"/>
        <v>4.1883016047725929</v>
      </c>
      <c r="AM4729" s="106">
        <f t="shared" ca="1" si="619"/>
        <v>38575.12425220658</v>
      </c>
      <c r="AN4729" s="10">
        <f t="shared" ca="1" si="620"/>
        <v>1.1205241773257324</v>
      </c>
      <c r="AO4729" s="158"/>
      <c r="AP4729" s="158"/>
    </row>
    <row r="4730" spans="34:42">
      <c r="AH4730" s="6">
        <f t="shared" si="617"/>
        <v>4700</v>
      </c>
      <c r="AI4730" s="7">
        <f t="shared" ca="1" si="618"/>
        <v>47370</v>
      </c>
      <c r="AJ4730" s="210">
        <f t="shared" ca="1" si="621"/>
        <v>4.1749999999999998</v>
      </c>
      <c r="AK4730" s="8">
        <f t="shared" ca="1" si="623"/>
        <v>1.0001159722222221</v>
      </c>
      <c r="AL4730" s="98">
        <f t="shared" ca="1" si="622"/>
        <v>4.1883303726828247</v>
      </c>
      <c r="AM4730" s="106">
        <f t="shared" ca="1" si="619"/>
        <v>38578.302899119815</v>
      </c>
      <c r="AN4730" s="10">
        <f t="shared" ca="1" si="620"/>
        <v>1.1205480413740032</v>
      </c>
      <c r="AO4730" s="158"/>
      <c r="AP4730" s="158"/>
    </row>
    <row r="4731" spans="34:42">
      <c r="AH4731" s="6">
        <f t="shared" si="617"/>
        <v>4701</v>
      </c>
      <c r="AI4731" s="7">
        <f t="shared" ca="1" si="618"/>
        <v>47371</v>
      </c>
      <c r="AJ4731" s="210">
        <f t="shared" ca="1" si="621"/>
        <v>4.1749999999999998</v>
      </c>
      <c r="AK4731" s="8">
        <f t="shared" ca="1" si="623"/>
        <v>1.0001159722222221</v>
      </c>
      <c r="AL4731" s="98">
        <f t="shared" ca="1" si="622"/>
        <v>4.1883591283619515</v>
      </c>
      <c r="AM4731" s="106">
        <f t="shared" ca="1" si="619"/>
        <v>38581.481807958218</v>
      </c>
      <c r="AN4731" s="10">
        <f t="shared" ca="1" si="620"/>
        <v>1.1205718952751909</v>
      </c>
      <c r="AO4731" s="158"/>
      <c r="AP4731" s="158"/>
    </row>
    <row r="4732" spans="34:42">
      <c r="AH4732" s="6">
        <f t="shared" si="617"/>
        <v>4702</v>
      </c>
      <c r="AI4732" s="7">
        <f t="shared" ca="1" si="618"/>
        <v>47372</v>
      </c>
      <c r="AJ4732" s="210">
        <f t="shared" ca="1" si="621"/>
        <v>4.1749999999999998</v>
      </c>
      <c r="AK4732" s="8">
        <f t="shared" ca="1" si="623"/>
        <v>1.0001159722222221</v>
      </c>
      <c r="AL4732" s="98">
        <f t="shared" ca="1" si="622"/>
        <v>4.1883878718177447</v>
      </c>
      <c r="AM4732" s="106">
        <f t="shared" ca="1" si="619"/>
        <v>38584.660978743392</v>
      </c>
      <c r="AN4732" s="10">
        <f t="shared" ca="1" si="620"/>
        <v>1.1205957390357124</v>
      </c>
      <c r="AO4732" s="158"/>
      <c r="AP4732" s="158"/>
    </row>
    <row r="4733" spans="34:42">
      <c r="AH4733" s="6">
        <f t="shared" si="617"/>
        <v>4703</v>
      </c>
      <c r="AI4733" s="7">
        <f t="shared" ca="1" si="618"/>
        <v>47373</v>
      </c>
      <c r="AJ4733" s="210">
        <f t="shared" ca="1" si="621"/>
        <v>4.1749999999999998</v>
      </c>
      <c r="AK4733" s="8">
        <f t="shared" ca="1" si="623"/>
        <v>1.0001159722222221</v>
      </c>
      <c r="AL4733" s="98">
        <f t="shared" ca="1" si="622"/>
        <v>4.1884166030579983</v>
      </c>
      <c r="AM4733" s="106">
        <f t="shared" ca="1" si="619"/>
        <v>38587.840411496902</v>
      </c>
      <c r="AN4733" s="10">
        <f t="shared" ca="1" si="620"/>
        <v>1.1206195726620294</v>
      </c>
      <c r="AO4733" s="158"/>
      <c r="AP4733" s="158"/>
    </row>
    <row r="4734" spans="34:42">
      <c r="AH4734" s="6">
        <f t="shared" si="617"/>
        <v>4704</v>
      </c>
      <c r="AI4734" s="7">
        <f t="shared" ca="1" si="618"/>
        <v>47374</v>
      </c>
      <c r="AJ4734" s="210">
        <f t="shared" ca="1" si="621"/>
        <v>4.1749999999999998</v>
      </c>
      <c r="AK4734" s="8">
        <f t="shared" ca="1" si="623"/>
        <v>1.0001159722222221</v>
      </c>
      <c r="AL4734" s="98">
        <f t="shared" ca="1" si="622"/>
        <v>4.188445322090506</v>
      </c>
      <c r="AM4734" s="106">
        <f t="shared" ca="1" si="619"/>
        <v>38591.020106240343</v>
      </c>
      <c r="AN4734" s="10">
        <f t="shared" ca="1" si="620"/>
        <v>1.1206433961606033</v>
      </c>
      <c r="AO4734" s="158"/>
      <c r="AP4734" s="158"/>
    </row>
    <row r="4735" spans="34:42">
      <c r="AH4735" s="6">
        <f t="shared" si="617"/>
        <v>4705</v>
      </c>
      <c r="AI4735" s="7">
        <f t="shared" ca="1" si="618"/>
        <v>47375</v>
      </c>
      <c r="AJ4735" s="210">
        <f t="shared" ca="1" si="621"/>
        <v>4.1749999999999998</v>
      </c>
      <c r="AK4735" s="8">
        <f t="shared" ca="1" si="623"/>
        <v>1.0001159722222221</v>
      </c>
      <c r="AL4735" s="98">
        <f t="shared" ca="1" si="622"/>
        <v>4.1884740289230615</v>
      </c>
      <c r="AM4735" s="106">
        <f t="shared" ca="1" si="619"/>
        <v>38594.200062995304</v>
      </c>
      <c r="AN4735" s="10">
        <f t="shared" ca="1" si="620"/>
        <v>1.12066720953794</v>
      </c>
      <c r="AO4735" s="158"/>
      <c r="AP4735" s="158"/>
    </row>
    <row r="4736" spans="34:42">
      <c r="AH4736" s="6">
        <f t="shared" si="617"/>
        <v>4706</v>
      </c>
      <c r="AI4736" s="7">
        <f t="shared" ca="1" si="618"/>
        <v>47376</v>
      </c>
      <c r="AJ4736" s="210">
        <f t="shared" ca="1" si="621"/>
        <v>4.1749999999999998</v>
      </c>
      <c r="AK4736" s="8">
        <f t="shared" ca="1" si="623"/>
        <v>1.0001159722222221</v>
      </c>
      <c r="AL4736" s="98">
        <f t="shared" ca="1" si="622"/>
        <v>4.1885027235634142</v>
      </c>
      <c r="AM4736" s="106">
        <f t="shared" ca="1" si="619"/>
        <v>38597.380281783364</v>
      </c>
      <c r="AN4736" s="10">
        <f t="shared" ca="1" si="620"/>
        <v>1.1206910128004344</v>
      </c>
      <c r="AO4736" s="158"/>
      <c r="AP4736" s="158"/>
    </row>
    <row r="4737" spans="34:42">
      <c r="AH4737" s="6">
        <f t="shared" si="617"/>
        <v>4707</v>
      </c>
      <c r="AI4737" s="7">
        <f t="shared" ca="1" si="618"/>
        <v>47377</v>
      </c>
      <c r="AJ4737" s="210">
        <f t="shared" ca="1" si="621"/>
        <v>4.1749999999999998</v>
      </c>
      <c r="AK4737" s="8">
        <f t="shared" ca="1" si="623"/>
        <v>1.0001159722222221</v>
      </c>
      <c r="AL4737" s="98">
        <f t="shared" ca="1" si="622"/>
        <v>4.1885314060193357</v>
      </c>
      <c r="AM4737" s="106">
        <f t="shared" ca="1" si="619"/>
        <v>38600.560762626126</v>
      </c>
      <c r="AN4737" s="10">
        <f t="shared" ca="1" si="620"/>
        <v>1.1207148059545258</v>
      </c>
      <c r="AO4737" s="158"/>
      <c r="AP4737" s="158"/>
    </row>
    <row r="4738" spans="34:42">
      <c r="AH4738" s="6">
        <f t="shared" si="617"/>
        <v>4708</v>
      </c>
      <c r="AI4738" s="7">
        <f t="shared" ca="1" si="618"/>
        <v>47378</v>
      </c>
      <c r="AJ4738" s="210">
        <f t="shared" ca="1" si="621"/>
        <v>4.1749999999999998</v>
      </c>
      <c r="AK4738" s="8">
        <f t="shared" ca="1" si="623"/>
        <v>1.0001159722222221</v>
      </c>
      <c r="AL4738" s="98">
        <f t="shared" ca="1" si="622"/>
        <v>4.1885600762985975</v>
      </c>
      <c r="AM4738" s="106">
        <f t="shared" ca="1" si="619"/>
        <v>38603.741505545193</v>
      </c>
      <c r="AN4738" s="10">
        <f t="shared" ca="1" si="620"/>
        <v>1.1207385890066757</v>
      </c>
      <c r="AO4738" s="158"/>
      <c r="AP4738" s="158"/>
    </row>
    <row r="4739" spans="34:42">
      <c r="AH4739" s="6">
        <f t="shared" si="617"/>
        <v>4709</v>
      </c>
      <c r="AI4739" s="7">
        <f t="shared" ca="1" si="618"/>
        <v>47379</v>
      </c>
      <c r="AJ4739" s="210">
        <f t="shared" ca="1" si="621"/>
        <v>4.1749999999999998</v>
      </c>
      <c r="AK4739" s="8">
        <f t="shared" ca="1" si="623"/>
        <v>1.0001159722222221</v>
      </c>
      <c r="AL4739" s="98">
        <f t="shared" ca="1" si="622"/>
        <v>4.188588734408949</v>
      </c>
      <c r="AM4739" s="106">
        <f t="shared" ca="1" si="619"/>
        <v>38606.922510562144</v>
      </c>
      <c r="AN4739" s="10">
        <f t="shared" ca="1" si="620"/>
        <v>1.1207623619633456</v>
      </c>
      <c r="AO4739" s="158"/>
      <c r="AP4739" s="158"/>
    </row>
    <row r="4740" spans="34:42">
      <c r="AH4740" s="6">
        <f t="shared" si="617"/>
        <v>4710</v>
      </c>
      <c r="AI4740" s="7">
        <f t="shared" ca="1" si="618"/>
        <v>47380</v>
      </c>
      <c r="AJ4740" s="210">
        <f t="shared" ca="1" si="621"/>
        <v>4.1749999999999998</v>
      </c>
      <c r="AK4740" s="8">
        <f t="shared" ca="1" si="623"/>
        <v>1.0001159722222221</v>
      </c>
      <c r="AL4740" s="98">
        <f t="shared" ca="1" si="622"/>
        <v>4.1886173803581173</v>
      </c>
      <c r="AM4740" s="106">
        <f t="shared" ca="1" si="619"/>
        <v>38610.103777698583</v>
      </c>
      <c r="AN4740" s="10">
        <f t="shared" ca="1" si="620"/>
        <v>1.1207861248308859</v>
      </c>
      <c r="AO4740" s="158"/>
      <c r="AP4740" s="158"/>
    </row>
    <row r="4741" spans="34:42">
      <c r="AH4741" s="6">
        <f t="shared" si="617"/>
        <v>4711</v>
      </c>
      <c r="AI4741" s="7">
        <f t="shared" ca="1" si="618"/>
        <v>47381</v>
      </c>
      <c r="AJ4741" s="210">
        <f t="shared" ca="1" si="621"/>
        <v>4.1749999999999998</v>
      </c>
      <c r="AK4741" s="8">
        <f t="shared" ca="1" si="623"/>
        <v>1.0001159722222221</v>
      </c>
      <c r="AL4741" s="98">
        <f t="shared" ca="1" si="622"/>
        <v>4.1886460141538517</v>
      </c>
      <c r="AM4741" s="106">
        <f t="shared" ca="1" si="619"/>
        <v>38613.285306976104</v>
      </c>
      <c r="AN4741" s="10">
        <f t="shared" ca="1" si="620"/>
        <v>1.1208098776157804</v>
      </c>
      <c r="AO4741" s="158"/>
      <c r="AP4741" s="158"/>
    </row>
    <row r="4742" spans="34:42">
      <c r="AH4742" s="6">
        <f t="shared" si="617"/>
        <v>4712</v>
      </c>
      <c r="AI4742" s="7">
        <f t="shared" ca="1" si="618"/>
        <v>47382</v>
      </c>
      <c r="AJ4742" s="210">
        <f t="shared" ca="1" si="621"/>
        <v>4.1749999999999998</v>
      </c>
      <c r="AK4742" s="8">
        <f t="shared" ca="1" si="623"/>
        <v>1.0001159722222221</v>
      </c>
      <c r="AL4742" s="98">
        <f t="shared" ca="1" si="622"/>
        <v>4.1886746358038796</v>
      </c>
      <c r="AM4742" s="106">
        <f t="shared" ca="1" si="619"/>
        <v>38616.467098416317</v>
      </c>
      <c r="AN4742" s="10">
        <f t="shared" ca="1" si="620"/>
        <v>1.1208336203244018</v>
      </c>
      <c r="AO4742" s="158"/>
      <c r="AP4742" s="158"/>
    </row>
    <row r="4743" spans="34:42">
      <c r="AH4743" s="6">
        <f t="shared" si="617"/>
        <v>4713</v>
      </c>
      <c r="AI4743" s="7">
        <f t="shared" ca="1" si="618"/>
        <v>47383</v>
      </c>
      <c r="AJ4743" s="210">
        <f t="shared" ca="1" si="621"/>
        <v>4.1749999999999998</v>
      </c>
      <c r="AK4743" s="8">
        <f t="shared" ca="1" si="623"/>
        <v>1.0001159722222221</v>
      </c>
      <c r="AL4743" s="98">
        <f t="shared" ca="1" si="622"/>
        <v>4.1887032453159501</v>
      </c>
      <c r="AM4743" s="106">
        <f t="shared" ca="1" si="619"/>
        <v>38619.649152040816</v>
      </c>
      <c r="AN4743" s="10">
        <f t="shared" ca="1" si="620"/>
        <v>1.1208573529632115</v>
      </c>
      <c r="AO4743" s="158"/>
      <c r="AP4743" s="158"/>
    </row>
    <row r="4744" spans="34:42">
      <c r="AH4744" s="6">
        <f t="shared" si="617"/>
        <v>4714</v>
      </c>
      <c r="AI4744" s="7">
        <f t="shared" ca="1" si="618"/>
        <v>47384</v>
      </c>
      <c r="AJ4744" s="210">
        <f t="shared" ca="1" si="621"/>
        <v>4.1749999999999998</v>
      </c>
      <c r="AK4744" s="8">
        <f t="shared" ca="1" si="623"/>
        <v>1.0001159722222221</v>
      </c>
      <c r="AL4744" s="98">
        <f t="shared" ca="1" si="622"/>
        <v>4.1887318426977682</v>
      </c>
      <c r="AM4744" s="106">
        <f t="shared" ca="1" si="619"/>
        <v>38622.831467871212</v>
      </c>
      <c r="AN4744" s="10">
        <f t="shared" ca="1" si="620"/>
        <v>1.1208810755385823</v>
      </c>
      <c r="AO4744" s="158"/>
      <c r="AP4744" s="158"/>
    </row>
    <row r="4745" spans="34:42">
      <c r="AH4745" s="6">
        <f t="shared" si="617"/>
        <v>4715</v>
      </c>
      <c r="AI4745" s="7">
        <f t="shared" ca="1" si="618"/>
        <v>47385</v>
      </c>
      <c r="AJ4745" s="210">
        <f t="shared" ca="1" si="621"/>
        <v>4.1749999999999998</v>
      </c>
      <c r="AK4745" s="8">
        <f t="shared" ca="1" si="623"/>
        <v>1.0001159722222221</v>
      </c>
      <c r="AL4745" s="98">
        <f t="shared" ca="1" si="622"/>
        <v>4.188760427957039</v>
      </c>
      <c r="AM4745" s="106">
        <f t="shared" ca="1" si="619"/>
        <v>38626.014045929107</v>
      </c>
      <c r="AN4745" s="10">
        <f t="shared" ca="1" si="620"/>
        <v>1.1209047880568868</v>
      </c>
      <c r="AO4745" s="158"/>
      <c r="AP4745" s="158"/>
    </row>
    <row r="4746" spans="34:42">
      <c r="AH4746" s="6">
        <f t="shared" si="617"/>
        <v>4716</v>
      </c>
      <c r="AI4746" s="7">
        <f t="shared" ca="1" si="618"/>
        <v>47386</v>
      </c>
      <c r="AJ4746" s="210">
        <f t="shared" ca="1" si="621"/>
        <v>4.1749999999999998</v>
      </c>
      <c r="AK4746" s="8">
        <f t="shared" ca="1" si="623"/>
        <v>1.0001159722222221</v>
      </c>
      <c r="AL4746" s="98">
        <f t="shared" ca="1" si="622"/>
        <v>4.1887890011014672</v>
      </c>
      <c r="AM4746" s="106">
        <f t="shared" ca="1" si="619"/>
        <v>38629.196886236103</v>
      </c>
      <c r="AN4746" s="10">
        <f t="shared" ca="1" si="620"/>
        <v>1.1209284905245642</v>
      </c>
      <c r="AO4746" s="158"/>
      <c r="AP4746" s="158"/>
    </row>
    <row r="4747" spans="34:42">
      <c r="AH4747" s="6">
        <f t="shared" si="617"/>
        <v>4717</v>
      </c>
      <c r="AI4747" s="7">
        <f t="shared" ca="1" si="618"/>
        <v>47387</v>
      </c>
      <c r="AJ4747" s="210">
        <f t="shared" ca="1" si="621"/>
        <v>4.1749999999999998</v>
      </c>
      <c r="AK4747" s="8">
        <f t="shared" ca="1" si="623"/>
        <v>1.0001159722222221</v>
      </c>
      <c r="AL4747" s="98">
        <f t="shared" ca="1" si="622"/>
        <v>4.1888175621387802</v>
      </c>
      <c r="AM4747" s="106">
        <f t="shared" ca="1" si="619"/>
        <v>38632.379988813831</v>
      </c>
      <c r="AN4747" s="10">
        <f t="shared" ca="1" si="620"/>
        <v>1.1209521829480096</v>
      </c>
      <c r="AO4747" s="158"/>
      <c r="AP4747" s="158"/>
    </row>
    <row r="4748" spans="34:42">
      <c r="AH4748" s="6">
        <f t="shared" si="617"/>
        <v>4718</v>
      </c>
      <c r="AI4748" s="7">
        <f t="shared" ca="1" si="618"/>
        <v>47388</v>
      </c>
      <c r="AJ4748" s="210">
        <f t="shared" ca="1" si="621"/>
        <v>4.1749999999999998</v>
      </c>
      <c r="AK4748" s="8">
        <f t="shared" ca="1" si="623"/>
        <v>1.0001159722222221</v>
      </c>
      <c r="AL4748" s="98">
        <f t="shared" ca="1" si="622"/>
        <v>4.1888461110766384</v>
      </c>
      <c r="AM4748" s="106">
        <f t="shared" ca="1" si="619"/>
        <v>38635.56335368388</v>
      </c>
      <c r="AN4748" s="10">
        <f t="shared" ca="1" si="620"/>
        <v>1.1209758653335511</v>
      </c>
      <c r="AO4748" s="158"/>
      <c r="AP4748" s="158"/>
    </row>
    <row r="4749" spans="34:42">
      <c r="AH4749" s="6">
        <f t="shared" si="617"/>
        <v>4719</v>
      </c>
      <c r="AI4749" s="7">
        <f t="shared" ca="1" si="618"/>
        <v>47389</v>
      </c>
      <c r="AJ4749" s="210">
        <f t="shared" ca="1" si="621"/>
        <v>4.1749999999999998</v>
      </c>
      <c r="AK4749" s="8">
        <f t="shared" ca="1" si="623"/>
        <v>1.0001159722222221</v>
      </c>
      <c r="AL4749" s="98">
        <f t="shared" ca="1" si="622"/>
        <v>4.1888746479227468</v>
      </c>
      <c r="AM4749" s="106">
        <f t="shared" ca="1" si="619"/>
        <v>38638.746980867865</v>
      </c>
      <c r="AN4749" s="10">
        <f t="shared" ca="1" si="620"/>
        <v>1.1209995376876059</v>
      </c>
      <c r="AO4749" s="158"/>
      <c r="AP4749" s="158"/>
    </row>
    <row r="4750" spans="34:42">
      <c r="AH4750" s="6">
        <f t="shared" si="617"/>
        <v>4720</v>
      </c>
      <c r="AI4750" s="7">
        <f t="shared" ca="1" si="618"/>
        <v>47390</v>
      </c>
      <c r="AJ4750" s="210">
        <f t="shared" ca="1" si="621"/>
        <v>4.1749999999999998</v>
      </c>
      <c r="AK4750" s="8">
        <f t="shared" ca="1" si="623"/>
        <v>1.0001159722222221</v>
      </c>
      <c r="AL4750" s="98">
        <f t="shared" ca="1" si="622"/>
        <v>4.1889031726847881</v>
      </c>
      <c r="AM4750" s="106">
        <f t="shared" ca="1" si="619"/>
        <v>38641.930870387419</v>
      </c>
      <c r="AN4750" s="10">
        <f t="shared" ca="1" si="620"/>
        <v>1.1210232000165687</v>
      </c>
      <c r="AO4750" s="158"/>
      <c r="AP4750" s="158"/>
    </row>
    <row r="4751" spans="34:42">
      <c r="AH4751" s="6">
        <f t="shared" si="617"/>
        <v>4721</v>
      </c>
      <c r="AI4751" s="7">
        <f t="shared" ca="1" si="618"/>
        <v>47391</v>
      </c>
      <c r="AJ4751" s="210">
        <f t="shared" ca="1" si="621"/>
        <v>4.1749999999999998</v>
      </c>
      <c r="AK4751" s="8">
        <f t="shared" ca="1" si="623"/>
        <v>1.0001159722222221</v>
      </c>
      <c r="AL4751" s="98">
        <f t="shared" ca="1" si="622"/>
        <v>4.1889316853704228</v>
      </c>
      <c r="AM4751" s="106">
        <f t="shared" ca="1" si="619"/>
        <v>38645.115022264137</v>
      </c>
      <c r="AN4751" s="10">
        <f t="shared" ca="1" si="620"/>
        <v>1.1210468523267458</v>
      </c>
      <c r="AO4751" s="158"/>
      <c r="AP4751" s="158"/>
    </row>
    <row r="4752" spans="34:42">
      <c r="AH4752" s="6">
        <f t="shared" si="617"/>
        <v>4722</v>
      </c>
      <c r="AI4752" s="7">
        <f t="shared" ca="1" si="618"/>
        <v>47392</v>
      </c>
      <c r="AJ4752" s="210">
        <f t="shared" ca="1" si="621"/>
        <v>4.1749999999999998</v>
      </c>
      <c r="AK4752" s="8">
        <f t="shared" ca="1" si="623"/>
        <v>1.0001159722222221</v>
      </c>
      <c r="AL4752" s="98">
        <f t="shared" ca="1" si="622"/>
        <v>4.1889601859873338</v>
      </c>
      <c r="AM4752" s="106">
        <f t="shared" ca="1" si="619"/>
        <v>38648.299436519657</v>
      </c>
      <c r="AN4752" s="10">
        <f t="shared" ca="1" si="620"/>
        <v>1.1210704946245542</v>
      </c>
      <c r="AO4752" s="158"/>
      <c r="AP4752" s="158"/>
    </row>
    <row r="4753" spans="34:42">
      <c r="AH4753" s="6">
        <f t="shared" si="617"/>
        <v>4723</v>
      </c>
      <c r="AI4753" s="7">
        <f t="shared" ca="1" si="618"/>
        <v>47393</v>
      </c>
      <c r="AJ4753" s="210">
        <f t="shared" ca="1" si="621"/>
        <v>4.1749999999999998</v>
      </c>
      <c r="AK4753" s="8">
        <f t="shared" ca="1" si="623"/>
        <v>1.0001159722222221</v>
      </c>
      <c r="AL4753" s="98">
        <f t="shared" ca="1" si="622"/>
        <v>4.1889886745431815</v>
      </c>
      <c r="AM4753" s="106">
        <f t="shared" ca="1" si="619"/>
        <v>38651.484113175582</v>
      </c>
      <c r="AN4753" s="10">
        <f t="shared" ca="1" si="620"/>
        <v>1.1210941269163222</v>
      </c>
      <c r="AO4753" s="158"/>
      <c r="AP4753" s="158"/>
    </row>
    <row r="4754" spans="34:42">
      <c r="AH4754" s="6">
        <f t="shared" si="617"/>
        <v>4724</v>
      </c>
      <c r="AI4754" s="7">
        <f t="shared" ca="1" si="618"/>
        <v>47394</v>
      </c>
      <c r="AJ4754" s="210">
        <f t="shared" ca="1" si="621"/>
        <v>4.1749999999999998</v>
      </c>
      <c r="AK4754" s="8">
        <f t="shared" ca="1" si="623"/>
        <v>1.0001159722222221</v>
      </c>
      <c r="AL4754" s="98">
        <f t="shared" ca="1" si="622"/>
        <v>4.1890171510456042</v>
      </c>
      <c r="AM4754" s="106">
        <f t="shared" ca="1" si="619"/>
        <v>38654.66905225355</v>
      </c>
      <c r="AN4754" s="10">
        <f t="shared" ca="1" si="620"/>
        <v>1.1211177492084001</v>
      </c>
      <c r="AO4754" s="158"/>
      <c r="AP4754" s="158"/>
    </row>
    <row r="4755" spans="34:42">
      <c r="AH4755" s="6">
        <f t="shared" si="617"/>
        <v>4725</v>
      </c>
      <c r="AI4755" s="7">
        <f t="shared" ca="1" si="618"/>
        <v>47395</v>
      </c>
      <c r="AJ4755" s="210">
        <f t="shared" ca="1" si="621"/>
        <v>4.1749999999999998</v>
      </c>
      <c r="AK4755" s="8">
        <f t="shared" ca="1" si="623"/>
        <v>1.0001159722222221</v>
      </c>
      <c r="AL4755" s="98">
        <f t="shared" ca="1" si="622"/>
        <v>4.1890456155022626</v>
      </c>
      <c r="AM4755" s="106">
        <f t="shared" ca="1" si="619"/>
        <v>38657.854253775171</v>
      </c>
      <c r="AN4755" s="10">
        <f t="shared" ca="1" si="620"/>
        <v>1.1211413615071386</v>
      </c>
      <c r="AO4755" s="158"/>
      <c r="AP4755" s="158"/>
    </row>
    <row r="4756" spans="34:42">
      <c r="AH4756" s="6">
        <f t="shared" ref="AH4756:AH4819" si="624">$AI$29+AH4755</f>
        <v>4726</v>
      </c>
      <c r="AI4756" s="7">
        <f t="shared" ref="AI4756:AI4819" ca="1" si="625">+AH4756+$C$1</f>
        <v>47396</v>
      </c>
      <c r="AJ4756" s="210">
        <f t="shared" ca="1" si="621"/>
        <v>4.1749999999999998</v>
      </c>
      <c r="AK4756" s="8">
        <f t="shared" ca="1" si="623"/>
        <v>1.0001159722222221</v>
      </c>
      <c r="AL4756" s="98">
        <f t="shared" ca="1" si="622"/>
        <v>4.189074067920795</v>
      </c>
      <c r="AM4756" s="106">
        <f t="shared" ca="1" si="619"/>
        <v>38661.039717762076</v>
      </c>
      <c r="AN4756" s="10">
        <f t="shared" ca="1" si="620"/>
        <v>1.1211649638188881</v>
      </c>
      <c r="AO4756" s="158"/>
      <c r="AP4756" s="158"/>
    </row>
    <row r="4757" spans="34:42">
      <c r="AH4757" s="6">
        <f t="shared" si="624"/>
        <v>4727</v>
      </c>
      <c r="AI4757" s="7">
        <f t="shared" ca="1" si="625"/>
        <v>47397</v>
      </c>
      <c r="AJ4757" s="210">
        <f t="shared" ca="1" si="621"/>
        <v>4.1749999999999998</v>
      </c>
      <c r="AK4757" s="8">
        <f t="shared" ca="1" si="623"/>
        <v>1.0001159722222221</v>
      </c>
      <c r="AL4757" s="98">
        <f t="shared" ca="1" si="622"/>
        <v>4.1891025083088396</v>
      </c>
      <c r="AM4757" s="106">
        <f t="shared" ca="1" si="619"/>
        <v>38664.225444235897</v>
      </c>
      <c r="AN4757" s="10">
        <f t="shared" ca="1" si="620"/>
        <v>1.1211885561499768</v>
      </c>
      <c r="AO4757" s="158"/>
      <c r="AP4757" s="158"/>
    </row>
    <row r="4758" spans="34:42">
      <c r="AH4758" s="6">
        <f t="shared" si="624"/>
        <v>4728</v>
      </c>
      <c r="AI4758" s="7">
        <f t="shared" ca="1" si="625"/>
        <v>47398</v>
      </c>
      <c r="AJ4758" s="210">
        <f t="shared" ca="1" si="621"/>
        <v>4.1749999999999998</v>
      </c>
      <c r="AK4758" s="8">
        <f t="shared" ca="1" si="623"/>
        <v>1.0001159722222221</v>
      </c>
      <c r="AL4758" s="98">
        <f t="shared" ca="1" si="622"/>
        <v>4.1891309366740126</v>
      </c>
      <c r="AM4758" s="106">
        <f t="shared" ca="1" si="619"/>
        <v>38667.411433218258</v>
      </c>
      <c r="AN4758" s="10">
        <f t="shared" ca="1" si="620"/>
        <v>1.1212121385067109</v>
      </c>
      <c r="AO4758" s="158"/>
      <c r="AP4758" s="158"/>
    </row>
    <row r="4759" spans="34:42">
      <c r="AH4759" s="6">
        <f t="shared" si="624"/>
        <v>4729</v>
      </c>
      <c r="AI4759" s="7">
        <f t="shared" ca="1" si="625"/>
        <v>47399</v>
      </c>
      <c r="AJ4759" s="210">
        <f t="shared" ca="1" si="621"/>
        <v>4.1749999999999998</v>
      </c>
      <c r="AK4759" s="8">
        <f t="shared" ca="1" si="623"/>
        <v>1.0001159722222221</v>
      </c>
      <c r="AL4759" s="98">
        <f t="shared" ca="1" si="622"/>
        <v>4.1891593530239524</v>
      </c>
      <c r="AM4759" s="106">
        <f t="shared" ca="1" si="619"/>
        <v>38670.597684730797</v>
      </c>
      <c r="AN4759" s="10">
        <f t="shared" ca="1" si="620"/>
        <v>1.1212357108954629</v>
      </c>
      <c r="AO4759" s="158"/>
      <c r="AP4759" s="158"/>
    </row>
    <row r="4760" spans="34:42">
      <c r="AH4760" s="6">
        <f t="shared" si="624"/>
        <v>4730</v>
      </c>
      <c r="AI4760" s="7">
        <f t="shared" ca="1" si="625"/>
        <v>47400</v>
      </c>
      <c r="AJ4760" s="210">
        <f t="shared" ca="1" si="621"/>
        <v>4.1749999999999998</v>
      </c>
      <c r="AK4760" s="8">
        <f t="shared" ca="1" si="623"/>
        <v>1.0001159722222221</v>
      </c>
      <c r="AL4760" s="98">
        <f t="shared" ca="1" si="622"/>
        <v>4.1891877573662528</v>
      </c>
      <c r="AM4760" s="106">
        <f t="shared" ca="1" si="619"/>
        <v>38673.78419879514</v>
      </c>
      <c r="AN4760" s="10">
        <f t="shared" ca="1" si="620"/>
        <v>1.1212592733224946</v>
      </c>
      <c r="AO4760" s="158"/>
      <c r="AP4760" s="158"/>
    </row>
    <row r="4761" spans="34:42">
      <c r="AH4761" s="6">
        <f t="shared" si="624"/>
        <v>4731</v>
      </c>
      <c r="AI4761" s="7">
        <f t="shared" ca="1" si="625"/>
        <v>47401</v>
      </c>
      <c r="AJ4761" s="210">
        <f t="shared" ca="1" si="621"/>
        <v>4.1749999999999998</v>
      </c>
      <c r="AK4761" s="8">
        <f t="shared" ca="1" si="623"/>
        <v>1.0001159722222221</v>
      </c>
      <c r="AL4761" s="98">
        <f t="shared" ca="1" si="622"/>
        <v>4.1892161497085523</v>
      </c>
      <c r="AM4761" s="106">
        <f t="shared" ca="1" si="619"/>
        <v>38676.970975432923</v>
      </c>
      <c r="AN4761" s="10">
        <f t="shared" ca="1" si="620"/>
        <v>1.1212828257941565</v>
      </c>
      <c r="AO4761" s="158"/>
      <c r="AP4761" s="158"/>
    </row>
    <row r="4762" spans="34:42">
      <c r="AH4762" s="6">
        <f t="shared" si="624"/>
        <v>4732</v>
      </c>
      <c r="AI4762" s="7">
        <f t="shared" ca="1" si="625"/>
        <v>47402</v>
      </c>
      <c r="AJ4762" s="210">
        <f t="shared" ca="1" si="621"/>
        <v>4.1749999999999998</v>
      </c>
      <c r="AK4762" s="8">
        <f t="shared" ca="1" si="623"/>
        <v>1.0001159722222221</v>
      </c>
      <c r="AL4762" s="98">
        <f t="shared" ca="1" si="622"/>
        <v>4.1892445300584225</v>
      </c>
      <c r="AM4762" s="106">
        <f t="shared" ca="1" si="619"/>
        <v>38680.15801466578</v>
      </c>
      <c r="AN4762" s="10">
        <f t="shared" ca="1" si="620"/>
        <v>1.1213063683167324</v>
      </c>
      <c r="AO4762" s="158"/>
      <c r="AP4762" s="158"/>
    </row>
    <row r="4763" spans="34:42">
      <c r="AH4763" s="6">
        <f t="shared" si="624"/>
        <v>4733</v>
      </c>
      <c r="AI4763" s="7">
        <f t="shared" ca="1" si="625"/>
        <v>47403</v>
      </c>
      <c r="AJ4763" s="210">
        <f t="shared" ca="1" si="621"/>
        <v>4.1749999999999998</v>
      </c>
      <c r="AK4763" s="8">
        <f t="shared" ca="1" si="623"/>
        <v>1.0001159722222221</v>
      </c>
      <c r="AL4763" s="98">
        <f t="shared" ca="1" si="622"/>
        <v>4.1892728984234795</v>
      </c>
      <c r="AM4763" s="106">
        <f t="shared" ca="1" si="619"/>
        <v>38683.345316515355</v>
      </c>
      <c r="AN4763" s="10">
        <f t="shared" ca="1" si="620"/>
        <v>1.1213299008965505</v>
      </c>
      <c r="AO4763" s="158"/>
      <c r="AP4763" s="158"/>
    </row>
    <row r="4764" spans="34:42">
      <c r="AH4764" s="6">
        <f t="shared" si="624"/>
        <v>4734</v>
      </c>
      <c r="AI4764" s="7">
        <f t="shared" ca="1" si="625"/>
        <v>47404</v>
      </c>
      <c r="AJ4764" s="210">
        <f t="shared" ca="1" si="621"/>
        <v>4.1749999999999998</v>
      </c>
      <c r="AK4764" s="8">
        <f t="shared" ca="1" si="623"/>
        <v>1.0001159722222221</v>
      </c>
      <c r="AL4764" s="98">
        <f t="shared" ca="1" si="622"/>
        <v>4.1893012548113173</v>
      </c>
      <c r="AM4764" s="106">
        <f t="shared" ca="1" si="619"/>
        <v>38686.532881003288</v>
      </c>
      <c r="AN4764" s="10">
        <f t="shared" ca="1" si="620"/>
        <v>1.1213534235398948</v>
      </c>
      <c r="AO4764" s="158"/>
      <c r="AP4764" s="158"/>
    </row>
    <row r="4765" spans="34:42">
      <c r="AH4765" s="6">
        <f t="shared" si="624"/>
        <v>4735</v>
      </c>
      <c r="AI4765" s="7">
        <f t="shared" ca="1" si="625"/>
        <v>47405</v>
      </c>
      <c r="AJ4765" s="210">
        <f t="shared" ca="1" si="621"/>
        <v>4.1749999999999998</v>
      </c>
      <c r="AK4765" s="8">
        <f t="shared" ca="1" si="623"/>
        <v>1.0001159722222221</v>
      </c>
      <c r="AL4765" s="98">
        <f t="shared" ca="1" si="622"/>
        <v>4.1893295992295077</v>
      </c>
      <c r="AM4765" s="106">
        <f t="shared" ca="1" si="619"/>
        <v>38689.72070815121</v>
      </c>
      <c r="AN4765" s="10">
        <f t="shared" ca="1" si="620"/>
        <v>1.1213769362530712</v>
      </c>
      <c r="AO4765" s="158"/>
      <c r="AP4765" s="158"/>
    </row>
    <row r="4766" spans="34:42">
      <c r="AH4766" s="6">
        <f t="shared" si="624"/>
        <v>4736</v>
      </c>
      <c r="AI4766" s="7">
        <f t="shared" ca="1" si="625"/>
        <v>47406</v>
      </c>
      <c r="AJ4766" s="210">
        <f t="shared" ca="1" si="621"/>
        <v>4.1749999999999998</v>
      </c>
      <c r="AK4766" s="8">
        <f t="shared" ca="1" si="623"/>
        <v>1.0001159722222221</v>
      </c>
      <c r="AL4766" s="98">
        <f t="shared" ca="1" si="622"/>
        <v>4.1893579316856444</v>
      </c>
      <c r="AM4766" s="106">
        <f t="shared" ca="1" si="619"/>
        <v>38692.908797980781</v>
      </c>
      <c r="AN4766" s="10">
        <f t="shared" ca="1" si="620"/>
        <v>1.1214004390423415</v>
      </c>
      <c r="AO4766" s="158"/>
      <c r="AP4766" s="158"/>
    </row>
    <row r="4767" spans="34:42">
      <c r="AH4767" s="6">
        <f t="shared" si="624"/>
        <v>4737</v>
      </c>
      <c r="AI4767" s="7">
        <f t="shared" ca="1" si="625"/>
        <v>47407</v>
      </c>
      <c r="AJ4767" s="210">
        <f t="shared" ca="1" si="621"/>
        <v>4.1749999999999998</v>
      </c>
      <c r="AK4767" s="8">
        <f t="shared" ca="1" si="623"/>
        <v>1.0001159722222221</v>
      </c>
      <c r="AL4767" s="98">
        <f t="shared" ca="1" si="622"/>
        <v>4.1893862521872771</v>
      </c>
      <c r="AM4767" s="106">
        <f t="shared" ref="AM4767:AM4830" ca="1" si="626">Geom_Interp(AI4767,$AZ$2:$AZ$109,$BA$2:$BA$109)</f>
        <v>38696.097150513633</v>
      </c>
      <c r="AN4767" s="10">
        <f t="shared" ref="AN4767:AN4830" ca="1" si="627">100*(((1+AL4767/100)^(AH4767/365)*$AM$29/AM4767)^(365/AH4767)-1)</f>
        <v>1.1214239319140118</v>
      </c>
      <c r="AO4767" s="158"/>
      <c r="AP4767" s="158"/>
    </row>
    <row r="4768" spans="34:42">
      <c r="AH4768" s="6">
        <f t="shared" si="624"/>
        <v>4738</v>
      </c>
      <c r="AI4768" s="7">
        <f t="shared" ca="1" si="625"/>
        <v>47408</v>
      </c>
      <c r="AJ4768" s="210">
        <f t="shared" ref="AJ4768:AJ4831" ca="1" si="628">IF(AH4768&lt;365,VLOOKUP(LOOKUP(AI4768,$AI$2:$AI$23),$AI$2:$AK$23,3,0),Lin_Interp(AH4768,$AJ$2:$AJ$23,$AK$2:$AK$23))</f>
        <v>4.1749999999999998</v>
      </c>
      <c r="AK4768" s="8">
        <f t="shared" ca="1" si="623"/>
        <v>1.0001159722222221</v>
      </c>
      <c r="AL4768" s="98">
        <f t="shared" ca="1" si="622"/>
        <v>4.1894145607419775</v>
      </c>
      <c r="AM4768" s="106">
        <f t="shared" ca="1" si="626"/>
        <v>38699.285765771419</v>
      </c>
      <c r="AN4768" s="10">
        <f t="shared" ca="1" si="627"/>
        <v>1.1214474148743436</v>
      </c>
      <c r="AO4768" s="158"/>
      <c r="AP4768" s="158"/>
    </row>
    <row r="4769" spans="34:42">
      <c r="AH4769" s="6">
        <f t="shared" si="624"/>
        <v>4739</v>
      </c>
      <c r="AI4769" s="7">
        <f t="shared" ca="1" si="625"/>
        <v>47409</v>
      </c>
      <c r="AJ4769" s="210">
        <f t="shared" ca="1" si="628"/>
        <v>4.1749999999999998</v>
      </c>
      <c r="AK4769" s="8">
        <f t="shared" ca="1" si="623"/>
        <v>1.0001159722222221</v>
      </c>
      <c r="AL4769" s="98">
        <f t="shared" ref="AL4769:AL4832" ca="1" si="629">100*(((1+AL4768/100)^(AH4768/365)*AK4769)^(365/AH4769)-1)</f>
        <v>4.1894428573573173</v>
      </c>
      <c r="AM4769" s="106">
        <f t="shared" ca="1" si="626"/>
        <v>38702.474643775786</v>
      </c>
      <c r="AN4769" s="10">
        <f t="shared" ca="1" si="627"/>
        <v>1.1214708879296431</v>
      </c>
      <c r="AO4769" s="158"/>
      <c r="AP4769" s="158"/>
    </row>
    <row r="4770" spans="34:42">
      <c r="AH4770" s="6">
        <f t="shared" si="624"/>
        <v>4740</v>
      </c>
      <c r="AI4770" s="7">
        <f t="shared" ca="1" si="625"/>
        <v>47410</v>
      </c>
      <c r="AJ4770" s="210">
        <f t="shared" ca="1" si="628"/>
        <v>4.1749999999999998</v>
      </c>
      <c r="AK4770" s="8">
        <f t="shared" ca="1" si="623"/>
        <v>1.0001159722222221</v>
      </c>
      <c r="AL4770" s="98">
        <f t="shared" ca="1" si="629"/>
        <v>4.1894711420408237</v>
      </c>
      <c r="AM4770" s="106">
        <f t="shared" ca="1" si="626"/>
        <v>38705.663784548386</v>
      </c>
      <c r="AN4770" s="10">
        <f t="shared" ca="1" si="627"/>
        <v>1.1214943510861053</v>
      </c>
      <c r="AO4770" s="158"/>
      <c r="AP4770" s="158"/>
    </row>
    <row r="4771" spans="34:42">
      <c r="AH4771" s="6">
        <f t="shared" si="624"/>
        <v>4741</v>
      </c>
      <c r="AI4771" s="7">
        <f t="shared" ca="1" si="625"/>
        <v>47411</v>
      </c>
      <c r="AJ4771" s="210">
        <f t="shared" ca="1" si="628"/>
        <v>4.1749999999999998</v>
      </c>
      <c r="AK4771" s="8">
        <f t="shared" ca="1" si="623"/>
        <v>1.0001159722222221</v>
      </c>
      <c r="AL4771" s="98">
        <f t="shared" ca="1" si="629"/>
        <v>4.1894994148000686</v>
      </c>
      <c r="AM4771" s="106">
        <f t="shared" ca="1" si="626"/>
        <v>38708.853188110872</v>
      </c>
      <c r="AN4771" s="10">
        <f t="shared" ca="1" si="627"/>
        <v>1.1215178043500362</v>
      </c>
      <c r="AO4771" s="158"/>
      <c r="AP4771" s="158"/>
    </row>
    <row r="4772" spans="34:42">
      <c r="AH4772" s="6">
        <f t="shared" si="624"/>
        <v>4742</v>
      </c>
      <c r="AI4772" s="7">
        <f t="shared" ca="1" si="625"/>
        <v>47412</v>
      </c>
      <c r="AJ4772" s="210">
        <f t="shared" ca="1" si="628"/>
        <v>4.1749999999999998</v>
      </c>
      <c r="AK4772" s="8">
        <f t="shared" ref="AK4772:AK4835" ca="1" si="630">+(1+AJ4772/36000)</f>
        <v>1.0001159722222221</v>
      </c>
      <c r="AL4772" s="98">
        <f t="shared" ca="1" si="629"/>
        <v>4.1895276756425792</v>
      </c>
      <c r="AM4772" s="106">
        <f t="shared" ca="1" si="626"/>
        <v>38712.042854484898</v>
      </c>
      <c r="AN4772" s="10">
        <f t="shared" ca="1" si="627"/>
        <v>1.1215412477276976</v>
      </c>
      <c r="AO4772" s="158"/>
      <c r="AP4772" s="158"/>
    </row>
    <row r="4773" spans="34:42">
      <c r="AH4773" s="6">
        <f t="shared" si="624"/>
        <v>4743</v>
      </c>
      <c r="AI4773" s="7">
        <f t="shared" ca="1" si="625"/>
        <v>47413</v>
      </c>
      <c r="AJ4773" s="210">
        <f t="shared" ca="1" si="628"/>
        <v>4.1749999999999998</v>
      </c>
      <c r="AK4773" s="8">
        <f t="shared" ca="1" si="630"/>
        <v>1.0001159722222221</v>
      </c>
      <c r="AL4773" s="98">
        <f t="shared" ca="1" si="629"/>
        <v>4.1895559245758829</v>
      </c>
      <c r="AM4773" s="106">
        <f t="shared" ca="1" si="626"/>
        <v>38715.232783692118</v>
      </c>
      <c r="AN4773" s="10">
        <f t="shared" ca="1" si="627"/>
        <v>1.1215646812253288</v>
      </c>
      <c r="AO4773" s="158"/>
      <c r="AP4773" s="158"/>
    </row>
    <row r="4774" spans="34:42">
      <c r="AH4774" s="6">
        <f t="shared" si="624"/>
        <v>4744</v>
      </c>
      <c r="AI4774" s="7">
        <f t="shared" ca="1" si="625"/>
        <v>47414</v>
      </c>
      <c r="AJ4774" s="210">
        <f t="shared" ca="1" si="628"/>
        <v>4.1749999999999998</v>
      </c>
      <c r="AK4774" s="8">
        <f t="shared" ca="1" si="630"/>
        <v>1.0001159722222221</v>
      </c>
      <c r="AL4774" s="98">
        <f t="shared" ca="1" si="629"/>
        <v>4.1895841616075069</v>
      </c>
      <c r="AM4774" s="106">
        <f t="shared" ca="1" si="626"/>
        <v>38718.422975754198</v>
      </c>
      <c r="AN4774" s="10">
        <f t="shared" ca="1" si="627"/>
        <v>1.1215881048491694</v>
      </c>
      <c r="AO4774" s="158"/>
      <c r="AP4774" s="158"/>
    </row>
    <row r="4775" spans="34:42">
      <c r="AH4775" s="6">
        <f t="shared" si="624"/>
        <v>4745</v>
      </c>
      <c r="AI4775" s="7">
        <f t="shared" ca="1" si="625"/>
        <v>47415</v>
      </c>
      <c r="AJ4775" s="210">
        <f t="shared" ca="1" si="628"/>
        <v>4.1749999999999998</v>
      </c>
      <c r="AK4775" s="8">
        <f t="shared" ca="1" si="630"/>
        <v>1.0001159722222221</v>
      </c>
      <c r="AL4775" s="98">
        <f t="shared" ca="1" si="629"/>
        <v>4.1896123867449786</v>
      </c>
      <c r="AM4775" s="106">
        <f t="shared" ca="1" si="626"/>
        <v>38721.613430692785</v>
      </c>
      <c r="AN4775" s="10">
        <f t="shared" ca="1" si="627"/>
        <v>1.1216115186054587</v>
      </c>
      <c r="AO4775" s="158"/>
      <c r="AP4775" s="158"/>
    </row>
    <row r="4776" spans="34:42">
      <c r="AH4776" s="6">
        <f t="shared" si="624"/>
        <v>4746</v>
      </c>
      <c r="AI4776" s="7">
        <f t="shared" ca="1" si="625"/>
        <v>47416</v>
      </c>
      <c r="AJ4776" s="210">
        <f t="shared" ca="1" si="628"/>
        <v>4.1749999999999998</v>
      </c>
      <c r="AK4776" s="8">
        <f t="shared" ca="1" si="630"/>
        <v>1.0001159722222221</v>
      </c>
      <c r="AL4776" s="98">
        <f t="shared" ca="1" si="629"/>
        <v>4.1896405999958031</v>
      </c>
      <c r="AM4776" s="106">
        <f t="shared" ca="1" si="626"/>
        <v>38724.80414852954</v>
      </c>
      <c r="AN4776" s="10">
        <f t="shared" ca="1" si="627"/>
        <v>1.1216349225004363</v>
      </c>
      <c r="AO4776" s="158"/>
      <c r="AP4776" s="158"/>
    </row>
    <row r="4777" spans="34:42">
      <c r="AH4777" s="6">
        <f t="shared" si="624"/>
        <v>4747</v>
      </c>
      <c r="AI4777" s="7">
        <f t="shared" ca="1" si="625"/>
        <v>47417</v>
      </c>
      <c r="AJ4777" s="210">
        <f t="shared" ca="1" si="628"/>
        <v>4.1749999999999998</v>
      </c>
      <c r="AK4777" s="8">
        <f t="shared" ca="1" si="630"/>
        <v>1.0001159722222221</v>
      </c>
      <c r="AL4777" s="98">
        <f t="shared" ca="1" si="629"/>
        <v>4.1896688013674854</v>
      </c>
      <c r="AM4777" s="106">
        <f t="shared" ca="1" si="626"/>
        <v>38727.995129286144</v>
      </c>
      <c r="AN4777" s="10">
        <f t="shared" ca="1" si="627"/>
        <v>1.1216583165403193</v>
      </c>
      <c r="AO4777" s="158"/>
      <c r="AP4777" s="158"/>
    </row>
    <row r="4778" spans="34:42">
      <c r="AH4778" s="6">
        <f t="shared" si="624"/>
        <v>4748</v>
      </c>
      <c r="AI4778" s="7">
        <f t="shared" ca="1" si="625"/>
        <v>47418</v>
      </c>
      <c r="AJ4778" s="210">
        <f t="shared" ca="1" si="628"/>
        <v>4.1749999999999998</v>
      </c>
      <c r="AK4778" s="8">
        <f t="shared" ca="1" si="630"/>
        <v>1.0001159722222221</v>
      </c>
      <c r="AL4778" s="98">
        <f t="shared" ca="1" si="629"/>
        <v>4.1896969908675308</v>
      </c>
      <c r="AM4778" s="106">
        <f t="shared" ca="1" si="626"/>
        <v>38731.186372984244</v>
      </c>
      <c r="AN4778" s="10">
        <f t="shared" ca="1" si="627"/>
        <v>1.1216817007313473</v>
      </c>
      <c r="AO4778" s="158"/>
      <c r="AP4778" s="158"/>
    </row>
    <row r="4779" spans="34:42">
      <c r="AH4779" s="6">
        <f t="shared" si="624"/>
        <v>4749</v>
      </c>
      <c r="AI4779" s="7">
        <f t="shared" ca="1" si="625"/>
        <v>47419</v>
      </c>
      <c r="AJ4779" s="210">
        <f t="shared" ca="1" si="628"/>
        <v>4.1749999999999998</v>
      </c>
      <c r="AK4779" s="8">
        <f t="shared" ca="1" si="630"/>
        <v>1.0001159722222221</v>
      </c>
      <c r="AL4779" s="98">
        <f t="shared" ca="1" si="629"/>
        <v>4.1897251685034442</v>
      </c>
      <c r="AM4779" s="106">
        <f t="shared" ca="1" si="626"/>
        <v>38734.377879645515</v>
      </c>
      <c r="AN4779" s="10">
        <f t="shared" ca="1" si="627"/>
        <v>1.1217050750797153</v>
      </c>
      <c r="AO4779" s="158"/>
      <c r="AP4779" s="158"/>
    </row>
    <row r="4780" spans="34:42">
      <c r="AH4780" s="6">
        <f t="shared" si="624"/>
        <v>4750</v>
      </c>
      <c r="AI4780" s="7">
        <f t="shared" ca="1" si="625"/>
        <v>47420</v>
      </c>
      <c r="AJ4780" s="210">
        <f t="shared" ca="1" si="628"/>
        <v>4.1749999999999998</v>
      </c>
      <c r="AK4780" s="8">
        <f t="shared" ca="1" si="630"/>
        <v>1.0001159722222221</v>
      </c>
      <c r="AL4780" s="98">
        <f t="shared" ca="1" si="629"/>
        <v>4.1897533342827087</v>
      </c>
      <c r="AM4780" s="106">
        <f t="shared" ca="1" si="626"/>
        <v>38737.569649291625</v>
      </c>
      <c r="AN4780" s="10">
        <f t="shared" ca="1" si="627"/>
        <v>1.1217284395916627</v>
      </c>
      <c r="AO4780" s="158"/>
      <c r="AP4780" s="158"/>
    </row>
    <row r="4781" spans="34:42">
      <c r="AH4781" s="6">
        <f t="shared" si="624"/>
        <v>4751</v>
      </c>
      <c r="AI4781" s="7">
        <f t="shared" ca="1" si="625"/>
        <v>47421</v>
      </c>
      <c r="AJ4781" s="210">
        <f t="shared" ca="1" si="628"/>
        <v>4.1749999999999998</v>
      </c>
      <c r="AK4781" s="8">
        <f t="shared" ca="1" si="630"/>
        <v>1.0001159722222221</v>
      </c>
      <c r="AL4781" s="98">
        <f t="shared" ca="1" si="629"/>
        <v>4.189781488212807</v>
      </c>
      <c r="AM4781" s="106">
        <f t="shared" ca="1" si="626"/>
        <v>38740.761681944241</v>
      </c>
      <c r="AN4781" s="10">
        <f t="shared" ca="1" si="627"/>
        <v>1.1217517942734068</v>
      </c>
      <c r="AO4781" s="158"/>
      <c r="AP4781" s="158"/>
    </row>
    <row r="4782" spans="34:42">
      <c r="AH4782" s="6">
        <f t="shared" si="624"/>
        <v>4752</v>
      </c>
      <c r="AI4782" s="7">
        <f t="shared" ca="1" si="625"/>
        <v>47422</v>
      </c>
      <c r="AJ4782" s="210">
        <f t="shared" ca="1" si="628"/>
        <v>4.1749999999999998</v>
      </c>
      <c r="AK4782" s="8">
        <f t="shared" ca="1" si="630"/>
        <v>1.0001159722222221</v>
      </c>
      <c r="AL4782" s="98">
        <f t="shared" ca="1" si="629"/>
        <v>4.1898096303012</v>
      </c>
      <c r="AM4782" s="106">
        <f t="shared" ca="1" si="626"/>
        <v>38743.953977625039</v>
      </c>
      <c r="AN4782" s="10">
        <f t="shared" ca="1" si="627"/>
        <v>1.1217751391310982</v>
      </c>
      <c r="AO4782" s="158"/>
      <c r="AP4782" s="158"/>
    </row>
    <row r="4783" spans="34:42">
      <c r="AH4783" s="6">
        <f t="shared" si="624"/>
        <v>4753</v>
      </c>
      <c r="AI4783" s="7">
        <f t="shared" ca="1" si="625"/>
        <v>47423</v>
      </c>
      <c r="AJ4783" s="210">
        <f t="shared" ca="1" si="628"/>
        <v>4.1749999999999998</v>
      </c>
      <c r="AK4783" s="8">
        <f t="shared" ca="1" si="630"/>
        <v>1.0001159722222221</v>
      </c>
      <c r="AL4783" s="98">
        <f t="shared" ca="1" si="629"/>
        <v>4.1898377605553705</v>
      </c>
      <c r="AM4783" s="106">
        <f t="shared" ca="1" si="626"/>
        <v>38747.146536355693</v>
      </c>
      <c r="AN4783" s="10">
        <f t="shared" ca="1" si="627"/>
        <v>1.1217984741709763</v>
      </c>
      <c r="AO4783" s="158"/>
      <c r="AP4783" s="158"/>
    </row>
    <row r="4784" spans="34:42">
      <c r="AH4784" s="6">
        <f t="shared" si="624"/>
        <v>4754</v>
      </c>
      <c r="AI4784" s="7">
        <f t="shared" ca="1" si="625"/>
        <v>47424</v>
      </c>
      <c r="AJ4784" s="210">
        <f t="shared" ca="1" si="628"/>
        <v>4.1749999999999998</v>
      </c>
      <c r="AK4784" s="8">
        <f t="shared" ca="1" si="630"/>
        <v>1.0001159722222221</v>
      </c>
      <c r="AL4784" s="98">
        <f t="shared" ca="1" si="629"/>
        <v>4.1898658789827792</v>
      </c>
      <c r="AM4784" s="106">
        <f t="shared" ca="1" si="626"/>
        <v>38750.339358157871</v>
      </c>
      <c r="AN4784" s="10">
        <f t="shared" ca="1" si="627"/>
        <v>1.1218217993992363</v>
      </c>
      <c r="AO4784" s="158"/>
      <c r="AP4784" s="158"/>
    </row>
    <row r="4785" spans="34:42">
      <c r="AH4785" s="6">
        <f t="shared" si="624"/>
        <v>4755</v>
      </c>
      <c r="AI4785" s="7">
        <f t="shared" ca="1" si="625"/>
        <v>47425</v>
      </c>
      <c r="AJ4785" s="210">
        <f t="shared" ca="1" si="628"/>
        <v>4.1749999999999998</v>
      </c>
      <c r="AK4785" s="8">
        <f t="shared" ca="1" si="630"/>
        <v>1.0001159722222221</v>
      </c>
      <c r="AL4785" s="98">
        <f t="shared" ca="1" si="629"/>
        <v>4.1898939855908868</v>
      </c>
      <c r="AM4785" s="106">
        <f t="shared" ca="1" si="626"/>
        <v>38753.532443053264</v>
      </c>
      <c r="AN4785" s="10">
        <f t="shared" ca="1" si="627"/>
        <v>1.121845114822051</v>
      </c>
      <c r="AO4785" s="158"/>
      <c r="AP4785" s="158"/>
    </row>
    <row r="4786" spans="34:42">
      <c r="AH4786" s="6">
        <f t="shared" si="624"/>
        <v>4756</v>
      </c>
      <c r="AI4786" s="7">
        <f t="shared" ca="1" si="625"/>
        <v>47426</v>
      </c>
      <c r="AJ4786" s="210">
        <f t="shared" ca="1" si="628"/>
        <v>4.1749999999999998</v>
      </c>
      <c r="AK4786" s="8">
        <f t="shared" ca="1" si="630"/>
        <v>1.0001159722222221</v>
      </c>
      <c r="AL4786" s="98">
        <f t="shared" ca="1" si="629"/>
        <v>4.1899220803871318</v>
      </c>
      <c r="AM4786" s="106">
        <f t="shared" ca="1" si="626"/>
        <v>38756.725791063538</v>
      </c>
      <c r="AN4786" s="10">
        <f t="shared" ca="1" si="627"/>
        <v>1.1218684204455709</v>
      </c>
      <c r="AO4786" s="158"/>
      <c r="AP4786" s="158"/>
    </row>
    <row r="4787" spans="34:42">
      <c r="AH4787" s="6">
        <f t="shared" si="624"/>
        <v>4757</v>
      </c>
      <c r="AI4787" s="7">
        <f t="shared" ca="1" si="625"/>
        <v>47427</v>
      </c>
      <c r="AJ4787" s="210">
        <f t="shared" ca="1" si="628"/>
        <v>4.1749999999999998</v>
      </c>
      <c r="AK4787" s="8">
        <f t="shared" ca="1" si="630"/>
        <v>1.0001159722222221</v>
      </c>
      <c r="AL4787" s="98">
        <f t="shared" ca="1" si="629"/>
        <v>4.1899501633789749</v>
      </c>
      <c r="AM4787" s="106">
        <f t="shared" ca="1" si="626"/>
        <v>38759.919402210384</v>
      </c>
      <c r="AN4787" s="10">
        <f t="shared" ca="1" si="627"/>
        <v>1.1218917162760356</v>
      </c>
      <c r="AO4787" s="158"/>
      <c r="AP4787" s="158"/>
    </row>
    <row r="4788" spans="34:42">
      <c r="AH4788" s="6">
        <f t="shared" si="624"/>
        <v>4758</v>
      </c>
      <c r="AI4788" s="7">
        <f t="shared" ca="1" si="625"/>
        <v>47428</v>
      </c>
      <c r="AJ4788" s="210">
        <f t="shared" ca="1" si="628"/>
        <v>4.1749999999999998</v>
      </c>
      <c r="AK4788" s="8">
        <f t="shared" ca="1" si="630"/>
        <v>1.0001159722222221</v>
      </c>
      <c r="AL4788" s="98">
        <f t="shared" ca="1" si="629"/>
        <v>4.1899782345738545</v>
      </c>
      <c r="AM4788" s="106">
        <f t="shared" ca="1" si="626"/>
        <v>38763.113276515476</v>
      </c>
      <c r="AN4788" s="10">
        <f t="shared" ca="1" si="627"/>
        <v>1.1219150023195956</v>
      </c>
      <c r="AO4788" s="158"/>
      <c r="AP4788" s="158"/>
    </row>
    <row r="4789" spans="34:42">
      <c r="AH4789" s="6">
        <f t="shared" si="624"/>
        <v>4759</v>
      </c>
      <c r="AI4789" s="7">
        <f t="shared" ca="1" si="625"/>
        <v>47429</v>
      </c>
      <c r="AJ4789" s="210">
        <f t="shared" ca="1" si="628"/>
        <v>4.1749999999999998</v>
      </c>
      <c r="AK4789" s="8">
        <f t="shared" ca="1" si="630"/>
        <v>1.0001159722222221</v>
      </c>
      <c r="AL4789" s="98">
        <f t="shared" ca="1" si="629"/>
        <v>4.1900062939791871</v>
      </c>
      <c r="AM4789" s="106">
        <f t="shared" ca="1" si="626"/>
        <v>38766.307414000505</v>
      </c>
      <c r="AN4789" s="10">
        <f t="shared" ca="1" si="627"/>
        <v>1.1219382785823795</v>
      </c>
      <c r="AO4789" s="158"/>
      <c r="AP4789" s="158"/>
    </row>
    <row r="4790" spans="34:42">
      <c r="AH4790" s="6">
        <f t="shared" si="624"/>
        <v>4760</v>
      </c>
      <c r="AI4790" s="7">
        <f t="shared" ca="1" si="625"/>
        <v>47430</v>
      </c>
      <c r="AJ4790" s="210">
        <f t="shared" ca="1" si="628"/>
        <v>4.1749999999999998</v>
      </c>
      <c r="AK4790" s="8">
        <f t="shared" ca="1" si="630"/>
        <v>1.0001159722222221</v>
      </c>
      <c r="AL4790" s="98">
        <f t="shared" ca="1" si="629"/>
        <v>4.1900343416024111</v>
      </c>
      <c r="AM4790" s="106">
        <f t="shared" ca="1" si="626"/>
        <v>38769.501814687159</v>
      </c>
      <c r="AN4790" s="10">
        <f t="shared" ca="1" si="627"/>
        <v>1.1219615450705822</v>
      </c>
      <c r="AO4790" s="158"/>
      <c r="AP4790" s="158"/>
    </row>
    <row r="4791" spans="34:42">
      <c r="AH4791" s="6">
        <f t="shared" si="624"/>
        <v>4761</v>
      </c>
      <c r="AI4791" s="7">
        <f t="shared" ca="1" si="625"/>
        <v>47431</v>
      </c>
      <c r="AJ4791" s="210">
        <f t="shared" ca="1" si="628"/>
        <v>4.1749999999999998</v>
      </c>
      <c r="AK4791" s="8">
        <f t="shared" ca="1" si="630"/>
        <v>1.0001159722222221</v>
      </c>
      <c r="AL4791" s="98">
        <f t="shared" ca="1" si="629"/>
        <v>4.1900623774509427</v>
      </c>
      <c r="AM4791" s="106">
        <f t="shared" ca="1" si="626"/>
        <v>38772.696478597121</v>
      </c>
      <c r="AN4791" s="10">
        <f t="shared" ca="1" si="627"/>
        <v>1.1219848017903766</v>
      </c>
      <c r="AO4791" s="158"/>
      <c r="AP4791" s="158"/>
    </row>
    <row r="4792" spans="34:42">
      <c r="AH4792" s="6">
        <f t="shared" si="624"/>
        <v>4762</v>
      </c>
      <c r="AI4792" s="7">
        <f t="shared" ca="1" si="625"/>
        <v>47432</v>
      </c>
      <c r="AJ4792" s="210">
        <f t="shared" ca="1" si="628"/>
        <v>4.1749999999999998</v>
      </c>
      <c r="AK4792" s="8">
        <f t="shared" ca="1" si="630"/>
        <v>1.0001159722222221</v>
      </c>
      <c r="AL4792" s="98">
        <f t="shared" ca="1" si="629"/>
        <v>4.190090401532176</v>
      </c>
      <c r="AM4792" s="106">
        <f t="shared" ca="1" si="626"/>
        <v>38775.891405752074</v>
      </c>
      <c r="AN4792" s="10">
        <f t="shared" ca="1" si="627"/>
        <v>1.122008048747869</v>
      </c>
      <c r="AO4792" s="158"/>
      <c r="AP4792" s="158"/>
    </row>
    <row r="4793" spans="34:42">
      <c r="AH4793" s="6">
        <f t="shared" si="624"/>
        <v>4763</v>
      </c>
      <c r="AI4793" s="7">
        <f t="shared" ca="1" si="625"/>
        <v>47433</v>
      </c>
      <c r="AJ4793" s="210">
        <f t="shared" ca="1" si="628"/>
        <v>4.1749999999999998</v>
      </c>
      <c r="AK4793" s="8">
        <f t="shared" ca="1" si="630"/>
        <v>1.0001159722222221</v>
      </c>
      <c r="AL4793" s="98">
        <f t="shared" ca="1" si="629"/>
        <v>4.1901184138535497</v>
      </c>
      <c r="AM4793" s="106">
        <f t="shared" ca="1" si="626"/>
        <v>38779.086596173729</v>
      </c>
      <c r="AN4793" s="10">
        <f t="shared" ca="1" si="627"/>
        <v>1.1220312859492321</v>
      </c>
      <c r="AO4793" s="158"/>
      <c r="AP4793" s="158"/>
    </row>
    <row r="4794" spans="34:42">
      <c r="AH4794" s="6">
        <f t="shared" si="624"/>
        <v>4764</v>
      </c>
      <c r="AI4794" s="7">
        <f t="shared" ca="1" si="625"/>
        <v>47434</v>
      </c>
      <c r="AJ4794" s="210">
        <f t="shared" ca="1" si="628"/>
        <v>4.1749999999999998</v>
      </c>
      <c r="AK4794" s="8">
        <f t="shared" ca="1" si="630"/>
        <v>1.0001159722222221</v>
      </c>
      <c r="AL4794" s="98">
        <f t="shared" ca="1" si="629"/>
        <v>4.1901464144224354</v>
      </c>
      <c r="AM4794" s="106">
        <f t="shared" ca="1" si="626"/>
        <v>38782.282049883761</v>
      </c>
      <c r="AN4794" s="10">
        <f t="shared" ca="1" si="627"/>
        <v>1.1220545134005722</v>
      </c>
      <c r="AO4794" s="158"/>
      <c r="AP4794" s="158"/>
    </row>
    <row r="4795" spans="34:42">
      <c r="AH4795" s="6">
        <f t="shared" si="624"/>
        <v>4765</v>
      </c>
      <c r="AI4795" s="7">
        <f t="shared" ca="1" si="625"/>
        <v>47435</v>
      </c>
      <c r="AJ4795" s="210">
        <f t="shared" ca="1" si="628"/>
        <v>4.1749999999999998</v>
      </c>
      <c r="AK4795" s="8">
        <f t="shared" ca="1" si="630"/>
        <v>1.0001159722222221</v>
      </c>
      <c r="AL4795" s="98">
        <f t="shared" ca="1" si="629"/>
        <v>4.1901744032462496</v>
      </c>
      <c r="AM4795" s="106">
        <f t="shared" ca="1" si="626"/>
        <v>38785.477766903889</v>
      </c>
      <c r="AN4795" s="10">
        <f t="shared" ca="1" si="627"/>
        <v>1.1220777311080621</v>
      </c>
      <c r="AO4795" s="158"/>
      <c r="AP4795" s="158"/>
    </row>
    <row r="4796" spans="34:42">
      <c r="AH4796" s="6">
        <f t="shared" si="624"/>
        <v>4766</v>
      </c>
      <c r="AI4796" s="7">
        <f t="shared" ca="1" si="625"/>
        <v>47436</v>
      </c>
      <c r="AJ4796" s="210">
        <f t="shared" ca="1" si="628"/>
        <v>4.1749999999999998</v>
      </c>
      <c r="AK4796" s="8">
        <f t="shared" ca="1" si="630"/>
        <v>1.0001159722222221</v>
      </c>
      <c r="AL4796" s="98">
        <f t="shared" ca="1" si="629"/>
        <v>4.190202380332364</v>
      </c>
      <c r="AM4796" s="106">
        <f t="shared" ca="1" si="626"/>
        <v>38788.67374725578</v>
      </c>
      <c r="AN4796" s="10">
        <f t="shared" ca="1" si="627"/>
        <v>1.1221009390778303</v>
      </c>
      <c r="AO4796" s="158"/>
      <c r="AP4796" s="158"/>
    </row>
    <row r="4797" spans="34:42">
      <c r="AH4797" s="6">
        <f t="shared" si="624"/>
        <v>4767</v>
      </c>
      <c r="AI4797" s="7">
        <f t="shared" ca="1" si="625"/>
        <v>47437</v>
      </c>
      <c r="AJ4797" s="210">
        <f t="shared" ca="1" si="628"/>
        <v>4.1749999999999998</v>
      </c>
      <c r="AK4797" s="8">
        <f t="shared" ca="1" si="630"/>
        <v>1.0001159722222221</v>
      </c>
      <c r="AL4797" s="98">
        <f t="shared" ca="1" si="629"/>
        <v>4.1902303456881729</v>
      </c>
      <c r="AM4797" s="106">
        <f t="shared" ca="1" si="626"/>
        <v>38791.869990961153</v>
      </c>
      <c r="AN4797" s="10">
        <f t="shared" ca="1" si="627"/>
        <v>1.1221241373160051</v>
      </c>
      <c r="AO4797" s="158"/>
      <c r="AP4797" s="158"/>
    </row>
    <row r="4798" spans="34:42">
      <c r="AH4798" s="6">
        <f t="shared" si="624"/>
        <v>4768</v>
      </c>
      <c r="AI4798" s="7">
        <f t="shared" ca="1" si="625"/>
        <v>47438</v>
      </c>
      <c r="AJ4798" s="210">
        <f t="shared" ca="1" si="628"/>
        <v>4.1749999999999998</v>
      </c>
      <c r="AK4798" s="8">
        <f t="shared" ca="1" si="630"/>
        <v>1.0001159722222221</v>
      </c>
      <c r="AL4798" s="98">
        <f t="shared" ca="1" si="629"/>
        <v>4.190258299321048</v>
      </c>
      <c r="AM4798" s="106">
        <f t="shared" ca="1" si="626"/>
        <v>38795.066498041706</v>
      </c>
      <c r="AN4798" s="10">
        <f t="shared" ca="1" si="627"/>
        <v>1.1221473258286707</v>
      </c>
      <c r="AO4798" s="158"/>
      <c r="AP4798" s="158"/>
    </row>
    <row r="4799" spans="34:42">
      <c r="AH4799" s="6">
        <f t="shared" si="624"/>
        <v>4769</v>
      </c>
      <c r="AI4799" s="7">
        <f t="shared" ca="1" si="625"/>
        <v>47439</v>
      </c>
      <c r="AJ4799" s="210">
        <f t="shared" ca="1" si="628"/>
        <v>4.1749999999999998</v>
      </c>
      <c r="AK4799" s="8">
        <f t="shared" ca="1" si="630"/>
        <v>1.0001159722222221</v>
      </c>
      <c r="AL4799" s="98">
        <f t="shared" ca="1" si="629"/>
        <v>4.1902862412383612</v>
      </c>
      <c r="AM4799" s="106">
        <f t="shared" ca="1" si="626"/>
        <v>38798.263268519135</v>
      </c>
      <c r="AN4799" s="10">
        <f t="shared" ca="1" si="627"/>
        <v>1.1221705046219776</v>
      </c>
      <c r="AO4799" s="158"/>
      <c r="AP4799" s="158"/>
    </row>
    <row r="4800" spans="34:42">
      <c r="AH4800" s="6">
        <f t="shared" si="624"/>
        <v>4770</v>
      </c>
      <c r="AI4800" s="7">
        <f t="shared" ca="1" si="625"/>
        <v>47440</v>
      </c>
      <c r="AJ4800" s="210">
        <f t="shared" ca="1" si="628"/>
        <v>4.1749999999999998</v>
      </c>
      <c r="AK4800" s="8">
        <f t="shared" ca="1" si="630"/>
        <v>1.0001159722222221</v>
      </c>
      <c r="AL4800" s="98">
        <f t="shared" ca="1" si="629"/>
        <v>4.1903141714474845</v>
      </c>
      <c r="AM4800" s="106">
        <f t="shared" ca="1" si="626"/>
        <v>38801.460302415144</v>
      </c>
      <c r="AN4800" s="10">
        <f t="shared" ca="1" si="627"/>
        <v>1.12219367370201</v>
      </c>
      <c r="AO4800" s="158"/>
      <c r="AP4800" s="158"/>
    </row>
    <row r="4801" spans="34:42">
      <c r="AH4801" s="6">
        <f t="shared" si="624"/>
        <v>4771</v>
      </c>
      <c r="AI4801" s="7">
        <f t="shared" ca="1" si="625"/>
        <v>47441</v>
      </c>
      <c r="AJ4801" s="210">
        <f t="shared" ca="1" si="628"/>
        <v>4.1749999999999998</v>
      </c>
      <c r="AK4801" s="8">
        <f t="shared" ca="1" si="630"/>
        <v>1.0001159722222221</v>
      </c>
      <c r="AL4801" s="98">
        <f t="shared" ca="1" si="629"/>
        <v>4.1903420899557675</v>
      </c>
      <c r="AM4801" s="106">
        <f t="shared" ca="1" si="626"/>
        <v>38804.657599751452</v>
      </c>
      <c r="AN4801" s="10">
        <f t="shared" ca="1" si="627"/>
        <v>1.1222168330749183</v>
      </c>
      <c r="AO4801" s="158"/>
      <c r="AP4801" s="158"/>
    </row>
    <row r="4802" spans="34:42">
      <c r="AH4802" s="6">
        <f t="shared" si="624"/>
        <v>4772</v>
      </c>
      <c r="AI4802" s="7">
        <f t="shared" ca="1" si="625"/>
        <v>47442</v>
      </c>
      <c r="AJ4802" s="210">
        <f t="shared" ca="1" si="628"/>
        <v>4.1749999999999998</v>
      </c>
      <c r="AK4802" s="8">
        <f t="shared" ca="1" si="630"/>
        <v>1.0001159722222221</v>
      </c>
      <c r="AL4802" s="98">
        <f t="shared" ca="1" si="629"/>
        <v>4.1903699967705377</v>
      </c>
      <c r="AM4802" s="106">
        <f t="shared" ca="1" si="626"/>
        <v>38807.855160549749</v>
      </c>
      <c r="AN4802" s="10">
        <f t="shared" ca="1" si="627"/>
        <v>1.12223998274672</v>
      </c>
      <c r="AO4802" s="158"/>
      <c r="AP4802" s="158"/>
    </row>
    <row r="4803" spans="34:42">
      <c r="AH4803" s="6">
        <f t="shared" si="624"/>
        <v>4773</v>
      </c>
      <c r="AI4803" s="7">
        <f t="shared" ca="1" si="625"/>
        <v>47443</v>
      </c>
      <c r="AJ4803" s="210">
        <f t="shared" ca="1" si="628"/>
        <v>4.1749999999999998</v>
      </c>
      <c r="AK4803" s="8">
        <f t="shared" ca="1" si="630"/>
        <v>1.0001159722222221</v>
      </c>
      <c r="AL4803" s="98">
        <f t="shared" ca="1" si="629"/>
        <v>4.1903978918991669</v>
      </c>
      <c r="AM4803" s="106">
        <f t="shared" ca="1" si="626"/>
        <v>38811.05298483176</v>
      </c>
      <c r="AN4803" s="10">
        <f t="shared" ca="1" si="627"/>
        <v>1.122263122723588</v>
      </c>
      <c r="AO4803" s="158"/>
      <c r="AP4803" s="158"/>
    </row>
    <row r="4804" spans="34:42">
      <c r="AH4804" s="6">
        <f t="shared" si="624"/>
        <v>4774</v>
      </c>
      <c r="AI4804" s="7">
        <f t="shared" ca="1" si="625"/>
        <v>47444</v>
      </c>
      <c r="AJ4804" s="210">
        <f t="shared" ca="1" si="628"/>
        <v>4.1749999999999998</v>
      </c>
      <c r="AK4804" s="8">
        <f t="shared" ca="1" si="630"/>
        <v>1.0001159722222221</v>
      </c>
      <c r="AL4804" s="98">
        <f t="shared" ca="1" si="629"/>
        <v>4.1904257753490048</v>
      </c>
      <c r="AM4804" s="106">
        <f t="shared" ca="1" si="626"/>
        <v>38814.25107261919</v>
      </c>
      <c r="AN4804" s="10">
        <f t="shared" ca="1" si="627"/>
        <v>1.122286253011584</v>
      </c>
      <c r="AO4804" s="158"/>
      <c r="AP4804" s="158"/>
    </row>
    <row r="4805" spans="34:42">
      <c r="AH4805" s="6">
        <f t="shared" si="624"/>
        <v>4775</v>
      </c>
      <c r="AI4805" s="7">
        <f t="shared" ca="1" si="625"/>
        <v>47445</v>
      </c>
      <c r="AJ4805" s="210">
        <f t="shared" ca="1" si="628"/>
        <v>4.1749999999999998</v>
      </c>
      <c r="AK4805" s="8">
        <f t="shared" ca="1" si="630"/>
        <v>1.0001159722222221</v>
      </c>
      <c r="AL4805" s="98">
        <f t="shared" ca="1" si="629"/>
        <v>4.1904536471273568</v>
      </c>
      <c r="AM4805" s="106">
        <f t="shared" ca="1" si="626"/>
        <v>38817.449423933751</v>
      </c>
      <c r="AN4805" s="10">
        <f t="shared" ca="1" si="627"/>
        <v>1.12230937361677</v>
      </c>
      <c r="AO4805" s="158"/>
      <c r="AP4805" s="158"/>
    </row>
    <row r="4806" spans="34:42">
      <c r="AH4806" s="6">
        <f t="shared" si="624"/>
        <v>4776</v>
      </c>
      <c r="AI4806" s="7">
        <f t="shared" ca="1" si="625"/>
        <v>47446</v>
      </c>
      <c r="AJ4806" s="210">
        <f t="shared" ca="1" si="628"/>
        <v>4.1749999999999998</v>
      </c>
      <c r="AK4806" s="8">
        <f t="shared" ca="1" si="630"/>
        <v>1.0001159722222221</v>
      </c>
      <c r="AL4806" s="98">
        <f t="shared" ca="1" si="629"/>
        <v>4.1904815072415724</v>
      </c>
      <c r="AM4806" s="106">
        <f t="shared" ca="1" si="626"/>
        <v>38820.648038797153</v>
      </c>
      <c r="AN4806" s="10">
        <f t="shared" ca="1" si="627"/>
        <v>1.122332484545252</v>
      </c>
      <c r="AO4806" s="158"/>
      <c r="AP4806" s="158"/>
    </row>
    <row r="4807" spans="34:42">
      <c r="AH4807" s="6">
        <f t="shared" si="624"/>
        <v>4777</v>
      </c>
      <c r="AI4807" s="7">
        <f t="shared" ca="1" si="625"/>
        <v>47447</v>
      </c>
      <c r="AJ4807" s="210">
        <f t="shared" ca="1" si="628"/>
        <v>4.1749999999999998</v>
      </c>
      <c r="AK4807" s="8">
        <f t="shared" ca="1" si="630"/>
        <v>1.0001159722222221</v>
      </c>
      <c r="AL4807" s="98">
        <f t="shared" ca="1" si="629"/>
        <v>4.190509355698957</v>
      </c>
      <c r="AM4807" s="106">
        <f t="shared" ca="1" si="626"/>
        <v>38823.846917231123</v>
      </c>
      <c r="AN4807" s="10">
        <f t="shared" ca="1" si="627"/>
        <v>1.1223555858031142</v>
      </c>
      <c r="AO4807" s="158"/>
      <c r="AP4807" s="158"/>
    </row>
    <row r="4808" spans="34:42">
      <c r="AH4808" s="6">
        <f t="shared" si="624"/>
        <v>4778</v>
      </c>
      <c r="AI4808" s="7">
        <f t="shared" ca="1" si="625"/>
        <v>47448</v>
      </c>
      <c r="AJ4808" s="210">
        <f t="shared" ca="1" si="628"/>
        <v>4.1749999999999998</v>
      </c>
      <c r="AK4808" s="8">
        <f t="shared" ca="1" si="630"/>
        <v>1.0001159722222221</v>
      </c>
      <c r="AL4808" s="98">
        <f t="shared" ca="1" si="629"/>
        <v>4.1905371925068158</v>
      </c>
      <c r="AM4808" s="106">
        <f t="shared" ca="1" si="626"/>
        <v>38827.04605925738</v>
      </c>
      <c r="AN4808" s="10">
        <f t="shared" ca="1" si="627"/>
        <v>1.122378677396374</v>
      </c>
      <c r="AO4808" s="158"/>
      <c r="AP4808" s="158"/>
    </row>
    <row r="4809" spans="34:42">
      <c r="AH4809" s="6">
        <f t="shared" si="624"/>
        <v>4779</v>
      </c>
      <c r="AI4809" s="7">
        <f t="shared" ca="1" si="625"/>
        <v>47449</v>
      </c>
      <c r="AJ4809" s="210">
        <f t="shared" ca="1" si="628"/>
        <v>4.1749999999999998</v>
      </c>
      <c r="AK4809" s="8">
        <f t="shared" ca="1" si="630"/>
        <v>1.0001159722222221</v>
      </c>
      <c r="AL4809" s="98">
        <f t="shared" ca="1" si="629"/>
        <v>4.1905650176724762</v>
      </c>
      <c r="AM4809" s="106">
        <f t="shared" ca="1" si="626"/>
        <v>38830.245464897642</v>
      </c>
      <c r="AN4809" s="10">
        <f t="shared" ca="1" si="627"/>
        <v>1.1224017593311375</v>
      </c>
      <c r="AO4809" s="158"/>
      <c r="AP4809" s="158"/>
    </row>
    <row r="4810" spans="34:42">
      <c r="AH4810" s="6">
        <f t="shared" si="624"/>
        <v>4780</v>
      </c>
      <c r="AI4810" s="7">
        <f t="shared" ca="1" si="625"/>
        <v>47450</v>
      </c>
      <c r="AJ4810" s="210">
        <f t="shared" ca="1" si="628"/>
        <v>4.1749999999999998</v>
      </c>
      <c r="AK4810" s="8">
        <f t="shared" ca="1" si="630"/>
        <v>1.0001159722222221</v>
      </c>
      <c r="AL4810" s="98">
        <f t="shared" ca="1" si="629"/>
        <v>4.1905928312032437</v>
      </c>
      <c r="AM4810" s="106">
        <f t="shared" ca="1" si="626"/>
        <v>38833.44513417362</v>
      </c>
      <c r="AN4810" s="10">
        <f t="shared" ca="1" si="627"/>
        <v>1.1224248316134666</v>
      </c>
      <c r="AO4810" s="158"/>
      <c r="AP4810" s="158"/>
    </row>
    <row r="4811" spans="34:42">
      <c r="AH4811" s="6">
        <f t="shared" si="624"/>
        <v>4781</v>
      </c>
      <c r="AI4811" s="7">
        <f t="shared" ca="1" si="625"/>
        <v>47451</v>
      </c>
      <c r="AJ4811" s="210">
        <f t="shared" ca="1" si="628"/>
        <v>4.1749999999999998</v>
      </c>
      <c r="AK4811" s="8">
        <f t="shared" ca="1" si="630"/>
        <v>1.0001159722222221</v>
      </c>
      <c r="AL4811" s="98">
        <f t="shared" ca="1" si="629"/>
        <v>4.1906206331064011</v>
      </c>
      <c r="AM4811" s="106">
        <f t="shared" ca="1" si="626"/>
        <v>38836.645067107056</v>
      </c>
      <c r="AN4811" s="10">
        <f t="shared" ca="1" si="627"/>
        <v>1.1224478942494009</v>
      </c>
      <c r="AO4811" s="158"/>
      <c r="AP4811" s="158"/>
    </row>
    <row r="4812" spans="34:42">
      <c r="AH4812" s="6">
        <f t="shared" si="624"/>
        <v>4782</v>
      </c>
      <c r="AI4812" s="7">
        <f t="shared" ca="1" si="625"/>
        <v>47452</v>
      </c>
      <c r="AJ4812" s="210">
        <f t="shared" ca="1" si="628"/>
        <v>4.1749999999999998</v>
      </c>
      <c r="AK4812" s="8">
        <f t="shared" ca="1" si="630"/>
        <v>1.0001159722222221</v>
      </c>
      <c r="AL4812" s="98">
        <f t="shared" ca="1" si="629"/>
        <v>4.1906484233892316</v>
      </c>
      <c r="AM4812" s="106">
        <f t="shared" ca="1" si="626"/>
        <v>38839.845263719661</v>
      </c>
      <c r="AN4812" s="10">
        <f t="shared" ca="1" si="627"/>
        <v>1.1224709472449801</v>
      </c>
      <c r="AO4812" s="158"/>
      <c r="AP4812" s="158"/>
    </row>
    <row r="4813" spans="34:42">
      <c r="AH4813" s="6">
        <f t="shared" si="624"/>
        <v>4783</v>
      </c>
      <c r="AI4813" s="7">
        <f t="shared" ca="1" si="625"/>
        <v>47453</v>
      </c>
      <c r="AJ4813" s="210">
        <f t="shared" ca="1" si="628"/>
        <v>4.1749999999999998</v>
      </c>
      <c r="AK4813" s="8">
        <f t="shared" ca="1" si="630"/>
        <v>1.0001159722222221</v>
      </c>
      <c r="AL4813" s="98">
        <f t="shared" ca="1" si="629"/>
        <v>4.1906762020590405</v>
      </c>
      <c r="AM4813" s="106">
        <f t="shared" ca="1" si="626"/>
        <v>38843.045724033174</v>
      </c>
      <c r="AN4813" s="10">
        <f t="shared" ca="1" si="627"/>
        <v>1.1224939906062437</v>
      </c>
      <c r="AO4813" s="158"/>
      <c r="AP4813" s="158"/>
    </row>
    <row r="4814" spans="34:42">
      <c r="AH4814" s="6">
        <f t="shared" si="624"/>
        <v>4784</v>
      </c>
      <c r="AI4814" s="7">
        <f t="shared" ca="1" si="625"/>
        <v>47454</v>
      </c>
      <c r="AJ4814" s="210">
        <f t="shared" ca="1" si="628"/>
        <v>4.1749999999999998</v>
      </c>
      <c r="AK4814" s="8">
        <f t="shared" ca="1" si="630"/>
        <v>1.0001159722222221</v>
      </c>
      <c r="AL4814" s="98">
        <f t="shared" ca="1" si="629"/>
        <v>4.1907039691230885</v>
      </c>
      <c r="AM4814" s="106">
        <f t="shared" ca="1" si="626"/>
        <v>38846.246448069316</v>
      </c>
      <c r="AN4814" s="10">
        <f t="shared" ca="1" si="627"/>
        <v>1.1225170243392535</v>
      </c>
      <c r="AO4814" s="158"/>
      <c r="AP4814" s="158"/>
    </row>
    <row r="4815" spans="34:42">
      <c r="AH4815" s="6">
        <f t="shared" si="624"/>
        <v>4785</v>
      </c>
      <c r="AI4815" s="7">
        <f t="shared" ca="1" si="625"/>
        <v>47455</v>
      </c>
      <c r="AJ4815" s="210">
        <f t="shared" ca="1" si="628"/>
        <v>4.1749999999999998</v>
      </c>
      <c r="AK4815" s="8">
        <f t="shared" ca="1" si="630"/>
        <v>1.0001159722222221</v>
      </c>
      <c r="AL4815" s="98">
        <f t="shared" ca="1" si="629"/>
        <v>4.1907317245886588</v>
      </c>
      <c r="AM4815" s="106">
        <f t="shared" ca="1" si="626"/>
        <v>38849.447435849819</v>
      </c>
      <c r="AN4815" s="10">
        <f t="shared" ca="1" si="627"/>
        <v>1.1225400484500492</v>
      </c>
      <c r="AO4815" s="158"/>
      <c r="AP4815" s="158"/>
    </row>
    <row r="4816" spans="34:42">
      <c r="AH4816" s="6">
        <f t="shared" si="624"/>
        <v>4786</v>
      </c>
      <c r="AI4816" s="7">
        <f t="shared" ca="1" si="625"/>
        <v>47456</v>
      </c>
      <c r="AJ4816" s="210">
        <f t="shared" ca="1" si="628"/>
        <v>4.1749999999999998</v>
      </c>
      <c r="AK4816" s="8">
        <f t="shared" ca="1" si="630"/>
        <v>1.0001159722222221</v>
      </c>
      <c r="AL4816" s="98">
        <f t="shared" ca="1" si="629"/>
        <v>4.1907594684630123</v>
      </c>
      <c r="AM4816" s="106">
        <f t="shared" ca="1" si="626"/>
        <v>38852.648687396417</v>
      </c>
      <c r="AN4816" s="10">
        <f t="shared" ca="1" si="627"/>
        <v>1.1225630629446259</v>
      </c>
      <c r="AO4816" s="158"/>
      <c r="AP4816" s="158"/>
    </row>
    <row r="4817" spans="34:42">
      <c r="AH4817" s="6">
        <f t="shared" si="624"/>
        <v>4787</v>
      </c>
      <c r="AI4817" s="7">
        <f t="shared" ca="1" si="625"/>
        <v>47457</v>
      </c>
      <c r="AJ4817" s="210">
        <f t="shared" ca="1" si="628"/>
        <v>4.1749999999999998</v>
      </c>
      <c r="AK4817" s="8">
        <f t="shared" ca="1" si="630"/>
        <v>1.0001159722222221</v>
      </c>
      <c r="AL4817" s="98">
        <f t="shared" ca="1" si="629"/>
        <v>4.1907872007534097</v>
      </c>
      <c r="AM4817" s="106">
        <f t="shared" ca="1" si="626"/>
        <v>38855.850202730857</v>
      </c>
      <c r="AN4817" s="10">
        <f t="shared" ca="1" si="627"/>
        <v>1.1225860678290234</v>
      </c>
      <c r="AO4817" s="158"/>
      <c r="AP4817" s="158"/>
    </row>
    <row r="4818" spans="34:42">
      <c r="AH4818" s="6">
        <f t="shared" si="624"/>
        <v>4788</v>
      </c>
      <c r="AI4818" s="7">
        <f t="shared" ca="1" si="625"/>
        <v>47458</v>
      </c>
      <c r="AJ4818" s="210">
        <f t="shared" ca="1" si="628"/>
        <v>4.1749999999999998</v>
      </c>
      <c r="AK4818" s="8">
        <f t="shared" ca="1" si="630"/>
        <v>1.0001159722222221</v>
      </c>
      <c r="AL4818" s="98">
        <f t="shared" ca="1" si="629"/>
        <v>4.1908149214670898</v>
      </c>
      <c r="AM4818" s="106">
        <f t="shared" ca="1" si="626"/>
        <v>38859.051981874858</v>
      </c>
      <c r="AN4818" s="10">
        <f t="shared" ca="1" si="627"/>
        <v>1.1226090631092589</v>
      </c>
      <c r="AO4818" s="158"/>
      <c r="AP4818" s="158"/>
    </row>
    <row r="4819" spans="34:42">
      <c r="AH4819" s="6">
        <f t="shared" si="624"/>
        <v>4789</v>
      </c>
      <c r="AI4819" s="7">
        <f t="shared" ca="1" si="625"/>
        <v>47459</v>
      </c>
      <c r="AJ4819" s="210">
        <f t="shared" ca="1" si="628"/>
        <v>4.1749999999999998</v>
      </c>
      <c r="AK4819" s="8">
        <f t="shared" ca="1" si="630"/>
        <v>1.0001159722222221</v>
      </c>
      <c r="AL4819" s="98">
        <f t="shared" ca="1" si="629"/>
        <v>4.1908426306113133</v>
      </c>
      <c r="AM4819" s="106">
        <f t="shared" ca="1" si="626"/>
        <v>38862.254024850161</v>
      </c>
      <c r="AN4819" s="10">
        <f t="shared" ca="1" si="627"/>
        <v>1.1226320487913277</v>
      </c>
      <c r="AO4819" s="158"/>
      <c r="AP4819" s="158"/>
    </row>
    <row r="4820" spans="34:42">
      <c r="AH4820" s="6">
        <f t="shared" ref="AH4820:AH4883" si="631">$AI$29+AH4819</f>
        <v>4790</v>
      </c>
      <c r="AI4820" s="7">
        <f t="shared" ref="AI4820:AI4883" ca="1" si="632">+AH4820+$C$1</f>
        <v>47460</v>
      </c>
      <c r="AJ4820" s="210">
        <f t="shared" ca="1" si="628"/>
        <v>4.1749999999999998</v>
      </c>
      <c r="AK4820" s="8">
        <f t="shared" ca="1" si="630"/>
        <v>1.0001159722222221</v>
      </c>
      <c r="AL4820" s="98">
        <f t="shared" ca="1" si="629"/>
        <v>4.1908703281933191</v>
      </c>
      <c r="AM4820" s="106">
        <f t="shared" ca="1" si="626"/>
        <v>38865.456331678506</v>
      </c>
      <c r="AN4820" s="10">
        <f t="shared" ca="1" si="627"/>
        <v>1.1226550248812694</v>
      </c>
      <c r="AO4820" s="158"/>
      <c r="AP4820" s="158"/>
    </row>
    <row r="4821" spans="34:42">
      <c r="AH4821" s="6">
        <f t="shared" si="631"/>
        <v>4791</v>
      </c>
      <c r="AI4821" s="7">
        <f t="shared" ca="1" si="632"/>
        <v>47461</v>
      </c>
      <c r="AJ4821" s="210">
        <f t="shared" ca="1" si="628"/>
        <v>4.1749999999999998</v>
      </c>
      <c r="AK4821" s="8">
        <f t="shared" ca="1" si="630"/>
        <v>1.0001159722222221</v>
      </c>
      <c r="AL4821" s="98">
        <f t="shared" ca="1" si="629"/>
        <v>4.1908980142203456</v>
      </c>
      <c r="AM4821" s="106">
        <f t="shared" ca="1" si="626"/>
        <v>38868.658902381641</v>
      </c>
      <c r="AN4821" s="10">
        <f t="shared" ca="1" si="627"/>
        <v>1.1226779913850793</v>
      </c>
      <c r="AO4821" s="158"/>
      <c r="AP4821" s="158"/>
    </row>
    <row r="4822" spans="34:42">
      <c r="AH4822" s="6">
        <f t="shared" si="631"/>
        <v>4792</v>
      </c>
      <c r="AI4822" s="7">
        <f t="shared" ca="1" si="632"/>
        <v>47462</v>
      </c>
      <c r="AJ4822" s="210">
        <f t="shared" ca="1" si="628"/>
        <v>4.1749999999999998</v>
      </c>
      <c r="AK4822" s="8">
        <f t="shared" ca="1" si="630"/>
        <v>1.0001159722222221</v>
      </c>
      <c r="AL4822" s="98">
        <f t="shared" ca="1" si="629"/>
        <v>4.1909256886996316</v>
      </c>
      <c r="AM4822" s="106">
        <f t="shared" ca="1" si="626"/>
        <v>38871.861736981315</v>
      </c>
      <c r="AN4822" s="10">
        <f t="shared" ca="1" si="627"/>
        <v>1.1227009483087524</v>
      </c>
      <c r="AO4822" s="158"/>
      <c r="AP4822" s="158"/>
    </row>
    <row r="4823" spans="34:42">
      <c r="AH4823" s="6">
        <f t="shared" si="631"/>
        <v>4793</v>
      </c>
      <c r="AI4823" s="7">
        <f t="shared" ca="1" si="632"/>
        <v>47463</v>
      </c>
      <c r="AJ4823" s="210">
        <f t="shared" ca="1" si="628"/>
        <v>4.1749999999999998</v>
      </c>
      <c r="AK4823" s="8">
        <f t="shared" ca="1" si="630"/>
        <v>1.0001159722222221</v>
      </c>
      <c r="AL4823" s="98">
        <f t="shared" ca="1" si="629"/>
        <v>4.1909533516383934</v>
      </c>
      <c r="AM4823" s="106">
        <f t="shared" ca="1" si="626"/>
        <v>38875.064835499259</v>
      </c>
      <c r="AN4823" s="10">
        <f t="shared" ca="1" si="627"/>
        <v>1.1227238956582841</v>
      </c>
      <c r="AO4823" s="158"/>
      <c r="AP4823" s="158"/>
    </row>
    <row r="4824" spans="34:42">
      <c r="AH4824" s="6">
        <f t="shared" si="631"/>
        <v>4794</v>
      </c>
      <c r="AI4824" s="7">
        <f t="shared" ca="1" si="632"/>
        <v>47464</v>
      </c>
      <c r="AJ4824" s="210">
        <f t="shared" ca="1" si="628"/>
        <v>4.1749999999999998</v>
      </c>
      <c r="AK4824" s="8">
        <f t="shared" ca="1" si="630"/>
        <v>1.0001159722222221</v>
      </c>
      <c r="AL4824" s="98">
        <f t="shared" ca="1" si="629"/>
        <v>4.1909810030438477</v>
      </c>
      <c r="AM4824" s="106">
        <f t="shared" ca="1" si="626"/>
        <v>38878.26819795723</v>
      </c>
      <c r="AN4824" s="10">
        <f t="shared" ca="1" si="627"/>
        <v>1.1227468334396473</v>
      </c>
      <c r="AO4824" s="158"/>
      <c r="AP4824" s="158"/>
    </row>
    <row r="4825" spans="34:42">
      <c r="AH4825" s="6">
        <f t="shared" si="631"/>
        <v>4795</v>
      </c>
      <c r="AI4825" s="7">
        <f t="shared" ca="1" si="632"/>
        <v>47465</v>
      </c>
      <c r="AJ4825" s="210">
        <f t="shared" ca="1" si="628"/>
        <v>4.1749999999999998</v>
      </c>
      <c r="AK4825" s="8">
        <f t="shared" ca="1" si="630"/>
        <v>1.0001159722222221</v>
      </c>
      <c r="AL4825" s="98">
        <f t="shared" ca="1" si="629"/>
        <v>4.1910086429231885</v>
      </c>
      <c r="AM4825" s="106">
        <f t="shared" ca="1" si="626"/>
        <v>38881.471824376975</v>
      </c>
      <c r="AN4825" s="10">
        <f t="shared" ca="1" si="627"/>
        <v>1.1227697616588372</v>
      </c>
      <c r="AO4825" s="158"/>
      <c r="AP4825" s="158"/>
    </row>
    <row r="4826" spans="34:42">
      <c r="AH4826" s="6">
        <f t="shared" si="631"/>
        <v>4796</v>
      </c>
      <c r="AI4826" s="7">
        <f t="shared" ca="1" si="632"/>
        <v>47466</v>
      </c>
      <c r="AJ4826" s="210">
        <f t="shared" ca="1" si="628"/>
        <v>4.1749999999999998</v>
      </c>
      <c r="AK4826" s="8">
        <f t="shared" ca="1" si="630"/>
        <v>1.0001159722222221</v>
      </c>
      <c r="AL4826" s="98">
        <f t="shared" ca="1" si="629"/>
        <v>4.1910362712836324</v>
      </c>
      <c r="AM4826" s="106">
        <f t="shared" ca="1" si="626"/>
        <v>38884.675714780235</v>
      </c>
      <c r="AN4826" s="10">
        <f t="shared" ca="1" si="627"/>
        <v>1.1227926803218269</v>
      </c>
      <c r="AO4826" s="158"/>
      <c r="AP4826" s="158"/>
    </row>
    <row r="4827" spans="34:42">
      <c r="AH4827" s="6">
        <f t="shared" si="631"/>
        <v>4797</v>
      </c>
      <c r="AI4827" s="7">
        <f t="shared" ca="1" si="632"/>
        <v>47467</v>
      </c>
      <c r="AJ4827" s="210">
        <f t="shared" ca="1" si="628"/>
        <v>4.1749999999999998</v>
      </c>
      <c r="AK4827" s="8">
        <f t="shared" ca="1" si="630"/>
        <v>1.0001159722222221</v>
      </c>
      <c r="AL4827" s="98">
        <f t="shared" ca="1" si="629"/>
        <v>4.1910638881323958</v>
      </c>
      <c r="AM4827" s="106">
        <f t="shared" ca="1" si="626"/>
        <v>38887.879869188779</v>
      </c>
      <c r="AN4827" s="10">
        <f t="shared" ca="1" si="627"/>
        <v>1.1228155894345893</v>
      </c>
      <c r="AO4827" s="158"/>
      <c r="AP4827" s="158"/>
    </row>
    <row r="4828" spans="34:42">
      <c r="AH4828" s="6">
        <f t="shared" si="631"/>
        <v>4798</v>
      </c>
      <c r="AI4828" s="7">
        <f t="shared" ca="1" si="632"/>
        <v>47468</v>
      </c>
      <c r="AJ4828" s="210">
        <f t="shared" ca="1" si="628"/>
        <v>4.1749999999999998</v>
      </c>
      <c r="AK4828" s="8">
        <f t="shared" ca="1" si="630"/>
        <v>1.0001159722222221</v>
      </c>
      <c r="AL4828" s="98">
        <f t="shared" ca="1" si="629"/>
        <v>4.1910914934766508</v>
      </c>
      <c r="AM4828" s="106">
        <f t="shared" ca="1" si="626"/>
        <v>38891.084287624355</v>
      </c>
      <c r="AN4828" s="10">
        <f t="shared" ca="1" si="627"/>
        <v>1.1228384890030974</v>
      </c>
      <c r="AO4828" s="158"/>
      <c r="AP4828" s="158"/>
    </row>
    <row r="4829" spans="34:42">
      <c r="AH4829" s="6">
        <f t="shared" si="631"/>
        <v>4799</v>
      </c>
      <c r="AI4829" s="7">
        <f t="shared" ca="1" si="632"/>
        <v>47469</v>
      </c>
      <c r="AJ4829" s="210">
        <f t="shared" ca="1" si="628"/>
        <v>4.1749999999999998</v>
      </c>
      <c r="AK4829" s="8">
        <f t="shared" ca="1" si="630"/>
        <v>1.0001159722222221</v>
      </c>
      <c r="AL4829" s="98">
        <f t="shared" ca="1" si="629"/>
        <v>4.1911190873235915</v>
      </c>
      <c r="AM4829" s="106">
        <f t="shared" ca="1" si="626"/>
        <v>38894.288970108719</v>
      </c>
      <c r="AN4829" s="10">
        <f t="shared" ca="1" si="627"/>
        <v>1.1228613790333242</v>
      </c>
      <c r="AO4829" s="158"/>
      <c r="AP4829" s="158"/>
    </row>
    <row r="4830" spans="34:42">
      <c r="AH4830" s="6">
        <f t="shared" si="631"/>
        <v>4800</v>
      </c>
      <c r="AI4830" s="7">
        <f t="shared" ca="1" si="632"/>
        <v>47470</v>
      </c>
      <c r="AJ4830" s="210">
        <f t="shared" ca="1" si="628"/>
        <v>4.1749999999999998</v>
      </c>
      <c r="AK4830" s="8">
        <f t="shared" ca="1" si="630"/>
        <v>1.0001159722222221</v>
      </c>
      <c r="AL4830" s="98">
        <f t="shared" ca="1" si="629"/>
        <v>4.1911466696804123</v>
      </c>
      <c r="AM4830" s="106">
        <f t="shared" ca="1" si="626"/>
        <v>38897.493916663625</v>
      </c>
      <c r="AN4830" s="10">
        <f t="shared" ca="1" si="627"/>
        <v>1.1228842595312205</v>
      </c>
      <c r="AO4830" s="158"/>
      <c r="AP4830" s="158"/>
    </row>
    <row r="4831" spans="34:42">
      <c r="AH4831" s="6">
        <f t="shared" si="631"/>
        <v>4801</v>
      </c>
      <c r="AI4831" s="7">
        <f t="shared" ca="1" si="632"/>
        <v>47471</v>
      </c>
      <c r="AJ4831" s="210">
        <f t="shared" ca="1" si="628"/>
        <v>4.1749999999999998</v>
      </c>
      <c r="AK4831" s="8">
        <f t="shared" ca="1" si="630"/>
        <v>1.0001159722222221</v>
      </c>
      <c r="AL4831" s="98">
        <f t="shared" ca="1" si="629"/>
        <v>4.1911742405542629</v>
      </c>
      <c r="AM4831" s="106">
        <f t="shared" ref="AM4831:AM4894" ca="1" si="633">Geom_Interp(AI4831,$AZ$2:$AZ$109,$BA$2:$BA$109)</f>
        <v>38900.699127310829</v>
      </c>
      <c r="AN4831" s="10">
        <f t="shared" ref="AN4831:AN4894" ca="1" si="634">100*(((1+AL4831/100)^(AH4831/365)*$AM$29/AM4831)^(365/AH4831)-1)</f>
        <v>1.122907130502715</v>
      </c>
      <c r="AO4831" s="158"/>
      <c r="AP4831" s="158"/>
    </row>
    <row r="4832" spans="34:42">
      <c r="AH4832" s="6">
        <f t="shared" si="631"/>
        <v>4802</v>
      </c>
      <c r="AI4832" s="7">
        <f t="shared" ca="1" si="632"/>
        <v>47472</v>
      </c>
      <c r="AJ4832" s="210">
        <f t="shared" ref="AJ4832:AJ4895" ca="1" si="635">IF(AH4832&lt;365,VLOOKUP(LOOKUP(AI4832,$AI$2:$AI$23),$AI$2:$AK$23,3,0),Lin_Interp(AH4832,$AJ$2:$AJ$23,$AK$2:$AK$23))</f>
        <v>4.1749999999999998</v>
      </c>
      <c r="AK4832" s="8">
        <f t="shared" ca="1" si="630"/>
        <v>1.0001159722222221</v>
      </c>
      <c r="AL4832" s="98">
        <f t="shared" ca="1" si="629"/>
        <v>4.1912017999523155</v>
      </c>
      <c r="AM4832" s="106">
        <f t="shared" ca="1" si="633"/>
        <v>38903.904602072114</v>
      </c>
      <c r="AN4832" s="10">
        <f t="shared" ca="1" si="634"/>
        <v>1.1229299919537805</v>
      </c>
      <c r="AO4832" s="158"/>
      <c r="AP4832" s="158"/>
    </row>
    <row r="4833" spans="34:42">
      <c r="AH4833" s="6">
        <f t="shared" si="631"/>
        <v>4803</v>
      </c>
      <c r="AI4833" s="7">
        <f t="shared" ca="1" si="632"/>
        <v>47473</v>
      </c>
      <c r="AJ4833" s="210">
        <f t="shared" ca="1" si="635"/>
        <v>4.1749999999999998</v>
      </c>
      <c r="AK4833" s="8">
        <f t="shared" ca="1" si="630"/>
        <v>1.0001159722222221</v>
      </c>
      <c r="AL4833" s="98">
        <f t="shared" ref="AL4833:AL4896" ca="1" si="636">100*(((1+AL4832/100)^(AH4832/365)*AK4833)^(365/AH4833)-1)</f>
        <v>4.1912293478817642</v>
      </c>
      <c r="AM4833" s="106">
        <f t="shared" ca="1" si="633"/>
        <v>38907.110340969222</v>
      </c>
      <c r="AN4833" s="10">
        <f t="shared" ca="1" si="634"/>
        <v>1.122952843890368</v>
      </c>
      <c r="AO4833" s="158"/>
      <c r="AP4833" s="158"/>
    </row>
    <row r="4834" spans="34:42">
      <c r="AH4834" s="6">
        <f t="shared" si="631"/>
        <v>4804</v>
      </c>
      <c r="AI4834" s="7">
        <f t="shared" ca="1" si="632"/>
        <v>47474</v>
      </c>
      <c r="AJ4834" s="210">
        <f t="shared" ca="1" si="635"/>
        <v>4.1749999999999998</v>
      </c>
      <c r="AK4834" s="8">
        <f t="shared" ca="1" si="630"/>
        <v>1.0001159722222221</v>
      </c>
      <c r="AL4834" s="98">
        <f t="shared" ca="1" si="636"/>
        <v>4.1912568843497366</v>
      </c>
      <c r="AM4834" s="106">
        <f t="shared" ca="1" si="633"/>
        <v>38910.316344023922</v>
      </c>
      <c r="AN4834" s="10">
        <f t="shared" ca="1" si="634"/>
        <v>1.1229756863184059</v>
      </c>
      <c r="AO4834" s="158"/>
      <c r="AP4834" s="158"/>
    </row>
    <row r="4835" spans="34:42">
      <c r="AH4835" s="6">
        <f t="shared" si="631"/>
        <v>4805</v>
      </c>
      <c r="AI4835" s="7">
        <f t="shared" ca="1" si="632"/>
        <v>47475</v>
      </c>
      <c r="AJ4835" s="210">
        <f t="shared" ca="1" si="635"/>
        <v>4.1749999999999998</v>
      </c>
      <c r="AK4835" s="8">
        <f t="shared" ca="1" si="630"/>
        <v>1.0001159722222221</v>
      </c>
      <c r="AL4835" s="98">
        <f t="shared" ca="1" si="636"/>
        <v>4.1912844093633828</v>
      </c>
      <c r="AM4835" s="106">
        <f t="shared" ca="1" si="633"/>
        <v>38913.522611257984</v>
      </c>
      <c r="AN4835" s="10">
        <f t="shared" ca="1" si="634"/>
        <v>1.1229985192438008</v>
      </c>
      <c r="AO4835" s="158"/>
      <c r="AP4835" s="158"/>
    </row>
    <row r="4836" spans="34:42">
      <c r="AH4836" s="6">
        <f t="shared" si="631"/>
        <v>4806</v>
      </c>
      <c r="AI4836" s="7">
        <f t="shared" ca="1" si="632"/>
        <v>47476</v>
      </c>
      <c r="AJ4836" s="210">
        <f t="shared" ca="1" si="635"/>
        <v>4.1749999999999998</v>
      </c>
      <c r="AK4836" s="8">
        <f t="shared" ref="AK4836:AK4899" ca="1" si="637">+(1+AJ4836/36000)</f>
        <v>1.0001159722222221</v>
      </c>
      <c r="AL4836" s="98">
        <f t="shared" ca="1" si="636"/>
        <v>4.1913119229298745</v>
      </c>
      <c r="AM4836" s="106">
        <f t="shared" ca="1" si="633"/>
        <v>38916.729142693177</v>
      </c>
      <c r="AN4836" s="10">
        <f t="shared" ca="1" si="634"/>
        <v>1.1230213426725477</v>
      </c>
      <c r="AO4836" s="158"/>
      <c r="AP4836" s="158"/>
    </row>
    <row r="4837" spans="34:42">
      <c r="AH4837" s="6">
        <f t="shared" si="631"/>
        <v>4807</v>
      </c>
      <c r="AI4837" s="7">
        <f t="shared" ca="1" si="632"/>
        <v>47477</v>
      </c>
      <c r="AJ4837" s="210">
        <f t="shared" ca="1" si="635"/>
        <v>4.1749999999999998</v>
      </c>
      <c r="AK4837" s="8">
        <f t="shared" ca="1" si="637"/>
        <v>1.0001159722222221</v>
      </c>
      <c r="AL4837" s="98">
        <f t="shared" ca="1" si="636"/>
        <v>4.1913394250563174</v>
      </c>
      <c r="AM4837" s="106">
        <f t="shared" ca="1" si="633"/>
        <v>38919.935938351278</v>
      </c>
      <c r="AN4837" s="10">
        <f t="shared" ca="1" si="634"/>
        <v>1.1230441566104865</v>
      </c>
      <c r="AO4837" s="158"/>
      <c r="AP4837" s="158"/>
    </row>
    <row r="4838" spans="34:42">
      <c r="AH4838" s="6">
        <f t="shared" si="631"/>
        <v>4808</v>
      </c>
      <c r="AI4838" s="7">
        <f t="shared" ca="1" si="632"/>
        <v>47478</v>
      </c>
      <c r="AJ4838" s="210">
        <f t="shared" ca="1" si="635"/>
        <v>4.1749999999999998</v>
      </c>
      <c r="AK4838" s="8">
        <f t="shared" ca="1" si="637"/>
        <v>1.0001159722222221</v>
      </c>
      <c r="AL4838" s="98">
        <f t="shared" ca="1" si="636"/>
        <v>4.1913669157498834</v>
      </c>
      <c r="AM4838" s="106">
        <f t="shared" ca="1" si="633"/>
        <v>38923.142998254043</v>
      </c>
      <c r="AN4838" s="10">
        <f t="shared" ca="1" si="634"/>
        <v>1.1230669610636124</v>
      </c>
      <c r="AO4838" s="158"/>
      <c r="AP4838" s="158"/>
    </row>
    <row r="4839" spans="34:42">
      <c r="AH4839" s="6">
        <f t="shared" si="631"/>
        <v>4809</v>
      </c>
      <c r="AI4839" s="7">
        <f t="shared" ca="1" si="632"/>
        <v>47479</v>
      </c>
      <c r="AJ4839" s="210">
        <f t="shared" ca="1" si="635"/>
        <v>4.1749999999999998</v>
      </c>
      <c r="AK4839" s="8">
        <f t="shared" ca="1" si="637"/>
        <v>1.0001159722222221</v>
      </c>
      <c r="AL4839" s="98">
        <f t="shared" ca="1" si="636"/>
        <v>4.191394395017678</v>
      </c>
      <c r="AM4839" s="106">
        <f t="shared" ca="1" si="633"/>
        <v>38926.350322423263</v>
      </c>
      <c r="AN4839" s="10">
        <f t="shared" ca="1" si="634"/>
        <v>1.1230897560377873</v>
      </c>
      <c r="AO4839" s="158"/>
      <c r="AP4839" s="158"/>
    </row>
    <row r="4840" spans="34:42">
      <c r="AH4840" s="6">
        <f t="shared" si="631"/>
        <v>4810</v>
      </c>
      <c r="AI4840" s="7">
        <f t="shared" ca="1" si="632"/>
        <v>47480</v>
      </c>
      <c r="AJ4840" s="210">
        <f t="shared" ca="1" si="635"/>
        <v>4.1749999999999998</v>
      </c>
      <c r="AK4840" s="8">
        <f t="shared" ca="1" si="637"/>
        <v>1.0001159722222221</v>
      </c>
      <c r="AL4840" s="98">
        <f t="shared" ca="1" si="636"/>
        <v>4.1914218628668065</v>
      </c>
      <c r="AM4840" s="106">
        <f t="shared" ca="1" si="633"/>
        <v>38929.5579108807</v>
      </c>
      <c r="AN4840" s="10">
        <f t="shared" ca="1" si="634"/>
        <v>1.1231125415389398</v>
      </c>
      <c r="AO4840" s="158"/>
      <c r="AP4840" s="158"/>
    </row>
    <row r="4841" spans="34:42">
      <c r="AH4841" s="6">
        <f t="shared" si="631"/>
        <v>4811</v>
      </c>
      <c r="AI4841" s="7">
        <f t="shared" ca="1" si="632"/>
        <v>47481</v>
      </c>
      <c r="AJ4841" s="210">
        <f t="shared" ca="1" si="635"/>
        <v>4.1749999999999998</v>
      </c>
      <c r="AK4841" s="8">
        <f t="shared" ca="1" si="637"/>
        <v>1.0001159722222221</v>
      </c>
      <c r="AL4841" s="98">
        <f t="shared" ca="1" si="636"/>
        <v>4.1914493193044189</v>
      </c>
      <c r="AM4841" s="106">
        <f t="shared" ca="1" si="633"/>
        <v>38932.765763648145</v>
      </c>
      <c r="AN4841" s="10">
        <f t="shared" ca="1" si="634"/>
        <v>1.1231353175729764</v>
      </c>
      <c r="AO4841" s="158"/>
      <c r="AP4841" s="158"/>
    </row>
    <row r="4842" spans="34:42">
      <c r="AH4842" s="6">
        <f t="shared" si="631"/>
        <v>4812</v>
      </c>
      <c r="AI4842" s="7">
        <f t="shared" ca="1" si="632"/>
        <v>47482</v>
      </c>
      <c r="AJ4842" s="210">
        <f t="shared" ca="1" si="635"/>
        <v>4.1749999999999998</v>
      </c>
      <c r="AK4842" s="8">
        <f t="shared" ca="1" si="637"/>
        <v>1.0001159722222221</v>
      </c>
      <c r="AL4842" s="98">
        <f t="shared" ca="1" si="636"/>
        <v>4.1914767643375983</v>
      </c>
      <c r="AM4842" s="106">
        <f t="shared" ca="1" si="633"/>
        <v>38935.97388074737</v>
      </c>
      <c r="AN4842" s="10">
        <f t="shared" ca="1" si="634"/>
        <v>1.1231580841457811</v>
      </c>
      <c r="AO4842" s="158"/>
      <c r="AP4842" s="158"/>
    </row>
    <row r="4843" spans="34:42">
      <c r="AH4843" s="6">
        <f t="shared" si="631"/>
        <v>4813</v>
      </c>
      <c r="AI4843" s="7">
        <f t="shared" ca="1" si="632"/>
        <v>47483</v>
      </c>
      <c r="AJ4843" s="210">
        <f t="shared" ca="1" si="635"/>
        <v>4.1749999999999998</v>
      </c>
      <c r="AK4843" s="8">
        <f t="shared" ca="1" si="637"/>
        <v>1.0001159722222221</v>
      </c>
      <c r="AL4843" s="98">
        <f t="shared" ca="1" si="636"/>
        <v>4.1915041979734724</v>
      </c>
      <c r="AM4843" s="106">
        <f t="shared" ca="1" si="633"/>
        <v>38939.182262200149</v>
      </c>
      <c r="AN4843" s="10">
        <f t="shared" ca="1" si="634"/>
        <v>1.1231808412632827</v>
      </c>
      <c r="AO4843" s="158"/>
      <c r="AP4843" s="158"/>
    </row>
    <row r="4844" spans="34:42">
      <c r="AH4844" s="6">
        <f t="shared" si="631"/>
        <v>4814</v>
      </c>
      <c r="AI4844" s="7">
        <f t="shared" ca="1" si="632"/>
        <v>47484</v>
      </c>
      <c r="AJ4844" s="210">
        <f t="shared" ca="1" si="635"/>
        <v>4.1749999999999998</v>
      </c>
      <c r="AK4844" s="8">
        <f t="shared" ca="1" si="637"/>
        <v>1.0001159722222221</v>
      </c>
      <c r="AL4844" s="98">
        <f t="shared" ca="1" si="636"/>
        <v>4.1915316202191244</v>
      </c>
      <c r="AM4844" s="106">
        <f t="shared" ca="1" si="633"/>
        <v>38942.390908028283</v>
      </c>
      <c r="AN4844" s="10">
        <f t="shared" ca="1" si="634"/>
        <v>1.1232035889313208</v>
      </c>
      <c r="AO4844" s="158"/>
      <c r="AP4844" s="158"/>
    </row>
    <row r="4845" spans="34:42">
      <c r="AH4845" s="6">
        <f t="shared" si="631"/>
        <v>4815</v>
      </c>
      <c r="AI4845" s="7">
        <f t="shared" ca="1" si="632"/>
        <v>47485</v>
      </c>
      <c r="AJ4845" s="210">
        <f t="shared" ca="1" si="635"/>
        <v>4.1749999999999998</v>
      </c>
      <c r="AK4845" s="8">
        <f t="shared" ca="1" si="637"/>
        <v>1.0001159722222221</v>
      </c>
      <c r="AL4845" s="98">
        <f t="shared" ca="1" si="636"/>
        <v>4.1915590310816375</v>
      </c>
      <c r="AM4845" s="106">
        <f t="shared" ca="1" si="633"/>
        <v>38945.599818253548</v>
      </c>
      <c r="AN4845" s="10">
        <f t="shared" ca="1" si="634"/>
        <v>1.123226327155824</v>
      </c>
      <c r="AO4845" s="158"/>
      <c r="AP4845" s="158"/>
    </row>
    <row r="4846" spans="34:42">
      <c r="AH4846" s="6">
        <f t="shared" si="631"/>
        <v>4816</v>
      </c>
      <c r="AI4846" s="7">
        <f t="shared" ca="1" si="632"/>
        <v>47486</v>
      </c>
      <c r="AJ4846" s="210">
        <f t="shared" ca="1" si="635"/>
        <v>4.1749999999999998</v>
      </c>
      <c r="AK4846" s="8">
        <f t="shared" ca="1" si="637"/>
        <v>1.0001159722222221</v>
      </c>
      <c r="AL4846" s="98">
        <f t="shared" ca="1" si="636"/>
        <v>4.1915864305681172</v>
      </c>
      <c r="AM4846" s="106">
        <f t="shared" ca="1" si="633"/>
        <v>38948.808992897728</v>
      </c>
      <c r="AN4846" s="10">
        <f t="shared" ca="1" si="634"/>
        <v>1.1232490559426322</v>
      </c>
      <c r="AO4846" s="158"/>
      <c r="AP4846" s="158"/>
    </row>
    <row r="4847" spans="34:42">
      <c r="AH4847" s="6">
        <f t="shared" si="631"/>
        <v>4817</v>
      </c>
      <c r="AI4847" s="7">
        <f t="shared" ca="1" si="632"/>
        <v>47487</v>
      </c>
      <c r="AJ4847" s="210">
        <f t="shared" ca="1" si="635"/>
        <v>4.1749999999999998</v>
      </c>
      <c r="AK4847" s="8">
        <f t="shared" ca="1" si="637"/>
        <v>1.0001159722222221</v>
      </c>
      <c r="AL4847" s="98">
        <f t="shared" ca="1" si="636"/>
        <v>4.1916138186856244</v>
      </c>
      <c r="AM4847" s="106">
        <f t="shared" ca="1" si="633"/>
        <v>38952.018431982615</v>
      </c>
      <c r="AN4847" s="10">
        <f t="shared" ca="1" si="634"/>
        <v>1.1232717752976518</v>
      </c>
      <c r="AO4847" s="158"/>
      <c r="AP4847" s="158"/>
    </row>
    <row r="4848" spans="34:42">
      <c r="AH4848" s="6">
        <f t="shared" si="631"/>
        <v>4818</v>
      </c>
      <c r="AI4848" s="7">
        <f t="shared" ca="1" si="632"/>
        <v>47488</v>
      </c>
      <c r="AJ4848" s="210">
        <f t="shared" ca="1" si="635"/>
        <v>4.1749999999999998</v>
      </c>
      <c r="AK4848" s="8">
        <f t="shared" ca="1" si="637"/>
        <v>1.0001159722222221</v>
      </c>
      <c r="AL4848" s="98">
        <f t="shared" ca="1" si="636"/>
        <v>4.1916411954412425</v>
      </c>
      <c r="AM4848" s="106">
        <f t="shared" ca="1" si="633"/>
        <v>38955.228135529993</v>
      </c>
      <c r="AN4848" s="10">
        <f t="shared" ca="1" si="634"/>
        <v>1.1232944852267224</v>
      </c>
      <c r="AO4848" s="158"/>
      <c r="AP4848" s="158"/>
    </row>
    <row r="4849" spans="34:42">
      <c r="AH4849" s="6">
        <f t="shared" si="631"/>
        <v>4819</v>
      </c>
      <c r="AI4849" s="7">
        <f t="shared" ca="1" si="632"/>
        <v>47489</v>
      </c>
      <c r="AJ4849" s="210">
        <f t="shared" ca="1" si="635"/>
        <v>4.1749999999999998</v>
      </c>
      <c r="AK4849" s="8">
        <f t="shared" ca="1" si="637"/>
        <v>1.0001159722222221</v>
      </c>
      <c r="AL4849" s="98">
        <f t="shared" ca="1" si="636"/>
        <v>4.1916685608420545</v>
      </c>
      <c r="AM4849" s="106">
        <f t="shared" ca="1" si="633"/>
        <v>38958.438103561661</v>
      </c>
      <c r="AN4849" s="10">
        <f t="shared" ca="1" si="634"/>
        <v>1.1233171857357505</v>
      </c>
      <c r="AO4849" s="158"/>
      <c r="AP4849" s="158"/>
    </row>
    <row r="4850" spans="34:42">
      <c r="AH4850" s="6">
        <f t="shared" si="631"/>
        <v>4820</v>
      </c>
      <c r="AI4850" s="7">
        <f t="shared" ca="1" si="632"/>
        <v>47490</v>
      </c>
      <c r="AJ4850" s="210">
        <f t="shared" ca="1" si="635"/>
        <v>4.1749999999999998</v>
      </c>
      <c r="AK4850" s="8">
        <f t="shared" ca="1" si="637"/>
        <v>1.0001159722222221</v>
      </c>
      <c r="AL4850" s="98">
        <f t="shared" ca="1" si="636"/>
        <v>4.1916959148950994</v>
      </c>
      <c r="AM4850" s="106">
        <f t="shared" ca="1" si="633"/>
        <v>38961.64833609941</v>
      </c>
      <c r="AN4850" s="10">
        <f t="shared" ca="1" si="634"/>
        <v>1.1233398768305536</v>
      </c>
      <c r="AO4850" s="158"/>
      <c r="AP4850" s="158"/>
    </row>
    <row r="4851" spans="34:42">
      <c r="AH4851" s="6">
        <f t="shared" si="631"/>
        <v>4821</v>
      </c>
      <c r="AI4851" s="7">
        <f t="shared" ca="1" si="632"/>
        <v>47491</v>
      </c>
      <c r="AJ4851" s="210">
        <f t="shared" ca="1" si="635"/>
        <v>4.1749999999999998</v>
      </c>
      <c r="AK4851" s="8">
        <f t="shared" ca="1" si="637"/>
        <v>1.0001159722222221</v>
      </c>
      <c r="AL4851" s="98">
        <f t="shared" ca="1" si="636"/>
        <v>4.1917232576074603</v>
      </c>
      <c r="AM4851" s="106">
        <f t="shared" ca="1" si="633"/>
        <v>38964.858833165039</v>
      </c>
      <c r="AN4851" s="10">
        <f t="shared" ca="1" si="634"/>
        <v>1.1233625585170159</v>
      </c>
      <c r="AO4851" s="158"/>
      <c r="AP4851" s="158"/>
    </row>
    <row r="4852" spans="34:42">
      <c r="AH4852" s="6">
        <f t="shared" si="631"/>
        <v>4822</v>
      </c>
      <c r="AI4852" s="7">
        <f t="shared" ca="1" si="632"/>
        <v>47492</v>
      </c>
      <c r="AJ4852" s="210">
        <f t="shared" ca="1" si="635"/>
        <v>4.1749999999999998</v>
      </c>
      <c r="AK4852" s="8">
        <f t="shared" ca="1" si="637"/>
        <v>1.0001159722222221</v>
      </c>
      <c r="AL4852" s="98">
        <f t="shared" ca="1" si="636"/>
        <v>4.1917505889861761</v>
      </c>
      <c r="AM4852" s="106">
        <f t="shared" ca="1" si="633"/>
        <v>38968.069594780347</v>
      </c>
      <c r="AN4852" s="10">
        <f t="shared" ca="1" si="634"/>
        <v>1.1233852308009995</v>
      </c>
      <c r="AO4852" s="158"/>
      <c r="AP4852" s="158"/>
    </row>
    <row r="4853" spans="34:42">
      <c r="AH4853" s="6">
        <f t="shared" si="631"/>
        <v>4823</v>
      </c>
      <c r="AI4853" s="7">
        <f t="shared" ca="1" si="632"/>
        <v>47493</v>
      </c>
      <c r="AJ4853" s="210">
        <f t="shared" ca="1" si="635"/>
        <v>4.1749999999999998</v>
      </c>
      <c r="AK4853" s="8">
        <f t="shared" ca="1" si="637"/>
        <v>1.0001159722222221</v>
      </c>
      <c r="AL4853" s="98">
        <f t="shared" ca="1" si="636"/>
        <v>4.1917779090382856</v>
      </c>
      <c r="AM4853" s="106">
        <f t="shared" ca="1" si="633"/>
        <v>38971.280620967118</v>
      </c>
      <c r="AN4853" s="10">
        <f t="shared" ca="1" si="634"/>
        <v>1.1234078936882996</v>
      </c>
      <c r="AO4853" s="158"/>
      <c r="AP4853" s="158"/>
    </row>
    <row r="4854" spans="34:42">
      <c r="AH4854" s="6">
        <f t="shared" si="631"/>
        <v>4824</v>
      </c>
      <c r="AI4854" s="7">
        <f t="shared" ca="1" si="632"/>
        <v>47494</v>
      </c>
      <c r="AJ4854" s="210">
        <f t="shared" ca="1" si="635"/>
        <v>4.1749999999999998</v>
      </c>
      <c r="AK4854" s="8">
        <f t="shared" ca="1" si="637"/>
        <v>1.0001159722222221</v>
      </c>
      <c r="AL4854" s="98">
        <f t="shared" ca="1" si="636"/>
        <v>4.1918052177708276</v>
      </c>
      <c r="AM4854" s="106">
        <f t="shared" ca="1" si="633"/>
        <v>38974.491911747173</v>
      </c>
      <c r="AN4854" s="10">
        <f t="shared" ca="1" si="634"/>
        <v>1.1234305471848005</v>
      </c>
      <c r="AO4854" s="158"/>
      <c r="AP4854" s="158"/>
    </row>
    <row r="4855" spans="34:42">
      <c r="AH4855" s="6">
        <f t="shared" si="631"/>
        <v>4825</v>
      </c>
      <c r="AI4855" s="7">
        <f t="shared" ca="1" si="632"/>
        <v>47495</v>
      </c>
      <c r="AJ4855" s="210">
        <f t="shared" ca="1" si="635"/>
        <v>4.1749999999999998</v>
      </c>
      <c r="AK4855" s="8">
        <f t="shared" ca="1" si="637"/>
        <v>1.0001159722222221</v>
      </c>
      <c r="AL4855" s="98">
        <f t="shared" ca="1" si="636"/>
        <v>4.1918325151908409</v>
      </c>
      <c r="AM4855" s="106">
        <f t="shared" ca="1" si="633"/>
        <v>38977.703467142303</v>
      </c>
      <c r="AN4855" s="10">
        <f t="shared" ca="1" si="634"/>
        <v>1.1234531912963197</v>
      </c>
      <c r="AO4855" s="158"/>
      <c r="AP4855" s="158"/>
    </row>
    <row r="4856" spans="34:42">
      <c r="AH4856" s="6">
        <f t="shared" si="631"/>
        <v>4826</v>
      </c>
      <c r="AI4856" s="7">
        <f t="shared" ca="1" si="632"/>
        <v>47496</v>
      </c>
      <c r="AJ4856" s="210">
        <f t="shared" ca="1" si="635"/>
        <v>4.1749999999999998</v>
      </c>
      <c r="AK4856" s="8">
        <f t="shared" ca="1" si="637"/>
        <v>1.0001159722222221</v>
      </c>
      <c r="AL4856" s="98">
        <f t="shared" ca="1" si="636"/>
        <v>4.1918598013053643</v>
      </c>
      <c r="AM4856" s="106">
        <f t="shared" ca="1" si="633"/>
        <v>38980.915287174321</v>
      </c>
      <c r="AN4856" s="10">
        <f t="shared" ca="1" si="634"/>
        <v>1.123475826028697</v>
      </c>
      <c r="AO4856" s="158"/>
      <c r="AP4856" s="158"/>
    </row>
    <row r="4857" spans="34:42">
      <c r="AH4857" s="6">
        <f t="shared" si="631"/>
        <v>4827</v>
      </c>
      <c r="AI4857" s="7">
        <f t="shared" ca="1" si="632"/>
        <v>47497</v>
      </c>
      <c r="AJ4857" s="210">
        <f t="shared" ca="1" si="635"/>
        <v>4.1749999999999998</v>
      </c>
      <c r="AK4857" s="8">
        <f t="shared" ca="1" si="637"/>
        <v>1.0001159722222221</v>
      </c>
      <c r="AL4857" s="98">
        <f t="shared" ca="1" si="636"/>
        <v>4.1918870761213922</v>
      </c>
      <c r="AM4857" s="106">
        <f t="shared" ca="1" si="633"/>
        <v>38984.127371865026</v>
      </c>
      <c r="AN4857" s="10">
        <f t="shared" ca="1" si="634"/>
        <v>1.1234984513877277</v>
      </c>
      <c r="AO4857" s="158"/>
      <c r="AP4857" s="158"/>
    </row>
    <row r="4858" spans="34:42">
      <c r="AH4858" s="6">
        <f t="shared" si="631"/>
        <v>4828</v>
      </c>
      <c r="AI4858" s="7">
        <f t="shared" ca="1" si="632"/>
        <v>47498</v>
      </c>
      <c r="AJ4858" s="210">
        <f t="shared" ca="1" si="635"/>
        <v>4.1749999999999998</v>
      </c>
      <c r="AK4858" s="8">
        <f t="shared" ca="1" si="637"/>
        <v>1.0001159722222221</v>
      </c>
      <c r="AL4858" s="98">
        <f t="shared" ca="1" si="636"/>
        <v>4.1919143396459635</v>
      </c>
      <c r="AM4858" s="106">
        <f t="shared" ca="1" si="633"/>
        <v>38987.339721236225</v>
      </c>
      <c r="AN4858" s="10">
        <f t="shared" ca="1" si="634"/>
        <v>1.1235210673792739</v>
      </c>
      <c r="AO4858" s="158"/>
      <c r="AP4858" s="158"/>
    </row>
    <row r="4859" spans="34:42">
      <c r="AH4859" s="6">
        <f t="shared" si="631"/>
        <v>4829</v>
      </c>
      <c r="AI4859" s="7">
        <f t="shared" ca="1" si="632"/>
        <v>47499</v>
      </c>
      <c r="AJ4859" s="210">
        <f t="shared" ca="1" si="635"/>
        <v>4.1749999999999998</v>
      </c>
      <c r="AK4859" s="8">
        <f t="shared" ca="1" si="637"/>
        <v>1.0001159722222221</v>
      </c>
      <c r="AL4859" s="98">
        <f t="shared" ca="1" si="636"/>
        <v>4.1919415918860947</v>
      </c>
      <c r="AM4859" s="106">
        <f t="shared" ca="1" si="633"/>
        <v>38990.552335309738</v>
      </c>
      <c r="AN4859" s="10">
        <f t="shared" ca="1" si="634"/>
        <v>1.1235436740091309</v>
      </c>
      <c r="AO4859" s="158"/>
      <c r="AP4859" s="158"/>
    </row>
    <row r="4860" spans="34:42">
      <c r="AH4860" s="6">
        <f t="shared" si="631"/>
        <v>4830</v>
      </c>
      <c r="AI4860" s="7">
        <f t="shared" ca="1" si="632"/>
        <v>47500</v>
      </c>
      <c r="AJ4860" s="210">
        <f t="shared" ca="1" si="635"/>
        <v>4.1749999999999998</v>
      </c>
      <c r="AK4860" s="8">
        <f t="shared" ca="1" si="637"/>
        <v>1.0001159722222221</v>
      </c>
      <c r="AL4860" s="98">
        <f t="shared" ca="1" si="636"/>
        <v>4.1919688328487581</v>
      </c>
      <c r="AM4860" s="106">
        <f t="shared" ca="1" si="633"/>
        <v>38993.765214107363</v>
      </c>
      <c r="AN4860" s="10">
        <f t="shared" ca="1" si="634"/>
        <v>1.1235662712831163</v>
      </c>
      <c r="AO4860" s="158"/>
      <c r="AP4860" s="158"/>
    </row>
    <row r="4861" spans="34:42">
      <c r="AH4861" s="6">
        <f t="shared" si="631"/>
        <v>4831</v>
      </c>
      <c r="AI4861" s="7">
        <f t="shared" ca="1" si="632"/>
        <v>47501</v>
      </c>
      <c r="AJ4861" s="210">
        <f t="shared" ca="1" si="635"/>
        <v>4.1749999999999998</v>
      </c>
      <c r="AK4861" s="8">
        <f t="shared" ca="1" si="637"/>
        <v>1.0001159722222221</v>
      </c>
      <c r="AL4861" s="98">
        <f t="shared" ca="1" si="636"/>
        <v>4.1919960625409924</v>
      </c>
      <c r="AM4861" s="106">
        <f t="shared" ca="1" si="633"/>
        <v>38996.978357650929</v>
      </c>
      <c r="AN4861" s="10">
        <f t="shared" ca="1" si="634"/>
        <v>1.1235888592070475</v>
      </c>
      <c r="AO4861" s="158"/>
      <c r="AP4861" s="158"/>
    </row>
    <row r="4862" spans="34:42">
      <c r="AH4862" s="6">
        <f t="shared" si="631"/>
        <v>4832</v>
      </c>
      <c r="AI4862" s="7">
        <f t="shared" ca="1" si="632"/>
        <v>47502</v>
      </c>
      <c r="AJ4862" s="210">
        <f t="shared" ca="1" si="635"/>
        <v>4.1749999999999998</v>
      </c>
      <c r="AK4862" s="8">
        <f t="shared" ca="1" si="637"/>
        <v>1.0001159722222221</v>
      </c>
      <c r="AL4862" s="98">
        <f t="shared" ca="1" si="636"/>
        <v>4.1920232809697477</v>
      </c>
      <c r="AM4862" s="106">
        <f t="shared" ca="1" si="633"/>
        <v>39000.191765962241</v>
      </c>
      <c r="AN4862" s="10">
        <f t="shared" ca="1" si="634"/>
        <v>1.1236114377866979</v>
      </c>
      <c r="AO4862" s="158"/>
      <c r="AP4862" s="158"/>
    </row>
    <row r="4863" spans="34:42">
      <c r="AH4863" s="6">
        <f t="shared" si="631"/>
        <v>4833</v>
      </c>
      <c r="AI4863" s="7">
        <f t="shared" ca="1" si="632"/>
        <v>47503</v>
      </c>
      <c r="AJ4863" s="210">
        <f t="shared" ca="1" si="635"/>
        <v>4.1749999999999998</v>
      </c>
      <c r="AK4863" s="8">
        <f t="shared" ca="1" si="637"/>
        <v>1.0001159722222221</v>
      </c>
      <c r="AL4863" s="98">
        <f t="shared" ca="1" si="636"/>
        <v>4.1920504881420406</v>
      </c>
      <c r="AM4863" s="106">
        <f t="shared" ca="1" si="633"/>
        <v>39003.405439063114</v>
      </c>
      <c r="AN4863" s="10">
        <f t="shared" ca="1" si="634"/>
        <v>1.123634007027885</v>
      </c>
      <c r="AO4863" s="158"/>
      <c r="AP4863" s="158"/>
    </row>
    <row r="4864" spans="34:42">
      <c r="AH4864" s="6">
        <f t="shared" si="631"/>
        <v>4834</v>
      </c>
      <c r="AI4864" s="7">
        <f t="shared" ca="1" si="632"/>
        <v>47504</v>
      </c>
      <c r="AJ4864" s="210">
        <f t="shared" ca="1" si="635"/>
        <v>4.1749999999999998</v>
      </c>
      <c r="AK4864" s="8">
        <f t="shared" ca="1" si="637"/>
        <v>1.0001159722222221</v>
      </c>
      <c r="AL4864" s="98">
        <f t="shared" ca="1" si="636"/>
        <v>4.1920776840648433</v>
      </c>
      <c r="AM4864" s="106">
        <f t="shared" ca="1" si="633"/>
        <v>39006.619376975381</v>
      </c>
      <c r="AN4864" s="10">
        <f t="shared" ca="1" si="634"/>
        <v>1.123656566936404</v>
      </c>
      <c r="AO4864" s="158"/>
      <c r="AP4864" s="158"/>
    </row>
    <row r="4865" spans="34:42">
      <c r="AH4865" s="6">
        <f t="shared" si="631"/>
        <v>4835</v>
      </c>
      <c r="AI4865" s="7">
        <f t="shared" ca="1" si="632"/>
        <v>47505</v>
      </c>
      <c r="AJ4865" s="210">
        <f t="shared" ca="1" si="635"/>
        <v>4.1749999999999998</v>
      </c>
      <c r="AK4865" s="8">
        <f t="shared" ca="1" si="637"/>
        <v>1.0001159722222221</v>
      </c>
      <c r="AL4865" s="98">
        <f t="shared" ca="1" si="636"/>
        <v>4.1921048687451501</v>
      </c>
      <c r="AM4865" s="106">
        <f t="shared" ca="1" si="633"/>
        <v>39009.833579720849</v>
      </c>
      <c r="AN4865" s="10">
        <f t="shared" ca="1" si="634"/>
        <v>1.1236791175180283</v>
      </c>
      <c r="AO4865" s="158"/>
      <c r="AP4865" s="158"/>
    </row>
    <row r="4866" spans="34:42">
      <c r="AH4866" s="6">
        <f t="shared" si="631"/>
        <v>4836</v>
      </c>
      <c r="AI4866" s="7">
        <f t="shared" ca="1" si="632"/>
        <v>47506</v>
      </c>
      <c r="AJ4866" s="210">
        <f t="shared" ca="1" si="635"/>
        <v>4.1749999999999998</v>
      </c>
      <c r="AK4866" s="8">
        <f t="shared" ca="1" si="637"/>
        <v>1.0001159722222221</v>
      </c>
      <c r="AL4866" s="98">
        <f t="shared" ca="1" si="636"/>
        <v>4.1921320421899111</v>
      </c>
      <c r="AM4866" s="106">
        <f t="shared" ca="1" si="633"/>
        <v>39013.048047321339</v>
      </c>
      <c r="AN4866" s="10">
        <f t="shared" ca="1" si="634"/>
        <v>1.1237016587785531</v>
      </c>
      <c r="AO4866" s="158"/>
      <c r="AP4866" s="158"/>
    </row>
    <row r="4867" spans="34:42">
      <c r="AH4867" s="6">
        <f t="shared" si="631"/>
        <v>4837</v>
      </c>
      <c r="AI4867" s="7">
        <f t="shared" ca="1" si="632"/>
        <v>47507</v>
      </c>
      <c r="AJ4867" s="210">
        <f t="shared" ca="1" si="635"/>
        <v>4.1749999999999998</v>
      </c>
      <c r="AK4867" s="8">
        <f t="shared" ca="1" si="637"/>
        <v>1.0001159722222221</v>
      </c>
      <c r="AL4867" s="98">
        <f t="shared" ca="1" si="636"/>
        <v>4.1921592044060985</v>
      </c>
      <c r="AM4867" s="106">
        <f t="shared" ca="1" si="633"/>
        <v>39016.262779798693</v>
      </c>
      <c r="AN4867" s="10">
        <f t="shared" ca="1" si="634"/>
        <v>1.1237241907237738</v>
      </c>
      <c r="AO4867" s="158"/>
      <c r="AP4867" s="158"/>
    </row>
    <row r="4868" spans="34:42">
      <c r="AH4868" s="6">
        <f t="shared" si="631"/>
        <v>4838</v>
      </c>
      <c r="AI4868" s="7">
        <f t="shared" ca="1" si="632"/>
        <v>47508</v>
      </c>
      <c r="AJ4868" s="210">
        <f t="shared" ca="1" si="635"/>
        <v>4.1749999999999998</v>
      </c>
      <c r="AK4868" s="8">
        <f t="shared" ca="1" si="637"/>
        <v>1.0001159722222221</v>
      </c>
      <c r="AL4868" s="98">
        <f t="shared" ca="1" si="636"/>
        <v>4.1921863554006622</v>
      </c>
      <c r="AM4868" s="106">
        <f t="shared" ca="1" si="633"/>
        <v>39019.477777174718</v>
      </c>
      <c r="AN4868" s="10">
        <f t="shared" ca="1" si="634"/>
        <v>1.1237467133594192</v>
      </c>
      <c r="AO4868" s="158"/>
      <c r="AP4868" s="158"/>
    </row>
    <row r="4869" spans="34:42">
      <c r="AH4869" s="6">
        <f t="shared" si="631"/>
        <v>4839</v>
      </c>
      <c r="AI4869" s="7">
        <f t="shared" ca="1" si="632"/>
        <v>47509</v>
      </c>
      <c r="AJ4869" s="210">
        <f t="shared" ca="1" si="635"/>
        <v>4.1749999999999998</v>
      </c>
      <c r="AK4869" s="8">
        <f t="shared" ca="1" si="637"/>
        <v>1.0001159722222221</v>
      </c>
      <c r="AL4869" s="98">
        <f t="shared" ca="1" si="636"/>
        <v>4.1922134951805523</v>
      </c>
      <c r="AM4869" s="106">
        <f t="shared" ca="1" si="633"/>
        <v>39022.693039471254</v>
      </c>
      <c r="AN4869" s="10">
        <f t="shared" ca="1" si="634"/>
        <v>1.1237692266912847</v>
      </c>
      <c r="AO4869" s="158"/>
      <c r="AP4869" s="158"/>
    </row>
    <row r="4870" spans="34:42">
      <c r="AH4870" s="6">
        <f t="shared" si="631"/>
        <v>4840</v>
      </c>
      <c r="AI4870" s="7">
        <f t="shared" ca="1" si="632"/>
        <v>47510</v>
      </c>
      <c r="AJ4870" s="210">
        <f t="shared" ca="1" si="635"/>
        <v>4.1749999999999998</v>
      </c>
      <c r="AK4870" s="8">
        <f t="shared" ca="1" si="637"/>
        <v>1.0001159722222221</v>
      </c>
      <c r="AL4870" s="98">
        <f t="shared" ca="1" si="636"/>
        <v>4.1922406237527188</v>
      </c>
      <c r="AM4870" s="106">
        <f t="shared" ca="1" si="633"/>
        <v>39025.908566710132</v>
      </c>
      <c r="AN4870" s="10">
        <f t="shared" ca="1" si="634"/>
        <v>1.1237917307251211</v>
      </c>
      <c r="AO4870" s="158"/>
      <c r="AP4870" s="158"/>
    </row>
    <row r="4871" spans="34:42">
      <c r="AH4871" s="6">
        <f t="shared" si="631"/>
        <v>4841</v>
      </c>
      <c r="AI4871" s="7">
        <f t="shared" ca="1" si="632"/>
        <v>47511</v>
      </c>
      <c r="AJ4871" s="210">
        <f t="shared" ca="1" si="635"/>
        <v>4.1749999999999998</v>
      </c>
      <c r="AK4871" s="8">
        <f t="shared" ca="1" si="637"/>
        <v>1.0001159722222221</v>
      </c>
      <c r="AL4871" s="98">
        <f t="shared" ca="1" si="636"/>
        <v>4.1922677411241116</v>
      </c>
      <c r="AM4871" s="106">
        <f t="shared" ca="1" si="633"/>
        <v>39029.12435891317</v>
      </c>
      <c r="AN4871" s="10">
        <f t="shared" ca="1" si="634"/>
        <v>1.1238142254667016</v>
      </c>
      <c r="AO4871" s="158"/>
      <c r="AP4871" s="158"/>
    </row>
    <row r="4872" spans="34:42">
      <c r="AH4872" s="6">
        <f t="shared" si="631"/>
        <v>4842</v>
      </c>
      <c r="AI4872" s="7">
        <f t="shared" ca="1" si="632"/>
        <v>47512</v>
      </c>
      <c r="AJ4872" s="210">
        <f t="shared" ca="1" si="635"/>
        <v>4.1749999999999998</v>
      </c>
      <c r="AK4872" s="8">
        <f t="shared" ca="1" si="637"/>
        <v>1.0001159722222221</v>
      </c>
      <c r="AL4872" s="98">
        <f t="shared" ca="1" si="636"/>
        <v>4.1922948473016586</v>
      </c>
      <c r="AM4872" s="106">
        <f t="shared" ca="1" si="633"/>
        <v>39032.340416102219</v>
      </c>
      <c r="AN4872" s="10">
        <f t="shared" ca="1" si="634"/>
        <v>1.1238367109217773</v>
      </c>
      <c r="AO4872" s="158"/>
      <c r="AP4872" s="158"/>
    </row>
    <row r="4873" spans="34:42">
      <c r="AH4873" s="6">
        <f t="shared" si="631"/>
        <v>4843</v>
      </c>
      <c r="AI4873" s="7">
        <f t="shared" ca="1" si="632"/>
        <v>47513</v>
      </c>
      <c r="AJ4873" s="210">
        <f t="shared" ca="1" si="635"/>
        <v>4.1749999999999998</v>
      </c>
      <c r="AK4873" s="8">
        <f t="shared" ca="1" si="637"/>
        <v>1.0001159722222221</v>
      </c>
      <c r="AL4873" s="98">
        <f t="shared" ca="1" si="636"/>
        <v>4.1923219422922875</v>
      </c>
      <c r="AM4873" s="106">
        <f t="shared" ca="1" si="633"/>
        <v>39035.556738299099</v>
      </c>
      <c r="AN4873" s="10">
        <f t="shared" ca="1" si="634"/>
        <v>1.1238591870960768</v>
      </c>
      <c r="AO4873" s="158"/>
      <c r="AP4873" s="158"/>
    </row>
    <row r="4874" spans="34:42">
      <c r="AH4874" s="6">
        <f t="shared" si="631"/>
        <v>4844</v>
      </c>
      <c r="AI4874" s="7">
        <f t="shared" ca="1" si="632"/>
        <v>47514</v>
      </c>
      <c r="AJ4874" s="210">
        <f t="shared" ca="1" si="635"/>
        <v>4.1749999999999998</v>
      </c>
      <c r="AK4874" s="8">
        <f t="shared" ca="1" si="637"/>
        <v>1.0001159722222221</v>
      </c>
      <c r="AL4874" s="98">
        <f t="shared" ca="1" si="636"/>
        <v>4.1923490261029261</v>
      </c>
      <c r="AM4874" s="106">
        <f t="shared" ca="1" si="633"/>
        <v>39038.773325525661</v>
      </c>
      <c r="AN4874" s="10">
        <f t="shared" ca="1" si="634"/>
        <v>1.1238816539953733</v>
      </c>
      <c r="AO4874" s="158"/>
      <c r="AP4874" s="158"/>
    </row>
    <row r="4875" spans="34:42">
      <c r="AH4875" s="6">
        <f t="shared" si="631"/>
        <v>4845</v>
      </c>
      <c r="AI4875" s="7">
        <f t="shared" ca="1" si="632"/>
        <v>47515</v>
      </c>
      <c r="AJ4875" s="210">
        <f t="shared" ca="1" si="635"/>
        <v>4.1749999999999998</v>
      </c>
      <c r="AK4875" s="8">
        <f t="shared" ca="1" si="637"/>
        <v>1.0001159722222221</v>
      </c>
      <c r="AL4875" s="98">
        <f t="shared" ca="1" si="636"/>
        <v>4.1923760987405023</v>
      </c>
      <c r="AM4875" s="106">
        <f t="shared" ca="1" si="633"/>
        <v>39041.990177803724</v>
      </c>
      <c r="AN4875" s="10">
        <f t="shared" ca="1" si="634"/>
        <v>1.1239041116254178</v>
      </c>
      <c r="AO4875" s="158"/>
      <c r="AP4875" s="158"/>
    </row>
    <row r="4876" spans="34:42">
      <c r="AH4876" s="6">
        <f t="shared" si="631"/>
        <v>4846</v>
      </c>
      <c r="AI4876" s="7">
        <f t="shared" ca="1" si="632"/>
        <v>47516</v>
      </c>
      <c r="AJ4876" s="210">
        <f t="shared" ca="1" si="635"/>
        <v>4.1749999999999998</v>
      </c>
      <c r="AK4876" s="8">
        <f t="shared" ca="1" si="637"/>
        <v>1.0001159722222221</v>
      </c>
      <c r="AL4876" s="98">
        <f t="shared" ca="1" si="636"/>
        <v>4.1924031602119216</v>
      </c>
      <c r="AM4876" s="106">
        <f t="shared" ca="1" si="633"/>
        <v>39045.207295155153</v>
      </c>
      <c r="AN4876" s="10">
        <f t="shared" ca="1" si="634"/>
        <v>1.1239265599918946</v>
      </c>
      <c r="AO4876" s="158"/>
      <c r="AP4876" s="158"/>
    </row>
    <row r="4877" spans="34:42">
      <c r="AH4877" s="6">
        <f t="shared" si="631"/>
        <v>4847</v>
      </c>
      <c r="AI4877" s="7">
        <f t="shared" ca="1" si="632"/>
        <v>47517</v>
      </c>
      <c r="AJ4877" s="210">
        <f t="shared" ca="1" si="635"/>
        <v>4.1749999999999998</v>
      </c>
      <c r="AK4877" s="8">
        <f t="shared" ca="1" si="637"/>
        <v>1.0001159722222221</v>
      </c>
      <c r="AL4877" s="98">
        <f t="shared" ca="1" si="636"/>
        <v>4.1924302105240896</v>
      </c>
      <c r="AM4877" s="106">
        <f t="shared" ca="1" si="633"/>
        <v>39048.424677601768</v>
      </c>
      <c r="AN4877" s="10">
        <f t="shared" ca="1" si="634"/>
        <v>1.1239489991005991</v>
      </c>
      <c r="AO4877" s="158"/>
      <c r="AP4877" s="158"/>
    </row>
    <row r="4878" spans="34:42">
      <c r="AH4878" s="6">
        <f t="shared" si="631"/>
        <v>4848</v>
      </c>
      <c r="AI4878" s="7">
        <f t="shared" ca="1" si="632"/>
        <v>47518</v>
      </c>
      <c r="AJ4878" s="210">
        <f t="shared" ca="1" si="635"/>
        <v>4.1749999999999998</v>
      </c>
      <c r="AK4878" s="8">
        <f t="shared" ca="1" si="637"/>
        <v>1.0001159722222221</v>
      </c>
      <c r="AL4878" s="98">
        <f t="shared" ca="1" si="636"/>
        <v>4.1924572496838897</v>
      </c>
      <c r="AM4878" s="106">
        <f t="shared" ca="1" si="633"/>
        <v>39051.642325165427</v>
      </c>
      <c r="AN4878" s="10">
        <f t="shared" ca="1" si="634"/>
        <v>1.1239714289571934</v>
      </c>
      <c r="AO4878" s="158"/>
      <c r="AP4878" s="158"/>
    </row>
    <row r="4879" spans="34:42">
      <c r="AH4879" s="6">
        <f t="shared" si="631"/>
        <v>4849</v>
      </c>
      <c r="AI4879" s="7">
        <f t="shared" ca="1" si="632"/>
        <v>47519</v>
      </c>
      <c r="AJ4879" s="210">
        <f t="shared" ca="1" si="635"/>
        <v>4.1749999999999998</v>
      </c>
      <c r="AK4879" s="8">
        <f t="shared" ca="1" si="637"/>
        <v>1.0001159722222221</v>
      </c>
      <c r="AL4879" s="98">
        <f t="shared" ca="1" si="636"/>
        <v>4.1924842776982496</v>
      </c>
      <c r="AM4879" s="106">
        <f t="shared" ca="1" si="633"/>
        <v>39054.860237867979</v>
      </c>
      <c r="AN4879" s="10">
        <f t="shared" ca="1" si="634"/>
        <v>1.1239938495674284</v>
      </c>
      <c r="AO4879" s="158"/>
      <c r="AP4879" s="158"/>
    </row>
    <row r="4880" spans="34:42">
      <c r="AH4880" s="6">
        <f t="shared" si="631"/>
        <v>4850</v>
      </c>
      <c r="AI4880" s="7">
        <f t="shared" ca="1" si="632"/>
        <v>47520</v>
      </c>
      <c r="AJ4880" s="210">
        <f t="shared" ca="1" si="635"/>
        <v>4.1749999999999998</v>
      </c>
      <c r="AK4880" s="8">
        <f t="shared" ca="1" si="637"/>
        <v>1.0001159722222221</v>
      </c>
      <c r="AL4880" s="98">
        <f t="shared" ca="1" si="636"/>
        <v>4.1925112945740306</v>
      </c>
      <c r="AM4880" s="106">
        <f t="shared" ca="1" si="633"/>
        <v>39058.078415731259</v>
      </c>
      <c r="AN4880" s="10">
        <f t="shared" ca="1" si="634"/>
        <v>1.1240162609370108</v>
      </c>
      <c r="AO4880" s="158"/>
      <c r="AP4880" s="158"/>
    </row>
    <row r="4881" spans="34:42">
      <c r="AH4881" s="6">
        <f t="shared" si="631"/>
        <v>4851</v>
      </c>
      <c r="AI4881" s="7">
        <f t="shared" ca="1" si="632"/>
        <v>47521</v>
      </c>
      <c r="AJ4881" s="210">
        <f t="shared" ca="1" si="635"/>
        <v>4.1749999999999998</v>
      </c>
      <c r="AK4881" s="8">
        <f t="shared" ca="1" si="637"/>
        <v>1.0001159722222221</v>
      </c>
      <c r="AL4881" s="98">
        <f t="shared" ca="1" si="636"/>
        <v>4.1925383003181382</v>
      </c>
      <c r="AM4881" s="106">
        <f t="shared" ca="1" si="633"/>
        <v>39061.296858777125</v>
      </c>
      <c r="AN4881" s="10">
        <f t="shared" ca="1" si="634"/>
        <v>1.1240386630716692</v>
      </c>
      <c r="AO4881" s="158"/>
      <c r="AP4881" s="158"/>
    </row>
    <row r="4882" spans="34:42">
      <c r="AH4882" s="6">
        <f t="shared" si="631"/>
        <v>4852</v>
      </c>
      <c r="AI4882" s="7">
        <f t="shared" ca="1" si="632"/>
        <v>47522</v>
      </c>
      <c r="AJ4882" s="210">
        <f t="shared" ca="1" si="635"/>
        <v>4.1749999999999998</v>
      </c>
      <c r="AK4882" s="8">
        <f t="shared" ca="1" si="637"/>
        <v>1.0001159722222221</v>
      </c>
      <c r="AL4882" s="98">
        <f t="shared" ca="1" si="636"/>
        <v>4.1925652949374337</v>
      </c>
      <c r="AM4882" s="106">
        <f t="shared" ca="1" si="633"/>
        <v>39064.515567027433</v>
      </c>
      <c r="AN4882" s="10">
        <f t="shared" ca="1" si="634"/>
        <v>1.1240610559771103</v>
      </c>
      <c r="AO4882" s="158"/>
      <c r="AP4882" s="158"/>
    </row>
    <row r="4883" spans="34:42">
      <c r="AH4883" s="6">
        <f t="shared" si="631"/>
        <v>4853</v>
      </c>
      <c r="AI4883" s="7">
        <f t="shared" ca="1" si="632"/>
        <v>47523</v>
      </c>
      <c r="AJ4883" s="210">
        <f t="shared" ca="1" si="635"/>
        <v>4.1749999999999998</v>
      </c>
      <c r="AK4883" s="8">
        <f t="shared" ca="1" si="637"/>
        <v>1.0001159722222221</v>
      </c>
      <c r="AL4883" s="98">
        <f t="shared" ca="1" si="636"/>
        <v>4.1925922784388003</v>
      </c>
      <c r="AM4883" s="106">
        <f t="shared" ca="1" si="633"/>
        <v>39067.734540504018</v>
      </c>
      <c r="AN4883" s="10">
        <f t="shared" ca="1" si="634"/>
        <v>1.1240834396590182</v>
      </c>
      <c r="AO4883" s="158"/>
      <c r="AP4883" s="158"/>
    </row>
    <row r="4884" spans="34:42">
      <c r="AH4884" s="6">
        <f t="shared" ref="AH4884:AH4947" si="638">$AI$29+AH4883</f>
        <v>4854</v>
      </c>
      <c r="AI4884" s="7">
        <f t="shared" ref="AI4884:AI4947" ca="1" si="639">+AH4884+$C$1</f>
        <v>47524</v>
      </c>
      <c r="AJ4884" s="210">
        <f t="shared" ca="1" si="635"/>
        <v>4.1749999999999998</v>
      </c>
      <c r="AK4884" s="8">
        <f t="shared" ca="1" si="637"/>
        <v>1.0001159722222221</v>
      </c>
      <c r="AL4884" s="98">
        <f t="shared" ca="1" si="636"/>
        <v>4.1926192508290994</v>
      </c>
      <c r="AM4884" s="106">
        <f t="shared" ca="1" si="633"/>
        <v>39070.953779228752</v>
      </c>
      <c r="AN4884" s="10">
        <f t="shared" ca="1" si="634"/>
        <v>1.1241058141230997</v>
      </c>
      <c r="AO4884" s="158"/>
      <c r="AP4884" s="158"/>
    </row>
    <row r="4885" spans="34:42">
      <c r="AH4885" s="6">
        <f t="shared" si="638"/>
        <v>4855</v>
      </c>
      <c r="AI4885" s="7">
        <f t="shared" ca="1" si="639"/>
        <v>47525</v>
      </c>
      <c r="AJ4885" s="210">
        <f t="shared" ca="1" si="635"/>
        <v>4.1749999999999998</v>
      </c>
      <c r="AK4885" s="8">
        <f t="shared" ca="1" si="637"/>
        <v>1.0001159722222221</v>
      </c>
      <c r="AL4885" s="98">
        <f t="shared" ca="1" si="636"/>
        <v>4.1926462121152142</v>
      </c>
      <c r="AM4885" s="106">
        <f t="shared" ca="1" si="633"/>
        <v>39074.173283223485</v>
      </c>
      <c r="AN4885" s="10">
        <f t="shared" ca="1" si="634"/>
        <v>1.1241281793750613</v>
      </c>
      <c r="AO4885" s="158"/>
      <c r="AP4885" s="158"/>
    </row>
    <row r="4886" spans="34:42">
      <c r="AH4886" s="6">
        <f t="shared" si="638"/>
        <v>4856</v>
      </c>
      <c r="AI4886" s="7">
        <f t="shared" ca="1" si="639"/>
        <v>47526</v>
      </c>
      <c r="AJ4886" s="210">
        <f t="shared" ca="1" si="635"/>
        <v>4.1749999999999998</v>
      </c>
      <c r="AK4886" s="8">
        <f t="shared" ca="1" si="637"/>
        <v>1.0001159722222221</v>
      </c>
      <c r="AL4886" s="98">
        <f t="shared" ca="1" si="636"/>
        <v>4.1926731623039837</v>
      </c>
      <c r="AM4886" s="106">
        <f t="shared" ca="1" si="633"/>
        <v>39077.393052510073</v>
      </c>
      <c r="AN4886" s="10">
        <f t="shared" ca="1" si="634"/>
        <v>1.124150535420565</v>
      </c>
      <c r="AO4886" s="158"/>
      <c r="AP4886" s="158"/>
    </row>
    <row r="4887" spans="34:42">
      <c r="AH4887" s="6">
        <f t="shared" si="638"/>
        <v>4857</v>
      </c>
      <c r="AI4887" s="7">
        <f t="shared" ca="1" si="639"/>
        <v>47527</v>
      </c>
      <c r="AJ4887" s="210">
        <f t="shared" ca="1" si="635"/>
        <v>4.1749999999999998</v>
      </c>
      <c r="AK4887" s="8">
        <f t="shared" ca="1" si="637"/>
        <v>1.0001159722222221</v>
      </c>
      <c r="AL4887" s="98">
        <f t="shared" ca="1" si="636"/>
        <v>4.1927001014022469</v>
      </c>
      <c r="AM4887" s="106">
        <f t="shared" ca="1" si="633"/>
        <v>39080.613087110396</v>
      </c>
      <c r="AN4887" s="10">
        <f t="shared" ca="1" si="634"/>
        <v>1.1241728822653174</v>
      </c>
      <c r="AO4887" s="158"/>
      <c r="AP4887" s="158"/>
    </row>
    <row r="4888" spans="34:42">
      <c r="AH4888" s="6">
        <f t="shared" si="638"/>
        <v>4858</v>
      </c>
      <c r="AI4888" s="7">
        <f t="shared" ca="1" si="639"/>
        <v>47528</v>
      </c>
      <c r="AJ4888" s="210">
        <f t="shared" ca="1" si="635"/>
        <v>4.1749999999999998</v>
      </c>
      <c r="AK4888" s="8">
        <f t="shared" ca="1" si="637"/>
        <v>1.0001159722222221</v>
      </c>
      <c r="AL4888" s="98">
        <f t="shared" ca="1" si="636"/>
        <v>4.192727029416865</v>
      </c>
      <c r="AM4888" s="106">
        <f t="shared" ca="1" si="633"/>
        <v>39083.833387046288</v>
      </c>
      <c r="AN4888" s="10">
        <f t="shared" ca="1" si="634"/>
        <v>1.1241952199149807</v>
      </c>
      <c r="AO4888" s="158"/>
      <c r="AP4888" s="158"/>
    </row>
    <row r="4889" spans="34:42">
      <c r="AH4889" s="6">
        <f t="shared" si="638"/>
        <v>4859</v>
      </c>
      <c r="AI4889" s="7">
        <f t="shared" ca="1" si="639"/>
        <v>47529</v>
      </c>
      <c r="AJ4889" s="210">
        <f t="shared" ca="1" si="635"/>
        <v>4.1749999999999998</v>
      </c>
      <c r="AK4889" s="8">
        <f t="shared" ca="1" si="637"/>
        <v>1.0001159722222221</v>
      </c>
      <c r="AL4889" s="98">
        <f t="shared" ca="1" si="636"/>
        <v>4.1927539463546548</v>
      </c>
      <c r="AM4889" s="106">
        <f t="shared" ca="1" si="633"/>
        <v>39087.053952339629</v>
      </c>
      <c r="AN4889" s="10">
        <f t="shared" ca="1" si="634"/>
        <v>1.124217548375217</v>
      </c>
      <c r="AO4889" s="158"/>
      <c r="AP4889" s="158"/>
    </row>
    <row r="4890" spans="34:42">
      <c r="AH4890" s="6">
        <f t="shared" si="638"/>
        <v>4860</v>
      </c>
      <c r="AI4890" s="7">
        <f t="shared" ca="1" si="639"/>
        <v>47530</v>
      </c>
      <c r="AJ4890" s="210">
        <f t="shared" ca="1" si="635"/>
        <v>4.1749999999999998</v>
      </c>
      <c r="AK4890" s="8">
        <f t="shared" ca="1" si="637"/>
        <v>1.0001159722222221</v>
      </c>
      <c r="AL4890" s="98">
        <f t="shared" ca="1" si="636"/>
        <v>4.1927808522224774</v>
      </c>
      <c r="AM4890" s="106">
        <f t="shared" ca="1" si="633"/>
        <v>39090.274783012283</v>
      </c>
      <c r="AN4890" s="10">
        <f t="shared" ca="1" si="634"/>
        <v>1.1242398676517329</v>
      </c>
      <c r="AO4890" s="158"/>
      <c r="AP4890" s="158"/>
    </row>
    <row r="4891" spans="34:42">
      <c r="AH4891" s="6">
        <f t="shared" si="638"/>
        <v>4861</v>
      </c>
      <c r="AI4891" s="7">
        <f t="shared" ca="1" si="639"/>
        <v>47531</v>
      </c>
      <c r="AJ4891" s="210">
        <f t="shared" ca="1" si="635"/>
        <v>4.1749999999999998</v>
      </c>
      <c r="AK4891" s="8">
        <f t="shared" ca="1" si="637"/>
        <v>1.0001159722222221</v>
      </c>
      <c r="AL4891" s="98">
        <f t="shared" ca="1" si="636"/>
        <v>4.1928077470271496</v>
      </c>
      <c r="AM4891" s="106">
        <f t="shared" ca="1" si="633"/>
        <v>39093.495879086113</v>
      </c>
      <c r="AN4891" s="10">
        <f t="shared" ca="1" si="634"/>
        <v>1.1242621777501904</v>
      </c>
      <c r="AO4891" s="158"/>
      <c r="AP4891" s="158"/>
    </row>
    <row r="4892" spans="34:42">
      <c r="AH4892" s="6">
        <f t="shared" si="638"/>
        <v>4862</v>
      </c>
      <c r="AI4892" s="7">
        <f t="shared" ca="1" si="639"/>
        <v>47532</v>
      </c>
      <c r="AJ4892" s="210">
        <f t="shared" ca="1" si="635"/>
        <v>4.1749999999999998</v>
      </c>
      <c r="AK4892" s="8">
        <f t="shared" ca="1" si="637"/>
        <v>1.0001159722222221</v>
      </c>
      <c r="AL4892" s="98">
        <f t="shared" ca="1" si="636"/>
        <v>4.1928346307754882</v>
      </c>
      <c r="AM4892" s="106">
        <f t="shared" ca="1" si="633"/>
        <v>39096.717240582999</v>
      </c>
      <c r="AN4892" s="10">
        <f t="shared" ca="1" si="634"/>
        <v>1.1242844786762074</v>
      </c>
      <c r="AO4892" s="158"/>
      <c r="AP4892" s="158"/>
    </row>
    <row r="4893" spans="34:42">
      <c r="AH4893" s="6">
        <f t="shared" si="638"/>
        <v>4863</v>
      </c>
      <c r="AI4893" s="7">
        <f t="shared" ca="1" si="639"/>
        <v>47533</v>
      </c>
      <c r="AJ4893" s="210">
        <f t="shared" ca="1" si="635"/>
        <v>4.1749999999999998</v>
      </c>
      <c r="AK4893" s="8">
        <f t="shared" ca="1" si="637"/>
        <v>1.0001159722222221</v>
      </c>
      <c r="AL4893" s="98">
        <f t="shared" ca="1" si="636"/>
        <v>4.19286150347431</v>
      </c>
      <c r="AM4893" s="106">
        <f t="shared" ca="1" si="633"/>
        <v>39099.938867524797</v>
      </c>
      <c r="AN4893" s="10">
        <f t="shared" ca="1" si="634"/>
        <v>1.1243067704354681</v>
      </c>
      <c r="AO4893" s="158"/>
      <c r="AP4893" s="158"/>
    </row>
    <row r="4894" spans="34:42">
      <c r="AH4894" s="6">
        <f t="shared" si="638"/>
        <v>4864</v>
      </c>
      <c r="AI4894" s="7">
        <f t="shared" ca="1" si="639"/>
        <v>47534</v>
      </c>
      <c r="AJ4894" s="210">
        <f t="shared" ca="1" si="635"/>
        <v>4.1749999999999998</v>
      </c>
      <c r="AK4894" s="8">
        <f t="shared" ca="1" si="637"/>
        <v>1.0001159722222221</v>
      </c>
      <c r="AL4894" s="98">
        <f t="shared" ca="1" si="636"/>
        <v>4.1928883651304316</v>
      </c>
      <c r="AM4894" s="106">
        <f t="shared" ca="1" si="633"/>
        <v>39103.160759933395</v>
      </c>
      <c r="AN4894" s="10">
        <f t="shared" ca="1" si="634"/>
        <v>1.1243290530336347</v>
      </c>
      <c r="AO4894" s="158"/>
      <c r="AP4894" s="158"/>
    </row>
    <row r="4895" spans="34:42">
      <c r="AH4895" s="6">
        <f t="shared" si="638"/>
        <v>4865</v>
      </c>
      <c r="AI4895" s="7">
        <f t="shared" ca="1" si="639"/>
        <v>47535</v>
      </c>
      <c r="AJ4895" s="210">
        <f t="shared" ca="1" si="635"/>
        <v>4.1749999999999998</v>
      </c>
      <c r="AK4895" s="8">
        <f t="shared" ca="1" si="637"/>
        <v>1.0001159722222221</v>
      </c>
      <c r="AL4895" s="98">
        <f t="shared" ca="1" si="636"/>
        <v>4.1929152157506477</v>
      </c>
      <c r="AM4895" s="106">
        <f t="shared" ref="AM4895:AM4958" ca="1" si="640">Geom_Interp(AI4895,$AZ$2:$AZ$109,$BA$2:$BA$109)</f>
        <v>39106.382917830655</v>
      </c>
      <c r="AN4895" s="10">
        <f t="shared" ref="AN4895:AN4958" ca="1" si="641">100*(((1+AL4895/100)^(AH4895/365)*$AM$29/AM4895)^(365/AH4895)-1)</f>
        <v>1.124351326476325</v>
      </c>
      <c r="AO4895" s="158"/>
      <c r="AP4895" s="158"/>
    </row>
    <row r="4896" spans="34:42">
      <c r="AH4896" s="6">
        <f t="shared" si="638"/>
        <v>4866</v>
      </c>
      <c r="AI4896" s="7">
        <f t="shared" ca="1" si="639"/>
        <v>47536</v>
      </c>
      <c r="AJ4896" s="210">
        <f t="shared" ref="AJ4896:AJ4959" ca="1" si="642">IF(AH4896&lt;365,VLOOKUP(LOOKUP(AI4896,$AI$2:$AI$23),$AI$2:$AK$23,3,0),Lin_Interp(AH4896,$AJ$2:$AJ$23,$AK$2:$AK$23))</f>
        <v>4.1749999999999998</v>
      </c>
      <c r="AK4896" s="8">
        <f t="shared" ca="1" si="637"/>
        <v>1.0001159722222221</v>
      </c>
      <c r="AL4896" s="98">
        <f t="shared" ca="1" si="636"/>
        <v>4.1929420553417751</v>
      </c>
      <c r="AM4896" s="106">
        <f t="shared" ca="1" si="640"/>
        <v>39109.605341238464</v>
      </c>
      <c r="AN4896" s="10">
        <f t="shared" ca="1" si="641"/>
        <v>1.124373590769201</v>
      </c>
      <c r="AO4896" s="158"/>
      <c r="AP4896" s="158"/>
    </row>
    <row r="4897" spans="34:42">
      <c r="AH4897" s="6">
        <f t="shared" si="638"/>
        <v>4867</v>
      </c>
      <c r="AI4897" s="7">
        <f t="shared" ca="1" si="639"/>
        <v>47537</v>
      </c>
      <c r="AJ4897" s="210">
        <f t="shared" ca="1" si="642"/>
        <v>4.1749999999999998</v>
      </c>
      <c r="AK4897" s="8">
        <f t="shared" ca="1" si="637"/>
        <v>1.0001159722222221</v>
      </c>
      <c r="AL4897" s="98">
        <f t="shared" ref="AL4897:AL4960" ca="1" si="643">100*(((1+AL4896/100)^(AH4896/365)*AK4897)^(365/AH4897)-1)</f>
        <v>4.1929688839105861</v>
      </c>
      <c r="AM4897" s="106">
        <f t="shared" ca="1" si="640"/>
        <v>39112.828030178694</v>
      </c>
      <c r="AN4897" s="10">
        <f t="shared" ca="1" si="641"/>
        <v>1.1243958459178804</v>
      </c>
      <c r="AO4897" s="158"/>
      <c r="AP4897" s="158"/>
    </row>
    <row r="4898" spans="34:42">
      <c r="AH4898" s="6">
        <f t="shared" si="638"/>
        <v>4868</v>
      </c>
      <c r="AI4898" s="7">
        <f t="shared" ca="1" si="639"/>
        <v>47538</v>
      </c>
      <c r="AJ4898" s="210">
        <f t="shared" ca="1" si="642"/>
        <v>4.1749999999999998</v>
      </c>
      <c r="AK4898" s="8">
        <f t="shared" ca="1" si="637"/>
        <v>1.0001159722222221</v>
      </c>
      <c r="AL4898" s="98">
        <f t="shared" ca="1" si="643"/>
        <v>4.1929957014638974</v>
      </c>
      <c r="AM4898" s="106">
        <f t="shared" ca="1" si="640"/>
        <v>39116.050984673231</v>
      </c>
      <c r="AN4898" s="10">
        <f t="shared" ca="1" si="641"/>
        <v>1.1244180919280256</v>
      </c>
      <c r="AO4898" s="158"/>
      <c r="AP4898" s="158"/>
    </row>
    <row r="4899" spans="34:42">
      <c r="AH4899" s="6">
        <f t="shared" si="638"/>
        <v>4869</v>
      </c>
      <c r="AI4899" s="7">
        <f t="shared" ca="1" si="639"/>
        <v>47539</v>
      </c>
      <c r="AJ4899" s="210">
        <f t="shared" ca="1" si="642"/>
        <v>4.1749999999999998</v>
      </c>
      <c r="AK4899" s="8">
        <f t="shared" ca="1" si="637"/>
        <v>1.0001159722222221</v>
      </c>
      <c r="AL4899" s="98">
        <f t="shared" ca="1" si="643"/>
        <v>4.1930225080084593</v>
      </c>
      <c r="AM4899" s="106">
        <f t="shared" ca="1" si="640"/>
        <v>39119.274204743953</v>
      </c>
      <c r="AN4899" s="10">
        <f t="shared" ca="1" si="641"/>
        <v>1.1244403288052318</v>
      </c>
      <c r="AO4899" s="158"/>
      <c r="AP4899" s="158"/>
    </row>
    <row r="4900" spans="34:42">
      <c r="AH4900" s="6">
        <f t="shared" si="638"/>
        <v>4870</v>
      </c>
      <c r="AI4900" s="7">
        <f t="shared" ca="1" si="639"/>
        <v>47540</v>
      </c>
      <c r="AJ4900" s="210">
        <f t="shared" ca="1" si="642"/>
        <v>4.1749999999999998</v>
      </c>
      <c r="AK4900" s="8">
        <f t="shared" ref="AK4900:AK4963" ca="1" si="644">+(1+AJ4900/36000)</f>
        <v>1.0001159722222221</v>
      </c>
      <c r="AL4900" s="98">
        <f t="shared" ca="1" si="643"/>
        <v>4.1930493035510663</v>
      </c>
      <c r="AM4900" s="106">
        <f t="shared" ca="1" si="640"/>
        <v>39122.49769041274</v>
      </c>
      <c r="AN4900" s="10">
        <f t="shared" ca="1" si="641"/>
        <v>1.1244625565551392</v>
      </c>
      <c r="AO4900" s="158"/>
      <c r="AP4900" s="158"/>
    </row>
    <row r="4901" spans="34:42">
      <c r="AH4901" s="6">
        <f t="shared" si="638"/>
        <v>4871</v>
      </c>
      <c r="AI4901" s="7">
        <f t="shared" ca="1" si="639"/>
        <v>47541</v>
      </c>
      <c r="AJ4901" s="210">
        <f t="shared" ca="1" si="642"/>
        <v>4.1749999999999998</v>
      </c>
      <c r="AK4901" s="8">
        <f t="shared" ca="1" si="644"/>
        <v>1.0001159722222221</v>
      </c>
      <c r="AL4901" s="98">
        <f t="shared" ca="1" si="643"/>
        <v>4.1930760880984908</v>
      </c>
      <c r="AM4901" s="106">
        <f t="shared" ca="1" si="640"/>
        <v>39125.721441701484</v>
      </c>
      <c r="AN4901" s="10">
        <f t="shared" ca="1" si="641"/>
        <v>1.1244847751833431</v>
      </c>
      <c r="AO4901" s="158"/>
      <c r="AP4901" s="158"/>
    </row>
    <row r="4902" spans="34:42">
      <c r="AH4902" s="6">
        <f t="shared" si="638"/>
        <v>4872</v>
      </c>
      <c r="AI4902" s="7">
        <f t="shared" ca="1" si="639"/>
        <v>47542</v>
      </c>
      <c r="AJ4902" s="210">
        <f t="shared" ca="1" si="642"/>
        <v>4.1749999999999998</v>
      </c>
      <c r="AK4902" s="8">
        <f t="shared" ca="1" si="644"/>
        <v>1.0001159722222221</v>
      </c>
      <c r="AL4902" s="98">
        <f t="shared" ca="1" si="643"/>
        <v>4.193102861657505</v>
      </c>
      <c r="AM4902" s="106">
        <f t="shared" ca="1" si="640"/>
        <v>39128.945458632072</v>
      </c>
      <c r="AN4902" s="10">
        <f t="shared" ca="1" si="641"/>
        <v>1.1245069846955058</v>
      </c>
      <c r="AO4902" s="158"/>
      <c r="AP4902" s="158"/>
    </row>
    <row r="4903" spans="34:42">
      <c r="AH4903" s="6">
        <f t="shared" si="638"/>
        <v>4873</v>
      </c>
      <c r="AI4903" s="7">
        <f t="shared" ca="1" si="639"/>
        <v>47543</v>
      </c>
      <c r="AJ4903" s="210">
        <f t="shared" ca="1" si="642"/>
        <v>4.1749999999999998</v>
      </c>
      <c r="AK4903" s="8">
        <f t="shared" ca="1" si="644"/>
        <v>1.0001159722222221</v>
      </c>
      <c r="AL4903" s="98">
        <f t="shared" ca="1" si="643"/>
        <v>4.1931296242348592</v>
      </c>
      <c r="AM4903" s="106">
        <f t="shared" ca="1" si="640"/>
        <v>39132.169741226389</v>
      </c>
      <c r="AN4903" s="10">
        <f t="shared" ca="1" si="641"/>
        <v>1.1245291850972006</v>
      </c>
      <c r="AO4903" s="158"/>
      <c r="AP4903" s="158"/>
    </row>
    <row r="4904" spans="34:42">
      <c r="AH4904" s="6">
        <f t="shared" si="638"/>
        <v>4874</v>
      </c>
      <c r="AI4904" s="7">
        <f t="shared" ca="1" si="639"/>
        <v>47544</v>
      </c>
      <c r="AJ4904" s="210">
        <f t="shared" ca="1" si="642"/>
        <v>4.1749999999999998</v>
      </c>
      <c r="AK4904" s="8">
        <f t="shared" ca="1" si="644"/>
        <v>1.0001159722222221</v>
      </c>
      <c r="AL4904" s="98">
        <f t="shared" ca="1" si="643"/>
        <v>4.1931563758373258</v>
      </c>
      <c r="AM4904" s="106">
        <f t="shared" ca="1" si="640"/>
        <v>39135.39428950633</v>
      </c>
      <c r="AN4904" s="10">
        <f t="shared" ca="1" si="641"/>
        <v>1.1245513763940673</v>
      </c>
      <c r="AO4904" s="158"/>
      <c r="AP4904" s="158"/>
    </row>
    <row r="4905" spans="34:42">
      <c r="AH4905" s="6">
        <f t="shared" si="638"/>
        <v>4875</v>
      </c>
      <c r="AI4905" s="7">
        <f t="shared" ca="1" si="639"/>
        <v>47545</v>
      </c>
      <c r="AJ4905" s="210">
        <f t="shared" ca="1" si="642"/>
        <v>4.1749999999999998</v>
      </c>
      <c r="AK4905" s="8">
        <f t="shared" ca="1" si="644"/>
        <v>1.0001159722222221</v>
      </c>
      <c r="AL4905" s="98">
        <f t="shared" ca="1" si="643"/>
        <v>4.1931831164716327</v>
      </c>
      <c r="AM4905" s="106">
        <f t="shared" ca="1" si="640"/>
        <v>39138.619103493787</v>
      </c>
      <c r="AN4905" s="10">
        <f t="shared" ca="1" si="641"/>
        <v>1.1245735585916572</v>
      </c>
      <c r="AO4905" s="158"/>
      <c r="AP4905" s="158"/>
    </row>
    <row r="4906" spans="34:42">
      <c r="AH4906" s="6">
        <f t="shared" si="638"/>
        <v>4876</v>
      </c>
      <c r="AI4906" s="7">
        <f t="shared" ca="1" si="639"/>
        <v>47546</v>
      </c>
      <c r="AJ4906" s="210">
        <f t="shared" ca="1" si="642"/>
        <v>4.1749999999999998</v>
      </c>
      <c r="AK4906" s="8">
        <f t="shared" ca="1" si="644"/>
        <v>1.0001159722222221</v>
      </c>
      <c r="AL4906" s="98">
        <f t="shared" ca="1" si="643"/>
        <v>4.19320984614453</v>
      </c>
      <c r="AM4906" s="106">
        <f t="shared" ca="1" si="640"/>
        <v>39141.844183210655</v>
      </c>
      <c r="AN4906" s="10">
        <f t="shared" ca="1" si="641"/>
        <v>1.1245957316955879</v>
      </c>
      <c r="AO4906" s="158"/>
      <c r="AP4906" s="158"/>
    </row>
    <row r="4907" spans="34:42">
      <c r="AH4907" s="6">
        <f t="shared" si="638"/>
        <v>4877</v>
      </c>
      <c r="AI4907" s="7">
        <f t="shared" ca="1" si="639"/>
        <v>47547</v>
      </c>
      <c r="AJ4907" s="210">
        <f t="shared" ca="1" si="642"/>
        <v>4.1749999999999998</v>
      </c>
      <c r="AK4907" s="8">
        <f t="shared" ca="1" si="644"/>
        <v>1.0001159722222221</v>
      </c>
      <c r="AL4907" s="98">
        <f t="shared" ca="1" si="643"/>
        <v>4.1932365648627457</v>
      </c>
      <c r="AM4907" s="106">
        <f t="shared" ca="1" si="640"/>
        <v>39145.069528678832</v>
      </c>
      <c r="AN4907" s="10">
        <f t="shared" ca="1" si="641"/>
        <v>1.1246178957114328</v>
      </c>
      <c r="AO4907" s="158"/>
      <c r="AP4907" s="158"/>
    </row>
    <row r="4908" spans="34:42">
      <c r="AH4908" s="6">
        <f t="shared" si="638"/>
        <v>4878</v>
      </c>
      <c r="AI4908" s="7">
        <f t="shared" ca="1" si="639"/>
        <v>47548</v>
      </c>
      <c r="AJ4908" s="210">
        <f t="shared" ca="1" si="642"/>
        <v>4.1749999999999998</v>
      </c>
      <c r="AK4908" s="8">
        <f t="shared" ca="1" si="644"/>
        <v>1.0001159722222221</v>
      </c>
      <c r="AL4908" s="98">
        <f t="shared" ca="1" si="643"/>
        <v>4.1932632726330299</v>
      </c>
      <c r="AM4908" s="106">
        <f t="shared" ca="1" si="640"/>
        <v>39148.295139920214</v>
      </c>
      <c r="AN4908" s="10">
        <f t="shared" ca="1" si="641"/>
        <v>1.1246400506448095</v>
      </c>
      <c r="AO4908" s="158"/>
      <c r="AP4908" s="158"/>
    </row>
    <row r="4909" spans="34:42">
      <c r="AH4909" s="6">
        <f t="shared" si="638"/>
        <v>4879</v>
      </c>
      <c r="AI4909" s="7">
        <f t="shared" ca="1" si="639"/>
        <v>47549</v>
      </c>
      <c r="AJ4909" s="210">
        <f t="shared" ca="1" si="642"/>
        <v>4.1749999999999998</v>
      </c>
      <c r="AK4909" s="8">
        <f t="shared" ca="1" si="644"/>
        <v>1.0001159722222221</v>
      </c>
      <c r="AL4909" s="98">
        <f t="shared" ca="1" si="643"/>
        <v>4.1932899694621106</v>
      </c>
      <c r="AM4909" s="106">
        <f t="shared" ca="1" si="640"/>
        <v>39151.5210169567</v>
      </c>
      <c r="AN4909" s="10">
        <f t="shared" ca="1" si="641"/>
        <v>1.1246621965012915</v>
      </c>
      <c r="AO4909" s="158"/>
      <c r="AP4909" s="158"/>
    </row>
    <row r="4910" spans="34:42">
      <c r="AH4910" s="6">
        <f t="shared" si="638"/>
        <v>4880</v>
      </c>
      <c r="AI4910" s="7">
        <f t="shared" ca="1" si="639"/>
        <v>47550</v>
      </c>
      <c r="AJ4910" s="210">
        <f t="shared" ca="1" si="642"/>
        <v>4.1749999999999998</v>
      </c>
      <c r="AK4910" s="8">
        <f t="shared" ca="1" si="644"/>
        <v>1.0001159722222221</v>
      </c>
      <c r="AL4910" s="98">
        <f t="shared" ca="1" si="643"/>
        <v>4.1933166553566936</v>
      </c>
      <c r="AM4910" s="106">
        <f t="shared" ca="1" si="640"/>
        <v>39154.747159810191</v>
      </c>
      <c r="AN4910" s="10">
        <f t="shared" ca="1" si="641"/>
        <v>1.124684333286452</v>
      </c>
      <c r="AO4910" s="158"/>
      <c r="AP4910" s="158"/>
    </row>
    <row r="4911" spans="34:42">
      <c r="AH4911" s="6">
        <f t="shared" si="638"/>
        <v>4881</v>
      </c>
      <c r="AI4911" s="7">
        <f t="shared" ca="1" si="639"/>
        <v>47551</v>
      </c>
      <c r="AJ4911" s="210">
        <f t="shared" ca="1" si="642"/>
        <v>4.1749999999999998</v>
      </c>
      <c r="AK4911" s="8">
        <f t="shared" ca="1" si="644"/>
        <v>1.0001159722222221</v>
      </c>
      <c r="AL4911" s="98">
        <f t="shared" ca="1" si="643"/>
        <v>4.1933433303235068</v>
      </c>
      <c r="AM4911" s="106">
        <f t="shared" ca="1" si="640"/>
        <v>39157.973568502603</v>
      </c>
      <c r="AN4911" s="10">
        <f t="shared" ca="1" si="641"/>
        <v>1.1247064610058422</v>
      </c>
      <c r="AO4911" s="158"/>
      <c r="AP4911" s="158"/>
    </row>
    <row r="4912" spans="34:42">
      <c r="AH4912" s="6">
        <f t="shared" si="638"/>
        <v>4882</v>
      </c>
      <c r="AI4912" s="7">
        <f t="shared" ca="1" si="639"/>
        <v>47552</v>
      </c>
      <c r="AJ4912" s="210">
        <f t="shared" ca="1" si="642"/>
        <v>4.1749999999999998</v>
      </c>
      <c r="AK4912" s="8">
        <f t="shared" ca="1" si="644"/>
        <v>1.0001159722222221</v>
      </c>
      <c r="AL4912" s="98">
        <f t="shared" ca="1" si="643"/>
        <v>4.1933699943692782</v>
      </c>
      <c r="AM4912" s="106">
        <f t="shared" ca="1" si="640"/>
        <v>39161.200243055813</v>
      </c>
      <c r="AN4912" s="10">
        <f t="shared" ca="1" si="641"/>
        <v>1.1247285796650575</v>
      </c>
      <c r="AO4912" s="158"/>
      <c r="AP4912" s="158"/>
    </row>
    <row r="4913" spans="34:42">
      <c r="AH4913" s="6">
        <f t="shared" si="638"/>
        <v>4883</v>
      </c>
      <c r="AI4913" s="7">
        <f t="shared" ca="1" si="639"/>
        <v>47553</v>
      </c>
      <c r="AJ4913" s="210">
        <f t="shared" ca="1" si="642"/>
        <v>4.1749999999999998</v>
      </c>
      <c r="AK4913" s="8">
        <f t="shared" ca="1" si="644"/>
        <v>1.0001159722222221</v>
      </c>
      <c r="AL4913" s="98">
        <f t="shared" ca="1" si="643"/>
        <v>4.1933966475006912</v>
      </c>
      <c r="AM4913" s="106">
        <f t="shared" ca="1" si="640"/>
        <v>39164.42718349176</v>
      </c>
      <c r="AN4913" s="10">
        <f t="shared" ca="1" si="641"/>
        <v>1.1247506892696713</v>
      </c>
      <c r="AO4913" s="158"/>
      <c r="AP4913" s="158"/>
    </row>
    <row r="4914" spans="34:42">
      <c r="AH4914" s="6">
        <f t="shared" si="638"/>
        <v>4884</v>
      </c>
      <c r="AI4914" s="7">
        <f t="shared" ca="1" si="639"/>
        <v>47554</v>
      </c>
      <c r="AJ4914" s="210">
        <f t="shared" ca="1" si="642"/>
        <v>4.1749999999999998</v>
      </c>
      <c r="AK4914" s="8">
        <f t="shared" ca="1" si="644"/>
        <v>1.0001159722222221</v>
      </c>
      <c r="AL4914" s="98">
        <f t="shared" ca="1" si="643"/>
        <v>4.1934232897244517</v>
      </c>
      <c r="AM4914" s="106">
        <f t="shared" ca="1" si="640"/>
        <v>39167.654389832343</v>
      </c>
      <c r="AN4914" s="10">
        <f t="shared" ca="1" si="641"/>
        <v>1.1247727898252124</v>
      </c>
      <c r="AO4914" s="158"/>
      <c r="AP4914" s="158"/>
    </row>
    <row r="4915" spans="34:42">
      <c r="AH4915" s="6">
        <f t="shared" si="638"/>
        <v>4885</v>
      </c>
      <c r="AI4915" s="7">
        <f t="shared" ca="1" si="639"/>
        <v>47555</v>
      </c>
      <c r="AJ4915" s="210">
        <f t="shared" ca="1" si="642"/>
        <v>4.1749999999999998</v>
      </c>
      <c r="AK4915" s="8">
        <f t="shared" ca="1" si="644"/>
        <v>1.0001159722222221</v>
      </c>
      <c r="AL4915" s="98">
        <f t="shared" ca="1" si="643"/>
        <v>4.1934499210472431</v>
      </c>
      <c r="AM4915" s="106">
        <f t="shared" ca="1" si="640"/>
        <v>39170.881862099457</v>
      </c>
      <c r="AN4915" s="10">
        <f t="shared" ca="1" si="641"/>
        <v>1.1247948813372544</v>
      </c>
      <c r="AO4915" s="158"/>
      <c r="AP4915" s="158"/>
    </row>
    <row r="4916" spans="34:42">
      <c r="AH4916" s="6">
        <f t="shared" si="638"/>
        <v>4886</v>
      </c>
      <c r="AI4916" s="7">
        <f t="shared" ca="1" si="639"/>
        <v>47556</v>
      </c>
      <c r="AJ4916" s="210">
        <f t="shared" ca="1" si="642"/>
        <v>4.1749999999999998</v>
      </c>
      <c r="AK4916" s="8">
        <f t="shared" ca="1" si="644"/>
        <v>1.0001159722222221</v>
      </c>
      <c r="AL4916" s="98">
        <f t="shared" ca="1" si="643"/>
        <v>4.1934765414757713</v>
      </c>
      <c r="AM4916" s="106">
        <f t="shared" ca="1" si="640"/>
        <v>39174.109600315045</v>
      </c>
      <c r="AN4916" s="10">
        <f t="shared" ca="1" si="641"/>
        <v>1.1248169638113259</v>
      </c>
      <c r="AO4916" s="158"/>
      <c r="AP4916" s="158"/>
    </row>
    <row r="4917" spans="34:42">
      <c r="AH4917" s="6">
        <f t="shared" si="638"/>
        <v>4887</v>
      </c>
      <c r="AI4917" s="7">
        <f t="shared" ca="1" si="639"/>
        <v>47557</v>
      </c>
      <c r="AJ4917" s="210">
        <f t="shared" ca="1" si="642"/>
        <v>4.1749999999999998</v>
      </c>
      <c r="AK4917" s="8">
        <f t="shared" ca="1" si="644"/>
        <v>1.0001159722222221</v>
      </c>
      <c r="AL4917" s="98">
        <f t="shared" ca="1" si="643"/>
        <v>4.1935031510166976</v>
      </c>
      <c r="AM4917" s="106">
        <f t="shared" ca="1" si="640"/>
        <v>39177.337604500994</v>
      </c>
      <c r="AN4917" s="10">
        <f t="shared" ca="1" si="641"/>
        <v>1.1248390372529782</v>
      </c>
      <c r="AO4917" s="158"/>
      <c r="AP4917" s="158"/>
    </row>
    <row r="4918" spans="34:42">
      <c r="AH4918" s="6">
        <f t="shared" si="638"/>
        <v>4888</v>
      </c>
      <c r="AI4918" s="7">
        <f t="shared" ca="1" si="639"/>
        <v>47558</v>
      </c>
      <c r="AJ4918" s="210">
        <f t="shared" ca="1" si="642"/>
        <v>4.1749999999999998</v>
      </c>
      <c r="AK4918" s="8">
        <f t="shared" ca="1" si="644"/>
        <v>1.0001159722222221</v>
      </c>
      <c r="AL4918" s="98">
        <f t="shared" ca="1" si="643"/>
        <v>4.1935297496767276</v>
      </c>
      <c r="AM4918" s="106">
        <f t="shared" ca="1" si="640"/>
        <v>39180.565874679225</v>
      </c>
      <c r="AN4918" s="10">
        <f t="shared" ca="1" si="641"/>
        <v>1.1248611016677845</v>
      </c>
      <c r="AO4918" s="158"/>
      <c r="AP4918" s="158"/>
    </row>
    <row r="4919" spans="34:42">
      <c r="AH4919" s="6">
        <f t="shared" si="638"/>
        <v>4889</v>
      </c>
      <c r="AI4919" s="7">
        <f t="shared" ca="1" si="639"/>
        <v>47559</v>
      </c>
      <c r="AJ4919" s="210">
        <f t="shared" ca="1" si="642"/>
        <v>4.1749999999999998</v>
      </c>
      <c r="AK4919" s="8">
        <f t="shared" ca="1" si="644"/>
        <v>1.0001159722222221</v>
      </c>
      <c r="AL4919" s="98">
        <f t="shared" ca="1" si="643"/>
        <v>4.1935563374625229</v>
      </c>
      <c r="AM4919" s="106">
        <f t="shared" ca="1" si="640"/>
        <v>39183.794410871669</v>
      </c>
      <c r="AN4919" s="10">
        <f t="shared" ca="1" si="641"/>
        <v>1.1248831570612294</v>
      </c>
      <c r="AO4919" s="158"/>
      <c r="AP4919" s="158"/>
    </row>
    <row r="4920" spans="34:42">
      <c r="AH4920" s="6">
        <f t="shared" si="638"/>
        <v>4890</v>
      </c>
      <c r="AI4920" s="7">
        <f t="shared" ca="1" si="639"/>
        <v>47560</v>
      </c>
      <c r="AJ4920" s="210">
        <f t="shared" ca="1" si="642"/>
        <v>4.1749999999999998</v>
      </c>
      <c r="AK4920" s="8">
        <f t="shared" ca="1" si="644"/>
        <v>1.0001159722222221</v>
      </c>
      <c r="AL4920" s="98">
        <f t="shared" ca="1" si="643"/>
        <v>4.1935829143807446</v>
      </c>
      <c r="AM4920" s="106">
        <f t="shared" ca="1" si="640"/>
        <v>39187.023213100234</v>
      </c>
      <c r="AN4920" s="10">
        <f t="shared" ca="1" si="641"/>
        <v>1.1249052034388862</v>
      </c>
      <c r="AO4920" s="158"/>
      <c r="AP4920" s="158"/>
    </row>
    <row r="4921" spans="34:42">
      <c r="AH4921" s="6">
        <f t="shared" si="638"/>
        <v>4891</v>
      </c>
      <c r="AI4921" s="7">
        <f t="shared" ca="1" si="639"/>
        <v>47561</v>
      </c>
      <c r="AJ4921" s="210">
        <f t="shared" ca="1" si="642"/>
        <v>4.1749999999999998</v>
      </c>
      <c r="AK4921" s="8">
        <f t="shared" ca="1" si="644"/>
        <v>1.0001159722222221</v>
      </c>
      <c r="AL4921" s="98">
        <f t="shared" ca="1" si="643"/>
        <v>4.1936094804380541</v>
      </c>
      <c r="AM4921" s="106">
        <f t="shared" ca="1" si="640"/>
        <v>39190.252281386849</v>
      </c>
      <c r="AN4921" s="10">
        <f t="shared" ca="1" si="641"/>
        <v>1.1249272408062616</v>
      </c>
      <c r="AO4921" s="158"/>
      <c r="AP4921" s="158"/>
    </row>
    <row r="4922" spans="34:42">
      <c r="AH4922" s="6">
        <f t="shared" si="638"/>
        <v>4892</v>
      </c>
      <c r="AI4922" s="7">
        <f t="shared" ca="1" si="639"/>
        <v>47562</v>
      </c>
      <c r="AJ4922" s="210">
        <f t="shared" ca="1" si="642"/>
        <v>4.1749999999999998</v>
      </c>
      <c r="AK4922" s="8">
        <f t="shared" ca="1" si="644"/>
        <v>1.0001159722222221</v>
      </c>
      <c r="AL4922" s="98">
        <f t="shared" ca="1" si="643"/>
        <v>4.1936360356411129</v>
      </c>
      <c r="AM4922" s="106">
        <f t="shared" ca="1" si="640"/>
        <v>39193.481615753437</v>
      </c>
      <c r="AN4922" s="10">
        <f t="shared" ca="1" si="641"/>
        <v>1.1249492691688845</v>
      </c>
      <c r="AO4922" s="158"/>
      <c r="AP4922" s="158"/>
    </row>
    <row r="4923" spans="34:42">
      <c r="AH4923" s="6">
        <f t="shared" si="638"/>
        <v>4893</v>
      </c>
      <c r="AI4923" s="7">
        <f t="shared" ca="1" si="639"/>
        <v>47563</v>
      </c>
      <c r="AJ4923" s="210">
        <f t="shared" ca="1" si="642"/>
        <v>4.1749999999999998</v>
      </c>
      <c r="AK4923" s="8">
        <f t="shared" ca="1" si="644"/>
        <v>1.0001159722222221</v>
      </c>
      <c r="AL4923" s="98">
        <f t="shared" ca="1" si="643"/>
        <v>4.1936625799965821</v>
      </c>
      <c r="AM4923" s="106">
        <f t="shared" ca="1" si="640"/>
        <v>39196.71121622192</v>
      </c>
      <c r="AN4923" s="10">
        <f t="shared" ca="1" si="641"/>
        <v>1.1249712885322838</v>
      </c>
      <c r="AO4923" s="158"/>
      <c r="AP4923" s="158"/>
    </row>
    <row r="4924" spans="34:42">
      <c r="AH4924" s="6">
        <f t="shared" si="638"/>
        <v>4894</v>
      </c>
      <c r="AI4924" s="7">
        <f t="shared" ca="1" si="639"/>
        <v>47564</v>
      </c>
      <c r="AJ4924" s="210">
        <f t="shared" ca="1" si="642"/>
        <v>4.1749999999999998</v>
      </c>
      <c r="AK4924" s="8">
        <f t="shared" ca="1" si="644"/>
        <v>1.0001159722222221</v>
      </c>
      <c r="AL4924" s="98">
        <f t="shared" ca="1" si="643"/>
        <v>4.1936891135110788</v>
      </c>
      <c r="AM4924" s="106">
        <f t="shared" ca="1" si="640"/>
        <v>39199.941082814228</v>
      </c>
      <c r="AN4924" s="10">
        <f t="shared" ca="1" si="641"/>
        <v>1.124993298901944</v>
      </c>
      <c r="AO4924" s="158"/>
      <c r="AP4924" s="158"/>
    </row>
    <row r="4925" spans="34:42">
      <c r="AH4925" s="6">
        <f t="shared" si="638"/>
        <v>4895</v>
      </c>
      <c r="AI4925" s="7">
        <f t="shared" ca="1" si="639"/>
        <v>47565</v>
      </c>
      <c r="AJ4925" s="210">
        <f t="shared" ca="1" si="642"/>
        <v>4.1749999999999998</v>
      </c>
      <c r="AK4925" s="8">
        <f t="shared" ca="1" si="644"/>
        <v>1.0001159722222221</v>
      </c>
      <c r="AL4925" s="98">
        <f t="shared" ca="1" si="643"/>
        <v>4.1937156361912642</v>
      </c>
      <c r="AM4925" s="106">
        <f t="shared" ca="1" si="640"/>
        <v>39203.171215552291</v>
      </c>
      <c r="AN4925" s="10">
        <f t="shared" ca="1" si="641"/>
        <v>1.125015300283394</v>
      </c>
      <c r="AO4925" s="158"/>
      <c r="AP4925" s="158"/>
    </row>
    <row r="4926" spans="34:42">
      <c r="AH4926" s="6">
        <f t="shared" si="638"/>
        <v>4896</v>
      </c>
      <c r="AI4926" s="7">
        <f t="shared" ca="1" si="639"/>
        <v>47566</v>
      </c>
      <c r="AJ4926" s="210">
        <f t="shared" ca="1" si="642"/>
        <v>4.1749999999999998</v>
      </c>
      <c r="AK4926" s="8">
        <f t="shared" ca="1" si="644"/>
        <v>1.0001159722222221</v>
      </c>
      <c r="AL4926" s="98">
        <f t="shared" ca="1" si="643"/>
        <v>4.1937421480437775</v>
      </c>
      <c r="AM4926" s="106">
        <f t="shared" ca="1" si="640"/>
        <v>39206.401614458024</v>
      </c>
      <c r="AN4926" s="10">
        <f t="shared" ca="1" si="641"/>
        <v>1.1250372926821406</v>
      </c>
      <c r="AO4926" s="158"/>
      <c r="AP4926" s="158"/>
    </row>
    <row r="4927" spans="34:42">
      <c r="AH4927" s="6">
        <f t="shared" si="638"/>
        <v>4897</v>
      </c>
      <c r="AI4927" s="7">
        <f t="shared" ca="1" si="639"/>
        <v>47567</v>
      </c>
      <c r="AJ4927" s="210">
        <f t="shared" ca="1" si="642"/>
        <v>4.1749999999999998</v>
      </c>
      <c r="AK4927" s="8">
        <f t="shared" ca="1" si="644"/>
        <v>1.0001159722222221</v>
      </c>
      <c r="AL4927" s="98">
        <f t="shared" ca="1" si="643"/>
        <v>4.1937686490752357</v>
      </c>
      <c r="AM4927" s="106">
        <f t="shared" ca="1" si="640"/>
        <v>39209.632279553392</v>
      </c>
      <c r="AN4927" s="10">
        <f t="shared" ca="1" si="641"/>
        <v>1.1250592761036904</v>
      </c>
      <c r="AO4927" s="158"/>
      <c r="AP4927" s="158"/>
    </row>
    <row r="4928" spans="34:42">
      <c r="AH4928" s="6">
        <f t="shared" si="638"/>
        <v>4898</v>
      </c>
      <c r="AI4928" s="7">
        <f t="shared" ca="1" si="639"/>
        <v>47568</v>
      </c>
      <c r="AJ4928" s="210">
        <f t="shared" ca="1" si="642"/>
        <v>4.1749999999999998</v>
      </c>
      <c r="AK4928" s="8">
        <f t="shared" ca="1" si="644"/>
        <v>1.0001159722222221</v>
      </c>
      <c r="AL4928" s="98">
        <f t="shared" ca="1" si="643"/>
        <v>4.1937951392922557</v>
      </c>
      <c r="AM4928" s="106">
        <f t="shared" ca="1" si="640"/>
        <v>39212.863210860298</v>
      </c>
      <c r="AN4928" s="10">
        <f t="shared" ca="1" si="641"/>
        <v>1.1250812505535057</v>
      </c>
      <c r="AO4928" s="158"/>
      <c r="AP4928" s="158"/>
    </row>
    <row r="4929" spans="34:42">
      <c r="AH4929" s="6">
        <f t="shared" si="638"/>
        <v>4899</v>
      </c>
      <c r="AI4929" s="7">
        <f t="shared" ca="1" si="639"/>
        <v>47569</v>
      </c>
      <c r="AJ4929" s="210">
        <f t="shared" ca="1" si="642"/>
        <v>4.1749999999999998</v>
      </c>
      <c r="AK4929" s="8">
        <f t="shared" ca="1" si="644"/>
        <v>1.0001159722222221</v>
      </c>
      <c r="AL4929" s="98">
        <f t="shared" ca="1" si="643"/>
        <v>4.1938216187014765</v>
      </c>
      <c r="AM4929" s="106">
        <f t="shared" ca="1" si="640"/>
        <v>39216.094408400691</v>
      </c>
      <c r="AN4929" s="10">
        <f t="shared" ca="1" si="641"/>
        <v>1.1251032160370933</v>
      </c>
      <c r="AO4929" s="158"/>
      <c r="AP4929" s="158"/>
    </row>
    <row r="4930" spans="34:42">
      <c r="AH4930" s="6">
        <f t="shared" si="638"/>
        <v>4900</v>
      </c>
      <c r="AI4930" s="7">
        <f t="shared" ca="1" si="639"/>
        <v>47570</v>
      </c>
      <c r="AJ4930" s="210">
        <f t="shared" ca="1" si="642"/>
        <v>4.1749999999999998</v>
      </c>
      <c r="AK4930" s="8">
        <f t="shared" ca="1" si="644"/>
        <v>1.0001159722222221</v>
      </c>
      <c r="AL4930" s="98">
        <f t="shared" ca="1" si="643"/>
        <v>4.193848087309493</v>
      </c>
      <c r="AM4930" s="106">
        <f t="shared" ca="1" si="640"/>
        <v>39219.32587219651</v>
      </c>
      <c r="AN4930" s="10">
        <f t="shared" ca="1" si="641"/>
        <v>1.1251251725599598</v>
      </c>
      <c r="AO4930" s="158"/>
      <c r="AP4930" s="158"/>
    </row>
    <row r="4931" spans="34:42">
      <c r="AH4931" s="6">
        <f t="shared" si="638"/>
        <v>4901</v>
      </c>
      <c r="AI4931" s="7">
        <f t="shared" ca="1" si="639"/>
        <v>47571</v>
      </c>
      <c r="AJ4931" s="210">
        <f t="shared" ca="1" si="642"/>
        <v>4.1749999999999998</v>
      </c>
      <c r="AK4931" s="8">
        <f t="shared" ca="1" si="644"/>
        <v>1.0001159722222221</v>
      </c>
      <c r="AL4931" s="98">
        <f t="shared" ca="1" si="643"/>
        <v>4.193874545122922</v>
      </c>
      <c r="AM4931" s="106">
        <f t="shared" ca="1" si="640"/>
        <v>39222.557602269691</v>
      </c>
      <c r="AN4931" s="10">
        <f t="shared" ca="1" si="641"/>
        <v>1.1251471201275676</v>
      </c>
      <c r="AO4931" s="158"/>
      <c r="AP4931" s="158"/>
    </row>
    <row r="4932" spans="34:42">
      <c r="AH4932" s="6">
        <f t="shared" si="638"/>
        <v>4902</v>
      </c>
      <c r="AI4932" s="7">
        <f t="shared" ca="1" si="639"/>
        <v>47572</v>
      </c>
      <c r="AJ4932" s="210">
        <f t="shared" ca="1" si="642"/>
        <v>4.1749999999999998</v>
      </c>
      <c r="AK4932" s="8">
        <f t="shared" ca="1" si="644"/>
        <v>1.0001159722222221</v>
      </c>
      <c r="AL4932" s="98">
        <f t="shared" ca="1" si="643"/>
        <v>4.1939009921483583</v>
      </c>
      <c r="AM4932" s="106">
        <f t="shared" ca="1" si="640"/>
        <v>39225.789598642186</v>
      </c>
      <c r="AN4932" s="10">
        <f t="shared" ca="1" si="641"/>
        <v>1.1251690587454011</v>
      </c>
      <c r="AO4932" s="158"/>
      <c r="AP4932" s="158"/>
    </row>
    <row r="4933" spans="34:42">
      <c r="AH4933" s="6">
        <f t="shared" si="638"/>
        <v>4903</v>
      </c>
      <c r="AI4933" s="7">
        <f t="shared" ca="1" si="639"/>
        <v>47573</v>
      </c>
      <c r="AJ4933" s="210">
        <f t="shared" ca="1" si="642"/>
        <v>4.1749999999999998</v>
      </c>
      <c r="AK4933" s="8">
        <f t="shared" ca="1" si="644"/>
        <v>1.0001159722222221</v>
      </c>
      <c r="AL4933" s="98">
        <f t="shared" ca="1" si="643"/>
        <v>4.1939274283924188</v>
      </c>
      <c r="AM4933" s="106">
        <f t="shared" ca="1" si="640"/>
        <v>39229.021861335932</v>
      </c>
      <c r="AN4933" s="10">
        <f t="shared" ca="1" si="641"/>
        <v>1.1251909884189448</v>
      </c>
      <c r="AO4933" s="158"/>
      <c r="AP4933" s="158"/>
    </row>
    <row r="4934" spans="34:42">
      <c r="AH4934" s="6">
        <f t="shared" si="638"/>
        <v>4904</v>
      </c>
      <c r="AI4934" s="7">
        <f t="shared" ca="1" si="639"/>
        <v>47574</v>
      </c>
      <c r="AJ4934" s="210">
        <f t="shared" ca="1" si="642"/>
        <v>4.1749999999999998</v>
      </c>
      <c r="AK4934" s="8">
        <f t="shared" ca="1" si="644"/>
        <v>1.0001159722222221</v>
      </c>
      <c r="AL4934" s="98">
        <f t="shared" ca="1" si="643"/>
        <v>4.1939538538616761</v>
      </c>
      <c r="AM4934" s="106">
        <f t="shared" ca="1" si="640"/>
        <v>39232.254390372858</v>
      </c>
      <c r="AN4934" s="10">
        <f t="shared" ca="1" si="641"/>
        <v>1.1252129091536389</v>
      </c>
      <c r="AO4934" s="158"/>
      <c r="AP4934" s="158"/>
    </row>
    <row r="4935" spans="34:42">
      <c r="AH4935" s="6">
        <f t="shared" si="638"/>
        <v>4905</v>
      </c>
      <c r="AI4935" s="7">
        <f t="shared" ca="1" si="639"/>
        <v>47575</v>
      </c>
      <c r="AJ4935" s="210">
        <f t="shared" ca="1" si="642"/>
        <v>4.1749999999999998</v>
      </c>
      <c r="AK4935" s="8">
        <f t="shared" ca="1" si="644"/>
        <v>1.0001159722222221</v>
      </c>
      <c r="AL4935" s="98">
        <f t="shared" ca="1" si="643"/>
        <v>4.1939802685627248</v>
      </c>
      <c r="AM4935" s="106">
        <f t="shared" ca="1" si="640"/>
        <v>39235.487185774931</v>
      </c>
      <c r="AN4935" s="10">
        <f t="shared" ca="1" si="641"/>
        <v>1.1252348209549901</v>
      </c>
      <c r="AO4935" s="158"/>
      <c r="AP4935" s="158"/>
    </row>
    <row r="4936" spans="34:42">
      <c r="AH4936" s="6">
        <f t="shared" si="638"/>
        <v>4906</v>
      </c>
      <c r="AI4936" s="7">
        <f t="shared" ca="1" si="639"/>
        <v>47576</v>
      </c>
      <c r="AJ4936" s="210">
        <f t="shared" ca="1" si="642"/>
        <v>4.1749999999999998</v>
      </c>
      <c r="AK4936" s="8">
        <f t="shared" ca="1" si="644"/>
        <v>1.0001159722222221</v>
      </c>
      <c r="AL4936" s="98">
        <f t="shared" ca="1" si="643"/>
        <v>4.1940066725021374</v>
      </c>
      <c r="AM4936" s="106">
        <f t="shared" ca="1" si="640"/>
        <v>39238.720247564102</v>
      </c>
      <c r="AN4936" s="10">
        <f t="shared" ca="1" si="641"/>
        <v>1.1252567238283939</v>
      </c>
      <c r="AO4936" s="158"/>
      <c r="AP4936" s="158"/>
    </row>
    <row r="4937" spans="34:42">
      <c r="AH4937" s="6">
        <f t="shared" si="638"/>
        <v>4907</v>
      </c>
      <c r="AI4937" s="7">
        <f t="shared" ca="1" si="639"/>
        <v>47577</v>
      </c>
      <c r="AJ4937" s="210">
        <f t="shared" ca="1" si="642"/>
        <v>4.1749999999999998</v>
      </c>
      <c r="AK4937" s="8">
        <f t="shared" ca="1" si="644"/>
        <v>1.0001159722222221</v>
      </c>
      <c r="AL4937" s="98">
        <f t="shared" ca="1" si="643"/>
        <v>4.1940330656864866</v>
      </c>
      <c r="AM4937" s="106">
        <f t="shared" ca="1" si="640"/>
        <v>39241.953575762316</v>
      </c>
      <c r="AN4937" s="10">
        <f t="shared" ca="1" si="641"/>
        <v>1.1252786177793572</v>
      </c>
      <c r="AO4937" s="158"/>
      <c r="AP4937" s="158"/>
    </row>
    <row r="4938" spans="34:42">
      <c r="AH4938" s="6">
        <f t="shared" si="638"/>
        <v>4908</v>
      </c>
      <c r="AI4938" s="7">
        <f t="shared" ca="1" si="639"/>
        <v>47578</v>
      </c>
      <c r="AJ4938" s="210">
        <f t="shared" ca="1" si="642"/>
        <v>4.1749999999999998</v>
      </c>
      <c r="AK4938" s="8">
        <f t="shared" ca="1" si="644"/>
        <v>1.0001159722222221</v>
      </c>
      <c r="AL4938" s="98">
        <f t="shared" ca="1" si="643"/>
        <v>4.1940594481223448</v>
      </c>
      <c r="AM4938" s="106">
        <f t="shared" ca="1" si="640"/>
        <v>39245.187170391517</v>
      </c>
      <c r="AN4938" s="10">
        <f t="shared" ca="1" si="641"/>
        <v>1.1253005028133201</v>
      </c>
      <c r="AO4938" s="158"/>
      <c r="AP4938" s="158"/>
    </row>
    <row r="4939" spans="34:42">
      <c r="AH4939" s="6">
        <f t="shared" si="638"/>
        <v>4909</v>
      </c>
      <c r="AI4939" s="7">
        <f t="shared" ca="1" si="639"/>
        <v>47579</v>
      </c>
      <c r="AJ4939" s="210">
        <f t="shared" ca="1" si="642"/>
        <v>4.1749999999999998</v>
      </c>
      <c r="AK4939" s="8">
        <f t="shared" ca="1" si="644"/>
        <v>1.0001159722222221</v>
      </c>
      <c r="AL4939" s="98">
        <f t="shared" ca="1" si="643"/>
        <v>4.1940858198162845</v>
      </c>
      <c r="AM4939" s="106">
        <f t="shared" ca="1" si="640"/>
        <v>39248.42103147367</v>
      </c>
      <c r="AN4939" s="10">
        <f t="shared" ca="1" si="641"/>
        <v>1.1253223789357225</v>
      </c>
      <c r="AO4939" s="158"/>
      <c r="AP4939" s="158"/>
    </row>
    <row r="4940" spans="34:42">
      <c r="AH4940" s="6">
        <f t="shared" si="638"/>
        <v>4910</v>
      </c>
      <c r="AI4940" s="7">
        <f t="shared" ca="1" si="639"/>
        <v>47580</v>
      </c>
      <c r="AJ4940" s="210">
        <f t="shared" ca="1" si="642"/>
        <v>4.1749999999999998</v>
      </c>
      <c r="AK4940" s="8">
        <f t="shared" ca="1" si="644"/>
        <v>1.0001159722222221</v>
      </c>
      <c r="AL4940" s="98">
        <f t="shared" ca="1" si="643"/>
        <v>4.194112180774856</v>
      </c>
      <c r="AM4940" s="106">
        <f t="shared" ca="1" si="640"/>
        <v>39251.655159030721</v>
      </c>
      <c r="AN4940" s="10">
        <f t="shared" ca="1" si="641"/>
        <v>1.1253442461520269</v>
      </c>
      <c r="AO4940" s="158"/>
      <c r="AP4940" s="158"/>
    </row>
    <row r="4941" spans="34:42">
      <c r="AH4941" s="6">
        <f t="shared" si="638"/>
        <v>4911</v>
      </c>
      <c r="AI4941" s="7">
        <f t="shared" ca="1" si="639"/>
        <v>47581</v>
      </c>
      <c r="AJ4941" s="210">
        <f t="shared" ca="1" si="642"/>
        <v>4.1749999999999998</v>
      </c>
      <c r="AK4941" s="8">
        <f t="shared" ca="1" si="644"/>
        <v>1.0001159722222221</v>
      </c>
      <c r="AL4941" s="98">
        <f t="shared" ca="1" si="643"/>
        <v>4.194138531004632</v>
      </c>
      <c r="AM4941" s="106">
        <f t="shared" ca="1" si="640"/>
        <v>39254.889553084642</v>
      </c>
      <c r="AN4941" s="10">
        <f t="shared" ca="1" si="641"/>
        <v>1.1253661044676511</v>
      </c>
      <c r="AO4941" s="158"/>
      <c r="AP4941" s="158"/>
    </row>
    <row r="4942" spans="34:42">
      <c r="AH4942" s="6">
        <f t="shared" si="638"/>
        <v>4912</v>
      </c>
      <c r="AI4942" s="7">
        <f t="shared" ca="1" si="639"/>
        <v>47582</v>
      </c>
      <c r="AJ4942" s="210">
        <f t="shared" ca="1" si="642"/>
        <v>4.1749999999999998</v>
      </c>
      <c r="AK4942" s="8">
        <f t="shared" ca="1" si="644"/>
        <v>1.0001159722222221</v>
      </c>
      <c r="AL4942" s="98">
        <f t="shared" ca="1" si="643"/>
        <v>4.1941648705121404</v>
      </c>
      <c r="AM4942" s="106">
        <f t="shared" ca="1" si="640"/>
        <v>39258.124213657386</v>
      </c>
      <c r="AN4942" s="10">
        <f t="shared" ca="1" si="641"/>
        <v>1.1253879538880129</v>
      </c>
      <c r="AO4942" s="158"/>
      <c r="AP4942" s="158"/>
    </row>
    <row r="4943" spans="34:42">
      <c r="AH4943" s="6">
        <f t="shared" si="638"/>
        <v>4913</v>
      </c>
      <c r="AI4943" s="7">
        <f t="shared" ca="1" si="639"/>
        <v>47583</v>
      </c>
      <c r="AJ4943" s="210">
        <f t="shared" ca="1" si="642"/>
        <v>4.1749999999999998</v>
      </c>
      <c r="AK4943" s="8">
        <f t="shared" ca="1" si="644"/>
        <v>1.0001159722222221</v>
      </c>
      <c r="AL4943" s="98">
        <f t="shared" ca="1" si="643"/>
        <v>4.1941911993039316</v>
      </c>
      <c r="AM4943" s="106">
        <f t="shared" ca="1" si="640"/>
        <v>39261.359140770903</v>
      </c>
      <c r="AN4943" s="10">
        <f t="shared" ca="1" si="641"/>
        <v>1.1254097944185748</v>
      </c>
      <c r="AO4943" s="158"/>
      <c r="AP4943" s="158"/>
    </row>
    <row r="4944" spans="34:42">
      <c r="AH4944" s="6">
        <f t="shared" si="638"/>
        <v>4914</v>
      </c>
      <c r="AI4944" s="7">
        <f t="shared" ca="1" si="639"/>
        <v>47584</v>
      </c>
      <c r="AJ4944" s="210">
        <f t="shared" ca="1" si="642"/>
        <v>4.1749999999999998</v>
      </c>
      <c r="AK4944" s="8">
        <f t="shared" ca="1" si="644"/>
        <v>1.0001159722222221</v>
      </c>
      <c r="AL4944" s="98">
        <f t="shared" ca="1" si="643"/>
        <v>4.1942175173865337</v>
      </c>
      <c r="AM4944" s="106">
        <f t="shared" ca="1" si="640"/>
        <v>39264.594334447174</v>
      </c>
      <c r="AN4944" s="10">
        <f t="shared" ca="1" si="641"/>
        <v>1.1254316260647323</v>
      </c>
      <c r="AO4944" s="158"/>
      <c r="AP4944" s="158"/>
    </row>
    <row r="4945" spans="34:42">
      <c r="AH4945" s="6">
        <f t="shared" si="638"/>
        <v>4915</v>
      </c>
      <c r="AI4945" s="7">
        <f t="shared" ca="1" si="639"/>
        <v>47585</v>
      </c>
      <c r="AJ4945" s="210">
        <f t="shared" ca="1" si="642"/>
        <v>4.1749999999999998</v>
      </c>
      <c r="AK4945" s="8">
        <f t="shared" ca="1" si="644"/>
        <v>1.0001159722222221</v>
      </c>
      <c r="AL4945" s="98">
        <f t="shared" ca="1" si="643"/>
        <v>4.194243824766497</v>
      </c>
      <c r="AM4945" s="106">
        <f t="shared" ca="1" si="640"/>
        <v>39267.829794708159</v>
      </c>
      <c r="AN4945" s="10">
        <f t="shared" ca="1" si="641"/>
        <v>1.1254534488319257</v>
      </c>
      <c r="AO4945" s="158"/>
      <c r="AP4945" s="158"/>
    </row>
    <row r="4946" spans="34:42">
      <c r="AH4946" s="6">
        <f t="shared" si="638"/>
        <v>4916</v>
      </c>
      <c r="AI4946" s="7">
        <f t="shared" ca="1" si="639"/>
        <v>47586</v>
      </c>
      <c r="AJ4946" s="210">
        <f t="shared" ca="1" si="642"/>
        <v>4.1749999999999998</v>
      </c>
      <c r="AK4946" s="8">
        <f t="shared" ca="1" si="644"/>
        <v>1.0001159722222221</v>
      </c>
      <c r="AL4946" s="98">
        <f t="shared" ca="1" si="643"/>
        <v>4.1942701214503497</v>
      </c>
      <c r="AM4946" s="106">
        <f t="shared" ca="1" si="640"/>
        <v>39271.065521575816</v>
      </c>
      <c r="AN4946" s="10">
        <f t="shared" ca="1" si="641"/>
        <v>1.1254752627255726</v>
      </c>
      <c r="AO4946" s="158"/>
      <c r="AP4946" s="158"/>
    </row>
    <row r="4947" spans="34:42">
      <c r="AH4947" s="6">
        <f t="shared" si="638"/>
        <v>4917</v>
      </c>
      <c r="AI4947" s="7">
        <f t="shared" ca="1" si="639"/>
        <v>47587</v>
      </c>
      <c r="AJ4947" s="210">
        <f t="shared" ca="1" si="642"/>
        <v>4.1749999999999998</v>
      </c>
      <c r="AK4947" s="8">
        <f t="shared" ca="1" si="644"/>
        <v>1.0001159722222221</v>
      </c>
      <c r="AL4947" s="98">
        <f t="shared" ca="1" si="643"/>
        <v>4.1942964074445976</v>
      </c>
      <c r="AM4947" s="106">
        <f t="shared" ca="1" si="640"/>
        <v>39274.301515072133</v>
      </c>
      <c r="AN4947" s="10">
        <f t="shared" ca="1" si="641"/>
        <v>1.1254970677510689</v>
      </c>
      <c r="AO4947" s="158"/>
      <c r="AP4947" s="158"/>
    </row>
    <row r="4948" spans="34:42">
      <c r="AH4948" s="6">
        <f t="shared" ref="AH4948:AH5011" si="645">$AI$29+AH4947</f>
        <v>4918</v>
      </c>
      <c r="AI4948" s="7">
        <f t="shared" ref="AI4948:AI5011" ca="1" si="646">+AH4948+$C$1</f>
        <v>47588</v>
      </c>
      <c r="AJ4948" s="210">
        <f t="shared" ca="1" si="642"/>
        <v>4.1749999999999998</v>
      </c>
      <c r="AK4948" s="8">
        <f t="shared" ca="1" si="644"/>
        <v>1.0001159722222221</v>
      </c>
      <c r="AL4948" s="98">
        <f t="shared" ca="1" si="643"/>
        <v>4.1943226827557689</v>
      </c>
      <c r="AM4948" s="106">
        <f t="shared" ca="1" si="640"/>
        <v>39277.537775219054</v>
      </c>
      <c r="AN4948" s="10">
        <f t="shared" ca="1" si="641"/>
        <v>1.1255188639138547</v>
      </c>
      <c r="AO4948" s="158"/>
      <c r="AP4948" s="158"/>
    </row>
    <row r="4949" spans="34:42">
      <c r="AH4949" s="6">
        <f t="shared" si="645"/>
        <v>4919</v>
      </c>
      <c r="AI4949" s="7">
        <f t="shared" ca="1" si="646"/>
        <v>47589</v>
      </c>
      <c r="AJ4949" s="210">
        <f t="shared" ca="1" si="642"/>
        <v>4.1749999999999998</v>
      </c>
      <c r="AK4949" s="8">
        <f t="shared" ca="1" si="644"/>
        <v>1.0001159722222221</v>
      </c>
      <c r="AL4949" s="98">
        <f t="shared" ca="1" si="643"/>
        <v>4.1943489473903695</v>
      </c>
      <c r="AM4949" s="106">
        <f t="shared" ca="1" si="640"/>
        <v>39280.774302038575</v>
      </c>
      <c r="AN4949" s="10">
        <f t="shared" ca="1" si="641"/>
        <v>1.1255406512192812</v>
      </c>
      <c r="AO4949" s="158"/>
      <c r="AP4949" s="158"/>
    </row>
    <row r="4950" spans="34:42">
      <c r="AH4950" s="6">
        <f t="shared" si="645"/>
        <v>4920</v>
      </c>
      <c r="AI4950" s="7">
        <f t="shared" ca="1" si="646"/>
        <v>47590</v>
      </c>
      <c r="AJ4950" s="210">
        <f t="shared" ca="1" si="642"/>
        <v>4.1749999999999998</v>
      </c>
      <c r="AK4950" s="8">
        <f t="shared" ca="1" si="644"/>
        <v>1.0001159722222221</v>
      </c>
      <c r="AL4950" s="98">
        <f t="shared" ca="1" si="643"/>
        <v>4.1943752013549052</v>
      </c>
      <c r="AM4950" s="106">
        <f t="shared" ca="1" si="640"/>
        <v>39284.011095552654</v>
      </c>
      <c r="AN4950" s="10">
        <f t="shared" ca="1" si="641"/>
        <v>1.1255624296727662</v>
      </c>
      <c r="AO4950" s="158"/>
      <c r="AP4950" s="158"/>
    </row>
    <row r="4951" spans="34:42">
      <c r="AH4951" s="6">
        <f t="shared" si="645"/>
        <v>4921</v>
      </c>
      <c r="AI4951" s="7">
        <f t="shared" ca="1" si="646"/>
        <v>47591</v>
      </c>
      <c r="AJ4951" s="210">
        <f t="shared" ca="1" si="642"/>
        <v>4.1749999999999998</v>
      </c>
      <c r="AK4951" s="8">
        <f t="shared" ca="1" si="644"/>
        <v>1.0001159722222221</v>
      </c>
      <c r="AL4951" s="98">
        <f t="shared" ca="1" si="643"/>
        <v>4.1944014446558597</v>
      </c>
      <c r="AM4951" s="106">
        <f t="shared" ca="1" si="640"/>
        <v>39287.248155783287</v>
      </c>
      <c r="AN4951" s="10">
        <f t="shared" ca="1" si="641"/>
        <v>1.1255841992797055</v>
      </c>
      <c r="AO4951" s="158"/>
      <c r="AP4951" s="158"/>
    </row>
    <row r="4952" spans="34:42">
      <c r="AH4952" s="6">
        <f t="shared" si="645"/>
        <v>4922</v>
      </c>
      <c r="AI4952" s="7">
        <f t="shared" ca="1" si="646"/>
        <v>47592</v>
      </c>
      <c r="AJ4952" s="210">
        <f t="shared" ca="1" si="642"/>
        <v>4.1749999999999998</v>
      </c>
      <c r="AK4952" s="8">
        <f t="shared" ca="1" si="644"/>
        <v>1.0001159722222221</v>
      </c>
      <c r="AL4952" s="98">
        <f t="shared" ca="1" si="643"/>
        <v>4.1944276772997613</v>
      </c>
      <c r="AM4952" s="106">
        <f t="shared" ca="1" si="640"/>
        <v>39290.485482752425</v>
      </c>
      <c r="AN4952" s="10">
        <f t="shared" ca="1" si="641"/>
        <v>1.1256059600454948</v>
      </c>
      <c r="AO4952" s="158"/>
      <c r="AP4952" s="158"/>
    </row>
    <row r="4953" spans="34:42">
      <c r="AH4953" s="6">
        <f t="shared" si="645"/>
        <v>4923</v>
      </c>
      <c r="AI4953" s="7">
        <f t="shared" ca="1" si="646"/>
        <v>47593</v>
      </c>
      <c r="AJ4953" s="210">
        <f t="shared" ca="1" si="642"/>
        <v>4.1749999999999998</v>
      </c>
      <c r="AK4953" s="8">
        <f t="shared" ca="1" si="644"/>
        <v>1.0001159722222221</v>
      </c>
      <c r="AL4953" s="98">
        <f t="shared" ca="1" si="643"/>
        <v>4.1944538992930713</v>
      </c>
      <c r="AM4953" s="106">
        <f t="shared" ca="1" si="640"/>
        <v>39293.723076482071</v>
      </c>
      <c r="AN4953" s="10">
        <f t="shared" ca="1" si="641"/>
        <v>1.1256277119755076</v>
      </c>
      <c r="AO4953" s="158"/>
      <c r="AP4953" s="158"/>
    </row>
    <row r="4954" spans="34:42">
      <c r="AH4954" s="6">
        <f t="shared" si="645"/>
        <v>4924</v>
      </c>
      <c r="AI4954" s="7">
        <f t="shared" ca="1" si="646"/>
        <v>47594</v>
      </c>
      <c r="AJ4954" s="210">
        <f t="shared" ca="1" si="642"/>
        <v>4.1749999999999998</v>
      </c>
      <c r="AK4954" s="8">
        <f t="shared" ca="1" si="644"/>
        <v>1.0001159722222221</v>
      </c>
      <c r="AL4954" s="98">
        <f t="shared" ca="1" si="643"/>
        <v>4.1944801106422958</v>
      </c>
      <c r="AM4954" s="106">
        <f t="shared" ca="1" si="640"/>
        <v>39296.960936994197</v>
      </c>
      <c r="AN4954" s="10">
        <f t="shared" ca="1" si="641"/>
        <v>1.1256494550751395</v>
      </c>
      <c r="AO4954" s="158"/>
      <c r="AP4954" s="158"/>
    </row>
    <row r="4955" spans="34:42">
      <c r="AH4955" s="6">
        <f t="shared" si="645"/>
        <v>4925</v>
      </c>
      <c r="AI4955" s="7">
        <f t="shared" ca="1" si="646"/>
        <v>47595</v>
      </c>
      <c r="AJ4955" s="210">
        <f t="shared" ca="1" si="642"/>
        <v>4.1749999999999998</v>
      </c>
      <c r="AK4955" s="8">
        <f t="shared" ca="1" si="644"/>
        <v>1.0001159722222221</v>
      </c>
      <c r="AL4955" s="98">
        <f t="shared" ca="1" si="643"/>
        <v>4.1945063113539183</v>
      </c>
      <c r="AM4955" s="106">
        <f t="shared" ca="1" si="640"/>
        <v>39300.199064310778</v>
      </c>
      <c r="AN4955" s="10">
        <f t="shared" ca="1" si="641"/>
        <v>1.125671189349764</v>
      </c>
      <c r="AO4955" s="158"/>
      <c r="AP4955" s="158"/>
    </row>
    <row r="4956" spans="34:42">
      <c r="AH4956" s="6">
        <f t="shared" si="645"/>
        <v>4926</v>
      </c>
      <c r="AI4956" s="7">
        <f t="shared" ca="1" si="646"/>
        <v>47596</v>
      </c>
      <c r="AJ4956" s="210">
        <f t="shared" ca="1" si="642"/>
        <v>4.1749999999999998</v>
      </c>
      <c r="AK4956" s="8">
        <f t="shared" ca="1" si="644"/>
        <v>1.0001159722222221</v>
      </c>
      <c r="AL4956" s="98">
        <f t="shared" ca="1" si="643"/>
        <v>4.1945325014344004</v>
      </c>
      <c r="AM4956" s="106">
        <f t="shared" ca="1" si="640"/>
        <v>39303.437458453816</v>
      </c>
      <c r="AN4956" s="10">
        <f t="shared" ca="1" si="641"/>
        <v>1.1256929148047545</v>
      </c>
      <c r="AO4956" s="158"/>
      <c r="AP4956" s="158"/>
    </row>
    <row r="4957" spans="34:42">
      <c r="AH4957" s="6">
        <f t="shared" si="645"/>
        <v>4927</v>
      </c>
      <c r="AI4957" s="7">
        <f t="shared" ca="1" si="646"/>
        <v>47597</v>
      </c>
      <c r="AJ4957" s="210">
        <f t="shared" ca="1" si="642"/>
        <v>4.1749999999999998</v>
      </c>
      <c r="AK4957" s="8">
        <f t="shared" ca="1" si="644"/>
        <v>1.0001159722222221</v>
      </c>
      <c r="AL4957" s="98">
        <f t="shared" ca="1" si="643"/>
        <v>4.1945586808902036</v>
      </c>
      <c r="AM4957" s="106">
        <f t="shared" ca="1" si="640"/>
        <v>39306.676119445277</v>
      </c>
      <c r="AN4957" s="10">
        <f t="shared" ca="1" si="641"/>
        <v>1.1257146314454625</v>
      </c>
      <c r="AO4957" s="158"/>
      <c r="AP4957" s="158"/>
    </row>
    <row r="4958" spans="34:42">
      <c r="AH4958" s="6">
        <f t="shared" si="645"/>
        <v>4928</v>
      </c>
      <c r="AI4958" s="7">
        <f t="shared" ca="1" si="646"/>
        <v>47598</v>
      </c>
      <c r="AJ4958" s="210">
        <f t="shared" ca="1" si="642"/>
        <v>4.1749999999999998</v>
      </c>
      <c r="AK4958" s="8">
        <f t="shared" ca="1" si="644"/>
        <v>1.0001159722222221</v>
      </c>
      <c r="AL4958" s="98">
        <f t="shared" ca="1" si="643"/>
        <v>4.1945848497278115</v>
      </c>
      <c r="AM4958" s="106">
        <f t="shared" ca="1" si="640"/>
        <v>39309.915047307179</v>
      </c>
      <c r="AN4958" s="10">
        <f t="shared" ca="1" si="641"/>
        <v>1.1257363392772612</v>
      </c>
      <c r="AO4958" s="158"/>
      <c r="AP4958" s="158"/>
    </row>
    <row r="4959" spans="34:42">
      <c r="AH4959" s="6">
        <f t="shared" si="645"/>
        <v>4929</v>
      </c>
      <c r="AI4959" s="7">
        <f t="shared" ca="1" si="646"/>
        <v>47599</v>
      </c>
      <c r="AJ4959" s="210">
        <f t="shared" ca="1" si="642"/>
        <v>4.1749999999999998</v>
      </c>
      <c r="AK4959" s="8">
        <f t="shared" ca="1" si="644"/>
        <v>1.0001159722222221</v>
      </c>
      <c r="AL4959" s="98">
        <f t="shared" ca="1" si="643"/>
        <v>4.1946110079536636</v>
      </c>
      <c r="AM4959" s="106">
        <f t="shared" ref="AM4959:AM5022" ca="1" si="647">Geom_Interp(AI4959,$AZ$2:$AZ$109,$BA$2:$BA$109)</f>
        <v>39313.154242061486</v>
      </c>
      <c r="AN4959" s="10">
        <f t="shared" ref="AN4959:AN5022" ca="1" si="648">100*(((1+AL4959/100)^(AH4959/365)*$AM$29/AM4959)^(365/AH4959)-1)</f>
        <v>1.1257580383054799</v>
      </c>
      <c r="AO4959" s="158"/>
      <c r="AP4959" s="158"/>
    </row>
    <row r="4960" spans="34:42">
      <c r="AH4960" s="6">
        <f t="shared" si="645"/>
        <v>4930</v>
      </c>
      <c r="AI4960" s="7">
        <f t="shared" ca="1" si="646"/>
        <v>47600</v>
      </c>
      <c r="AJ4960" s="210">
        <f t="shared" ref="AJ4960:AJ5023" ca="1" si="649">IF(AH4960&lt;365,VLOOKUP(LOOKUP(AI4960,$AI$2:$AI$23),$AI$2:$AK$23,3,0),Lin_Interp(AH4960,$AJ$2:$AJ$23,$AK$2:$AK$23))</f>
        <v>4.1749999999999998</v>
      </c>
      <c r="AK4960" s="8">
        <f t="shared" ca="1" si="644"/>
        <v>1.0001159722222221</v>
      </c>
      <c r="AL4960" s="98">
        <f t="shared" ca="1" si="643"/>
        <v>4.1946371555742212</v>
      </c>
      <c r="AM4960" s="106">
        <f t="shared" ca="1" si="647"/>
        <v>39316.393703730202</v>
      </c>
      <c r="AN4960" s="10">
        <f t="shared" ca="1" si="648"/>
        <v>1.1257797285355364</v>
      </c>
      <c r="AO4960" s="158"/>
      <c r="AP4960" s="158"/>
    </row>
    <row r="4961" spans="34:42">
      <c r="AH4961" s="6">
        <f t="shared" si="645"/>
        <v>4931</v>
      </c>
      <c r="AI4961" s="7">
        <f t="shared" ca="1" si="646"/>
        <v>47601</v>
      </c>
      <c r="AJ4961" s="210">
        <f t="shared" ca="1" si="649"/>
        <v>4.1749999999999998</v>
      </c>
      <c r="AK4961" s="8">
        <f t="shared" ca="1" si="644"/>
        <v>1.0001159722222221</v>
      </c>
      <c r="AL4961" s="98">
        <f t="shared" ref="AL4961:AL5024" ca="1" si="650">100*(((1+AL4960/100)^(AH4960/365)*AK4961)^(365/AH4961)-1)</f>
        <v>4.1946632925959459</v>
      </c>
      <c r="AM4961" s="106">
        <f t="shared" ca="1" si="647"/>
        <v>39319.633432335315</v>
      </c>
      <c r="AN4961" s="10">
        <f t="shared" ca="1" si="648"/>
        <v>1.1258014099727376</v>
      </c>
      <c r="AO4961" s="158"/>
      <c r="AP4961" s="158"/>
    </row>
    <row r="4962" spans="34:42">
      <c r="AH4962" s="6">
        <f t="shared" si="645"/>
        <v>4932</v>
      </c>
      <c r="AI4962" s="7">
        <f t="shared" ca="1" si="646"/>
        <v>47602</v>
      </c>
      <c r="AJ4962" s="210">
        <f t="shared" ca="1" si="649"/>
        <v>4.1749999999999998</v>
      </c>
      <c r="AK4962" s="8">
        <f t="shared" ca="1" si="644"/>
        <v>1.0001159722222221</v>
      </c>
      <c r="AL4962" s="98">
        <f t="shared" ca="1" si="650"/>
        <v>4.1946894190252548</v>
      </c>
      <c r="AM4962" s="106">
        <f t="shared" ca="1" si="647"/>
        <v>39322.873427898827</v>
      </c>
      <c r="AN4962" s="10">
        <f t="shared" ca="1" si="648"/>
        <v>1.1258230826224125</v>
      </c>
      <c r="AO4962" s="158"/>
      <c r="AP4962" s="158"/>
    </row>
    <row r="4963" spans="34:42">
      <c r="AH4963" s="6">
        <f t="shared" si="645"/>
        <v>4933</v>
      </c>
      <c r="AI4963" s="7">
        <f t="shared" ca="1" si="646"/>
        <v>47603</v>
      </c>
      <c r="AJ4963" s="210">
        <f t="shared" ca="1" si="649"/>
        <v>4.1749999999999998</v>
      </c>
      <c r="AK4963" s="8">
        <f t="shared" ca="1" si="644"/>
        <v>1.0001159722222221</v>
      </c>
      <c r="AL4963" s="98">
        <f t="shared" ca="1" si="650"/>
        <v>4.1947155348686094</v>
      </c>
      <c r="AM4963" s="106">
        <f t="shared" ca="1" si="647"/>
        <v>39326.113690442733</v>
      </c>
      <c r="AN4963" s="10">
        <f t="shared" ca="1" si="648"/>
        <v>1.1258447464899568</v>
      </c>
      <c r="AO4963" s="158"/>
      <c r="AP4963" s="158"/>
    </row>
    <row r="4964" spans="34:42">
      <c r="AH4964" s="6">
        <f t="shared" si="645"/>
        <v>4934</v>
      </c>
      <c r="AI4964" s="7">
        <f t="shared" ca="1" si="646"/>
        <v>47604</v>
      </c>
      <c r="AJ4964" s="210">
        <f t="shared" ca="1" si="649"/>
        <v>4.1749999999999998</v>
      </c>
      <c r="AK4964" s="8">
        <f t="shared" ref="AK4964:AK5027" ca="1" si="651">+(1+AJ4964/36000)</f>
        <v>1.0001159722222221</v>
      </c>
      <c r="AL4964" s="98">
        <f t="shared" ca="1" si="650"/>
        <v>4.1947416401324267</v>
      </c>
      <c r="AM4964" s="106">
        <f t="shared" ca="1" si="647"/>
        <v>39329.354219989036</v>
      </c>
      <c r="AN4964" s="10">
        <f t="shared" ca="1" si="648"/>
        <v>1.1258664015806552</v>
      </c>
      <c r="AO4964" s="158"/>
      <c r="AP4964" s="158"/>
    </row>
    <row r="4965" spans="34:42">
      <c r="AH4965" s="6">
        <f t="shared" si="645"/>
        <v>4935</v>
      </c>
      <c r="AI4965" s="7">
        <f t="shared" ca="1" si="646"/>
        <v>47605</v>
      </c>
      <c r="AJ4965" s="210">
        <f t="shared" ca="1" si="649"/>
        <v>4.1749999999999998</v>
      </c>
      <c r="AK4965" s="8">
        <f t="shared" ca="1" si="651"/>
        <v>1.0001159722222221</v>
      </c>
      <c r="AL4965" s="98">
        <f t="shared" ca="1" si="650"/>
        <v>4.194767734823146</v>
      </c>
      <c r="AM4965" s="106">
        <f t="shared" ca="1" si="647"/>
        <v>39332.595016559731</v>
      </c>
      <c r="AN4965" s="10">
        <f t="shared" ca="1" si="648"/>
        <v>1.1258880478998812</v>
      </c>
      <c r="AO4965" s="158"/>
      <c r="AP4965" s="158"/>
    </row>
    <row r="4966" spans="34:42">
      <c r="AH4966" s="6">
        <f t="shared" si="645"/>
        <v>4936</v>
      </c>
      <c r="AI4966" s="7">
        <f t="shared" ca="1" si="646"/>
        <v>47606</v>
      </c>
      <c r="AJ4966" s="210">
        <f t="shared" ca="1" si="649"/>
        <v>4.1749999999999998</v>
      </c>
      <c r="AK4966" s="8">
        <f t="shared" ca="1" si="651"/>
        <v>1.0001159722222221</v>
      </c>
      <c r="AL4966" s="98">
        <f t="shared" ca="1" si="650"/>
        <v>4.1947938189471845</v>
      </c>
      <c r="AM4966" s="106">
        <f t="shared" ca="1" si="647"/>
        <v>39335.836080176829</v>
      </c>
      <c r="AN4966" s="10">
        <f t="shared" ca="1" si="648"/>
        <v>1.1259096854529416</v>
      </c>
      <c r="AO4966" s="158"/>
      <c r="AP4966" s="158"/>
    </row>
    <row r="4967" spans="34:42">
      <c r="AH4967" s="6">
        <f t="shared" si="645"/>
        <v>4937</v>
      </c>
      <c r="AI4967" s="7">
        <f t="shared" ca="1" si="646"/>
        <v>47607</v>
      </c>
      <c r="AJ4967" s="210">
        <f t="shared" ca="1" si="649"/>
        <v>4.1749999999999998</v>
      </c>
      <c r="AK4967" s="8">
        <f t="shared" ca="1" si="651"/>
        <v>1.0001159722222221</v>
      </c>
      <c r="AL4967" s="98">
        <f t="shared" ca="1" si="650"/>
        <v>4.1948198925109592</v>
      </c>
      <c r="AM4967" s="106">
        <f t="shared" ca="1" si="647"/>
        <v>39339.077410862323</v>
      </c>
      <c r="AN4967" s="10">
        <f t="shared" ca="1" si="648"/>
        <v>1.1259313142451655</v>
      </c>
      <c r="AO4967" s="158"/>
      <c r="AP4967" s="158"/>
    </row>
    <row r="4968" spans="34:42">
      <c r="AH4968" s="6">
        <f t="shared" si="645"/>
        <v>4938</v>
      </c>
      <c r="AI4968" s="7">
        <f t="shared" ca="1" si="646"/>
        <v>47608</v>
      </c>
      <c r="AJ4968" s="210">
        <f t="shared" ca="1" si="649"/>
        <v>4.1749999999999998</v>
      </c>
      <c r="AK4968" s="8">
        <f t="shared" ca="1" si="651"/>
        <v>1.0001159722222221</v>
      </c>
      <c r="AL4968" s="98">
        <f t="shared" ca="1" si="650"/>
        <v>4.194845955520865</v>
      </c>
      <c r="AM4968" s="106">
        <f t="shared" ca="1" si="647"/>
        <v>39342.319008638238</v>
      </c>
      <c r="AN4968" s="10">
        <f t="shared" ca="1" si="648"/>
        <v>1.1259529342818375</v>
      </c>
      <c r="AO4968" s="158"/>
      <c r="AP4968" s="158"/>
    </row>
    <row r="4969" spans="34:42">
      <c r="AH4969" s="6">
        <f t="shared" si="645"/>
        <v>4939</v>
      </c>
      <c r="AI4969" s="7">
        <f t="shared" ca="1" si="646"/>
        <v>47609</v>
      </c>
      <c r="AJ4969" s="210">
        <f t="shared" ca="1" si="649"/>
        <v>4.1749999999999998</v>
      </c>
      <c r="AK4969" s="8">
        <f t="shared" ca="1" si="651"/>
        <v>1.0001159722222221</v>
      </c>
      <c r="AL4969" s="98">
        <f t="shared" ca="1" si="650"/>
        <v>4.1948720079833413</v>
      </c>
      <c r="AM4969" s="106">
        <f t="shared" ca="1" si="647"/>
        <v>39345.560873526571</v>
      </c>
      <c r="AN4969" s="10">
        <f t="shared" ca="1" si="648"/>
        <v>1.1259745455683312</v>
      </c>
      <c r="AO4969" s="158"/>
      <c r="AP4969" s="158"/>
    </row>
    <row r="4970" spans="34:42">
      <c r="AH4970" s="6">
        <f t="shared" si="645"/>
        <v>4940</v>
      </c>
      <c r="AI4970" s="7">
        <f t="shared" ca="1" si="646"/>
        <v>47610</v>
      </c>
      <c r="AJ4970" s="210">
        <f t="shared" ca="1" si="649"/>
        <v>4.1749999999999998</v>
      </c>
      <c r="AK4970" s="8">
        <f t="shared" ca="1" si="651"/>
        <v>1.0001159722222221</v>
      </c>
      <c r="AL4970" s="98">
        <f t="shared" ca="1" si="650"/>
        <v>4.1948980499047606</v>
      </c>
      <c r="AM4970" s="106">
        <f t="shared" ca="1" si="647"/>
        <v>39348.803005549329</v>
      </c>
      <c r="AN4970" s="10">
        <f t="shared" ca="1" si="648"/>
        <v>1.1259961481099312</v>
      </c>
      <c r="AO4970" s="158"/>
      <c r="AP4970" s="158"/>
    </row>
    <row r="4971" spans="34:42">
      <c r="AH4971" s="6">
        <f t="shared" si="645"/>
        <v>4941</v>
      </c>
      <c r="AI4971" s="7">
        <f t="shared" ca="1" si="646"/>
        <v>47611</v>
      </c>
      <c r="AJ4971" s="210">
        <f t="shared" ca="1" si="649"/>
        <v>4.1749999999999998</v>
      </c>
      <c r="AK4971" s="8">
        <f t="shared" ca="1" si="651"/>
        <v>1.0001159722222221</v>
      </c>
      <c r="AL4971" s="98">
        <f t="shared" ca="1" si="650"/>
        <v>4.19492408129154</v>
      </c>
      <c r="AM4971" s="106">
        <f t="shared" ca="1" si="647"/>
        <v>39352.045404728531</v>
      </c>
      <c r="AN4971" s="10">
        <f t="shared" ca="1" si="648"/>
        <v>1.1260177419119666</v>
      </c>
      <c r="AO4971" s="158"/>
      <c r="AP4971" s="158"/>
    </row>
    <row r="4972" spans="34:42">
      <c r="AH4972" s="6">
        <f t="shared" si="645"/>
        <v>4942</v>
      </c>
      <c r="AI4972" s="7">
        <f t="shared" ca="1" si="646"/>
        <v>47612</v>
      </c>
      <c r="AJ4972" s="210">
        <f t="shared" ca="1" si="649"/>
        <v>4.1749999999999998</v>
      </c>
      <c r="AK4972" s="8">
        <f t="shared" ca="1" si="651"/>
        <v>1.0001159722222221</v>
      </c>
      <c r="AL4972" s="98">
        <f t="shared" ca="1" si="650"/>
        <v>4.1949501021500524</v>
      </c>
      <c r="AM4972" s="106">
        <f t="shared" ca="1" si="647"/>
        <v>39355.288071086179</v>
      </c>
      <c r="AN4972" s="10">
        <f t="shared" ca="1" si="648"/>
        <v>1.1260393269796776</v>
      </c>
      <c r="AO4972" s="158"/>
      <c r="AP4972" s="158"/>
    </row>
    <row r="4973" spans="34:42">
      <c r="AH4973" s="6">
        <f t="shared" si="645"/>
        <v>4943</v>
      </c>
      <c r="AI4973" s="7">
        <f t="shared" ca="1" si="646"/>
        <v>47613</v>
      </c>
      <c r="AJ4973" s="210">
        <f t="shared" ca="1" si="649"/>
        <v>4.1749999999999998</v>
      </c>
      <c r="AK4973" s="8">
        <f t="shared" ca="1" si="651"/>
        <v>1.0001159722222221</v>
      </c>
      <c r="AL4973" s="98">
        <f t="shared" ca="1" si="650"/>
        <v>4.1949761124866924</v>
      </c>
      <c r="AM4973" s="106">
        <f t="shared" ca="1" si="647"/>
        <v>39358.531004644312</v>
      </c>
      <c r="AN4973" s="10">
        <f t="shared" ca="1" si="648"/>
        <v>1.1260609033184155</v>
      </c>
      <c r="AO4973" s="158"/>
      <c r="AP4973" s="158"/>
    </row>
    <row r="4974" spans="34:42">
      <c r="AH4974" s="6">
        <f t="shared" si="645"/>
        <v>4944</v>
      </c>
      <c r="AI4974" s="7">
        <f t="shared" ca="1" si="646"/>
        <v>47614</v>
      </c>
      <c r="AJ4974" s="210">
        <f t="shared" ca="1" si="649"/>
        <v>4.1749999999999998</v>
      </c>
      <c r="AK4974" s="8">
        <f t="shared" ca="1" si="651"/>
        <v>1.0001159722222221</v>
      </c>
      <c r="AL4974" s="98">
        <f t="shared" ca="1" si="650"/>
        <v>4.1950021123078329</v>
      </c>
      <c r="AM4974" s="106">
        <f t="shared" ca="1" si="647"/>
        <v>39361.774205424932</v>
      </c>
      <c r="AN4974" s="10">
        <f t="shared" ca="1" si="648"/>
        <v>1.1260824709334649</v>
      </c>
      <c r="AO4974" s="158"/>
      <c r="AP4974" s="158"/>
    </row>
    <row r="4975" spans="34:42">
      <c r="AH4975" s="6">
        <f t="shared" si="645"/>
        <v>4945</v>
      </c>
      <c r="AI4975" s="7">
        <f t="shared" ca="1" si="646"/>
        <v>47615</v>
      </c>
      <c r="AJ4975" s="210">
        <f t="shared" ca="1" si="649"/>
        <v>4.1749999999999998</v>
      </c>
      <c r="AK4975" s="8">
        <f t="shared" ca="1" si="651"/>
        <v>1.0001159722222221</v>
      </c>
      <c r="AL4975" s="98">
        <f t="shared" ca="1" si="650"/>
        <v>4.1950281016198687</v>
      </c>
      <c r="AM4975" s="106">
        <f t="shared" ca="1" si="647"/>
        <v>39365.017673450064</v>
      </c>
      <c r="AN4975" s="10">
        <f t="shared" ca="1" si="648"/>
        <v>1.1261040298301106</v>
      </c>
      <c r="AO4975" s="158"/>
      <c r="AP4975" s="158"/>
    </row>
    <row r="4976" spans="34:42">
      <c r="AH4976" s="6">
        <f t="shared" si="645"/>
        <v>4946</v>
      </c>
      <c r="AI4976" s="7">
        <f t="shared" ca="1" si="646"/>
        <v>47616</v>
      </c>
      <c r="AJ4976" s="210">
        <f t="shared" ca="1" si="649"/>
        <v>4.1749999999999998</v>
      </c>
      <c r="AK4976" s="8">
        <f t="shared" ca="1" si="651"/>
        <v>1.0001159722222221</v>
      </c>
      <c r="AL4976" s="98">
        <f t="shared" ca="1" si="650"/>
        <v>4.1950540804291503</v>
      </c>
      <c r="AM4976" s="106">
        <f t="shared" ca="1" si="647"/>
        <v>39368.261408741724</v>
      </c>
      <c r="AN4976" s="10">
        <f t="shared" ca="1" si="648"/>
        <v>1.1261255800136372</v>
      </c>
      <c r="AO4976" s="158"/>
      <c r="AP4976" s="158"/>
    </row>
    <row r="4977" spans="34:42">
      <c r="AH4977" s="6">
        <f t="shared" si="645"/>
        <v>4947</v>
      </c>
      <c r="AI4977" s="7">
        <f t="shared" ca="1" si="646"/>
        <v>47617</v>
      </c>
      <c r="AJ4977" s="210">
        <f t="shared" ca="1" si="649"/>
        <v>4.1749999999999998</v>
      </c>
      <c r="AK4977" s="8">
        <f t="shared" ca="1" si="651"/>
        <v>1.0001159722222221</v>
      </c>
      <c r="AL4977" s="98">
        <f t="shared" ca="1" si="650"/>
        <v>4.1950800487420503</v>
      </c>
      <c r="AM4977" s="106">
        <f t="shared" ca="1" si="647"/>
        <v>39371.505411321938</v>
      </c>
      <c r="AN4977" s="10">
        <f t="shared" ca="1" si="648"/>
        <v>1.1261471214893293</v>
      </c>
      <c r="AO4977" s="158"/>
      <c r="AP4977" s="158"/>
    </row>
    <row r="4978" spans="34:42">
      <c r="AH4978" s="6">
        <f t="shared" si="645"/>
        <v>4948</v>
      </c>
      <c r="AI4978" s="7">
        <f t="shared" ca="1" si="646"/>
        <v>47618</v>
      </c>
      <c r="AJ4978" s="210">
        <f t="shared" ca="1" si="649"/>
        <v>4.1749999999999998</v>
      </c>
      <c r="AK4978" s="8">
        <f t="shared" ca="1" si="651"/>
        <v>1.0001159722222221</v>
      </c>
      <c r="AL4978" s="98">
        <f t="shared" ca="1" si="650"/>
        <v>4.1951060065649415</v>
      </c>
      <c r="AM4978" s="106">
        <f t="shared" ca="1" si="647"/>
        <v>39374.749681212728</v>
      </c>
      <c r="AN4978" s="10">
        <f t="shared" ca="1" si="648"/>
        <v>1.1261686542624716</v>
      </c>
      <c r="AO4978" s="158"/>
      <c r="AP4978" s="158"/>
    </row>
    <row r="4979" spans="34:42">
      <c r="AH4979" s="6">
        <f t="shared" si="645"/>
        <v>4949</v>
      </c>
      <c r="AI4979" s="7">
        <f t="shared" ca="1" si="646"/>
        <v>47619</v>
      </c>
      <c r="AJ4979" s="210">
        <f t="shared" ca="1" si="649"/>
        <v>4.1749999999999998</v>
      </c>
      <c r="AK4979" s="8">
        <f t="shared" ca="1" si="651"/>
        <v>1.0001159722222221</v>
      </c>
      <c r="AL4979" s="98">
        <f t="shared" ca="1" si="650"/>
        <v>4.1951319539041521</v>
      </c>
      <c r="AM4979" s="106">
        <f t="shared" ca="1" si="647"/>
        <v>39377.994218436121</v>
      </c>
      <c r="AN4979" s="10">
        <f t="shared" ca="1" si="648"/>
        <v>1.1261901783383044</v>
      </c>
      <c r="AO4979" s="158"/>
      <c r="AP4979" s="158"/>
    </row>
    <row r="4980" spans="34:42">
      <c r="AH4980" s="6">
        <f t="shared" si="645"/>
        <v>4950</v>
      </c>
      <c r="AI4980" s="7">
        <f t="shared" ca="1" si="646"/>
        <v>47620</v>
      </c>
      <c r="AJ4980" s="210">
        <f t="shared" ca="1" si="649"/>
        <v>4.1749999999999998</v>
      </c>
      <c r="AK4980" s="8">
        <f t="shared" ca="1" si="651"/>
        <v>1.0001159722222221</v>
      </c>
      <c r="AL4980" s="98">
        <f t="shared" ca="1" si="650"/>
        <v>4.1951578907660547</v>
      </c>
      <c r="AM4980" s="106">
        <f t="shared" ca="1" si="647"/>
        <v>39381.239023014154</v>
      </c>
      <c r="AN4980" s="10">
        <f t="shared" ca="1" si="648"/>
        <v>1.1262116937221345</v>
      </c>
      <c r="AO4980" s="158"/>
      <c r="AP4980" s="158"/>
    </row>
    <row r="4981" spans="34:42">
      <c r="AH4981" s="6">
        <f t="shared" si="645"/>
        <v>4951</v>
      </c>
      <c r="AI4981" s="7">
        <f t="shared" ca="1" si="646"/>
        <v>47621</v>
      </c>
      <c r="AJ4981" s="210">
        <f t="shared" ca="1" si="649"/>
        <v>4.1749999999999998</v>
      </c>
      <c r="AK4981" s="8">
        <f t="shared" ca="1" si="651"/>
        <v>1.0001159722222221</v>
      </c>
      <c r="AL4981" s="98">
        <f t="shared" ca="1" si="650"/>
        <v>4.1951838171569777</v>
      </c>
      <c r="AM4981" s="106">
        <f t="shared" ca="1" si="647"/>
        <v>39384.484094968844</v>
      </c>
      <c r="AN4981" s="10">
        <f t="shared" ca="1" si="648"/>
        <v>1.1262332004192022</v>
      </c>
      <c r="AO4981" s="158"/>
      <c r="AP4981" s="158"/>
    </row>
    <row r="4982" spans="34:42">
      <c r="AH4982" s="6">
        <f t="shared" si="645"/>
        <v>4952</v>
      </c>
      <c r="AI4982" s="7">
        <f t="shared" ca="1" si="646"/>
        <v>47622</v>
      </c>
      <c r="AJ4982" s="210">
        <f t="shared" ca="1" si="649"/>
        <v>4.1749999999999998</v>
      </c>
      <c r="AK4982" s="8">
        <f t="shared" ca="1" si="651"/>
        <v>1.0001159722222221</v>
      </c>
      <c r="AL4982" s="98">
        <f t="shared" ca="1" si="650"/>
        <v>4.1952097330832716</v>
      </c>
      <c r="AM4982" s="106">
        <f t="shared" ca="1" si="647"/>
        <v>39387.729434322238</v>
      </c>
      <c r="AN4982" s="10">
        <f t="shared" ca="1" si="648"/>
        <v>1.1262546984347921</v>
      </c>
      <c r="AO4982" s="158"/>
      <c r="AP4982" s="158"/>
    </row>
    <row r="4983" spans="34:42">
      <c r="AH4983" s="6">
        <f t="shared" si="645"/>
        <v>4953</v>
      </c>
      <c r="AI4983" s="7">
        <f t="shared" ca="1" si="646"/>
        <v>47623</v>
      </c>
      <c r="AJ4983" s="210">
        <f t="shared" ca="1" si="649"/>
        <v>4.1749999999999998</v>
      </c>
      <c r="AK4983" s="8">
        <f t="shared" ca="1" si="651"/>
        <v>1.0001159722222221</v>
      </c>
      <c r="AL4983" s="98">
        <f t="shared" ca="1" si="650"/>
        <v>4.1952356385512646</v>
      </c>
      <c r="AM4983" s="106">
        <f t="shared" ca="1" si="647"/>
        <v>39390.975041096368</v>
      </c>
      <c r="AN4983" s="10">
        <f t="shared" ca="1" si="648"/>
        <v>1.1262761877741223</v>
      </c>
      <c r="AO4983" s="158"/>
      <c r="AP4983" s="158"/>
    </row>
    <row r="4984" spans="34:42">
      <c r="AH4984" s="6">
        <f t="shared" si="645"/>
        <v>4954</v>
      </c>
      <c r="AI4984" s="7">
        <f t="shared" ca="1" si="646"/>
        <v>47624</v>
      </c>
      <c r="AJ4984" s="210">
        <f t="shared" ca="1" si="649"/>
        <v>4.1749999999999998</v>
      </c>
      <c r="AK4984" s="8">
        <f t="shared" ca="1" si="651"/>
        <v>1.0001159722222221</v>
      </c>
      <c r="AL4984" s="98">
        <f t="shared" ca="1" si="650"/>
        <v>4.1952615335673071</v>
      </c>
      <c r="AM4984" s="106">
        <f t="shared" ca="1" si="647"/>
        <v>39394.220915313257</v>
      </c>
      <c r="AN4984" s="10">
        <f t="shared" ca="1" si="648"/>
        <v>1.1262976684424997</v>
      </c>
      <c r="AO4984" s="158"/>
      <c r="AP4984" s="158"/>
    </row>
    <row r="4985" spans="34:42">
      <c r="AH4985" s="6">
        <f t="shared" si="645"/>
        <v>4955</v>
      </c>
      <c r="AI4985" s="7">
        <f t="shared" ca="1" si="646"/>
        <v>47625</v>
      </c>
      <c r="AJ4985" s="210">
        <f t="shared" ca="1" si="649"/>
        <v>4.1749999999999998</v>
      </c>
      <c r="AK4985" s="8">
        <f t="shared" ca="1" si="651"/>
        <v>1.0001159722222221</v>
      </c>
      <c r="AL4985" s="98">
        <f t="shared" ca="1" si="650"/>
        <v>4.1952874181377053</v>
      </c>
      <c r="AM4985" s="106">
        <f t="shared" ca="1" si="647"/>
        <v>39397.467056994945</v>
      </c>
      <c r="AN4985" s="10">
        <f t="shared" ca="1" si="648"/>
        <v>1.12631914044512</v>
      </c>
      <c r="AO4985" s="158"/>
      <c r="AP4985" s="158"/>
    </row>
    <row r="4986" spans="34:42">
      <c r="AH4986" s="6">
        <f t="shared" si="645"/>
        <v>4956</v>
      </c>
      <c r="AI4986" s="7">
        <f t="shared" ca="1" si="646"/>
        <v>47626</v>
      </c>
      <c r="AJ4986" s="210">
        <f t="shared" ca="1" si="649"/>
        <v>4.1749999999999998</v>
      </c>
      <c r="AK4986" s="8">
        <f t="shared" ca="1" si="651"/>
        <v>1.0001159722222221</v>
      </c>
      <c r="AL4986" s="98">
        <f t="shared" ca="1" si="650"/>
        <v>4.1953132922687653</v>
      </c>
      <c r="AM4986" s="106">
        <f t="shared" ca="1" si="647"/>
        <v>39400.713466163485</v>
      </c>
      <c r="AN4986" s="10">
        <f t="shared" ca="1" si="648"/>
        <v>1.1263406037872237</v>
      </c>
      <c r="AO4986" s="158"/>
      <c r="AP4986" s="158"/>
    </row>
    <row r="4987" spans="34:42">
      <c r="AH4987" s="6">
        <f t="shared" si="645"/>
        <v>4957</v>
      </c>
      <c r="AI4987" s="7">
        <f t="shared" ca="1" si="646"/>
        <v>47627</v>
      </c>
      <c r="AJ4987" s="210">
        <f t="shared" ca="1" si="649"/>
        <v>4.1749999999999998</v>
      </c>
      <c r="AK4987" s="8">
        <f t="shared" ca="1" si="651"/>
        <v>1.0001159722222221</v>
      </c>
      <c r="AL4987" s="98">
        <f t="shared" ca="1" si="650"/>
        <v>4.1953391559668152</v>
      </c>
      <c r="AM4987" s="106">
        <f t="shared" ca="1" si="647"/>
        <v>39403.960142840908</v>
      </c>
      <c r="AN4987" s="10">
        <f t="shared" ca="1" si="648"/>
        <v>1.126362058474073</v>
      </c>
      <c r="AO4987" s="158"/>
      <c r="AP4987" s="158"/>
    </row>
    <row r="4988" spans="34:42">
      <c r="AH4988" s="6">
        <f t="shared" si="645"/>
        <v>4958</v>
      </c>
      <c r="AI4988" s="7">
        <f t="shared" ca="1" si="646"/>
        <v>47628</v>
      </c>
      <c r="AJ4988" s="210">
        <f t="shared" ca="1" si="649"/>
        <v>4.1749999999999998</v>
      </c>
      <c r="AK4988" s="8">
        <f t="shared" ca="1" si="651"/>
        <v>1.0001159722222221</v>
      </c>
      <c r="AL4988" s="98">
        <f t="shared" ca="1" si="650"/>
        <v>4.1953650092381611</v>
      </c>
      <c r="AM4988" s="106">
        <f t="shared" ca="1" si="647"/>
        <v>39407.207087049261</v>
      </c>
      <c r="AN4988" s="10">
        <f t="shared" ca="1" si="648"/>
        <v>1.1263835045109083</v>
      </c>
      <c r="AO4988" s="158"/>
      <c r="AP4988" s="158"/>
    </row>
    <row r="4989" spans="34:42">
      <c r="AH4989" s="6">
        <f t="shared" si="645"/>
        <v>4959</v>
      </c>
      <c r="AI4989" s="7">
        <f t="shared" ca="1" si="646"/>
        <v>47629</v>
      </c>
      <c r="AJ4989" s="210">
        <f t="shared" ca="1" si="649"/>
        <v>4.1749999999999998</v>
      </c>
      <c r="AK4989" s="8">
        <f t="shared" ca="1" si="651"/>
        <v>1.0001159722222221</v>
      </c>
      <c r="AL4989" s="98">
        <f t="shared" ca="1" si="650"/>
        <v>4.1953908520891314</v>
      </c>
      <c r="AM4989" s="106">
        <f t="shared" ca="1" si="647"/>
        <v>39410.454298810582</v>
      </c>
      <c r="AN4989" s="10">
        <f t="shared" ca="1" si="648"/>
        <v>1.1264049419029698</v>
      </c>
      <c r="AO4989" s="158"/>
      <c r="AP4989" s="158"/>
    </row>
    <row r="4990" spans="34:42">
      <c r="AH4990" s="6">
        <f t="shared" si="645"/>
        <v>4960</v>
      </c>
      <c r="AI4990" s="7">
        <f t="shared" ca="1" si="646"/>
        <v>47630</v>
      </c>
      <c r="AJ4990" s="210">
        <f t="shared" ca="1" si="649"/>
        <v>4.1749999999999998</v>
      </c>
      <c r="AK4990" s="8">
        <f t="shared" ca="1" si="651"/>
        <v>1.0001159722222221</v>
      </c>
      <c r="AL4990" s="98">
        <f t="shared" ca="1" si="650"/>
        <v>4.1954166845259877</v>
      </c>
      <c r="AM4990" s="106">
        <f t="shared" ca="1" si="647"/>
        <v>39413.701778146933</v>
      </c>
      <c r="AN4990" s="10">
        <f t="shared" ca="1" si="648"/>
        <v>1.1264263706554312</v>
      </c>
      <c r="AO4990" s="158"/>
      <c r="AP4990" s="158"/>
    </row>
    <row r="4991" spans="34:42">
      <c r="AH4991" s="6">
        <f t="shared" si="645"/>
        <v>4961</v>
      </c>
      <c r="AI4991" s="7">
        <f t="shared" ca="1" si="646"/>
        <v>47631</v>
      </c>
      <c r="AJ4991" s="210">
        <f t="shared" ca="1" si="649"/>
        <v>4.1749999999999998</v>
      </c>
      <c r="AK4991" s="8">
        <f t="shared" ca="1" si="651"/>
        <v>1.0001159722222221</v>
      </c>
      <c r="AL4991" s="98">
        <f t="shared" ca="1" si="650"/>
        <v>4.195442506555036</v>
      </c>
      <c r="AM4991" s="106">
        <f t="shared" ca="1" si="647"/>
        <v>39416.949525080345</v>
      </c>
      <c r="AN4991" s="10">
        <f t="shared" ca="1" si="648"/>
        <v>1.1264477907735548</v>
      </c>
      <c r="AO4991" s="158"/>
      <c r="AP4991" s="158"/>
    </row>
    <row r="4992" spans="34:42">
      <c r="AH4992" s="6">
        <f t="shared" si="645"/>
        <v>4962</v>
      </c>
      <c r="AI4992" s="7">
        <f t="shared" ca="1" si="646"/>
        <v>47632</v>
      </c>
      <c r="AJ4992" s="210">
        <f t="shared" ca="1" si="649"/>
        <v>4.1749999999999998</v>
      </c>
      <c r="AK4992" s="8">
        <f t="shared" ca="1" si="651"/>
        <v>1.0001159722222221</v>
      </c>
      <c r="AL4992" s="98">
        <f t="shared" ca="1" si="650"/>
        <v>4.1954683181825825</v>
      </c>
      <c r="AM4992" s="106">
        <f t="shared" ca="1" si="647"/>
        <v>39420.197539632878</v>
      </c>
      <c r="AN4992" s="10">
        <f t="shared" ca="1" si="648"/>
        <v>1.1264692022625589</v>
      </c>
      <c r="AO4992" s="158"/>
      <c r="AP4992" s="158"/>
    </row>
    <row r="4993" spans="34:42">
      <c r="AH4993" s="6">
        <f t="shared" si="645"/>
        <v>4963</v>
      </c>
      <c r="AI4993" s="7">
        <f t="shared" ca="1" si="646"/>
        <v>47633</v>
      </c>
      <c r="AJ4993" s="210">
        <f t="shared" ca="1" si="649"/>
        <v>4.1749999999999998</v>
      </c>
      <c r="AK4993" s="8">
        <f t="shared" ca="1" si="651"/>
        <v>1.0001159722222221</v>
      </c>
      <c r="AL4993" s="98">
        <f t="shared" ca="1" si="650"/>
        <v>4.1954941194148887</v>
      </c>
      <c r="AM4993" s="106">
        <f t="shared" ca="1" si="647"/>
        <v>39423.445821826579</v>
      </c>
      <c r="AN4993" s="10">
        <f t="shared" ca="1" si="648"/>
        <v>1.1264906051276613</v>
      </c>
      <c r="AO4993" s="158"/>
      <c r="AP4993" s="158"/>
    </row>
    <row r="4994" spans="34:42">
      <c r="AH4994" s="6">
        <f t="shared" si="645"/>
        <v>4964</v>
      </c>
      <c r="AI4994" s="7">
        <f t="shared" ca="1" si="646"/>
        <v>47634</v>
      </c>
      <c r="AJ4994" s="210">
        <f t="shared" ca="1" si="649"/>
        <v>4.1749999999999998</v>
      </c>
      <c r="AK4994" s="8">
        <f t="shared" ca="1" si="651"/>
        <v>1.0001159722222221</v>
      </c>
      <c r="AL4994" s="98">
        <f t="shared" ca="1" si="650"/>
        <v>4.1955199102582386</v>
      </c>
      <c r="AM4994" s="106">
        <f t="shared" ca="1" si="647"/>
        <v>39426.694371683509</v>
      </c>
      <c r="AN4994" s="10">
        <f t="shared" ca="1" si="648"/>
        <v>1.1265119993740358</v>
      </c>
      <c r="AO4994" s="158"/>
      <c r="AP4994" s="158"/>
    </row>
    <row r="4995" spans="34:42">
      <c r="AH4995" s="6">
        <f t="shared" si="645"/>
        <v>4965</v>
      </c>
      <c r="AI4995" s="7">
        <f t="shared" ca="1" si="646"/>
        <v>47635</v>
      </c>
      <c r="AJ4995" s="210">
        <f t="shared" ca="1" si="649"/>
        <v>4.1749999999999998</v>
      </c>
      <c r="AK4995" s="8">
        <f t="shared" ca="1" si="651"/>
        <v>1.0001159722222221</v>
      </c>
      <c r="AL4995" s="98">
        <f t="shared" ca="1" si="650"/>
        <v>4.1955456907189159</v>
      </c>
      <c r="AM4995" s="106">
        <f t="shared" ca="1" si="647"/>
        <v>39429.94318922572</v>
      </c>
      <c r="AN4995" s="10">
        <f t="shared" ca="1" si="648"/>
        <v>1.1265333850069226</v>
      </c>
      <c r="AO4995" s="158"/>
      <c r="AP4995" s="158"/>
    </row>
    <row r="4996" spans="34:42">
      <c r="AH4996" s="6">
        <f t="shared" si="645"/>
        <v>4966</v>
      </c>
      <c r="AI4996" s="7">
        <f t="shared" ca="1" si="646"/>
        <v>47636</v>
      </c>
      <c r="AJ4996" s="210">
        <f t="shared" ca="1" si="649"/>
        <v>4.1749999999999998</v>
      </c>
      <c r="AK4996" s="8">
        <f t="shared" ca="1" si="651"/>
        <v>1.0001159722222221</v>
      </c>
      <c r="AL4996" s="98">
        <f t="shared" ca="1" si="650"/>
        <v>4.1955714608031824</v>
      </c>
      <c r="AM4996" s="106">
        <f t="shared" ca="1" si="647"/>
        <v>39433.192274475266</v>
      </c>
      <c r="AN4996" s="10">
        <f t="shared" ca="1" si="648"/>
        <v>1.1265547620314953</v>
      </c>
      <c r="AO4996" s="158"/>
      <c r="AP4996" s="158"/>
    </row>
    <row r="4997" spans="34:42">
      <c r="AH4997" s="6">
        <f t="shared" si="645"/>
        <v>4967</v>
      </c>
      <c r="AI4997" s="7">
        <f t="shared" ca="1" si="646"/>
        <v>47637</v>
      </c>
      <c r="AJ4997" s="210">
        <f t="shared" ca="1" si="649"/>
        <v>4.1749999999999998</v>
      </c>
      <c r="AK4997" s="8">
        <f t="shared" ca="1" si="651"/>
        <v>1.0001159722222221</v>
      </c>
      <c r="AL4997" s="98">
        <f t="shared" ca="1" si="650"/>
        <v>4.1955972205172998</v>
      </c>
      <c r="AM4997" s="106">
        <f t="shared" ca="1" si="647"/>
        <v>39436.441627454209</v>
      </c>
      <c r="AN4997" s="10">
        <f t="shared" ca="1" si="648"/>
        <v>1.1265761304529942</v>
      </c>
      <c r="AO4997" s="158"/>
      <c r="AP4997" s="158"/>
    </row>
    <row r="4998" spans="34:42">
      <c r="AH4998" s="6">
        <f t="shared" si="645"/>
        <v>4968</v>
      </c>
      <c r="AI4998" s="7">
        <f t="shared" ca="1" si="646"/>
        <v>47638</v>
      </c>
      <c r="AJ4998" s="210">
        <f t="shared" ca="1" si="649"/>
        <v>4.1749999999999998</v>
      </c>
      <c r="AK4998" s="8">
        <f t="shared" ca="1" si="651"/>
        <v>1.0001159722222221</v>
      </c>
      <c r="AL4998" s="98">
        <f t="shared" ca="1" si="650"/>
        <v>4.1956229698675296</v>
      </c>
      <c r="AM4998" s="106">
        <f t="shared" ca="1" si="647"/>
        <v>39439.691248184616</v>
      </c>
      <c r="AN4998" s="10">
        <f t="shared" ca="1" si="648"/>
        <v>1.1265974902765485</v>
      </c>
      <c r="AO4998" s="158"/>
      <c r="AP4998" s="158"/>
    </row>
    <row r="4999" spans="34:42">
      <c r="AH4999" s="6">
        <f t="shared" si="645"/>
        <v>4969</v>
      </c>
      <c r="AI4999" s="7">
        <f t="shared" ca="1" si="646"/>
        <v>47639</v>
      </c>
      <c r="AJ4999" s="210">
        <f t="shared" ca="1" si="649"/>
        <v>4.1749999999999998</v>
      </c>
      <c r="AK4999" s="8">
        <f t="shared" ca="1" si="651"/>
        <v>1.0001159722222221</v>
      </c>
      <c r="AL4999" s="98">
        <f t="shared" ca="1" si="650"/>
        <v>4.1956487088601113</v>
      </c>
      <c r="AM4999" s="106">
        <f t="shared" ca="1" si="647"/>
        <v>39442.94113668854</v>
      </c>
      <c r="AN4999" s="10">
        <f t="shared" ca="1" si="648"/>
        <v>1.1266188415073985</v>
      </c>
      <c r="AO4999" s="158"/>
      <c r="AP4999" s="158"/>
    </row>
    <row r="5000" spans="34:42">
      <c r="AH5000" s="6">
        <f t="shared" si="645"/>
        <v>4970</v>
      </c>
      <c r="AI5000" s="7">
        <f t="shared" ca="1" si="646"/>
        <v>47640</v>
      </c>
      <c r="AJ5000" s="210">
        <f t="shared" ca="1" si="649"/>
        <v>4.1749999999999998</v>
      </c>
      <c r="AK5000" s="8">
        <f t="shared" ca="1" si="651"/>
        <v>1.0001159722222221</v>
      </c>
      <c r="AL5000" s="98">
        <f t="shared" ca="1" si="650"/>
        <v>4.1956744375013066</v>
      </c>
      <c r="AM5000" s="106">
        <f t="shared" ca="1" si="647"/>
        <v>39446.191292988064</v>
      </c>
      <c r="AN5000" s="10">
        <f t="shared" ca="1" si="648"/>
        <v>1.1266401841506957</v>
      </c>
      <c r="AO5000" s="158"/>
      <c r="AP5000" s="158"/>
    </row>
    <row r="5001" spans="34:42">
      <c r="AH5001" s="6">
        <f t="shared" si="645"/>
        <v>4971</v>
      </c>
      <c r="AI5001" s="7">
        <f t="shared" ca="1" si="646"/>
        <v>47641</v>
      </c>
      <c r="AJ5001" s="210">
        <f t="shared" ca="1" si="649"/>
        <v>4.1749999999999998</v>
      </c>
      <c r="AK5001" s="8">
        <f t="shared" ca="1" si="651"/>
        <v>1.0001159722222221</v>
      </c>
      <c r="AL5001" s="98">
        <f t="shared" ca="1" si="650"/>
        <v>4.195700155797355</v>
      </c>
      <c r="AM5001" s="106">
        <f t="shared" ca="1" si="647"/>
        <v>39449.441717105234</v>
      </c>
      <c r="AN5001" s="10">
        <f t="shared" ca="1" si="648"/>
        <v>1.1266615182116357</v>
      </c>
      <c r="AO5001" s="158"/>
      <c r="AP5001" s="158"/>
    </row>
    <row r="5002" spans="34:42">
      <c r="AH5002" s="6">
        <f t="shared" si="645"/>
        <v>4972</v>
      </c>
      <c r="AI5002" s="7">
        <f t="shared" ca="1" si="646"/>
        <v>47642</v>
      </c>
      <c r="AJ5002" s="210">
        <f t="shared" ca="1" si="649"/>
        <v>4.1749999999999998</v>
      </c>
      <c r="AK5002" s="8">
        <f t="shared" ca="1" si="651"/>
        <v>1.0001159722222221</v>
      </c>
      <c r="AL5002" s="98">
        <f t="shared" ca="1" si="650"/>
        <v>4.1957258637544959</v>
      </c>
      <c r="AM5002" s="106">
        <f t="shared" ca="1" si="647"/>
        <v>39452.692409062125</v>
      </c>
      <c r="AN5002" s="10">
        <f t="shared" ca="1" si="648"/>
        <v>1.1266828436953924</v>
      </c>
      <c r="AO5002" s="158"/>
      <c r="AP5002" s="158"/>
    </row>
    <row r="5003" spans="34:42">
      <c r="AH5003" s="6">
        <f t="shared" si="645"/>
        <v>4973</v>
      </c>
      <c r="AI5003" s="7">
        <f t="shared" ca="1" si="646"/>
        <v>47643</v>
      </c>
      <c r="AJ5003" s="210">
        <f t="shared" ca="1" si="649"/>
        <v>4.1749999999999998</v>
      </c>
      <c r="AK5003" s="8">
        <f t="shared" ca="1" si="651"/>
        <v>1.0001159722222221</v>
      </c>
      <c r="AL5003" s="98">
        <f t="shared" ca="1" si="650"/>
        <v>4.1957515613789687</v>
      </c>
      <c r="AM5003" s="106">
        <f t="shared" ca="1" si="647"/>
        <v>39455.943368880806</v>
      </c>
      <c r="AN5003" s="10">
        <f t="shared" ca="1" si="648"/>
        <v>1.1267041606071393</v>
      </c>
      <c r="AO5003" s="158"/>
      <c r="AP5003" s="158"/>
    </row>
    <row r="5004" spans="34:42">
      <c r="AH5004" s="6">
        <f t="shared" si="645"/>
        <v>4974</v>
      </c>
      <c r="AI5004" s="7">
        <f t="shared" ca="1" si="646"/>
        <v>47644</v>
      </c>
      <c r="AJ5004" s="210">
        <f t="shared" ca="1" si="649"/>
        <v>4.1749999999999998</v>
      </c>
      <c r="AK5004" s="8">
        <f t="shared" ca="1" si="651"/>
        <v>1.0001159722222221</v>
      </c>
      <c r="AL5004" s="98">
        <f t="shared" ca="1" si="650"/>
        <v>4.1957772486769906</v>
      </c>
      <c r="AM5004" s="106">
        <f t="shared" ca="1" si="647"/>
        <v>39459.194596583358</v>
      </c>
      <c r="AN5004" s="10">
        <f t="shared" ca="1" si="648"/>
        <v>1.1267254689520501</v>
      </c>
      <c r="AO5004" s="158"/>
      <c r="AP5004" s="158"/>
    </row>
    <row r="5005" spans="34:42">
      <c r="AH5005" s="6">
        <f t="shared" si="645"/>
        <v>4975</v>
      </c>
      <c r="AI5005" s="7">
        <f t="shared" ca="1" si="646"/>
        <v>47645</v>
      </c>
      <c r="AJ5005" s="210">
        <f t="shared" ca="1" si="649"/>
        <v>4.1749999999999998</v>
      </c>
      <c r="AK5005" s="8">
        <f t="shared" ca="1" si="651"/>
        <v>1.0001159722222221</v>
      </c>
      <c r="AL5005" s="98">
        <f t="shared" ca="1" si="650"/>
        <v>4.1958029256547791</v>
      </c>
      <c r="AM5005" s="106">
        <f t="shared" ca="1" si="647"/>
        <v>39462.446092191843</v>
      </c>
      <c r="AN5005" s="10">
        <f t="shared" ca="1" si="648"/>
        <v>1.1267467687352539</v>
      </c>
      <c r="AO5005" s="158"/>
      <c r="AP5005" s="158"/>
    </row>
    <row r="5006" spans="34:42">
      <c r="AH5006" s="6">
        <f t="shared" si="645"/>
        <v>4976</v>
      </c>
      <c r="AI5006" s="7">
        <f t="shared" ca="1" si="646"/>
        <v>47646</v>
      </c>
      <c r="AJ5006" s="210">
        <f t="shared" ca="1" si="649"/>
        <v>4.1749999999999998</v>
      </c>
      <c r="AK5006" s="8">
        <f t="shared" ca="1" si="651"/>
        <v>1.0001159722222221</v>
      </c>
      <c r="AL5006" s="98">
        <f t="shared" ca="1" si="650"/>
        <v>4.1958285923185734</v>
      </c>
      <c r="AM5006" s="106">
        <f t="shared" ca="1" si="647"/>
        <v>39465.697855728351</v>
      </c>
      <c r="AN5006" s="10">
        <f t="shared" ca="1" si="648"/>
        <v>1.1267680599619689</v>
      </c>
      <c r="AO5006" s="158"/>
      <c r="AP5006" s="158"/>
    </row>
    <row r="5007" spans="34:42">
      <c r="AH5007" s="6">
        <f t="shared" si="645"/>
        <v>4977</v>
      </c>
      <c r="AI5007" s="7">
        <f t="shared" ca="1" si="646"/>
        <v>47647</v>
      </c>
      <c r="AJ5007" s="210">
        <f t="shared" ca="1" si="649"/>
        <v>4.1749999999999998</v>
      </c>
      <c r="AK5007" s="8">
        <f t="shared" ca="1" si="651"/>
        <v>1.0001159722222221</v>
      </c>
      <c r="AL5007" s="98">
        <f t="shared" ca="1" si="650"/>
        <v>4.1958542486745687</v>
      </c>
      <c r="AM5007" s="106">
        <f t="shared" ca="1" si="647"/>
        <v>39468.949887214956</v>
      </c>
      <c r="AN5007" s="10">
        <f t="shared" ca="1" si="648"/>
        <v>1.1267893426372799</v>
      </c>
      <c r="AO5007" s="158"/>
      <c r="AP5007" s="158"/>
    </row>
    <row r="5008" spans="34:42">
      <c r="AH5008" s="6">
        <f t="shared" si="645"/>
        <v>4978</v>
      </c>
      <c r="AI5008" s="7">
        <f t="shared" ca="1" si="646"/>
        <v>47648</v>
      </c>
      <c r="AJ5008" s="210">
        <f t="shared" ca="1" si="649"/>
        <v>4.1749999999999998</v>
      </c>
      <c r="AK5008" s="8">
        <f t="shared" ca="1" si="651"/>
        <v>1.0001159722222221</v>
      </c>
      <c r="AL5008" s="98">
        <f t="shared" ca="1" si="650"/>
        <v>4.1958798947289822</v>
      </c>
      <c r="AM5008" s="106">
        <f t="shared" ca="1" si="647"/>
        <v>39472.202186673727</v>
      </c>
      <c r="AN5008" s="10">
        <f t="shared" ca="1" si="648"/>
        <v>1.1268106167664049</v>
      </c>
      <c r="AO5008" s="158"/>
      <c r="AP5008" s="158"/>
    </row>
    <row r="5009" spans="34:42">
      <c r="AH5009" s="6">
        <f t="shared" si="645"/>
        <v>4979</v>
      </c>
      <c r="AI5009" s="7">
        <f t="shared" ca="1" si="646"/>
        <v>47649</v>
      </c>
      <c r="AJ5009" s="210">
        <f t="shared" ca="1" si="649"/>
        <v>4.1749999999999998</v>
      </c>
      <c r="AK5009" s="8">
        <f t="shared" ca="1" si="651"/>
        <v>1.0001159722222221</v>
      </c>
      <c r="AL5009" s="98">
        <f t="shared" ca="1" si="650"/>
        <v>4.1959055304880088</v>
      </c>
      <c r="AM5009" s="106">
        <f t="shared" ca="1" si="647"/>
        <v>39475.454754126753</v>
      </c>
      <c r="AN5009" s="10">
        <f t="shared" ca="1" si="648"/>
        <v>1.1268318823544288</v>
      </c>
      <c r="AO5009" s="158"/>
      <c r="AP5009" s="158"/>
    </row>
    <row r="5010" spans="34:42">
      <c r="AH5010" s="6">
        <f t="shared" si="645"/>
        <v>4980</v>
      </c>
      <c r="AI5010" s="7">
        <f t="shared" ca="1" si="646"/>
        <v>47650</v>
      </c>
      <c r="AJ5010" s="210">
        <f t="shared" ca="1" si="649"/>
        <v>4.1749999999999998</v>
      </c>
      <c r="AK5010" s="8">
        <f t="shared" ca="1" si="651"/>
        <v>1.0001159722222221</v>
      </c>
      <c r="AL5010" s="98">
        <f t="shared" ca="1" si="650"/>
        <v>4.195931155957866</v>
      </c>
      <c r="AM5010" s="106">
        <f t="shared" ca="1" si="647"/>
        <v>39478.70758959611</v>
      </c>
      <c r="AN5010" s="10">
        <f t="shared" ca="1" si="648"/>
        <v>1.1268531394065473</v>
      </c>
      <c r="AO5010" s="158"/>
      <c r="AP5010" s="158"/>
    </row>
    <row r="5011" spans="34:42">
      <c r="AH5011" s="6">
        <f t="shared" si="645"/>
        <v>4981</v>
      </c>
      <c r="AI5011" s="7">
        <f t="shared" ca="1" si="646"/>
        <v>47651</v>
      </c>
      <c r="AJ5011" s="210">
        <f t="shared" ca="1" si="649"/>
        <v>4.1749999999999998</v>
      </c>
      <c r="AK5011" s="8">
        <f t="shared" ca="1" si="651"/>
        <v>1.0001159722222221</v>
      </c>
      <c r="AL5011" s="98">
        <f t="shared" ca="1" si="650"/>
        <v>4.1959567711447265</v>
      </c>
      <c r="AM5011" s="106">
        <f t="shared" ca="1" si="647"/>
        <v>39481.960693103902</v>
      </c>
      <c r="AN5011" s="10">
        <f t="shared" ca="1" si="648"/>
        <v>1.1268743879278675</v>
      </c>
      <c r="AO5011" s="158"/>
      <c r="AP5011" s="158"/>
    </row>
    <row r="5012" spans="34:42">
      <c r="AH5012" s="6">
        <f t="shared" ref="AH5012:AH5075" si="652">$AI$29+AH5011</f>
        <v>4982</v>
      </c>
      <c r="AI5012" s="7">
        <f t="shared" ref="AI5012:AI5075" ca="1" si="653">+AH5012+$C$1</f>
        <v>47652</v>
      </c>
      <c r="AJ5012" s="210">
        <f t="shared" ca="1" si="649"/>
        <v>4.1749999999999998</v>
      </c>
      <c r="AK5012" s="8">
        <f t="shared" ca="1" si="651"/>
        <v>1.0001159722222221</v>
      </c>
      <c r="AL5012" s="98">
        <f t="shared" ca="1" si="650"/>
        <v>4.1959823760547854</v>
      </c>
      <c r="AM5012" s="106">
        <f t="shared" ca="1" si="647"/>
        <v>39485.214064672182</v>
      </c>
      <c r="AN5012" s="10">
        <f t="shared" ca="1" si="648"/>
        <v>1.1268956279235409</v>
      </c>
      <c r="AO5012" s="158"/>
      <c r="AP5012" s="158"/>
    </row>
    <row r="5013" spans="34:42">
      <c r="AH5013" s="6">
        <f t="shared" si="652"/>
        <v>4983</v>
      </c>
      <c r="AI5013" s="7">
        <f t="shared" ca="1" si="653"/>
        <v>47653</v>
      </c>
      <c r="AJ5013" s="210">
        <f t="shared" ca="1" si="649"/>
        <v>4.1749999999999998</v>
      </c>
      <c r="AK5013" s="8">
        <f t="shared" ca="1" si="651"/>
        <v>1.0001159722222221</v>
      </c>
      <c r="AL5013" s="98">
        <f t="shared" ca="1" si="650"/>
        <v>4.1960079706942377</v>
      </c>
      <c r="AM5013" s="106">
        <f t="shared" ca="1" si="647"/>
        <v>39488.467704323077</v>
      </c>
      <c r="AN5013" s="10">
        <f t="shared" ca="1" si="648"/>
        <v>1.1269168593986745</v>
      </c>
      <c r="AO5013" s="158"/>
      <c r="AP5013" s="158"/>
    </row>
    <row r="5014" spans="34:42">
      <c r="AH5014" s="6">
        <f t="shared" si="652"/>
        <v>4984</v>
      </c>
      <c r="AI5014" s="7">
        <f t="shared" ca="1" si="653"/>
        <v>47654</v>
      </c>
      <c r="AJ5014" s="210">
        <f t="shared" ca="1" si="649"/>
        <v>4.1749999999999998</v>
      </c>
      <c r="AK5014" s="8">
        <f t="shared" ca="1" si="651"/>
        <v>1.0001159722222221</v>
      </c>
      <c r="AL5014" s="98">
        <f t="shared" ca="1" si="650"/>
        <v>4.196033555069234</v>
      </c>
      <c r="AM5014" s="106">
        <f t="shared" ca="1" si="647"/>
        <v>39491.721612078654</v>
      </c>
      <c r="AN5014" s="10">
        <f t="shared" ca="1" si="648"/>
        <v>1.1269380823584196</v>
      </c>
      <c r="AO5014" s="158"/>
      <c r="AP5014" s="158"/>
    </row>
    <row r="5015" spans="34:42">
      <c r="AH5015" s="6">
        <f t="shared" si="652"/>
        <v>4985</v>
      </c>
      <c r="AI5015" s="7">
        <f t="shared" ca="1" si="653"/>
        <v>47655</v>
      </c>
      <c r="AJ5015" s="210">
        <f t="shared" ca="1" si="649"/>
        <v>4.1749999999999998</v>
      </c>
      <c r="AK5015" s="8">
        <f t="shared" ca="1" si="651"/>
        <v>1.0001159722222221</v>
      </c>
      <c r="AL5015" s="98">
        <f t="shared" ca="1" si="650"/>
        <v>4.1960591291859695</v>
      </c>
      <c r="AM5015" s="106">
        <f t="shared" ca="1" si="647"/>
        <v>39494.975787961012</v>
      </c>
      <c r="AN5015" s="10">
        <f t="shared" ca="1" si="648"/>
        <v>1.1269592968078834</v>
      </c>
      <c r="AO5015" s="158"/>
      <c r="AP5015" s="158"/>
    </row>
    <row r="5016" spans="34:42">
      <c r="AH5016" s="6">
        <f t="shared" si="652"/>
        <v>4986</v>
      </c>
      <c r="AI5016" s="7">
        <f t="shared" ca="1" si="653"/>
        <v>47656</v>
      </c>
      <c r="AJ5016" s="210">
        <f t="shared" ca="1" si="649"/>
        <v>4.1749999999999998</v>
      </c>
      <c r="AK5016" s="8">
        <f t="shared" ca="1" si="651"/>
        <v>1.0001159722222221</v>
      </c>
      <c r="AL5016" s="98">
        <f t="shared" ca="1" si="650"/>
        <v>4.1960846930506168</v>
      </c>
      <c r="AM5016" s="106">
        <f t="shared" ca="1" si="647"/>
        <v>39498.230231992246</v>
      </c>
      <c r="AN5016" s="10">
        <f t="shared" ca="1" si="648"/>
        <v>1.1269805027521951</v>
      </c>
      <c r="AO5016" s="158"/>
      <c r="AP5016" s="158"/>
    </row>
    <row r="5017" spans="34:42">
      <c r="AH5017" s="6">
        <f t="shared" si="652"/>
        <v>4987</v>
      </c>
      <c r="AI5017" s="7">
        <f t="shared" ca="1" si="653"/>
        <v>47657</v>
      </c>
      <c r="AJ5017" s="210">
        <f t="shared" ca="1" si="649"/>
        <v>4.1749999999999998</v>
      </c>
      <c r="AK5017" s="8">
        <f t="shared" ca="1" si="651"/>
        <v>1.0001159722222221</v>
      </c>
      <c r="AL5017" s="98">
        <f t="shared" ca="1" si="650"/>
        <v>4.1961102466693267</v>
      </c>
      <c r="AM5017" s="106">
        <f t="shared" ca="1" si="647"/>
        <v>39501.484944194439</v>
      </c>
      <c r="AN5017" s="10">
        <f t="shared" ca="1" si="648"/>
        <v>1.1270017001964394</v>
      </c>
      <c r="AO5017" s="158"/>
      <c r="AP5017" s="158"/>
    </row>
    <row r="5018" spans="34:42">
      <c r="AH5018" s="6">
        <f t="shared" si="652"/>
        <v>4988</v>
      </c>
      <c r="AI5018" s="7">
        <f t="shared" ca="1" si="653"/>
        <v>47658</v>
      </c>
      <c r="AJ5018" s="210">
        <f t="shared" ca="1" si="649"/>
        <v>4.1749999999999998</v>
      </c>
      <c r="AK5018" s="8">
        <f t="shared" ca="1" si="651"/>
        <v>1.0001159722222221</v>
      </c>
      <c r="AL5018" s="98">
        <f t="shared" ca="1" si="650"/>
        <v>4.1961357900482721</v>
      </c>
      <c r="AM5018" s="106">
        <f t="shared" ca="1" si="647"/>
        <v>39504.73992458971</v>
      </c>
      <c r="AN5018" s="10">
        <f t="shared" ca="1" si="648"/>
        <v>1.1270228891457901</v>
      </c>
      <c r="AO5018" s="158"/>
      <c r="AP5018" s="158"/>
    </row>
    <row r="5019" spans="34:42">
      <c r="AH5019" s="6">
        <f t="shared" si="652"/>
        <v>4989</v>
      </c>
      <c r="AI5019" s="7">
        <f t="shared" ca="1" si="653"/>
        <v>47659</v>
      </c>
      <c r="AJ5019" s="210">
        <f t="shared" ca="1" si="649"/>
        <v>4.1749999999999998</v>
      </c>
      <c r="AK5019" s="8">
        <f t="shared" ca="1" si="651"/>
        <v>1.0001159722222221</v>
      </c>
      <c r="AL5019" s="98">
        <f t="shared" ca="1" si="650"/>
        <v>4.1961613231935813</v>
      </c>
      <c r="AM5019" s="106">
        <f t="shared" ca="1" si="647"/>
        <v>39507.995173200143</v>
      </c>
      <c r="AN5019" s="10">
        <f t="shared" ca="1" si="648"/>
        <v>1.1270440696052875</v>
      </c>
      <c r="AO5019" s="158"/>
      <c r="AP5019" s="158"/>
    </row>
    <row r="5020" spans="34:42">
      <c r="AH5020" s="6">
        <f t="shared" si="652"/>
        <v>4990</v>
      </c>
      <c r="AI5020" s="7">
        <f t="shared" ca="1" si="653"/>
        <v>47660</v>
      </c>
      <c r="AJ5020" s="210">
        <f t="shared" ca="1" si="649"/>
        <v>4.1749999999999998</v>
      </c>
      <c r="AK5020" s="8">
        <f t="shared" ca="1" si="651"/>
        <v>1.0001159722222221</v>
      </c>
      <c r="AL5020" s="98">
        <f t="shared" ca="1" si="650"/>
        <v>4.1961868461114271</v>
      </c>
      <c r="AM5020" s="106">
        <f t="shared" ca="1" si="647"/>
        <v>39511.25069004784</v>
      </c>
      <c r="AN5020" s="10">
        <f t="shared" ca="1" si="648"/>
        <v>1.1270652415800608</v>
      </c>
      <c r="AO5020" s="158"/>
      <c r="AP5020" s="158"/>
    </row>
    <row r="5021" spans="34:42">
      <c r="AH5021" s="6">
        <f t="shared" si="652"/>
        <v>4991</v>
      </c>
      <c r="AI5021" s="7">
        <f t="shared" ca="1" si="653"/>
        <v>47661</v>
      </c>
      <c r="AJ5021" s="210">
        <f t="shared" ca="1" si="649"/>
        <v>4.1749999999999998</v>
      </c>
      <c r="AK5021" s="8">
        <f t="shared" ca="1" si="651"/>
        <v>1.0001159722222221</v>
      </c>
      <c r="AL5021" s="98">
        <f t="shared" ca="1" si="650"/>
        <v>4.1962123588079381</v>
      </c>
      <c r="AM5021" s="106">
        <f t="shared" ca="1" si="647"/>
        <v>39514.506475154914</v>
      </c>
      <c r="AN5021" s="10">
        <f t="shared" ca="1" si="648"/>
        <v>1.127086405075195</v>
      </c>
      <c r="AO5021" s="158"/>
      <c r="AP5021" s="158"/>
    </row>
    <row r="5022" spans="34:42">
      <c r="AH5022" s="6">
        <f t="shared" si="652"/>
        <v>4992</v>
      </c>
      <c r="AI5022" s="7">
        <f t="shared" ca="1" si="653"/>
        <v>47662</v>
      </c>
      <c r="AJ5022" s="210">
        <f t="shared" ca="1" si="649"/>
        <v>4.1749999999999998</v>
      </c>
      <c r="AK5022" s="8">
        <f t="shared" ca="1" si="651"/>
        <v>1.0001159722222221</v>
      </c>
      <c r="AL5022" s="98">
        <f t="shared" ca="1" si="650"/>
        <v>4.1962378612892648</v>
      </c>
      <c r="AM5022" s="106">
        <f t="shared" ca="1" si="647"/>
        <v>39517.76252854347</v>
      </c>
      <c r="AN5022" s="10">
        <f t="shared" ca="1" si="648"/>
        <v>1.1271075600957969</v>
      </c>
      <c r="AO5022" s="158"/>
      <c r="AP5022" s="158"/>
    </row>
    <row r="5023" spans="34:42">
      <c r="AH5023" s="6">
        <f t="shared" si="652"/>
        <v>4993</v>
      </c>
      <c r="AI5023" s="7">
        <f t="shared" ca="1" si="653"/>
        <v>47663</v>
      </c>
      <c r="AJ5023" s="210">
        <f t="shared" ca="1" si="649"/>
        <v>4.1749999999999998</v>
      </c>
      <c r="AK5023" s="8">
        <f t="shared" ca="1" si="651"/>
        <v>1.0001159722222221</v>
      </c>
      <c r="AL5023" s="98">
        <f t="shared" ca="1" si="650"/>
        <v>4.1962633535615357</v>
      </c>
      <c r="AM5023" s="106">
        <f t="shared" ref="AM5023:AM5086" ca="1" si="654">Geom_Interp(AI5023,$AZ$2:$AZ$109,$BA$2:$BA$109)</f>
        <v>39521.018850235596</v>
      </c>
      <c r="AN5023" s="10">
        <f t="shared" ref="AN5023:AN5086" ca="1" si="655">100*(((1+AL5023/100)^(AH5023/365)*$AM$29/AM5023)^(365/AH5023)-1)</f>
        <v>1.1271287066469515</v>
      </c>
      <c r="AO5023" s="158"/>
      <c r="AP5023" s="158"/>
    </row>
    <row r="5024" spans="34:42">
      <c r="AH5024" s="6">
        <f t="shared" si="652"/>
        <v>4994</v>
      </c>
      <c r="AI5024" s="7">
        <f t="shared" ca="1" si="653"/>
        <v>47664</v>
      </c>
      <c r="AJ5024" s="210">
        <f t="shared" ref="AJ5024:AJ5087" ca="1" si="656">IF(AH5024&lt;365,VLOOKUP(LOOKUP(AI5024,$AI$2:$AI$23),$AI$2:$AK$23,3,0),Lin_Interp(AH5024,$AJ$2:$AJ$23,$AK$2:$AK$23))</f>
        <v>4.1749999999999998</v>
      </c>
      <c r="AK5024" s="8">
        <f t="shared" ca="1" si="651"/>
        <v>1.0001159722222221</v>
      </c>
      <c r="AL5024" s="98">
        <f t="shared" ca="1" si="650"/>
        <v>4.1962888356308792</v>
      </c>
      <c r="AM5024" s="106">
        <f t="shared" ca="1" si="654"/>
        <v>39524.275440253419</v>
      </c>
      <c r="AN5024" s="10">
        <f t="shared" ca="1" si="655"/>
        <v>1.1271498447337436</v>
      </c>
      <c r="AO5024" s="158"/>
      <c r="AP5024" s="158"/>
    </row>
    <row r="5025" spans="34:42">
      <c r="AH5025" s="6">
        <f t="shared" si="652"/>
        <v>4995</v>
      </c>
      <c r="AI5025" s="7">
        <f t="shared" ca="1" si="653"/>
        <v>47665</v>
      </c>
      <c r="AJ5025" s="210">
        <f t="shared" ca="1" si="656"/>
        <v>4.1749999999999998</v>
      </c>
      <c r="AK5025" s="8">
        <f t="shared" ca="1" si="651"/>
        <v>1.0001159722222221</v>
      </c>
      <c r="AL5025" s="98">
        <f t="shared" ref="AL5025:AL5088" ca="1" si="657">100*(((1+AL5024/100)^(AH5024/365)*AK5025)^(365/AH5025)-1)</f>
        <v>4.1963143075034237</v>
      </c>
      <c r="AM5025" s="106">
        <f t="shared" ca="1" si="654"/>
        <v>39527.532298619051</v>
      </c>
      <c r="AN5025" s="10">
        <f t="shared" ca="1" si="655"/>
        <v>1.1271709743612357</v>
      </c>
      <c r="AO5025" s="158"/>
      <c r="AP5025" s="158"/>
    </row>
    <row r="5026" spans="34:42">
      <c r="AH5026" s="6">
        <f t="shared" si="652"/>
        <v>4996</v>
      </c>
      <c r="AI5026" s="7">
        <f t="shared" ca="1" si="653"/>
        <v>47666</v>
      </c>
      <c r="AJ5026" s="210">
        <f t="shared" ca="1" si="656"/>
        <v>4.1749999999999998</v>
      </c>
      <c r="AK5026" s="8">
        <f t="shared" ca="1" si="651"/>
        <v>1.0001159722222221</v>
      </c>
      <c r="AL5026" s="98">
        <f t="shared" ca="1" si="657"/>
        <v>4.1963397691852755</v>
      </c>
      <c r="AM5026" s="106">
        <f t="shared" ca="1" si="654"/>
        <v>39530.789425354589</v>
      </c>
      <c r="AN5026" s="10">
        <f t="shared" ca="1" si="655"/>
        <v>1.1271920955345349</v>
      </c>
      <c r="AO5026" s="158"/>
      <c r="AP5026" s="158"/>
    </row>
    <row r="5027" spans="34:42">
      <c r="AH5027" s="6">
        <f t="shared" si="652"/>
        <v>4997</v>
      </c>
      <c r="AI5027" s="7">
        <f t="shared" ca="1" si="653"/>
        <v>47667</v>
      </c>
      <c r="AJ5027" s="210">
        <f t="shared" ca="1" si="656"/>
        <v>4.1749999999999998</v>
      </c>
      <c r="AK5027" s="8">
        <f t="shared" ca="1" si="651"/>
        <v>1.0001159722222221</v>
      </c>
      <c r="AL5027" s="98">
        <f t="shared" ca="1" si="657"/>
        <v>4.196365220682563</v>
      </c>
      <c r="AM5027" s="106">
        <f t="shared" ca="1" si="654"/>
        <v>39534.046820482159</v>
      </c>
      <c r="AN5027" s="10">
        <f t="shared" ca="1" si="655"/>
        <v>1.1272132082587039</v>
      </c>
      <c r="AO5027" s="158"/>
      <c r="AP5027" s="158"/>
    </row>
    <row r="5028" spans="34:42">
      <c r="AH5028" s="6">
        <f t="shared" si="652"/>
        <v>4998</v>
      </c>
      <c r="AI5028" s="7">
        <f t="shared" ca="1" si="653"/>
        <v>47668</v>
      </c>
      <c r="AJ5028" s="210">
        <f t="shared" ca="1" si="656"/>
        <v>4.1749999999999998</v>
      </c>
      <c r="AK5028" s="8">
        <f t="shared" ref="AK5028:AK5091" ca="1" si="658">+(1+AJ5028/36000)</f>
        <v>1.0001159722222221</v>
      </c>
      <c r="AL5028" s="98">
        <f t="shared" ca="1" si="657"/>
        <v>4.1963906620013924</v>
      </c>
      <c r="AM5028" s="106">
        <f t="shared" ca="1" si="654"/>
        <v>39537.304484023873</v>
      </c>
      <c r="AN5028" s="10">
        <f t="shared" ca="1" si="655"/>
        <v>1.1272343125388051</v>
      </c>
      <c r="AO5028" s="158"/>
      <c r="AP5028" s="158"/>
    </row>
    <row r="5029" spans="34:42">
      <c r="AH5029" s="6">
        <f t="shared" si="652"/>
        <v>4999</v>
      </c>
      <c r="AI5029" s="7">
        <f t="shared" ca="1" si="653"/>
        <v>47669</v>
      </c>
      <c r="AJ5029" s="210">
        <f t="shared" ca="1" si="656"/>
        <v>4.1749999999999998</v>
      </c>
      <c r="AK5029" s="8">
        <f t="shared" ca="1" si="658"/>
        <v>1.0001159722222221</v>
      </c>
      <c r="AL5029" s="98">
        <f t="shared" ca="1" si="657"/>
        <v>4.19641609314787</v>
      </c>
      <c r="AM5029" s="106">
        <f t="shared" ca="1" si="654"/>
        <v>39540.562416001849</v>
      </c>
      <c r="AN5029" s="10">
        <f t="shared" ca="1" si="655"/>
        <v>1.1272554083799236</v>
      </c>
      <c r="AO5029" s="158"/>
      <c r="AP5029" s="158"/>
    </row>
    <row r="5030" spans="34:42">
      <c r="AH5030" s="6">
        <f t="shared" si="652"/>
        <v>5000</v>
      </c>
      <c r="AI5030" s="7">
        <f t="shared" ca="1" si="653"/>
        <v>47670</v>
      </c>
      <c r="AJ5030" s="210">
        <f t="shared" ca="1" si="656"/>
        <v>4.1749999999999998</v>
      </c>
      <c r="AK5030" s="8">
        <f t="shared" ca="1" si="658"/>
        <v>1.0001159722222221</v>
      </c>
      <c r="AL5030" s="98">
        <f t="shared" ca="1" si="657"/>
        <v>4.1964415141280798</v>
      </c>
      <c r="AM5030" s="106">
        <f t="shared" ca="1" si="654"/>
        <v>39543.820616438206</v>
      </c>
      <c r="AN5030" s="10">
        <f t="shared" ca="1" si="655"/>
        <v>1.1272764957870773</v>
      </c>
      <c r="AO5030" s="158"/>
      <c r="AP5030" s="158"/>
    </row>
    <row r="5031" spans="34:42">
      <c r="AH5031" s="6">
        <f t="shared" si="652"/>
        <v>5001</v>
      </c>
      <c r="AI5031" s="7">
        <f t="shared" ca="1" si="653"/>
        <v>47671</v>
      </c>
      <c r="AJ5031" s="210">
        <f t="shared" ca="1" si="656"/>
        <v>4.1749999999999998</v>
      </c>
      <c r="AK5031" s="8">
        <f t="shared" ca="1" si="658"/>
        <v>1.0001159722222221</v>
      </c>
      <c r="AL5031" s="98">
        <f t="shared" ca="1" si="657"/>
        <v>4.1964669249481279</v>
      </c>
      <c r="AM5031" s="106">
        <f t="shared" ca="1" si="654"/>
        <v>39547.079085355064</v>
      </c>
      <c r="AN5031" s="10">
        <f t="shared" ca="1" si="655"/>
        <v>1.1272975747653513</v>
      </c>
      <c r="AO5031" s="158"/>
      <c r="AP5031" s="158"/>
    </row>
    <row r="5032" spans="34:42">
      <c r="AH5032" s="6">
        <f t="shared" si="652"/>
        <v>5002</v>
      </c>
      <c r="AI5032" s="7">
        <f t="shared" ca="1" si="653"/>
        <v>47672</v>
      </c>
      <c r="AJ5032" s="210">
        <f t="shared" ca="1" si="656"/>
        <v>4.1749999999999998</v>
      </c>
      <c r="AK5032" s="8">
        <f t="shared" ca="1" si="658"/>
        <v>1.0001159722222221</v>
      </c>
      <c r="AL5032" s="98">
        <f t="shared" ca="1" si="657"/>
        <v>4.1964923256141207</v>
      </c>
      <c r="AM5032" s="106">
        <f t="shared" ca="1" si="654"/>
        <v>39550.337822774556</v>
      </c>
      <c r="AN5032" s="10">
        <f t="shared" ca="1" si="655"/>
        <v>1.1273186453198081</v>
      </c>
      <c r="AO5032" s="158"/>
      <c r="AP5032" s="158"/>
    </row>
    <row r="5033" spans="34:42">
      <c r="AH5033" s="6">
        <f t="shared" si="652"/>
        <v>5003</v>
      </c>
      <c r="AI5033" s="7">
        <f t="shared" ca="1" si="653"/>
        <v>47673</v>
      </c>
      <c r="AJ5033" s="210">
        <f t="shared" ca="1" si="656"/>
        <v>4.1749999999999998</v>
      </c>
      <c r="AK5033" s="8">
        <f t="shared" ca="1" si="658"/>
        <v>1.0001159722222221</v>
      </c>
      <c r="AL5033" s="98">
        <f t="shared" ca="1" si="657"/>
        <v>4.1965177161321199</v>
      </c>
      <c r="AM5033" s="106">
        <f t="shared" ca="1" si="654"/>
        <v>39553.596828718786</v>
      </c>
      <c r="AN5033" s="10">
        <f t="shared" ca="1" si="655"/>
        <v>1.1273397074554881</v>
      </c>
      <c r="AO5033" s="158"/>
      <c r="AP5033" s="158"/>
    </row>
    <row r="5034" spans="34:42">
      <c r="AH5034" s="6">
        <f t="shared" si="652"/>
        <v>5004</v>
      </c>
      <c r="AI5034" s="7">
        <f t="shared" ca="1" si="653"/>
        <v>47674</v>
      </c>
      <c r="AJ5034" s="210">
        <f t="shared" ca="1" si="656"/>
        <v>4.1749999999999998</v>
      </c>
      <c r="AK5034" s="8">
        <f t="shared" ca="1" si="658"/>
        <v>1.0001159722222221</v>
      </c>
      <c r="AL5034" s="98">
        <f t="shared" ca="1" si="657"/>
        <v>4.1965430965082096</v>
      </c>
      <c r="AM5034" s="106">
        <f t="shared" ca="1" si="654"/>
        <v>39556.856103209902</v>
      </c>
      <c r="AN5034" s="10">
        <f t="shared" ca="1" si="655"/>
        <v>1.1273607611774317</v>
      </c>
      <c r="AO5034" s="158"/>
      <c r="AP5034" s="158"/>
    </row>
    <row r="5035" spans="34:42">
      <c r="AH5035" s="6">
        <f t="shared" si="652"/>
        <v>5005</v>
      </c>
      <c r="AI5035" s="7">
        <f t="shared" ca="1" si="653"/>
        <v>47675</v>
      </c>
      <c r="AJ5035" s="210">
        <f t="shared" ca="1" si="656"/>
        <v>4.1749999999999998</v>
      </c>
      <c r="AK5035" s="8">
        <f t="shared" ca="1" si="658"/>
        <v>1.0001159722222221</v>
      </c>
      <c r="AL5035" s="98">
        <f t="shared" ca="1" si="657"/>
        <v>4.1965684667484737</v>
      </c>
      <c r="AM5035" s="106">
        <f t="shared" ca="1" si="654"/>
        <v>39560.115646270024</v>
      </c>
      <c r="AN5035" s="10">
        <f t="shared" ca="1" si="655"/>
        <v>1.1273818064906571</v>
      </c>
      <c r="AO5035" s="158"/>
      <c r="AP5035" s="158"/>
    </row>
    <row r="5036" spans="34:42">
      <c r="AH5036" s="6">
        <f t="shared" si="652"/>
        <v>5006</v>
      </c>
      <c r="AI5036" s="7">
        <f t="shared" ca="1" si="653"/>
        <v>47676</v>
      </c>
      <c r="AJ5036" s="210">
        <f t="shared" ca="1" si="656"/>
        <v>4.1749999999999998</v>
      </c>
      <c r="AK5036" s="8">
        <f t="shared" ca="1" si="658"/>
        <v>1.0001159722222221</v>
      </c>
      <c r="AL5036" s="98">
        <f t="shared" ca="1" si="657"/>
        <v>4.1965938268589742</v>
      </c>
      <c r="AM5036" s="106">
        <f t="shared" ca="1" si="654"/>
        <v>39563.375457921284</v>
      </c>
      <c r="AN5036" s="10">
        <f t="shared" ca="1" si="655"/>
        <v>1.1274028434002492</v>
      </c>
      <c r="AO5036" s="158"/>
      <c r="AP5036" s="158"/>
    </row>
    <row r="5037" spans="34:42">
      <c r="AH5037" s="6">
        <f t="shared" si="652"/>
        <v>5007</v>
      </c>
      <c r="AI5037" s="7">
        <f t="shared" ca="1" si="653"/>
        <v>47677</v>
      </c>
      <c r="AJ5037" s="210">
        <f t="shared" ca="1" si="656"/>
        <v>4.1749999999999998</v>
      </c>
      <c r="AK5037" s="8">
        <f t="shared" ca="1" si="658"/>
        <v>1.0001159722222221</v>
      </c>
      <c r="AL5037" s="98">
        <f t="shared" ca="1" si="657"/>
        <v>4.196619176845795</v>
      </c>
      <c r="AM5037" s="106">
        <f t="shared" ca="1" si="654"/>
        <v>39566.635538185816</v>
      </c>
      <c r="AN5037" s="10">
        <f t="shared" ca="1" si="655"/>
        <v>1.127423871911204</v>
      </c>
      <c r="AO5037" s="158"/>
      <c r="AP5037" s="158"/>
    </row>
    <row r="5038" spans="34:42">
      <c r="AH5038" s="6">
        <f t="shared" si="652"/>
        <v>5008</v>
      </c>
      <c r="AI5038" s="7">
        <f t="shared" ca="1" si="653"/>
        <v>47678</v>
      </c>
      <c r="AJ5038" s="210">
        <f t="shared" ca="1" si="656"/>
        <v>4.1749999999999998</v>
      </c>
      <c r="AK5038" s="8">
        <f t="shared" ca="1" si="658"/>
        <v>1.0001159722222221</v>
      </c>
      <c r="AL5038" s="98">
        <f t="shared" ca="1" si="657"/>
        <v>4.1966445167149757</v>
      </c>
      <c r="AM5038" s="106">
        <f t="shared" ca="1" si="654"/>
        <v>39569.895887085746</v>
      </c>
      <c r="AN5038" s="10">
        <f t="shared" ca="1" si="655"/>
        <v>1.127444892028584</v>
      </c>
      <c r="AO5038" s="158"/>
      <c r="AP5038" s="158"/>
    </row>
    <row r="5039" spans="34:42">
      <c r="AH5039" s="6">
        <f t="shared" si="652"/>
        <v>5009</v>
      </c>
      <c r="AI5039" s="7">
        <f t="shared" ca="1" si="653"/>
        <v>47679</v>
      </c>
      <c r="AJ5039" s="210">
        <f t="shared" ca="1" si="656"/>
        <v>4.1749999999999998</v>
      </c>
      <c r="AK5039" s="8">
        <f t="shared" ca="1" si="658"/>
        <v>1.0001159722222221</v>
      </c>
      <c r="AL5039" s="98">
        <f t="shared" ca="1" si="657"/>
        <v>4.1966698464725782</v>
      </c>
      <c r="AM5039" s="106">
        <f t="shared" ca="1" si="654"/>
        <v>39573.156504643215</v>
      </c>
      <c r="AN5039" s="10">
        <f t="shared" ca="1" si="655"/>
        <v>1.1274659037573631</v>
      </c>
      <c r="AO5039" s="158"/>
      <c r="AP5039" s="158"/>
    </row>
    <row r="5040" spans="34:42">
      <c r="AH5040" s="6">
        <f t="shared" si="652"/>
        <v>5010</v>
      </c>
      <c r="AI5040" s="7">
        <f t="shared" ca="1" si="653"/>
        <v>47680</v>
      </c>
      <c r="AJ5040" s="210">
        <f t="shared" ca="1" si="656"/>
        <v>4.1749999999999998</v>
      </c>
      <c r="AK5040" s="8">
        <f t="shared" ca="1" si="658"/>
        <v>1.0001159722222221</v>
      </c>
      <c r="AL5040" s="98">
        <f t="shared" ca="1" si="657"/>
        <v>4.1966951661246643</v>
      </c>
      <c r="AM5040" s="106">
        <f t="shared" ca="1" si="654"/>
        <v>39576.417390880364</v>
      </c>
      <c r="AN5040" s="10">
        <f t="shared" ca="1" si="655"/>
        <v>1.1274869071026039</v>
      </c>
      <c r="AO5040" s="158"/>
      <c r="AP5040" s="158"/>
    </row>
    <row r="5041" spans="34:42">
      <c r="AH5041" s="6">
        <f t="shared" si="652"/>
        <v>5011</v>
      </c>
      <c r="AI5041" s="7">
        <f t="shared" ca="1" si="653"/>
        <v>47681</v>
      </c>
      <c r="AJ5041" s="210">
        <f t="shared" ca="1" si="656"/>
        <v>4.1749999999999998</v>
      </c>
      <c r="AK5041" s="8">
        <f t="shared" ca="1" si="658"/>
        <v>1.0001159722222221</v>
      </c>
      <c r="AL5041" s="98">
        <f t="shared" ca="1" si="657"/>
        <v>4.1967204756772514</v>
      </c>
      <c r="AM5041" s="106">
        <f t="shared" ca="1" si="654"/>
        <v>39579.678545819334</v>
      </c>
      <c r="AN5041" s="10">
        <f t="shared" ca="1" si="655"/>
        <v>1.1275079020693024</v>
      </c>
      <c r="AO5041" s="158"/>
      <c r="AP5041" s="158"/>
    </row>
    <row r="5042" spans="34:42">
      <c r="AH5042" s="6">
        <f t="shared" si="652"/>
        <v>5012</v>
      </c>
      <c r="AI5042" s="7">
        <f t="shared" ca="1" si="653"/>
        <v>47682</v>
      </c>
      <c r="AJ5042" s="210">
        <f t="shared" ca="1" si="656"/>
        <v>4.1749999999999998</v>
      </c>
      <c r="AK5042" s="8">
        <f t="shared" ca="1" si="658"/>
        <v>1.0001159722222221</v>
      </c>
      <c r="AL5042" s="98">
        <f t="shared" ca="1" si="657"/>
        <v>4.1967457751364012</v>
      </c>
      <c r="AM5042" s="106">
        <f t="shared" ca="1" si="654"/>
        <v>39582.93996948225</v>
      </c>
      <c r="AN5042" s="10">
        <f t="shared" ca="1" si="655"/>
        <v>1.1275288886624768</v>
      </c>
      <c r="AO5042" s="158"/>
      <c r="AP5042" s="158"/>
    </row>
    <row r="5043" spans="34:42">
      <c r="AH5043" s="6">
        <f t="shared" si="652"/>
        <v>5013</v>
      </c>
      <c r="AI5043" s="7">
        <f t="shared" ca="1" si="653"/>
        <v>47683</v>
      </c>
      <c r="AJ5043" s="210">
        <f t="shared" ca="1" si="656"/>
        <v>4.1749999999999998</v>
      </c>
      <c r="AK5043" s="8">
        <f t="shared" ca="1" si="658"/>
        <v>1.0001159722222221</v>
      </c>
      <c r="AL5043" s="98">
        <f t="shared" ca="1" si="657"/>
        <v>4.1967710645081535</v>
      </c>
      <c r="AM5043" s="106">
        <f t="shared" ca="1" si="654"/>
        <v>39586.201661891275</v>
      </c>
      <c r="AN5043" s="10">
        <f t="shared" ca="1" si="655"/>
        <v>1.1275498668871231</v>
      </c>
      <c r="AO5043" s="158"/>
      <c r="AP5043" s="158"/>
    </row>
    <row r="5044" spans="34:42">
      <c r="AH5044" s="6">
        <f t="shared" si="652"/>
        <v>5014</v>
      </c>
      <c r="AI5044" s="7">
        <f t="shared" ca="1" si="653"/>
        <v>47684</v>
      </c>
      <c r="AJ5044" s="210">
        <f t="shared" ca="1" si="656"/>
        <v>4.1749999999999998</v>
      </c>
      <c r="AK5044" s="8">
        <f t="shared" ca="1" si="658"/>
        <v>1.0001159722222221</v>
      </c>
      <c r="AL5044" s="98">
        <f t="shared" ca="1" si="657"/>
        <v>4.1967963437985478</v>
      </c>
      <c r="AM5044" s="106">
        <f t="shared" ca="1" si="654"/>
        <v>39589.46362306855</v>
      </c>
      <c r="AN5044" s="10">
        <f t="shared" ca="1" si="655"/>
        <v>1.1275708367482817</v>
      </c>
      <c r="AO5044" s="158"/>
      <c r="AP5044" s="158"/>
    </row>
    <row r="5045" spans="34:42">
      <c r="AH5045" s="6">
        <f t="shared" si="652"/>
        <v>5015</v>
      </c>
      <c r="AI5045" s="7">
        <f t="shared" ca="1" si="653"/>
        <v>47685</v>
      </c>
      <c r="AJ5045" s="210">
        <f t="shared" ca="1" si="656"/>
        <v>4.1749999999999998</v>
      </c>
      <c r="AK5045" s="8">
        <f t="shared" ca="1" si="658"/>
        <v>1.0001159722222221</v>
      </c>
      <c r="AL5045" s="98">
        <f t="shared" ca="1" si="657"/>
        <v>4.1968216130136016</v>
      </c>
      <c r="AM5045" s="106">
        <f t="shared" ca="1" si="654"/>
        <v>39592.725853036216</v>
      </c>
      <c r="AN5045" s="10">
        <f t="shared" ca="1" si="655"/>
        <v>1.1275917982509265</v>
      </c>
      <c r="AO5045" s="158"/>
      <c r="AP5045" s="158"/>
    </row>
    <row r="5046" spans="34:42">
      <c r="AH5046" s="6">
        <f t="shared" si="652"/>
        <v>5016</v>
      </c>
      <c r="AI5046" s="7">
        <f t="shared" ca="1" si="653"/>
        <v>47686</v>
      </c>
      <c r="AJ5046" s="210">
        <f t="shared" ca="1" si="656"/>
        <v>4.1749999999999998</v>
      </c>
      <c r="AK5046" s="8">
        <f t="shared" ca="1" si="658"/>
        <v>1.0001159722222221</v>
      </c>
      <c r="AL5046" s="98">
        <f t="shared" ca="1" si="657"/>
        <v>4.1968468721593322</v>
      </c>
      <c r="AM5046" s="106">
        <f t="shared" ca="1" si="654"/>
        <v>39595.988351816421</v>
      </c>
      <c r="AN5046" s="10">
        <f t="shared" ca="1" si="655"/>
        <v>1.1276127514000533</v>
      </c>
      <c r="AO5046" s="158"/>
      <c r="AP5046" s="158"/>
    </row>
    <row r="5047" spans="34:42">
      <c r="AH5047" s="6">
        <f t="shared" si="652"/>
        <v>5017</v>
      </c>
      <c r="AI5047" s="7">
        <f t="shared" ca="1" si="653"/>
        <v>47687</v>
      </c>
      <c r="AJ5047" s="210">
        <f t="shared" ca="1" si="656"/>
        <v>4.1749999999999998</v>
      </c>
      <c r="AK5047" s="8">
        <f t="shared" ca="1" si="658"/>
        <v>1.0001159722222221</v>
      </c>
      <c r="AL5047" s="98">
        <f t="shared" ca="1" si="657"/>
        <v>4.196872121241757</v>
      </c>
      <c r="AM5047" s="106">
        <f t="shared" ca="1" si="654"/>
        <v>39599.251119431319</v>
      </c>
      <c r="AN5047" s="10">
        <f t="shared" ca="1" si="655"/>
        <v>1.1276336962006583</v>
      </c>
      <c r="AO5047" s="158"/>
      <c r="AP5047" s="158"/>
    </row>
    <row r="5048" spans="34:42">
      <c r="AH5048" s="6">
        <f t="shared" si="652"/>
        <v>5018</v>
      </c>
      <c r="AI5048" s="7">
        <f t="shared" ca="1" si="653"/>
        <v>47688</v>
      </c>
      <c r="AJ5048" s="210">
        <f t="shared" ca="1" si="656"/>
        <v>4.1749999999999998</v>
      </c>
      <c r="AK5048" s="8">
        <f t="shared" ca="1" si="658"/>
        <v>1.0001159722222221</v>
      </c>
      <c r="AL5048" s="98">
        <f t="shared" ca="1" si="657"/>
        <v>4.1968973602668935</v>
      </c>
      <c r="AM5048" s="106">
        <f t="shared" ca="1" si="654"/>
        <v>39602.514155903067</v>
      </c>
      <c r="AN5048" s="10">
        <f t="shared" ca="1" si="655"/>
        <v>1.1276546326577375</v>
      </c>
      <c r="AO5048" s="158"/>
      <c r="AP5048" s="158"/>
    </row>
    <row r="5049" spans="34:42">
      <c r="AH5049" s="6">
        <f t="shared" si="652"/>
        <v>5019</v>
      </c>
      <c r="AI5049" s="7">
        <f t="shared" ca="1" si="653"/>
        <v>47689</v>
      </c>
      <c r="AJ5049" s="210">
        <f t="shared" ca="1" si="656"/>
        <v>4.1749999999999998</v>
      </c>
      <c r="AK5049" s="8">
        <f t="shared" ca="1" si="658"/>
        <v>1.0001159722222221</v>
      </c>
      <c r="AL5049" s="98">
        <f t="shared" ca="1" si="657"/>
        <v>4.1969225892407369</v>
      </c>
      <c r="AM5049" s="106">
        <f t="shared" ca="1" si="654"/>
        <v>39605.777461253812</v>
      </c>
      <c r="AN5049" s="10">
        <f t="shared" ca="1" si="655"/>
        <v>1.1276755607762645</v>
      </c>
      <c r="AO5049" s="158"/>
      <c r="AP5049" s="158"/>
    </row>
    <row r="5050" spans="34:42">
      <c r="AH5050" s="6">
        <f t="shared" si="652"/>
        <v>5020</v>
      </c>
      <c r="AI5050" s="7">
        <f t="shared" ca="1" si="653"/>
        <v>47690</v>
      </c>
      <c r="AJ5050" s="210">
        <f t="shared" ca="1" si="656"/>
        <v>4.1749999999999998</v>
      </c>
      <c r="AK5050" s="8">
        <f t="shared" ca="1" si="658"/>
        <v>1.0001159722222221</v>
      </c>
      <c r="AL5050" s="98">
        <f t="shared" ca="1" si="657"/>
        <v>4.1969478081693046</v>
      </c>
      <c r="AM5050" s="106">
        <f t="shared" ca="1" si="654"/>
        <v>39609.04103550571</v>
      </c>
      <c r="AN5050" s="10">
        <f t="shared" ca="1" si="655"/>
        <v>1.1276964805612133</v>
      </c>
      <c r="AO5050" s="158"/>
      <c r="AP5050" s="158"/>
    </row>
    <row r="5051" spans="34:42">
      <c r="AH5051" s="6">
        <f t="shared" si="652"/>
        <v>5021</v>
      </c>
      <c r="AI5051" s="7">
        <f t="shared" ca="1" si="653"/>
        <v>47691</v>
      </c>
      <c r="AJ5051" s="210">
        <f t="shared" ca="1" si="656"/>
        <v>4.1749999999999998</v>
      </c>
      <c r="AK5051" s="8">
        <f t="shared" ca="1" si="658"/>
        <v>1.0001159722222221</v>
      </c>
      <c r="AL5051" s="98">
        <f t="shared" ca="1" si="657"/>
        <v>4.1969730170585917</v>
      </c>
      <c r="AM5051" s="106">
        <f t="shared" ca="1" si="654"/>
        <v>39612.304878680923</v>
      </c>
      <c r="AN5051" s="10">
        <f t="shared" ca="1" si="655"/>
        <v>1.1277173920175798</v>
      </c>
      <c r="AO5051" s="158"/>
      <c r="AP5051" s="158"/>
    </row>
    <row r="5052" spans="34:42">
      <c r="AH5052" s="6">
        <f t="shared" si="652"/>
        <v>5022</v>
      </c>
      <c r="AI5052" s="7">
        <f t="shared" ca="1" si="653"/>
        <v>47692</v>
      </c>
      <c r="AJ5052" s="210">
        <f t="shared" ca="1" si="656"/>
        <v>4.1749999999999998</v>
      </c>
      <c r="AK5052" s="8">
        <f t="shared" ca="1" si="658"/>
        <v>1.0001159722222221</v>
      </c>
      <c r="AL5052" s="98">
        <f t="shared" ca="1" si="657"/>
        <v>4.1969982159145935</v>
      </c>
      <c r="AM5052" s="106">
        <f t="shared" ca="1" si="654"/>
        <v>39615.568990801614</v>
      </c>
      <c r="AN5052" s="10">
        <f t="shared" ca="1" si="655"/>
        <v>1.1277382951503157</v>
      </c>
      <c r="AO5052" s="158"/>
      <c r="AP5052" s="158"/>
    </row>
    <row r="5053" spans="34:42">
      <c r="AH5053" s="6">
        <f t="shared" si="652"/>
        <v>5023</v>
      </c>
      <c r="AI5053" s="7">
        <f t="shared" ca="1" si="653"/>
        <v>47693</v>
      </c>
      <c r="AJ5053" s="210">
        <f t="shared" ca="1" si="656"/>
        <v>4.1749999999999998</v>
      </c>
      <c r="AK5053" s="8">
        <f t="shared" ca="1" si="658"/>
        <v>1.0001159722222221</v>
      </c>
      <c r="AL5053" s="98">
        <f t="shared" ca="1" si="657"/>
        <v>4.1970234047433053</v>
      </c>
      <c r="AM5053" s="106">
        <f t="shared" ca="1" si="654"/>
        <v>39618.83337188993</v>
      </c>
      <c r="AN5053" s="10">
        <f t="shared" ca="1" si="655"/>
        <v>1.1277591899644168</v>
      </c>
      <c r="AO5053" s="158"/>
      <c r="AP5053" s="158"/>
    </row>
    <row r="5054" spans="34:42">
      <c r="AH5054" s="6">
        <f t="shared" si="652"/>
        <v>5024</v>
      </c>
      <c r="AI5054" s="7">
        <f t="shared" ca="1" si="653"/>
        <v>47694</v>
      </c>
      <c r="AJ5054" s="210">
        <f t="shared" ca="1" si="656"/>
        <v>4.1749999999999998</v>
      </c>
      <c r="AK5054" s="8">
        <f t="shared" ca="1" si="658"/>
        <v>1.0001159722222221</v>
      </c>
      <c r="AL5054" s="98">
        <f t="shared" ca="1" si="657"/>
        <v>4.1970485835506999</v>
      </c>
      <c r="AM5054" s="106">
        <f t="shared" ca="1" si="654"/>
        <v>39622.09802196805</v>
      </c>
      <c r="AN5054" s="10">
        <f t="shared" ca="1" si="655"/>
        <v>1.1277800764648349</v>
      </c>
      <c r="AO5054" s="158"/>
      <c r="AP5054" s="158"/>
    </row>
    <row r="5055" spans="34:42">
      <c r="AH5055" s="6">
        <f t="shared" si="652"/>
        <v>5025</v>
      </c>
      <c r="AI5055" s="7">
        <f t="shared" ca="1" si="653"/>
        <v>47695</v>
      </c>
      <c r="AJ5055" s="210">
        <f t="shared" ca="1" si="656"/>
        <v>4.1749999999999998</v>
      </c>
      <c r="AK5055" s="8">
        <f t="shared" ca="1" si="658"/>
        <v>1.0001159722222221</v>
      </c>
      <c r="AL5055" s="98">
        <f t="shared" ca="1" si="657"/>
        <v>4.1970737523427504</v>
      </c>
      <c r="AM5055" s="106">
        <f t="shared" ca="1" si="654"/>
        <v>39625.362941058134</v>
      </c>
      <c r="AN5055" s="10">
        <f t="shared" ca="1" si="655"/>
        <v>1.1278009546565215</v>
      </c>
      <c r="AO5055" s="158"/>
      <c r="AP5055" s="158"/>
    </row>
    <row r="5056" spans="34:42">
      <c r="AH5056" s="6">
        <f t="shared" si="652"/>
        <v>5026</v>
      </c>
      <c r="AI5056" s="7">
        <f t="shared" ca="1" si="653"/>
        <v>47696</v>
      </c>
      <c r="AJ5056" s="210">
        <f t="shared" ca="1" si="656"/>
        <v>4.1749999999999998</v>
      </c>
      <c r="AK5056" s="8">
        <f t="shared" ca="1" si="658"/>
        <v>1.0001159722222221</v>
      </c>
      <c r="AL5056" s="98">
        <f t="shared" ca="1" si="657"/>
        <v>4.197098911125452</v>
      </c>
      <c r="AM5056" s="106">
        <f t="shared" ca="1" si="654"/>
        <v>39628.62812918234</v>
      </c>
      <c r="AN5056" s="10">
        <f t="shared" ca="1" si="655"/>
        <v>1.1278218245444505</v>
      </c>
      <c r="AO5056" s="158"/>
      <c r="AP5056" s="158"/>
    </row>
    <row r="5057" spans="34:42">
      <c r="AH5057" s="6">
        <f t="shared" si="652"/>
        <v>5027</v>
      </c>
      <c r="AI5057" s="7">
        <f t="shared" ca="1" si="653"/>
        <v>47697</v>
      </c>
      <c r="AJ5057" s="210">
        <f t="shared" ca="1" si="656"/>
        <v>4.1749999999999998</v>
      </c>
      <c r="AK5057" s="8">
        <f t="shared" ca="1" si="658"/>
        <v>1.0001159722222221</v>
      </c>
      <c r="AL5057" s="98">
        <f t="shared" ca="1" si="657"/>
        <v>4.1971240599047555</v>
      </c>
      <c r="AM5057" s="106">
        <f t="shared" ca="1" si="654"/>
        <v>39631.893586362858</v>
      </c>
      <c r="AN5057" s="10">
        <f t="shared" ca="1" si="655"/>
        <v>1.1278426861335733</v>
      </c>
      <c r="AO5057" s="158"/>
      <c r="AP5057" s="158"/>
    </row>
    <row r="5058" spans="34:42">
      <c r="AH5058" s="6">
        <f t="shared" si="652"/>
        <v>5028</v>
      </c>
      <c r="AI5058" s="7">
        <f t="shared" ca="1" si="653"/>
        <v>47698</v>
      </c>
      <c r="AJ5058" s="210">
        <f t="shared" ca="1" si="656"/>
        <v>4.1749999999999998</v>
      </c>
      <c r="AK5058" s="8">
        <f t="shared" ca="1" si="658"/>
        <v>1.0001159722222221</v>
      </c>
      <c r="AL5058" s="98">
        <f t="shared" ca="1" si="657"/>
        <v>4.1971491986866338</v>
      </c>
      <c r="AM5058" s="106">
        <f t="shared" ca="1" si="654"/>
        <v>39635.159312621836</v>
      </c>
      <c r="AN5058" s="10">
        <f t="shared" ca="1" si="655"/>
        <v>1.1278635394288195</v>
      </c>
      <c r="AO5058" s="158"/>
      <c r="AP5058" s="158"/>
    </row>
    <row r="5059" spans="34:42">
      <c r="AH5059" s="6">
        <f t="shared" si="652"/>
        <v>5029</v>
      </c>
      <c r="AI5059" s="7">
        <f t="shared" ca="1" si="653"/>
        <v>47699</v>
      </c>
      <c r="AJ5059" s="210">
        <f t="shared" ca="1" si="656"/>
        <v>4.1749999999999998</v>
      </c>
      <c r="AK5059" s="8">
        <f t="shared" ca="1" si="658"/>
        <v>1.0001159722222221</v>
      </c>
      <c r="AL5059" s="98">
        <f t="shared" ca="1" si="657"/>
        <v>4.1971743274770379</v>
      </c>
      <c r="AM5059" s="106">
        <f t="shared" ca="1" si="654"/>
        <v>39638.425307981452</v>
      </c>
      <c r="AN5059" s="10">
        <f t="shared" ca="1" si="655"/>
        <v>1.1278843844351183</v>
      </c>
      <c r="AO5059" s="158"/>
      <c r="AP5059" s="158"/>
    </row>
    <row r="5060" spans="34:42">
      <c r="AH5060" s="6">
        <f t="shared" si="652"/>
        <v>5030</v>
      </c>
      <c r="AI5060" s="7">
        <f t="shared" ca="1" si="653"/>
        <v>47700</v>
      </c>
      <c r="AJ5060" s="210">
        <f t="shared" ca="1" si="656"/>
        <v>4.1749999999999998</v>
      </c>
      <c r="AK5060" s="8">
        <f t="shared" ca="1" si="658"/>
        <v>1.0001159722222221</v>
      </c>
      <c r="AL5060" s="98">
        <f t="shared" ca="1" si="657"/>
        <v>4.1971994462819406</v>
      </c>
      <c r="AM5060" s="106">
        <f t="shared" ca="1" si="654"/>
        <v>39641.691572463897</v>
      </c>
      <c r="AN5060" s="10">
        <f t="shared" ca="1" si="655"/>
        <v>1.1279052211574658</v>
      </c>
      <c r="AO5060" s="158"/>
      <c r="AP5060" s="158"/>
    </row>
    <row r="5061" spans="34:42">
      <c r="AH5061" s="6">
        <f t="shared" si="652"/>
        <v>5031</v>
      </c>
      <c r="AI5061" s="7">
        <f t="shared" ca="1" si="653"/>
        <v>47701</v>
      </c>
      <c r="AJ5061" s="210">
        <f t="shared" ca="1" si="656"/>
        <v>4.1749999999999998</v>
      </c>
      <c r="AK5061" s="8">
        <f t="shared" ca="1" si="658"/>
        <v>1.0001159722222221</v>
      </c>
      <c r="AL5061" s="98">
        <f t="shared" ca="1" si="657"/>
        <v>4.1972245551072929</v>
      </c>
      <c r="AM5061" s="106">
        <f t="shared" ca="1" si="654"/>
        <v>39644.958106091319</v>
      </c>
      <c r="AN5061" s="10">
        <f t="shared" ca="1" si="655"/>
        <v>1.1279260496007915</v>
      </c>
      <c r="AO5061" s="158"/>
      <c r="AP5061" s="158"/>
    </row>
    <row r="5062" spans="34:42">
      <c r="AH5062" s="6">
        <f t="shared" si="652"/>
        <v>5032</v>
      </c>
      <c r="AI5062" s="7">
        <f t="shared" ca="1" si="653"/>
        <v>47702</v>
      </c>
      <c r="AJ5062" s="210">
        <f t="shared" ca="1" si="656"/>
        <v>4.1749999999999998</v>
      </c>
      <c r="AK5062" s="8">
        <f t="shared" ca="1" si="658"/>
        <v>1.0001159722222221</v>
      </c>
      <c r="AL5062" s="98">
        <f t="shared" ca="1" si="657"/>
        <v>4.1972496539590232</v>
      </c>
      <c r="AM5062" s="106">
        <f t="shared" ca="1" si="654"/>
        <v>39648.224908885924</v>
      </c>
      <c r="AN5062" s="10">
        <f t="shared" ca="1" si="655"/>
        <v>1.1279468697699802</v>
      </c>
      <c r="AO5062" s="158"/>
      <c r="AP5062" s="158"/>
    </row>
    <row r="5063" spans="34:42">
      <c r="AH5063" s="6">
        <f t="shared" si="652"/>
        <v>5033</v>
      </c>
      <c r="AI5063" s="7">
        <f t="shared" ca="1" si="653"/>
        <v>47703</v>
      </c>
      <c r="AJ5063" s="210">
        <f t="shared" ca="1" si="656"/>
        <v>4.1749999999999998</v>
      </c>
      <c r="AK5063" s="8">
        <f t="shared" ca="1" si="658"/>
        <v>1.0001159722222221</v>
      </c>
      <c r="AL5063" s="98">
        <f t="shared" ca="1" si="657"/>
        <v>4.1972747428430823</v>
      </c>
      <c r="AM5063" s="106">
        <f t="shared" ca="1" si="654"/>
        <v>39651.491980869869</v>
      </c>
      <c r="AN5063" s="10">
        <f t="shared" ca="1" si="655"/>
        <v>1.1279676816700057</v>
      </c>
      <c r="AO5063" s="158"/>
      <c r="AP5063" s="158"/>
    </row>
    <row r="5064" spans="34:42">
      <c r="AH5064" s="6">
        <f t="shared" si="652"/>
        <v>5034</v>
      </c>
      <c r="AI5064" s="7">
        <f t="shared" ca="1" si="653"/>
        <v>47704</v>
      </c>
      <c r="AJ5064" s="210">
        <f t="shared" ca="1" si="656"/>
        <v>4.1749999999999998</v>
      </c>
      <c r="AK5064" s="8">
        <f t="shared" ca="1" si="658"/>
        <v>1.0001159722222221</v>
      </c>
      <c r="AL5064" s="98">
        <f t="shared" ca="1" si="657"/>
        <v>4.197299821765399</v>
      </c>
      <c r="AM5064" s="106">
        <f t="shared" ca="1" si="654"/>
        <v>39654.759322065351</v>
      </c>
      <c r="AN5064" s="10">
        <f t="shared" ca="1" si="655"/>
        <v>1.1279884853057531</v>
      </c>
      <c r="AO5064" s="158"/>
      <c r="AP5064" s="158"/>
    </row>
    <row r="5065" spans="34:42">
      <c r="AH5065" s="6">
        <f t="shared" si="652"/>
        <v>5035</v>
      </c>
      <c r="AI5065" s="7">
        <f t="shared" ca="1" si="653"/>
        <v>47705</v>
      </c>
      <c r="AJ5065" s="210">
        <f t="shared" ca="1" si="656"/>
        <v>4.1749999999999998</v>
      </c>
      <c r="AK5065" s="8">
        <f t="shared" ca="1" si="658"/>
        <v>1.0001159722222221</v>
      </c>
      <c r="AL5065" s="98">
        <f t="shared" ca="1" si="657"/>
        <v>4.1973248907319238</v>
      </c>
      <c r="AM5065" s="106">
        <f t="shared" ca="1" si="654"/>
        <v>39658.02693249454</v>
      </c>
      <c r="AN5065" s="10">
        <f t="shared" ca="1" si="655"/>
        <v>1.1280092806821962</v>
      </c>
      <c r="AO5065" s="158"/>
      <c r="AP5065" s="158"/>
    </row>
    <row r="5066" spans="34:42">
      <c r="AH5066" s="6">
        <f t="shared" si="652"/>
        <v>5036</v>
      </c>
      <c r="AI5066" s="7">
        <f t="shared" ca="1" si="653"/>
        <v>47706</v>
      </c>
      <c r="AJ5066" s="210">
        <f t="shared" ca="1" si="656"/>
        <v>4.1749999999999998</v>
      </c>
      <c r="AK5066" s="8">
        <f t="shared" ca="1" si="658"/>
        <v>1.0001159722222221</v>
      </c>
      <c r="AL5066" s="98">
        <f t="shared" ca="1" si="657"/>
        <v>4.1973499497485633</v>
      </c>
      <c r="AM5066" s="106">
        <f t="shared" ca="1" si="654"/>
        <v>39661.294812179636</v>
      </c>
      <c r="AN5066" s="10">
        <f t="shared" ca="1" si="655"/>
        <v>1.1280300678042199</v>
      </c>
      <c r="AO5066" s="158"/>
      <c r="AP5066" s="158"/>
    </row>
    <row r="5067" spans="34:42">
      <c r="AH5067" s="6">
        <f t="shared" si="652"/>
        <v>5037</v>
      </c>
      <c r="AI5067" s="7">
        <f t="shared" ca="1" si="653"/>
        <v>47707</v>
      </c>
      <c r="AJ5067" s="210">
        <f t="shared" ca="1" si="656"/>
        <v>4.1749999999999998</v>
      </c>
      <c r="AK5067" s="8">
        <f t="shared" ca="1" si="658"/>
        <v>1.0001159722222221</v>
      </c>
      <c r="AL5067" s="98">
        <f t="shared" ca="1" si="657"/>
        <v>4.1973749988212461</v>
      </c>
      <c r="AM5067" s="106">
        <f t="shared" ca="1" si="654"/>
        <v>39664.562961142816</v>
      </c>
      <c r="AN5067" s="10">
        <f t="shared" ca="1" si="655"/>
        <v>1.1280508466767314</v>
      </c>
      <c r="AO5067" s="158"/>
      <c r="AP5067" s="158"/>
    </row>
    <row r="5068" spans="34:42">
      <c r="AH5068" s="6">
        <f t="shared" si="652"/>
        <v>5038</v>
      </c>
      <c r="AI5068" s="7">
        <f t="shared" ca="1" si="653"/>
        <v>47708</v>
      </c>
      <c r="AJ5068" s="210">
        <f t="shared" ca="1" si="656"/>
        <v>4.1749999999999998</v>
      </c>
      <c r="AK5068" s="8">
        <f t="shared" ca="1" si="658"/>
        <v>1.0001159722222221</v>
      </c>
      <c r="AL5068" s="98">
        <f t="shared" ca="1" si="657"/>
        <v>4.1974000379559007</v>
      </c>
      <c r="AM5068" s="106">
        <f t="shared" ca="1" si="654"/>
        <v>39667.831379406285</v>
      </c>
      <c r="AN5068" s="10">
        <f t="shared" ca="1" si="655"/>
        <v>1.1280716173046601</v>
      </c>
      <c r="AO5068" s="158"/>
      <c r="AP5068" s="158"/>
    </row>
    <row r="5069" spans="34:42">
      <c r="AH5069" s="6">
        <f t="shared" si="652"/>
        <v>5039</v>
      </c>
      <c r="AI5069" s="7">
        <f t="shared" ca="1" si="653"/>
        <v>47709</v>
      </c>
      <c r="AJ5069" s="210">
        <f t="shared" ca="1" si="656"/>
        <v>4.1749999999999998</v>
      </c>
      <c r="AK5069" s="8">
        <f t="shared" ca="1" si="658"/>
        <v>1.0001159722222221</v>
      </c>
      <c r="AL5069" s="98">
        <f t="shared" ca="1" si="657"/>
        <v>4.1974250671584334</v>
      </c>
      <c r="AM5069" s="106">
        <f t="shared" ca="1" si="654"/>
        <v>39671.100066992207</v>
      </c>
      <c r="AN5069" s="10">
        <f t="shared" ca="1" si="655"/>
        <v>1.128092379692891</v>
      </c>
      <c r="AO5069" s="158"/>
      <c r="AP5069" s="158"/>
    </row>
    <row r="5070" spans="34:42">
      <c r="AH5070" s="6">
        <f t="shared" si="652"/>
        <v>5040</v>
      </c>
      <c r="AI5070" s="7">
        <f t="shared" ca="1" si="653"/>
        <v>47710</v>
      </c>
      <c r="AJ5070" s="210">
        <f t="shared" ca="1" si="656"/>
        <v>4.1749999999999998</v>
      </c>
      <c r="AK5070" s="8">
        <f t="shared" ca="1" si="658"/>
        <v>1.0001159722222221</v>
      </c>
      <c r="AL5070" s="98">
        <f t="shared" ca="1" si="657"/>
        <v>4.1974500864347508</v>
      </c>
      <c r="AM5070" s="106">
        <f t="shared" ca="1" si="654"/>
        <v>39674.369023922794</v>
      </c>
      <c r="AN5070" s="10">
        <f t="shared" ca="1" si="655"/>
        <v>1.1281131338463535</v>
      </c>
      <c r="AO5070" s="158"/>
      <c r="AP5070" s="158"/>
    </row>
    <row r="5071" spans="34:42">
      <c r="AH5071" s="6">
        <f t="shared" si="652"/>
        <v>5041</v>
      </c>
      <c r="AI5071" s="7">
        <f t="shared" ca="1" si="653"/>
        <v>47711</v>
      </c>
      <c r="AJ5071" s="210">
        <f t="shared" ca="1" si="656"/>
        <v>4.1749999999999998</v>
      </c>
      <c r="AK5071" s="8">
        <f t="shared" ca="1" si="658"/>
        <v>1.0001159722222221</v>
      </c>
      <c r="AL5071" s="98">
        <f t="shared" ca="1" si="657"/>
        <v>4.1974750957907592</v>
      </c>
      <c r="AM5071" s="106">
        <f t="shared" ca="1" si="654"/>
        <v>39677.638250220232</v>
      </c>
      <c r="AN5071" s="10">
        <f t="shared" ca="1" si="655"/>
        <v>1.1281338797699325</v>
      </c>
      <c r="AO5071" s="158"/>
      <c r="AP5071" s="158"/>
    </row>
    <row r="5072" spans="34:42">
      <c r="AH5072" s="6">
        <f t="shared" si="652"/>
        <v>5042</v>
      </c>
      <c r="AI5072" s="7">
        <f t="shared" ca="1" si="653"/>
        <v>47712</v>
      </c>
      <c r="AJ5072" s="210">
        <f t="shared" ca="1" si="656"/>
        <v>4.1749999999999998</v>
      </c>
      <c r="AK5072" s="8">
        <f t="shared" ca="1" si="658"/>
        <v>1.0001159722222221</v>
      </c>
      <c r="AL5072" s="98">
        <f t="shared" ca="1" si="657"/>
        <v>4.1975000952323427</v>
      </c>
      <c r="AM5072" s="106">
        <f t="shared" ca="1" si="654"/>
        <v>39680.907745906727</v>
      </c>
      <c r="AN5072" s="10">
        <f t="shared" ca="1" si="655"/>
        <v>1.1281546174685131</v>
      </c>
      <c r="AO5072" s="158"/>
      <c r="AP5072" s="158"/>
    </row>
    <row r="5073" spans="34:42">
      <c r="AH5073" s="6">
        <f t="shared" si="652"/>
        <v>5043</v>
      </c>
      <c r="AI5073" s="7">
        <f t="shared" ca="1" si="653"/>
        <v>47713</v>
      </c>
      <c r="AJ5073" s="210">
        <f t="shared" ca="1" si="656"/>
        <v>4.1749999999999998</v>
      </c>
      <c r="AK5073" s="8">
        <f t="shared" ca="1" si="658"/>
        <v>1.0001159722222221</v>
      </c>
      <c r="AL5073" s="98">
        <f t="shared" ca="1" si="657"/>
        <v>4.1975250847654078</v>
      </c>
      <c r="AM5073" s="106">
        <f t="shared" ca="1" si="654"/>
        <v>39684.177511004455</v>
      </c>
      <c r="AN5073" s="10">
        <f t="shared" ca="1" si="655"/>
        <v>1.1281753469469802</v>
      </c>
      <c r="AO5073" s="158"/>
      <c r="AP5073" s="158"/>
    </row>
    <row r="5074" spans="34:42">
      <c r="AH5074" s="6">
        <f t="shared" si="652"/>
        <v>5044</v>
      </c>
      <c r="AI5074" s="7">
        <f t="shared" ca="1" si="653"/>
        <v>47714</v>
      </c>
      <c r="AJ5074" s="210">
        <f t="shared" ca="1" si="656"/>
        <v>4.1749999999999998</v>
      </c>
      <c r="AK5074" s="8">
        <f t="shared" ca="1" si="658"/>
        <v>1.0001159722222221</v>
      </c>
      <c r="AL5074" s="98">
        <f t="shared" ca="1" si="657"/>
        <v>4.1975500643958608</v>
      </c>
      <c r="AM5074" s="106">
        <f t="shared" ca="1" si="654"/>
        <v>39687.447545535644</v>
      </c>
      <c r="AN5074" s="10">
        <f t="shared" ca="1" si="655"/>
        <v>1.1281960682102632</v>
      </c>
      <c r="AO5074" s="158"/>
      <c r="AP5074" s="158"/>
    </row>
    <row r="5075" spans="34:42">
      <c r="AH5075" s="6">
        <f t="shared" si="652"/>
        <v>5045</v>
      </c>
      <c r="AI5075" s="7">
        <f t="shared" ca="1" si="653"/>
        <v>47715</v>
      </c>
      <c r="AJ5075" s="210">
        <f t="shared" ca="1" si="656"/>
        <v>4.1749999999999998</v>
      </c>
      <c r="AK5075" s="8">
        <f t="shared" ca="1" si="658"/>
        <v>1.0001159722222221</v>
      </c>
      <c r="AL5075" s="98">
        <f t="shared" ca="1" si="657"/>
        <v>4.1975750341295637</v>
      </c>
      <c r="AM5075" s="106">
        <f t="shared" ca="1" si="654"/>
        <v>39690.71784952248</v>
      </c>
      <c r="AN5075" s="10">
        <f t="shared" ca="1" si="655"/>
        <v>1.1282167812632027</v>
      </c>
      <c r="AO5075" s="158"/>
      <c r="AP5075" s="158"/>
    </row>
    <row r="5076" spans="34:42">
      <c r="AH5076" s="6">
        <f t="shared" ref="AH5076:AH5139" si="659">$AI$29+AH5075</f>
        <v>5046</v>
      </c>
      <c r="AI5076" s="7">
        <f t="shared" ref="AI5076:AI5139" ca="1" si="660">+AH5076+$C$1</f>
        <v>47716</v>
      </c>
      <c r="AJ5076" s="210">
        <f t="shared" ca="1" si="656"/>
        <v>4.1749999999999998</v>
      </c>
      <c r="AK5076" s="8">
        <f t="shared" ca="1" si="658"/>
        <v>1.0001159722222221</v>
      </c>
      <c r="AL5076" s="98">
        <f t="shared" ca="1" si="657"/>
        <v>4.1975999939724007</v>
      </c>
      <c r="AM5076" s="106">
        <f t="shared" ca="1" si="654"/>
        <v>39693.988422987168</v>
      </c>
      <c r="AN5076" s="10">
        <f t="shared" ca="1" si="655"/>
        <v>1.1282374861106836</v>
      </c>
      <c r="AO5076" s="158"/>
      <c r="AP5076" s="158"/>
    </row>
    <row r="5077" spans="34:42">
      <c r="AH5077" s="6">
        <f t="shared" si="659"/>
        <v>5047</v>
      </c>
      <c r="AI5077" s="7">
        <f t="shared" ca="1" si="660"/>
        <v>47717</v>
      </c>
      <c r="AJ5077" s="210">
        <f t="shared" ca="1" si="656"/>
        <v>4.1749999999999998</v>
      </c>
      <c r="AK5077" s="8">
        <f t="shared" ca="1" si="658"/>
        <v>1.0001159722222221</v>
      </c>
      <c r="AL5077" s="98">
        <f t="shared" ca="1" si="657"/>
        <v>4.197624943930256</v>
      </c>
      <c r="AM5077" s="106">
        <f t="shared" ca="1" si="654"/>
        <v>39697.259265951914</v>
      </c>
      <c r="AN5077" s="10">
        <f t="shared" ca="1" si="655"/>
        <v>1.128258182757591</v>
      </c>
      <c r="AO5077" s="158"/>
      <c r="AP5077" s="158"/>
    </row>
    <row r="5078" spans="34:42">
      <c r="AH5078" s="6">
        <f t="shared" si="659"/>
        <v>5048</v>
      </c>
      <c r="AI5078" s="7">
        <f t="shared" ca="1" si="660"/>
        <v>47718</v>
      </c>
      <c r="AJ5078" s="210">
        <f t="shared" ca="1" si="656"/>
        <v>4.1749999999999998</v>
      </c>
      <c r="AK5078" s="8">
        <f t="shared" ca="1" si="658"/>
        <v>1.0001159722222221</v>
      </c>
      <c r="AL5078" s="98">
        <f t="shared" ca="1" si="657"/>
        <v>4.1976498840089915</v>
      </c>
      <c r="AM5078" s="106">
        <f t="shared" ca="1" si="654"/>
        <v>39700.530378438933</v>
      </c>
      <c r="AN5078" s="10">
        <f t="shared" ca="1" si="655"/>
        <v>1.1282788712087877</v>
      </c>
      <c r="AO5078" s="158"/>
      <c r="AP5078" s="158"/>
    </row>
    <row r="5079" spans="34:42">
      <c r="AH5079" s="6">
        <f t="shared" si="659"/>
        <v>5049</v>
      </c>
      <c r="AI5079" s="7">
        <f t="shared" ca="1" si="660"/>
        <v>47719</v>
      </c>
      <c r="AJ5079" s="210">
        <f t="shared" ca="1" si="656"/>
        <v>4.1749999999999998</v>
      </c>
      <c r="AK5079" s="8">
        <f t="shared" ca="1" si="658"/>
        <v>1.0001159722222221</v>
      </c>
      <c r="AL5079" s="98">
        <f t="shared" ca="1" si="657"/>
        <v>4.1976748142144915</v>
      </c>
      <c r="AM5079" s="106">
        <f t="shared" ca="1" si="654"/>
        <v>39703.801760470415</v>
      </c>
      <c r="AN5079" s="10">
        <f t="shared" ca="1" si="655"/>
        <v>1.1282995514691585</v>
      </c>
      <c r="AO5079" s="158"/>
      <c r="AP5079" s="158"/>
    </row>
    <row r="5080" spans="34:42">
      <c r="AH5080" s="6">
        <f t="shared" si="659"/>
        <v>5050</v>
      </c>
      <c r="AI5080" s="7">
        <f t="shared" ca="1" si="660"/>
        <v>47720</v>
      </c>
      <c r="AJ5080" s="210">
        <f t="shared" ca="1" si="656"/>
        <v>4.1749999999999998</v>
      </c>
      <c r="AK5080" s="8">
        <f t="shared" ca="1" si="658"/>
        <v>1.0001159722222221</v>
      </c>
      <c r="AL5080" s="98">
        <f t="shared" ca="1" si="657"/>
        <v>4.1976997345525957</v>
      </c>
      <c r="AM5080" s="106">
        <f t="shared" ca="1" si="654"/>
        <v>39707.073412068588</v>
      </c>
      <c r="AN5080" s="10">
        <f t="shared" ca="1" si="655"/>
        <v>1.1283202235435441</v>
      </c>
      <c r="AO5080" s="158"/>
      <c r="AP5080" s="158"/>
    </row>
    <row r="5081" spans="34:42">
      <c r="AH5081" s="6">
        <f t="shared" si="659"/>
        <v>5051</v>
      </c>
      <c r="AI5081" s="7">
        <f t="shared" ca="1" si="660"/>
        <v>47721</v>
      </c>
      <c r="AJ5081" s="210">
        <f t="shared" ca="1" si="656"/>
        <v>4.1749999999999998</v>
      </c>
      <c r="AK5081" s="8">
        <f t="shared" ca="1" si="658"/>
        <v>1.0001159722222221</v>
      </c>
      <c r="AL5081" s="98">
        <f t="shared" ca="1" si="657"/>
        <v>4.1977246450291661</v>
      </c>
      <c r="AM5081" s="106">
        <f t="shared" ca="1" si="654"/>
        <v>39710.34533325566</v>
      </c>
      <c r="AN5081" s="10">
        <f t="shared" ca="1" si="655"/>
        <v>1.1283408874368295</v>
      </c>
      <c r="AO5081" s="158"/>
      <c r="AP5081" s="158"/>
    </row>
    <row r="5082" spans="34:42">
      <c r="AH5082" s="6">
        <f t="shared" si="659"/>
        <v>5052</v>
      </c>
      <c r="AI5082" s="7">
        <f t="shared" ca="1" si="660"/>
        <v>47722</v>
      </c>
      <c r="AJ5082" s="210">
        <f t="shared" ca="1" si="656"/>
        <v>4.1749999999999998</v>
      </c>
      <c r="AK5082" s="8">
        <f t="shared" ca="1" si="658"/>
        <v>1.0001159722222221</v>
      </c>
      <c r="AL5082" s="98">
        <f t="shared" ca="1" si="657"/>
        <v>4.1977495456500646</v>
      </c>
      <c r="AM5082" s="106">
        <f t="shared" ca="1" si="654"/>
        <v>39713.617524053843</v>
      </c>
      <c r="AN5082" s="10">
        <f t="shared" ca="1" si="655"/>
        <v>1.128361543153833</v>
      </c>
      <c r="AO5082" s="158"/>
      <c r="AP5082" s="158"/>
    </row>
    <row r="5083" spans="34:42">
      <c r="AH5083" s="6">
        <f t="shared" si="659"/>
        <v>5053</v>
      </c>
      <c r="AI5083" s="7">
        <f t="shared" ca="1" si="660"/>
        <v>47723</v>
      </c>
      <c r="AJ5083" s="210">
        <f t="shared" ca="1" si="656"/>
        <v>4.1749999999999998</v>
      </c>
      <c r="AK5083" s="8">
        <f t="shared" ca="1" si="658"/>
        <v>1.0001159722222221</v>
      </c>
      <c r="AL5083" s="98">
        <f t="shared" ca="1" si="657"/>
        <v>4.1977744364211311</v>
      </c>
      <c r="AM5083" s="106">
        <f t="shared" ca="1" si="654"/>
        <v>39716.889984485359</v>
      </c>
      <c r="AN5083" s="10">
        <f t="shared" ca="1" si="655"/>
        <v>1.1283821906994396</v>
      </c>
      <c r="AO5083" s="158"/>
      <c r="AP5083" s="158"/>
    </row>
    <row r="5084" spans="34:42">
      <c r="AH5084" s="6">
        <f t="shared" si="659"/>
        <v>5054</v>
      </c>
      <c r="AI5084" s="7">
        <f t="shared" ca="1" si="660"/>
        <v>47724</v>
      </c>
      <c r="AJ5084" s="210">
        <f t="shared" ca="1" si="656"/>
        <v>4.1749999999999998</v>
      </c>
      <c r="AK5084" s="8">
        <f t="shared" ca="1" si="658"/>
        <v>1.0001159722222221</v>
      </c>
      <c r="AL5084" s="98">
        <f t="shared" ca="1" si="657"/>
        <v>4.1977993173482053</v>
      </c>
      <c r="AM5084" s="106">
        <f t="shared" ca="1" si="654"/>
        <v>39720.16271457242</v>
      </c>
      <c r="AN5084" s="10">
        <f t="shared" ca="1" si="655"/>
        <v>1.1284028300784898</v>
      </c>
      <c r="AO5084" s="158"/>
      <c r="AP5084" s="158"/>
    </row>
    <row r="5085" spans="34:42">
      <c r="AH5085" s="6">
        <f t="shared" si="659"/>
        <v>5055</v>
      </c>
      <c r="AI5085" s="7">
        <f t="shared" ca="1" si="660"/>
        <v>47725</v>
      </c>
      <c r="AJ5085" s="210">
        <f t="shared" ca="1" si="656"/>
        <v>4.1749999999999998</v>
      </c>
      <c r="AK5085" s="8">
        <f t="shared" ca="1" si="658"/>
        <v>1.0001159722222221</v>
      </c>
      <c r="AL5085" s="98">
        <f t="shared" ca="1" si="657"/>
        <v>4.197824188437127</v>
      </c>
      <c r="AM5085" s="106">
        <f t="shared" ca="1" si="654"/>
        <v>39723.435714337254</v>
      </c>
      <c r="AN5085" s="10">
        <f t="shared" ca="1" si="655"/>
        <v>1.1284234612958022</v>
      </c>
      <c r="AO5085" s="158"/>
      <c r="AP5085" s="158"/>
    </row>
    <row r="5086" spans="34:42">
      <c r="AH5086" s="6">
        <f t="shared" si="659"/>
        <v>5056</v>
      </c>
      <c r="AI5086" s="7">
        <f t="shared" ca="1" si="660"/>
        <v>47726</v>
      </c>
      <c r="AJ5086" s="210">
        <f t="shared" ca="1" si="656"/>
        <v>4.1749999999999998</v>
      </c>
      <c r="AK5086" s="8">
        <f t="shared" ca="1" si="658"/>
        <v>1.0001159722222221</v>
      </c>
      <c r="AL5086" s="98">
        <f t="shared" ca="1" si="657"/>
        <v>4.197849049693736</v>
      </c>
      <c r="AM5086" s="106">
        <f t="shared" ca="1" si="654"/>
        <v>39726.708983802069</v>
      </c>
      <c r="AN5086" s="10">
        <f t="shared" ca="1" si="655"/>
        <v>1.1284440843562393</v>
      </c>
      <c r="AO5086" s="158"/>
      <c r="AP5086" s="158"/>
    </row>
    <row r="5087" spans="34:42">
      <c r="AH5087" s="6">
        <f t="shared" si="659"/>
        <v>5057</v>
      </c>
      <c r="AI5087" s="7">
        <f t="shared" ca="1" si="660"/>
        <v>47727</v>
      </c>
      <c r="AJ5087" s="210">
        <f t="shared" ca="1" si="656"/>
        <v>4.1749999999999998</v>
      </c>
      <c r="AK5087" s="8">
        <f t="shared" ca="1" si="658"/>
        <v>1.0001159722222221</v>
      </c>
      <c r="AL5087" s="98">
        <f t="shared" ca="1" si="657"/>
        <v>4.1978739011238719</v>
      </c>
      <c r="AM5087" s="106">
        <f t="shared" ref="AM5087:AM5150" ca="1" si="661">Geom_Interp(AI5087,$AZ$2:$AZ$109,$BA$2:$BA$109)</f>
        <v>39729.982522989107</v>
      </c>
      <c r="AN5087" s="10">
        <f t="shared" ref="AN5087:AN5150" ca="1" si="662">100*(((1+AL5087/100)^(AH5087/365)*$AM$29/AM5087)^(365/AH5087)-1)</f>
        <v>1.1284646992646641</v>
      </c>
      <c r="AO5087" s="158"/>
      <c r="AP5087" s="158"/>
    </row>
    <row r="5088" spans="34:42">
      <c r="AH5088" s="6">
        <f t="shared" si="659"/>
        <v>5058</v>
      </c>
      <c r="AI5088" s="7">
        <f t="shared" ca="1" si="660"/>
        <v>47728</v>
      </c>
      <c r="AJ5088" s="210">
        <f t="shared" ref="AJ5088:AJ5151" ca="1" si="663">IF(AH5088&lt;365,VLOOKUP(LOOKUP(AI5088,$AI$2:$AI$23),$AI$2:$AK$23,3,0),Lin_Interp(AH5088,$AJ$2:$AJ$23,$AK$2:$AK$23))</f>
        <v>4.1749999999999998</v>
      </c>
      <c r="AK5088" s="8">
        <f t="shared" ca="1" si="658"/>
        <v>1.0001159722222221</v>
      </c>
      <c r="AL5088" s="98">
        <f t="shared" ca="1" si="657"/>
        <v>4.1978987427333525</v>
      </c>
      <c r="AM5088" s="106">
        <f t="shared" ca="1" si="661"/>
        <v>39733.256331920573</v>
      </c>
      <c r="AN5088" s="10">
        <f t="shared" ca="1" si="662"/>
        <v>1.1284853060258726</v>
      </c>
      <c r="AO5088" s="158"/>
      <c r="AP5088" s="158"/>
    </row>
    <row r="5089" spans="34:42">
      <c r="AH5089" s="6">
        <f t="shared" si="659"/>
        <v>5059</v>
      </c>
      <c r="AI5089" s="7">
        <f t="shared" ca="1" si="660"/>
        <v>47729</v>
      </c>
      <c r="AJ5089" s="210">
        <f t="shared" ca="1" si="663"/>
        <v>4.1749999999999998</v>
      </c>
      <c r="AK5089" s="8">
        <f t="shared" ca="1" si="658"/>
        <v>1.0001159722222221</v>
      </c>
      <c r="AL5089" s="98">
        <f t="shared" ref="AL5089:AL5152" ca="1" si="664">100*(((1+AL5088/100)^(AH5088/365)*AK5089)^(365/AH5089)-1)</f>
        <v>4.197923574527973</v>
      </c>
      <c r="AM5089" s="106">
        <f t="shared" ca="1" si="661"/>
        <v>39736.53041061871</v>
      </c>
      <c r="AN5089" s="10">
        <f t="shared" ca="1" si="662"/>
        <v>1.1285059046446833</v>
      </c>
      <c r="AO5089" s="158"/>
      <c r="AP5089" s="158"/>
    </row>
    <row r="5090" spans="34:42">
      <c r="AH5090" s="6">
        <f t="shared" si="659"/>
        <v>5060</v>
      </c>
      <c r="AI5090" s="7">
        <f t="shared" ca="1" si="660"/>
        <v>47730</v>
      </c>
      <c r="AJ5090" s="210">
        <f t="shared" ca="1" si="663"/>
        <v>4.1749999999999998</v>
      </c>
      <c r="AK5090" s="8">
        <f t="shared" ca="1" si="658"/>
        <v>1.0001159722222221</v>
      </c>
      <c r="AL5090" s="98">
        <f t="shared" ca="1" si="664"/>
        <v>4.1979483965135733</v>
      </c>
      <c r="AM5090" s="106">
        <f t="shared" ca="1" si="661"/>
        <v>39739.80475910574</v>
      </c>
      <c r="AN5090" s="10">
        <f t="shared" ca="1" si="662"/>
        <v>1.1285264951259588</v>
      </c>
      <c r="AO5090" s="158"/>
      <c r="AP5090" s="158"/>
    </row>
    <row r="5091" spans="34:42">
      <c r="AH5091" s="6">
        <f t="shared" si="659"/>
        <v>5061</v>
      </c>
      <c r="AI5091" s="7">
        <f t="shared" ca="1" si="660"/>
        <v>47731</v>
      </c>
      <c r="AJ5091" s="210">
        <f t="shared" ca="1" si="663"/>
        <v>4.1749999999999998</v>
      </c>
      <c r="AK5091" s="8">
        <f t="shared" ca="1" si="658"/>
        <v>1.0001159722222221</v>
      </c>
      <c r="AL5091" s="98">
        <f t="shared" ca="1" si="664"/>
        <v>4.1979732086959709</v>
      </c>
      <c r="AM5091" s="106">
        <f t="shared" ca="1" si="661"/>
        <v>39743.079377403898</v>
      </c>
      <c r="AN5091" s="10">
        <f t="shared" ca="1" si="662"/>
        <v>1.1285470774744955</v>
      </c>
      <c r="AO5091" s="158"/>
      <c r="AP5091" s="158"/>
    </row>
    <row r="5092" spans="34:42">
      <c r="AH5092" s="6">
        <f t="shared" si="659"/>
        <v>5062</v>
      </c>
      <c r="AI5092" s="7">
        <f t="shared" ca="1" si="660"/>
        <v>47732</v>
      </c>
      <c r="AJ5092" s="210">
        <f t="shared" ca="1" si="663"/>
        <v>4.1749999999999998</v>
      </c>
      <c r="AK5092" s="8">
        <f t="shared" ref="AK5092:AK5155" ca="1" si="665">+(1+AJ5092/36000)</f>
        <v>1.0001159722222221</v>
      </c>
      <c r="AL5092" s="98">
        <f t="shared" ca="1" si="664"/>
        <v>4.1979980110809612</v>
      </c>
      <c r="AM5092" s="106">
        <f t="shared" ca="1" si="661"/>
        <v>39746.35426553541</v>
      </c>
      <c r="AN5092" s="10">
        <f t="shared" ca="1" si="662"/>
        <v>1.1285676516951337</v>
      </c>
      <c r="AO5092" s="158"/>
      <c r="AP5092" s="158"/>
    </row>
    <row r="5093" spans="34:42">
      <c r="AH5093" s="6">
        <f t="shared" si="659"/>
        <v>5063</v>
      </c>
      <c r="AI5093" s="7">
        <f t="shared" ca="1" si="660"/>
        <v>47733</v>
      </c>
      <c r="AJ5093" s="210">
        <f t="shared" ca="1" si="663"/>
        <v>4.1749999999999998</v>
      </c>
      <c r="AK5093" s="8">
        <f t="shared" ca="1" si="665"/>
        <v>1.0001159722222221</v>
      </c>
      <c r="AL5093" s="98">
        <f t="shared" ca="1" si="664"/>
        <v>4.1980228036743394</v>
      </c>
      <c r="AM5093" s="106">
        <f t="shared" ca="1" si="661"/>
        <v>39749.629423522521</v>
      </c>
      <c r="AN5093" s="10">
        <f t="shared" ca="1" si="662"/>
        <v>1.1285882177926476</v>
      </c>
      <c r="AO5093" s="158"/>
      <c r="AP5093" s="158"/>
    </row>
    <row r="5094" spans="34:42">
      <c r="AH5094" s="6">
        <f t="shared" si="659"/>
        <v>5064</v>
      </c>
      <c r="AI5094" s="7">
        <f t="shared" ca="1" si="660"/>
        <v>47734</v>
      </c>
      <c r="AJ5094" s="210">
        <f t="shared" ca="1" si="663"/>
        <v>4.1749999999999998</v>
      </c>
      <c r="AK5094" s="8">
        <f t="shared" ca="1" si="665"/>
        <v>1.0001159722222221</v>
      </c>
      <c r="AL5094" s="98">
        <f t="shared" ca="1" si="664"/>
        <v>4.1980475864819233</v>
      </c>
      <c r="AM5094" s="106">
        <f t="shared" ca="1" si="661"/>
        <v>39752.904851387459</v>
      </c>
      <c r="AN5094" s="10">
        <f t="shared" ca="1" si="662"/>
        <v>1.1286087757718999</v>
      </c>
      <c r="AO5094" s="158"/>
      <c r="AP5094" s="158"/>
    </row>
    <row r="5095" spans="34:42">
      <c r="AH5095" s="6">
        <f t="shared" si="659"/>
        <v>5065</v>
      </c>
      <c r="AI5095" s="7">
        <f t="shared" ca="1" si="660"/>
        <v>47735</v>
      </c>
      <c r="AJ5095" s="210">
        <f t="shared" ca="1" si="663"/>
        <v>4.1749999999999998</v>
      </c>
      <c r="AK5095" s="8">
        <f t="shared" ca="1" si="665"/>
        <v>1.0001159722222221</v>
      </c>
      <c r="AL5095" s="98">
        <f t="shared" ca="1" si="664"/>
        <v>4.198072359509486</v>
      </c>
      <c r="AM5095" s="106">
        <f t="shared" ca="1" si="661"/>
        <v>39756.180549152472</v>
      </c>
      <c r="AN5095" s="10">
        <f t="shared" ca="1" si="662"/>
        <v>1.1286293256376423</v>
      </c>
      <c r="AO5095" s="158"/>
      <c r="AP5095" s="158"/>
    </row>
    <row r="5096" spans="34:42">
      <c r="AH5096" s="6">
        <f t="shared" si="659"/>
        <v>5066</v>
      </c>
      <c r="AI5096" s="7">
        <f t="shared" ca="1" si="660"/>
        <v>47736</v>
      </c>
      <c r="AJ5096" s="210">
        <f t="shared" ca="1" si="663"/>
        <v>4.1749999999999998</v>
      </c>
      <c r="AK5096" s="8">
        <f t="shared" ca="1" si="665"/>
        <v>1.0001159722222221</v>
      </c>
      <c r="AL5096" s="98">
        <f t="shared" ca="1" si="664"/>
        <v>4.1980971227628228</v>
      </c>
      <c r="AM5096" s="106">
        <f t="shared" ca="1" si="661"/>
        <v>39759.456516839782</v>
      </c>
      <c r="AN5096" s="10">
        <f t="shared" ca="1" si="662"/>
        <v>1.1286498673947154</v>
      </c>
      <c r="AO5096" s="158"/>
      <c r="AP5096" s="158"/>
    </row>
    <row r="5097" spans="34:42">
      <c r="AH5097" s="6">
        <f t="shared" si="659"/>
        <v>5067</v>
      </c>
      <c r="AI5097" s="7">
        <f t="shared" ca="1" si="660"/>
        <v>47737</v>
      </c>
      <c r="AJ5097" s="210">
        <f t="shared" ca="1" si="663"/>
        <v>4.1749999999999998</v>
      </c>
      <c r="AK5097" s="8">
        <f t="shared" ca="1" si="665"/>
        <v>1.0001159722222221</v>
      </c>
      <c r="AL5097" s="98">
        <f t="shared" ca="1" si="664"/>
        <v>4.1981218762477068</v>
      </c>
      <c r="AM5097" s="106">
        <f t="shared" ca="1" si="661"/>
        <v>39762.732754471646</v>
      </c>
      <c r="AN5097" s="10">
        <f t="shared" ca="1" si="662"/>
        <v>1.1286704010478932</v>
      </c>
      <c r="AO5097" s="158"/>
      <c r="AP5097" s="158"/>
    </row>
    <row r="5098" spans="34:42">
      <c r="AH5098" s="6">
        <f t="shared" si="659"/>
        <v>5068</v>
      </c>
      <c r="AI5098" s="7">
        <f t="shared" ca="1" si="660"/>
        <v>47738</v>
      </c>
      <c r="AJ5098" s="210">
        <f t="shared" ca="1" si="663"/>
        <v>4.1749999999999998</v>
      </c>
      <c r="AK5098" s="8">
        <f t="shared" ca="1" si="665"/>
        <v>1.0001159722222221</v>
      </c>
      <c r="AL5098" s="98">
        <f t="shared" ca="1" si="664"/>
        <v>4.1981466199699335</v>
      </c>
      <c r="AM5098" s="106">
        <f t="shared" ca="1" si="661"/>
        <v>39766.009262070307</v>
      </c>
      <c r="AN5098" s="10">
        <f t="shared" ca="1" si="662"/>
        <v>1.1286909266019718</v>
      </c>
      <c r="AO5098" s="158"/>
      <c r="AP5098" s="158"/>
    </row>
    <row r="5099" spans="34:42">
      <c r="AH5099" s="6">
        <f t="shared" si="659"/>
        <v>5069</v>
      </c>
      <c r="AI5099" s="7">
        <f t="shared" ca="1" si="660"/>
        <v>47739</v>
      </c>
      <c r="AJ5099" s="210">
        <f t="shared" ca="1" si="663"/>
        <v>4.1749999999999998</v>
      </c>
      <c r="AK5099" s="8">
        <f t="shared" ca="1" si="665"/>
        <v>1.0001159722222221</v>
      </c>
      <c r="AL5099" s="98">
        <f t="shared" ca="1" si="664"/>
        <v>4.1981713539352539</v>
      </c>
      <c r="AM5099" s="106">
        <f t="shared" ca="1" si="661"/>
        <v>39769.286039658007</v>
      </c>
      <c r="AN5099" s="10">
        <f t="shared" ca="1" si="662"/>
        <v>1.1287114440617696</v>
      </c>
      <c r="AO5099" s="158"/>
      <c r="AP5099" s="158"/>
    </row>
    <row r="5100" spans="34:42">
      <c r="AH5100" s="6">
        <f t="shared" si="659"/>
        <v>5070</v>
      </c>
      <c r="AI5100" s="7">
        <f t="shared" ca="1" si="660"/>
        <v>47740</v>
      </c>
      <c r="AJ5100" s="210">
        <f t="shared" ca="1" si="663"/>
        <v>4.1749999999999998</v>
      </c>
      <c r="AK5100" s="8">
        <f t="shared" ca="1" si="665"/>
        <v>1.0001159722222221</v>
      </c>
      <c r="AL5100" s="98">
        <f t="shared" ca="1" si="664"/>
        <v>4.1981960781494632</v>
      </c>
      <c r="AM5100" s="106">
        <f t="shared" ca="1" si="661"/>
        <v>39772.563087256996</v>
      </c>
      <c r="AN5100" s="10">
        <f t="shared" ca="1" si="662"/>
        <v>1.1287319534320384</v>
      </c>
      <c r="AO5100" s="158"/>
      <c r="AP5100" s="158"/>
    </row>
    <row r="5101" spans="34:42">
      <c r="AH5101" s="6">
        <f t="shared" si="659"/>
        <v>5071</v>
      </c>
      <c r="AI5101" s="7">
        <f t="shared" ca="1" si="660"/>
        <v>47741</v>
      </c>
      <c r="AJ5101" s="210">
        <f t="shared" ca="1" si="663"/>
        <v>4.1749999999999998</v>
      </c>
      <c r="AK5101" s="8">
        <f t="shared" ca="1" si="665"/>
        <v>1.0001159722222221</v>
      </c>
      <c r="AL5101" s="98">
        <f t="shared" ca="1" si="664"/>
        <v>4.1982207926183124</v>
      </c>
      <c r="AM5101" s="106">
        <f t="shared" ca="1" si="661"/>
        <v>39775.840404889525</v>
      </c>
      <c r="AN5101" s="10">
        <f t="shared" ca="1" si="662"/>
        <v>1.1287524547175742</v>
      </c>
      <c r="AO5101" s="158"/>
      <c r="AP5101" s="158"/>
    </row>
    <row r="5102" spans="34:42">
      <c r="AH5102" s="6">
        <f t="shared" si="659"/>
        <v>5072</v>
      </c>
      <c r="AI5102" s="7">
        <f t="shared" ca="1" si="660"/>
        <v>47742</v>
      </c>
      <c r="AJ5102" s="210">
        <f t="shared" ca="1" si="663"/>
        <v>4.1749999999999998</v>
      </c>
      <c r="AK5102" s="8">
        <f t="shared" ca="1" si="665"/>
        <v>1.0001159722222221</v>
      </c>
      <c r="AL5102" s="98">
        <f t="shared" ca="1" si="664"/>
        <v>4.1982454973475747</v>
      </c>
      <c r="AM5102" s="106">
        <f t="shared" ca="1" si="661"/>
        <v>39779.117992577842</v>
      </c>
      <c r="AN5102" s="10">
        <f t="shared" ca="1" si="662"/>
        <v>1.1287729479231734</v>
      </c>
      <c r="AO5102" s="158"/>
      <c r="AP5102" s="158"/>
    </row>
    <row r="5103" spans="34:42">
      <c r="AH5103" s="6">
        <f t="shared" si="659"/>
        <v>5073</v>
      </c>
      <c r="AI5103" s="7">
        <f t="shared" ca="1" si="660"/>
        <v>47743</v>
      </c>
      <c r="AJ5103" s="210">
        <f t="shared" ca="1" si="663"/>
        <v>4.1749999999999998</v>
      </c>
      <c r="AK5103" s="8">
        <f t="shared" ca="1" si="665"/>
        <v>1.0001159722222221</v>
      </c>
      <c r="AL5103" s="98">
        <f t="shared" ca="1" si="664"/>
        <v>4.198270192343001</v>
      </c>
      <c r="AM5103" s="106">
        <f t="shared" ca="1" si="661"/>
        <v>39782.395850344197</v>
      </c>
      <c r="AN5103" s="10">
        <f t="shared" ca="1" si="662"/>
        <v>1.1287934330536098</v>
      </c>
      <c r="AO5103" s="158"/>
      <c r="AP5103" s="158"/>
    </row>
    <row r="5104" spans="34:42">
      <c r="AH5104" s="6">
        <f t="shared" si="659"/>
        <v>5074</v>
      </c>
      <c r="AI5104" s="7">
        <f t="shared" ca="1" si="660"/>
        <v>47744</v>
      </c>
      <c r="AJ5104" s="210">
        <f t="shared" ca="1" si="663"/>
        <v>4.1749999999999998</v>
      </c>
      <c r="AK5104" s="8">
        <f t="shared" ca="1" si="665"/>
        <v>1.0001159722222221</v>
      </c>
      <c r="AL5104" s="98">
        <f t="shared" ca="1" si="664"/>
        <v>4.1982948776103424</v>
      </c>
      <c r="AM5104" s="106">
        <f t="shared" ca="1" si="661"/>
        <v>39785.673978210842</v>
      </c>
      <c r="AN5104" s="10">
        <f t="shared" ca="1" si="662"/>
        <v>1.1288139101136352</v>
      </c>
      <c r="AO5104" s="158"/>
      <c r="AP5104" s="158"/>
    </row>
    <row r="5105" spans="34:42">
      <c r="AH5105" s="6">
        <f t="shared" si="659"/>
        <v>5075</v>
      </c>
      <c r="AI5105" s="7">
        <f t="shared" ca="1" si="660"/>
        <v>47745</v>
      </c>
      <c r="AJ5105" s="210">
        <f t="shared" ca="1" si="663"/>
        <v>4.1749999999999998</v>
      </c>
      <c r="AK5105" s="8">
        <f t="shared" ca="1" si="665"/>
        <v>1.0001159722222221</v>
      </c>
      <c r="AL5105" s="98">
        <f t="shared" ca="1" si="664"/>
        <v>4.1983195531553275</v>
      </c>
      <c r="AM5105" s="106">
        <f t="shared" ca="1" si="661"/>
        <v>39788.952376200046</v>
      </c>
      <c r="AN5105" s="10">
        <f t="shared" ca="1" si="662"/>
        <v>1.1288343791080013</v>
      </c>
      <c r="AO5105" s="158"/>
      <c r="AP5105" s="158"/>
    </row>
    <row r="5106" spans="34:42">
      <c r="AH5106" s="6">
        <f t="shared" si="659"/>
        <v>5076</v>
      </c>
      <c r="AI5106" s="7">
        <f t="shared" ca="1" si="660"/>
        <v>47746</v>
      </c>
      <c r="AJ5106" s="210">
        <f t="shared" ca="1" si="663"/>
        <v>4.1749999999999998</v>
      </c>
      <c r="AK5106" s="8">
        <f t="shared" ca="1" si="665"/>
        <v>1.0001159722222221</v>
      </c>
      <c r="AL5106" s="98">
        <f t="shared" ca="1" si="664"/>
        <v>4.1983442189837294</v>
      </c>
      <c r="AM5106" s="106">
        <f t="shared" ca="1" si="661"/>
        <v>39792.231044334061</v>
      </c>
      <c r="AN5106" s="10">
        <f t="shared" ca="1" si="662"/>
        <v>1.1288548400415266</v>
      </c>
      <c r="AO5106" s="158"/>
      <c r="AP5106" s="158"/>
    </row>
    <row r="5107" spans="34:42">
      <c r="AH5107" s="6">
        <f t="shared" si="659"/>
        <v>5077</v>
      </c>
      <c r="AI5107" s="7">
        <f t="shared" ca="1" si="660"/>
        <v>47747</v>
      </c>
      <c r="AJ5107" s="210">
        <f t="shared" ca="1" si="663"/>
        <v>4.1749999999999998</v>
      </c>
      <c r="AK5107" s="8">
        <f t="shared" ca="1" si="665"/>
        <v>1.0001159722222221</v>
      </c>
      <c r="AL5107" s="98">
        <f t="shared" ca="1" si="664"/>
        <v>4.1983688751012771</v>
      </c>
      <c r="AM5107" s="106">
        <f t="shared" ca="1" si="661"/>
        <v>39795.509982635151</v>
      </c>
      <c r="AN5107" s="10">
        <f t="shared" ca="1" si="662"/>
        <v>1.1288752929189405</v>
      </c>
      <c r="AO5107" s="158"/>
      <c r="AP5107" s="158"/>
    </row>
    <row r="5108" spans="34:42">
      <c r="AH5108" s="6">
        <f t="shared" si="659"/>
        <v>5078</v>
      </c>
      <c r="AI5108" s="7">
        <f t="shared" ca="1" si="660"/>
        <v>47748</v>
      </c>
      <c r="AJ5108" s="210">
        <f t="shared" ca="1" si="663"/>
        <v>4.1749999999999998</v>
      </c>
      <c r="AK5108" s="8">
        <f t="shared" ca="1" si="665"/>
        <v>1.0001159722222221</v>
      </c>
      <c r="AL5108" s="98">
        <f t="shared" ca="1" si="664"/>
        <v>4.1983935215136992</v>
      </c>
      <c r="AM5108" s="106">
        <f t="shared" ca="1" si="661"/>
        <v>39798.789191125565</v>
      </c>
      <c r="AN5108" s="10">
        <f t="shared" ca="1" si="662"/>
        <v>1.1288957377450171</v>
      </c>
      <c r="AO5108" s="158"/>
      <c r="AP5108" s="158"/>
    </row>
    <row r="5109" spans="34:42">
      <c r="AH5109" s="6">
        <f t="shared" si="659"/>
        <v>5079</v>
      </c>
      <c r="AI5109" s="7">
        <f t="shared" ca="1" si="660"/>
        <v>47749</v>
      </c>
      <c r="AJ5109" s="210">
        <f t="shared" ca="1" si="663"/>
        <v>4.1749999999999998</v>
      </c>
      <c r="AK5109" s="8">
        <f t="shared" ca="1" si="665"/>
        <v>1.0001159722222221</v>
      </c>
      <c r="AL5109" s="98">
        <f t="shared" ca="1" si="664"/>
        <v>4.1984181582267244</v>
      </c>
      <c r="AM5109" s="106">
        <f t="shared" ca="1" si="661"/>
        <v>39802.068669827582</v>
      </c>
      <c r="AN5109" s="10">
        <f t="shared" ca="1" si="662"/>
        <v>1.1289161745244858</v>
      </c>
      <c r="AO5109" s="158"/>
      <c r="AP5109" s="158"/>
    </row>
    <row r="5110" spans="34:42">
      <c r="AH5110" s="6">
        <f t="shared" si="659"/>
        <v>5080</v>
      </c>
      <c r="AI5110" s="7">
        <f t="shared" ca="1" si="660"/>
        <v>47750</v>
      </c>
      <c r="AJ5110" s="210">
        <f t="shared" ca="1" si="663"/>
        <v>4.1749999999999998</v>
      </c>
      <c r="AK5110" s="8">
        <f t="shared" ca="1" si="665"/>
        <v>1.0001159722222221</v>
      </c>
      <c r="AL5110" s="98">
        <f t="shared" ca="1" si="664"/>
        <v>4.1984427852460815</v>
      </c>
      <c r="AM5110" s="106">
        <f t="shared" ca="1" si="661"/>
        <v>39805.348418763453</v>
      </c>
      <c r="AN5110" s="10">
        <f t="shared" ca="1" si="662"/>
        <v>1.1289366032620984</v>
      </c>
      <c r="AO5110" s="158"/>
      <c r="AP5110" s="158"/>
    </row>
    <row r="5111" spans="34:42">
      <c r="AH5111" s="6">
        <f t="shared" si="659"/>
        <v>5081</v>
      </c>
      <c r="AI5111" s="7">
        <f t="shared" ca="1" si="660"/>
        <v>47751</v>
      </c>
      <c r="AJ5111" s="210">
        <f t="shared" ca="1" si="663"/>
        <v>4.1749999999999998</v>
      </c>
      <c r="AK5111" s="8">
        <f t="shared" ca="1" si="665"/>
        <v>1.0001159722222221</v>
      </c>
      <c r="AL5111" s="98">
        <f t="shared" ca="1" si="664"/>
        <v>4.1984674025774771</v>
      </c>
      <c r="AM5111" s="106">
        <f t="shared" ca="1" si="661"/>
        <v>39808.628437955471</v>
      </c>
      <c r="AN5111" s="10">
        <f t="shared" ca="1" si="662"/>
        <v>1.1289570239626068</v>
      </c>
      <c r="AO5111" s="158"/>
      <c r="AP5111" s="158"/>
    </row>
    <row r="5112" spans="34:42">
      <c r="AH5112" s="6">
        <f t="shared" si="659"/>
        <v>5082</v>
      </c>
      <c r="AI5112" s="7">
        <f t="shared" ca="1" si="660"/>
        <v>47752</v>
      </c>
      <c r="AJ5112" s="210">
        <f t="shared" ca="1" si="663"/>
        <v>4.1749999999999998</v>
      </c>
      <c r="AK5112" s="8">
        <f t="shared" ca="1" si="665"/>
        <v>1.0001159722222221</v>
      </c>
      <c r="AL5112" s="98">
        <f t="shared" ca="1" si="664"/>
        <v>4.1984920102266399</v>
      </c>
      <c r="AM5112" s="106">
        <f t="shared" ca="1" si="661"/>
        <v>39811.908727425878</v>
      </c>
      <c r="AN5112" s="10">
        <f t="shared" ca="1" si="662"/>
        <v>1.1289774366307626</v>
      </c>
      <c r="AO5112" s="158"/>
      <c r="AP5112" s="158"/>
    </row>
    <row r="5113" spans="34:42">
      <c r="AH5113" s="6">
        <f t="shared" si="659"/>
        <v>5083</v>
      </c>
      <c r="AI5113" s="7">
        <f t="shared" ca="1" si="660"/>
        <v>47753</v>
      </c>
      <c r="AJ5113" s="210">
        <f t="shared" ca="1" si="663"/>
        <v>4.1749999999999998</v>
      </c>
      <c r="AK5113" s="8">
        <f t="shared" ca="1" si="665"/>
        <v>1.0001159722222221</v>
      </c>
      <c r="AL5113" s="98">
        <f t="shared" ca="1" si="664"/>
        <v>4.1985166081992764</v>
      </c>
      <c r="AM5113" s="106">
        <f t="shared" ca="1" si="661"/>
        <v>39815.189287196961</v>
      </c>
      <c r="AN5113" s="10">
        <f t="shared" ca="1" si="662"/>
        <v>1.1289978412712953</v>
      </c>
      <c r="AO5113" s="158"/>
      <c r="AP5113" s="158"/>
    </row>
    <row r="5114" spans="34:42">
      <c r="AH5114" s="6">
        <f t="shared" si="659"/>
        <v>5084</v>
      </c>
      <c r="AI5114" s="7">
        <f t="shared" ca="1" si="660"/>
        <v>47754</v>
      </c>
      <c r="AJ5114" s="210">
        <f t="shared" ca="1" si="663"/>
        <v>4.1749999999999998</v>
      </c>
      <c r="AK5114" s="8">
        <f t="shared" ca="1" si="665"/>
        <v>1.0001159722222221</v>
      </c>
      <c r="AL5114" s="98">
        <f t="shared" ca="1" si="664"/>
        <v>4.1985411965010933</v>
      </c>
      <c r="AM5114" s="106">
        <f t="shared" ca="1" si="661"/>
        <v>39818.470117290984</v>
      </c>
      <c r="AN5114" s="10">
        <f t="shared" ca="1" si="662"/>
        <v>1.1290182378889346</v>
      </c>
      <c r="AO5114" s="158"/>
      <c r="AP5114" s="158"/>
    </row>
    <row r="5115" spans="34:42">
      <c r="AH5115" s="6">
        <f t="shared" si="659"/>
        <v>5085</v>
      </c>
      <c r="AI5115" s="7">
        <f t="shared" ca="1" si="660"/>
        <v>47755</v>
      </c>
      <c r="AJ5115" s="210">
        <f t="shared" ca="1" si="663"/>
        <v>4.1749999999999998</v>
      </c>
      <c r="AK5115" s="8">
        <f t="shared" ca="1" si="665"/>
        <v>1.0001159722222221</v>
      </c>
      <c r="AL5115" s="98">
        <f t="shared" ca="1" si="664"/>
        <v>4.1985657751377969</v>
      </c>
      <c r="AM5115" s="106">
        <f t="shared" ca="1" si="661"/>
        <v>39821.751217730241</v>
      </c>
      <c r="AN5115" s="10">
        <f t="shared" ca="1" si="662"/>
        <v>1.12903862648841</v>
      </c>
      <c r="AO5115" s="158"/>
      <c r="AP5115" s="158"/>
    </row>
    <row r="5116" spans="34:42">
      <c r="AH5116" s="6">
        <f t="shared" si="659"/>
        <v>5086</v>
      </c>
      <c r="AI5116" s="7">
        <f t="shared" ca="1" si="660"/>
        <v>47756</v>
      </c>
      <c r="AJ5116" s="210">
        <f t="shared" ca="1" si="663"/>
        <v>4.1749999999999998</v>
      </c>
      <c r="AK5116" s="8">
        <f t="shared" ca="1" si="665"/>
        <v>1.0001159722222221</v>
      </c>
      <c r="AL5116" s="98">
        <f t="shared" ca="1" si="664"/>
        <v>4.1985903441150718</v>
      </c>
      <c r="AM5116" s="106">
        <f t="shared" ca="1" si="661"/>
        <v>39825.032588536982</v>
      </c>
      <c r="AN5116" s="10">
        <f t="shared" ca="1" si="662"/>
        <v>1.1290590070744733</v>
      </c>
      <c r="AO5116" s="158"/>
      <c r="AP5116" s="158"/>
    </row>
    <row r="5117" spans="34:42">
      <c r="AH5117" s="6">
        <f t="shared" si="659"/>
        <v>5087</v>
      </c>
      <c r="AI5117" s="7">
        <f t="shared" ca="1" si="660"/>
        <v>47757</v>
      </c>
      <c r="AJ5117" s="210">
        <f t="shared" ca="1" si="663"/>
        <v>4.1749999999999998</v>
      </c>
      <c r="AK5117" s="8">
        <f t="shared" ca="1" si="665"/>
        <v>1.0001159722222221</v>
      </c>
      <c r="AL5117" s="98">
        <f t="shared" ca="1" si="664"/>
        <v>4.1986149034386244</v>
      </c>
      <c r="AM5117" s="106">
        <f t="shared" ca="1" si="661"/>
        <v>39828.314229733493</v>
      </c>
      <c r="AN5117" s="10">
        <f t="shared" ca="1" si="662"/>
        <v>1.1290793796518095</v>
      </c>
      <c r="AO5117" s="158"/>
      <c r="AP5117" s="158"/>
    </row>
    <row r="5118" spans="34:42">
      <c r="AH5118" s="6">
        <f t="shared" si="659"/>
        <v>5088</v>
      </c>
      <c r="AI5118" s="7">
        <f t="shared" ca="1" si="660"/>
        <v>47758</v>
      </c>
      <c r="AJ5118" s="210">
        <f t="shared" ca="1" si="663"/>
        <v>4.1749999999999998</v>
      </c>
      <c r="AK5118" s="8">
        <f t="shared" ca="1" si="665"/>
        <v>1.0001159722222221</v>
      </c>
      <c r="AL5118" s="98">
        <f t="shared" ca="1" si="664"/>
        <v>4.1986394531141391</v>
      </c>
      <c r="AM5118" s="106">
        <f t="shared" ca="1" si="661"/>
        <v>39831.596141342074</v>
      </c>
      <c r="AN5118" s="10">
        <f t="shared" ca="1" si="662"/>
        <v>1.1290997442251705</v>
      </c>
      <c r="AO5118" s="158"/>
      <c r="AP5118" s="158"/>
    </row>
    <row r="5119" spans="34:42">
      <c r="AH5119" s="6">
        <f t="shared" si="659"/>
        <v>5089</v>
      </c>
      <c r="AI5119" s="7">
        <f t="shared" ca="1" si="660"/>
        <v>47759</v>
      </c>
      <c r="AJ5119" s="210">
        <f t="shared" ca="1" si="663"/>
        <v>4.1749999999999998</v>
      </c>
      <c r="AK5119" s="8">
        <f t="shared" ca="1" si="665"/>
        <v>1.0001159722222221</v>
      </c>
      <c r="AL5119" s="98">
        <f t="shared" ca="1" si="664"/>
        <v>4.1986639931473002</v>
      </c>
      <c r="AM5119" s="106">
        <f t="shared" ca="1" si="661"/>
        <v>39834.87832338499</v>
      </c>
      <c r="AN5119" s="10">
        <f t="shared" ca="1" si="662"/>
        <v>1.1291201007992413</v>
      </c>
      <c r="AO5119" s="158"/>
      <c r="AP5119" s="158"/>
    </row>
    <row r="5120" spans="34:42">
      <c r="AH5120" s="6">
        <f t="shared" si="659"/>
        <v>5090</v>
      </c>
      <c r="AI5120" s="7">
        <f t="shared" ca="1" si="660"/>
        <v>47760</v>
      </c>
      <c r="AJ5120" s="210">
        <f t="shared" ca="1" si="663"/>
        <v>4.1749999999999998</v>
      </c>
      <c r="AK5120" s="8">
        <f t="shared" ca="1" si="665"/>
        <v>1.0001159722222221</v>
      </c>
      <c r="AL5120" s="98">
        <f t="shared" ca="1" si="664"/>
        <v>4.1986885235437921</v>
      </c>
      <c r="AM5120" s="106">
        <f t="shared" ca="1" si="661"/>
        <v>39838.160775884528</v>
      </c>
      <c r="AN5120" s="10">
        <f t="shared" ca="1" si="662"/>
        <v>1.1291404493787738</v>
      </c>
      <c r="AO5120" s="158"/>
      <c r="AP5120" s="158"/>
    </row>
    <row r="5121" spans="34:42">
      <c r="AH5121" s="6">
        <f t="shared" si="659"/>
        <v>5091</v>
      </c>
      <c r="AI5121" s="7">
        <f t="shared" ca="1" si="660"/>
        <v>47761</v>
      </c>
      <c r="AJ5121" s="210">
        <f t="shared" ca="1" si="663"/>
        <v>4.1749999999999998</v>
      </c>
      <c r="AK5121" s="8">
        <f t="shared" ca="1" si="665"/>
        <v>1.0001159722222221</v>
      </c>
      <c r="AL5121" s="98">
        <f t="shared" ca="1" si="664"/>
        <v>4.198713044309299</v>
      </c>
      <c r="AM5121" s="106">
        <f t="shared" ca="1" si="661"/>
        <v>39841.443498862973</v>
      </c>
      <c r="AN5121" s="10">
        <f t="shared" ca="1" si="662"/>
        <v>1.129160789968453</v>
      </c>
      <c r="AO5121" s="158"/>
      <c r="AP5121" s="158"/>
    </row>
    <row r="5122" spans="34:42">
      <c r="AH5122" s="6">
        <f t="shared" si="659"/>
        <v>5092</v>
      </c>
      <c r="AI5122" s="7">
        <f t="shared" ca="1" si="660"/>
        <v>47762</v>
      </c>
      <c r="AJ5122" s="210">
        <f t="shared" ca="1" si="663"/>
        <v>4.1749999999999998</v>
      </c>
      <c r="AK5122" s="8">
        <f t="shared" ca="1" si="665"/>
        <v>1.0001159722222221</v>
      </c>
      <c r="AL5122" s="98">
        <f t="shared" ca="1" si="664"/>
        <v>4.198737555449461</v>
      </c>
      <c r="AM5122" s="106">
        <f t="shared" ca="1" si="661"/>
        <v>39844.726492342612</v>
      </c>
      <c r="AN5122" s="10">
        <f t="shared" ca="1" si="662"/>
        <v>1.1291811225729864</v>
      </c>
      <c r="AO5122" s="158"/>
      <c r="AP5122" s="158"/>
    </row>
    <row r="5123" spans="34:42">
      <c r="AH5123" s="6">
        <f t="shared" si="659"/>
        <v>5093</v>
      </c>
      <c r="AI5123" s="7">
        <f t="shared" ca="1" si="660"/>
        <v>47763</v>
      </c>
      <c r="AJ5123" s="210">
        <f t="shared" ca="1" si="663"/>
        <v>4.1749999999999998</v>
      </c>
      <c r="AK5123" s="8">
        <f t="shared" ca="1" si="665"/>
        <v>1.0001159722222221</v>
      </c>
      <c r="AL5123" s="98">
        <f t="shared" ca="1" si="664"/>
        <v>4.1987620569699624</v>
      </c>
      <c r="AM5123" s="106">
        <f t="shared" ca="1" si="661"/>
        <v>39848.009756345738</v>
      </c>
      <c r="AN5123" s="10">
        <f t="shared" ca="1" si="662"/>
        <v>1.1292014471970813</v>
      </c>
      <c r="AO5123" s="158"/>
      <c r="AP5123" s="158"/>
    </row>
    <row r="5124" spans="34:42">
      <c r="AH5124" s="6">
        <f t="shared" si="659"/>
        <v>5094</v>
      </c>
      <c r="AI5124" s="7">
        <f t="shared" ca="1" si="660"/>
        <v>47764</v>
      </c>
      <c r="AJ5124" s="210">
        <f t="shared" ca="1" si="663"/>
        <v>4.1749999999999998</v>
      </c>
      <c r="AK5124" s="8">
        <f t="shared" ca="1" si="665"/>
        <v>1.0001159722222221</v>
      </c>
      <c r="AL5124" s="98">
        <f t="shared" ca="1" si="664"/>
        <v>4.1987865488764653</v>
      </c>
      <c r="AM5124" s="106">
        <f t="shared" ca="1" si="661"/>
        <v>39851.293290894646</v>
      </c>
      <c r="AN5124" s="10">
        <f t="shared" ca="1" si="662"/>
        <v>1.1292217638454227</v>
      </c>
      <c r="AO5124" s="158"/>
      <c r="AP5124" s="158"/>
    </row>
    <row r="5125" spans="34:42">
      <c r="AH5125" s="6">
        <f t="shared" si="659"/>
        <v>5095</v>
      </c>
      <c r="AI5125" s="7">
        <f t="shared" ca="1" si="660"/>
        <v>47765</v>
      </c>
      <c r="AJ5125" s="210">
        <f t="shared" ca="1" si="663"/>
        <v>4.1749999999999998</v>
      </c>
      <c r="AK5125" s="8">
        <f t="shared" ca="1" si="665"/>
        <v>1.0001159722222221</v>
      </c>
      <c r="AL5125" s="98">
        <f t="shared" ca="1" si="664"/>
        <v>4.1988110311746318</v>
      </c>
      <c r="AM5125" s="106">
        <f t="shared" ca="1" si="661"/>
        <v>39854.577096011621</v>
      </c>
      <c r="AN5125" s="10">
        <f t="shared" ca="1" si="662"/>
        <v>1.1292420725226959</v>
      </c>
      <c r="AO5125" s="158"/>
      <c r="AP5125" s="158"/>
    </row>
    <row r="5126" spans="34:42">
      <c r="AH5126" s="6">
        <f t="shared" si="659"/>
        <v>5096</v>
      </c>
      <c r="AI5126" s="7">
        <f t="shared" ca="1" si="660"/>
        <v>47766</v>
      </c>
      <c r="AJ5126" s="210">
        <f t="shared" ca="1" si="663"/>
        <v>4.1749999999999998</v>
      </c>
      <c r="AK5126" s="8">
        <f t="shared" ca="1" si="665"/>
        <v>1.0001159722222221</v>
      </c>
      <c r="AL5126" s="98">
        <f t="shared" ca="1" si="664"/>
        <v>4.198835503870102</v>
      </c>
      <c r="AM5126" s="106">
        <f t="shared" ca="1" si="661"/>
        <v>39857.861171718963</v>
      </c>
      <c r="AN5126" s="10">
        <f t="shared" ca="1" si="662"/>
        <v>1.1292623732336304</v>
      </c>
      <c r="AO5126" s="158"/>
      <c r="AP5126" s="158"/>
    </row>
    <row r="5127" spans="34:42">
      <c r="AH5127" s="6">
        <f t="shared" si="659"/>
        <v>5097</v>
      </c>
      <c r="AI5127" s="7">
        <f t="shared" ca="1" si="660"/>
        <v>47767</v>
      </c>
      <c r="AJ5127" s="210">
        <f t="shared" ca="1" si="663"/>
        <v>4.1749999999999998</v>
      </c>
      <c r="AK5127" s="8">
        <f t="shared" ca="1" si="665"/>
        <v>1.0001159722222221</v>
      </c>
      <c r="AL5127" s="98">
        <f t="shared" ca="1" si="664"/>
        <v>4.1988599669685378</v>
      </c>
      <c r="AM5127" s="106">
        <f t="shared" ca="1" si="661"/>
        <v>39861.145518038968</v>
      </c>
      <c r="AN5127" s="10">
        <f t="shared" ca="1" si="662"/>
        <v>1.129282665982867</v>
      </c>
      <c r="AO5127" s="158"/>
      <c r="AP5127" s="158"/>
    </row>
    <row r="5128" spans="34:42">
      <c r="AH5128" s="6">
        <f t="shared" si="659"/>
        <v>5098</v>
      </c>
      <c r="AI5128" s="7">
        <f t="shared" ca="1" si="660"/>
        <v>47768</v>
      </c>
      <c r="AJ5128" s="210">
        <f t="shared" ca="1" si="663"/>
        <v>4.1749999999999998</v>
      </c>
      <c r="AK5128" s="8">
        <f t="shared" ca="1" si="665"/>
        <v>1.0001159722222221</v>
      </c>
      <c r="AL5128" s="98">
        <f t="shared" ca="1" si="664"/>
        <v>4.1988844204755793</v>
      </c>
      <c r="AM5128" s="106">
        <f t="shared" ca="1" si="661"/>
        <v>39864.430134993934</v>
      </c>
      <c r="AN5128" s="10">
        <f t="shared" ca="1" si="662"/>
        <v>1.1293029507751351</v>
      </c>
      <c r="AO5128" s="158"/>
      <c r="AP5128" s="158"/>
    </row>
    <row r="5129" spans="34:42">
      <c r="AH5129" s="6">
        <f t="shared" si="659"/>
        <v>5099</v>
      </c>
      <c r="AI5129" s="7">
        <f t="shared" ca="1" si="660"/>
        <v>47769</v>
      </c>
      <c r="AJ5129" s="210">
        <f t="shared" ca="1" si="663"/>
        <v>4.1749999999999998</v>
      </c>
      <c r="AK5129" s="8">
        <f t="shared" ca="1" si="665"/>
        <v>1.0001159722222221</v>
      </c>
      <c r="AL5129" s="98">
        <f t="shared" ca="1" si="664"/>
        <v>4.1989088643968664</v>
      </c>
      <c r="AM5129" s="106">
        <f t="shared" ca="1" si="661"/>
        <v>39867.715022606171</v>
      </c>
      <c r="AN5129" s="10">
        <f t="shared" ca="1" si="662"/>
        <v>1.1293232276150755</v>
      </c>
      <c r="AO5129" s="158"/>
      <c r="AP5129" s="158"/>
    </row>
    <row r="5130" spans="34:42">
      <c r="AH5130" s="6">
        <f t="shared" si="659"/>
        <v>5100</v>
      </c>
      <c r="AI5130" s="7">
        <f t="shared" ca="1" si="660"/>
        <v>47770</v>
      </c>
      <c r="AJ5130" s="210">
        <f t="shared" ca="1" si="663"/>
        <v>4.1749999999999998</v>
      </c>
      <c r="AK5130" s="8">
        <f t="shared" ca="1" si="665"/>
        <v>1.0001159722222221</v>
      </c>
      <c r="AL5130" s="98">
        <f t="shared" ca="1" si="664"/>
        <v>4.198933298738039</v>
      </c>
      <c r="AM5130" s="106">
        <f t="shared" ca="1" si="661"/>
        <v>39871.000180897965</v>
      </c>
      <c r="AN5130" s="10">
        <f t="shared" ca="1" si="662"/>
        <v>1.1293434965073956</v>
      </c>
      <c r="AO5130" s="158"/>
      <c r="AP5130" s="158"/>
    </row>
    <row r="5131" spans="34:42">
      <c r="AH5131" s="6">
        <f t="shared" si="659"/>
        <v>5101</v>
      </c>
      <c r="AI5131" s="7">
        <f t="shared" ca="1" si="660"/>
        <v>47771</v>
      </c>
      <c r="AJ5131" s="210">
        <f t="shared" ca="1" si="663"/>
        <v>4.1749999999999998</v>
      </c>
      <c r="AK5131" s="8">
        <f t="shared" ca="1" si="665"/>
        <v>1.0001159722222221</v>
      </c>
      <c r="AL5131" s="98">
        <f t="shared" ca="1" si="664"/>
        <v>4.1989577235047149</v>
      </c>
      <c r="AM5131" s="106">
        <f t="shared" ca="1" si="661"/>
        <v>39874.285609891631</v>
      </c>
      <c r="AN5131" s="10">
        <f t="shared" ca="1" si="662"/>
        <v>1.1293637574567139</v>
      </c>
      <c r="AO5131" s="158"/>
      <c r="AP5131" s="158"/>
    </row>
    <row r="5132" spans="34:42">
      <c r="AH5132" s="6">
        <f t="shared" si="659"/>
        <v>5102</v>
      </c>
      <c r="AI5132" s="7">
        <f t="shared" ca="1" si="660"/>
        <v>47772</v>
      </c>
      <c r="AJ5132" s="210">
        <f t="shared" ca="1" si="663"/>
        <v>4.1749999999999998</v>
      </c>
      <c r="AK5132" s="8">
        <f t="shared" ca="1" si="665"/>
        <v>1.0001159722222221</v>
      </c>
      <c r="AL5132" s="98">
        <f t="shared" ca="1" si="664"/>
        <v>4.1989821387025339</v>
      </c>
      <c r="AM5132" s="106">
        <f t="shared" ca="1" si="661"/>
        <v>39877.57130960947</v>
      </c>
      <c r="AN5132" s="10">
        <f t="shared" ca="1" si="662"/>
        <v>1.1293840104677599</v>
      </c>
      <c r="AO5132" s="158"/>
      <c r="AP5132" s="158"/>
    </row>
    <row r="5133" spans="34:42">
      <c r="AH5133" s="6">
        <f t="shared" si="659"/>
        <v>5103</v>
      </c>
      <c r="AI5133" s="7">
        <f t="shared" ca="1" si="660"/>
        <v>47773</v>
      </c>
      <c r="AJ5133" s="210">
        <f t="shared" ca="1" si="663"/>
        <v>4.1749999999999998</v>
      </c>
      <c r="AK5133" s="8">
        <f t="shared" ca="1" si="665"/>
        <v>1.0001159722222221</v>
      </c>
      <c r="AL5133" s="98">
        <f t="shared" ca="1" si="664"/>
        <v>4.1990065443371138</v>
      </c>
      <c r="AM5133" s="106">
        <f t="shared" ca="1" si="661"/>
        <v>39880.857280073797</v>
      </c>
      <c r="AN5133" s="10">
        <f t="shared" ca="1" si="662"/>
        <v>1.1294042555451744</v>
      </c>
      <c r="AO5133" s="158"/>
      <c r="AP5133" s="158"/>
    </row>
    <row r="5134" spans="34:42">
      <c r="AH5134" s="6">
        <f t="shared" si="659"/>
        <v>5104</v>
      </c>
      <c r="AI5134" s="7">
        <f t="shared" ca="1" si="660"/>
        <v>47774</v>
      </c>
      <c r="AJ5134" s="210">
        <f t="shared" ca="1" si="663"/>
        <v>4.1749999999999998</v>
      </c>
      <c r="AK5134" s="8">
        <f t="shared" ca="1" si="665"/>
        <v>1.0001159722222221</v>
      </c>
      <c r="AL5134" s="98">
        <f t="shared" ca="1" si="664"/>
        <v>4.1990309404140724</v>
      </c>
      <c r="AM5134" s="106">
        <f t="shared" ca="1" si="661"/>
        <v>39884.14352130692</v>
      </c>
      <c r="AN5134" s="10">
        <f t="shared" ca="1" si="662"/>
        <v>1.1294244926936203</v>
      </c>
      <c r="AO5134" s="158"/>
      <c r="AP5134" s="158"/>
    </row>
    <row r="5135" spans="34:42">
      <c r="AH5135" s="6">
        <f t="shared" si="659"/>
        <v>5105</v>
      </c>
      <c r="AI5135" s="7">
        <f t="shared" ca="1" si="660"/>
        <v>47775</v>
      </c>
      <c r="AJ5135" s="210">
        <f t="shared" ca="1" si="663"/>
        <v>4.1749999999999998</v>
      </c>
      <c r="AK5135" s="8">
        <f t="shared" ca="1" si="665"/>
        <v>1.0001159722222221</v>
      </c>
      <c r="AL5135" s="98">
        <f t="shared" ca="1" si="664"/>
        <v>4.1990553269390052</v>
      </c>
      <c r="AM5135" s="106">
        <f t="shared" ca="1" si="661"/>
        <v>39887.43003333114</v>
      </c>
      <c r="AN5135" s="10">
        <f t="shared" ca="1" si="662"/>
        <v>1.1294447219177384</v>
      </c>
      <c r="AO5135" s="158"/>
      <c r="AP5135" s="158"/>
    </row>
    <row r="5136" spans="34:42">
      <c r="AH5136" s="6">
        <f t="shared" si="659"/>
        <v>5106</v>
      </c>
      <c r="AI5136" s="7">
        <f t="shared" ca="1" si="660"/>
        <v>47776</v>
      </c>
      <c r="AJ5136" s="210">
        <f t="shared" ca="1" si="663"/>
        <v>4.1749999999999998</v>
      </c>
      <c r="AK5136" s="8">
        <f t="shared" ca="1" si="665"/>
        <v>1.0001159722222221</v>
      </c>
      <c r="AL5136" s="98">
        <f t="shared" ca="1" si="664"/>
        <v>4.199079703917552</v>
      </c>
      <c r="AM5136" s="106">
        <f t="shared" ca="1" si="661"/>
        <v>39890.716816168788</v>
      </c>
      <c r="AN5136" s="10">
        <f t="shared" ca="1" si="662"/>
        <v>1.1294649432221915</v>
      </c>
      <c r="AO5136" s="158"/>
      <c r="AP5136" s="158"/>
    </row>
    <row r="5137" spans="34:42">
      <c r="AH5137" s="6">
        <f t="shared" si="659"/>
        <v>5107</v>
      </c>
      <c r="AI5137" s="7">
        <f t="shared" ca="1" si="660"/>
        <v>47777</v>
      </c>
      <c r="AJ5137" s="210">
        <f t="shared" ca="1" si="663"/>
        <v>4.1749999999999998</v>
      </c>
      <c r="AK5137" s="8">
        <f t="shared" ca="1" si="665"/>
        <v>1.0001159722222221</v>
      </c>
      <c r="AL5137" s="98">
        <f t="shared" ca="1" si="664"/>
        <v>4.1991040713552863</v>
      </c>
      <c r="AM5137" s="106">
        <f t="shared" ca="1" si="661"/>
        <v>39894.00386984217</v>
      </c>
      <c r="AN5137" s="10">
        <f t="shared" ca="1" si="662"/>
        <v>1.1294851566116204</v>
      </c>
      <c r="AO5137" s="158"/>
      <c r="AP5137" s="158"/>
    </row>
    <row r="5138" spans="34:42">
      <c r="AH5138" s="6">
        <f t="shared" si="659"/>
        <v>5108</v>
      </c>
      <c r="AI5138" s="7">
        <f t="shared" ca="1" si="660"/>
        <v>47778</v>
      </c>
      <c r="AJ5138" s="210">
        <f t="shared" ca="1" si="663"/>
        <v>4.1749999999999998</v>
      </c>
      <c r="AK5138" s="8">
        <f t="shared" ca="1" si="665"/>
        <v>1.0001159722222221</v>
      </c>
      <c r="AL5138" s="98">
        <f t="shared" ca="1" si="664"/>
        <v>4.1991284292578257</v>
      </c>
      <c r="AM5138" s="106">
        <f t="shared" ca="1" si="661"/>
        <v>39897.291194373604</v>
      </c>
      <c r="AN5138" s="10">
        <f t="shared" ca="1" si="662"/>
        <v>1.1295053620906881</v>
      </c>
      <c r="AO5138" s="158"/>
      <c r="AP5138" s="158"/>
    </row>
    <row r="5139" spans="34:42">
      <c r="AH5139" s="6">
        <f t="shared" si="659"/>
        <v>5109</v>
      </c>
      <c r="AI5139" s="7">
        <f t="shared" ca="1" si="660"/>
        <v>47779</v>
      </c>
      <c r="AJ5139" s="210">
        <f t="shared" ca="1" si="663"/>
        <v>4.1749999999999998</v>
      </c>
      <c r="AK5139" s="8">
        <f t="shared" ca="1" si="665"/>
        <v>1.0001159722222221</v>
      </c>
      <c r="AL5139" s="98">
        <f t="shared" ca="1" si="664"/>
        <v>4.1991527776307658</v>
      </c>
      <c r="AM5139" s="106">
        <f t="shared" ca="1" si="661"/>
        <v>39900.578789785402</v>
      </c>
      <c r="AN5139" s="10">
        <f t="shared" ca="1" si="662"/>
        <v>1.1295255596640352</v>
      </c>
      <c r="AO5139" s="158"/>
      <c r="AP5139" s="158"/>
    </row>
    <row r="5140" spans="34:42">
      <c r="AH5140" s="6">
        <f t="shared" ref="AH5140:AH5203" si="666">$AI$29+AH5139</f>
        <v>5110</v>
      </c>
      <c r="AI5140" s="7">
        <f t="shared" ref="AI5140:AI5203" ca="1" si="667">+AH5140+$C$1</f>
        <v>47780</v>
      </c>
      <c r="AJ5140" s="210">
        <f t="shared" ca="1" si="663"/>
        <v>4.1749999999999998</v>
      </c>
      <c r="AK5140" s="8">
        <f t="shared" ca="1" si="665"/>
        <v>1.0001159722222221</v>
      </c>
      <c r="AL5140" s="98">
        <f t="shared" ca="1" si="664"/>
        <v>4.199177116479702</v>
      </c>
      <c r="AM5140" s="106">
        <f t="shared" ca="1" si="661"/>
        <v>39903.866656099897</v>
      </c>
      <c r="AN5140" s="10">
        <f t="shared" ca="1" si="662"/>
        <v>1.1295457493363026</v>
      </c>
      <c r="AO5140" s="158"/>
      <c r="AP5140" s="158"/>
    </row>
    <row r="5141" spans="34:42">
      <c r="AH5141" s="6">
        <f t="shared" si="666"/>
        <v>5111</v>
      </c>
      <c r="AI5141" s="7">
        <f t="shared" ca="1" si="667"/>
        <v>47781</v>
      </c>
      <c r="AJ5141" s="210">
        <f t="shared" ca="1" si="663"/>
        <v>4.1749999999999998</v>
      </c>
      <c r="AK5141" s="8">
        <f t="shared" ca="1" si="665"/>
        <v>1.0001159722222221</v>
      </c>
      <c r="AL5141" s="98">
        <f t="shared" ca="1" si="664"/>
        <v>4.1992014458102078</v>
      </c>
      <c r="AM5141" s="106">
        <f t="shared" ca="1" si="661"/>
        <v>39907.15479333941</v>
      </c>
      <c r="AN5141" s="10">
        <f t="shared" ca="1" si="662"/>
        <v>1.1295659311121087</v>
      </c>
      <c r="AO5141" s="158"/>
      <c r="AP5141" s="158"/>
    </row>
    <row r="5142" spans="34:42">
      <c r="AH5142" s="6">
        <f t="shared" si="666"/>
        <v>5112</v>
      </c>
      <c r="AI5142" s="7">
        <f t="shared" ca="1" si="667"/>
        <v>47782</v>
      </c>
      <c r="AJ5142" s="210">
        <f t="shared" ca="1" si="663"/>
        <v>4.1749999999999998</v>
      </c>
      <c r="AK5142" s="8">
        <f t="shared" ca="1" si="665"/>
        <v>1.0001159722222221</v>
      </c>
      <c r="AL5142" s="98">
        <f t="shared" ca="1" si="664"/>
        <v>4.1992257656278786</v>
      </c>
      <c r="AM5142" s="106">
        <f t="shared" ca="1" si="661"/>
        <v>39910.443201526257</v>
      </c>
      <c r="AN5142" s="10">
        <f t="shared" ca="1" si="662"/>
        <v>1.1295861049961164</v>
      </c>
      <c r="AO5142" s="158"/>
      <c r="AP5142" s="158"/>
    </row>
    <row r="5143" spans="34:42">
      <c r="AH5143" s="6">
        <f t="shared" si="666"/>
        <v>5113</v>
      </c>
      <c r="AI5143" s="7">
        <f t="shared" ca="1" si="667"/>
        <v>47783</v>
      </c>
      <c r="AJ5143" s="210">
        <f t="shared" ca="1" si="663"/>
        <v>4.1749999999999998</v>
      </c>
      <c r="AK5143" s="8">
        <f t="shared" ca="1" si="665"/>
        <v>1.0001159722222221</v>
      </c>
      <c r="AL5143" s="98">
        <f t="shared" ca="1" si="664"/>
        <v>4.1992500759382878</v>
      </c>
      <c r="AM5143" s="106">
        <f t="shared" ca="1" si="661"/>
        <v>39913.731880682775</v>
      </c>
      <c r="AN5143" s="10">
        <f t="shared" ca="1" si="662"/>
        <v>1.1296062709929222</v>
      </c>
      <c r="AO5143" s="158"/>
      <c r="AP5143" s="158"/>
    </row>
    <row r="5144" spans="34:42">
      <c r="AH5144" s="6">
        <f t="shared" si="666"/>
        <v>5114</v>
      </c>
      <c r="AI5144" s="7">
        <f t="shared" ca="1" si="667"/>
        <v>47784</v>
      </c>
      <c r="AJ5144" s="210">
        <f t="shared" ca="1" si="663"/>
        <v>4.1749999999999998</v>
      </c>
      <c r="AK5144" s="8">
        <f t="shared" ca="1" si="665"/>
        <v>1.0001159722222221</v>
      </c>
      <c r="AL5144" s="98">
        <f t="shared" ca="1" si="664"/>
        <v>4.1992743767470087</v>
      </c>
      <c r="AM5144" s="106">
        <f t="shared" ca="1" si="661"/>
        <v>39917.020830831287</v>
      </c>
      <c r="AN5144" s="10">
        <f t="shared" ca="1" si="662"/>
        <v>1.1296264291071445</v>
      </c>
      <c r="AO5144" s="158"/>
      <c r="AP5144" s="158"/>
    </row>
    <row r="5145" spans="34:42">
      <c r="AH5145" s="6">
        <f t="shared" si="666"/>
        <v>5115</v>
      </c>
      <c r="AI5145" s="7">
        <f t="shared" ca="1" si="667"/>
        <v>47785</v>
      </c>
      <c r="AJ5145" s="210">
        <f t="shared" ca="1" si="663"/>
        <v>4.1749999999999998</v>
      </c>
      <c r="AK5145" s="8">
        <f t="shared" ca="1" si="665"/>
        <v>1.0001159722222221</v>
      </c>
      <c r="AL5145" s="98">
        <f t="shared" ca="1" si="664"/>
        <v>4.1992986680596145</v>
      </c>
      <c r="AM5145" s="106">
        <f t="shared" ca="1" si="661"/>
        <v>39920.310051994114</v>
      </c>
      <c r="AN5145" s="10">
        <f t="shared" ca="1" si="662"/>
        <v>1.1296465793434463</v>
      </c>
      <c r="AO5145" s="158"/>
      <c r="AP5145" s="158"/>
    </row>
    <row r="5146" spans="34:42">
      <c r="AH5146" s="6">
        <f t="shared" si="666"/>
        <v>5116</v>
      </c>
      <c r="AI5146" s="7">
        <f t="shared" ca="1" si="667"/>
        <v>47786</v>
      </c>
      <c r="AJ5146" s="210">
        <f t="shared" ca="1" si="663"/>
        <v>4.1749999999999998</v>
      </c>
      <c r="AK5146" s="8">
        <f t="shared" ca="1" si="665"/>
        <v>1.0001159722222221</v>
      </c>
      <c r="AL5146" s="98">
        <f t="shared" ca="1" si="664"/>
        <v>4.1993229498816564</v>
      </c>
      <c r="AM5146" s="106">
        <f t="shared" ca="1" si="661"/>
        <v>39923.59954419361</v>
      </c>
      <c r="AN5146" s="10">
        <f t="shared" ca="1" si="662"/>
        <v>1.1296667217064016</v>
      </c>
      <c r="AO5146" s="158"/>
      <c r="AP5146" s="158"/>
    </row>
    <row r="5147" spans="34:42">
      <c r="AH5147" s="6">
        <f t="shared" si="666"/>
        <v>5117</v>
      </c>
      <c r="AI5147" s="7">
        <f t="shared" ca="1" si="667"/>
        <v>47787</v>
      </c>
      <c r="AJ5147" s="210">
        <f t="shared" ca="1" si="663"/>
        <v>4.1749999999999998</v>
      </c>
      <c r="AK5147" s="8">
        <f t="shared" ca="1" si="665"/>
        <v>1.0001159722222221</v>
      </c>
      <c r="AL5147" s="98">
        <f t="shared" ca="1" si="664"/>
        <v>4.1993472222187078</v>
      </c>
      <c r="AM5147" s="106">
        <f t="shared" ca="1" si="661"/>
        <v>39926.889307452089</v>
      </c>
      <c r="AN5147" s="10">
        <f t="shared" ca="1" si="662"/>
        <v>1.1296868562006512</v>
      </c>
      <c r="AO5147" s="158"/>
      <c r="AP5147" s="158"/>
    </row>
    <row r="5148" spans="34:42">
      <c r="AH5148" s="6">
        <f t="shared" si="666"/>
        <v>5118</v>
      </c>
      <c r="AI5148" s="7">
        <f t="shared" ca="1" si="667"/>
        <v>47788</v>
      </c>
      <c r="AJ5148" s="210">
        <f t="shared" ca="1" si="663"/>
        <v>4.1749999999999998</v>
      </c>
      <c r="AK5148" s="8">
        <f t="shared" ca="1" si="665"/>
        <v>1.0001159722222221</v>
      </c>
      <c r="AL5148" s="98">
        <f t="shared" ca="1" si="664"/>
        <v>4.1993714850763197</v>
      </c>
      <c r="AM5148" s="106">
        <f t="shared" ca="1" si="661"/>
        <v>39930.179341791896</v>
      </c>
      <c r="AN5148" s="10">
        <f t="shared" ca="1" si="662"/>
        <v>1.1297069828307915</v>
      </c>
      <c r="AO5148" s="158"/>
      <c r="AP5148" s="158"/>
    </row>
    <row r="5149" spans="34:42">
      <c r="AH5149" s="6">
        <f t="shared" si="666"/>
        <v>5119</v>
      </c>
      <c r="AI5149" s="7">
        <f t="shared" ca="1" si="667"/>
        <v>47789</v>
      </c>
      <c r="AJ5149" s="210">
        <f t="shared" ca="1" si="663"/>
        <v>4.1749999999999998</v>
      </c>
      <c r="AK5149" s="8">
        <f t="shared" ca="1" si="665"/>
        <v>1.0001159722222221</v>
      </c>
      <c r="AL5149" s="98">
        <f t="shared" ca="1" si="664"/>
        <v>4.1993957384600655</v>
      </c>
      <c r="AM5149" s="106">
        <f t="shared" ca="1" si="661"/>
        <v>39933.469647235368</v>
      </c>
      <c r="AN5149" s="10">
        <f t="shared" ca="1" si="662"/>
        <v>1.1297271016014632</v>
      </c>
      <c r="AO5149" s="158"/>
      <c r="AP5149" s="158"/>
    </row>
    <row r="5150" spans="34:42">
      <c r="AH5150" s="6">
        <f t="shared" si="666"/>
        <v>5120</v>
      </c>
      <c r="AI5150" s="7">
        <f t="shared" ca="1" si="667"/>
        <v>47790</v>
      </c>
      <c r="AJ5150" s="210">
        <f t="shared" ca="1" si="663"/>
        <v>4.1749999999999998</v>
      </c>
      <c r="AK5150" s="8">
        <f t="shared" ca="1" si="665"/>
        <v>1.0001159722222221</v>
      </c>
      <c r="AL5150" s="98">
        <f t="shared" ca="1" si="664"/>
        <v>4.1994199823754741</v>
      </c>
      <c r="AM5150" s="106">
        <f t="shared" ca="1" si="661"/>
        <v>39936.760223804842</v>
      </c>
      <c r="AN5150" s="10">
        <f t="shared" ca="1" si="662"/>
        <v>1.1297472125172181</v>
      </c>
      <c r="AO5150" s="158"/>
      <c r="AP5150" s="158"/>
    </row>
    <row r="5151" spans="34:42">
      <c r="AH5151" s="6">
        <f t="shared" si="666"/>
        <v>5121</v>
      </c>
      <c r="AI5151" s="7">
        <f t="shared" ca="1" si="667"/>
        <v>47791</v>
      </c>
      <c r="AJ5151" s="210">
        <f t="shared" ca="1" si="663"/>
        <v>4.1749999999999998</v>
      </c>
      <c r="AK5151" s="8">
        <f t="shared" ca="1" si="665"/>
        <v>1.0001159722222221</v>
      </c>
      <c r="AL5151" s="98">
        <f t="shared" ca="1" si="664"/>
        <v>4.1994442168280743</v>
      </c>
      <c r="AM5151" s="106">
        <f t="shared" ref="AM5151:AM5214" ca="1" si="668">Geom_Interp(AI5151,$AZ$2:$AZ$109,$BA$2:$BA$109)</f>
        <v>39940.051071522656</v>
      </c>
      <c r="AN5151" s="10">
        <f t="shared" ref="AN5151:AN5214" ca="1" si="669">100*(((1+AL5151/100)^(AH5151/365)*$AM$29/AM5151)^(365/AH5151)-1)</f>
        <v>1.1297673155826748</v>
      </c>
      <c r="AO5151" s="158"/>
      <c r="AP5151" s="158"/>
    </row>
    <row r="5152" spans="34:42">
      <c r="AH5152" s="6">
        <f t="shared" si="666"/>
        <v>5122</v>
      </c>
      <c r="AI5152" s="7">
        <f t="shared" ca="1" si="667"/>
        <v>47792</v>
      </c>
      <c r="AJ5152" s="210">
        <f t="shared" ref="AJ5152:AJ5215" ca="1" si="670">IF(AH5152&lt;365,VLOOKUP(LOOKUP(AI5152,$AI$2:$AI$23),$AI$2:$AK$23,3,0),Lin_Interp(AH5152,$AJ$2:$AJ$23,$AK$2:$AK$23))</f>
        <v>4.1749999999999998</v>
      </c>
      <c r="AK5152" s="8">
        <f t="shared" ca="1" si="665"/>
        <v>1.0001159722222221</v>
      </c>
      <c r="AL5152" s="98">
        <f t="shared" ca="1" si="664"/>
        <v>4.1994684418234396</v>
      </c>
      <c r="AM5152" s="106">
        <f t="shared" ca="1" si="668"/>
        <v>39943.34219041116</v>
      </c>
      <c r="AN5152" s="10">
        <f t="shared" ca="1" si="669"/>
        <v>1.1297874108024519</v>
      </c>
      <c r="AO5152" s="158"/>
      <c r="AP5152" s="158"/>
    </row>
    <row r="5153" spans="34:42">
      <c r="AH5153" s="6">
        <f t="shared" si="666"/>
        <v>5123</v>
      </c>
      <c r="AI5153" s="7">
        <f t="shared" ca="1" si="667"/>
        <v>47793</v>
      </c>
      <c r="AJ5153" s="210">
        <f t="shared" ca="1" si="670"/>
        <v>4.1749999999999998</v>
      </c>
      <c r="AK5153" s="8">
        <f t="shared" ca="1" si="665"/>
        <v>1.0001159722222221</v>
      </c>
      <c r="AL5153" s="98">
        <f t="shared" ref="AL5153:AL5216" ca="1" si="671">100*(((1+AL5152/100)^(AH5152/365)*AK5153)^(365/AH5153)-1)</f>
        <v>4.1994926573670766</v>
      </c>
      <c r="AM5153" s="106">
        <f t="shared" ca="1" si="668"/>
        <v>39946.633580492693</v>
      </c>
      <c r="AN5153" s="10">
        <f t="shared" ca="1" si="669"/>
        <v>1.1298074981811013</v>
      </c>
      <c r="AO5153" s="158"/>
      <c r="AP5153" s="158"/>
    </row>
    <row r="5154" spans="34:42">
      <c r="AH5154" s="6">
        <f t="shared" si="666"/>
        <v>5124</v>
      </c>
      <c r="AI5154" s="7">
        <f t="shared" ca="1" si="667"/>
        <v>47794</v>
      </c>
      <c r="AJ5154" s="210">
        <f t="shared" ca="1" si="670"/>
        <v>4.1749999999999998</v>
      </c>
      <c r="AK5154" s="8">
        <f t="shared" ca="1" si="665"/>
        <v>1.0001159722222221</v>
      </c>
      <c r="AL5154" s="98">
        <f t="shared" ca="1" si="671"/>
        <v>4.1995168634645141</v>
      </c>
      <c r="AM5154" s="106">
        <f t="shared" ca="1" si="668"/>
        <v>39949.925241789606</v>
      </c>
      <c r="AN5154" s="10">
        <f t="shared" ca="1" si="669"/>
        <v>1.1298275777232414</v>
      </c>
      <c r="AO5154" s="158"/>
      <c r="AP5154" s="158"/>
    </row>
    <row r="5155" spans="34:42">
      <c r="AH5155" s="6">
        <f t="shared" si="666"/>
        <v>5125</v>
      </c>
      <c r="AI5155" s="7">
        <f t="shared" ca="1" si="667"/>
        <v>47795</v>
      </c>
      <c r="AJ5155" s="210">
        <f t="shared" ca="1" si="670"/>
        <v>4.1749999999999998</v>
      </c>
      <c r="AK5155" s="8">
        <f t="shared" ca="1" si="665"/>
        <v>1.0001159722222221</v>
      </c>
      <c r="AL5155" s="98">
        <f t="shared" ca="1" si="671"/>
        <v>4.1995410601213035</v>
      </c>
      <c r="AM5155" s="106">
        <f t="shared" ca="1" si="668"/>
        <v>39953.217174324251</v>
      </c>
      <c r="AN5155" s="10">
        <f t="shared" ca="1" si="669"/>
        <v>1.1298476494334242</v>
      </c>
      <c r="AO5155" s="158"/>
      <c r="AP5155" s="158"/>
    </row>
    <row r="5156" spans="34:42">
      <c r="AH5156" s="6">
        <f t="shared" si="666"/>
        <v>5126</v>
      </c>
      <c r="AI5156" s="7">
        <f t="shared" ca="1" si="667"/>
        <v>47796</v>
      </c>
      <c r="AJ5156" s="210">
        <f t="shared" ca="1" si="670"/>
        <v>4.1749999999999998</v>
      </c>
      <c r="AK5156" s="8">
        <f t="shared" ref="AK5156:AK5219" ca="1" si="672">+(1+AJ5156/36000)</f>
        <v>1.0001159722222221</v>
      </c>
      <c r="AL5156" s="98">
        <f t="shared" ca="1" si="671"/>
        <v>4.1995652473429512</v>
      </c>
      <c r="AM5156" s="106">
        <f t="shared" ca="1" si="668"/>
        <v>39956.509378118972</v>
      </c>
      <c r="AN5156" s="10">
        <f t="shared" ca="1" si="669"/>
        <v>1.1298677133162904</v>
      </c>
      <c r="AO5156" s="158"/>
      <c r="AP5156" s="158"/>
    </row>
    <row r="5157" spans="34:42">
      <c r="AH5157" s="6">
        <f t="shared" si="666"/>
        <v>5127</v>
      </c>
      <c r="AI5157" s="7">
        <f t="shared" ca="1" si="667"/>
        <v>47797</v>
      </c>
      <c r="AJ5157" s="210">
        <f t="shared" ca="1" si="670"/>
        <v>4.1749999999999998</v>
      </c>
      <c r="AK5157" s="8">
        <f t="shared" ca="1" si="672"/>
        <v>1.0001159722222221</v>
      </c>
      <c r="AL5157" s="98">
        <f t="shared" ca="1" si="671"/>
        <v>4.1995894251349641</v>
      </c>
      <c r="AM5157" s="106">
        <f t="shared" ca="1" si="668"/>
        <v>39959.801853196113</v>
      </c>
      <c r="AN5157" s="10">
        <f t="shared" ca="1" si="669"/>
        <v>1.1298877693763476</v>
      </c>
      <c r="AO5157" s="158"/>
      <c r="AP5157" s="158"/>
    </row>
    <row r="5158" spans="34:42">
      <c r="AH5158" s="6">
        <f t="shared" si="666"/>
        <v>5128</v>
      </c>
      <c r="AI5158" s="7">
        <f t="shared" ca="1" si="667"/>
        <v>47798</v>
      </c>
      <c r="AJ5158" s="210">
        <f t="shared" ca="1" si="670"/>
        <v>4.1749999999999998</v>
      </c>
      <c r="AK5158" s="8">
        <f t="shared" ca="1" si="672"/>
        <v>1.0001159722222221</v>
      </c>
      <c r="AL5158" s="98">
        <f t="shared" ca="1" si="671"/>
        <v>4.1996135935028711</v>
      </c>
      <c r="AM5158" s="106">
        <f t="shared" ca="1" si="668"/>
        <v>39963.094599578049</v>
      </c>
      <c r="AN5158" s="10">
        <f t="shared" ca="1" si="669"/>
        <v>1.1299078176182142</v>
      </c>
      <c r="AO5158" s="158"/>
      <c r="AP5158" s="158"/>
    </row>
    <row r="5159" spans="34:42">
      <c r="AH5159" s="6">
        <f t="shared" si="666"/>
        <v>5129</v>
      </c>
      <c r="AI5159" s="7">
        <f t="shared" ca="1" si="667"/>
        <v>47799</v>
      </c>
      <c r="AJ5159" s="210">
        <f t="shared" ca="1" si="670"/>
        <v>4.1749999999999998</v>
      </c>
      <c r="AK5159" s="8">
        <f t="shared" ca="1" si="672"/>
        <v>1.0001159722222221</v>
      </c>
      <c r="AL5159" s="98">
        <f t="shared" ca="1" si="671"/>
        <v>4.1996377524521789</v>
      </c>
      <c r="AM5159" s="106">
        <f t="shared" ca="1" si="668"/>
        <v>39966.387617287117</v>
      </c>
      <c r="AN5159" s="10">
        <f t="shared" ca="1" si="669"/>
        <v>1.1299278580464422</v>
      </c>
      <c r="AO5159" s="158"/>
      <c r="AP5159" s="158"/>
    </row>
    <row r="5160" spans="34:42">
      <c r="AH5160" s="6">
        <f t="shared" si="666"/>
        <v>5130</v>
      </c>
      <c r="AI5160" s="7">
        <f t="shared" ca="1" si="667"/>
        <v>47800</v>
      </c>
      <c r="AJ5160" s="210">
        <f t="shared" ca="1" si="670"/>
        <v>4.1749999999999998</v>
      </c>
      <c r="AK5160" s="8">
        <f t="shared" ca="1" si="672"/>
        <v>1.0001159722222221</v>
      </c>
      <c r="AL5160" s="98">
        <f t="shared" ca="1" si="671"/>
        <v>4.1996619019883941</v>
      </c>
      <c r="AM5160" s="106">
        <f t="shared" ca="1" si="668"/>
        <v>39969.680906345689</v>
      </c>
      <c r="AN5160" s="10">
        <f t="shared" ca="1" si="669"/>
        <v>1.129947890665628</v>
      </c>
      <c r="AO5160" s="158"/>
      <c r="AP5160" s="158"/>
    </row>
    <row r="5161" spans="34:42">
      <c r="AH5161" s="6">
        <f t="shared" si="666"/>
        <v>5131</v>
      </c>
      <c r="AI5161" s="7">
        <f t="shared" ca="1" si="667"/>
        <v>47801</v>
      </c>
      <c r="AJ5161" s="210">
        <f t="shared" ca="1" si="670"/>
        <v>4.1749999999999998</v>
      </c>
      <c r="AK5161" s="8">
        <f t="shared" ca="1" si="672"/>
        <v>1.0001159722222221</v>
      </c>
      <c r="AL5161" s="98">
        <f t="shared" ca="1" si="671"/>
        <v>4.1996860421170235</v>
      </c>
      <c r="AM5161" s="106">
        <f t="shared" ca="1" si="668"/>
        <v>39972.974466776104</v>
      </c>
      <c r="AN5161" s="10">
        <f t="shared" ca="1" si="669"/>
        <v>1.1299679154803011</v>
      </c>
      <c r="AO5161" s="158"/>
      <c r="AP5161" s="158"/>
    </row>
    <row r="5162" spans="34:42">
      <c r="AH5162" s="6">
        <f t="shared" si="666"/>
        <v>5132</v>
      </c>
      <c r="AI5162" s="7">
        <f t="shared" ca="1" si="667"/>
        <v>47802</v>
      </c>
      <c r="AJ5162" s="210">
        <f t="shared" ca="1" si="670"/>
        <v>4.1749999999999998</v>
      </c>
      <c r="AK5162" s="8">
        <f t="shared" ca="1" si="672"/>
        <v>1.0001159722222221</v>
      </c>
      <c r="AL5162" s="98">
        <f t="shared" ca="1" si="671"/>
        <v>4.1997101728435515</v>
      </c>
      <c r="AM5162" s="106">
        <f t="shared" ca="1" si="668"/>
        <v>39976.268298600749</v>
      </c>
      <c r="AN5162" s="10">
        <f t="shared" ca="1" si="669"/>
        <v>1.1299879324950357</v>
      </c>
      <c r="AO5162" s="158"/>
      <c r="AP5162" s="158"/>
    </row>
    <row r="5163" spans="34:42">
      <c r="AH5163" s="6">
        <f t="shared" si="666"/>
        <v>5133</v>
      </c>
      <c r="AI5163" s="7">
        <f t="shared" ca="1" si="667"/>
        <v>47803</v>
      </c>
      <c r="AJ5163" s="210">
        <f t="shared" ca="1" si="670"/>
        <v>4.1749999999999998</v>
      </c>
      <c r="AK5163" s="8">
        <f t="shared" ca="1" si="672"/>
        <v>1.0001159722222221</v>
      </c>
      <c r="AL5163" s="98">
        <f t="shared" ca="1" si="671"/>
        <v>4.1997342941734628</v>
      </c>
      <c r="AM5163" s="106">
        <f t="shared" ca="1" si="668"/>
        <v>39979.562401841984</v>
      </c>
      <c r="AN5163" s="10">
        <f t="shared" ca="1" si="669"/>
        <v>1.1300079417143838</v>
      </c>
      <c r="AO5163" s="158"/>
      <c r="AP5163" s="158"/>
    </row>
    <row r="5164" spans="34:42">
      <c r="AH5164" s="6">
        <f t="shared" si="666"/>
        <v>5134</v>
      </c>
      <c r="AI5164" s="7">
        <f t="shared" ca="1" si="667"/>
        <v>47804</v>
      </c>
      <c r="AJ5164" s="210">
        <f t="shared" ca="1" si="670"/>
        <v>4.1749999999999998</v>
      </c>
      <c r="AK5164" s="8">
        <f t="shared" ca="1" si="672"/>
        <v>1.0001159722222221</v>
      </c>
      <c r="AL5164" s="98">
        <f t="shared" ca="1" si="671"/>
        <v>4.1997584061122639</v>
      </c>
      <c r="AM5164" s="106">
        <f t="shared" ca="1" si="668"/>
        <v>39982.856776522152</v>
      </c>
      <c r="AN5164" s="10">
        <f t="shared" ca="1" si="669"/>
        <v>1.1300279431429194</v>
      </c>
      <c r="AO5164" s="158"/>
      <c r="AP5164" s="158"/>
    </row>
    <row r="5165" spans="34:42">
      <c r="AH5165" s="6">
        <f t="shared" si="666"/>
        <v>5135</v>
      </c>
      <c r="AI5165" s="7">
        <f t="shared" ca="1" si="667"/>
        <v>47805</v>
      </c>
      <c r="AJ5165" s="210">
        <f t="shared" ca="1" si="670"/>
        <v>4.1749999999999998</v>
      </c>
      <c r="AK5165" s="8">
        <f t="shared" ca="1" si="672"/>
        <v>1.0001159722222221</v>
      </c>
      <c r="AL5165" s="98">
        <f t="shared" ca="1" si="671"/>
        <v>4.1997825086654172</v>
      </c>
      <c r="AM5165" s="106">
        <f t="shared" ca="1" si="668"/>
        <v>39986.151422663635</v>
      </c>
      <c r="AN5165" s="10">
        <f t="shared" ca="1" si="669"/>
        <v>1.1300479367851501</v>
      </c>
      <c r="AO5165" s="158"/>
      <c r="AP5165" s="158"/>
    </row>
    <row r="5166" spans="34:42">
      <c r="AH5166" s="6">
        <f t="shared" si="666"/>
        <v>5136</v>
      </c>
      <c r="AI5166" s="7">
        <f t="shared" ca="1" si="667"/>
        <v>47806</v>
      </c>
      <c r="AJ5166" s="210">
        <f t="shared" ca="1" si="670"/>
        <v>4.1749999999999998</v>
      </c>
      <c r="AK5166" s="8">
        <f t="shared" ca="1" si="672"/>
        <v>1.0001159722222221</v>
      </c>
      <c r="AL5166" s="98">
        <f t="shared" ca="1" si="671"/>
        <v>4.1998066018384295</v>
      </c>
      <c r="AM5166" s="106">
        <f t="shared" ca="1" si="668"/>
        <v>39989.446340288807</v>
      </c>
      <c r="AN5166" s="10">
        <f t="shared" ca="1" si="669"/>
        <v>1.1300679226456722</v>
      </c>
      <c r="AO5166" s="158"/>
      <c r="AP5166" s="158"/>
    </row>
    <row r="5167" spans="34:42">
      <c r="AH5167" s="6">
        <f t="shared" si="666"/>
        <v>5137</v>
      </c>
      <c r="AI5167" s="7">
        <f t="shared" ca="1" si="667"/>
        <v>47807</v>
      </c>
      <c r="AJ5167" s="210">
        <f t="shared" ca="1" si="670"/>
        <v>4.1749999999999998</v>
      </c>
      <c r="AK5167" s="8">
        <f t="shared" ca="1" si="672"/>
        <v>1.0001159722222221</v>
      </c>
      <c r="AL5167" s="98">
        <f t="shared" ca="1" si="671"/>
        <v>4.1998306856367407</v>
      </c>
      <c r="AM5167" s="106">
        <f t="shared" ca="1" si="668"/>
        <v>39992.741529420033</v>
      </c>
      <c r="AN5167" s="10">
        <f t="shared" ca="1" si="669"/>
        <v>1.130087900728971</v>
      </c>
      <c r="AO5167" s="158"/>
      <c r="AP5167" s="158"/>
    </row>
    <row r="5168" spans="34:42">
      <c r="AH5168" s="6">
        <f t="shared" si="666"/>
        <v>5138</v>
      </c>
      <c r="AI5168" s="7">
        <f t="shared" ca="1" si="667"/>
        <v>47808</v>
      </c>
      <c r="AJ5168" s="210">
        <f t="shared" ca="1" si="670"/>
        <v>4.1749999999999998</v>
      </c>
      <c r="AK5168" s="8">
        <f t="shared" ca="1" si="672"/>
        <v>1.0001159722222221</v>
      </c>
      <c r="AL5168" s="98">
        <f t="shared" ca="1" si="671"/>
        <v>4.1998547600658576</v>
      </c>
      <c r="AM5168" s="106">
        <f t="shared" ca="1" si="668"/>
        <v>39996.03699007968</v>
      </c>
      <c r="AN5168" s="10">
        <f t="shared" ca="1" si="669"/>
        <v>1.1301078710396428</v>
      </c>
      <c r="AO5168" s="158"/>
      <c r="AP5168" s="158"/>
    </row>
    <row r="5169" spans="34:42">
      <c r="AH5169" s="6">
        <f t="shared" si="666"/>
        <v>5139</v>
      </c>
      <c r="AI5169" s="7">
        <f t="shared" ca="1" si="667"/>
        <v>47809</v>
      </c>
      <c r="AJ5169" s="210">
        <f t="shared" ca="1" si="670"/>
        <v>4.1749999999999998</v>
      </c>
      <c r="AK5169" s="8">
        <f t="shared" ca="1" si="672"/>
        <v>1.0001159722222221</v>
      </c>
      <c r="AL5169" s="98">
        <f t="shared" ca="1" si="671"/>
        <v>4.1998788251312202</v>
      </c>
      <c r="AM5169" s="106">
        <f t="shared" ca="1" si="668"/>
        <v>39999.332722290121</v>
      </c>
      <c r="AN5169" s="10">
        <f t="shared" ca="1" si="669"/>
        <v>1.1301278335821729</v>
      </c>
      <c r="AO5169" s="158"/>
      <c r="AP5169" s="158"/>
    </row>
    <row r="5170" spans="34:42">
      <c r="AH5170" s="6">
        <f t="shared" si="666"/>
        <v>5140</v>
      </c>
      <c r="AI5170" s="7">
        <f t="shared" ca="1" si="667"/>
        <v>47810</v>
      </c>
      <c r="AJ5170" s="210">
        <f t="shared" ca="1" si="670"/>
        <v>4.1749999999999998</v>
      </c>
      <c r="AK5170" s="8">
        <f t="shared" ca="1" si="672"/>
        <v>1.0001159722222221</v>
      </c>
      <c r="AL5170" s="98">
        <f t="shared" ca="1" si="671"/>
        <v>4.199902880838291</v>
      </c>
      <c r="AM5170" s="106">
        <f t="shared" ca="1" si="668"/>
        <v>40002.628726073744</v>
      </c>
      <c r="AN5170" s="10">
        <f t="shared" ca="1" si="669"/>
        <v>1.1301477883611133</v>
      </c>
      <c r="AO5170" s="158"/>
      <c r="AP5170" s="158"/>
    </row>
    <row r="5171" spans="34:42">
      <c r="AH5171" s="6">
        <f t="shared" si="666"/>
        <v>5141</v>
      </c>
      <c r="AI5171" s="7">
        <f t="shared" ca="1" si="667"/>
        <v>47811</v>
      </c>
      <c r="AJ5171" s="210">
        <f t="shared" ca="1" si="670"/>
        <v>4.1749999999999998</v>
      </c>
      <c r="AK5171" s="8">
        <f t="shared" ca="1" si="672"/>
        <v>1.0001159722222221</v>
      </c>
      <c r="AL5171" s="98">
        <f t="shared" ca="1" si="671"/>
        <v>4.1999269271925321</v>
      </c>
      <c r="AM5171" s="106">
        <f t="shared" ca="1" si="668"/>
        <v>40005.925001452924</v>
      </c>
      <c r="AN5171" s="10">
        <f t="shared" ca="1" si="669"/>
        <v>1.1301677353809936</v>
      </c>
      <c r="AO5171" s="158"/>
      <c r="AP5171" s="158"/>
    </row>
    <row r="5172" spans="34:42">
      <c r="AH5172" s="6">
        <f t="shared" si="666"/>
        <v>5142</v>
      </c>
      <c r="AI5172" s="7">
        <f t="shared" ca="1" si="667"/>
        <v>47812</v>
      </c>
      <c r="AJ5172" s="210">
        <f t="shared" ca="1" si="670"/>
        <v>4.1749999999999998</v>
      </c>
      <c r="AK5172" s="8">
        <f t="shared" ca="1" si="672"/>
        <v>1.0001159722222221</v>
      </c>
      <c r="AL5172" s="98">
        <f t="shared" ca="1" si="671"/>
        <v>4.1999509641994059</v>
      </c>
      <c r="AM5172" s="106">
        <f t="shared" ca="1" si="668"/>
        <v>40009.221548450041</v>
      </c>
      <c r="AN5172" s="10">
        <f t="shared" ca="1" si="669"/>
        <v>1.1301876746463435</v>
      </c>
      <c r="AO5172" s="158"/>
      <c r="AP5172" s="158"/>
    </row>
    <row r="5173" spans="34:42">
      <c r="AH5173" s="6">
        <f t="shared" si="666"/>
        <v>5143</v>
      </c>
      <c r="AI5173" s="7">
        <f t="shared" ca="1" si="667"/>
        <v>47813</v>
      </c>
      <c r="AJ5173" s="210">
        <f t="shared" ca="1" si="670"/>
        <v>4.1749999999999998</v>
      </c>
      <c r="AK5173" s="8">
        <f t="shared" ca="1" si="672"/>
        <v>1.0001159722222221</v>
      </c>
      <c r="AL5173" s="98">
        <f t="shared" ca="1" si="671"/>
        <v>4.1999749918643525</v>
      </c>
      <c r="AM5173" s="106">
        <f t="shared" ca="1" si="668"/>
        <v>40012.518367087469</v>
      </c>
      <c r="AN5173" s="10">
        <f t="shared" ca="1" si="669"/>
        <v>1.1302076061616928</v>
      </c>
      <c r="AO5173" s="158"/>
      <c r="AP5173" s="158"/>
    </row>
    <row r="5174" spans="34:42">
      <c r="AH5174" s="6">
        <f t="shared" si="666"/>
        <v>5144</v>
      </c>
      <c r="AI5174" s="7">
        <f t="shared" ca="1" si="667"/>
        <v>47814</v>
      </c>
      <c r="AJ5174" s="210">
        <f t="shared" ca="1" si="670"/>
        <v>4.1749999999999998</v>
      </c>
      <c r="AK5174" s="8">
        <f t="shared" ca="1" si="672"/>
        <v>1.0001159722222221</v>
      </c>
      <c r="AL5174" s="98">
        <f t="shared" ca="1" si="671"/>
        <v>4.1999990101928342</v>
      </c>
      <c r="AM5174" s="106">
        <f t="shared" ca="1" si="668"/>
        <v>40015.815457387595</v>
      </c>
      <c r="AN5174" s="10">
        <f t="shared" ca="1" si="669"/>
        <v>1.1302275299315268</v>
      </c>
      <c r="AO5174" s="158"/>
      <c r="AP5174" s="158"/>
    </row>
    <row r="5175" spans="34:42">
      <c r="AH5175" s="6">
        <f t="shared" si="666"/>
        <v>5145</v>
      </c>
      <c r="AI5175" s="7">
        <f t="shared" ca="1" si="667"/>
        <v>47815</v>
      </c>
      <c r="AJ5175" s="210">
        <f t="shared" ca="1" si="670"/>
        <v>4.1749999999999998</v>
      </c>
      <c r="AK5175" s="8">
        <f t="shared" ca="1" si="672"/>
        <v>1.0001159722222221</v>
      </c>
      <c r="AL5175" s="98">
        <f t="shared" ca="1" si="671"/>
        <v>4.2000230191902688</v>
      </c>
      <c r="AM5175" s="106">
        <f t="shared" ca="1" si="668"/>
        <v>40019.112819372807</v>
      </c>
      <c r="AN5175" s="10">
        <f t="shared" ca="1" si="669"/>
        <v>1.1302474459603973</v>
      </c>
      <c r="AO5175" s="158"/>
      <c r="AP5175" s="158"/>
    </row>
    <row r="5176" spans="34:42">
      <c r="AH5176" s="6">
        <f t="shared" si="666"/>
        <v>5146</v>
      </c>
      <c r="AI5176" s="7">
        <f t="shared" ca="1" si="667"/>
        <v>47816</v>
      </c>
      <c r="AJ5176" s="210">
        <f t="shared" ca="1" si="670"/>
        <v>4.1749999999999998</v>
      </c>
      <c r="AK5176" s="8">
        <f t="shared" ca="1" si="672"/>
        <v>1.0001159722222221</v>
      </c>
      <c r="AL5176" s="98">
        <f t="shared" ca="1" si="671"/>
        <v>4.2000470188620964</v>
      </c>
      <c r="AM5176" s="106">
        <f t="shared" ca="1" si="668"/>
        <v>40022.410453065488</v>
      </c>
      <c r="AN5176" s="10">
        <f t="shared" ca="1" si="669"/>
        <v>1.1302673542527675</v>
      </c>
      <c r="AO5176" s="158"/>
      <c r="AP5176" s="158"/>
    </row>
    <row r="5177" spans="34:42">
      <c r="AH5177" s="6">
        <f t="shared" si="666"/>
        <v>5147</v>
      </c>
      <c r="AI5177" s="7">
        <f t="shared" ca="1" si="667"/>
        <v>47817</v>
      </c>
      <c r="AJ5177" s="210">
        <f t="shared" ca="1" si="670"/>
        <v>4.1749999999999998</v>
      </c>
      <c r="AK5177" s="8">
        <f t="shared" ca="1" si="672"/>
        <v>1.0001159722222221</v>
      </c>
      <c r="AL5177" s="98">
        <f t="shared" ca="1" si="671"/>
        <v>4.2000710092137572</v>
      </c>
      <c r="AM5177" s="106">
        <f t="shared" ca="1" si="668"/>
        <v>40025.708358488038</v>
      </c>
      <c r="AN5177" s="10">
        <f t="shared" ca="1" si="669"/>
        <v>1.1302872548131893</v>
      </c>
      <c r="AO5177" s="158"/>
      <c r="AP5177" s="158"/>
    </row>
    <row r="5178" spans="34:42">
      <c r="AH5178" s="6">
        <f t="shared" si="666"/>
        <v>5148</v>
      </c>
      <c r="AI5178" s="7">
        <f t="shared" ca="1" si="667"/>
        <v>47818</v>
      </c>
      <c r="AJ5178" s="210">
        <f t="shared" ca="1" si="670"/>
        <v>4.1749999999999998</v>
      </c>
      <c r="AK5178" s="8">
        <f t="shared" ca="1" si="672"/>
        <v>1.0001159722222221</v>
      </c>
      <c r="AL5178" s="98">
        <f t="shared" ca="1" si="671"/>
        <v>4.2000949902506912</v>
      </c>
      <c r="AM5178" s="106">
        <f t="shared" ca="1" si="668"/>
        <v>40029.006535662833</v>
      </c>
      <c r="AN5178" s="10">
        <f t="shared" ca="1" si="669"/>
        <v>1.1303071476461479</v>
      </c>
      <c r="AO5178" s="158"/>
      <c r="AP5178" s="158"/>
    </row>
    <row r="5179" spans="34:42">
      <c r="AH5179" s="6">
        <f t="shared" si="666"/>
        <v>5149</v>
      </c>
      <c r="AI5179" s="7">
        <f t="shared" ca="1" si="667"/>
        <v>47819</v>
      </c>
      <c r="AJ5179" s="210">
        <f t="shared" ca="1" si="670"/>
        <v>4.1749999999999998</v>
      </c>
      <c r="AK5179" s="8">
        <f t="shared" ca="1" si="672"/>
        <v>1.0001159722222221</v>
      </c>
      <c r="AL5179" s="98">
        <f t="shared" ca="1" si="671"/>
        <v>4.2001189619782942</v>
      </c>
      <c r="AM5179" s="106">
        <f t="shared" ca="1" si="668"/>
        <v>40032.304984612274</v>
      </c>
      <c r="AN5179" s="10">
        <f t="shared" ca="1" si="669"/>
        <v>1.130327032756151</v>
      </c>
      <c r="AO5179" s="158"/>
      <c r="AP5179" s="158"/>
    </row>
    <row r="5180" spans="34:42">
      <c r="AH5180" s="6">
        <f t="shared" si="666"/>
        <v>5150</v>
      </c>
      <c r="AI5180" s="7">
        <f t="shared" ca="1" si="667"/>
        <v>47820</v>
      </c>
      <c r="AJ5180" s="210">
        <f t="shared" ca="1" si="670"/>
        <v>4.1749999999999998</v>
      </c>
      <c r="AK5180" s="8">
        <f t="shared" ca="1" si="672"/>
        <v>1.0001159722222221</v>
      </c>
      <c r="AL5180" s="98">
        <f t="shared" ca="1" si="671"/>
        <v>4.2001429244020061</v>
      </c>
      <c r="AM5180" s="106">
        <f t="shared" ca="1" si="668"/>
        <v>40035.603705358757</v>
      </c>
      <c r="AN5180" s="10">
        <f t="shared" ca="1" si="669"/>
        <v>1.1303469101476837</v>
      </c>
      <c r="AO5180" s="158"/>
      <c r="AP5180" s="158"/>
    </row>
    <row r="5181" spans="34:42">
      <c r="AH5181" s="6">
        <f t="shared" si="666"/>
        <v>5151</v>
      </c>
      <c r="AI5181" s="7">
        <f t="shared" ca="1" si="667"/>
        <v>47821</v>
      </c>
      <c r="AJ5181" s="210">
        <f t="shared" ca="1" si="670"/>
        <v>4.1749999999999998</v>
      </c>
      <c r="AK5181" s="8">
        <f t="shared" ca="1" si="672"/>
        <v>1.0001159722222221</v>
      </c>
      <c r="AL5181" s="98">
        <f t="shared" ca="1" si="671"/>
        <v>4.2001668775272449</v>
      </c>
      <c r="AM5181" s="106">
        <f t="shared" ca="1" si="668"/>
        <v>40038.902697924677</v>
      </c>
      <c r="AN5181" s="10">
        <f t="shared" ca="1" si="669"/>
        <v>1.1303667798252537</v>
      </c>
      <c r="AO5181" s="158"/>
      <c r="AP5181" s="158"/>
    </row>
    <row r="5182" spans="34:42">
      <c r="AH5182" s="6">
        <f t="shared" si="666"/>
        <v>5152</v>
      </c>
      <c r="AI5182" s="7">
        <f t="shared" ca="1" si="667"/>
        <v>47822</v>
      </c>
      <c r="AJ5182" s="210">
        <f t="shared" ca="1" si="670"/>
        <v>4.1749999999999998</v>
      </c>
      <c r="AK5182" s="8">
        <f t="shared" ca="1" si="672"/>
        <v>1.0001159722222221</v>
      </c>
      <c r="AL5182" s="98">
        <f t="shared" ca="1" si="671"/>
        <v>4.2001908213594064</v>
      </c>
      <c r="AM5182" s="106">
        <f t="shared" ca="1" si="668"/>
        <v>40042.20196233243</v>
      </c>
      <c r="AN5182" s="10">
        <f t="shared" ca="1" si="669"/>
        <v>1.1303866417933239</v>
      </c>
      <c r="AO5182" s="158"/>
      <c r="AP5182" s="158"/>
    </row>
    <row r="5183" spans="34:42">
      <c r="AH5183" s="6">
        <f t="shared" si="666"/>
        <v>5153</v>
      </c>
      <c r="AI5183" s="7">
        <f t="shared" ca="1" si="667"/>
        <v>47823</v>
      </c>
      <c r="AJ5183" s="210">
        <f t="shared" ca="1" si="670"/>
        <v>4.1749999999999998</v>
      </c>
      <c r="AK5183" s="8">
        <f t="shared" ca="1" si="672"/>
        <v>1.0001159722222221</v>
      </c>
      <c r="AL5183" s="98">
        <f t="shared" ca="1" si="671"/>
        <v>4.2002147559039082</v>
      </c>
      <c r="AM5183" s="106">
        <f t="shared" ca="1" si="668"/>
        <v>40045.501498604412</v>
      </c>
      <c r="AN5183" s="10">
        <f t="shared" ca="1" si="669"/>
        <v>1.1304064960564242</v>
      </c>
      <c r="AO5183" s="158"/>
      <c r="AP5183" s="158"/>
    </row>
    <row r="5184" spans="34:42">
      <c r="AH5184" s="6">
        <f t="shared" si="666"/>
        <v>5154</v>
      </c>
      <c r="AI5184" s="7">
        <f t="shared" ca="1" si="667"/>
        <v>47824</v>
      </c>
      <c r="AJ5184" s="210">
        <f t="shared" ca="1" si="670"/>
        <v>4.1749999999999998</v>
      </c>
      <c r="AK5184" s="8">
        <f t="shared" ca="1" si="672"/>
        <v>1.0001159722222221</v>
      </c>
      <c r="AL5184" s="98">
        <f t="shared" ca="1" si="671"/>
        <v>4.2002386811661463</v>
      </c>
      <c r="AM5184" s="106">
        <f t="shared" ca="1" si="668"/>
        <v>40048.801306763038</v>
      </c>
      <c r="AN5184" s="10">
        <f t="shared" ca="1" si="669"/>
        <v>1.1304263426189731</v>
      </c>
      <c r="AO5184" s="158"/>
      <c r="AP5184" s="158"/>
    </row>
    <row r="5185" spans="34:42">
      <c r="AH5185" s="6">
        <f t="shared" si="666"/>
        <v>5155</v>
      </c>
      <c r="AI5185" s="7">
        <f t="shared" ca="1" si="667"/>
        <v>47825</v>
      </c>
      <c r="AJ5185" s="210">
        <f t="shared" ca="1" si="670"/>
        <v>4.1749999999999998</v>
      </c>
      <c r="AK5185" s="8">
        <f t="shared" ca="1" si="672"/>
        <v>1.0001159722222221</v>
      </c>
      <c r="AL5185" s="98">
        <f t="shared" ca="1" si="671"/>
        <v>4.2002625971515162</v>
      </c>
      <c r="AM5185" s="106">
        <f t="shared" ca="1" si="668"/>
        <v>40052.101386830705</v>
      </c>
      <c r="AN5185" s="10">
        <f t="shared" ca="1" si="669"/>
        <v>1.1304461814855005</v>
      </c>
      <c r="AO5185" s="158"/>
      <c r="AP5185" s="158"/>
    </row>
    <row r="5186" spans="34:42">
      <c r="AH5186" s="6">
        <f t="shared" si="666"/>
        <v>5156</v>
      </c>
      <c r="AI5186" s="7">
        <f t="shared" ca="1" si="667"/>
        <v>47826</v>
      </c>
      <c r="AJ5186" s="210">
        <f t="shared" ca="1" si="670"/>
        <v>4.1749999999999998</v>
      </c>
      <c r="AK5186" s="8">
        <f t="shared" ca="1" si="672"/>
        <v>1.0001159722222221</v>
      </c>
      <c r="AL5186" s="98">
        <f t="shared" ca="1" si="671"/>
        <v>4.2002865038654358</v>
      </c>
      <c r="AM5186" s="106">
        <f t="shared" ca="1" si="668"/>
        <v>40055.401738829816</v>
      </c>
      <c r="AN5186" s="10">
        <f t="shared" ca="1" si="669"/>
        <v>1.1304660126604915</v>
      </c>
      <c r="AO5186" s="158"/>
      <c r="AP5186" s="158"/>
    </row>
    <row r="5187" spans="34:42">
      <c r="AH5187" s="6">
        <f t="shared" si="666"/>
        <v>5157</v>
      </c>
      <c r="AI5187" s="7">
        <f t="shared" ca="1" si="667"/>
        <v>47827</v>
      </c>
      <c r="AJ5187" s="210">
        <f t="shared" ca="1" si="670"/>
        <v>4.1749999999999998</v>
      </c>
      <c r="AK5187" s="8">
        <f t="shared" ca="1" si="672"/>
        <v>1.0001159722222221</v>
      </c>
      <c r="AL5187" s="98">
        <f t="shared" ca="1" si="671"/>
        <v>4.2003104013132564</v>
      </c>
      <c r="AM5187" s="106">
        <f t="shared" ca="1" si="668"/>
        <v>40058.70236278278</v>
      </c>
      <c r="AN5187" s="10">
        <f t="shared" ca="1" si="669"/>
        <v>1.130485836148365</v>
      </c>
      <c r="AO5187" s="158"/>
      <c r="AP5187" s="158"/>
    </row>
    <row r="5188" spans="34:42">
      <c r="AH5188" s="6">
        <f t="shared" si="666"/>
        <v>5158</v>
      </c>
      <c r="AI5188" s="7">
        <f t="shared" ca="1" si="667"/>
        <v>47828</v>
      </c>
      <c r="AJ5188" s="210">
        <f t="shared" ca="1" si="670"/>
        <v>4.1749999999999998</v>
      </c>
      <c r="AK5188" s="8">
        <f t="shared" ca="1" si="672"/>
        <v>1.0001159722222221</v>
      </c>
      <c r="AL5188" s="98">
        <f t="shared" ca="1" si="671"/>
        <v>4.2003342895003959</v>
      </c>
      <c r="AM5188" s="106">
        <f t="shared" ca="1" si="668"/>
        <v>40062.003258712</v>
      </c>
      <c r="AN5188" s="10">
        <f t="shared" ca="1" si="669"/>
        <v>1.1305056519536505</v>
      </c>
      <c r="AO5188" s="158"/>
      <c r="AP5188" s="158"/>
    </row>
    <row r="5189" spans="34:42">
      <c r="AH5189" s="6">
        <f t="shared" si="666"/>
        <v>5159</v>
      </c>
      <c r="AI5189" s="7">
        <f t="shared" ca="1" si="667"/>
        <v>47829</v>
      </c>
      <c r="AJ5189" s="210">
        <f t="shared" ca="1" si="670"/>
        <v>4.1749999999999998</v>
      </c>
      <c r="AK5189" s="8">
        <f t="shared" ca="1" si="672"/>
        <v>1.0001159722222221</v>
      </c>
      <c r="AL5189" s="98">
        <f t="shared" ca="1" si="671"/>
        <v>4.2003581684322278</v>
      </c>
      <c r="AM5189" s="106">
        <f t="shared" ca="1" si="668"/>
        <v>40065.304426639908</v>
      </c>
      <c r="AN5189" s="10">
        <f t="shared" ca="1" si="669"/>
        <v>1.1305254600807668</v>
      </c>
      <c r="AO5189" s="158"/>
      <c r="AP5189" s="158"/>
    </row>
    <row r="5190" spans="34:42">
      <c r="AH5190" s="6">
        <f t="shared" si="666"/>
        <v>5160</v>
      </c>
      <c r="AI5190" s="7">
        <f t="shared" ca="1" si="667"/>
        <v>47830</v>
      </c>
      <c r="AJ5190" s="210">
        <f t="shared" ca="1" si="670"/>
        <v>4.1749999999999998</v>
      </c>
      <c r="AK5190" s="8">
        <f t="shared" ca="1" si="672"/>
        <v>1.0001159722222221</v>
      </c>
      <c r="AL5190" s="98">
        <f t="shared" ca="1" si="671"/>
        <v>4.2003820381141255</v>
      </c>
      <c r="AM5190" s="106">
        <f t="shared" ca="1" si="668"/>
        <v>40068.605866588892</v>
      </c>
      <c r="AN5190" s="10">
        <f t="shared" ca="1" si="669"/>
        <v>1.130545260534177</v>
      </c>
      <c r="AO5190" s="158"/>
      <c r="AP5190" s="158"/>
    </row>
    <row r="5191" spans="34:42">
      <c r="AH5191" s="6">
        <f t="shared" si="666"/>
        <v>5161</v>
      </c>
      <c r="AI5191" s="7">
        <f t="shared" ca="1" si="667"/>
        <v>47831</v>
      </c>
      <c r="AJ5191" s="210">
        <f t="shared" ca="1" si="670"/>
        <v>4.1749999999999998</v>
      </c>
      <c r="AK5191" s="8">
        <f t="shared" ca="1" si="672"/>
        <v>1.0001159722222221</v>
      </c>
      <c r="AL5191" s="98">
        <f t="shared" ca="1" si="671"/>
        <v>4.2004058985514625</v>
      </c>
      <c r="AM5191" s="106">
        <f t="shared" ca="1" si="668"/>
        <v>40071.907578581384</v>
      </c>
      <c r="AN5191" s="10">
        <f t="shared" ca="1" si="669"/>
        <v>1.1305650533183664</v>
      </c>
      <c r="AO5191" s="158"/>
      <c r="AP5191" s="158"/>
    </row>
    <row r="5192" spans="34:42">
      <c r="AH5192" s="6">
        <f t="shared" si="666"/>
        <v>5162</v>
      </c>
      <c r="AI5192" s="7">
        <f t="shared" ca="1" si="667"/>
        <v>47832</v>
      </c>
      <c r="AJ5192" s="210">
        <f t="shared" ca="1" si="670"/>
        <v>4.1749999999999998</v>
      </c>
      <c r="AK5192" s="8">
        <f t="shared" ca="1" si="672"/>
        <v>1.0001159722222221</v>
      </c>
      <c r="AL5192" s="98">
        <f t="shared" ca="1" si="671"/>
        <v>4.2004297497496124</v>
      </c>
      <c r="AM5192" s="106">
        <f t="shared" ca="1" si="668"/>
        <v>40075.209562639786</v>
      </c>
      <c r="AN5192" s="10">
        <f t="shared" ca="1" si="669"/>
        <v>1.1305848384377759</v>
      </c>
      <c r="AO5192" s="158"/>
      <c r="AP5192" s="158"/>
    </row>
    <row r="5193" spans="34:42">
      <c r="AH5193" s="6">
        <f t="shared" si="666"/>
        <v>5163</v>
      </c>
      <c r="AI5193" s="7">
        <f t="shared" ca="1" si="667"/>
        <v>47833</v>
      </c>
      <c r="AJ5193" s="210">
        <f t="shared" ca="1" si="670"/>
        <v>4.1749999999999998</v>
      </c>
      <c r="AK5193" s="8">
        <f t="shared" ca="1" si="672"/>
        <v>1.0001159722222221</v>
      </c>
      <c r="AL5193" s="98">
        <f t="shared" ca="1" si="671"/>
        <v>4.2004535917139485</v>
      </c>
      <c r="AM5193" s="106">
        <f t="shared" ca="1" si="668"/>
        <v>40078.511818786537</v>
      </c>
      <c r="AN5193" s="10">
        <f t="shared" ca="1" si="669"/>
        <v>1.1306046158968686</v>
      </c>
      <c r="AO5193" s="158"/>
      <c r="AP5193" s="158"/>
    </row>
    <row r="5194" spans="34:42">
      <c r="AH5194" s="6">
        <f t="shared" si="666"/>
        <v>5164</v>
      </c>
      <c r="AI5194" s="7">
        <f t="shared" ca="1" si="667"/>
        <v>47834</v>
      </c>
      <c r="AJ5194" s="210">
        <f t="shared" ca="1" si="670"/>
        <v>4.1749999999999998</v>
      </c>
      <c r="AK5194" s="8">
        <f t="shared" ca="1" si="672"/>
        <v>1.0001159722222221</v>
      </c>
      <c r="AL5194" s="98">
        <f t="shared" ca="1" si="671"/>
        <v>4.2004774244498222</v>
      </c>
      <c r="AM5194" s="106">
        <f t="shared" ca="1" si="668"/>
        <v>40081.814347044048</v>
      </c>
      <c r="AN5194" s="10">
        <f t="shared" ca="1" si="669"/>
        <v>1.1306243857000853</v>
      </c>
      <c r="AO5194" s="158"/>
      <c r="AP5194" s="158"/>
    </row>
    <row r="5195" spans="34:42">
      <c r="AH5195" s="6">
        <f t="shared" si="666"/>
        <v>5165</v>
      </c>
      <c r="AI5195" s="7">
        <f t="shared" ca="1" si="667"/>
        <v>47835</v>
      </c>
      <c r="AJ5195" s="210">
        <f t="shared" ca="1" si="670"/>
        <v>4.1749999999999998</v>
      </c>
      <c r="AK5195" s="8">
        <f t="shared" ca="1" si="672"/>
        <v>1.0001159722222221</v>
      </c>
      <c r="AL5195" s="98">
        <f t="shared" ca="1" si="671"/>
        <v>4.2005012479625847</v>
      </c>
      <c r="AM5195" s="106">
        <f t="shared" ca="1" si="668"/>
        <v>40085.117147434728</v>
      </c>
      <c r="AN5195" s="10">
        <f t="shared" ca="1" si="669"/>
        <v>1.130644147851867</v>
      </c>
      <c r="AO5195" s="158"/>
      <c r="AP5195" s="158"/>
    </row>
    <row r="5196" spans="34:42">
      <c r="AH5196" s="6">
        <f t="shared" si="666"/>
        <v>5166</v>
      </c>
      <c r="AI5196" s="7">
        <f t="shared" ca="1" si="667"/>
        <v>47836</v>
      </c>
      <c r="AJ5196" s="210">
        <f t="shared" ca="1" si="670"/>
        <v>4.1749999999999998</v>
      </c>
      <c r="AK5196" s="8">
        <f t="shared" ca="1" si="672"/>
        <v>1.0001159722222221</v>
      </c>
      <c r="AL5196" s="98">
        <f t="shared" ca="1" si="671"/>
        <v>4.2005250622576096</v>
      </c>
      <c r="AM5196" s="106">
        <f t="shared" ca="1" si="668"/>
        <v>40088.420219981024</v>
      </c>
      <c r="AN5196" s="10">
        <f t="shared" ca="1" si="669"/>
        <v>1.1306639023566545</v>
      </c>
      <c r="AO5196" s="158"/>
      <c r="AP5196" s="158"/>
    </row>
    <row r="5197" spans="34:42">
      <c r="AH5197" s="6">
        <f t="shared" si="666"/>
        <v>5167</v>
      </c>
      <c r="AI5197" s="7">
        <f t="shared" ca="1" si="667"/>
        <v>47837</v>
      </c>
      <c r="AJ5197" s="210">
        <f t="shared" ca="1" si="670"/>
        <v>4.1749999999999998</v>
      </c>
      <c r="AK5197" s="8">
        <f t="shared" ca="1" si="672"/>
        <v>1.0001159722222221</v>
      </c>
      <c r="AL5197" s="98">
        <f t="shared" ca="1" si="671"/>
        <v>4.2005488673402258</v>
      </c>
      <c r="AM5197" s="106">
        <f t="shared" ca="1" si="668"/>
        <v>40091.723564705346</v>
      </c>
      <c r="AN5197" s="10">
        <f t="shared" ca="1" si="669"/>
        <v>1.1306836492188888</v>
      </c>
      <c r="AO5197" s="158"/>
      <c r="AP5197" s="158"/>
    </row>
    <row r="5198" spans="34:42">
      <c r="AH5198" s="6">
        <f t="shared" si="666"/>
        <v>5168</v>
      </c>
      <c r="AI5198" s="7">
        <f t="shared" ca="1" si="667"/>
        <v>47838</v>
      </c>
      <c r="AJ5198" s="210">
        <f t="shared" ca="1" si="670"/>
        <v>4.1749999999999998</v>
      </c>
      <c r="AK5198" s="8">
        <f t="shared" ca="1" si="672"/>
        <v>1.0001159722222221</v>
      </c>
      <c r="AL5198" s="98">
        <f t="shared" ca="1" si="671"/>
        <v>4.2005726632157847</v>
      </c>
      <c r="AM5198" s="106">
        <f t="shared" ca="1" si="668"/>
        <v>40095.027181630125</v>
      </c>
      <c r="AN5198" s="10">
        <f t="shared" ca="1" si="669"/>
        <v>1.1307033884429885</v>
      </c>
      <c r="AO5198" s="158"/>
      <c r="AP5198" s="158"/>
    </row>
    <row r="5199" spans="34:42">
      <c r="AH5199" s="6">
        <f t="shared" si="666"/>
        <v>5169</v>
      </c>
      <c r="AI5199" s="7">
        <f t="shared" ca="1" si="667"/>
        <v>47839</v>
      </c>
      <c r="AJ5199" s="210">
        <f t="shared" ca="1" si="670"/>
        <v>4.1749999999999998</v>
      </c>
      <c r="AK5199" s="8">
        <f t="shared" ca="1" si="672"/>
        <v>1.0001159722222221</v>
      </c>
      <c r="AL5199" s="98">
        <f t="shared" ca="1" si="671"/>
        <v>4.2005964498896153</v>
      </c>
      <c r="AM5199" s="106">
        <f t="shared" ca="1" si="668"/>
        <v>40098.331070777785</v>
      </c>
      <c r="AN5199" s="10">
        <f t="shared" ca="1" si="669"/>
        <v>1.1307231200333945</v>
      </c>
      <c r="AO5199" s="158"/>
      <c r="AP5199" s="158"/>
    </row>
    <row r="5200" spans="34:42">
      <c r="AH5200" s="6">
        <f t="shared" si="666"/>
        <v>5170</v>
      </c>
      <c r="AI5200" s="7">
        <f t="shared" ca="1" si="667"/>
        <v>47840</v>
      </c>
      <c r="AJ5200" s="210">
        <f t="shared" ca="1" si="670"/>
        <v>4.1749999999999998</v>
      </c>
      <c r="AK5200" s="8">
        <f t="shared" ca="1" si="672"/>
        <v>1.0001159722222221</v>
      </c>
      <c r="AL5200" s="98">
        <f t="shared" ca="1" si="671"/>
        <v>4.200620227367069</v>
      </c>
      <c r="AM5200" s="106">
        <f t="shared" ca="1" si="668"/>
        <v>40101.635232170775</v>
      </c>
      <c r="AN5200" s="10">
        <f t="shared" ca="1" si="669"/>
        <v>1.1307428439945477</v>
      </c>
      <c r="AO5200" s="158"/>
      <c r="AP5200" s="158"/>
    </row>
    <row r="5201" spans="34:42">
      <c r="AH5201" s="6">
        <f t="shared" si="666"/>
        <v>5171</v>
      </c>
      <c r="AI5201" s="7">
        <f t="shared" ca="1" si="667"/>
        <v>47841</v>
      </c>
      <c r="AJ5201" s="210">
        <f t="shared" ca="1" si="670"/>
        <v>4.1749999999999998</v>
      </c>
      <c r="AK5201" s="8">
        <f t="shared" ca="1" si="672"/>
        <v>1.0001159722222221</v>
      </c>
      <c r="AL5201" s="98">
        <f t="shared" ca="1" si="671"/>
        <v>4.2006439956534747</v>
      </c>
      <c r="AM5201" s="106">
        <f t="shared" ca="1" si="668"/>
        <v>40104.939665831524</v>
      </c>
      <c r="AN5201" s="10">
        <f t="shared" ca="1" si="669"/>
        <v>1.1307625603308669</v>
      </c>
      <c r="AO5201" s="158"/>
      <c r="AP5201" s="158"/>
    </row>
    <row r="5202" spans="34:42">
      <c r="AH5202" s="6">
        <f t="shared" si="666"/>
        <v>5172</v>
      </c>
      <c r="AI5202" s="7">
        <f t="shared" ca="1" si="667"/>
        <v>47842</v>
      </c>
      <c r="AJ5202" s="210">
        <f t="shared" ca="1" si="670"/>
        <v>4.1749999999999998</v>
      </c>
      <c r="AK5202" s="8">
        <f t="shared" ca="1" si="672"/>
        <v>1.0001159722222221</v>
      </c>
      <c r="AL5202" s="98">
        <f t="shared" ca="1" si="671"/>
        <v>4.2006677547541615</v>
      </c>
      <c r="AM5202" s="106">
        <f t="shared" ca="1" si="668"/>
        <v>40108.24437178245</v>
      </c>
      <c r="AN5202" s="10">
        <f t="shared" ca="1" si="669"/>
        <v>1.1307822690467706</v>
      </c>
      <c r="AO5202" s="158"/>
      <c r="AP5202" s="158"/>
    </row>
    <row r="5203" spans="34:42">
      <c r="AH5203" s="6">
        <f t="shared" si="666"/>
        <v>5173</v>
      </c>
      <c r="AI5203" s="7">
        <f t="shared" ca="1" si="667"/>
        <v>47843</v>
      </c>
      <c r="AJ5203" s="210">
        <f t="shared" ca="1" si="670"/>
        <v>4.1749999999999998</v>
      </c>
      <c r="AK5203" s="8">
        <f t="shared" ca="1" si="672"/>
        <v>1.0001159722222221</v>
      </c>
      <c r="AL5203" s="98">
        <f t="shared" ca="1" si="671"/>
        <v>4.2006915046744586</v>
      </c>
      <c r="AM5203" s="106">
        <f t="shared" ca="1" si="668"/>
        <v>40111.549350046007</v>
      </c>
      <c r="AN5203" s="10">
        <f t="shared" ca="1" si="669"/>
        <v>1.1308019701466554</v>
      </c>
      <c r="AO5203" s="158"/>
      <c r="AP5203" s="158"/>
    </row>
    <row r="5204" spans="34:42">
      <c r="AH5204" s="6">
        <f t="shared" ref="AH5204:AH5267" si="673">$AI$29+AH5203</f>
        <v>5174</v>
      </c>
      <c r="AI5204" s="7">
        <f t="shared" ref="AI5204:AI5267" ca="1" si="674">+AH5204+$C$1</f>
        <v>47844</v>
      </c>
      <c r="AJ5204" s="210">
        <f t="shared" ca="1" si="670"/>
        <v>4.1749999999999998</v>
      </c>
      <c r="AK5204" s="8">
        <f t="shared" ca="1" si="672"/>
        <v>1.0001159722222221</v>
      </c>
      <c r="AL5204" s="98">
        <f t="shared" ca="1" si="671"/>
        <v>4.2007152454196728</v>
      </c>
      <c r="AM5204" s="106">
        <f t="shared" ca="1" si="668"/>
        <v>40114.854600644627</v>
      </c>
      <c r="AN5204" s="10">
        <f t="shared" ca="1" si="669"/>
        <v>1.1308216636349622</v>
      </c>
      <c r="AO5204" s="158"/>
      <c r="AP5204" s="158"/>
    </row>
    <row r="5205" spans="34:42">
      <c r="AH5205" s="6">
        <f t="shared" si="673"/>
        <v>5175</v>
      </c>
      <c r="AI5205" s="7">
        <f t="shared" ca="1" si="674"/>
        <v>47845</v>
      </c>
      <c r="AJ5205" s="210">
        <f t="shared" ca="1" si="670"/>
        <v>4.1749999999999998</v>
      </c>
      <c r="AK5205" s="8">
        <f t="shared" ca="1" si="672"/>
        <v>1.0001159722222221</v>
      </c>
      <c r="AL5205" s="98">
        <f t="shared" ca="1" si="671"/>
        <v>4.2007389769951331</v>
      </c>
      <c r="AM5205" s="106">
        <f t="shared" ca="1" si="668"/>
        <v>40118.160123600755</v>
      </c>
      <c r="AN5205" s="10">
        <f t="shared" ca="1" si="669"/>
        <v>1.1308413495161096</v>
      </c>
      <c r="AO5205" s="158"/>
      <c r="AP5205" s="158"/>
    </row>
    <row r="5206" spans="34:42">
      <c r="AH5206" s="6">
        <f t="shared" si="673"/>
        <v>5176</v>
      </c>
      <c r="AI5206" s="7">
        <f t="shared" ca="1" si="674"/>
        <v>47846</v>
      </c>
      <c r="AJ5206" s="210">
        <f t="shared" ca="1" si="670"/>
        <v>4.1749999999999998</v>
      </c>
      <c r="AK5206" s="8">
        <f t="shared" ca="1" si="672"/>
        <v>1.0001159722222221</v>
      </c>
      <c r="AL5206" s="98">
        <f t="shared" ca="1" si="671"/>
        <v>4.2007626994061242</v>
      </c>
      <c r="AM5206" s="106">
        <f t="shared" ca="1" si="668"/>
        <v>40121.465918936825</v>
      </c>
      <c r="AN5206" s="10">
        <f t="shared" ca="1" si="669"/>
        <v>1.130861027794472</v>
      </c>
      <c r="AO5206" s="158"/>
      <c r="AP5206" s="158"/>
    </row>
    <row r="5207" spans="34:42">
      <c r="AH5207" s="6">
        <f t="shared" si="673"/>
        <v>5177</v>
      </c>
      <c r="AI5207" s="7">
        <f t="shared" ca="1" si="674"/>
        <v>47847</v>
      </c>
      <c r="AJ5207" s="210">
        <f t="shared" ca="1" si="670"/>
        <v>4.1749999999999998</v>
      </c>
      <c r="AK5207" s="8">
        <f t="shared" ca="1" si="672"/>
        <v>1.0001159722222221</v>
      </c>
      <c r="AL5207" s="98">
        <f t="shared" ca="1" si="671"/>
        <v>4.2007864126579753</v>
      </c>
      <c r="AM5207" s="106">
        <f t="shared" ca="1" si="668"/>
        <v>40124.771986675289</v>
      </c>
      <c r="AN5207" s="10">
        <f t="shared" ca="1" si="669"/>
        <v>1.1308806984744457</v>
      </c>
      <c r="AO5207" s="158"/>
      <c r="AP5207" s="158"/>
    </row>
    <row r="5208" spans="34:42">
      <c r="AH5208" s="6">
        <f t="shared" si="673"/>
        <v>5178</v>
      </c>
      <c r="AI5208" s="7">
        <f t="shared" ca="1" si="674"/>
        <v>47848</v>
      </c>
      <c r="AJ5208" s="210">
        <f t="shared" ca="1" si="670"/>
        <v>4.1749999999999998</v>
      </c>
      <c r="AK5208" s="8">
        <f t="shared" ca="1" si="672"/>
        <v>1.0001159722222221</v>
      </c>
      <c r="AL5208" s="98">
        <f t="shared" ca="1" si="671"/>
        <v>4.200810116755993</v>
      </c>
      <c r="AM5208" s="106">
        <f t="shared" ca="1" si="668"/>
        <v>40128.0783268386</v>
      </c>
      <c r="AN5208" s="10">
        <f t="shared" ca="1" si="669"/>
        <v>1.1309003615604718</v>
      </c>
      <c r="AO5208" s="158"/>
      <c r="AP5208" s="158"/>
    </row>
    <row r="5209" spans="34:42">
      <c r="AH5209" s="6">
        <f t="shared" si="673"/>
        <v>5179</v>
      </c>
      <c r="AI5209" s="7">
        <f t="shared" ca="1" si="674"/>
        <v>47849</v>
      </c>
      <c r="AJ5209" s="210">
        <f t="shared" ca="1" si="670"/>
        <v>4.1749999999999998</v>
      </c>
      <c r="AK5209" s="8">
        <f t="shared" ca="1" si="672"/>
        <v>1.0001159722222221</v>
      </c>
      <c r="AL5209" s="98">
        <f t="shared" ca="1" si="671"/>
        <v>4.2008338117054844</v>
      </c>
      <c r="AM5209" s="106">
        <f t="shared" ca="1" si="668"/>
        <v>40131.384939449192</v>
      </c>
      <c r="AN5209" s="10">
        <f t="shared" ca="1" si="669"/>
        <v>1.1309200170569467</v>
      </c>
      <c r="AO5209" s="158"/>
      <c r="AP5209" s="158"/>
    </row>
    <row r="5210" spans="34:42">
      <c r="AH5210" s="6">
        <f t="shared" si="673"/>
        <v>5180</v>
      </c>
      <c r="AI5210" s="7">
        <f t="shared" ca="1" si="674"/>
        <v>47850</v>
      </c>
      <c r="AJ5210" s="210">
        <f t="shared" ca="1" si="670"/>
        <v>4.1749999999999998</v>
      </c>
      <c r="AK5210" s="8">
        <f t="shared" ca="1" si="672"/>
        <v>1.0001159722222221</v>
      </c>
      <c r="AL5210" s="98">
        <f t="shared" ca="1" si="671"/>
        <v>4.2008574975117119</v>
      </c>
      <c r="AM5210" s="106">
        <f t="shared" ca="1" si="668"/>
        <v>40134.691824529516</v>
      </c>
      <c r="AN5210" s="10">
        <f t="shared" ca="1" si="669"/>
        <v>1.1309396649682002</v>
      </c>
      <c r="AO5210" s="158"/>
      <c r="AP5210" s="158"/>
    </row>
    <row r="5211" spans="34:42">
      <c r="AH5211" s="6">
        <f t="shared" si="673"/>
        <v>5181</v>
      </c>
      <c r="AI5211" s="7">
        <f t="shared" ca="1" si="674"/>
        <v>47851</v>
      </c>
      <c r="AJ5211" s="210">
        <f t="shared" ca="1" si="670"/>
        <v>4.1749999999999998</v>
      </c>
      <c r="AK5211" s="8">
        <f t="shared" ca="1" si="672"/>
        <v>1.0001159722222221</v>
      </c>
      <c r="AL5211" s="98">
        <f t="shared" ca="1" si="671"/>
        <v>4.2008811741800045</v>
      </c>
      <c r="AM5211" s="106">
        <f t="shared" ca="1" si="668"/>
        <v>40137.998982102043</v>
      </c>
      <c r="AN5211" s="10">
        <f t="shared" ca="1" si="669"/>
        <v>1.1309593052987177</v>
      </c>
      <c r="AO5211" s="158"/>
      <c r="AP5211" s="158"/>
    </row>
    <row r="5212" spans="34:42">
      <c r="AH5212" s="6">
        <f t="shared" si="673"/>
        <v>5182</v>
      </c>
      <c r="AI5212" s="7">
        <f t="shared" ca="1" si="674"/>
        <v>47852</v>
      </c>
      <c r="AJ5212" s="210">
        <f t="shared" ca="1" si="670"/>
        <v>4.1749999999999998</v>
      </c>
      <c r="AK5212" s="8">
        <f t="shared" ca="1" si="672"/>
        <v>1.0001159722222221</v>
      </c>
      <c r="AL5212" s="98">
        <f t="shared" ca="1" si="671"/>
        <v>4.2009048417156247</v>
      </c>
      <c r="AM5212" s="106">
        <f t="shared" ca="1" si="668"/>
        <v>40141.306412189195</v>
      </c>
      <c r="AN5212" s="10">
        <f t="shared" ca="1" si="669"/>
        <v>1.1309789380528068</v>
      </c>
      <c r="AO5212" s="158"/>
      <c r="AP5212" s="158"/>
    </row>
    <row r="5213" spans="34:42">
      <c r="AH5213" s="6">
        <f t="shared" si="673"/>
        <v>5183</v>
      </c>
      <c r="AI5213" s="7">
        <f t="shared" ca="1" si="674"/>
        <v>47853</v>
      </c>
      <c r="AJ5213" s="210">
        <f t="shared" ca="1" si="670"/>
        <v>4.1749999999999998</v>
      </c>
      <c r="AK5213" s="8">
        <f t="shared" ca="1" si="672"/>
        <v>1.0001159722222221</v>
      </c>
      <c r="AL5213" s="98">
        <f t="shared" ca="1" si="671"/>
        <v>4.2009285001238572</v>
      </c>
      <c r="AM5213" s="106">
        <f t="shared" ca="1" si="668"/>
        <v>40144.614114813463</v>
      </c>
      <c r="AN5213" s="10">
        <f t="shared" ca="1" si="669"/>
        <v>1.1309985632348862</v>
      </c>
      <c r="AO5213" s="158"/>
      <c r="AP5213" s="158"/>
    </row>
    <row r="5214" spans="34:42">
      <c r="AH5214" s="6">
        <f t="shared" si="673"/>
        <v>5184</v>
      </c>
      <c r="AI5214" s="7">
        <f t="shared" ca="1" si="674"/>
        <v>47854</v>
      </c>
      <c r="AJ5214" s="210">
        <f t="shared" ca="1" si="670"/>
        <v>4.1749999999999998</v>
      </c>
      <c r="AK5214" s="8">
        <f t="shared" ca="1" si="672"/>
        <v>1.0001159722222221</v>
      </c>
      <c r="AL5214" s="98">
        <f t="shared" ca="1" si="671"/>
        <v>4.2009521494099866</v>
      </c>
      <c r="AM5214" s="106">
        <f t="shared" ca="1" si="668"/>
        <v>40147.922089997272</v>
      </c>
      <c r="AN5214" s="10">
        <f t="shared" ca="1" si="669"/>
        <v>1.1310181808493081</v>
      </c>
      <c r="AO5214" s="158"/>
      <c r="AP5214" s="158"/>
    </row>
    <row r="5215" spans="34:42">
      <c r="AH5215" s="6">
        <f t="shared" si="673"/>
        <v>5185</v>
      </c>
      <c r="AI5215" s="7">
        <f t="shared" ca="1" si="674"/>
        <v>47855</v>
      </c>
      <c r="AJ5215" s="210">
        <f t="shared" ca="1" si="670"/>
        <v>4.1749999999999998</v>
      </c>
      <c r="AK5215" s="8">
        <f t="shared" ca="1" si="672"/>
        <v>1.0001159722222221</v>
      </c>
      <c r="AL5215" s="98">
        <f t="shared" ca="1" si="671"/>
        <v>4.2009757895792976</v>
      </c>
      <c r="AM5215" s="106">
        <f t="shared" ref="AM5215:AM5278" ca="1" si="675">Geom_Interp(AI5215,$AZ$2:$AZ$109,$BA$2:$BA$109)</f>
        <v>40151.230337763111</v>
      </c>
      <c r="AN5215" s="10">
        <f t="shared" ref="AN5215:AN5278" ca="1" si="676">100*(((1+AL5215/100)^(AH5215/365)*$AM$29/AM5215)^(365/AH5215)-1)</f>
        <v>1.1310377909004909</v>
      </c>
      <c r="AO5215" s="158"/>
      <c r="AP5215" s="158"/>
    </row>
    <row r="5216" spans="34:42">
      <c r="AH5216" s="6">
        <f t="shared" si="673"/>
        <v>5186</v>
      </c>
      <c r="AI5216" s="7">
        <f t="shared" ca="1" si="674"/>
        <v>47856</v>
      </c>
      <c r="AJ5216" s="210">
        <f t="shared" ref="AJ5216:AJ5279" ca="1" si="677">IF(AH5216&lt;365,VLOOKUP(LOOKUP(AI5216,$AI$2:$AI$23),$AI$2:$AK$23,3,0),Lin_Interp(AH5216,$AJ$2:$AJ$23,$AK$2:$AK$23))</f>
        <v>4.1749999999999998</v>
      </c>
      <c r="AK5216" s="8">
        <f t="shared" ca="1" si="672"/>
        <v>1.0001159722222221</v>
      </c>
      <c r="AL5216" s="98">
        <f t="shared" ca="1" si="671"/>
        <v>4.2009994206370305</v>
      </c>
      <c r="AM5216" s="106">
        <f t="shared" ca="1" si="675"/>
        <v>40154.538858133412</v>
      </c>
      <c r="AN5216" s="10">
        <f t="shared" ca="1" si="676"/>
        <v>1.131057393392787</v>
      </c>
      <c r="AO5216" s="158"/>
      <c r="AP5216" s="158"/>
    </row>
    <row r="5217" spans="34:42">
      <c r="AH5217" s="6">
        <f t="shared" si="673"/>
        <v>5187</v>
      </c>
      <c r="AI5217" s="7">
        <f t="shared" ca="1" si="674"/>
        <v>47857</v>
      </c>
      <c r="AJ5217" s="210">
        <f t="shared" ca="1" si="677"/>
        <v>4.1749999999999998</v>
      </c>
      <c r="AK5217" s="8">
        <f t="shared" ca="1" si="672"/>
        <v>1.0001159722222221</v>
      </c>
      <c r="AL5217" s="98">
        <f t="shared" ref="AL5217:AL5280" ca="1" si="678">100*(((1+AL5216/100)^(AH5216/365)*AK5217)^(365/AH5217)-1)</f>
        <v>4.201023042588492</v>
      </c>
      <c r="AM5217" s="106">
        <f t="shared" ca="1" si="675"/>
        <v>40157.847651130665</v>
      </c>
      <c r="AN5217" s="10">
        <f t="shared" ca="1" si="676"/>
        <v>1.1310769883305483</v>
      </c>
      <c r="AO5217" s="158"/>
      <c r="AP5217" s="158"/>
    </row>
    <row r="5218" spans="34:42">
      <c r="AH5218" s="6">
        <f t="shared" si="673"/>
        <v>5188</v>
      </c>
      <c r="AI5218" s="7">
        <f t="shared" ca="1" si="674"/>
        <v>47858</v>
      </c>
      <c r="AJ5218" s="210">
        <f t="shared" ca="1" si="677"/>
        <v>4.1749999999999998</v>
      </c>
      <c r="AK5218" s="8">
        <f t="shared" ca="1" si="672"/>
        <v>1.0001159722222221</v>
      </c>
      <c r="AL5218" s="98">
        <f t="shared" ca="1" si="678"/>
        <v>4.2010466554389225</v>
      </c>
      <c r="AM5218" s="106">
        <f t="shared" ca="1" si="675"/>
        <v>40161.156716777317</v>
      </c>
      <c r="AN5218" s="10">
        <f t="shared" ca="1" si="676"/>
        <v>1.1310965757181712</v>
      </c>
      <c r="AO5218" s="158"/>
      <c r="AP5218" s="158"/>
    </row>
    <row r="5219" spans="34:42">
      <c r="AH5219" s="6">
        <f t="shared" si="673"/>
        <v>5189</v>
      </c>
      <c r="AI5219" s="7">
        <f t="shared" ca="1" si="674"/>
        <v>47859</v>
      </c>
      <c r="AJ5219" s="210">
        <f t="shared" ca="1" si="677"/>
        <v>4.1749999999999998</v>
      </c>
      <c r="AK5219" s="8">
        <f t="shared" ca="1" si="672"/>
        <v>1.0001159722222221</v>
      </c>
      <c r="AL5219" s="98">
        <f t="shared" ca="1" si="678"/>
        <v>4.2010702591935845</v>
      </c>
      <c r="AM5219" s="106">
        <f t="shared" ca="1" si="675"/>
        <v>40164.466055095836</v>
      </c>
      <c r="AN5219" s="10">
        <f t="shared" ca="1" si="676"/>
        <v>1.131116155560008</v>
      </c>
      <c r="AO5219" s="158"/>
      <c r="AP5219" s="158"/>
    </row>
    <row r="5220" spans="34:42">
      <c r="AH5220" s="6">
        <f t="shared" si="673"/>
        <v>5190</v>
      </c>
      <c r="AI5220" s="7">
        <f t="shared" ca="1" si="674"/>
        <v>47860</v>
      </c>
      <c r="AJ5220" s="210">
        <f t="shared" ca="1" si="677"/>
        <v>4.1749999999999998</v>
      </c>
      <c r="AK5220" s="8">
        <f t="shared" ref="AK5220:AK5283" ca="1" si="679">+(1+AJ5220/36000)</f>
        <v>1.0001159722222221</v>
      </c>
      <c r="AL5220" s="98">
        <f t="shared" ca="1" si="678"/>
        <v>4.2010938538577181</v>
      </c>
      <c r="AM5220" s="106">
        <f t="shared" ca="1" si="675"/>
        <v>40167.775666108697</v>
      </c>
      <c r="AN5220" s="10">
        <f t="shared" ca="1" si="676"/>
        <v>1.1311357278604106</v>
      </c>
      <c r="AO5220" s="158"/>
      <c r="AP5220" s="158"/>
    </row>
    <row r="5221" spans="34:42">
      <c r="AH5221" s="6">
        <f t="shared" si="673"/>
        <v>5191</v>
      </c>
      <c r="AI5221" s="7">
        <f t="shared" ca="1" si="674"/>
        <v>47861</v>
      </c>
      <c r="AJ5221" s="210">
        <f t="shared" ca="1" si="677"/>
        <v>4.1749999999999998</v>
      </c>
      <c r="AK5221" s="8">
        <f t="shared" ca="1" si="679"/>
        <v>1.0001159722222221</v>
      </c>
      <c r="AL5221" s="98">
        <f t="shared" ca="1" si="678"/>
        <v>4.2011174394365858</v>
      </c>
      <c r="AM5221" s="106">
        <f t="shared" ca="1" si="675"/>
        <v>40171.085549838375</v>
      </c>
      <c r="AN5221" s="10">
        <f t="shared" ca="1" si="676"/>
        <v>1.1311552926237312</v>
      </c>
      <c r="AO5221" s="158"/>
      <c r="AP5221" s="158"/>
    </row>
    <row r="5222" spans="34:42">
      <c r="AH5222" s="6">
        <f t="shared" si="673"/>
        <v>5192</v>
      </c>
      <c r="AI5222" s="7">
        <f t="shared" ca="1" si="674"/>
        <v>47862</v>
      </c>
      <c r="AJ5222" s="210">
        <f t="shared" ca="1" si="677"/>
        <v>4.1749999999999998</v>
      </c>
      <c r="AK5222" s="8">
        <f t="shared" ca="1" si="679"/>
        <v>1.0001159722222221</v>
      </c>
      <c r="AL5222" s="98">
        <f t="shared" ca="1" si="678"/>
        <v>4.2011410159354501</v>
      </c>
      <c r="AM5222" s="106">
        <f t="shared" ca="1" si="675"/>
        <v>40174.395706307325</v>
      </c>
      <c r="AN5222" s="10">
        <f t="shared" ca="1" si="676"/>
        <v>1.1311748498543439</v>
      </c>
      <c r="AO5222" s="158"/>
      <c r="AP5222" s="158"/>
    </row>
    <row r="5223" spans="34:42">
      <c r="AH5223" s="6">
        <f t="shared" si="673"/>
        <v>5193</v>
      </c>
      <c r="AI5223" s="7">
        <f t="shared" ca="1" si="674"/>
        <v>47863</v>
      </c>
      <c r="AJ5223" s="210">
        <f t="shared" ca="1" si="677"/>
        <v>4.1749999999999998</v>
      </c>
      <c r="AK5223" s="8">
        <f t="shared" ca="1" si="679"/>
        <v>1.0001159722222221</v>
      </c>
      <c r="AL5223" s="98">
        <f t="shared" ca="1" si="678"/>
        <v>4.201164583359529</v>
      </c>
      <c r="AM5223" s="106">
        <f t="shared" ca="1" si="675"/>
        <v>40177.706135538036</v>
      </c>
      <c r="AN5223" s="10">
        <f t="shared" ca="1" si="676"/>
        <v>1.1311943995565787</v>
      </c>
      <c r="AO5223" s="158"/>
      <c r="AP5223" s="158"/>
    </row>
    <row r="5224" spans="34:42">
      <c r="AH5224" s="6">
        <f t="shared" si="673"/>
        <v>5194</v>
      </c>
      <c r="AI5224" s="7">
        <f t="shared" ca="1" si="674"/>
        <v>47864</v>
      </c>
      <c r="AJ5224" s="210">
        <f t="shared" ca="1" si="677"/>
        <v>4.1749999999999998</v>
      </c>
      <c r="AK5224" s="8">
        <f t="shared" ca="1" si="679"/>
        <v>1.0001159722222221</v>
      </c>
      <c r="AL5224" s="98">
        <f t="shared" ca="1" si="678"/>
        <v>4.2011881417140629</v>
      </c>
      <c r="AM5224" s="106">
        <f t="shared" ca="1" si="675"/>
        <v>40181.016837552976</v>
      </c>
      <c r="AN5224" s="10">
        <f t="shared" ca="1" si="676"/>
        <v>1.1312139417347655</v>
      </c>
      <c r="AO5224" s="158"/>
      <c r="AP5224" s="158"/>
    </row>
    <row r="5225" spans="34:42">
      <c r="AH5225" s="6">
        <f t="shared" si="673"/>
        <v>5195</v>
      </c>
      <c r="AI5225" s="7">
        <f t="shared" ca="1" si="674"/>
        <v>47865</v>
      </c>
      <c r="AJ5225" s="210">
        <f t="shared" ca="1" si="677"/>
        <v>4.1749999999999998</v>
      </c>
      <c r="AK5225" s="8">
        <f t="shared" ca="1" si="679"/>
        <v>1.0001159722222221</v>
      </c>
      <c r="AL5225" s="98">
        <f t="shared" ca="1" si="678"/>
        <v>4.2012116910042918</v>
      </c>
      <c r="AM5225" s="106">
        <f t="shared" ca="1" si="675"/>
        <v>40184.327812374635</v>
      </c>
      <c r="AN5225" s="10">
        <f t="shared" ca="1" si="676"/>
        <v>1.1312334763932785</v>
      </c>
      <c r="AO5225" s="158"/>
      <c r="AP5225" s="158"/>
    </row>
    <row r="5226" spans="34:42">
      <c r="AH5226" s="6">
        <f t="shared" si="673"/>
        <v>5196</v>
      </c>
      <c r="AI5226" s="7">
        <f t="shared" ca="1" si="674"/>
        <v>47866</v>
      </c>
      <c r="AJ5226" s="210">
        <f t="shared" ca="1" si="677"/>
        <v>4.1749999999999998</v>
      </c>
      <c r="AK5226" s="8">
        <f t="shared" ca="1" si="679"/>
        <v>1.0001159722222221</v>
      </c>
      <c r="AL5226" s="98">
        <f t="shared" ca="1" si="678"/>
        <v>4.2012352312354562</v>
      </c>
      <c r="AM5226" s="106">
        <f t="shared" ca="1" si="675"/>
        <v>40187.639060025474</v>
      </c>
      <c r="AN5226" s="10">
        <f t="shared" ca="1" si="676"/>
        <v>1.1312530035364698</v>
      </c>
      <c r="AO5226" s="158"/>
      <c r="AP5226" s="158"/>
    </row>
    <row r="5227" spans="34:42">
      <c r="AH5227" s="6">
        <f t="shared" si="673"/>
        <v>5197</v>
      </c>
      <c r="AI5227" s="7">
        <f t="shared" ca="1" si="674"/>
        <v>47867</v>
      </c>
      <c r="AJ5227" s="210">
        <f t="shared" ca="1" si="677"/>
        <v>4.1749999999999998</v>
      </c>
      <c r="AK5227" s="8">
        <f t="shared" ca="1" si="679"/>
        <v>1.0001159722222221</v>
      </c>
      <c r="AL5227" s="98">
        <f t="shared" ca="1" si="678"/>
        <v>4.201258762412774</v>
      </c>
      <c r="AM5227" s="106">
        <f t="shared" ca="1" si="675"/>
        <v>40190.950580527991</v>
      </c>
      <c r="AN5227" s="10">
        <f t="shared" ca="1" si="676"/>
        <v>1.1312725231686471</v>
      </c>
      <c r="AO5227" s="158"/>
      <c r="AP5227" s="158"/>
    </row>
    <row r="5228" spans="34:42">
      <c r="AH5228" s="6">
        <f t="shared" si="673"/>
        <v>5198</v>
      </c>
      <c r="AI5228" s="7">
        <f t="shared" ca="1" si="674"/>
        <v>47868</v>
      </c>
      <c r="AJ5228" s="210">
        <f t="shared" ca="1" si="677"/>
        <v>4.1749999999999998</v>
      </c>
      <c r="AK5228" s="8">
        <f t="shared" ca="1" si="679"/>
        <v>1.0001159722222221</v>
      </c>
      <c r="AL5228" s="98">
        <f t="shared" ca="1" si="678"/>
        <v>4.2012822845414632</v>
      </c>
      <c r="AM5228" s="106">
        <f t="shared" ca="1" si="675"/>
        <v>40194.262373904654</v>
      </c>
      <c r="AN5228" s="10">
        <f t="shared" ca="1" si="676"/>
        <v>1.1312920352941402</v>
      </c>
      <c r="AO5228" s="158"/>
      <c r="AP5228" s="158"/>
    </row>
    <row r="5229" spans="34:42">
      <c r="AH5229" s="6">
        <f t="shared" si="673"/>
        <v>5199</v>
      </c>
      <c r="AI5229" s="7">
        <f t="shared" ca="1" si="674"/>
        <v>47869</v>
      </c>
      <c r="AJ5229" s="210">
        <f t="shared" ca="1" si="677"/>
        <v>4.1749999999999998</v>
      </c>
      <c r="AK5229" s="8">
        <f t="shared" ca="1" si="679"/>
        <v>1.0001159722222221</v>
      </c>
      <c r="AL5229" s="98">
        <f t="shared" ca="1" si="678"/>
        <v>4.2013057976267421</v>
      </c>
      <c r="AM5229" s="106">
        <f t="shared" ca="1" si="675"/>
        <v>40197.574440177967</v>
      </c>
      <c r="AN5229" s="10">
        <f t="shared" ca="1" si="676"/>
        <v>1.1313115399173013</v>
      </c>
      <c r="AO5229" s="158"/>
      <c r="AP5229" s="158"/>
    </row>
    <row r="5230" spans="34:42">
      <c r="AH5230" s="6">
        <f t="shared" si="673"/>
        <v>5200</v>
      </c>
      <c r="AI5230" s="7">
        <f t="shared" ca="1" si="674"/>
        <v>47870</v>
      </c>
      <c r="AJ5230" s="210">
        <f t="shared" ca="1" si="677"/>
        <v>4.1749999999999998</v>
      </c>
      <c r="AK5230" s="8">
        <f t="shared" ca="1" si="679"/>
        <v>1.0001159722222221</v>
      </c>
      <c r="AL5230" s="98">
        <f t="shared" ca="1" si="678"/>
        <v>4.2013293016738285</v>
      </c>
      <c r="AM5230" s="106">
        <f t="shared" ca="1" si="675"/>
        <v>40200.886779370405</v>
      </c>
      <c r="AN5230" s="10">
        <f t="shared" ca="1" si="676"/>
        <v>1.1313310370424157</v>
      </c>
      <c r="AO5230" s="158"/>
      <c r="AP5230" s="158"/>
    </row>
    <row r="5231" spans="34:42">
      <c r="AH5231" s="6">
        <f t="shared" si="673"/>
        <v>5201</v>
      </c>
      <c r="AI5231" s="7">
        <f t="shared" ca="1" si="674"/>
        <v>47871</v>
      </c>
      <c r="AJ5231" s="210">
        <f t="shared" ca="1" si="677"/>
        <v>4.1749999999999998</v>
      </c>
      <c r="AK5231" s="8">
        <f t="shared" ca="1" si="679"/>
        <v>1.0001159722222221</v>
      </c>
      <c r="AL5231" s="98">
        <f t="shared" ca="1" si="678"/>
        <v>4.2013527966879405</v>
      </c>
      <c r="AM5231" s="106">
        <f t="shared" ca="1" si="675"/>
        <v>40204.199391504459</v>
      </c>
      <c r="AN5231" s="10">
        <f t="shared" ca="1" si="676"/>
        <v>1.1313505266738577</v>
      </c>
      <c r="AO5231" s="158"/>
      <c r="AP5231" s="158"/>
    </row>
    <row r="5232" spans="34:42">
      <c r="AH5232" s="6">
        <f t="shared" si="673"/>
        <v>5202</v>
      </c>
      <c r="AI5232" s="7">
        <f t="shared" ca="1" si="674"/>
        <v>47872</v>
      </c>
      <c r="AJ5232" s="210">
        <f t="shared" ca="1" si="677"/>
        <v>4.1749999999999998</v>
      </c>
      <c r="AK5232" s="8">
        <f t="shared" ca="1" si="679"/>
        <v>1.0001159722222221</v>
      </c>
      <c r="AL5232" s="98">
        <f t="shared" ca="1" si="678"/>
        <v>4.201376282674274</v>
      </c>
      <c r="AM5232" s="106">
        <f t="shared" ca="1" si="675"/>
        <v>40207.512276602618</v>
      </c>
      <c r="AN5232" s="10">
        <f t="shared" ca="1" si="676"/>
        <v>1.1313700088159129</v>
      </c>
      <c r="AO5232" s="158"/>
      <c r="AP5232" s="158"/>
    </row>
    <row r="5233" spans="34:42">
      <c r="AH5233" s="6">
        <f t="shared" si="673"/>
        <v>5203</v>
      </c>
      <c r="AI5233" s="7">
        <f t="shared" ca="1" si="674"/>
        <v>47873</v>
      </c>
      <c r="AJ5233" s="210">
        <f t="shared" ca="1" si="677"/>
        <v>4.1749999999999998</v>
      </c>
      <c r="AK5233" s="8">
        <f t="shared" ca="1" si="679"/>
        <v>1.0001159722222221</v>
      </c>
      <c r="AL5233" s="98">
        <f t="shared" ca="1" si="678"/>
        <v>4.201399759638047</v>
      </c>
      <c r="AM5233" s="106">
        <f t="shared" ca="1" si="675"/>
        <v>40210.825434687373</v>
      </c>
      <c r="AN5233" s="10">
        <f t="shared" ca="1" si="676"/>
        <v>1.1313894834729332</v>
      </c>
      <c r="AO5233" s="158"/>
      <c r="AP5233" s="158"/>
    </row>
    <row r="5234" spans="34:42">
      <c r="AH5234" s="6">
        <f t="shared" si="673"/>
        <v>5204</v>
      </c>
      <c r="AI5234" s="7">
        <f t="shared" ca="1" si="674"/>
        <v>47874</v>
      </c>
      <c r="AJ5234" s="210">
        <f t="shared" ca="1" si="677"/>
        <v>4.1749999999999998</v>
      </c>
      <c r="AK5234" s="8">
        <f t="shared" ca="1" si="679"/>
        <v>1.0001159722222221</v>
      </c>
      <c r="AL5234" s="98">
        <f t="shared" ca="1" si="678"/>
        <v>4.2014232275844332</v>
      </c>
      <c r="AM5234" s="106">
        <f t="shared" ca="1" si="675"/>
        <v>40214.13886578122</v>
      </c>
      <c r="AN5234" s="10">
        <f t="shared" ca="1" si="676"/>
        <v>1.131408950649182</v>
      </c>
      <c r="AO5234" s="158"/>
      <c r="AP5234" s="158"/>
    </row>
    <row r="5235" spans="34:42">
      <c r="AH5235" s="6">
        <f t="shared" si="673"/>
        <v>5205</v>
      </c>
      <c r="AI5235" s="7">
        <f t="shared" ca="1" si="674"/>
        <v>47875</v>
      </c>
      <c r="AJ5235" s="210">
        <f t="shared" ca="1" si="677"/>
        <v>4.1749999999999998</v>
      </c>
      <c r="AK5235" s="8">
        <f t="shared" ca="1" si="679"/>
        <v>1.0001159722222221</v>
      </c>
      <c r="AL5235" s="98">
        <f t="shared" ca="1" si="678"/>
        <v>4.2014466865186506</v>
      </c>
      <c r="AM5235" s="106">
        <f t="shared" ca="1" si="675"/>
        <v>40217.452569906665</v>
      </c>
      <c r="AN5235" s="10">
        <f t="shared" ca="1" si="676"/>
        <v>1.1314284103490113</v>
      </c>
      <c r="AO5235" s="158"/>
      <c r="AP5235" s="158"/>
    </row>
    <row r="5236" spans="34:42">
      <c r="AH5236" s="6">
        <f t="shared" si="673"/>
        <v>5206</v>
      </c>
      <c r="AI5236" s="7">
        <f t="shared" ca="1" si="674"/>
        <v>47876</v>
      </c>
      <c r="AJ5236" s="210">
        <f t="shared" ca="1" si="677"/>
        <v>4.1749999999999998</v>
      </c>
      <c r="AK5236" s="8">
        <f t="shared" ca="1" si="679"/>
        <v>1.0001159722222221</v>
      </c>
      <c r="AL5236" s="98">
        <f t="shared" ca="1" si="678"/>
        <v>4.2014701364458729</v>
      </c>
      <c r="AM5236" s="106">
        <f t="shared" ca="1" si="675"/>
        <v>40220.766547086198</v>
      </c>
      <c r="AN5236" s="10">
        <f t="shared" ca="1" si="676"/>
        <v>1.1314478625767066</v>
      </c>
      <c r="AO5236" s="158"/>
      <c r="AP5236" s="158"/>
    </row>
    <row r="5237" spans="34:42">
      <c r="AH5237" s="6">
        <f t="shared" si="673"/>
        <v>5207</v>
      </c>
      <c r="AI5237" s="7">
        <f t="shared" ca="1" si="674"/>
        <v>47877</v>
      </c>
      <c r="AJ5237" s="210">
        <f t="shared" ca="1" si="677"/>
        <v>4.1749999999999998</v>
      </c>
      <c r="AK5237" s="8">
        <f t="shared" ca="1" si="679"/>
        <v>1.0001159722222221</v>
      </c>
      <c r="AL5237" s="98">
        <f t="shared" ca="1" si="678"/>
        <v>4.2014935773712958</v>
      </c>
      <c r="AM5237" s="106">
        <f t="shared" ca="1" si="675"/>
        <v>40224.080797342314</v>
      </c>
      <c r="AN5237" s="10">
        <f t="shared" ca="1" si="676"/>
        <v>1.1314673073365533</v>
      </c>
      <c r="AO5237" s="158"/>
      <c r="AP5237" s="158"/>
    </row>
    <row r="5238" spans="34:42">
      <c r="AH5238" s="6">
        <f t="shared" si="673"/>
        <v>5208</v>
      </c>
      <c r="AI5238" s="7">
        <f t="shared" ca="1" si="674"/>
        <v>47878</v>
      </c>
      <c r="AJ5238" s="210">
        <f t="shared" ca="1" si="677"/>
        <v>4.1749999999999998</v>
      </c>
      <c r="AK5238" s="8">
        <f t="shared" ca="1" si="679"/>
        <v>1.0001159722222221</v>
      </c>
      <c r="AL5238" s="98">
        <f t="shared" ca="1" si="678"/>
        <v>4.2015170093000931</v>
      </c>
      <c r="AM5238" s="106">
        <f t="shared" ca="1" si="675"/>
        <v>40227.395320697527</v>
      </c>
      <c r="AN5238" s="10">
        <f t="shared" ca="1" si="676"/>
        <v>1.1314867446328813</v>
      </c>
      <c r="AO5238" s="158"/>
      <c r="AP5238" s="158"/>
    </row>
    <row r="5239" spans="34:42">
      <c r="AH5239" s="6">
        <f t="shared" si="673"/>
        <v>5209</v>
      </c>
      <c r="AI5239" s="7">
        <f t="shared" ca="1" si="674"/>
        <v>47879</v>
      </c>
      <c r="AJ5239" s="210">
        <f t="shared" ca="1" si="677"/>
        <v>4.1749999999999998</v>
      </c>
      <c r="AK5239" s="8">
        <f t="shared" ca="1" si="679"/>
        <v>1.0001159722222221</v>
      </c>
      <c r="AL5239" s="98">
        <f t="shared" ca="1" si="678"/>
        <v>4.2015404322374383</v>
      </c>
      <c r="AM5239" s="106">
        <f t="shared" ca="1" si="675"/>
        <v>40230.710117174327</v>
      </c>
      <c r="AN5239" s="10">
        <f t="shared" ca="1" si="676"/>
        <v>1.1315061744699761</v>
      </c>
      <c r="AO5239" s="158"/>
      <c r="AP5239" s="158"/>
    </row>
    <row r="5240" spans="34:42">
      <c r="AH5240" s="6">
        <f t="shared" si="673"/>
        <v>5210</v>
      </c>
      <c r="AI5240" s="7">
        <f t="shared" ca="1" si="674"/>
        <v>47880</v>
      </c>
      <c r="AJ5240" s="210">
        <f t="shared" ca="1" si="677"/>
        <v>4.1749999999999998</v>
      </c>
      <c r="AK5240" s="8">
        <f t="shared" ca="1" si="679"/>
        <v>1.0001159722222221</v>
      </c>
      <c r="AL5240" s="98">
        <f t="shared" ca="1" si="678"/>
        <v>4.2015638461885274</v>
      </c>
      <c r="AM5240" s="106">
        <f t="shared" ca="1" si="675"/>
        <v>40234.025186795232</v>
      </c>
      <c r="AN5240" s="10">
        <f t="shared" ca="1" si="676"/>
        <v>1.1315255968521454</v>
      </c>
      <c r="AO5240" s="158"/>
      <c r="AP5240" s="158"/>
    </row>
    <row r="5241" spans="34:42">
      <c r="AH5241" s="6">
        <f t="shared" si="673"/>
        <v>5211</v>
      </c>
      <c r="AI5241" s="7">
        <f t="shared" ca="1" si="674"/>
        <v>47881</v>
      </c>
      <c r="AJ5241" s="210">
        <f t="shared" ca="1" si="677"/>
        <v>4.1749999999999998</v>
      </c>
      <c r="AK5241" s="8">
        <f t="shared" ca="1" si="679"/>
        <v>1.0001159722222221</v>
      </c>
      <c r="AL5241" s="98">
        <f t="shared" ca="1" si="678"/>
        <v>4.2015872511585117</v>
      </c>
      <c r="AM5241" s="106">
        <f t="shared" ca="1" si="675"/>
        <v>40237.34052958274</v>
      </c>
      <c r="AN5241" s="10">
        <f t="shared" ca="1" si="676"/>
        <v>1.1315450117836523</v>
      </c>
      <c r="AO5241" s="158"/>
      <c r="AP5241" s="158"/>
    </row>
    <row r="5242" spans="34:42">
      <c r="AH5242" s="6">
        <f t="shared" si="673"/>
        <v>5212</v>
      </c>
      <c r="AI5242" s="7">
        <f t="shared" ca="1" si="674"/>
        <v>47882</v>
      </c>
      <c r="AJ5242" s="210">
        <f t="shared" ca="1" si="677"/>
        <v>4.1749999999999998</v>
      </c>
      <c r="AK5242" s="8">
        <f t="shared" ca="1" si="679"/>
        <v>1.0001159722222221</v>
      </c>
      <c r="AL5242" s="98">
        <f t="shared" ca="1" si="678"/>
        <v>4.2016106471525649</v>
      </c>
      <c r="AM5242" s="106">
        <f t="shared" ca="1" si="675"/>
        <v>40240.656145559369</v>
      </c>
      <c r="AN5242" s="10">
        <f t="shared" ca="1" si="676"/>
        <v>1.1315644192687824</v>
      </c>
      <c r="AO5242" s="158"/>
      <c r="AP5242" s="158"/>
    </row>
    <row r="5243" spans="34:42">
      <c r="AH5243" s="6">
        <f t="shared" si="673"/>
        <v>5213</v>
      </c>
      <c r="AI5243" s="7">
        <f t="shared" ca="1" si="674"/>
        <v>47883</v>
      </c>
      <c r="AJ5243" s="210">
        <f t="shared" ca="1" si="677"/>
        <v>4.1749999999999998</v>
      </c>
      <c r="AK5243" s="8">
        <f t="shared" ca="1" si="679"/>
        <v>1.0001159722222221</v>
      </c>
      <c r="AL5243" s="98">
        <f t="shared" ca="1" si="678"/>
        <v>4.2016340341758607</v>
      </c>
      <c r="AM5243" s="106">
        <f t="shared" ca="1" si="675"/>
        <v>40243.972034747625</v>
      </c>
      <c r="AN5243" s="10">
        <f t="shared" ca="1" si="676"/>
        <v>1.1315838193118655</v>
      </c>
      <c r="AO5243" s="158"/>
      <c r="AP5243" s="158"/>
    </row>
    <row r="5244" spans="34:42">
      <c r="AH5244" s="6">
        <f t="shared" si="673"/>
        <v>5214</v>
      </c>
      <c r="AI5244" s="7">
        <f t="shared" ca="1" si="674"/>
        <v>47884</v>
      </c>
      <c r="AJ5244" s="210">
        <f t="shared" ca="1" si="677"/>
        <v>4.1749999999999998</v>
      </c>
      <c r="AK5244" s="8">
        <f t="shared" ca="1" si="679"/>
        <v>1.0001159722222221</v>
      </c>
      <c r="AL5244" s="98">
        <f t="shared" ca="1" si="678"/>
        <v>4.2016574122335282</v>
      </c>
      <c r="AM5244" s="106">
        <f t="shared" ca="1" si="675"/>
        <v>40247.288197170019</v>
      </c>
      <c r="AN5244" s="10">
        <f t="shared" ca="1" si="676"/>
        <v>1.1316032119171204</v>
      </c>
      <c r="AO5244" s="158"/>
      <c r="AP5244" s="158"/>
    </row>
    <row r="5245" spans="34:42">
      <c r="AH5245" s="6">
        <f t="shared" si="673"/>
        <v>5215</v>
      </c>
      <c r="AI5245" s="7">
        <f t="shared" ca="1" si="674"/>
        <v>47885</v>
      </c>
      <c r="AJ5245" s="210">
        <f t="shared" ca="1" si="677"/>
        <v>4.1749999999999998</v>
      </c>
      <c r="AK5245" s="8">
        <f t="shared" ca="1" si="679"/>
        <v>1.0001159722222221</v>
      </c>
      <c r="AL5245" s="98">
        <f t="shared" ca="1" si="678"/>
        <v>4.2016807813307411</v>
      </c>
      <c r="AM5245" s="106">
        <f t="shared" ca="1" si="675"/>
        <v>40250.604632849077</v>
      </c>
      <c r="AN5245" s="10">
        <f t="shared" ca="1" si="676"/>
        <v>1.1316225970888549</v>
      </c>
      <c r="AO5245" s="158"/>
      <c r="AP5245" s="158"/>
    </row>
    <row r="5246" spans="34:42">
      <c r="AH5246" s="6">
        <f t="shared" si="673"/>
        <v>5216</v>
      </c>
      <c r="AI5246" s="7">
        <f t="shared" ca="1" si="674"/>
        <v>47886</v>
      </c>
      <c r="AJ5246" s="210">
        <f t="shared" ca="1" si="677"/>
        <v>4.1749999999999998</v>
      </c>
      <c r="AK5246" s="8">
        <f t="shared" ca="1" si="679"/>
        <v>1.0001159722222221</v>
      </c>
      <c r="AL5246" s="98">
        <f t="shared" ca="1" si="678"/>
        <v>4.2017041414726508</v>
      </c>
      <c r="AM5246" s="106">
        <f t="shared" ca="1" si="675"/>
        <v>40253.921341807298</v>
      </c>
      <c r="AN5246" s="10">
        <f t="shared" ca="1" si="676"/>
        <v>1.1316419748313322</v>
      </c>
      <c r="AO5246" s="158"/>
      <c r="AP5246" s="158"/>
    </row>
    <row r="5247" spans="34:42">
      <c r="AH5247" s="6">
        <f t="shared" si="673"/>
        <v>5217</v>
      </c>
      <c r="AI5247" s="7">
        <f t="shared" ca="1" si="674"/>
        <v>47887</v>
      </c>
      <c r="AJ5247" s="210">
        <f t="shared" ca="1" si="677"/>
        <v>4.1749999999999998</v>
      </c>
      <c r="AK5247" s="8">
        <f t="shared" ca="1" si="679"/>
        <v>1.0001159722222221</v>
      </c>
      <c r="AL5247" s="98">
        <f t="shared" ca="1" si="678"/>
        <v>4.2017274926644088</v>
      </c>
      <c r="AM5247" s="106">
        <f t="shared" ca="1" si="675"/>
        <v>40257.238324067213</v>
      </c>
      <c r="AN5247" s="10">
        <f t="shared" ca="1" si="676"/>
        <v>1.1316613451488378</v>
      </c>
      <c r="AO5247" s="158"/>
      <c r="AP5247" s="158"/>
    </row>
    <row r="5248" spans="34:42">
      <c r="AH5248" s="6">
        <f t="shared" si="673"/>
        <v>5218</v>
      </c>
      <c r="AI5248" s="7">
        <f t="shared" ca="1" si="674"/>
        <v>47888</v>
      </c>
      <c r="AJ5248" s="210">
        <f t="shared" ca="1" si="677"/>
        <v>4.1749999999999998</v>
      </c>
      <c r="AK5248" s="8">
        <f t="shared" ca="1" si="679"/>
        <v>1.0001159722222221</v>
      </c>
      <c r="AL5248" s="98">
        <f t="shared" ca="1" si="678"/>
        <v>4.2017508349111443</v>
      </c>
      <c r="AM5248" s="106">
        <f t="shared" ca="1" si="675"/>
        <v>40260.555579651336</v>
      </c>
      <c r="AN5248" s="10">
        <f t="shared" ca="1" si="676"/>
        <v>1.1316807080456348</v>
      </c>
      <c r="AO5248" s="158"/>
      <c r="AP5248" s="158"/>
    </row>
    <row r="5249" spans="34:42">
      <c r="AH5249" s="6">
        <f t="shared" si="673"/>
        <v>5219</v>
      </c>
      <c r="AI5249" s="7">
        <f t="shared" ca="1" si="674"/>
        <v>47889</v>
      </c>
      <c r="AJ5249" s="210">
        <f t="shared" ca="1" si="677"/>
        <v>4.1749999999999998</v>
      </c>
      <c r="AK5249" s="8">
        <f t="shared" ca="1" si="679"/>
        <v>1.0001159722222221</v>
      </c>
      <c r="AL5249" s="98">
        <f t="shared" ca="1" si="678"/>
        <v>4.2017741682180088</v>
      </c>
      <c r="AM5249" s="106">
        <f t="shared" ca="1" si="675"/>
        <v>40263.8731085822</v>
      </c>
      <c r="AN5249" s="10">
        <f t="shared" ca="1" si="676"/>
        <v>1.1317000635259644</v>
      </c>
      <c r="AO5249" s="158"/>
      <c r="AP5249" s="158"/>
    </row>
    <row r="5250" spans="34:42">
      <c r="AH5250" s="6">
        <f t="shared" si="673"/>
        <v>5220</v>
      </c>
      <c r="AI5250" s="7">
        <f t="shared" ca="1" si="674"/>
        <v>47890</v>
      </c>
      <c r="AJ5250" s="210">
        <f t="shared" ca="1" si="677"/>
        <v>4.1749999999999998</v>
      </c>
      <c r="AK5250" s="8">
        <f t="shared" ca="1" si="679"/>
        <v>1.0001159722222221</v>
      </c>
      <c r="AL5250" s="98">
        <f t="shared" ca="1" si="678"/>
        <v>4.2017974925901314</v>
      </c>
      <c r="AM5250" s="106">
        <f t="shared" ca="1" si="675"/>
        <v>40267.190910882324</v>
      </c>
      <c r="AN5250" s="10">
        <f t="shared" ca="1" si="676"/>
        <v>1.131719411594112</v>
      </c>
      <c r="AO5250" s="158"/>
      <c r="AP5250" s="158"/>
    </row>
    <row r="5251" spans="34:42">
      <c r="AH5251" s="6">
        <f t="shared" si="673"/>
        <v>5221</v>
      </c>
      <c r="AI5251" s="7">
        <f t="shared" ca="1" si="674"/>
        <v>47891</v>
      </c>
      <c r="AJ5251" s="210">
        <f t="shared" ca="1" si="677"/>
        <v>4.1749999999999998</v>
      </c>
      <c r="AK5251" s="8">
        <f t="shared" ca="1" si="679"/>
        <v>1.0001159722222221</v>
      </c>
      <c r="AL5251" s="98">
        <f t="shared" ca="1" si="678"/>
        <v>4.2018208080326414</v>
      </c>
      <c r="AM5251" s="106">
        <f t="shared" ca="1" si="675"/>
        <v>40270.508986574227</v>
      </c>
      <c r="AN5251" s="10">
        <f t="shared" ca="1" si="676"/>
        <v>1.131738752254341</v>
      </c>
      <c r="AO5251" s="158"/>
      <c r="AP5251" s="158"/>
    </row>
    <row r="5252" spans="34:42">
      <c r="AH5252" s="6">
        <f t="shared" si="673"/>
        <v>5222</v>
      </c>
      <c r="AI5252" s="7">
        <f t="shared" ca="1" si="674"/>
        <v>47892</v>
      </c>
      <c r="AJ5252" s="210">
        <f t="shared" ca="1" si="677"/>
        <v>4.1749999999999998</v>
      </c>
      <c r="AK5252" s="8">
        <f t="shared" ca="1" si="679"/>
        <v>1.0001159722222221</v>
      </c>
      <c r="AL5252" s="98">
        <f t="shared" ca="1" si="678"/>
        <v>4.201844114550668</v>
      </c>
      <c r="AM5252" s="106">
        <f t="shared" ca="1" si="675"/>
        <v>40273.827335680442</v>
      </c>
      <c r="AN5252" s="10">
        <f t="shared" ca="1" si="676"/>
        <v>1.1317580855108922</v>
      </c>
      <c r="AO5252" s="158"/>
      <c r="AP5252" s="158"/>
    </row>
    <row r="5253" spans="34:42">
      <c r="AH5253" s="6">
        <f t="shared" si="673"/>
        <v>5223</v>
      </c>
      <c r="AI5253" s="7">
        <f t="shared" ca="1" si="674"/>
        <v>47893</v>
      </c>
      <c r="AJ5253" s="210">
        <f t="shared" ca="1" si="677"/>
        <v>4.1749999999999998</v>
      </c>
      <c r="AK5253" s="8">
        <f t="shared" ca="1" si="679"/>
        <v>1.0001159722222221</v>
      </c>
      <c r="AL5253" s="98">
        <f t="shared" ca="1" si="678"/>
        <v>4.2018674121493405</v>
      </c>
      <c r="AM5253" s="106">
        <f t="shared" ca="1" si="675"/>
        <v>40277.145958223489</v>
      </c>
      <c r="AN5253" s="10">
        <f t="shared" ca="1" si="676"/>
        <v>1.1317774113680068</v>
      </c>
      <c r="AO5253" s="158"/>
      <c r="AP5253" s="158"/>
    </row>
    <row r="5254" spans="34:42">
      <c r="AH5254" s="6">
        <f t="shared" si="673"/>
        <v>5224</v>
      </c>
      <c r="AI5254" s="7">
        <f t="shared" ca="1" si="674"/>
        <v>47894</v>
      </c>
      <c r="AJ5254" s="210">
        <f t="shared" ca="1" si="677"/>
        <v>4.1749999999999998</v>
      </c>
      <c r="AK5254" s="8">
        <f t="shared" ca="1" si="679"/>
        <v>1.0001159722222221</v>
      </c>
      <c r="AL5254" s="98">
        <f t="shared" ca="1" si="678"/>
        <v>4.2018907008337658</v>
      </c>
      <c r="AM5254" s="106">
        <f t="shared" ca="1" si="675"/>
        <v>40280.464854225924</v>
      </c>
      <c r="AN5254" s="10">
        <f t="shared" ca="1" si="676"/>
        <v>1.1317967298299259</v>
      </c>
      <c r="AO5254" s="158"/>
      <c r="AP5254" s="158"/>
    </row>
    <row r="5255" spans="34:42">
      <c r="AH5255" s="6">
        <f t="shared" si="673"/>
        <v>5225</v>
      </c>
      <c r="AI5255" s="7">
        <f t="shared" ca="1" si="674"/>
        <v>47895</v>
      </c>
      <c r="AJ5255" s="210">
        <f t="shared" ca="1" si="677"/>
        <v>4.1749999999999998</v>
      </c>
      <c r="AK5255" s="8">
        <f t="shared" ca="1" si="679"/>
        <v>1.0001159722222221</v>
      </c>
      <c r="AL5255" s="98">
        <f t="shared" ca="1" si="678"/>
        <v>4.2019139806090511</v>
      </c>
      <c r="AM5255" s="106">
        <f t="shared" ca="1" si="675"/>
        <v>40283.784023710257</v>
      </c>
      <c r="AN5255" s="10">
        <f t="shared" ca="1" si="676"/>
        <v>1.1318160409009126</v>
      </c>
      <c r="AO5255" s="158"/>
      <c r="AP5255" s="158"/>
    </row>
    <row r="5256" spans="34:42">
      <c r="AH5256" s="6">
        <f t="shared" si="673"/>
        <v>5226</v>
      </c>
      <c r="AI5256" s="7">
        <f t="shared" ca="1" si="674"/>
        <v>47896</v>
      </c>
      <c r="AJ5256" s="210">
        <f t="shared" ca="1" si="677"/>
        <v>4.1749999999999998</v>
      </c>
      <c r="AK5256" s="8">
        <f t="shared" ca="1" si="679"/>
        <v>1.0001159722222221</v>
      </c>
      <c r="AL5256" s="98">
        <f t="shared" ca="1" si="678"/>
        <v>4.2019372514803255</v>
      </c>
      <c r="AM5256" s="106">
        <f t="shared" ca="1" si="675"/>
        <v>40287.103466699038</v>
      </c>
      <c r="AN5256" s="10">
        <f t="shared" ca="1" si="676"/>
        <v>1.1318353445851859</v>
      </c>
      <c r="AO5256" s="158"/>
      <c r="AP5256" s="158"/>
    </row>
    <row r="5257" spans="34:42">
      <c r="AH5257" s="6">
        <f t="shared" si="673"/>
        <v>5227</v>
      </c>
      <c r="AI5257" s="7">
        <f t="shared" ca="1" si="674"/>
        <v>47897</v>
      </c>
      <c r="AJ5257" s="210">
        <f t="shared" ca="1" si="677"/>
        <v>4.1749999999999998</v>
      </c>
      <c r="AK5257" s="8">
        <f t="shared" ca="1" si="679"/>
        <v>1.0001159722222221</v>
      </c>
      <c r="AL5257" s="98">
        <f t="shared" ca="1" si="678"/>
        <v>4.2019605134526961</v>
      </c>
      <c r="AM5257" s="106">
        <f t="shared" ca="1" si="675"/>
        <v>40290.4231832148</v>
      </c>
      <c r="AN5257" s="10">
        <f t="shared" ca="1" si="676"/>
        <v>1.1318546408870311</v>
      </c>
      <c r="AO5257" s="158"/>
      <c r="AP5257" s="158"/>
    </row>
    <row r="5258" spans="34:42">
      <c r="AH5258" s="6">
        <f t="shared" si="673"/>
        <v>5228</v>
      </c>
      <c r="AI5258" s="7">
        <f t="shared" ca="1" si="674"/>
        <v>47898</v>
      </c>
      <c r="AJ5258" s="210">
        <f t="shared" ca="1" si="677"/>
        <v>4.1749999999999998</v>
      </c>
      <c r="AK5258" s="8">
        <f t="shared" ca="1" si="679"/>
        <v>1.0001159722222221</v>
      </c>
      <c r="AL5258" s="98">
        <f t="shared" ca="1" si="678"/>
        <v>4.2019837665312698</v>
      </c>
      <c r="AM5258" s="106">
        <f t="shared" ca="1" si="675"/>
        <v>40293.743173280069</v>
      </c>
      <c r="AN5258" s="10">
        <f t="shared" ca="1" si="676"/>
        <v>1.1318739298106451</v>
      </c>
      <c r="AO5258" s="158"/>
      <c r="AP5258" s="158"/>
    </row>
    <row r="5259" spans="34:42">
      <c r="AH5259" s="6">
        <f t="shared" si="673"/>
        <v>5229</v>
      </c>
      <c r="AI5259" s="7">
        <f t="shared" ca="1" si="674"/>
        <v>47899</v>
      </c>
      <c r="AJ5259" s="210">
        <f t="shared" ca="1" si="677"/>
        <v>4.1749999999999998</v>
      </c>
      <c r="AK5259" s="8">
        <f t="shared" ca="1" si="679"/>
        <v>1.0001159722222221</v>
      </c>
      <c r="AL5259" s="98">
        <f t="shared" ca="1" si="678"/>
        <v>4.2020070107211316</v>
      </c>
      <c r="AM5259" s="106">
        <f t="shared" ca="1" si="675"/>
        <v>40297.063436917408</v>
      </c>
      <c r="AN5259" s="10">
        <f t="shared" ca="1" si="676"/>
        <v>1.1318932113602465</v>
      </c>
      <c r="AO5259" s="158"/>
      <c r="AP5259" s="158"/>
    </row>
    <row r="5260" spans="34:42">
      <c r="AH5260" s="6">
        <f t="shared" si="673"/>
        <v>5230</v>
      </c>
      <c r="AI5260" s="7">
        <f t="shared" ca="1" si="674"/>
        <v>47900</v>
      </c>
      <c r="AJ5260" s="210">
        <f t="shared" ca="1" si="677"/>
        <v>4.1749999999999998</v>
      </c>
      <c r="AK5260" s="8">
        <f t="shared" ca="1" si="679"/>
        <v>1.0001159722222221</v>
      </c>
      <c r="AL5260" s="98">
        <f t="shared" ca="1" si="678"/>
        <v>4.2020302460273884</v>
      </c>
      <c r="AM5260" s="106">
        <f t="shared" ca="1" si="675"/>
        <v>40300.383974149343</v>
      </c>
      <c r="AN5260" s="10">
        <f t="shared" ca="1" si="676"/>
        <v>1.1319124855400986</v>
      </c>
      <c r="AO5260" s="158"/>
      <c r="AP5260" s="158"/>
    </row>
    <row r="5261" spans="34:42">
      <c r="AH5261" s="6">
        <f t="shared" si="673"/>
        <v>5231</v>
      </c>
      <c r="AI5261" s="7">
        <f t="shared" ca="1" si="674"/>
        <v>47901</v>
      </c>
      <c r="AJ5261" s="210">
        <f t="shared" ca="1" si="677"/>
        <v>4.1749999999999998</v>
      </c>
      <c r="AK5261" s="8">
        <f t="shared" ca="1" si="679"/>
        <v>1.0001159722222221</v>
      </c>
      <c r="AL5261" s="98">
        <f t="shared" ca="1" si="678"/>
        <v>4.2020534724551251</v>
      </c>
      <c r="AM5261" s="106">
        <f t="shared" ca="1" si="675"/>
        <v>40303.704784998423</v>
      </c>
      <c r="AN5261" s="10">
        <f t="shared" ca="1" si="676"/>
        <v>1.1319317523543981</v>
      </c>
      <c r="AO5261" s="158"/>
      <c r="AP5261" s="158"/>
    </row>
    <row r="5262" spans="34:42">
      <c r="AH5262" s="6">
        <f t="shared" si="673"/>
        <v>5232</v>
      </c>
      <c r="AI5262" s="7">
        <f t="shared" ca="1" si="674"/>
        <v>47902</v>
      </c>
      <c r="AJ5262" s="210">
        <f t="shared" ca="1" si="677"/>
        <v>4.1749999999999998</v>
      </c>
      <c r="AK5262" s="8">
        <f t="shared" ca="1" si="679"/>
        <v>1.0001159722222221</v>
      </c>
      <c r="AL5262" s="98">
        <f t="shared" ca="1" si="678"/>
        <v>4.2020766900094264</v>
      </c>
      <c r="AM5262" s="106">
        <f t="shared" ca="1" si="675"/>
        <v>40307.025869487203</v>
      </c>
      <c r="AN5262" s="10">
        <f t="shared" ca="1" si="676"/>
        <v>1.1319510118073639</v>
      </c>
      <c r="AO5262" s="158"/>
      <c r="AP5262" s="158"/>
    </row>
    <row r="5263" spans="34:42">
      <c r="AH5263" s="6">
        <f t="shared" si="673"/>
        <v>5233</v>
      </c>
      <c r="AI5263" s="7">
        <f t="shared" ca="1" si="674"/>
        <v>47903</v>
      </c>
      <c r="AJ5263" s="210">
        <f t="shared" ca="1" si="677"/>
        <v>4.1749999999999998</v>
      </c>
      <c r="AK5263" s="8">
        <f t="shared" ca="1" si="679"/>
        <v>1.0001159722222221</v>
      </c>
      <c r="AL5263" s="98">
        <f t="shared" ca="1" si="678"/>
        <v>4.2020998986953773</v>
      </c>
      <c r="AM5263" s="106">
        <f t="shared" ca="1" si="675"/>
        <v>40310.347227638216</v>
      </c>
      <c r="AN5263" s="10">
        <f t="shared" ca="1" si="676"/>
        <v>1.131970263903237</v>
      </c>
      <c r="AO5263" s="158"/>
      <c r="AP5263" s="158"/>
    </row>
    <row r="5264" spans="34:42">
      <c r="AH5264" s="6">
        <f t="shared" si="673"/>
        <v>5234</v>
      </c>
      <c r="AI5264" s="7">
        <f t="shared" ca="1" si="674"/>
        <v>47904</v>
      </c>
      <c r="AJ5264" s="210">
        <f t="shared" ca="1" si="677"/>
        <v>4.1749999999999998</v>
      </c>
      <c r="AK5264" s="8">
        <f t="shared" ca="1" si="679"/>
        <v>1.0001159722222221</v>
      </c>
      <c r="AL5264" s="98">
        <f t="shared" ca="1" si="678"/>
        <v>4.2021230985180624</v>
      </c>
      <c r="AM5264" s="106">
        <f t="shared" ca="1" si="675"/>
        <v>40313.668859474034</v>
      </c>
      <c r="AN5264" s="10">
        <f t="shared" ca="1" si="676"/>
        <v>1.1319895086462139</v>
      </c>
      <c r="AO5264" s="158"/>
      <c r="AP5264" s="158"/>
    </row>
    <row r="5265" spans="34:42">
      <c r="AH5265" s="6">
        <f t="shared" si="673"/>
        <v>5235</v>
      </c>
      <c r="AI5265" s="7">
        <f t="shared" ca="1" si="674"/>
        <v>47905</v>
      </c>
      <c r="AJ5265" s="210">
        <f t="shared" ca="1" si="677"/>
        <v>4.1749999999999998</v>
      </c>
      <c r="AK5265" s="8">
        <f t="shared" ca="1" si="679"/>
        <v>1.0001159722222221</v>
      </c>
      <c r="AL5265" s="98">
        <f t="shared" ca="1" si="678"/>
        <v>4.2021462894825667</v>
      </c>
      <c r="AM5265" s="106">
        <f t="shared" ca="1" si="675"/>
        <v>40316.990765017181</v>
      </c>
      <c r="AN5265" s="10">
        <f t="shared" ca="1" si="676"/>
        <v>1.1320087460405137</v>
      </c>
      <c r="AO5265" s="158"/>
      <c r="AP5265" s="158"/>
    </row>
    <row r="5266" spans="34:42">
      <c r="AH5266" s="6">
        <f t="shared" si="673"/>
        <v>5236</v>
      </c>
      <c r="AI5266" s="7">
        <f t="shared" ca="1" si="674"/>
        <v>47906</v>
      </c>
      <c r="AJ5266" s="210">
        <f t="shared" ca="1" si="677"/>
        <v>4.1749999999999998</v>
      </c>
      <c r="AK5266" s="8">
        <f t="shared" ca="1" si="679"/>
        <v>1.0001159722222221</v>
      </c>
      <c r="AL5266" s="98">
        <f t="shared" ca="1" si="678"/>
        <v>4.2021694715939528</v>
      </c>
      <c r="AM5266" s="106">
        <f t="shared" ca="1" si="675"/>
        <v>40320.312944290235</v>
      </c>
      <c r="AN5266" s="10">
        <f t="shared" ca="1" si="676"/>
        <v>1.1320279760903551</v>
      </c>
      <c r="AO5266" s="158"/>
      <c r="AP5266" s="158"/>
    </row>
    <row r="5267" spans="34:42">
      <c r="AH5267" s="6">
        <f t="shared" si="673"/>
        <v>5237</v>
      </c>
      <c r="AI5267" s="7">
        <f t="shared" ca="1" si="674"/>
        <v>47907</v>
      </c>
      <c r="AJ5267" s="210">
        <f t="shared" ca="1" si="677"/>
        <v>4.1749999999999998</v>
      </c>
      <c r="AK5267" s="8">
        <f t="shared" ca="1" si="679"/>
        <v>1.0001159722222221</v>
      </c>
      <c r="AL5267" s="98">
        <f t="shared" ca="1" si="678"/>
        <v>4.2021926448572833</v>
      </c>
      <c r="AM5267" s="106">
        <f t="shared" ca="1" si="675"/>
        <v>40323.635397315738</v>
      </c>
      <c r="AN5267" s="10">
        <f t="shared" ca="1" si="676"/>
        <v>1.1320471987999348</v>
      </c>
      <c r="AO5267" s="158"/>
      <c r="AP5267" s="158"/>
    </row>
    <row r="5268" spans="34:42">
      <c r="AH5268" s="6">
        <f t="shared" ref="AH5268:AH5291" si="680">$AI$29+AH5267</f>
        <v>5238</v>
      </c>
      <c r="AI5268" s="7">
        <f t="shared" ref="AI5268:AI5291" ca="1" si="681">+AH5268+$C$1</f>
        <v>47908</v>
      </c>
      <c r="AJ5268" s="210">
        <f t="shared" ca="1" si="677"/>
        <v>4.1749999999999998</v>
      </c>
      <c r="AK5268" s="8">
        <f t="shared" ca="1" si="679"/>
        <v>1.0001159722222221</v>
      </c>
      <c r="AL5268" s="98">
        <f t="shared" ca="1" si="678"/>
        <v>4.2022158092776429</v>
      </c>
      <c r="AM5268" s="106">
        <f t="shared" ca="1" si="675"/>
        <v>40326.958124116252</v>
      </c>
      <c r="AN5268" s="10">
        <f t="shared" ca="1" si="676"/>
        <v>1.1320664141734493</v>
      </c>
      <c r="AO5268" s="158"/>
      <c r="AP5268" s="158"/>
    </row>
    <row r="5269" spans="34:42">
      <c r="AH5269" s="6">
        <f t="shared" si="680"/>
        <v>5239</v>
      </c>
      <c r="AI5269" s="7">
        <f t="shared" ca="1" si="681"/>
        <v>47909</v>
      </c>
      <c r="AJ5269" s="210">
        <f t="shared" ca="1" si="677"/>
        <v>4.1749999999999998</v>
      </c>
      <c r="AK5269" s="8">
        <f t="shared" ca="1" si="679"/>
        <v>1.0001159722222221</v>
      </c>
      <c r="AL5269" s="98">
        <f t="shared" ca="1" si="678"/>
        <v>4.2022389648600722</v>
      </c>
      <c r="AM5269" s="106">
        <f t="shared" ca="1" si="675"/>
        <v>40330.28112471434</v>
      </c>
      <c r="AN5269" s="10">
        <f t="shared" ca="1" si="676"/>
        <v>1.1320856222150955</v>
      </c>
      <c r="AO5269" s="158"/>
      <c r="AP5269" s="158"/>
    </row>
    <row r="5270" spans="34:42">
      <c r="AH5270" s="6">
        <f t="shared" si="680"/>
        <v>5240</v>
      </c>
      <c r="AI5270" s="7">
        <f t="shared" ca="1" si="681"/>
        <v>47910</v>
      </c>
      <c r="AJ5270" s="210">
        <f t="shared" ca="1" si="677"/>
        <v>4.1749999999999998</v>
      </c>
      <c r="AK5270" s="8">
        <f t="shared" ca="1" si="679"/>
        <v>1.0001159722222221</v>
      </c>
      <c r="AL5270" s="98">
        <f t="shared" ca="1" si="678"/>
        <v>4.2022621116096337</v>
      </c>
      <c r="AM5270" s="106">
        <f t="shared" ca="1" si="675"/>
        <v>40333.60439913255</v>
      </c>
      <c r="AN5270" s="10">
        <f t="shared" ca="1" si="676"/>
        <v>1.1321048229290698</v>
      </c>
      <c r="AO5270" s="158"/>
      <c r="AP5270" s="158"/>
    </row>
    <row r="5271" spans="34:42">
      <c r="AH5271" s="6">
        <f t="shared" si="680"/>
        <v>5241</v>
      </c>
      <c r="AI5271" s="7">
        <f t="shared" ca="1" si="681"/>
        <v>47911</v>
      </c>
      <c r="AJ5271" s="210">
        <f t="shared" ca="1" si="677"/>
        <v>4.1749999999999998</v>
      </c>
      <c r="AK5271" s="8">
        <f t="shared" ca="1" si="679"/>
        <v>1.0001159722222221</v>
      </c>
      <c r="AL5271" s="98">
        <f t="shared" ca="1" si="678"/>
        <v>4.20228524953139</v>
      </c>
      <c r="AM5271" s="106">
        <f t="shared" ca="1" si="675"/>
        <v>40336.927947393466</v>
      </c>
      <c r="AN5271" s="10">
        <f t="shared" ca="1" si="676"/>
        <v>1.1321240163195689</v>
      </c>
      <c r="AO5271" s="158"/>
      <c r="AP5271" s="158"/>
    </row>
    <row r="5272" spans="34:42">
      <c r="AH5272" s="6">
        <f t="shared" si="680"/>
        <v>5242</v>
      </c>
      <c r="AI5272" s="7">
        <f t="shared" ca="1" si="681"/>
        <v>47912</v>
      </c>
      <c r="AJ5272" s="210">
        <f t="shared" ca="1" si="677"/>
        <v>4.1749999999999998</v>
      </c>
      <c r="AK5272" s="8">
        <f t="shared" ca="1" si="679"/>
        <v>1.0001159722222221</v>
      </c>
      <c r="AL5272" s="98">
        <f t="shared" ca="1" si="678"/>
        <v>4.2023083786303816</v>
      </c>
      <c r="AM5272" s="106">
        <f t="shared" ca="1" si="675"/>
        <v>40340.251769519629</v>
      </c>
      <c r="AN5272" s="10">
        <f t="shared" ca="1" si="676"/>
        <v>1.1321432023908118</v>
      </c>
      <c r="AO5272" s="158"/>
      <c r="AP5272" s="158"/>
    </row>
    <row r="5273" spans="34:42">
      <c r="AH5273" s="6">
        <f t="shared" si="680"/>
        <v>5243</v>
      </c>
      <c r="AI5273" s="7">
        <f t="shared" ca="1" si="681"/>
        <v>47913</v>
      </c>
      <c r="AJ5273" s="210">
        <f t="shared" ca="1" si="677"/>
        <v>4.1749999999999998</v>
      </c>
      <c r="AK5273" s="8">
        <f t="shared" ca="1" si="679"/>
        <v>1.0001159722222221</v>
      </c>
      <c r="AL5273" s="98">
        <f t="shared" ca="1" si="678"/>
        <v>4.2023314989116489</v>
      </c>
      <c r="AM5273" s="106">
        <f t="shared" ca="1" si="675"/>
        <v>40343.575865533625</v>
      </c>
      <c r="AN5273" s="10">
        <f t="shared" ca="1" si="676"/>
        <v>1.1321623811469284</v>
      </c>
      <c r="AO5273" s="158"/>
      <c r="AP5273" s="158"/>
    </row>
    <row r="5274" spans="34:42">
      <c r="AH5274" s="6">
        <f t="shared" si="680"/>
        <v>5244</v>
      </c>
      <c r="AI5274" s="7">
        <f t="shared" ca="1" si="681"/>
        <v>47914</v>
      </c>
      <c r="AJ5274" s="210">
        <f t="shared" ca="1" si="677"/>
        <v>4.1749999999999998</v>
      </c>
      <c r="AK5274" s="8">
        <f t="shared" ca="1" si="679"/>
        <v>1.0001159722222221</v>
      </c>
      <c r="AL5274" s="98">
        <f t="shared" ca="1" si="678"/>
        <v>4.2023546103802323</v>
      </c>
      <c r="AM5274" s="106">
        <f t="shared" ca="1" si="675"/>
        <v>40346.900235458015</v>
      </c>
      <c r="AN5274" s="10">
        <f t="shared" ca="1" si="676"/>
        <v>1.1321815525921153</v>
      </c>
      <c r="AO5274" s="158"/>
      <c r="AP5274" s="158"/>
    </row>
    <row r="5275" spans="34:42">
      <c r="AH5275" s="6">
        <f t="shared" si="680"/>
        <v>5245</v>
      </c>
      <c r="AI5275" s="7">
        <f t="shared" ca="1" si="681"/>
        <v>47915</v>
      </c>
      <c r="AJ5275" s="210">
        <f t="shared" ca="1" si="677"/>
        <v>4.1749999999999998</v>
      </c>
      <c r="AK5275" s="8">
        <f t="shared" ca="1" si="679"/>
        <v>1.0001159722222221</v>
      </c>
      <c r="AL5275" s="98">
        <f t="shared" ca="1" si="678"/>
        <v>4.2023777130411943</v>
      </c>
      <c r="AM5275" s="106">
        <f t="shared" ca="1" si="675"/>
        <v>40350.22487931537</v>
      </c>
      <c r="AN5275" s="10">
        <f t="shared" ca="1" si="676"/>
        <v>1.1322007167305914</v>
      </c>
      <c r="AO5275" s="158"/>
      <c r="AP5275" s="158"/>
    </row>
    <row r="5276" spans="34:42">
      <c r="AH5276" s="6">
        <f t="shared" si="680"/>
        <v>5246</v>
      </c>
      <c r="AI5276" s="7">
        <f t="shared" ca="1" si="681"/>
        <v>47916</v>
      </c>
      <c r="AJ5276" s="210">
        <f t="shared" ca="1" si="677"/>
        <v>4.1749999999999998</v>
      </c>
      <c r="AK5276" s="8">
        <f t="shared" ca="1" si="679"/>
        <v>1.0001159722222221</v>
      </c>
      <c r="AL5276" s="98">
        <f t="shared" ca="1" si="678"/>
        <v>4.2024008068995311</v>
      </c>
      <c r="AM5276" s="106">
        <f t="shared" ca="1" si="675"/>
        <v>40353.549797128268</v>
      </c>
      <c r="AN5276" s="10">
        <f t="shared" ca="1" si="676"/>
        <v>1.1322198735664868</v>
      </c>
      <c r="AO5276" s="158"/>
      <c r="AP5276" s="158"/>
    </row>
    <row r="5277" spans="34:42">
      <c r="AH5277" s="6">
        <f t="shared" si="680"/>
        <v>5247</v>
      </c>
      <c r="AI5277" s="7">
        <f t="shared" ca="1" si="681"/>
        <v>47917</v>
      </c>
      <c r="AJ5277" s="210">
        <f t="shared" ca="1" si="677"/>
        <v>4.1749999999999998</v>
      </c>
      <c r="AK5277" s="8">
        <f t="shared" ca="1" si="679"/>
        <v>1.0001159722222221</v>
      </c>
      <c r="AL5277" s="98">
        <f t="shared" ca="1" si="678"/>
        <v>4.2024238919603052</v>
      </c>
      <c r="AM5277" s="106">
        <f t="shared" ca="1" si="675"/>
        <v>40356.874988919277</v>
      </c>
      <c r="AN5277" s="10">
        <f t="shared" ca="1" si="676"/>
        <v>1.132239023103998</v>
      </c>
      <c r="AO5277" s="158"/>
      <c r="AP5277" s="158"/>
    </row>
    <row r="5278" spans="34:42">
      <c r="AH5278" s="6">
        <f t="shared" si="680"/>
        <v>5248</v>
      </c>
      <c r="AI5278" s="7">
        <f t="shared" ca="1" si="681"/>
        <v>47918</v>
      </c>
      <c r="AJ5278" s="210">
        <f t="shared" ca="1" si="677"/>
        <v>4.1749999999999998</v>
      </c>
      <c r="AK5278" s="8">
        <f t="shared" ca="1" si="679"/>
        <v>1.0001159722222221</v>
      </c>
      <c r="AL5278" s="98">
        <f t="shared" ca="1" si="678"/>
        <v>4.2024469682285348</v>
      </c>
      <c r="AM5278" s="106">
        <f t="shared" ca="1" si="675"/>
        <v>40360.200454710975</v>
      </c>
      <c r="AN5278" s="10">
        <f t="shared" ca="1" si="676"/>
        <v>1.1322581653472996</v>
      </c>
      <c r="AO5278" s="158"/>
      <c r="AP5278" s="158"/>
    </row>
    <row r="5279" spans="34:42">
      <c r="AH5279" s="6">
        <f t="shared" si="680"/>
        <v>5249</v>
      </c>
      <c r="AI5279" s="7">
        <f t="shared" ca="1" si="681"/>
        <v>47919</v>
      </c>
      <c r="AJ5279" s="210">
        <f t="shared" ca="1" si="677"/>
        <v>4.1749999999999998</v>
      </c>
      <c r="AK5279" s="8">
        <f t="shared" ca="1" si="679"/>
        <v>1.0001159722222221</v>
      </c>
      <c r="AL5279" s="98">
        <f t="shared" ca="1" si="678"/>
        <v>4.2024700357092382</v>
      </c>
      <c r="AM5279" s="106">
        <f t="shared" ref="AM5279:AM5342" ca="1" si="682">Geom_Interp(AI5279,$AZ$2:$AZ$109,$BA$2:$BA$109)</f>
        <v>40363.526194525941</v>
      </c>
      <c r="AN5279" s="10">
        <f t="shared" ref="AN5279:AN5342" ca="1" si="683">100*(((1+AL5279/100)^(AH5279/365)*$AM$29/AM5279)^(365/AH5279)-1)</f>
        <v>1.1322773003005437</v>
      </c>
      <c r="AO5279" s="158"/>
      <c r="AP5279" s="158"/>
    </row>
    <row r="5280" spans="34:42">
      <c r="AH5280" s="6">
        <f t="shared" si="680"/>
        <v>5250</v>
      </c>
      <c r="AI5280" s="7">
        <f t="shared" ca="1" si="681"/>
        <v>47920</v>
      </c>
      <c r="AJ5280" s="210">
        <f t="shared" ref="AJ5280:AJ5343" ca="1" si="684">IF(AH5280&lt;365,VLOOKUP(LOOKUP(AI5280,$AI$2:$AI$23),$AI$2:$AK$23,3,0),Lin_Interp(AH5280,$AJ$2:$AJ$23,$AK$2:$AK$23))</f>
        <v>4.1749999999999998</v>
      </c>
      <c r="AK5280" s="8">
        <f t="shared" ca="1" si="679"/>
        <v>1.0001159722222221</v>
      </c>
      <c r="AL5280" s="98">
        <f t="shared" ca="1" si="678"/>
        <v>4.2024930944074335</v>
      </c>
      <c r="AM5280" s="106">
        <f t="shared" ca="1" si="682"/>
        <v>40366.85220838675</v>
      </c>
      <c r="AN5280" s="10">
        <f t="shared" ca="1" si="683"/>
        <v>1.1322964279679049</v>
      </c>
      <c r="AO5280" s="158"/>
      <c r="AP5280" s="158"/>
    </row>
    <row r="5281" spans="34:42">
      <c r="AH5281" s="6">
        <f t="shared" si="680"/>
        <v>5251</v>
      </c>
      <c r="AI5281" s="7">
        <f t="shared" ca="1" si="681"/>
        <v>47921</v>
      </c>
      <c r="AJ5281" s="210">
        <f t="shared" ca="1" si="684"/>
        <v>4.1749999999999998</v>
      </c>
      <c r="AK5281" s="8">
        <f t="shared" ca="1" si="679"/>
        <v>1.0001159722222221</v>
      </c>
      <c r="AL5281" s="98">
        <f t="shared" ref="AL5281:AL5344" ca="1" si="685">100*(((1+AL5280/100)^(AH5280/365)*AK5281)^(365/AH5281)-1)</f>
        <v>4.2025161443281389</v>
      </c>
      <c r="AM5281" s="106">
        <f t="shared" ca="1" si="682"/>
        <v>40370.178496315995</v>
      </c>
      <c r="AN5281" s="10">
        <f t="shared" ca="1" si="683"/>
        <v>1.1323155483535574</v>
      </c>
      <c r="AO5281" s="158"/>
      <c r="AP5281" s="158"/>
    </row>
    <row r="5282" spans="34:42">
      <c r="AH5282" s="6">
        <f t="shared" si="680"/>
        <v>5252</v>
      </c>
      <c r="AI5282" s="7">
        <f t="shared" ca="1" si="681"/>
        <v>47922</v>
      </c>
      <c r="AJ5282" s="210">
        <f t="shared" ca="1" si="684"/>
        <v>4.1749999999999998</v>
      </c>
      <c r="AK5282" s="8">
        <f t="shared" ca="1" si="679"/>
        <v>1.0001159722222221</v>
      </c>
      <c r="AL5282" s="98">
        <f t="shared" ca="1" si="685"/>
        <v>4.2025391854763505</v>
      </c>
      <c r="AM5282" s="106">
        <f t="shared" ca="1" si="682"/>
        <v>40373.505058336246</v>
      </c>
      <c r="AN5282" s="10">
        <f t="shared" ca="1" si="683"/>
        <v>1.1323346614616092</v>
      </c>
      <c r="AO5282" s="158"/>
      <c r="AP5282" s="158"/>
    </row>
    <row r="5283" spans="34:42">
      <c r="AH5283" s="6">
        <f t="shared" si="680"/>
        <v>5253</v>
      </c>
      <c r="AI5283" s="7">
        <f t="shared" ca="1" si="681"/>
        <v>47923</v>
      </c>
      <c r="AJ5283" s="210">
        <f t="shared" ca="1" si="684"/>
        <v>4.1749999999999998</v>
      </c>
      <c r="AK5283" s="8">
        <f t="shared" ca="1" si="679"/>
        <v>1.0001159722222221</v>
      </c>
      <c r="AL5283" s="98">
        <f t="shared" ca="1" si="685"/>
        <v>4.2025622178570865</v>
      </c>
      <c r="AM5283" s="106">
        <f t="shared" ca="1" si="682"/>
        <v>40376.831894470095</v>
      </c>
      <c r="AN5283" s="10">
        <f t="shared" ca="1" si="683"/>
        <v>1.1323537672962569</v>
      </c>
      <c r="AO5283" s="158"/>
      <c r="AP5283" s="158"/>
    </row>
    <row r="5284" spans="34:42">
      <c r="AH5284" s="6">
        <f t="shared" si="680"/>
        <v>5254</v>
      </c>
      <c r="AI5284" s="7">
        <f t="shared" ca="1" si="681"/>
        <v>47924</v>
      </c>
      <c r="AJ5284" s="210">
        <f t="shared" ca="1" si="684"/>
        <v>4.1749999999999998</v>
      </c>
      <c r="AK5284" s="8">
        <f t="shared" ref="AK5284:AK5347" ca="1" si="686">+(1+AJ5284/36000)</f>
        <v>1.0001159722222221</v>
      </c>
      <c r="AL5284" s="98">
        <f t="shared" ca="1" si="685"/>
        <v>4.2025852414753428</v>
      </c>
      <c r="AM5284" s="106">
        <f t="shared" ca="1" si="682"/>
        <v>40380.159004740133</v>
      </c>
      <c r="AN5284" s="10">
        <f t="shared" ca="1" si="683"/>
        <v>1.1323728658616306</v>
      </c>
      <c r="AO5284" s="158"/>
      <c r="AP5284" s="158"/>
    </row>
    <row r="5285" spans="34:42">
      <c r="AH5285" s="6">
        <f t="shared" si="680"/>
        <v>5255</v>
      </c>
      <c r="AI5285" s="7">
        <f t="shared" ca="1" si="681"/>
        <v>47925</v>
      </c>
      <c r="AJ5285" s="210">
        <f t="shared" ca="1" si="684"/>
        <v>4.1749999999999998</v>
      </c>
      <c r="AK5285" s="8">
        <f t="shared" ca="1" si="686"/>
        <v>1.0001159722222221</v>
      </c>
      <c r="AL5285" s="98">
        <f t="shared" ca="1" si="685"/>
        <v>4.2026082563361378</v>
      </c>
      <c r="AM5285" s="106">
        <f t="shared" ca="1" si="682"/>
        <v>40383.486389168938</v>
      </c>
      <c r="AN5285" s="10">
        <f t="shared" ca="1" si="683"/>
        <v>1.1323919571618823</v>
      </c>
      <c r="AO5285" s="158"/>
      <c r="AP5285" s="158"/>
    </row>
    <row r="5286" spans="34:42">
      <c r="AH5286" s="6">
        <f t="shared" si="680"/>
        <v>5256</v>
      </c>
      <c r="AI5286" s="7">
        <f t="shared" ca="1" si="681"/>
        <v>47926</v>
      </c>
      <c r="AJ5286" s="210">
        <f t="shared" ca="1" si="684"/>
        <v>4.1749999999999998</v>
      </c>
      <c r="AK5286" s="8">
        <f t="shared" ca="1" si="686"/>
        <v>1.0001159722222221</v>
      </c>
      <c r="AL5286" s="98">
        <f t="shared" ca="1" si="685"/>
        <v>4.2026312624444451</v>
      </c>
      <c r="AM5286" s="106">
        <f t="shared" ca="1" si="682"/>
        <v>40386.814047779117</v>
      </c>
      <c r="AN5286" s="10">
        <f t="shared" ca="1" si="683"/>
        <v>1.1324110412011645</v>
      </c>
      <c r="AO5286" s="158"/>
      <c r="AP5286" s="158"/>
    </row>
    <row r="5287" spans="34:42">
      <c r="AH5287" s="6">
        <f t="shared" si="680"/>
        <v>5257</v>
      </c>
      <c r="AI5287" s="7">
        <f t="shared" ca="1" si="681"/>
        <v>47927</v>
      </c>
      <c r="AJ5287" s="210">
        <f t="shared" ca="1" si="684"/>
        <v>4.1749999999999998</v>
      </c>
      <c r="AK5287" s="8">
        <f t="shared" ca="1" si="686"/>
        <v>1.0001159722222221</v>
      </c>
      <c r="AL5287" s="98">
        <f t="shared" ca="1" si="685"/>
        <v>4.202654259805283</v>
      </c>
      <c r="AM5287" s="106">
        <f t="shared" ca="1" si="682"/>
        <v>40390.141980593253</v>
      </c>
      <c r="AN5287" s="10">
        <f t="shared" ca="1" si="683"/>
        <v>1.1324301179836294</v>
      </c>
      <c r="AO5287" s="158"/>
      <c r="AP5287" s="158"/>
    </row>
    <row r="5288" spans="34:42">
      <c r="AH5288" s="6">
        <f t="shared" si="680"/>
        <v>5258</v>
      </c>
      <c r="AI5288" s="7">
        <f t="shared" ca="1" si="681"/>
        <v>47928</v>
      </c>
      <c r="AJ5288" s="210">
        <f t="shared" ca="1" si="684"/>
        <v>4.1749999999999998</v>
      </c>
      <c r="AK5288" s="8">
        <f t="shared" ca="1" si="686"/>
        <v>1.0001159722222221</v>
      </c>
      <c r="AL5288" s="98">
        <f t="shared" ca="1" si="685"/>
        <v>4.2026772484236252</v>
      </c>
      <c r="AM5288" s="106">
        <f t="shared" ca="1" si="682"/>
        <v>40393.470187633939</v>
      </c>
      <c r="AN5288" s="10">
        <f t="shared" ca="1" si="683"/>
        <v>1.132449187513429</v>
      </c>
      <c r="AO5288" s="158"/>
      <c r="AP5288" s="158"/>
    </row>
    <row r="5289" spans="34:42">
      <c r="AH5289" s="6">
        <f t="shared" si="680"/>
        <v>5259</v>
      </c>
      <c r="AI5289" s="7">
        <f t="shared" ca="1" si="681"/>
        <v>47929</v>
      </c>
      <c r="AJ5289" s="210">
        <f t="shared" ca="1" si="684"/>
        <v>4.1749999999999998</v>
      </c>
      <c r="AK5289" s="8">
        <f t="shared" ca="1" si="686"/>
        <v>1.0001159722222221</v>
      </c>
      <c r="AL5289" s="98">
        <f t="shared" ca="1" si="685"/>
        <v>4.2027002283044457</v>
      </c>
      <c r="AM5289" s="106">
        <f t="shared" ca="1" si="682"/>
        <v>40396.798668923773</v>
      </c>
      <c r="AN5289" s="10">
        <f t="shared" ca="1" si="683"/>
        <v>1.132468249794627</v>
      </c>
      <c r="AO5289" s="158"/>
      <c r="AP5289" s="158"/>
    </row>
    <row r="5290" spans="34:42">
      <c r="AH5290" s="6">
        <f t="shared" si="680"/>
        <v>5260</v>
      </c>
      <c r="AI5290" s="7">
        <f t="shared" ca="1" si="681"/>
        <v>47930</v>
      </c>
      <c r="AJ5290" s="210">
        <f t="shared" ca="1" si="684"/>
        <v>4.1749999999999998</v>
      </c>
      <c r="AK5290" s="8">
        <f t="shared" ca="1" si="686"/>
        <v>1.0001159722222221</v>
      </c>
      <c r="AL5290" s="98">
        <f t="shared" ca="1" si="685"/>
        <v>4.2027231994527403</v>
      </c>
      <c r="AM5290" s="106">
        <f t="shared" ca="1" si="682"/>
        <v>40400.127424485363</v>
      </c>
      <c r="AN5290" s="10">
        <f t="shared" ca="1" si="683"/>
        <v>1.1324873048314199</v>
      </c>
      <c r="AO5290" s="158"/>
      <c r="AP5290" s="158"/>
    </row>
    <row r="5291" spans="34:42">
      <c r="AH5291" s="6">
        <f t="shared" si="680"/>
        <v>5261</v>
      </c>
      <c r="AI5291" s="7">
        <f t="shared" ca="1" si="681"/>
        <v>47931</v>
      </c>
      <c r="AJ5291" s="210">
        <f t="shared" ca="1" si="684"/>
        <v>4.1749999999999998</v>
      </c>
      <c r="AK5291" s="8">
        <f t="shared" ca="1" si="686"/>
        <v>1.0001159722222221</v>
      </c>
      <c r="AL5291" s="98">
        <f t="shared" ca="1" si="685"/>
        <v>4.2027461618734829</v>
      </c>
      <c r="AM5291" s="106">
        <f t="shared" ca="1" si="682"/>
        <v>40403.4564543413</v>
      </c>
      <c r="AN5291" s="10">
        <f t="shared" ca="1" si="683"/>
        <v>1.1325063526279155</v>
      </c>
      <c r="AO5291" s="158"/>
      <c r="AP5291" s="158"/>
    </row>
    <row r="5292" spans="34:42">
      <c r="AH5292" s="6">
        <f t="shared" ref="AH5292:AH5355" si="687">$AI$29+AH5291</f>
        <v>5262</v>
      </c>
      <c r="AI5292" s="7">
        <f t="shared" ref="AI5292:AI5355" ca="1" si="688">+AH5292+$C$1</f>
        <v>47932</v>
      </c>
      <c r="AJ5292" s="210">
        <f t="shared" ca="1" si="684"/>
        <v>4.1749999999999998</v>
      </c>
      <c r="AK5292" s="8">
        <f t="shared" ca="1" si="686"/>
        <v>1.0001159722222221</v>
      </c>
      <c r="AL5292" s="98">
        <f t="shared" ca="1" si="685"/>
        <v>4.2027691155716251</v>
      </c>
      <c r="AM5292" s="106">
        <f t="shared" ca="1" si="682"/>
        <v>40406.785758514183</v>
      </c>
      <c r="AN5292" s="10">
        <f t="shared" ca="1" si="683"/>
        <v>1.132525393188244</v>
      </c>
      <c r="AO5292" s="158"/>
      <c r="AP5292" s="158"/>
    </row>
    <row r="5293" spans="34:42">
      <c r="AH5293" s="6">
        <f t="shared" si="687"/>
        <v>5263</v>
      </c>
      <c r="AI5293" s="7">
        <f t="shared" ca="1" si="688"/>
        <v>47933</v>
      </c>
      <c r="AJ5293" s="210">
        <f t="shared" ca="1" si="684"/>
        <v>4.1749999999999998</v>
      </c>
      <c r="AK5293" s="8">
        <f t="shared" ca="1" si="686"/>
        <v>1.0001159722222221</v>
      </c>
      <c r="AL5293" s="98">
        <f t="shared" ca="1" si="685"/>
        <v>4.2027920605521629</v>
      </c>
      <c r="AM5293" s="106">
        <f t="shared" ca="1" si="682"/>
        <v>40410.115337026626</v>
      </c>
      <c r="AN5293" s="10">
        <f t="shared" ca="1" si="683"/>
        <v>1.132544426516513</v>
      </c>
      <c r="AO5293" s="158"/>
      <c r="AP5293" s="158"/>
    </row>
    <row r="5294" spans="34:42">
      <c r="AH5294" s="6">
        <f t="shared" si="687"/>
        <v>5264</v>
      </c>
      <c r="AI5294" s="7">
        <f t="shared" ca="1" si="688"/>
        <v>47934</v>
      </c>
      <c r="AJ5294" s="210">
        <f t="shared" ca="1" si="684"/>
        <v>4.1749999999999998</v>
      </c>
      <c r="AK5294" s="8">
        <f t="shared" ca="1" si="686"/>
        <v>1.0001159722222221</v>
      </c>
      <c r="AL5294" s="98">
        <f t="shared" ca="1" si="685"/>
        <v>4.2028149968200479</v>
      </c>
      <c r="AM5294" s="106">
        <f t="shared" ca="1" si="682"/>
        <v>40413.445189901235</v>
      </c>
      <c r="AN5294" s="10">
        <f t="shared" ca="1" si="683"/>
        <v>1.1325634526168527</v>
      </c>
      <c r="AO5294" s="158"/>
      <c r="AP5294" s="158"/>
    </row>
    <row r="5295" spans="34:42">
      <c r="AH5295" s="6">
        <f t="shared" si="687"/>
        <v>5265</v>
      </c>
      <c r="AI5295" s="7">
        <f t="shared" ca="1" si="688"/>
        <v>47935</v>
      </c>
      <c r="AJ5295" s="210">
        <f t="shared" ca="1" si="684"/>
        <v>4.1749999999999998</v>
      </c>
      <c r="AK5295" s="8">
        <f t="shared" ca="1" si="686"/>
        <v>1.0001159722222221</v>
      </c>
      <c r="AL5295" s="98">
        <f t="shared" ca="1" si="685"/>
        <v>4.2028379243802538</v>
      </c>
      <c r="AM5295" s="106">
        <f t="shared" ca="1" si="682"/>
        <v>40416.775317160602</v>
      </c>
      <c r="AN5295" s="10">
        <f t="shared" ca="1" si="683"/>
        <v>1.132582471493393</v>
      </c>
      <c r="AO5295" s="158"/>
      <c r="AP5295" s="158"/>
    </row>
    <row r="5296" spans="34:42">
      <c r="AH5296" s="6">
        <f t="shared" si="687"/>
        <v>5266</v>
      </c>
      <c r="AI5296" s="7">
        <f t="shared" ca="1" si="688"/>
        <v>47936</v>
      </c>
      <c r="AJ5296" s="210">
        <f t="shared" ca="1" si="684"/>
        <v>4.1749999999999998</v>
      </c>
      <c r="AK5296" s="8">
        <f t="shared" ca="1" si="686"/>
        <v>1.0001159722222221</v>
      </c>
      <c r="AL5296" s="98">
        <f t="shared" ca="1" si="685"/>
        <v>4.2028608432377323</v>
      </c>
      <c r="AM5296" s="106">
        <f t="shared" ca="1" si="682"/>
        <v>40420.105718827348</v>
      </c>
      <c r="AN5296" s="10">
        <f t="shared" ca="1" si="683"/>
        <v>1.1326014831502418</v>
      </c>
      <c r="AO5296" s="158"/>
      <c r="AP5296" s="158"/>
    </row>
    <row r="5297" spans="34:42">
      <c r="AH5297" s="6">
        <f t="shared" si="687"/>
        <v>5267</v>
      </c>
      <c r="AI5297" s="7">
        <f t="shared" ca="1" si="688"/>
        <v>47937</v>
      </c>
      <c r="AJ5297" s="210">
        <f t="shared" ca="1" si="684"/>
        <v>4.1749999999999998</v>
      </c>
      <c r="AK5297" s="8">
        <f t="shared" ca="1" si="686"/>
        <v>1.0001159722222221</v>
      </c>
      <c r="AL5297" s="98">
        <f t="shared" ca="1" si="685"/>
        <v>4.202883753397435</v>
      </c>
      <c r="AM5297" s="106">
        <f t="shared" ca="1" si="682"/>
        <v>40423.436394924094</v>
      </c>
      <c r="AN5297" s="10">
        <f t="shared" ca="1" si="683"/>
        <v>1.1326204875915069</v>
      </c>
      <c r="AO5297" s="158"/>
      <c r="AP5297" s="158"/>
    </row>
    <row r="5298" spans="34:42">
      <c r="AH5298" s="6">
        <f t="shared" si="687"/>
        <v>5268</v>
      </c>
      <c r="AI5298" s="7">
        <f t="shared" ca="1" si="688"/>
        <v>47938</v>
      </c>
      <c r="AJ5298" s="210">
        <f t="shared" ca="1" si="684"/>
        <v>4.1749999999999998</v>
      </c>
      <c r="AK5298" s="8">
        <f t="shared" ca="1" si="686"/>
        <v>1.0001159722222221</v>
      </c>
      <c r="AL5298" s="98">
        <f t="shared" ca="1" si="685"/>
        <v>4.2029066548643135</v>
      </c>
      <c r="AM5298" s="106">
        <f t="shared" ca="1" si="682"/>
        <v>40426.767345473439</v>
      </c>
      <c r="AN5298" s="10">
        <f t="shared" ca="1" si="683"/>
        <v>1.132639484821274</v>
      </c>
      <c r="AO5298" s="158"/>
      <c r="AP5298" s="158"/>
    </row>
    <row r="5299" spans="34:42">
      <c r="AH5299" s="6">
        <f t="shared" si="687"/>
        <v>5269</v>
      </c>
      <c r="AI5299" s="7">
        <f t="shared" ca="1" si="688"/>
        <v>47939</v>
      </c>
      <c r="AJ5299" s="210">
        <f t="shared" ca="1" si="684"/>
        <v>4.1749999999999998</v>
      </c>
      <c r="AK5299" s="8">
        <f t="shared" ca="1" si="686"/>
        <v>1.0001159722222221</v>
      </c>
      <c r="AL5299" s="98">
        <f t="shared" ca="1" si="685"/>
        <v>4.2029295476433193</v>
      </c>
      <c r="AM5299" s="106">
        <f t="shared" ca="1" si="682"/>
        <v>40430.098570498005</v>
      </c>
      <c r="AN5299" s="10">
        <f t="shared" ca="1" si="683"/>
        <v>1.132658474843673</v>
      </c>
      <c r="AO5299" s="158"/>
      <c r="AP5299" s="158"/>
    </row>
    <row r="5300" spans="34:42">
      <c r="AH5300" s="6">
        <f t="shared" si="687"/>
        <v>5270</v>
      </c>
      <c r="AI5300" s="7">
        <f t="shared" ca="1" si="688"/>
        <v>47940</v>
      </c>
      <c r="AJ5300" s="210">
        <f t="shared" ca="1" si="684"/>
        <v>4.1749999999999998</v>
      </c>
      <c r="AK5300" s="8">
        <f t="shared" ca="1" si="686"/>
        <v>1.0001159722222221</v>
      </c>
      <c r="AL5300" s="98">
        <f t="shared" ca="1" si="685"/>
        <v>4.2029524317393818</v>
      </c>
      <c r="AM5300" s="106">
        <f t="shared" ca="1" si="682"/>
        <v>40433.430070020404</v>
      </c>
      <c r="AN5300" s="10">
        <f t="shared" ca="1" si="683"/>
        <v>1.1326774576627896</v>
      </c>
      <c r="AO5300" s="158"/>
      <c r="AP5300" s="158"/>
    </row>
    <row r="5301" spans="34:42">
      <c r="AH5301" s="6">
        <f t="shared" si="687"/>
        <v>5271</v>
      </c>
      <c r="AI5301" s="7">
        <f t="shared" ca="1" si="688"/>
        <v>47941</v>
      </c>
      <c r="AJ5301" s="210">
        <f t="shared" ca="1" si="684"/>
        <v>4.1749999999999998</v>
      </c>
      <c r="AK5301" s="8">
        <f t="shared" ca="1" si="686"/>
        <v>1.0001159722222221</v>
      </c>
      <c r="AL5301" s="98">
        <f t="shared" ca="1" si="685"/>
        <v>4.2029753071574527</v>
      </c>
      <c r="AM5301" s="106">
        <f t="shared" ca="1" si="682"/>
        <v>40436.761844063265</v>
      </c>
      <c r="AN5301" s="10">
        <f t="shared" ca="1" si="683"/>
        <v>1.1326964332827538</v>
      </c>
      <c r="AO5301" s="158"/>
      <c r="AP5301" s="158"/>
    </row>
    <row r="5302" spans="34:42">
      <c r="AH5302" s="6">
        <f t="shared" si="687"/>
        <v>5272</v>
      </c>
      <c r="AI5302" s="7">
        <f t="shared" ca="1" si="688"/>
        <v>47942</v>
      </c>
      <c r="AJ5302" s="210">
        <f t="shared" ca="1" si="684"/>
        <v>4.1749999999999998</v>
      </c>
      <c r="AK5302" s="8">
        <f t="shared" ca="1" si="686"/>
        <v>1.0001159722222221</v>
      </c>
      <c r="AL5302" s="98">
        <f t="shared" ca="1" si="685"/>
        <v>4.2029981739024613</v>
      </c>
      <c r="AM5302" s="106">
        <f t="shared" ca="1" si="682"/>
        <v>40440.093892649187</v>
      </c>
      <c r="AN5302" s="10">
        <f t="shared" ca="1" si="683"/>
        <v>1.1327154017076069</v>
      </c>
      <c r="AO5302" s="158"/>
      <c r="AP5302" s="158"/>
    </row>
    <row r="5303" spans="34:42">
      <c r="AH5303" s="6">
        <f t="shared" si="687"/>
        <v>5273</v>
      </c>
      <c r="AI5303" s="7">
        <f t="shared" ca="1" si="688"/>
        <v>47943</v>
      </c>
      <c r="AJ5303" s="210">
        <f t="shared" ca="1" si="684"/>
        <v>4.1749999999999998</v>
      </c>
      <c r="AK5303" s="8">
        <f t="shared" ca="1" si="686"/>
        <v>1.0001159722222221</v>
      </c>
      <c r="AL5303" s="98">
        <f t="shared" ca="1" si="685"/>
        <v>4.2030210319793371</v>
      </c>
      <c r="AM5303" s="106">
        <f t="shared" ca="1" si="682"/>
        <v>40443.426215800821</v>
      </c>
      <c r="AN5303" s="10">
        <f t="shared" ca="1" si="683"/>
        <v>1.1327343629414788</v>
      </c>
      <c r="AO5303" s="158"/>
      <c r="AP5303" s="158"/>
    </row>
    <row r="5304" spans="34:42">
      <c r="AH5304" s="6">
        <f t="shared" si="687"/>
        <v>5274</v>
      </c>
      <c r="AI5304" s="7">
        <f t="shared" ca="1" si="688"/>
        <v>47944</v>
      </c>
      <c r="AJ5304" s="210">
        <f t="shared" ca="1" si="684"/>
        <v>4.1749999999999998</v>
      </c>
      <c r="AK5304" s="8">
        <f t="shared" ca="1" si="686"/>
        <v>1.0001159722222221</v>
      </c>
      <c r="AL5304" s="98">
        <f t="shared" ca="1" si="685"/>
        <v>4.2030438813930093</v>
      </c>
      <c r="AM5304" s="106">
        <f t="shared" ca="1" si="682"/>
        <v>40446.758813540771</v>
      </c>
      <c r="AN5304" s="10">
        <f t="shared" ca="1" si="683"/>
        <v>1.132753316988433</v>
      </c>
      <c r="AO5304" s="158"/>
      <c r="AP5304" s="158"/>
    </row>
    <row r="5305" spans="34:42">
      <c r="AH5305" s="6">
        <f t="shared" si="687"/>
        <v>5275</v>
      </c>
      <c r="AI5305" s="7">
        <f t="shared" ca="1" si="688"/>
        <v>47945</v>
      </c>
      <c r="AJ5305" s="210">
        <f t="shared" ca="1" si="684"/>
        <v>4.1749999999999998</v>
      </c>
      <c r="AK5305" s="8">
        <f t="shared" ca="1" si="686"/>
        <v>1.0001159722222221</v>
      </c>
      <c r="AL5305" s="98">
        <f t="shared" ca="1" si="685"/>
        <v>4.2030667221484075</v>
      </c>
      <c r="AM5305" s="106">
        <f t="shared" ca="1" si="682"/>
        <v>40450.091685891683</v>
      </c>
      <c r="AN5305" s="10">
        <f t="shared" ca="1" si="683"/>
        <v>1.1327722638525772</v>
      </c>
      <c r="AO5305" s="158"/>
      <c r="AP5305" s="158"/>
    </row>
    <row r="5306" spans="34:42">
      <c r="AH5306" s="6">
        <f t="shared" si="687"/>
        <v>5276</v>
      </c>
      <c r="AI5306" s="7">
        <f t="shared" ca="1" si="688"/>
        <v>47946</v>
      </c>
      <c r="AJ5306" s="210">
        <f t="shared" ca="1" si="684"/>
        <v>4.1749999999999998</v>
      </c>
      <c r="AK5306" s="8">
        <f t="shared" ca="1" si="686"/>
        <v>1.0001159722222221</v>
      </c>
      <c r="AL5306" s="98">
        <f t="shared" ca="1" si="685"/>
        <v>4.2030895542504387</v>
      </c>
      <c r="AM5306" s="106">
        <f t="shared" ca="1" si="682"/>
        <v>40453.424832876161</v>
      </c>
      <c r="AN5306" s="10">
        <f t="shared" ca="1" si="683"/>
        <v>1.132791203537975</v>
      </c>
      <c r="AO5306" s="158"/>
      <c r="AP5306" s="158"/>
    </row>
    <row r="5307" spans="34:42">
      <c r="AH5307" s="6">
        <f t="shared" si="687"/>
        <v>5277</v>
      </c>
      <c r="AI5307" s="7">
        <f t="shared" ca="1" si="688"/>
        <v>47947</v>
      </c>
      <c r="AJ5307" s="210">
        <f t="shared" ca="1" si="684"/>
        <v>4.1749999999999998</v>
      </c>
      <c r="AK5307" s="8">
        <f t="shared" ca="1" si="686"/>
        <v>1.0001159722222221</v>
      </c>
      <c r="AL5307" s="98">
        <f t="shared" ca="1" si="685"/>
        <v>4.2031123777040325</v>
      </c>
      <c r="AM5307" s="106">
        <f t="shared" ca="1" si="682"/>
        <v>40456.758254516855</v>
      </c>
      <c r="AN5307" s="10">
        <f t="shared" ca="1" si="683"/>
        <v>1.1328101360487119</v>
      </c>
      <c r="AO5307" s="158"/>
      <c r="AP5307" s="158"/>
    </row>
    <row r="5308" spans="34:42">
      <c r="AH5308" s="6">
        <f t="shared" si="687"/>
        <v>5278</v>
      </c>
      <c r="AI5308" s="7">
        <f t="shared" ca="1" si="688"/>
        <v>47948</v>
      </c>
      <c r="AJ5308" s="210">
        <f t="shared" ca="1" si="684"/>
        <v>4.1749999999999998</v>
      </c>
      <c r="AK5308" s="8">
        <f t="shared" ca="1" si="686"/>
        <v>1.0001159722222221</v>
      </c>
      <c r="AL5308" s="98">
        <f t="shared" ca="1" si="685"/>
        <v>4.2031351925140958</v>
      </c>
      <c r="AM5308" s="106">
        <f t="shared" ca="1" si="682"/>
        <v>40460.091950836388</v>
      </c>
      <c r="AN5308" s="10">
        <f t="shared" ca="1" si="683"/>
        <v>1.1328290613888736</v>
      </c>
      <c r="AO5308" s="158"/>
      <c r="AP5308" s="158"/>
    </row>
    <row r="5309" spans="34:42">
      <c r="AH5309" s="6">
        <f t="shared" si="687"/>
        <v>5279</v>
      </c>
      <c r="AI5309" s="7">
        <f t="shared" ca="1" si="688"/>
        <v>47949</v>
      </c>
      <c r="AJ5309" s="210">
        <f t="shared" ca="1" si="684"/>
        <v>4.1749999999999998</v>
      </c>
      <c r="AK5309" s="8">
        <f t="shared" ca="1" si="686"/>
        <v>1.0001159722222221</v>
      </c>
      <c r="AL5309" s="98">
        <f t="shared" ca="1" si="685"/>
        <v>4.2031579986855583</v>
      </c>
      <c r="AM5309" s="106">
        <f t="shared" ca="1" si="682"/>
        <v>40463.425921857393</v>
      </c>
      <c r="AN5309" s="10">
        <f t="shared" ca="1" si="683"/>
        <v>1.1328479795625457</v>
      </c>
      <c r="AO5309" s="158"/>
      <c r="AP5309" s="158"/>
    </row>
    <row r="5310" spans="34:42">
      <c r="AH5310" s="6">
        <f t="shared" si="687"/>
        <v>5280</v>
      </c>
      <c r="AI5310" s="7">
        <f t="shared" ca="1" si="688"/>
        <v>47950</v>
      </c>
      <c r="AJ5310" s="210">
        <f t="shared" ca="1" si="684"/>
        <v>4.1749999999999998</v>
      </c>
      <c r="AK5310" s="8">
        <f t="shared" ca="1" si="686"/>
        <v>1.0001159722222221</v>
      </c>
      <c r="AL5310" s="98">
        <f t="shared" ca="1" si="685"/>
        <v>4.2031807962233048</v>
      </c>
      <c r="AM5310" s="106">
        <f t="shared" ca="1" si="682"/>
        <v>40466.760167602508</v>
      </c>
      <c r="AN5310" s="10">
        <f t="shared" ca="1" si="683"/>
        <v>1.1328668905737915</v>
      </c>
      <c r="AO5310" s="158"/>
      <c r="AP5310" s="158"/>
    </row>
    <row r="5311" spans="34:42">
      <c r="AH5311" s="6">
        <f t="shared" si="687"/>
        <v>5281</v>
      </c>
      <c r="AI5311" s="7">
        <f t="shared" ca="1" si="688"/>
        <v>47951</v>
      </c>
      <c r="AJ5311" s="210">
        <f t="shared" ca="1" si="684"/>
        <v>4.1749999999999998</v>
      </c>
      <c r="AK5311" s="8">
        <f t="shared" ca="1" si="686"/>
        <v>1.0001159722222221</v>
      </c>
      <c r="AL5311" s="98">
        <f t="shared" ca="1" si="685"/>
        <v>4.2032035851322425</v>
      </c>
      <c r="AM5311" s="106">
        <f t="shared" ca="1" si="682"/>
        <v>40470.094688094374</v>
      </c>
      <c r="AN5311" s="10">
        <f t="shared" ca="1" si="683"/>
        <v>1.1328857944266302</v>
      </c>
      <c r="AO5311" s="158"/>
      <c r="AP5311" s="158"/>
    </row>
    <row r="5312" spans="34:42">
      <c r="AH5312" s="6">
        <f t="shared" si="687"/>
        <v>5282</v>
      </c>
      <c r="AI5312" s="7">
        <f t="shared" ca="1" si="688"/>
        <v>47952</v>
      </c>
      <c r="AJ5312" s="210">
        <f t="shared" ca="1" si="684"/>
        <v>4.1749999999999998</v>
      </c>
      <c r="AK5312" s="8">
        <f t="shared" ca="1" si="686"/>
        <v>1.0001159722222221</v>
      </c>
      <c r="AL5312" s="98">
        <f t="shared" ca="1" si="685"/>
        <v>4.2032263654172564</v>
      </c>
      <c r="AM5312" s="106">
        <f t="shared" ca="1" si="682"/>
        <v>40473.429483355627</v>
      </c>
      <c r="AN5312" s="10">
        <f t="shared" ca="1" si="683"/>
        <v>1.1329046911251917</v>
      </c>
      <c r="AO5312" s="158"/>
      <c r="AP5312" s="158"/>
    </row>
    <row r="5313" spans="34:42">
      <c r="AH5313" s="6">
        <f t="shared" si="687"/>
        <v>5283</v>
      </c>
      <c r="AI5313" s="7">
        <f t="shared" ca="1" si="688"/>
        <v>47953</v>
      </c>
      <c r="AJ5313" s="210">
        <f t="shared" ca="1" si="684"/>
        <v>4.1749999999999998</v>
      </c>
      <c r="AK5313" s="8">
        <f t="shared" ca="1" si="686"/>
        <v>1.0001159722222221</v>
      </c>
      <c r="AL5313" s="98">
        <f t="shared" ca="1" si="685"/>
        <v>4.2032491370832537</v>
      </c>
      <c r="AM5313" s="106">
        <f t="shared" ca="1" si="682"/>
        <v>40476.76455340891</v>
      </c>
      <c r="AN5313" s="10">
        <f t="shared" ca="1" si="683"/>
        <v>1.1329235806734728</v>
      </c>
      <c r="AO5313" s="158"/>
      <c r="AP5313" s="158"/>
    </row>
    <row r="5314" spans="34:42">
      <c r="AH5314" s="6">
        <f t="shared" si="687"/>
        <v>5284</v>
      </c>
      <c r="AI5314" s="7">
        <f t="shared" ca="1" si="688"/>
        <v>47954</v>
      </c>
      <c r="AJ5314" s="210">
        <f t="shared" ca="1" si="684"/>
        <v>4.1749999999999998</v>
      </c>
      <c r="AK5314" s="8">
        <f t="shared" ca="1" si="686"/>
        <v>1.0001159722222221</v>
      </c>
      <c r="AL5314" s="98">
        <f t="shared" ca="1" si="685"/>
        <v>4.2032719001351193</v>
      </c>
      <c r="AM5314" s="106">
        <f t="shared" ca="1" si="682"/>
        <v>40480.099898276865</v>
      </c>
      <c r="AN5314" s="10">
        <f t="shared" ca="1" si="683"/>
        <v>1.1329424630755813</v>
      </c>
      <c r="AO5314" s="158"/>
      <c r="AP5314" s="158"/>
    </row>
    <row r="5315" spans="34:42">
      <c r="AH5315" s="6">
        <f t="shared" si="687"/>
        <v>5285</v>
      </c>
      <c r="AI5315" s="7">
        <f t="shared" ca="1" si="688"/>
        <v>47955</v>
      </c>
      <c r="AJ5315" s="210">
        <f t="shared" ca="1" si="684"/>
        <v>4.1749999999999998</v>
      </c>
      <c r="AK5315" s="8">
        <f t="shared" ca="1" si="686"/>
        <v>1.0001159722222221</v>
      </c>
      <c r="AL5315" s="98">
        <f t="shared" ca="1" si="685"/>
        <v>4.2032946545777383</v>
      </c>
      <c r="AM5315" s="106">
        <f t="shared" ca="1" si="682"/>
        <v>40483.435517982136</v>
      </c>
      <c r="AN5315" s="10">
        <f t="shared" ca="1" si="683"/>
        <v>1.1329613383355364</v>
      </c>
      <c r="AO5315" s="158"/>
      <c r="AP5315" s="158"/>
    </row>
    <row r="5316" spans="34:42">
      <c r="AH5316" s="6">
        <f t="shared" si="687"/>
        <v>5286</v>
      </c>
      <c r="AI5316" s="7">
        <f t="shared" ca="1" si="688"/>
        <v>47956</v>
      </c>
      <c r="AJ5316" s="210">
        <f t="shared" ca="1" si="684"/>
        <v>4.1749999999999998</v>
      </c>
      <c r="AK5316" s="8">
        <f t="shared" ca="1" si="686"/>
        <v>1.0001159722222221</v>
      </c>
      <c r="AL5316" s="98">
        <f t="shared" ca="1" si="685"/>
        <v>4.2033174004160179</v>
      </c>
      <c r="AM5316" s="106">
        <f t="shared" ca="1" si="682"/>
        <v>40486.771412547372</v>
      </c>
      <c r="AN5316" s="10">
        <f t="shared" ca="1" si="683"/>
        <v>1.1329802064574457</v>
      </c>
      <c r="AO5316" s="158"/>
      <c r="AP5316" s="158"/>
    </row>
    <row r="5317" spans="34:42">
      <c r="AH5317" s="6">
        <f t="shared" si="687"/>
        <v>5287</v>
      </c>
      <c r="AI5317" s="7">
        <f t="shared" ca="1" si="688"/>
        <v>47957</v>
      </c>
      <c r="AJ5317" s="210">
        <f t="shared" ca="1" si="684"/>
        <v>4.1749999999999998</v>
      </c>
      <c r="AK5317" s="8">
        <f t="shared" ca="1" si="686"/>
        <v>1.0001159722222221</v>
      </c>
      <c r="AL5317" s="98">
        <f t="shared" ca="1" si="685"/>
        <v>4.2033401376548207</v>
      </c>
      <c r="AM5317" s="106">
        <f t="shared" ca="1" si="682"/>
        <v>40490.107581995217</v>
      </c>
      <c r="AN5317" s="10">
        <f t="shared" ca="1" si="683"/>
        <v>1.1329990674453061</v>
      </c>
      <c r="AO5317" s="158"/>
      <c r="AP5317" s="158"/>
    </row>
    <row r="5318" spans="34:42">
      <c r="AH5318" s="6">
        <f t="shared" si="687"/>
        <v>5288</v>
      </c>
      <c r="AI5318" s="7">
        <f t="shared" ca="1" si="688"/>
        <v>47958</v>
      </c>
      <c r="AJ5318" s="210">
        <f t="shared" ca="1" si="684"/>
        <v>4.1749999999999998</v>
      </c>
      <c r="AK5318" s="8">
        <f t="shared" ca="1" si="686"/>
        <v>1.0001159722222221</v>
      </c>
      <c r="AL5318" s="98">
        <f t="shared" ca="1" si="685"/>
        <v>4.2033628662990097</v>
      </c>
      <c r="AM5318" s="106">
        <f t="shared" ca="1" si="682"/>
        <v>40493.444026348334</v>
      </c>
      <c r="AN5318" s="10">
        <f t="shared" ca="1" si="683"/>
        <v>1.133017921303181</v>
      </c>
      <c r="AO5318" s="158"/>
      <c r="AP5318" s="158"/>
    </row>
    <row r="5319" spans="34:42">
      <c r="AH5319" s="6">
        <f t="shared" si="687"/>
        <v>5289</v>
      </c>
      <c r="AI5319" s="7">
        <f t="shared" ca="1" si="688"/>
        <v>47959</v>
      </c>
      <c r="AJ5319" s="210">
        <f t="shared" ca="1" si="684"/>
        <v>4.1749999999999998</v>
      </c>
      <c r="AK5319" s="8">
        <f t="shared" ca="1" si="686"/>
        <v>1.0001159722222221</v>
      </c>
      <c r="AL5319" s="98">
        <f t="shared" ca="1" si="685"/>
        <v>4.2033855863534697</v>
      </c>
      <c r="AM5319" s="106">
        <f t="shared" ca="1" si="682"/>
        <v>40496.780745629367</v>
      </c>
      <c r="AN5319" s="10">
        <f t="shared" ca="1" si="683"/>
        <v>1.1330367680350895</v>
      </c>
      <c r="AO5319" s="158"/>
      <c r="AP5319" s="158"/>
    </row>
    <row r="5320" spans="34:42">
      <c r="AH5320" s="6">
        <f t="shared" si="687"/>
        <v>5290</v>
      </c>
      <c r="AI5320" s="7">
        <f t="shared" ca="1" si="688"/>
        <v>47960</v>
      </c>
      <c r="AJ5320" s="210">
        <f t="shared" ca="1" si="684"/>
        <v>4.1749999999999998</v>
      </c>
      <c r="AK5320" s="8">
        <f t="shared" ca="1" si="686"/>
        <v>1.0001159722222221</v>
      </c>
      <c r="AL5320" s="98">
        <f t="shared" ca="1" si="685"/>
        <v>4.2034082978230636</v>
      </c>
      <c r="AM5320" s="106">
        <f t="shared" ca="1" si="682"/>
        <v>40500.117739860965</v>
      </c>
      <c r="AN5320" s="10">
        <f t="shared" ca="1" si="683"/>
        <v>1.1330556076450948</v>
      </c>
      <c r="AO5320" s="158"/>
      <c r="AP5320" s="158"/>
    </row>
    <row r="5321" spans="34:42">
      <c r="AH5321" s="6">
        <f t="shared" si="687"/>
        <v>5291</v>
      </c>
      <c r="AI5321" s="7">
        <f t="shared" ca="1" si="688"/>
        <v>47961</v>
      </c>
      <c r="AJ5321" s="210">
        <f t="shared" ca="1" si="684"/>
        <v>4.1749999999999998</v>
      </c>
      <c r="AK5321" s="8">
        <f t="shared" ca="1" si="686"/>
        <v>1.0001159722222221</v>
      </c>
      <c r="AL5321" s="98">
        <f t="shared" ca="1" si="685"/>
        <v>4.2034310007126763</v>
      </c>
      <c r="AM5321" s="106">
        <f t="shared" ca="1" si="682"/>
        <v>40503.455009065801</v>
      </c>
      <c r="AN5321" s="10">
        <f t="shared" ca="1" si="683"/>
        <v>1.1330744401372383</v>
      </c>
      <c r="AO5321" s="158"/>
      <c r="AP5321" s="158"/>
    </row>
    <row r="5322" spans="34:42">
      <c r="AH5322" s="6">
        <f t="shared" si="687"/>
        <v>5292</v>
      </c>
      <c r="AI5322" s="7">
        <f t="shared" ca="1" si="688"/>
        <v>47962</v>
      </c>
      <c r="AJ5322" s="210">
        <f t="shared" ca="1" si="684"/>
        <v>4.1749999999999998</v>
      </c>
      <c r="AK5322" s="8">
        <f t="shared" ca="1" si="686"/>
        <v>1.0001159722222221</v>
      </c>
      <c r="AL5322" s="98">
        <f t="shared" ca="1" si="685"/>
        <v>4.2034536950271484</v>
      </c>
      <c r="AM5322" s="106">
        <f t="shared" ca="1" si="682"/>
        <v>40506.79255326651</v>
      </c>
      <c r="AN5322" s="10">
        <f t="shared" ca="1" si="683"/>
        <v>1.133093265515539</v>
      </c>
      <c r="AO5322" s="158"/>
      <c r="AP5322" s="158"/>
    </row>
    <row r="5323" spans="34:42">
      <c r="AH5323" s="6">
        <f t="shared" si="687"/>
        <v>5293</v>
      </c>
      <c r="AI5323" s="7">
        <f t="shared" ca="1" si="688"/>
        <v>47963</v>
      </c>
      <c r="AJ5323" s="210">
        <f t="shared" ca="1" si="684"/>
        <v>4.1749999999999998</v>
      </c>
      <c r="AK5323" s="8">
        <f t="shared" ca="1" si="686"/>
        <v>1.0001159722222221</v>
      </c>
      <c r="AL5323" s="98">
        <f t="shared" ca="1" si="685"/>
        <v>4.2034763807713427</v>
      </c>
      <c r="AM5323" s="106">
        <f t="shared" ca="1" si="682"/>
        <v>40510.130372485772</v>
      </c>
      <c r="AN5323" s="10">
        <f t="shared" ca="1" si="683"/>
        <v>1.133112083784038</v>
      </c>
      <c r="AO5323" s="158"/>
      <c r="AP5323" s="158"/>
    </row>
    <row r="5324" spans="34:42">
      <c r="AH5324" s="6">
        <f t="shared" si="687"/>
        <v>5294</v>
      </c>
      <c r="AI5324" s="7">
        <f t="shared" ca="1" si="688"/>
        <v>47964</v>
      </c>
      <c r="AJ5324" s="210">
        <f t="shared" ca="1" si="684"/>
        <v>4.1749999999999998</v>
      </c>
      <c r="AK5324" s="8">
        <f t="shared" ca="1" si="686"/>
        <v>1.0001159722222221</v>
      </c>
      <c r="AL5324" s="98">
        <f t="shared" ca="1" si="685"/>
        <v>4.2034990579500997</v>
      </c>
      <c r="AM5324" s="106">
        <f t="shared" ca="1" si="682"/>
        <v>40513.468466746235</v>
      </c>
      <c r="AN5324" s="10">
        <f t="shared" ca="1" si="683"/>
        <v>1.1331308949467322</v>
      </c>
      <c r="AO5324" s="158"/>
      <c r="AP5324" s="158"/>
    </row>
    <row r="5325" spans="34:42">
      <c r="AH5325" s="6">
        <f t="shared" si="687"/>
        <v>5295</v>
      </c>
      <c r="AI5325" s="7">
        <f t="shared" ca="1" si="688"/>
        <v>47965</v>
      </c>
      <c r="AJ5325" s="210">
        <f t="shared" ca="1" si="684"/>
        <v>4.1749999999999998</v>
      </c>
      <c r="AK5325" s="8">
        <f t="shared" ca="1" si="686"/>
        <v>1.0001159722222221</v>
      </c>
      <c r="AL5325" s="98">
        <f t="shared" ca="1" si="685"/>
        <v>4.2035217265682823</v>
      </c>
      <c r="AM5325" s="106">
        <f t="shared" ca="1" si="682"/>
        <v>40516.806836070573</v>
      </c>
      <c r="AN5325" s="10">
        <f t="shared" ca="1" si="683"/>
        <v>1.133149699007685</v>
      </c>
      <c r="AO5325" s="158"/>
      <c r="AP5325" s="158"/>
    </row>
    <row r="5326" spans="34:42">
      <c r="AH5326" s="6">
        <f t="shared" si="687"/>
        <v>5296</v>
      </c>
      <c r="AI5326" s="7">
        <f t="shared" ca="1" si="688"/>
        <v>47966</v>
      </c>
      <c r="AJ5326" s="210">
        <f t="shared" ca="1" si="684"/>
        <v>4.1749999999999998</v>
      </c>
      <c r="AK5326" s="8">
        <f t="shared" ca="1" si="686"/>
        <v>1.0001159722222221</v>
      </c>
      <c r="AL5326" s="98">
        <f t="shared" ca="1" si="685"/>
        <v>4.2035443866307531</v>
      </c>
      <c r="AM5326" s="106">
        <f t="shared" ca="1" si="682"/>
        <v>40520.145480481449</v>
      </c>
      <c r="AN5326" s="10">
        <f t="shared" ca="1" si="683"/>
        <v>1.1331684959709154</v>
      </c>
      <c r="AO5326" s="158"/>
      <c r="AP5326" s="158"/>
    </row>
    <row r="5327" spans="34:42">
      <c r="AH5327" s="6">
        <f t="shared" si="687"/>
        <v>5297</v>
      </c>
      <c r="AI5327" s="7">
        <f t="shared" ca="1" si="688"/>
        <v>47967</v>
      </c>
      <c r="AJ5327" s="210">
        <f t="shared" ca="1" si="684"/>
        <v>4.1749999999999998</v>
      </c>
      <c r="AK5327" s="8">
        <f t="shared" ca="1" si="686"/>
        <v>1.0001159722222221</v>
      </c>
      <c r="AL5327" s="98">
        <f t="shared" ca="1" si="685"/>
        <v>4.2035670381423307</v>
      </c>
      <c r="AM5327" s="106">
        <f t="shared" ca="1" si="682"/>
        <v>40523.484400001529</v>
      </c>
      <c r="AN5327" s="10">
        <f t="shared" ca="1" si="683"/>
        <v>1.133187285840398</v>
      </c>
      <c r="AO5327" s="158"/>
      <c r="AP5327" s="158"/>
    </row>
    <row r="5328" spans="34:42">
      <c r="AH5328" s="6">
        <f t="shared" si="687"/>
        <v>5298</v>
      </c>
      <c r="AI5328" s="7">
        <f t="shared" ca="1" si="688"/>
        <v>47968</v>
      </c>
      <c r="AJ5328" s="210">
        <f t="shared" ca="1" si="684"/>
        <v>4.1749999999999998</v>
      </c>
      <c r="AK5328" s="8">
        <f t="shared" ca="1" si="686"/>
        <v>1.0001159722222221</v>
      </c>
      <c r="AL5328" s="98">
        <f t="shared" ca="1" si="685"/>
        <v>4.2035896811078555</v>
      </c>
      <c r="AM5328" s="106">
        <f t="shared" ca="1" si="682"/>
        <v>40526.823594653484</v>
      </c>
      <c r="AN5328" s="10">
        <f t="shared" ca="1" si="683"/>
        <v>1.1332060686201739</v>
      </c>
      <c r="AO5328" s="158"/>
      <c r="AP5328" s="158"/>
    </row>
    <row r="5329" spans="34:42">
      <c r="AH5329" s="6">
        <f t="shared" si="687"/>
        <v>5299</v>
      </c>
      <c r="AI5329" s="7">
        <f t="shared" ca="1" si="688"/>
        <v>47969</v>
      </c>
      <c r="AJ5329" s="210">
        <f t="shared" ca="1" si="684"/>
        <v>4.1749999999999998</v>
      </c>
      <c r="AK5329" s="8">
        <f t="shared" ca="1" si="686"/>
        <v>1.0001159722222221</v>
      </c>
      <c r="AL5329" s="98">
        <f t="shared" ca="1" si="685"/>
        <v>4.2036123155321681</v>
      </c>
      <c r="AM5329" s="106">
        <f t="shared" ca="1" si="682"/>
        <v>40530.163064459979</v>
      </c>
      <c r="AN5329" s="10">
        <f t="shared" ca="1" si="683"/>
        <v>1.1332248443142623</v>
      </c>
      <c r="AO5329" s="158"/>
      <c r="AP5329" s="158"/>
    </row>
    <row r="5330" spans="34:42">
      <c r="AH5330" s="6">
        <f t="shared" si="687"/>
        <v>5300</v>
      </c>
      <c r="AI5330" s="7">
        <f t="shared" ca="1" si="688"/>
        <v>47970</v>
      </c>
      <c r="AJ5330" s="210">
        <f t="shared" ca="1" si="684"/>
        <v>4.1749999999999998</v>
      </c>
      <c r="AK5330" s="8">
        <f t="shared" ca="1" si="686"/>
        <v>1.0001159722222221</v>
      </c>
      <c r="AL5330" s="98">
        <f t="shared" ca="1" si="685"/>
        <v>4.2036349414201091</v>
      </c>
      <c r="AM5330" s="106">
        <f t="shared" ca="1" si="682"/>
        <v>40533.502809443708</v>
      </c>
      <c r="AN5330" s="10">
        <f t="shared" ca="1" si="683"/>
        <v>1.1332436129266821</v>
      </c>
      <c r="AO5330" s="158"/>
      <c r="AP5330" s="158"/>
    </row>
    <row r="5331" spans="34:42">
      <c r="AH5331" s="6">
        <f t="shared" si="687"/>
        <v>5301</v>
      </c>
      <c r="AI5331" s="7">
        <f t="shared" ca="1" si="688"/>
        <v>47971</v>
      </c>
      <c r="AJ5331" s="210">
        <f t="shared" ca="1" si="684"/>
        <v>4.1749999999999998</v>
      </c>
      <c r="AK5331" s="8">
        <f t="shared" ca="1" si="686"/>
        <v>1.0001159722222221</v>
      </c>
      <c r="AL5331" s="98">
        <f t="shared" ca="1" si="685"/>
        <v>4.2036575587764968</v>
      </c>
      <c r="AM5331" s="106">
        <f t="shared" ca="1" si="682"/>
        <v>40536.842829627312</v>
      </c>
      <c r="AN5331" s="10">
        <f t="shared" ca="1" si="683"/>
        <v>1.1332623744614079</v>
      </c>
      <c r="AO5331" s="158"/>
      <c r="AP5331" s="158"/>
    </row>
    <row r="5332" spans="34:42">
      <c r="AH5332" s="6">
        <f t="shared" si="687"/>
        <v>5302</v>
      </c>
      <c r="AI5332" s="7">
        <f t="shared" ca="1" si="688"/>
        <v>47972</v>
      </c>
      <c r="AJ5332" s="210">
        <f t="shared" ca="1" si="684"/>
        <v>4.1749999999999998</v>
      </c>
      <c r="AK5332" s="8">
        <f t="shared" ca="1" si="686"/>
        <v>1.0001159722222221</v>
      </c>
      <c r="AL5332" s="98">
        <f t="shared" ca="1" si="685"/>
        <v>4.2036801676061719</v>
      </c>
      <c r="AM5332" s="106">
        <f t="shared" ca="1" si="682"/>
        <v>40540.183125033494</v>
      </c>
      <c r="AN5332" s="10">
        <f t="shared" ca="1" si="683"/>
        <v>1.1332811289224809</v>
      </c>
      <c r="AO5332" s="158"/>
      <c r="AP5332" s="158"/>
    </row>
    <row r="5333" spans="34:42">
      <c r="AH5333" s="6">
        <f t="shared" si="687"/>
        <v>5303</v>
      </c>
      <c r="AI5333" s="7">
        <f t="shared" ca="1" si="688"/>
        <v>47973</v>
      </c>
      <c r="AJ5333" s="210">
        <f t="shared" ca="1" si="684"/>
        <v>4.1749999999999998</v>
      </c>
      <c r="AK5333" s="8">
        <f t="shared" ca="1" si="686"/>
        <v>1.0001159722222221</v>
      </c>
      <c r="AL5333" s="98">
        <f t="shared" ca="1" si="685"/>
        <v>4.2037027679139305</v>
      </c>
      <c r="AM5333" s="106">
        <f t="shared" ca="1" si="682"/>
        <v>40543.523695684926</v>
      </c>
      <c r="AN5333" s="10">
        <f t="shared" ca="1" si="683"/>
        <v>1.1332998763138535</v>
      </c>
      <c r="AO5333" s="158"/>
      <c r="AP5333" s="158"/>
    </row>
    <row r="5334" spans="34:42">
      <c r="AH5334" s="6">
        <f t="shared" si="687"/>
        <v>5304</v>
      </c>
      <c r="AI5334" s="7">
        <f t="shared" ca="1" si="688"/>
        <v>47974</v>
      </c>
      <c r="AJ5334" s="210">
        <f t="shared" ca="1" si="684"/>
        <v>4.1749999999999998</v>
      </c>
      <c r="AK5334" s="8">
        <f t="shared" ca="1" si="686"/>
        <v>1.0001159722222221</v>
      </c>
      <c r="AL5334" s="98">
        <f t="shared" ca="1" si="685"/>
        <v>4.2037253597046131</v>
      </c>
      <c r="AM5334" s="106">
        <f t="shared" ca="1" si="682"/>
        <v>40546.864541604285</v>
      </c>
      <c r="AN5334" s="10">
        <f t="shared" ca="1" si="683"/>
        <v>1.133318616639567</v>
      </c>
      <c r="AO5334" s="158"/>
      <c r="AP5334" s="158"/>
    </row>
    <row r="5335" spans="34:42">
      <c r="AH5335" s="6">
        <f t="shared" si="687"/>
        <v>5305</v>
      </c>
      <c r="AI5335" s="7">
        <f t="shared" ca="1" si="688"/>
        <v>47975</v>
      </c>
      <c r="AJ5335" s="210">
        <f t="shared" ca="1" si="684"/>
        <v>4.1749999999999998</v>
      </c>
      <c r="AK5335" s="8">
        <f t="shared" ca="1" si="686"/>
        <v>1.0001159722222221</v>
      </c>
      <c r="AL5335" s="98">
        <f t="shared" ca="1" si="685"/>
        <v>4.203747942983016</v>
      </c>
      <c r="AM5335" s="106">
        <f t="shared" ca="1" si="682"/>
        <v>40550.20566281426</v>
      </c>
      <c r="AN5335" s="10">
        <f t="shared" ca="1" si="683"/>
        <v>1.1333373499035959</v>
      </c>
      <c r="AO5335" s="158"/>
      <c r="AP5335" s="158"/>
    </row>
    <row r="5336" spans="34:42">
      <c r="AH5336" s="6">
        <f t="shared" si="687"/>
        <v>5306</v>
      </c>
      <c r="AI5336" s="7">
        <f t="shared" ca="1" si="688"/>
        <v>47976</v>
      </c>
      <c r="AJ5336" s="210">
        <f t="shared" ca="1" si="684"/>
        <v>4.1749999999999998</v>
      </c>
      <c r="AK5336" s="8">
        <f t="shared" ca="1" si="686"/>
        <v>1.0001159722222221</v>
      </c>
      <c r="AL5336" s="98">
        <f t="shared" ca="1" si="685"/>
        <v>4.2037705177539575</v>
      </c>
      <c r="AM5336" s="106">
        <f t="shared" ca="1" si="682"/>
        <v>40553.547059337536</v>
      </c>
      <c r="AN5336" s="10">
        <f t="shared" ca="1" si="683"/>
        <v>1.1333560761099148</v>
      </c>
      <c r="AO5336" s="158"/>
      <c r="AP5336" s="158"/>
    </row>
    <row r="5337" spans="34:42">
      <c r="AH5337" s="6">
        <f t="shared" si="687"/>
        <v>5307</v>
      </c>
      <c r="AI5337" s="7">
        <f t="shared" ca="1" si="688"/>
        <v>47977</v>
      </c>
      <c r="AJ5337" s="210">
        <f t="shared" ca="1" si="684"/>
        <v>4.1749999999999998</v>
      </c>
      <c r="AK5337" s="8">
        <f t="shared" ca="1" si="686"/>
        <v>1.0001159722222221</v>
      </c>
      <c r="AL5337" s="98">
        <f t="shared" ca="1" si="685"/>
        <v>4.2037930840222337</v>
      </c>
      <c r="AM5337" s="106">
        <f t="shared" ca="1" si="682"/>
        <v>40556.888731196785</v>
      </c>
      <c r="AN5337" s="10">
        <f t="shared" ca="1" si="683"/>
        <v>1.1333747952625428</v>
      </c>
      <c r="AO5337" s="158"/>
      <c r="AP5337" s="158"/>
    </row>
    <row r="5338" spans="34:42">
      <c r="AH5338" s="6">
        <f t="shared" si="687"/>
        <v>5308</v>
      </c>
      <c r="AI5338" s="7">
        <f t="shared" ca="1" si="688"/>
        <v>47978</v>
      </c>
      <c r="AJ5338" s="210">
        <f t="shared" ca="1" si="684"/>
        <v>4.1749999999999998</v>
      </c>
      <c r="AK5338" s="8">
        <f t="shared" ca="1" si="686"/>
        <v>1.0001159722222221</v>
      </c>
      <c r="AL5338" s="98">
        <f t="shared" ca="1" si="685"/>
        <v>4.2038156417926631</v>
      </c>
      <c r="AM5338" s="106">
        <f t="shared" ca="1" si="682"/>
        <v>40560.230678414708</v>
      </c>
      <c r="AN5338" s="10">
        <f t="shared" ca="1" si="683"/>
        <v>1.1333935073654322</v>
      </c>
      <c r="AO5338" s="158"/>
      <c r="AP5338" s="158"/>
    </row>
    <row r="5339" spans="34:42">
      <c r="AH5339" s="6">
        <f t="shared" si="687"/>
        <v>5309</v>
      </c>
      <c r="AI5339" s="7">
        <f t="shared" ca="1" si="688"/>
        <v>47979</v>
      </c>
      <c r="AJ5339" s="210">
        <f t="shared" ca="1" si="684"/>
        <v>4.1749999999999998</v>
      </c>
      <c r="AK5339" s="8">
        <f t="shared" ca="1" si="686"/>
        <v>1.0001159722222221</v>
      </c>
      <c r="AL5339" s="98">
        <f t="shared" ca="1" si="685"/>
        <v>4.2038381910700418</v>
      </c>
      <c r="AM5339" s="106">
        <f t="shared" ca="1" si="682"/>
        <v>40563.572901013991</v>
      </c>
      <c r="AN5339" s="10">
        <f t="shared" ca="1" si="683"/>
        <v>1.133412212422602</v>
      </c>
      <c r="AO5339" s="158"/>
      <c r="AP5339" s="158"/>
    </row>
    <row r="5340" spans="34:42">
      <c r="AH5340" s="6">
        <f t="shared" si="687"/>
        <v>5310</v>
      </c>
      <c r="AI5340" s="7">
        <f t="shared" ca="1" si="688"/>
        <v>47980</v>
      </c>
      <c r="AJ5340" s="210">
        <f t="shared" ca="1" si="684"/>
        <v>4.1749999999999998</v>
      </c>
      <c r="AK5340" s="8">
        <f t="shared" ca="1" si="686"/>
        <v>1.0001159722222221</v>
      </c>
      <c r="AL5340" s="98">
        <f t="shared" ca="1" si="685"/>
        <v>4.2038607318591437</v>
      </c>
      <c r="AM5340" s="106">
        <f t="shared" ca="1" si="682"/>
        <v>40566.915399017322</v>
      </c>
      <c r="AN5340" s="10">
        <f t="shared" ca="1" si="683"/>
        <v>1.1334309104380047</v>
      </c>
      <c r="AO5340" s="158"/>
      <c r="AP5340" s="158"/>
    </row>
    <row r="5341" spans="34:42">
      <c r="AH5341" s="6">
        <f t="shared" si="687"/>
        <v>5311</v>
      </c>
      <c r="AI5341" s="7">
        <f t="shared" ca="1" si="688"/>
        <v>47981</v>
      </c>
      <c r="AJ5341" s="210">
        <f t="shared" ca="1" si="684"/>
        <v>4.1749999999999998</v>
      </c>
      <c r="AK5341" s="8">
        <f t="shared" ca="1" si="686"/>
        <v>1.0001159722222221</v>
      </c>
      <c r="AL5341" s="98">
        <f t="shared" ca="1" si="685"/>
        <v>4.2038832641647872</v>
      </c>
      <c r="AM5341" s="106">
        <f t="shared" ca="1" si="682"/>
        <v>40570.258172447408</v>
      </c>
      <c r="AN5341" s="10">
        <f t="shared" ca="1" si="683"/>
        <v>1.1334496014156148</v>
      </c>
      <c r="AO5341" s="158"/>
      <c r="AP5341" s="158"/>
    </row>
    <row r="5342" spans="34:42">
      <c r="AH5342" s="6">
        <f t="shared" si="687"/>
        <v>5312</v>
      </c>
      <c r="AI5342" s="7">
        <f t="shared" ca="1" si="688"/>
        <v>47982</v>
      </c>
      <c r="AJ5342" s="210">
        <f t="shared" ca="1" si="684"/>
        <v>4.1749999999999998</v>
      </c>
      <c r="AK5342" s="8">
        <f t="shared" ca="1" si="686"/>
        <v>1.0001159722222221</v>
      </c>
      <c r="AL5342" s="98">
        <f t="shared" ca="1" si="685"/>
        <v>4.2039057879917463</v>
      </c>
      <c r="AM5342" s="106">
        <f t="shared" ca="1" si="682"/>
        <v>40573.601221326935</v>
      </c>
      <c r="AN5342" s="10">
        <f t="shared" ca="1" si="683"/>
        <v>1.1334682853594069</v>
      </c>
      <c r="AO5342" s="158"/>
      <c r="AP5342" s="158"/>
    </row>
    <row r="5343" spans="34:42">
      <c r="AH5343" s="6">
        <f t="shared" si="687"/>
        <v>5313</v>
      </c>
      <c r="AI5343" s="7">
        <f t="shared" ca="1" si="688"/>
        <v>47983</v>
      </c>
      <c r="AJ5343" s="210">
        <f t="shared" ca="1" si="684"/>
        <v>4.1749999999999998</v>
      </c>
      <c r="AK5343" s="8">
        <f t="shared" ca="1" si="686"/>
        <v>1.0001159722222221</v>
      </c>
      <c r="AL5343" s="98">
        <f t="shared" ca="1" si="685"/>
        <v>4.2039283033448172</v>
      </c>
      <c r="AM5343" s="106">
        <f t="shared" ref="AM5343:AM5406" ca="1" si="689">Geom_Interp(AI5343,$AZ$2:$AZ$109,$BA$2:$BA$109)</f>
        <v>40576.944545678598</v>
      </c>
      <c r="AN5343" s="10">
        <f t="shared" ref="AN5343:AN5406" ca="1" si="690">100*(((1+AL5343/100)^(AH5343/365)*$AM$29/AM5343)^(365/AH5343)-1)</f>
        <v>1.1334869622733557</v>
      </c>
      <c r="AO5343" s="158"/>
      <c r="AP5343" s="158"/>
    </row>
    <row r="5344" spans="34:42">
      <c r="AH5344" s="6">
        <f t="shared" si="687"/>
        <v>5314</v>
      </c>
      <c r="AI5344" s="7">
        <f t="shared" ca="1" si="688"/>
        <v>47984</v>
      </c>
      <c r="AJ5344" s="210">
        <f t="shared" ref="AJ5344:AJ5407" ca="1" si="691">IF(AH5344&lt;365,VLOOKUP(LOOKUP(AI5344,$AI$2:$AI$23),$AI$2:$AK$23,3,0),Lin_Interp(AH5344,$AJ$2:$AJ$23,$AK$2:$AK$23))</f>
        <v>4.1749999999999998</v>
      </c>
      <c r="AK5344" s="8">
        <f t="shared" ca="1" si="686"/>
        <v>1.0001159722222221</v>
      </c>
      <c r="AL5344" s="98">
        <f t="shared" ca="1" si="685"/>
        <v>4.2039508102287737</v>
      </c>
      <c r="AM5344" s="106">
        <f t="shared" ca="1" si="689"/>
        <v>40580.288145525097</v>
      </c>
      <c r="AN5344" s="10">
        <f t="shared" ca="1" si="690"/>
        <v>1.1335056321614356</v>
      </c>
      <c r="AO5344" s="158"/>
      <c r="AP5344" s="158"/>
    </row>
    <row r="5345" spans="34:42">
      <c r="AH5345" s="6">
        <f t="shared" si="687"/>
        <v>5315</v>
      </c>
      <c r="AI5345" s="7">
        <f t="shared" ca="1" si="688"/>
        <v>47985</v>
      </c>
      <c r="AJ5345" s="210">
        <f t="shared" ca="1" si="691"/>
        <v>4.1749999999999998</v>
      </c>
      <c r="AK5345" s="8">
        <f t="shared" ca="1" si="686"/>
        <v>1.0001159722222221</v>
      </c>
      <c r="AL5345" s="98">
        <f t="shared" ref="AL5345:AL5408" ca="1" si="692">100*(((1+AL5344/100)^(AH5344/365)*AK5345)^(365/AH5345)-1)</f>
        <v>4.2039733086483899</v>
      </c>
      <c r="AM5345" s="106">
        <f t="shared" ca="1" si="689"/>
        <v>40583.632020889141</v>
      </c>
      <c r="AN5345" s="10">
        <f t="shared" ca="1" si="690"/>
        <v>1.133524295027577</v>
      </c>
      <c r="AO5345" s="158"/>
      <c r="AP5345" s="158"/>
    </row>
    <row r="5346" spans="34:42">
      <c r="AH5346" s="6">
        <f t="shared" si="687"/>
        <v>5316</v>
      </c>
      <c r="AI5346" s="7">
        <f t="shared" ca="1" si="688"/>
        <v>47986</v>
      </c>
      <c r="AJ5346" s="210">
        <f t="shared" ca="1" si="691"/>
        <v>4.1749999999999998</v>
      </c>
      <c r="AK5346" s="8">
        <f t="shared" ca="1" si="686"/>
        <v>1.0001159722222221</v>
      </c>
      <c r="AL5346" s="98">
        <f t="shared" ca="1" si="692"/>
        <v>4.2039957986084397</v>
      </c>
      <c r="AM5346" s="106">
        <f t="shared" ca="1" si="689"/>
        <v>40586.976171793431</v>
      </c>
      <c r="AN5346" s="10">
        <f t="shared" ca="1" si="690"/>
        <v>1.1335429508757766</v>
      </c>
      <c r="AO5346" s="158"/>
      <c r="AP5346" s="158"/>
    </row>
    <row r="5347" spans="34:42">
      <c r="AH5347" s="6">
        <f t="shared" si="687"/>
        <v>5317</v>
      </c>
      <c r="AI5347" s="7">
        <f t="shared" ca="1" si="688"/>
        <v>47987</v>
      </c>
      <c r="AJ5347" s="210">
        <f t="shared" ca="1" si="691"/>
        <v>4.1749999999999998</v>
      </c>
      <c r="AK5347" s="8">
        <f t="shared" ca="1" si="686"/>
        <v>1.0001159722222221</v>
      </c>
      <c r="AL5347" s="98">
        <f t="shared" ca="1" si="692"/>
        <v>4.2040182801136972</v>
      </c>
      <c r="AM5347" s="106">
        <f t="shared" ca="1" si="689"/>
        <v>40590.32059826066</v>
      </c>
      <c r="AN5347" s="10">
        <f t="shared" ca="1" si="690"/>
        <v>1.1335615997099868</v>
      </c>
      <c r="AO5347" s="158"/>
      <c r="AP5347" s="158"/>
    </row>
    <row r="5348" spans="34:42">
      <c r="AH5348" s="6">
        <f t="shared" si="687"/>
        <v>5318</v>
      </c>
      <c r="AI5348" s="7">
        <f t="shared" ca="1" si="688"/>
        <v>47988</v>
      </c>
      <c r="AJ5348" s="210">
        <f t="shared" ca="1" si="691"/>
        <v>4.1749999999999998</v>
      </c>
      <c r="AK5348" s="8">
        <f t="shared" ref="AK5348:AK5411" ca="1" si="693">+(1+AJ5348/36000)</f>
        <v>1.0001159722222221</v>
      </c>
      <c r="AL5348" s="98">
        <f t="shared" ca="1" si="692"/>
        <v>4.2040407531689361</v>
      </c>
      <c r="AM5348" s="106">
        <f t="shared" ca="1" si="689"/>
        <v>40593.665300313543</v>
      </c>
      <c r="AN5348" s="10">
        <f t="shared" ca="1" si="690"/>
        <v>1.13358024153416</v>
      </c>
      <c r="AO5348" s="158"/>
      <c r="AP5348" s="158"/>
    </row>
    <row r="5349" spans="34:42">
      <c r="AH5349" s="6">
        <f t="shared" si="687"/>
        <v>5319</v>
      </c>
      <c r="AI5349" s="7">
        <f t="shared" ca="1" si="688"/>
        <v>47989</v>
      </c>
      <c r="AJ5349" s="210">
        <f t="shared" ca="1" si="691"/>
        <v>4.1749999999999998</v>
      </c>
      <c r="AK5349" s="8">
        <f t="shared" ca="1" si="693"/>
        <v>1.0001159722222221</v>
      </c>
      <c r="AL5349" s="98">
        <f t="shared" ca="1" si="692"/>
        <v>4.2040632177789083</v>
      </c>
      <c r="AM5349" s="106">
        <f t="shared" ca="1" si="689"/>
        <v>40597.01027797479</v>
      </c>
      <c r="AN5349" s="10">
        <f t="shared" ca="1" si="690"/>
        <v>1.1335988763522487</v>
      </c>
      <c r="AO5349" s="158"/>
      <c r="AP5349" s="158"/>
    </row>
    <row r="5350" spans="34:42">
      <c r="AH5350" s="6">
        <f t="shared" si="687"/>
        <v>5320</v>
      </c>
      <c r="AI5350" s="7">
        <f t="shared" ca="1" si="688"/>
        <v>47990</v>
      </c>
      <c r="AJ5350" s="210">
        <f t="shared" ca="1" si="691"/>
        <v>4.1749999999999998</v>
      </c>
      <c r="AK5350" s="8">
        <f t="shared" ca="1" si="693"/>
        <v>1.0001159722222221</v>
      </c>
      <c r="AL5350" s="98">
        <f t="shared" ca="1" si="692"/>
        <v>4.2040856739483878</v>
      </c>
      <c r="AM5350" s="106">
        <f t="shared" ca="1" si="689"/>
        <v>40600.355531267123</v>
      </c>
      <c r="AN5350" s="10">
        <f t="shared" ca="1" si="690"/>
        <v>1.1336175041682051</v>
      </c>
      <c r="AO5350" s="158"/>
      <c r="AP5350" s="158"/>
    </row>
    <row r="5351" spans="34:42">
      <c r="AH5351" s="6">
        <f t="shared" si="687"/>
        <v>5321</v>
      </c>
      <c r="AI5351" s="7">
        <f t="shared" ca="1" si="688"/>
        <v>47991</v>
      </c>
      <c r="AJ5351" s="210">
        <f t="shared" ca="1" si="691"/>
        <v>4.1749999999999998</v>
      </c>
      <c r="AK5351" s="8">
        <f t="shared" ca="1" si="693"/>
        <v>1.0001159722222221</v>
      </c>
      <c r="AL5351" s="98">
        <f t="shared" ca="1" si="692"/>
        <v>4.2041081216821263</v>
      </c>
      <c r="AM5351" s="106">
        <f t="shared" ca="1" si="689"/>
        <v>40603.701060213236</v>
      </c>
      <c r="AN5351" s="10">
        <f t="shared" ca="1" si="690"/>
        <v>1.1336361249859594</v>
      </c>
      <c r="AO5351" s="158"/>
      <c r="AP5351" s="158"/>
    </row>
    <row r="5352" spans="34:42">
      <c r="AH5352" s="6">
        <f t="shared" si="687"/>
        <v>5322</v>
      </c>
      <c r="AI5352" s="7">
        <f t="shared" ca="1" si="688"/>
        <v>47992</v>
      </c>
      <c r="AJ5352" s="210">
        <f t="shared" ca="1" si="691"/>
        <v>4.1749999999999998</v>
      </c>
      <c r="AK5352" s="8">
        <f t="shared" ca="1" si="693"/>
        <v>1.0001159722222221</v>
      </c>
      <c r="AL5352" s="98">
        <f t="shared" ca="1" si="692"/>
        <v>4.2041305609848756</v>
      </c>
      <c r="AM5352" s="106">
        <f t="shared" ca="1" si="689"/>
        <v>40607.046864835844</v>
      </c>
      <c r="AN5352" s="10">
        <f t="shared" ca="1" si="690"/>
        <v>1.1336547388094864</v>
      </c>
      <c r="AO5352" s="158"/>
      <c r="AP5352" s="158"/>
    </row>
    <row r="5353" spans="34:42">
      <c r="AH5353" s="6">
        <f t="shared" si="687"/>
        <v>5323</v>
      </c>
      <c r="AI5353" s="7">
        <f t="shared" ca="1" si="688"/>
        <v>47993</v>
      </c>
      <c r="AJ5353" s="210">
        <f t="shared" ca="1" si="691"/>
        <v>4.1749999999999998</v>
      </c>
      <c r="AK5353" s="8">
        <f t="shared" ca="1" si="693"/>
        <v>1.0001159722222221</v>
      </c>
      <c r="AL5353" s="98">
        <f t="shared" ca="1" si="692"/>
        <v>4.2041529918613652</v>
      </c>
      <c r="AM5353" s="106">
        <f t="shared" ca="1" si="689"/>
        <v>40610.39294515767</v>
      </c>
      <c r="AN5353" s="10">
        <f t="shared" ca="1" si="690"/>
        <v>1.1336733456426717</v>
      </c>
      <c r="AO5353" s="158"/>
      <c r="AP5353" s="158"/>
    </row>
    <row r="5354" spans="34:42">
      <c r="AH5354" s="6">
        <f t="shared" si="687"/>
        <v>5324</v>
      </c>
      <c r="AI5354" s="7">
        <f t="shared" ca="1" si="688"/>
        <v>47994</v>
      </c>
      <c r="AJ5354" s="210">
        <f t="shared" ca="1" si="691"/>
        <v>4.1749999999999998</v>
      </c>
      <c r="AK5354" s="8">
        <f t="shared" ca="1" si="693"/>
        <v>1.0001159722222221</v>
      </c>
      <c r="AL5354" s="98">
        <f t="shared" ca="1" si="692"/>
        <v>4.204175414316369</v>
      </c>
      <c r="AM5354" s="106">
        <f t="shared" ca="1" si="689"/>
        <v>40613.739301201436</v>
      </c>
      <c r="AN5354" s="10">
        <f t="shared" ca="1" si="690"/>
        <v>1.13369194548949</v>
      </c>
      <c r="AO5354" s="158"/>
      <c r="AP5354" s="158"/>
    </row>
    <row r="5355" spans="34:42">
      <c r="AH5355" s="6">
        <f t="shared" si="687"/>
        <v>5325</v>
      </c>
      <c r="AI5355" s="7">
        <f t="shared" ca="1" si="688"/>
        <v>47995</v>
      </c>
      <c r="AJ5355" s="210">
        <f t="shared" ca="1" si="691"/>
        <v>4.1749999999999998</v>
      </c>
      <c r="AK5355" s="8">
        <f t="shared" ca="1" si="693"/>
        <v>1.0001159722222221</v>
      </c>
      <c r="AL5355" s="98">
        <f t="shared" ca="1" si="692"/>
        <v>4.2041978283546166</v>
      </c>
      <c r="AM5355" s="106">
        <f t="shared" ca="1" si="689"/>
        <v>40617.085932989852</v>
      </c>
      <c r="AN5355" s="10">
        <f t="shared" ca="1" si="690"/>
        <v>1.1337105383538937</v>
      </c>
      <c r="AO5355" s="158"/>
      <c r="AP5355" s="158"/>
    </row>
    <row r="5356" spans="34:42">
      <c r="AH5356" s="6">
        <f t="shared" ref="AH5356:AH5419" si="694">$AI$29+AH5355</f>
        <v>5326</v>
      </c>
      <c r="AI5356" s="7">
        <f t="shared" ref="AI5356:AI5419" ca="1" si="695">+AH5356+$C$1</f>
        <v>47996</v>
      </c>
      <c r="AJ5356" s="210">
        <f t="shared" ca="1" si="691"/>
        <v>4.1749999999999998</v>
      </c>
      <c r="AK5356" s="8">
        <f t="shared" ca="1" si="693"/>
        <v>1.0001159722222221</v>
      </c>
      <c r="AL5356" s="98">
        <f t="shared" ca="1" si="692"/>
        <v>4.2042202339808377</v>
      </c>
      <c r="AM5356" s="106">
        <f t="shared" ca="1" si="689"/>
        <v>40620.432840545647</v>
      </c>
      <c r="AN5356" s="10">
        <f t="shared" ca="1" si="690"/>
        <v>1.1337291242397685</v>
      </c>
      <c r="AO5356" s="158"/>
      <c r="AP5356" s="158"/>
    </row>
    <row r="5357" spans="34:42">
      <c r="AH5357" s="6">
        <f t="shared" si="694"/>
        <v>5327</v>
      </c>
      <c r="AI5357" s="7">
        <f t="shared" ca="1" si="695"/>
        <v>47997</v>
      </c>
      <c r="AJ5357" s="210">
        <f t="shared" ca="1" si="691"/>
        <v>4.1749999999999998</v>
      </c>
      <c r="AK5357" s="8">
        <f t="shared" ca="1" si="693"/>
        <v>1.0001159722222221</v>
      </c>
      <c r="AL5357" s="98">
        <f t="shared" ca="1" si="692"/>
        <v>4.2042426311997616</v>
      </c>
      <c r="AM5357" s="106">
        <f t="shared" ca="1" si="689"/>
        <v>40623.780023891537</v>
      </c>
      <c r="AN5357" s="10">
        <f t="shared" ca="1" si="690"/>
        <v>1.1337477031510446</v>
      </c>
      <c r="AO5357" s="158"/>
      <c r="AP5357" s="158"/>
    </row>
    <row r="5358" spans="34:42">
      <c r="AH5358" s="6">
        <f t="shared" si="694"/>
        <v>5328</v>
      </c>
      <c r="AI5358" s="7">
        <f t="shared" ca="1" si="695"/>
        <v>47998</v>
      </c>
      <c r="AJ5358" s="210">
        <f t="shared" ca="1" si="691"/>
        <v>4.1749999999999998</v>
      </c>
      <c r="AK5358" s="8">
        <f t="shared" ca="1" si="693"/>
        <v>1.0001159722222221</v>
      </c>
      <c r="AL5358" s="98">
        <f t="shared" ca="1" si="692"/>
        <v>4.2042650200161402</v>
      </c>
      <c r="AM5358" s="106">
        <f t="shared" ca="1" si="689"/>
        <v>40627.127483050252</v>
      </c>
      <c r="AN5358" s="10">
        <f t="shared" ca="1" si="690"/>
        <v>1.1337662750916966</v>
      </c>
      <c r="AO5358" s="158"/>
      <c r="AP5358" s="158"/>
    </row>
    <row r="5359" spans="34:42">
      <c r="AH5359" s="6">
        <f t="shared" si="694"/>
        <v>5329</v>
      </c>
      <c r="AI5359" s="7">
        <f t="shared" ca="1" si="695"/>
        <v>47999</v>
      </c>
      <c r="AJ5359" s="210">
        <f t="shared" ca="1" si="691"/>
        <v>4.1749999999999998</v>
      </c>
      <c r="AK5359" s="8">
        <f t="shared" ca="1" si="693"/>
        <v>1.0001159722222221</v>
      </c>
      <c r="AL5359" s="98">
        <f t="shared" ca="1" si="692"/>
        <v>4.2042874004347031</v>
      </c>
      <c r="AM5359" s="106">
        <f t="shared" ca="1" si="689"/>
        <v>40630.475218044528</v>
      </c>
      <c r="AN5359" s="10">
        <f t="shared" ca="1" si="690"/>
        <v>1.1337848400656103</v>
      </c>
      <c r="AO5359" s="158"/>
      <c r="AP5359" s="158"/>
    </row>
    <row r="5360" spans="34:42">
      <c r="AH5360" s="6">
        <f t="shared" si="694"/>
        <v>5330</v>
      </c>
      <c r="AI5360" s="7">
        <f t="shared" ca="1" si="695"/>
        <v>48000</v>
      </c>
      <c r="AJ5360" s="210">
        <f t="shared" ca="1" si="691"/>
        <v>4.1749999999999998</v>
      </c>
      <c r="AK5360" s="8">
        <f t="shared" ca="1" si="693"/>
        <v>1.0001159722222221</v>
      </c>
      <c r="AL5360" s="98">
        <f t="shared" ca="1" si="692"/>
        <v>4.2043097724601575</v>
      </c>
      <c r="AM5360" s="106">
        <f t="shared" ca="1" si="689"/>
        <v>40633.823228897076</v>
      </c>
      <c r="AN5360" s="10">
        <f t="shared" ca="1" si="690"/>
        <v>1.1338033980766937</v>
      </c>
      <c r="AO5360" s="158"/>
      <c r="AP5360" s="158"/>
    </row>
    <row r="5361" spans="34:42">
      <c r="AH5361" s="6">
        <f t="shared" si="694"/>
        <v>5331</v>
      </c>
      <c r="AI5361" s="7">
        <f t="shared" ca="1" si="695"/>
        <v>48001</v>
      </c>
      <c r="AJ5361" s="210">
        <f t="shared" ca="1" si="691"/>
        <v>4.1749999999999998</v>
      </c>
      <c r="AK5361" s="8">
        <f t="shared" ca="1" si="693"/>
        <v>1.0001159722222221</v>
      </c>
      <c r="AL5361" s="98">
        <f t="shared" ca="1" si="692"/>
        <v>4.204332136097233</v>
      </c>
      <c r="AM5361" s="106">
        <f t="shared" ca="1" si="689"/>
        <v>40637.171515630645</v>
      </c>
      <c r="AN5361" s="10">
        <f t="shared" ca="1" si="690"/>
        <v>1.1338219491288992</v>
      </c>
      <c r="AO5361" s="158"/>
      <c r="AP5361" s="158"/>
    </row>
    <row r="5362" spans="34:42">
      <c r="AH5362" s="6">
        <f t="shared" si="694"/>
        <v>5332</v>
      </c>
      <c r="AI5362" s="7">
        <f t="shared" ca="1" si="695"/>
        <v>48002</v>
      </c>
      <c r="AJ5362" s="210">
        <f t="shared" ca="1" si="691"/>
        <v>4.1749999999999998</v>
      </c>
      <c r="AK5362" s="8">
        <f t="shared" ca="1" si="693"/>
        <v>1.0001159722222221</v>
      </c>
      <c r="AL5362" s="98">
        <f t="shared" ca="1" si="692"/>
        <v>4.204354491350637</v>
      </c>
      <c r="AM5362" s="106">
        <f t="shared" ca="1" si="689"/>
        <v>40640.52007826796</v>
      </c>
      <c r="AN5362" s="10">
        <f t="shared" ca="1" si="690"/>
        <v>1.1338404932261126</v>
      </c>
      <c r="AO5362" s="158"/>
      <c r="AP5362" s="158"/>
    </row>
    <row r="5363" spans="34:42">
      <c r="AH5363" s="6">
        <f t="shared" si="694"/>
        <v>5333</v>
      </c>
      <c r="AI5363" s="7">
        <f t="shared" ca="1" si="695"/>
        <v>48003</v>
      </c>
      <c r="AJ5363" s="210">
        <f t="shared" ca="1" si="691"/>
        <v>4.1749999999999998</v>
      </c>
      <c r="AK5363" s="8">
        <f t="shared" ca="1" si="693"/>
        <v>1.0001159722222221</v>
      </c>
      <c r="AL5363" s="98">
        <f t="shared" ca="1" si="692"/>
        <v>4.204376838225099</v>
      </c>
      <c r="AM5363" s="106">
        <f t="shared" ca="1" si="689"/>
        <v>40643.868916831751</v>
      </c>
      <c r="AN5363" s="10">
        <f t="shared" ca="1" si="690"/>
        <v>1.133859030372264</v>
      </c>
      <c r="AO5363" s="158"/>
      <c r="AP5363" s="158"/>
    </row>
    <row r="5364" spans="34:42">
      <c r="AH5364" s="6">
        <f t="shared" si="694"/>
        <v>5334</v>
      </c>
      <c r="AI5364" s="7">
        <f t="shared" ca="1" si="695"/>
        <v>48004</v>
      </c>
      <c r="AJ5364" s="210">
        <f t="shared" ca="1" si="691"/>
        <v>4.1749999999999998</v>
      </c>
      <c r="AK5364" s="8">
        <f t="shared" ca="1" si="693"/>
        <v>1.0001159722222221</v>
      </c>
      <c r="AL5364" s="98">
        <f t="shared" ca="1" si="692"/>
        <v>4.2043991767253264</v>
      </c>
      <c r="AM5364" s="106">
        <f t="shared" ca="1" si="689"/>
        <v>40647.218031344761</v>
      </c>
      <c r="AN5364" s="10">
        <f t="shared" ca="1" si="690"/>
        <v>1.1338775605712392</v>
      </c>
      <c r="AO5364" s="158"/>
      <c r="AP5364" s="158"/>
    </row>
    <row r="5365" spans="34:42">
      <c r="AH5365" s="6">
        <f t="shared" si="694"/>
        <v>5335</v>
      </c>
      <c r="AI5365" s="7">
        <f t="shared" ca="1" si="695"/>
        <v>48005</v>
      </c>
      <c r="AJ5365" s="210">
        <f t="shared" ca="1" si="691"/>
        <v>4.1749999999999998</v>
      </c>
      <c r="AK5365" s="8">
        <f t="shared" ca="1" si="693"/>
        <v>1.0001159722222221</v>
      </c>
      <c r="AL5365" s="98">
        <f t="shared" ca="1" si="692"/>
        <v>4.2044215068560042</v>
      </c>
      <c r="AM5365" s="106">
        <f t="shared" ca="1" si="689"/>
        <v>40650.567421829721</v>
      </c>
      <c r="AN5365" s="10">
        <f t="shared" ca="1" si="690"/>
        <v>1.1338960838269463</v>
      </c>
      <c r="AO5365" s="158"/>
      <c r="AP5365" s="158"/>
    </row>
    <row r="5366" spans="34:42">
      <c r="AH5366" s="6">
        <f t="shared" si="694"/>
        <v>5336</v>
      </c>
      <c r="AI5366" s="7">
        <f t="shared" ca="1" si="695"/>
        <v>48006</v>
      </c>
      <c r="AJ5366" s="210">
        <f t="shared" ca="1" si="691"/>
        <v>4.1749999999999998</v>
      </c>
      <c r="AK5366" s="8">
        <f t="shared" ca="1" si="693"/>
        <v>1.0001159722222221</v>
      </c>
      <c r="AL5366" s="98">
        <f t="shared" ca="1" si="692"/>
        <v>4.2044438286218622</v>
      </c>
      <c r="AM5366" s="106">
        <f t="shared" ca="1" si="689"/>
        <v>40653.917088309398</v>
      </c>
      <c r="AN5366" s="10">
        <f t="shared" ca="1" si="690"/>
        <v>1.1339146001433154</v>
      </c>
      <c r="AO5366" s="158"/>
      <c r="AP5366" s="158"/>
    </row>
    <row r="5367" spans="34:42">
      <c r="AH5367" s="6">
        <f t="shared" si="694"/>
        <v>5337</v>
      </c>
      <c r="AI5367" s="7">
        <f t="shared" ca="1" si="695"/>
        <v>48007</v>
      </c>
      <c r="AJ5367" s="210">
        <f t="shared" ca="1" si="691"/>
        <v>4.1749999999999998</v>
      </c>
      <c r="AK5367" s="8">
        <f t="shared" ca="1" si="693"/>
        <v>1.0001159722222221</v>
      </c>
      <c r="AL5367" s="98">
        <f t="shared" ca="1" si="692"/>
        <v>4.2044661420275853</v>
      </c>
      <c r="AM5367" s="106">
        <f t="shared" ca="1" si="689"/>
        <v>40657.267030806499</v>
      </c>
      <c r="AN5367" s="10">
        <f t="shared" ca="1" si="690"/>
        <v>1.13393310952421</v>
      </c>
      <c r="AO5367" s="158"/>
      <c r="AP5367" s="158"/>
    </row>
    <row r="5368" spans="34:42">
      <c r="AH5368" s="6">
        <f t="shared" si="694"/>
        <v>5338</v>
      </c>
      <c r="AI5368" s="7">
        <f t="shared" ca="1" si="695"/>
        <v>48008</v>
      </c>
      <c r="AJ5368" s="210">
        <f t="shared" ca="1" si="691"/>
        <v>4.1749999999999998</v>
      </c>
      <c r="AK5368" s="8">
        <f t="shared" ca="1" si="693"/>
        <v>1.0001159722222221</v>
      </c>
      <c r="AL5368" s="98">
        <f t="shared" ca="1" si="692"/>
        <v>4.2044884470778587</v>
      </c>
      <c r="AM5368" s="106">
        <f t="shared" ca="1" si="689"/>
        <v>40660.617249343784</v>
      </c>
      <c r="AN5368" s="10">
        <f t="shared" ca="1" si="690"/>
        <v>1.1339516119735382</v>
      </c>
      <c r="AO5368" s="158"/>
      <c r="AP5368" s="158"/>
    </row>
    <row r="5369" spans="34:42">
      <c r="AH5369" s="6">
        <f t="shared" si="694"/>
        <v>5339</v>
      </c>
      <c r="AI5369" s="7">
        <f t="shared" ca="1" si="695"/>
        <v>48009</v>
      </c>
      <c r="AJ5369" s="210">
        <f t="shared" ca="1" si="691"/>
        <v>4.1749999999999998</v>
      </c>
      <c r="AK5369" s="8">
        <f t="shared" ca="1" si="693"/>
        <v>1.0001159722222221</v>
      </c>
      <c r="AL5369" s="98">
        <f t="shared" ca="1" si="692"/>
        <v>4.2045107437773899</v>
      </c>
      <c r="AM5369" s="106">
        <f t="shared" ca="1" si="689"/>
        <v>40663.967743943998</v>
      </c>
      <c r="AN5369" s="10">
        <f t="shared" ca="1" si="690"/>
        <v>1.133970107495208</v>
      </c>
      <c r="AO5369" s="158"/>
      <c r="AP5369" s="158"/>
    </row>
    <row r="5370" spans="34:42">
      <c r="AH5370" s="6">
        <f t="shared" si="694"/>
        <v>5340</v>
      </c>
      <c r="AI5370" s="7">
        <f t="shared" ca="1" si="695"/>
        <v>48010</v>
      </c>
      <c r="AJ5370" s="210">
        <f t="shared" ca="1" si="691"/>
        <v>4.1749999999999998</v>
      </c>
      <c r="AK5370" s="8">
        <f t="shared" ca="1" si="693"/>
        <v>1.0001159722222221</v>
      </c>
      <c r="AL5370" s="98">
        <f t="shared" ca="1" si="692"/>
        <v>4.2045330321308638</v>
      </c>
      <c r="AM5370" s="106">
        <f t="shared" ca="1" si="689"/>
        <v>40667.318514629893</v>
      </c>
      <c r="AN5370" s="10">
        <f t="shared" ca="1" si="690"/>
        <v>1.1339885960930829</v>
      </c>
      <c r="AO5370" s="158"/>
      <c r="AP5370" s="158"/>
    </row>
    <row r="5371" spans="34:42">
      <c r="AH5371" s="6">
        <f t="shared" si="694"/>
        <v>5341</v>
      </c>
      <c r="AI5371" s="7">
        <f t="shared" ca="1" si="695"/>
        <v>48011</v>
      </c>
      <c r="AJ5371" s="210">
        <f t="shared" ca="1" si="691"/>
        <v>4.1749999999999998</v>
      </c>
      <c r="AK5371" s="8">
        <f t="shared" ca="1" si="693"/>
        <v>1.0001159722222221</v>
      </c>
      <c r="AL5371" s="98">
        <f t="shared" ca="1" si="692"/>
        <v>4.2045553121429657</v>
      </c>
      <c r="AM5371" s="106">
        <f t="shared" ca="1" si="689"/>
        <v>40670.669561424213</v>
      </c>
      <c r="AN5371" s="10">
        <f t="shared" ca="1" si="690"/>
        <v>1.1340070777710487</v>
      </c>
      <c r="AO5371" s="158"/>
      <c r="AP5371" s="158"/>
    </row>
    <row r="5372" spans="34:42">
      <c r="AH5372" s="6">
        <f t="shared" si="694"/>
        <v>5342</v>
      </c>
      <c r="AI5372" s="7">
        <f t="shared" ca="1" si="695"/>
        <v>48012</v>
      </c>
      <c r="AJ5372" s="210">
        <f t="shared" ca="1" si="691"/>
        <v>4.1749999999999998</v>
      </c>
      <c r="AK5372" s="8">
        <f t="shared" ca="1" si="693"/>
        <v>1.0001159722222221</v>
      </c>
      <c r="AL5372" s="98">
        <f t="shared" ca="1" si="692"/>
        <v>4.2045775838183808</v>
      </c>
      <c r="AM5372" s="106">
        <f t="shared" ca="1" si="689"/>
        <v>40674.020884349717</v>
      </c>
      <c r="AN5372" s="10">
        <f t="shared" ca="1" si="690"/>
        <v>1.1340255525330134</v>
      </c>
      <c r="AO5372" s="158"/>
      <c r="AP5372" s="158"/>
    </row>
    <row r="5373" spans="34:42">
      <c r="AH5373" s="6">
        <f t="shared" si="694"/>
        <v>5343</v>
      </c>
      <c r="AI5373" s="7">
        <f t="shared" ca="1" si="695"/>
        <v>48013</v>
      </c>
      <c r="AJ5373" s="210">
        <f t="shared" ca="1" si="691"/>
        <v>4.1749999999999998</v>
      </c>
      <c r="AK5373" s="8">
        <f t="shared" ca="1" si="693"/>
        <v>1.0001159722222221</v>
      </c>
      <c r="AL5373" s="98">
        <f t="shared" ca="1" si="692"/>
        <v>4.204599847161794</v>
      </c>
      <c r="AM5373" s="106">
        <f t="shared" ca="1" si="689"/>
        <v>40677.37248342915</v>
      </c>
      <c r="AN5373" s="10">
        <f t="shared" ca="1" si="690"/>
        <v>1.1340440203828628</v>
      </c>
      <c r="AO5373" s="158"/>
      <c r="AP5373" s="158"/>
    </row>
    <row r="5374" spans="34:42">
      <c r="AH5374" s="6">
        <f t="shared" si="694"/>
        <v>5344</v>
      </c>
      <c r="AI5374" s="7">
        <f t="shared" ca="1" si="695"/>
        <v>48014</v>
      </c>
      <c r="AJ5374" s="210">
        <f t="shared" ca="1" si="691"/>
        <v>4.1749999999999998</v>
      </c>
      <c r="AK5374" s="8">
        <f t="shared" ca="1" si="693"/>
        <v>1.0001159722222221</v>
      </c>
      <c r="AL5374" s="98">
        <f t="shared" ca="1" si="692"/>
        <v>4.2046221021778685</v>
      </c>
      <c r="AM5374" s="106">
        <f t="shared" ca="1" si="689"/>
        <v>40680.724358685278</v>
      </c>
      <c r="AN5374" s="10">
        <f t="shared" ca="1" si="690"/>
        <v>1.1340624813244604</v>
      </c>
      <c r="AO5374" s="158"/>
      <c r="AP5374" s="158"/>
    </row>
    <row r="5375" spans="34:42">
      <c r="AH5375" s="6">
        <f t="shared" si="694"/>
        <v>5345</v>
      </c>
      <c r="AI5375" s="7">
        <f t="shared" ca="1" si="695"/>
        <v>48015</v>
      </c>
      <c r="AJ5375" s="210">
        <f t="shared" ca="1" si="691"/>
        <v>4.1749999999999998</v>
      </c>
      <c r="AK5375" s="8">
        <f t="shared" ca="1" si="693"/>
        <v>1.0001159722222221</v>
      </c>
      <c r="AL5375" s="98">
        <f t="shared" ca="1" si="692"/>
        <v>4.2046443488712892</v>
      </c>
      <c r="AM5375" s="106">
        <f t="shared" ca="1" si="689"/>
        <v>40684.07651014084</v>
      </c>
      <c r="AN5375" s="10">
        <f t="shared" ca="1" si="690"/>
        <v>1.1340809353616921</v>
      </c>
      <c r="AO5375" s="158"/>
      <c r="AP5375" s="158"/>
    </row>
    <row r="5376" spans="34:42">
      <c r="AH5376" s="6">
        <f t="shared" si="694"/>
        <v>5346</v>
      </c>
      <c r="AI5376" s="7">
        <f t="shared" ca="1" si="695"/>
        <v>48016</v>
      </c>
      <c r="AJ5376" s="210">
        <f t="shared" ca="1" si="691"/>
        <v>4.1749999999999998</v>
      </c>
      <c r="AK5376" s="8">
        <f t="shared" ca="1" si="693"/>
        <v>1.0001159722222221</v>
      </c>
      <c r="AL5376" s="98">
        <f t="shared" ca="1" si="692"/>
        <v>4.2046665872466971</v>
      </c>
      <c r="AM5376" s="106">
        <f t="shared" ca="1" si="689"/>
        <v>40687.428937818615</v>
      </c>
      <c r="AN5376" s="10">
        <f t="shared" ca="1" si="690"/>
        <v>1.1340993824984213</v>
      </c>
      <c r="AO5376" s="158"/>
      <c r="AP5376" s="158"/>
    </row>
    <row r="5377" spans="34:42">
      <c r="AH5377" s="6">
        <f t="shared" si="694"/>
        <v>5347</v>
      </c>
      <c r="AI5377" s="7">
        <f t="shared" ca="1" si="695"/>
        <v>48017</v>
      </c>
      <c r="AJ5377" s="210">
        <f t="shared" ca="1" si="691"/>
        <v>4.1749999999999998</v>
      </c>
      <c r="AK5377" s="8">
        <f t="shared" ca="1" si="693"/>
        <v>1.0001159722222221</v>
      </c>
      <c r="AL5377" s="98">
        <f t="shared" ca="1" si="692"/>
        <v>4.2046888173087771</v>
      </c>
      <c r="AM5377" s="106">
        <f t="shared" ca="1" si="689"/>
        <v>40690.781641741356</v>
      </c>
      <c r="AN5377" s="10">
        <f t="shared" ca="1" si="690"/>
        <v>1.1341178227385118</v>
      </c>
      <c r="AO5377" s="158"/>
      <c r="AP5377" s="158"/>
    </row>
    <row r="5378" spans="34:42">
      <c r="AH5378" s="6">
        <f t="shared" si="694"/>
        <v>5348</v>
      </c>
      <c r="AI5378" s="7">
        <f t="shared" ca="1" si="695"/>
        <v>48018</v>
      </c>
      <c r="AJ5378" s="210">
        <f t="shared" ca="1" si="691"/>
        <v>4.1749999999999998</v>
      </c>
      <c r="AK5378" s="8">
        <f t="shared" ca="1" si="693"/>
        <v>1.0001159722222221</v>
      </c>
      <c r="AL5378" s="98">
        <f t="shared" ca="1" si="692"/>
        <v>4.2047110390621922</v>
      </c>
      <c r="AM5378" s="106">
        <f t="shared" ca="1" si="689"/>
        <v>40694.134621931822</v>
      </c>
      <c r="AN5378" s="10">
        <f t="shared" ca="1" si="690"/>
        <v>1.134136256085827</v>
      </c>
      <c r="AO5378" s="158"/>
      <c r="AP5378" s="158"/>
    </row>
    <row r="5379" spans="34:42">
      <c r="AH5379" s="6">
        <f t="shared" si="694"/>
        <v>5349</v>
      </c>
      <c r="AI5379" s="7">
        <f t="shared" ca="1" si="695"/>
        <v>48019</v>
      </c>
      <c r="AJ5379" s="210">
        <f t="shared" ca="1" si="691"/>
        <v>4.1749999999999998</v>
      </c>
      <c r="AK5379" s="8">
        <f t="shared" ca="1" si="693"/>
        <v>1.0001159722222221</v>
      </c>
      <c r="AL5379" s="98">
        <f t="shared" ca="1" si="692"/>
        <v>4.2047332525115833</v>
      </c>
      <c r="AM5379" s="106">
        <f t="shared" ca="1" si="689"/>
        <v>40697.48787841278</v>
      </c>
      <c r="AN5379" s="10">
        <f t="shared" ca="1" si="690"/>
        <v>1.1341546825442528</v>
      </c>
      <c r="AO5379" s="158"/>
      <c r="AP5379" s="158"/>
    </row>
    <row r="5380" spans="34:42">
      <c r="AH5380" s="6">
        <f t="shared" si="694"/>
        <v>5350</v>
      </c>
      <c r="AI5380" s="7">
        <f t="shared" ca="1" si="695"/>
        <v>48020</v>
      </c>
      <c r="AJ5380" s="210">
        <f t="shared" ca="1" si="691"/>
        <v>4.1749999999999998</v>
      </c>
      <c r="AK5380" s="8">
        <f t="shared" ca="1" si="693"/>
        <v>1.0001159722222221</v>
      </c>
      <c r="AL5380" s="98">
        <f t="shared" ca="1" si="692"/>
        <v>4.2047554576616131</v>
      </c>
      <c r="AM5380" s="106">
        <f t="shared" ca="1" si="689"/>
        <v>40700.84141120701</v>
      </c>
      <c r="AN5380" s="10">
        <f t="shared" ca="1" si="690"/>
        <v>1.1341731021176304</v>
      </c>
      <c r="AO5380" s="158"/>
      <c r="AP5380" s="158"/>
    </row>
    <row r="5381" spans="34:42">
      <c r="AH5381" s="6">
        <f t="shared" si="694"/>
        <v>5351</v>
      </c>
      <c r="AI5381" s="7">
        <f t="shared" ca="1" si="695"/>
        <v>48021</v>
      </c>
      <c r="AJ5381" s="210">
        <f t="shared" ca="1" si="691"/>
        <v>4.1749999999999998</v>
      </c>
      <c r="AK5381" s="8">
        <f t="shared" ca="1" si="693"/>
        <v>1.0001159722222221</v>
      </c>
      <c r="AL5381" s="98">
        <f t="shared" ca="1" si="692"/>
        <v>4.2047776545169446</v>
      </c>
      <c r="AM5381" s="106">
        <f t="shared" ca="1" si="689"/>
        <v>40704.195220337257</v>
      </c>
      <c r="AN5381" s="10">
        <f t="shared" ca="1" si="690"/>
        <v>1.1341915148098458</v>
      </c>
      <c r="AO5381" s="158"/>
      <c r="AP5381" s="158"/>
    </row>
    <row r="5382" spans="34:42">
      <c r="AH5382" s="6">
        <f t="shared" si="694"/>
        <v>5352</v>
      </c>
      <c r="AI5382" s="7">
        <f t="shared" ca="1" si="695"/>
        <v>48022</v>
      </c>
      <c r="AJ5382" s="210">
        <f t="shared" ca="1" si="691"/>
        <v>4.1749999999999998</v>
      </c>
      <c r="AK5382" s="8">
        <f t="shared" ca="1" si="693"/>
        <v>1.0001159722222221</v>
      </c>
      <c r="AL5382" s="98">
        <f t="shared" ca="1" si="692"/>
        <v>4.2047998430821965</v>
      </c>
      <c r="AM5382" s="106">
        <f t="shared" ca="1" si="689"/>
        <v>40707.549305826309</v>
      </c>
      <c r="AN5382" s="10">
        <f t="shared" ca="1" si="690"/>
        <v>1.1342099206246958</v>
      </c>
      <c r="AO5382" s="158"/>
      <c r="AP5382" s="158"/>
    </row>
    <row r="5383" spans="34:42">
      <c r="AH5383" s="6">
        <f t="shared" si="694"/>
        <v>5353</v>
      </c>
      <c r="AI5383" s="7">
        <f t="shared" ca="1" si="695"/>
        <v>48023</v>
      </c>
      <c r="AJ5383" s="210">
        <f t="shared" ca="1" si="691"/>
        <v>4.1749999999999998</v>
      </c>
      <c r="AK5383" s="8">
        <f t="shared" ca="1" si="693"/>
        <v>1.0001159722222221</v>
      </c>
      <c r="AL5383" s="98">
        <f t="shared" ca="1" si="692"/>
        <v>4.2048220233620315</v>
      </c>
      <c r="AM5383" s="106">
        <f t="shared" ca="1" si="689"/>
        <v>40710.903667696941</v>
      </c>
      <c r="AN5383" s="10">
        <f t="shared" ca="1" si="690"/>
        <v>1.1342283195660885</v>
      </c>
      <c r="AO5383" s="158"/>
      <c r="AP5383" s="158"/>
    </row>
    <row r="5384" spans="34:42">
      <c r="AH5384" s="6">
        <f t="shared" si="694"/>
        <v>5354</v>
      </c>
      <c r="AI5384" s="7">
        <f t="shared" ca="1" si="695"/>
        <v>48024</v>
      </c>
      <c r="AJ5384" s="210">
        <f t="shared" ca="1" si="691"/>
        <v>4.1749999999999998</v>
      </c>
      <c r="AK5384" s="8">
        <f t="shared" ca="1" si="693"/>
        <v>1.0001159722222221</v>
      </c>
      <c r="AL5384" s="98">
        <f t="shared" ca="1" si="692"/>
        <v>4.2048441953610904</v>
      </c>
      <c r="AM5384" s="106">
        <f t="shared" ca="1" si="689"/>
        <v>40714.258305971904</v>
      </c>
      <c r="AN5384" s="10">
        <f t="shared" ca="1" si="690"/>
        <v>1.1342467116378652</v>
      </c>
      <c r="AO5384" s="158"/>
      <c r="AP5384" s="158"/>
    </row>
    <row r="5385" spans="34:42">
      <c r="AH5385" s="6">
        <f t="shared" si="694"/>
        <v>5355</v>
      </c>
      <c r="AI5385" s="7">
        <f t="shared" ca="1" si="695"/>
        <v>48025</v>
      </c>
      <c r="AJ5385" s="210">
        <f t="shared" ca="1" si="691"/>
        <v>4.1749999999999998</v>
      </c>
      <c r="AK5385" s="8">
        <f t="shared" ca="1" si="693"/>
        <v>1.0001159722222221</v>
      </c>
      <c r="AL5385" s="98">
        <f t="shared" ca="1" si="692"/>
        <v>4.2048663590840141</v>
      </c>
      <c r="AM5385" s="106">
        <f t="shared" ca="1" si="689"/>
        <v>40717.613220674</v>
      </c>
      <c r="AN5385" s="10">
        <f t="shared" ca="1" si="690"/>
        <v>1.1342650968438672</v>
      </c>
      <c r="AO5385" s="158"/>
      <c r="AP5385" s="158"/>
    </row>
    <row r="5386" spans="34:42">
      <c r="AH5386" s="6">
        <f t="shared" si="694"/>
        <v>5356</v>
      </c>
      <c r="AI5386" s="7">
        <f t="shared" ca="1" si="695"/>
        <v>48026</v>
      </c>
      <c r="AJ5386" s="210">
        <f t="shared" ca="1" si="691"/>
        <v>4.1749999999999998</v>
      </c>
      <c r="AK5386" s="8">
        <f t="shared" ca="1" si="693"/>
        <v>1.0001159722222221</v>
      </c>
      <c r="AL5386" s="98">
        <f t="shared" ca="1" si="692"/>
        <v>4.2048885145354209</v>
      </c>
      <c r="AM5386" s="106">
        <f t="shared" ca="1" si="689"/>
        <v>40720.96841182599</v>
      </c>
      <c r="AN5386" s="10">
        <f t="shared" ca="1" si="690"/>
        <v>1.134283475187936</v>
      </c>
      <c r="AO5386" s="158"/>
      <c r="AP5386" s="158"/>
    </row>
    <row r="5387" spans="34:42">
      <c r="AH5387" s="6">
        <f t="shared" si="694"/>
        <v>5357</v>
      </c>
      <c r="AI5387" s="7">
        <f t="shared" ca="1" si="695"/>
        <v>48027</v>
      </c>
      <c r="AJ5387" s="210">
        <f t="shared" ca="1" si="691"/>
        <v>4.1749999999999998</v>
      </c>
      <c r="AK5387" s="8">
        <f t="shared" ca="1" si="693"/>
        <v>1.0001159722222221</v>
      </c>
      <c r="AL5387" s="98">
        <f t="shared" ca="1" si="692"/>
        <v>4.2049106617199516</v>
      </c>
      <c r="AM5387" s="106">
        <f t="shared" ca="1" si="689"/>
        <v>40724.323879450661</v>
      </c>
      <c r="AN5387" s="10">
        <f t="shared" ca="1" si="690"/>
        <v>1.134301846673913</v>
      </c>
      <c r="AO5387" s="158"/>
      <c r="AP5387" s="158"/>
    </row>
    <row r="5388" spans="34:42">
      <c r="AH5388" s="6">
        <f t="shared" si="694"/>
        <v>5358</v>
      </c>
      <c r="AI5388" s="7">
        <f t="shared" ca="1" si="695"/>
        <v>48028</v>
      </c>
      <c r="AJ5388" s="210">
        <f t="shared" ca="1" si="691"/>
        <v>4.1749999999999998</v>
      </c>
      <c r="AK5388" s="8">
        <f t="shared" ca="1" si="693"/>
        <v>1.0001159722222221</v>
      </c>
      <c r="AL5388" s="98">
        <f t="shared" ca="1" si="692"/>
        <v>4.2049328006422249</v>
      </c>
      <c r="AM5388" s="106">
        <f t="shared" ca="1" si="689"/>
        <v>40727.679623570803</v>
      </c>
      <c r="AN5388" s="10">
        <f t="shared" ca="1" si="690"/>
        <v>1.1343202113056172</v>
      </c>
      <c r="AO5388" s="158"/>
      <c r="AP5388" s="158"/>
    </row>
    <row r="5389" spans="34:42">
      <c r="AH5389" s="6">
        <f t="shared" si="694"/>
        <v>5359</v>
      </c>
      <c r="AI5389" s="7">
        <f t="shared" ca="1" si="695"/>
        <v>48029</v>
      </c>
      <c r="AJ5389" s="210">
        <f t="shared" ca="1" si="691"/>
        <v>4.1749999999999998</v>
      </c>
      <c r="AK5389" s="8">
        <f t="shared" ca="1" si="693"/>
        <v>1.0001159722222221</v>
      </c>
      <c r="AL5389" s="98">
        <f t="shared" ca="1" si="692"/>
        <v>4.204954931306859</v>
      </c>
      <c r="AM5389" s="106">
        <f t="shared" ca="1" si="689"/>
        <v>40731.03564420918</v>
      </c>
      <c r="AN5389" s="10">
        <f t="shared" ca="1" si="690"/>
        <v>1.1343385690869123</v>
      </c>
      <c r="AO5389" s="158"/>
      <c r="AP5389" s="158"/>
    </row>
    <row r="5390" spans="34:42">
      <c r="AH5390" s="6">
        <f t="shared" si="694"/>
        <v>5360</v>
      </c>
      <c r="AI5390" s="7">
        <f t="shared" ca="1" si="695"/>
        <v>48030</v>
      </c>
      <c r="AJ5390" s="210">
        <f t="shared" ca="1" si="691"/>
        <v>4.1749999999999998</v>
      </c>
      <c r="AK5390" s="8">
        <f t="shared" ca="1" si="693"/>
        <v>1.0001159722222221</v>
      </c>
      <c r="AL5390" s="98">
        <f t="shared" ca="1" si="692"/>
        <v>4.204977053718495</v>
      </c>
      <c r="AM5390" s="106">
        <f t="shared" ca="1" si="689"/>
        <v>40734.391941388603</v>
      </c>
      <c r="AN5390" s="10">
        <f t="shared" ca="1" si="690"/>
        <v>1.1343569200216175</v>
      </c>
      <c r="AO5390" s="158"/>
      <c r="AP5390" s="158"/>
    </row>
    <row r="5391" spans="34:42">
      <c r="AH5391" s="6">
        <f t="shared" si="694"/>
        <v>5361</v>
      </c>
      <c r="AI5391" s="7">
        <f t="shared" ca="1" si="695"/>
        <v>48031</v>
      </c>
      <c r="AJ5391" s="210">
        <f t="shared" ca="1" si="691"/>
        <v>4.1749999999999998</v>
      </c>
      <c r="AK5391" s="8">
        <f t="shared" ca="1" si="693"/>
        <v>1.0001159722222221</v>
      </c>
      <c r="AL5391" s="98">
        <f t="shared" ca="1" si="692"/>
        <v>4.2049991678817289</v>
      </c>
      <c r="AM5391" s="106">
        <f t="shared" ca="1" si="689"/>
        <v>40737.748515131832</v>
      </c>
      <c r="AN5391" s="10">
        <f t="shared" ca="1" si="690"/>
        <v>1.134375264113574</v>
      </c>
      <c r="AO5391" s="158"/>
      <c r="AP5391" s="158"/>
    </row>
    <row r="5392" spans="34:42">
      <c r="AH5392" s="6">
        <f t="shared" si="694"/>
        <v>5362</v>
      </c>
      <c r="AI5392" s="7">
        <f t="shared" ca="1" si="695"/>
        <v>48032</v>
      </c>
      <c r="AJ5392" s="210">
        <f t="shared" ca="1" si="691"/>
        <v>4.1749999999999998</v>
      </c>
      <c r="AK5392" s="8">
        <f t="shared" ca="1" si="693"/>
        <v>1.0001159722222221</v>
      </c>
      <c r="AL5392" s="98">
        <f t="shared" ca="1" si="692"/>
        <v>4.2050212738011794</v>
      </c>
      <c r="AM5392" s="106">
        <f t="shared" ca="1" si="689"/>
        <v>40741.10536546167</v>
      </c>
      <c r="AN5392" s="10">
        <f t="shared" ca="1" si="690"/>
        <v>1.1343936013666012</v>
      </c>
      <c r="AO5392" s="158"/>
      <c r="AP5392" s="158"/>
    </row>
    <row r="5393" spans="34:42">
      <c r="AH5393" s="6">
        <f t="shared" si="694"/>
        <v>5363</v>
      </c>
      <c r="AI5393" s="7">
        <f t="shared" ca="1" si="695"/>
        <v>48033</v>
      </c>
      <c r="AJ5393" s="210">
        <f t="shared" ca="1" si="691"/>
        <v>4.1749999999999998</v>
      </c>
      <c r="AK5393" s="8">
        <f t="shared" ca="1" si="693"/>
        <v>1.0001159722222221</v>
      </c>
      <c r="AL5393" s="98">
        <f t="shared" ca="1" si="692"/>
        <v>4.2050433714814428</v>
      </c>
      <c r="AM5393" s="106">
        <f t="shared" ca="1" si="689"/>
        <v>40744.462492400911</v>
      </c>
      <c r="AN5393" s="10">
        <f t="shared" ca="1" si="690"/>
        <v>1.1344119317844958</v>
      </c>
      <c r="AO5393" s="158"/>
      <c r="AP5393" s="158"/>
    </row>
    <row r="5394" spans="34:42">
      <c r="AH5394" s="6">
        <f t="shared" si="694"/>
        <v>5364</v>
      </c>
      <c r="AI5394" s="7">
        <f t="shared" ca="1" si="695"/>
        <v>48034</v>
      </c>
      <c r="AJ5394" s="210">
        <f t="shared" ca="1" si="691"/>
        <v>4.1749999999999998</v>
      </c>
      <c r="AK5394" s="8">
        <f t="shared" ca="1" si="693"/>
        <v>1.0001159722222221</v>
      </c>
      <c r="AL5394" s="98">
        <f t="shared" ca="1" si="692"/>
        <v>4.2050654609271376</v>
      </c>
      <c r="AM5394" s="106">
        <f t="shared" ca="1" si="689"/>
        <v>40747.819895972338</v>
      </c>
      <c r="AN5394" s="10">
        <f t="shared" ca="1" si="690"/>
        <v>1.1344302553711216</v>
      </c>
      <c r="AO5394" s="158"/>
      <c r="AP5394" s="158"/>
    </row>
    <row r="5395" spans="34:42">
      <c r="AH5395" s="6">
        <f t="shared" si="694"/>
        <v>5365</v>
      </c>
      <c r="AI5395" s="7">
        <f t="shared" ca="1" si="695"/>
        <v>48035</v>
      </c>
      <c r="AJ5395" s="210">
        <f t="shared" ca="1" si="691"/>
        <v>4.1749999999999998</v>
      </c>
      <c r="AK5395" s="8">
        <f t="shared" ca="1" si="693"/>
        <v>1.0001159722222221</v>
      </c>
      <c r="AL5395" s="98">
        <f t="shared" ca="1" si="692"/>
        <v>4.2050875421428602</v>
      </c>
      <c r="AM5395" s="106">
        <f t="shared" ca="1" si="689"/>
        <v>40751.177576198759</v>
      </c>
      <c r="AN5395" s="10">
        <f t="shared" ca="1" si="690"/>
        <v>1.1344485721302755</v>
      </c>
      <c r="AO5395" s="158"/>
      <c r="AP5395" s="158"/>
    </row>
    <row r="5396" spans="34:42">
      <c r="AH5396" s="6">
        <f t="shared" si="694"/>
        <v>5366</v>
      </c>
      <c r="AI5396" s="7">
        <f t="shared" ca="1" si="695"/>
        <v>48036</v>
      </c>
      <c r="AJ5396" s="210">
        <f t="shared" ca="1" si="691"/>
        <v>4.1749999999999998</v>
      </c>
      <c r="AK5396" s="8">
        <f t="shared" ca="1" si="693"/>
        <v>1.0001159722222221</v>
      </c>
      <c r="AL5396" s="98">
        <f t="shared" ca="1" si="692"/>
        <v>4.2051096151332068</v>
      </c>
      <c r="AM5396" s="106">
        <f t="shared" ca="1" si="689"/>
        <v>40754.535533102957</v>
      </c>
      <c r="AN5396" s="10">
        <f t="shared" ca="1" si="690"/>
        <v>1.1344668820657544</v>
      </c>
      <c r="AO5396" s="158"/>
      <c r="AP5396" s="158"/>
    </row>
    <row r="5397" spans="34:42">
      <c r="AH5397" s="6">
        <f t="shared" si="694"/>
        <v>5367</v>
      </c>
      <c r="AI5397" s="7">
        <f t="shared" ca="1" si="695"/>
        <v>48037</v>
      </c>
      <c r="AJ5397" s="210">
        <f t="shared" ca="1" si="691"/>
        <v>4.1749999999999998</v>
      </c>
      <c r="AK5397" s="8">
        <f t="shared" ca="1" si="693"/>
        <v>1.0001159722222221</v>
      </c>
      <c r="AL5397" s="98">
        <f t="shared" ca="1" si="692"/>
        <v>4.205131679902796</v>
      </c>
      <c r="AM5397" s="106">
        <f t="shared" ca="1" si="689"/>
        <v>40757.893766707748</v>
      </c>
      <c r="AN5397" s="10">
        <f t="shared" ca="1" si="690"/>
        <v>1.1344851851814219</v>
      </c>
      <c r="AO5397" s="158"/>
      <c r="AP5397" s="158"/>
    </row>
    <row r="5398" spans="34:42">
      <c r="AH5398" s="6">
        <f t="shared" si="694"/>
        <v>5368</v>
      </c>
      <c r="AI5398" s="7">
        <f t="shared" ca="1" si="695"/>
        <v>48038</v>
      </c>
      <c r="AJ5398" s="210">
        <f t="shared" ca="1" si="691"/>
        <v>4.1749999999999998</v>
      </c>
      <c r="AK5398" s="8">
        <f t="shared" ca="1" si="693"/>
        <v>1.0001159722222221</v>
      </c>
      <c r="AL5398" s="98">
        <f t="shared" ca="1" si="692"/>
        <v>4.2051537364562019</v>
      </c>
      <c r="AM5398" s="106">
        <f t="shared" ca="1" si="689"/>
        <v>40761.252277035914</v>
      </c>
      <c r="AN5398" s="10">
        <f t="shared" ca="1" si="690"/>
        <v>1.1345034814810528</v>
      </c>
      <c r="AO5398" s="158"/>
      <c r="AP5398" s="158"/>
    </row>
    <row r="5399" spans="34:42">
      <c r="AH5399" s="6">
        <f t="shared" si="694"/>
        <v>5369</v>
      </c>
      <c r="AI5399" s="7">
        <f t="shared" ca="1" si="695"/>
        <v>48039</v>
      </c>
      <c r="AJ5399" s="210">
        <f t="shared" ca="1" si="691"/>
        <v>4.1749999999999998</v>
      </c>
      <c r="AK5399" s="8">
        <f t="shared" ca="1" si="693"/>
        <v>1.0001159722222221</v>
      </c>
      <c r="AL5399" s="98">
        <f t="shared" ca="1" si="692"/>
        <v>4.2051757847979987</v>
      </c>
      <c r="AM5399" s="106">
        <f t="shared" ca="1" si="689"/>
        <v>40764.611064110264</v>
      </c>
      <c r="AN5399" s="10">
        <f t="shared" ca="1" si="690"/>
        <v>1.1345217709684441</v>
      </c>
      <c r="AO5399" s="158"/>
      <c r="AP5399" s="158"/>
    </row>
    <row r="5400" spans="34:42">
      <c r="AH5400" s="6">
        <f t="shared" si="694"/>
        <v>5370</v>
      </c>
      <c r="AI5400" s="7">
        <f t="shared" ca="1" si="695"/>
        <v>48040</v>
      </c>
      <c r="AJ5400" s="210">
        <f t="shared" ca="1" si="691"/>
        <v>4.1749999999999998</v>
      </c>
      <c r="AK5400" s="8">
        <f t="shared" ca="1" si="693"/>
        <v>1.0001159722222221</v>
      </c>
      <c r="AL5400" s="98">
        <f t="shared" ca="1" si="692"/>
        <v>4.2051978249327826</v>
      </c>
      <c r="AM5400" s="106">
        <f t="shared" ca="1" si="689"/>
        <v>40767.970127953602</v>
      </c>
      <c r="AN5400" s="10">
        <f t="shared" ca="1" si="690"/>
        <v>1.1345400536474148</v>
      </c>
      <c r="AO5400" s="158"/>
      <c r="AP5400" s="158"/>
    </row>
    <row r="5401" spans="34:42">
      <c r="AH5401" s="6">
        <f t="shared" si="694"/>
        <v>5371</v>
      </c>
      <c r="AI5401" s="7">
        <f t="shared" ca="1" si="695"/>
        <v>48041</v>
      </c>
      <c r="AJ5401" s="210">
        <f t="shared" ca="1" si="691"/>
        <v>4.1749999999999998</v>
      </c>
      <c r="AK5401" s="8">
        <f t="shared" ca="1" si="693"/>
        <v>1.0001159722222221</v>
      </c>
      <c r="AL5401" s="98">
        <f t="shared" ca="1" si="692"/>
        <v>4.20521985686515</v>
      </c>
      <c r="AM5401" s="106">
        <f t="shared" ca="1" si="689"/>
        <v>40771.329468588745</v>
      </c>
      <c r="AN5401" s="10">
        <f t="shared" ca="1" si="690"/>
        <v>1.1345583295217843</v>
      </c>
      <c r="AO5401" s="158"/>
      <c r="AP5401" s="158"/>
    </row>
    <row r="5402" spans="34:42">
      <c r="AH5402" s="6">
        <f t="shared" si="694"/>
        <v>5372</v>
      </c>
      <c r="AI5402" s="7">
        <f t="shared" ca="1" si="695"/>
        <v>48042</v>
      </c>
      <c r="AJ5402" s="210">
        <f t="shared" ca="1" si="691"/>
        <v>4.1749999999999998</v>
      </c>
      <c r="AK5402" s="8">
        <f t="shared" ca="1" si="693"/>
        <v>1.0001159722222221</v>
      </c>
      <c r="AL5402" s="98">
        <f t="shared" ca="1" si="692"/>
        <v>4.2052418805996528</v>
      </c>
      <c r="AM5402" s="106">
        <f t="shared" ca="1" si="689"/>
        <v>40774.689086038481</v>
      </c>
      <c r="AN5402" s="10">
        <f t="shared" ca="1" si="690"/>
        <v>1.1345765985953049</v>
      </c>
      <c r="AO5402" s="158"/>
      <c r="AP5402" s="158"/>
    </row>
    <row r="5403" spans="34:42">
      <c r="AH5403" s="6">
        <f t="shared" si="694"/>
        <v>5373</v>
      </c>
      <c r="AI5403" s="7">
        <f t="shared" ca="1" si="695"/>
        <v>48043</v>
      </c>
      <c r="AJ5403" s="210">
        <f t="shared" ca="1" si="691"/>
        <v>4.1749999999999998</v>
      </c>
      <c r="AK5403" s="8">
        <f t="shared" ca="1" si="693"/>
        <v>1.0001159722222221</v>
      </c>
      <c r="AL5403" s="98">
        <f t="shared" ca="1" si="692"/>
        <v>4.2052638961408872</v>
      </c>
      <c r="AM5403" s="106">
        <f t="shared" ca="1" si="689"/>
        <v>40778.048980325642</v>
      </c>
      <c r="AN5403" s="10">
        <f t="shared" ca="1" si="690"/>
        <v>1.134594860871796</v>
      </c>
      <c r="AO5403" s="158"/>
      <c r="AP5403" s="158"/>
    </row>
    <row r="5404" spans="34:42">
      <c r="AH5404" s="6">
        <f t="shared" si="694"/>
        <v>5374</v>
      </c>
      <c r="AI5404" s="7">
        <f t="shared" ca="1" si="695"/>
        <v>48044</v>
      </c>
      <c r="AJ5404" s="210">
        <f t="shared" ca="1" si="691"/>
        <v>4.1749999999999998</v>
      </c>
      <c r="AK5404" s="8">
        <f t="shared" ca="1" si="693"/>
        <v>1.0001159722222221</v>
      </c>
      <c r="AL5404" s="98">
        <f t="shared" ca="1" si="692"/>
        <v>4.2052859034934276</v>
      </c>
      <c r="AM5404" s="106">
        <f t="shared" ca="1" si="689"/>
        <v>40781.409151473017</v>
      </c>
      <c r="AN5404" s="10">
        <f t="shared" ca="1" si="690"/>
        <v>1.1346131163550988</v>
      </c>
      <c r="AO5404" s="158"/>
      <c r="AP5404" s="158"/>
    </row>
    <row r="5405" spans="34:42">
      <c r="AH5405" s="6">
        <f t="shared" si="694"/>
        <v>5375</v>
      </c>
      <c r="AI5405" s="7">
        <f t="shared" ca="1" si="695"/>
        <v>48045</v>
      </c>
      <c r="AJ5405" s="210">
        <f t="shared" ca="1" si="691"/>
        <v>4.1749999999999998</v>
      </c>
      <c r="AK5405" s="8">
        <f t="shared" ca="1" si="693"/>
        <v>1.0001159722222221</v>
      </c>
      <c r="AL5405" s="98">
        <f t="shared" ca="1" si="692"/>
        <v>4.2053079026618256</v>
      </c>
      <c r="AM5405" s="106">
        <f t="shared" ca="1" si="689"/>
        <v>40784.769599503445</v>
      </c>
      <c r="AN5405" s="10">
        <f t="shared" ca="1" si="690"/>
        <v>1.1346313650489215</v>
      </c>
      <c r="AO5405" s="158"/>
      <c r="AP5405" s="158"/>
    </row>
    <row r="5406" spans="34:42">
      <c r="AH5406" s="6">
        <f t="shared" si="694"/>
        <v>5376</v>
      </c>
      <c r="AI5406" s="7">
        <f t="shared" ca="1" si="695"/>
        <v>48046</v>
      </c>
      <c r="AJ5406" s="210">
        <f t="shared" ca="1" si="691"/>
        <v>4.1749999999999998</v>
      </c>
      <c r="AK5406" s="8">
        <f t="shared" ca="1" si="693"/>
        <v>1.0001159722222221</v>
      </c>
      <c r="AL5406" s="98">
        <f t="shared" ca="1" si="692"/>
        <v>4.2053298936506556</v>
      </c>
      <c r="AM5406" s="106">
        <f t="shared" ca="1" si="689"/>
        <v>40788.130324439713</v>
      </c>
      <c r="AN5406" s="10">
        <f t="shared" ca="1" si="690"/>
        <v>1.1346496069571055</v>
      </c>
      <c r="AO5406" s="158"/>
      <c r="AP5406" s="158"/>
    </row>
    <row r="5407" spans="34:42">
      <c r="AH5407" s="6">
        <f t="shared" si="694"/>
        <v>5377</v>
      </c>
      <c r="AI5407" s="7">
        <f t="shared" ca="1" si="695"/>
        <v>48047</v>
      </c>
      <c r="AJ5407" s="210">
        <f t="shared" ca="1" si="691"/>
        <v>4.1749999999999998</v>
      </c>
      <c r="AK5407" s="8">
        <f t="shared" ca="1" si="693"/>
        <v>1.0001159722222221</v>
      </c>
      <c r="AL5407" s="98">
        <f t="shared" ca="1" si="692"/>
        <v>4.2053518764644693</v>
      </c>
      <c r="AM5407" s="106">
        <f t="shared" ref="AM5407:AM5430" ca="1" si="696">Geom_Interp(AI5407,$AZ$2:$AZ$109,$BA$2:$BA$109)</f>
        <v>40791.491326304662</v>
      </c>
      <c r="AN5407" s="10">
        <f t="shared" ref="AN5407:AN5430" ca="1" si="697">100*(((1+AL5407/100)^(AH5407/365)*$AM$29/AM5407)^(365/AH5407)-1)</f>
        <v>1.1346678420834033</v>
      </c>
      <c r="AO5407" s="158"/>
      <c r="AP5407" s="158"/>
    </row>
    <row r="5408" spans="34:42">
      <c r="AH5408" s="6">
        <f t="shared" si="694"/>
        <v>5378</v>
      </c>
      <c r="AI5408" s="7">
        <f t="shared" ca="1" si="695"/>
        <v>48048</v>
      </c>
      <c r="AJ5408" s="210">
        <f t="shared" ref="AJ5408:AJ5430" ca="1" si="698">IF(AH5408&lt;365,VLOOKUP(LOOKUP(AI5408,$AI$2:$AI$23),$AI$2:$AK$23,3,0),Lin_Interp(AH5408,$AJ$2:$AJ$23,$AK$2:$AK$23))</f>
        <v>4.1749999999999998</v>
      </c>
      <c r="AK5408" s="8">
        <f t="shared" ca="1" si="693"/>
        <v>1.0001159722222221</v>
      </c>
      <c r="AL5408" s="98">
        <f t="shared" ca="1" si="692"/>
        <v>4.2053738511078187</v>
      </c>
      <c r="AM5408" s="106">
        <f t="shared" ca="1" si="696"/>
        <v>40794.852605121101</v>
      </c>
      <c r="AN5408" s="10">
        <f t="shared" ca="1" si="697"/>
        <v>1.1346860704315898</v>
      </c>
      <c r="AO5408" s="158"/>
      <c r="AP5408" s="158"/>
    </row>
    <row r="5409" spans="34:42">
      <c r="AH5409" s="6">
        <f t="shared" si="694"/>
        <v>5379</v>
      </c>
      <c r="AI5409" s="7">
        <f t="shared" ca="1" si="695"/>
        <v>48049</v>
      </c>
      <c r="AJ5409" s="210">
        <f t="shared" ca="1" si="698"/>
        <v>4.1749999999999998</v>
      </c>
      <c r="AK5409" s="8">
        <f t="shared" ca="1" si="693"/>
        <v>1.0001159722222221</v>
      </c>
      <c r="AL5409" s="98">
        <f t="shared" ref="AL5409:AL5430" ca="1" si="699">100*(((1+AL5408/100)^(AH5408/365)*AK5409)^(365/AH5409)-1)</f>
        <v>4.2053958175852779</v>
      </c>
      <c r="AM5409" s="106">
        <f t="shared" ca="1" si="696"/>
        <v>40798.214160911855</v>
      </c>
      <c r="AN5409" s="10">
        <f t="shared" ca="1" si="697"/>
        <v>1.1347042920054839</v>
      </c>
      <c r="AO5409" s="158"/>
      <c r="AP5409" s="158"/>
    </row>
    <row r="5410" spans="34:42">
      <c r="AH5410" s="6">
        <f t="shared" si="694"/>
        <v>5380</v>
      </c>
      <c r="AI5410" s="7">
        <f t="shared" ca="1" si="695"/>
        <v>48050</v>
      </c>
      <c r="AJ5410" s="210">
        <f t="shared" ca="1" si="698"/>
        <v>4.1749999999999998</v>
      </c>
      <c r="AK5410" s="8">
        <f t="shared" ca="1" si="693"/>
        <v>1.0001159722222221</v>
      </c>
      <c r="AL5410" s="98">
        <f t="shared" ca="1" si="699"/>
        <v>4.2054177759013767</v>
      </c>
      <c r="AM5410" s="106">
        <f t="shared" ca="1" si="696"/>
        <v>40801.575993699749</v>
      </c>
      <c r="AN5410" s="10">
        <f t="shared" ca="1" si="697"/>
        <v>1.1347225068088385</v>
      </c>
      <c r="AO5410" s="158"/>
      <c r="AP5410" s="158"/>
    </row>
    <row r="5411" spans="34:42">
      <c r="AH5411" s="6">
        <f t="shared" si="694"/>
        <v>5381</v>
      </c>
      <c r="AI5411" s="7">
        <f t="shared" ca="1" si="695"/>
        <v>48051</v>
      </c>
      <c r="AJ5411" s="210">
        <f t="shared" ca="1" si="698"/>
        <v>4.1749999999999998</v>
      </c>
      <c r="AK5411" s="8">
        <f t="shared" ca="1" si="693"/>
        <v>1.0001159722222221</v>
      </c>
      <c r="AL5411" s="98">
        <f t="shared" ca="1" si="699"/>
        <v>4.2054397260606891</v>
      </c>
      <c r="AM5411" s="106">
        <f t="shared" ca="1" si="696"/>
        <v>40804.9381035076</v>
      </c>
      <c r="AN5411" s="10">
        <f t="shared" ca="1" si="697"/>
        <v>1.134740714845428</v>
      </c>
      <c r="AO5411" s="158"/>
      <c r="AP5411" s="158"/>
    </row>
    <row r="5412" spans="34:42">
      <c r="AH5412" s="6">
        <f t="shared" si="694"/>
        <v>5382</v>
      </c>
      <c r="AI5412" s="7">
        <f t="shared" ca="1" si="695"/>
        <v>48052</v>
      </c>
      <c r="AJ5412" s="210">
        <f t="shared" ca="1" si="698"/>
        <v>4.1749999999999998</v>
      </c>
      <c r="AK5412" s="8">
        <f t="shared" ref="AK5412:AK5430" ca="1" si="700">+(1+AJ5412/36000)</f>
        <v>1.0001159722222221</v>
      </c>
      <c r="AL5412" s="98">
        <f t="shared" ca="1" si="699"/>
        <v>4.2054616680677448</v>
      </c>
      <c r="AM5412" s="106">
        <f t="shared" ca="1" si="696"/>
        <v>40808.300490358233</v>
      </c>
      <c r="AN5412" s="10">
        <f t="shared" ca="1" si="697"/>
        <v>1.1347589161190275</v>
      </c>
      <c r="AO5412" s="158"/>
      <c r="AP5412" s="158"/>
    </row>
    <row r="5413" spans="34:42">
      <c r="AH5413" s="6">
        <f t="shared" si="694"/>
        <v>5383</v>
      </c>
      <c r="AI5413" s="7">
        <f t="shared" ca="1" si="695"/>
        <v>48053</v>
      </c>
      <c r="AJ5413" s="210">
        <f t="shared" ca="1" si="698"/>
        <v>4.1749999999999998</v>
      </c>
      <c r="AK5413" s="8">
        <f t="shared" ca="1" si="700"/>
        <v>1.0001159722222221</v>
      </c>
      <c r="AL5413" s="98">
        <f t="shared" ca="1" si="699"/>
        <v>4.2054836019270736</v>
      </c>
      <c r="AM5413" s="106">
        <f t="shared" ca="1" si="696"/>
        <v>40811.663154274487</v>
      </c>
      <c r="AN5413" s="10">
        <f t="shared" ca="1" si="697"/>
        <v>1.1347771106333893</v>
      </c>
      <c r="AO5413" s="158"/>
      <c r="AP5413" s="158"/>
    </row>
    <row r="5414" spans="34:42">
      <c r="AH5414" s="6">
        <f t="shared" si="694"/>
        <v>5384</v>
      </c>
      <c r="AI5414" s="7">
        <f t="shared" ca="1" si="695"/>
        <v>48054</v>
      </c>
      <c r="AJ5414" s="210">
        <f t="shared" ca="1" si="698"/>
        <v>4.1749999999999998</v>
      </c>
      <c r="AK5414" s="8">
        <f t="shared" ca="1" si="700"/>
        <v>1.0001159722222221</v>
      </c>
      <c r="AL5414" s="98">
        <f t="shared" ca="1" si="699"/>
        <v>4.2055055276432274</v>
      </c>
      <c r="AM5414" s="106">
        <f t="shared" ca="1" si="696"/>
        <v>40815.026095279187</v>
      </c>
      <c r="AN5414" s="10">
        <f t="shared" ca="1" si="697"/>
        <v>1.1347952983922882</v>
      </c>
      <c r="AO5414" s="158"/>
      <c r="AP5414" s="158"/>
    </row>
    <row r="5415" spans="34:42">
      <c r="AH5415" s="6">
        <f t="shared" si="694"/>
        <v>5385</v>
      </c>
      <c r="AI5415" s="7">
        <f t="shared" ca="1" si="695"/>
        <v>48055</v>
      </c>
      <c r="AJ5415" s="210">
        <f t="shared" ca="1" si="698"/>
        <v>4.1749999999999998</v>
      </c>
      <c r="AK5415" s="8">
        <f t="shared" ca="1" si="700"/>
        <v>1.0001159722222221</v>
      </c>
      <c r="AL5415" s="98">
        <f t="shared" ca="1" si="699"/>
        <v>4.2055274452207358</v>
      </c>
      <c r="AM5415" s="106">
        <f t="shared" ca="1" si="696"/>
        <v>40818.389313395171</v>
      </c>
      <c r="AN5415" s="10">
        <f t="shared" ca="1" si="697"/>
        <v>1.1348134793994991</v>
      </c>
      <c r="AO5415" s="158"/>
      <c r="AP5415" s="158"/>
    </row>
    <row r="5416" spans="34:42">
      <c r="AH5416" s="6">
        <f t="shared" si="694"/>
        <v>5386</v>
      </c>
      <c r="AI5416" s="7">
        <f t="shared" ca="1" si="695"/>
        <v>48056</v>
      </c>
      <c r="AJ5416" s="210">
        <f t="shared" ca="1" si="698"/>
        <v>4.1749999999999998</v>
      </c>
      <c r="AK5416" s="8">
        <f t="shared" ca="1" si="700"/>
        <v>1.0001159722222221</v>
      </c>
      <c r="AL5416" s="98">
        <f t="shared" ca="1" si="699"/>
        <v>4.2055493546641287</v>
      </c>
      <c r="AM5416" s="106">
        <f t="shared" ca="1" si="696"/>
        <v>40821.752808645258</v>
      </c>
      <c r="AN5416" s="10">
        <f t="shared" ca="1" si="697"/>
        <v>1.1348316536587522</v>
      </c>
      <c r="AO5416" s="158"/>
      <c r="AP5416" s="158"/>
    </row>
    <row r="5417" spans="34:42">
      <c r="AH5417" s="6">
        <f t="shared" si="694"/>
        <v>5387</v>
      </c>
      <c r="AI5417" s="7">
        <f t="shared" ca="1" si="695"/>
        <v>48057</v>
      </c>
      <c r="AJ5417" s="210">
        <f t="shared" ca="1" si="698"/>
        <v>4.1749999999999998</v>
      </c>
      <c r="AK5417" s="8">
        <f t="shared" ca="1" si="700"/>
        <v>1.0001159722222221</v>
      </c>
      <c r="AL5417" s="98">
        <f t="shared" ca="1" si="699"/>
        <v>4.2055712559779357</v>
      </c>
      <c r="AM5417" s="106">
        <f t="shared" ca="1" si="696"/>
        <v>40825.116581052309</v>
      </c>
      <c r="AN5417" s="10">
        <f t="shared" ca="1" si="697"/>
        <v>1.1348498211738223</v>
      </c>
      <c r="AO5417" s="158"/>
      <c r="AP5417" s="158"/>
    </row>
    <row r="5418" spans="34:42">
      <c r="AH5418" s="6">
        <f t="shared" si="694"/>
        <v>5388</v>
      </c>
      <c r="AI5418" s="7">
        <f t="shared" ca="1" si="695"/>
        <v>48058</v>
      </c>
      <c r="AJ5418" s="210">
        <f t="shared" ca="1" si="698"/>
        <v>4.1749999999999998</v>
      </c>
      <c r="AK5418" s="8">
        <f t="shared" ca="1" si="700"/>
        <v>1.0001159722222221</v>
      </c>
      <c r="AL5418" s="98">
        <f t="shared" ca="1" si="699"/>
        <v>4.2055931491666865</v>
      </c>
      <c r="AM5418" s="106">
        <f t="shared" ca="1" si="696"/>
        <v>40828.48063063914</v>
      </c>
      <c r="AN5418" s="10">
        <f t="shared" ca="1" si="697"/>
        <v>1.1348679819484619</v>
      </c>
      <c r="AO5418" s="158"/>
      <c r="AP5418" s="158"/>
    </row>
    <row r="5419" spans="34:42">
      <c r="AH5419" s="6">
        <f t="shared" si="694"/>
        <v>5389</v>
      </c>
      <c r="AI5419" s="7">
        <f t="shared" ca="1" si="695"/>
        <v>48059</v>
      </c>
      <c r="AJ5419" s="210">
        <f t="shared" ca="1" si="698"/>
        <v>4.1749999999999998</v>
      </c>
      <c r="AK5419" s="8">
        <f t="shared" ca="1" si="700"/>
        <v>1.0001159722222221</v>
      </c>
      <c r="AL5419" s="98">
        <f t="shared" ca="1" si="699"/>
        <v>4.2056150342348886</v>
      </c>
      <c r="AM5419" s="106">
        <f t="shared" ca="1" si="696"/>
        <v>40831.844957428599</v>
      </c>
      <c r="AN5419" s="10">
        <f t="shared" ca="1" si="697"/>
        <v>1.1348861359864237</v>
      </c>
      <c r="AO5419" s="158"/>
      <c r="AP5419" s="158"/>
    </row>
    <row r="5420" spans="34:42">
      <c r="AH5420" s="6">
        <f t="shared" ref="AH5420:AH5430" si="701">$AI$29+AH5419</f>
        <v>5390</v>
      </c>
      <c r="AI5420" s="7">
        <f t="shared" ref="AI5420:AI5430" ca="1" si="702">+AH5420+$C$1</f>
        <v>48060</v>
      </c>
      <c r="AJ5420" s="210">
        <f t="shared" ca="1" si="698"/>
        <v>4.1749999999999998</v>
      </c>
      <c r="AK5420" s="8">
        <f t="shared" ca="1" si="700"/>
        <v>1.0001159722222221</v>
      </c>
      <c r="AL5420" s="98">
        <f t="shared" ca="1" si="699"/>
        <v>4.2056369111870717</v>
      </c>
      <c r="AM5420" s="106">
        <f t="shared" ca="1" si="696"/>
        <v>40835.209561443538</v>
      </c>
      <c r="AN5420" s="10">
        <f t="shared" ca="1" si="697"/>
        <v>1.134904283291438</v>
      </c>
      <c r="AO5420" s="158"/>
      <c r="AP5420" s="158"/>
    </row>
    <row r="5421" spans="34:42">
      <c r="AH5421" s="6">
        <f t="shared" si="701"/>
        <v>5391</v>
      </c>
      <c r="AI5421" s="7">
        <f t="shared" ca="1" si="702"/>
        <v>48061</v>
      </c>
      <c r="AJ5421" s="210">
        <f t="shared" ca="1" si="698"/>
        <v>4.1749999999999998</v>
      </c>
      <c r="AK5421" s="8">
        <f t="shared" ca="1" si="700"/>
        <v>1.0001159722222221</v>
      </c>
      <c r="AL5421" s="98">
        <f t="shared" ca="1" si="699"/>
        <v>4.2056587800277434</v>
      </c>
      <c r="AM5421" s="106">
        <f t="shared" ca="1" si="696"/>
        <v>40838.574442706784</v>
      </c>
      <c r="AN5421" s="10">
        <f t="shared" ca="1" si="697"/>
        <v>1.1349224238672795</v>
      </c>
      <c r="AO5421" s="158"/>
      <c r="AP5421" s="158"/>
    </row>
    <row r="5422" spans="34:42">
      <c r="AH5422" s="6">
        <f t="shared" si="701"/>
        <v>5392</v>
      </c>
      <c r="AI5422" s="7">
        <f t="shared" ca="1" si="702"/>
        <v>48062</v>
      </c>
      <c r="AJ5422" s="210">
        <f t="shared" ca="1" si="698"/>
        <v>4.1749999999999998</v>
      </c>
      <c r="AK5422" s="8">
        <f t="shared" ca="1" si="700"/>
        <v>1.0001159722222221</v>
      </c>
      <c r="AL5422" s="98">
        <f t="shared" ca="1" si="699"/>
        <v>4.2056806407614111</v>
      </c>
      <c r="AM5422" s="106">
        <f t="shared" ca="1" si="696"/>
        <v>40841.939601241182</v>
      </c>
      <c r="AN5422" s="10">
        <f t="shared" ca="1" si="697"/>
        <v>1.1349405577176563</v>
      </c>
      <c r="AO5422" s="158"/>
      <c r="AP5422" s="158"/>
    </row>
    <row r="5423" spans="34:42">
      <c r="AH5423" s="6">
        <f t="shared" si="701"/>
        <v>5393</v>
      </c>
      <c r="AI5423" s="7">
        <f t="shared" ca="1" si="702"/>
        <v>48063</v>
      </c>
      <c r="AJ5423" s="210">
        <f t="shared" ca="1" si="698"/>
        <v>4.1749999999999998</v>
      </c>
      <c r="AK5423" s="8">
        <f t="shared" ca="1" si="700"/>
        <v>1.0001159722222221</v>
      </c>
      <c r="AL5423" s="98">
        <f t="shared" ca="1" si="699"/>
        <v>4.2057024933925824</v>
      </c>
      <c r="AM5423" s="106">
        <f t="shared" ca="1" si="696"/>
        <v>40845.3050370696</v>
      </c>
      <c r="AN5423" s="10">
        <f t="shared" ca="1" si="697"/>
        <v>1.1349586848463433</v>
      </c>
      <c r="AO5423" s="158"/>
      <c r="AP5423" s="158"/>
    </row>
    <row r="5424" spans="34:42">
      <c r="AH5424" s="6">
        <f t="shared" si="701"/>
        <v>5394</v>
      </c>
      <c r="AI5424" s="7">
        <f t="shared" ca="1" si="702"/>
        <v>48064</v>
      </c>
      <c r="AJ5424" s="210">
        <f t="shared" ca="1" si="698"/>
        <v>4.1749999999999998</v>
      </c>
      <c r="AK5424" s="8">
        <f t="shared" ca="1" si="700"/>
        <v>1.0001159722222221</v>
      </c>
      <c r="AL5424" s="98">
        <f t="shared" ca="1" si="699"/>
        <v>4.2057243379257647</v>
      </c>
      <c r="AM5424" s="106">
        <f t="shared" ca="1" si="696"/>
        <v>40848.670750214864</v>
      </c>
      <c r="AN5424" s="10">
        <f t="shared" ca="1" si="697"/>
        <v>1.1349768052570264</v>
      </c>
      <c r="AO5424" s="158"/>
      <c r="AP5424" s="158"/>
    </row>
    <row r="5425" spans="34:42">
      <c r="AH5425" s="6">
        <f t="shared" si="701"/>
        <v>5395</v>
      </c>
      <c r="AI5425" s="7">
        <f t="shared" ca="1" si="702"/>
        <v>48065</v>
      </c>
      <c r="AJ5425" s="210">
        <f t="shared" ca="1" si="698"/>
        <v>4.1749999999999998</v>
      </c>
      <c r="AK5425" s="8">
        <f t="shared" ca="1" si="700"/>
        <v>1.0001159722222221</v>
      </c>
      <c r="AL5425" s="98">
        <f t="shared" ca="1" si="699"/>
        <v>4.2057461743654656</v>
      </c>
      <c r="AM5425" s="106">
        <f t="shared" ca="1" si="696"/>
        <v>40852.036740699841</v>
      </c>
      <c r="AN5425" s="10">
        <f t="shared" ca="1" si="697"/>
        <v>1.1349949189535025</v>
      </c>
      <c r="AO5425" s="158"/>
      <c r="AP5425" s="158"/>
    </row>
    <row r="5426" spans="34:42">
      <c r="AH5426" s="6">
        <f t="shared" si="701"/>
        <v>5396</v>
      </c>
      <c r="AI5426" s="7">
        <f t="shared" ca="1" si="702"/>
        <v>48066</v>
      </c>
      <c r="AJ5426" s="210">
        <f t="shared" ca="1" si="698"/>
        <v>4.1749999999999998</v>
      </c>
      <c r="AK5426" s="8">
        <f t="shared" ca="1" si="700"/>
        <v>1.0001159722222221</v>
      </c>
      <c r="AL5426" s="98">
        <f t="shared" ca="1" si="699"/>
        <v>4.2057680027161704</v>
      </c>
      <c r="AM5426" s="106">
        <f t="shared" ca="1" si="696"/>
        <v>40855.403008547386</v>
      </c>
      <c r="AN5426" s="10">
        <f t="shared" ca="1" si="697"/>
        <v>1.1350130259394575</v>
      </c>
      <c r="AO5426" s="158"/>
      <c r="AP5426" s="158"/>
    </row>
    <row r="5427" spans="34:42">
      <c r="AH5427" s="6">
        <f t="shared" si="701"/>
        <v>5397</v>
      </c>
      <c r="AI5427" s="7">
        <f t="shared" ca="1" si="702"/>
        <v>48067</v>
      </c>
      <c r="AJ5427" s="210">
        <f t="shared" ca="1" si="698"/>
        <v>4.1749999999999998</v>
      </c>
      <c r="AK5427" s="8">
        <f t="shared" ca="1" si="700"/>
        <v>1.0001159722222221</v>
      </c>
      <c r="AL5427" s="98">
        <f t="shared" ca="1" si="699"/>
        <v>4.2057898229823643</v>
      </c>
      <c r="AM5427" s="106">
        <f t="shared" ca="1" si="696"/>
        <v>40858.769553780345</v>
      </c>
      <c r="AN5427" s="10">
        <f t="shared" ca="1" si="697"/>
        <v>1.1350311262186219</v>
      </c>
      <c r="AO5427" s="158"/>
      <c r="AP5427" s="158"/>
    </row>
    <row r="5428" spans="34:42">
      <c r="AH5428" s="6">
        <f t="shared" si="701"/>
        <v>5398</v>
      </c>
      <c r="AI5428" s="7">
        <f t="shared" ca="1" si="702"/>
        <v>48068</v>
      </c>
      <c r="AJ5428" s="210">
        <f t="shared" ca="1" si="698"/>
        <v>4.1749999999999998</v>
      </c>
      <c r="AK5428" s="8">
        <f t="shared" ca="1" si="700"/>
        <v>1.0001159722222221</v>
      </c>
      <c r="AL5428" s="98">
        <f t="shared" ca="1" si="699"/>
        <v>4.2058116351685548</v>
      </c>
      <c r="AM5428" s="106">
        <f t="shared" ca="1" si="696"/>
        <v>40862.136376421571</v>
      </c>
      <c r="AN5428" s="10">
        <f t="shared" ca="1" si="697"/>
        <v>1.1350492197947482</v>
      </c>
      <c r="AO5428" s="158"/>
      <c r="AP5428" s="158"/>
    </row>
    <row r="5429" spans="34:42">
      <c r="AH5429" s="6">
        <f t="shared" si="701"/>
        <v>5399</v>
      </c>
      <c r="AI5429" s="7">
        <f t="shared" ca="1" si="702"/>
        <v>48069</v>
      </c>
      <c r="AJ5429" s="210">
        <f t="shared" ca="1" si="698"/>
        <v>4.1749999999999998</v>
      </c>
      <c r="AK5429" s="8">
        <f t="shared" ca="1" si="700"/>
        <v>1.0001159722222221</v>
      </c>
      <c r="AL5429" s="98">
        <f t="shared" ca="1" si="699"/>
        <v>4.2058334392792274</v>
      </c>
      <c r="AM5429" s="106">
        <f t="shared" ca="1" si="696"/>
        <v>40865.503476493934</v>
      </c>
      <c r="AN5429" s="10">
        <f t="shared" ca="1" si="697"/>
        <v>1.1350673066715444</v>
      </c>
      <c r="AO5429" s="158"/>
      <c r="AP5429" s="158"/>
    </row>
    <row r="5430" spans="34:42">
      <c r="AH5430" s="6">
        <f t="shared" si="701"/>
        <v>5400</v>
      </c>
      <c r="AI5430" s="7">
        <f t="shared" ca="1" si="702"/>
        <v>48070</v>
      </c>
      <c r="AJ5430" s="210">
        <f t="shared" ca="1" si="698"/>
        <v>4.1749999999999998</v>
      </c>
      <c r="AK5430" s="8">
        <f t="shared" ca="1" si="700"/>
        <v>1.0001159722222221</v>
      </c>
      <c r="AL5430" s="98">
        <f t="shared" ca="1" si="699"/>
        <v>4.2058552353188672</v>
      </c>
      <c r="AM5430" s="106">
        <f t="shared" ca="1" si="696"/>
        <v>40868.870854020286</v>
      </c>
      <c r="AN5430" s="10">
        <f t="shared" ca="1" si="697"/>
        <v>1.1350853868527189</v>
      </c>
      <c r="AO5430" s="158"/>
      <c r="AP5430" s="158"/>
    </row>
    <row r="5431" spans="34:42">
      <c r="AH5431" s="308"/>
      <c r="AI5431" s="309"/>
      <c r="AJ5431" s="210"/>
      <c r="AK5431" s="310"/>
      <c r="AL5431" s="106"/>
      <c r="AM5431" s="106"/>
      <c r="AN5431" s="106"/>
      <c r="AO5431" s="158"/>
      <c r="AP5431" s="158"/>
    </row>
    <row r="5432" spans="34:42">
      <c r="AH5432" s="308"/>
      <c r="AI5432" s="309"/>
      <c r="AJ5432" s="210"/>
      <c r="AK5432" s="310"/>
      <c r="AL5432" s="106"/>
      <c r="AM5432" s="106"/>
      <c r="AN5432" s="106"/>
      <c r="AO5432" s="158"/>
      <c r="AP5432" s="158"/>
    </row>
    <row r="5433" spans="34:42">
      <c r="AH5433" s="308"/>
      <c r="AI5433" s="309"/>
      <c r="AJ5433" s="210"/>
      <c r="AK5433" s="310"/>
      <c r="AL5433" s="106"/>
      <c r="AM5433" s="106"/>
      <c r="AN5433" s="106"/>
      <c r="AO5433" s="158"/>
      <c r="AP5433" s="158"/>
    </row>
    <row r="5434" spans="34:42">
      <c r="AH5434" s="308"/>
      <c r="AI5434" s="309"/>
      <c r="AJ5434" s="210"/>
      <c r="AK5434" s="310"/>
      <c r="AL5434" s="106"/>
      <c r="AM5434" s="106"/>
      <c r="AN5434" s="106"/>
      <c r="AO5434" s="158"/>
      <c r="AP5434" s="158"/>
    </row>
    <row r="5435" spans="34:42">
      <c r="AH5435" s="308"/>
      <c r="AI5435" s="309"/>
      <c r="AJ5435" s="210"/>
      <c r="AK5435" s="310"/>
      <c r="AL5435" s="106"/>
      <c r="AM5435" s="106"/>
      <c r="AN5435" s="106"/>
      <c r="AO5435" s="158"/>
      <c r="AP5435" s="158"/>
    </row>
    <row r="5436" spans="34:42">
      <c r="AH5436" s="308"/>
      <c r="AI5436" s="309"/>
      <c r="AJ5436" s="210"/>
      <c r="AK5436" s="310"/>
      <c r="AL5436" s="106"/>
      <c r="AM5436" s="106"/>
      <c r="AN5436" s="106"/>
      <c r="AO5436" s="158"/>
      <c r="AP5436" s="158"/>
    </row>
    <row r="5437" spans="34:42">
      <c r="AH5437" s="308"/>
      <c r="AI5437" s="309"/>
      <c r="AJ5437" s="210"/>
      <c r="AK5437" s="310"/>
      <c r="AL5437" s="106"/>
      <c r="AM5437" s="106"/>
      <c r="AN5437" s="106"/>
      <c r="AO5437" s="158"/>
      <c r="AP5437" s="158"/>
    </row>
    <row r="5438" spans="34:42">
      <c r="AH5438" s="308"/>
      <c r="AI5438" s="309"/>
      <c r="AJ5438" s="210"/>
      <c r="AK5438" s="310"/>
      <c r="AL5438" s="106"/>
      <c r="AM5438" s="106"/>
      <c r="AN5438" s="106"/>
      <c r="AO5438" s="158"/>
      <c r="AP5438" s="158"/>
    </row>
    <row r="5439" spans="34:42">
      <c r="AH5439" s="308"/>
      <c r="AI5439" s="309"/>
      <c r="AJ5439" s="210"/>
      <c r="AK5439" s="310"/>
      <c r="AL5439" s="106"/>
      <c r="AM5439" s="106"/>
      <c r="AN5439" s="106"/>
      <c r="AO5439" s="158"/>
      <c r="AP5439" s="158"/>
    </row>
    <row r="5440" spans="34:42">
      <c r="AH5440" s="308"/>
      <c r="AI5440" s="309"/>
      <c r="AJ5440" s="210"/>
      <c r="AK5440" s="310"/>
      <c r="AL5440" s="106"/>
      <c r="AM5440" s="106"/>
      <c r="AN5440" s="106"/>
      <c r="AO5440" s="158"/>
      <c r="AP5440" s="158"/>
    </row>
    <row r="5441" spans="34:42">
      <c r="AH5441" s="308"/>
      <c r="AI5441" s="309"/>
      <c r="AJ5441" s="210"/>
      <c r="AK5441" s="310"/>
      <c r="AL5441" s="106"/>
      <c r="AM5441" s="106"/>
      <c r="AN5441" s="106"/>
      <c r="AO5441" s="158"/>
      <c r="AP5441" s="158"/>
    </row>
    <row r="5442" spans="34:42">
      <c r="AH5442" s="308"/>
      <c r="AI5442" s="309"/>
      <c r="AJ5442" s="210"/>
      <c r="AK5442" s="310"/>
      <c r="AL5442" s="106"/>
      <c r="AM5442" s="106"/>
      <c r="AN5442" s="106"/>
      <c r="AO5442" s="158"/>
      <c r="AP5442" s="158"/>
    </row>
    <row r="5443" spans="34:42">
      <c r="AH5443" s="308"/>
      <c r="AI5443" s="309"/>
      <c r="AJ5443" s="210"/>
      <c r="AK5443" s="310"/>
      <c r="AL5443" s="106"/>
      <c r="AM5443" s="106"/>
      <c r="AN5443" s="106"/>
      <c r="AO5443" s="158"/>
      <c r="AP5443" s="158"/>
    </row>
    <row r="5444" spans="34:42">
      <c r="AH5444" s="308"/>
      <c r="AI5444" s="309"/>
      <c r="AJ5444" s="210"/>
      <c r="AK5444" s="310"/>
      <c r="AL5444" s="106"/>
      <c r="AM5444" s="106"/>
      <c r="AN5444" s="106"/>
      <c r="AO5444" s="158"/>
      <c r="AP5444" s="158"/>
    </row>
    <row r="5445" spans="34:42">
      <c r="AH5445" s="308"/>
      <c r="AI5445" s="309"/>
      <c r="AJ5445" s="210"/>
      <c r="AK5445" s="310"/>
      <c r="AL5445" s="106"/>
      <c r="AM5445" s="106"/>
      <c r="AN5445" s="106"/>
      <c r="AO5445" s="158"/>
      <c r="AP5445" s="158"/>
    </row>
    <row r="5446" spans="34:42">
      <c r="AH5446" s="308"/>
      <c r="AI5446" s="309"/>
      <c r="AJ5446" s="210"/>
      <c r="AK5446" s="310"/>
      <c r="AL5446" s="106"/>
      <c r="AM5446" s="106"/>
      <c r="AN5446" s="106"/>
      <c r="AO5446" s="158"/>
      <c r="AP5446" s="158"/>
    </row>
    <row r="5447" spans="34:42">
      <c r="AH5447" s="308"/>
      <c r="AI5447" s="309"/>
      <c r="AJ5447" s="210"/>
      <c r="AK5447" s="310"/>
      <c r="AL5447" s="106"/>
      <c r="AM5447" s="106"/>
      <c r="AN5447" s="106"/>
      <c r="AO5447" s="158"/>
      <c r="AP5447" s="158"/>
    </row>
    <row r="5448" spans="34:42">
      <c r="AH5448" s="308"/>
      <c r="AI5448" s="309"/>
      <c r="AJ5448" s="210"/>
      <c r="AK5448" s="310"/>
      <c r="AL5448" s="106"/>
      <c r="AM5448" s="106"/>
      <c r="AN5448" s="106"/>
      <c r="AO5448" s="158"/>
      <c r="AP5448" s="158"/>
    </row>
    <row r="5449" spans="34:42">
      <c r="AH5449" s="308"/>
      <c r="AI5449" s="309"/>
      <c r="AJ5449" s="210"/>
      <c r="AK5449" s="310"/>
      <c r="AL5449" s="106"/>
      <c r="AM5449" s="106"/>
      <c r="AN5449" s="106"/>
      <c r="AO5449" s="158"/>
      <c r="AP5449" s="158"/>
    </row>
    <row r="5450" spans="34:42">
      <c r="AH5450" s="308"/>
      <c r="AI5450" s="309"/>
      <c r="AJ5450" s="210"/>
      <c r="AK5450" s="310"/>
      <c r="AL5450" s="106"/>
      <c r="AM5450" s="106"/>
      <c r="AN5450" s="106"/>
      <c r="AO5450" s="158"/>
      <c r="AP5450" s="158"/>
    </row>
    <row r="5451" spans="34:42">
      <c r="AH5451" s="308"/>
      <c r="AI5451" s="309"/>
      <c r="AJ5451" s="210"/>
      <c r="AK5451" s="310"/>
      <c r="AL5451" s="106"/>
      <c r="AM5451" s="106"/>
      <c r="AN5451" s="106"/>
      <c r="AO5451" s="158"/>
      <c r="AP5451" s="158"/>
    </row>
    <row r="5452" spans="34:42">
      <c r="AH5452" s="308"/>
      <c r="AI5452" s="309"/>
      <c r="AJ5452" s="210"/>
      <c r="AK5452" s="310"/>
      <c r="AL5452" s="106"/>
      <c r="AM5452" s="106"/>
      <c r="AN5452" s="106"/>
      <c r="AO5452" s="158"/>
      <c r="AP5452" s="158"/>
    </row>
    <row r="5453" spans="34:42">
      <c r="AH5453" s="308"/>
      <c r="AI5453" s="309"/>
      <c r="AJ5453" s="210"/>
      <c r="AK5453" s="310"/>
      <c r="AL5453" s="106"/>
      <c r="AM5453" s="106"/>
      <c r="AN5453" s="106"/>
      <c r="AO5453" s="158"/>
      <c r="AP5453" s="158"/>
    </row>
    <row r="5454" spans="34:42">
      <c r="AH5454" s="308"/>
      <c r="AI5454" s="309"/>
      <c r="AJ5454" s="210"/>
      <c r="AK5454" s="310"/>
      <c r="AL5454" s="106"/>
      <c r="AM5454" s="106"/>
      <c r="AN5454" s="106"/>
      <c r="AO5454" s="158"/>
      <c r="AP5454" s="158"/>
    </row>
    <row r="5455" spans="34:42">
      <c r="AH5455" s="308"/>
      <c r="AI5455" s="309"/>
      <c r="AJ5455" s="210"/>
      <c r="AK5455" s="310"/>
      <c r="AL5455" s="106"/>
      <c r="AM5455" s="106"/>
      <c r="AN5455" s="106"/>
      <c r="AO5455" s="158"/>
      <c r="AP5455" s="158"/>
    </row>
    <row r="5456" spans="34:42">
      <c r="AH5456" s="308"/>
      <c r="AI5456" s="309"/>
      <c r="AJ5456" s="210"/>
      <c r="AK5456" s="310"/>
      <c r="AL5456" s="106"/>
      <c r="AM5456" s="106"/>
      <c r="AN5456" s="106"/>
      <c r="AO5456" s="158"/>
      <c r="AP5456" s="158"/>
    </row>
    <row r="5457" spans="34:42">
      <c r="AH5457" s="308"/>
      <c r="AI5457" s="309"/>
      <c r="AJ5457" s="210"/>
      <c r="AK5457" s="310"/>
      <c r="AL5457" s="106"/>
      <c r="AM5457" s="106"/>
      <c r="AN5457" s="106"/>
      <c r="AO5457" s="158"/>
      <c r="AP5457" s="158"/>
    </row>
    <row r="5458" spans="34:42">
      <c r="AH5458" s="308"/>
      <c r="AI5458" s="309"/>
      <c r="AJ5458" s="210"/>
      <c r="AK5458" s="310"/>
      <c r="AL5458" s="106"/>
      <c r="AM5458" s="106"/>
      <c r="AN5458" s="106"/>
      <c r="AO5458" s="158"/>
      <c r="AP5458" s="158"/>
    </row>
    <row r="5459" spans="34:42">
      <c r="AH5459" s="308"/>
      <c r="AI5459" s="309"/>
      <c r="AJ5459" s="210"/>
      <c r="AK5459" s="310"/>
      <c r="AL5459" s="106"/>
      <c r="AM5459" s="106"/>
      <c r="AN5459" s="106"/>
      <c r="AO5459" s="158"/>
      <c r="AP5459" s="158"/>
    </row>
    <row r="5460" spans="34:42">
      <c r="AH5460" s="308"/>
      <c r="AI5460" s="309"/>
      <c r="AJ5460" s="210"/>
      <c r="AK5460" s="310"/>
      <c r="AL5460" s="106"/>
      <c r="AM5460" s="106"/>
      <c r="AN5460" s="106"/>
      <c r="AO5460" s="158"/>
      <c r="AP5460" s="158"/>
    </row>
    <row r="5461" spans="34:42">
      <c r="AH5461" s="308"/>
      <c r="AI5461" s="309"/>
      <c r="AJ5461" s="210"/>
      <c r="AK5461" s="310"/>
      <c r="AL5461" s="106"/>
      <c r="AM5461" s="106"/>
      <c r="AN5461" s="106"/>
      <c r="AO5461" s="158"/>
      <c r="AP5461" s="158"/>
    </row>
    <row r="5462" spans="34:42">
      <c r="AH5462" s="308"/>
      <c r="AI5462" s="309"/>
      <c r="AJ5462" s="210"/>
      <c r="AK5462" s="310"/>
      <c r="AL5462" s="106"/>
      <c r="AM5462" s="106"/>
      <c r="AN5462" s="106"/>
      <c r="AO5462" s="158"/>
      <c r="AP5462" s="158"/>
    </row>
    <row r="5463" spans="34:42">
      <c r="AH5463" s="308"/>
      <c r="AI5463" s="309"/>
      <c r="AJ5463" s="210"/>
      <c r="AK5463" s="310"/>
      <c r="AL5463" s="106"/>
      <c r="AM5463" s="106"/>
      <c r="AN5463" s="106"/>
      <c r="AO5463" s="158"/>
      <c r="AP5463" s="158"/>
    </row>
    <row r="5464" spans="34:42">
      <c r="AH5464" s="308"/>
      <c r="AI5464" s="309"/>
      <c r="AJ5464" s="210"/>
      <c r="AK5464" s="310"/>
      <c r="AL5464" s="106"/>
      <c r="AM5464" s="106"/>
      <c r="AN5464" s="106"/>
      <c r="AO5464" s="158"/>
      <c r="AP5464" s="158"/>
    </row>
    <row r="5465" spans="34:42">
      <c r="AH5465" s="308"/>
      <c r="AI5465" s="309"/>
      <c r="AJ5465" s="210"/>
      <c r="AK5465" s="310"/>
      <c r="AL5465" s="106"/>
      <c r="AM5465" s="106"/>
      <c r="AN5465" s="106"/>
      <c r="AO5465" s="158"/>
      <c r="AP5465" s="158"/>
    </row>
    <row r="5466" spans="34:42">
      <c r="AH5466" s="308"/>
      <c r="AI5466" s="309"/>
      <c r="AJ5466" s="210"/>
      <c r="AK5466" s="310"/>
      <c r="AL5466" s="106"/>
      <c r="AM5466" s="106"/>
      <c r="AN5466" s="106"/>
      <c r="AO5466" s="158"/>
      <c r="AP5466" s="158"/>
    </row>
    <row r="5467" spans="34:42">
      <c r="AH5467" s="308"/>
      <c r="AI5467" s="309"/>
      <c r="AJ5467" s="210"/>
      <c r="AK5467" s="310"/>
      <c r="AL5467" s="106"/>
      <c r="AM5467" s="106"/>
      <c r="AN5467" s="106"/>
      <c r="AO5467" s="158"/>
      <c r="AP5467" s="158"/>
    </row>
    <row r="5468" spans="34:42">
      <c r="AH5468" s="308"/>
      <c r="AI5468" s="309"/>
      <c r="AJ5468" s="210"/>
      <c r="AK5468" s="310"/>
      <c r="AL5468" s="106"/>
      <c r="AM5468" s="106"/>
      <c r="AN5468" s="106"/>
      <c r="AO5468" s="158"/>
      <c r="AP5468" s="158"/>
    </row>
    <row r="5469" spans="34:42">
      <c r="AH5469" s="308"/>
      <c r="AI5469" s="309"/>
      <c r="AJ5469" s="210"/>
      <c r="AK5469" s="310"/>
      <c r="AL5469" s="106"/>
      <c r="AM5469" s="106"/>
      <c r="AN5469" s="106"/>
      <c r="AO5469" s="158"/>
      <c r="AP5469" s="158"/>
    </row>
    <row r="5470" spans="34:42">
      <c r="AH5470" s="308"/>
      <c r="AI5470" s="309"/>
      <c r="AJ5470" s="210"/>
      <c r="AK5470" s="310"/>
      <c r="AL5470" s="106"/>
      <c r="AM5470" s="106"/>
      <c r="AN5470" s="106"/>
      <c r="AO5470" s="158"/>
      <c r="AP5470" s="158"/>
    </row>
    <row r="5471" spans="34:42">
      <c r="AH5471" s="308"/>
      <c r="AI5471" s="309"/>
      <c r="AJ5471" s="210"/>
      <c r="AK5471" s="310"/>
      <c r="AL5471" s="106"/>
      <c r="AM5471" s="106"/>
      <c r="AN5471" s="106"/>
      <c r="AO5471" s="158"/>
      <c r="AP5471" s="158"/>
    </row>
    <row r="5472" spans="34:42">
      <c r="AH5472" s="308"/>
      <c r="AI5472" s="309"/>
      <c r="AJ5472" s="210"/>
      <c r="AK5472" s="310"/>
      <c r="AL5472" s="106"/>
      <c r="AM5472" s="106"/>
      <c r="AN5472" s="106"/>
      <c r="AO5472" s="158"/>
      <c r="AP5472" s="158"/>
    </row>
    <row r="5473" spans="34:42">
      <c r="AH5473" s="308"/>
      <c r="AI5473" s="309"/>
      <c r="AJ5473" s="210"/>
      <c r="AK5473" s="310"/>
      <c r="AL5473" s="106"/>
      <c r="AM5473" s="106"/>
      <c r="AN5473" s="106"/>
      <c r="AO5473" s="158"/>
      <c r="AP5473" s="158"/>
    </row>
    <row r="5474" spans="34:42">
      <c r="AH5474" s="308"/>
      <c r="AI5474" s="309"/>
      <c r="AJ5474" s="210"/>
      <c r="AK5474" s="310"/>
      <c r="AL5474" s="106"/>
      <c r="AM5474" s="106"/>
      <c r="AN5474" s="106"/>
      <c r="AO5474" s="158"/>
      <c r="AP5474" s="158"/>
    </row>
    <row r="5475" spans="34:42">
      <c r="AH5475" s="308"/>
      <c r="AI5475" s="309"/>
      <c r="AJ5475" s="210"/>
      <c r="AK5475" s="310"/>
      <c r="AL5475" s="106"/>
      <c r="AM5475" s="106"/>
      <c r="AN5475" s="106"/>
      <c r="AO5475" s="158"/>
      <c r="AP5475" s="158"/>
    </row>
    <row r="5476" spans="34:42">
      <c r="AH5476" s="308"/>
      <c r="AI5476" s="309"/>
      <c r="AJ5476" s="210"/>
      <c r="AK5476" s="310"/>
      <c r="AL5476" s="106"/>
      <c r="AM5476" s="106"/>
      <c r="AN5476" s="106"/>
      <c r="AO5476" s="158"/>
      <c r="AP5476" s="158"/>
    </row>
    <row r="5477" spans="34:42">
      <c r="AH5477" s="308"/>
      <c r="AI5477" s="309"/>
      <c r="AJ5477" s="210"/>
      <c r="AK5477" s="310"/>
      <c r="AL5477" s="106"/>
      <c r="AM5477" s="106"/>
      <c r="AN5477" s="106"/>
      <c r="AO5477" s="158"/>
      <c r="AP5477" s="158"/>
    </row>
    <row r="5478" spans="34:42">
      <c r="AH5478" s="308"/>
      <c r="AI5478" s="309"/>
      <c r="AJ5478" s="210"/>
      <c r="AK5478" s="310"/>
      <c r="AL5478" s="106"/>
      <c r="AM5478" s="106"/>
      <c r="AN5478" s="106"/>
      <c r="AO5478" s="158"/>
      <c r="AP5478" s="158"/>
    </row>
    <row r="5479" spans="34:42">
      <c r="AH5479" s="308"/>
      <c r="AI5479" s="309"/>
      <c r="AJ5479" s="210"/>
      <c r="AK5479" s="310"/>
      <c r="AL5479" s="106"/>
      <c r="AM5479" s="106"/>
      <c r="AN5479" s="106"/>
      <c r="AO5479" s="158"/>
      <c r="AP5479" s="158"/>
    </row>
    <row r="5480" spans="34:42">
      <c r="AH5480" s="308"/>
      <c r="AI5480" s="309"/>
      <c r="AJ5480" s="210"/>
      <c r="AK5480" s="310"/>
      <c r="AL5480" s="106"/>
      <c r="AM5480" s="106"/>
      <c r="AN5480" s="106"/>
      <c r="AO5480" s="158"/>
      <c r="AP5480" s="158"/>
    </row>
    <row r="5481" spans="34:42">
      <c r="AH5481" s="308"/>
      <c r="AI5481" s="309"/>
      <c r="AJ5481" s="210"/>
      <c r="AK5481" s="310"/>
      <c r="AL5481" s="106"/>
      <c r="AM5481" s="106"/>
      <c r="AN5481" s="106"/>
      <c r="AO5481" s="158"/>
      <c r="AP5481" s="158"/>
    </row>
    <row r="5482" spans="34:42">
      <c r="AH5482" s="308"/>
      <c r="AI5482" s="309"/>
      <c r="AJ5482" s="210"/>
      <c r="AK5482" s="310"/>
      <c r="AL5482" s="106"/>
      <c r="AM5482" s="106"/>
      <c r="AN5482" s="106"/>
      <c r="AO5482" s="158"/>
      <c r="AP5482" s="158"/>
    </row>
    <row r="5483" spans="34:42">
      <c r="AH5483" s="308"/>
      <c r="AI5483" s="309"/>
      <c r="AJ5483" s="210"/>
      <c r="AK5483" s="310"/>
      <c r="AL5483" s="106"/>
      <c r="AM5483" s="106"/>
      <c r="AN5483" s="106"/>
      <c r="AO5483" s="158"/>
      <c r="AP5483" s="158"/>
    </row>
    <row r="5484" spans="34:42">
      <c r="AH5484" s="308"/>
      <c r="AI5484" s="309"/>
      <c r="AJ5484" s="210"/>
      <c r="AK5484" s="310"/>
      <c r="AL5484" s="106"/>
      <c r="AM5484" s="106"/>
      <c r="AN5484" s="106"/>
      <c r="AO5484" s="158"/>
      <c r="AP5484" s="158"/>
    </row>
    <row r="5485" spans="34:42">
      <c r="AH5485" s="308"/>
      <c r="AI5485" s="309"/>
      <c r="AJ5485" s="210"/>
      <c r="AK5485" s="310"/>
      <c r="AL5485" s="106"/>
      <c r="AM5485" s="106"/>
      <c r="AN5485" s="106"/>
      <c r="AO5485" s="158"/>
      <c r="AP5485" s="158"/>
    </row>
    <row r="5486" spans="34:42">
      <c r="AH5486" s="308"/>
      <c r="AI5486" s="309"/>
      <c r="AJ5486" s="210"/>
      <c r="AK5486" s="310"/>
      <c r="AL5486" s="106"/>
      <c r="AM5486" s="106"/>
      <c r="AN5486" s="106"/>
      <c r="AO5486" s="158"/>
      <c r="AP5486" s="158"/>
    </row>
    <row r="5487" spans="34:42">
      <c r="AH5487" s="308"/>
      <c r="AI5487" s="309"/>
      <c r="AJ5487" s="210"/>
      <c r="AK5487" s="310"/>
      <c r="AL5487" s="106"/>
      <c r="AM5487" s="106"/>
      <c r="AN5487" s="106"/>
      <c r="AO5487" s="158"/>
      <c r="AP5487" s="158"/>
    </row>
    <row r="5488" spans="34:42">
      <c r="AH5488" s="308"/>
      <c r="AI5488" s="309"/>
      <c r="AJ5488" s="210"/>
      <c r="AK5488" s="310"/>
      <c r="AL5488" s="106"/>
      <c r="AM5488" s="106"/>
      <c r="AN5488" s="106"/>
      <c r="AO5488" s="158"/>
      <c r="AP5488" s="158"/>
    </row>
    <row r="5489" spans="34:42">
      <c r="AH5489" s="308"/>
      <c r="AI5489" s="309"/>
      <c r="AJ5489" s="210"/>
      <c r="AK5489" s="310"/>
      <c r="AL5489" s="106"/>
      <c r="AM5489" s="106"/>
      <c r="AN5489" s="106"/>
      <c r="AO5489" s="158"/>
      <c r="AP5489" s="158"/>
    </row>
    <row r="5490" spans="34:42">
      <c r="AH5490" s="308"/>
      <c r="AI5490" s="309"/>
      <c r="AJ5490" s="210"/>
      <c r="AK5490" s="310"/>
      <c r="AL5490" s="106"/>
      <c r="AM5490" s="106"/>
      <c r="AN5490" s="106"/>
      <c r="AO5490" s="158"/>
      <c r="AP5490" s="158"/>
    </row>
    <row r="5491" spans="34:42">
      <c r="AH5491" s="308"/>
      <c r="AI5491" s="309"/>
      <c r="AJ5491" s="210"/>
      <c r="AK5491" s="310"/>
      <c r="AL5491" s="106"/>
      <c r="AM5491" s="106"/>
      <c r="AN5491" s="106"/>
      <c r="AO5491" s="158"/>
      <c r="AP5491" s="158"/>
    </row>
    <row r="5492" spans="34:42">
      <c r="AH5492" s="308"/>
      <c r="AI5492" s="309"/>
      <c r="AJ5492" s="210"/>
      <c r="AK5492" s="310"/>
      <c r="AL5492" s="106"/>
      <c r="AM5492" s="106"/>
      <c r="AN5492" s="106"/>
      <c r="AO5492" s="158"/>
      <c r="AP5492" s="158"/>
    </row>
    <row r="5493" spans="34:42">
      <c r="AH5493" s="308"/>
      <c r="AI5493" s="309"/>
      <c r="AJ5493" s="210"/>
      <c r="AK5493" s="310"/>
      <c r="AL5493" s="106"/>
      <c r="AM5493" s="106"/>
      <c r="AN5493" s="106"/>
      <c r="AO5493" s="158"/>
      <c r="AP5493" s="158"/>
    </row>
    <row r="5494" spans="34:42">
      <c r="AH5494" s="308"/>
      <c r="AI5494" s="309"/>
      <c r="AJ5494" s="210"/>
      <c r="AK5494" s="310"/>
      <c r="AL5494" s="106"/>
      <c r="AM5494" s="106"/>
      <c r="AN5494" s="106"/>
      <c r="AO5494" s="158"/>
      <c r="AP5494" s="158"/>
    </row>
    <row r="5495" spans="34:42">
      <c r="AH5495" s="308"/>
      <c r="AI5495" s="309"/>
      <c r="AJ5495" s="210"/>
      <c r="AK5495" s="310"/>
      <c r="AL5495" s="106"/>
      <c r="AM5495" s="106"/>
      <c r="AN5495" s="106"/>
      <c r="AO5495" s="158"/>
      <c r="AP5495" s="158"/>
    </row>
    <row r="5496" spans="34:42">
      <c r="AH5496" s="308"/>
      <c r="AI5496" s="309"/>
      <c r="AJ5496" s="210"/>
      <c r="AK5496" s="310"/>
      <c r="AL5496" s="106"/>
      <c r="AM5496" s="106"/>
      <c r="AN5496" s="106"/>
      <c r="AO5496" s="158"/>
      <c r="AP5496" s="158"/>
    </row>
    <row r="5497" spans="34:42">
      <c r="AH5497" s="308"/>
      <c r="AI5497" s="309"/>
      <c r="AJ5497" s="210"/>
      <c r="AK5497" s="310"/>
      <c r="AL5497" s="106"/>
      <c r="AM5497" s="106"/>
      <c r="AN5497" s="106"/>
      <c r="AO5497" s="158"/>
      <c r="AP5497" s="158"/>
    </row>
    <row r="5498" spans="34:42">
      <c r="AH5498" s="308"/>
      <c r="AI5498" s="309"/>
      <c r="AJ5498" s="210"/>
      <c r="AK5498" s="310"/>
      <c r="AL5498" s="106"/>
      <c r="AM5498" s="106"/>
      <c r="AN5498" s="106"/>
      <c r="AO5498" s="158"/>
      <c r="AP5498" s="158"/>
    </row>
    <row r="5499" spans="34:42">
      <c r="AH5499" s="308"/>
      <c r="AI5499" s="309"/>
      <c r="AJ5499" s="210"/>
      <c r="AK5499" s="310"/>
      <c r="AL5499" s="106"/>
      <c r="AM5499" s="106"/>
      <c r="AN5499" s="106"/>
      <c r="AO5499" s="158"/>
      <c r="AP5499" s="158"/>
    </row>
    <row r="5500" spans="34:42">
      <c r="AH5500" s="308"/>
      <c r="AI5500" s="309"/>
      <c r="AJ5500" s="210"/>
      <c r="AK5500" s="310"/>
      <c r="AL5500" s="106"/>
      <c r="AM5500" s="106"/>
      <c r="AN5500" s="106"/>
      <c r="AO5500" s="158"/>
      <c r="AP5500" s="158"/>
    </row>
    <row r="5501" spans="34:42">
      <c r="AH5501" s="308"/>
      <c r="AI5501" s="309"/>
      <c r="AJ5501" s="210"/>
      <c r="AK5501" s="310"/>
      <c r="AL5501" s="106"/>
      <c r="AM5501" s="106"/>
      <c r="AN5501" s="106"/>
      <c r="AO5501" s="158"/>
      <c r="AP5501" s="158"/>
    </row>
    <row r="5502" spans="34:42">
      <c r="AH5502" s="308"/>
      <c r="AI5502" s="309"/>
      <c r="AJ5502" s="210"/>
      <c r="AK5502" s="310"/>
      <c r="AL5502" s="106"/>
      <c r="AM5502" s="106"/>
      <c r="AN5502" s="106"/>
      <c r="AO5502" s="158"/>
      <c r="AP5502" s="158"/>
    </row>
    <row r="5503" spans="34:42">
      <c r="AH5503" s="308"/>
      <c r="AI5503" s="309"/>
      <c r="AJ5503" s="210"/>
      <c r="AK5503" s="310"/>
      <c r="AL5503" s="106"/>
      <c r="AM5503" s="106"/>
      <c r="AN5503" s="106"/>
      <c r="AO5503" s="158"/>
      <c r="AP5503" s="158"/>
    </row>
    <row r="5504" spans="34:42">
      <c r="AH5504" s="308"/>
      <c r="AI5504" s="309"/>
      <c r="AJ5504" s="210"/>
      <c r="AK5504" s="310"/>
      <c r="AL5504" s="106"/>
      <c r="AM5504" s="106"/>
      <c r="AN5504" s="106"/>
      <c r="AO5504" s="158"/>
      <c r="AP5504" s="158"/>
    </row>
    <row r="5505" spans="34:42">
      <c r="AH5505" s="308"/>
      <c r="AI5505" s="309"/>
      <c r="AJ5505" s="210"/>
      <c r="AK5505" s="310"/>
      <c r="AL5505" s="106"/>
      <c r="AM5505" s="106"/>
      <c r="AN5505" s="106"/>
      <c r="AO5505" s="158"/>
      <c r="AP5505" s="158"/>
    </row>
    <row r="5506" spans="34:42">
      <c r="AH5506" s="308"/>
      <c r="AI5506" s="309"/>
      <c r="AJ5506" s="210"/>
      <c r="AK5506" s="310"/>
      <c r="AL5506" s="106"/>
      <c r="AM5506" s="106"/>
      <c r="AN5506" s="106"/>
      <c r="AO5506" s="158"/>
      <c r="AP5506" s="158"/>
    </row>
    <row r="5507" spans="34:42">
      <c r="AH5507" s="308"/>
      <c r="AI5507" s="309"/>
      <c r="AJ5507" s="210"/>
      <c r="AK5507" s="310"/>
      <c r="AL5507" s="106"/>
      <c r="AM5507" s="106"/>
      <c r="AN5507" s="106"/>
      <c r="AO5507" s="158"/>
      <c r="AP5507" s="158"/>
    </row>
    <row r="5508" spans="34:42">
      <c r="AH5508" s="308"/>
      <c r="AI5508" s="309"/>
      <c r="AJ5508" s="210"/>
      <c r="AK5508" s="310"/>
      <c r="AL5508" s="106"/>
      <c r="AM5508" s="106"/>
      <c r="AN5508" s="106"/>
      <c r="AO5508" s="158"/>
      <c r="AP5508" s="158"/>
    </row>
    <row r="5509" spans="34:42">
      <c r="AH5509" s="308"/>
      <c r="AI5509" s="309"/>
      <c r="AJ5509" s="210"/>
      <c r="AK5509" s="310"/>
      <c r="AL5509" s="106"/>
      <c r="AM5509" s="106"/>
      <c r="AN5509" s="106"/>
      <c r="AO5509" s="158"/>
      <c r="AP5509" s="158"/>
    </row>
    <row r="5510" spans="34:42">
      <c r="AH5510" s="308"/>
      <c r="AI5510" s="309"/>
      <c r="AJ5510" s="210"/>
      <c r="AK5510" s="310"/>
      <c r="AL5510" s="106"/>
      <c r="AM5510" s="106"/>
      <c r="AN5510" s="106"/>
      <c r="AO5510" s="158"/>
      <c r="AP5510" s="158"/>
    </row>
    <row r="5511" spans="34:42">
      <c r="AH5511" s="308"/>
      <c r="AI5511" s="309"/>
      <c r="AJ5511" s="210"/>
      <c r="AK5511" s="310"/>
      <c r="AL5511" s="106"/>
      <c r="AM5511" s="106"/>
      <c r="AN5511" s="106"/>
      <c r="AO5511" s="158"/>
      <c r="AP5511" s="158"/>
    </row>
    <row r="5512" spans="34:42">
      <c r="AH5512" s="308"/>
      <c r="AI5512" s="309"/>
      <c r="AJ5512" s="210"/>
      <c r="AK5512" s="310"/>
      <c r="AL5512" s="106"/>
      <c r="AM5512" s="106"/>
      <c r="AN5512" s="106"/>
      <c r="AO5512" s="158"/>
      <c r="AP5512" s="158"/>
    </row>
    <row r="5513" spans="34:42">
      <c r="AH5513" s="308"/>
      <c r="AI5513" s="309"/>
      <c r="AJ5513" s="210"/>
      <c r="AK5513" s="310"/>
      <c r="AL5513" s="106"/>
      <c r="AM5513" s="106"/>
      <c r="AN5513" s="106"/>
      <c r="AO5513" s="158"/>
      <c r="AP5513" s="158"/>
    </row>
    <row r="5514" spans="34:42">
      <c r="AH5514" s="308"/>
      <c r="AI5514" s="309"/>
      <c r="AJ5514" s="210"/>
      <c r="AK5514" s="310"/>
      <c r="AL5514" s="106"/>
      <c r="AM5514" s="106"/>
      <c r="AN5514" s="106"/>
      <c r="AO5514" s="158"/>
      <c r="AP5514" s="158"/>
    </row>
    <row r="5515" spans="34:42">
      <c r="AH5515" s="308"/>
      <c r="AI5515" s="309"/>
      <c r="AJ5515" s="210"/>
      <c r="AK5515" s="310"/>
      <c r="AL5515" s="106"/>
      <c r="AM5515" s="106"/>
      <c r="AN5515" s="106"/>
      <c r="AO5515" s="158"/>
      <c r="AP5515" s="158"/>
    </row>
    <row r="5516" spans="34:42">
      <c r="AH5516" s="308"/>
      <c r="AI5516" s="309"/>
      <c r="AJ5516" s="210"/>
      <c r="AK5516" s="310"/>
      <c r="AL5516" s="106"/>
      <c r="AM5516" s="106"/>
      <c r="AN5516" s="106"/>
      <c r="AO5516" s="158"/>
      <c r="AP5516" s="158"/>
    </row>
    <row r="5517" spans="34:42">
      <c r="AH5517" s="308"/>
      <c r="AI5517" s="309"/>
      <c r="AJ5517" s="210"/>
      <c r="AK5517" s="310"/>
      <c r="AL5517" s="106"/>
      <c r="AM5517" s="106"/>
      <c r="AN5517" s="106"/>
      <c r="AO5517" s="158"/>
      <c r="AP5517" s="158"/>
    </row>
    <row r="5518" spans="34:42">
      <c r="AH5518" s="308"/>
      <c r="AI5518" s="309"/>
      <c r="AJ5518" s="210"/>
      <c r="AK5518" s="310"/>
      <c r="AL5518" s="106"/>
      <c r="AM5518" s="106"/>
      <c r="AN5518" s="106"/>
      <c r="AO5518" s="158"/>
      <c r="AP5518" s="158"/>
    </row>
    <row r="5519" spans="34:42">
      <c r="AH5519" s="308"/>
      <c r="AI5519" s="309"/>
      <c r="AJ5519" s="210"/>
      <c r="AK5519" s="310"/>
      <c r="AL5519" s="106"/>
      <c r="AM5519" s="106"/>
      <c r="AN5519" s="106"/>
      <c r="AO5519" s="158"/>
      <c r="AP5519" s="158"/>
    </row>
    <row r="5520" spans="34:42">
      <c r="AH5520" s="308"/>
      <c r="AI5520" s="309"/>
      <c r="AJ5520" s="210"/>
      <c r="AK5520" s="310"/>
      <c r="AL5520" s="106"/>
      <c r="AM5520" s="106"/>
      <c r="AN5520" s="106"/>
      <c r="AO5520" s="158"/>
      <c r="AP5520" s="158"/>
    </row>
    <row r="5521" spans="34:42">
      <c r="AH5521" s="308"/>
      <c r="AI5521" s="309"/>
      <c r="AJ5521" s="210"/>
      <c r="AK5521" s="310"/>
      <c r="AL5521" s="106"/>
      <c r="AM5521" s="106"/>
      <c r="AN5521" s="106"/>
      <c r="AO5521" s="158"/>
      <c r="AP5521" s="158"/>
    </row>
    <row r="5522" spans="34:42">
      <c r="AH5522" s="308"/>
      <c r="AI5522" s="309"/>
      <c r="AJ5522" s="210"/>
      <c r="AK5522" s="310"/>
      <c r="AL5522" s="106"/>
      <c r="AM5522" s="106"/>
      <c r="AN5522" s="106"/>
      <c r="AO5522" s="158"/>
      <c r="AP5522" s="158"/>
    </row>
    <row r="5523" spans="34:42">
      <c r="AH5523" s="308"/>
      <c r="AI5523" s="309"/>
      <c r="AJ5523" s="210"/>
      <c r="AK5523" s="310"/>
      <c r="AL5523" s="106"/>
      <c r="AM5523" s="106"/>
      <c r="AN5523" s="106"/>
      <c r="AO5523" s="158"/>
      <c r="AP5523" s="158"/>
    </row>
    <row r="5524" spans="34:42">
      <c r="AH5524" s="308"/>
      <c r="AI5524" s="309"/>
      <c r="AJ5524" s="210"/>
      <c r="AK5524" s="310"/>
      <c r="AL5524" s="106"/>
      <c r="AM5524" s="106"/>
      <c r="AN5524" s="106"/>
      <c r="AO5524" s="158"/>
      <c r="AP5524" s="158"/>
    </row>
    <row r="5525" spans="34:42">
      <c r="AH5525" s="308"/>
      <c r="AI5525" s="309"/>
      <c r="AJ5525" s="210"/>
      <c r="AK5525" s="310"/>
      <c r="AL5525" s="106"/>
      <c r="AM5525" s="106"/>
      <c r="AN5525" s="106"/>
      <c r="AO5525" s="158"/>
      <c r="AP5525" s="158"/>
    </row>
    <row r="5526" spans="34:42">
      <c r="AH5526" s="308"/>
      <c r="AI5526" s="309"/>
      <c r="AJ5526" s="210"/>
      <c r="AK5526" s="310"/>
      <c r="AL5526" s="106"/>
      <c r="AM5526" s="106"/>
      <c r="AN5526" s="106"/>
      <c r="AO5526" s="158"/>
      <c r="AP5526" s="158"/>
    </row>
    <row r="5527" spans="34:42">
      <c r="AH5527" s="308"/>
      <c r="AI5527" s="309"/>
      <c r="AJ5527" s="210"/>
      <c r="AK5527" s="310"/>
      <c r="AL5527" s="106"/>
      <c r="AM5527" s="106"/>
      <c r="AN5527" s="106"/>
      <c r="AO5527" s="158"/>
      <c r="AP5527" s="158"/>
    </row>
    <row r="5528" spans="34:42">
      <c r="AH5528" s="308"/>
      <c r="AI5528" s="309"/>
      <c r="AJ5528" s="210"/>
      <c r="AK5528" s="310"/>
      <c r="AL5528" s="106"/>
      <c r="AM5528" s="106"/>
      <c r="AN5528" s="106"/>
      <c r="AO5528" s="158"/>
      <c r="AP5528" s="158"/>
    </row>
    <row r="5529" spans="34:42">
      <c r="AH5529" s="308"/>
      <c r="AI5529" s="309"/>
      <c r="AJ5529" s="210"/>
      <c r="AK5529" s="310"/>
      <c r="AL5529" s="106"/>
      <c r="AM5529" s="106"/>
      <c r="AN5529" s="106"/>
      <c r="AO5529" s="158"/>
      <c r="AP5529" s="158"/>
    </row>
    <row r="5530" spans="34:42">
      <c r="AH5530" s="308"/>
      <c r="AI5530" s="309"/>
      <c r="AJ5530" s="210"/>
      <c r="AK5530" s="310"/>
      <c r="AL5530" s="106"/>
      <c r="AM5530" s="106"/>
      <c r="AN5530" s="106"/>
      <c r="AO5530" s="158"/>
      <c r="AP5530" s="158"/>
    </row>
    <row r="5531" spans="34:42">
      <c r="AH5531" s="308"/>
      <c r="AI5531" s="309"/>
      <c r="AJ5531" s="210"/>
      <c r="AK5531" s="310"/>
      <c r="AL5531" s="106"/>
      <c r="AM5531" s="106"/>
      <c r="AN5531" s="106"/>
      <c r="AO5531" s="158"/>
      <c r="AP5531" s="158"/>
    </row>
    <row r="5532" spans="34:42">
      <c r="AH5532" s="308"/>
      <c r="AI5532" s="309"/>
      <c r="AJ5532" s="210"/>
      <c r="AK5532" s="310"/>
      <c r="AL5532" s="106"/>
      <c r="AM5532" s="106"/>
      <c r="AN5532" s="106"/>
      <c r="AO5532" s="158"/>
      <c r="AP5532" s="158"/>
    </row>
    <row r="5533" spans="34:42">
      <c r="AH5533" s="308"/>
      <c r="AI5533" s="309"/>
      <c r="AJ5533" s="210"/>
      <c r="AK5533" s="310"/>
      <c r="AL5533" s="106"/>
      <c r="AM5533" s="106"/>
      <c r="AN5533" s="106"/>
      <c r="AO5533" s="158"/>
      <c r="AP5533" s="158"/>
    </row>
    <row r="5534" spans="34:42">
      <c r="AH5534" s="308"/>
      <c r="AI5534" s="309"/>
      <c r="AJ5534" s="210"/>
      <c r="AK5534" s="310"/>
      <c r="AL5534" s="106"/>
      <c r="AM5534" s="106"/>
      <c r="AN5534" s="106"/>
      <c r="AO5534" s="158"/>
      <c r="AP5534" s="158"/>
    </row>
    <row r="5535" spans="34:42">
      <c r="AH5535" s="308"/>
      <c r="AI5535" s="309"/>
      <c r="AJ5535" s="210"/>
      <c r="AK5535" s="310"/>
      <c r="AL5535" s="106"/>
      <c r="AM5535" s="106"/>
      <c r="AN5535" s="106"/>
      <c r="AO5535" s="158"/>
      <c r="AP5535" s="158"/>
    </row>
    <row r="5536" spans="34:42">
      <c r="AH5536" s="308"/>
      <c r="AI5536" s="309"/>
      <c r="AJ5536" s="210"/>
      <c r="AK5536" s="310"/>
      <c r="AL5536" s="106"/>
      <c r="AM5536" s="106"/>
      <c r="AN5536" s="106"/>
      <c r="AO5536" s="158"/>
      <c r="AP5536" s="158"/>
    </row>
    <row r="5537" spans="34:42">
      <c r="AH5537" s="308"/>
      <c r="AI5537" s="309"/>
      <c r="AJ5537" s="210"/>
      <c r="AK5537" s="310"/>
      <c r="AL5537" s="106"/>
      <c r="AM5537" s="106"/>
      <c r="AN5537" s="106"/>
      <c r="AO5537" s="158"/>
      <c r="AP5537" s="158"/>
    </row>
    <row r="5538" spans="34:42">
      <c r="AH5538" s="308"/>
      <c r="AI5538" s="309"/>
      <c r="AJ5538" s="210"/>
      <c r="AK5538" s="310"/>
      <c r="AL5538" s="106"/>
      <c r="AM5538" s="106"/>
      <c r="AN5538" s="106"/>
      <c r="AO5538" s="158"/>
      <c r="AP5538" s="158"/>
    </row>
    <row r="5539" spans="34:42">
      <c r="AH5539" s="308"/>
      <c r="AI5539" s="309"/>
      <c r="AJ5539" s="210"/>
      <c r="AK5539" s="310"/>
      <c r="AL5539" s="106"/>
      <c r="AM5539" s="106"/>
      <c r="AN5539" s="106"/>
      <c r="AO5539" s="158"/>
      <c r="AP5539" s="158"/>
    </row>
    <row r="5540" spans="34:42">
      <c r="AH5540" s="308"/>
      <c r="AI5540" s="309"/>
      <c r="AJ5540" s="210"/>
      <c r="AK5540" s="310"/>
      <c r="AL5540" s="106"/>
      <c r="AM5540" s="106"/>
      <c r="AN5540" s="106"/>
      <c r="AO5540" s="158"/>
      <c r="AP5540" s="158"/>
    </row>
    <row r="5541" spans="34:42">
      <c r="AH5541" s="308"/>
      <c r="AI5541" s="309"/>
      <c r="AJ5541" s="210"/>
      <c r="AK5541" s="310"/>
      <c r="AL5541" s="106"/>
      <c r="AM5541" s="106"/>
      <c r="AN5541" s="106"/>
      <c r="AO5541" s="158"/>
      <c r="AP5541" s="158"/>
    </row>
    <row r="5542" spans="34:42">
      <c r="AH5542" s="308"/>
      <c r="AI5542" s="309"/>
      <c r="AJ5542" s="210"/>
      <c r="AK5542" s="310"/>
      <c r="AL5542" s="106"/>
      <c r="AM5542" s="106"/>
      <c r="AN5542" s="106"/>
      <c r="AO5542" s="158"/>
      <c r="AP5542" s="158"/>
    </row>
    <row r="5543" spans="34:42">
      <c r="AH5543" s="308"/>
      <c r="AI5543" s="309"/>
      <c r="AJ5543" s="210"/>
      <c r="AK5543" s="310"/>
      <c r="AL5543" s="106"/>
      <c r="AM5543" s="106"/>
      <c r="AN5543" s="106"/>
      <c r="AO5543" s="158"/>
      <c r="AP5543" s="158"/>
    </row>
    <row r="5544" spans="34:42">
      <c r="AH5544" s="308"/>
      <c r="AI5544" s="309"/>
      <c r="AJ5544" s="210"/>
      <c r="AK5544" s="310"/>
      <c r="AL5544" s="106"/>
      <c r="AM5544" s="106"/>
      <c r="AN5544" s="106"/>
      <c r="AO5544" s="158"/>
      <c r="AP5544" s="158"/>
    </row>
    <row r="5545" spans="34:42">
      <c r="AH5545" s="308"/>
      <c r="AI5545" s="309"/>
      <c r="AJ5545" s="210"/>
      <c r="AK5545" s="310"/>
      <c r="AL5545" s="106"/>
      <c r="AM5545" s="106"/>
      <c r="AN5545" s="106"/>
      <c r="AO5545" s="158"/>
      <c r="AP5545" s="158"/>
    </row>
    <row r="5546" spans="34:42">
      <c r="AH5546" s="308"/>
      <c r="AI5546" s="309"/>
      <c r="AJ5546" s="210"/>
      <c r="AK5546" s="310"/>
      <c r="AL5546" s="106"/>
      <c r="AM5546" s="106"/>
      <c r="AN5546" s="106"/>
      <c r="AO5546" s="158"/>
      <c r="AP5546" s="158"/>
    </row>
    <row r="5547" spans="34:42">
      <c r="AH5547" s="308"/>
      <c r="AI5547" s="309"/>
      <c r="AJ5547" s="210"/>
      <c r="AK5547" s="310"/>
      <c r="AL5547" s="106"/>
      <c r="AM5547" s="106"/>
      <c r="AN5547" s="106"/>
      <c r="AO5547" s="158"/>
      <c r="AP5547" s="158"/>
    </row>
    <row r="5548" spans="34:42">
      <c r="AH5548" s="308"/>
      <c r="AI5548" s="309"/>
      <c r="AJ5548" s="210"/>
      <c r="AK5548" s="310"/>
      <c r="AL5548" s="106"/>
      <c r="AM5548" s="106"/>
      <c r="AN5548" s="106"/>
      <c r="AO5548" s="158"/>
      <c r="AP5548" s="158"/>
    </row>
    <row r="5549" spans="34:42">
      <c r="AH5549" s="308"/>
      <c r="AI5549" s="309"/>
      <c r="AJ5549" s="210"/>
      <c r="AK5549" s="310"/>
      <c r="AL5549" s="106"/>
      <c r="AM5549" s="106"/>
      <c r="AN5549" s="106"/>
      <c r="AO5549" s="158"/>
      <c r="AP5549" s="158"/>
    </row>
    <row r="5550" spans="34:42">
      <c r="AH5550" s="308"/>
      <c r="AI5550" s="309"/>
      <c r="AJ5550" s="210"/>
      <c r="AK5550" s="310"/>
      <c r="AL5550" s="106"/>
      <c r="AM5550" s="106"/>
      <c r="AN5550" s="106"/>
      <c r="AO5550" s="158"/>
      <c r="AP5550" s="158"/>
    </row>
    <row r="5551" spans="34:42">
      <c r="AH5551" s="308"/>
      <c r="AI5551" s="309"/>
      <c r="AJ5551" s="210"/>
      <c r="AK5551" s="310"/>
      <c r="AL5551" s="106"/>
      <c r="AM5551" s="106"/>
      <c r="AN5551" s="106"/>
      <c r="AO5551" s="158"/>
      <c r="AP5551" s="158"/>
    </row>
    <row r="5552" spans="34:42">
      <c r="AH5552" s="308"/>
      <c r="AI5552" s="309"/>
      <c r="AJ5552" s="210"/>
      <c r="AK5552" s="310"/>
      <c r="AL5552" s="106"/>
      <c r="AM5552" s="106"/>
      <c r="AN5552" s="106"/>
      <c r="AO5552" s="158"/>
      <c r="AP5552" s="158"/>
    </row>
    <row r="5553" spans="34:42">
      <c r="AH5553" s="308"/>
      <c r="AI5553" s="309"/>
      <c r="AJ5553" s="210"/>
      <c r="AK5553" s="310"/>
      <c r="AL5553" s="106"/>
      <c r="AM5553" s="106"/>
      <c r="AN5553" s="106"/>
      <c r="AO5553" s="158"/>
      <c r="AP5553" s="158"/>
    </row>
    <row r="5554" spans="34:42">
      <c r="AH5554" s="308"/>
      <c r="AI5554" s="309"/>
      <c r="AJ5554" s="210"/>
      <c r="AK5554" s="310"/>
      <c r="AL5554" s="106"/>
      <c r="AM5554" s="106"/>
      <c r="AN5554" s="106"/>
      <c r="AO5554" s="158"/>
      <c r="AP5554" s="158"/>
    </row>
    <row r="5555" spans="34:42">
      <c r="AH5555" s="308"/>
      <c r="AI5555" s="309"/>
      <c r="AJ5555" s="210"/>
      <c r="AK5555" s="310"/>
      <c r="AL5555" s="106"/>
      <c r="AM5555" s="106"/>
      <c r="AN5555" s="106"/>
      <c r="AO5555" s="158"/>
      <c r="AP5555" s="158"/>
    </row>
    <row r="5556" spans="34:42">
      <c r="AH5556" s="308"/>
      <c r="AI5556" s="309"/>
      <c r="AJ5556" s="210"/>
      <c r="AK5556" s="310"/>
      <c r="AL5556" s="106"/>
      <c r="AM5556" s="106"/>
      <c r="AN5556" s="106"/>
      <c r="AO5556" s="158"/>
      <c r="AP5556" s="158"/>
    </row>
    <row r="5557" spans="34:42">
      <c r="AH5557" s="308"/>
      <c r="AI5557" s="309"/>
      <c r="AJ5557" s="210"/>
      <c r="AK5557" s="310"/>
      <c r="AL5557" s="106"/>
      <c r="AM5557" s="106"/>
      <c r="AN5557" s="106"/>
      <c r="AO5557" s="158"/>
      <c r="AP5557" s="158"/>
    </row>
    <row r="5558" spans="34:42">
      <c r="AH5558" s="308"/>
      <c r="AI5558" s="309"/>
      <c r="AJ5558" s="210"/>
      <c r="AK5558" s="310"/>
      <c r="AL5558" s="106"/>
      <c r="AM5558" s="106"/>
      <c r="AN5558" s="106"/>
      <c r="AO5558" s="158"/>
      <c r="AP5558" s="158"/>
    </row>
    <row r="5559" spans="34:42">
      <c r="AH5559" s="308"/>
      <c r="AI5559" s="309"/>
      <c r="AJ5559" s="210"/>
      <c r="AK5559" s="310"/>
      <c r="AL5559" s="106"/>
      <c r="AM5559" s="106"/>
      <c r="AN5559" s="106"/>
      <c r="AO5559" s="158"/>
      <c r="AP5559" s="158"/>
    </row>
    <row r="5560" spans="34:42">
      <c r="AH5560" s="308"/>
      <c r="AI5560" s="309"/>
      <c r="AJ5560" s="210"/>
      <c r="AK5560" s="310"/>
      <c r="AL5560" s="106"/>
      <c r="AM5560" s="106"/>
      <c r="AN5560" s="106"/>
      <c r="AO5560" s="158"/>
      <c r="AP5560" s="158"/>
    </row>
    <row r="5561" spans="34:42">
      <c r="AH5561" s="308"/>
      <c r="AI5561" s="309"/>
      <c r="AJ5561" s="210"/>
      <c r="AK5561" s="310"/>
      <c r="AL5561" s="106"/>
      <c r="AM5561" s="106"/>
      <c r="AN5561" s="106"/>
      <c r="AO5561" s="158"/>
      <c r="AP5561" s="158"/>
    </row>
    <row r="5562" spans="34:42">
      <c r="AH5562" s="308"/>
      <c r="AI5562" s="309"/>
      <c r="AJ5562" s="210"/>
      <c r="AK5562" s="310"/>
      <c r="AL5562" s="106"/>
      <c r="AM5562" s="106"/>
      <c r="AN5562" s="106"/>
      <c r="AO5562" s="158"/>
      <c r="AP5562" s="158"/>
    </row>
    <row r="5563" spans="34:42">
      <c r="AH5563" s="308"/>
      <c r="AI5563" s="309"/>
      <c r="AJ5563" s="210"/>
      <c r="AK5563" s="310"/>
      <c r="AL5563" s="106"/>
      <c r="AM5563" s="106"/>
      <c r="AN5563" s="106"/>
      <c r="AO5563" s="158"/>
      <c r="AP5563" s="158"/>
    </row>
    <row r="5564" spans="34:42">
      <c r="AH5564" s="308"/>
      <c r="AI5564" s="309"/>
      <c r="AJ5564" s="210"/>
      <c r="AK5564" s="310"/>
      <c r="AL5564" s="106"/>
      <c r="AM5564" s="106"/>
      <c r="AN5564" s="106"/>
      <c r="AO5564" s="158"/>
      <c r="AP5564" s="158"/>
    </row>
    <row r="5565" spans="34:42">
      <c r="AH5565" s="308"/>
      <c r="AI5565" s="309"/>
      <c r="AJ5565" s="210"/>
      <c r="AK5565" s="310"/>
      <c r="AL5565" s="106"/>
      <c r="AM5565" s="106"/>
      <c r="AN5565" s="106"/>
      <c r="AO5565" s="158"/>
      <c r="AP5565" s="158"/>
    </row>
    <row r="5566" spans="34:42">
      <c r="AH5566" s="308"/>
      <c r="AI5566" s="309"/>
      <c r="AJ5566" s="210"/>
      <c r="AK5566" s="310"/>
      <c r="AL5566" s="106"/>
      <c r="AM5566" s="106"/>
      <c r="AN5566" s="106"/>
      <c r="AO5566" s="158"/>
      <c r="AP5566" s="158"/>
    </row>
    <row r="5567" spans="34:42">
      <c r="AH5567" s="308"/>
      <c r="AI5567" s="309"/>
      <c r="AJ5567" s="210"/>
      <c r="AK5567" s="310"/>
      <c r="AL5567" s="106"/>
      <c r="AM5567" s="106"/>
      <c r="AN5567" s="106"/>
      <c r="AO5567" s="158"/>
      <c r="AP5567" s="158"/>
    </row>
    <row r="5568" spans="34:42">
      <c r="AH5568" s="308"/>
      <c r="AI5568" s="309"/>
      <c r="AJ5568" s="210"/>
      <c r="AK5568" s="310"/>
      <c r="AL5568" s="106"/>
      <c r="AM5568" s="106"/>
      <c r="AN5568" s="106"/>
      <c r="AO5568" s="158"/>
      <c r="AP5568" s="158"/>
    </row>
    <row r="5569" spans="34:42">
      <c r="AH5569" s="308"/>
      <c r="AI5569" s="309"/>
      <c r="AJ5569" s="210"/>
      <c r="AK5569" s="310"/>
      <c r="AL5569" s="106"/>
      <c r="AM5569" s="106"/>
      <c r="AN5569" s="106"/>
      <c r="AO5569" s="158"/>
      <c r="AP5569" s="158"/>
    </row>
    <row r="5570" spans="34:42">
      <c r="AH5570" s="308"/>
      <c r="AI5570" s="309"/>
      <c r="AJ5570" s="210"/>
      <c r="AK5570" s="310"/>
      <c r="AL5570" s="106"/>
      <c r="AM5570" s="106"/>
      <c r="AN5570" s="106"/>
      <c r="AO5570" s="158"/>
      <c r="AP5570" s="158"/>
    </row>
    <row r="5571" spans="34:42">
      <c r="AH5571" s="308"/>
      <c r="AI5571" s="309"/>
      <c r="AJ5571" s="210"/>
      <c r="AK5571" s="310"/>
      <c r="AL5571" s="106"/>
      <c r="AM5571" s="106"/>
      <c r="AN5571" s="106"/>
      <c r="AO5571" s="158"/>
      <c r="AP5571" s="158"/>
    </row>
    <row r="5572" spans="34:42">
      <c r="AH5572" s="308"/>
      <c r="AI5572" s="309"/>
      <c r="AJ5572" s="210"/>
      <c r="AK5572" s="310"/>
      <c r="AL5572" s="106"/>
      <c r="AM5572" s="106"/>
      <c r="AN5572" s="106"/>
      <c r="AO5572" s="158"/>
      <c r="AP5572" s="158"/>
    </row>
    <row r="5573" spans="34:42">
      <c r="AH5573" s="308"/>
      <c r="AI5573" s="309"/>
      <c r="AJ5573" s="210"/>
      <c r="AK5573" s="310"/>
      <c r="AL5573" s="106"/>
      <c r="AM5573" s="106"/>
      <c r="AN5573" s="106"/>
      <c r="AO5573" s="158"/>
      <c r="AP5573" s="158"/>
    </row>
    <row r="5574" spans="34:42">
      <c r="AH5574" s="308"/>
      <c r="AI5574" s="309"/>
      <c r="AJ5574" s="210"/>
      <c r="AK5574" s="310"/>
      <c r="AL5574" s="106"/>
      <c r="AM5574" s="106"/>
      <c r="AN5574" s="106"/>
      <c r="AO5574" s="158"/>
      <c r="AP5574" s="158"/>
    </row>
    <row r="5575" spans="34:42">
      <c r="AH5575" s="308"/>
      <c r="AI5575" s="309"/>
      <c r="AJ5575" s="210"/>
      <c r="AK5575" s="310"/>
      <c r="AL5575" s="106"/>
      <c r="AM5575" s="106"/>
      <c r="AN5575" s="106"/>
      <c r="AO5575" s="158"/>
      <c r="AP5575" s="158"/>
    </row>
    <row r="5576" spans="34:42">
      <c r="AH5576" s="308"/>
      <c r="AI5576" s="309"/>
      <c r="AJ5576" s="210"/>
      <c r="AK5576" s="310"/>
      <c r="AL5576" s="106"/>
      <c r="AM5576" s="106"/>
      <c r="AN5576" s="106"/>
      <c r="AO5576" s="158"/>
      <c r="AP5576" s="158"/>
    </row>
    <row r="5577" spans="34:42">
      <c r="AH5577" s="308"/>
      <c r="AI5577" s="309"/>
      <c r="AJ5577" s="210"/>
      <c r="AK5577" s="310"/>
      <c r="AL5577" s="106"/>
      <c r="AM5577" s="106"/>
      <c r="AN5577" s="106"/>
      <c r="AO5577" s="158"/>
      <c r="AP5577" s="158"/>
    </row>
    <row r="5578" spans="34:42">
      <c r="AH5578" s="308"/>
      <c r="AI5578" s="309"/>
      <c r="AJ5578" s="210"/>
      <c r="AK5578" s="310"/>
      <c r="AL5578" s="106"/>
      <c r="AM5578" s="106"/>
      <c r="AN5578" s="106"/>
      <c r="AO5578" s="158"/>
      <c r="AP5578" s="158"/>
    </row>
    <row r="5579" spans="34:42">
      <c r="AH5579" s="308"/>
      <c r="AI5579" s="309"/>
      <c r="AJ5579" s="210"/>
      <c r="AK5579" s="310"/>
      <c r="AL5579" s="106"/>
      <c r="AM5579" s="106"/>
      <c r="AN5579" s="106"/>
      <c r="AO5579" s="158"/>
      <c r="AP5579" s="158"/>
    </row>
    <row r="5580" spans="34:42">
      <c r="AH5580" s="308"/>
      <c r="AI5580" s="309"/>
      <c r="AJ5580" s="210"/>
      <c r="AK5580" s="310"/>
      <c r="AL5580" s="106"/>
      <c r="AM5580" s="106"/>
      <c r="AN5580" s="106"/>
      <c r="AO5580" s="158"/>
      <c r="AP5580" s="158"/>
    </row>
    <row r="5581" spans="34:42">
      <c r="AH5581" s="308"/>
      <c r="AI5581" s="309"/>
      <c r="AJ5581" s="210"/>
      <c r="AK5581" s="310"/>
      <c r="AL5581" s="106"/>
      <c r="AM5581" s="106"/>
      <c r="AN5581" s="106"/>
      <c r="AO5581" s="158"/>
      <c r="AP5581" s="158"/>
    </row>
    <row r="5582" spans="34:42">
      <c r="AH5582" s="308"/>
      <c r="AI5582" s="309"/>
      <c r="AJ5582" s="210"/>
      <c r="AK5582" s="310"/>
      <c r="AL5582" s="106"/>
      <c r="AM5582" s="106"/>
      <c r="AN5582" s="106"/>
      <c r="AO5582" s="158"/>
      <c r="AP5582" s="158"/>
    </row>
    <row r="5583" spans="34:42">
      <c r="AH5583" s="308"/>
      <c r="AI5583" s="309"/>
      <c r="AJ5583" s="210"/>
      <c r="AK5583" s="310"/>
      <c r="AL5583" s="106"/>
      <c r="AM5583" s="106"/>
      <c r="AN5583" s="106"/>
      <c r="AO5583" s="158"/>
      <c r="AP5583" s="158"/>
    </row>
    <row r="5584" spans="34:42">
      <c r="AH5584" s="308"/>
      <c r="AI5584" s="309"/>
      <c r="AJ5584" s="210"/>
      <c r="AK5584" s="310"/>
      <c r="AL5584" s="106"/>
      <c r="AM5584" s="106"/>
      <c r="AN5584" s="106"/>
      <c r="AO5584" s="158"/>
      <c r="AP5584" s="158"/>
    </row>
    <row r="5585" spans="34:42">
      <c r="AH5585" s="308"/>
      <c r="AI5585" s="309"/>
      <c r="AJ5585" s="210"/>
      <c r="AK5585" s="310"/>
      <c r="AL5585" s="106"/>
      <c r="AM5585" s="106"/>
      <c r="AN5585" s="106"/>
      <c r="AO5585" s="158"/>
      <c r="AP5585" s="158"/>
    </row>
    <row r="5586" spans="34:42">
      <c r="AH5586" s="308"/>
      <c r="AI5586" s="309"/>
      <c r="AJ5586" s="210"/>
      <c r="AK5586" s="310"/>
      <c r="AL5586" s="106"/>
      <c r="AM5586" s="106"/>
      <c r="AN5586" s="106"/>
      <c r="AO5586" s="158"/>
      <c r="AP5586" s="158"/>
    </row>
    <row r="5587" spans="34:42">
      <c r="AH5587" s="308"/>
      <c r="AI5587" s="309"/>
      <c r="AJ5587" s="210"/>
      <c r="AK5587" s="310"/>
      <c r="AL5587" s="106"/>
      <c r="AM5587" s="106"/>
      <c r="AN5587" s="106"/>
      <c r="AO5587" s="158"/>
      <c r="AP5587" s="158"/>
    </row>
    <row r="5588" spans="34:42">
      <c r="AH5588" s="308"/>
      <c r="AI5588" s="309"/>
      <c r="AJ5588" s="210"/>
      <c r="AK5588" s="310"/>
      <c r="AL5588" s="106"/>
      <c r="AM5588" s="106"/>
      <c r="AN5588" s="106"/>
      <c r="AO5588" s="158"/>
      <c r="AP5588" s="158"/>
    </row>
    <row r="5589" spans="34:42">
      <c r="AH5589" s="308"/>
      <c r="AI5589" s="309"/>
      <c r="AJ5589" s="210"/>
      <c r="AK5589" s="310"/>
      <c r="AL5589" s="106"/>
      <c r="AM5589" s="106"/>
      <c r="AN5589" s="106"/>
      <c r="AO5589" s="158"/>
      <c r="AP5589" s="158"/>
    </row>
    <row r="5590" spans="34:42">
      <c r="AH5590" s="308"/>
      <c r="AI5590" s="309"/>
      <c r="AJ5590" s="210"/>
      <c r="AK5590" s="310"/>
      <c r="AL5590" s="106"/>
      <c r="AM5590" s="106"/>
      <c r="AN5590" s="106"/>
      <c r="AO5590" s="158"/>
      <c r="AP5590" s="158"/>
    </row>
    <row r="5591" spans="34:42">
      <c r="AH5591" s="308"/>
      <c r="AI5591" s="309"/>
      <c r="AJ5591" s="210"/>
      <c r="AK5591" s="310"/>
      <c r="AL5591" s="106"/>
      <c r="AM5591" s="106"/>
      <c r="AN5591" s="106"/>
      <c r="AO5591" s="158"/>
      <c r="AP5591" s="158"/>
    </row>
    <row r="5592" spans="34:42">
      <c r="AH5592" s="308"/>
      <c r="AI5592" s="309"/>
      <c r="AJ5592" s="210"/>
      <c r="AK5592" s="310"/>
      <c r="AL5592" s="106"/>
      <c r="AM5592" s="106"/>
      <c r="AN5592" s="106"/>
      <c r="AO5592" s="158"/>
      <c r="AP5592" s="158"/>
    </row>
    <row r="5593" spans="34:42">
      <c r="AH5593" s="308"/>
      <c r="AI5593" s="309"/>
      <c r="AJ5593" s="210"/>
      <c r="AK5593" s="310"/>
      <c r="AL5593" s="106"/>
      <c r="AM5593" s="106"/>
      <c r="AN5593" s="106"/>
      <c r="AO5593" s="158"/>
      <c r="AP5593" s="158"/>
    </row>
    <row r="5594" spans="34:42">
      <c r="AH5594" s="308"/>
      <c r="AI5594" s="309"/>
      <c r="AJ5594" s="210"/>
      <c r="AK5594" s="310"/>
      <c r="AL5594" s="106"/>
      <c r="AM5594" s="106"/>
      <c r="AN5594" s="106"/>
      <c r="AO5594" s="158"/>
      <c r="AP5594" s="158"/>
    </row>
    <row r="5595" spans="34:42">
      <c r="AH5595" s="308"/>
      <c r="AI5595" s="309"/>
      <c r="AJ5595" s="210"/>
      <c r="AK5595" s="310"/>
      <c r="AL5595" s="106"/>
      <c r="AM5595" s="106"/>
      <c r="AN5595" s="106"/>
      <c r="AO5595" s="158"/>
      <c r="AP5595" s="158"/>
    </row>
    <row r="5596" spans="34:42">
      <c r="AH5596" s="308"/>
      <c r="AI5596" s="309"/>
      <c r="AJ5596" s="210"/>
      <c r="AK5596" s="310"/>
      <c r="AL5596" s="106"/>
      <c r="AM5596" s="106"/>
      <c r="AN5596" s="106"/>
      <c r="AO5596" s="158"/>
      <c r="AP5596" s="158"/>
    </row>
    <row r="5597" spans="34:42">
      <c r="AH5597" s="308"/>
      <c r="AI5597" s="309"/>
      <c r="AJ5597" s="210"/>
      <c r="AK5597" s="310"/>
      <c r="AL5597" s="106"/>
      <c r="AM5597" s="106"/>
      <c r="AN5597" s="106"/>
      <c r="AO5597" s="158"/>
      <c r="AP5597" s="158"/>
    </row>
    <row r="5598" spans="34:42">
      <c r="AH5598" s="308"/>
      <c r="AI5598" s="309"/>
      <c r="AJ5598" s="210"/>
      <c r="AK5598" s="310"/>
      <c r="AL5598" s="106"/>
      <c r="AM5598" s="106"/>
      <c r="AN5598" s="106"/>
      <c r="AO5598" s="158"/>
      <c r="AP5598" s="158"/>
    </row>
    <row r="5599" spans="34:42">
      <c r="AH5599" s="308"/>
      <c r="AI5599" s="309"/>
      <c r="AJ5599" s="210"/>
      <c r="AK5599" s="310"/>
      <c r="AL5599" s="106"/>
      <c r="AM5599" s="106"/>
      <c r="AN5599" s="106"/>
      <c r="AO5599" s="158"/>
      <c r="AP5599" s="158"/>
    </row>
    <row r="5600" spans="34:42">
      <c r="AH5600" s="308"/>
      <c r="AI5600" s="309"/>
      <c r="AJ5600" s="210"/>
      <c r="AK5600" s="310"/>
      <c r="AL5600" s="106"/>
      <c r="AM5600" s="106"/>
      <c r="AN5600" s="106"/>
      <c r="AO5600" s="158"/>
      <c r="AP5600" s="158"/>
    </row>
    <row r="5601" spans="34:42">
      <c r="AH5601" s="308"/>
      <c r="AI5601" s="309"/>
      <c r="AJ5601" s="210"/>
      <c r="AK5601" s="310"/>
      <c r="AL5601" s="106"/>
      <c r="AM5601" s="106"/>
      <c r="AN5601" s="106"/>
      <c r="AO5601" s="158"/>
      <c r="AP5601" s="158"/>
    </row>
    <row r="5602" spans="34:42">
      <c r="AH5602" s="308"/>
      <c r="AI5602" s="309"/>
      <c r="AJ5602" s="210"/>
      <c r="AK5602" s="310"/>
      <c r="AL5602" s="106"/>
      <c r="AM5602" s="106"/>
      <c r="AN5602" s="106"/>
      <c r="AO5602" s="158"/>
      <c r="AP5602" s="158"/>
    </row>
    <row r="5603" spans="34:42">
      <c r="AH5603" s="308"/>
      <c r="AI5603" s="309"/>
      <c r="AJ5603" s="210"/>
      <c r="AK5603" s="310"/>
      <c r="AL5603" s="106"/>
      <c r="AM5603" s="106"/>
      <c r="AN5603" s="106"/>
      <c r="AO5603" s="158"/>
      <c r="AP5603" s="158"/>
    </row>
    <row r="5604" spans="34:42">
      <c r="AH5604" s="308"/>
      <c r="AI5604" s="309"/>
      <c r="AJ5604" s="210"/>
      <c r="AK5604" s="310"/>
      <c r="AL5604" s="106"/>
      <c r="AM5604" s="106"/>
      <c r="AN5604" s="106"/>
      <c r="AO5604" s="158"/>
      <c r="AP5604" s="158"/>
    </row>
    <row r="5605" spans="34:42">
      <c r="AH5605" s="308"/>
      <c r="AI5605" s="309"/>
      <c r="AJ5605" s="210"/>
      <c r="AK5605" s="310"/>
      <c r="AL5605" s="106"/>
      <c r="AM5605" s="106"/>
      <c r="AN5605" s="106"/>
      <c r="AO5605" s="158"/>
      <c r="AP5605" s="158"/>
    </row>
    <row r="5606" spans="34:42">
      <c r="AH5606" s="308"/>
      <c r="AI5606" s="309"/>
      <c r="AJ5606" s="210"/>
      <c r="AK5606" s="310"/>
      <c r="AL5606" s="106"/>
      <c r="AM5606" s="106"/>
      <c r="AN5606" s="106"/>
      <c r="AO5606" s="158"/>
      <c r="AP5606" s="158"/>
    </row>
    <row r="5607" spans="34:42">
      <c r="AH5607" s="308"/>
      <c r="AI5607" s="309"/>
      <c r="AJ5607" s="210"/>
      <c r="AK5607" s="310"/>
      <c r="AL5607" s="106"/>
      <c r="AM5607" s="106"/>
      <c r="AN5607" s="106"/>
      <c r="AO5607" s="158"/>
      <c r="AP5607" s="158"/>
    </row>
    <row r="5608" spans="34:42">
      <c r="AH5608" s="308"/>
      <c r="AI5608" s="309"/>
      <c r="AJ5608" s="210"/>
      <c r="AK5608" s="310"/>
      <c r="AL5608" s="106"/>
      <c r="AM5608" s="106"/>
      <c r="AN5608" s="106"/>
      <c r="AO5608" s="158"/>
      <c r="AP5608" s="158"/>
    </row>
    <row r="5609" spans="34:42">
      <c r="AH5609" s="308"/>
      <c r="AI5609" s="309"/>
      <c r="AJ5609" s="210"/>
      <c r="AK5609" s="310"/>
      <c r="AL5609" s="106"/>
      <c r="AM5609" s="106"/>
      <c r="AN5609" s="106"/>
      <c r="AO5609" s="158"/>
      <c r="AP5609" s="158"/>
    </row>
    <row r="5610" spans="34:42">
      <c r="AH5610" s="308"/>
      <c r="AI5610" s="309"/>
      <c r="AJ5610" s="210"/>
      <c r="AK5610" s="310"/>
      <c r="AL5610" s="106"/>
      <c r="AM5610" s="106"/>
      <c r="AN5610" s="106"/>
      <c r="AO5610" s="158"/>
      <c r="AP5610" s="158"/>
    </row>
    <row r="5611" spans="34:42">
      <c r="AH5611" s="308"/>
      <c r="AI5611" s="309"/>
      <c r="AJ5611" s="210"/>
      <c r="AK5611" s="310"/>
      <c r="AL5611" s="106"/>
      <c r="AM5611" s="106"/>
      <c r="AN5611" s="106"/>
      <c r="AO5611" s="158"/>
      <c r="AP5611" s="158"/>
    </row>
    <row r="5612" spans="34:42">
      <c r="AH5612" s="308"/>
      <c r="AI5612" s="309"/>
      <c r="AJ5612" s="210"/>
      <c r="AK5612" s="310"/>
      <c r="AL5612" s="106"/>
      <c r="AM5612" s="106"/>
      <c r="AN5612" s="106"/>
      <c r="AO5612" s="158"/>
      <c r="AP5612" s="158"/>
    </row>
    <row r="5613" spans="34:42">
      <c r="AH5613" s="308"/>
      <c r="AI5613" s="309"/>
      <c r="AJ5613" s="210"/>
      <c r="AK5613" s="310"/>
      <c r="AL5613" s="106"/>
      <c r="AM5613" s="106"/>
      <c r="AN5613" s="106"/>
      <c r="AO5613" s="158"/>
      <c r="AP5613" s="158"/>
    </row>
    <row r="5614" spans="34:42">
      <c r="AH5614" s="308"/>
      <c r="AI5614" s="309"/>
      <c r="AJ5614" s="210"/>
      <c r="AK5614" s="310"/>
      <c r="AL5614" s="106"/>
      <c r="AM5614" s="106"/>
      <c r="AN5614" s="106"/>
      <c r="AO5614" s="158"/>
      <c r="AP5614" s="158"/>
    </row>
    <row r="5615" spans="34:42">
      <c r="AH5615" s="308"/>
      <c r="AI5615" s="309"/>
      <c r="AJ5615" s="210"/>
      <c r="AK5615" s="310"/>
      <c r="AL5615" s="106"/>
      <c r="AM5615" s="106"/>
      <c r="AN5615" s="106"/>
      <c r="AO5615" s="158"/>
      <c r="AP5615" s="158"/>
    </row>
    <row r="5616" spans="34:42">
      <c r="AH5616" s="308"/>
      <c r="AI5616" s="309"/>
      <c r="AJ5616" s="210"/>
      <c r="AK5616" s="310"/>
      <c r="AL5616" s="106"/>
      <c r="AM5616" s="106"/>
      <c r="AN5616" s="106"/>
      <c r="AO5616" s="158"/>
      <c r="AP5616" s="158"/>
    </row>
    <row r="5617" spans="34:42">
      <c r="AH5617" s="308"/>
      <c r="AI5617" s="309"/>
      <c r="AJ5617" s="210"/>
      <c r="AK5617" s="310"/>
      <c r="AL5617" s="106"/>
      <c r="AM5617" s="106"/>
      <c r="AN5617" s="106"/>
      <c r="AO5617" s="158"/>
      <c r="AP5617" s="158"/>
    </row>
    <row r="5618" spans="34:42">
      <c r="AH5618" s="308"/>
      <c r="AI5618" s="309"/>
      <c r="AJ5618" s="210"/>
      <c r="AK5618" s="310"/>
      <c r="AL5618" s="106"/>
      <c r="AM5618" s="106"/>
      <c r="AN5618" s="106"/>
      <c r="AO5618" s="158"/>
      <c r="AP5618" s="158"/>
    </row>
    <row r="5619" spans="34:42">
      <c r="AH5619" s="308"/>
      <c r="AI5619" s="309"/>
      <c r="AJ5619" s="210"/>
      <c r="AK5619" s="310"/>
      <c r="AL5619" s="106"/>
      <c r="AM5619" s="106"/>
      <c r="AN5619" s="106"/>
      <c r="AO5619" s="158"/>
      <c r="AP5619" s="158"/>
    </row>
    <row r="5620" spans="34:42">
      <c r="AH5620" s="308"/>
      <c r="AI5620" s="309"/>
      <c r="AJ5620" s="210"/>
      <c r="AK5620" s="310"/>
      <c r="AL5620" s="106"/>
      <c r="AM5620" s="106"/>
      <c r="AN5620" s="106"/>
      <c r="AO5620" s="158"/>
      <c r="AP5620" s="158"/>
    </row>
    <row r="5621" spans="34:42">
      <c r="AH5621" s="308"/>
      <c r="AI5621" s="309"/>
      <c r="AJ5621" s="210"/>
      <c r="AK5621" s="310"/>
      <c r="AL5621" s="106"/>
      <c r="AM5621" s="106"/>
      <c r="AN5621" s="106"/>
      <c r="AO5621" s="158"/>
      <c r="AP5621" s="158"/>
    </row>
    <row r="5622" spans="34:42">
      <c r="AH5622" s="308"/>
      <c r="AI5622" s="309"/>
      <c r="AJ5622" s="210"/>
      <c r="AK5622" s="310"/>
      <c r="AL5622" s="106"/>
      <c r="AM5622" s="106"/>
      <c r="AN5622" s="106"/>
      <c r="AO5622" s="158"/>
      <c r="AP5622" s="158"/>
    </row>
    <row r="5623" spans="34:42">
      <c r="AH5623" s="308"/>
      <c r="AI5623" s="309"/>
      <c r="AJ5623" s="210"/>
      <c r="AK5623" s="310"/>
      <c r="AL5623" s="106"/>
      <c r="AM5623" s="106"/>
      <c r="AN5623" s="106"/>
      <c r="AO5623" s="158"/>
      <c r="AP5623" s="158"/>
    </row>
    <row r="5624" spans="34:42">
      <c r="AH5624" s="308"/>
      <c r="AI5624" s="309"/>
      <c r="AJ5624" s="210"/>
      <c r="AK5624" s="310"/>
      <c r="AL5624" s="106"/>
      <c r="AM5624" s="106"/>
      <c r="AN5624" s="106"/>
      <c r="AO5624" s="158"/>
      <c r="AP5624" s="158"/>
    </row>
    <row r="5625" spans="34:42">
      <c r="AH5625" s="308"/>
      <c r="AI5625" s="309"/>
      <c r="AJ5625" s="210"/>
      <c r="AK5625" s="310"/>
      <c r="AL5625" s="106"/>
      <c r="AM5625" s="106"/>
      <c r="AN5625" s="106"/>
      <c r="AO5625" s="158"/>
      <c r="AP5625" s="158"/>
    </row>
    <row r="5626" spans="34:42">
      <c r="AH5626" s="308"/>
      <c r="AI5626" s="309"/>
      <c r="AJ5626" s="210"/>
      <c r="AK5626" s="310"/>
      <c r="AL5626" s="106"/>
      <c r="AM5626" s="106"/>
      <c r="AN5626" s="106"/>
      <c r="AO5626" s="158"/>
      <c r="AP5626" s="158"/>
    </row>
    <row r="5627" spans="34:42">
      <c r="AH5627" s="308"/>
      <c r="AI5627" s="309"/>
      <c r="AJ5627" s="210"/>
      <c r="AK5627" s="310"/>
      <c r="AL5627" s="106"/>
      <c r="AM5627" s="106"/>
      <c r="AN5627" s="106"/>
      <c r="AO5627" s="158"/>
      <c r="AP5627" s="158"/>
    </row>
    <row r="5628" spans="34:42">
      <c r="AH5628" s="308"/>
      <c r="AI5628" s="309"/>
      <c r="AJ5628" s="210"/>
      <c r="AK5628" s="310"/>
      <c r="AL5628" s="106"/>
      <c r="AM5628" s="106"/>
      <c r="AN5628" s="106"/>
      <c r="AO5628" s="158"/>
      <c r="AP5628" s="158"/>
    </row>
    <row r="5629" spans="34:42">
      <c r="AH5629" s="308"/>
      <c r="AI5629" s="309"/>
      <c r="AJ5629" s="210"/>
      <c r="AK5629" s="310"/>
      <c r="AL5629" s="106"/>
      <c r="AM5629" s="106"/>
      <c r="AN5629" s="106"/>
      <c r="AO5629" s="158"/>
      <c r="AP5629" s="158"/>
    </row>
    <row r="5630" spans="34:42">
      <c r="AH5630" s="308"/>
      <c r="AI5630" s="309"/>
      <c r="AJ5630" s="210"/>
      <c r="AK5630" s="310"/>
      <c r="AL5630" s="106"/>
      <c r="AM5630" s="106"/>
      <c r="AN5630" s="106"/>
      <c r="AO5630" s="158"/>
      <c r="AP5630" s="158"/>
    </row>
    <row r="5631" spans="34:42">
      <c r="AH5631" s="308"/>
      <c r="AI5631" s="309"/>
      <c r="AJ5631" s="210"/>
      <c r="AK5631" s="310"/>
      <c r="AL5631" s="106"/>
      <c r="AM5631" s="106"/>
      <c r="AN5631" s="106"/>
      <c r="AO5631" s="158"/>
      <c r="AP5631" s="158"/>
    </row>
    <row r="5632" spans="34:42">
      <c r="AH5632" s="308"/>
      <c r="AI5632" s="309"/>
      <c r="AJ5632" s="210"/>
      <c r="AK5632" s="310"/>
      <c r="AL5632" s="106"/>
      <c r="AM5632" s="106"/>
      <c r="AN5632" s="106"/>
      <c r="AO5632" s="158"/>
      <c r="AP5632" s="158"/>
    </row>
    <row r="5633" spans="34:42">
      <c r="AH5633" s="308"/>
      <c r="AI5633" s="309"/>
      <c r="AJ5633" s="210"/>
      <c r="AK5633" s="310"/>
      <c r="AL5633" s="106"/>
      <c r="AM5633" s="106"/>
      <c r="AN5633" s="106"/>
      <c r="AO5633" s="158"/>
      <c r="AP5633" s="158"/>
    </row>
    <row r="5634" spans="34:42">
      <c r="AH5634" s="308"/>
      <c r="AI5634" s="309"/>
      <c r="AJ5634" s="210"/>
      <c r="AK5634" s="310"/>
      <c r="AL5634" s="106"/>
      <c r="AM5634" s="106"/>
      <c r="AN5634" s="106"/>
      <c r="AO5634" s="158"/>
      <c r="AP5634" s="158"/>
    </row>
    <row r="5635" spans="34:42">
      <c r="AH5635" s="308"/>
      <c r="AI5635" s="309"/>
      <c r="AJ5635" s="210"/>
      <c r="AK5635" s="310"/>
      <c r="AL5635" s="106"/>
      <c r="AM5635" s="106"/>
      <c r="AN5635" s="106"/>
      <c r="AO5635" s="158"/>
      <c r="AP5635" s="158"/>
    </row>
    <row r="5636" spans="34:42">
      <c r="AH5636" s="308"/>
      <c r="AI5636" s="309"/>
      <c r="AJ5636" s="210"/>
      <c r="AK5636" s="310"/>
      <c r="AL5636" s="106"/>
      <c r="AM5636" s="106"/>
      <c r="AN5636" s="106"/>
      <c r="AO5636" s="158"/>
      <c r="AP5636" s="158"/>
    </row>
    <row r="5637" spans="34:42">
      <c r="AH5637" s="308"/>
      <c r="AI5637" s="309"/>
      <c r="AJ5637" s="210"/>
      <c r="AK5637" s="310"/>
      <c r="AL5637" s="106"/>
      <c r="AM5637" s="106"/>
      <c r="AN5637" s="106"/>
      <c r="AO5637" s="158"/>
      <c r="AP5637" s="158"/>
    </row>
    <row r="5638" spans="34:42">
      <c r="AH5638" s="308"/>
      <c r="AI5638" s="309"/>
      <c r="AJ5638" s="210"/>
      <c r="AK5638" s="310"/>
      <c r="AL5638" s="106"/>
      <c r="AM5638" s="106"/>
      <c r="AN5638" s="106"/>
      <c r="AO5638" s="158"/>
      <c r="AP5638" s="158"/>
    </row>
    <row r="5639" spans="34:42">
      <c r="AH5639" s="308"/>
      <c r="AI5639" s="309"/>
      <c r="AJ5639" s="210"/>
      <c r="AK5639" s="310"/>
      <c r="AL5639" s="106"/>
      <c r="AM5639" s="106"/>
      <c r="AN5639" s="106"/>
      <c r="AO5639" s="158"/>
      <c r="AP5639" s="158"/>
    </row>
    <row r="5640" spans="34:42">
      <c r="AH5640" s="308"/>
      <c r="AI5640" s="309"/>
      <c r="AJ5640" s="210"/>
      <c r="AK5640" s="310"/>
      <c r="AL5640" s="106"/>
      <c r="AM5640" s="106"/>
      <c r="AN5640" s="106"/>
      <c r="AO5640" s="158"/>
      <c r="AP5640" s="158"/>
    </row>
    <row r="5641" spans="34:42">
      <c r="AH5641" s="308"/>
      <c r="AI5641" s="309"/>
      <c r="AJ5641" s="210"/>
      <c r="AK5641" s="310"/>
      <c r="AL5641" s="106"/>
      <c r="AM5641" s="106"/>
      <c r="AN5641" s="106"/>
      <c r="AO5641" s="158"/>
      <c r="AP5641" s="158"/>
    </row>
    <row r="5642" spans="34:42">
      <c r="AH5642" s="308"/>
      <c r="AI5642" s="309"/>
      <c r="AJ5642" s="210"/>
      <c r="AK5642" s="310"/>
      <c r="AL5642" s="106"/>
      <c r="AM5642" s="106"/>
      <c r="AN5642" s="106"/>
      <c r="AO5642" s="158"/>
      <c r="AP5642" s="158"/>
    </row>
    <row r="5643" spans="34:42">
      <c r="AH5643" s="308"/>
      <c r="AI5643" s="309"/>
      <c r="AJ5643" s="210"/>
      <c r="AK5643" s="310"/>
      <c r="AL5643" s="106"/>
      <c r="AM5643" s="106"/>
      <c r="AN5643" s="106"/>
      <c r="AO5643" s="158"/>
      <c r="AP5643" s="158"/>
    </row>
    <row r="5644" spans="34:42">
      <c r="AH5644" s="308"/>
      <c r="AI5644" s="309"/>
      <c r="AJ5644" s="210"/>
      <c r="AK5644" s="310"/>
      <c r="AL5644" s="106"/>
      <c r="AM5644" s="106"/>
      <c r="AN5644" s="106"/>
      <c r="AO5644" s="158"/>
      <c r="AP5644" s="158"/>
    </row>
    <row r="5645" spans="34:42">
      <c r="AH5645" s="308"/>
      <c r="AI5645" s="309"/>
      <c r="AJ5645" s="210"/>
      <c r="AK5645" s="310"/>
      <c r="AL5645" s="106"/>
      <c r="AM5645" s="106"/>
      <c r="AN5645" s="106"/>
      <c r="AO5645" s="158"/>
      <c r="AP5645" s="158"/>
    </row>
    <row r="5646" spans="34:42">
      <c r="AH5646" s="308"/>
      <c r="AI5646" s="309"/>
      <c r="AJ5646" s="210"/>
      <c r="AK5646" s="310"/>
      <c r="AL5646" s="106"/>
      <c r="AM5646" s="106"/>
      <c r="AN5646" s="106"/>
      <c r="AO5646" s="158"/>
      <c r="AP5646" s="158"/>
    </row>
    <row r="5647" spans="34:42">
      <c r="AH5647" s="308"/>
      <c r="AI5647" s="309"/>
      <c r="AJ5647" s="210"/>
      <c r="AK5647" s="310"/>
      <c r="AL5647" s="106"/>
      <c r="AM5647" s="106"/>
      <c r="AN5647" s="106"/>
      <c r="AO5647" s="158"/>
      <c r="AP5647" s="158"/>
    </row>
    <row r="5648" spans="34:42">
      <c r="AH5648" s="308"/>
      <c r="AI5648" s="309"/>
      <c r="AJ5648" s="210"/>
      <c r="AK5648" s="310"/>
      <c r="AL5648" s="106"/>
      <c r="AM5648" s="106"/>
      <c r="AN5648" s="106"/>
      <c r="AO5648" s="158"/>
      <c r="AP5648" s="158"/>
    </row>
    <row r="5649" spans="34:42">
      <c r="AH5649" s="308"/>
      <c r="AI5649" s="309"/>
      <c r="AJ5649" s="210"/>
      <c r="AK5649" s="310"/>
      <c r="AL5649" s="106"/>
      <c r="AM5649" s="106"/>
      <c r="AN5649" s="106"/>
      <c r="AO5649" s="158"/>
      <c r="AP5649" s="158"/>
    </row>
    <row r="5650" spans="34:42">
      <c r="AH5650" s="308"/>
      <c r="AI5650" s="309"/>
      <c r="AJ5650" s="210"/>
      <c r="AK5650" s="310"/>
      <c r="AL5650" s="106"/>
      <c r="AM5650" s="106"/>
      <c r="AN5650" s="106"/>
      <c r="AO5650" s="158"/>
      <c r="AP5650" s="158"/>
    </row>
    <row r="5651" spans="34:42">
      <c r="AH5651" s="308"/>
      <c r="AI5651" s="309"/>
      <c r="AJ5651" s="210"/>
      <c r="AK5651" s="310"/>
      <c r="AL5651" s="106"/>
      <c r="AM5651" s="106"/>
      <c r="AN5651" s="106"/>
      <c r="AO5651" s="158"/>
      <c r="AP5651" s="158"/>
    </row>
    <row r="5652" spans="34:42">
      <c r="AH5652" s="308"/>
      <c r="AI5652" s="309"/>
      <c r="AJ5652" s="210"/>
      <c r="AK5652" s="310"/>
      <c r="AL5652" s="106"/>
      <c r="AM5652" s="106"/>
      <c r="AN5652" s="106"/>
      <c r="AO5652" s="158"/>
      <c r="AP5652" s="158"/>
    </row>
    <row r="5653" spans="34:42">
      <c r="AH5653" s="308"/>
      <c r="AI5653" s="309"/>
      <c r="AJ5653" s="210"/>
      <c r="AK5653" s="310"/>
      <c r="AL5653" s="106"/>
      <c r="AM5653" s="106"/>
      <c r="AN5653" s="106"/>
      <c r="AO5653" s="158"/>
      <c r="AP5653" s="158"/>
    </row>
    <row r="5654" spans="34:42">
      <c r="AH5654" s="308"/>
      <c r="AI5654" s="309"/>
      <c r="AJ5654" s="210"/>
      <c r="AK5654" s="310"/>
      <c r="AL5654" s="106"/>
      <c r="AM5654" s="106"/>
      <c r="AN5654" s="106"/>
      <c r="AO5654" s="158"/>
      <c r="AP5654" s="158"/>
    </row>
    <row r="5655" spans="34:42">
      <c r="AH5655" s="308"/>
      <c r="AI5655" s="309"/>
      <c r="AJ5655" s="210"/>
      <c r="AK5655" s="310"/>
      <c r="AL5655" s="106"/>
      <c r="AM5655" s="106"/>
      <c r="AN5655" s="106"/>
      <c r="AO5655" s="158"/>
      <c r="AP5655" s="158"/>
    </row>
    <row r="5656" spans="34:42">
      <c r="AH5656" s="308"/>
      <c r="AI5656" s="309"/>
      <c r="AJ5656" s="210"/>
      <c r="AK5656" s="310"/>
      <c r="AL5656" s="106"/>
      <c r="AM5656" s="106"/>
      <c r="AN5656" s="106"/>
      <c r="AO5656" s="158"/>
      <c r="AP5656" s="158"/>
    </row>
    <row r="5657" spans="34:42">
      <c r="AH5657" s="308"/>
      <c r="AI5657" s="309"/>
      <c r="AJ5657" s="210"/>
      <c r="AK5657" s="310"/>
      <c r="AL5657" s="106"/>
      <c r="AM5657" s="106"/>
      <c r="AN5657" s="106"/>
      <c r="AO5657" s="158"/>
      <c r="AP5657" s="158"/>
    </row>
    <row r="5658" spans="34:42">
      <c r="AH5658" s="308"/>
      <c r="AI5658" s="309"/>
      <c r="AJ5658" s="210"/>
      <c r="AK5658" s="310"/>
      <c r="AL5658" s="106"/>
      <c r="AM5658" s="106"/>
      <c r="AN5658" s="106"/>
      <c r="AO5658" s="158"/>
      <c r="AP5658" s="158"/>
    </row>
    <row r="5659" spans="34:42">
      <c r="AH5659" s="308"/>
      <c r="AI5659" s="309"/>
      <c r="AJ5659" s="210"/>
      <c r="AK5659" s="310"/>
      <c r="AL5659" s="106"/>
      <c r="AM5659" s="106"/>
      <c r="AN5659" s="106"/>
      <c r="AO5659" s="158"/>
      <c r="AP5659" s="158"/>
    </row>
    <row r="5660" spans="34:42">
      <c r="AH5660" s="308"/>
      <c r="AI5660" s="309"/>
      <c r="AJ5660" s="210"/>
      <c r="AK5660" s="310"/>
      <c r="AL5660" s="106"/>
      <c r="AM5660" s="106"/>
      <c r="AN5660" s="106"/>
      <c r="AO5660" s="158"/>
      <c r="AP5660" s="158"/>
    </row>
    <row r="5661" spans="34:42">
      <c r="AH5661" s="308"/>
      <c r="AI5661" s="309"/>
      <c r="AJ5661" s="210"/>
      <c r="AK5661" s="310"/>
      <c r="AL5661" s="106"/>
      <c r="AM5661" s="106"/>
      <c r="AN5661" s="106"/>
      <c r="AO5661" s="158"/>
      <c r="AP5661" s="158"/>
    </row>
    <row r="5662" spans="34:42">
      <c r="AH5662" s="308"/>
      <c r="AI5662" s="309"/>
      <c r="AJ5662" s="210"/>
      <c r="AK5662" s="310"/>
      <c r="AL5662" s="106"/>
      <c r="AM5662" s="106"/>
      <c r="AN5662" s="106"/>
      <c r="AO5662" s="158"/>
      <c r="AP5662" s="158"/>
    </row>
    <row r="5663" spans="34:42">
      <c r="AH5663" s="308"/>
      <c r="AI5663" s="309"/>
      <c r="AJ5663" s="210"/>
      <c r="AK5663" s="310"/>
      <c r="AL5663" s="106"/>
      <c r="AM5663" s="106"/>
      <c r="AN5663" s="106"/>
      <c r="AO5663" s="158"/>
      <c r="AP5663" s="158"/>
    </row>
    <row r="5664" spans="34:42">
      <c r="AH5664" s="308"/>
      <c r="AI5664" s="309"/>
      <c r="AJ5664" s="210"/>
      <c r="AK5664" s="310"/>
      <c r="AL5664" s="106"/>
      <c r="AM5664" s="106"/>
      <c r="AN5664" s="106"/>
      <c r="AO5664" s="158"/>
      <c r="AP5664" s="158"/>
    </row>
    <row r="5665" spans="34:42">
      <c r="AH5665" s="308"/>
      <c r="AI5665" s="309"/>
      <c r="AJ5665" s="210"/>
      <c r="AK5665" s="310"/>
      <c r="AL5665" s="106"/>
      <c r="AM5665" s="106"/>
      <c r="AN5665" s="106"/>
      <c r="AO5665" s="158"/>
      <c r="AP5665" s="158"/>
    </row>
    <row r="5666" spans="34:42">
      <c r="AH5666" s="308"/>
      <c r="AI5666" s="309"/>
      <c r="AJ5666" s="210"/>
      <c r="AK5666" s="310"/>
      <c r="AL5666" s="106"/>
      <c r="AM5666" s="106"/>
      <c r="AN5666" s="106"/>
      <c r="AO5666" s="158"/>
      <c r="AP5666" s="158"/>
    </row>
    <row r="5667" spans="34:42">
      <c r="AH5667" s="308"/>
      <c r="AI5667" s="309"/>
      <c r="AJ5667" s="210"/>
      <c r="AK5667" s="310"/>
      <c r="AL5667" s="106"/>
      <c r="AM5667" s="106"/>
      <c r="AN5667" s="106"/>
      <c r="AO5667" s="158"/>
      <c r="AP5667" s="158"/>
    </row>
    <row r="5668" spans="34:42">
      <c r="AH5668" s="308"/>
      <c r="AI5668" s="309"/>
      <c r="AJ5668" s="210"/>
      <c r="AK5668" s="310"/>
      <c r="AL5668" s="106"/>
      <c r="AM5668" s="106"/>
      <c r="AN5668" s="106"/>
      <c r="AO5668" s="158"/>
      <c r="AP5668" s="158"/>
    </row>
    <row r="5669" spans="34:42">
      <c r="AH5669" s="308"/>
      <c r="AI5669" s="309"/>
      <c r="AJ5669" s="210"/>
      <c r="AK5669" s="310"/>
      <c r="AL5669" s="106"/>
      <c r="AM5669" s="106"/>
      <c r="AN5669" s="106"/>
      <c r="AO5669" s="158"/>
      <c r="AP5669" s="158"/>
    </row>
    <row r="5670" spans="34:42">
      <c r="AH5670" s="308"/>
      <c r="AI5670" s="309"/>
      <c r="AJ5670" s="210"/>
      <c r="AK5670" s="310"/>
      <c r="AL5670" s="106"/>
      <c r="AM5670" s="106"/>
      <c r="AN5670" s="106"/>
      <c r="AO5670" s="158"/>
      <c r="AP5670" s="158"/>
    </row>
    <row r="5671" spans="34:42">
      <c r="AH5671" s="308"/>
      <c r="AI5671" s="309"/>
      <c r="AJ5671" s="210"/>
      <c r="AK5671" s="310"/>
      <c r="AL5671" s="106"/>
      <c r="AM5671" s="106"/>
      <c r="AN5671" s="106"/>
      <c r="AO5671" s="158"/>
      <c r="AP5671" s="158"/>
    </row>
    <row r="5672" spans="34:42">
      <c r="AH5672" s="308"/>
      <c r="AI5672" s="309"/>
      <c r="AJ5672" s="210"/>
      <c r="AK5672" s="310"/>
      <c r="AL5672" s="106"/>
      <c r="AM5672" s="106"/>
      <c r="AN5672" s="106"/>
      <c r="AO5672" s="158"/>
      <c r="AP5672" s="158"/>
    </row>
    <row r="5673" spans="34:42">
      <c r="AH5673" s="308"/>
      <c r="AI5673" s="309"/>
      <c r="AJ5673" s="210"/>
      <c r="AK5673" s="310"/>
      <c r="AL5673" s="106"/>
      <c r="AM5673" s="106"/>
      <c r="AN5673" s="106"/>
      <c r="AO5673" s="158"/>
      <c r="AP5673" s="158"/>
    </row>
    <row r="5674" spans="34:42">
      <c r="AH5674" s="308"/>
      <c r="AI5674" s="309"/>
      <c r="AJ5674" s="210"/>
      <c r="AK5674" s="310"/>
      <c r="AL5674" s="106"/>
      <c r="AM5674" s="106"/>
      <c r="AN5674" s="106"/>
      <c r="AO5674" s="158"/>
      <c r="AP5674" s="158"/>
    </row>
    <row r="5675" spans="34:42">
      <c r="AH5675" s="308"/>
      <c r="AI5675" s="309"/>
      <c r="AJ5675" s="210"/>
      <c r="AK5675" s="310"/>
      <c r="AL5675" s="106"/>
      <c r="AM5675" s="106"/>
      <c r="AN5675" s="106"/>
      <c r="AO5675" s="158"/>
      <c r="AP5675" s="158"/>
    </row>
    <row r="5676" spans="34:42">
      <c r="AH5676" s="308"/>
      <c r="AI5676" s="309"/>
      <c r="AJ5676" s="210"/>
      <c r="AK5676" s="310"/>
      <c r="AL5676" s="106"/>
      <c r="AM5676" s="106"/>
      <c r="AN5676" s="106"/>
      <c r="AO5676" s="158"/>
      <c r="AP5676" s="158"/>
    </row>
    <row r="5677" spans="34:42">
      <c r="AH5677" s="308"/>
      <c r="AI5677" s="309"/>
      <c r="AJ5677" s="210"/>
      <c r="AK5677" s="310"/>
      <c r="AL5677" s="106"/>
      <c r="AM5677" s="106"/>
      <c r="AN5677" s="106"/>
      <c r="AO5677" s="158"/>
      <c r="AP5677" s="158"/>
    </row>
    <row r="5678" spans="34:42">
      <c r="AH5678" s="308"/>
      <c r="AI5678" s="309"/>
      <c r="AJ5678" s="210"/>
      <c r="AK5678" s="310"/>
      <c r="AL5678" s="106"/>
      <c r="AM5678" s="106"/>
      <c r="AN5678" s="106"/>
      <c r="AO5678" s="158"/>
      <c r="AP5678" s="158"/>
    </row>
    <row r="5679" spans="34:42">
      <c r="AH5679" s="308"/>
      <c r="AI5679" s="309"/>
      <c r="AJ5679" s="210"/>
      <c r="AK5679" s="310"/>
      <c r="AL5679" s="106"/>
      <c r="AM5679" s="106"/>
      <c r="AN5679" s="106"/>
      <c r="AO5679" s="158"/>
      <c r="AP5679" s="158"/>
    </row>
    <row r="5680" spans="34:42">
      <c r="AH5680" s="308"/>
      <c r="AI5680" s="309"/>
      <c r="AJ5680" s="210"/>
      <c r="AK5680" s="310"/>
      <c r="AL5680" s="106"/>
      <c r="AM5680" s="106"/>
      <c r="AN5680" s="106"/>
      <c r="AO5680" s="158"/>
      <c r="AP5680" s="158"/>
    </row>
    <row r="5681" spans="34:42">
      <c r="AH5681" s="308"/>
      <c r="AI5681" s="309"/>
      <c r="AJ5681" s="210"/>
      <c r="AK5681" s="310"/>
      <c r="AL5681" s="106"/>
      <c r="AM5681" s="106"/>
      <c r="AN5681" s="106"/>
      <c r="AO5681" s="158"/>
      <c r="AP5681" s="158"/>
    </row>
    <row r="5682" spans="34:42">
      <c r="AH5682" s="308"/>
      <c r="AI5682" s="309"/>
      <c r="AJ5682" s="210"/>
      <c r="AK5682" s="310"/>
      <c r="AL5682" s="106"/>
      <c r="AM5682" s="106"/>
      <c r="AN5682" s="106"/>
      <c r="AO5682" s="158"/>
      <c r="AP5682" s="158"/>
    </row>
    <row r="5683" spans="34:42">
      <c r="AH5683" s="308"/>
      <c r="AI5683" s="309"/>
      <c r="AJ5683" s="210"/>
      <c r="AK5683" s="310"/>
      <c r="AL5683" s="106"/>
      <c r="AM5683" s="106"/>
      <c r="AN5683" s="106"/>
      <c r="AO5683" s="158"/>
      <c r="AP5683" s="158"/>
    </row>
    <row r="5684" spans="34:42">
      <c r="AH5684" s="308"/>
      <c r="AI5684" s="309"/>
      <c r="AJ5684" s="210"/>
      <c r="AK5684" s="310"/>
      <c r="AL5684" s="106"/>
      <c r="AM5684" s="106"/>
      <c r="AN5684" s="106"/>
      <c r="AO5684" s="158"/>
      <c r="AP5684" s="158"/>
    </row>
    <row r="5685" spans="34:42">
      <c r="AH5685" s="308"/>
      <c r="AI5685" s="309"/>
      <c r="AJ5685" s="210"/>
      <c r="AK5685" s="310"/>
      <c r="AL5685" s="106"/>
      <c r="AM5685" s="106"/>
      <c r="AN5685" s="106"/>
      <c r="AO5685" s="158"/>
      <c r="AP5685" s="158"/>
    </row>
    <row r="5686" spans="34:42">
      <c r="AH5686" s="308"/>
      <c r="AI5686" s="309"/>
      <c r="AJ5686" s="210"/>
      <c r="AK5686" s="310"/>
      <c r="AL5686" s="106"/>
      <c r="AM5686" s="106"/>
      <c r="AN5686" s="106"/>
      <c r="AO5686" s="158"/>
      <c r="AP5686" s="158"/>
    </row>
    <row r="5687" spans="34:42">
      <c r="AH5687" s="308"/>
      <c r="AI5687" s="309"/>
      <c r="AJ5687" s="210"/>
      <c r="AK5687" s="310"/>
      <c r="AL5687" s="106"/>
      <c r="AM5687" s="106"/>
      <c r="AN5687" s="106"/>
      <c r="AO5687" s="158"/>
      <c r="AP5687" s="158"/>
    </row>
    <row r="5688" spans="34:42">
      <c r="AH5688" s="308"/>
      <c r="AI5688" s="309"/>
      <c r="AJ5688" s="210"/>
      <c r="AK5688" s="310"/>
      <c r="AL5688" s="106"/>
      <c r="AM5688" s="106"/>
      <c r="AN5688" s="106"/>
      <c r="AO5688" s="158"/>
      <c r="AP5688" s="158"/>
    </row>
    <row r="5689" spans="34:42">
      <c r="AH5689" s="308"/>
      <c r="AI5689" s="309"/>
      <c r="AJ5689" s="210"/>
      <c r="AK5689" s="310"/>
      <c r="AL5689" s="106"/>
      <c r="AM5689" s="106"/>
      <c r="AN5689" s="106"/>
      <c r="AO5689" s="158"/>
      <c r="AP5689" s="158"/>
    </row>
    <row r="5690" spans="34:42">
      <c r="AH5690" s="308"/>
      <c r="AI5690" s="309"/>
      <c r="AJ5690" s="210"/>
      <c r="AK5690" s="310"/>
      <c r="AL5690" s="106"/>
      <c r="AM5690" s="106"/>
      <c r="AN5690" s="106"/>
      <c r="AO5690" s="158"/>
      <c r="AP5690" s="158"/>
    </row>
    <row r="5691" spans="34:42">
      <c r="AH5691" s="308"/>
      <c r="AI5691" s="309"/>
      <c r="AJ5691" s="210"/>
      <c r="AK5691" s="310"/>
      <c r="AL5691" s="106"/>
      <c r="AM5691" s="106"/>
      <c r="AN5691" s="106"/>
      <c r="AO5691" s="158"/>
      <c r="AP5691" s="158"/>
    </row>
    <row r="5692" spans="34:42">
      <c r="AH5692" s="308"/>
      <c r="AI5692" s="309"/>
      <c r="AJ5692" s="210"/>
      <c r="AK5692" s="310"/>
      <c r="AL5692" s="106"/>
      <c r="AM5692" s="106"/>
      <c r="AN5692" s="106"/>
      <c r="AO5692" s="158"/>
      <c r="AP5692" s="158"/>
    </row>
    <row r="5693" spans="34:42">
      <c r="AH5693" s="308"/>
      <c r="AI5693" s="309"/>
      <c r="AJ5693" s="210"/>
      <c r="AK5693" s="310"/>
      <c r="AL5693" s="106"/>
      <c r="AM5693" s="106"/>
      <c r="AN5693" s="106"/>
      <c r="AO5693" s="158"/>
      <c r="AP5693" s="158"/>
    </row>
    <row r="5694" spans="34:42">
      <c r="AH5694" s="308"/>
      <c r="AI5694" s="309"/>
      <c r="AJ5694" s="210"/>
      <c r="AK5694" s="310"/>
      <c r="AL5694" s="106"/>
      <c r="AM5694" s="106"/>
      <c r="AN5694" s="106"/>
      <c r="AO5694" s="158"/>
      <c r="AP5694" s="158"/>
    </row>
    <row r="5695" spans="34:42">
      <c r="AH5695" s="308"/>
      <c r="AI5695" s="309"/>
      <c r="AJ5695" s="210"/>
      <c r="AK5695" s="310"/>
      <c r="AL5695" s="106"/>
      <c r="AM5695" s="106"/>
      <c r="AN5695" s="106"/>
      <c r="AO5695" s="158"/>
      <c r="AP5695" s="158"/>
    </row>
    <row r="5696" spans="34:42">
      <c r="AH5696" s="308"/>
      <c r="AI5696" s="309"/>
      <c r="AJ5696" s="210"/>
      <c r="AK5696" s="310"/>
      <c r="AL5696" s="106"/>
      <c r="AM5696" s="106"/>
      <c r="AN5696" s="106"/>
      <c r="AO5696" s="158"/>
      <c r="AP5696" s="158"/>
    </row>
    <row r="5697" spans="34:42">
      <c r="AH5697" s="308"/>
      <c r="AI5697" s="309"/>
      <c r="AJ5697" s="210"/>
      <c r="AK5697" s="310"/>
      <c r="AL5697" s="106"/>
      <c r="AM5697" s="106"/>
      <c r="AN5697" s="106"/>
      <c r="AO5697" s="158"/>
      <c r="AP5697" s="158"/>
    </row>
    <row r="5698" spans="34:42">
      <c r="AH5698" s="308"/>
      <c r="AI5698" s="309"/>
      <c r="AJ5698" s="210"/>
      <c r="AK5698" s="310"/>
      <c r="AL5698" s="106"/>
      <c r="AM5698" s="106"/>
      <c r="AN5698" s="106"/>
      <c r="AO5698" s="158"/>
      <c r="AP5698" s="158"/>
    </row>
    <row r="5699" spans="34:42">
      <c r="AH5699" s="308"/>
      <c r="AI5699" s="309"/>
      <c r="AJ5699" s="210"/>
      <c r="AK5699" s="310"/>
      <c r="AL5699" s="106"/>
      <c r="AM5699" s="106"/>
      <c r="AN5699" s="106"/>
      <c r="AO5699" s="158"/>
      <c r="AP5699" s="158"/>
    </row>
    <row r="5700" spans="34:42">
      <c r="AH5700" s="308"/>
      <c r="AI5700" s="309"/>
      <c r="AJ5700" s="210"/>
      <c r="AK5700" s="310"/>
      <c r="AL5700" s="106"/>
      <c r="AM5700" s="106"/>
      <c r="AN5700" s="106"/>
      <c r="AO5700" s="158"/>
      <c r="AP5700" s="158"/>
    </row>
    <row r="5701" spans="34:42">
      <c r="AH5701" s="308"/>
      <c r="AI5701" s="309"/>
      <c r="AJ5701" s="210"/>
      <c r="AK5701" s="310"/>
      <c r="AL5701" s="106"/>
      <c r="AM5701" s="106"/>
      <c r="AN5701" s="106"/>
      <c r="AO5701" s="158"/>
      <c r="AP5701" s="158"/>
    </row>
    <row r="5702" spans="34:42">
      <c r="AH5702" s="308"/>
      <c r="AI5702" s="309"/>
      <c r="AJ5702" s="210"/>
      <c r="AK5702" s="310"/>
      <c r="AL5702" s="106"/>
      <c r="AM5702" s="106"/>
      <c r="AN5702" s="106"/>
      <c r="AO5702" s="158"/>
      <c r="AP5702" s="158"/>
    </row>
    <row r="5703" spans="34:42">
      <c r="AH5703" s="308"/>
      <c r="AI5703" s="309"/>
      <c r="AJ5703" s="210"/>
      <c r="AK5703" s="310"/>
      <c r="AL5703" s="106"/>
      <c r="AM5703" s="106"/>
      <c r="AN5703" s="106"/>
      <c r="AO5703" s="158"/>
      <c r="AP5703" s="158"/>
    </row>
    <row r="5704" spans="34:42">
      <c r="AH5704" s="308"/>
      <c r="AI5704" s="309"/>
      <c r="AJ5704" s="210"/>
      <c r="AK5704" s="310"/>
      <c r="AL5704" s="106"/>
      <c r="AM5704" s="106"/>
      <c r="AN5704" s="106"/>
      <c r="AO5704" s="158"/>
      <c r="AP5704" s="158"/>
    </row>
    <row r="5705" spans="34:42">
      <c r="AH5705" s="308"/>
      <c r="AI5705" s="309"/>
      <c r="AJ5705" s="210"/>
      <c r="AK5705" s="310"/>
      <c r="AL5705" s="106"/>
      <c r="AM5705" s="106"/>
      <c r="AN5705" s="106"/>
      <c r="AO5705" s="158"/>
      <c r="AP5705" s="158"/>
    </row>
    <row r="5706" spans="34:42">
      <c r="AH5706" s="308"/>
      <c r="AI5706" s="309"/>
      <c r="AJ5706" s="210"/>
      <c r="AK5706" s="310"/>
      <c r="AL5706" s="106"/>
      <c r="AM5706" s="106"/>
      <c r="AN5706" s="106"/>
      <c r="AO5706" s="158"/>
      <c r="AP5706" s="158"/>
    </row>
    <row r="5707" spans="34:42">
      <c r="AH5707" s="308"/>
      <c r="AI5707" s="309"/>
      <c r="AJ5707" s="210"/>
      <c r="AK5707" s="310"/>
      <c r="AL5707" s="106"/>
      <c r="AM5707" s="106"/>
      <c r="AN5707" s="106"/>
      <c r="AO5707" s="158"/>
      <c r="AP5707" s="158"/>
    </row>
    <row r="5708" spans="34:42">
      <c r="AH5708" s="308"/>
      <c r="AI5708" s="309"/>
      <c r="AJ5708" s="210"/>
      <c r="AK5708" s="310"/>
      <c r="AL5708" s="106"/>
      <c r="AM5708" s="106"/>
      <c r="AN5708" s="106"/>
      <c r="AO5708" s="158"/>
      <c r="AP5708" s="158"/>
    </row>
    <row r="5709" spans="34:42">
      <c r="AH5709" s="308"/>
      <c r="AI5709" s="309"/>
      <c r="AJ5709" s="210"/>
      <c r="AK5709" s="310"/>
      <c r="AL5709" s="106"/>
      <c r="AM5709" s="106"/>
      <c r="AN5709" s="106"/>
      <c r="AO5709" s="158"/>
      <c r="AP5709" s="158"/>
    </row>
    <row r="5710" spans="34:42">
      <c r="AH5710" s="308"/>
      <c r="AI5710" s="309"/>
      <c r="AJ5710" s="210"/>
      <c r="AK5710" s="310"/>
      <c r="AL5710" s="106"/>
      <c r="AM5710" s="106"/>
      <c r="AN5710" s="106"/>
      <c r="AO5710" s="158"/>
      <c r="AP5710" s="158"/>
    </row>
    <row r="5711" spans="34:42">
      <c r="AH5711" s="308"/>
      <c r="AI5711" s="309"/>
      <c r="AJ5711" s="210"/>
      <c r="AK5711" s="310"/>
      <c r="AL5711" s="106"/>
      <c r="AM5711" s="106"/>
      <c r="AN5711" s="106"/>
      <c r="AO5711" s="158"/>
      <c r="AP5711" s="158"/>
    </row>
    <row r="5712" spans="34:42">
      <c r="AH5712" s="308"/>
      <c r="AI5712" s="309"/>
      <c r="AJ5712" s="210"/>
      <c r="AK5712" s="310"/>
      <c r="AL5712" s="106"/>
      <c r="AM5712" s="106"/>
      <c r="AN5712" s="106"/>
      <c r="AO5712" s="158"/>
      <c r="AP5712" s="158"/>
    </row>
    <row r="5713" spans="34:42">
      <c r="AH5713" s="308"/>
      <c r="AI5713" s="309"/>
      <c r="AJ5713" s="210"/>
      <c r="AK5713" s="310"/>
      <c r="AL5713" s="106"/>
      <c r="AM5713" s="106"/>
      <c r="AN5713" s="106"/>
      <c r="AO5713" s="158"/>
      <c r="AP5713" s="158"/>
    </row>
    <row r="5714" spans="34:42">
      <c r="AH5714" s="308"/>
      <c r="AI5714" s="309"/>
      <c r="AJ5714" s="210"/>
      <c r="AK5714" s="310"/>
      <c r="AL5714" s="106"/>
      <c r="AM5714" s="106"/>
      <c r="AN5714" s="106"/>
      <c r="AO5714" s="158"/>
      <c r="AP5714" s="158"/>
    </row>
    <row r="5715" spans="34:42">
      <c r="AH5715" s="308"/>
      <c r="AI5715" s="309"/>
      <c r="AJ5715" s="210"/>
      <c r="AK5715" s="310"/>
      <c r="AL5715" s="106"/>
      <c r="AM5715" s="106"/>
      <c r="AN5715" s="106"/>
      <c r="AO5715" s="158"/>
      <c r="AP5715" s="158"/>
    </row>
    <row r="5716" spans="34:42">
      <c r="AH5716" s="308"/>
      <c r="AI5716" s="309"/>
      <c r="AJ5716" s="210"/>
      <c r="AK5716" s="310"/>
      <c r="AL5716" s="106"/>
      <c r="AM5716" s="106"/>
      <c r="AN5716" s="106"/>
      <c r="AO5716" s="158"/>
      <c r="AP5716" s="158"/>
    </row>
    <row r="5717" spans="34:42">
      <c r="AH5717" s="308"/>
      <c r="AI5717" s="309"/>
      <c r="AJ5717" s="210"/>
      <c r="AK5717" s="310"/>
      <c r="AL5717" s="106"/>
      <c r="AM5717" s="106"/>
      <c r="AN5717" s="106"/>
      <c r="AO5717" s="158"/>
      <c r="AP5717" s="158"/>
    </row>
    <row r="5718" spans="34:42">
      <c r="AH5718" s="308"/>
      <c r="AI5718" s="309"/>
      <c r="AJ5718" s="210"/>
      <c r="AK5718" s="310"/>
      <c r="AL5718" s="106"/>
      <c r="AM5718" s="106"/>
      <c r="AN5718" s="106"/>
      <c r="AO5718" s="158"/>
      <c r="AP5718" s="158"/>
    </row>
    <row r="5719" spans="34:42">
      <c r="AH5719" s="308"/>
      <c r="AI5719" s="309"/>
      <c r="AJ5719" s="210"/>
      <c r="AK5719" s="310"/>
      <c r="AL5719" s="106"/>
      <c r="AM5719" s="106"/>
      <c r="AN5719" s="106"/>
      <c r="AO5719" s="158"/>
      <c r="AP5719" s="158"/>
    </row>
    <row r="5720" spans="34:42">
      <c r="AH5720" s="308"/>
      <c r="AI5720" s="309"/>
      <c r="AJ5720" s="210"/>
      <c r="AK5720" s="310"/>
      <c r="AL5720" s="106"/>
      <c r="AM5720" s="106"/>
      <c r="AN5720" s="106"/>
      <c r="AO5720" s="158"/>
      <c r="AP5720" s="158"/>
    </row>
    <row r="5721" spans="34:42">
      <c r="AH5721" s="308"/>
      <c r="AI5721" s="309"/>
      <c r="AJ5721" s="210"/>
      <c r="AK5721" s="310"/>
      <c r="AL5721" s="106"/>
      <c r="AM5721" s="106"/>
      <c r="AN5721" s="106"/>
      <c r="AO5721" s="158"/>
      <c r="AP5721" s="158"/>
    </row>
    <row r="5722" spans="34:42">
      <c r="AH5722" s="308"/>
      <c r="AI5722" s="309"/>
      <c r="AJ5722" s="210"/>
      <c r="AK5722" s="310"/>
      <c r="AL5722" s="106"/>
      <c r="AM5722" s="106"/>
      <c r="AN5722" s="106"/>
      <c r="AO5722" s="158"/>
      <c r="AP5722" s="158"/>
    </row>
    <row r="5723" spans="34:42">
      <c r="AH5723" s="308"/>
      <c r="AI5723" s="309"/>
      <c r="AJ5723" s="210"/>
      <c r="AK5723" s="310"/>
      <c r="AL5723" s="106"/>
      <c r="AM5723" s="106"/>
      <c r="AN5723" s="106"/>
      <c r="AO5723" s="158"/>
      <c r="AP5723" s="158"/>
    </row>
    <row r="5724" spans="34:42">
      <c r="AH5724" s="308"/>
      <c r="AI5724" s="309"/>
      <c r="AJ5724" s="210"/>
      <c r="AK5724" s="310"/>
      <c r="AL5724" s="106"/>
      <c r="AM5724" s="106"/>
      <c r="AN5724" s="106"/>
      <c r="AO5724" s="158"/>
      <c r="AP5724" s="158"/>
    </row>
    <row r="5725" spans="34:42">
      <c r="AH5725" s="308"/>
      <c r="AI5725" s="309"/>
      <c r="AJ5725" s="210"/>
      <c r="AK5725" s="310"/>
      <c r="AL5725" s="106"/>
      <c r="AM5725" s="106"/>
      <c r="AN5725" s="106"/>
      <c r="AO5725" s="158"/>
      <c r="AP5725" s="158"/>
    </row>
    <row r="5726" spans="34:42">
      <c r="AH5726" s="308"/>
      <c r="AI5726" s="309"/>
      <c r="AJ5726" s="210"/>
      <c r="AK5726" s="310"/>
      <c r="AL5726" s="106"/>
      <c r="AM5726" s="106"/>
      <c r="AN5726" s="106"/>
      <c r="AO5726" s="158"/>
      <c r="AP5726" s="158"/>
    </row>
    <row r="5727" spans="34:42">
      <c r="AH5727" s="308"/>
      <c r="AI5727" s="309"/>
      <c r="AJ5727" s="210"/>
      <c r="AK5727" s="310"/>
      <c r="AL5727" s="106"/>
      <c r="AM5727" s="106"/>
      <c r="AN5727" s="106"/>
      <c r="AO5727" s="158"/>
      <c r="AP5727" s="158"/>
    </row>
    <row r="5728" spans="34:42">
      <c r="AH5728" s="308"/>
      <c r="AI5728" s="309"/>
      <c r="AJ5728" s="210"/>
      <c r="AK5728" s="310"/>
      <c r="AL5728" s="106"/>
      <c r="AM5728" s="106"/>
      <c r="AN5728" s="106"/>
      <c r="AO5728" s="158"/>
      <c r="AP5728" s="158"/>
    </row>
    <row r="5729" spans="34:42">
      <c r="AH5729" s="308"/>
      <c r="AI5729" s="309"/>
      <c r="AJ5729" s="210"/>
      <c r="AK5729" s="310"/>
      <c r="AL5729" s="106"/>
      <c r="AM5729" s="106"/>
      <c r="AN5729" s="106"/>
      <c r="AO5729" s="158"/>
      <c r="AP5729" s="158"/>
    </row>
    <row r="5730" spans="34:42">
      <c r="AH5730" s="308"/>
      <c r="AI5730" s="309"/>
      <c r="AJ5730" s="210"/>
      <c r="AK5730" s="310"/>
      <c r="AL5730" s="106"/>
      <c r="AM5730" s="106"/>
      <c r="AN5730" s="106"/>
      <c r="AO5730" s="158"/>
      <c r="AP5730" s="158"/>
    </row>
    <row r="5731" spans="34:42">
      <c r="AH5731" s="308"/>
      <c r="AI5731" s="309"/>
      <c r="AJ5731" s="210"/>
      <c r="AK5731" s="310"/>
      <c r="AL5731" s="106"/>
      <c r="AM5731" s="106"/>
      <c r="AN5731" s="106"/>
      <c r="AO5731" s="158"/>
      <c r="AP5731" s="158"/>
    </row>
    <row r="5732" spans="34:42">
      <c r="AH5732" s="308"/>
      <c r="AI5732" s="309"/>
      <c r="AJ5732" s="210"/>
      <c r="AK5732" s="310"/>
      <c r="AL5732" s="106"/>
      <c r="AM5732" s="106"/>
      <c r="AN5732" s="106"/>
      <c r="AO5732" s="158"/>
      <c r="AP5732" s="158"/>
    </row>
    <row r="5733" spans="34:42">
      <c r="AH5733" s="308"/>
      <c r="AI5733" s="309"/>
      <c r="AJ5733" s="210"/>
      <c r="AK5733" s="310"/>
      <c r="AL5733" s="106"/>
      <c r="AM5733" s="106"/>
      <c r="AN5733" s="106"/>
      <c r="AO5733" s="158"/>
      <c r="AP5733" s="158"/>
    </row>
    <row r="5734" spans="34:42">
      <c r="AH5734" s="308"/>
      <c r="AI5734" s="309"/>
      <c r="AJ5734" s="210"/>
      <c r="AK5734" s="310"/>
      <c r="AL5734" s="106"/>
      <c r="AM5734" s="106"/>
      <c r="AN5734" s="106"/>
      <c r="AO5734" s="158"/>
      <c r="AP5734" s="158"/>
    </row>
    <row r="5735" spans="34:42">
      <c r="AH5735" s="308"/>
      <c r="AI5735" s="309"/>
      <c r="AJ5735" s="210"/>
      <c r="AK5735" s="310"/>
      <c r="AL5735" s="106"/>
      <c r="AM5735" s="106"/>
      <c r="AN5735" s="106"/>
      <c r="AO5735" s="158"/>
      <c r="AP5735" s="158"/>
    </row>
    <row r="5736" spans="34:42">
      <c r="AH5736" s="308"/>
      <c r="AI5736" s="309"/>
      <c r="AJ5736" s="210"/>
      <c r="AK5736" s="310"/>
      <c r="AL5736" s="106"/>
      <c r="AM5736" s="106"/>
      <c r="AN5736" s="106"/>
      <c r="AO5736" s="158"/>
      <c r="AP5736" s="158"/>
    </row>
    <row r="5737" spans="34:42">
      <c r="AH5737" s="308"/>
      <c r="AI5737" s="309"/>
      <c r="AJ5737" s="210"/>
      <c r="AK5737" s="310"/>
      <c r="AL5737" s="106"/>
      <c r="AM5737" s="106"/>
      <c r="AN5737" s="106"/>
      <c r="AO5737" s="158"/>
      <c r="AP5737" s="158"/>
    </row>
    <row r="5738" spans="34:42">
      <c r="AH5738" s="308"/>
      <c r="AI5738" s="309"/>
      <c r="AJ5738" s="210"/>
      <c r="AK5738" s="310"/>
      <c r="AL5738" s="106"/>
      <c r="AM5738" s="106"/>
      <c r="AN5738" s="106"/>
      <c r="AO5738" s="158"/>
      <c r="AP5738" s="158"/>
    </row>
    <row r="5739" spans="34:42">
      <c r="AH5739" s="308"/>
      <c r="AI5739" s="309"/>
      <c r="AJ5739" s="210"/>
      <c r="AK5739" s="310"/>
      <c r="AL5739" s="106"/>
      <c r="AM5739" s="106"/>
      <c r="AN5739" s="106"/>
      <c r="AO5739" s="158"/>
      <c r="AP5739" s="158"/>
    </row>
    <row r="5740" spans="34:42">
      <c r="AH5740" s="308"/>
      <c r="AI5740" s="309"/>
      <c r="AJ5740" s="210"/>
      <c r="AK5740" s="310"/>
      <c r="AL5740" s="106"/>
      <c r="AM5740" s="106"/>
      <c r="AN5740" s="106"/>
      <c r="AO5740" s="158"/>
      <c r="AP5740" s="158"/>
    </row>
    <row r="5741" spans="34:42">
      <c r="AH5741" s="308"/>
      <c r="AI5741" s="309"/>
      <c r="AJ5741" s="210"/>
      <c r="AK5741" s="310"/>
      <c r="AL5741" s="106"/>
      <c r="AM5741" s="106"/>
      <c r="AN5741" s="106"/>
      <c r="AO5741" s="158"/>
      <c r="AP5741" s="158"/>
    </row>
    <row r="5742" spans="34:42">
      <c r="AH5742" s="308"/>
      <c r="AI5742" s="309"/>
      <c r="AJ5742" s="210"/>
      <c r="AK5742" s="310"/>
      <c r="AL5742" s="106"/>
      <c r="AM5742" s="106"/>
      <c r="AN5742" s="106"/>
      <c r="AO5742" s="158"/>
      <c r="AP5742" s="158"/>
    </row>
    <row r="5743" spans="34:42">
      <c r="AH5743" s="308"/>
      <c r="AI5743" s="309"/>
      <c r="AJ5743" s="210"/>
      <c r="AK5743" s="310"/>
      <c r="AL5743" s="106"/>
      <c r="AM5743" s="106"/>
      <c r="AN5743" s="106"/>
      <c r="AO5743" s="158"/>
      <c r="AP5743" s="158"/>
    </row>
    <row r="5744" spans="34:42">
      <c r="AH5744" s="308"/>
      <c r="AI5744" s="309"/>
      <c r="AJ5744" s="210"/>
      <c r="AK5744" s="310"/>
      <c r="AL5744" s="106"/>
      <c r="AM5744" s="106"/>
      <c r="AN5744" s="106"/>
      <c r="AO5744" s="158"/>
      <c r="AP5744" s="158"/>
    </row>
    <row r="5745" spans="34:42">
      <c r="AH5745" s="308"/>
      <c r="AI5745" s="309"/>
      <c r="AJ5745" s="210"/>
      <c r="AK5745" s="310"/>
      <c r="AL5745" s="106"/>
      <c r="AM5745" s="106"/>
      <c r="AN5745" s="106"/>
      <c r="AO5745" s="158"/>
      <c r="AP5745" s="158"/>
    </row>
    <row r="5746" spans="34:42">
      <c r="AH5746" s="308"/>
      <c r="AI5746" s="309"/>
      <c r="AJ5746" s="210"/>
      <c r="AK5746" s="310"/>
      <c r="AL5746" s="106"/>
      <c r="AM5746" s="106"/>
      <c r="AN5746" s="106"/>
      <c r="AO5746" s="158"/>
      <c r="AP5746" s="158"/>
    </row>
    <row r="5747" spans="34:42">
      <c r="AH5747" s="308"/>
      <c r="AI5747" s="309"/>
      <c r="AJ5747" s="210"/>
      <c r="AK5747" s="310"/>
      <c r="AL5747" s="106"/>
      <c r="AM5747" s="106"/>
      <c r="AN5747" s="106"/>
      <c r="AO5747" s="158"/>
      <c r="AP5747" s="158"/>
    </row>
    <row r="5748" spans="34:42">
      <c r="AH5748" s="308"/>
      <c r="AI5748" s="309"/>
      <c r="AJ5748" s="210"/>
      <c r="AK5748" s="310"/>
      <c r="AL5748" s="106"/>
      <c r="AM5748" s="106"/>
      <c r="AN5748" s="106"/>
      <c r="AO5748" s="158"/>
      <c r="AP5748" s="158"/>
    </row>
    <row r="5749" spans="34:42">
      <c r="AH5749" s="308"/>
      <c r="AI5749" s="309"/>
      <c r="AJ5749" s="210"/>
      <c r="AK5749" s="310"/>
      <c r="AL5749" s="106"/>
      <c r="AM5749" s="106"/>
      <c r="AN5749" s="106"/>
      <c r="AO5749" s="158"/>
      <c r="AP5749" s="158"/>
    </row>
    <row r="5750" spans="34:42">
      <c r="AH5750" s="308"/>
      <c r="AI5750" s="309"/>
      <c r="AJ5750" s="210"/>
      <c r="AK5750" s="310"/>
      <c r="AL5750" s="106"/>
      <c r="AM5750" s="106"/>
      <c r="AN5750" s="106"/>
      <c r="AO5750" s="158"/>
      <c r="AP5750" s="158"/>
    </row>
    <row r="5751" spans="34:42">
      <c r="AH5751" s="308"/>
      <c r="AI5751" s="309"/>
      <c r="AJ5751" s="210"/>
      <c r="AK5751" s="310"/>
      <c r="AL5751" s="106"/>
      <c r="AM5751" s="106"/>
      <c r="AN5751" s="106"/>
      <c r="AO5751" s="158"/>
      <c r="AP5751" s="158"/>
    </row>
    <row r="5752" spans="34:42">
      <c r="AH5752" s="308"/>
      <c r="AI5752" s="309"/>
      <c r="AJ5752" s="210"/>
      <c r="AK5752" s="310"/>
      <c r="AL5752" s="106"/>
      <c r="AM5752" s="106"/>
      <c r="AN5752" s="106"/>
      <c r="AO5752" s="158"/>
      <c r="AP5752" s="158"/>
    </row>
    <row r="5753" spans="34:42">
      <c r="AH5753" s="308"/>
      <c r="AI5753" s="309"/>
      <c r="AJ5753" s="210"/>
      <c r="AK5753" s="310"/>
      <c r="AL5753" s="106"/>
      <c r="AM5753" s="106"/>
      <c r="AN5753" s="106"/>
      <c r="AO5753" s="158"/>
      <c r="AP5753" s="158"/>
    </row>
    <row r="5754" spans="34:42">
      <c r="AH5754" s="308"/>
      <c r="AI5754" s="309"/>
      <c r="AJ5754" s="210"/>
      <c r="AK5754" s="310"/>
      <c r="AL5754" s="106"/>
      <c r="AM5754" s="106"/>
      <c r="AN5754" s="106"/>
      <c r="AO5754" s="158"/>
      <c r="AP5754" s="158"/>
    </row>
    <row r="5755" spans="34:42">
      <c r="AH5755" s="308"/>
      <c r="AI5755" s="309"/>
      <c r="AJ5755" s="210"/>
      <c r="AK5755" s="310"/>
      <c r="AL5755" s="106"/>
      <c r="AM5755" s="106"/>
      <c r="AN5755" s="106"/>
      <c r="AO5755" s="158"/>
      <c r="AP5755" s="158"/>
    </row>
    <row r="5756" spans="34:42">
      <c r="AH5756" s="308"/>
      <c r="AI5756" s="309"/>
      <c r="AJ5756" s="210"/>
      <c r="AK5756" s="310"/>
      <c r="AL5756" s="106"/>
      <c r="AM5756" s="106"/>
      <c r="AN5756" s="106"/>
      <c r="AO5756" s="158"/>
      <c r="AP5756" s="158"/>
    </row>
    <row r="5757" spans="34:42">
      <c r="AH5757" s="308"/>
      <c r="AI5757" s="309"/>
      <c r="AJ5757" s="210"/>
      <c r="AK5757" s="310"/>
      <c r="AL5757" s="106"/>
      <c r="AM5757" s="106"/>
      <c r="AN5757" s="106"/>
      <c r="AO5757" s="158"/>
      <c r="AP5757" s="158"/>
    </row>
    <row r="5758" spans="34:42">
      <c r="AH5758" s="308"/>
      <c r="AI5758" s="309"/>
      <c r="AJ5758" s="210"/>
      <c r="AK5758" s="310"/>
      <c r="AL5758" s="106"/>
      <c r="AM5758" s="106"/>
      <c r="AN5758" s="106"/>
      <c r="AO5758" s="158"/>
      <c r="AP5758" s="158"/>
    </row>
    <row r="5759" spans="34:42">
      <c r="AH5759" s="308"/>
      <c r="AI5759" s="309"/>
      <c r="AJ5759" s="210"/>
      <c r="AK5759" s="310"/>
      <c r="AL5759" s="106"/>
      <c r="AM5759" s="106"/>
      <c r="AN5759" s="106"/>
      <c r="AO5759" s="158"/>
      <c r="AP5759" s="158"/>
    </row>
    <row r="5760" spans="34:42">
      <c r="AH5760" s="308"/>
      <c r="AI5760" s="309"/>
      <c r="AJ5760" s="210"/>
      <c r="AK5760" s="310"/>
      <c r="AL5760" s="106"/>
      <c r="AM5760" s="106"/>
      <c r="AN5760" s="106"/>
      <c r="AO5760" s="158"/>
      <c r="AP5760" s="158"/>
    </row>
    <row r="5761" spans="34:42">
      <c r="AH5761" s="308"/>
      <c r="AI5761" s="309"/>
      <c r="AJ5761" s="210"/>
      <c r="AK5761" s="310"/>
      <c r="AL5761" s="106"/>
      <c r="AM5761" s="106"/>
      <c r="AN5761" s="106"/>
      <c r="AO5761" s="158"/>
      <c r="AP5761" s="158"/>
    </row>
    <row r="5762" spans="34:42">
      <c r="AH5762" s="308"/>
      <c r="AI5762" s="309"/>
      <c r="AJ5762" s="210"/>
      <c r="AK5762" s="310"/>
      <c r="AL5762" s="106"/>
      <c r="AM5762" s="106"/>
      <c r="AN5762" s="106"/>
      <c r="AO5762" s="158"/>
      <c r="AP5762" s="158"/>
    </row>
    <row r="5763" spans="34:42">
      <c r="AH5763" s="308"/>
      <c r="AI5763" s="309"/>
      <c r="AJ5763" s="210"/>
      <c r="AK5763" s="310"/>
      <c r="AL5763" s="106"/>
      <c r="AM5763" s="106"/>
      <c r="AN5763" s="106"/>
      <c r="AO5763" s="158"/>
      <c r="AP5763" s="158"/>
    </row>
    <row r="5764" spans="34:42">
      <c r="AH5764" s="308"/>
      <c r="AI5764" s="309"/>
      <c r="AJ5764" s="210"/>
      <c r="AK5764" s="310"/>
      <c r="AL5764" s="106"/>
      <c r="AM5764" s="106"/>
      <c r="AN5764" s="106"/>
      <c r="AO5764" s="158"/>
      <c r="AP5764" s="158"/>
    </row>
    <row r="5765" spans="34:42">
      <c r="AH5765" s="308"/>
      <c r="AI5765" s="309"/>
      <c r="AJ5765" s="210"/>
      <c r="AK5765" s="310"/>
      <c r="AL5765" s="106"/>
      <c r="AM5765" s="106"/>
      <c r="AN5765" s="106"/>
      <c r="AO5765" s="158"/>
      <c r="AP5765" s="158"/>
    </row>
    <row r="5766" spans="34:42">
      <c r="AH5766" s="308"/>
      <c r="AI5766" s="309"/>
      <c r="AJ5766" s="210"/>
      <c r="AK5766" s="310"/>
      <c r="AL5766" s="106"/>
      <c r="AM5766" s="106"/>
      <c r="AN5766" s="106"/>
      <c r="AO5766" s="158"/>
      <c r="AP5766" s="158"/>
    </row>
    <row r="5767" spans="34:42">
      <c r="AH5767" s="308"/>
      <c r="AI5767" s="309"/>
      <c r="AJ5767" s="210"/>
      <c r="AK5767" s="310"/>
      <c r="AL5767" s="106"/>
      <c r="AM5767" s="106"/>
      <c r="AN5767" s="106"/>
      <c r="AO5767" s="158"/>
      <c r="AP5767" s="158"/>
    </row>
    <row r="5768" spans="34:42">
      <c r="AH5768" s="308"/>
      <c r="AI5768" s="309"/>
      <c r="AJ5768" s="210"/>
      <c r="AK5768" s="310"/>
      <c r="AL5768" s="106"/>
      <c r="AM5768" s="106"/>
      <c r="AN5768" s="106"/>
      <c r="AO5768" s="158"/>
      <c r="AP5768" s="158"/>
    </row>
    <row r="5769" spans="34:42">
      <c r="AH5769" s="308"/>
      <c r="AI5769" s="309"/>
      <c r="AJ5769" s="210"/>
      <c r="AK5769" s="310"/>
      <c r="AL5769" s="106"/>
      <c r="AM5769" s="106"/>
      <c r="AN5769" s="106"/>
      <c r="AO5769" s="158"/>
      <c r="AP5769" s="158"/>
    </row>
    <row r="5770" spans="34:42">
      <c r="AH5770" s="308"/>
      <c r="AI5770" s="309"/>
      <c r="AJ5770" s="210"/>
      <c r="AK5770" s="310"/>
      <c r="AL5770" s="106"/>
      <c r="AM5770" s="106"/>
      <c r="AN5770" s="106"/>
      <c r="AO5770" s="158"/>
      <c r="AP5770" s="158"/>
    </row>
    <row r="5771" spans="34:42">
      <c r="AH5771" s="308"/>
      <c r="AI5771" s="309"/>
      <c r="AJ5771" s="210"/>
      <c r="AK5771" s="310"/>
      <c r="AL5771" s="106"/>
      <c r="AM5771" s="106"/>
      <c r="AN5771" s="106"/>
      <c r="AO5771" s="158"/>
      <c r="AP5771" s="158"/>
    </row>
    <row r="5772" spans="34:42">
      <c r="AH5772" s="308"/>
      <c r="AI5772" s="309"/>
      <c r="AJ5772" s="210"/>
      <c r="AK5772" s="310"/>
      <c r="AL5772" s="106"/>
      <c r="AM5772" s="106"/>
      <c r="AN5772" s="106"/>
      <c r="AO5772" s="158"/>
      <c r="AP5772" s="158"/>
    </row>
    <row r="5773" spans="34:42">
      <c r="AH5773" s="308"/>
      <c r="AI5773" s="309"/>
      <c r="AJ5773" s="210"/>
      <c r="AK5773" s="310"/>
      <c r="AL5773" s="106"/>
      <c r="AM5773" s="106"/>
      <c r="AN5773" s="106"/>
      <c r="AO5773" s="158"/>
      <c r="AP5773" s="158"/>
    </row>
    <row r="5774" spans="34:42">
      <c r="AH5774" s="308"/>
      <c r="AI5774" s="309"/>
      <c r="AJ5774" s="210"/>
      <c r="AK5774" s="310"/>
      <c r="AL5774" s="106"/>
      <c r="AM5774" s="106"/>
      <c r="AN5774" s="106"/>
      <c r="AO5774" s="158"/>
      <c r="AP5774" s="158"/>
    </row>
    <row r="5775" spans="34:42">
      <c r="AH5775" s="308"/>
      <c r="AI5775" s="309"/>
      <c r="AJ5775" s="210"/>
      <c r="AK5775" s="310"/>
      <c r="AL5775" s="106"/>
      <c r="AM5775" s="106"/>
      <c r="AN5775" s="106"/>
      <c r="AO5775" s="158"/>
      <c r="AP5775" s="158"/>
    </row>
    <row r="5776" spans="34:42">
      <c r="AH5776" s="308"/>
      <c r="AI5776" s="309"/>
      <c r="AJ5776" s="210"/>
      <c r="AK5776" s="310"/>
      <c r="AL5776" s="106"/>
      <c r="AM5776" s="106"/>
      <c r="AN5776" s="106"/>
      <c r="AO5776" s="158"/>
      <c r="AP5776" s="158"/>
    </row>
    <row r="5777" spans="34:42">
      <c r="AH5777" s="308"/>
      <c r="AI5777" s="309"/>
      <c r="AJ5777" s="210"/>
      <c r="AK5777" s="310"/>
      <c r="AL5777" s="106"/>
      <c r="AM5777" s="106"/>
      <c r="AN5777" s="106"/>
      <c r="AO5777" s="158"/>
      <c r="AP5777" s="158"/>
    </row>
    <row r="5778" spans="34:42">
      <c r="AH5778" s="308"/>
      <c r="AI5778" s="309"/>
      <c r="AJ5778" s="210"/>
      <c r="AK5778" s="310"/>
      <c r="AL5778" s="106"/>
      <c r="AM5778" s="106"/>
      <c r="AN5778" s="106"/>
      <c r="AO5778" s="158"/>
      <c r="AP5778" s="158"/>
    </row>
    <row r="5779" spans="34:42">
      <c r="AH5779" s="308"/>
      <c r="AI5779" s="309"/>
      <c r="AJ5779" s="210"/>
      <c r="AK5779" s="310"/>
      <c r="AL5779" s="106"/>
      <c r="AM5779" s="106"/>
      <c r="AN5779" s="106"/>
      <c r="AO5779" s="158"/>
      <c r="AP5779" s="158"/>
    </row>
    <row r="5780" spans="34:42">
      <c r="AH5780" s="308"/>
      <c r="AI5780" s="309"/>
      <c r="AJ5780" s="210"/>
      <c r="AK5780" s="310"/>
      <c r="AL5780" s="106"/>
      <c r="AM5780" s="106"/>
      <c r="AN5780" s="106"/>
      <c r="AO5780" s="158"/>
      <c r="AP5780" s="158"/>
    </row>
    <row r="5781" spans="34:42">
      <c r="AH5781" s="308"/>
      <c r="AI5781" s="309"/>
      <c r="AJ5781" s="210"/>
      <c r="AK5781" s="310"/>
      <c r="AL5781" s="106"/>
      <c r="AM5781" s="106"/>
      <c r="AN5781" s="106"/>
      <c r="AO5781" s="158"/>
      <c r="AP5781" s="158"/>
    </row>
    <row r="5782" spans="34:42">
      <c r="AH5782" s="308"/>
      <c r="AI5782" s="309"/>
      <c r="AJ5782" s="210"/>
      <c r="AK5782" s="310"/>
      <c r="AL5782" s="106"/>
      <c r="AM5782" s="106"/>
      <c r="AN5782" s="106"/>
      <c r="AO5782" s="158"/>
      <c r="AP5782" s="158"/>
    </row>
    <row r="5783" spans="34:42">
      <c r="AH5783" s="308"/>
      <c r="AI5783" s="309"/>
      <c r="AJ5783" s="210"/>
      <c r="AK5783" s="310"/>
      <c r="AL5783" s="106"/>
      <c r="AM5783" s="106"/>
      <c r="AN5783" s="106"/>
      <c r="AO5783" s="158"/>
      <c r="AP5783" s="158"/>
    </row>
    <row r="5784" spans="34:42">
      <c r="AH5784" s="308"/>
      <c r="AI5784" s="309"/>
      <c r="AJ5784" s="210"/>
      <c r="AK5784" s="310"/>
      <c r="AL5784" s="106"/>
      <c r="AM5784" s="106"/>
      <c r="AN5784" s="106"/>
      <c r="AO5784" s="158"/>
      <c r="AP5784" s="158"/>
    </row>
    <row r="5785" spans="34:42">
      <c r="AH5785" s="308"/>
      <c r="AI5785" s="309"/>
      <c r="AJ5785" s="210"/>
      <c r="AK5785" s="310"/>
      <c r="AL5785" s="106"/>
      <c r="AM5785" s="106"/>
      <c r="AN5785" s="106"/>
      <c r="AO5785" s="158"/>
      <c r="AP5785" s="158"/>
    </row>
    <row r="5786" spans="34:42">
      <c r="AH5786" s="308"/>
      <c r="AI5786" s="309"/>
      <c r="AJ5786" s="210"/>
      <c r="AK5786" s="310"/>
      <c r="AL5786" s="106"/>
      <c r="AM5786" s="106"/>
      <c r="AN5786" s="106"/>
      <c r="AO5786" s="158"/>
      <c r="AP5786" s="158"/>
    </row>
    <row r="5787" spans="34:42">
      <c r="AH5787" s="308"/>
      <c r="AI5787" s="309"/>
      <c r="AJ5787" s="210"/>
      <c r="AK5787" s="310"/>
      <c r="AL5787" s="106"/>
      <c r="AM5787" s="106"/>
      <c r="AN5787" s="106"/>
      <c r="AO5787" s="158"/>
      <c r="AP5787" s="158"/>
    </row>
    <row r="5788" spans="34:42">
      <c r="AH5788" s="308"/>
      <c r="AI5788" s="309"/>
      <c r="AJ5788" s="210"/>
      <c r="AK5788" s="310"/>
      <c r="AL5788" s="106"/>
      <c r="AM5788" s="106"/>
      <c r="AN5788" s="106"/>
      <c r="AO5788" s="158"/>
      <c r="AP5788" s="158"/>
    </row>
    <row r="5789" spans="34:42">
      <c r="AH5789" s="308"/>
      <c r="AI5789" s="309"/>
      <c r="AJ5789" s="210"/>
      <c r="AK5789" s="310"/>
      <c r="AL5789" s="106"/>
      <c r="AM5789" s="106"/>
      <c r="AN5789" s="106"/>
      <c r="AO5789" s="158"/>
      <c r="AP5789" s="158"/>
    </row>
    <row r="5790" spans="34:42">
      <c r="AH5790" s="308"/>
      <c r="AI5790" s="309"/>
      <c r="AJ5790" s="210"/>
      <c r="AK5790" s="310"/>
      <c r="AL5790" s="106"/>
      <c r="AM5790" s="106"/>
      <c r="AN5790" s="106"/>
      <c r="AO5790" s="158"/>
      <c r="AP5790" s="158"/>
    </row>
    <row r="5791" spans="34:42">
      <c r="AH5791" s="308"/>
      <c r="AI5791" s="309"/>
      <c r="AJ5791" s="210"/>
      <c r="AK5791" s="310"/>
      <c r="AL5791" s="106"/>
      <c r="AM5791" s="106"/>
      <c r="AN5791" s="106"/>
      <c r="AO5791" s="158"/>
      <c r="AP5791" s="158"/>
    </row>
    <row r="5792" spans="34:42">
      <c r="AH5792" s="308"/>
      <c r="AI5792" s="309"/>
      <c r="AJ5792" s="210"/>
      <c r="AK5792" s="310"/>
      <c r="AL5792" s="106"/>
      <c r="AM5792" s="106"/>
      <c r="AN5792" s="106"/>
      <c r="AO5792" s="158"/>
      <c r="AP5792" s="158"/>
    </row>
    <row r="5793" spans="34:42">
      <c r="AH5793" s="308"/>
      <c r="AI5793" s="309"/>
      <c r="AJ5793" s="210"/>
      <c r="AK5793" s="310"/>
      <c r="AL5793" s="106"/>
      <c r="AM5793" s="106"/>
      <c r="AN5793" s="106"/>
      <c r="AO5793" s="158"/>
      <c r="AP5793" s="158"/>
    </row>
    <row r="5794" spans="34:42">
      <c r="AH5794" s="308"/>
      <c r="AI5794" s="309"/>
      <c r="AJ5794" s="210"/>
      <c r="AK5794" s="310"/>
      <c r="AL5794" s="106"/>
      <c r="AM5794" s="106"/>
      <c r="AN5794" s="106"/>
      <c r="AO5794" s="158"/>
      <c r="AP5794" s="158"/>
    </row>
    <row r="5795" spans="34:42">
      <c r="AH5795" s="308"/>
      <c r="AI5795" s="309"/>
      <c r="AJ5795" s="210"/>
      <c r="AK5795" s="310"/>
      <c r="AL5795" s="106"/>
      <c r="AM5795" s="106"/>
      <c r="AN5795" s="106"/>
      <c r="AO5795" s="158"/>
      <c r="AP5795" s="158"/>
    </row>
    <row r="5796" spans="34:42">
      <c r="AH5796" s="308"/>
      <c r="AI5796" s="309"/>
      <c r="AJ5796" s="210"/>
      <c r="AK5796" s="310"/>
      <c r="AL5796" s="106"/>
      <c r="AM5796" s="106"/>
      <c r="AN5796" s="106"/>
      <c r="AO5796" s="158"/>
      <c r="AP5796" s="158"/>
    </row>
    <row r="5797" spans="34:42">
      <c r="AH5797" s="308"/>
      <c r="AI5797" s="309"/>
      <c r="AJ5797" s="210"/>
      <c r="AK5797" s="310"/>
      <c r="AL5797" s="106"/>
      <c r="AM5797" s="106"/>
      <c r="AN5797" s="106"/>
      <c r="AO5797" s="158"/>
      <c r="AP5797" s="158"/>
    </row>
    <row r="5798" spans="34:42">
      <c r="AH5798" s="308"/>
      <c r="AI5798" s="309"/>
      <c r="AJ5798" s="210"/>
      <c r="AK5798" s="310"/>
      <c r="AL5798" s="106"/>
      <c r="AM5798" s="106"/>
      <c r="AN5798" s="106"/>
      <c r="AO5798" s="158"/>
      <c r="AP5798" s="158"/>
    </row>
    <row r="5799" spans="34:42">
      <c r="AH5799" s="308"/>
      <c r="AI5799" s="309"/>
      <c r="AJ5799" s="210"/>
      <c r="AK5799" s="310"/>
      <c r="AL5799" s="106"/>
      <c r="AM5799" s="106"/>
      <c r="AN5799" s="106"/>
      <c r="AO5799" s="158"/>
      <c r="AP5799" s="158"/>
    </row>
    <row r="5800" spans="34:42">
      <c r="AH5800" s="308"/>
      <c r="AI5800" s="309"/>
      <c r="AJ5800" s="210"/>
      <c r="AK5800" s="310"/>
      <c r="AL5800" s="106"/>
      <c r="AM5800" s="106"/>
      <c r="AN5800" s="106"/>
      <c r="AO5800" s="158"/>
      <c r="AP5800" s="158"/>
    </row>
    <row r="5801" spans="34:42">
      <c r="AH5801" s="308"/>
      <c r="AI5801" s="309"/>
      <c r="AJ5801" s="210"/>
      <c r="AK5801" s="310"/>
      <c r="AL5801" s="106"/>
      <c r="AM5801" s="106"/>
      <c r="AN5801" s="106"/>
      <c r="AO5801" s="158"/>
      <c r="AP5801" s="158"/>
    </row>
    <row r="5802" spans="34:42">
      <c r="AH5802" s="308"/>
      <c r="AI5802" s="309"/>
      <c r="AJ5802" s="210"/>
      <c r="AK5802" s="310"/>
      <c r="AL5802" s="106"/>
      <c r="AM5802" s="106"/>
      <c r="AN5802" s="106"/>
      <c r="AO5802" s="158"/>
      <c r="AP5802" s="158"/>
    </row>
    <row r="5803" spans="34:42">
      <c r="AH5803" s="308"/>
      <c r="AI5803" s="309"/>
      <c r="AJ5803" s="210"/>
      <c r="AK5803" s="310"/>
      <c r="AL5803" s="106"/>
      <c r="AM5803" s="106"/>
      <c r="AN5803" s="106"/>
      <c r="AO5803" s="158"/>
      <c r="AP5803" s="158"/>
    </row>
    <row r="5804" spans="34:42">
      <c r="AH5804" s="308"/>
      <c r="AI5804" s="309"/>
      <c r="AJ5804" s="210"/>
      <c r="AK5804" s="310"/>
      <c r="AL5804" s="106"/>
      <c r="AM5804" s="106"/>
      <c r="AN5804" s="106"/>
      <c r="AO5804" s="158"/>
      <c r="AP5804" s="158"/>
    </row>
    <row r="5805" spans="34:42">
      <c r="AH5805" s="308"/>
      <c r="AI5805" s="309"/>
      <c r="AJ5805" s="210"/>
      <c r="AK5805" s="310"/>
      <c r="AL5805" s="106"/>
      <c r="AM5805" s="106"/>
      <c r="AN5805" s="106"/>
      <c r="AO5805" s="158"/>
      <c r="AP5805" s="158"/>
    </row>
    <row r="5806" spans="34:42">
      <c r="AH5806" s="308"/>
      <c r="AI5806" s="309"/>
      <c r="AJ5806" s="210"/>
      <c r="AK5806" s="310"/>
      <c r="AL5806" s="106"/>
      <c r="AM5806" s="106"/>
      <c r="AN5806" s="106"/>
      <c r="AO5806" s="158"/>
      <c r="AP5806" s="158"/>
    </row>
    <row r="5807" spans="34:42">
      <c r="AH5807" s="308"/>
      <c r="AI5807" s="309"/>
      <c r="AJ5807" s="210"/>
      <c r="AK5807" s="310"/>
      <c r="AL5807" s="106"/>
      <c r="AM5807" s="106"/>
      <c r="AN5807" s="106"/>
      <c r="AO5807" s="158"/>
      <c r="AP5807" s="158"/>
    </row>
    <row r="5808" spans="34:42">
      <c r="AH5808" s="308"/>
      <c r="AI5808" s="309"/>
      <c r="AJ5808" s="210"/>
      <c r="AK5808" s="310"/>
      <c r="AL5808" s="106"/>
      <c r="AM5808" s="106"/>
      <c r="AN5808" s="106"/>
      <c r="AO5808" s="158"/>
      <c r="AP5808" s="158"/>
    </row>
    <row r="5809" spans="34:42">
      <c r="AH5809" s="308"/>
      <c r="AI5809" s="309"/>
      <c r="AJ5809" s="210"/>
      <c r="AK5809" s="310"/>
      <c r="AL5809" s="106"/>
      <c r="AM5809" s="106"/>
      <c r="AN5809" s="106"/>
      <c r="AO5809" s="158"/>
      <c r="AP5809" s="158"/>
    </row>
    <row r="5810" spans="34:42">
      <c r="AH5810" s="308"/>
      <c r="AI5810" s="309"/>
      <c r="AJ5810" s="210"/>
      <c r="AK5810" s="310"/>
      <c r="AL5810" s="106"/>
      <c r="AM5810" s="106"/>
      <c r="AN5810" s="106"/>
      <c r="AO5810" s="158"/>
      <c r="AP5810" s="158"/>
    </row>
    <row r="5811" spans="34:42">
      <c r="AH5811" s="308"/>
      <c r="AI5811" s="309"/>
      <c r="AJ5811" s="210"/>
      <c r="AK5811" s="310"/>
      <c r="AL5811" s="106"/>
      <c r="AM5811" s="106"/>
      <c r="AN5811" s="106"/>
      <c r="AO5811" s="158"/>
      <c r="AP5811" s="158"/>
    </row>
    <row r="5812" spans="34:42">
      <c r="AH5812" s="308"/>
      <c r="AI5812" s="309"/>
      <c r="AJ5812" s="210"/>
      <c r="AK5812" s="310"/>
      <c r="AL5812" s="106"/>
      <c r="AM5812" s="106"/>
      <c r="AN5812" s="106"/>
      <c r="AO5812" s="158"/>
      <c r="AP5812" s="158"/>
    </row>
    <row r="5813" spans="34:42">
      <c r="AH5813" s="308"/>
      <c r="AI5813" s="309"/>
      <c r="AJ5813" s="210"/>
      <c r="AK5813" s="310"/>
      <c r="AL5813" s="106"/>
      <c r="AM5813" s="106"/>
      <c r="AN5813" s="106"/>
      <c r="AO5813" s="158"/>
      <c r="AP5813" s="158"/>
    </row>
    <row r="5814" spans="34:42">
      <c r="AH5814" s="308"/>
      <c r="AI5814" s="309"/>
      <c r="AJ5814" s="210"/>
      <c r="AK5814" s="310"/>
      <c r="AL5814" s="106"/>
      <c r="AM5814" s="106"/>
      <c r="AN5814" s="106"/>
      <c r="AO5814" s="158"/>
      <c r="AP5814" s="158"/>
    </row>
    <row r="5815" spans="34:42">
      <c r="AH5815" s="308"/>
      <c r="AI5815" s="309"/>
      <c r="AJ5815" s="210"/>
      <c r="AK5815" s="310"/>
      <c r="AL5815" s="106"/>
      <c r="AM5815" s="106"/>
      <c r="AN5815" s="106"/>
      <c r="AO5815" s="158"/>
      <c r="AP5815" s="158"/>
    </row>
    <row r="5816" spans="34:42">
      <c r="AH5816" s="308"/>
      <c r="AI5816" s="309"/>
      <c r="AJ5816" s="210"/>
      <c r="AK5816" s="310"/>
      <c r="AL5816" s="106"/>
      <c r="AM5816" s="106"/>
      <c r="AN5816" s="106"/>
      <c r="AO5816" s="158"/>
      <c r="AP5816" s="158"/>
    </row>
    <row r="5817" spans="34:42">
      <c r="AH5817" s="308"/>
      <c r="AI5817" s="309"/>
      <c r="AJ5817" s="210"/>
      <c r="AK5817" s="310"/>
      <c r="AL5817" s="106"/>
      <c r="AM5817" s="106"/>
      <c r="AN5817" s="106"/>
      <c r="AO5817" s="158"/>
      <c r="AP5817" s="158"/>
    </row>
    <row r="5818" spans="34:42">
      <c r="AH5818" s="308"/>
      <c r="AI5818" s="309"/>
      <c r="AJ5818" s="210"/>
      <c r="AK5818" s="310"/>
      <c r="AL5818" s="106"/>
      <c r="AM5818" s="106"/>
      <c r="AN5818" s="106"/>
      <c r="AO5818" s="158"/>
      <c r="AP5818" s="158"/>
    </row>
    <row r="5819" spans="34:42">
      <c r="AH5819" s="308"/>
      <c r="AI5819" s="309"/>
      <c r="AJ5819" s="210"/>
      <c r="AK5819" s="310"/>
      <c r="AL5819" s="106"/>
      <c r="AM5819" s="106"/>
      <c r="AN5819" s="106"/>
      <c r="AO5819" s="158"/>
      <c r="AP5819" s="158"/>
    </row>
    <row r="5820" spans="34:42">
      <c r="AH5820" s="308"/>
      <c r="AI5820" s="309"/>
      <c r="AJ5820" s="210"/>
      <c r="AK5820" s="310"/>
      <c r="AL5820" s="106"/>
      <c r="AM5820" s="106"/>
      <c r="AN5820" s="106"/>
      <c r="AO5820" s="158"/>
      <c r="AP5820" s="158"/>
    </row>
    <row r="5821" spans="34:42">
      <c r="AH5821" s="308"/>
      <c r="AI5821" s="309"/>
      <c r="AJ5821" s="210"/>
      <c r="AK5821" s="310"/>
      <c r="AL5821" s="106"/>
      <c r="AM5821" s="106"/>
      <c r="AN5821" s="106"/>
      <c r="AO5821" s="158"/>
      <c r="AP5821" s="158"/>
    </row>
    <row r="5822" spans="34:42">
      <c r="AH5822" s="308"/>
      <c r="AI5822" s="309"/>
      <c r="AJ5822" s="210"/>
      <c r="AK5822" s="310"/>
      <c r="AL5822" s="106"/>
      <c r="AM5822" s="106"/>
      <c r="AN5822" s="106"/>
      <c r="AO5822" s="158"/>
      <c r="AP5822" s="158"/>
    </row>
    <row r="5823" spans="34:42">
      <c r="AH5823" s="308"/>
      <c r="AI5823" s="309"/>
      <c r="AJ5823" s="210"/>
      <c r="AK5823" s="310"/>
      <c r="AL5823" s="106"/>
      <c r="AM5823" s="106"/>
      <c r="AN5823" s="106"/>
      <c r="AO5823" s="158"/>
      <c r="AP5823" s="158"/>
    </row>
    <row r="5824" spans="34:42">
      <c r="AH5824" s="308"/>
      <c r="AI5824" s="309"/>
      <c r="AJ5824" s="210"/>
      <c r="AK5824" s="310"/>
      <c r="AL5824" s="106"/>
      <c r="AM5824" s="106"/>
      <c r="AN5824" s="106"/>
      <c r="AO5824" s="158"/>
      <c r="AP5824" s="158"/>
    </row>
    <row r="5825" spans="34:42">
      <c r="AH5825" s="308"/>
      <c r="AI5825" s="309"/>
      <c r="AJ5825" s="210"/>
      <c r="AK5825" s="310"/>
      <c r="AL5825" s="106"/>
      <c r="AM5825" s="106"/>
      <c r="AN5825" s="106"/>
      <c r="AO5825" s="158"/>
      <c r="AP5825" s="158"/>
    </row>
    <row r="5826" spans="34:42">
      <c r="AH5826" s="308"/>
      <c r="AI5826" s="309"/>
      <c r="AJ5826" s="210"/>
      <c r="AK5826" s="310"/>
      <c r="AL5826" s="106"/>
      <c r="AM5826" s="106"/>
      <c r="AN5826" s="106"/>
      <c r="AO5826" s="158"/>
      <c r="AP5826" s="158"/>
    </row>
    <row r="5827" spans="34:42">
      <c r="AH5827" s="308"/>
      <c r="AI5827" s="309"/>
      <c r="AJ5827" s="210"/>
      <c r="AK5827" s="310"/>
      <c r="AL5827" s="106"/>
      <c r="AM5827" s="106"/>
      <c r="AN5827" s="106"/>
      <c r="AO5827" s="158"/>
      <c r="AP5827" s="158"/>
    </row>
    <row r="5828" spans="34:42">
      <c r="AH5828" s="308"/>
      <c r="AI5828" s="309"/>
      <c r="AJ5828" s="210"/>
      <c r="AK5828" s="310"/>
      <c r="AL5828" s="106"/>
      <c r="AM5828" s="106"/>
      <c r="AN5828" s="106"/>
      <c r="AO5828" s="158"/>
      <c r="AP5828" s="158"/>
    </row>
    <row r="5829" spans="34:42">
      <c r="AH5829" s="308"/>
      <c r="AI5829" s="309"/>
      <c r="AJ5829" s="210"/>
      <c r="AK5829" s="310"/>
      <c r="AL5829" s="106"/>
      <c r="AM5829" s="106"/>
      <c r="AN5829" s="106"/>
      <c r="AO5829" s="158"/>
      <c r="AP5829" s="158"/>
    </row>
    <row r="5830" spans="34:42">
      <c r="AH5830" s="308"/>
      <c r="AI5830" s="309"/>
      <c r="AJ5830" s="210"/>
      <c r="AK5830" s="310"/>
      <c r="AL5830" s="106"/>
      <c r="AM5830" s="106"/>
      <c r="AN5830" s="106"/>
      <c r="AO5830" s="158"/>
      <c r="AP5830" s="158"/>
    </row>
    <row r="5831" spans="34:42">
      <c r="AH5831" s="308"/>
      <c r="AI5831" s="309"/>
      <c r="AJ5831" s="210"/>
      <c r="AK5831" s="310"/>
      <c r="AL5831" s="106"/>
      <c r="AM5831" s="106"/>
      <c r="AN5831" s="106"/>
      <c r="AO5831" s="158"/>
      <c r="AP5831" s="158"/>
    </row>
    <row r="5832" spans="34:42">
      <c r="AH5832" s="308"/>
      <c r="AI5832" s="309"/>
      <c r="AJ5832" s="210"/>
      <c r="AK5832" s="310"/>
      <c r="AL5832" s="106"/>
      <c r="AM5832" s="106"/>
      <c r="AN5832" s="106"/>
      <c r="AO5832" s="158"/>
      <c r="AP5832" s="158"/>
    </row>
    <row r="5833" spans="34:42">
      <c r="AH5833" s="308"/>
      <c r="AI5833" s="309"/>
      <c r="AJ5833" s="210"/>
      <c r="AK5833" s="310"/>
      <c r="AL5833" s="106"/>
      <c r="AM5833" s="106"/>
      <c r="AN5833" s="106"/>
      <c r="AO5833" s="158"/>
      <c r="AP5833" s="158"/>
    </row>
    <row r="5834" spans="34:42">
      <c r="AH5834" s="308"/>
      <c r="AI5834" s="309"/>
      <c r="AJ5834" s="210"/>
      <c r="AK5834" s="310"/>
      <c r="AL5834" s="106"/>
      <c r="AM5834" s="106"/>
      <c r="AN5834" s="106"/>
      <c r="AO5834" s="158"/>
      <c r="AP5834" s="158"/>
    </row>
    <row r="5835" spans="34:42">
      <c r="AH5835" s="308"/>
      <c r="AI5835" s="309"/>
      <c r="AJ5835" s="210"/>
      <c r="AK5835" s="310"/>
      <c r="AL5835" s="106"/>
      <c r="AM5835" s="106"/>
      <c r="AN5835" s="106"/>
      <c r="AO5835" s="158"/>
      <c r="AP5835" s="158"/>
    </row>
    <row r="5836" spans="34:42">
      <c r="AH5836" s="308"/>
      <c r="AI5836" s="309"/>
      <c r="AJ5836" s="210"/>
      <c r="AK5836" s="310"/>
      <c r="AL5836" s="106"/>
      <c r="AM5836" s="106"/>
      <c r="AN5836" s="106"/>
      <c r="AO5836" s="158"/>
      <c r="AP5836" s="158"/>
    </row>
    <row r="5837" spans="34:42">
      <c r="AH5837" s="308"/>
      <c r="AI5837" s="309"/>
      <c r="AJ5837" s="210"/>
      <c r="AK5837" s="310"/>
      <c r="AL5837" s="106"/>
      <c r="AM5837" s="106"/>
      <c r="AN5837" s="106"/>
      <c r="AO5837" s="158"/>
      <c r="AP5837" s="158"/>
    </row>
    <row r="5838" spans="34:42">
      <c r="AH5838" s="308"/>
      <c r="AI5838" s="309"/>
      <c r="AJ5838" s="210"/>
      <c r="AK5838" s="310"/>
      <c r="AL5838" s="106"/>
      <c r="AM5838" s="106"/>
      <c r="AN5838" s="106"/>
      <c r="AO5838" s="158"/>
      <c r="AP5838" s="158"/>
    </row>
    <row r="5839" spans="34:42">
      <c r="AH5839" s="308"/>
      <c r="AI5839" s="309"/>
      <c r="AJ5839" s="210"/>
      <c r="AK5839" s="310"/>
      <c r="AL5839" s="106"/>
      <c r="AM5839" s="106"/>
      <c r="AN5839" s="106"/>
      <c r="AO5839" s="158"/>
      <c r="AP5839" s="158"/>
    </row>
    <row r="5840" spans="34:42">
      <c r="AH5840" s="308"/>
      <c r="AI5840" s="309"/>
      <c r="AJ5840" s="210"/>
      <c r="AK5840" s="310"/>
      <c r="AL5840" s="106"/>
      <c r="AM5840" s="106"/>
      <c r="AN5840" s="106"/>
      <c r="AO5840" s="158"/>
      <c r="AP5840" s="158"/>
    </row>
    <row r="5841" spans="34:42">
      <c r="AH5841" s="308"/>
      <c r="AI5841" s="309"/>
      <c r="AJ5841" s="210"/>
      <c r="AK5841" s="310"/>
      <c r="AL5841" s="106"/>
      <c r="AM5841" s="106"/>
      <c r="AN5841" s="106"/>
      <c r="AO5841" s="158"/>
      <c r="AP5841" s="158"/>
    </row>
    <row r="5842" spans="34:42">
      <c r="AH5842" s="308"/>
      <c r="AI5842" s="309"/>
      <c r="AJ5842" s="210"/>
      <c r="AK5842" s="310"/>
      <c r="AL5842" s="106"/>
      <c r="AM5842" s="106"/>
      <c r="AN5842" s="106"/>
      <c r="AO5842" s="158"/>
      <c r="AP5842" s="158"/>
    </row>
    <row r="5843" spans="34:42">
      <c r="AH5843" s="308"/>
      <c r="AI5843" s="309"/>
      <c r="AJ5843" s="210"/>
      <c r="AK5843" s="310"/>
      <c r="AL5843" s="106"/>
      <c r="AM5843" s="106"/>
      <c r="AN5843" s="106"/>
      <c r="AO5843" s="158"/>
      <c r="AP5843" s="158"/>
    </row>
    <row r="5844" spans="34:42">
      <c r="AH5844" s="308"/>
      <c r="AI5844" s="309"/>
      <c r="AJ5844" s="210"/>
      <c r="AK5844" s="310"/>
      <c r="AL5844" s="106"/>
      <c r="AM5844" s="106"/>
      <c r="AN5844" s="106"/>
      <c r="AO5844" s="158"/>
      <c r="AP5844" s="158"/>
    </row>
    <row r="5845" spans="34:42">
      <c r="AH5845" s="308"/>
      <c r="AI5845" s="309"/>
      <c r="AJ5845" s="210"/>
      <c r="AK5845" s="310"/>
      <c r="AL5845" s="106"/>
      <c r="AM5845" s="106"/>
      <c r="AN5845" s="106"/>
      <c r="AO5845" s="158"/>
      <c r="AP5845" s="158"/>
    </row>
    <row r="5846" spans="34:42">
      <c r="AH5846" s="308"/>
      <c r="AI5846" s="309"/>
      <c r="AJ5846" s="210"/>
      <c r="AK5846" s="310"/>
      <c r="AL5846" s="106"/>
      <c r="AM5846" s="106"/>
      <c r="AN5846" s="106"/>
      <c r="AO5846" s="158"/>
      <c r="AP5846" s="158"/>
    </row>
    <row r="5847" spans="34:42">
      <c r="AH5847" s="308"/>
      <c r="AI5847" s="309"/>
      <c r="AJ5847" s="210"/>
      <c r="AK5847" s="310"/>
      <c r="AL5847" s="106"/>
      <c r="AM5847" s="106"/>
      <c r="AN5847" s="106"/>
      <c r="AO5847" s="158"/>
      <c r="AP5847" s="158"/>
    </row>
    <row r="5848" spans="34:42">
      <c r="AH5848" s="308"/>
      <c r="AI5848" s="309"/>
      <c r="AJ5848" s="210"/>
      <c r="AK5848" s="310"/>
      <c r="AL5848" s="106"/>
      <c r="AM5848" s="106"/>
      <c r="AN5848" s="106"/>
      <c r="AO5848" s="158"/>
      <c r="AP5848" s="158"/>
    </row>
    <row r="5849" spans="34:42">
      <c r="AH5849" s="308"/>
      <c r="AI5849" s="309"/>
      <c r="AJ5849" s="210"/>
      <c r="AK5849" s="310"/>
      <c r="AL5849" s="106"/>
      <c r="AM5849" s="106"/>
      <c r="AN5849" s="106"/>
      <c r="AO5849" s="158"/>
      <c r="AP5849" s="158"/>
    </row>
    <row r="5850" spans="34:42">
      <c r="AH5850" s="308"/>
      <c r="AI5850" s="309"/>
      <c r="AJ5850" s="210"/>
      <c r="AK5850" s="310"/>
      <c r="AL5850" s="106"/>
      <c r="AM5850" s="106"/>
      <c r="AN5850" s="106"/>
      <c r="AO5850" s="158"/>
      <c r="AP5850" s="158"/>
    </row>
    <row r="5851" spans="34:42">
      <c r="AH5851" s="308"/>
      <c r="AI5851" s="309"/>
      <c r="AJ5851" s="210"/>
      <c r="AK5851" s="310"/>
      <c r="AL5851" s="106"/>
      <c r="AM5851" s="106"/>
      <c r="AN5851" s="106"/>
      <c r="AO5851" s="158"/>
      <c r="AP5851" s="158"/>
    </row>
    <row r="5852" spans="34:42">
      <c r="AH5852" s="308"/>
      <c r="AI5852" s="309"/>
      <c r="AJ5852" s="210"/>
      <c r="AK5852" s="310"/>
      <c r="AL5852" s="106"/>
      <c r="AM5852" s="106"/>
      <c r="AN5852" s="106"/>
      <c r="AO5852" s="158"/>
      <c r="AP5852" s="158"/>
    </row>
    <row r="5853" spans="34:42">
      <c r="AH5853" s="308"/>
      <c r="AI5853" s="309"/>
      <c r="AJ5853" s="210"/>
      <c r="AK5853" s="310"/>
      <c r="AL5853" s="106"/>
      <c r="AM5853" s="106"/>
      <c r="AN5853" s="106"/>
      <c r="AO5853" s="158"/>
      <c r="AP5853" s="158"/>
    </row>
    <row r="5854" spans="34:42">
      <c r="AH5854" s="308"/>
      <c r="AI5854" s="309"/>
      <c r="AJ5854" s="210"/>
      <c r="AK5854" s="310"/>
      <c r="AL5854" s="106"/>
      <c r="AM5854" s="106"/>
      <c r="AN5854" s="106"/>
      <c r="AO5854" s="158"/>
      <c r="AP5854" s="158"/>
    </row>
    <row r="5855" spans="34:42">
      <c r="AH5855" s="308"/>
      <c r="AI5855" s="309"/>
      <c r="AJ5855" s="210"/>
      <c r="AK5855" s="310"/>
      <c r="AL5855" s="106"/>
      <c r="AM5855" s="106"/>
      <c r="AN5855" s="106"/>
      <c r="AO5855" s="158"/>
      <c r="AP5855" s="158"/>
    </row>
    <row r="5856" spans="34:42">
      <c r="AH5856" s="308"/>
      <c r="AI5856" s="309"/>
      <c r="AJ5856" s="210"/>
      <c r="AK5856" s="310"/>
      <c r="AL5856" s="106"/>
      <c r="AM5856" s="106"/>
      <c r="AN5856" s="106"/>
      <c r="AO5856" s="158"/>
      <c r="AP5856" s="158"/>
    </row>
    <row r="5857" spans="34:42">
      <c r="AH5857" s="308"/>
      <c r="AI5857" s="309"/>
      <c r="AJ5857" s="210"/>
      <c r="AK5857" s="310"/>
      <c r="AL5857" s="106"/>
      <c r="AM5857" s="106"/>
      <c r="AN5857" s="106"/>
      <c r="AO5857" s="158"/>
      <c r="AP5857" s="158"/>
    </row>
    <row r="5858" spans="34:42">
      <c r="AH5858" s="308"/>
      <c r="AI5858" s="309"/>
      <c r="AJ5858" s="210"/>
      <c r="AK5858" s="310"/>
      <c r="AL5858" s="106"/>
      <c r="AM5858" s="106"/>
      <c r="AN5858" s="106"/>
      <c r="AO5858" s="158"/>
      <c r="AP5858" s="158"/>
    </row>
    <row r="5859" spans="34:42">
      <c r="AH5859" s="308"/>
      <c r="AI5859" s="309"/>
      <c r="AJ5859" s="210"/>
      <c r="AK5859" s="310"/>
      <c r="AL5859" s="106"/>
      <c r="AM5859" s="106"/>
      <c r="AN5859" s="106"/>
      <c r="AO5859" s="158"/>
      <c r="AP5859" s="158"/>
    </row>
    <row r="5860" spans="34:42">
      <c r="AH5860" s="308"/>
      <c r="AI5860" s="309"/>
      <c r="AJ5860" s="210"/>
      <c r="AK5860" s="310"/>
      <c r="AL5860" s="106"/>
      <c r="AM5860" s="106"/>
      <c r="AN5860" s="106"/>
      <c r="AO5860" s="158"/>
      <c r="AP5860" s="158"/>
    </row>
    <row r="5861" spans="34:42">
      <c r="AH5861" s="308"/>
      <c r="AI5861" s="309"/>
      <c r="AJ5861" s="210"/>
      <c r="AK5861" s="310"/>
      <c r="AL5861" s="106"/>
      <c r="AM5861" s="106"/>
      <c r="AN5861" s="106"/>
      <c r="AO5861" s="158"/>
      <c r="AP5861" s="158"/>
    </row>
    <row r="5862" spans="34:42">
      <c r="AH5862" s="308"/>
      <c r="AI5862" s="309"/>
      <c r="AJ5862" s="210"/>
      <c r="AK5862" s="310"/>
      <c r="AL5862" s="106"/>
      <c r="AM5862" s="106"/>
      <c r="AN5862" s="106"/>
      <c r="AO5862" s="158"/>
      <c r="AP5862" s="158"/>
    </row>
    <row r="5863" spans="34:42">
      <c r="AH5863" s="308"/>
      <c r="AI5863" s="309"/>
      <c r="AJ5863" s="210"/>
      <c r="AK5863" s="310"/>
      <c r="AL5863" s="106"/>
      <c r="AM5863" s="106"/>
      <c r="AN5863" s="106"/>
      <c r="AO5863" s="158"/>
      <c r="AP5863" s="158"/>
    </row>
    <row r="5864" spans="34:42">
      <c r="AH5864" s="308"/>
      <c r="AI5864" s="309"/>
      <c r="AJ5864" s="210"/>
      <c r="AK5864" s="310"/>
      <c r="AL5864" s="106"/>
      <c r="AM5864" s="106"/>
      <c r="AN5864" s="106"/>
      <c r="AO5864" s="158"/>
      <c r="AP5864" s="158"/>
    </row>
    <row r="5865" spans="34:42">
      <c r="AH5865" s="308"/>
      <c r="AI5865" s="309"/>
      <c r="AJ5865" s="210"/>
      <c r="AK5865" s="310"/>
      <c r="AL5865" s="106"/>
      <c r="AM5865" s="106"/>
      <c r="AN5865" s="106"/>
      <c r="AO5865" s="158"/>
      <c r="AP5865" s="158"/>
    </row>
    <row r="5866" spans="34:42">
      <c r="AH5866" s="308"/>
      <c r="AI5866" s="309"/>
      <c r="AJ5866" s="210"/>
      <c r="AK5866" s="310"/>
      <c r="AL5866" s="106"/>
      <c r="AM5866" s="106"/>
      <c r="AN5866" s="106"/>
      <c r="AO5866" s="158"/>
      <c r="AP5866" s="158"/>
    </row>
    <row r="5867" spans="34:42">
      <c r="AH5867" s="308"/>
      <c r="AI5867" s="309"/>
      <c r="AJ5867" s="210"/>
      <c r="AK5867" s="310"/>
      <c r="AL5867" s="106"/>
      <c r="AM5867" s="106"/>
      <c r="AN5867" s="106"/>
      <c r="AO5867" s="158"/>
      <c r="AP5867" s="158"/>
    </row>
    <row r="5868" spans="34:42">
      <c r="AH5868" s="308"/>
      <c r="AI5868" s="309"/>
      <c r="AJ5868" s="210"/>
      <c r="AK5868" s="310"/>
      <c r="AL5868" s="106"/>
      <c r="AM5868" s="106"/>
      <c r="AN5868" s="106"/>
      <c r="AO5868" s="158"/>
      <c r="AP5868" s="158"/>
    </row>
    <row r="5869" spans="34:42">
      <c r="AH5869" s="308"/>
      <c r="AI5869" s="309"/>
      <c r="AJ5869" s="210"/>
      <c r="AK5869" s="310"/>
      <c r="AL5869" s="106"/>
      <c r="AM5869" s="106"/>
      <c r="AN5869" s="106"/>
      <c r="AO5869" s="158"/>
      <c r="AP5869" s="158"/>
    </row>
    <row r="5870" spans="34:42">
      <c r="AH5870" s="308"/>
      <c r="AI5870" s="309"/>
      <c r="AJ5870" s="210"/>
      <c r="AK5870" s="310"/>
      <c r="AL5870" s="106"/>
      <c r="AM5870" s="106"/>
      <c r="AN5870" s="106"/>
      <c r="AO5870" s="158"/>
      <c r="AP5870" s="158"/>
    </row>
    <row r="5871" spans="34:42">
      <c r="AH5871" s="308"/>
      <c r="AI5871" s="309"/>
      <c r="AJ5871" s="210"/>
      <c r="AK5871" s="310"/>
      <c r="AL5871" s="106"/>
      <c r="AM5871" s="106"/>
      <c r="AN5871" s="106"/>
      <c r="AO5871" s="158"/>
      <c r="AP5871" s="158"/>
    </row>
    <row r="5872" spans="34:42">
      <c r="AH5872" s="308"/>
      <c r="AI5872" s="309"/>
      <c r="AJ5872" s="210"/>
      <c r="AK5872" s="310"/>
      <c r="AL5872" s="106"/>
      <c r="AM5872" s="106"/>
      <c r="AN5872" s="106"/>
      <c r="AO5872" s="158"/>
      <c r="AP5872" s="158"/>
    </row>
    <row r="5873" spans="34:42">
      <c r="AH5873" s="308"/>
      <c r="AI5873" s="309"/>
      <c r="AJ5873" s="210"/>
      <c r="AK5873" s="310"/>
      <c r="AL5873" s="106"/>
      <c r="AM5873" s="106"/>
      <c r="AN5873" s="106"/>
      <c r="AO5873" s="158"/>
      <c r="AP5873" s="158"/>
    </row>
    <row r="5874" spans="34:42">
      <c r="AH5874" s="308"/>
      <c r="AI5874" s="309"/>
      <c r="AJ5874" s="210"/>
      <c r="AK5874" s="310"/>
      <c r="AL5874" s="106"/>
      <c r="AM5874" s="106"/>
      <c r="AN5874" s="106"/>
      <c r="AO5874" s="158"/>
      <c r="AP5874" s="158"/>
    </row>
    <row r="5875" spans="34:42">
      <c r="AH5875" s="308"/>
      <c r="AI5875" s="309"/>
      <c r="AJ5875" s="210"/>
      <c r="AK5875" s="310"/>
      <c r="AL5875" s="106"/>
      <c r="AM5875" s="106"/>
      <c r="AN5875" s="106"/>
      <c r="AO5875" s="158"/>
      <c r="AP5875" s="158"/>
    </row>
    <row r="5876" spans="34:42">
      <c r="AH5876" s="308"/>
      <c r="AI5876" s="309"/>
      <c r="AJ5876" s="210"/>
      <c r="AK5876" s="310"/>
      <c r="AL5876" s="106"/>
      <c r="AM5876" s="106"/>
      <c r="AN5876" s="106"/>
      <c r="AO5876" s="158"/>
      <c r="AP5876" s="158"/>
    </row>
    <row r="5877" spans="34:42">
      <c r="AH5877" s="308"/>
      <c r="AI5877" s="309"/>
      <c r="AJ5877" s="210"/>
      <c r="AK5877" s="310"/>
      <c r="AL5877" s="106"/>
      <c r="AM5877" s="106"/>
      <c r="AN5877" s="106"/>
      <c r="AO5877" s="158"/>
      <c r="AP5877" s="158"/>
    </row>
    <row r="5878" spans="34:42">
      <c r="AH5878" s="308"/>
      <c r="AI5878" s="309"/>
      <c r="AJ5878" s="210"/>
      <c r="AK5878" s="310"/>
      <c r="AL5878" s="106"/>
      <c r="AM5878" s="106"/>
      <c r="AN5878" s="106"/>
      <c r="AO5878" s="158"/>
      <c r="AP5878" s="158"/>
    </row>
    <row r="5879" spans="34:42">
      <c r="AH5879" s="308"/>
      <c r="AI5879" s="309"/>
      <c r="AJ5879" s="210"/>
      <c r="AK5879" s="310"/>
      <c r="AL5879" s="106"/>
      <c r="AM5879" s="106"/>
      <c r="AN5879" s="106"/>
      <c r="AO5879" s="158"/>
      <c r="AP5879" s="158"/>
    </row>
    <row r="5880" spans="34:42">
      <c r="AH5880" s="308"/>
      <c r="AI5880" s="309"/>
      <c r="AJ5880" s="210"/>
      <c r="AK5880" s="310"/>
      <c r="AL5880" s="106"/>
      <c r="AM5880" s="106"/>
      <c r="AN5880" s="106"/>
      <c r="AO5880" s="158"/>
      <c r="AP5880" s="158"/>
    </row>
    <row r="5881" spans="34:42">
      <c r="AH5881" s="308"/>
      <c r="AI5881" s="309"/>
      <c r="AJ5881" s="210"/>
      <c r="AK5881" s="310"/>
      <c r="AL5881" s="106"/>
      <c r="AM5881" s="106"/>
      <c r="AN5881" s="106"/>
      <c r="AO5881" s="158"/>
      <c r="AP5881" s="158"/>
    </row>
    <row r="5882" spans="34:42">
      <c r="AH5882" s="308"/>
      <c r="AI5882" s="309"/>
      <c r="AJ5882" s="210"/>
      <c r="AK5882" s="310"/>
      <c r="AL5882" s="106"/>
      <c r="AM5882" s="106"/>
      <c r="AN5882" s="106"/>
      <c r="AO5882" s="158"/>
      <c r="AP5882" s="158"/>
    </row>
    <row r="5883" spans="34:42">
      <c r="AH5883" s="308"/>
      <c r="AI5883" s="309"/>
      <c r="AJ5883" s="210"/>
      <c r="AK5883" s="310"/>
      <c r="AL5883" s="106"/>
      <c r="AM5883" s="106"/>
      <c r="AN5883" s="106"/>
      <c r="AO5883" s="158"/>
      <c r="AP5883" s="158"/>
    </row>
    <row r="5884" spans="34:42">
      <c r="AH5884" s="308"/>
      <c r="AI5884" s="309"/>
      <c r="AJ5884" s="210"/>
      <c r="AK5884" s="310"/>
      <c r="AL5884" s="106"/>
      <c r="AM5884" s="106"/>
      <c r="AN5884" s="106"/>
      <c r="AO5884" s="158"/>
      <c r="AP5884" s="158"/>
    </row>
    <row r="5885" spans="34:42">
      <c r="AH5885" s="308"/>
      <c r="AI5885" s="309"/>
      <c r="AJ5885" s="210"/>
      <c r="AK5885" s="310"/>
      <c r="AL5885" s="106"/>
      <c r="AM5885" s="106"/>
      <c r="AN5885" s="106"/>
      <c r="AO5885" s="158"/>
      <c r="AP5885" s="158"/>
    </row>
    <row r="5886" spans="34:42">
      <c r="AH5886" s="308"/>
      <c r="AI5886" s="309"/>
      <c r="AJ5886" s="210"/>
      <c r="AK5886" s="310"/>
      <c r="AL5886" s="106"/>
      <c r="AM5886" s="106"/>
      <c r="AN5886" s="106"/>
      <c r="AO5886" s="158"/>
      <c r="AP5886" s="158"/>
    </row>
    <row r="5887" spans="34:42">
      <c r="AH5887" s="308"/>
      <c r="AI5887" s="309"/>
      <c r="AJ5887" s="210"/>
      <c r="AK5887" s="310"/>
      <c r="AL5887" s="106"/>
      <c r="AM5887" s="106"/>
      <c r="AN5887" s="106"/>
      <c r="AO5887" s="158"/>
      <c r="AP5887" s="158"/>
    </row>
    <row r="5888" spans="34:42">
      <c r="AH5888" s="308"/>
      <c r="AI5888" s="309"/>
      <c r="AJ5888" s="210"/>
      <c r="AK5888" s="310"/>
      <c r="AL5888" s="106"/>
      <c r="AM5888" s="106"/>
      <c r="AN5888" s="106"/>
      <c r="AO5888" s="158"/>
      <c r="AP5888" s="158"/>
    </row>
    <row r="5889" spans="34:42">
      <c r="AH5889" s="308"/>
      <c r="AI5889" s="309"/>
      <c r="AJ5889" s="210"/>
      <c r="AK5889" s="310"/>
      <c r="AL5889" s="106"/>
      <c r="AM5889" s="106"/>
      <c r="AN5889" s="106"/>
      <c r="AO5889" s="158"/>
      <c r="AP5889" s="158"/>
    </row>
    <row r="5890" spans="34:42">
      <c r="AH5890" s="308"/>
      <c r="AI5890" s="309"/>
      <c r="AJ5890" s="210"/>
      <c r="AK5890" s="310"/>
      <c r="AL5890" s="106"/>
      <c r="AM5890" s="106"/>
      <c r="AN5890" s="106"/>
      <c r="AO5890" s="158"/>
      <c r="AP5890" s="158"/>
    </row>
    <row r="5891" spans="34:42">
      <c r="AH5891" s="308"/>
      <c r="AI5891" s="309"/>
      <c r="AJ5891" s="210"/>
      <c r="AK5891" s="310"/>
      <c r="AL5891" s="106"/>
      <c r="AM5891" s="106"/>
      <c r="AN5891" s="106"/>
      <c r="AO5891" s="158"/>
      <c r="AP5891" s="158"/>
    </row>
    <row r="5892" spans="34:42">
      <c r="AH5892" s="308"/>
      <c r="AI5892" s="309"/>
      <c r="AJ5892" s="210"/>
      <c r="AK5892" s="310"/>
      <c r="AL5892" s="106"/>
      <c r="AM5892" s="106"/>
      <c r="AN5892" s="106"/>
      <c r="AO5892" s="158"/>
      <c r="AP5892" s="158"/>
    </row>
    <row r="5893" spans="34:42">
      <c r="AH5893" s="308"/>
      <c r="AI5893" s="309"/>
      <c r="AJ5893" s="210"/>
      <c r="AK5893" s="310"/>
      <c r="AL5893" s="106"/>
      <c r="AM5893" s="106"/>
      <c r="AN5893" s="106"/>
      <c r="AO5893" s="158"/>
      <c r="AP5893" s="158"/>
    </row>
    <row r="5894" spans="34:42">
      <c r="AH5894" s="308"/>
      <c r="AI5894" s="309"/>
      <c r="AJ5894" s="210"/>
      <c r="AK5894" s="310"/>
      <c r="AL5894" s="106"/>
      <c r="AM5894" s="106"/>
      <c r="AN5894" s="106"/>
      <c r="AO5894" s="158"/>
      <c r="AP5894" s="158"/>
    </row>
    <row r="5895" spans="34:42">
      <c r="AH5895" s="308"/>
      <c r="AI5895" s="309"/>
      <c r="AJ5895" s="210"/>
      <c r="AK5895" s="310"/>
      <c r="AL5895" s="106"/>
      <c r="AM5895" s="106"/>
      <c r="AN5895" s="106"/>
      <c r="AO5895" s="158"/>
      <c r="AP5895" s="158"/>
    </row>
    <row r="5896" spans="34:42">
      <c r="AH5896" s="308"/>
      <c r="AI5896" s="309"/>
      <c r="AJ5896" s="210"/>
      <c r="AK5896" s="310"/>
      <c r="AL5896" s="106"/>
      <c r="AM5896" s="106"/>
      <c r="AN5896" s="106"/>
      <c r="AO5896" s="158"/>
      <c r="AP5896" s="158"/>
    </row>
    <row r="5897" spans="34:42">
      <c r="AH5897" s="308"/>
      <c r="AI5897" s="309"/>
      <c r="AJ5897" s="210"/>
      <c r="AK5897" s="310"/>
      <c r="AL5897" s="106"/>
      <c r="AM5897" s="106"/>
      <c r="AN5897" s="106"/>
      <c r="AO5897" s="158"/>
      <c r="AP5897" s="158"/>
    </row>
    <row r="5898" spans="34:42">
      <c r="AH5898" s="308"/>
      <c r="AI5898" s="309"/>
      <c r="AJ5898" s="210"/>
      <c r="AK5898" s="310"/>
      <c r="AL5898" s="106"/>
      <c r="AM5898" s="106"/>
      <c r="AN5898" s="106"/>
      <c r="AO5898" s="158"/>
      <c r="AP5898" s="158"/>
    </row>
    <row r="5899" spans="34:42">
      <c r="AH5899" s="308"/>
      <c r="AI5899" s="309"/>
      <c r="AJ5899" s="210"/>
      <c r="AK5899" s="310"/>
      <c r="AL5899" s="106"/>
      <c r="AM5899" s="106"/>
      <c r="AN5899" s="106"/>
      <c r="AO5899" s="158"/>
      <c r="AP5899" s="158"/>
    </row>
    <row r="5900" spans="34:42">
      <c r="AH5900" s="308"/>
      <c r="AI5900" s="309"/>
      <c r="AJ5900" s="210"/>
      <c r="AK5900" s="310"/>
      <c r="AL5900" s="106"/>
      <c r="AM5900" s="106"/>
      <c r="AN5900" s="106"/>
      <c r="AO5900" s="158"/>
      <c r="AP5900" s="158"/>
    </row>
    <row r="5901" spans="34:42">
      <c r="AH5901" s="308"/>
      <c r="AI5901" s="309"/>
      <c r="AJ5901" s="210"/>
      <c r="AK5901" s="310"/>
      <c r="AL5901" s="106"/>
      <c r="AM5901" s="106"/>
      <c r="AN5901" s="106"/>
      <c r="AO5901" s="158"/>
      <c r="AP5901" s="158"/>
    </row>
    <row r="5902" spans="34:42">
      <c r="AH5902" s="308"/>
      <c r="AI5902" s="309"/>
      <c r="AJ5902" s="210"/>
      <c r="AK5902" s="310"/>
      <c r="AL5902" s="106"/>
      <c r="AM5902" s="106"/>
      <c r="AN5902" s="106"/>
      <c r="AO5902" s="158"/>
      <c r="AP5902" s="158"/>
    </row>
    <row r="5903" spans="34:42">
      <c r="AH5903" s="308"/>
      <c r="AI5903" s="309"/>
      <c r="AJ5903" s="210"/>
      <c r="AK5903" s="310"/>
      <c r="AL5903" s="106"/>
      <c r="AM5903" s="106"/>
      <c r="AN5903" s="106"/>
      <c r="AO5903" s="158"/>
      <c r="AP5903" s="158"/>
    </row>
    <row r="5904" spans="34:42">
      <c r="AH5904" s="308"/>
      <c r="AI5904" s="309"/>
      <c r="AJ5904" s="210"/>
      <c r="AK5904" s="310"/>
      <c r="AL5904" s="106"/>
      <c r="AM5904" s="106"/>
      <c r="AN5904" s="106"/>
      <c r="AO5904" s="158"/>
      <c r="AP5904" s="158"/>
    </row>
    <row r="5905" spans="34:42">
      <c r="AH5905" s="308"/>
      <c r="AI5905" s="309"/>
      <c r="AJ5905" s="210"/>
      <c r="AK5905" s="310"/>
      <c r="AL5905" s="106"/>
      <c r="AM5905" s="106"/>
      <c r="AN5905" s="106"/>
      <c r="AO5905" s="158"/>
      <c r="AP5905" s="158"/>
    </row>
    <row r="5906" spans="34:42">
      <c r="AH5906" s="308"/>
      <c r="AI5906" s="309"/>
      <c r="AJ5906" s="210"/>
      <c r="AK5906" s="310"/>
      <c r="AL5906" s="106"/>
      <c r="AM5906" s="106"/>
      <c r="AN5906" s="106"/>
      <c r="AO5906" s="158"/>
      <c r="AP5906" s="158"/>
    </row>
    <row r="5907" spans="34:42">
      <c r="AH5907" s="308"/>
      <c r="AI5907" s="309"/>
      <c r="AJ5907" s="210"/>
      <c r="AK5907" s="310"/>
      <c r="AL5907" s="106"/>
      <c r="AM5907" s="106"/>
      <c r="AN5907" s="106"/>
      <c r="AO5907" s="158"/>
      <c r="AP5907" s="158"/>
    </row>
    <row r="5908" spans="34:42">
      <c r="AH5908" s="308"/>
      <c r="AI5908" s="309"/>
      <c r="AJ5908" s="210"/>
      <c r="AK5908" s="310"/>
      <c r="AL5908" s="106"/>
      <c r="AM5908" s="106"/>
      <c r="AN5908" s="106"/>
      <c r="AO5908" s="158"/>
      <c r="AP5908" s="158"/>
    </row>
    <row r="5909" spans="34:42">
      <c r="AH5909" s="308"/>
      <c r="AI5909" s="309"/>
      <c r="AJ5909" s="210"/>
      <c r="AK5909" s="310"/>
      <c r="AL5909" s="106"/>
      <c r="AM5909" s="106"/>
      <c r="AN5909" s="106"/>
      <c r="AO5909" s="158"/>
      <c r="AP5909" s="158"/>
    </row>
    <row r="5910" spans="34:42">
      <c r="AH5910" s="308"/>
      <c r="AI5910" s="309"/>
      <c r="AJ5910" s="210"/>
      <c r="AK5910" s="310"/>
      <c r="AL5910" s="106"/>
      <c r="AM5910" s="106"/>
      <c r="AN5910" s="106"/>
      <c r="AO5910" s="158"/>
      <c r="AP5910" s="158"/>
    </row>
    <row r="5911" spans="34:42">
      <c r="AH5911" s="308"/>
      <c r="AI5911" s="309"/>
      <c r="AJ5911" s="210"/>
      <c r="AK5911" s="310"/>
      <c r="AL5911" s="106"/>
      <c r="AM5911" s="106"/>
      <c r="AN5911" s="106"/>
      <c r="AO5911" s="158"/>
      <c r="AP5911" s="158"/>
    </row>
    <row r="5912" spans="34:42">
      <c r="AH5912" s="308"/>
      <c r="AI5912" s="309"/>
      <c r="AJ5912" s="210"/>
      <c r="AK5912" s="310"/>
      <c r="AL5912" s="106"/>
      <c r="AM5912" s="106"/>
      <c r="AN5912" s="106"/>
      <c r="AO5912" s="158"/>
      <c r="AP5912" s="158"/>
    </row>
    <row r="5913" spans="34:42">
      <c r="AH5913" s="308"/>
      <c r="AI5913" s="309"/>
      <c r="AJ5913" s="210"/>
      <c r="AK5913" s="310"/>
      <c r="AL5913" s="106"/>
      <c r="AM5913" s="106"/>
      <c r="AN5913" s="106"/>
      <c r="AO5913" s="158"/>
      <c r="AP5913" s="158"/>
    </row>
    <row r="5914" spans="34:42">
      <c r="AH5914" s="308"/>
      <c r="AI5914" s="309"/>
      <c r="AJ5914" s="210"/>
      <c r="AK5914" s="310"/>
      <c r="AL5914" s="106"/>
      <c r="AM5914" s="106"/>
      <c r="AN5914" s="106"/>
      <c r="AO5914" s="158"/>
      <c r="AP5914" s="158"/>
    </row>
    <row r="5915" spans="34:42">
      <c r="AH5915" s="308"/>
      <c r="AI5915" s="309"/>
      <c r="AJ5915" s="210"/>
      <c r="AK5915" s="310"/>
      <c r="AL5915" s="106"/>
      <c r="AM5915" s="106"/>
      <c r="AN5915" s="106"/>
      <c r="AO5915" s="158"/>
      <c r="AP5915" s="158"/>
    </row>
    <row r="5916" spans="34:42">
      <c r="AH5916" s="308"/>
      <c r="AI5916" s="309"/>
      <c r="AJ5916" s="210"/>
      <c r="AK5916" s="310"/>
      <c r="AL5916" s="106"/>
      <c r="AM5916" s="106"/>
      <c r="AN5916" s="106"/>
      <c r="AO5916" s="158"/>
      <c r="AP5916" s="158"/>
    </row>
    <row r="5917" spans="34:42">
      <c r="AH5917" s="308"/>
      <c r="AI5917" s="309"/>
      <c r="AJ5917" s="210"/>
      <c r="AK5917" s="310"/>
      <c r="AL5917" s="106"/>
      <c r="AM5917" s="106"/>
      <c r="AN5917" s="106"/>
      <c r="AO5917" s="158"/>
      <c r="AP5917" s="158"/>
    </row>
    <row r="5918" spans="34:42">
      <c r="AH5918" s="308"/>
      <c r="AI5918" s="309"/>
      <c r="AJ5918" s="210"/>
      <c r="AK5918" s="310"/>
      <c r="AL5918" s="106"/>
      <c r="AM5918" s="106"/>
      <c r="AN5918" s="106"/>
      <c r="AO5918" s="158"/>
      <c r="AP5918" s="158"/>
    </row>
    <row r="5919" spans="34:42">
      <c r="AH5919" s="308"/>
      <c r="AI5919" s="309"/>
      <c r="AJ5919" s="210"/>
      <c r="AK5919" s="310"/>
      <c r="AL5919" s="106"/>
      <c r="AM5919" s="106"/>
      <c r="AN5919" s="106"/>
      <c r="AO5919" s="158"/>
      <c r="AP5919" s="158"/>
    </row>
    <row r="5920" spans="34:42">
      <c r="AH5920" s="308"/>
      <c r="AI5920" s="309"/>
      <c r="AJ5920" s="210"/>
      <c r="AK5920" s="310"/>
      <c r="AL5920" s="106"/>
      <c r="AM5920" s="106"/>
      <c r="AN5920" s="106"/>
      <c r="AO5920" s="158"/>
      <c r="AP5920" s="158"/>
    </row>
    <row r="5921" spans="34:42">
      <c r="AH5921" s="308"/>
      <c r="AI5921" s="309"/>
      <c r="AJ5921" s="210"/>
      <c r="AK5921" s="310"/>
      <c r="AL5921" s="106"/>
      <c r="AM5921" s="106"/>
      <c r="AN5921" s="106"/>
      <c r="AO5921" s="158"/>
      <c r="AP5921" s="158"/>
    </row>
    <row r="5922" spans="34:42">
      <c r="AH5922" s="308"/>
      <c r="AI5922" s="309"/>
      <c r="AJ5922" s="210"/>
      <c r="AK5922" s="310"/>
      <c r="AL5922" s="106"/>
      <c r="AM5922" s="106"/>
      <c r="AN5922" s="106"/>
      <c r="AO5922" s="158"/>
      <c r="AP5922" s="158"/>
    </row>
    <row r="5923" spans="34:42">
      <c r="AH5923" s="308"/>
      <c r="AI5923" s="309"/>
      <c r="AJ5923" s="210"/>
      <c r="AK5923" s="310"/>
      <c r="AL5923" s="106"/>
      <c r="AM5923" s="106"/>
      <c r="AN5923" s="106"/>
      <c r="AO5923" s="158"/>
      <c r="AP5923" s="158"/>
    </row>
    <row r="5924" spans="34:42">
      <c r="AH5924" s="308"/>
      <c r="AI5924" s="309"/>
      <c r="AJ5924" s="210"/>
      <c r="AK5924" s="310"/>
      <c r="AL5924" s="106"/>
      <c r="AM5924" s="106"/>
      <c r="AN5924" s="106"/>
      <c r="AO5924" s="158"/>
      <c r="AP5924" s="158"/>
    </row>
    <row r="5925" spans="34:42">
      <c r="AH5925" s="308"/>
      <c r="AI5925" s="309"/>
      <c r="AJ5925" s="210"/>
      <c r="AK5925" s="310"/>
      <c r="AL5925" s="106"/>
      <c r="AM5925" s="106"/>
      <c r="AN5925" s="106"/>
      <c r="AO5925" s="158"/>
      <c r="AP5925" s="158"/>
    </row>
    <row r="5926" spans="34:42">
      <c r="AH5926" s="308"/>
      <c r="AI5926" s="309"/>
      <c r="AJ5926" s="210"/>
      <c r="AK5926" s="310"/>
      <c r="AL5926" s="106"/>
      <c r="AM5926" s="106"/>
      <c r="AN5926" s="106"/>
      <c r="AO5926" s="158"/>
      <c r="AP5926" s="158"/>
    </row>
    <row r="5927" spans="34:42">
      <c r="AH5927" s="308"/>
      <c r="AI5927" s="309"/>
      <c r="AJ5927" s="210"/>
      <c r="AK5927" s="310"/>
      <c r="AL5927" s="106"/>
      <c r="AM5927" s="106"/>
      <c r="AN5927" s="106"/>
      <c r="AO5927" s="158"/>
      <c r="AP5927" s="158"/>
    </row>
    <row r="5928" spans="34:42">
      <c r="AH5928" s="308"/>
      <c r="AI5928" s="309"/>
      <c r="AJ5928" s="210"/>
      <c r="AK5928" s="310"/>
      <c r="AL5928" s="106"/>
      <c r="AM5928" s="106"/>
      <c r="AN5928" s="106"/>
      <c r="AO5928" s="158"/>
      <c r="AP5928" s="158"/>
    </row>
    <row r="5929" spans="34:42">
      <c r="AH5929" s="308"/>
      <c r="AI5929" s="309"/>
      <c r="AJ5929" s="210"/>
      <c r="AK5929" s="310"/>
      <c r="AL5929" s="106"/>
      <c r="AM5929" s="106"/>
      <c r="AN5929" s="106"/>
      <c r="AO5929" s="158"/>
      <c r="AP5929" s="158"/>
    </row>
    <row r="5930" spans="34:42">
      <c r="AH5930" s="308"/>
      <c r="AI5930" s="309"/>
      <c r="AJ5930" s="210"/>
      <c r="AK5930" s="310"/>
      <c r="AL5930" s="106"/>
      <c r="AM5930" s="106"/>
      <c r="AN5930" s="106"/>
      <c r="AO5930" s="158"/>
      <c r="AP5930" s="158"/>
    </row>
    <row r="5931" spans="34:42">
      <c r="AH5931" s="308"/>
      <c r="AI5931" s="309"/>
      <c r="AJ5931" s="210"/>
      <c r="AK5931" s="310"/>
      <c r="AL5931" s="106"/>
      <c r="AM5931" s="106"/>
      <c r="AN5931" s="106"/>
      <c r="AO5931" s="158"/>
      <c r="AP5931" s="158"/>
    </row>
    <row r="5932" spans="34:42">
      <c r="AH5932" s="308"/>
      <c r="AI5932" s="309"/>
      <c r="AJ5932" s="210"/>
      <c r="AK5932" s="310"/>
      <c r="AL5932" s="106"/>
      <c r="AM5932" s="106"/>
      <c r="AN5932" s="106"/>
      <c r="AO5932" s="158"/>
      <c r="AP5932" s="158"/>
    </row>
    <row r="5933" spans="34:42">
      <c r="AH5933" s="308"/>
      <c r="AI5933" s="309"/>
      <c r="AJ5933" s="210"/>
      <c r="AK5933" s="310"/>
      <c r="AL5933" s="106"/>
      <c r="AM5933" s="106"/>
      <c r="AN5933" s="106"/>
      <c r="AO5933" s="158"/>
      <c r="AP5933" s="158"/>
    </row>
    <row r="5934" spans="34:42">
      <c r="AH5934" s="308"/>
      <c r="AI5934" s="309"/>
      <c r="AJ5934" s="210"/>
      <c r="AK5934" s="310"/>
      <c r="AL5934" s="106"/>
      <c r="AM5934" s="106"/>
      <c r="AN5934" s="106"/>
      <c r="AO5934" s="158"/>
      <c r="AP5934" s="158"/>
    </row>
    <row r="5935" spans="34:42">
      <c r="AH5935" s="308"/>
      <c r="AI5935" s="309"/>
      <c r="AJ5935" s="210"/>
      <c r="AK5935" s="310"/>
      <c r="AL5935" s="106"/>
      <c r="AM5935" s="106"/>
      <c r="AN5935" s="106"/>
      <c r="AO5935" s="158"/>
      <c r="AP5935" s="158"/>
    </row>
    <row r="5936" spans="34:42">
      <c r="AH5936" s="308"/>
      <c r="AI5936" s="309"/>
      <c r="AJ5936" s="210"/>
      <c r="AK5936" s="310"/>
      <c r="AL5936" s="106"/>
      <c r="AM5936" s="106"/>
      <c r="AN5936" s="106"/>
      <c r="AO5936" s="158"/>
      <c r="AP5936" s="158"/>
    </row>
    <row r="5937" spans="34:42">
      <c r="AH5937" s="308"/>
      <c r="AI5937" s="309"/>
      <c r="AJ5937" s="210"/>
      <c r="AK5937" s="310"/>
      <c r="AL5937" s="106"/>
      <c r="AM5937" s="106"/>
      <c r="AN5937" s="106"/>
      <c r="AO5937" s="158"/>
      <c r="AP5937" s="158"/>
    </row>
    <row r="5938" spans="34:42">
      <c r="AH5938" s="308"/>
      <c r="AI5938" s="309"/>
      <c r="AJ5938" s="210"/>
      <c r="AK5938" s="310"/>
      <c r="AL5938" s="106"/>
      <c r="AM5938" s="106"/>
      <c r="AN5938" s="106"/>
      <c r="AO5938" s="158"/>
      <c r="AP5938" s="158"/>
    </row>
    <row r="5939" spans="34:42">
      <c r="AH5939" s="308"/>
      <c r="AI5939" s="309"/>
      <c r="AJ5939" s="210"/>
      <c r="AK5939" s="310"/>
      <c r="AL5939" s="106"/>
      <c r="AM5939" s="106"/>
      <c r="AN5939" s="106"/>
      <c r="AO5939" s="158"/>
      <c r="AP5939" s="158"/>
    </row>
    <row r="5940" spans="34:42">
      <c r="AH5940" s="308"/>
      <c r="AI5940" s="309"/>
      <c r="AJ5940" s="210"/>
      <c r="AK5940" s="310"/>
      <c r="AL5940" s="106"/>
      <c r="AM5940" s="106"/>
      <c r="AN5940" s="106"/>
      <c r="AO5940" s="158"/>
      <c r="AP5940" s="158"/>
    </row>
    <row r="5941" spans="34:42">
      <c r="AH5941" s="308"/>
      <c r="AI5941" s="309"/>
      <c r="AJ5941" s="210"/>
      <c r="AK5941" s="310"/>
      <c r="AL5941" s="106"/>
      <c r="AM5941" s="106"/>
      <c r="AN5941" s="106"/>
      <c r="AO5941" s="158"/>
      <c r="AP5941" s="158"/>
    </row>
    <row r="5942" spans="34:42">
      <c r="AH5942" s="308"/>
      <c r="AI5942" s="309"/>
      <c r="AJ5942" s="210"/>
      <c r="AK5942" s="310"/>
      <c r="AL5942" s="106"/>
      <c r="AM5942" s="106"/>
      <c r="AN5942" s="106"/>
      <c r="AO5942" s="158"/>
      <c r="AP5942" s="158"/>
    </row>
    <row r="5943" spans="34:42">
      <c r="AH5943" s="308"/>
      <c r="AI5943" s="309"/>
      <c r="AJ5943" s="210"/>
      <c r="AK5943" s="310"/>
      <c r="AL5943" s="106"/>
      <c r="AM5943" s="106"/>
      <c r="AN5943" s="106"/>
      <c r="AO5943" s="158"/>
      <c r="AP5943" s="158"/>
    </row>
    <row r="5944" spans="34:42">
      <c r="AH5944" s="308"/>
      <c r="AI5944" s="309"/>
      <c r="AJ5944" s="210"/>
      <c r="AK5944" s="310"/>
      <c r="AL5944" s="106"/>
      <c r="AM5944" s="106"/>
      <c r="AN5944" s="106"/>
      <c r="AO5944" s="158"/>
      <c r="AP5944" s="158"/>
    </row>
    <row r="5945" spans="34:42">
      <c r="AH5945" s="308"/>
      <c r="AI5945" s="309"/>
      <c r="AJ5945" s="210"/>
      <c r="AK5945" s="310"/>
      <c r="AL5945" s="106"/>
      <c r="AM5945" s="106"/>
      <c r="AN5945" s="106"/>
      <c r="AO5945" s="158"/>
      <c r="AP5945" s="158"/>
    </row>
    <row r="5946" spans="34:42">
      <c r="AH5946" s="308"/>
      <c r="AI5946" s="309"/>
      <c r="AJ5946" s="210"/>
      <c r="AK5946" s="310"/>
      <c r="AL5946" s="106"/>
      <c r="AM5946" s="106"/>
      <c r="AN5946" s="106"/>
      <c r="AO5946" s="158"/>
      <c r="AP5946" s="158"/>
    </row>
    <row r="5947" spans="34:42">
      <c r="AH5947" s="308"/>
      <c r="AI5947" s="309"/>
      <c r="AJ5947" s="210"/>
      <c r="AK5947" s="310"/>
      <c r="AL5947" s="106"/>
      <c r="AM5947" s="106"/>
      <c r="AN5947" s="106"/>
      <c r="AO5947" s="158"/>
      <c r="AP5947" s="158"/>
    </row>
    <row r="5948" spans="34:42">
      <c r="AH5948" s="308"/>
      <c r="AI5948" s="309"/>
      <c r="AJ5948" s="210"/>
      <c r="AK5948" s="310"/>
      <c r="AL5948" s="106"/>
      <c r="AM5948" s="106"/>
      <c r="AN5948" s="106"/>
      <c r="AO5948" s="158"/>
      <c r="AP5948" s="158"/>
    </row>
    <row r="5949" spans="34:42">
      <c r="AH5949" s="308"/>
      <c r="AI5949" s="309"/>
      <c r="AJ5949" s="210"/>
      <c r="AK5949" s="310"/>
      <c r="AL5949" s="106"/>
      <c r="AM5949" s="106"/>
      <c r="AN5949" s="106"/>
      <c r="AO5949" s="158"/>
      <c r="AP5949" s="158"/>
    </row>
    <row r="5950" spans="34:42">
      <c r="AH5950" s="308"/>
      <c r="AI5950" s="309"/>
      <c r="AJ5950" s="210"/>
      <c r="AK5950" s="310"/>
      <c r="AL5950" s="106"/>
      <c r="AM5950" s="106"/>
      <c r="AN5950" s="106"/>
      <c r="AO5950" s="158"/>
      <c r="AP5950" s="158"/>
    </row>
    <row r="5951" spans="34:42">
      <c r="AH5951" s="308"/>
      <c r="AI5951" s="309"/>
      <c r="AJ5951" s="210"/>
      <c r="AK5951" s="310"/>
      <c r="AL5951" s="106"/>
      <c r="AM5951" s="106"/>
      <c r="AN5951" s="106"/>
      <c r="AO5951" s="158"/>
      <c r="AP5951" s="158"/>
    </row>
    <row r="5952" spans="34:42">
      <c r="AH5952" s="308"/>
      <c r="AI5952" s="309"/>
      <c r="AJ5952" s="210"/>
      <c r="AK5952" s="310"/>
      <c r="AL5952" s="106"/>
      <c r="AM5952" s="106"/>
      <c r="AN5952" s="106"/>
      <c r="AO5952" s="158"/>
      <c r="AP5952" s="158"/>
    </row>
    <row r="5953" spans="34:42">
      <c r="AH5953" s="308"/>
      <c r="AI5953" s="309"/>
      <c r="AJ5953" s="210"/>
      <c r="AK5953" s="310"/>
      <c r="AL5953" s="106"/>
      <c r="AM5953" s="106"/>
      <c r="AN5953" s="106"/>
      <c r="AO5953" s="158"/>
      <c r="AP5953" s="158"/>
    </row>
    <row r="5954" spans="34:42">
      <c r="AH5954" s="308"/>
      <c r="AI5954" s="309"/>
      <c r="AJ5954" s="210"/>
      <c r="AK5954" s="310"/>
      <c r="AL5954" s="106"/>
      <c r="AM5954" s="106"/>
      <c r="AN5954" s="106"/>
      <c r="AO5954" s="158"/>
      <c r="AP5954" s="158"/>
    </row>
    <row r="5955" spans="34:42">
      <c r="AH5955" s="308"/>
      <c r="AI5955" s="309"/>
      <c r="AJ5955" s="210"/>
      <c r="AK5955" s="310"/>
      <c r="AL5955" s="106"/>
      <c r="AM5955" s="106"/>
      <c r="AN5955" s="106"/>
      <c r="AO5955" s="158"/>
      <c r="AP5955" s="158"/>
    </row>
    <row r="5956" spans="34:42">
      <c r="AH5956" s="308"/>
      <c r="AI5956" s="309"/>
      <c r="AJ5956" s="210"/>
      <c r="AK5956" s="310"/>
      <c r="AL5956" s="106"/>
      <c r="AM5956" s="106"/>
      <c r="AN5956" s="106"/>
      <c r="AO5956" s="158"/>
      <c r="AP5956" s="158"/>
    </row>
    <row r="5957" spans="34:42">
      <c r="AH5957" s="308"/>
      <c r="AI5957" s="309"/>
      <c r="AJ5957" s="210"/>
      <c r="AK5957" s="310"/>
      <c r="AL5957" s="106"/>
      <c r="AM5957" s="106"/>
      <c r="AN5957" s="106"/>
      <c r="AO5957" s="158"/>
      <c r="AP5957" s="158"/>
    </row>
    <row r="5958" spans="34:42">
      <c r="AH5958" s="308"/>
      <c r="AI5958" s="309"/>
      <c r="AJ5958" s="210"/>
      <c r="AK5958" s="310"/>
      <c r="AL5958" s="106"/>
      <c r="AM5958" s="106"/>
      <c r="AN5958" s="106"/>
      <c r="AO5958" s="158"/>
      <c r="AP5958" s="158"/>
    </row>
    <row r="5959" spans="34:42">
      <c r="AH5959" s="308"/>
      <c r="AI5959" s="309"/>
      <c r="AJ5959" s="210"/>
      <c r="AK5959" s="310"/>
      <c r="AL5959" s="106"/>
      <c r="AM5959" s="106"/>
      <c r="AN5959" s="106"/>
      <c r="AO5959" s="158"/>
      <c r="AP5959" s="158"/>
    </row>
    <row r="5960" spans="34:42">
      <c r="AH5960" s="308"/>
      <c r="AI5960" s="309"/>
      <c r="AJ5960" s="210"/>
      <c r="AK5960" s="310"/>
      <c r="AL5960" s="106"/>
      <c r="AM5960" s="106"/>
      <c r="AN5960" s="106"/>
      <c r="AO5960" s="158"/>
      <c r="AP5960" s="158"/>
    </row>
    <row r="5961" spans="34:42">
      <c r="AH5961" s="308"/>
      <c r="AI5961" s="309"/>
      <c r="AJ5961" s="210"/>
      <c r="AK5961" s="310"/>
      <c r="AL5961" s="106"/>
      <c r="AM5961" s="106"/>
      <c r="AN5961" s="106"/>
      <c r="AO5961" s="158"/>
      <c r="AP5961" s="158"/>
    </row>
    <row r="5962" spans="34:42">
      <c r="AH5962" s="308"/>
      <c r="AI5962" s="309"/>
      <c r="AJ5962" s="210"/>
      <c r="AK5962" s="310"/>
      <c r="AL5962" s="106"/>
      <c r="AM5962" s="106"/>
      <c r="AN5962" s="106"/>
      <c r="AO5962" s="158"/>
      <c r="AP5962" s="158"/>
    </row>
    <row r="5963" spans="34:42">
      <c r="AH5963" s="308"/>
      <c r="AI5963" s="309"/>
      <c r="AJ5963" s="210"/>
      <c r="AK5963" s="310"/>
      <c r="AL5963" s="106"/>
      <c r="AM5963" s="106"/>
      <c r="AN5963" s="106"/>
      <c r="AO5963" s="158"/>
      <c r="AP5963" s="158"/>
    </row>
    <row r="5964" spans="34:42">
      <c r="AH5964" s="308"/>
      <c r="AI5964" s="309"/>
      <c r="AJ5964" s="210"/>
      <c r="AK5964" s="310"/>
      <c r="AL5964" s="106"/>
      <c r="AM5964" s="106"/>
      <c r="AN5964" s="106"/>
      <c r="AO5964" s="158"/>
      <c r="AP5964" s="158"/>
    </row>
    <row r="5965" spans="34:42">
      <c r="AH5965" s="308"/>
      <c r="AI5965" s="309"/>
      <c r="AJ5965" s="210"/>
      <c r="AK5965" s="310"/>
      <c r="AL5965" s="106"/>
      <c r="AM5965" s="106"/>
      <c r="AN5965" s="106"/>
      <c r="AO5965" s="158"/>
      <c r="AP5965" s="158"/>
    </row>
    <row r="5966" spans="34:42">
      <c r="AH5966" s="308"/>
      <c r="AI5966" s="309"/>
      <c r="AJ5966" s="210"/>
      <c r="AK5966" s="310"/>
      <c r="AL5966" s="106"/>
      <c r="AM5966" s="106"/>
      <c r="AN5966" s="106"/>
      <c r="AO5966" s="158"/>
      <c r="AP5966" s="158"/>
    </row>
    <row r="5967" spans="34:42">
      <c r="AH5967" s="308"/>
      <c r="AI5967" s="309"/>
      <c r="AJ5967" s="210"/>
      <c r="AK5967" s="310"/>
      <c r="AL5967" s="106"/>
      <c r="AM5967" s="106"/>
      <c r="AN5967" s="106"/>
      <c r="AO5967" s="158"/>
      <c r="AP5967" s="158"/>
    </row>
    <row r="5968" spans="34:42">
      <c r="AH5968" s="308"/>
      <c r="AI5968" s="309"/>
      <c r="AJ5968" s="210"/>
      <c r="AK5968" s="310"/>
      <c r="AL5968" s="106"/>
      <c r="AM5968" s="106"/>
      <c r="AN5968" s="106"/>
      <c r="AO5968" s="158"/>
      <c r="AP5968" s="158"/>
    </row>
    <row r="5969" spans="34:42">
      <c r="AH5969" s="308"/>
      <c r="AI5969" s="309"/>
      <c r="AJ5969" s="210"/>
      <c r="AK5969" s="310"/>
      <c r="AL5969" s="106"/>
      <c r="AM5969" s="106"/>
      <c r="AN5969" s="106"/>
      <c r="AO5969" s="158"/>
      <c r="AP5969" s="158"/>
    </row>
    <row r="5970" spans="34:42">
      <c r="AH5970" s="308"/>
      <c r="AI5970" s="309"/>
      <c r="AJ5970" s="210"/>
      <c r="AK5970" s="310"/>
      <c r="AL5970" s="106"/>
      <c r="AM5970" s="106"/>
      <c r="AN5970" s="106"/>
      <c r="AO5970" s="158"/>
      <c r="AP5970" s="158"/>
    </row>
    <row r="5971" spans="34:42">
      <c r="AH5971" s="308"/>
      <c r="AI5971" s="309"/>
      <c r="AJ5971" s="210"/>
      <c r="AK5971" s="310"/>
      <c r="AL5971" s="106"/>
      <c r="AM5971" s="106"/>
      <c r="AN5971" s="106"/>
      <c r="AO5971" s="158"/>
      <c r="AP5971" s="158"/>
    </row>
    <row r="5972" spans="34:42">
      <c r="AH5972" s="308"/>
      <c r="AI5972" s="309"/>
      <c r="AJ5972" s="210"/>
      <c r="AK5972" s="310"/>
      <c r="AL5972" s="106"/>
      <c r="AM5972" s="106"/>
      <c r="AN5972" s="106"/>
      <c r="AO5972" s="158"/>
      <c r="AP5972" s="158"/>
    </row>
    <row r="5973" spans="34:42">
      <c r="AH5973" s="308"/>
      <c r="AI5973" s="309"/>
      <c r="AJ5973" s="210"/>
      <c r="AK5973" s="310"/>
      <c r="AL5973" s="106"/>
      <c r="AM5973" s="106"/>
      <c r="AN5973" s="106"/>
      <c r="AO5973" s="158"/>
      <c r="AP5973" s="158"/>
    </row>
    <row r="5974" spans="34:42">
      <c r="AH5974" s="308"/>
      <c r="AI5974" s="309"/>
      <c r="AJ5974" s="210"/>
      <c r="AK5974" s="310"/>
      <c r="AL5974" s="106"/>
      <c r="AM5974" s="106"/>
      <c r="AN5974" s="106"/>
      <c r="AO5974" s="158"/>
      <c r="AP5974" s="158"/>
    </row>
    <row r="5975" spans="34:42">
      <c r="AH5975" s="308"/>
      <c r="AI5975" s="309"/>
      <c r="AJ5975" s="210"/>
      <c r="AK5975" s="310"/>
      <c r="AL5975" s="106"/>
      <c r="AM5975" s="106"/>
      <c r="AN5975" s="106"/>
      <c r="AO5975" s="158"/>
      <c r="AP5975" s="158"/>
    </row>
    <row r="5976" spans="34:42">
      <c r="AH5976" s="308"/>
      <c r="AI5976" s="309"/>
      <c r="AJ5976" s="210"/>
      <c r="AK5976" s="310"/>
      <c r="AL5976" s="106"/>
      <c r="AM5976" s="106"/>
      <c r="AN5976" s="106"/>
      <c r="AO5976" s="158"/>
      <c r="AP5976" s="158"/>
    </row>
    <row r="5977" spans="34:42">
      <c r="AH5977" s="308"/>
      <c r="AI5977" s="309"/>
      <c r="AJ5977" s="210"/>
      <c r="AK5977" s="310"/>
      <c r="AL5977" s="106"/>
      <c r="AM5977" s="106"/>
      <c r="AN5977" s="106"/>
      <c r="AO5977" s="158"/>
      <c r="AP5977" s="158"/>
    </row>
    <row r="5978" spans="34:42">
      <c r="AH5978" s="308"/>
      <c r="AI5978" s="309"/>
      <c r="AJ5978" s="210"/>
      <c r="AK5978" s="310"/>
      <c r="AL5978" s="106"/>
      <c r="AM5978" s="106"/>
      <c r="AN5978" s="106"/>
      <c r="AO5978" s="158"/>
      <c r="AP5978" s="158"/>
    </row>
    <row r="5979" spans="34:42">
      <c r="AH5979" s="308"/>
      <c r="AI5979" s="309"/>
      <c r="AJ5979" s="210"/>
      <c r="AK5979" s="310"/>
      <c r="AL5979" s="106"/>
      <c r="AM5979" s="106"/>
      <c r="AN5979" s="106"/>
      <c r="AO5979" s="158"/>
      <c r="AP5979" s="158"/>
    </row>
    <row r="5980" spans="34:42">
      <c r="AH5980" s="308"/>
      <c r="AI5980" s="309"/>
      <c r="AJ5980" s="210"/>
      <c r="AK5980" s="310"/>
      <c r="AL5980" s="106"/>
      <c r="AM5980" s="106"/>
      <c r="AN5980" s="106"/>
      <c r="AO5980" s="158"/>
      <c r="AP5980" s="158"/>
    </row>
    <row r="5981" spans="34:42">
      <c r="AH5981" s="308"/>
      <c r="AI5981" s="309"/>
      <c r="AJ5981" s="210"/>
      <c r="AK5981" s="310"/>
      <c r="AL5981" s="106"/>
      <c r="AM5981" s="106"/>
      <c r="AN5981" s="106"/>
      <c r="AO5981" s="158"/>
      <c r="AP5981" s="158"/>
    </row>
    <row r="5982" spans="34:42">
      <c r="AH5982" s="308"/>
      <c r="AI5982" s="309"/>
      <c r="AJ5982" s="210"/>
      <c r="AK5982" s="310"/>
      <c r="AL5982" s="106"/>
      <c r="AM5982" s="106"/>
      <c r="AN5982" s="106"/>
      <c r="AO5982" s="158"/>
      <c r="AP5982" s="158"/>
    </row>
    <row r="5983" spans="34:42">
      <c r="AH5983" s="308"/>
      <c r="AI5983" s="309"/>
      <c r="AJ5983" s="210"/>
      <c r="AK5983" s="310"/>
      <c r="AL5983" s="106"/>
      <c r="AM5983" s="106"/>
      <c r="AN5983" s="106"/>
      <c r="AO5983" s="158"/>
      <c r="AP5983" s="158"/>
    </row>
    <row r="5984" spans="34:42">
      <c r="AH5984" s="308"/>
      <c r="AI5984" s="309"/>
      <c r="AJ5984" s="210"/>
      <c r="AK5984" s="310"/>
      <c r="AL5984" s="106"/>
      <c r="AM5984" s="106"/>
      <c r="AN5984" s="106"/>
      <c r="AO5984" s="158"/>
      <c r="AP5984" s="158"/>
    </row>
    <row r="5985" spans="34:42">
      <c r="AH5985" s="308"/>
      <c r="AI5985" s="309"/>
      <c r="AJ5985" s="210"/>
      <c r="AK5985" s="310"/>
      <c r="AL5985" s="106"/>
      <c r="AM5985" s="106"/>
      <c r="AN5985" s="106"/>
      <c r="AO5985" s="158"/>
      <c r="AP5985" s="158"/>
    </row>
    <row r="5986" spans="34:42">
      <c r="AH5986" s="308"/>
      <c r="AI5986" s="309"/>
      <c r="AJ5986" s="210"/>
      <c r="AK5986" s="310"/>
      <c r="AL5986" s="106"/>
      <c r="AM5986" s="106"/>
      <c r="AN5986" s="106"/>
      <c r="AO5986" s="158"/>
      <c r="AP5986" s="158"/>
    </row>
    <row r="5987" spans="34:42">
      <c r="AH5987" s="308"/>
      <c r="AI5987" s="309"/>
      <c r="AJ5987" s="210"/>
      <c r="AK5987" s="310"/>
      <c r="AL5987" s="106"/>
      <c r="AM5987" s="106"/>
      <c r="AN5987" s="106"/>
      <c r="AO5987" s="158"/>
      <c r="AP5987" s="158"/>
    </row>
    <row r="5988" spans="34:42">
      <c r="AH5988" s="308"/>
      <c r="AI5988" s="309"/>
      <c r="AJ5988" s="210"/>
      <c r="AK5988" s="310"/>
      <c r="AL5988" s="106"/>
      <c r="AM5988" s="106"/>
      <c r="AN5988" s="106"/>
      <c r="AO5988" s="158"/>
      <c r="AP5988" s="158"/>
    </row>
    <row r="5989" spans="34:42">
      <c r="AH5989" s="308"/>
      <c r="AI5989" s="309"/>
      <c r="AJ5989" s="210"/>
      <c r="AK5989" s="310"/>
      <c r="AL5989" s="106"/>
      <c r="AM5989" s="106"/>
      <c r="AN5989" s="106"/>
      <c r="AO5989" s="158"/>
      <c r="AP5989" s="158"/>
    </row>
    <row r="5990" spans="34:42">
      <c r="AH5990" s="308"/>
      <c r="AI5990" s="309"/>
      <c r="AJ5990" s="210"/>
      <c r="AK5990" s="310"/>
      <c r="AL5990" s="106"/>
      <c r="AM5990" s="106"/>
      <c r="AN5990" s="106"/>
      <c r="AO5990" s="158"/>
      <c r="AP5990" s="158"/>
    </row>
    <row r="5991" spans="34:42">
      <c r="AH5991" s="308"/>
      <c r="AI5991" s="309"/>
      <c r="AJ5991" s="210"/>
      <c r="AK5991" s="310"/>
      <c r="AL5991" s="106"/>
      <c r="AM5991" s="106"/>
      <c r="AN5991" s="106"/>
      <c r="AO5991" s="158"/>
      <c r="AP5991" s="158"/>
    </row>
    <row r="5992" spans="34:42">
      <c r="AH5992" s="308"/>
      <c r="AI5992" s="309"/>
      <c r="AJ5992" s="210"/>
      <c r="AK5992" s="310"/>
      <c r="AL5992" s="106"/>
      <c r="AM5992" s="106"/>
      <c r="AN5992" s="106"/>
      <c r="AO5992" s="158"/>
      <c r="AP5992" s="158"/>
    </row>
    <row r="5993" spans="34:42">
      <c r="AH5993" s="308"/>
      <c r="AI5993" s="309"/>
      <c r="AJ5993" s="210"/>
      <c r="AK5993" s="310"/>
      <c r="AL5993" s="106"/>
      <c r="AM5993" s="106"/>
      <c r="AN5993" s="106"/>
      <c r="AO5993" s="158"/>
      <c r="AP5993" s="158"/>
    </row>
    <row r="5994" spans="34:42">
      <c r="AH5994" s="308"/>
      <c r="AI5994" s="309"/>
      <c r="AJ5994" s="210"/>
      <c r="AK5994" s="310"/>
      <c r="AL5994" s="106"/>
      <c r="AM5994" s="106"/>
      <c r="AN5994" s="106"/>
      <c r="AO5994" s="158"/>
      <c r="AP5994" s="158"/>
    </row>
    <row r="5995" spans="34:42">
      <c r="AH5995" s="308"/>
      <c r="AI5995" s="309"/>
      <c r="AJ5995" s="210"/>
      <c r="AK5995" s="310"/>
      <c r="AL5995" s="106"/>
      <c r="AM5995" s="106"/>
      <c r="AN5995" s="106"/>
      <c r="AO5995" s="158"/>
      <c r="AP5995" s="158"/>
    </row>
    <row r="5996" spans="34:42">
      <c r="AH5996" s="308"/>
      <c r="AI5996" s="309"/>
      <c r="AJ5996" s="210"/>
      <c r="AK5996" s="310"/>
      <c r="AL5996" s="106"/>
      <c r="AM5996" s="106"/>
      <c r="AN5996" s="106"/>
      <c r="AO5996" s="158"/>
      <c r="AP5996" s="158"/>
    </row>
    <row r="5997" spans="34:42">
      <c r="AH5997" s="308"/>
      <c r="AI5997" s="309"/>
      <c r="AJ5997" s="210"/>
      <c r="AK5997" s="310"/>
      <c r="AL5997" s="106"/>
      <c r="AM5997" s="106"/>
      <c r="AN5997" s="106"/>
      <c r="AO5997" s="158"/>
      <c r="AP5997" s="158"/>
    </row>
    <row r="5998" spans="34:42">
      <c r="AH5998" s="308"/>
      <c r="AI5998" s="309"/>
      <c r="AJ5998" s="210"/>
      <c r="AK5998" s="310"/>
      <c r="AL5998" s="106"/>
      <c r="AM5998" s="106"/>
      <c r="AN5998" s="106"/>
      <c r="AO5998" s="158"/>
      <c r="AP5998" s="158"/>
    </row>
    <row r="5999" spans="34:42">
      <c r="AH5999" s="308"/>
      <c r="AI5999" s="309"/>
      <c r="AJ5999" s="210"/>
      <c r="AK5999" s="310"/>
      <c r="AL5999" s="106"/>
      <c r="AM5999" s="106"/>
      <c r="AN5999" s="106"/>
      <c r="AO5999" s="158"/>
      <c r="AP5999" s="158"/>
    </row>
    <row r="6000" spans="34:42">
      <c r="AH6000" s="308"/>
      <c r="AI6000" s="309"/>
      <c r="AJ6000" s="210"/>
      <c r="AK6000" s="310"/>
      <c r="AL6000" s="106"/>
      <c r="AM6000" s="106"/>
      <c r="AN6000" s="106"/>
      <c r="AO6000" s="158"/>
      <c r="AP6000" s="158"/>
    </row>
  </sheetData>
  <mergeCells count="9">
    <mergeCell ref="AD16:AE16"/>
    <mergeCell ref="AD17:AE17"/>
    <mergeCell ref="R1:S1"/>
    <mergeCell ref="U16:V16"/>
    <mergeCell ref="X16:Y16"/>
    <mergeCell ref="AA16:AB16"/>
    <mergeCell ref="U17:V17"/>
    <mergeCell ref="X17:Y17"/>
    <mergeCell ref="AA17:AB17"/>
  </mergeCells>
  <conditionalFormatting sqref="I8:I9 I11:I23 I27:I29">
    <cfRule type="dataBar" priority="50">
      <dataBar>
        <cfvo type="min"/>
        <cfvo type="max"/>
        <color theme="6" tint="-0.249977111117893"/>
      </dataBar>
    </cfRule>
  </conditionalFormatting>
  <conditionalFormatting sqref="H8:H9 H11:H23 H27:H29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dataBar" priority="53">
      <dataBar>
        <cfvo type="min"/>
        <cfvo type="max"/>
        <color rgb="FF638EC6"/>
      </dataBar>
    </cfRule>
  </conditionalFormatting>
  <conditionalFormatting sqref="I20:I23">
    <cfRule type="dataBar" priority="42">
      <dataBar>
        <cfvo type="min"/>
        <cfvo type="max"/>
        <color theme="6" tint="-0.249977111117893"/>
      </dataBar>
    </cfRule>
  </conditionalFormatting>
  <conditionalFormatting sqref="H20:H23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dataBar" priority="44">
      <dataBar>
        <cfvo type="min"/>
        <cfvo type="max"/>
        <color rgb="FF638EC6"/>
      </dataBar>
    </cfRule>
  </conditionalFormatting>
  <conditionalFormatting sqref="I38:I41">
    <cfRule type="dataBar" priority="39">
      <dataBar>
        <cfvo type="min"/>
        <cfvo type="max"/>
        <color theme="6" tint="-0.249977111117893"/>
      </dataBar>
    </cfRule>
  </conditionalFormatting>
  <conditionalFormatting sqref="H38:H4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dataBar" priority="41">
      <dataBar>
        <cfvo type="min"/>
        <cfvo type="max"/>
        <color rgb="FF638EC6"/>
      </dataBar>
    </cfRule>
  </conditionalFormatting>
  <conditionalFormatting sqref="J37:J4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dataBar" priority="38">
      <dataBar>
        <cfvo type="min"/>
        <cfvo type="max"/>
        <color rgb="FF638EC6"/>
      </dataBar>
    </cfRule>
  </conditionalFormatting>
  <conditionalFormatting sqref="I10">
    <cfRule type="dataBar" priority="31">
      <dataBar>
        <cfvo type="min"/>
        <cfvo type="max"/>
        <color theme="6" tint="-0.249977111117893"/>
      </dataBar>
    </cfRule>
  </conditionalFormatting>
  <conditionalFormatting sqref="H1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dataBar" priority="33">
      <dataBar>
        <cfvo type="min"/>
        <cfvo type="max"/>
        <color rgb="FF638EC6"/>
      </dataBar>
    </cfRule>
  </conditionalFormatting>
  <conditionalFormatting sqref="AU4:AU5">
    <cfRule type="cellIs" dxfId="3" priority="17" operator="equal">
      <formula>"verificar"</formula>
    </cfRule>
  </conditionalFormatting>
  <conditionalFormatting sqref="BM3:BM26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3:BW45">
    <cfRule type="colorScale" priority="2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Z3:BZ4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3:CD45">
    <cfRule type="colorScale" priority="2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E3:CE45">
    <cfRule type="colorScale" priority="2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3:BJ26">
    <cfRule type="colorScale" priority="2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A3:CA45">
    <cfRule type="colorScale" priority="263">
      <colorScale>
        <cfvo type="min"/>
        <cfvo type="max"/>
        <color rgb="FFFCFCFF"/>
        <color rgb="FFF8696B"/>
      </colorScale>
    </cfRule>
  </conditionalFormatting>
  <conditionalFormatting sqref="I24:I25">
    <cfRule type="dataBar" priority="12">
      <dataBar>
        <cfvo type="min"/>
        <cfvo type="max"/>
        <color theme="6" tint="-0.249977111117893"/>
      </dataBar>
    </cfRule>
  </conditionalFormatting>
  <conditionalFormatting sqref="H24:H2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dataBar" priority="14">
      <dataBar>
        <cfvo type="min"/>
        <cfvo type="max"/>
        <color rgb="FF638EC6"/>
      </dataBar>
    </cfRule>
  </conditionalFormatting>
  <conditionalFormatting sqref="I24:I25">
    <cfRule type="dataBar" priority="9">
      <dataBar>
        <cfvo type="min"/>
        <cfvo type="max"/>
        <color theme="6" tint="-0.249977111117893"/>
      </dataBar>
    </cfRule>
  </conditionalFormatting>
  <conditionalFormatting sqref="H24:H2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dataBar" priority="11">
      <dataBar>
        <cfvo type="min"/>
        <cfvo type="max"/>
        <color rgb="FF638EC6"/>
      </dataBar>
    </cfRule>
  </conditionalFormatting>
  <conditionalFormatting sqref="I26">
    <cfRule type="dataBar" priority="6">
      <dataBar>
        <cfvo type="min"/>
        <cfvo type="max"/>
        <color theme="6" tint="-0.249977111117893"/>
      </dataBar>
    </cfRule>
  </conditionalFormatting>
  <conditionalFormatting sqref="H2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dataBar" priority="8">
      <dataBar>
        <cfvo type="min"/>
        <cfvo type="max"/>
        <color rgb="FF638EC6"/>
      </dataBar>
    </cfRule>
  </conditionalFormatting>
  <conditionalFormatting sqref="I26">
    <cfRule type="dataBar" priority="3">
      <dataBar>
        <cfvo type="min"/>
        <cfvo type="max"/>
        <color theme="6" tint="-0.249977111117893"/>
      </dataBar>
    </cfRule>
  </conditionalFormatting>
  <conditionalFormatting sqref="H2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dataBar" priority="5">
      <dataBar>
        <cfvo type="min"/>
        <cfvo type="max"/>
        <color rgb="FF638EC6"/>
      </dataBar>
    </cfRule>
  </conditionalFormatting>
  <conditionalFormatting sqref="I8:I2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{90C6ACDF-9B44-44FF-B4BB-B44E5117F170}</x14:id>
        </ext>
      </extLst>
    </cfRule>
  </conditionalFormatting>
  <conditionalFormatting sqref="H8:H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echasRPM">
                <anchor moveWithCells="1" sizeWithCells="1">
                  <from>
                    <xdr:col>7</xdr:col>
                    <xdr:colOff>428625</xdr:colOff>
                    <xdr:row>4</xdr:row>
                    <xdr:rowOff>9525</xdr:rowOff>
                  </from>
                  <to>
                    <xdr:col>9</xdr:col>
                    <xdr:colOff>304800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mail">
                <anchor moveWithCells="1" sizeWithCells="1">
                  <from>
                    <xdr:col>7</xdr:col>
                    <xdr:colOff>457200</xdr:colOff>
                    <xdr:row>2</xdr:row>
                    <xdr:rowOff>38100</xdr:rowOff>
                  </from>
                  <to>
                    <xdr:col>9</xdr:col>
                    <xdr:colOff>314325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ake_PDF">
                <anchor moveWithCells="1" sizeWithCells="1">
                  <from>
                    <xdr:col>7</xdr:col>
                    <xdr:colOff>457200</xdr:colOff>
                    <xdr:row>0</xdr:row>
                    <xdr:rowOff>76200</xdr:rowOff>
                  </from>
                  <to>
                    <xdr:col>9</xdr:col>
                    <xdr:colOff>314325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0C6ACDF-9B44-44FF-B4BB-B44E5117F1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I8:I26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O56"/>
  <sheetViews>
    <sheetView zoomScaleNormal="100" workbookViewId="0"/>
  </sheetViews>
  <sheetFormatPr baseColWidth="10" defaultColWidth="11.42578125" defaultRowHeight="12.75"/>
  <cols>
    <col min="2" max="2" width="11.85546875" bestFit="1" customWidth="1"/>
    <col min="3" max="3" width="5" bestFit="1" customWidth="1"/>
    <col min="4" max="4" width="11.85546875" bestFit="1" customWidth="1"/>
    <col min="5" max="5" width="17.42578125" bestFit="1" customWidth="1"/>
    <col min="6" max="6" width="5.7109375" bestFit="1" customWidth="1"/>
    <col min="7" max="7" width="14.7109375" bestFit="1" customWidth="1"/>
    <col min="8" max="8" width="13" bestFit="1" customWidth="1"/>
    <col min="9" max="9" width="13.140625" bestFit="1" customWidth="1"/>
    <col min="10" max="10" width="13" bestFit="1" customWidth="1"/>
    <col min="11" max="11" width="10.140625" bestFit="1" customWidth="1"/>
    <col min="12" max="12" width="10.28515625" bestFit="1" customWidth="1"/>
    <col min="13" max="13" width="10.140625" bestFit="1" customWidth="1"/>
    <col min="14" max="14" width="8.7109375" bestFit="1" customWidth="1"/>
  </cols>
  <sheetData>
    <row r="1" spans="2:15" ht="15">
      <c r="B1" s="524" t="s">
        <v>102</v>
      </c>
      <c r="C1" s="524" t="s">
        <v>103</v>
      </c>
      <c r="D1" s="524" t="s">
        <v>104</v>
      </c>
      <c r="E1" s="524" t="s">
        <v>105</v>
      </c>
      <c r="F1" s="524" t="s">
        <v>106</v>
      </c>
      <c r="G1" s="524" t="s">
        <v>107</v>
      </c>
      <c r="H1" s="524" t="s">
        <v>108</v>
      </c>
      <c r="I1" s="524" t="s">
        <v>109</v>
      </c>
      <c r="J1" s="524" t="s">
        <v>110</v>
      </c>
      <c r="K1" s="524" t="s">
        <v>111</v>
      </c>
      <c r="L1" s="524" t="s">
        <v>112</v>
      </c>
      <c r="M1" s="524" t="s">
        <v>113</v>
      </c>
      <c r="N1" s="524" t="s">
        <v>8</v>
      </c>
    </row>
    <row r="2" spans="2:15" ht="15">
      <c r="B2" s="524" t="s">
        <v>53</v>
      </c>
      <c r="C2" s="524" t="s">
        <v>115</v>
      </c>
      <c r="D2" s="524">
        <v>2</v>
      </c>
      <c r="E2" s="525">
        <v>215000</v>
      </c>
      <c r="F2" s="524" t="s">
        <v>116</v>
      </c>
      <c r="G2" s="526">
        <v>5770608744</v>
      </c>
      <c r="H2" s="524">
        <v>100.82</v>
      </c>
      <c r="I2" s="524">
        <v>100.8</v>
      </c>
      <c r="J2" s="524">
        <v>100.81</v>
      </c>
      <c r="K2" s="539">
        <v>1.42</v>
      </c>
      <c r="L2" s="539">
        <v>1.42</v>
      </c>
      <c r="M2" s="539">
        <v>1.42</v>
      </c>
      <c r="N2" s="539">
        <v>0.51</v>
      </c>
      <c r="O2" s="216"/>
    </row>
    <row r="3" spans="2:15" ht="15">
      <c r="B3" s="524" t="s">
        <v>55</v>
      </c>
      <c r="C3" s="524" t="s">
        <v>115</v>
      </c>
      <c r="D3" s="524">
        <v>1</v>
      </c>
      <c r="E3" s="525">
        <v>400000</v>
      </c>
      <c r="F3" s="524" t="s">
        <v>116</v>
      </c>
      <c r="G3" s="526">
        <v>10708555453</v>
      </c>
      <c r="H3" s="524">
        <v>101.08</v>
      </c>
      <c r="I3" s="524">
        <v>101.08</v>
      </c>
      <c r="J3" s="524">
        <v>101.08</v>
      </c>
      <c r="K3" s="539">
        <v>1.42</v>
      </c>
      <c r="L3" s="539">
        <v>1.42</v>
      </c>
      <c r="M3" s="539">
        <v>1.42</v>
      </c>
      <c r="N3" s="539">
        <v>0.69</v>
      </c>
      <c r="O3" s="216"/>
    </row>
    <row r="4" spans="2:15" ht="15">
      <c r="B4" s="521" t="s">
        <v>54</v>
      </c>
      <c r="C4" s="521" t="s">
        <v>115</v>
      </c>
      <c r="D4" s="521">
        <v>3</v>
      </c>
      <c r="E4" s="522">
        <v>230500</v>
      </c>
      <c r="F4" s="521" t="s">
        <v>116</v>
      </c>
      <c r="G4" s="523">
        <v>6170790375</v>
      </c>
      <c r="H4" s="521">
        <v>101.08</v>
      </c>
      <c r="I4" s="521">
        <v>101.08</v>
      </c>
      <c r="J4" s="521">
        <v>101.08</v>
      </c>
      <c r="K4" s="540">
        <v>1.42</v>
      </c>
      <c r="L4" s="540">
        <v>1.42</v>
      </c>
      <c r="M4" s="540">
        <v>1.42</v>
      </c>
      <c r="N4" s="540">
        <v>0.69</v>
      </c>
      <c r="O4" s="216"/>
    </row>
    <row r="5" spans="2:15" ht="15">
      <c r="B5" s="524" t="s">
        <v>87</v>
      </c>
      <c r="C5" s="524" t="s">
        <v>115</v>
      </c>
      <c r="D5" s="524">
        <v>2</v>
      </c>
      <c r="E5" s="525">
        <v>6180000000</v>
      </c>
      <c r="F5" s="524" t="s">
        <v>114</v>
      </c>
      <c r="G5" s="526">
        <v>6441324842</v>
      </c>
      <c r="H5" s="524">
        <v>103.34</v>
      </c>
      <c r="I5" s="524">
        <v>103.33</v>
      </c>
      <c r="J5" s="524">
        <v>103.34</v>
      </c>
      <c r="K5" s="539">
        <v>3.5</v>
      </c>
      <c r="L5" s="539">
        <v>3.48</v>
      </c>
      <c r="M5" s="539">
        <v>3.48</v>
      </c>
      <c r="N5" s="539">
        <v>1.31</v>
      </c>
      <c r="O5" s="216"/>
    </row>
    <row r="6" spans="2:15" ht="15">
      <c r="B6" s="524" t="s">
        <v>58</v>
      </c>
      <c r="C6" s="524" t="s">
        <v>115</v>
      </c>
      <c r="D6" s="524">
        <v>63</v>
      </c>
      <c r="E6" s="525">
        <v>579000</v>
      </c>
      <c r="F6" s="524" t="s">
        <v>116</v>
      </c>
      <c r="G6" s="526">
        <v>15661228580</v>
      </c>
      <c r="H6" s="524">
        <v>102.67</v>
      </c>
      <c r="I6" s="524">
        <v>102.59</v>
      </c>
      <c r="J6" s="524">
        <v>102.62</v>
      </c>
      <c r="K6" s="539">
        <v>1.07</v>
      </c>
      <c r="L6" s="539">
        <v>1.02</v>
      </c>
      <c r="M6" s="539">
        <v>1.05</v>
      </c>
      <c r="N6" s="539">
        <v>1.33</v>
      </c>
      <c r="O6" s="216"/>
    </row>
    <row r="7" spans="2:15" ht="15">
      <c r="B7" s="524" t="s">
        <v>60</v>
      </c>
      <c r="C7" s="524" t="s">
        <v>115</v>
      </c>
      <c r="D7" s="524">
        <v>86</v>
      </c>
      <c r="E7" s="525">
        <v>761000</v>
      </c>
      <c r="F7" s="524" t="s">
        <v>116</v>
      </c>
      <c r="G7" s="526">
        <v>20798349583</v>
      </c>
      <c r="H7" s="524">
        <v>103.46</v>
      </c>
      <c r="I7" s="524">
        <v>103.41</v>
      </c>
      <c r="J7" s="524">
        <v>103.45</v>
      </c>
      <c r="K7" s="539">
        <v>1.05</v>
      </c>
      <c r="L7" s="539">
        <v>1.02</v>
      </c>
      <c r="M7" s="539">
        <v>1.02</v>
      </c>
      <c r="N7" s="539">
        <v>1.74</v>
      </c>
      <c r="O7" s="216"/>
    </row>
    <row r="8" spans="2:15" ht="15">
      <c r="B8" s="524" t="s">
        <v>61</v>
      </c>
      <c r="C8" s="524" t="s">
        <v>115</v>
      </c>
      <c r="D8" s="524">
        <v>6</v>
      </c>
      <c r="E8" s="525">
        <v>84000</v>
      </c>
      <c r="F8" s="524" t="s">
        <v>116</v>
      </c>
      <c r="G8" s="526">
        <v>2292189718</v>
      </c>
      <c r="H8" s="524">
        <v>103.77</v>
      </c>
      <c r="I8" s="524">
        <v>103.75</v>
      </c>
      <c r="J8" s="524">
        <v>103.76</v>
      </c>
      <c r="K8" s="539">
        <v>1.04</v>
      </c>
      <c r="L8" s="539">
        <v>1.03</v>
      </c>
      <c r="M8" s="539">
        <v>1.03</v>
      </c>
      <c r="N8" s="539">
        <v>1.89</v>
      </c>
      <c r="O8" s="216"/>
    </row>
    <row r="9" spans="2:15" ht="15">
      <c r="B9" s="524" t="s">
        <v>66</v>
      </c>
      <c r="C9" s="524" t="s">
        <v>115</v>
      </c>
      <c r="D9" s="524">
        <v>9</v>
      </c>
      <c r="E9" s="525">
        <v>75500</v>
      </c>
      <c r="F9" s="524" t="s">
        <v>116</v>
      </c>
      <c r="G9" s="526">
        <v>2122340195</v>
      </c>
      <c r="H9" s="524">
        <v>106.12</v>
      </c>
      <c r="I9" s="524">
        <v>106.09</v>
      </c>
      <c r="J9" s="524">
        <v>106.11</v>
      </c>
      <c r="K9" s="539">
        <v>1.04</v>
      </c>
      <c r="L9" s="539">
        <v>1.03</v>
      </c>
      <c r="M9" s="539">
        <v>1.03</v>
      </c>
      <c r="N9" s="539">
        <v>3.04</v>
      </c>
      <c r="O9" s="216"/>
    </row>
    <row r="10" spans="2:15" ht="15">
      <c r="B10" s="557" t="s">
        <v>448</v>
      </c>
      <c r="C10" s="524" t="s">
        <v>115</v>
      </c>
      <c r="D10" s="524">
        <v>12</v>
      </c>
      <c r="E10" s="525">
        <v>3110000000</v>
      </c>
      <c r="F10" s="524" t="s">
        <v>114</v>
      </c>
      <c r="G10" s="526">
        <v>3253121126</v>
      </c>
      <c r="H10" s="524">
        <v>102.84</v>
      </c>
      <c r="I10" s="524">
        <v>102.77</v>
      </c>
      <c r="J10" s="524">
        <v>102.77</v>
      </c>
      <c r="K10" s="539">
        <v>3.69</v>
      </c>
      <c r="L10" s="539">
        <v>3.67</v>
      </c>
      <c r="M10" s="539">
        <v>3.68</v>
      </c>
      <c r="N10" s="539">
        <v>3.32</v>
      </c>
      <c r="O10" s="216"/>
    </row>
    <row r="11" spans="2:15" ht="15">
      <c r="B11" s="524" t="s">
        <v>14</v>
      </c>
      <c r="C11" s="524" t="s">
        <v>115</v>
      </c>
      <c r="D11" s="524">
        <v>14</v>
      </c>
      <c r="E11" s="525">
        <v>2490000000</v>
      </c>
      <c r="F11" s="524" t="s">
        <v>114</v>
      </c>
      <c r="G11" s="526">
        <v>2738356245</v>
      </c>
      <c r="H11" s="524">
        <v>108.58</v>
      </c>
      <c r="I11" s="524">
        <v>108.5</v>
      </c>
      <c r="J11" s="524">
        <v>108.54</v>
      </c>
      <c r="K11" s="539">
        <v>3.83</v>
      </c>
      <c r="L11" s="539">
        <v>3.81</v>
      </c>
      <c r="M11" s="539">
        <v>3.81</v>
      </c>
      <c r="N11" s="539">
        <v>3.82</v>
      </c>
      <c r="O11" s="216"/>
    </row>
    <row r="12" spans="2:15" ht="15">
      <c r="B12" s="524" t="s">
        <v>561</v>
      </c>
      <c r="C12" s="524" t="s">
        <v>115</v>
      </c>
      <c r="D12" s="524">
        <v>14</v>
      </c>
      <c r="E12" s="525">
        <v>3250000000</v>
      </c>
      <c r="F12" s="524" t="s">
        <v>114</v>
      </c>
      <c r="G12" s="526">
        <v>3363713342</v>
      </c>
      <c r="H12" s="524">
        <v>102.88</v>
      </c>
      <c r="I12" s="524">
        <v>102.8</v>
      </c>
      <c r="J12" s="524">
        <v>102.84</v>
      </c>
      <c r="K12" s="539">
        <v>3.83</v>
      </c>
      <c r="L12" s="539">
        <v>3.81</v>
      </c>
      <c r="M12" s="539">
        <v>3.81</v>
      </c>
      <c r="N12" s="539">
        <v>3.98</v>
      </c>
      <c r="O12" s="216"/>
    </row>
    <row r="13" spans="2:15" ht="15">
      <c r="B13" s="524" t="s">
        <v>68</v>
      </c>
      <c r="C13" s="524" t="s">
        <v>115</v>
      </c>
      <c r="D13" s="524">
        <v>28</v>
      </c>
      <c r="E13" s="525">
        <v>139500</v>
      </c>
      <c r="F13" s="524" t="s">
        <v>116</v>
      </c>
      <c r="G13" s="526">
        <v>3987974416</v>
      </c>
      <c r="H13" s="524">
        <v>108.26</v>
      </c>
      <c r="I13" s="524">
        <v>108.13</v>
      </c>
      <c r="J13" s="524">
        <v>108.2</v>
      </c>
      <c r="K13" s="539">
        <v>1.04</v>
      </c>
      <c r="L13" s="539">
        <v>1.01</v>
      </c>
      <c r="M13" s="539">
        <v>1.02</v>
      </c>
      <c r="N13" s="539">
        <v>4.03</v>
      </c>
      <c r="O13" s="216"/>
    </row>
    <row r="14" spans="2:15" ht="15">
      <c r="B14" s="524" t="s">
        <v>470</v>
      </c>
      <c r="C14" s="524" t="s">
        <v>115</v>
      </c>
      <c r="D14" s="524">
        <v>256</v>
      </c>
      <c r="E14" s="525">
        <v>4341500</v>
      </c>
      <c r="F14" s="524" t="s">
        <v>116</v>
      </c>
      <c r="G14" s="526">
        <v>116507794960</v>
      </c>
      <c r="H14" s="524">
        <v>102.09</v>
      </c>
      <c r="I14" s="524">
        <v>101.96</v>
      </c>
      <c r="J14" s="524">
        <v>102.04</v>
      </c>
      <c r="K14" s="539">
        <v>1.04</v>
      </c>
      <c r="L14" s="539">
        <v>1.01</v>
      </c>
      <c r="M14" s="539">
        <v>1.02</v>
      </c>
      <c r="N14" s="539">
        <v>4.22</v>
      </c>
      <c r="O14" s="216"/>
    </row>
    <row r="15" spans="2:15" ht="15">
      <c r="B15" s="524" t="s">
        <v>89</v>
      </c>
      <c r="C15" s="524" t="s">
        <v>115</v>
      </c>
      <c r="D15" s="524">
        <v>24</v>
      </c>
      <c r="E15" s="525">
        <v>15000000000</v>
      </c>
      <c r="F15" s="524" t="s">
        <v>114</v>
      </c>
      <c r="G15" s="526">
        <v>16721586227</v>
      </c>
      <c r="H15" s="524">
        <v>110.57</v>
      </c>
      <c r="I15" s="524">
        <v>110.49</v>
      </c>
      <c r="J15" s="524">
        <v>110.54</v>
      </c>
      <c r="K15" s="539">
        <v>3.84</v>
      </c>
      <c r="L15" s="539">
        <v>3.82</v>
      </c>
      <c r="M15" s="539">
        <v>3.82</v>
      </c>
      <c r="N15" s="539">
        <v>4.66</v>
      </c>
      <c r="O15" s="216"/>
    </row>
    <row r="16" spans="2:15" ht="15">
      <c r="B16" s="524" t="s">
        <v>70</v>
      </c>
      <c r="C16" s="524" t="s">
        <v>115</v>
      </c>
      <c r="D16" s="524">
        <v>1</v>
      </c>
      <c r="E16" s="525">
        <v>5000</v>
      </c>
      <c r="F16" s="524" t="s">
        <v>116</v>
      </c>
      <c r="G16" s="526">
        <v>145237941</v>
      </c>
      <c r="H16" s="524">
        <v>110.23</v>
      </c>
      <c r="I16" s="524">
        <v>110.23</v>
      </c>
      <c r="J16" s="524">
        <v>110.23</v>
      </c>
      <c r="K16" s="539">
        <v>1.03</v>
      </c>
      <c r="L16" s="539">
        <v>1.03</v>
      </c>
      <c r="M16" s="539">
        <v>1.03</v>
      </c>
      <c r="N16" s="539">
        <v>5</v>
      </c>
      <c r="O16" s="216"/>
    </row>
    <row r="17" spans="2:15" ht="15">
      <c r="B17" s="524" t="s">
        <v>397</v>
      </c>
      <c r="C17" s="524" t="s">
        <v>115</v>
      </c>
      <c r="D17" s="524">
        <v>49</v>
      </c>
      <c r="E17" s="525">
        <v>10450000000</v>
      </c>
      <c r="F17" s="524" t="s">
        <v>114</v>
      </c>
      <c r="G17" s="526">
        <v>10807119621</v>
      </c>
      <c r="H17" s="524">
        <v>102.77</v>
      </c>
      <c r="I17" s="524">
        <v>102.62</v>
      </c>
      <c r="J17" s="524">
        <v>102.75</v>
      </c>
      <c r="K17" s="539">
        <v>4.2</v>
      </c>
      <c r="L17" s="539">
        <v>4.18</v>
      </c>
      <c r="M17" s="539">
        <v>4.18</v>
      </c>
      <c r="N17" s="539">
        <v>7.72</v>
      </c>
      <c r="O17" s="216"/>
    </row>
    <row r="18" spans="2:15" ht="15">
      <c r="B18" s="524" t="s">
        <v>444</v>
      </c>
      <c r="C18" s="524" t="s">
        <v>115</v>
      </c>
      <c r="D18" s="524">
        <v>5</v>
      </c>
      <c r="E18" s="525">
        <v>240000</v>
      </c>
      <c r="F18" s="524" t="s">
        <v>116</v>
      </c>
      <c r="G18" s="526">
        <v>6460631241</v>
      </c>
      <c r="H18" s="524">
        <v>102.41</v>
      </c>
      <c r="I18" s="524">
        <v>102.32</v>
      </c>
      <c r="J18" s="524">
        <v>102.36</v>
      </c>
      <c r="K18" s="539">
        <v>1.24</v>
      </c>
      <c r="L18" s="539">
        <v>1.23</v>
      </c>
      <c r="M18" s="539">
        <v>1.23</v>
      </c>
      <c r="N18" s="539">
        <v>8.76</v>
      </c>
      <c r="O18" s="216"/>
    </row>
    <row r="19" spans="2:15" ht="15">
      <c r="B19" s="524" t="s">
        <v>449</v>
      </c>
      <c r="C19" s="524" t="s">
        <v>115</v>
      </c>
      <c r="D19" s="524">
        <v>3</v>
      </c>
      <c r="E19" s="525">
        <v>300000000</v>
      </c>
      <c r="F19" s="524" t="s">
        <v>114</v>
      </c>
      <c r="G19" s="526">
        <v>323955810</v>
      </c>
      <c r="H19" s="524">
        <v>107.41</v>
      </c>
      <c r="I19" s="524">
        <v>107.03</v>
      </c>
      <c r="J19" s="524">
        <v>107.24</v>
      </c>
      <c r="K19" s="539">
        <v>4.4800000000000004</v>
      </c>
      <c r="L19" s="539">
        <v>4.45</v>
      </c>
      <c r="M19" s="539">
        <v>4.46</v>
      </c>
      <c r="N19" s="539">
        <v>12.38</v>
      </c>
      <c r="O19" s="216"/>
    </row>
    <row r="20" spans="2:15" ht="15">
      <c r="B20" s="524" t="s">
        <v>450</v>
      </c>
      <c r="C20" s="524" t="s">
        <v>115</v>
      </c>
      <c r="D20" s="524">
        <v>15</v>
      </c>
      <c r="E20" s="525">
        <v>75000</v>
      </c>
      <c r="F20" s="524" t="s">
        <v>116</v>
      </c>
      <c r="G20" s="526">
        <v>2129636910</v>
      </c>
      <c r="H20" s="524">
        <v>107.9</v>
      </c>
      <c r="I20" s="524">
        <v>107.9</v>
      </c>
      <c r="J20" s="524">
        <v>107.9</v>
      </c>
      <c r="K20" s="539">
        <v>1.51</v>
      </c>
      <c r="L20" s="539">
        <v>1.51</v>
      </c>
      <c r="M20" s="539">
        <v>1.51</v>
      </c>
      <c r="N20" s="539">
        <v>15.56</v>
      </c>
      <c r="O20" s="216"/>
    </row>
    <row r="21" spans="2:15" ht="15">
      <c r="B21" s="524" t="s">
        <v>84</v>
      </c>
      <c r="C21" s="524" t="s">
        <v>115</v>
      </c>
      <c r="D21" s="524">
        <v>18</v>
      </c>
      <c r="E21" s="525">
        <v>250000</v>
      </c>
      <c r="F21" s="524" t="s">
        <v>116</v>
      </c>
      <c r="G21" s="526">
        <v>8598467866</v>
      </c>
      <c r="H21" s="524">
        <v>129.86000000000001</v>
      </c>
      <c r="I21" s="524">
        <v>129.86000000000001</v>
      </c>
      <c r="J21" s="524">
        <v>129.86000000000001</v>
      </c>
      <c r="K21" s="539">
        <v>1.63</v>
      </c>
      <c r="L21" s="539">
        <v>1.63</v>
      </c>
      <c r="M21" s="539">
        <v>1.63</v>
      </c>
      <c r="N21" s="539">
        <v>19.829999999999998</v>
      </c>
      <c r="O21" s="216"/>
    </row>
    <row r="22" spans="2:15" ht="15">
      <c r="B22" s="521"/>
      <c r="C22" s="521"/>
      <c r="D22" s="521"/>
      <c r="E22" s="522"/>
      <c r="F22" s="521"/>
      <c r="G22" s="523"/>
      <c r="H22" s="521"/>
      <c r="I22" s="521"/>
      <c r="J22" s="521"/>
      <c r="K22" s="540"/>
      <c r="L22" s="540"/>
      <c r="M22" s="540"/>
      <c r="N22" s="540"/>
      <c r="O22" s="216"/>
    </row>
    <row r="23" spans="2:15" ht="15">
      <c r="B23" s="521"/>
      <c r="C23" s="521"/>
      <c r="D23" s="521"/>
      <c r="E23" s="522"/>
      <c r="F23" s="521"/>
      <c r="G23" s="523"/>
      <c r="H23" s="521"/>
      <c r="I23" s="521"/>
      <c r="J23" s="521"/>
      <c r="K23" s="540"/>
      <c r="L23" s="540"/>
      <c r="M23" s="540"/>
      <c r="N23" s="540"/>
      <c r="O23" s="216"/>
    </row>
    <row r="24" spans="2:15" ht="15">
      <c r="B24" s="521"/>
      <c r="C24" s="521"/>
      <c r="D24" s="521"/>
      <c r="E24" s="522"/>
      <c r="F24" s="521"/>
      <c r="G24" s="523"/>
      <c r="H24" s="521"/>
      <c r="I24" s="521"/>
      <c r="J24" s="521"/>
      <c r="K24" s="540"/>
      <c r="L24" s="540"/>
      <c r="M24" s="540"/>
      <c r="N24" s="540"/>
      <c r="O24" s="216"/>
    </row>
    <row r="25" spans="2:15" ht="15">
      <c r="B25" s="521"/>
      <c r="C25" s="521"/>
      <c r="D25" s="521"/>
      <c r="E25" s="522"/>
      <c r="F25" s="521"/>
      <c r="G25" s="523"/>
      <c r="H25" s="521"/>
      <c r="I25" s="521"/>
      <c r="J25" s="521"/>
      <c r="K25" s="540"/>
      <c r="L25" s="540"/>
      <c r="M25" s="540"/>
      <c r="N25" s="540"/>
      <c r="O25" s="216"/>
    </row>
    <row r="26" spans="2:15" ht="15">
      <c r="B26" s="521"/>
      <c r="C26" s="521"/>
      <c r="D26" s="521"/>
      <c r="E26" s="522"/>
      <c r="F26" s="521"/>
      <c r="G26" s="523"/>
      <c r="H26" s="521"/>
      <c r="I26" s="521"/>
      <c r="J26" s="521"/>
      <c r="K26" s="540"/>
      <c r="L26" s="540"/>
      <c r="M26" s="540"/>
      <c r="N26" s="540"/>
      <c r="O26" s="216"/>
    </row>
    <row r="27" spans="2:15" ht="15">
      <c r="B27" s="521"/>
      <c r="C27" s="521"/>
      <c r="D27" s="521"/>
      <c r="E27" s="522"/>
      <c r="F27" s="521"/>
      <c r="G27" s="523"/>
      <c r="H27" s="521"/>
      <c r="I27" s="521"/>
      <c r="J27" s="521"/>
      <c r="K27" s="540"/>
      <c r="L27" s="540"/>
      <c r="M27" s="540"/>
      <c r="N27" s="540"/>
      <c r="O27" s="216"/>
    </row>
    <row r="28" spans="2:15" ht="15">
      <c r="B28" s="521"/>
      <c r="C28" s="521"/>
      <c r="D28" s="521"/>
      <c r="E28" s="522"/>
      <c r="F28" s="521"/>
      <c r="G28" s="523"/>
      <c r="H28" s="521"/>
      <c r="I28" s="521"/>
      <c r="J28" s="521"/>
      <c r="K28" s="540"/>
      <c r="L28" s="540"/>
      <c r="M28" s="540"/>
      <c r="N28" s="540"/>
      <c r="O28" s="216"/>
    </row>
    <row r="29" spans="2:15" ht="15">
      <c r="B29" s="521"/>
      <c r="C29" s="521"/>
      <c r="D29" s="521"/>
      <c r="E29" s="522"/>
      <c r="F29" s="521"/>
      <c r="G29" s="523"/>
      <c r="H29" s="521"/>
      <c r="I29" s="521"/>
      <c r="J29" s="521"/>
      <c r="K29" s="540"/>
      <c r="L29" s="540"/>
      <c r="M29" s="540"/>
      <c r="N29" s="540"/>
      <c r="O29" s="216"/>
    </row>
    <row r="30" spans="2:15" ht="15">
      <c r="B30" s="521"/>
      <c r="C30" s="521"/>
      <c r="D30" s="521"/>
      <c r="E30" s="522"/>
      <c r="F30" s="521"/>
      <c r="G30" s="523"/>
      <c r="H30" s="521"/>
      <c r="I30" s="521"/>
      <c r="J30" s="521"/>
      <c r="K30" s="540"/>
      <c r="L30" s="540"/>
      <c r="M30" s="540"/>
      <c r="N30" s="540"/>
      <c r="O30" s="216"/>
    </row>
    <row r="31" spans="2:15" ht="15">
      <c r="B31" s="521"/>
      <c r="C31" s="521"/>
      <c r="D31" s="521"/>
      <c r="E31" s="522"/>
      <c r="F31" s="521"/>
      <c r="G31" s="523"/>
      <c r="H31" s="521"/>
      <c r="I31" s="521"/>
      <c r="J31" s="521"/>
      <c r="K31" s="535"/>
      <c r="L31" s="535"/>
      <c r="M31" s="535"/>
      <c r="N31" s="521"/>
    </row>
    <row r="32" spans="2:15" ht="15">
      <c r="B32" s="521"/>
      <c r="C32" s="521"/>
      <c r="D32" s="521"/>
      <c r="E32" s="522"/>
      <c r="F32" s="521"/>
      <c r="G32" s="523"/>
      <c r="H32" s="521"/>
      <c r="I32" s="521"/>
      <c r="J32" s="521"/>
      <c r="K32" s="535"/>
      <c r="L32" s="535"/>
      <c r="M32" s="535"/>
      <c r="N32" s="521"/>
    </row>
    <row r="33" spans="2:14" ht="15">
      <c r="B33" s="521"/>
      <c r="C33" s="521"/>
      <c r="D33" s="521"/>
      <c r="E33" s="522"/>
      <c r="F33" s="521"/>
      <c r="G33" s="523"/>
      <c r="H33" s="521"/>
      <c r="I33" s="521"/>
      <c r="J33" s="521"/>
      <c r="K33" s="535"/>
      <c r="L33" s="535"/>
      <c r="M33" s="535"/>
      <c r="N33" s="521"/>
    </row>
    <row r="34" spans="2:14" ht="15">
      <c r="B34" s="521"/>
      <c r="C34" s="521"/>
      <c r="D34" s="521"/>
      <c r="E34" s="522"/>
      <c r="F34" s="521"/>
      <c r="G34" s="523"/>
      <c r="H34" s="521"/>
      <c r="I34" s="521"/>
      <c r="J34" s="521"/>
      <c r="K34" s="535"/>
      <c r="L34" s="535"/>
      <c r="M34" s="535"/>
      <c r="N34" s="521"/>
    </row>
    <row r="35" spans="2:14" ht="15">
      <c r="B35" s="521"/>
      <c r="C35" s="521"/>
      <c r="D35" s="521"/>
      <c r="E35" s="522"/>
      <c r="F35" s="521"/>
      <c r="G35" s="523"/>
      <c r="H35" s="521"/>
      <c r="I35" s="521"/>
      <c r="J35" s="521"/>
      <c r="K35" s="521"/>
      <c r="L35" s="521"/>
      <c r="M35" s="521"/>
      <c r="N35" s="521"/>
    </row>
    <row r="36" spans="2:14" ht="15">
      <c r="B36" s="521"/>
      <c r="C36" s="521"/>
      <c r="D36" s="521"/>
      <c r="E36" s="522"/>
      <c r="F36" s="521"/>
      <c r="G36" s="523"/>
      <c r="H36" s="521"/>
      <c r="I36" s="521"/>
      <c r="J36" s="521"/>
      <c r="K36" s="521"/>
      <c r="L36" s="521"/>
      <c r="M36" s="521"/>
      <c r="N36" s="521"/>
    </row>
    <row r="37" spans="2:14" ht="15">
      <c r="B37" s="521"/>
      <c r="C37" s="521"/>
      <c r="D37" s="521"/>
      <c r="E37" s="522"/>
      <c r="F37" s="521"/>
      <c r="G37" s="523"/>
      <c r="H37" s="521"/>
      <c r="I37" s="521"/>
      <c r="J37" s="521"/>
      <c r="K37" s="521"/>
      <c r="L37" s="521"/>
      <c r="M37" s="538"/>
      <c r="N37" s="521"/>
    </row>
    <row r="38" spans="2:14" ht="15">
      <c r="B38" s="521"/>
      <c r="C38" s="521"/>
      <c r="D38" s="521"/>
      <c r="E38" s="522"/>
      <c r="F38" s="521"/>
      <c r="G38" s="523"/>
      <c r="H38" s="521"/>
      <c r="I38" s="521"/>
      <c r="J38" s="521"/>
      <c r="K38" s="521"/>
      <c r="L38" s="521"/>
      <c r="M38" s="521"/>
      <c r="N38" s="521"/>
    </row>
    <row r="39" spans="2:14" ht="15">
      <c r="B39" s="521"/>
      <c r="C39" s="521"/>
      <c r="D39" s="521"/>
      <c r="E39" s="522"/>
      <c r="F39" s="521"/>
      <c r="G39" s="523"/>
      <c r="H39" s="521"/>
      <c r="I39" s="521"/>
      <c r="J39" s="521"/>
      <c r="K39" s="521"/>
      <c r="L39" s="521"/>
      <c r="M39" s="521"/>
      <c r="N39" s="521"/>
    </row>
    <row r="40" spans="2:14" ht="15">
      <c r="B40" s="521"/>
      <c r="C40" s="521"/>
      <c r="D40" s="521"/>
      <c r="E40" s="522"/>
      <c r="F40" s="521"/>
      <c r="G40" s="523"/>
      <c r="H40" s="521"/>
      <c r="I40" s="521"/>
      <c r="J40" s="521"/>
      <c r="K40" s="521"/>
      <c r="L40" s="521"/>
      <c r="M40" s="521"/>
      <c r="N40" s="521"/>
    </row>
    <row r="41" spans="2:14">
      <c r="D41" s="127"/>
      <c r="E41" s="126"/>
      <c r="G41" s="127"/>
    </row>
    <row r="42" spans="2:14">
      <c r="E42" s="126"/>
      <c r="G42" s="127"/>
    </row>
    <row r="43" spans="2:14">
      <c r="E43" s="126"/>
      <c r="G43" s="127"/>
    </row>
    <row r="44" spans="2:14">
      <c r="E44" s="126"/>
      <c r="G44" s="127"/>
    </row>
    <row r="45" spans="2:14">
      <c r="D45" s="127"/>
      <c r="E45" s="126"/>
      <c r="G45" s="127"/>
    </row>
    <row r="46" spans="2:14">
      <c r="D46" s="127"/>
      <c r="E46" s="126"/>
      <c r="G46" s="127"/>
    </row>
    <row r="47" spans="2:14">
      <c r="E47" s="126"/>
      <c r="G47" s="127"/>
    </row>
    <row r="48" spans="2:14">
      <c r="D48" s="127"/>
      <c r="E48" s="126"/>
      <c r="G48" s="127"/>
    </row>
    <row r="49" spans="4:7">
      <c r="E49" s="126"/>
      <c r="G49" s="127"/>
    </row>
    <row r="50" spans="4:7">
      <c r="D50" s="127"/>
      <c r="E50" s="126"/>
      <c r="G50" s="127"/>
    </row>
    <row r="51" spans="4:7">
      <c r="D51" s="127"/>
      <c r="E51" s="126"/>
      <c r="G51" s="127"/>
    </row>
    <row r="52" spans="4:7">
      <c r="E52" s="126"/>
      <c r="G52" s="127"/>
    </row>
    <row r="53" spans="4:7">
      <c r="D53" s="127"/>
      <c r="E53" s="126"/>
      <c r="G53" s="127"/>
    </row>
    <row r="54" spans="4:7">
      <c r="E54" s="126"/>
      <c r="G54" s="127"/>
    </row>
    <row r="55" spans="4:7">
      <c r="E55" s="126"/>
      <c r="G55" s="127"/>
    </row>
    <row r="56" spans="4:7">
      <c r="G56" s="127"/>
    </row>
  </sheetData>
  <sortState ref="B2:N21">
    <sortCondition ref="N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N56"/>
  <sheetViews>
    <sheetView workbookViewId="0">
      <selection activeCell="N1" sqref="N1"/>
    </sheetView>
  </sheetViews>
  <sheetFormatPr baseColWidth="10" defaultColWidth="11.42578125" defaultRowHeight="12.75"/>
  <cols>
    <col min="2" max="2" width="11.85546875" bestFit="1" customWidth="1"/>
    <col min="3" max="3" width="5" bestFit="1" customWidth="1"/>
    <col min="4" max="4" width="11.85546875" bestFit="1" customWidth="1"/>
    <col min="5" max="5" width="16.42578125" bestFit="1" customWidth="1"/>
    <col min="6" max="6" width="5.7109375" bestFit="1" customWidth="1"/>
    <col min="7" max="7" width="14.7109375" bestFit="1" customWidth="1"/>
    <col min="8" max="8" width="13" bestFit="1" customWidth="1"/>
    <col min="9" max="9" width="13.140625" bestFit="1" customWidth="1"/>
    <col min="10" max="10" width="13" bestFit="1" customWidth="1"/>
    <col min="11" max="11" width="10.140625" bestFit="1" customWidth="1"/>
    <col min="12" max="12" width="10.28515625" bestFit="1" customWidth="1"/>
    <col min="13" max="13" width="10.140625" bestFit="1" customWidth="1"/>
    <col min="14" max="14" width="8.7109375" bestFit="1" customWidth="1"/>
  </cols>
  <sheetData>
    <row r="1" spans="2:14" ht="15">
      <c r="B1" s="524" t="s">
        <v>102</v>
      </c>
      <c r="C1" s="524" t="s">
        <v>103</v>
      </c>
      <c r="D1" s="524" t="s">
        <v>104</v>
      </c>
      <c r="E1" s="524" t="s">
        <v>105</v>
      </c>
      <c r="F1" s="524" t="s">
        <v>106</v>
      </c>
      <c r="G1" s="524" t="s">
        <v>107</v>
      </c>
      <c r="H1" s="524" t="s">
        <v>108</v>
      </c>
      <c r="I1" s="524" t="s">
        <v>109</v>
      </c>
      <c r="J1" s="524" t="s">
        <v>110</v>
      </c>
      <c r="K1" s="524" t="s">
        <v>111</v>
      </c>
      <c r="L1" s="524" t="s">
        <v>112</v>
      </c>
      <c r="M1" s="524" t="s">
        <v>113</v>
      </c>
      <c r="N1" s="524" t="s">
        <v>8</v>
      </c>
    </row>
    <row r="2" spans="2:14" ht="15">
      <c r="B2" s="524" t="s">
        <v>55</v>
      </c>
      <c r="C2" s="524" t="s">
        <v>115</v>
      </c>
      <c r="D2" s="524">
        <v>2</v>
      </c>
      <c r="E2" s="525">
        <v>175000</v>
      </c>
      <c r="F2" s="524" t="s">
        <v>116</v>
      </c>
      <c r="G2" s="526">
        <v>4686781201</v>
      </c>
      <c r="H2" s="524">
        <v>101.08</v>
      </c>
      <c r="I2" s="524">
        <v>101.07</v>
      </c>
      <c r="J2" s="524">
        <v>101.07</v>
      </c>
      <c r="K2" s="554">
        <v>1.42</v>
      </c>
      <c r="L2" s="554">
        <v>1.41</v>
      </c>
      <c r="M2" s="554">
        <v>1.41</v>
      </c>
      <c r="N2" s="554">
        <v>0.68</v>
      </c>
    </row>
    <row r="3" spans="2:14" ht="15">
      <c r="B3" s="524" t="s">
        <v>54</v>
      </c>
      <c r="C3" s="524" t="s">
        <v>115</v>
      </c>
      <c r="D3" s="524">
        <v>2</v>
      </c>
      <c r="E3" s="525">
        <v>87000</v>
      </c>
      <c r="F3" s="524" t="s">
        <v>116</v>
      </c>
      <c r="G3" s="526">
        <v>2330120524</v>
      </c>
      <c r="H3" s="524">
        <v>101.12</v>
      </c>
      <c r="I3" s="524">
        <v>101.05</v>
      </c>
      <c r="J3" s="524">
        <v>101.08</v>
      </c>
      <c r="K3" s="554">
        <v>1.45</v>
      </c>
      <c r="L3" s="554">
        <v>1.35</v>
      </c>
      <c r="M3" s="554">
        <v>1.4</v>
      </c>
      <c r="N3" s="554">
        <v>0.68</v>
      </c>
    </row>
    <row r="4" spans="2:14" ht="15">
      <c r="B4" s="524" t="s">
        <v>58</v>
      </c>
      <c r="C4" s="524" t="s">
        <v>115</v>
      </c>
      <c r="D4" s="524">
        <v>15</v>
      </c>
      <c r="E4" s="525">
        <v>510000</v>
      </c>
      <c r="F4" s="524" t="s">
        <v>116</v>
      </c>
      <c r="G4" s="526">
        <v>13793692926</v>
      </c>
      <c r="H4" s="524">
        <v>102.59</v>
      </c>
      <c r="I4" s="524">
        <v>102.56</v>
      </c>
      <c r="J4" s="524">
        <v>102.58</v>
      </c>
      <c r="K4" s="554">
        <v>1.0900000000000001</v>
      </c>
      <c r="L4" s="554">
        <v>1.07</v>
      </c>
      <c r="M4" s="554">
        <v>1.07</v>
      </c>
      <c r="N4" s="554">
        <v>1.33</v>
      </c>
    </row>
    <row r="5" spans="2:14" ht="15">
      <c r="B5" s="524" t="s">
        <v>60</v>
      </c>
      <c r="C5" s="524" t="s">
        <v>115</v>
      </c>
      <c r="D5" s="524">
        <v>1</v>
      </c>
      <c r="E5" s="525">
        <v>500</v>
      </c>
      <c r="F5" s="524" t="s">
        <v>116</v>
      </c>
      <c r="G5" s="526">
        <v>13652448</v>
      </c>
      <c r="H5" s="524">
        <v>103.31</v>
      </c>
      <c r="I5" s="524">
        <v>103.31</v>
      </c>
      <c r="J5" s="524">
        <v>103.31</v>
      </c>
      <c r="K5" s="554">
        <v>1.1000000000000001</v>
      </c>
      <c r="L5" s="554">
        <v>1.1000000000000001</v>
      </c>
      <c r="M5" s="554">
        <v>1.1000000000000001</v>
      </c>
      <c r="N5" s="554">
        <v>1.73</v>
      </c>
    </row>
    <row r="6" spans="2:14" ht="15">
      <c r="B6" s="524" t="s">
        <v>581</v>
      </c>
      <c r="C6" s="524" t="s">
        <v>115</v>
      </c>
      <c r="D6" s="524">
        <v>1</v>
      </c>
      <c r="E6" s="525">
        <v>1000000000</v>
      </c>
      <c r="F6" s="524" t="s">
        <v>114</v>
      </c>
      <c r="G6" s="526">
        <v>1022984371</v>
      </c>
      <c r="H6" s="524">
        <v>101.02</v>
      </c>
      <c r="I6" s="524">
        <v>101.02</v>
      </c>
      <c r="J6" s="524">
        <v>101.02</v>
      </c>
      <c r="K6" s="554">
        <v>3.53</v>
      </c>
      <c r="L6" s="554">
        <v>3.53</v>
      </c>
      <c r="M6" s="554">
        <v>3.53</v>
      </c>
      <c r="N6" s="554">
        <v>2.09</v>
      </c>
    </row>
    <row r="7" spans="2:14" ht="15">
      <c r="B7" s="524" t="s">
        <v>65</v>
      </c>
      <c r="C7" s="524" t="s">
        <v>115</v>
      </c>
      <c r="D7" s="524">
        <v>7</v>
      </c>
      <c r="E7" s="525">
        <v>300000</v>
      </c>
      <c r="F7" s="524" t="s">
        <v>116</v>
      </c>
      <c r="G7" s="526">
        <v>8353912905</v>
      </c>
      <c r="H7" s="524">
        <v>105.08</v>
      </c>
      <c r="I7" s="524">
        <v>105.08</v>
      </c>
      <c r="J7" s="524">
        <v>105.08</v>
      </c>
      <c r="K7" s="554">
        <v>1.06</v>
      </c>
      <c r="L7" s="554">
        <v>1.06</v>
      </c>
      <c r="M7" s="554">
        <v>1.06</v>
      </c>
      <c r="N7" s="554">
        <v>2.58</v>
      </c>
    </row>
    <row r="8" spans="2:14" ht="15">
      <c r="B8" s="524" t="s">
        <v>66</v>
      </c>
      <c r="C8" s="524" t="s">
        <v>115</v>
      </c>
      <c r="D8" s="524">
        <v>15</v>
      </c>
      <c r="E8" s="525">
        <v>100000</v>
      </c>
      <c r="F8" s="524" t="s">
        <v>116</v>
      </c>
      <c r="G8" s="526">
        <v>2809944580</v>
      </c>
      <c r="H8" s="524">
        <v>106.04</v>
      </c>
      <c r="I8" s="524">
        <v>106.04</v>
      </c>
      <c r="J8" s="524">
        <v>106.04</v>
      </c>
      <c r="K8" s="554">
        <v>1.05</v>
      </c>
      <c r="L8" s="554">
        <v>1.05</v>
      </c>
      <c r="M8" s="554">
        <v>1.05</v>
      </c>
      <c r="N8" s="554">
        <v>3.04</v>
      </c>
    </row>
    <row r="9" spans="2:14" ht="15">
      <c r="B9" s="524" t="s">
        <v>389</v>
      </c>
      <c r="C9" s="524" t="s">
        <v>115</v>
      </c>
      <c r="D9" s="524">
        <v>4</v>
      </c>
      <c r="E9" s="525">
        <v>540000000</v>
      </c>
      <c r="F9" s="524" t="s">
        <v>114</v>
      </c>
      <c r="G9" s="526">
        <v>556457801</v>
      </c>
      <c r="H9" s="524">
        <v>102.78</v>
      </c>
      <c r="I9" s="524">
        <v>102.72</v>
      </c>
      <c r="J9" s="524">
        <v>102.75</v>
      </c>
      <c r="K9" s="554">
        <v>3.68</v>
      </c>
      <c r="L9" s="554">
        <v>3.66</v>
      </c>
      <c r="M9" s="554">
        <v>3.67</v>
      </c>
      <c r="N9" s="554">
        <v>3.22</v>
      </c>
    </row>
    <row r="10" spans="2:14" ht="15">
      <c r="B10" s="524" t="s">
        <v>448</v>
      </c>
      <c r="C10" s="524" t="s">
        <v>115</v>
      </c>
      <c r="D10" s="524">
        <v>66</v>
      </c>
      <c r="E10" s="525">
        <v>11465000000</v>
      </c>
      <c r="F10" s="524" t="s">
        <v>114</v>
      </c>
      <c r="G10" s="526">
        <v>11988039902</v>
      </c>
      <c r="H10" s="524">
        <v>102.77</v>
      </c>
      <c r="I10" s="524">
        <v>102.7</v>
      </c>
      <c r="J10" s="524">
        <v>102.72</v>
      </c>
      <c r="K10" s="554">
        <v>3.71</v>
      </c>
      <c r="L10" s="554">
        <v>3.69</v>
      </c>
      <c r="M10" s="554">
        <v>3.7</v>
      </c>
      <c r="N10" s="554">
        <v>3.31</v>
      </c>
    </row>
    <row r="11" spans="2:14" ht="15">
      <c r="B11" s="524" t="s">
        <v>14</v>
      </c>
      <c r="C11" s="524" t="s">
        <v>115</v>
      </c>
      <c r="D11" s="524">
        <v>1</v>
      </c>
      <c r="E11" s="525">
        <v>35000000</v>
      </c>
      <c r="F11" s="524" t="s">
        <v>114</v>
      </c>
      <c r="G11" s="526">
        <v>38479767</v>
      </c>
      <c r="H11" s="524">
        <v>108.44</v>
      </c>
      <c r="I11" s="524">
        <v>108.44</v>
      </c>
      <c r="J11" s="524">
        <v>108.44</v>
      </c>
      <c r="K11" s="554">
        <v>3.84</v>
      </c>
      <c r="L11" s="554">
        <v>3.84</v>
      </c>
      <c r="M11" s="554">
        <v>3.84</v>
      </c>
      <c r="N11" s="554">
        <v>3.81</v>
      </c>
    </row>
    <row r="12" spans="2:14" ht="15">
      <c r="B12" s="524" t="s">
        <v>561</v>
      </c>
      <c r="C12" s="524" t="s">
        <v>115</v>
      </c>
      <c r="D12" s="524">
        <v>29</v>
      </c>
      <c r="E12" s="525">
        <v>10745000000</v>
      </c>
      <c r="F12" s="524" t="s">
        <v>114</v>
      </c>
      <c r="G12" s="526">
        <v>11109815055</v>
      </c>
      <c r="H12" s="524">
        <v>102.76</v>
      </c>
      <c r="I12" s="524">
        <v>102.72</v>
      </c>
      <c r="J12" s="524">
        <v>102.72</v>
      </c>
      <c r="K12" s="554">
        <v>3.85</v>
      </c>
      <c r="L12" s="554">
        <v>3.84</v>
      </c>
      <c r="M12" s="554">
        <v>3.84</v>
      </c>
      <c r="N12" s="554">
        <v>3.98</v>
      </c>
    </row>
    <row r="13" spans="2:14" ht="15">
      <c r="B13" s="524" t="s">
        <v>68</v>
      </c>
      <c r="C13" s="524" t="s">
        <v>115</v>
      </c>
      <c r="D13" s="524">
        <v>3</v>
      </c>
      <c r="E13" s="525">
        <v>45000</v>
      </c>
      <c r="F13" s="524" t="s">
        <v>116</v>
      </c>
      <c r="G13" s="526">
        <v>1286482040</v>
      </c>
      <c r="H13" s="524">
        <v>108.2</v>
      </c>
      <c r="I13" s="524">
        <v>107.9</v>
      </c>
      <c r="J13" s="524">
        <v>108.17</v>
      </c>
      <c r="K13" s="554">
        <v>1.0900000000000001</v>
      </c>
      <c r="L13" s="554">
        <v>1.02</v>
      </c>
      <c r="M13" s="554">
        <v>1.02</v>
      </c>
      <c r="N13" s="554">
        <v>4.03</v>
      </c>
    </row>
    <row r="14" spans="2:14" ht="15">
      <c r="B14" s="524" t="s">
        <v>470</v>
      </c>
      <c r="C14" s="524" t="s">
        <v>115</v>
      </c>
      <c r="D14" s="524">
        <v>21</v>
      </c>
      <c r="E14" s="525">
        <v>475000</v>
      </c>
      <c r="F14" s="524" t="s">
        <v>116</v>
      </c>
      <c r="G14" s="526">
        <v>12727400495</v>
      </c>
      <c r="H14" s="524">
        <v>102.01</v>
      </c>
      <c r="I14" s="524">
        <v>101.79</v>
      </c>
      <c r="J14" s="524">
        <v>101.85</v>
      </c>
      <c r="K14" s="554">
        <v>1.08</v>
      </c>
      <c r="L14" s="554">
        <v>1.03</v>
      </c>
      <c r="M14" s="554">
        <v>1.06</v>
      </c>
      <c r="N14" s="554">
        <v>4.22</v>
      </c>
    </row>
    <row r="15" spans="2:14" ht="15">
      <c r="B15" s="524" t="s">
        <v>89</v>
      </c>
      <c r="C15" s="524" t="s">
        <v>115</v>
      </c>
      <c r="D15" s="524">
        <v>1</v>
      </c>
      <c r="E15" s="525">
        <v>50000000</v>
      </c>
      <c r="F15" s="524" t="s">
        <v>114</v>
      </c>
      <c r="G15" s="526">
        <v>55685669</v>
      </c>
      <c r="H15" s="524">
        <v>110.42</v>
      </c>
      <c r="I15" s="524">
        <v>110.42</v>
      </c>
      <c r="J15" s="524">
        <v>110.42</v>
      </c>
      <c r="K15" s="554">
        <v>3.85</v>
      </c>
      <c r="L15" s="554">
        <v>3.85</v>
      </c>
      <c r="M15" s="554">
        <v>3.85</v>
      </c>
      <c r="N15" s="554">
        <v>4.66</v>
      </c>
    </row>
    <row r="16" spans="2:14" ht="15">
      <c r="B16" s="524" t="s">
        <v>178</v>
      </c>
      <c r="C16" s="524" t="s">
        <v>115</v>
      </c>
      <c r="D16" s="524">
        <v>1</v>
      </c>
      <c r="E16" s="525">
        <v>60000</v>
      </c>
      <c r="F16" s="524" t="s">
        <v>116</v>
      </c>
      <c r="G16" s="526">
        <v>1969564334</v>
      </c>
      <c r="H16" s="524">
        <v>123.78</v>
      </c>
      <c r="I16" s="524">
        <v>123.78</v>
      </c>
      <c r="J16" s="524">
        <v>123.78</v>
      </c>
      <c r="K16" s="554">
        <v>1.25</v>
      </c>
      <c r="L16" s="554">
        <v>1.25</v>
      </c>
      <c r="M16" s="554">
        <v>1.25</v>
      </c>
      <c r="N16" s="554">
        <v>6.73</v>
      </c>
    </row>
    <row r="17" spans="2:14" ht="15">
      <c r="B17" s="524" t="s">
        <v>397</v>
      </c>
      <c r="C17" s="524" t="s">
        <v>115</v>
      </c>
      <c r="D17" s="524">
        <v>3</v>
      </c>
      <c r="E17" s="525">
        <v>2500000000</v>
      </c>
      <c r="F17" s="524" t="s">
        <v>114</v>
      </c>
      <c r="G17" s="526">
        <v>2584130200</v>
      </c>
      <c r="H17" s="524">
        <v>102.69</v>
      </c>
      <c r="I17" s="524">
        <v>102.69</v>
      </c>
      <c r="J17" s="524">
        <v>102.69</v>
      </c>
      <c r="K17" s="554">
        <v>4.1900000000000004</v>
      </c>
      <c r="L17" s="554">
        <v>4.1900000000000004</v>
      </c>
      <c r="M17" s="554">
        <v>4.1900000000000004</v>
      </c>
      <c r="N17" s="554">
        <v>7.71</v>
      </c>
    </row>
    <row r="18" spans="2:14" ht="15">
      <c r="B18" s="524" t="s">
        <v>444</v>
      </c>
      <c r="C18" s="524" t="s">
        <v>115</v>
      </c>
      <c r="D18" s="524">
        <v>22</v>
      </c>
      <c r="E18" s="525">
        <v>267000</v>
      </c>
      <c r="F18" s="524" t="s">
        <v>116</v>
      </c>
      <c r="G18" s="526">
        <v>7168463269</v>
      </c>
      <c r="H18" s="524">
        <v>102.05</v>
      </c>
      <c r="I18" s="524">
        <v>102.05</v>
      </c>
      <c r="J18" s="524">
        <v>102.05</v>
      </c>
      <c r="K18" s="554">
        <v>1.27</v>
      </c>
      <c r="L18" s="554">
        <v>1.27</v>
      </c>
      <c r="M18" s="554">
        <v>1.27</v>
      </c>
      <c r="N18" s="554">
        <v>8.75</v>
      </c>
    </row>
    <row r="19" spans="2:14" ht="15">
      <c r="B19" s="524" t="s">
        <v>449</v>
      </c>
      <c r="C19" s="524" t="s">
        <v>115</v>
      </c>
      <c r="D19" s="524">
        <v>2</v>
      </c>
      <c r="E19" s="525">
        <v>375000000</v>
      </c>
      <c r="F19" s="524" t="s">
        <v>114</v>
      </c>
      <c r="G19" s="526">
        <v>405323791</v>
      </c>
      <c r="H19" s="524">
        <v>107.41</v>
      </c>
      <c r="I19" s="524">
        <v>107.28</v>
      </c>
      <c r="J19" s="524">
        <v>107.31</v>
      </c>
      <c r="K19" s="554">
        <v>4.46</v>
      </c>
      <c r="L19" s="554">
        <v>4.45</v>
      </c>
      <c r="M19" s="554">
        <v>4.45</v>
      </c>
      <c r="N19" s="554">
        <v>12.38</v>
      </c>
    </row>
    <row r="20" spans="2:14" ht="15">
      <c r="B20" s="524" t="s">
        <v>84</v>
      </c>
      <c r="C20" s="524" t="s">
        <v>115</v>
      </c>
      <c r="D20" s="524">
        <v>1</v>
      </c>
      <c r="E20" s="525">
        <v>2000</v>
      </c>
      <c r="F20" s="524" t="s">
        <v>116</v>
      </c>
      <c r="G20" s="526">
        <v>68812589</v>
      </c>
      <c r="H20" s="524">
        <v>129.85</v>
      </c>
      <c r="I20" s="524">
        <v>129.85</v>
      </c>
      <c r="J20" s="524">
        <v>129.85</v>
      </c>
      <c r="K20" s="554">
        <v>1.63</v>
      </c>
      <c r="L20" s="554">
        <v>1.63</v>
      </c>
      <c r="M20" s="554">
        <v>1.63</v>
      </c>
      <c r="N20" s="554">
        <v>19.82</v>
      </c>
    </row>
    <row r="21" spans="2:14" ht="15">
      <c r="B21" s="521"/>
      <c r="C21" s="521"/>
      <c r="D21" s="521"/>
      <c r="E21" s="522"/>
      <c r="F21" s="521"/>
      <c r="G21" s="523"/>
      <c r="H21" s="521"/>
      <c r="I21" s="521"/>
      <c r="J21" s="521"/>
      <c r="K21" s="555"/>
      <c r="L21" s="555"/>
      <c r="M21" s="555"/>
      <c r="N21" s="555"/>
    </row>
    <row r="22" spans="2:14" ht="15">
      <c r="B22" s="521"/>
      <c r="C22" s="521"/>
      <c r="D22" s="521"/>
      <c r="E22" s="522"/>
      <c r="F22" s="521"/>
      <c r="G22" s="523"/>
      <c r="H22" s="521"/>
      <c r="I22" s="521"/>
      <c r="J22" s="521"/>
      <c r="K22" s="555"/>
      <c r="L22" s="555"/>
      <c r="M22" s="555"/>
      <c r="N22" s="555"/>
    </row>
    <row r="23" spans="2:14" ht="15">
      <c r="B23" s="521"/>
      <c r="C23" s="521"/>
      <c r="D23" s="521"/>
      <c r="E23" s="522"/>
      <c r="F23" s="521"/>
      <c r="G23" s="523"/>
      <c r="H23" s="521"/>
      <c r="I23" s="521"/>
      <c r="J23" s="521"/>
      <c r="K23" s="555"/>
      <c r="L23" s="555"/>
      <c r="M23" s="555"/>
      <c r="N23" s="555"/>
    </row>
    <row r="24" spans="2:14" ht="15">
      <c r="B24" s="521"/>
      <c r="C24" s="521"/>
      <c r="D24" s="521"/>
      <c r="E24" s="522"/>
      <c r="F24" s="521"/>
      <c r="G24" s="523"/>
      <c r="H24" s="521"/>
      <c r="I24" s="521"/>
      <c r="J24" s="521"/>
      <c r="K24" s="555"/>
      <c r="L24" s="555"/>
      <c r="M24" s="555"/>
      <c r="N24" s="555"/>
    </row>
    <row r="25" spans="2:14" ht="15">
      <c r="B25" s="521"/>
      <c r="C25" s="521"/>
      <c r="D25" s="521"/>
      <c r="E25" s="522"/>
      <c r="F25" s="521"/>
      <c r="G25" s="523"/>
      <c r="H25" s="521"/>
      <c r="I25" s="521"/>
      <c r="J25" s="521"/>
      <c r="K25" s="555"/>
      <c r="L25" s="555"/>
      <c r="M25" s="555"/>
      <c r="N25" s="555"/>
    </row>
    <row r="26" spans="2:14" ht="15">
      <c r="B26" s="521"/>
      <c r="C26" s="521"/>
      <c r="D26" s="521"/>
      <c r="E26" s="522"/>
      <c r="F26" s="521"/>
      <c r="G26" s="523"/>
      <c r="H26" s="521"/>
      <c r="I26" s="521"/>
      <c r="J26" s="521"/>
      <c r="K26" s="555"/>
      <c r="L26" s="555"/>
      <c r="M26" s="555"/>
      <c r="N26" s="555"/>
    </row>
    <row r="27" spans="2:14" ht="15">
      <c r="B27" s="521"/>
      <c r="C27" s="521"/>
      <c r="D27" s="521"/>
      <c r="E27" s="522"/>
      <c r="F27" s="521"/>
      <c r="G27" s="523"/>
      <c r="H27" s="521"/>
      <c r="I27" s="521"/>
      <c r="J27" s="521"/>
      <c r="K27" s="555"/>
      <c r="L27" s="555"/>
      <c r="M27" s="555"/>
      <c r="N27" s="555"/>
    </row>
    <row r="28" spans="2:14" ht="15">
      <c r="B28" s="521"/>
      <c r="C28" s="521"/>
      <c r="D28" s="521"/>
      <c r="E28" s="522"/>
      <c r="F28" s="521"/>
      <c r="G28" s="523"/>
      <c r="H28" s="521"/>
      <c r="I28" s="521"/>
      <c r="J28" s="521"/>
      <c r="K28" s="555"/>
      <c r="L28" s="555"/>
      <c r="M28" s="555"/>
      <c r="N28" s="555"/>
    </row>
    <row r="29" spans="2:14" ht="15">
      <c r="B29" s="521"/>
      <c r="C29" s="521"/>
      <c r="D29" s="521"/>
      <c r="E29" s="522"/>
      <c r="F29" s="521"/>
      <c r="G29" s="523"/>
      <c r="H29" s="521"/>
      <c r="I29" s="521"/>
      <c r="J29" s="521"/>
      <c r="K29" s="555"/>
      <c r="L29" s="555"/>
      <c r="M29" s="555"/>
      <c r="N29" s="555"/>
    </row>
    <row r="30" spans="2:14" ht="15">
      <c r="B30" s="521"/>
      <c r="C30" s="521"/>
      <c r="D30" s="521"/>
      <c r="E30" s="522"/>
      <c r="F30" s="521"/>
      <c r="G30" s="523"/>
      <c r="H30" s="521"/>
      <c r="I30" s="521"/>
      <c r="J30" s="521"/>
      <c r="K30" s="555"/>
      <c r="L30" s="555"/>
      <c r="M30" s="555"/>
      <c r="N30" s="555"/>
    </row>
    <row r="31" spans="2:14" ht="15">
      <c r="B31" s="521"/>
      <c r="C31" s="521"/>
      <c r="D31" s="521"/>
      <c r="E31" s="522"/>
      <c r="F31" s="521"/>
      <c r="G31" s="523"/>
      <c r="H31" s="521"/>
      <c r="I31" s="521"/>
      <c r="J31" s="521"/>
      <c r="K31" s="535"/>
      <c r="L31" s="535"/>
      <c r="M31" s="535"/>
      <c r="N31" s="521"/>
    </row>
    <row r="32" spans="2:14" ht="15">
      <c r="B32" s="521"/>
      <c r="C32" s="521"/>
      <c r="D32" s="521"/>
      <c r="E32" s="522"/>
      <c r="F32" s="521"/>
      <c r="G32" s="523"/>
      <c r="H32" s="521"/>
      <c r="I32" s="521"/>
      <c r="J32" s="521"/>
      <c r="K32" s="535"/>
      <c r="L32" s="535"/>
      <c r="M32" s="535"/>
      <c r="N32" s="521"/>
    </row>
    <row r="33" spans="2:14" ht="15">
      <c r="B33" s="521"/>
      <c r="C33" s="521"/>
      <c r="D33" s="521"/>
      <c r="E33" s="522"/>
      <c r="F33" s="521"/>
      <c r="G33" s="523"/>
      <c r="H33" s="521"/>
      <c r="I33" s="521"/>
      <c r="J33" s="521"/>
      <c r="K33" s="535"/>
      <c r="L33" s="535"/>
      <c r="M33" s="535"/>
      <c r="N33" s="521"/>
    </row>
    <row r="34" spans="2:14" ht="15">
      <c r="B34" s="521"/>
      <c r="C34" s="521"/>
      <c r="D34" s="521"/>
      <c r="E34" s="522"/>
      <c r="F34" s="521"/>
      <c r="G34" s="523"/>
      <c r="H34" s="521"/>
      <c r="I34" s="521"/>
      <c r="J34" s="521"/>
      <c r="K34" s="535"/>
      <c r="L34" s="535"/>
      <c r="M34" s="535"/>
      <c r="N34" s="521"/>
    </row>
    <row r="35" spans="2:14" ht="15">
      <c r="B35" s="521"/>
      <c r="C35" s="521"/>
      <c r="D35" s="521"/>
      <c r="E35" s="522"/>
      <c r="F35" s="521"/>
      <c r="G35" s="523"/>
      <c r="H35" s="521"/>
      <c r="I35" s="521"/>
      <c r="J35" s="521"/>
      <c r="K35" s="521"/>
      <c r="L35" s="521"/>
      <c r="M35" s="521"/>
      <c r="N35" s="521"/>
    </row>
    <row r="36" spans="2:14" ht="15">
      <c r="B36" s="521"/>
      <c r="C36" s="521"/>
      <c r="D36" s="521"/>
      <c r="E36" s="522"/>
      <c r="F36" s="521"/>
      <c r="G36" s="523"/>
      <c r="H36" s="521"/>
      <c r="I36" s="521"/>
      <c r="J36" s="521"/>
      <c r="K36" s="521"/>
      <c r="L36" s="521"/>
      <c r="M36" s="521"/>
      <c r="N36" s="521"/>
    </row>
    <row r="37" spans="2:14" ht="15">
      <c r="B37" s="521"/>
      <c r="C37" s="521"/>
      <c r="D37" s="521"/>
      <c r="E37" s="522"/>
      <c r="F37" s="521"/>
      <c r="G37" s="523"/>
      <c r="H37" s="521"/>
      <c r="I37" s="521"/>
      <c r="J37" s="521"/>
      <c r="K37" s="521"/>
      <c r="L37" s="521"/>
      <c r="M37" s="538"/>
      <c r="N37" s="521"/>
    </row>
    <row r="38" spans="2:14" ht="15">
      <c r="B38" s="521"/>
      <c r="C38" s="521"/>
      <c r="D38" s="521"/>
      <c r="E38" s="522"/>
      <c r="F38" s="521"/>
      <c r="G38" s="523"/>
      <c r="H38" s="521"/>
      <c r="I38" s="521"/>
      <c r="J38" s="521"/>
      <c r="K38" s="521"/>
      <c r="L38" s="521"/>
      <c r="M38" s="521"/>
      <c r="N38" s="521"/>
    </row>
    <row r="39" spans="2:14" ht="15">
      <c r="B39" s="521"/>
      <c r="C39" s="521"/>
      <c r="D39" s="521"/>
      <c r="E39" s="522"/>
      <c r="F39" s="521"/>
      <c r="G39" s="523"/>
      <c r="H39" s="521"/>
      <c r="I39" s="521"/>
      <c r="J39" s="521"/>
      <c r="K39" s="521"/>
      <c r="L39" s="521"/>
      <c r="M39" s="521"/>
      <c r="N39" s="521"/>
    </row>
    <row r="40" spans="2:14" ht="15">
      <c r="B40" s="521"/>
      <c r="C40" s="521"/>
      <c r="D40" s="521"/>
      <c r="E40" s="522"/>
      <c r="F40" s="521"/>
      <c r="G40" s="523"/>
      <c r="H40" s="521"/>
      <c r="I40" s="521"/>
      <c r="J40" s="521"/>
      <c r="K40" s="521"/>
      <c r="L40" s="521"/>
      <c r="M40" s="521"/>
      <c r="N40" s="521"/>
    </row>
    <row r="41" spans="2:14">
      <c r="D41" s="127"/>
      <c r="E41" s="126"/>
      <c r="G41" s="127"/>
    </row>
    <row r="42" spans="2:14">
      <c r="E42" s="126"/>
      <c r="G42" s="127"/>
    </row>
    <row r="43" spans="2:14">
      <c r="E43" s="126"/>
      <c r="G43" s="127"/>
    </row>
    <row r="44" spans="2:14">
      <c r="E44" s="126"/>
      <c r="G44" s="127"/>
    </row>
    <row r="45" spans="2:14">
      <c r="D45" s="127"/>
      <c r="E45" s="126"/>
      <c r="G45" s="127"/>
    </row>
    <row r="46" spans="2:14">
      <c r="D46" s="127"/>
      <c r="E46" s="126"/>
      <c r="G46" s="127"/>
    </row>
    <row r="47" spans="2:14">
      <c r="E47" s="126"/>
      <c r="G47" s="127"/>
    </row>
    <row r="48" spans="2:14">
      <c r="D48" s="127"/>
      <c r="E48" s="126"/>
      <c r="G48" s="127"/>
    </row>
    <row r="49" spans="4:7">
      <c r="E49" s="126"/>
      <c r="G49" s="127"/>
    </row>
    <row r="50" spans="4:7">
      <c r="D50" s="127"/>
      <c r="E50" s="126"/>
      <c r="G50" s="127"/>
    </row>
    <row r="51" spans="4:7">
      <c r="D51" s="127"/>
      <c r="E51" s="126"/>
      <c r="G51" s="127"/>
    </row>
    <row r="52" spans="4:7">
      <c r="E52" s="126"/>
      <c r="G52" s="127"/>
    </row>
    <row r="53" spans="4:7">
      <c r="D53" s="127"/>
      <c r="E53" s="126"/>
      <c r="G53" s="127"/>
    </row>
    <row r="54" spans="4:7">
      <c r="E54" s="126"/>
      <c r="G54" s="127"/>
    </row>
    <row r="55" spans="4:7">
      <c r="E55" s="126"/>
      <c r="G55" s="127"/>
    </row>
    <row r="56" spans="4:7">
      <c r="G56" s="127"/>
    </row>
  </sheetData>
  <sortState ref="B2:N20">
    <sortCondition ref="N1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pageSetUpPr fitToPage="1"/>
  </sheetPr>
  <dimension ref="A3:AL107"/>
  <sheetViews>
    <sheetView showGridLines="0" zoomScale="85" zoomScaleNormal="85" workbookViewId="0">
      <selection activeCell="T8" sqref="T8"/>
    </sheetView>
  </sheetViews>
  <sheetFormatPr baseColWidth="10" defaultColWidth="11.42578125" defaultRowHeight="12"/>
  <cols>
    <col min="1" max="1" width="1.85546875" style="184" customWidth="1"/>
    <col min="2" max="2" width="10.140625" style="184" bestFit="1" customWidth="1"/>
    <col min="3" max="3" width="11.42578125" style="184"/>
    <col min="4" max="4" width="9.28515625" style="184" bestFit="1" customWidth="1"/>
    <col min="5" max="5" width="8.7109375" style="184" customWidth="1"/>
    <col min="6" max="6" width="9.28515625" style="184" bestFit="1" customWidth="1"/>
    <col min="7" max="7" width="8.7109375" style="184" customWidth="1"/>
    <col min="8" max="8" width="9.28515625" style="184" bestFit="1" customWidth="1"/>
    <col min="9" max="9" width="8.7109375" style="184" customWidth="1"/>
    <col min="10" max="10" width="7.140625" style="184" bestFit="1" customWidth="1"/>
    <col min="11" max="11" width="14.42578125" style="184" customWidth="1"/>
    <col min="12" max="12" width="10.85546875" style="184" bestFit="1" customWidth="1"/>
    <col min="13" max="13" width="11" style="184" bestFit="1" customWidth="1"/>
    <col min="14" max="14" width="5.85546875" style="184" customWidth="1"/>
    <col min="15" max="15" width="12.5703125" style="184" customWidth="1"/>
    <col min="16" max="16" width="11" style="184" bestFit="1" customWidth="1"/>
    <col min="17" max="17" width="9.5703125" style="184" bestFit="1" customWidth="1"/>
    <col min="18" max="18" width="7.140625" style="184" customWidth="1"/>
    <col min="19" max="19" width="8.85546875" style="184" bestFit="1" customWidth="1"/>
    <col min="20" max="20" width="1.85546875" style="184" customWidth="1"/>
    <col min="21" max="29" width="11.42578125" style="184"/>
    <col min="30" max="30" width="13.85546875" style="184" bestFit="1" customWidth="1"/>
    <col min="31" max="31" width="17.85546875" style="184" bestFit="1" customWidth="1"/>
    <col min="32" max="32" width="19" style="184" bestFit="1" customWidth="1"/>
    <col min="33" max="33" width="18.140625" style="184" bestFit="1" customWidth="1"/>
    <col min="34" max="34" width="15" style="184" bestFit="1" customWidth="1"/>
    <col min="35" max="35" width="15.140625" style="184" bestFit="1" customWidth="1"/>
    <col min="36" max="36" width="16.28515625" style="184" bestFit="1" customWidth="1"/>
    <col min="37" max="37" width="15.42578125" style="184" bestFit="1" customWidth="1"/>
    <col min="38" max="16384" width="11.42578125" style="184"/>
  </cols>
  <sheetData>
    <row r="3" spans="1:27" ht="26.25">
      <c r="B3" s="573" t="s">
        <v>171</v>
      </c>
      <c r="C3" s="573"/>
      <c r="D3" s="573"/>
      <c r="E3" s="573"/>
      <c r="F3" s="573"/>
      <c r="G3" s="573"/>
      <c r="H3" s="573"/>
      <c r="I3" s="573"/>
      <c r="J3" s="573"/>
      <c r="K3" s="573"/>
      <c r="L3" s="573"/>
      <c r="M3" s="573"/>
      <c r="N3" s="573"/>
      <c r="O3" s="573"/>
      <c r="P3" s="573"/>
      <c r="Q3" s="573"/>
      <c r="R3" s="573"/>
      <c r="S3" s="573"/>
    </row>
    <row r="4" spans="1:27" ht="12.75">
      <c r="A4" s="186"/>
      <c r="B4" s="576">
        <f ca="1">fechaHoy</f>
        <v>42670</v>
      </c>
      <c r="C4" s="576"/>
      <c r="D4" s="576"/>
      <c r="E4" s="576"/>
      <c r="F4" s="576"/>
      <c r="G4" s="576"/>
      <c r="H4" s="576"/>
      <c r="I4" s="576"/>
      <c r="J4" s="576"/>
      <c r="K4" s="576"/>
      <c r="L4" s="576"/>
      <c r="M4" s="576"/>
      <c r="N4" s="576"/>
      <c r="O4" s="576"/>
      <c r="P4" s="576"/>
      <c r="Q4" s="576"/>
      <c r="R4" s="576"/>
      <c r="S4" s="576"/>
    </row>
    <row r="5" spans="1:27" ht="13.5" thickBot="1">
      <c r="A5" s="185"/>
      <c r="B5" s="572" t="str">
        <f>HPR!U16</f>
        <v>Dove</v>
      </c>
      <c r="C5" s="572"/>
      <c r="D5" s="572" t="str">
        <f>HPR!X16</f>
        <v>Base</v>
      </c>
      <c r="E5" s="572"/>
      <c r="F5" s="572" t="str">
        <f>HPR!AA16</f>
        <v>Hawk</v>
      </c>
      <c r="G5" s="572"/>
      <c r="H5" s="572" t="s">
        <v>145</v>
      </c>
      <c r="I5" s="572"/>
      <c r="J5" s="185"/>
      <c r="K5" s="572" t="s">
        <v>33</v>
      </c>
      <c r="L5" s="572"/>
      <c r="M5" s="572"/>
      <c r="N5" s="572"/>
      <c r="O5" s="572"/>
      <c r="P5" s="572"/>
      <c r="Q5" s="572"/>
      <c r="R5" s="572"/>
      <c r="S5" s="572"/>
    </row>
    <row r="6" spans="1:27">
      <c r="A6" s="185"/>
      <c r="B6" s="574">
        <f>HPR!U17</f>
        <v>0.4</v>
      </c>
      <c r="C6" s="575"/>
      <c r="D6" s="574">
        <f>HPR!X17</f>
        <v>0.5</v>
      </c>
      <c r="E6" s="575"/>
      <c r="F6" s="574">
        <f>HPR!AA17</f>
        <v>0.1</v>
      </c>
      <c r="G6" s="575"/>
      <c r="H6" s="185"/>
      <c r="I6" s="185"/>
      <c r="J6" s="185"/>
    </row>
    <row r="7" spans="1:27" ht="13.5" customHeight="1" thickBot="1">
      <c r="A7" s="185"/>
      <c r="B7" s="568" t="s">
        <v>158</v>
      </c>
      <c r="C7" s="569"/>
      <c r="D7" s="568" t="s">
        <v>158</v>
      </c>
      <c r="E7" s="569"/>
      <c r="F7" s="568" t="s">
        <v>158</v>
      </c>
      <c r="G7" s="569"/>
      <c r="H7" s="570" t="s">
        <v>158</v>
      </c>
      <c r="I7" s="571"/>
      <c r="J7" s="185"/>
      <c r="L7" s="188" t="s">
        <v>156</v>
      </c>
      <c r="M7" s="192">
        <f ca="1">HPR!C1</f>
        <v>42670</v>
      </c>
      <c r="P7" s="188" t="s">
        <v>174</v>
      </c>
      <c r="Q7" s="188" t="s">
        <v>175</v>
      </c>
    </row>
    <row r="8" spans="1:27">
      <c r="A8" s="185"/>
      <c r="B8" s="193" t="str">
        <f>HPR!U20</f>
        <v>Inf 2016</v>
      </c>
      <c r="C8" s="202">
        <f>HPR!V20</f>
        <v>3.2</v>
      </c>
      <c r="D8" s="193" t="str">
        <f>HPR!X20</f>
        <v>Inf 2016</v>
      </c>
      <c r="E8" s="202">
        <f>HPR!Y20</f>
        <v>3.5</v>
      </c>
      <c r="F8" s="193" t="str">
        <f>HPR!AA20</f>
        <v>Inf 2016</v>
      </c>
      <c r="G8" s="202">
        <f>HPR!AB20</f>
        <v>3.7</v>
      </c>
      <c r="H8" s="193" t="str">
        <f>HPR!R3</f>
        <v>Inf 2016</v>
      </c>
      <c r="I8" s="194">
        <f>HPR!S3</f>
        <v>3.4000000000000004</v>
      </c>
      <c r="J8" s="185"/>
      <c r="L8" s="231" t="s">
        <v>157</v>
      </c>
      <c r="M8" s="237">
        <f>HPR!$C$3</f>
        <v>4</v>
      </c>
      <c r="P8" s="231">
        <f>HPR!F3</f>
        <v>720</v>
      </c>
      <c r="Q8" s="232">
        <f>HPR!G3</f>
        <v>4.9999999999999996E-2</v>
      </c>
    </row>
    <row r="9" spans="1:27" ht="12.75" thickBot="1">
      <c r="A9" s="185"/>
      <c r="B9" s="195" t="str">
        <f>HPR!U21</f>
        <v>Inf 2017</v>
      </c>
      <c r="C9" s="203">
        <f>HPR!V21</f>
        <v>2.5</v>
      </c>
      <c r="D9" s="195" t="str">
        <f>HPR!X21</f>
        <v>Inf 2017</v>
      </c>
      <c r="E9" s="203">
        <f>HPR!Y21</f>
        <v>3</v>
      </c>
      <c r="F9" s="195" t="str">
        <f>HPR!AA21</f>
        <v>Inf 2017</v>
      </c>
      <c r="G9" s="203">
        <f>HPR!AB21</f>
        <v>3.5</v>
      </c>
      <c r="H9" s="195" t="str">
        <f>HPR!R4</f>
        <v>Inf 2017</v>
      </c>
      <c r="I9" s="196">
        <f>HPR!S4</f>
        <v>2.85</v>
      </c>
      <c r="J9" s="185"/>
      <c r="L9" s="235" t="s">
        <v>162</v>
      </c>
      <c r="M9" s="236">
        <f ca="1">HPR!C4</f>
        <v>1.0469515557028464</v>
      </c>
      <c r="P9" s="233">
        <f>HPR!F4</f>
        <v>1800</v>
      </c>
      <c r="Q9" s="234">
        <f>HPR!G4</f>
        <v>6.6666666666666666E-2</v>
      </c>
    </row>
    <row r="10" spans="1:27" ht="12.75" thickBot="1">
      <c r="A10" s="185"/>
      <c r="B10" s="197" t="str">
        <f>HPR!U22</f>
        <v>Inf 2018+</v>
      </c>
      <c r="C10" s="204">
        <f>HPR!V22</f>
        <v>2.9</v>
      </c>
      <c r="D10" s="197" t="str">
        <f>HPR!X22</f>
        <v>Inf 2018+</v>
      </c>
      <c r="E10" s="204">
        <f>HPR!Y22</f>
        <v>3</v>
      </c>
      <c r="F10" s="197" t="str">
        <f>HPR!AA22</f>
        <v>Inf 2018+</v>
      </c>
      <c r="G10" s="204">
        <f>HPR!AB22</f>
        <v>3.1</v>
      </c>
      <c r="H10" s="197" t="str">
        <f>HPR!R5</f>
        <v>Inf 2018+</v>
      </c>
      <c r="I10" s="198">
        <f>HPR!S5</f>
        <v>2.97</v>
      </c>
      <c r="J10" s="185"/>
      <c r="P10" s="235">
        <f>HPR!F5</f>
        <v>3600</v>
      </c>
      <c r="Q10" s="236">
        <f>HPR!G5</f>
        <v>9.9999999999999992E-2</v>
      </c>
    </row>
    <row r="11" spans="1:27" ht="12.75" thickBot="1">
      <c r="A11" s="185"/>
      <c r="B11" s="568" t="str">
        <f>HPR!U24</f>
        <v>TPM</v>
      </c>
      <c r="C11" s="569"/>
      <c r="D11" s="568" t="str">
        <f>HPR!X24</f>
        <v>TPM</v>
      </c>
      <c r="E11" s="569"/>
      <c r="F11" s="568" t="str">
        <f>HPR!AA24</f>
        <v>TPM</v>
      </c>
      <c r="G11" s="569"/>
      <c r="H11" s="570" t="s">
        <v>38</v>
      </c>
      <c r="I11" s="571"/>
      <c r="J11" s="185"/>
    </row>
    <row r="12" spans="1:27" ht="13.5" thickBot="1">
      <c r="A12" s="185"/>
      <c r="B12" s="199">
        <f ca="1">HPR!U25</f>
        <v>42670</v>
      </c>
      <c r="C12" s="194">
        <f>HPR!V25</f>
        <v>3.5</v>
      </c>
      <c r="D12" s="199">
        <f ca="1">HPR!X25</f>
        <v>42670</v>
      </c>
      <c r="E12" s="194">
        <f>HPR!Y25</f>
        <v>3.5</v>
      </c>
      <c r="F12" s="199">
        <f ca="1">HPR!AA25</f>
        <v>42670</v>
      </c>
      <c r="G12" s="194">
        <f>HPR!AB25</f>
        <v>3.5</v>
      </c>
      <c r="H12" s="199">
        <f ca="1">HPR!R8</f>
        <v>42670</v>
      </c>
      <c r="I12" s="194">
        <f>HPR!S8</f>
        <v>3.5000000000000004</v>
      </c>
      <c r="J12" s="185"/>
      <c r="K12" s="572" t="s">
        <v>147</v>
      </c>
      <c r="L12" s="572"/>
      <c r="M12" s="572"/>
      <c r="N12" s="572"/>
      <c r="O12" s="572"/>
      <c r="P12" s="572"/>
      <c r="Q12" s="572"/>
      <c r="R12" s="572"/>
      <c r="S12" s="572"/>
    </row>
    <row r="13" spans="1:27">
      <c r="A13" s="185"/>
      <c r="B13" s="200">
        <f ca="1">HPR!U26</f>
        <v>42691</v>
      </c>
      <c r="C13" s="196">
        <f>HPR!V26</f>
        <v>3.5</v>
      </c>
      <c r="D13" s="200">
        <f ca="1">HPR!X26</f>
        <v>42691</v>
      </c>
      <c r="E13" s="196">
        <f>HPR!Y26</f>
        <v>3.5</v>
      </c>
      <c r="F13" s="200">
        <f ca="1">HPR!AA26</f>
        <v>42691</v>
      </c>
      <c r="G13" s="196">
        <f>HPR!AB26</f>
        <v>3.5</v>
      </c>
      <c r="H13" s="200">
        <f ca="1">HPR!R9</f>
        <v>42691</v>
      </c>
      <c r="I13" s="196">
        <f>HPR!S9</f>
        <v>3.5000000000000004</v>
      </c>
      <c r="J13" s="185"/>
    </row>
    <row r="14" spans="1:27" ht="12.75" thickBot="1">
      <c r="A14" s="185"/>
      <c r="B14" s="200">
        <f ca="1">HPR!U27</f>
        <v>42719</v>
      </c>
      <c r="C14" s="196">
        <f>HPR!V27</f>
        <v>3.5</v>
      </c>
      <c r="D14" s="200">
        <f ca="1">HPR!X27</f>
        <v>42719</v>
      </c>
      <c r="E14" s="196">
        <f>HPR!Y27</f>
        <v>3.5</v>
      </c>
      <c r="F14" s="200">
        <f ca="1">HPR!AA27</f>
        <v>42719</v>
      </c>
      <c r="G14" s="196">
        <f>HPR!AB27</f>
        <v>3.5</v>
      </c>
      <c r="H14" s="200">
        <f ca="1">HPR!R10</f>
        <v>42719</v>
      </c>
      <c r="I14" s="196">
        <f>HPR!S10</f>
        <v>3.5000000000000004</v>
      </c>
      <c r="J14" s="185"/>
      <c r="K14" s="188" t="s">
        <v>32</v>
      </c>
      <c r="L14" s="220" t="s">
        <v>148</v>
      </c>
      <c r="M14" s="220" t="s">
        <v>149</v>
      </c>
      <c r="N14" s="220" t="s">
        <v>150</v>
      </c>
      <c r="O14" s="220" t="s">
        <v>152</v>
      </c>
      <c r="P14" s="220" t="s">
        <v>151</v>
      </c>
      <c r="Q14" s="220" t="s">
        <v>205</v>
      </c>
      <c r="R14" s="220" t="s">
        <v>207</v>
      </c>
      <c r="S14" s="220" t="s">
        <v>206</v>
      </c>
    </row>
    <row r="15" spans="1:27" ht="12.75">
      <c r="A15" s="185"/>
      <c r="B15" s="200">
        <f ca="1">HPR!U28</f>
        <v>42750</v>
      </c>
      <c r="C15" s="196">
        <f>HPR!V28</f>
        <v>3.5</v>
      </c>
      <c r="D15" s="200">
        <f ca="1">HPR!X28</f>
        <v>42750</v>
      </c>
      <c r="E15" s="196">
        <f>HPR!Y28</f>
        <v>3.5</v>
      </c>
      <c r="F15" s="200">
        <f ca="1">HPR!AA28</f>
        <v>42750</v>
      </c>
      <c r="G15" s="196">
        <f>HPR!AB28</f>
        <v>3.5</v>
      </c>
      <c r="H15" s="200">
        <f ca="1">HPR!R11</f>
        <v>42750</v>
      </c>
      <c r="I15" s="196">
        <f>HPR!S11</f>
        <v>3.5000000000000004</v>
      </c>
      <c r="J15" s="185"/>
      <c r="K15" s="189" t="str">
        <f>HPR!B8</f>
        <v>IF $ 120</v>
      </c>
      <c r="L15" s="244">
        <f>HPR!C8</f>
        <v>0.31</v>
      </c>
      <c r="M15" s="244" t="e">
        <f ca="1">HPR!F8</f>
        <v>#NAME?</v>
      </c>
      <c r="N15" s="190">
        <f>HPR!G8</f>
        <v>1.24E-2</v>
      </c>
      <c r="O15" s="190" t="e">
        <f ca="1">HPR!H8</f>
        <v>#NAME?</v>
      </c>
      <c r="P15" s="190" t="e">
        <f ca="1">HPR!I8</f>
        <v>#NAME?</v>
      </c>
      <c r="Q15" s="190" t="e">
        <f ca="1">P15-$P$15</f>
        <v>#NAME?</v>
      </c>
      <c r="R15" s="190">
        <f>VLOOKUP(K15,VolIndicesRA!$A:$C,3,0)</f>
        <v>2.7827340648898962E-3</v>
      </c>
      <c r="S15" s="244" t="e">
        <f t="shared" ref="S15:S30" ca="1" si="0">P15/(R15/SQRT($M$8))</f>
        <v>#NAME?</v>
      </c>
      <c r="T15" s="219"/>
      <c r="U15" s="191"/>
      <c r="V15" s="191"/>
      <c r="W15" s="191"/>
      <c r="X15" s="191"/>
      <c r="Y15" s="191"/>
      <c r="Z15" s="191"/>
      <c r="AA15" s="191"/>
    </row>
    <row r="16" spans="1:27">
      <c r="A16" s="185"/>
      <c r="B16" s="200">
        <f ca="1">HPR!U29</f>
        <v>42781</v>
      </c>
      <c r="C16" s="196">
        <f>HPR!V29</f>
        <v>3.5</v>
      </c>
      <c r="D16" s="200">
        <f ca="1">HPR!X29</f>
        <v>42781</v>
      </c>
      <c r="E16" s="196">
        <f>HPR!Y29</f>
        <v>3.5</v>
      </c>
      <c r="F16" s="200">
        <f ca="1">HPR!AA29</f>
        <v>42781</v>
      </c>
      <c r="G16" s="196">
        <f>HPR!AB29</f>
        <v>3.5</v>
      </c>
      <c r="H16" s="200">
        <f ca="1">HPR!R12</f>
        <v>42781</v>
      </c>
      <c r="I16" s="196">
        <f>HPR!S12</f>
        <v>3.5000000000000004</v>
      </c>
      <c r="J16" s="185"/>
      <c r="K16" s="189" t="str">
        <f>HPR!B9</f>
        <v>IF $ 360</v>
      </c>
      <c r="L16" s="244">
        <f>HPR!C9</f>
        <v>0.34</v>
      </c>
      <c r="M16" s="244" t="e">
        <f ca="1">HPR!F9</f>
        <v>#NAME?</v>
      </c>
      <c r="N16" s="190">
        <f>HPR!G9</f>
        <v>1.3600000000000001E-2</v>
      </c>
      <c r="O16" s="190" t="e">
        <f ca="1">HPR!H9</f>
        <v>#NAME?</v>
      </c>
      <c r="P16" s="190" t="e">
        <f ca="1">HPR!I9</f>
        <v>#NAME?</v>
      </c>
      <c r="Q16" s="190" t="e">
        <f ca="1">P16-$P$15</f>
        <v>#NAME?</v>
      </c>
      <c r="R16" s="190">
        <f>VLOOKUP(K16,VolIndicesRA!$A:$C,3,0)</f>
        <v>3.730957245174582E-3</v>
      </c>
      <c r="S16" s="244" t="e">
        <f t="shared" ca="1" si="0"/>
        <v>#NAME?</v>
      </c>
      <c r="T16" s="219"/>
    </row>
    <row r="17" spans="1:20">
      <c r="A17" s="185"/>
      <c r="B17" s="200">
        <f ca="1">HPR!U30</f>
        <v>42809</v>
      </c>
      <c r="C17" s="196">
        <f>HPR!V30</f>
        <v>3.25</v>
      </c>
      <c r="D17" s="200">
        <f ca="1">HPR!X30</f>
        <v>42809</v>
      </c>
      <c r="E17" s="196">
        <f>HPR!Y30</f>
        <v>3.5</v>
      </c>
      <c r="F17" s="200">
        <f ca="1">HPR!AA30</f>
        <v>42809</v>
      </c>
      <c r="G17" s="196">
        <f>HPR!AB30</f>
        <v>3.5</v>
      </c>
      <c r="H17" s="200">
        <f ca="1">HPR!R13</f>
        <v>42809</v>
      </c>
      <c r="I17" s="196">
        <f>HPR!S13</f>
        <v>3.4</v>
      </c>
      <c r="J17" s="185"/>
      <c r="K17" s="189" t="str">
        <f>HPR!B10</f>
        <v>IF UF 120</v>
      </c>
      <c r="L17" s="244">
        <f>HPR!C10</f>
        <v>0.6</v>
      </c>
      <c r="M17" s="244" t="e">
        <f ca="1">HPR!F10</f>
        <v>#NAME?</v>
      </c>
      <c r="N17" s="190">
        <f ca="1">HPR!G10</f>
        <v>1.2469515557028464E-2</v>
      </c>
      <c r="O17" s="190" t="e">
        <f ca="1">HPR!H10</f>
        <v>#NAME?</v>
      </c>
      <c r="P17" s="190" t="e">
        <f ca="1">HPR!I10</f>
        <v>#NAME?</v>
      </c>
      <c r="Q17" s="190" t="e">
        <f ca="1">P17-$P$15</f>
        <v>#NAME?</v>
      </c>
      <c r="R17" s="190">
        <f>VLOOKUP(K17,VolIndicesRA!$A:$C,3,0)</f>
        <v>8.5376401937819705E-3</v>
      </c>
      <c r="S17" s="244" t="e">
        <f t="shared" ca="1" si="0"/>
        <v>#NAME?</v>
      </c>
      <c r="T17" s="219"/>
    </row>
    <row r="18" spans="1:20">
      <c r="A18" s="185"/>
      <c r="B18" s="200">
        <f ca="1">HPR!U31</f>
        <v>42840</v>
      </c>
      <c r="C18" s="196">
        <f>HPR!V31</f>
        <v>3</v>
      </c>
      <c r="D18" s="200">
        <f ca="1">HPR!X31</f>
        <v>42840</v>
      </c>
      <c r="E18" s="196">
        <f>HPR!Y31</f>
        <v>3.5</v>
      </c>
      <c r="F18" s="200">
        <f ca="1">HPR!AA31</f>
        <v>42840</v>
      </c>
      <c r="G18" s="196">
        <f>HPR!AB31</f>
        <v>3.5</v>
      </c>
      <c r="H18" s="200">
        <f ca="1">HPR!R14</f>
        <v>42840</v>
      </c>
      <c r="I18" s="196">
        <f>HPR!S14</f>
        <v>3.3000000000000003</v>
      </c>
      <c r="J18" s="185"/>
      <c r="K18" s="189" t="str">
        <f>HPR!B11</f>
        <v>IF UF 360</v>
      </c>
      <c r="L18" s="244">
        <f>HPR!C11</f>
        <v>1.55</v>
      </c>
      <c r="M18" s="244" t="e">
        <f ca="1">HPR!F11</f>
        <v>#NAME?</v>
      </c>
      <c r="N18" s="190">
        <f ca="1">HPR!G11</f>
        <v>1.563618222369513E-2</v>
      </c>
      <c r="O18" s="190" t="e">
        <f ca="1">HPR!H11</f>
        <v>#NAME?</v>
      </c>
      <c r="P18" s="190" t="e">
        <f ca="1">HPR!I11</f>
        <v>#NAME?</v>
      </c>
      <c r="Q18" s="190" t="e">
        <f ca="1">P18-$P$15</f>
        <v>#NAME?</v>
      </c>
      <c r="R18" s="190">
        <f>VLOOKUP(K18,VolIndicesRA!$A:$C,3,0)</f>
        <v>1.0056659494569575E-2</v>
      </c>
      <c r="S18" s="244" t="e">
        <f t="shared" ca="1" si="0"/>
        <v>#NAME?</v>
      </c>
      <c r="T18" s="219"/>
    </row>
    <row r="19" spans="1:20">
      <c r="A19" s="185"/>
      <c r="B19" s="200">
        <f ca="1">HPR!U32</f>
        <v>42870</v>
      </c>
      <c r="C19" s="196">
        <f>HPR!V32</f>
        <v>3</v>
      </c>
      <c r="D19" s="200">
        <f ca="1">HPR!X32</f>
        <v>42870</v>
      </c>
      <c r="E19" s="196">
        <f>HPR!Y32</f>
        <v>3.5</v>
      </c>
      <c r="F19" s="200">
        <f ca="1">HPR!AA32</f>
        <v>42870</v>
      </c>
      <c r="G19" s="196">
        <f>HPR!AB32</f>
        <v>3.5</v>
      </c>
      <c r="H19" s="200">
        <f ca="1">HPR!R15</f>
        <v>42870</v>
      </c>
      <c r="I19" s="196">
        <f>HPR!S15</f>
        <v>3.3000000000000003</v>
      </c>
      <c r="J19" s="185"/>
      <c r="K19" s="189" t="str">
        <f>HPR!B12</f>
        <v>PESO-02</v>
      </c>
      <c r="L19" s="244">
        <f>HPR!C12</f>
        <v>3.52</v>
      </c>
      <c r="M19" s="244">
        <f ca="1">HPR!F12</f>
        <v>-1.6014279901623539E-9</v>
      </c>
      <c r="N19" s="190">
        <f>HPR!G12</f>
        <v>1.1733333333333333E-2</v>
      </c>
      <c r="O19" s="190">
        <f ca="1">HPR!H12</f>
        <v>5.8666666693357135E-2</v>
      </c>
      <c r="P19" s="190">
        <f ca="1">HPR!I12</f>
        <v>7.0400000026690474E-2</v>
      </c>
      <c r="Q19" s="190" t="e">
        <f ca="1">P19-$P$15</f>
        <v>#NAME?</v>
      </c>
      <c r="R19" s="190">
        <f>VLOOKUP(K19,VolIndicesRA!$A:$C,3,0)</f>
        <v>6.6721833260105987E-3</v>
      </c>
      <c r="S19" s="244">
        <f t="shared" ca="1" si="0"/>
        <v>21.102537681255146</v>
      </c>
      <c r="T19" s="219"/>
    </row>
    <row r="20" spans="1:20">
      <c r="A20" s="185"/>
      <c r="B20" s="200">
        <f ca="1">HPR!U33</f>
        <v>42901</v>
      </c>
      <c r="C20" s="196">
        <f>HPR!V33</f>
        <v>3</v>
      </c>
      <c r="D20" s="200">
        <f ca="1">HPR!X33</f>
        <v>42901</v>
      </c>
      <c r="E20" s="196">
        <f>HPR!Y33</f>
        <v>3.5</v>
      </c>
      <c r="F20" s="200">
        <f ca="1">HPR!AA33</f>
        <v>42901</v>
      </c>
      <c r="G20" s="196">
        <f>HPR!AB33</f>
        <v>3.5</v>
      </c>
      <c r="H20" s="200">
        <f ca="1">HPR!R16</f>
        <v>42901</v>
      </c>
      <c r="I20" s="196">
        <f>HPR!S16</f>
        <v>3.3000000000000003</v>
      </c>
      <c r="J20" s="185"/>
      <c r="K20" s="189" t="str">
        <f>HPR!B13</f>
        <v>PESO-05</v>
      </c>
      <c r="L20" s="244">
        <f>HPR!C13</f>
        <v>3.81</v>
      </c>
      <c r="M20" s="244">
        <f ca="1">HPR!F13</f>
        <v>-6.086230572082893E-8</v>
      </c>
      <c r="N20" s="190">
        <f>HPR!G13</f>
        <v>1.2699999999999999E-2</v>
      </c>
      <c r="O20" s="190">
        <f ca="1">HPR!H13</f>
        <v>0.1671320026698265</v>
      </c>
      <c r="P20" s="190">
        <f ca="1">HPR!I13</f>
        <v>0.17983200266982649</v>
      </c>
      <c r="Q20" s="190" t="e">
        <f t="shared" ref="Q20:Q30" ca="1" si="1">P20-$P$15</f>
        <v>#NAME?</v>
      </c>
      <c r="R20" s="190">
        <f>VLOOKUP(K20,VolIndicesRA!$A:$C,3,0)</f>
        <v>1.2622852273548006E-2</v>
      </c>
      <c r="S20" s="244">
        <f t="shared" ca="1" si="0"/>
        <v>28.493085203361836</v>
      </c>
      <c r="T20" s="219"/>
    </row>
    <row r="21" spans="1:20">
      <c r="A21" s="185"/>
      <c r="B21" s="200">
        <f ca="1">HPR!U34</f>
        <v>42931</v>
      </c>
      <c r="C21" s="196">
        <f>HPR!V34</f>
        <v>3</v>
      </c>
      <c r="D21" s="200">
        <f ca="1">HPR!X34</f>
        <v>42931</v>
      </c>
      <c r="E21" s="196">
        <f>HPR!Y34</f>
        <v>3.5</v>
      </c>
      <c r="F21" s="200">
        <f ca="1">HPR!AA34</f>
        <v>42931</v>
      </c>
      <c r="G21" s="196">
        <f>HPR!AB34</f>
        <v>3.5</v>
      </c>
      <c r="H21" s="200">
        <f ca="1">HPR!R17</f>
        <v>42931</v>
      </c>
      <c r="I21" s="196">
        <f>HPR!S17</f>
        <v>3.3000000000000003</v>
      </c>
      <c r="J21" s="185"/>
      <c r="K21" s="189" t="str">
        <f>HPR!B14</f>
        <v>PESO-07</v>
      </c>
      <c r="L21" s="244">
        <f>HPR!C14</f>
        <v>3.9</v>
      </c>
      <c r="M21" s="244">
        <f ca="1">HPR!F14</f>
        <v>-5.1118754367755065E-7</v>
      </c>
      <c r="N21" s="190">
        <f>HPR!G14</f>
        <v>1.2999999999999999E-2</v>
      </c>
      <c r="O21" s="190">
        <f ca="1">HPR!H14</f>
        <v>0.23114003029638178</v>
      </c>
      <c r="P21" s="190">
        <f ca="1">HPR!I14</f>
        <v>0.24414003029638179</v>
      </c>
      <c r="Q21" s="190" t="e">
        <f t="shared" ca="1" si="1"/>
        <v>#NAME?</v>
      </c>
      <c r="R21" s="190">
        <f>VLOOKUP(K21,VolIndicesRA!$A:$C,3,0)</f>
        <v>1.7745628091203461E-2</v>
      </c>
      <c r="S21" s="244">
        <f t="shared" ca="1" si="0"/>
        <v>27.515513008795946</v>
      </c>
      <c r="T21" s="219"/>
    </row>
    <row r="22" spans="1:20">
      <c r="A22" s="185"/>
      <c r="B22" s="200">
        <f ca="1">HPR!U35</f>
        <v>43023</v>
      </c>
      <c r="C22" s="196">
        <f>HPR!V35</f>
        <v>3</v>
      </c>
      <c r="D22" s="200">
        <f ca="1">HPR!X35</f>
        <v>43023</v>
      </c>
      <c r="E22" s="196">
        <f>HPR!Y35</f>
        <v>3.5</v>
      </c>
      <c r="F22" s="200">
        <f ca="1">HPR!AA35</f>
        <v>43023</v>
      </c>
      <c r="G22" s="196">
        <f>HPR!AB35</f>
        <v>3.75</v>
      </c>
      <c r="H22" s="200">
        <f ca="1">HPR!R18</f>
        <v>43023</v>
      </c>
      <c r="I22" s="196">
        <f>HPR!S18</f>
        <v>3.3250000000000002</v>
      </c>
      <c r="J22" s="185"/>
      <c r="K22" s="189" t="str">
        <f>HPR!B15</f>
        <v>PESO-10</v>
      </c>
      <c r="L22" s="244">
        <f>HPR!C15</f>
        <v>4.1900000000000004</v>
      </c>
      <c r="M22" s="244">
        <f ca="1">HPR!F15</f>
        <v>-1.6981102006989992E-12</v>
      </c>
      <c r="N22" s="190">
        <f>HPR!G15</f>
        <v>1.3966666666666669E-2</v>
      </c>
      <c r="O22" s="190">
        <f ca="1">HPR!H15</f>
        <v>0.29357933333345237</v>
      </c>
      <c r="P22" s="190">
        <f ca="1">HPR!I15</f>
        <v>0.30754600000011906</v>
      </c>
      <c r="Q22" s="190" t="e">
        <f t="shared" ca="1" si="1"/>
        <v>#NAME?</v>
      </c>
      <c r="R22" s="190">
        <f>VLOOKUP(K22,VolIndicesRA!$A:$C,3,0)</f>
        <v>2.4554135706806878E-2</v>
      </c>
      <c r="S22" s="244">
        <f t="shared" ca="1" si="0"/>
        <v>25.05044393925553</v>
      </c>
      <c r="T22" s="219"/>
    </row>
    <row r="23" spans="1:20">
      <c r="A23" s="185"/>
      <c r="B23" s="200">
        <f ca="1">HPR!U36</f>
        <v>43115</v>
      </c>
      <c r="C23" s="196">
        <f>HPR!V36</f>
        <v>3</v>
      </c>
      <c r="D23" s="200">
        <f ca="1">HPR!X36</f>
        <v>43115</v>
      </c>
      <c r="E23" s="196">
        <f>HPR!Y36</f>
        <v>3.5</v>
      </c>
      <c r="F23" s="200">
        <f ca="1">HPR!AA36</f>
        <v>43115</v>
      </c>
      <c r="G23" s="196">
        <f>HPR!AB36</f>
        <v>4</v>
      </c>
      <c r="H23" s="200">
        <f ca="1">HPR!R19</f>
        <v>43115</v>
      </c>
      <c r="I23" s="196">
        <f>HPR!S19</f>
        <v>3.35</v>
      </c>
      <c r="J23" s="185"/>
      <c r="K23" s="189" t="str">
        <f>HPR!B16</f>
        <v>UF-02</v>
      </c>
      <c r="L23" s="244">
        <f>HPR!C16</f>
        <v>1.08</v>
      </c>
      <c r="M23" s="244">
        <f ca="1">HPR!F16</f>
        <v>-6.2252966071484582E-10</v>
      </c>
      <c r="N23" s="190">
        <f ca="1">HPR!G16</f>
        <v>1.4069515557028463E-2</v>
      </c>
      <c r="O23" s="190">
        <f ca="1">HPR!H16</f>
        <v>1.8000000010375494E-2</v>
      </c>
      <c r="P23" s="190">
        <f ca="1">HPR!I16</f>
        <v>3.2069515567403957E-2</v>
      </c>
      <c r="Q23" s="190" t="e">
        <f t="shared" ca="1" si="1"/>
        <v>#NAME?</v>
      </c>
      <c r="R23" s="190">
        <f>VLOOKUP(K23,VolIndicesRA!$A:$C,3,0)</f>
        <v>7.674352268525482E-3</v>
      </c>
      <c r="S23" s="244">
        <f t="shared" ca="1" si="0"/>
        <v>8.3575823588211851</v>
      </c>
      <c r="T23" s="219"/>
    </row>
    <row r="24" spans="1:20">
      <c r="A24" s="185"/>
      <c r="B24" s="200">
        <f ca="1">HPR!U37</f>
        <v>43205</v>
      </c>
      <c r="C24" s="196">
        <f>HPR!V37</f>
        <v>3.5</v>
      </c>
      <c r="D24" s="200">
        <f ca="1">HPR!X37</f>
        <v>43205</v>
      </c>
      <c r="E24" s="196">
        <f>HPR!Y37</f>
        <v>3.5</v>
      </c>
      <c r="F24" s="200">
        <f ca="1">HPR!AA37</f>
        <v>43205</v>
      </c>
      <c r="G24" s="196">
        <f>HPR!AB37</f>
        <v>4.25</v>
      </c>
      <c r="H24" s="200">
        <f ca="1">HPR!R20</f>
        <v>43205</v>
      </c>
      <c r="I24" s="196">
        <f>HPR!S20</f>
        <v>3.5750000000000002</v>
      </c>
      <c r="J24" s="185"/>
      <c r="K24" s="189" t="str">
        <f>HPR!B17</f>
        <v>UF-05</v>
      </c>
      <c r="L24" s="244">
        <f>HPR!C17</f>
        <v>1.07</v>
      </c>
      <c r="M24" s="244">
        <f ca="1">HPR!F17</f>
        <v>-1.7894825090703295E-7</v>
      </c>
      <c r="N24" s="190">
        <f ca="1">HPR!G17</f>
        <v>1.403618222369513E-2</v>
      </c>
      <c r="O24" s="190">
        <f ca="1">HPR!H17</f>
        <v>4.6937341183196611E-2</v>
      </c>
      <c r="P24" s="190">
        <f ca="1">HPR!I17</f>
        <v>6.0973523406891744E-2</v>
      </c>
      <c r="Q24" s="190" t="e">
        <f t="shared" ca="1" si="1"/>
        <v>#NAME?</v>
      </c>
      <c r="R24" s="190">
        <f>VLOOKUP(K24,VolIndicesRA!$A:$C,3,0)</f>
        <v>1.1507762536227239E-2</v>
      </c>
      <c r="S24" s="244">
        <f t="shared" ca="1" si="0"/>
        <v>10.596938060712121</v>
      </c>
      <c r="T24" s="219"/>
    </row>
    <row r="25" spans="1:20">
      <c r="A25" s="185"/>
      <c r="B25" s="200">
        <f ca="1">HPR!U38</f>
        <v>43570</v>
      </c>
      <c r="C25" s="196">
        <f>HPR!V38</f>
        <v>3.5</v>
      </c>
      <c r="D25" s="200">
        <f ca="1">HPR!X38</f>
        <v>43570</v>
      </c>
      <c r="E25" s="196">
        <f>HPR!Y38</f>
        <v>4.25</v>
      </c>
      <c r="F25" s="200">
        <f ca="1">HPR!AA38</f>
        <v>43570</v>
      </c>
      <c r="G25" s="196">
        <f>HPR!AB38</f>
        <v>4.5</v>
      </c>
      <c r="H25" s="200">
        <f ca="1">HPR!R21</f>
        <v>43570</v>
      </c>
      <c r="I25" s="196">
        <f>HPR!S21</f>
        <v>3.9750000000000005</v>
      </c>
      <c r="J25" s="185"/>
      <c r="K25" s="189" t="str">
        <f>HPR!B18</f>
        <v>UF-07</v>
      </c>
      <c r="L25" s="244">
        <f>HPR!C18</f>
        <v>1.19</v>
      </c>
      <c r="M25" s="244">
        <f ca="1">HPR!F18</f>
        <v>-1.2805234316445868E-6</v>
      </c>
      <c r="N25" s="190">
        <f ca="1">HPR!G18</f>
        <v>1.4436182223695131E-2</v>
      </c>
      <c r="O25" s="190">
        <f ca="1">HPR!H18</f>
        <v>7.0527409225688717E-2</v>
      </c>
      <c r="P25" s="190">
        <f ca="1">HPR!I18</f>
        <v>8.4963591449383841E-2</v>
      </c>
      <c r="Q25" s="190" t="e">
        <f t="shared" ca="1" si="1"/>
        <v>#NAME?</v>
      </c>
      <c r="R25" s="190">
        <f>VLOOKUP(K25,VolIndicesRA!$A:$C,3,0)</f>
        <v>1.620356685907089E-2</v>
      </c>
      <c r="S25" s="244">
        <f t="shared" ca="1" si="0"/>
        <v>10.487023281768424</v>
      </c>
      <c r="T25" s="219"/>
    </row>
    <row r="26" spans="1:20">
      <c r="A26" s="185"/>
      <c r="B26" s="200">
        <f ca="1">HPR!U39</f>
        <v>43936</v>
      </c>
      <c r="C26" s="196">
        <f>HPR!V39</f>
        <v>4</v>
      </c>
      <c r="D26" s="200">
        <f ca="1">HPR!X39</f>
        <v>43936</v>
      </c>
      <c r="E26" s="196">
        <f>HPR!Y39</f>
        <v>4.25</v>
      </c>
      <c r="F26" s="200">
        <f ca="1">HPR!AA39</f>
        <v>43936</v>
      </c>
      <c r="G26" s="196">
        <f>HPR!AB39</f>
        <v>4.5</v>
      </c>
      <c r="H26" s="200">
        <f ca="1">HPR!R22</f>
        <v>43936</v>
      </c>
      <c r="I26" s="196">
        <f>HPR!S22</f>
        <v>4.1749999999999998</v>
      </c>
      <c r="J26" s="185"/>
      <c r="K26" s="189" t="str">
        <f>HPR!B19</f>
        <v>UF-10</v>
      </c>
      <c r="L26" s="244">
        <f>HPR!C19</f>
        <v>1.28</v>
      </c>
      <c r="M26" s="244">
        <f ca="1">HPR!F19</f>
        <v>-8.7857006537934252E-12</v>
      </c>
      <c r="N26" s="190">
        <f ca="1">HPR!G19</f>
        <v>1.4736182223695131E-2</v>
      </c>
      <c r="O26" s="190">
        <f ca="1">HPR!H19</f>
        <v>8.9685333333948916E-2</v>
      </c>
      <c r="P26" s="190">
        <f ca="1">HPR!I19</f>
        <v>0.10442151555764405</v>
      </c>
      <c r="Q26" s="190" t="e">
        <f t="shared" ca="1" si="1"/>
        <v>#NAME?</v>
      </c>
      <c r="R26" s="190">
        <f>VLOOKUP(K26,VolIndicesRA!$A:$C,3,0)</f>
        <v>3.101371774436441E-2</v>
      </c>
      <c r="S26" s="244">
        <f t="shared" ca="1" si="0"/>
        <v>6.7338921710937916</v>
      </c>
      <c r="T26" s="219"/>
    </row>
    <row r="27" spans="1:20">
      <c r="A27" s="185"/>
      <c r="B27" s="200">
        <f ca="1">HPR!U40</f>
        <v>44301</v>
      </c>
      <c r="C27" s="196">
        <f>HPR!V40</f>
        <v>4</v>
      </c>
      <c r="D27" s="200">
        <f ca="1">HPR!X40</f>
        <v>44301</v>
      </c>
      <c r="E27" s="196">
        <f>HPR!Y40</f>
        <v>4.25</v>
      </c>
      <c r="F27" s="200">
        <f ca="1">HPR!AA40</f>
        <v>44301</v>
      </c>
      <c r="G27" s="196">
        <f>HPR!AB40</f>
        <v>4.5</v>
      </c>
      <c r="H27" s="200">
        <f ca="1">HPR!R23</f>
        <v>44301</v>
      </c>
      <c r="I27" s="196">
        <f>HPR!S23</f>
        <v>4.1749999999999998</v>
      </c>
      <c r="J27" s="185"/>
      <c r="K27" s="189" t="str">
        <f>HPR!B20</f>
        <v>Corp UF 02 / AAA-AA</v>
      </c>
      <c r="L27" s="244">
        <f>HPR!C20</f>
        <v>2.0300000000000002</v>
      </c>
      <c r="M27" s="244">
        <f ca="1">HPR!F20</f>
        <v>1.0164999993774704</v>
      </c>
      <c r="N27" s="190">
        <f ca="1">HPR!G20</f>
        <v>1.7236182223695131E-2</v>
      </c>
      <c r="O27" s="190">
        <f ca="1">HPR!H20</f>
        <v>1.6891666677042165E-2</v>
      </c>
      <c r="P27" s="190">
        <f ca="1">HPR!I20</f>
        <v>3.4127848900737293E-2</v>
      </c>
      <c r="Q27" s="190" t="e">
        <f t="shared" ca="1" si="1"/>
        <v>#NAME?</v>
      </c>
      <c r="R27" s="190">
        <f>VLOOKUP(K27,VolIndicesRA!$A:$C,3,0)</f>
        <v>6.8465253565573999E-3</v>
      </c>
      <c r="S27" s="244">
        <f t="shared" ca="1" si="0"/>
        <v>9.9693923920257284</v>
      </c>
      <c r="T27" s="219"/>
    </row>
    <row r="28" spans="1:20">
      <c r="A28" s="185"/>
      <c r="B28" s="200">
        <f ca="1">HPR!U41</f>
        <v>44666</v>
      </c>
      <c r="C28" s="196">
        <f>HPR!V41</f>
        <v>4</v>
      </c>
      <c r="D28" s="200">
        <f ca="1">HPR!X41</f>
        <v>44666</v>
      </c>
      <c r="E28" s="196">
        <f>HPR!Y41</f>
        <v>4.25</v>
      </c>
      <c r="F28" s="200">
        <f ca="1">HPR!AA41</f>
        <v>44666</v>
      </c>
      <c r="G28" s="196">
        <f>HPR!AB41</f>
        <v>4.5</v>
      </c>
      <c r="H28" s="200">
        <f ca="1">HPR!R24</f>
        <v>44666</v>
      </c>
      <c r="I28" s="196">
        <f>HPR!S24</f>
        <v>4.1749999999999998</v>
      </c>
      <c r="J28" s="185"/>
      <c r="K28" s="189" t="str">
        <f>HPR!B21</f>
        <v>Corp UF 05 / AAA-AA</v>
      </c>
      <c r="L28" s="244">
        <f>HPR!C21</f>
        <v>2.12</v>
      </c>
      <c r="M28" s="244">
        <f ca="1">HPR!F21</f>
        <v>1.1234998210517493</v>
      </c>
      <c r="N28" s="190">
        <f ca="1">HPR!G21</f>
        <v>1.7536182223695129E-2</v>
      </c>
      <c r="O28" s="190">
        <f ca="1">HPR!H21</f>
        <v>4.3713141183196608E-2</v>
      </c>
      <c r="P28" s="190">
        <f ca="1">HPR!I21</f>
        <v>6.1249323406891737E-2</v>
      </c>
      <c r="Q28" s="190" t="e">
        <f t="shared" ca="1" si="1"/>
        <v>#NAME?</v>
      </c>
      <c r="R28" s="190">
        <f>VLOOKUP(K28,VolIndicesRA!$A:$C,3,0)</f>
        <v>8.0885723964807896E-3</v>
      </c>
      <c r="S28" s="244">
        <f t="shared" ca="1" si="0"/>
        <v>15.144656041785655</v>
      </c>
      <c r="T28" s="219"/>
    </row>
    <row r="29" spans="1:20">
      <c r="A29" s="185"/>
      <c r="B29" s="200">
        <f ca="1">HPR!U42</f>
        <v>45031</v>
      </c>
      <c r="C29" s="196">
        <f>HPR!V42</f>
        <v>4</v>
      </c>
      <c r="D29" s="200">
        <f ca="1">HPR!X42</f>
        <v>45031</v>
      </c>
      <c r="E29" s="196">
        <f>HPR!Y42</f>
        <v>4.25</v>
      </c>
      <c r="F29" s="200">
        <f ca="1">HPR!AA42</f>
        <v>45031</v>
      </c>
      <c r="G29" s="196">
        <f>HPR!AB42</f>
        <v>4.5</v>
      </c>
      <c r="H29" s="200">
        <f ca="1">HPR!R25</f>
        <v>45031</v>
      </c>
      <c r="I29" s="196">
        <f>HPR!S25</f>
        <v>4.1749999999999998</v>
      </c>
      <c r="J29" s="185"/>
      <c r="K29" s="189" t="str">
        <f>HPR!B22</f>
        <v>Corp UF 07 / AAA-AA</v>
      </c>
      <c r="L29" s="244">
        <f>HPR!C22</f>
        <v>2.34</v>
      </c>
      <c r="M29" s="244">
        <f ca="1">HPR!F22</f>
        <v>1.2304987194765682</v>
      </c>
      <c r="N29" s="190">
        <f ca="1">HPR!G22</f>
        <v>1.8269515557028462E-2</v>
      </c>
      <c r="O29" s="190">
        <f ca="1">HPR!H22</f>
        <v>6.5756442559022049E-2</v>
      </c>
      <c r="P29" s="190">
        <f ca="1">HPR!I22</f>
        <v>8.4025958116050514E-2</v>
      </c>
      <c r="Q29" s="190" t="e">
        <f t="shared" ca="1" si="1"/>
        <v>#NAME?</v>
      </c>
      <c r="R29" s="190">
        <f>VLOOKUP(K29,VolIndicesRA!$A:$C,3,0)</f>
        <v>8.7211409158004915E-3</v>
      </c>
      <c r="S29" s="244">
        <f t="shared" ca="1" si="0"/>
        <v>19.269487542350525</v>
      </c>
      <c r="T29" s="219"/>
    </row>
    <row r="30" spans="1:20">
      <c r="A30" s="185"/>
      <c r="B30" s="200">
        <f ca="1">HPR!U43</f>
        <v>45397</v>
      </c>
      <c r="C30" s="196">
        <f>HPR!V43</f>
        <v>4</v>
      </c>
      <c r="D30" s="200">
        <f ca="1">HPR!X43</f>
        <v>45397</v>
      </c>
      <c r="E30" s="196">
        <f>HPR!Y43</f>
        <v>4.25</v>
      </c>
      <c r="F30" s="200">
        <f ca="1">HPR!AA43</f>
        <v>45397</v>
      </c>
      <c r="G30" s="196">
        <f>HPR!AB43</f>
        <v>4.5</v>
      </c>
      <c r="H30" s="200">
        <f ca="1">HPR!R26</f>
        <v>45397</v>
      </c>
      <c r="I30" s="196">
        <f>HPR!S26</f>
        <v>4.1749999999999998</v>
      </c>
      <c r="J30" s="185"/>
      <c r="K30" s="189" t="str">
        <f>HPR!B23</f>
        <v>Corp UF 10 / AAA-AA</v>
      </c>
      <c r="L30" s="244">
        <f>HPR!C23</f>
        <v>2.5300000000000002</v>
      </c>
      <c r="M30" s="244">
        <f ca="1">HPR!F23</f>
        <v>1.3374999999912145</v>
      </c>
      <c r="N30" s="190">
        <f ca="1">HPR!G23</f>
        <v>1.8902848890361798E-2</v>
      </c>
      <c r="O30" s="190">
        <f ca="1">HPR!H23</f>
        <v>8.3554500000615595E-2</v>
      </c>
      <c r="P30" s="190">
        <f ca="1">HPR!I23</f>
        <v>0.10245734889097739</v>
      </c>
      <c r="Q30" s="190" t="e">
        <f t="shared" ca="1" si="1"/>
        <v>#NAME?</v>
      </c>
      <c r="R30" s="190">
        <f>VLOOKUP(K30,VolIndicesRA!$A:$C,3,0)</f>
        <v>1.1927198058600198E-2</v>
      </c>
      <c r="S30" s="244">
        <f t="shared" ca="1" si="0"/>
        <v>17.180455692542093</v>
      </c>
      <c r="T30" s="219"/>
    </row>
    <row r="31" spans="1:20">
      <c r="A31" s="185"/>
      <c r="B31" s="200">
        <f ca="1">HPR!U44</f>
        <v>45762</v>
      </c>
      <c r="C31" s="196">
        <f>HPR!V44</f>
        <v>4</v>
      </c>
      <c r="D31" s="200">
        <f ca="1">HPR!X44</f>
        <v>45762</v>
      </c>
      <c r="E31" s="196">
        <f>HPR!Y44</f>
        <v>4.25</v>
      </c>
      <c r="F31" s="200">
        <f ca="1">HPR!AA44</f>
        <v>45762</v>
      </c>
      <c r="G31" s="196">
        <f>HPR!AB44</f>
        <v>4.5</v>
      </c>
      <c r="H31" s="200">
        <f ca="1">HPR!R27</f>
        <v>45762</v>
      </c>
      <c r="I31" s="196">
        <f>HPR!S27</f>
        <v>4.1749999999999998</v>
      </c>
      <c r="J31" s="185"/>
      <c r="K31" s="189" t="str">
        <f>HPR!B24</f>
        <v>Corp UF 02 / A</v>
      </c>
      <c r="L31" s="244">
        <f>HPR!C24</f>
        <v>2.2800000000000002</v>
      </c>
      <c r="M31" s="244">
        <f ca="1">HPR!F24</f>
        <v>1.2839999993774704</v>
      </c>
      <c r="N31" s="190">
        <f ca="1">HPR!G24</f>
        <v>1.8069515557028463E-2</v>
      </c>
      <c r="O31" s="190">
        <f ca="1">HPR!H24</f>
        <v>1.6600000010375496E-2</v>
      </c>
      <c r="P31" s="190">
        <f ca="1">HPR!I24</f>
        <v>3.4669515567403955E-2</v>
      </c>
      <c r="Q31" s="190" t="e">
        <f ca="1">P31-$P$15</f>
        <v>#NAME?</v>
      </c>
      <c r="R31" s="190">
        <f>VLOOKUP(K31,VolIndicesRA!$A:$C,3,0)</f>
        <v>2.1026951824470879E-2</v>
      </c>
      <c r="S31" s="244">
        <f ca="1">P31/(R31/SQRT($M$8))</f>
        <v>3.2976263851098042</v>
      </c>
    </row>
    <row r="32" spans="1:20">
      <c r="A32" s="185"/>
      <c r="B32" s="200">
        <f ca="1">HPR!U45</f>
        <v>46127</v>
      </c>
      <c r="C32" s="196">
        <f>HPR!V45</f>
        <v>4</v>
      </c>
      <c r="D32" s="200">
        <f ca="1">HPR!X45</f>
        <v>46127</v>
      </c>
      <c r="E32" s="196">
        <f>HPR!Y45</f>
        <v>4.25</v>
      </c>
      <c r="F32" s="200">
        <f ca="1">HPR!AA45</f>
        <v>46127</v>
      </c>
      <c r="G32" s="196">
        <f>HPR!AB45</f>
        <v>4.5</v>
      </c>
      <c r="H32" s="200">
        <f ca="1">HPR!R28</f>
        <v>46127</v>
      </c>
      <c r="I32" s="196">
        <f>HPR!S28</f>
        <v>4.1749999999999998</v>
      </c>
      <c r="J32" s="185"/>
      <c r="K32" s="189" t="str">
        <f>HPR!B25</f>
        <v>Corp UF 05 / A</v>
      </c>
      <c r="L32" s="244">
        <f>HPR!C25</f>
        <v>2.52</v>
      </c>
      <c r="M32" s="244">
        <f ca="1">HPR!F25</f>
        <v>1.5514998210517492</v>
      </c>
      <c r="N32" s="190">
        <f ca="1">HPR!G25</f>
        <v>1.8869515557028461E-2</v>
      </c>
      <c r="O32" s="190">
        <f ca="1">HPR!H25</f>
        <v>4.2484874516529929E-2</v>
      </c>
      <c r="P32" s="190">
        <f ca="1">HPR!I25</f>
        <v>6.135439007355839E-2</v>
      </c>
      <c r="Q32" s="190" t="e">
        <f ca="1">P32-$P$15</f>
        <v>#NAME?</v>
      </c>
      <c r="R32" s="190">
        <f>VLOOKUP(K32,VolIndicesRA!$A:$C,3,0)</f>
        <v>1.984981598442034E-2</v>
      </c>
      <c r="S32" s="244">
        <f ca="1">P32/(R32/SQRT($M$8))</f>
        <v>6.1818598340371542</v>
      </c>
    </row>
    <row r="33" spans="1:30" ht="12.75" thickBot="1">
      <c r="A33" s="185"/>
      <c r="B33" s="201">
        <f ca="1">HPR!U46</f>
        <v>46492</v>
      </c>
      <c r="C33" s="198">
        <f>HPR!V46</f>
        <v>4</v>
      </c>
      <c r="D33" s="201">
        <f ca="1">HPR!X46</f>
        <v>46492</v>
      </c>
      <c r="E33" s="198">
        <f>HPR!Y46</f>
        <v>4.25</v>
      </c>
      <c r="F33" s="201">
        <f ca="1">HPR!AA46</f>
        <v>46492</v>
      </c>
      <c r="G33" s="198">
        <f>HPR!AB46</f>
        <v>4.5</v>
      </c>
      <c r="H33" s="201">
        <f ca="1">HPR!R29</f>
        <v>46492</v>
      </c>
      <c r="I33" s="198">
        <f>HPR!S29</f>
        <v>4.1749999999999998</v>
      </c>
      <c r="J33" s="185"/>
      <c r="K33" s="189" t="str">
        <f>HPR!B26</f>
        <v>Corp UF 10 / A</v>
      </c>
      <c r="L33" s="244">
        <f>HPR!C26</f>
        <v>2.9299999999999997</v>
      </c>
      <c r="M33" s="244">
        <f ca="1">HPR!F26</f>
        <v>1.7654999999912144</v>
      </c>
      <c r="N33" s="190">
        <f ca="1">HPR!G26</f>
        <v>2.023618222369513E-2</v>
      </c>
      <c r="O33" s="190">
        <f ca="1">HPR!H26</f>
        <v>6.9016033333854004E-2</v>
      </c>
      <c r="P33" s="190">
        <f ca="1">HPR!I26</f>
        <v>8.9252215557549142E-2</v>
      </c>
      <c r="Q33" s="190" t="e">
        <f ca="1">P33-$P$15</f>
        <v>#NAME?</v>
      </c>
      <c r="R33" s="190">
        <f>VLOOKUP(K33,VolIndicesRA!$A:$C,3,0)</f>
        <v>1.7307721645920548E-2</v>
      </c>
      <c r="S33" s="244">
        <f ca="1">P33/(R33/SQRT($M$8))</f>
        <v>10.313571870805538</v>
      </c>
    </row>
    <row r="34" spans="1:30">
      <c r="A34" s="185"/>
      <c r="B34" s="185"/>
      <c r="C34" s="185"/>
      <c r="D34" s="185"/>
      <c r="E34" s="185"/>
      <c r="F34" s="185"/>
      <c r="G34" s="185"/>
      <c r="H34" s="185"/>
      <c r="I34" s="185"/>
      <c r="J34" s="185"/>
    </row>
    <row r="35" spans="1:30" ht="12.75" thickBot="1">
      <c r="A35" s="185"/>
      <c r="B35" s="188" t="s">
        <v>47</v>
      </c>
      <c r="C35" s="188" t="s">
        <v>155</v>
      </c>
      <c r="D35" s="206" t="s">
        <v>153</v>
      </c>
      <c r="E35" s="206" t="s">
        <v>154</v>
      </c>
      <c r="F35" s="206" t="s">
        <v>146</v>
      </c>
      <c r="G35" s="206" t="s">
        <v>37</v>
      </c>
      <c r="H35" s="206" t="s">
        <v>39</v>
      </c>
      <c r="I35" s="206" t="s">
        <v>40</v>
      </c>
      <c r="J35" s="206" t="s">
        <v>228</v>
      </c>
      <c r="K35" s="206" t="s">
        <v>229</v>
      </c>
      <c r="V35" s="209" t="s">
        <v>155</v>
      </c>
      <c r="W35" s="209" t="s">
        <v>100</v>
      </c>
      <c r="X35" s="209" t="s">
        <v>184</v>
      </c>
      <c r="Y35" s="209" t="s">
        <v>185</v>
      </c>
      <c r="Z35" s="209" t="s">
        <v>146</v>
      </c>
      <c r="AA35" s="209" t="str">
        <f>B5</f>
        <v>Dove</v>
      </c>
      <c r="AB35" s="209" t="str">
        <f>D5</f>
        <v>Base</v>
      </c>
      <c r="AC35" s="209" t="str">
        <f>F5</f>
        <v>Hawk</v>
      </c>
      <c r="AD35" s="209" t="str">
        <f>J35</f>
        <v>Swap Eq</v>
      </c>
    </row>
    <row r="36" spans="1:30">
      <c r="A36" s="185"/>
      <c r="B36" s="189" t="str">
        <f>HPR!BC3</f>
        <v>N/A</v>
      </c>
      <c r="C36" s="189" t="str">
        <f>HPR!BD3</f>
        <v>BCP0600117</v>
      </c>
      <c r="D36" s="205">
        <f ca="1">HPR!BG3</f>
        <v>-1.5577421385410632E-12</v>
      </c>
      <c r="E36" s="205" t="str">
        <f>HPR!BI3</f>
        <v>N/A</v>
      </c>
      <c r="F36" s="205" t="str">
        <f ca="1">HPR!BJ3</f>
        <v>N/A</v>
      </c>
      <c r="G36" s="205">
        <f>VLOOKUP($C36,Bear!$AM:$AP,4,0)</f>
        <v>3.6169386604233211</v>
      </c>
      <c r="H36" s="205">
        <f>VLOOKUP($C36,Base!$AM:$AP,4,0)</f>
        <v>3.6169386604233211</v>
      </c>
      <c r="I36" s="205">
        <f>VLOOKUP($C36,Bull!$AM:$AP,4,0)</f>
        <v>3.6169386604233211</v>
      </c>
      <c r="J36" s="205">
        <f ca="1">HPR!BN3</f>
        <v>3.5936326731886075</v>
      </c>
      <c r="K36" s="205" t="str">
        <f t="shared" ref="K36:K57" ca="1" si="2">IFERROR(J36-E36,"N/A")</f>
        <v>N/A</v>
      </c>
      <c r="V36" s="207" t="str">
        <f t="shared" ref="V36:V58" si="3">C36</f>
        <v>BCP0600117</v>
      </c>
      <c r="W36" s="208">
        <f t="shared" ref="W36:W56" si="4">DATE("20"&amp;RIGHT(V36,2),MID(V36,7,2),1)</f>
        <v>42736</v>
      </c>
      <c r="X36" s="207">
        <f t="shared" ref="X36:X58" ca="1" si="5">D36</f>
        <v>-1.5577421385410632E-12</v>
      </c>
      <c r="Y36" s="207" t="str">
        <f t="shared" ref="Y36:Y58" si="6">E36</f>
        <v>N/A</v>
      </c>
      <c r="Z36" s="207" t="str">
        <f t="shared" ref="Z36:Z58" ca="1" si="7">F36</f>
        <v>N/A</v>
      </c>
      <c r="AA36" s="207">
        <f t="shared" ref="AA36:AA58" si="8">G36</f>
        <v>3.6169386604233211</v>
      </c>
      <c r="AB36" s="207">
        <f t="shared" ref="AB36:AB58" si="9">H36</f>
        <v>3.6169386604233211</v>
      </c>
      <c r="AC36" s="207">
        <f t="shared" ref="AC36:AC58" si="10">I36</f>
        <v>3.6169386604233211</v>
      </c>
      <c r="AD36" s="207">
        <f t="shared" ref="AD36:AD58" ca="1" si="11">J36</f>
        <v>3.5936326731886075</v>
      </c>
    </row>
    <row r="37" spans="1:30">
      <c r="A37" s="185"/>
      <c r="B37" s="189" t="str">
        <f>HPR!BC4</f>
        <v>N/A</v>
      </c>
      <c r="C37" s="189" t="str">
        <f>HPR!BD4</f>
        <v>BTP0600317</v>
      </c>
      <c r="D37" s="205">
        <f ca="1">HPR!BG4</f>
        <v>-3.9276540055250067E-12</v>
      </c>
      <c r="E37" s="205" t="str">
        <f>HPR!BI4</f>
        <v>N/A</v>
      </c>
      <c r="F37" s="205" t="str">
        <f ca="1">HPR!BJ4</f>
        <v>N/A</v>
      </c>
      <c r="G37" s="205">
        <f>VLOOKUP($C37,Bear!$AM:$AP,4,0)</f>
        <v>3.6168345350865314</v>
      </c>
      <c r="H37" s="205">
        <f>VLOOKUP($C37,Base!$AM:$AP,4,0)</f>
        <v>3.6210358688097015</v>
      </c>
      <c r="I37" s="205">
        <f>VLOOKUP($C37,Bull!$AM:$AP,4,0)</f>
        <v>3.6210358688097015</v>
      </c>
      <c r="J37" s="205">
        <f ca="1">HPR!BN4</f>
        <v>3.5485268977973119</v>
      </c>
      <c r="K37" s="205" t="str">
        <f t="shared" ca="1" si="2"/>
        <v>N/A</v>
      </c>
      <c r="V37" s="207" t="str">
        <f t="shared" si="3"/>
        <v>BTP0600317</v>
      </c>
      <c r="W37" s="208">
        <f t="shared" si="4"/>
        <v>42795</v>
      </c>
      <c r="X37" s="207">
        <f t="shared" ca="1" si="5"/>
        <v>-3.9276540055250067E-12</v>
      </c>
      <c r="Y37" s="207" t="str">
        <f t="shared" si="6"/>
        <v>N/A</v>
      </c>
      <c r="Z37" s="207" t="str">
        <f t="shared" ca="1" si="7"/>
        <v>N/A</v>
      </c>
      <c r="AA37" s="207">
        <f t="shared" si="8"/>
        <v>3.6168345350865314</v>
      </c>
      <c r="AB37" s="207">
        <f t="shared" si="9"/>
        <v>3.6210358688097015</v>
      </c>
      <c r="AC37" s="207">
        <f t="shared" si="10"/>
        <v>3.6210358688097015</v>
      </c>
      <c r="AD37" s="207">
        <f t="shared" ca="1" si="11"/>
        <v>3.5485268977973119</v>
      </c>
    </row>
    <row r="38" spans="1:30">
      <c r="A38" s="185"/>
      <c r="B38" s="189" t="str">
        <f>HPR!BC5</f>
        <v>N/A</v>
      </c>
      <c r="C38" s="189" t="str">
        <f>HPR!BD5</f>
        <v>BCP0600617</v>
      </c>
      <c r="D38" s="205">
        <f ca="1">HPR!BG5</f>
        <v>-1.3075232872328604E-11</v>
      </c>
      <c r="E38" s="205" t="str">
        <f>HPR!BI5</f>
        <v>N/A</v>
      </c>
      <c r="F38" s="205" t="str">
        <f ca="1">HPR!BJ5</f>
        <v>N/A</v>
      </c>
      <c r="G38" s="205">
        <f>VLOOKUP($C38,Bear!$AM:$AP,4,0)</f>
        <v>3.4781232907369661</v>
      </c>
      <c r="H38" s="205">
        <f>VLOOKUP($C38,Base!$AM:$AP,4,0)</f>
        <v>3.6273603283475042</v>
      </c>
      <c r="I38" s="205">
        <f>VLOOKUP($C38,Bull!$AM:$AP,4,0)</f>
        <v>3.6273603283475042</v>
      </c>
      <c r="J38" s="205">
        <f ca="1">HPR!BN5</f>
        <v>3.4517233182795843</v>
      </c>
      <c r="K38" s="205" t="str">
        <f t="shared" ca="1" si="2"/>
        <v>N/A</v>
      </c>
      <c r="V38" s="207" t="str">
        <f t="shared" si="3"/>
        <v>BCP0600617</v>
      </c>
      <c r="W38" s="208">
        <f t="shared" si="4"/>
        <v>42887</v>
      </c>
      <c r="X38" s="207">
        <f t="shared" ca="1" si="5"/>
        <v>-1.3075232872328604E-11</v>
      </c>
      <c r="Y38" s="207" t="str">
        <f t="shared" si="6"/>
        <v>N/A</v>
      </c>
      <c r="Z38" s="207" t="str">
        <f t="shared" ca="1" si="7"/>
        <v>N/A</v>
      </c>
      <c r="AA38" s="207">
        <f t="shared" si="8"/>
        <v>3.4781232907369661</v>
      </c>
      <c r="AB38" s="207">
        <f t="shared" si="9"/>
        <v>3.6273603283475042</v>
      </c>
      <c r="AC38" s="207">
        <f t="shared" si="10"/>
        <v>3.6273603283475042</v>
      </c>
      <c r="AD38" s="207">
        <f t="shared" ca="1" si="11"/>
        <v>3.4517233182795843</v>
      </c>
    </row>
    <row r="39" spans="1:30">
      <c r="A39" s="185"/>
      <c r="B39" s="189" t="str">
        <f>HPR!BC6</f>
        <v>N/A</v>
      </c>
      <c r="C39" s="189" t="str">
        <f>HPR!BD6</f>
        <v>BTP0600118</v>
      </c>
      <c r="D39" s="205">
        <f ca="1">HPR!BG6</f>
        <v>-1.161960800065984E-10</v>
      </c>
      <c r="E39" s="205" t="str">
        <f>HPR!BI6</f>
        <v>N/A</v>
      </c>
      <c r="F39" s="205" t="str">
        <f ca="1">HPR!BJ6</f>
        <v>N/A</v>
      </c>
      <c r="G39" s="205">
        <f>VLOOKUP($C39,Bear!$AM:$AP,4,0)</f>
        <v>3.3108181245739101</v>
      </c>
      <c r="H39" s="205">
        <f>VLOOKUP($C39,Base!$AM:$AP,4,0)</f>
        <v>3.6419530210773372</v>
      </c>
      <c r="I39" s="205">
        <f>VLOOKUP($C39,Bull!$AM:$AP,4,0)</f>
        <v>3.7085816066804691</v>
      </c>
      <c r="J39" s="205">
        <f ca="1">HPR!BN6</f>
        <v>3.3554106943146405</v>
      </c>
      <c r="K39" s="205" t="str">
        <f t="shared" ca="1" si="2"/>
        <v>N/A</v>
      </c>
      <c r="V39" s="207" t="str">
        <f t="shared" si="3"/>
        <v>BTP0600118</v>
      </c>
      <c r="W39" s="208">
        <f t="shared" si="4"/>
        <v>43101</v>
      </c>
      <c r="X39" s="207">
        <f t="shared" ca="1" si="5"/>
        <v>-1.161960800065984E-10</v>
      </c>
      <c r="Y39" s="207" t="str">
        <f t="shared" si="6"/>
        <v>N/A</v>
      </c>
      <c r="Z39" s="207" t="str">
        <f t="shared" ca="1" si="7"/>
        <v>N/A</v>
      </c>
      <c r="AA39" s="207">
        <f t="shared" si="8"/>
        <v>3.3108181245739101</v>
      </c>
      <c r="AB39" s="207">
        <f t="shared" si="9"/>
        <v>3.6419530210773372</v>
      </c>
      <c r="AC39" s="207">
        <f t="shared" si="10"/>
        <v>3.7085816066804691</v>
      </c>
      <c r="AD39" s="207">
        <f t="shared" ca="1" si="11"/>
        <v>3.3554106943146405</v>
      </c>
    </row>
    <row r="40" spans="1:30">
      <c r="A40" s="185"/>
      <c r="B40" s="189" t="str">
        <f>HPR!BC7</f>
        <v>PESO-02</v>
      </c>
      <c r="C40" s="189" t="str">
        <f>HPR!BD7</f>
        <v>BTP0600318</v>
      </c>
      <c r="D40" s="205">
        <f ca="1">HPR!BG7</f>
        <v>-1.9136251749331777E-10</v>
      </c>
      <c r="E40" s="205" t="str">
        <f>HPR!BI7</f>
        <v>N/A</v>
      </c>
      <c r="F40" s="205" t="str">
        <f ca="1">HPR!BJ7</f>
        <v>N/A</v>
      </c>
      <c r="G40" s="205">
        <f>VLOOKUP($C40,Bear!$AM:$AP,4,0)</f>
        <v>3.3056311753592151</v>
      </c>
      <c r="H40" s="205">
        <f>VLOOKUP($C40,Base!$AM:$AP,4,0)</f>
        <v>3.6459595757269381</v>
      </c>
      <c r="I40" s="205">
        <f>VLOOKUP($C40,Bull!$AM:$AP,4,0)</f>
        <v>3.7710388130388859</v>
      </c>
      <c r="J40" s="205">
        <f ca="1">HPR!BN7</f>
        <v>3.3339220543477941</v>
      </c>
      <c r="K40" s="205" t="str">
        <f t="shared" ca="1" si="2"/>
        <v>N/A</v>
      </c>
      <c r="V40" s="207" t="str">
        <f t="shared" si="3"/>
        <v>BTP0600318</v>
      </c>
      <c r="W40" s="208">
        <f t="shared" si="4"/>
        <v>43160</v>
      </c>
      <c r="X40" s="207">
        <f t="shared" ca="1" si="5"/>
        <v>-1.9136251749331777E-10</v>
      </c>
      <c r="Y40" s="207" t="str">
        <f t="shared" si="6"/>
        <v>N/A</v>
      </c>
      <c r="Z40" s="207" t="str">
        <f t="shared" ca="1" si="7"/>
        <v>N/A</v>
      </c>
      <c r="AA40" s="207">
        <f t="shared" si="8"/>
        <v>3.3056311753592151</v>
      </c>
      <c r="AB40" s="207">
        <f t="shared" si="9"/>
        <v>3.6459595757269381</v>
      </c>
      <c r="AC40" s="207">
        <f t="shared" si="10"/>
        <v>3.7710388130388859</v>
      </c>
      <c r="AD40" s="207">
        <f t="shared" ca="1" si="11"/>
        <v>3.3339220543477941</v>
      </c>
    </row>
    <row r="41" spans="1:30">
      <c r="A41" s="185"/>
      <c r="B41" s="189" t="str">
        <f>HPR!BC8</f>
        <v>PESO-02</v>
      </c>
      <c r="C41" s="189" t="str">
        <f>HPR!BD8</f>
        <v>BCP0600318</v>
      </c>
      <c r="D41" s="205">
        <f ca="1">HPR!BG8</f>
        <v>-1.9136251749331777E-10</v>
      </c>
      <c r="E41" s="205">
        <f>HPR!BI8</f>
        <v>3.48</v>
      </c>
      <c r="F41" s="205">
        <f ca="1">HPR!BJ8</f>
        <v>3.4800000001913625</v>
      </c>
      <c r="G41" s="205">
        <f>VLOOKUP($C41,Bear!$AM:$AP,4,0)</f>
        <v>3.3056311753592151</v>
      </c>
      <c r="H41" s="205">
        <f>VLOOKUP($C41,Base!$AM:$AP,4,0)</f>
        <v>3.6459595757269381</v>
      </c>
      <c r="I41" s="205">
        <f>VLOOKUP($C41,Bull!$AM:$AP,4,0)</f>
        <v>3.7710388130388859</v>
      </c>
      <c r="J41" s="205">
        <f ca="1">HPR!BN8</f>
        <v>3.3339220543477941</v>
      </c>
      <c r="K41" s="205">
        <f t="shared" ca="1" si="2"/>
        <v>-0.14607794565220589</v>
      </c>
      <c r="V41" s="207" t="str">
        <f t="shared" si="3"/>
        <v>BCP0600318</v>
      </c>
      <c r="W41" s="208">
        <f t="shared" si="4"/>
        <v>43160</v>
      </c>
      <c r="X41" s="207">
        <f t="shared" ca="1" si="5"/>
        <v>-1.9136251749331777E-10</v>
      </c>
      <c r="Y41" s="207">
        <f t="shared" si="6"/>
        <v>3.48</v>
      </c>
      <c r="Z41" s="207">
        <f t="shared" ca="1" si="7"/>
        <v>3.4800000001913625</v>
      </c>
      <c r="AA41" s="207">
        <f t="shared" si="8"/>
        <v>3.3056311753592151</v>
      </c>
      <c r="AB41" s="207">
        <f t="shared" si="9"/>
        <v>3.6459595757269381</v>
      </c>
      <c r="AC41" s="207">
        <f t="shared" si="10"/>
        <v>3.7710388130388859</v>
      </c>
      <c r="AD41" s="207">
        <f t="shared" ca="1" si="11"/>
        <v>3.3339220543477941</v>
      </c>
    </row>
    <row r="42" spans="1:30">
      <c r="A42" s="185"/>
      <c r="B42" s="189" t="str">
        <f>HPR!BC9</f>
        <v>PESO-02</v>
      </c>
      <c r="C42" s="189" t="str">
        <f>HPR!BD9</f>
        <v>BCP0600518</v>
      </c>
      <c r="D42" s="205">
        <f ca="1">HPR!BG9</f>
        <v>-3.1013453895387295E-10</v>
      </c>
      <c r="E42" s="205" t="str">
        <f>HPR!BI9</f>
        <v>N/A</v>
      </c>
      <c r="F42" s="205" t="str">
        <f ca="1">HPR!BJ9</f>
        <v>N/A</v>
      </c>
      <c r="G42" s="205">
        <f>VLOOKUP($C42,Bear!$AM:$AP,4,0)</f>
        <v>3.3345294030873256</v>
      </c>
      <c r="H42" s="205">
        <f>VLOOKUP($C42,Base!$AM:$AP,4,0)</f>
        <v>3.6510172398954648</v>
      </c>
      <c r="I42" s="205">
        <f>VLOOKUP($C42,Bull!$AM:$AP,4,0)</f>
        <v>3.8401787016435893</v>
      </c>
      <c r="J42" s="205">
        <f ca="1">HPR!BN9</f>
        <v>3.311138942320242</v>
      </c>
      <c r="K42" s="205" t="str">
        <f t="shared" ca="1" si="2"/>
        <v>N/A</v>
      </c>
      <c r="V42" s="207" t="str">
        <f t="shared" si="3"/>
        <v>BCP0600518</v>
      </c>
      <c r="W42" s="208">
        <f t="shared" si="4"/>
        <v>43221</v>
      </c>
      <c r="X42" s="207">
        <f t="shared" ca="1" si="5"/>
        <v>-3.1013453895387295E-10</v>
      </c>
      <c r="Y42" s="207" t="str">
        <f t="shared" si="6"/>
        <v>N/A</v>
      </c>
      <c r="Z42" s="207" t="str">
        <f t="shared" ca="1" si="7"/>
        <v>N/A</v>
      </c>
      <c r="AA42" s="207">
        <f t="shared" si="8"/>
        <v>3.3345294030873256</v>
      </c>
      <c r="AB42" s="207">
        <f t="shared" si="9"/>
        <v>3.6510172398954648</v>
      </c>
      <c r="AC42" s="207">
        <f t="shared" si="10"/>
        <v>3.8401787016435893</v>
      </c>
      <c r="AD42" s="207">
        <f t="shared" ca="1" si="11"/>
        <v>3.311138942320242</v>
      </c>
    </row>
    <row r="43" spans="1:30">
      <c r="A43" s="185"/>
      <c r="B43" s="189" t="str">
        <f>HPR!BC10</f>
        <v>PESO-02</v>
      </c>
      <c r="C43" s="189" t="str">
        <f>HPR!BD10</f>
        <v>BCP0600618</v>
      </c>
      <c r="D43" s="205">
        <f ca="1">HPR!BG10</f>
        <v>-3.8980185488386894E-10</v>
      </c>
      <c r="E43" s="205" t="str">
        <f>HPR!BI10</f>
        <v>N/A</v>
      </c>
      <c r="F43" s="205" t="str">
        <f ca="1">HPR!BJ10</f>
        <v>N/A</v>
      </c>
      <c r="G43" s="205">
        <f>VLOOKUP($C43,Bear!$AM:$AP,4,0)</f>
        <v>3.3526144133463491</v>
      </c>
      <c r="H43" s="205">
        <f>VLOOKUP($C43,Base!$AM:$AP,4,0)</f>
        <v>3.6565351265817703</v>
      </c>
      <c r="I43" s="205">
        <f>VLOOKUP($C43,Bull!$AM:$AP,4,0)</f>
        <v>3.8738096244251015</v>
      </c>
      <c r="J43" s="205">
        <f ca="1">HPR!BN10</f>
        <v>3.3114071096607591</v>
      </c>
      <c r="K43" s="205" t="str">
        <f t="shared" ca="1" si="2"/>
        <v>N/A</v>
      </c>
      <c r="V43" s="207" t="str">
        <f t="shared" si="3"/>
        <v>BCP0600618</v>
      </c>
      <c r="W43" s="208">
        <f t="shared" si="4"/>
        <v>43252</v>
      </c>
      <c r="X43" s="207">
        <f t="shared" ca="1" si="5"/>
        <v>-3.8980185488386894E-10</v>
      </c>
      <c r="Y43" s="207" t="str">
        <f t="shared" si="6"/>
        <v>N/A</v>
      </c>
      <c r="Z43" s="207" t="str">
        <f t="shared" ca="1" si="7"/>
        <v>N/A</v>
      </c>
      <c r="AA43" s="207">
        <f t="shared" si="8"/>
        <v>3.3526144133463491</v>
      </c>
      <c r="AB43" s="207">
        <f t="shared" si="9"/>
        <v>3.6565351265817703</v>
      </c>
      <c r="AC43" s="207">
        <f t="shared" si="10"/>
        <v>3.8738096244251015</v>
      </c>
      <c r="AD43" s="207">
        <f t="shared" ca="1" si="11"/>
        <v>3.3114071096607591</v>
      </c>
    </row>
    <row r="44" spans="1:30">
      <c r="A44" s="185"/>
      <c r="B44" s="189" t="str">
        <f>HPR!BC11</f>
        <v>PESO-02</v>
      </c>
      <c r="C44" s="189" t="str">
        <f>HPR!BD11</f>
        <v>BTP0600119</v>
      </c>
      <c r="D44" s="205">
        <f ca="1">HPR!BG11</f>
        <v>-1.6014279901623539E-9</v>
      </c>
      <c r="E44" s="205" t="str">
        <f>HPR!BI11</f>
        <v>N/A</v>
      </c>
      <c r="F44" s="205" t="str">
        <f ca="1">HPR!BJ11</f>
        <v>N/A</v>
      </c>
      <c r="G44" s="205">
        <f>VLOOKUP($C44,Bear!$AM:$AP,4,0)</f>
        <v>3.43930559839667</v>
      </c>
      <c r="H44" s="205">
        <f>VLOOKUP($C44,Base!$AM:$AP,4,0)</f>
        <v>3.7506435212858964</v>
      </c>
      <c r="I44" s="205">
        <f>VLOOKUP($C44,Bull!$AM:$AP,4,0)</f>
        <v>4.0576190658006066</v>
      </c>
      <c r="J44" s="205">
        <f ca="1">HPR!BN11</f>
        <v>3.3279490982401838</v>
      </c>
      <c r="K44" s="205" t="str">
        <f t="shared" ca="1" si="2"/>
        <v>N/A</v>
      </c>
      <c r="V44" s="207" t="str">
        <f t="shared" si="3"/>
        <v>BTP0600119</v>
      </c>
      <c r="W44" s="208">
        <f t="shared" si="4"/>
        <v>43466</v>
      </c>
      <c r="X44" s="207">
        <f t="shared" ca="1" si="5"/>
        <v>-1.6014279901623539E-9</v>
      </c>
      <c r="Y44" s="207" t="str">
        <f t="shared" si="6"/>
        <v>N/A</v>
      </c>
      <c r="Z44" s="207" t="str">
        <f t="shared" ca="1" si="7"/>
        <v>N/A</v>
      </c>
      <c r="AA44" s="207">
        <f t="shared" si="8"/>
        <v>3.43930559839667</v>
      </c>
      <c r="AB44" s="207">
        <f t="shared" si="9"/>
        <v>3.7506435212858964</v>
      </c>
      <c r="AC44" s="207">
        <f t="shared" si="10"/>
        <v>4.0576190658006066</v>
      </c>
      <c r="AD44" s="207">
        <f t="shared" ca="1" si="11"/>
        <v>3.3279490982401838</v>
      </c>
    </row>
    <row r="45" spans="1:30">
      <c r="A45" s="185"/>
      <c r="B45" s="189" t="str">
        <f>HPR!BC12</f>
        <v>PESO-03</v>
      </c>
      <c r="C45" s="189" t="str">
        <f>HPR!BD12</f>
        <v>BTP0600120</v>
      </c>
      <c r="D45" s="205">
        <f ca="1">HPR!BG12</f>
        <v>-1.0617418546242895E-8</v>
      </c>
      <c r="E45" s="205" t="str">
        <f>HPR!BI12</f>
        <v>N/A</v>
      </c>
      <c r="F45" s="205" t="str">
        <f ca="1">HPR!BJ12</f>
        <v>N/A</v>
      </c>
      <c r="G45" s="205">
        <f>VLOOKUP($C45,Bear!$AM:$AP,4,0)</f>
        <v>3.5495163873725568</v>
      </c>
      <c r="H45" s="205">
        <f>VLOOKUP($C45,Base!$AM:$AP,4,0)</f>
        <v>3.9526036908795175</v>
      </c>
      <c r="I45" s="205">
        <f>VLOOKUP($C45,Bull!$AM:$AP,4,0)</f>
        <v>4.2537538039180518</v>
      </c>
      <c r="J45" s="205">
        <f ca="1">HPR!BN12</f>
        <v>3.4230517172743538</v>
      </c>
      <c r="K45" s="205" t="str">
        <f t="shared" ca="1" si="2"/>
        <v>N/A</v>
      </c>
      <c r="V45" s="207" t="str">
        <f t="shared" si="3"/>
        <v>BTP0600120</v>
      </c>
      <c r="W45" s="208">
        <f t="shared" si="4"/>
        <v>43831</v>
      </c>
      <c r="X45" s="207">
        <f t="shared" ca="1" si="5"/>
        <v>-1.0617418546242895E-8</v>
      </c>
      <c r="Y45" s="207" t="str">
        <f t="shared" si="6"/>
        <v>N/A</v>
      </c>
      <c r="Z45" s="207" t="str">
        <f t="shared" ca="1" si="7"/>
        <v>N/A</v>
      </c>
      <c r="AA45" s="207">
        <f t="shared" si="8"/>
        <v>3.5495163873725568</v>
      </c>
      <c r="AB45" s="207">
        <f t="shared" si="9"/>
        <v>3.9526036908795175</v>
      </c>
      <c r="AC45" s="207">
        <f t="shared" si="10"/>
        <v>4.2537538039180518</v>
      </c>
      <c r="AD45" s="207">
        <f t="shared" ca="1" si="11"/>
        <v>3.4230517172743538</v>
      </c>
    </row>
    <row r="46" spans="1:30">
      <c r="A46" s="185"/>
      <c r="B46" s="189" t="str">
        <f>HPR!BC13</f>
        <v>PESO-04</v>
      </c>
      <c r="C46" s="189" t="str">
        <f>HPR!BD13</f>
        <v>BCP0450420</v>
      </c>
      <c r="D46" s="205">
        <f ca="1">HPR!BG13</f>
        <v>-1.6506739105030983E-8</v>
      </c>
      <c r="E46" s="205">
        <f>HPR!BI13</f>
        <v>3.67</v>
      </c>
      <c r="F46" s="205">
        <f ca="1">HPR!BJ13</f>
        <v>3.670000016506739</v>
      </c>
      <c r="G46" s="205">
        <f>VLOOKUP($C46,Bear!$AM:$AP,4,0)</f>
        <v>3.5908964877599781</v>
      </c>
      <c r="H46" s="205">
        <f>VLOOKUP($C46,Base!$AM:$AP,4,0)</f>
        <v>3.9918808557278611</v>
      </c>
      <c r="I46" s="205">
        <f>VLOOKUP($C46,Bull!$AM:$AP,4,0)</f>
        <v>4.2918195797327208</v>
      </c>
      <c r="J46" s="205">
        <f ca="1">HPR!BN13</f>
        <v>3.4546661657578026</v>
      </c>
      <c r="K46" s="205">
        <f t="shared" ca="1" si="2"/>
        <v>-0.21533383424219732</v>
      </c>
      <c r="V46" s="207" t="str">
        <f t="shared" si="3"/>
        <v>BCP0450420</v>
      </c>
      <c r="W46" s="208">
        <f t="shared" si="4"/>
        <v>43922</v>
      </c>
      <c r="X46" s="207">
        <f t="shared" ca="1" si="5"/>
        <v>-1.6506739105030983E-8</v>
      </c>
      <c r="Y46" s="207">
        <f t="shared" si="6"/>
        <v>3.67</v>
      </c>
      <c r="Z46" s="207">
        <f t="shared" ca="1" si="7"/>
        <v>3.670000016506739</v>
      </c>
      <c r="AA46" s="207">
        <f t="shared" si="8"/>
        <v>3.5908964877599781</v>
      </c>
      <c r="AB46" s="207">
        <f t="shared" si="9"/>
        <v>3.9918808557278611</v>
      </c>
      <c r="AC46" s="207">
        <f t="shared" si="10"/>
        <v>4.2918195797327208</v>
      </c>
      <c r="AD46" s="207">
        <f t="shared" ca="1" si="11"/>
        <v>3.4546661657578026</v>
      </c>
    </row>
    <row r="47" spans="1:30">
      <c r="A47" s="185"/>
      <c r="B47" s="189" t="str">
        <f>HPR!BC14</f>
        <v>PESO-04</v>
      </c>
      <c r="C47" s="189" t="str">
        <f>HPR!BD14</f>
        <v>BCP0450620</v>
      </c>
      <c r="D47" s="205">
        <f ca="1">HPR!BG14</f>
        <v>-2.1349087220398806E-8</v>
      </c>
      <c r="E47" s="205">
        <f>HPR!BI14</f>
        <v>3.7</v>
      </c>
      <c r="F47" s="205">
        <f ca="1">HPR!BJ14</f>
        <v>3.7000000213490876</v>
      </c>
      <c r="G47" s="205">
        <f>VLOOKUP($C47,Bear!$AM:$AP,4,0)</f>
        <v>3.6175160000805517</v>
      </c>
      <c r="H47" s="205">
        <f>VLOOKUP($C47,Base!$AM:$AP,4,0)</f>
        <v>4.0128084258761287</v>
      </c>
      <c r="I47" s="205">
        <f>VLOOKUP($C47,Bull!$AM:$AP,4,0)</f>
        <v>4.3112540602021019</v>
      </c>
      <c r="J47" s="205">
        <f ca="1">HPR!BN14</f>
        <v>3.4750020235707844</v>
      </c>
      <c r="K47" s="205">
        <f t="shared" ca="1" si="2"/>
        <v>-0.22499797642921582</v>
      </c>
      <c r="V47" s="207" t="str">
        <f t="shared" si="3"/>
        <v>BCP0450620</v>
      </c>
      <c r="W47" s="208">
        <f t="shared" si="4"/>
        <v>43983</v>
      </c>
      <c r="X47" s="207">
        <f t="shared" ca="1" si="5"/>
        <v>-2.1349087220398806E-8</v>
      </c>
      <c r="Y47" s="207">
        <f t="shared" si="6"/>
        <v>3.7</v>
      </c>
      <c r="Z47" s="207">
        <f t="shared" ca="1" si="7"/>
        <v>3.7000000213490876</v>
      </c>
      <c r="AA47" s="207">
        <f t="shared" si="8"/>
        <v>3.6175160000805517</v>
      </c>
      <c r="AB47" s="207">
        <f t="shared" si="9"/>
        <v>4.0128084258761287</v>
      </c>
      <c r="AC47" s="207">
        <f t="shared" si="10"/>
        <v>4.3112540602021019</v>
      </c>
      <c r="AD47" s="207">
        <f t="shared" ca="1" si="11"/>
        <v>3.4750020235707844</v>
      </c>
    </row>
    <row r="48" spans="1:30">
      <c r="A48" s="185"/>
      <c r="B48" s="189" t="str">
        <f>HPR!BC15</f>
        <v>PESO-04</v>
      </c>
      <c r="C48" s="189" t="str">
        <f>HPR!BD15</f>
        <v>BCP0600221</v>
      </c>
      <c r="D48" s="205">
        <f ca="1">HPR!BG15</f>
        <v>-5.2269621731142885E-8</v>
      </c>
      <c r="E48" s="205">
        <f>HPR!BI15</f>
        <v>3.84</v>
      </c>
      <c r="F48" s="205">
        <f ca="1">HPR!BJ15</f>
        <v>3.8400000522696214</v>
      </c>
      <c r="G48" s="205">
        <f>VLOOKUP($C48,Bear!$AM:$AP,4,0)</f>
        <v>3.6997807433927754</v>
      </c>
      <c r="H48" s="205">
        <f>VLOOKUP($C48,Base!$AM:$AP,4,0)</f>
        <v>4.0755687027470415</v>
      </c>
      <c r="I48" s="205">
        <f>VLOOKUP($C48,Bull!$AM:$AP,4,0)</f>
        <v>4.3683253913408615</v>
      </c>
      <c r="J48" s="205">
        <f ca="1">HPR!BN15</f>
        <v>3.5558147360343191</v>
      </c>
      <c r="K48" s="205">
        <f t="shared" ca="1" si="2"/>
        <v>-0.28418526396568078</v>
      </c>
      <c r="V48" s="207" t="str">
        <f t="shared" si="3"/>
        <v>BCP0600221</v>
      </c>
      <c r="W48" s="208">
        <f t="shared" si="4"/>
        <v>44228</v>
      </c>
      <c r="X48" s="207">
        <f t="shared" ca="1" si="5"/>
        <v>-5.2269621731142885E-8</v>
      </c>
      <c r="Y48" s="207">
        <f t="shared" si="6"/>
        <v>3.84</v>
      </c>
      <c r="Z48" s="207">
        <f t="shared" ca="1" si="7"/>
        <v>3.8400000522696214</v>
      </c>
      <c r="AA48" s="207">
        <f t="shared" si="8"/>
        <v>3.6997807433927754</v>
      </c>
      <c r="AB48" s="207">
        <f t="shared" si="9"/>
        <v>4.0755687027470415</v>
      </c>
      <c r="AC48" s="207">
        <f t="shared" si="10"/>
        <v>4.3683253913408615</v>
      </c>
      <c r="AD48" s="207">
        <f t="shared" ca="1" si="11"/>
        <v>3.5558147360343191</v>
      </c>
    </row>
    <row r="49" spans="1:38">
      <c r="A49" s="185"/>
      <c r="B49" s="189" t="str">
        <f>HPR!BC16</f>
        <v>PESO-05</v>
      </c>
      <c r="C49" s="189" t="str">
        <f>HPR!BD16</f>
        <v>BTP0450321</v>
      </c>
      <c r="D49" s="205">
        <f ca="1">HPR!BG16</f>
        <v>-6.086230572082893E-8</v>
      </c>
      <c r="E49" s="205">
        <f>HPR!BI16</f>
        <v>3.84</v>
      </c>
      <c r="F49" s="205">
        <f ca="1">HPR!BJ16</f>
        <v>3.8400000608623057</v>
      </c>
      <c r="G49" s="205">
        <f>VLOOKUP($C49,Bear!$AM:$AP,4,0)</f>
        <v>3.7131662217622634</v>
      </c>
      <c r="H49" s="205">
        <f>VLOOKUP($C49,Base!$AM:$AP,4,0)</f>
        <v>4.0877304133427268</v>
      </c>
      <c r="I49" s="205">
        <f>VLOOKUP($C49,Bull!$AM:$AP,4,0)</f>
        <v>4.3808110536049627</v>
      </c>
      <c r="J49" s="205">
        <f ca="1">HPR!BN16</f>
        <v>3.5698611919377132</v>
      </c>
      <c r="K49" s="205">
        <f t="shared" ca="1" si="2"/>
        <v>-0.27013880806228663</v>
      </c>
      <c r="V49" s="207" t="str">
        <f t="shared" si="3"/>
        <v>BTP0450321</v>
      </c>
      <c r="W49" s="208">
        <f t="shared" si="4"/>
        <v>44256</v>
      </c>
      <c r="X49" s="207">
        <f t="shared" ca="1" si="5"/>
        <v>-6.086230572082893E-8</v>
      </c>
      <c r="Y49" s="207">
        <f t="shared" si="6"/>
        <v>3.84</v>
      </c>
      <c r="Z49" s="207">
        <f t="shared" ca="1" si="7"/>
        <v>3.8400000608623057</v>
      </c>
      <c r="AA49" s="207">
        <f t="shared" si="8"/>
        <v>3.7131662217622634</v>
      </c>
      <c r="AB49" s="207">
        <f t="shared" si="9"/>
        <v>4.0877304133427268</v>
      </c>
      <c r="AC49" s="207">
        <f t="shared" si="10"/>
        <v>4.3808110536049627</v>
      </c>
      <c r="AD49" s="207">
        <f t="shared" ca="1" si="11"/>
        <v>3.5698611919377132</v>
      </c>
    </row>
    <row r="50" spans="1:38">
      <c r="A50" s="185"/>
      <c r="B50" s="189" t="str">
        <f>HPR!BC17</f>
        <v>PESO-05</v>
      </c>
      <c r="C50" s="189" t="str">
        <f>HPR!BD17</f>
        <v>BTP0600122</v>
      </c>
      <c r="D50" s="205">
        <f ca="1">HPR!BG17</f>
        <v>-1.5712462908675992E-7</v>
      </c>
      <c r="E50" s="205" t="str">
        <f>HPR!BI17</f>
        <v>N/A</v>
      </c>
      <c r="F50" s="205" t="str">
        <f ca="1">HPR!BJ17</f>
        <v>N/A</v>
      </c>
      <c r="G50" s="205">
        <f>VLOOKUP($C50,Bear!$AM:$AP,4,0)</f>
        <v>3.7827422433818287</v>
      </c>
      <c r="H50" s="205">
        <f>VLOOKUP($C50,Base!$AM:$AP,4,0)</f>
        <v>4.1411772748241438</v>
      </c>
      <c r="I50" s="205">
        <f>VLOOKUP($C50,Bull!$AM:$AP,4,0)</f>
        <v>4.4295778404241206</v>
      </c>
      <c r="J50" s="205">
        <f ca="1">HPR!BN17</f>
        <v>3.6662407395280932</v>
      </c>
      <c r="K50" s="205" t="str">
        <f t="shared" ca="1" si="2"/>
        <v>N/A</v>
      </c>
      <c r="V50" s="207" t="str">
        <f t="shared" si="3"/>
        <v>BTP0600122</v>
      </c>
      <c r="W50" s="208">
        <f t="shared" si="4"/>
        <v>44562</v>
      </c>
      <c r="X50" s="207">
        <f t="shared" ca="1" si="5"/>
        <v>-1.5712462908675992E-7</v>
      </c>
      <c r="Y50" s="207" t="str">
        <f t="shared" si="6"/>
        <v>N/A</v>
      </c>
      <c r="Z50" s="207" t="str">
        <f t="shared" ca="1" si="7"/>
        <v>N/A</v>
      </c>
      <c r="AA50" s="207">
        <f t="shared" si="8"/>
        <v>3.7827422433818287</v>
      </c>
      <c r="AB50" s="207">
        <f t="shared" si="9"/>
        <v>4.1411772748241438</v>
      </c>
      <c r="AC50" s="207">
        <f t="shared" si="10"/>
        <v>4.4295778404241206</v>
      </c>
      <c r="AD50" s="207">
        <f t="shared" ca="1" si="11"/>
        <v>3.6662407395280932</v>
      </c>
    </row>
    <row r="51" spans="1:38">
      <c r="A51" s="185"/>
      <c r="B51" s="189" t="str">
        <f>HPR!BC18</f>
        <v>PESO-07</v>
      </c>
      <c r="C51" s="189" t="str">
        <f>HPR!BD18</f>
        <v>BCP0600322</v>
      </c>
      <c r="D51" s="205">
        <f ca="1">HPR!BG18</f>
        <v>-1.876091959727641E-7</v>
      </c>
      <c r="E51" s="205">
        <f>HPR!BI18</f>
        <v>3.85</v>
      </c>
      <c r="F51" s="205">
        <f ca="1">HPR!BJ18</f>
        <v>3.8500001876091963</v>
      </c>
      <c r="G51" s="205">
        <f>VLOOKUP($C51,Bear!$AM:$AP,4,0)</f>
        <v>3.7947761302942196</v>
      </c>
      <c r="H51" s="205">
        <f>VLOOKUP($C51,Base!$AM:$AP,4,0)</f>
        <v>4.1507605637989906</v>
      </c>
      <c r="I51" s="205">
        <f>VLOOKUP($C51,Bull!$AM:$AP,4,0)</f>
        <v>4.4385305521027734</v>
      </c>
      <c r="J51" s="205">
        <f ca="1">HPR!BN18</f>
        <v>3.6793816466637019</v>
      </c>
      <c r="K51" s="205">
        <f t="shared" ca="1" si="2"/>
        <v>-0.17061835333629816</v>
      </c>
      <c r="V51" s="207" t="str">
        <f t="shared" si="3"/>
        <v>BCP0600322</v>
      </c>
      <c r="W51" s="208">
        <f t="shared" si="4"/>
        <v>44621</v>
      </c>
      <c r="X51" s="207">
        <f t="shared" ca="1" si="5"/>
        <v>-1.876091959727641E-7</v>
      </c>
      <c r="Y51" s="207">
        <f t="shared" si="6"/>
        <v>3.85</v>
      </c>
      <c r="Z51" s="207">
        <f t="shared" ca="1" si="7"/>
        <v>3.8500001876091963</v>
      </c>
      <c r="AA51" s="207">
        <f t="shared" si="8"/>
        <v>3.7947761302942196</v>
      </c>
      <c r="AB51" s="207">
        <f t="shared" si="9"/>
        <v>4.1507605637989906</v>
      </c>
      <c r="AC51" s="207">
        <f t="shared" si="10"/>
        <v>4.4385305521027734</v>
      </c>
      <c r="AD51" s="207">
        <f t="shared" ca="1" si="11"/>
        <v>3.6793816466637019</v>
      </c>
    </row>
    <row r="52" spans="1:38">
      <c r="A52" s="185"/>
      <c r="B52" s="189" t="str">
        <f>HPR!BC19</f>
        <v>PESO-07</v>
      </c>
      <c r="C52" s="189" t="str">
        <f>HPR!BD19</f>
        <v>BCP0600323</v>
      </c>
      <c r="D52" s="205">
        <f ca="1">HPR!BG19</f>
        <v>-5.1118754367755065E-7</v>
      </c>
      <c r="E52" s="205" t="str">
        <f>HPR!BI19</f>
        <v>N/A</v>
      </c>
      <c r="F52" s="205" t="str">
        <f ca="1">HPR!BJ19</f>
        <v>N/A</v>
      </c>
      <c r="G52" s="205">
        <f>VLOOKUP($C52,Bear!$AM:$AP,4,0)</f>
        <v>3.8564794496184938</v>
      </c>
      <c r="H52" s="205">
        <f>VLOOKUP($C52,Base!$AM:$AP,4,0)</f>
        <v>4.2000388180087871</v>
      </c>
      <c r="I52" s="205">
        <f>VLOOKUP($C52,Bull!$AM:$AP,4,0)</f>
        <v>4.4846671662985296</v>
      </c>
      <c r="J52" s="205">
        <f ca="1">HPR!BN19</f>
        <v>3.7758299039580385</v>
      </c>
      <c r="K52" s="205" t="str">
        <f t="shared" ca="1" si="2"/>
        <v>N/A</v>
      </c>
      <c r="V52" s="207" t="str">
        <f t="shared" si="3"/>
        <v>BCP0600323</v>
      </c>
      <c r="W52" s="208">
        <f t="shared" si="4"/>
        <v>44986</v>
      </c>
      <c r="X52" s="207">
        <f t="shared" ca="1" si="5"/>
        <v>-5.1118754367755065E-7</v>
      </c>
      <c r="Y52" s="207" t="str">
        <f t="shared" si="6"/>
        <v>N/A</v>
      </c>
      <c r="Z52" s="207" t="str">
        <f t="shared" ca="1" si="7"/>
        <v>N/A</v>
      </c>
      <c r="AA52" s="207">
        <f t="shared" si="8"/>
        <v>3.8564794496184938</v>
      </c>
      <c r="AB52" s="207">
        <f t="shared" si="9"/>
        <v>4.2000388180087871</v>
      </c>
      <c r="AC52" s="207">
        <f t="shared" si="10"/>
        <v>4.4846671662985296</v>
      </c>
      <c r="AD52" s="207">
        <f t="shared" ca="1" si="11"/>
        <v>3.7758299039580385</v>
      </c>
    </row>
    <row r="53" spans="1:38">
      <c r="A53" s="185"/>
      <c r="B53" s="189" t="str">
        <f>HPR!BC20</f>
        <v>PESO-07</v>
      </c>
      <c r="C53" s="189" t="str">
        <f>HPR!BD20</f>
        <v>BTP0600124</v>
      </c>
      <c r="D53" s="205">
        <f ca="1">HPR!BG20</f>
        <v>-1.0695635974484682E-6</v>
      </c>
      <c r="E53" s="205" t="str">
        <f>HPR!BI20</f>
        <v>N/A</v>
      </c>
      <c r="F53" s="205" t="str">
        <f ca="1">HPR!BJ20</f>
        <v>N/A</v>
      </c>
      <c r="G53" s="205">
        <f>VLOOKUP($C53,Bear!$AM:$AP,4,0)</f>
        <v>3.8961846400579749</v>
      </c>
      <c r="H53" s="205">
        <f>VLOOKUP($C53,Base!$AM:$AP,4,0)</f>
        <v>4.2319619659019629</v>
      </c>
      <c r="I53" s="205">
        <f>VLOOKUP($C53,Bull!$AM:$AP,4,0)</f>
        <v>4.5146212378212249</v>
      </c>
      <c r="J53" s="205">
        <f ca="1">HPR!BN20</f>
        <v>3.8790756262227708</v>
      </c>
      <c r="K53" s="205" t="str">
        <f t="shared" ca="1" si="2"/>
        <v>N/A</v>
      </c>
      <c r="V53" s="207" t="str">
        <f t="shared" si="3"/>
        <v>BTP0600124</v>
      </c>
      <c r="W53" s="208">
        <f t="shared" si="4"/>
        <v>45292</v>
      </c>
      <c r="X53" s="207">
        <f t="shared" ca="1" si="5"/>
        <v>-1.0695635974484682E-6</v>
      </c>
      <c r="Y53" s="207" t="str">
        <f t="shared" si="6"/>
        <v>N/A</v>
      </c>
      <c r="Z53" s="207" t="str">
        <f t="shared" ca="1" si="7"/>
        <v>N/A</v>
      </c>
      <c r="AA53" s="207">
        <f t="shared" si="8"/>
        <v>3.8961846400579749</v>
      </c>
      <c r="AB53" s="207">
        <f t="shared" si="9"/>
        <v>4.2319619659019629</v>
      </c>
      <c r="AC53" s="207">
        <f t="shared" si="10"/>
        <v>4.5146212378212249</v>
      </c>
      <c r="AD53" s="207">
        <f t="shared" ca="1" si="11"/>
        <v>3.8790756262227708</v>
      </c>
    </row>
    <row r="54" spans="1:38">
      <c r="A54" s="185"/>
      <c r="B54" s="189" t="str">
        <f>HPR!BC21</f>
        <v>PESO-10</v>
      </c>
      <c r="C54" s="189" t="str">
        <f>HPR!BD21</f>
        <v>BTP0450326</v>
      </c>
      <c r="D54" s="205">
        <f ca="1">HPR!BG21</f>
        <v>-1.6981102006989992E-12</v>
      </c>
      <c r="E54" s="205">
        <f>HPR!BI21</f>
        <v>4.1900000000000004</v>
      </c>
      <c r="F54" s="205">
        <f ca="1">HPR!BJ21</f>
        <v>4.1900000000016986</v>
      </c>
      <c r="G54" s="205">
        <f>VLOOKUP($C54,Bear!$AM:$AP,4,0)</f>
        <v>3.9789001755868871</v>
      </c>
      <c r="H54" s="205">
        <f>VLOOKUP($C54,Base!$AM:$AP,4,0)</f>
        <v>4.2998418771635434</v>
      </c>
      <c r="I54" s="205">
        <f>VLOOKUP($C54,Bull!$AM:$AP,4,0)</f>
        <v>4.5789865938544834</v>
      </c>
      <c r="J54" s="205">
        <f ca="1">HPR!BN21</f>
        <v>4.0837906725017667</v>
      </c>
      <c r="K54" s="205">
        <f t="shared" ca="1" si="2"/>
        <v>-0.10620932749823364</v>
      </c>
      <c r="V54" s="207" t="str">
        <f t="shared" si="3"/>
        <v>BTP0450326</v>
      </c>
      <c r="W54" s="208">
        <f t="shared" si="4"/>
        <v>46082</v>
      </c>
      <c r="X54" s="207">
        <f t="shared" ca="1" si="5"/>
        <v>-1.6981102006989992E-12</v>
      </c>
      <c r="Y54" s="207">
        <f t="shared" si="6"/>
        <v>4.1900000000000004</v>
      </c>
      <c r="Z54" s="207">
        <f t="shared" ca="1" si="7"/>
        <v>4.1900000000016986</v>
      </c>
      <c r="AA54" s="207">
        <f t="shared" si="8"/>
        <v>3.9789001755868871</v>
      </c>
      <c r="AB54" s="207">
        <f t="shared" si="9"/>
        <v>4.2998418771635434</v>
      </c>
      <c r="AC54" s="207">
        <f t="shared" si="10"/>
        <v>4.5789865938544834</v>
      </c>
      <c r="AD54" s="207">
        <f t="shared" ca="1" si="11"/>
        <v>4.0837906725017667</v>
      </c>
    </row>
    <row r="55" spans="1:38">
      <c r="A55" s="185"/>
      <c r="B55" s="189" t="str">
        <f>HPR!BC22</f>
        <v>PESO-10</v>
      </c>
      <c r="C55" s="189" t="str">
        <f>HPR!BD22</f>
        <v>BTP0600132</v>
      </c>
      <c r="D55" s="205">
        <f ca="1">HPR!BG22</f>
        <v>-8.6812937029757519E-10</v>
      </c>
      <c r="E55" s="205" t="str">
        <f>HPR!BI22</f>
        <v>N/A</v>
      </c>
      <c r="F55" s="205" t="str">
        <f ca="1">HPR!BJ22</f>
        <v>N/A</v>
      </c>
      <c r="G55" s="205">
        <f>VLOOKUP($C55,Bear!$AM:$AP,4,0)</f>
        <v>4.0790281280927569</v>
      </c>
      <c r="H55" s="205">
        <f>VLOOKUP($C55,Base!$AM:$AP,4,0)</f>
        <v>4.3832013911370842</v>
      </c>
      <c r="I55" s="205">
        <f>VLOOKUP($C55,Bull!$AM:$AP,4,0)</f>
        <v>4.6575364294052664</v>
      </c>
      <c r="J55" s="205">
        <f ca="1">HPR!BN22</f>
        <v>4.269475567477552</v>
      </c>
      <c r="K55" s="205" t="str">
        <f t="shared" ca="1" si="2"/>
        <v>N/A</v>
      </c>
      <c r="V55" s="207" t="str">
        <f t="shared" si="3"/>
        <v>BTP0600132</v>
      </c>
      <c r="W55" s="208">
        <f t="shared" si="4"/>
        <v>48214</v>
      </c>
      <c r="X55" s="207">
        <f t="shared" ca="1" si="5"/>
        <v>-8.6812937029757519E-10</v>
      </c>
      <c r="Y55" s="207" t="str">
        <f t="shared" si="6"/>
        <v>N/A</v>
      </c>
      <c r="Z55" s="207" t="str">
        <f t="shared" ca="1" si="7"/>
        <v>N/A</v>
      </c>
      <c r="AA55" s="207">
        <f t="shared" si="8"/>
        <v>4.0790281280927569</v>
      </c>
      <c r="AB55" s="207">
        <f t="shared" si="9"/>
        <v>4.3832013911370842</v>
      </c>
      <c r="AC55" s="207">
        <f t="shared" si="10"/>
        <v>4.6575364294052664</v>
      </c>
      <c r="AD55" s="207">
        <f t="shared" ca="1" si="11"/>
        <v>4.269475567477552</v>
      </c>
    </row>
    <row r="56" spans="1:38">
      <c r="A56" s="185"/>
      <c r="B56" s="189" t="str">
        <f>HPR!BC23</f>
        <v>PESO-20</v>
      </c>
      <c r="C56" s="189" t="str">
        <f>HPR!BD23</f>
        <v>BTP0600134</v>
      </c>
      <c r="D56" s="205">
        <f ca="1">HPR!BG23</f>
        <v>-4.6224042525219982E-9</v>
      </c>
      <c r="E56" s="205" t="str">
        <f>HPR!BI23</f>
        <v>N/A</v>
      </c>
      <c r="F56" s="205" t="str">
        <f ca="1">HPR!BJ23</f>
        <v>N/A</v>
      </c>
      <c r="G56" s="205">
        <f>VLOOKUP($C56,Bear!$AM:$AP,4,0)</f>
        <v>4.106228826287138</v>
      </c>
      <c r="H56" s="205">
        <f>VLOOKUP($C56,Base!$AM:$AP,4,0)</f>
        <v>4.4063052875248516</v>
      </c>
      <c r="I56" s="205">
        <f>VLOOKUP($C56,Bull!$AM:$AP,4,0)</f>
        <v>4.6794595991017358</v>
      </c>
      <c r="J56" s="205">
        <f ca="1">HPR!BN23</f>
        <v>4.3046167023130772</v>
      </c>
      <c r="K56" s="205" t="str">
        <f t="shared" ca="1" si="2"/>
        <v>N/A</v>
      </c>
      <c r="V56" s="207" t="str">
        <f t="shared" si="3"/>
        <v>BTP0600134</v>
      </c>
      <c r="W56" s="208">
        <f t="shared" si="4"/>
        <v>48945</v>
      </c>
      <c r="X56" s="207">
        <f t="shared" ca="1" si="5"/>
        <v>-4.6224042525219982E-9</v>
      </c>
      <c r="Y56" s="207" t="str">
        <f t="shared" si="6"/>
        <v>N/A</v>
      </c>
      <c r="Z56" s="207" t="str">
        <f t="shared" ca="1" si="7"/>
        <v>N/A</v>
      </c>
      <c r="AA56" s="207">
        <f t="shared" si="8"/>
        <v>4.106228826287138</v>
      </c>
      <c r="AB56" s="207">
        <f t="shared" si="9"/>
        <v>4.4063052875248516</v>
      </c>
      <c r="AC56" s="207">
        <f t="shared" si="10"/>
        <v>4.6794595991017358</v>
      </c>
      <c r="AD56" s="207">
        <f t="shared" ca="1" si="11"/>
        <v>4.3046167023130772</v>
      </c>
    </row>
    <row r="57" spans="1:38">
      <c r="A57" s="185"/>
      <c r="B57" s="189" t="str">
        <f>HPR!BC24</f>
        <v>PESO-20</v>
      </c>
      <c r="C57" s="189" t="str">
        <f>HPR!BD24</f>
        <v>BTP0500335</v>
      </c>
      <c r="D57" s="205">
        <f ca="1">HPR!BG24</f>
        <v>-1.4236104748006646E-8</v>
      </c>
      <c r="E57" s="205">
        <f>HPR!BI24</f>
        <v>4.45</v>
      </c>
      <c r="F57" s="205">
        <f ca="1">HPR!BJ24</f>
        <v>4.4500000142361049</v>
      </c>
      <c r="G57" s="205">
        <f>VLOOKUP($C57,Bear!$AM:$AP,4,0)</f>
        <v>4.1287258536368725</v>
      </c>
      <c r="H57" s="205">
        <f>VLOOKUP($C57,Base!$AM:$AP,4,0)</f>
        <v>4.4255472526379256</v>
      </c>
      <c r="I57" s="205">
        <f>VLOOKUP($C57,Bull!$AM:$AP,4,0)</f>
        <v>4.6978950638251202</v>
      </c>
      <c r="J57" s="205">
        <f ca="1">HPR!BN24</f>
        <v>4.3363267649396953</v>
      </c>
      <c r="K57" s="205">
        <f t="shared" ca="1" si="2"/>
        <v>-0.11367323506030491</v>
      </c>
      <c r="V57" s="207" t="str">
        <f t="shared" si="3"/>
        <v>BTP0500335</v>
      </c>
      <c r="W57" s="208">
        <f>DATE("20"&amp;RIGHT(V57,2),MID(V57,7,2),1)</f>
        <v>49369</v>
      </c>
      <c r="X57" s="207">
        <f t="shared" ca="1" si="5"/>
        <v>-1.4236104748006646E-8</v>
      </c>
      <c r="Y57" s="207">
        <f t="shared" si="6"/>
        <v>4.45</v>
      </c>
      <c r="Z57" s="207">
        <f t="shared" ca="1" si="7"/>
        <v>4.4500000142361049</v>
      </c>
      <c r="AA57" s="207">
        <f t="shared" si="8"/>
        <v>4.1287258536368725</v>
      </c>
      <c r="AB57" s="207">
        <f t="shared" si="9"/>
        <v>4.4255472526379256</v>
      </c>
      <c r="AC57" s="207">
        <f t="shared" si="10"/>
        <v>4.6978950638251202</v>
      </c>
      <c r="AD57" s="207">
        <f t="shared" ca="1" si="11"/>
        <v>4.3363267649396953</v>
      </c>
    </row>
    <row r="58" spans="1:38">
      <c r="A58" s="185"/>
      <c r="B58" s="189" t="str">
        <f>HPR!BC25</f>
        <v>PESO-20</v>
      </c>
      <c r="C58" s="189" t="str">
        <f>HPR!BD25</f>
        <v>BTP0600143</v>
      </c>
      <c r="D58" s="205">
        <f ca="1">HPR!BG25</f>
        <v>-1.3983729704142127E-6</v>
      </c>
      <c r="E58" s="205" t="str">
        <f>HPR!BI25</f>
        <v>N/A</v>
      </c>
      <c r="F58" s="205" t="str">
        <f ca="1">HPR!BJ25</f>
        <v>N/A</v>
      </c>
      <c r="G58" s="205">
        <f>VLOOKUP($C58,Bear!$AM:$AP,4,0)</f>
        <v>4.2119962356647287</v>
      </c>
      <c r="H58" s="205">
        <f>VLOOKUP($C58,Base!$AM:$AP,4,0)</f>
        <v>4.4957308256863877</v>
      </c>
      <c r="I58" s="205">
        <f>VLOOKUP($C58,Bull!$AM:$AP,4,0)</f>
        <v>4.7637290459794981</v>
      </c>
      <c r="J58" s="205">
        <f ca="1">HPR!BN25</f>
        <v>4.4349758298336379</v>
      </c>
      <c r="K58" s="205" t="str">
        <f ca="1">IFERROR(J58-E58,"N/A")</f>
        <v>N/A</v>
      </c>
      <c r="V58" s="207" t="str">
        <f t="shared" si="3"/>
        <v>BTP0600143</v>
      </c>
      <c r="W58" s="208">
        <f>DATE("20"&amp;RIGHT(V58,2),MID(V58,7,2),1)</f>
        <v>52232</v>
      </c>
      <c r="X58" s="207">
        <f t="shared" ca="1" si="5"/>
        <v>-1.3983729704142127E-6</v>
      </c>
      <c r="Y58" s="207" t="str">
        <f t="shared" si="6"/>
        <v>N/A</v>
      </c>
      <c r="Z58" s="207" t="str">
        <f t="shared" ca="1" si="7"/>
        <v>N/A</v>
      </c>
      <c r="AA58" s="207">
        <f t="shared" si="8"/>
        <v>4.2119962356647287</v>
      </c>
      <c r="AB58" s="207">
        <f t="shared" si="9"/>
        <v>4.4957308256863877</v>
      </c>
      <c r="AC58" s="207">
        <f t="shared" si="10"/>
        <v>4.7637290459794981</v>
      </c>
      <c r="AD58" s="207">
        <f t="shared" ca="1" si="11"/>
        <v>4.4349758298336379</v>
      </c>
    </row>
    <row r="59" spans="1:38">
      <c r="A59" s="185"/>
      <c r="B59" s="189"/>
      <c r="C59" s="189"/>
      <c r="D59" s="205"/>
      <c r="E59" s="205"/>
      <c r="F59" s="205"/>
      <c r="G59" s="205"/>
      <c r="H59" s="205"/>
      <c r="I59" s="205"/>
      <c r="J59" s="205"/>
      <c r="K59" s="205"/>
      <c r="V59" s="207"/>
      <c r="W59" s="208"/>
      <c r="X59" s="207"/>
      <c r="Y59" s="207"/>
      <c r="Z59" s="207"/>
      <c r="AA59" s="207"/>
      <c r="AB59" s="207"/>
      <c r="AC59" s="207"/>
      <c r="AD59" s="207"/>
    </row>
    <row r="60" spans="1:38">
      <c r="A60" s="185"/>
      <c r="J60" s="185"/>
    </row>
    <row r="61" spans="1:38" ht="12.75" thickBot="1">
      <c r="A61" s="185"/>
      <c r="B61" s="188" t="s">
        <v>47</v>
      </c>
      <c r="C61" s="188" t="s">
        <v>155</v>
      </c>
      <c r="D61" s="206" t="s">
        <v>153</v>
      </c>
      <c r="E61" s="206" t="s">
        <v>154</v>
      </c>
      <c r="F61" s="206" t="s">
        <v>146</v>
      </c>
      <c r="G61" s="206" t="s">
        <v>37</v>
      </c>
      <c r="H61" s="206" t="s">
        <v>39</v>
      </c>
      <c r="I61" s="206" t="s">
        <v>40</v>
      </c>
      <c r="J61" s="206" t="s">
        <v>239</v>
      </c>
      <c r="K61" s="206" t="s">
        <v>228</v>
      </c>
      <c r="L61" s="206" t="s">
        <v>229</v>
      </c>
      <c r="V61" s="209" t="s">
        <v>155</v>
      </c>
      <c r="W61" s="209" t="s">
        <v>100</v>
      </c>
      <c r="X61" s="209" t="s">
        <v>184</v>
      </c>
      <c r="Y61" s="209" t="s">
        <v>185</v>
      </c>
      <c r="Z61" s="209" t="s">
        <v>146</v>
      </c>
      <c r="AA61" s="209" t="str">
        <f>AA35</f>
        <v>Dove</v>
      </c>
      <c r="AB61" s="209" t="str">
        <f>AB35</f>
        <v>Base</v>
      </c>
      <c r="AC61" s="209" t="str">
        <f>AC35</f>
        <v>Hawk</v>
      </c>
      <c r="AD61" s="209" t="s">
        <v>137</v>
      </c>
      <c r="AE61" s="209" t="s">
        <v>136</v>
      </c>
      <c r="AF61" s="209" t="s">
        <v>168</v>
      </c>
      <c r="AG61" s="209" t="s">
        <v>169</v>
      </c>
      <c r="AH61" s="209" t="s">
        <v>170</v>
      </c>
      <c r="AI61" s="209" t="s">
        <v>138</v>
      </c>
      <c r="AJ61" s="209" t="s">
        <v>166</v>
      </c>
      <c r="AK61" s="209" t="s">
        <v>167</v>
      </c>
      <c r="AL61" s="209" t="str">
        <f t="shared" ref="AL61:AL91" si="12">K61</f>
        <v>Swap Eq</v>
      </c>
    </row>
    <row r="62" spans="1:38">
      <c r="A62" s="185"/>
      <c r="B62" s="189" t="str">
        <f>HPR!BP3</f>
        <v>N/A</v>
      </c>
      <c r="C62" s="189" t="str">
        <f>HPR!BQ3</f>
        <v>BTU0300117</v>
      </c>
      <c r="D62" s="205">
        <f ca="1">HPR!BR3</f>
        <v>-1.6004510576246665E-12</v>
      </c>
      <c r="E62" s="205" t="str">
        <f>HPR!BV3</f>
        <v>N/A</v>
      </c>
      <c r="F62" s="205" t="str">
        <f ca="1">HPR!BW3</f>
        <v>N/A</v>
      </c>
      <c r="G62" s="205">
        <f>VLOOKUP($C62,Bear!$AZ:$BA,2,0)</f>
        <v>9.6883527783813331E-2</v>
      </c>
      <c r="H62" s="205">
        <f>VLOOKUP($C62,Base!$AZ:$BA,2,0)</f>
        <v>-0.80913332991142317</v>
      </c>
      <c r="I62" s="205">
        <f>VLOOKUP($C62,Bull!$AZ:$BA,2,0)</f>
        <v>-1.4080767730769899</v>
      </c>
      <c r="J62" s="205" t="str">
        <f t="shared" ref="J62:J91" si="13">AI62</f>
        <v>N/A</v>
      </c>
      <c r="K62" s="205">
        <f ca="1">HPR!CC3</f>
        <v>1.49668891276391</v>
      </c>
      <c r="L62" s="205" t="str">
        <f t="shared" ref="L62:L91" ca="1" si="14">IFERROR(K62-E62,"N/A")</f>
        <v>N/A</v>
      </c>
      <c r="V62" s="207" t="str">
        <f t="shared" ref="V62:V101" si="15">C62</f>
        <v>BTU0300117</v>
      </c>
      <c r="W62" s="208">
        <f t="shared" ref="W62:W91" si="16">DATE("20"&amp;RIGHT(V62,2),MID(V62,7,2),1)</f>
        <v>42736</v>
      </c>
      <c r="X62" s="207">
        <f t="shared" ref="X62:X101" ca="1" si="17">D62</f>
        <v>-1.6004510576246665E-12</v>
      </c>
      <c r="Y62" s="207">
        <f t="shared" ref="Y62:Y101" si="18">IF(E62="N/A",-100,E62)</f>
        <v>-100</v>
      </c>
      <c r="Z62" s="207" t="str">
        <f t="shared" ref="Z62:Z101" ca="1" si="19">F62</f>
        <v>N/A</v>
      </c>
      <c r="AA62" s="207">
        <f t="shared" ref="AA62:AA101" si="20">G62</f>
        <v>9.6883527783813331E-2</v>
      </c>
      <c r="AB62" s="207">
        <f t="shared" ref="AB62:AB101" si="21">H62</f>
        <v>-0.80913332991142317</v>
      </c>
      <c r="AC62" s="207">
        <f t="shared" ref="AC62:AC101" si="22">I62</f>
        <v>-1.4080767730769899</v>
      </c>
      <c r="AD62" s="207">
        <f ca="1">VLOOKUP(V62,HPR!$BQ:$BU,4,0)</f>
        <v>-1.6004510576246665E-12</v>
      </c>
      <c r="AE62" s="207" t="str">
        <f>VLOOKUP(V62,HPR!$BQ:$BU,5,0)</f>
        <v>N/A</v>
      </c>
      <c r="AF62" s="207">
        <f>VLOOKUP(V62,Bear!$AZ:$BC,4,0)</f>
        <v>3.616938660423318</v>
      </c>
      <c r="AG62" s="207">
        <f>VLOOKUP(V62,Bull!$AZ:$BC,4,0)</f>
        <v>3.616938660423318</v>
      </c>
      <c r="AH62" s="207">
        <f t="shared" ref="AH62:AH91" ca="1" si="23">IFERROR(AD62-X62,"NA")</f>
        <v>0</v>
      </c>
      <c r="AI62" s="207" t="str">
        <f t="shared" ref="AI62:AI91" si="24">IFERROR(IF(Y62&lt;&gt;-100,AE62-Y62,"N/A"),"N/A")</f>
        <v>N/A</v>
      </c>
      <c r="AJ62" s="207">
        <f t="shared" ref="AJ62:AJ91" si="25">IFERROR(AF62-AA62,"NA")</f>
        <v>3.5200551326395049</v>
      </c>
      <c r="AK62" s="207">
        <f t="shared" ref="AK62:AK91" si="26">IFERROR(AG62-AC62,"NA")</f>
        <v>5.0250154335003074</v>
      </c>
      <c r="AL62" s="207">
        <f t="shared" ca="1" si="12"/>
        <v>1.49668891276391</v>
      </c>
    </row>
    <row r="63" spans="1:38">
      <c r="A63" s="185"/>
      <c r="B63" s="189" t="str">
        <f>HPR!BP4</f>
        <v>N/A</v>
      </c>
      <c r="C63" s="189" t="str">
        <f>HPR!BQ4</f>
        <v>BCU0300317</v>
      </c>
      <c r="D63" s="205">
        <f ca="1">HPR!BR4</f>
        <v>-3.9134992413315719E-12</v>
      </c>
      <c r="E63" s="205" t="str">
        <f>HPR!BV4</f>
        <v>N/A</v>
      </c>
      <c r="F63" s="205" t="str">
        <f ca="1">HPR!BW4</f>
        <v>N/A</v>
      </c>
      <c r="G63" s="205">
        <f>VLOOKUP($C63,Bear!$AZ:$BA,2,0)</f>
        <v>1.0766224619341835</v>
      </c>
      <c r="H63" s="205">
        <f>VLOOKUP($C63,Base!$AZ:$BA,2,0)</f>
        <v>0.13476834090109405</v>
      </c>
      <c r="I63" s="205">
        <f>VLOOKUP($C63,Bull!$AZ:$BA,2,0)</f>
        <v>-0.51664947713925191</v>
      </c>
      <c r="J63" s="205" t="str">
        <f t="shared" si="13"/>
        <v>N/A</v>
      </c>
      <c r="K63" s="205">
        <f ca="1">HPR!CC4</f>
        <v>1.5018551757271621</v>
      </c>
      <c r="L63" s="205" t="str">
        <f t="shared" ca="1" si="14"/>
        <v>N/A</v>
      </c>
      <c r="V63" s="207" t="str">
        <f t="shared" si="15"/>
        <v>BCU0300317</v>
      </c>
      <c r="W63" s="208">
        <f t="shared" si="16"/>
        <v>42795</v>
      </c>
      <c r="X63" s="207">
        <f t="shared" ca="1" si="17"/>
        <v>-3.9134992413315719E-12</v>
      </c>
      <c r="Y63" s="207">
        <f t="shared" si="18"/>
        <v>-100</v>
      </c>
      <c r="Z63" s="207" t="str">
        <f t="shared" ca="1" si="19"/>
        <v>N/A</v>
      </c>
      <c r="AA63" s="207">
        <f t="shared" si="20"/>
        <v>1.0766224619341835</v>
      </c>
      <c r="AB63" s="207">
        <f t="shared" si="21"/>
        <v>0.13476834090109405</v>
      </c>
      <c r="AC63" s="207">
        <f t="shared" si="22"/>
        <v>-0.51664947713925191</v>
      </c>
      <c r="AD63" s="207">
        <f ca="1">VLOOKUP(V63,HPR!$BQ:$BU,4,0)</f>
        <v>-3.9134992413315719E-12</v>
      </c>
      <c r="AE63" s="207" t="str">
        <f>VLOOKUP(V63,HPR!$BQ:$BU,5,0)</f>
        <v>N/A</v>
      </c>
      <c r="AF63" s="207">
        <f>VLOOKUP(V63,Bear!$AZ:$BC,4,0)</f>
        <v>3.6168345350865367</v>
      </c>
      <c r="AG63" s="207">
        <f>VLOOKUP(V63,Bull!$AZ:$BC,4,0)</f>
        <v>3.6210358688096806</v>
      </c>
      <c r="AH63" s="207">
        <f t="shared" ca="1" si="23"/>
        <v>0</v>
      </c>
      <c r="AI63" s="207" t="str">
        <f t="shared" si="24"/>
        <v>N/A</v>
      </c>
      <c r="AJ63" s="207">
        <f t="shared" si="25"/>
        <v>2.540212073152353</v>
      </c>
      <c r="AK63" s="207">
        <f t="shared" si="26"/>
        <v>4.1376853459489329</v>
      </c>
      <c r="AL63" s="207">
        <f t="shared" ca="1" si="12"/>
        <v>1.5018551757271621</v>
      </c>
    </row>
    <row r="64" spans="1:38">
      <c r="A64" s="185"/>
      <c r="B64" s="189" t="str">
        <f>HPR!BP5</f>
        <v>N/A</v>
      </c>
      <c r="C64" s="189" t="str">
        <f>HPR!BQ5</f>
        <v>BCU0300517</v>
      </c>
      <c r="D64" s="205">
        <f ca="1">HPR!BR5</f>
        <v>-8.9829688623027128E-12</v>
      </c>
      <c r="E64" s="205">
        <f>HPR!BV5</f>
        <v>1.42</v>
      </c>
      <c r="F64" s="205">
        <f ca="1">HPR!BW5</f>
        <v>1.420000000008983</v>
      </c>
      <c r="G64" s="205">
        <f>VLOOKUP($C64,Bear!$AZ:$BA,2,0)</f>
        <v>0.92390965343669418</v>
      </c>
      <c r="H64" s="205">
        <f>VLOOKUP($C64,Base!$AZ:$BA,2,0)</f>
        <v>0.20698136860562191</v>
      </c>
      <c r="I64" s="205">
        <f>VLOOKUP($C64,Bull!$AZ:$BA,2,0)</f>
        <v>-0.39646248871737094</v>
      </c>
      <c r="J64" s="205" t="str">
        <f>AI64</f>
        <v>N/A</v>
      </c>
      <c r="K64" s="205">
        <f ca="1">HPR!CC5</f>
        <v>1.1867106859617425</v>
      </c>
      <c r="L64" s="205">
        <f t="shared" ca="1" si="14"/>
        <v>-0.23328931403825748</v>
      </c>
      <c r="V64" s="207" t="str">
        <f t="shared" si="15"/>
        <v>BCU0300517</v>
      </c>
      <c r="W64" s="208">
        <f t="shared" si="16"/>
        <v>42856</v>
      </c>
      <c r="X64" s="207">
        <f t="shared" ca="1" si="17"/>
        <v>-8.9829688623027128E-12</v>
      </c>
      <c r="Y64" s="207">
        <f t="shared" si="18"/>
        <v>1.42</v>
      </c>
      <c r="Z64" s="207">
        <f t="shared" ca="1" si="19"/>
        <v>1.420000000008983</v>
      </c>
      <c r="AA64" s="207">
        <f t="shared" si="20"/>
        <v>0.92390965343669418</v>
      </c>
      <c r="AB64" s="207">
        <f t="shared" si="21"/>
        <v>0.20698136860562191</v>
      </c>
      <c r="AC64" s="207">
        <f t="shared" si="22"/>
        <v>-0.39646248871737094</v>
      </c>
      <c r="AD64" s="207">
        <f ca="1">VLOOKUP(V64,HPR!$BQ:$BU,4,0)</f>
        <v>-8.9829688623027128E-12</v>
      </c>
      <c r="AE64" s="207" t="str">
        <f>VLOOKUP(V64,HPR!$BQ:$BU,5,0)</f>
        <v>N/A</v>
      </c>
      <c r="AF64" s="207">
        <f>VLOOKUP(V64,Bear!$AZ:$BC,4,0)</f>
        <v>3.5372227684940243</v>
      </c>
      <c r="AG64" s="207">
        <f>VLOOKUP(V64,Bull!$AZ:$BC,4,0)</f>
        <v>3.6252639629485137</v>
      </c>
      <c r="AH64" s="207">
        <f t="shared" ca="1" si="23"/>
        <v>0</v>
      </c>
      <c r="AI64" s="207" t="str">
        <f t="shared" si="24"/>
        <v>N/A</v>
      </c>
      <c r="AJ64" s="207">
        <f t="shared" si="25"/>
        <v>2.6133131150573301</v>
      </c>
      <c r="AK64" s="207">
        <f t="shared" si="26"/>
        <v>4.0217264516658844</v>
      </c>
      <c r="AL64" s="207">
        <f t="shared" ca="1" si="12"/>
        <v>1.1867106859617425</v>
      </c>
    </row>
    <row r="65" spans="1:38">
      <c r="A65" s="185"/>
      <c r="B65" s="189" t="str">
        <f>HPR!BP6</f>
        <v>N/A</v>
      </c>
      <c r="C65" s="189" t="str">
        <f>HPR!BQ6</f>
        <v>BTU0300717</v>
      </c>
      <c r="D65" s="205">
        <f ca="1">HPR!BR6</f>
        <v>-1.8719108904542876E-11</v>
      </c>
      <c r="E65" s="205">
        <f>HPR!BV6</f>
        <v>1.4</v>
      </c>
      <c r="F65" s="205">
        <f ca="1">HPR!BW6</f>
        <v>1.4000000000187189</v>
      </c>
      <c r="G65" s="205">
        <f>VLOOKUP($C65,Bear!$AZ:$BA,2,0)</f>
        <v>0.67426305383212404</v>
      </c>
      <c r="H65" s="205">
        <f>VLOOKUP($C65,Base!$AZ:$BA,2,0)</f>
        <v>0.13482960576848244</v>
      </c>
      <c r="I65" s="205">
        <f>VLOOKUP($C65,Bull!$AZ:$BA,2,0)</f>
        <v>-0.44232384499936794</v>
      </c>
      <c r="J65" s="205" t="str">
        <f t="shared" si="13"/>
        <v>N/A</v>
      </c>
      <c r="K65" s="205">
        <f ca="1">HPR!CC6</f>
        <v>0.97882519058687523</v>
      </c>
      <c r="L65" s="205">
        <f t="shared" ca="1" si="14"/>
        <v>-0.42117480941312468</v>
      </c>
      <c r="V65" s="207" t="str">
        <f t="shared" si="15"/>
        <v>BTU0300717</v>
      </c>
      <c r="W65" s="208">
        <f t="shared" si="16"/>
        <v>42917</v>
      </c>
      <c r="X65" s="207">
        <f t="shared" ca="1" si="17"/>
        <v>-1.8719108904542876E-11</v>
      </c>
      <c r="Y65" s="207">
        <f t="shared" si="18"/>
        <v>1.4</v>
      </c>
      <c r="Z65" s="207">
        <f t="shared" ca="1" si="19"/>
        <v>1.4000000000187189</v>
      </c>
      <c r="AA65" s="207">
        <f t="shared" si="20"/>
        <v>0.67426305383212404</v>
      </c>
      <c r="AB65" s="207">
        <f t="shared" si="21"/>
        <v>0.13482960576848244</v>
      </c>
      <c r="AC65" s="207">
        <f t="shared" si="22"/>
        <v>-0.44232384499936794</v>
      </c>
      <c r="AD65" s="207">
        <f ca="1">VLOOKUP(V65,HPR!$BQ:$BU,4,0)</f>
        <v>-1.8719108904542876E-11</v>
      </c>
      <c r="AE65" s="207" t="str">
        <f>VLOOKUP(V65,HPR!$BQ:$BU,5,0)</f>
        <v>N/A</v>
      </c>
      <c r="AF65" s="207">
        <f>VLOOKUP(V65,Bear!$AZ:$BC,4,0)</f>
        <v>3.4350343639757139</v>
      </c>
      <c r="AG65" s="207">
        <f>VLOOKUP(V65,Bull!$AZ:$BC,4,0)</f>
        <v>3.6294560772606608</v>
      </c>
      <c r="AH65" s="207">
        <f t="shared" ca="1" si="23"/>
        <v>0</v>
      </c>
      <c r="AI65" s="207" t="str">
        <f t="shared" si="24"/>
        <v>N/A</v>
      </c>
      <c r="AJ65" s="207">
        <f t="shared" si="25"/>
        <v>2.76077131014359</v>
      </c>
      <c r="AK65" s="207">
        <f t="shared" si="26"/>
        <v>4.0717799222600286</v>
      </c>
      <c r="AL65" s="207">
        <f t="shared" ca="1" si="12"/>
        <v>0.97882519058687523</v>
      </c>
    </row>
    <row r="66" spans="1:38">
      <c r="A66" s="185"/>
      <c r="B66" s="189" t="str">
        <f>HPR!BP7</f>
        <v>N/A</v>
      </c>
      <c r="C66" s="189" t="str">
        <f>HPR!BQ7</f>
        <v>BCU0300717</v>
      </c>
      <c r="D66" s="205">
        <f ca="1">HPR!BR7</f>
        <v>-1.8719108904542876E-11</v>
      </c>
      <c r="E66" s="205">
        <f>HPR!BV7</f>
        <v>1.41</v>
      </c>
      <c r="F66" s="205">
        <f ca="1">HPR!BW7</f>
        <v>1.4100000000187189</v>
      </c>
      <c r="G66" s="205">
        <f>VLOOKUP($C66,Bear!$AZ:$BA,2,0)</f>
        <v>0.67426305383212404</v>
      </c>
      <c r="H66" s="205">
        <f>VLOOKUP($C66,Base!$AZ:$BA,2,0)</f>
        <v>0.13482960576848244</v>
      </c>
      <c r="I66" s="205">
        <f>VLOOKUP($C66,Bull!$AZ:$BA,2,0)</f>
        <v>-0.44232384499936794</v>
      </c>
      <c r="J66" s="205" t="str">
        <f t="shared" si="13"/>
        <v>N/A</v>
      </c>
      <c r="K66" s="205">
        <f ca="1">HPR!CC7</f>
        <v>0.97882519058687523</v>
      </c>
      <c r="L66" s="205">
        <f t="shared" ca="1" si="14"/>
        <v>-0.43117480941312469</v>
      </c>
      <c r="V66" s="207" t="str">
        <f t="shared" si="15"/>
        <v>BCU0300717</v>
      </c>
      <c r="W66" s="208">
        <f t="shared" si="16"/>
        <v>42917</v>
      </c>
      <c r="X66" s="207">
        <f t="shared" ca="1" si="17"/>
        <v>-1.8719108904542876E-11</v>
      </c>
      <c r="Y66" s="207">
        <f t="shared" si="18"/>
        <v>1.41</v>
      </c>
      <c r="Z66" s="207">
        <f t="shared" ca="1" si="19"/>
        <v>1.4100000000187189</v>
      </c>
      <c r="AA66" s="207">
        <f t="shared" si="20"/>
        <v>0.67426305383212404</v>
      </c>
      <c r="AB66" s="207">
        <f t="shared" si="21"/>
        <v>0.13482960576848244</v>
      </c>
      <c r="AC66" s="207">
        <f t="shared" si="22"/>
        <v>-0.44232384499936794</v>
      </c>
      <c r="AD66" s="207">
        <f ca="1">VLOOKUP(V66,HPR!$BQ:$BU,4,0)</f>
        <v>-1.8719108904542876E-11</v>
      </c>
      <c r="AE66" s="207" t="str">
        <f>VLOOKUP(V66,HPR!$BQ:$BU,5,0)</f>
        <v>N/A</v>
      </c>
      <c r="AF66" s="207">
        <f>VLOOKUP(V66,Bear!$AZ:$BC,4,0)</f>
        <v>3.4350343639757139</v>
      </c>
      <c r="AG66" s="207">
        <f>VLOOKUP(V66,Bull!$AZ:$BC,4,0)</f>
        <v>3.6294560772606608</v>
      </c>
      <c r="AH66" s="207">
        <f t="shared" ca="1" si="23"/>
        <v>0</v>
      </c>
      <c r="AI66" s="207" t="str">
        <f t="shared" si="24"/>
        <v>N/A</v>
      </c>
      <c r="AJ66" s="207">
        <f t="shared" si="25"/>
        <v>2.76077131014359</v>
      </c>
      <c r="AK66" s="207">
        <f t="shared" si="26"/>
        <v>4.0717799222600286</v>
      </c>
      <c r="AL66" s="207">
        <f t="shared" ca="1" si="12"/>
        <v>0.97882519058687523</v>
      </c>
    </row>
    <row r="67" spans="1:38">
      <c r="A67" s="185"/>
      <c r="B67" s="189" t="str">
        <f>HPR!BP8</f>
        <v>N/A</v>
      </c>
      <c r="C67" s="189" t="str">
        <f>HPR!BQ8</f>
        <v>BCU0300118</v>
      </c>
      <c r="D67" s="205">
        <f ca="1">HPR!BR8</f>
        <v>-1.1856544886786492E-10</v>
      </c>
      <c r="E67" s="205" t="str">
        <f>HPR!BV8</f>
        <v>N/A</v>
      </c>
      <c r="F67" s="205" t="str">
        <f ca="1">HPR!BW8</f>
        <v>N/A</v>
      </c>
      <c r="G67" s="205">
        <f>VLOOKUP($C67,Bear!$AZ:$BA,2,0)</f>
        <v>0.52873888105283606</v>
      </c>
      <c r="H67" s="205">
        <f>VLOOKUP($C67,Base!$AZ:$BA,2,0)</f>
        <v>0.22094929901276361</v>
      </c>
      <c r="I67" s="205">
        <f>VLOOKUP($C67,Bull!$AZ:$BA,2,0)</f>
        <v>-0.25723357055801338</v>
      </c>
      <c r="J67" s="205" t="str">
        <f t="shared" si="13"/>
        <v>N/A</v>
      </c>
      <c r="K67" s="205">
        <f ca="1">HPR!CC8</f>
        <v>0.62866164778925793</v>
      </c>
      <c r="L67" s="205" t="str">
        <f t="shared" ca="1" si="14"/>
        <v>N/A</v>
      </c>
      <c r="V67" s="207" t="str">
        <f t="shared" si="15"/>
        <v>BCU0300118</v>
      </c>
      <c r="W67" s="208">
        <f t="shared" si="16"/>
        <v>43101</v>
      </c>
      <c r="X67" s="207">
        <f t="shared" ca="1" si="17"/>
        <v>-1.1856544886786492E-10</v>
      </c>
      <c r="Y67" s="207">
        <f t="shared" si="18"/>
        <v>-100</v>
      </c>
      <c r="Z67" s="207" t="str">
        <f t="shared" ca="1" si="19"/>
        <v>N/A</v>
      </c>
      <c r="AA67" s="207">
        <f t="shared" si="20"/>
        <v>0.52873888105283606</v>
      </c>
      <c r="AB67" s="207">
        <f t="shared" si="21"/>
        <v>0.22094929901276361</v>
      </c>
      <c r="AC67" s="207">
        <f t="shared" si="22"/>
        <v>-0.25723357055801338</v>
      </c>
      <c r="AD67" s="207">
        <f ca="1">VLOOKUP(V67,HPR!$BQ:$BU,4,0)</f>
        <v>-1.1856544886786492E-10</v>
      </c>
      <c r="AE67" s="207">
        <f>VLOOKUP(V67,HPR!$BQ:$BU,5,0)</f>
        <v>3.48</v>
      </c>
      <c r="AF67" s="207">
        <f>VLOOKUP(V67,Bear!$AZ:$BC,4,0)</f>
        <v>3.3090810013632765</v>
      </c>
      <c r="AG67" s="207">
        <f>VLOOKUP(V67,Bull!$AZ:$BC,4,0)</f>
        <v>3.7094548997702463</v>
      </c>
      <c r="AH67" s="207">
        <f t="shared" ca="1" si="23"/>
        <v>0</v>
      </c>
      <c r="AI67" s="207" t="str">
        <f t="shared" si="24"/>
        <v>N/A</v>
      </c>
      <c r="AJ67" s="207">
        <f t="shared" si="25"/>
        <v>2.7803421203104404</v>
      </c>
      <c r="AK67" s="207">
        <f t="shared" si="26"/>
        <v>3.9666884703282599</v>
      </c>
      <c r="AL67" s="207">
        <f t="shared" ca="1" si="12"/>
        <v>0.62866164778925793</v>
      </c>
    </row>
    <row r="68" spans="1:38">
      <c r="A68" s="185"/>
      <c r="B68" s="189" t="str">
        <f>HPR!BP9</f>
        <v>UF-02</v>
      </c>
      <c r="C68" s="189" t="str">
        <f>HPR!BQ9</f>
        <v>BCU0300318</v>
      </c>
      <c r="D68" s="205">
        <f ca="1">HPR!BR9</f>
        <v>-1.9601466654775752E-10</v>
      </c>
      <c r="E68" s="205">
        <f>HPR!BV9</f>
        <v>1.07</v>
      </c>
      <c r="F68" s="205">
        <f ca="1">HPR!BW9</f>
        <v>1.0700000001960148</v>
      </c>
      <c r="G68" s="205">
        <f>VLOOKUP($C68,Bear!$AZ:$BA,2,0)</f>
        <v>0.68641222003990621</v>
      </c>
      <c r="H68" s="205">
        <f>VLOOKUP($C68,Base!$AZ:$BA,2,0)</f>
        <v>0.41835705352586106</v>
      </c>
      <c r="I68" s="205">
        <f>VLOOKUP($C68,Bull!$AZ:$BA,2,0)</f>
        <v>1.7606055048359617E-2</v>
      </c>
      <c r="J68" s="205">
        <f t="shared" si="13"/>
        <v>2.41</v>
      </c>
      <c r="K68" s="205">
        <f ca="1">HPR!CC9</f>
        <v>0.70309300147228593</v>
      </c>
      <c r="L68" s="205">
        <f t="shared" ca="1" si="14"/>
        <v>-0.36690699852771413</v>
      </c>
      <c r="V68" s="207" t="str">
        <f t="shared" si="15"/>
        <v>BCU0300318</v>
      </c>
      <c r="W68" s="208">
        <f t="shared" si="16"/>
        <v>43160</v>
      </c>
      <c r="X68" s="207">
        <f t="shared" ca="1" si="17"/>
        <v>-1.9601466654775752E-10</v>
      </c>
      <c r="Y68" s="207">
        <f t="shared" si="18"/>
        <v>1.07</v>
      </c>
      <c r="Z68" s="207">
        <f t="shared" ca="1" si="19"/>
        <v>1.0700000001960148</v>
      </c>
      <c r="AA68" s="207">
        <f t="shared" si="20"/>
        <v>0.68641222003990621</v>
      </c>
      <c r="AB68" s="207">
        <f t="shared" si="21"/>
        <v>0.41835705352586106</v>
      </c>
      <c r="AC68" s="207">
        <f t="shared" si="22"/>
        <v>1.7606055048359617E-2</v>
      </c>
      <c r="AD68" s="207">
        <f ca="1">VLOOKUP(V68,HPR!$BQ:$BU,4,0)</f>
        <v>-1.9601466654775752E-10</v>
      </c>
      <c r="AE68" s="207">
        <f>VLOOKUP(V68,HPR!$BQ:$BU,5,0)</f>
        <v>3.48</v>
      </c>
      <c r="AF68" s="207">
        <f>VLOOKUP(V68,Bear!$AZ:$BC,4,0)</f>
        <v>3.3038392735317164</v>
      </c>
      <c r="AG68" s="207">
        <f>VLOOKUP(V68,Bull!$AZ:$BC,4,0)</f>
        <v>3.7728652825887914</v>
      </c>
      <c r="AH68" s="207">
        <f t="shared" ca="1" si="23"/>
        <v>0</v>
      </c>
      <c r="AI68" s="207">
        <f t="shared" si="24"/>
        <v>2.41</v>
      </c>
      <c r="AJ68" s="207">
        <f t="shared" si="25"/>
        <v>2.6174270534918103</v>
      </c>
      <c r="AK68" s="207">
        <f t="shared" si="26"/>
        <v>3.755259227540432</v>
      </c>
      <c r="AL68" s="207">
        <f t="shared" ca="1" si="12"/>
        <v>0.70309300147228593</v>
      </c>
    </row>
    <row r="69" spans="1:38">
      <c r="A69" s="185"/>
      <c r="B69" s="189" t="str">
        <f>HPR!BP10</f>
        <v>UF-02</v>
      </c>
      <c r="C69" s="189" t="str">
        <f>HPR!BQ10</f>
        <v>BCU0300718</v>
      </c>
      <c r="D69" s="205">
        <f ca="1">HPR!BR10</f>
        <v>-4.9995295880664314E-10</v>
      </c>
      <c r="E69" s="205" t="str">
        <f>HPR!BV10</f>
        <v>N/A</v>
      </c>
      <c r="F69" s="205" t="str">
        <f ca="1">HPR!BW10</f>
        <v>N/A</v>
      </c>
      <c r="G69" s="205">
        <f>VLOOKUP($C69,Bear!$AZ:$BA,2,0)</f>
        <v>0.67859783139478302</v>
      </c>
      <c r="H69" s="205">
        <f>VLOOKUP($C69,Base!$AZ:$BA,2,0)</f>
        <v>0.46380296987844838</v>
      </c>
      <c r="I69" s="205">
        <f>VLOOKUP($C69,Bull!$AZ:$BA,2,0)</f>
        <v>0.25781627291743225</v>
      </c>
      <c r="J69" s="205" t="str">
        <f t="shared" si="13"/>
        <v>N/A</v>
      </c>
      <c r="K69" s="205">
        <f ca="1">HPR!CC10</f>
        <v>0.70898893420648101</v>
      </c>
      <c r="L69" s="205" t="str">
        <f t="shared" ca="1" si="14"/>
        <v>N/A</v>
      </c>
      <c r="V69" s="207" t="str">
        <f t="shared" si="15"/>
        <v>BCU0300718</v>
      </c>
      <c r="W69" s="208">
        <f t="shared" si="16"/>
        <v>43282</v>
      </c>
      <c r="X69" s="207">
        <f t="shared" ca="1" si="17"/>
        <v>-4.9995295880664314E-10</v>
      </c>
      <c r="Y69" s="207">
        <f t="shared" si="18"/>
        <v>-100</v>
      </c>
      <c r="Z69" s="207" t="str">
        <f t="shared" ca="1" si="19"/>
        <v>N/A</v>
      </c>
      <c r="AA69" s="207">
        <f t="shared" si="20"/>
        <v>0.67859783139478302</v>
      </c>
      <c r="AB69" s="207">
        <f t="shared" si="21"/>
        <v>0.46380296987844838</v>
      </c>
      <c r="AC69" s="207">
        <f t="shared" si="22"/>
        <v>0.25781627291743225</v>
      </c>
      <c r="AD69" s="207">
        <f ca="1">VLOOKUP(V69,HPR!$BQ:$BU,4,0)</f>
        <v>-4.9995295880664314E-10</v>
      </c>
      <c r="AE69" s="207">
        <f>VLOOKUP(V69,HPR!$BQ:$BU,5,0)</f>
        <v>3.48</v>
      </c>
      <c r="AF69" s="207">
        <f>VLOOKUP(V69,Bear!$AZ:$BC,4,0)</f>
        <v>3.3683329381250258</v>
      </c>
      <c r="AG69" s="207">
        <f>VLOOKUP(V69,Bull!$AZ:$BC,4,0)</f>
        <v>3.9084257158891229</v>
      </c>
      <c r="AH69" s="207">
        <f t="shared" ca="1" si="23"/>
        <v>0</v>
      </c>
      <c r="AI69" s="207" t="str">
        <f t="shared" si="24"/>
        <v>N/A</v>
      </c>
      <c r="AJ69" s="207">
        <f t="shared" si="25"/>
        <v>2.6897351067302426</v>
      </c>
      <c r="AK69" s="207">
        <f t="shared" si="26"/>
        <v>3.6506094429716907</v>
      </c>
      <c r="AL69" s="207">
        <f t="shared" ca="1" si="12"/>
        <v>0.70898893420648101</v>
      </c>
    </row>
    <row r="70" spans="1:38">
      <c r="A70" s="185"/>
      <c r="B70" s="189" t="str">
        <f>HPR!BP11</f>
        <v>UF-02</v>
      </c>
      <c r="C70" s="189" t="str">
        <f>HPR!BQ11</f>
        <v>BCU0300818</v>
      </c>
      <c r="D70" s="205">
        <f ca="1">HPR!BR11</f>
        <v>-6.2252966071484582E-10</v>
      </c>
      <c r="E70" s="205">
        <f>HPR!BV11</f>
        <v>1.1000000000000001</v>
      </c>
      <c r="F70" s="205">
        <f ca="1">HPR!BW11</f>
        <v>1.1000000006225297</v>
      </c>
      <c r="G70" s="205">
        <f>VLOOKUP($C70,Bear!$AZ:$BA,2,0)</f>
        <v>0.68460252691494461</v>
      </c>
      <c r="H70" s="205">
        <f>VLOOKUP($C70,Base!$AZ:$BA,2,0)</f>
        <v>0.4840329806577412</v>
      </c>
      <c r="I70" s="205">
        <f>VLOOKUP($C70,Bull!$AZ:$BA,2,0)</f>
        <v>0.3124584858800058</v>
      </c>
      <c r="J70" s="205">
        <f t="shared" si="13"/>
        <v>2.38</v>
      </c>
      <c r="K70" s="205">
        <f ca="1">HPR!CC11</f>
        <v>0.6730720942567272</v>
      </c>
      <c r="L70" s="205">
        <f t="shared" ca="1" si="14"/>
        <v>-0.42692790574327288</v>
      </c>
      <c r="V70" s="207" t="str">
        <f t="shared" si="15"/>
        <v>BCU0300818</v>
      </c>
      <c r="W70" s="208">
        <f t="shared" si="16"/>
        <v>43313</v>
      </c>
      <c r="X70" s="207">
        <f t="shared" ca="1" si="17"/>
        <v>-6.2252966071484582E-10</v>
      </c>
      <c r="Y70" s="207">
        <f t="shared" si="18"/>
        <v>1.1000000000000001</v>
      </c>
      <c r="Z70" s="207">
        <f t="shared" ca="1" si="19"/>
        <v>1.1000000006225297</v>
      </c>
      <c r="AA70" s="207">
        <f t="shared" si="20"/>
        <v>0.68460252691494461</v>
      </c>
      <c r="AB70" s="207">
        <f t="shared" si="21"/>
        <v>0.4840329806577412</v>
      </c>
      <c r="AC70" s="207">
        <f t="shared" si="22"/>
        <v>0.3124584858800058</v>
      </c>
      <c r="AD70" s="207">
        <f ca="1">VLOOKUP(V70,HPR!$BQ:$BU,4,0)</f>
        <v>-6.2252966071484582E-10</v>
      </c>
      <c r="AE70" s="207">
        <f>VLOOKUP(V70,HPR!$BQ:$BU,5,0)</f>
        <v>3.48</v>
      </c>
      <c r="AF70" s="207">
        <f>VLOOKUP(V70,Bear!$AZ:$BC,4,0)</f>
        <v>3.3838127573833972</v>
      </c>
      <c r="AG70" s="207">
        <f>VLOOKUP(V70,Bull!$AZ:$BC,4,0)</f>
        <v>3.9387375944478982</v>
      </c>
      <c r="AH70" s="207">
        <f t="shared" ca="1" si="23"/>
        <v>0</v>
      </c>
      <c r="AI70" s="207">
        <f t="shared" si="24"/>
        <v>2.38</v>
      </c>
      <c r="AJ70" s="207">
        <f t="shared" si="25"/>
        <v>2.6992102304684527</v>
      </c>
      <c r="AK70" s="207">
        <f t="shared" si="26"/>
        <v>3.6262791085678923</v>
      </c>
      <c r="AL70" s="207">
        <f t="shared" ca="1" si="12"/>
        <v>0.6730720942567272</v>
      </c>
    </row>
    <row r="71" spans="1:38">
      <c r="A71" s="185"/>
      <c r="B71" s="189" t="str">
        <f>HPR!BP12</f>
        <v>UF-03</v>
      </c>
      <c r="C71" s="189" t="str">
        <f>HPR!BQ12</f>
        <v>BCU0301018</v>
      </c>
      <c r="D71" s="205">
        <f ca="1">HPR!BR12</f>
        <v>-9.4168338328915607E-10</v>
      </c>
      <c r="E71" s="205">
        <f>HPR!BV12</f>
        <v>1.03</v>
      </c>
      <c r="F71" s="205">
        <f ca="1">HPR!BW12</f>
        <v>1.0300000009416834</v>
      </c>
      <c r="G71" s="205">
        <f>VLOOKUP($C71,Bear!$AZ:$BA,2,0)</f>
        <v>0.69360327813042133</v>
      </c>
      <c r="H71" s="205">
        <f>VLOOKUP($C71,Base!$AZ:$BA,2,0)</f>
        <v>0.52622898854714095</v>
      </c>
      <c r="I71" s="205">
        <f>VLOOKUP($C71,Bull!$AZ:$BA,2,0)</f>
        <v>0.40872960431731342</v>
      </c>
      <c r="J71" s="205">
        <f t="shared" si="13"/>
        <v>2.4500000000000002</v>
      </c>
      <c r="K71" s="205">
        <f ca="1">HPR!CC12</f>
        <v>0.60077836438528942</v>
      </c>
      <c r="L71" s="205">
        <f t="shared" ca="1" si="14"/>
        <v>-0.42922163561471061</v>
      </c>
      <c r="V71" s="207" t="str">
        <f t="shared" si="15"/>
        <v>BCU0301018</v>
      </c>
      <c r="W71" s="208">
        <f t="shared" si="16"/>
        <v>43374</v>
      </c>
      <c r="X71" s="207">
        <f t="shared" ca="1" si="17"/>
        <v>-9.4168338328915607E-10</v>
      </c>
      <c r="Y71" s="207">
        <f t="shared" si="18"/>
        <v>1.03</v>
      </c>
      <c r="Z71" s="207">
        <f t="shared" ca="1" si="19"/>
        <v>1.0300000009416834</v>
      </c>
      <c r="AA71" s="207">
        <f t="shared" si="20"/>
        <v>0.69360327813042133</v>
      </c>
      <c r="AB71" s="207">
        <f t="shared" si="21"/>
        <v>0.52622898854714095</v>
      </c>
      <c r="AC71" s="207">
        <f t="shared" si="22"/>
        <v>0.40872960431731342</v>
      </c>
      <c r="AD71" s="207">
        <f ca="1">VLOOKUP(V71,HPR!$BQ:$BU,4,0)</f>
        <v>-9.4168338328915607E-10</v>
      </c>
      <c r="AE71" s="207">
        <f>VLOOKUP(V71,HPR!$BQ:$BU,5,0)</f>
        <v>3.48</v>
      </c>
      <c r="AF71" s="207">
        <f>VLOOKUP(V71,Bear!$AZ:$BC,4,0)</f>
        <v>3.4109461050128238</v>
      </c>
      <c r="AG71" s="207">
        <f>VLOOKUP(V71,Bull!$AZ:$BC,4,0)</f>
        <v>3.9939950264066515</v>
      </c>
      <c r="AH71" s="207">
        <f t="shared" ca="1" si="23"/>
        <v>0</v>
      </c>
      <c r="AI71" s="207">
        <f t="shared" si="24"/>
        <v>2.4500000000000002</v>
      </c>
      <c r="AJ71" s="207">
        <f t="shared" si="25"/>
        <v>2.7173428268824025</v>
      </c>
      <c r="AK71" s="207">
        <f t="shared" si="26"/>
        <v>3.5852654220893383</v>
      </c>
      <c r="AL71" s="207">
        <f t="shared" ca="1" si="12"/>
        <v>0.60077836438528942</v>
      </c>
    </row>
    <row r="72" spans="1:38">
      <c r="A72" s="185"/>
      <c r="B72" s="189" t="str">
        <f>HPR!BP13</f>
        <v>UF-03</v>
      </c>
      <c r="C72" s="189" t="str">
        <f>HPR!BQ13</f>
        <v>BTU0300119</v>
      </c>
      <c r="D72" s="205">
        <f ca="1">HPR!BR13</f>
        <v>-1.6796341333839143E-9</v>
      </c>
      <c r="E72" s="205" t="str">
        <f>HPR!BV13</f>
        <v>N/A</v>
      </c>
      <c r="F72" s="205" t="str">
        <f ca="1">HPR!BW13</f>
        <v>N/A</v>
      </c>
      <c r="G72" s="205">
        <f>VLOOKUP($C72,Bear!$AZ:$BA,2,0)</f>
        <v>0.69497728490546451</v>
      </c>
      <c r="H72" s="205">
        <f>VLOOKUP($C72,Base!$AZ:$BA,2,0)</f>
        <v>0.58563546632587538</v>
      </c>
      <c r="I72" s="205">
        <f>VLOOKUP($C72,Bull!$AZ:$BA,2,0)</f>
        <v>0.52196948382449548</v>
      </c>
      <c r="J72" s="205" t="str">
        <f t="shared" si="13"/>
        <v>N/A</v>
      </c>
      <c r="K72" s="205">
        <f ca="1">HPR!CC13</f>
        <v>0.55982622033196994</v>
      </c>
      <c r="L72" s="205" t="str">
        <f t="shared" ca="1" si="14"/>
        <v>N/A</v>
      </c>
      <c r="V72" s="207" t="str">
        <f t="shared" si="15"/>
        <v>BTU0300119</v>
      </c>
      <c r="W72" s="208">
        <f t="shared" si="16"/>
        <v>43466</v>
      </c>
      <c r="X72" s="207">
        <f t="shared" ca="1" si="17"/>
        <v>-1.6796341333839143E-9</v>
      </c>
      <c r="Y72" s="207">
        <f t="shared" si="18"/>
        <v>-100</v>
      </c>
      <c r="Z72" s="207" t="str">
        <f t="shared" ca="1" si="19"/>
        <v>N/A</v>
      </c>
      <c r="AA72" s="207">
        <f t="shared" si="20"/>
        <v>0.69497728490546451</v>
      </c>
      <c r="AB72" s="207">
        <f t="shared" si="21"/>
        <v>0.58563546632587538</v>
      </c>
      <c r="AC72" s="207">
        <f t="shared" si="22"/>
        <v>0.52196948382449548</v>
      </c>
      <c r="AD72" s="207">
        <f ca="1">VLOOKUP(V72,HPR!$BQ:$BU,4,0)</f>
        <v>-1.6796341333839143E-9</v>
      </c>
      <c r="AE72" s="207" t="str">
        <f>VLOOKUP(V72,HPR!$BQ:$BU,5,0)</f>
        <v>N/A</v>
      </c>
      <c r="AF72" s="207">
        <f>VLOOKUP(V72,Bear!$AZ:$BC,4,0)</f>
        <v>3.4409182501971354</v>
      </c>
      <c r="AG72" s="207">
        <f>VLOOKUP(V72,Bull!$AZ:$BC,4,0)</f>
        <v>4.0645396399957985</v>
      </c>
      <c r="AH72" s="207">
        <f t="shared" ca="1" si="23"/>
        <v>0</v>
      </c>
      <c r="AI72" s="207" t="str">
        <f t="shared" si="24"/>
        <v>N/A</v>
      </c>
      <c r="AJ72" s="207">
        <f t="shared" si="25"/>
        <v>2.7459409652916706</v>
      </c>
      <c r="AK72" s="207">
        <f t="shared" si="26"/>
        <v>3.542570156171303</v>
      </c>
      <c r="AL72" s="207">
        <f t="shared" ca="1" si="12"/>
        <v>0.55982622033196994</v>
      </c>
    </row>
    <row r="73" spans="1:38">
      <c r="A73" s="185"/>
      <c r="B73" s="189" t="str">
        <f>HPR!BP14</f>
        <v>UF-03</v>
      </c>
      <c r="C73" s="189" t="str">
        <f>HPR!BQ14</f>
        <v>BCU0300519</v>
      </c>
      <c r="D73" s="205">
        <f ca="1">HPR!BR14</f>
        <v>-3.3564312585244831E-9</v>
      </c>
      <c r="E73" s="205" t="str">
        <f>HPR!BV14</f>
        <v>N/A</v>
      </c>
      <c r="F73" s="205" t="str">
        <f ca="1">HPR!BW14</f>
        <v>N/A</v>
      </c>
      <c r="G73" s="205">
        <f>VLOOKUP($C73,Bear!$AZ:$BA,2,0)</f>
        <v>0.69575579431499557</v>
      </c>
      <c r="H73" s="205">
        <f>VLOOKUP($C73,Base!$AZ:$BA,2,0)</f>
        <v>0.67201640444534239</v>
      </c>
      <c r="I73" s="205">
        <f>VLOOKUP($C73,Bull!$AZ:$BA,2,0)</f>
        <v>0.64402855288653027</v>
      </c>
      <c r="J73" s="205" t="str">
        <f t="shared" si="13"/>
        <v>N/A</v>
      </c>
      <c r="K73" s="205">
        <f ca="1">HPR!CC14</f>
        <v>0.55185996567284623</v>
      </c>
      <c r="L73" s="205" t="str">
        <f t="shared" ca="1" si="14"/>
        <v>N/A</v>
      </c>
      <c r="V73" s="207" t="str">
        <f t="shared" si="15"/>
        <v>BCU0300519</v>
      </c>
      <c r="W73" s="208">
        <f t="shared" si="16"/>
        <v>43586</v>
      </c>
      <c r="X73" s="207">
        <f t="shared" ca="1" si="17"/>
        <v>-3.3564312585244831E-9</v>
      </c>
      <c r="Y73" s="207">
        <f t="shared" si="18"/>
        <v>-100</v>
      </c>
      <c r="Z73" s="207" t="str">
        <f t="shared" ca="1" si="19"/>
        <v>N/A</v>
      </c>
      <c r="AA73" s="207">
        <f t="shared" si="20"/>
        <v>0.69575579431499557</v>
      </c>
      <c r="AB73" s="207">
        <f t="shared" si="21"/>
        <v>0.67201640444534239</v>
      </c>
      <c r="AC73" s="207">
        <f t="shared" si="22"/>
        <v>0.64402855288653027</v>
      </c>
      <c r="AD73" s="207">
        <f ca="1">VLOOKUP(V73,HPR!$BQ:$BU,4,0)</f>
        <v>-3.3564312585244831E-9</v>
      </c>
      <c r="AE73" s="207" t="str">
        <f>VLOOKUP(V73,HPR!$BQ:$BU,5,0)</f>
        <v>N/A</v>
      </c>
      <c r="AF73" s="207">
        <f>VLOOKUP(V73,Bear!$AZ:$BC,4,0)</f>
        <v>3.4712010642486466</v>
      </c>
      <c r="AG73" s="207">
        <f>VLOOKUP(V73,Bull!$AZ:$BC,4,0)</f>
        <v>4.1447093241852127</v>
      </c>
      <c r="AH73" s="207">
        <f t="shared" ca="1" si="23"/>
        <v>0</v>
      </c>
      <c r="AI73" s="207" t="str">
        <f t="shared" si="24"/>
        <v>N/A</v>
      </c>
      <c r="AJ73" s="207">
        <f t="shared" si="25"/>
        <v>2.7754452699336509</v>
      </c>
      <c r="AK73" s="207">
        <f t="shared" si="26"/>
        <v>3.5006807712986823</v>
      </c>
      <c r="AL73" s="207">
        <f t="shared" ca="1" si="12"/>
        <v>0.55185996567284623</v>
      </c>
    </row>
    <row r="74" spans="1:38">
      <c r="A74" s="185"/>
      <c r="B74" s="189" t="str">
        <f>HPR!BP15</f>
        <v>UF-03</v>
      </c>
      <c r="C74" s="189" t="str">
        <f>HPR!BQ15</f>
        <v>BTU0300719</v>
      </c>
      <c r="D74" s="205">
        <f ca="1">HPR!BR15</f>
        <v>-4.6459912695457836E-9</v>
      </c>
      <c r="E74" s="205">
        <f>HPR!BV15</f>
        <v>1.06</v>
      </c>
      <c r="F74" s="205">
        <f ca="1">HPR!BW15</f>
        <v>1.0600000046459914</v>
      </c>
      <c r="G74" s="205">
        <f>VLOOKUP($C74,Bear!$AZ:$BA,2,0)</f>
        <v>0.70037937196876698</v>
      </c>
      <c r="H74" s="205">
        <f>VLOOKUP($C74,Base!$AZ:$BA,2,0)</f>
        <v>0.71377719297872744</v>
      </c>
      <c r="I74" s="205">
        <f>VLOOKUP($C74,Bull!$AZ:$BA,2,0)</f>
        <v>0.69659925439943948</v>
      </c>
      <c r="J74" s="205" t="str">
        <f t="shared" si="13"/>
        <v>N/A</v>
      </c>
      <c r="K74" s="205">
        <f ca="1">HPR!CC15</f>
        <v>0.54894978482306001</v>
      </c>
      <c r="L74" s="205">
        <f t="shared" ca="1" si="14"/>
        <v>-0.51105021517694005</v>
      </c>
      <c r="V74" s="207" t="str">
        <f t="shared" si="15"/>
        <v>BTU0300719</v>
      </c>
      <c r="W74" s="208">
        <f t="shared" si="16"/>
        <v>43647</v>
      </c>
      <c r="X74" s="207">
        <f t="shared" ca="1" si="17"/>
        <v>-4.6459912695457836E-9</v>
      </c>
      <c r="Y74" s="207">
        <f t="shared" si="18"/>
        <v>1.06</v>
      </c>
      <c r="Z74" s="207">
        <f t="shared" ca="1" si="19"/>
        <v>1.0600000046459914</v>
      </c>
      <c r="AA74" s="207">
        <f t="shared" si="20"/>
        <v>0.70037937196876698</v>
      </c>
      <c r="AB74" s="207">
        <f t="shared" si="21"/>
        <v>0.71377719297872744</v>
      </c>
      <c r="AC74" s="207">
        <f t="shared" si="22"/>
        <v>0.69659925439943948</v>
      </c>
      <c r="AD74" s="207">
        <f ca="1">VLOOKUP(V74,HPR!$BQ:$BU,4,0)</f>
        <v>-4.6459912695457836E-9</v>
      </c>
      <c r="AE74" s="207" t="str">
        <f>VLOOKUP(V74,HPR!$BQ:$BU,5,0)</f>
        <v>N/A</v>
      </c>
      <c r="AF74" s="207">
        <f>VLOOKUP(V74,Bear!$AZ:$BC,4,0)</f>
        <v>3.4877043963385335</v>
      </c>
      <c r="AG74" s="207">
        <f>VLOOKUP(V74,Bull!$AZ:$BC,4,0)</f>
        <v>4.1799336939179783</v>
      </c>
      <c r="AH74" s="207">
        <f t="shared" ca="1" si="23"/>
        <v>0</v>
      </c>
      <c r="AI74" s="207" t="str">
        <f t="shared" si="24"/>
        <v>N/A</v>
      </c>
      <c r="AJ74" s="207">
        <f t="shared" si="25"/>
        <v>2.7873250243697667</v>
      </c>
      <c r="AK74" s="207">
        <f t="shared" si="26"/>
        <v>3.483334439518539</v>
      </c>
      <c r="AL74" s="207">
        <f t="shared" ca="1" si="12"/>
        <v>0.54894978482306001</v>
      </c>
    </row>
    <row r="75" spans="1:38">
      <c r="A75" s="185"/>
      <c r="B75" s="189" t="str">
        <f>HPR!BP16</f>
        <v>UF-03</v>
      </c>
      <c r="C75" s="189" t="str">
        <f>HPR!BQ16</f>
        <v>BTU0300120</v>
      </c>
      <c r="D75" s="205">
        <f ca="1">HPR!BR16</f>
        <v>-1.1453925758807965E-8</v>
      </c>
      <c r="E75" s="205">
        <f>HPR!BV16</f>
        <v>1.05</v>
      </c>
      <c r="F75" s="205">
        <f ca="1">HPR!BW16</f>
        <v>1.0500000114539259</v>
      </c>
      <c r="G75" s="205">
        <f>VLOOKUP($C75,Bear!$AZ:$BA,2,0)</f>
        <v>0.74303694782267005</v>
      </c>
      <c r="H75" s="205">
        <f>VLOOKUP($C75,Base!$AZ:$BA,2,0)</f>
        <v>0.81982382917644125</v>
      </c>
      <c r="I75" s="205">
        <f>VLOOKUP($C75,Bull!$AZ:$BA,2,0)</f>
        <v>0.82891984925338447</v>
      </c>
      <c r="J75" s="205">
        <f t="shared" si="13"/>
        <v>2.62</v>
      </c>
      <c r="K75" s="205">
        <f ca="1">HPR!CC16</f>
        <v>0.55930427940948801</v>
      </c>
      <c r="L75" s="205">
        <f t="shared" ca="1" si="14"/>
        <v>-0.49069572059051203</v>
      </c>
      <c r="V75" s="207" t="str">
        <f t="shared" si="15"/>
        <v>BTU0300120</v>
      </c>
      <c r="W75" s="208">
        <f t="shared" si="16"/>
        <v>43831</v>
      </c>
      <c r="X75" s="207">
        <f t="shared" ca="1" si="17"/>
        <v>-1.1453925758807965E-8</v>
      </c>
      <c r="Y75" s="207">
        <f t="shared" si="18"/>
        <v>1.05</v>
      </c>
      <c r="Z75" s="207">
        <f t="shared" ca="1" si="19"/>
        <v>1.0500000114539259</v>
      </c>
      <c r="AA75" s="207">
        <f t="shared" si="20"/>
        <v>0.74303694782267005</v>
      </c>
      <c r="AB75" s="207">
        <f t="shared" si="21"/>
        <v>0.81982382917644125</v>
      </c>
      <c r="AC75" s="207">
        <f t="shared" si="22"/>
        <v>0.82891984925338447</v>
      </c>
      <c r="AD75" s="207">
        <f ca="1">VLOOKUP(V75,HPR!$BQ:$BU,4,0)</f>
        <v>-1.1453925758807965E-8</v>
      </c>
      <c r="AE75" s="207">
        <f>VLOOKUP(V75,HPR!$BQ:$BU,5,0)</f>
        <v>3.67</v>
      </c>
      <c r="AF75" s="207">
        <f>VLOOKUP(V75,Bear!$AZ:$BC,4,0)</f>
        <v>3.5543020883743157</v>
      </c>
      <c r="AG75" s="207">
        <f>VLOOKUP(V75,Bull!$AZ:$BC,4,0)</f>
        <v>4.264658449984422</v>
      </c>
      <c r="AH75" s="207">
        <f t="shared" ca="1" si="23"/>
        <v>0</v>
      </c>
      <c r="AI75" s="207">
        <f t="shared" si="24"/>
        <v>2.62</v>
      </c>
      <c r="AJ75" s="207">
        <f t="shared" si="25"/>
        <v>2.8112651405516456</v>
      </c>
      <c r="AK75" s="207">
        <f t="shared" si="26"/>
        <v>3.4357386007310375</v>
      </c>
      <c r="AL75" s="207">
        <f t="shared" ca="1" si="12"/>
        <v>0.55930427940948801</v>
      </c>
    </row>
    <row r="76" spans="1:38">
      <c r="A76" s="185"/>
      <c r="B76" s="189" t="str">
        <f>HPR!BP17</f>
        <v>UF-04</v>
      </c>
      <c r="C76" s="189" t="str">
        <f>HPR!BQ17</f>
        <v>BCU0300221</v>
      </c>
      <c r="D76" s="205">
        <f ca="1">HPR!BR17</f>
        <v>-5.8104596898462743E-8</v>
      </c>
      <c r="E76" s="205">
        <f>HPR!BV17</f>
        <v>1.02</v>
      </c>
      <c r="F76" s="205">
        <f ca="1">HPR!BW17</f>
        <v>1.0200000581045969</v>
      </c>
      <c r="G76" s="205">
        <f>VLOOKUP($C76,Bear!$AZ:$BA,2,0)</f>
        <v>0.86393246324243278</v>
      </c>
      <c r="H76" s="205">
        <f>VLOOKUP($C76,Base!$AZ:$BA,2,0)</f>
        <v>0.9646452676199605</v>
      </c>
      <c r="I76" s="205">
        <f>VLOOKUP($C76,Bull!$AZ:$BA,2,0)</f>
        <v>1.0092801972386385</v>
      </c>
      <c r="J76" s="205">
        <f t="shared" si="13"/>
        <v>2.82</v>
      </c>
      <c r="K76" s="205">
        <f ca="1">HPR!CC17</f>
        <v>0.68074531152495099</v>
      </c>
      <c r="L76" s="205">
        <f t="shared" ca="1" si="14"/>
        <v>-0.33925468847504903</v>
      </c>
      <c r="V76" s="207" t="str">
        <f t="shared" si="15"/>
        <v>BCU0300221</v>
      </c>
      <c r="W76" s="208">
        <f t="shared" si="16"/>
        <v>44228</v>
      </c>
      <c r="X76" s="207">
        <f t="shared" ca="1" si="17"/>
        <v>-5.8104596898462743E-8</v>
      </c>
      <c r="Y76" s="207">
        <f t="shared" si="18"/>
        <v>1.02</v>
      </c>
      <c r="Z76" s="207">
        <f t="shared" ca="1" si="19"/>
        <v>1.0200000581045969</v>
      </c>
      <c r="AA76" s="207">
        <f t="shared" si="20"/>
        <v>0.86393246324243278</v>
      </c>
      <c r="AB76" s="207">
        <f t="shared" si="21"/>
        <v>0.9646452676199605</v>
      </c>
      <c r="AC76" s="207">
        <f t="shared" si="22"/>
        <v>1.0092801972386385</v>
      </c>
      <c r="AD76" s="207">
        <f ca="1">VLOOKUP(V76,HPR!$BQ:$BU,4,0)</f>
        <v>-5.8104596898462743E-8</v>
      </c>
      <c r="AE76" s="207">
        <f>VLOOKUP(V76,HPR!$BQ:$BU,5,0)</f>
        <v>3.84</v>
      </c>
      <c r="AF76" s="207">
        <f>VLOOKUP(V76,Bear!$AZ:$BC,4,0)</f>
        <v>3.7101401243376686</v>
      </c>
      <c r="AG76" s="207">
        <f>VLOOKUP(V76,Bull!$AZ:$BC,4,0)</f>
        <v>4.3815161746986799</v>
      </c>
      <c r="AH76" s="207">
        <f t="shared" ca="1" si="23"/>
        <v>0</v>
      </c>
      <c r="AI76" s="207">
        <f t="shared" si="24"/>
        <v>2.82</v>
      </c>
      <c r="AJ76" s="207">
        <f t="shared" si="25"/>
        <v>2.846207661095236</v>
      </c>
      <c r="AK76" s="207">
        <f t="shared" si="26"/>
        <v>3.3722359774600417</v>
      </c>
      <c r="AL76" s="207">
        <f t="shared" ca="1" si="12"/>
        <v>0.68074531152495099</v>
      </c>
    </row>
    <row r="77" spans="1:38">
      <c r="A77" s="185"/>
      <c r="B77" s="189" t="str">
        <f>HPR!BP18</f>
        <v>UF-05</v>
      </c>
      <c r="C77" s="189" t="str">
        <f>HPR!BQ18</f>
        <v>BTU0150321</v>
      </c>
      <c r="D77" s="205">
        <f ca="1">HPR!BR18</f>
        <v>-6.8234020879050575E-8</v>
      </c>
      <c r="E77" s="205">
        <f>HPR!BV18</f>
        <v>1.06</v>
      </c>
      <c r="F77" s="205">
        <f ca="1">HPR!BW18</f>
        <v>1.0600000682340209</v>
      </c>
      <c r="G77" s="205">
        <f>VLOOKUP($C77,Bear!$AZ:$BA,2,0)</f>
        <v>0.87163170532618839</v>
      </c>
      <c r="H77" s="205">
        <f>VLOOKUP($C77,Base!$AZ:$BA,2,0)</f>
        <v>0.97721406464676963</v>
      </c>
      <c r="I77" s="205">
        <f>VLOOKUP($C77,Bull!$AZ:$BA,2,0)</f>
        <v>1.0272384831187606</v>
      </c>
      <c r="J77" s="205">
        <f t="shared" si="13"/>
        <v>2.78</v>
      </c>
      <c r="K77" s="205">
        <f ca="1">HPR!CC18</f>
        <v>0.69224123505963919</v>
      </c>
      <c r="L77" s="205">
        <f t="shared" ca="1" si="14"/>
        <v>-0.36775876494036086</v>
      </c>
      <c r="V77" s="207" t="str">
        <f t="shared" si="15"/>
        <v>BTU0150321</v>
      </c>
      <c r="W77" s="208">
        <f t="shared" si="16"/>
        <v>44256</v>
      </c>
      <c r="X77" s="207">
        <f t="shared" ca="1" si="17"/>
        <v>-6.8234020879050575E-8</v>
      </c>
      <c r="Y77" s="207">
        <f t="shared" si="18"/>
        <v>1.06</v>
      </c>
      <c r="Z77" s="207">
        <f t="shared" ca="1" si="19"/>
        <v>1.0600000682340209</v>
      </c>
      <c r="AA77" s="207">
        <f t="shared" si="20"/>
        <v>0.87163170532618839</v>
      </c>
      <c r="AB77" s="207">
        <f t="shared" si="21"/>
        <v>0.97721406464676963</v>
      </c>
      <c r="AC77" s="207">
        <f t="shared" si="22"/>
        <v>1.0272384831187606</v>
      </c>
      <c r="AD77" s="207">
        <f ca="1">VLOOKUP(V77,HPR!$BQ:$BU,4,0)</f>
        <v>-6.8234020879050575E-8</v>
      </c>
      <c r="AE77" s="207">
        <f>VLOOKUP(V77,HPR!$BQ:$BU,5,0)</f>
        <v>3.84</v>
      </c>
      <c r="AF77" s="207">
        <f>VLOOKUP(V77,Bear!$AZ:$BC,4,0)</f>
        <v>3.7245690269177709</v>
      </c>
      <c r="AG77" s="207">
        <f>VLOOKUP(V77,Bull!$AZ:$BC,4,0)</f>
        <v>4.3950696216524872</v>
      </c>
      <c r="AH77" s="207">
        <f t="shared" ca="1" si="23"/>
        <v>0</v>
      </c>
      <c r="AI77" s="207">
        <f t="shared" si="24"/>
        <v>2.78</v>
      </c>
      <c r="AJ77" s="207">
        <f t="shared" si="25"/>
        <v>2.8529373215915825</v>
      </c>
      <c r="AK77" s="207">
        <f t="shared" si="26"/>
        <v>3.3678311385337265</v>
      </c>
      <c r="AL77" s="207">
        <f t="shared" ca="1" si="12"/>
        <v>0.69224123505963919</v>
      </c>
    </row>
    <row r="78" spans="1:38">
      <c r="A78" s="185"/>
      <c r="B78" s="189" t="str">
        <f>HPR!BP19</f>
        <v>UF-05</v>
      </c>
      <c r="C78" s="189" t="str">
        <f>HPR!BQ19</f>
        <v>BTU0300122</v>
      </c>
      <c r="D78" s="205">
        <f ca="1">HPR!BR19</f>
        <v>-1.7894825090703295E-7</v>
      </c>
      <c r="E78" s="205" t="str">
        <f>HPR!BV19</f>
        <v>N/A</v>
      </c>
      <c r="F78" s="205" t="str">
        <f ca="1">HPR!BW19</f>
        <v>N/A</v>
      </c>
      <c r="G78" s="205">
        <f>VLOOKUP($C78,Bear!$AZ:$BA,2,0)</f>
        <v>0.92788166101251035</v>
      </c>
      <c r="H78" s="205">
        <f>VLOOKUP($C78,Base!$AZ:$BA,2,0)</f>
        <v>1.0377886384460895</v>
      </c>
      <c r="I78" s="205">
        <f>VLOOKUP($C78,Bull!$AZ:$BA,2,0)</f>
        <v>1.1008484925657489</v>
      </c>
      <c r="J78" s="205" t="str">
        <f t="shared" si="13"/>
        <v>N/A</v>
      </c>
      <c r="K78" s="205">
        <f ca="1">HPR!CC19</f>
        <v>0.78873012433484357</v>
      </c>
      <c r="L78" s="205" t="str">
        <f t="shared" ca="1" si="14"/>
        <v>N/A</v>
      </c>
      <c r="V78" s="207" t="str">
        <f t="shared" si="15"/>
        <v>BTU0300122</v>
      </c>
      <c r="W78" s="208">
        <f t="shared" si="16"/>
        <v>44562</v>
      </c>
      <c r="X78" s="207">
        <f t="shared" ca="1" si="17"/>
        <v>-1.7894825090703295E-7</v>
      </c>
      <c r="Y78" s="207">
        <f t="shared" si="18"/>
        <v>-100</v>
      </c>
      <c r="Z78" s="207" t="str">
        <f t="shared" ca="1" si="19"/>
        <v>N/A</v>
      </c>
      <c r="AA78" s="207">
        <f t="shared" si="20"/>
        <v>0.92788166101251035</v>
      </c>
      <c r="AB78" s="207">
        <f t="shared" si="21"/>
        <v>1.0377886384460895</v>
      </c>
      <c r="AC78" s="207">
        <f t="shared" si="22"/>
        <v>1.1008484925657489</v>
      </c>
      <c r="AD78" s="207">
        <f ca="1">VLOOKUP(V78,HPR!$BQ:$BU,4,0)</f>
        <v>-1.7894825090703295E-7</v>
      </c>
      <c r="AE78" s="207">
        <f>VLOOKUP(V78,HPR!$BQ:$BU,5,0)</f>
        <v>3.85</v>
      </c>
      <c r="AF78" s="207">
        <f>VLOOKUP(V78,Bear!$AZ:$BC,4,0)</f>
        <v>3.7960900833857929</v>
      </c>
      <c r="AG78" s="207">
        <f>VLOOKUP(V78,Bull!$AZ:$BC,4,0)</f>
        <v>4.443952273780635</v>
      </c>
      <c r="AH78" s="207">
        <f t="shared" ca="1" si="23"/>
        <v>0</v>
      </c>
      <c r="AI78" s="207" t="str">
        <f t="shared" si="24"/>
        <v>N/A</v>
      </c>
      <c r="AJ78" s="207">
        <f t="shared" si="25"/>
        <v>2.8682084223732827</v>
      </c>
      <c r="AK78" s="207">
        <f t="shared" si="26"/>
        <v>3.3431037812148858</v>
      </c>
      <c r="AL78" s="207">
        <f t="shared" ca="1" si="12"/>
        <v>0.78873012433484357</v>
      </c>
    </row>
    <row r="79" spans="1:38">
      <c r="A79" s="185"/>
      <c r="B79" s="189" t="str">
        <f>HPR!BP20</f>
        <v>UF-07</v>
      </c>
      <c r="C79" s="189" t="str">
        <f>HPR!BQ20</f>
        <v>BCU0300322</v>
      </c>
      <c r="D79" s="205">
        <f ca="1">HPR!BR20</f>
        <v>-2.1453432783469922E-7</v>
      </c>
      <c r="E79" s="205">
        <f>HPR!BV20</f>
        <v>1.03</v>
      </c>
      <c r="F79" s="205">
        <f ca="1">HPR!BW20</f>
        <v>1.0300002145343279</v>
      </c>
      <c r="G79" s="205">
        <f>VLOOKUP($C79,Bear!$AZ:$BA,2,0)</f>
        <v>0.93764865898047689</v>
      </c>
      <c r="H79" s="205">
        <f>VLOOKUP($C79,Base!$AZ:$BA,2,0)</f>
        <v>1.0487400335396024</v>
      </c>
      <c r="I79" s="205">
        <f>VLOOKUP($C79,Bull!$AZ:$BA,2,0)</f>
        <v>1.1143110021078564</v>
      </c>
      <c r="J79" s="205">
        <f t="shared" si="13"/>
        <v>2.8200000000000003</v>
      </c>
      <c r="K79" s="205">
        <f ca="1">HPR!CC20</f>
        <v>0.80160411347993943</v>
      </c>
      <c r="L79" s="205">
        <f t="shared" ca="1" si="14"/>
        <v>-0.2283958865200606</v>
      </c>
      <c r="V79" s="207" t="str">
        <f t="shared" si="15"/>
        <v>BCU0300322</v>
      </c>
      <c r="W79" s="208">
        <f t="shared" si="16"/>
        <v>44621</v>
      </c>
      <c r="X79" s="207">
        <f t="shared" ca="1" si="17"/>
        <v>-2.1453432783469922E-7</v>
      </c>
      <c r="Y79" s="207">
        <f t="shared" si="18"/>
        <v>1.03</v>
      </c>
      <c r="Z79" s="207">
        <f t="shared" ca="1" si="19"/>
        <v>1.0300002145343279</v>
      </c>
      <c r="AA79" s="207">
        <f t="shared" si="20"/>
        <v>0.93764865898047689</v>
      </c>
      <c r="AB79" s="207">
        <f t="shared" si="21"/>
        <v>1.0487400335396024</v>
      </c>
      <c r="AC79" s="207">
        <f t="shared" si="22"/>
        <v>1.1143110021078564</v>
      </c>
      <c r="AD79" s="207">
        <f ca="1">VLOOKUP(V79,HPR!$BQ:$BU,4,0)</f>
        <v>-2.1453432783469922E-7</v>
      </c>
      <c r="AE79" s="207">
        <f>VLOOKUP(V79,HPR!$BQ:$BU,5,0)</f>
        <v>3.85</v>
      </c>
      <c r="AF79" s="207">
        <f>VLOOKUP(V79,Bear!$AZ:$BC,4,0)</f>
        <v>3.8085333199697868</v>
      </c>
      <c r="AG79" s="207">
        <f>VLOOKUP(V79,Bull!$AZ:$BC,4,0)</f>
        <v>4.4530692291655587</v>
      </c>
      <c r="AH79" s="207">
        <f t="shared" ca="1" si="23"/>
        <v>0</v>
      </c>
      <c r="AI79" s="207">
        <f t="shared" si="24"/>
        <v>2.8200000000000003</v>
      </c>
      <c r="AJ79" s="207">
        <f t="shared" si="25"/>
        <v>2.8708846609893097</v>
      </c>
      <c r="AK79" s="207">
        <f t="shared" si="26"/>
        <v>3.3387582270577023</v>
      </c>
      <c r="AL79" s="207">
        <f t="shared" ca="1" si="12"/>
        <v>0.80160411347993943</v>
      </c>
    </row>
    <row r="80" spans="1:38">
      <c r="A80" s="185"/>
      <c r="B80" s="189" t="str">
        <f>HPR!BP21</f>
        <v>UF-07</v>
      </c>
      <c r="C80" s="189" t="str">
        <f>HPR!BQ21</f>
        <v>BCU0500922</v>
      </c>
      <c r="D80" s="205">
        <f ca="1">HPR!BR21</f>
        <v>-3.3190810133859952E-7</v>
      </c>
      <c r="E80" s="205" t="str">
        <f>HPR!BV21</f>
        <v>N/A</v>
      </c>
      <c r="F80" s="205" t="str">
        <f ca="1">HPR!BW21</f>
        <v>N/A</v>
      </c>
      <c r="G80" s="205">
        <f>VLOOKUP($C80,Bear!$AZ:$BA,2,0)</f>
        <v>0.95836308549694083</v>
      </c>
      <c r="H80" s="205">
        <f>VLOOKUP($C80,Base!$AZ:$BA,2,0)</f>
        <v>1.0690465708988921</v>
      </c>
      <c r="I80" s="205">
        <f>VLOOKUP($C80,Bull!$AZ:$BA,2,0)</f>
        <v>1.1376581235649577</v>
      </c>
      <c r="J80" s="205" t="str">
        <f t="shared" si="13"/>
        <v>N/A</v>
      </c>
      <c r="K80" s="205">
        <f ca="1">HPR!CC21</f>
        <v>0.83405894289102467</v>
      </c>
      <c r="L80" s="205" t="str">
        <f t="shared" ca="1" si="14"/>
        <v>N/A</v>
      </c>
      <c r="V80" s="207" t="str">
        <f t="shared" si="15"/>
        <v>BCU0500922</v>
      </c>
      <c r="W80" s="208">
        <f t="shared" si="16"/>
        <v>44805</v>
      </c>
      <c r="X80" s="207">
        <f t="shared" ca="1" si="17"/>
        <v>-3.3190810133859952E-7</v>
      </c>
      <c r="Y80" s="207">
        <f t="shared" si="18"/>
        <v>-100</v>
      </c>
      <c r="Z80" s="207" t="str">
        <f t="shared" ca="1" si="19"/>
        <v>N/A</v>
      </c>
      <c r="AA80" s="207">
        <f t="shared" si="20"/>
        <v>0.95836308549694083</v>
      </c>
      <c r="AB80" s="207">
        <f t="shared" si="21"/>
        <v>1.0690465708988921</v>
      </c>
      <c r="AC80" s="207">
        <f t="shared" si="22"/>
        <v>1.1376581235649577</v>
      </c>
      <c r="AD80" s="207">
        <f ca="1">VLOOKUP(V80,HPR!$BQ:$BU,4,0)</f>
        <v>-3.3190810133859952E-7</v>
      </c>
      <c r="AE80" s="207">
        <f>VLOOKUP(V80,HPR!$BQ:$BU,5,0)</f>
        <v>3.85</v>
      </c>
      <c r="AF80" s="207">
        <f>VLOOKUP(V80,Bear!$AZ:$BC,4,0)</f>
        <v>3.832945848547709</v>
      </c>
      <c r="AG80" s="207">
        <f>VLOOKUP(V80,Bull!$AZ:$BC,4,0)</f>
        <v>4.4682278708790415</v>
      </c>
      <c r="AH80" s="207">
        <f t="shared" ca="1" si="23"/>
        <v>0</v>
      </c>
      <c r="AI80" s="207" t="str">
        <f t="shared" si="24"/>
        <v>N/A</v>
      </c>
      <c r="AJ80" s="207">
        <f t="shared" si="25"/>
        <v>2.8745827630507681</v>
      </c>
      <c r="AK80" s="207">
        <f t="shared" si="26"/>
        <v>3.3305697473140841</v>
      </c>
      <c r="AL80" s="207">
        <f t="shared" ca="1" si="12"/>
        <v>0.83405894289102467</v>
      </c>
    </row>
    <row r="81" spans="1:38">
      <c r="A81" s="185"/>
      <c r="B81" s="189" t="str">
        <f>HPR!BP22</f>
        <v>UF-07</v>
      </c>
      <c r="C81" s="189" t="str">
        <f>HPR!BQ22</f>
        <v>BCU0300323</v>
      </c>
      <c r="D81" s="205">
        <f ca="1">HPR!BR22</f>
        <v>-5.9957409350754054E-7</v>
      </c>
      <c r="E81" s="205" t="str">
        <f>HPR!BV22</f>
        <v>N/A</v>
      </c>
      <c r="F81" s="205" t="str">
        <f ca="1">HPR!BW22</f>
        <v>N/A</v>
      </c>
      <c r="G81" s="205">
        <f>VLOOKUP($C81,Bear!$AZ:$BA,2,0)</f>
        <v>0.98634206072595121</v>
      </c>
      <c r="H81" s="205">
        <f>VLOOKUP($C81,Base!$AZ:$BA,2,0)</f>
        <v>1.1039283825426485</v>
      </c>
      <c r="I81" s="205">
        <f>VLOOKUP($C81,Bull!$AZ:$BA,2,0)</f>
        <v>1.1826158468938066</v>
      </c>
      <c r="J81" s="205" t="str">
        <f t="shared" si="13"/>
        <v>N/A</v>
      </c>
      <c r="K81" s="205">
        <f ca="1">HPR!CC22</f>
        <v>0.88023439229105516</v>
      </c>
      <c r="L81" s="205" t="str">
        <f t="shared" ca="1" si="14"/>
        <v>N/A</v>
      </c>
      <c r="V81" s="207" t="str">
        <f t="shared" si="15"/>
        <v>BCU0300323</v>
      </c>
      <c r="W81" s="208">
        <f t="shared" si="16"/>
        <v>44986</v>
      </c>
      <c r="X81" s="207">
        <f t="shared" ca="1" si="17"/>
        <v>-5.9957409350754054E-7</v>
      </c>
      <c r="Y81" s="207">
        <f t="shared" si="18"/>
        <v>-100</v>
      </c>
      <c r="Z81" s="207" t="str">
        <f t="shared" ca="1" si="19"/>
        <v>N/A</v>
      </c>
      <c r="AA81" s="207">
        <f t="shared" si="20"/>
        <v>0.98634206072595121</v>
      </c>
      <c r="AB81" s="207">
        <f t="shared" si="21"/>
        <v>1.1039283825426485</v>
      </c>
      <c r="AC81" s="207">
        <f t="shared" si="22"/>
        <v>1.1826158468938066</v>
      </c>
      <c r="AD81" s="207">
        <f ca="1">VLOOKUP(V81,HPR!$BQ:$BU,4,0)</f>
        <v>-5.9957409350754054E-7</v>
      </c>
      <c r="AE81" s="207" t="str">
        <f>VLOOKUP(V81,HPR!$BQ:$BU,5,0)</f>
        <v>N/A</v>
      </c>
      <c r="AF81" s="207">
        <f>VLOOKUP(V81,Bear!$AZ:$BC,4,0)</f>
        <v>3.8723975598474847</v>
      </c>
      <c r="AG81" s="207">
        <f>VLOOKUP(V81,Bull!$AZ:$BC,4,0)</f>
        <v>4.5001399460186828</v>
      </c>
      <c r="AH81" s="207">
        <f t="shared" ca="1" si="23"/>
        <v>0</v>
      </c>
      <c r="AI81" s="207" t="str">
        <f t="shared" si="24"/>
        <v>N/A</v>
      </c>
      <c r="AJ81" s="207">
        <f t="shared" si="25"/>
        <v>2.8860554991215333</v>
      </c>
      <c r="AK81" s="207">
        <f t="shared" si="26"/>
        <v>3.317524099124876</v>
      </c>
      <c r="AL81" s="207">
        <f t="shared" ca="1" si="12"/>
        <v>0.88023439229105516</v>
      </c>
    </row>
    <row r="82" spans="1:38">
      <c r="A82" s="185"/>
      <c r="B82" s="189" t="str">
        <f>HPR!BP23</f>
        <v>UF-07</v>
      </c>
      <c r="C82" s="189" t="str">
        <f>HPR!BQ23</f>
        <v>BTU0451023</v>
      </c>
      <c r="D82" s="205">
        <f ca="1">HPR!BR23</f>
        <v>-9.3936194908283283E-7</v>
      </c>
      <c r="E82" s="205" t="str">
        <f>HPR!BV23</f>
        <v>N/A</v>
      </c>
      <c r="F82" s="205" t="str">
        <f ca="1">HPR!BW23</f>
        <v>N/A</v>
      </c>
      <c r="G82" s="205">
        <f>VLOOKUP($C82,Bear!$AZ:$BA,2,0)</f>
        <v>1.0010858431802445</v>
      </c>
      <c r="H82" s="205">
        <f>VLOOKUP($C82,Base!$AZ:$BA,2,0)</f>
        <v>1.1189446423902982</v>
      </c>
      <c r="I82" s="205">
        <f>VLOOKUP($C82,Bull!$AZ:$BA,2,0)</f>
        <v>1.2005255388282163</v>
      </c>
      <c r="J82" s="205" t="str">
        <f t="shared" si="13"/>
        <v>N/A</v>
      </c>
      <c r="K82" s="205">
        <f ca="1">HPR!CC23</f>
        <v>0.91837926270863224</v>
      </c>
      <c r="L82" s="205" t="str">
        <f t="shared" ca="1" si="14"/>
        <v>N/A</v>
      </c>
      <c r="V82" s="207" t="str">
        <f t="shared" si="15"/>
        <v>BTU0451023</v>
      </c>
      <c r="W82" s="208">
        <f t="shared" si="16"/>
        <v>45200</v>
      </c>
      <c r="X82" s="207">
        <f t="shared" ca="1" si="17"/>
        <v>-9.3936194908283283E-7</v>
      </c>
      <c r="Y82" s="207">
        <f t="shared" si="18"/>
        <v>-100</v>
      </c>
      <c r="Z82" s="207" t="str">
        <f t="shared" ca="1" si="19"/>
        <v>N/A</v>
      </c>
      <c r="AA82" s="207">
        <f t="shared" si="20"/>
        <v>1.0010858431802445</v>
      </c>
      <c r="AB82" s="207">
        <f t="shared" si="21"/>
        <v>1.1189446423902982</v>
      </c>
      <c r="AC82" s="207">
        <f t="shared" si="22"/>
        <v>1.2005255388282163</v>
      </c>
      <c r="AD82" s="207">
        <f ca="1">VLOOKUP(V82,HPR!$BQ:$BU,4,0)</f>
        <v>-9.3936194908283283E-7</v>
      </c>
      <c r="AE82" s="207" t="str">
        <f>VLOOKUP(V82,HPR!$BQ:$BU,5,0)</f>
        <v>N/A</v>
      </c>
      <c r="AF82" s="207">
        <f>VLOOKUP(V82,Bear!$AZ:$BC,4,0)</f>
        <v>3.8932342063641849</v>
      </c>
      <c r="AG82" s="207">
        <f>VLOOKUP(V82,Bull!$AZ:$BC,4,0)</f>
        <v>4.5138830743094971</v>
      </c>
      <c r="AH82" s="207">
        <f t="shared" ca="1" si="23"/>
        <v>0</v>
      </c>
      <c r="AI82" s="207" t="str">
        <f t="shared" si="24"/>
        <v>N/A</v>
      </c>
      <c r="AJ82" s="207">
        <f t="shared" si="25"/>
        <v>2.8921483631839404</v>
      </c>
      <c r="AK82" s="207">
        <f t="shared" si="26"/>
        <v>3.3133575354812805</v>
      </c>
      <c r="AL82" s="207">
        <f t="shared" ca="1" si="12"/>
        <v>0.91837926270863224</v>
      </c>
    </row>
    <row r="83" spans="1:38">
      <c r="A83" s="185"/>
      <c r="B83" s="189" t="str">
        <f>HPR!BP24</f>
        <v>UF-07</v>
      </c>
      <c r="C83" s="189" t="str">
        <f>HPR!BQ24</f>
        <v>BTU0300124</v>
      </c>
      <c r="D83" s="205">
        <f ca="1">HPR!BR24</f>
        <v>-1.2805234316445868E-6</v>
      </c>
      <c r="E83" s="205" t="str">
        <f>HPR!BV24</f>
        <v>N/A</v>
      </c>
      <c r="F83" s="205" t="str">
        <f ca="1">HPR!BW24</f>
        <v>N/A</v>
      </c>
      <c r="G83" s="205">
        <f>VLOOKUP($C83,Bear!$AZ:$BA,2,0)</f>
        <v>1.0135890240172998</v>
      </c>
      <c r="H83" s="205">
        <f>VLOOKUP($C83,Base!$AZ:$BA,2,0)</f>
        <v>1.1351502943824665</v>
      </c>
      <c r="I83" s="205">
        <f>VLOOKUP($C83,Bull!$AZ:$BA,2,0)</f>
        <v>1.2219399346694115</v>
      </c>
      <c r="J83" s="205" t="str">
        <f t="shared" si="13"/>
        <v>N/A</v>
      </c>
      <c r="K83" s="205">
        <f ca="1">HPR!CC24</f>
        <v>0.94587050300737852</v>
      </c>
      <c r="L83" s="205" t="str">
        <f t="shared" ca="1" si="14"/>
        <v>N/A</v>
      </c>
      <c r="V83" s="207" t="str">
        <f t="shared" si="15"/>
        <v>BTU0300124</v>
      </c>
      <c r="W83" s="208">
        <f t="shared" si="16"/>
        <v>45292</v>
      </c>
      <c r="X83" s="207">
        <f t="shared" ca="1" si="17"/>
        <v>-1.2805234316445868E-6</v>
      </c>
      <c r="Y83" s="207">
        <f t="shared" si="18"/>
        <v>-100</v>
      </c>
      <c r="Z83" s="207" t="str">
        <f t="shared" ca="1" si="19"/>
        <v>N/A</v>
      </c>
      <c r="AA83" s="207">
        <f t="shared" si="20"/>
        <v>1.0135890240172998</v>
      </c>
      <c r="AB83" s="207">
        <f t="shared" si="21"/>
        <v>1.1351502943824665</v>
      </c>
      <c r="AC83" s="207">
        <f t="shared" si="22"/>
        <v>1.2219399346694115</v>
      </c>
      <c r="AD83" s="207">
        <f ca="1">VLOOKUP(V83,HPR!$BQ:$BU,4,0)</f>
        <v>-1.2805234316445868E-6</v>
      </c>
      <c r="AE83" s="207" t="str">
        <f>VLOOKUP(V83,HPR!$BQ:$BU,5,0)</f>
        <v>N/A</v>
      </c>
      <c r="AF83" s="207">
        <f>VLOOKUP(V83,Bear!$AZ:$BC,4,0)</f>
        <v>3.9134739001888215</v>
      </c>
      <c r="AG83" s="207">
        <f>VLOOKUP(V83,Bull!$AZ:$BC,4,0)</f>
        <v>4.530733031002371</v>
      </c>
      <c r="AH83" s="207">
        <f t="shared" ca="1" si="23"/>
        <v>0</v>
      </c>
      <c r="AI83" s="207" t="str">
        <f t="shared" si="24"/>
        <v>N/A</v>
      </c>
      <c r="AJ83" s="207">
        <f t="shared" si="25"/>
        <v>2.8998848761715217</v>
      </c>
      <c r="AK83" s="207">
        <f t="shared" si="26"/>
        <v>3.3087930963329595</v>
      </c>
      <c r="AL83" s="207">
        <f t="shared" ca="1" si="12"/>
        <v>0.94587050300737852</v>
      </c>
    </row>
    <row r="84" spans="1:38">
      <c r="A84" s="185"/>
      <c r="B84" s="189" t="str">
        <f>HPR!BP25</f>
        <v>UF-10</v>
      </c>
      <c r="C84" s="189" t="str">
        <f>HPR!BQ25</f>
        <v>BTU0450824</v>
      </c>
      <c r="D84" s="205">
        <f ca="1">HPR!BR25</f>
        <v>-1.8764808031208891E-6</v>
      </c>
      <c r="E84" s="205">
        <f>HPR!BV25</f>
        <v>1.25</v>
      </c>
      <c r="F84" s="205">
        <f ca="1">HPR!BW25</f>
        <v>1.2500018764808032</v>
      </c>
      <c r="G84" s="205">
        <f>VLOOKUP($C84,Bear!$AZ:$BA,2,0)</f>
        <v>1.0248091669598087</v>
      </c>
      <c r="H84" s="205">
        <f>VLOOKUP($C84,Base!$AZ:$BA,2,0)</f>
        <v>1.1460531316187621</v>
      </c>
      <c r="I84" s="205">
        <f>VLOOKUP($C84,Bull!$AZ:$BA,2,0)</f>
        <v>1.2344467953671849</v>
      </c>
      <c r="J84" s="205" t="str">
        <f t="shared" si="13"/>
        <v>N/A</v>
      </c>
      <c r="K84" s="205">
        <f ca="1">HPR!CC25</f>
        <v>0.98213199311504362</v>
      </c>
      <c r="L84" s="205">
        <f t="shared" ca="1" si="14"/>
        <v>-0.26786800688495638</v>
      </c>
      <c r="V84" s="207" t="str">
        <f t="shared" si="15"/>
        <v>BTU0450824</v>
      </c>
      <c r="W84" s="208">
        <f t="shared" si="16"/>
        <v>45505</v>
      </c>
      <c r="X84" s="207">
        <f t="shared" ca="1" si="17"/>
        <v>-1.8764808031208891E-6</v>
      </c>
      <c r="Y84" s="207">
        <f t="shared" si="18"/>
        <v>1.25</v>
      </c>
      <c r="Z84" s="207">
        <f t="shared" ca="1" si="19"/>
        <v>1.2500018764808032</v>
      </c>
      <c r="AA84" s="207">
        <f t="shared" si="20"/>
        <v>1.0248091669598087</v>
      </c>
      <c r="AB84" s="207">
        <f t="shared" si="21"/>
        <v>1.1460531316187621</v>
      </c>
      <c r="AC84" s="207">
        <f t="shared" si="22"/>
        <v>1.2344467953671849</v>
      </c>
      <c r="AD84" s="207">
        <f ca="1">VLOOKUP(V84,HPR!$BQ:$BU,4,0)</f>
        <v>-1.8764808031208891E-6</v>
      </c>
      <c r="AE84" s="207" t="str">
        <f>VLOOKUP(V84,HPR!$BQ:$BU,5,0)</f>
        <v>N/A</v>
      </c>
      <c r="AF84" s="207">
        <f>VLOOKUP(V84,Bear!$AZ:$BC,4,0)</f>
        <v>3.9278933984684836</v>
      </c>
      <c r="AG84" s="207">
        <f>VLOOKUP(V84,Bull!$AZ:$BC,4,0)</f>
        <v>4.5400117673892231</v>
      </c>
      <c r="AH84" s="207">
        <f t="shared" ca="1" si="23"/>
        <v>0</v>
      </c>
      <c r="AI84" s="207" t="str">
        <f t="shared" si="24"/>
        <v>N/A</v>
      </c>
      <c r="AJ84" s="207">
        <f t="shared" si="25"/>
        <v>2.9030842315086751</v>
      </c>
      <c r="AK84" s="207">
        <f t="shared" si="26"/>
        <v>3.3055649720220384</v>
      </c>
      <c r="AL84" s="207">
        <f t="shared" ca="1" si="12"/>
        <v>0.98213199311504362</v>
      </c>
    </row>
    <row r="85" spans="1:38">
      <c r="A85" s="185"/>
      <c r="B85" s="189" t="str">
        <f>HPR!BP26</f>
        <v>UF-10</v>
      </c>
      <c r="C85" s="189" t="str">
        <f>HPR!BQ26</f>
        <v>BTU0260925</v>
      </c>
      <c r="D85" s="205">
        <f ca="1">HPR!BR26</f>
        <v>-1.1328973622455889E-12</v>
      </c>
      <c r="E85" s="205" t="str">
        <f>HPR!BV26</f>
        <v>N/A</v>
      </c>
      <c r="F85" s="205" t="str">
        <f ca="1">HPR!BW26</f>
        <v>N/A</v>
      </c>
      <c r="G85" s="205">
        <f>VLOOKUP($C85,Bear!$AZ:$BA,2,0)</f>
        <v>1.0593699302491115</v>
      </c>
      <c r="H85" s="205">
        <f>VLOOKUP($C85,Base!$AZ:$BA,2,0)</f>
        <v>1.1871423853657608</v>
      </c>
      <c r="I85" s="205">
        <f>VLOOKUP($C85,Bull!$AZ:$BA,2,0)</f>
        <v>1.2862380418471961</v>
      </c>
      <c r="J85" s="205" t="str">
        <f t="shared" si="13"/>
        <v>N/A</v>
      </c>
      <c r="K85" s="205">
        <f ca="1">HPR!CC26</f>
        <v>1.0800226960097437</v>
      </c>
      <c r="L85" s="205" t="str">
        <f t="shared" ca="1" si="14"/>
        <v>N/A</v>
      </c>
      <c r="V85" s="207" t="str">
        <f t="shared" si="15"/>
        <v>BTU0260925</v>
      </c>
      <c r="W85" s="208">
        <f t="shared" si="16"/>
        <v>45901</v>
      </c>
      <c r="X85" s="207">
        <f t="shared" ca="1" si="17"/>
        <v>-1.1328973622455889E-12</v>
      </c>
      <c r="Y85" s="207">
        <f t="shared" si="18"/>
        <v>-100</v>
      </c>
      <c r="Z85" s="207" t="str">
        <f t="shared" ca="1" si="19"/>
        <v>N/A</v>
      </c>
      <c r="AA85" s="207">
        <f t="shared" si="20"/>
        <v>1.0593699302491115</v>
      </c>
      <c r="AB85" s="207">
        <f t="shared" si="21"/>
        <v>1.1871423853657608</v>
      </c>
      <c r="AC85" s="207">
        <f t="shared" si="22"/>
        <v>1.2862380418471961</v>
      </c>
      <c r="AD85" s="207">
        <f ca="1">VLOOKUP(V85,HPR!$BQ:$BU,4,0)</f>
        <v>-1.1328973622455889E-12</v>
      </c>
      <c r="AE85" s="207" t="str">
        <f>VLOOKUP(V85,HPR!$BQ:$BU,5,0)</f>
        <v>N/A</v>
      </c>
      <c r="AF85" s="207">
        <f>VLOOKUP(V85,Bear!$AZ:$BC,4,0)</f>
        <v>3.9777568534672718</v>
      </c>
      <c r="AG85" s="207">
        <f>VLOOKUP(V85,Bull!$AZ:$BC,4,0)</f>
        <v>4.5797071837228316</v>
      </c>
      <c r="AH85" s="207">
        <f t="shared" ca="1" si="23"/>
        <v>0</v>
      </c>
      <c r="AI85" s="207" t="str">
        <f t="shared" si="24"/>
        <v>N/A</v>
      </c>
      <c r="AJ85" s="207">
        <f t="shared" si="25"/>
        <v>2.9183869232181605</v>
      </c>
      <c r="AK85" s="207">
        <f t="shared" si="26"/>
        <v>3.2934691418756357</v>
      </c>
      <c r="AL85" s="207">
        <f t="shared" ca="1" si="12"/>
        <v>1.0800226960097437</v>
      </c>
    </row>
    <row r="86" spans="1:38">
      <c r="A86" s="185"/>
      <c r="B86" s="189" t="str">
        <f>HPR!BP27</f>
        <v>UF-10</v>
      </c>
      <c r="C86" s="189" t="str">
        <f>HPR!BQ27</f>
        <v>BTU0150326</v>
      </c>
      <c r="D86" s="205">
        <f ca="1">HPR!BR27</f>
        <v>-2.9492700353778221E-12</v>
      </c>
      <c r="E86" s="205">
        <f>HPR!BV27</f>
        <v>1.27</v>
      </c>
      <c r="F86" s="205">
        <f ca="1">HPR!BW27</f>
        <v>1.2700000000029492</v>
      </c>
      <c r="G86" s="205">
        <f>VLOOKUP($C86,Bear!$AZ:$BA,2,0)</f>
        <v>1.0754334732537769</v>
      </c>
      <c r="H86" s="205">
        <f>VLOOKUP($C86,Base!$AZ:$BA,2,0)</f>
        <v>1.2063411751235069</v>
      </c>
      <c r="I86" s="205">
        <f>VLOOKUP($C86,Bull!$AZ:$BA,2,0)</f>
        <v>1.3104572691536627</v>
      </c>
      <c r="J86" s="205">
        <f t="shared" si="13"/>
        <v>2.9200000000000004</v>
      </c>
      <c r="K86" s="205">
        <f ca="1">HPR!CC27</f>
        <v>1.1241856469538327</v>
      </c>
      <c r="L86" s="205">
        <f t="shared" ca="1" si="14"/>
        <v>-0.1458143530461673</v>
      </c>
      <c r="V86" s="207" t="str">
        <f t="shared" si="15"/>
        <v>BTU0150326</v>
      </c>
      <c r="W86" s="208">
        <f t="shared" si="16"/>
        <v>46082</v>
      </c>
      <c r="X86" s="207">
        <f t="shared" ca="1" si="17"/>
        <v>-2.9492700353778221E-12</v>
      </c>
      <c r="Y86" s="207">
        <f t="shared" si="18"/>
        <v>1.27</v>
      </c>
      <c r="Z86" s="207">
        <f t="shared" ca="1" si="19"/>
        <v>1.2700000000029492</v>
      </c>
      <c r="AA86" s="207">
        <f t="shared" si="20"/>
        <v>1.0754334732537769</v>
      </c>
      <c r="AB86" s="207">
        <f t="shared" si="21"/>
        <v>1.2063411751235069</v>
      </c>
      <c r="AC86" s="207">
        <f t="shared" si="22"/>
        <v>1.3104572691536627</v>
      </c>
      <c r="AD86" s="207">
        <f ca="1">VLOOKUP(V86,HPR!$BQ:$BU,4,0)</f>
        <v>-2.9492700353778221E-12</v>
      </c>
      <c r="AE86" s="207">
        <f>VLOOKUP(V86,HPR!$BQ:$BU,5,0)</f>
        <v>4.1900000000000004</v>
      </c>
      <c r="AF86" s="207">
        <f>VLOOKUP(V86,Bear!$AZ:$BC,4,0)</f>
        <v>4.0015654264374536</v>
      </c>
      <c r="AG86" s="207">
        <f>VLOOKUP(V86,Bull!$AZ:$BC,4,0)</f>
        <v>4.5990083298161304</v>
      </c>
      <c r="AH86" s="207">
        <f t="shared" ca="1" si="23"/>
        <v>0</v>
      </c>
      <c r="AI86" s="207">
        <f t="shared" si="24"/>
        <v>2.9200000000000004</v>
      </c>
      <c r="AJ86" s="207">
        <f t="shared" si="25"/>
        <v>2.9261319531836767</v>
      </c>
      <c r="AK86" s="207">
        <f t="shared" si="26"/>
        <v>3.2885510606624679</v>
      </c>
      <c r="AL86" s="207">
        <f t="shared" ca="1" si="12"/>
        <v>1.1241856469538327</v>
      </c>
    </row>
    <row r="87" spans="1:38">
      <c r="A87" s="185"/>
      <c r="B87" s="189" t="str">
        <f>HPR!BP28</f>
        <v>UF-10</v>
      </c>
      <c r="C87" s="189" t="str">
        <f>HPR!BQ28</f>
        <v>BTU0300327</v>
      </c>
      <c r="D87" s="205">
        <f ca="1">HPR!BR28</f>
        <v>-8.7857006537934252E-12</v>
      </c>
      <c r="E87" s="205" t="str">
        <f>HPR!BV28</f>
        <v>N/A</v>
      </c>
      <c r="F87" s="205" t="str">
        <f ca="1">HPR!BW28</f>
        <v>N/A</v>
      </c>
      <c r="G87" s="205">
        <f>VLOOKUP($C87,Bear!$AZ:$BA,2,0)</f>
        <v>1.0869276790680149</v>
      </c>
      <c r="H87" s="205">
        <f>VLOOKUP($C87,Base!$AZ:$BA,2,0)</f>
        <v>1.2174904915622826</v>
      </c>
      <c r="I87" s="205">
        <f>VLOOKUP($C87,Bull!$AZ:$BA,2,0)</f>
        <v>1.3228580573914712</v>
      </c>
      <c r="J87" s="205" t="str">
        <f t="shared" si="13"/>
        <v>N/A</v>
      </c>
      <c r="K87" s="205">
        <f ca="1">HPR!CC28</f>
        <v>1.1525171299091042</v>
      </c>
      <c r="L87" s="205" t="str">
        <f t="shared" ca="1" si="14"/>
        <v>N/A</v>
      </c>
      <c r="V87" s="207" t="str">
        <f t="shared" si="15"/>
        <v>BTU0300327</v>
      </c>
      <c r="W87" s="208">
        <f t="shared" si="16"/>
        <v>46447</v>
      </c>
      <c r="X87" s="207">
        <f t="shared" ca="1" si="17"/>
        <v>-8.7857006537934252E-12</v>
      </c>
      <c r="Y87" s="207">
        <f t="shared" si="18"/>
        <v>-100</v>
      </c>
      <c r="Z87" s="207" t="str">
        <f t="shared" ca="1" si="19"/>
        <v>N/A</v>
      </c>
      <c r="AA87" s="207">
        <f t="shared" si="20"/>
        <v>1.0869276790680149</v>
      </c>
      <c r="AB87" s="207">
        <f t="shared" si="21"/>
        <v>1.2174904915622826</v>
      </c>
      <c r="AC87" s="207">
        <f t="shared" si="22"/>
        <v>1.3228580573914712</v>
      </c>
      <c r="AD87" s="207">
        <f ca="1">VLOOKUP(V87,HPR!$BQ:$BU,4,0)</f>
        <v>-8.7857006537934252E-12</v>
      </c>
      <c r="AE87" s="207" t="str">
        <f>VLOOKUP(V87,HPR!$BQ:$BU,5,0)</f>
        <v>N/A</v>
      </c>
      <c r="AF87" s="207">
        <f>VLOOKUP(V87,Bear!$AZ:$BC,4,0)</f>
        <v>4.0150425592347867</v>
      </c>
      <c r="AG87" s="207">
        <f>VLOOKUP(V87,Bull!$AZ:$BC,4,0)</f>
        <v>4.6080949925394394</v>
      </c>
      <c r="AH87" s="207">
        <f t="shared" ca="1" si="23"/>
        <v>0</v>
      </c>
      <c r="AI87" s="207" t="str">
        <f t="shared" si="24"/>
        <v>N/A</v>
      </c>
      <c r="AJ87" s="207">
        <f t="shared" si="25"/>
        <v>2.9281148801667718</v>
      </c>
      <c r="AK87" s="207">
        <f t="shared" si="26"/>
        <v>3.2852369351479682</v>
      </c>
      <c r="AL87" s="207">
        <f t="shared" ca="1" si="12"/>
        <v>1.1525171299091042</v>
      </c>
    </row>
    <row r="88" spans="1:38">
      <c r="A88" s="185"/>
      <c r="B88" s="189" t="str">
        <f>HPR!BP29</f>
        <v>N/A</v>
      </c>
      <c r="C88" s="189" t="str">
        <f>HPR!BQ29</f>
        <v>BTU0300328</v>
      </c>
      <c r="D88" s="205">
        <f ca="1">HPR!BR29</f>
        <v>-3.1213531827040293E-11</v>
      </c>
      <c r="E88" s="205" t="str">
        <f>HPR!BV29</f>
        <v>N/A</v>
      </c>
      <c r="F88" s="205" t="str">
        <f ca="1">HPR!BW29</f>
        <v>N/A</v>
      </c>
      <c r="G88" s="205">
        <f>VLOOKUP($C88,Bear!$AZ:$BA,2,0)</f>
        <v>1.1037839304884511</v>
      </c>
      <c r="H88" s="205">
        <f>VLOOKUP($C88,Base!$AZ:$BA,2,0)</f>
        <v>1.2361725046920453</v>
      </c>
      <c r="I88" s="205">
        <f>VLOOKUP($C88,Bull!$AZ:$BA,2,0)</f>
        <v>1.3453092383504335</v>
      </c>
      <c r="J88" s="205" t="str">
        <f t="shared" si="13"/>
        <v>N/A</v>
      </c>
      <c r="K88" s="205">
        <f ca="1">HPR!CC29</f>
        <v>1.1632784417970299</v>
      </c>
      <c r="L88" s="205" t="str">
        <f t="shared" ca="1" si="14"/>
        <v>N/A</v>
      </c>
      <c r="V88" s="207" t="str">
        <f t="shared" si="15"/>
        <v>BTU0300328</v>
      </c>
      <c r="W88" s="208">
        <f t="shared" si="16"/>
        <v>46813</v>
      </c>
      <c r="X88" s="207">
        <f t="shared" ca="1" si="17"/>
        <v>-3.1213531827040293E-11</v>
      </c>
      <c r="Y88" s="207">
        <f t="shared" si="18"/>
        <v>-100</v>
      </c>
      <c r="Z88" s="207" t="str">
        <f t="shared" ca="1" si="19"/>
        <v>N/A</v>
      </c>
      <c r="AA88" s="207">
        <f t="shared" si="20"/>
        <v>1.1037839304884511</v>
      </c>
      <c r="AB88" s="207">
        <f t="shared" si="21"/>
        <v>1.2361725046920453</v>
      </c>
      <c r="AC88" s="207">
        <f t="shared" si="22"/>
        <v>1.3453092383504335</v>
      </c>
      <c r="AD88" s="207">
        <f ca="1">VLOOKUP(V88,HPR!$BQ:$BU,4,0)</f>
        <v>-3.1213531827040293E-11</v>
      </c>
      <c r="AE88" s="207" t="str">
        <f>VLOOKUP(V88,HPR!$BQ:$BU,5,0)</f>
        <v>N/A</v>
      </c>
      <c r="AF88" s="207">
        <f>VLOOKUP(V88,Bear!$AZ:$BC,4,0)</f>
        <v>4.0375340380790838</v>
      </c>
      <c r="AG88" s="207">
        <f>VLOOKUP(V88,Bull!$AZ:$BC,4,0)</f>
        <v>4.6256683427160903</v>
      </c>
      <c r="AH88" s="207">
        <f t="shared" ca="1" si="23"/>
        <v>0</v>
      </c>
      <c r="AI88" s="207" t="str">
        <f t="shared" si="24"/>
        <v>N/A</v>
      </c>
      <c r="AJ88" s="207">
        <f t="shared" si="25"/>
        <v>2.9337501075906327</v>
      </c>
      <c r="AK88" s="207">
        <f t="shared" si="26"/>
        <v>3.2803591043656568</v>
      </c>
      <c r="AL88" s="207">
        <f t="shared" ca="1" si="12"/>
        <v>1.1632784417970299</v>
      </c>
    </row>
    <row r="89" spans="1:38">
      <c r="A89" s="185"/>
      <c r="B89" s="189" t="str">
        <f>HPR!BP30</f>
        <v>N/A</v>
      </c>
      <c r="C89" s="189" t="str">
        <f>HPR!BQ30</f>
        <v>BCU0300528</v>
      </c>
      <c r="D89" s="205">
        <f ca="1">HPR!BR30</f>
        <v>-3.8196172160359426E-11</v>
      </c>
      <c r="E89" s="205" t="str">
        <f>HPR!BV30</f>
        <v>N/A</v>
      </c>
      <c r="F89" s="205" t="str">
        <f ca="1">HPR!BW30</f>
        <v>N/A</v>
      </c>
      <c r="G89" s="205">
        <f>VLOOKUP($C89,Bear!$AZ:$BA,2,0)</f>
        <v>1.1061976261120241</v>
      </c>
      <c r="H89" s="205">
        <f>VLOOKUP($C89,Base!$AZ:$BA,2,0)</f>
        <v>1.2389684431834509</v>
      </c>
      <c r="I89" s="205">
        <f>VLOOKUP($C89,Bull!$AZ:$BA,2,0)</f>
        <v>1.3487483119285761</v>
      </c>
      <c r="J89" s="205" t="str">
        <f t="shared" si="13"/>
        <v>N/A</v>
      </c>
      <c r="K89" s="205">
        <f ca="1">HPR!CC30</f>
        <v>1.164872918119797</v>
      </c>
      <c r="L89" s="205" t="str">
        <f t="shared" ca="1" si="14"/>
        <v>N/A</v>
      </c>
      <c r="V89" s="207" t="str">
        <f t="shared" si="15"/>
        <v>BCU0300528</v>
      </c>
      <c r="W89" s="208">
        <f t="shared" si="16"/>
        <v>46874</v>
      </c>
      <c r="X89" s="207">
        <f t="shared" ca="1" si="17"/>
        <v>-3.8196172160359426E-11</v>
      </c>
      <c r="Y89" s="207">
        <f t="shared" si="18"/>
        <v>-100</v>
      </c>
      <c r="Z89" s="207" t="str">
        <f t="shared" ca="1" si="19"/>
        <v>N/A</v>
      </c>
      <c r="AA89" s="207">
        <f t="shared" si="20"/>
        <v>1.1061976261120241</v>
      </c>
      <c r="AB89" s="207">
        <f t="shared" si="21"/>
        <v>1.2389684431834509</v>
      </c>
      <c r="AC89" s="207">
        <f t="shared" si="22"/>
        <v>1.3487483119285761</v>
      </c>
      <c r="AD89" s="207">
        <f ca="1">VLOOKUP(V89,HPR!$BQ:$BU,4,0)</f>
        <v>-3.8196172160359426E-11</v>
      </c>
      <c r="AE89" s="207" t="str">
        <f>VLOOKUP(V89,HPR!$BQ:$BU,5,0)</f>
        <v>N/A</v>
      </c>
      <c r="AF89" s="207">
        <f>VLOOKUP(V89,Bear!$AZ:$BC,4,0)</f>
        <v>4.0410639810002476</v>
      </c>
      <c r="AG89" s="207">
        <f>VLOOKUP(V89,Bull!$AZ:$BC,4,0)</f>
        <v>4.6284678133792854</v>
      </c>
      <c r="AH89" s="207">
        <f t="shared" ca="1" si="23"/>
        <v>0</v>
      </c>
      <c r="AI89" s="207" t="str">
        <f t="shared" si="24"/>
        <v>N/A</v>
      </c>
      <c r="AJ89" s="207">
        <f t="shared" si="25"/>
        <v>2.9348663548882232</v>
      </c>
      <c r="AK89" s="207">
        <f t="shared" si="26"/>
        <v>3.2797195014507095</v>
      </c>
      <c r="AL89" s="207">
        <f t="shared" ca="1" si="12"/>
        <v>1.164872918119797</v>
      </c>
    </row>
    <row r="90" spans="1:38">
      <c r="A90" s="185"/>
      <c r="B90" s="189" t="str">
        <f>HPR!BP31</f>
        <v>N/A</v>
      </c>
      <c r="C90" s="189" t="str">
        <f>HPR!BQ31</f>
        <v>BTU0300329</v>
      </c>
      <c r="D90" s="205">
        <f ca="1">HPR!BR31</f>
        <v>-1.0004680161309742E-10</v>
      </c>
      <c r="E90" s="205" t="str">
        <f>HPR!BV31</f>
        <v>N/A</v>
      </c>
      <c r="F90" s="205" t="str">
        <f ca="1">HPR!BW31</f>
        <v>N/A</v>
      </c>
      <c r="G90" s="205">
        <f>VLOOKUP($C90,Bear!$AZ:$BA,2,0)</f>
        <v>1.118816845691935</v>
      </c>
      <c r="H90" s="205">
        <f>VLOOKUP($C90,Base!$AZ:$BA,2,0)</f>
        <v>1.2527272656938815</v>
      </c>
      <c r="I90" s="205">
        <f>VLOOKUP($C90,Bull!$AZ:$BA,2,0)</f>
        <v>1.3650100153492901</v>
      </c>
      <c r="J90" s="205" t="str">
        <f t="shared" si="13"/>
        <v>N/A</v>
      </c>
      <c r="K90" s="205">
        <f ca="1">HPR!CC31</f>
        <v>1.1734946396771444</v>
      </c>
      <c r="L90" s="205" t="str">
        <f t="shared" ca="1" si="14"/>
        <v>N/A</v>
      </c>
      <c r="V90" s="207" t="str">
        <f t="shared" si="15"/>
        <v>BTU0300329</v>
      </c>
      <c r="W90" s="208">
        <f t="shared" si="16"/>
        <v>47178</v>
      </c>
      <c r="X90" s="207">
        <f t="shared" ca="1" si="17"/>
        <v>-1.0004680161309742E-10</v>
      </c>
      <c r="Y90" s="207">
        <f t="shared" si="18"/>
        <v>-100</v>
      </c>
      <c r="Z90" s="207" t="str">
        <f t="shared" ca="1" si="19"/>
        <v>N/A</v>
      </c>
      <c r="AA90" s="207">
        <f t="shared" si="20"/>
        <v>1.118816845691935</v>
      </c>
      <c r="AB90" s="207">
        <f t="shared" si="21"/>
        <v>1.2527272656938815</v>
      </c>
      <c r="AC90" s="207">
        <f t="shared" si="22"/>
        <v>1.3650100153492901</v>
      </c>
      <c r="AD90" s="207">
        <f ca="1">VLOOKUP(V90,HPR!$BQ:$BU,4,0)</f>
        <v>-1.0004680161309742E-10</v>
      </c>
      <c r="AE90" s="207" t="str">
        <f>VLOOKUP(V90,HPR!$BQ:$BU,5,0)</f>
        <v>N/A</v>
      </c>
      <c r="AF90" s="207">
        <f>VLOOKUP(V90,Bear!$AZ:$BC,4,0)</f>
        <v>4.0571417479072274</v>
      </c>
      <c r="AG90" s="207">
        <f>VLOOKUP(V90,Bull!$AZ:$BC,4,0)</f>
        <v>4.641162309140574</v>
      </c>
      <c r="AH90" s="207">
        <f t="shared" ca="1" si="23"/>
        <v>0</v>
      </c>
      <c r="AI90" s="207" t="str">
        <f t="shared" si="24"/>
        <v>N/A</v>
      </c>
      <c r="AJ90" s="207">
        <f t="shared" si="25"/>
        <v>2.9383249022152924</v>
      </c>
      <c r="AK90" s="207">
        <f t="shared" si="26"/>
        <v>3.2761522937912839</v>
      </c>
      <c r="AL90" s="207">
        <f t="shared" ca="1" si="12"/>
        <v>1.1734946396771444</v>
      </c>
    </row>
    <row r="91" spans="1:38">
      <c r="A91" s="185"/>
      <c r="B91" s="189" t="str">
        <f>HPR!BP32</f>
        <v>N/A</v>
      </c>
      <c r="C91" s="189" t="str">
        <f>HPR!BQ32</f>
        <v>BTU0300130</v>
      </c>
      <c r="D91" s="205">
        <f ca="1">HPR!BR32</f>
        <v>-2.4859824144580394E-10</v>
      </c>
      <c r="E91" s="205" t="str">
        <f>HPR!BV32</f>
        <v>N/A</v>
      </c>
      <c r="F91" s="205" t="str">
        <f ca="1">HPR!BW32</f>
        <v>N/A</v>
      </c>
      <c r="G91" s="205">
        <f>VLOOKUP($C91,Bear!$AZ:$BA,2,0)</f>
        <v>1.1298607845176993</v>
      </c>
      <c r="H91" s="205">
        <f>VLOOKUP($C91,Base!$AZ:$BA,2,0)</f>
        <v>1.2648887388056811</v>
      </c>
      <c r="I91" s="205">
        <f>VLOOKUP($C91,Bull!$AZ:$BA,2,0)</f>
        <v>1.3794551636198797</v>
      </c>
      <c r="J91" s="205" t="str">
        <f t="shared" si="13"/>
        <v>N/A</v>
      </c>
      <c r="K91" s="205">
        <f ca="1">HPR!CC32</f>
        <v>1.1816802797247099</v>
      </c>
      <c r="L91" s="205" t="str">
        <f t="shared" ca="1" si="14"/>
        <v>N/A</v>
      </c>
      <c r="V91" s="207" t="str">
        <f t="shared" si="15"/>
        <v>BTU0300130</v>
      </c>
      <c r="W91" s="208">
        <f t="shared" si="16"/>
        <v>47484</v>
      </c>
      <c r="X91" s="207">
        <f t="shared" ca="1" si="17"/>
        <v>-2.4859824144580394E-10</v>
      </c>
      <c r="Y91" s="207">
        <f t="shared" si="18"/>
        <v>-100</v>
      </c>
      <c r="Z91" s="207" t="str">
        <f t="shared" ca="1" si="19"/>
        <v>N/A</v>
      </c>
      <c r="AA91" s="207">
        <f t="shared" si="20"/>
        <v>1.1298607845176993</v>
      </c>
      <c r="AB91" s="207">
        <f t="shared" si="21"/>
        <v>1.2648887388056811</v>
      </c>
      <c r="AC91" s="207">
        <f t="shared" si="22"/>
        <v>1.3794551636198797</v>
      </c>
      <c r="AD91" s="207">
        <f ca="1">VLOOKUP(V91,HPR!$BQ:$BU,4,0)</f>
        <v>-2.4859824144580394E-10</v>
      </c>
      <c r="AE91" s="207" t="str">
        <f>VLOOKUP(V91,HPR!$BQ:$BU,5,0)</f>
        <v>N/A</v>
      </c>
      <c r="AF91" s="207">
        <f>VLOOKUP(V91,Bear!$AZ:$BC,4,0)</f>
        <v>4.0718537459969264</v>
      </c>
      <c r="AG91" s="207">
        <f>VLOOKUP(V91,Bull!$AZ:$BC,4,0)</f>
        <v>4.6529024345468812</v>
      </c>
      <c r="AH91" s="207">
        <f t="shared" ca="1" si="23"/>
        <v>0</v>
      </c>
      <c r="AI91" s="207" t="str">
        <f t="shared" si="24"/>
        <v>N/A</v>
      </c>
      <c r="AJ91" s="207">
        <f t="shared" si="25"/>
        <v>2.9419929614792268</v>
      </c>
      <c r="AK91" s="207">
        <f t="shared" si="26"/>
        <v>3.2734472709270017</v>
      </c>
      <c r="AL91" s="207">
        <f t="shared" ca="1" si="12"/>
        <v>1.1816802797247099</v>
      </c>
    </row>
    <row r="92" spans="1:38">
      <c r="A92" s="185"/>
      <c r="B92" s="189" t="str">
        <f>HPR!BP33</f>
        <v>N/A</v>
      </c>
      <c r="C92" s="189" t="str">
        <f>HPR!BQ33</f>
        <v>BCU0300231</v>
      </c>
      <c r="D92" s="205">
        <f ca="1">HPR!BR33</f>
        <v>-7.4695279337331534E-10</v>
      </c>
      <c r="E92" s="205" t="str">
        <f>HPR!BV33</f>
        <v>N/A</v>
      </c>
      <c r="F92" s="205" t="str">
        <f ca="1">HPR!BW33</f>
        <v>N/A</v>
      </c>
      <c r="G92" s="205">
        <f>VLOOKUP($C92,Bear!$AZ:$BA,2,0)</f>
        <v>1.1439092695875472</v>
      </c>
      <c r="H92" s="205">
        <f>VLOOKUP($C92,Base!$AZ:$BA,2,0)</f>
        <v>1.280128347610328</v>
      </c>
      <c r="I92" s="205">
        <f>VLOOKUP($C92,Bull!$AZ:$BA,2,0)</f>
        <v>1.3972066757352486</v>
      </c>
      <c r="J92" s="205" t="str">
        <f t="shared" ref="J92:J101" si="27">AI92</f>
        <v>N/A</v>
      </c>
      <c r="K92" s="205">
        <f ca="1">HPR!CC33</f>
        <v>1.1920565427833862</v>
      </c>
      <c r="L92" s="205" t="str">
        <f t="shared" ref="L92:L101" ca="1" si="28">IFERROR(K92-E92,"N/A")</f>
        <v>N/A</v>
      </c>
      <c r="V92" s="207" t="str">
        <f t="shared" si="15"/>
        <v>BCU0300231</v>
      </c>
      <c r="W92" s="208">
        <f t="shared" ref="W92:W101" si="29">DATE("20"&amp;RIGHT(V92,2),MID(V92,7,2),1)</f>
        <v>47880</v>
      </c>
      <c r="X92" s="207">
        <f t="shared" ca="1" si="17"/>
        <v>-7.4695279337331534E-10</v>
      </c>
      <c r="Y92" s="207">
        <f t="shared" si="18"/>
        <v>-100</v>
      </c>
      <c r="Z92" s="207" t="str">
        <f t="shared" ca="1" si="19"/>
        <v>N/A</v>
      </c>
      <c r="AA92" s="207">
        <f t="shared" si="20"/>
        <v>1.1439092695875472</v>
      </c>
      <c r="AB92" s="207">
        <f t="shared" si="21"/>
        <v>1.280128347610328</v>
      </c>
      <c r="AC92" s="207">
        <f t="shared" si="22"/>
        <v>1.3972066757352486</v>
      </c>
      <c r="AD92" s="207">
        <f ca="1">VLOOKUP(V92,HPR!$BQ:$BU,4,0)</f>
        <v>-7.4695279337331534E-10</v>
      </c>
      <c r="AE92" s="207" t="str">
        <f>VLOOKUP(V92,HPR!$BQ:$BU,5,0)</f>
        <v>N/A</v>
      </c>
      <c r="AF92" s="207">
        <f>VLOOKUP(V92,Bear!$AZ:$BC,4,0)</f>
        <v>4.0890190270355111</v>
      </c>
      <c r="AG92" s="207">
        <f>VLOOKUP(V92,Bull!$AZ:$BC,4,0)</f>
        <v>4.6667348650962346</v>
      </c>
      <c r="AH92" s="207">
        <f t="shared" ref="AH92:AH101" ca="1" si="30">IFERROR(AD92-X92,"NA")</f>
        <v>0</v>
      </c>
      <c r="AI92" s="207" t="str">
        <f t="shared" ref="AI92:AI101" si="31">IFERROR(IF(Y92&lt;&gt;-100,AE92-Y92,"N/A"),"N/A")</f>
        <v>N/A</v>
      </c>
      <c r="AJ92" s="207">
        <f t="shared" ref="AJ92:AJ101" si="32">IFERROR(AF92-AA92,"NA")</f>
        <v>2.9451097574479639</v>
      </c>
      <c r="AK92" s="207">
        <f t="shared" ref="AK92:AK101" si="33">IFERROR(AG92-AC92,"NA")</f>
        <v>3.2695281893609858</v>
      </c>
      <c r="AL92" s="207">
        <f t="shared" ref="AL92:AL101" ca="1" si="34">K92</f>
        <v>1.1920565427833862</v>
      </c>
    </row>
    <row r="93" spans="1:38">
      <c r="A93" s="185"/>
      <c r="B93" s="189" t="str">
        <f>HPR!BP34</f>
        <v>N/A</v>
      </c>
      <c r="C93" s="189" t="str">
        <f>HPR!BQ34</f>
        <v>BTU0300132</v>
      </c>
      <c r="D93" s="205">
        <f ca="1">HPR!BR34</f>
        <v>-1.7789717045931137E-9</v>
      </c>
      <c r="E93" s="205" t="str">
        <f>HPR!BV34</f>
        <v>N/A</v>
      </c>
      <c r="F93" s="205" t="str">
        <f ca="1">HPR!BW34</f>
        <v>N/A</v>
      </c>
      <c r="G93" s="205">
        <f>VLOOKUP($C93,Bear!$AZ:$BA,2,0)</f>
        <v>1.1546511665633012</v>
      </c>
      <c r="H93" s="205">
        <f>VLOOKUP($C93,Base!$AZ:$BA,2,0)</f>
        <v>1.2918252212136028</v>
      </c>
      <c r="I93" s="205">
        <f>VLOOKUP($C93,Bull!$AZ:$BA,2,0)</f>
        <v>1.4108604112563878</v>
      </c>
      <c r="J93" s="205" t="str">
        <f t="shared" si="27"/>
        <v>N/A</v>
      </c>
      <c r="K93" s="205">
        <f ca="1">HPR!CC34</f>
        <v>1.2011379580059851</v>
      </c>
      <c r="L93" s="205" t="str">
        <f t="shared" ca="1" si="28"/>
        <v>N/A</v>
      </c>
      <c r="V93" s="207" t="str">
        <f t="shared" si="15"/>
        <v>BTU0300132</v>
      </c>
      <c r="W93" s="208">
        <f t="shared" si="29"/>
        <v>48214</v>
      </c>
      <c r="X93" s="207">
        <f t="shared" ca="1" si="17"/>
        <v>-1.7789717045931137E-9</v>
      </c>
      <c r="Y93" s="207">
        <f t="shared" si="18"/>
        <v>-100</v>
      </c>
      <c r="Z93" s="207" t="str">
        <f t="shared" ca="1" si="19"/>
        <v>N/A</v>
      </c>
      <c r="AA93" s="207">
        <f t="shared" si="20"/>
        <v>1.1546511665633012</v>
      </c>
      <c r="AB93" s="207">
        <f t="shared" si="21"/>
        <v>1.2918252212136028</v>
      </c>
      <c r="AC93" s="207">
        <f t="shared" si="22"/>
        <v>1.4108604112563878</v>
      </c>
      <c r="AD93" s="207">
        <f ca="1">VLOOKUP(V93,HPR!$BQ:$BU,4,0)</f>
        <v>-1.7789717045931137E-9</v>
      </c>
      <c r="AE93" s="207" t="str">
        <f>VLOOKUP(V93,HPR!$BQ:$BU,5,0)</f>
        <v>N/A</v>
      </c>
      <c r="AF93" s="207">
        <f>VLOOKUP(V93,Bear!$AZ:$BC,4,0)</f>
        <v>4.1025685395984341</v>
      </c>
      <c r="AG93" s="207">
        <f>VLOOKUP(V93,Bull!$AZ:$BC,4,0)</f>
        <v>4.6777092708149439</v>
      </c>
      <c r="AH93" s="207">
        <f t="shared" ca="1" si="30"/>
        <v>0</v>
      </c>
      <c r="AI93" s="207" t="str">
        <f t="shared" si="31"/>
        <v>N/A</v>
      </c>
      <c r="AJ93" s="207">
        <f t="shared" si="32"/>
        <v>2.9479173730351329</v>
      </c>
      <c r="AK93" s="207">
        <f t="shared" si="33"/>
        <v>3.2668488595585563</v>
      </c>
      <c r="AL93" s="207">
        <f t="shared" ca="1" si="34"/>
        <v>1.2011379580059851</v>
      </c>
    </row>
    <row r="94" spans="1:38">
      <c r="A94" s="185"/>
      <c r="B94" s="189" t="str">
        <f>HPR!BP35</f>
        <v>UF-20</v>
      </c>
      <c r="C94" s="189" t="str">
        <f>HPR!BQ35</f>
        <v>BTU0300134</v>
      </c>
      <c r="D94" s="205">
        <f ca="1">HPR!BR35</f>
        <v>-1.0092232350874825E-8</v>
      </c>
      <c r="E94" s="205" t="str">
        <f>HPR!BV35</f>
        <v>N/A</v>
      </c>
      <c r="F94" s="205" t="str">
        <f ca="1">HPR!BW35</f>
        <v>N/A</v>
      </c>
      <c r="G94" s="205">
        <f>VLOOKUP($C94,Bear!$AZ:$BA,2,0)</f>
        <v>1.1782947123720267</v>
      </c>
      <c r="H94" s="205">
        <f>VLOOKUP($C94,Base!$AZ:$BA,2,0)</f>
        <v>1.3173917649422058</v>
      </c>
      <c r="I94" s="205">
        <f>VLOOKUP($C94,Bull!$AZ:$BA,2,0)</f>
        <v>1.4405111871489051</v>
      </c>
      <c r="J94" s="205" t="str">
        <f t="shared" si="27"/>
        <v>N/A</v>
      </c>
      <c r="K94" s="205">
        <f ca="1">HPR!CC35</f>
        <v>1.227666296409867</v>
      </c>
      <c r="L94" s="205" t="str">
        <f t="shared" ca="1" si="28"/>
        <v>N/A</v>
      </c>
      <c r="V94" s="207" t="str">
        <f t="shared" si="15"/>
        <v>BTU0300134</v>
      </c>
      <c r="W94" s="208">
        <f t="shared" si="29"/>
        <v>48945</v>
      </c>
      <c r="X94" s="207">
        <f t="shared" ca="1" si="17"/>
        <v>-1.0092232350874825E-8</v>
      </c>
      <c r="Y94" s="207">
        <f t="shared" si="18"/>
        <v>-100</v>
      </c>
      <c r="Z94" s="207" t="str">
        <f t="shared" ca="1" si="19"/>
        <v>N/A</v>
      </c>
      <c r="AA94" s="207">
        <f t="shared" si="20"/>
        <v>1.1782947123720267</v>
      </c>
      <c r="AB94" s="207">
        <f t="shared" si="21"/>
        <v>1.3173917649422058</v>
      </c>
      <c r="AC94" s="207">
        <f t="shared" si="22"/>
        <v>1.4405111871489051</v>
      </c>
      <c r="AD94" s="207">
        <f ca="1">VLOOKUP(V94,HPR!$BQ:$BU,4,0)</f>
        <v>-1.0092232350874825E-8</v>
      </c>
      <c r="AE94" s="207" t="str">
        <f>VLOOKUP(V94,HPR!$BQ:$BU,5,0)</f>
        <v>N/A</v>
      </c>
      <c r="AF94" s="207">
        <f>VLOOKUP(V94,Bear!$AZ:$BC,4,0)</f>
        <v>4.1313259048891791</v>
      </c>
      <c r="AG94" s="207">
        <f>VLOOKUP(V94,Bull!$AZ:$BC,4,0)</f>
        <v>4.700947819982173</v>
      </c>
      <c r="AH94" s="207">
        <f t="shared" ca="1" si="30"/>
        <v>0</v>
      </c>
      <c r="AI94" s="207" t="str">
        <f t="shared" si="31"/>
        <v>N/A</v>
      </c>
      <c r="AJ94" s="207">
        <f t="shared" si="32"/>
        <v>2.9530311925171526</v>
      </c>
      <c r="AK94" s="207">
        <f t="shared" si="33"/>
        <v>3.2604366328332679</v>
      </c>
      <c r="AL94" s="207">
        <f t="shared" ca="1" si="34"/>
        <v>1.227666296409867</v>
      </c>
    </row>
    <row r="95" spans="1:38">
      <c r="A95" s="185"/>
      <c r="B95" s="189" t="str">
        <f>HPR!BP36</f>
        <v>UF-20</v>
      </c>
      <c r="C95" s="189" t="str">
        <f>HPR!BQ36</f>
        <v>BTU0200335</v>
      </c>
      <c r="D95" s="205">
        <f ca="1">HPR!BR36</f>
        <v>-3.5887510469096752E-8</v>
      </c>
      <c r="E95" s="205">
        <f>HPR!BV36</f>
        <v>1.51</v>
      </c>
      <c r="F95" s="205">
        <f ca="1">HPR!BW36</f>
        <v>1.5100000358875105</v>
      </c>
      <c r="G95" s="205">
        <f>VLOOKUP($C95,Bear!$AZ:$BA,2,0)</f>
        <v>1.1991889927944106</v>
      </c>
      <c r="H95" s="205">
        <f>VLOOKUP($C95,Base!$AZ:$BA,2,0)</f>
        <v>1.3405508211647303</v>
      </c>
      <c r="I95" s="205">
        <f>VLOOKUP($C95,Bull!$AZ:$BA,2,0)</f>
        <v>1.4678962440982553</v>
      </c>
      <c r="J95" s="205" t="str">
        <f t="shared" si="27"/>
        <v>N/A</v>
      </c>
      <c r="K95" s="205">
        <f ca="1">HPR!CC36</f>
        <v>1.2520201226078052</v>
      </c>
      <c r="L95" s="205">
        <f t="shared" ca="1" si="28"/>
        <v>-0.25797987739219486</v>
      </c>
      <c r="V95" s="207" t="str">
        <f t="shared" si="15"/>
        <v>BTU0200335</v>
      </c>
      <c r="W95" s="208">
        <f t="shared" si="29"/>
        <v>49369</v>
      </c>
      <c r="X95" s="207">
        <f t="shared" ca="1" si="17"/>
        <v>-3.5887510469096752E-8</v>
      </c>
      <c r="Y95" s="207">
        <f t="shared" si="18"/>
        <v>1.51</v>
      </c>
      <c r="Z95" s="207">
        <f t="shared" ca="1" si="19"/>
        <v>1.5100000358875105</v>
      </c>
      <c r="AA95" s="207">
        <f t="shared" si="20"/>
        <v>1.1991889927944106</v>
      </c>
      <c r="AB95" s="207">
        <f t="shared" si="21"/>
        <v>1.3405508211647303</v>
      </c>
      <c r="AC95" s="207">
        <f t="shared" si="22"/>
        <v>1.4678962440982553</v>
      </c>
      <c r="AD95" s="207">
        <f ca="1">VLOOKUP(V95,HPR!$BQ:$BU,4,0)</f>
        <v>-3.5887510469096752E-8</v>
      </c>
      <c r="AE95" s="207" t="str">
        <f>VLOOKUP(V95,HPR!$BQ:$BU,5,0)</f>
        <v>N/A</v>
      </c>
      <c r="AF95" s="207">
        <f>VLOOKUP(V95,Bear!$AZ:$BC,4,0)</f>
        <v>4.1596798475921206</v>
      </c>
      <c r="AG95" s="207">
        <f>VLOOKUP(V95,Bull!$AZ:$BC,4,0)</f>
        <v>4.7244878381629087</v>
      </c>
      <c r="AH95" s="207">
        <f t="shared" ca="1" si="30"/>
        <v>0</v>
      </c>
      <c r="AI95" s="207" t="str">
        <f t="shared" si="31"/>
        <v>N/A</v>
      </c>
      <c r="AJ95" s="207">
        <f t="shared" si="32"/>
        <v>2.96049085479771</v>
      </c>
      <c r="AK95" s="207">
        <f t="shared" si="33"/>
        <v>3.2565915940646537</v>
      </c>
      <c r="AL95" s="207">
        <f t="shared" ca="1" si="34"/>
        <v>1.2520201226078052</v>
      </c>
    </row>
    <row r="96" spans="1:38">
      <c r="B96" s="189" t="str">
        <f>HPR!BP37</f>
        <v>UF-20</v>
      </c>
      <c r="C96" s="189" t="str">
        <f>HPR!BQ37</f>
        <v>BTU0300338</v>
      </c>
      <c r="D96" s="205">
        <f ca="1">HPR!BR37</f>
        <v>-2.1319125051693505E-7</v>
      </c>
      <c r="E96" s="205" t="str">
        <f>HPR!BV37</f>
        <v>N/A</v>
      </c>
      <c r="F96" s="205" t="str">
        <f ca="1">HPR!BW37</f>
        <v>N/A</v>
      </c>
      <c r="G96" s="205">
        <f>VLOOKUP($C96,Bear!$AZ:$BA,2,0)</f>
        <v>1.2259658110310547</v>
      </c>
      <c r="H96" s="205">
        <f>VLOOKUP($C96,Base!$AZ:$BA,2,0)</f>
        <v>1.3686792105973782</v>
      </c>
      <c r="I96" s="205">
        <f>VLOOKUP($C96,Bull!$AZ:$BA,2,0)</f>
        <v>1.4997325396494003</v>
      </c>
      <c r="J96" s="205" t="str">
        <f t="shared" si="27"/>
        <v>N/A</v>
      </c>
      <c r="K96" s="205">
        <f ca="1">HPR!CC37</f>
        <v>1.2804350365216131</v>
      </c>
      <c r="L96" s="205" t="str">
        <f t="shared" ca="1" si="28"/>
        <v>N/A</v>
      </c>
      <c r="V96" s="207" t="str">
        <f t="shared" si="15"/>
        <v>BTU0300338</v>
      </c>
      <c r="W96" s="208">
        <f t="shared" si="29"/>
        <v>50465</v>
      </c>
      <c r="X96" s="207">
        <f t="shared" ca="1" si="17"/>
        <v>-2.1319125051693505E-7</v>
      </c>
      <c r="Y96" s="207">
        <f t="shared" si="18"/>
        <v>-100</v>
      </c>
      <c r="Z96" s="207" t="str">
        <f t="shared" ca="1" si="19"/>
        <v>N/A</v>
      </c>
      <c r="AA96" s="207">
        <f t="shared" si="20"/>
        <v>1.2259658110310547</v>
      </c>
      <c r="AB96" s="207">
        <f t="shared" si="21"/>
        <v>1.3686792105973782</v>
      </c>
      <c r="AC96" s="207">
        <f t="shared" si="22"/>
        <v>1.4997325396494003</v>
      </c>
      <c r="AD96" s="207">
        <f ca="1">VLOOKUP(V96,HPR!$BQ:$BU,4,0)</f>
        <v>-2.1319125051693505E-7</v>
      </c>
      <c r="AE96" s="207" t="str">
        <f>VLOOKUP(V96,HPR!$BQ:$BU,5,0)</f>
        <v>N/A</v>
      </c>
      <c r="AF96" s="207">
        <f>VLOOKUP(V96,Bear!$AZ:$BC,4,0)</f>
        <v>4.1875519945727033</v>
      </c>
      <c r="AG96" s="207">
        <f>VLOOKUP(V96,Bull!$AZ:$BC,4,0)</f>
        <v>4.7461375559742862</v>
      </c>
      <c r="AH96" s="207">
        <f t="shared" ca="1" si="30"/>
        <v>0</v>
      </c>
      <c r="AI96" s="207" t="str">
        <f t="shared" si="31"/>
        <v>N/A</v>
      </c>
      <c r="AJ96" s="207">
        <f t="shared" si="32"/>
        <v>2.9615861835416486</v>
      </c>
      <c r="AK96" s="207">
        <f t="shared" si="33"/>
        <v>3.2464050163248857</v>
      </c>
      <c r="AL96" s="207">
        <f t="shared" ca="1" si="34"/>
        <v>1.2804350365216131</v>
      </c>
    </row>
    <row r="97" spans="2:38">
      <c r="B97" s="189" t="str">
        <f>HPR!BP38</f>
        <v>N/A</v>
      </c>
      <c r="C97" s="189" t="str">
        <f>HPR!BQ38</f>
        <v>BTU0300339</v>
      </c>
      <c r="D97" s="205">
        <f ca="1">HPR!BR38</f>
        <v>-4.0574339038308531E-7</v>
      </c>
      <c r="E97" s="205" t="str">
        <f>HPR!BV38</f>
        <v>N/A</v>
      </c>
      <c r="F97" s="205" t="str">
        <f ca="1">HPR!BW38</f>
        <v>N/A</v>
      </c>
      <c r="G97" s="205">
        <f>VLOOKUP($C97,Bear!$AZ:$BA,2,0)</f>
        <v>1.2370084713106637</v>
      </c>
      <c r="H97" s="205">
        <f>VLOOKUP($C97,Base!$AZ:$BA,2,0)</f>
        <v>1.3805355599065579</v>
      </c>
      <c r="I97" s="205">
        <f>VLOOKUP($C97,Bull!$AZ:$BA,2,0)</f>
        <v>1.5134025250497045</v>
      </c>
      <c r="J97" s="205" t="str">
        <f t="shared" si="27"/>
        <v>N/A</v>
      </c>
      <c r="K97" s="205">
        <f ca="1">HPR!CC38</f>
        <v>1.2926823014261508</v>
      </c>
      <c r="L97" s="205" t="str">
        <f t="shared" ca="1" si="28"/>
        <v>N/A</v>
      </c>
      <c r="V97" s="207" t="str">
        <f t="shared" si="15"/>
        <v>BTU0300339</v>
      </c>
      <c r="W97" s="208">
        <f t="shared" si="29"/>
        <v>50830</v>
      </c>
      <c r="X97" s="207">
        <f t="shared" ca="1" si="17"/>
        <v>-4.0574339038308531E-7</v>
      </c>
      <c r="Y97" s="207">
        <f t="shared" si="18"/>
        <v>-100</v>
      </c>
      <c r="Z97" s="207" t="str">
        <f t="shared" ca="1" si="19"/>
        <v>N/A</v>
      </c>
      <c r="AA97" s="207">
        <f t="shared" si="20"/>
        <v>1.2370084713106637</v>
      </c>
      <c r="AB97" s="207">
        <f t="shared" si="21"/>
        <v>1.3805355599065579</v>
      </c>
      <c r="AC97" s="207">
        <f t="shared" si="22"/>
        <v>1.5134025250497045</v>
      </c>
      <c r="AD97" s="207">
        <f ca="1">VLOOKUP(V97,HPR!$BQ:$BU,4,0)</f>
        <v>-4.0574339038308531E-7</v>
      </c>
      <c r="AE97" s="207" t="str">
        <f>VLOOKUP(V97,HPR!$BQ:$BU,5,0)</f>
        <v>N/A</v>
      </c>
      <c r="AF97" s="207">
        <f>VLOOKUP(V97,Bear!$AZ:$BC,4,0)</f>
        <v>4.2003620476822228</v>
      </c>
      <c r="AG97" s="207">
        <f>VLOOKUP(V97,Bull!$AZ:$BC,4,0)</f>
        <v>4.7563787564191262</v>
      </c>
      <c r="AH97" s="207">
        <f t="shared" ca="1" si="30"/>
        <v>0</v>
      </c>
      <c r="AI97" s="207" t="str">
        <f t="shared" si="31"/>
        <v>N/A</v>
      </c>
      <c r="AJ97" s="207">
        <f t="shared" si="32"/>
        <v>2.9633535763715591</v>
      </c>
      <c r="AK97" s="207">
        <f t="shared" si="33"/>
        <v>3.2429762313694219</v>
      </c>
      <c r="AL97" s="207">
        <f t="shared" ca="1" si="34"/>
        <v>1.2926823014261508</v>
      </c>
    </row>
    <row r="98" spans="2:38">
      <c r="B98" s="189" t="str">
        <f>HPR!BP39</f>
        <v>N/A</v>
      </c>
      <c r="C98" s="189" t="str">
        <f>HPR!BQ39</f>
        <v>BTU0300140</v>
      </c>
      <c r="D98" s="205">
        <f ca="1">HPR!BR39</f>
        <v>-6.804890566158156E-7</v>
      </c>
      <c r="E98" s="205" t="str">
        <f>HPR!BV39</f>
        <v>N/A</v>
      </c>
      <c r="F98" s="205" t="str">
        <f ca="1">HPR!BW39</f>
        <v>N/A</v>
      </c>
      <c r="G98" s="205">
        <f>VLOOKUP($C98,Bear!$AZ:$BA,2,0)</f>
        <v>1.2458990755341395</v>
      </c>
      <c r="H98" s="205">
        <f>VLOOKUP($C98,Base!$AZ:$BA,2,0)</f>
        <v>1.3901122534103338</v>
      </c>
      <c r="I98" s="205">
        <f>VLOOKUP($C98,Bull!$AZ:$BA,2,0)</f>
        <v>1.5244673820745596</v>
      </c>
      <c r="J98" s="205" t="str">
        <f t="shared" si="27"/>
        <v>N/A</v>
      </c>
      <c r="K98" s="205">
        <f ca="1">HPR!CC39</f>
        <v>1.3028046674330114</v>
      </c>
      <c r="L98" s="205" t="str">
        <f t="shared" ca="1" si="28"/>
        <v>N/A</v>
      </c>
      <c r="V98" s="207" t="str">
        <f t="shared" si="15"/>
        <v>BTU0300140</v>
      </c>
      <c r="W98" s="208">
        <f t="shared" si="29"/>
        <v>51136</v>
      </c>
      <c r="X98" s="207">
        <f t="shared" ca="1" si="17"/>
        <v>-6.804890566158156E-7</v>
      </c>
      <c r="Y98" s="207">
        <f t="shared" si="18"/>
        <v>-100</v>
      </c>
      <c r="Z98" s="207" t="str">
        <f t="shared" ca="1" si="19"/>
        <v>N/A</v>
      </c>
      <c r="AA98" s="207">
        <f t="shared" si="20"/>
        <v>1.2458990755341395</v>
      </c>
      <c r="AB98" s="207">
        <f t="shared" si="21"/>
        <v>1.3901122534103338</v>
      </c>
      <c r="AC98" s="207">
        <f t="shared" si="22"/>
        <v>1.5244673820745596</v>
      </c>
      <c r="AD98" s="207">
        <f ca="1">VLOOKUP(V98,HPR!$BQ:$BU,4,0)</f>
        <v>-6.804890566158156E-7</v>
      </c>
      <c r="AE98" s="207" t="str">
        <f>VLOOKUP(V98,HPR!$BQ:$BU,5,0)</f>
        <v>N/A</v>
      </c>
      <c r="AF98" s="207">
        <f>VLOOKUP(V98,Bear!$AZ:$BC,4,0)</f>
        <v>4.2108809946495436</v>
      </c>
      <c r="AG98" s="207">
        <f>VLOOKUP(V98,Bull!$AZ:$BC,4,0)</f>
        <v>4.7647706048890219</v>
      </c>
      <c r="AH98" s="207">
        <f t="shared" ca="1" si="30"/>
        <v>0</v>
      </c>
      <c r="AI98" s="207" t="str">
        <f t="shared" si="31"/>
        <v>N/A</v>
      </c>
      <c r="AJ98" s="207">
        <f t="shared" si="32"/>
        <v>2.9649819191154041</v>
      </c>
      <c r="AK98" s="207">
        <f t="shared" si="33"/>
        <v>3.2403032228144624</v>
      </c>
      <c r="AL98" s="207">
        <f t="shared" ca="1" si="34"/>
        <v>1.3028046674330114</v>
      </c>
    </row>
    <row r="99" spans="2:38">
      <c r="B99" s="189" t="str">
        <f>HPR!BP40</f>
        <v>N/A</v>
      </c>
      <c r="C99" s="189" t="str">
        <f>HPR!BQ40</f>
        <v>BCU0300241</v>
      </c>
      <c r="D99" s="205">
        <f ca="1">HPR!BR40</f>
        <v>-1.294517587222422E-6</v>
      </c>
      <c r="E99" s="205" t="str">
        <f>HPR!BV40</f>
        <v>N/A</v>
      </c>
      <c r="F99" s="205" t="str">
        <f ca="1">HPR!BW40</f>
        <v>N/A</v>
      </c>
      <c r="G99" s="205">
        <f>VLOOKUP($C99,Bear!$AZ:$BA,2,0)</f>
        <v>1.257861524108828</v>
      </c>
      <c r="H99" s="205">
        <f>VLOOKUP($C99,Base!$AZ:$BA,2,0)</f>
        <v>1.402907009195387</v>
      </c>
      <c r="I99" s="205">
        <f>VLOOKUP($C99,Bull!$AZ:$BA,2,0)</f>
        <v>1.5391563604499769</v>
      </c>
      <c r="J99" s="205" t="str">
        <f t="shared" si="27"/>
        <v>N/A</v>
      </c>
      <c r="K99" s="205">
        <f ca="1">HPR!CC40</f>
        <v>1.3158772328306114</v>
      </c>
      <c r="L99" s="205" t="str">
        <f t="shared" ca="1" si="28"/>
        <v>N/A</v>
      </c>
      <c r="V99" s="207" t="str">
        <f t="shared" si="15"/>
        <v>BCU0300241</v>
      </c>
      <c r="W99" s="208">
        <f t="shared" si="29"/>
        <v>51533</v>
      </c>
      <c r="X99" s="207">
        <f t="shared" ca="1" si="17"/>
        <v>-1.294517587222422E-6</v>
      </c>
      <c r="Y99" s="207">
        <f t="shared" si="18"/>
        <v>-100</v>
      </c>
      <c r="Z99" s="207" t="str">
        <f t="shared" ca="1" si="19"/>
        <v>N/A</v>
      </c>
      <c r="AA99" s="207">
        <f t="shared" si="20"/>
        <v>1.257861524108828</v>
      </c>
      <c r="AB99" s="207">
        <f t="shared" si="21"/>
        <v>1.402907009195387</v>
      </c>
      <c r="AC99" s="207">
        <f t="shared" si="22"/>
        <v>1.5391563604499769</v>
      </c>
      <c r="AD99" s="207">
        <f ca="1">VLOOKUP(V99,HPR!$BQ:$BU,4,0)</f>
        <v>-1.294517587222422E-6</v>
      </c>
      <c r="AE99" s="207" t="str">
        <f>VLOOKUP(V99,HPR!$BQ:$BU,5,0)</f>
        <v>N/A</v>
      </c>
      <c r="AF99" s="207">
        <f>VLOOKUP(V99,Bear!$AZ:$BC,4,0)</f>
        <v>4.2242755873526772</v>
      </c>
      <c r="AG99" s="207">
        <f>VLOOKUP(V99,Bull!$AZ:$BC,4,0)</f>
        <v>4.7754314306318406</v>
      </c>
      <c r="AH99" s="207">
        <f t="shared" ca="1" si="30"/>
        <v>0</v>
      </c>
      <c r="AI99" s="207" t="str">
        <f t="shared" si="31"/>
        <v>N/A</v>
      </c>
      <c r="AJ99" s="207">
        <f t="shared" si="32"/>
        <v>2.9664140632438492</v>
      </c>
      <c r="AK99" s="207">
        <f t="shared" si="33"/>
        <v>3.2362750701818639</v>
      </c>
      <c r="AL99" s="207">
        <f t="shared" ca="1" si="34"/>
        <v>1.3158772328306114</v>
      </c>
    </row>
    <row r="100" spans="2:38">
      <c r="B100" s="189" t="str">
        <f>HPR!BP41</f>
        <v>UF-30</v>
      </c>
      <c r="C100" s="189" t="str">
        <f>HPR!BQ41</f>
        <v>BTU0300142</v>
      </c>
      <c r="D100" s="205">
        <f ca="1">HPR!BR41</f>
        <v>-2.1740206902782361E-6</v>
      </c>
      <c r="E100" s="205" t="str">
        <f>HPR!BV41</f>
        <v>N/A</v>
      </c>
      <c r="F100" s="205" t="str">
        <f ca="1">HPR!BW41</f>
        <v>N/A</v>
      </c>
      <c r="G100" s="205">
        <f>VLOOKUP($C100,Bear!$AZ:$BA,2,0)</f>
        <v>1.2675194206312195</v>
      </c>
      <c r="H100" s="205">
        <f>VLOOKUP($C100,Base!$AZ:$BA,2,0)</f>
        <v>1.4132751483014339</v>
      </c>
      <c r="I100" s="205">
        <f>VLOOKUP($C100,Bull!$AZ:$BA,2,0)</f>
        <v>1.5511069282363532</v>
      </c>
      <c r="J100" s="205" t="str">
        <f t="shared" si="27"/>
        <v>N/A</v>
      </c>
      <c r="K100" s="205">
        <f ca="1">HPR!CC41</f>
        <v>1.3266801676904936</v>
      </c>
      <c r="L100" s="205" t="str">
        <f t="shared" ca="1" si="28"/>
        <v>N/A</v>
      </c>
      <c r="V100" s="207" t="str">
        <f t="shared" si="15"/>
        <v>BTU0300142</v>
      </c>
      <c r="W100" s="208">
        <f t="shared" si="29"/>
        <v>51867</v>
      </c>
      <c r="X100" s="207">
        <f t="shared" ca="1" si="17"/>
        <v>-2.1740206902782361E-6</v>
      </c>
      <c r="Y100" s="207">
        <f t="shared" si="18"/>
        <v>-100</v>
      </c>
      <c r="Z100" s="207" t="str">
        <f t="shared" ca="1" si="19"/>
        <v>N/A</v>
      </c>
      <c r="AA100" s="207">
        <f t="shared" si="20"/>
        <v>1.2675194206312195</v>
      </c>
      <c r="AB100" s="207">
        <f t="shared" si="21"/>
        <v>1.4132751483014339</v>
      </c>
      <c r="AC100" s="207">
        <f t="shared" si="22"/>
        <v>1.5511069282363532</v>
      </c>
      <c r="AD100" s="207">
        <f ca="1">VLOOKUP(V100,HPR!$BQ:$BU,4,0)</f>
        <v>-2.1740206902782361E-6</v>
      </c>
      <c r="AE100" s="207" t="str">
        <f>VLOOKUP(V100,HPR!$BQ:$BU,5,0)</f>
        <v>N/A</v>
      </c>
      <c r="AF100" s="207">
        <f>VLOOKUP(V100,Bear!$AZ:$BC,4,0)</f>
        <v>4.2353172831398549</v>
      </c>
      <c r="AG100" s="207">
        <f>VLOOKUP(V100,Bull!$AZ:$BC,4,0)</f>
        <v>4.784210236604701</v>
      </c>
      <c r="AH100" s="207">
        <f t="shared" ca="1" si="30"/>
        <v>0</v>
      </c>
      <c r="AI100" s="207" t="str">
        <f t="shared" si="31"/>
        <v>N/A</v>
      </c>
      <c r="AJ100" s="207">
        <f t="shared" si="32"/>
        <v>2.9677978625086352</v>
      </c>
      <c r="AK100" s="207">
        <f t="shared" si="33"/>
        <v>3.2331033083683476</v>
      </c>
      <c r="AL100" s="207">
        <f t="shared" ca="1" si="34"/>
        <v>1.3266801676904936</v>
      </c>
    </row>
    <row r="101" spans="2:38">
      <c r="B101" s="189" t="str">
        <f>HPR!BP42</f>
        <v>UF-30</v>
      </c>
      <c r="C101" s="189" t="str">
        <f>HPR!BQ42</f>
        <v>BTU0300144</v>
      </c>
      <c r="D101" s="205">
        <f ca="1">HPR!BR42</f>
        <v>-6.320013896075026E-6</v>
      </c>
      <c r="E101" s="205">
        <f>HPR!BV42</f>
        <v>1.63</v>
      </c>
      <c r="F101" s="205">
        <f ca="1">HPR!BW42</f>
        <v>1.6300063200138959</v>
      </c>
      <c r="G101" s="205">
        <f>VLOOKUP($C101,Bear!$AZ:$BA,2,0)</f>
        <v>1.2886921589990166</v>
      </c>
      <c r="H101" s="205">
        <f>VLOOKUP($C101,Base!$AZ:$BA,2,0)</f>
        <v>1.4359191649043554</v>
      </c>
      <c r="I101" s="205">
        <f>VLOOKUP($C101,Bull!$AZ:$BA,2,0)</f>
        <v>1.5771026099692285</v>
      </c>
      <c r="J101" s="205" t="str">
        <f t="shared" si="27"/>
        <v>N/A</v>
      </c>
      <c r="K101" s="205">
        <f ca="1">HPR!CC42</f>
        <v>1.3500067929084014</v>
      </c>
      <c r="L101" s="205">
        <f t="shared" ca="1" si="28"/>
        <v>-0.27999320709159847</v>
      </c>
      <c r="V101" s="207" t="str">
        <f t="shared" si="15"/>
        <v>BTU0300144</v>
      </c>
      <c r="W101" s="208">
        <f t="shared" si="29"/>
        <v>52597</v>
      </c>
      <c r="X101" s="207">
        <f t="shared" ca="1" si="17"/>
        <v>-6.320013896075026E-6</v>
      </c>
      <c r="Y101" s="207">
        <f t="shared" si="18"/>
        <v>1.63</v>
      </c>
      <c r="Z101" s="207">
        <f t="shared" ca="1" si="19"/>
        <v>1.6300063200138959</v>
      </c>
      <c r="AA101" s="207">
        <f t="shared" si="20"/>
        <v>1.2886921589990166</v>
      </c>
      <c r="AB101" s="207">
        <f t="shared" si="21"/>
        <v>1.4359191649043554</v>
      </c>
      <c r="AC101" s="207">
        <f t="shared" si="22"/>
        <v>1.5771026099692285</v>
      </c>
      <c r="AD101" s="207">
        <f ca="1">VLOOKUP(V101,HPR!$BQ:$BU,4,0)</f>
        <v>-6.320013896075026E-6</v>
      </c>
      <c r="AE101" s="207" t="str">
        <f>VLOOKUP(V101,HPR!$BQ:$BU,5,0)</f>
        <v>N/A</v>
      </c>
      <c r="AF101" s="207">
        <f>VLOOKUP(V101,Bear!$AZ:$BC,4,0)</f>
        <v>4.2586919015292377</v>
      </c>
      <c r="AG101" s="207">
        <f>VLOOKUP(V101,Bull!$AZ:$BC,4,0)</f>
        <v>4.8027047451191738</v>
      </c>
      <c r="AH101" s="207">
        <f t="shared" ca="1" si="30"/>
        <v>0</v>
      </c>
      <c r="AI101" s="207" t="str">
        <f t="shared" si="31"/>
        <v>N/A</v>
      </c>
      <c r="AJ101" s="207">
        <f t="shared" si="32"/>
        <v>2.9699997425302209</v>
      </c>
      <c r="AK101" s="207">
        <f t="shared" si="33"/>
        <v>3.2256021351499453</v>
      </c>
      <c r="AL101" s="207">
        <f t="shared" ca="1" si="34"/>
        <v>1.3500067929084014</v>
      </c>
    </row>
    <row r="102" spans="2:38">
      <c r="B102" s="189"/>
      <c r="C102" s="189"/>
      <c r="D102" s="205"/>
      <c r="E102" s="205"/>
      <c r="F102" s="205"/>
      <c r="G102" s="205"/>
      <c r="H102" s="205"/>
      <c r="I102" s="205"/>
      <c r="J102" s="205"/>
      <c r="K102" s="205"/>
      <c r="L102" s="205"/>
      <c r="V102" s="207"/>
      <c r="W102" s="208"/>
      <c r="X102" s="207"/>
      <c r="Y102" s="207"/>
      <c r="Z102" s="207"/>
      <c r="AA102" s="207"/>
      <c r="AB102" s="207"/>
      <c r="AC102" s="207"/>
      <c r="AD102" s="207"/>
      <c r="AE102" s="207"/>
      <c r="AF102" s="207"/>
      <c r="AG102" s="207"/>
      <c r="AH102" s="207"/>
      <c r="AI102" s="207"/>
      <c r="AJ102" s="207"/>
      <c r="AK102" s="207"/>
      <c r="AL102" s="207"/>
    </row>
    <row r="103" spans="2:38">
      <c r="B103" s="189"/>
      <c r="C103" s="189"/>
      <c r="D103" s="205"/>
      <c r="E103" s="205"/>
      <c r="F103" s="205"/>
      <c r="G103" s="205"/>
      <c r="H103" s="205"/>
      <c r="I103" s="205"/>
      <c r="J103" s="205"/>
      <c r="K103" s="205"/>
      <c r="L103" s="205"/>
      <c r="V103" s="207"/>
      <c r="W103" s="208"/>
      <c r="X103" s="207"/>
      <c r="Y103" s="207"/>
      <c r="Z103" s="207"/>
      <c r="AA103" s="207"/>
      <c r="AB103" s="207"/>
      <c r="AC103" s="207"/>
      <c r="AD103" s="207"/>
      <c r="AE103" s="207"/>
      <c r="AF103" s="207"/>
      <c r="AG103" s="207"/>
      <c r="AH103" s="207"/>
      <c r="AI103" s="207"/>
      <c r="AJ103" s="207"/>
      <c r="AK103" s="207"/>
      <c r="AL103" s="207"/>
    </row>
    <row r="104" spans="2:38">
      <c r="B104" s="189"/>
      <c r="C104" s="189"/>
      <c r="D104" s="205"/>
      <c r="E104" s="205"/>
      <c r="F104" s="205"/>
      <c r="G104" s="205"/>
      <c r="H104" s="205"/>
      <c r="I104" s="205"/>
      <c r="J104" s="205"/>
      <c r="K104" s="205"/>
      <c r="L104" s="205"/>
      <c r="V104" s="207"/>
      <c r="W104" s="208"/>
      <c r="X104" s="207"/>
      <c r="Y104" s="207"/>
      <c r="Z104" s="207"/>
      <c r="AA104" s="207"/>
      <c r="AB104" s="207"/>
      <c r="AC104" s="207"/>
      <c r="AD104" s="207"/>
      <c r="AE104" s="207"/>
      <c r="AF104" s="207"/>
      <c r="AG104" s="207"/>
      <c r="AH104" s="207"/>
      <c r="AI104" s="207"/>
      <c r="AJ104" s="207"/>
      <c r="AK104" s="207"/>
      <c r="AL104" s="207"/>
    </row>
    <row r="106" spans="2:38">
      <c r="B106" s="187"/>
    </row>
    <row r="107" spans="2:38" ht="12" customHeight="1"/>
  </sheetData>
  <mergeCells count="19">
    <mergeCell ref="K5:S5"/>
    <mergeCell ref="B3:S3"/>
    <mergeCell ref="B7:C7"/>
    <mergeCell ref="D7:E7"/>
    <mergeCell ref="F7:G7"/>
    <mergeCell ref="H7:I7"/>
    <mergeCell ref="H5:I5"/>
    <mergeCell ref="B5:C5"/>
    <mergeCell ref="B6:C6"/>
    <mergeCell ref="D5:E5"/>
    <mergeCell ref="D6:E6"/>
    <mergeCell ref="F5:G5"/>
    <mergeCell ref="F6:G6"/>
    <mergeCell ref="B4:S4"/>
    <mergeCell ref="B11:C11"/>
    <mergeCell ref="D11:E11"/>
    <mergeCell ref="F11:G11"/>
    <mergeCell ref="H11:I11"/>
    <mergeCell ref="K12:S12"/>
  </mergeCells>
  <conditionalFormatting sqref="P15:P16 P18:P33">
    <cfRule type="dataBar" priority="33">
      <dataBar>
        <cfvo type="min"/>
        <cfvo type="max"/>
        <color theme="6" tint="-0.249977111117893"/>
      </dataBar>
    </cfRule>
  </conditionalFormatting>
  <conditionalFormatting sqref="O15:O16 O18:O3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dataBar" priority="35">
      <dataBar>
        <cfvo type="min"/>
        <cfvo type="max"/>
        <color rgb="FF638EC6"/>
      </dataBar>
    </cfRule>
  </conditionalFormatting>
  <conditionalFormatting sqref="P27:P33">
    <cfRule type="dataBar" priority="30">
      <dataBar>
        <cfvo type="min"/>
        <cfvo type="max"/>
        <color theme="6" tint="-0.249977111117893"/>
      </dataBar>
    </cfRule>
  </conditionalFormatting>
  <conditionalFormatting sqref="O27:O3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dataBar" priority="32">
      <dataBar>
        <cfvo type="min"/>
        <cfvo type="max"/>
        <color rgb="FF638EC6"/>
      </dataBar>
    </cfRule>
  </conditionalFormatting>
  <conditionalFormatting sqref="P17">
    <cfRule type="dataBar" priority="27">
      <dataBar>
        <cfvo type="min"/>
        <cfvo type="max"/>
        <color theme="6" tint="-0.249977111117893"/>
      </dataBar>
    </cfRule>
  </conditionalFormatting>
  <conditionalFormatting sqref="O17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dataBar" priority="29">
      <dataBar>
        <cfvo type="min"/>
        <cfvo type="max"/>
        <color rgb="FF638EC6"/>
      </dataBar>
    </cfRule>
  </conditionalFormatting>
  <conditionalFormatting sqref="T15:T30">
    <cfRule type="dataBar" priority="24">
      <dataBar>
        <cfvo type="min"/>
        <cfvo type="max"/>
        <color theme="6" tint="-0.249977111117893"/>
      </dataBar>
    </cfRule>
  </conditionalFormatting>
  <conditionalFormatting sqref="Q15:Q33">
    <cfRule type="dataBar" priority="15">
      <dataBar>
        <cfvo type="min"/>
        <cfvo type="max"/>
        <color theme="6"/>
      </dataBar>
      <extLst>
        <ext xmlns:x14="http://schemas.microsoft.com/office/spreadsheetml/2009/9/main" uri="{B025F937-C7B1-47D3-B67F-A62EFF666E3E}">
          <x14:id>{5B6B3BE0-011E-436F-B260-6C3C1D1A9C38}</x14:id>
        </ext>
      </extLst>
    </cfRule>
  </conditionalFormatting>
  <conditionalFormatting sqref="S15:S3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dataBar" priority="9">
      <dataBar>
        <cfvo type="min"/>
        <cfvo type="max"/>
        <color rgb="FF638EC6"/>
      </dataBar>
    </cfRule>
  </conditionalFormatting>
  <conditionalFormatting sqref="F92:F10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2:L104">
    <cfRule type="colorScale" priority="1">
      <colorScale>
        <cfvo type="min"/>
        <cfvo type="max"/>
        <color rgb="FF63BE7B"/>
        <color rgb="FFFCFCFF"/>
      </colorScale>
    </cfRule>
  </conditionalFormatting>
  <conditionalFormatting sqref="F62:F91">
    <cfRule type="colorScale" priority="2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2:L91">
    <cfRule type="colorScale" priority="240">
      <colorScale>
        <cfvo type="min"/>
        <cfvo type="max"/>
        <color rgb="FF63BE7B"/>
        <color rgb="FFFCFCFF"/>
      </colorScale>
    </cfRule>
  </conditionalFormatting>
  <conditionalFormatting sqref="F36:F59">
    <cfRule type="colorScale" priority="2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6:K59">
    <cfRule type="colorScale" priority="242">
      <colorScale>
        <cfvo type="min"/>
        <cfvo type="max"/>
        <color rgb="FF63BE7B"/>
        <color rgb="FFFCFCFF"/>
      </colorScale>
    </cfRule>
  </conditionalFormatting>
  <printOptions horizontalCentered="1" verticalCentered="1"/>
  <pageMargins left="0" right="0" top="0" bottom="0" header="0.31496062992125984" footer="0.31496062992125984"/>
  <pageSetup scale="5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B6B3BE0-011E-436F-B260-6C3C1D1A9C38}">
            <x14:dataBar minLength="0" maxLength="100" border="1" negativeBarBorderColorSameAsPositive="0">
              <x14:cfvo type="autoMin"/>
              <x14:cfvo type="autoMax"/>
              <x14:borderColor rgb="FF92D050"/>
              <x14:negativeFillColor rgb="FFFF7C80"/>
              <x14:negativeBorderColor rgb="FFFF7C80"/>
              <x14:axisColor rgb="FF000000"/>
            </x14:dataBar>
          </x14:cfRule>
          <xm:sqref>Q15:Q33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L6000"/>
  <sheetViews>
    <sheetView topLeftCell="Z1" zoomScale="85" zoomScaleNormal="85" workbookViewId="0">
      <selection sqref="A1:BL1048576"/>
    </sheetView>
  </sheetViews>
  <sheetFormatPr baseColWidth="10" defaultColWidth="11.42578125" defaultRowHeight="15"/>
  <cols>
    <col min="1" max="1" width="15.85546875" style="23" bestFit="1" customWidth="1"/>
    <col min="2" max="16" width="11.42578125" style="23"/>
    <col min="17" max="17" width="16.140625" style="23" bestFit="1" customWidth="1"/>
    <col min="18" max="18" width="12.28515625" style="23" bestFit="1" customWidth="1"/>
    <col min="19" max="19" width="11.7109375" style="23" bestFit="1" customWidth="1"/>
    <col min="20" max="20" width="10.140625" style="23" bestFit="1" customWidth="1"/>
    <col min="21" max="21" width="12.85546875" style="23" bestFit="1" customWidth="1"/>
    <col min="22" max="22" width="14.140625" style="23" bestFit="1" customWidth="1"/>
    <col min="23" max="23" width="8.42578125" style="23" bestFit="1" customWidth="1"/>
    <col min="24" max="24" width="7" style="23" customWidth="1"/>
    <col min="25" max="25" width="7" style="23" bestFit="1" customWidth="1"/>
    <col min="26" max="30" width="11.42578125" style="23"/>
    <col min="31" max="31" width="11.85546875" style="23" bestFit="1" customWidth="1"/>
    <col min="32" max="32" width="7.5703125" style="23" bestFit="1" customWidth="1"/>
    <col min="33" max="34" width="12.5703125" style="23" bestFit="1" customWidth="1"/>
    <col min="35" max="35" width="11.28515625" style="23" bestFit="1" customWidth="1"/>
    <col min="36" max="36" width="13.7109375" style="23" bestFit="1" customWidth="1"/>
    <col min="37" max="37" width="6.140625" style="23" bestFit="1" customWidth="1"/>
    <col min="38" max="38" width="12.5703125" customWidth="1"/>
    <col min="39" max="39" width="12.85546875" customWidth="1"/>
    <col min="40" max="41" width="8.140625" style="23" hidden="1" customWidth="1"/>
    <col min="42" max="42" width="11.28515625" style="23" bestFit="1" customWidth="1"/>
    <col min="43" max="43" width="6.140625" style="23" bestFit="1" customWidth="1"/>
    <col min="44" max="44" width="10.5703125" style="23" bestFit="1" customWidth="1"/>
    <col min="45" max="45" width="10.7109375" style="23" bestFit="1" customWidth="1"/>
    <col min="46" max="46" width="8.5703125" style="23" hidden="1" customWidth="1"/>
    <col min="47" max="47" width="11.5703125" style="23" hidden="1" customWidth="1"/>
    <col min="48" max="48" width="11.7109375" style="23" bestFit="1" customWidth="1"/>
    <col min="49" max="49" width="9.5703125" style="23" bestFit="1" customWidth="1"/>
    <col min="50" max="50" width="7.28515625" style="23" customWidth="1"/>
    <col min="51" max="51" width="12.42578125" style="23" customWidth="1"/>
    <col min="52" max="52" width="13.42578125" style="23" bestFit="1" customWidth="1"/>
    <col min="53" max="53" width="7" style="23" bestFit="1" customWidth="1"/>
    <col min="54" max="54" width="7" style="23" customWidth="1"/>
    <col min="55" max="55" width="12.42578125" style="23" hidden="1" customWidth="1"/>
    <col min="56" max="56" width="16.42578125" style="23" hidden="1" customWidth="1"/>
    <col min="57" max="57" width="7.42578125" style="23" bestFit="1" customWidth="1"/>
    <col min="58" max="58" width="10.7109375" style="23" customWidth="1"/>
    <col min="59" max="59" width="10.7109375" style="23" hidden="1" customWidth="1"/>
    <col min="60" max="60" width="11.5703125" style="23" hidden="1" customWidth="1"/>
    <col min="61" max="61" width="11.7109375" style="23" bestFit="1" customWidth="1"/>
    <col min="62" max="62" width="7.5703125" style="23" bestFit="1" customWidth="1"/>
    <col min="63" max="63" width="7.7109375" style="23" bestFit="1" customWidth="1"/>
    <col min="64" max="64" width="8.28515625" style="50" bestFit="1" customWidth="1"/>
  </cols>
  <sheetData>
    <row r="1" spans="1:64" ht="15.75" thickBot="1">
      <c r="A1" s="567" t="s">
        <v>33</v>
      </c>
      <c r="B1" s="567"/>
      <c r="P1" s="279" t="s">
        <v>272</v>
      </c>
      <c r="Q1" s="112" t="s">
        <v>45</v>
      </c>
      <c r="R1" s="5" t="s">
        <v>1</v>
      </c>
      <c r="S1" s="5" t="s">
        <v>3</v>
      </c>
      <c r="T1" s="113" t="s">
        <v>38</v>
      </c>
      <c r="AB1" s="319" t="s">
        <v>307</v>
      </c>
      <c r="AC1" s="320">
        <v>2016</v>
      </c>
      <c r="AD1" s="178">
        <v>2.578845493084729E-3</v>
      </c>
      <c r="AF1" s="101" t="s">
        <v>94</v>
      </c>
      <c r="AG1" s="101" t="s">
        <v>134</v>
      </c>
      <c r="AH1" s="101" t="s">
        <v>135</v>
      </c>
      <c r="AI1" s="101" t="s">
        <v>99</v>
      </c>
      <c r="AJ1" s="101" t="s">
        <v>95</v>
      </c>
      <c r="AL1" s="70" t="s">
        <v>46</v>
      </c>
      <c r="AY1" s="70" t="s">
        <v>46</v>
      </c>
      <c r="AZ1" s="70"/>
      <c r="BL1" s="23"/>
    </row>
    <row r="2" spans="1:64" ht="15.75" thickBot="1">
      <c r="A2" s="70" t="s">
        <v>34</v>
      </c>
      <c r="Q2" s="2">
        <v>0</v>
      </c>
      <c r="R2" s="222">
        <v>42667</v>
      </c>
      <c r="S2" s="15">
        <v>0</v>
      </c>
      <c r="T2" s="93">
        <v>3.5</v>
      </c>
      <c r="AB2" s="319" t="s">
        <v>307</v>
      </c>
      <c r="AC2" s="320">
        <v>2017</v>
      </c>
      <c r="AD2" s="178">
        <v>-2.878459739798965E-3</v>
      </c>
      <c r="AF2" s="174">
        <v>41640</v>
      </c>
      <c r="AG2" s="175">
        <v>2E-3</v>
      </c>
      <c r="AH2" s="175">
        <v>2E-3</v>
      </c>
      <c r="AI2" s="100">
        <v>41648</v>
      </c>
      <c r="AJ2" s="102">
        <v>23336.59</v>
      </c>
      <c r="AK2" s="213"/>
      <c r="AL2" s="182" t="s">
        <v>47</v>
      </c>
      <c r="AM2" s="182" t="s">
        <v>48</v>
      </c>
      <c r="AN2" s="182" t="s">
        <v>159</v>
      </c>
      <c r="AO2" s="182" t="s">
        <v>160</v>
      </c>
      <c r="AP2" s="182" t="s">
        <v>161</v>
      </c>
      <c r="AQ2" s="182" t="s">
        <v>130</v>
      </c>
      <c r="AR2" s="182" t="s">
        <v>139</v>
      </c>
      <c r="AS2" s="182" t="s">
        <v>101</v>
      </c>
      <c r="AT2" s="182" t="s">
        <v>141</v>
      </c>
      <c r="AU2" s="182" t="s">
        <v>140</v>
      </c>
      <c r="AV2" s="182" t="s">
        <v>142</v>
      </c>
      <c r="AW2" s="182" t="s">
        <v>228</v>
      </c>
      <c r="AY2" s="182" t="s">
        <v>47</v>
      </c>
      <c r="AZ2" s="182" t="s">
        <v>48</v>
      </c>
      <c r="BA2" s="182" t="s">
        <v>161</v>
      </c>
      <c r="BB2" s="182" t="s">
        <v>130</v>
      </c>
      <c r="BC2" s="182" t="s">
        <v>137</v>
      </c>
      <c r="BD2" s="182" t="s">
        <v>136</v>
      </c>
      <c r="BE2" s="182" t="s">
        <v>139</v>
      </c>
      <c r="BF2" s="182" t="s">
        <v>101</v>
      </c>
      <c r="BG2" s="182" t="s">
        <v>141</v>
      </c>
      <c r="BH2" s="182" t="s">
        <v>140</v>
      </c>
      <c r="BI2" s="182" t="s">
        <v>142</v>
      </c>
      <c r="BJ2" s="182" t="s">
        <v>270</v>
      </c>
      <c r="BK2" s="182" t="s">
        <v>271</v>
      </c>
      <c r="BL2" s="182" t="s">
        <v>228</v>
      </c>
    </row>
    <row r="3" spans="1:64">
      <c r="A3" s="291" t="s">
        <v>278</v>
      </c>
      <c r="B3" s="460">
        <v>3.2</v>
      </c>
      <c r="Q3" s="3">
        <v>1</v>
      </c>
      <c r="R3" s="223">
        <v>42691</v>
      </c>
      <c r="S3" s="15">
        <v>24</v>
      </c>
      <c r="T3" s="94">
        <v>3.5</v>
      </c>
      <c r="Z3" s="97"/>
      <c r="AF3" s="174">
        <v>41671</v>
      </c>
      <c r="AG3" s="175">
        <v>5.0000000000000001E-3</v>
      </c>
      <c r="AH3" s="175">
        <v>5.0000000000000001E-3</v>
      </c>
      <c r="AI3" s="100">
        <v>41679</v>
      </c>
      <c r="AJ3" s="102">
        <v>23476.61</v>
      </c>
      <c r="AK3" s="213"/>
      <c r="AL3" s="179" t="s">
        <v>163</v>
      </c>
      <c r="AM3" s="179" t="s">
        <v>85</v>
      </c>
      <c r="AN3" s="99" t="s">
        <v>163</v>
      </c>
      <c r="AO3" s="99" t="s">
        <v>163</v>
      </c>
      <c r="AP3" s="243">
        <v>3.6169386604233211</v>
      </c>
      <c r="AQ3" s="270">
        <v>0.1824422708626264</v>
      </c>
      <c r="AR3" s="243" t="s">
        <v>163</v>
      </c>
      <c r="AS3" s="114" t="s">
        <v>163</v>
      </c>
      <c r="AT3" s="114" t="s">
        <v>163</v>
      </c>
      <c r="AU3" s="114" t="s">
        <v>163</v>
      </c>
      <c r="AV3" s="114" t="s">
        <v>163</v>
      </c>
      <c r="AW3" s="114">
        <v>3.5848488070241911</v>
      </c>
      <c r="AY3" s="179" t="s">
        <v>163</v>
      </c>
      <c r="AZ3" s="247" t="s">
        <v>51</v>
      </c>
      <c r="BA3" s="243">
        <v>9.6883527783813331E-2</v>
      </c>
      <c r="BB3" s="270">
        <v>0.18885812347787931</v>
      </c>
      <c r="BC3" s="243">
        <v>3.616938660423318</v>
      </c>
      <c r="BD3" s="243" t="s">
        <v>163</v>
      </c>
      <c r="BE3" s="243" t="s">
        <v>163</v>
      </c>
      <c r="BF3" s="114" t="s">
        <v>163</v>
      </c>
      <c r="BG3" s="114" t="s">
        <v>163</v>
      </c>
      <c r="BH3" s="114" t="s">
        <v>163</v>
      </c>
      <c r="BI3" s="114" t="s">
        <v>163</v>
      </c>
      <c r="BJ3" s="99" t="s">
        <v>163</v>
      </c>
      <c r="BK3" s="130">
        <v>3.5200551326395049</v>
      </c>
      <c r="BL3" s="130">
        <v>1.4127028274716256</v>
      </c>
    </row>
    <row r="4" spans="1:64">
      <c r="A4" s="292" t="s">
        <v>557</v>
      </c>
      <c r="B4" s="461">
        <v>2.5</v>
      </c>
      <c r="P4" s="280">
        <v>1</v>
      </c>
      <c r="Q4" s="3">
        <v>2</v>
      </c>
      <c r="R4" s="224">
        <v>42719</v>
      </c>
      <c r="S4" s="15">
        <v>52</v>
      </c>
      <c r="T4" s="94">
        <v>3.5</v>
      </c>
      <c r="Z4" s="97"/>
      <c r="AC4" s="70" t="s">
        <v>408</v>
      </c>
      <c r="AD4" s="70" t="s">
        <v>407</v>
      </c>
      <c r="AF4" s="174">
        <v>41699</v>
      </c>
      <c r="AG4" s="175">
        <v>8.0000000000000002E-3</v>
      </c>
      <c r="AH4" s="175">
        <v>8.0000000000000002E-3</v>
      </c>
      <c r="AI4" s="100">
        <v>41707</v>
      </c>
      <c r="AJ4" s="102">
        <v>23523.56322</v>
      </c>
      <c r="AK4" s="215"/>
      <c r="AL4" s="179" t="s">
        <v>163</v>
      </c>
      <c r="AM4" s="179" t="s">
        <v>9</v>
      </c>
      <c r="AN4" s="99" t="s">
        <v>163</v>
      </c>
      <c r="AO4" s="99" t="s">
        <v>163</v>
      </c>
      <c r="AP4" s="243">
        <v>3.6168345350865314</v>
      </c>
      <c r="AQ4" s="270">
        <v>0.33844397300913598</v>
      </c>
      <c r="AR4" s="243" t="s">
        <v>163</v>
      </c>
      <c r="AS4" s="114" t="s">
        <v>163</v>
      </c>
      <c r="AT4" s="114" t="s">
        <v>163</v>
      </c>
      <c r="AU4" s="114" t="s">
        <v>163</v>
      </c>
      <c r="AV4" s="114" t="s">
        <v>163</v>
      </c>
      <c r="AW4" s="114">
        <v>3.5338460947298662</v>
      </c>
      <c r="AX4" s="214"/>
      <c r="AY4" s="179" t="s">
        <v>163</v>
      </c>
      <c r="AZ4" s="273" t="s">
        <v>52</v>
      </c>
      <c r="BA4" s="243">
        <v>1.0766224619341835</v>
      </c>
      <c r="BB4" s="270">
        <v>0.34694959424363286</v>
      </c>
      <c r="BC4" s="243">
        <v>3.6168345350865367</v>
      </c>
      <c r="BD4" s="243" t="s">
        <v>163</v>
      </c>
      <c r="BE4" s="243" t="s">
        <v>163</v>
      </c>
      <c r="BF4" s="114" t="s">
        <v>163</v>
      </c>
      <c r="BG4" s="114" t="s">
        <v>163</v>
      </c>
      <c r="BH4" s="114" t="s">
        <v>163</v>
      </c>
      <c r="BI4" s="114" t="s">
        <v>163</v>
      </c>
      <c r="BJ4" s="99" t="s">
        <v>163</v>
      </c>
      <c r="BK4" s="130">
        <v>2.540212073152353</v>
      </c>
      <c r="BL4" s="130">
        <v>1.3967662908668343</v>
      </c>
    </row>
    <row r="5" spans="1:64" ht="15.75" thickBot="1">
      <c r="A5" s="293" t="s">
        <v>558</v>
      </c>
      <c r="B5" s="462">
        <v>2.9</v>
      </c>
      <c r="P5" s="280">
        <v>1</v>
      </c>
      <c r="Q5" s="3">
        <v>3</v>
      </c>
      <c r="R5" s="224">
        <v>42750</v>
      </c>
      <c r="S5" s="15">
        <v>83</v>
      </c>
      <c r="T5" s="94">
        <v>3.5</v>
      </c>
      <c r="Z5" s="97"/>
      <c r="AC5" s="70" t="s">
        <v>559</v>
      </c>
      <c r="AD5" s="70" t="s">
        <v>407</v>
      </c>
      <c r="AF5" s="174">
        <v>41730</v>
      </c>
      <c r="AG5" s="175">
        <v>6.0000000000000001E-3</v>
      </c>
      <c r="AH5" s="175">
        <v>6.0000000000000001E-3</v>
      </c>
      <c r="AI5" s="100">
        <v>41738</v>
      </c>
      <c r="AJ5" s="102">
        <v>23641.181036099999</v>
      </c>
      <c r="AL5" s="179" t="s">
        <v>163</v>
      </c>
      <c r="AM5" s="273" t="s">
        <v>86</v>
      </c>
      <c r="AN5" s="99" t="s">
        <v>163</v>
      </c>
      <c r="AO5" s="99" t="s">
        <v>163</v>
      </c>
      <c r="AP5" s="243">
        <v>3.4781232907369661</v>
      </c>
      <c r="AQ5" s="270">
        <v>0.5686147625732535</v>
      </c>
      <c r="AR5" s="243" t="s">
        <v>163</v>
      </c>
      <c r="AS5" s="114" t="s">
        <v>163</v>
      </c>
      <c r="AT5" s="114" t="s">
        <v>163</v>
      </c>
      <c r="AU5" s="114" t="s">
        <v>163</v>
      </c>
      <c r="AV5" s="114" t="s">
        <v>163</v>
      </c>
      <c r="AW5" s="114">
        <v>3.445113839427004</v>
      </c>
      <c r="AY5" s="179" t="s">
        <v>163</v>
      </c>
      <c r="AZ5" s="179" t="s">
        <v>53</v>
      </c>
      <c r="BA5" s="243">
        <v>0.92390965343669418</v>
      </c>
      <c r="BB5" s="270">
        <v>0.50588011175351877</v>
      </c>
      <c r="BC5" s="243">
        <v>3.5372227684940243</v>
      </c>
      <c r="BD5" s="243" t="s">
        <v>163</v>
      </c>
      <c r="BE5" s="243">
        <v>1.42</v>
      </c>
      <c r="BF5" s="114">
        <v>0.49609034656330575</v>
      </c>
      <c r="BG5" s="114" t="s">
        <v>163</v>
      </c>
      <c r="BH5" s="114">
        <v>1.42</v>
      </c>
      <c r="BI5" s="114" t="s">
        <v>163</v>
      </c>
      <c r="BJ5" s="99" t="s">
        <v>163</v>
      </c>
      <c r="BK5" s="130">
        <v>2.6133131150573301</v>
      </c>
      <c r="BL5" s="130">
        <v>1.2213398318054312</v>
      </c>
    </row>
    <row r="6" spans="1:64">
      <c r="P6" s="280">
        <v>1</v>
      </c>
      <c r="Q6" s="3">
        <v>4</v>
      </c>
      <c r="R6" s="224">
        <v>42781</v>
      </c>
      <c r="S6" s="15">
        <v>114</v>
      </c>
      <c r="T6" s="94">
        <v>3.5</v>
      </c>
      <c r="Z6" s="97"/>
      <c r="AF6" s="174">
        <v>41760</v>
      </c>
      <c r="AG6" s="175">
        <v>3.0000000000000001E-3</v>
      </c>
      <c r="AH6" s="175">
        <v>3.0000000000000001E-3</v>
      </c>
      <c r="AI6" s="100">
        <v>41768</v>
      </c>
      <c r="AJ6" s="102">
        <v>23830.3104843888</v>
      </c>
      <c r="AL6" s="179" t="s">
        <v>163</v>
      </c>
      <c r="AM6" s="179" t="s">
        <v>12</v>
      </c>
      <c r="AN6" s="99" t="s">
        <v>163</v>
      </c>
      <c r="AO6" s="99" t="s">
        <v>163</v>
      </c>
      <c r="AP6" s="243">
        <v>3.3108181245739101</v>
      </c>
      <c r="AQ6" s="270">
        <v>1.1098167045941052</v>
      </c>
      <c r="AR6" s="243" t="s">
        <v>163</v>
      </c>
      <c r="AS6" s="114" t="s">
        <v>163</v>
      </c>
      <c r="AT6" s="114" t="s">
        <v>163</v>
      </c>
      <c r="AU6" s="114" t="s">
        <v>163</v>
      </c>
      <c r="AV6" s="114" t="s">
        <v>163</v>
      </c>
      <c r="AW6" s="114">
        <v>3.3300502320405871</v>
      </c>
      <c r="AY6" s="179" t="s">
        <v>163</v>
      </c>
      <c r="AZ6" s="286" t="s">
        <v>54</v>
      </c>
      <c r="BA6" s="243">
        <v>0.67426305383212404</v>
      </c>
      <c r="BB6" s="270">
        <v>0.6731472651007282</v>
      </c>
      <c r="BC6" s="243">
        <v>3.4350343639757139</v>
      </c>
      <c r="BD6" s="243" t="s">
        <v>163</v>
      </c>
      <c r="BE6" s="243">
        <v>1.4</v>
      </c>
      <c r="BF6" s="114">
        <v>0.72573694616787587</v>
      </c>
      <c r="BG6" s="114">
        <v>1.4</v>
      </c>
      <c r="BH6" s="114">
        <v>1.42</v>
      </c>
      <c r="BI6" s="114">
        <v>-2.0000000000000018E-2</v>
      </c>
      <c r="BJ6" s="99" t="s">
        <v>163</v>
      </c>
      <c r="BK6" s="130">
        <v>2.76077131014359</v>
      </c>
      <c r="BL6" s="130">
        <v>0.94928223261370726</v>
      </c>
    </row>
    <row r="7" spans="1:64" ht="15.75" thickBot="1">
      <c r="A7" s="70" t="s">
        <v>35</v>
      </c>
      <c r="P7" s="280">
        <v>1</v>
      </c>
      <c r="Q7" s="3">
        <v>5</v>
      </c>
      <c r="R7" s="224">
        <v>42809</v>
      </c>
      <c r="S7" s="15">
        <v>142</v>
      </c>
      <c r="T7" s="94">
        <v>3.25</v>
      </c>
      <c r="Z7" s="97"/>
      <c r="AF7" s="174">
        <v>41791</v>
      </c>
      <c r="AG7" s="175">
        <v>1E-3</v>
      </c>
      <c r="AH7" s="175">
        <v>1E-3</v>
      </c>
      <c r="AI7" s="100">
        <v>41799</v>
      </c>
      <c r="AJ7" s="102">
        <v>23973.292347295133</v>
      </c>
      <c r="AL7" s="179" t="s">
        <v>398</v>
      </c>
      <c r="AM7" s="183" t="s">
        <v>7</v>
      </c>
      <c r="AN7" s="99" t="s">
        <v>163</v>
      </c>
      <c r="AO7" s="99" t="s">
        <v>163</v>
      </c>
      <c r="AP7" s="243">
        <v>3.3056311753592151</v>
      </c>
      <c r="AQ7" s="270">
        <v>1.2665711043720689</v>
      </c>
      <c r="AR7" s="243" t="s">
        <v>163</v>
      </c>
      <c r="AS7" s="114" t="s">
        <v>163</v>
      </c>
      <c r="AT7" s="114" t="s">
        <v>163</v>
      </c>
      <c r="AU7" s="114" t="s">
        <v>163</v>
      </c>
      <c r="AV7" s="114" t="s">
        <v>163</v>
      </c>
      <c r="AW7" s="114">
        <v>3.3054648735256698</v>
      </c>
      <c r="AY7" s="179" t="s">
        <v>163</v>
      </c>
      <c r="AZ7" s="268" t="s">
        <v>55</v>
      </c>
      <c r="BA7" s="243">
        <v>0.67426305383212404</v>
      </c>
      <c r="BB7" s="270">
        <v>0.6731472651007282</v>
      </c>
      <c r="BC7" s="243">
        <v>3.4350343639757139</v>
      </c>
      <c r="BD7" s="243" t="s">
        <v>163</v>
      </c>
      <c r="BE7" s="243">
        <v>1.41</v>
      </c>
      <c r="BF7" s="114">
        <v>0.73573694616787588</v>
      </c>
      <c r="BG7" s="114">
        <v>1.41</v>
      </c>
      <c r="BH7" s="114">
        <v>1.42</v>
      </c>
      <c r="BI7" s="114">
        <v>-1.0000000000000009E-2</v>
      </c>
      <c r="BJ7" s="99" t="s">
        <v>163</v>
      </c>
      <c r="BK7" s="130">
        <v>2.76077131014359</v>
      </c>
      <c r="BL7" s="130">
        <v>0.94928223261370726</v>
      </c>
    </row>
    <row r="8" spans="1:64">
      <c r="A8" s="67">
        <v>42667</v>
      </c>
      <c r="B8" s="90">
        <v>3.5</v>
      </c>
      <c r="P8" s="280">
        <v>1</v>
      </c>
      <c r="Q8" s="3">
        <v>6</v>
      </c>
      <c r="R8" s="225">
        <v>42840</v>
      </c>
      <c r="S8" s="15">
        <v>173</v>
      </c>
      <c r="T8" s="94">
        <v>3</v>
      </c>
      <c r="Z8" s="97"/>
      <c r="AF8" s="174">
        <v>41821</v>
      </c>
      <c r="AG8" s="175">
        <v>2E-3</v>
      </c>
      <c r="AH8" s="175">
        <v>2E-3</v>
      </c>
      <c r="AI8" s="100">
        <v>41829</v>
      </c>
      <c r="AJ8" s="102">
        <v>24045.212224337018</v>
      </c>
      <c r="AL8" s="179" t="s">
        <v>398</v>
      </c>
      <c r="AM8" s="179" t="s">
        <v>87</v>
      </c>
      <c r="AN8" s="99" t="s">
        <v>583</v>
      </c>
      <c r="AO8" s="99" t="s">
        <v>143</v>
      </c>
      <c r="AP8" s="243">
        <v>3.3056311753592151</v>
      </c>
      <c r="AQ8" s="270">
        <v>1.2665711043720689</v>
      </c>
      <c r="AR8" s="243">
        <v>3.48</v>
      </c>
      <c r="AS8" s="114">
        <v>0.17436882464078485</v>
      </c>
      <c r="AT8" s="114" t="s">
        <v>163</v>
      </c>
      <c r="AU8" s="114">
        <v>3.48</v>
      </c>
      <c r="AV8" s="114" t="s">
        <v>163</v>
      </c>
      <c r="AW8" s="114">
        <v>3.3054648735256698</v>
      </c>
      <c r="AY8" s="179" t="s">
        <v>163</v>
      </c>
      <c r="AZ8" s="268" t="s">
        <v>57</v>
      </c>
      <c r="BA8" s="243">
        <v>0.52873888105283606</v>
      </c>
      <c r="BB8" s="270">
        <v>1.1612185090815206</v>
      </c>
      <c r="BC8" s="243">
        <v>3.3090810013632765</v>
      </c>
      <c r="BD8" s="243">
        <v>3.48</v>
      </c>
      <c r="BE8" s="243" t="s">
        <v>163</v>
      </c>
      <c r="BF8" s="114" t="s">
        <v>163</v>
      </c>
      <c r="BG8" s="114" t="s">
        <v>163</v>
      </c>
      <c r="BH8" s="114" t="s">
        <v>163</v>
      </c>
      <c r="BI8" s="114" t="s">
        <v>163</v>
      </c>
      <c r="BJ8" s="99" t="s">
        <v>163</v>
      </c>
      <c r="BK8" s="130">
        <v>2.7803421203104404</v>
      </c>
      <c r="BL8" s="130">
        <v>0.66135793729291414</v>
      </c>
    </row>
    <row r="9" spans="1:64">
      <c r="A9" s="68">
        <v>42691</v>
      </c>
      <c r="B9" s="91">
        <v>3.5</v>
      </c>
      <c r="P9" s="280">
        <v>1</v>
      </c>
      <c r="Q9" s="3">
        <v>7</v>
      </c>
      <c r="R9" s="224">
        <v>42870</v>
      </c>
      <c r="S9" s="15">
        <v>203</v>
      </c>
      <c r="T9" s="94">
        <v>3</v>
      </c>
      <c r="Z9" s="97"/>
      <c r="AF9" s="174">
        <v>41852</v>
      </c>
      <c r="AG9" s="175">
        <v>3.0000000000000001E-3</v>
      </c>
      <c r="AH9" s="175">
        <v>3.0000000000000001E-3</v>
      </c>
      <c r="AI9" s="100">
        <v>41860</v>
      </c>
      <c r="AJ9" s="102">
        <v>24069.257436561351</v>
      </c>
      <c r="AK9" s="215"/>
      <c r="AL9" s="179" t="s">
        <v>398</v>
      </c>
      <c r="AM9" s="179" t="s">
        <v>13</v>
      </c>
      <c r="AN9" s="99" t="s">
        <v>163</v>
      </c>
      <c r="AO9" s="99" t="s">
        <v>163</v>
      </c>
      <c r="AP9" s="243">
        <v>3.3345294030873256</v>
      </c>
      <c r="AQ9" s="270">
        <v>1.3884687560594913</v>
      </c>
      <c r="AR9" s="243" t="s">
        <v>163</v>
      </c>
      <c r="AS9" s="114" t="s">
        <v>163</v>
      </c>
      <c r="AT9" s="114" t="s">
        <v>163</v>
      </c>
      <c r="AU9" s="114" t="s">
        <v>163</v>
      </c>
      <c r="AV9" s="114" t="s">
        <v>163</v>
      </c>
      <c r="AW9" s="114">
        <v>3.2823384611909954</v>
      </c>
      <c r="AY9" s="179" t="s">
        <v>49</v>
      </c>
      <c r="AZ9" s="241" t="s">
        <v>58</v>
      </c>
      <c r="BA9" s="243">
        <v>0.68641222003990621</v>
      </c>
      <c r="BB9" s="270">
        <v>1.3200324219391597</v>
      </c>
      <c r="BC9" s="243">
        <v>3.3038392735317164</v>
      </c>
      <c r="BD9" s="243">
        <v>3.48</v>
      </c>
      <c r="BE9" s="243">
        <v>1.07</v>
      </c>
      <c r="BF9" s="114">
        <v>0.38358777996009386</v>
      </c>
      <c r="BG9" s="114">
        <v>1.07</v>
      </c>
      <c r="BH9" s="114">
        <v>1.05</v>
      </c>
      <c r="BI9" s="114">
        <v>2.0000000000000018E-2</v>
      </c>
      <c r="BJ9" s="99">
        <v>2.41</v>
      </c>
      <c r="BK9" s="130">
        <v>2.6174270534918103</v>
      </c>
      <c r="BL9" s="130">
        <v>0.72246186904867826</v>
      </c>
    </row>
    <row r="10" spans="1:64">
      <c r="A10" s="68">
        <v>42719</v>
      </c>
      <c r="B10" s="91">
        <v>3.5</v>
      </c>
      <c r="P10" s="280">
        <v>1</v>
      </c>
      <c r="Q10" s="3">
        <v>8</v>
      </c>
      <c r="R10" s="224">
        <v>42901</v>
      </c>
      <c r="S10" s="15">
        <v>234</v>
      </c>
      <c r="T10" s="94">
        <v>3</v>
      </c>
      <c r="Z10" s="97"/>
      <c r="AF10" s="174">
        <v>41883</v>
      </c>
      <c r="AG10" s="175">
        <v>8.0000000000000002E-3</v>
      </c>
      <c r="AH10" s="175">
        <v>8.0000000000000002E-3</v>
      </c>
      <c r="AI10" s="100">
        <v>41891</v>
      </c>
      <c r="AJ10" s="102">
        <v>24117.395951434475</v>
      </c>
      <c r="AK10" s="215"/>
      <c r="AL10" s="179" t="s">
        <v>398</v>
      </c>
      <c r="AM10" s="179" t="s">
        <v>42</v>
      </c>
      <c r="AN10" s="99" t="s">
        <v>163</v>
      </c>
      <c r="AO10" s="99" t="s">
        <v>163</v>
      </c>
      <c r="AP10" s="243">
        <v>3.3526144133463491</v>
      </c>
      <c r="AQ10" s="270">
        <v>1.4702361394783174</v>
      </c>
      <c r="AR10" s="243" t="s">
        <v>163</v>
      </c>
      <c r="AS10" s="114" t="s">
        <v>163</v>
      </c>
      <c r="AT10" s="114" t="s">
        <v>163</v>
      </c>
      <c r="AU10" s="114" t="s">
        <v>163</v>
      </c>
      <c r="AV10" s="114" t="s">
        <v>163</v>
      </c>
      <c r="AW10" s="114">
        <v>3.2861409637760772</v>
      </c>
      <c r="AX10" s="214"/>
      <c r="AY10" s="179" t="s">
        <v>49</v>
      </c>
      <c r="AZ10" s="277" t="s">
        <v>59</v>
      </c>
      <c r="BA10" s="243">
        <v>0.67859783139478302</v>
      </c>
      <c r="BB10" s="270">
        <v>1.6312030959533099</v>
      </c>
      <c r="BC10" s="243">
        <v>3.3683329381250258</v>
      </c>
      <c r="BD10" s="243">
        <v>3.48</v>
      </c>
      <c r="BE10" s="243" t="s">
        <v>163</v>
      </c>
      <c r="BF10" s="114" t="s">
        <v>163</v>
      </c>
      <c r="BG10" s="114" t="s">
        <v>163</v>
      </c>
      <c r="BH10" s="114" t="s">
        <v>163</v>
      </c>
      <c r="BI10" s="114" t="s">
        <v>163</v>
      </c>
      <c r="BJ10" s="99" t="s">
        <v>163</v>
      </c>
      <c r="BK10" s="130">
        <v>2.6897351067302426</v>
      </c>
      <c r="BL10" s="130">
        <v>0.69794654416491109</v>
      </c>
    </row>
    <row r="11" spans="1:64">
      <c r="A11" s="68">
        <v>42750</v>
      </c>
      <c r="B11" s="91">
        <v>3.5</v>
      </c>
      <c r="P11" s="280">
        <v>1</v>
      </c>
      <c r="Q11" s="3">
        <v>9</v>
      </c>
      <c r="R11" s="224">
        <v>42931</v>
      </c>
      <c r="S11" s="15">
        <v>264</v>
      </c>
      <c r="T11" s="94">
        <v>3</v>
      </c>
      <c r="Z11" s="97"/>
      <c r="AF11" s="174">
        <v>41913</v>
      </c>
      <c r="AG11" s="175">
        <v>0.01</v>
      </c>
      <c r="AH11" s="175">
        <v>0.01</v>
      </c>
      <c r="AI11" s="100">
        <v>41921</v>
      </c>
      <c r="AJ11" s="102">
        <v>24189.748139288775</v>
      </c>
      <c r="AK11" s="213" t="s">
        <v>173</v>
      </c>
      <c r="AL11" s="179" t="s">
        <v>398</v>
      </c>
      <c r="AM11" s="227" t="s">
        <v>88</v>
      </c>
      <c r="AN11" s="99" t="s">
        <v>163</v>
      </c>
      <c r="AO11" s="99" t="s">
        <v>163</v>
      </c>
      <c r="AP11" s="243">
        <v>3.43930559839667</v>
      </c>
      <c r="AQ11" s="270">
        <v>1.9839566336266252</v>
      </c>
      <c r="AR11" s="243" t="s">
        <v>163</v>
      </c>
      <c r="AS11" s="114" t="s">
        <v>163</v>
      </c>
      <c r="AT11" s="114" t="s">
        <v>163</v>
      </c>
      <c r="AU11" s="114" t="s">
        <v>163</v>
      </c>
      <c r="AV11" s="114" t="s">
        <v>163</v>
      </c>
      <c r="AW11" s="114">
        <v>3.3153612009225903</v>
      </c>
      <c r="AX11" s="23" t="s">
        <v>173</v>
      </c>
      <c r="AY11" s="179" t="s">
        <v>49</v>
      </c>
      <c r="AZ11" s="404" t="s">
        <v>60</v>
      </c>
      <c r="BA11" s="243">
        <v>0.68460252691494461</v>
      </c>
      <c r="BB11" s="270">
        <v>1.7154569933240709</v>
      </c>
      <c r="BC11" s="243">
        <v>3.3838127573833972</v>
      </c>
      <c r="BD11" s="243">
        <v>3.48</v>
      </c>
      <c r="BE11" s="243">
        <v>1.1000000000000001</v>
      </c>
      <c r="BF11" s="114">
        <v>0.41539747308505548</v>
      </c>
      <c r="BG11" s="114">
        <v>1.1000000000000001</v>
      </c>
      <c r="BH11" s="114">
        <v>1.02</v>
      </c>
      <c r="BI11" s="114">
        <v>8.0000000000000071E-2</v>
      </c>
      <c r="BJ11" s="99">
        <v>2.38</v>
      </c>
      <c r="BK11" s="130">
        <v>2.6992102304684527</v>
      </c>
      <c r="BL11" s="130">
        <v>0.6596824137229419</v>
      </c>
    </row>
    <row r="12" spans="1:64">
      <c r="A12" s="68">
        <v>42781</v>
      </c>
      <c r="B12" s="91">
        <v>3.5</v>
      </c>
      <c r="P12" s="280">
        <v>3</v>
      </c>
      <c r="Q12" s="3">
        <v>12</v>
      </c>
      <c r="R12" s="224">
        <v>43023</v>
      </c>
      <c r="S12" s="15">
        <v>356</v>
      </c>
      <c r="T12" s="94">
        <v>3</v>
      </c>
      <c r="Z12" s="97"/>
      <c r="AE12" s="100"/>
      <c r="AF12" s="174">
        <v>41944</v>
      </c>
      <c r="AG12" s="175">
        <v>0</v>
      </c>
      <c r="AH12" s="175">
        <v>0</v>
      </c>
      <c r="AI12" s="100">
        <v>41952</v>
      </c>
      <c r="AJ12" s="102">
        <v>24383.266124403086</v>
      </c>
      <c r="AK12" s="213"/>
      <c r="AL12" s="179" t="s">
        <v>399</v>
      </c>
      <c r="AM12" s="404" t="s">
        <v>10</v>
      </c>
      <c r="AN12" s="99" t="s">
        <v>163</v>
      </c>
      <c r="AO12" s="99" t="s">
        <v>163</v>
      </c>
      <c r="AP12" s="243">
        <v>3.5495163873725568</v>
      </c>
      <c r="AQ12" s="270">
        <v>2.8107048451288978</v>
      </c>
      <c r="AR12" s="243" t="s">
        <v>163</v>
      </c>
      <c r="AS12" s="114" t="s">
        <v>163</v>
      </c>
      <c r="AT12" s="114" t="s">
        <v>163</v>
      </c>
      <c r="AU12" s="114" t="s">
        <v>163</v>
      </c>
      <c r="AV12" s="114" t="s">
        <v>163</v>
      </c>
      <c r="AW12" s="114">
        <v>3.3948407212389227</v>
      </c>
      <c r="AX12" s="214"/>
      <c r="AY12" s="179" t="s">
        <v>50</v>
      </c>
      <c r="AZ12" s="242" t="s">
        <v>61</v>
      </c>
      <c r="BA12" s="243">
        <v>0.69360327813042133</v>
      </c>
      <c r="BB12" s="270">
        <v>1.8811154416340332</v>
      </c>
      <c r="BC12" s="243">
        <v>3.4109461050128238</v>
      </c>
      <c r="BD12" s="243">
        <v>3.48</v>
      </c>
      <c r="BE12" s="243">
        <v>1.03</v>
      </c>
      <c r="BF12" s="114">
        <v>0.3363967218695787</v>
      </c>
      <c r="BG12" s="114" t="s">
        <v>163</v>
      </c>
      <c r="BH12" s="114">
        <v>1.03</v>
      </c>
      <c r="BI12" s="114" t="s">
        <v>163</v>
      </c>
      <c r="BJ12" s="99">
        <v>2.4500000000000002</v>
      </c>
      <c r="BK12" s="130">
        <v>2.7173428268824025</v>
      </c>
      <c r="BL12" s="130">
        <v>0.58407088213298375</v>
      </c>
    </row>
    <row r="13" spans="1:64">
      <c r="A13" s="68">
        <v>42809</v>
      </c>
      <c r="B13" s="91">
        <v>3.25</v>
      </c>
      <c r="P13" s="280">
        <v>3</v>
      </c>
      <c r="Q13" s="3">
        <v>15</v>
      </c>
      <c r="R13" s="224">
        <v>43115</v>
      </c>
      <c r="S13" s="15">
        <v>448</v>
      </c>
      <c r="T13" s="94">
        <v>3</v>
      </c>
      <c r="Z13" s="97"/>
      <c r="AF13" s="174">
        <v>41974</v>
      </c>
      <c r="AG13" s="175">
        <v>-4.0000000000000001E-3</v>
      </c>
      <c r="AH13" s="175">
        <v>-4.0000000000000001E-3</v>
      </c>
      <c r="AI13" s="100">
        <v>41982</v>
      </c>
      <c r="AJ13" s="102">
        <v>24627.098785647118</v>
      </c>
      <c r="AK13" s="213"/>
      <c r="AL13" s="179" t="s">
        <v>400</v>
      </c>
      <c r="AM13" s="179" t="s">
        <v>389</v>
      </c>
      <c r="AN13" s="99" t="s">
        <v>578</v>
      </c>
      <c r="AO13" s="99" t="s">
        <v>144</v>
      </c>
      <c r="AP13" s="243">
        <v>3.5908964877599781</v>
      </c>
      <c r="AQ13" s="270">
        <v>3.1077365249605671</v>
      </c>
      <c r="AR13" s="243">
        <v>3.67</v>
      </c>
      <c r="AS13" s="114">
        <v>7.9103512240021878E-2</v>
      </c>
      <c r="AT13" s="114">
        <v>3.67</v>
      </c>
      <c r="AU13" s="114" t="s">
        <v>163</v>
      </c>
      <c r="AV13" s="114" t="s">
        <v>163</v>
      </c>
      <c r="AW13" s="114">
        <v>3.4261721213972072</v>
      </c>
      <c r="AY13" s="179" t="s">
        <v>50</v>
      </c>
      <c r="AZ13" s="330" t="s">
        <v>63</v>
      </c>
      <c r="BA13" s="243">
        <v>0.69497728490546451</v>
      </c>
      <c r="BB13" s="270">
        <v>2.1038414958060851</v>
      </c>
      <c r="BC13" s="243">
        <v>3.4409182501971354</v>
      </c>
      <c r="BD13" s="243" t="s">
        <v>163</v>
      </c>
      <c r="BE13" s="243" t="s">
        <v>163</v>
      </c>
      <c r="BF13" s="114" t="s">
        <v>163</v>
      </c>
      <c r="BG13" s="114" t="s">
        <v>163</v>
      </c>
      <c r="BH13" s="114" t="s">
        <v>163</v>
      </c>
      <c r="BI13" s="114" t="s">
        <v>163</v>
      </c>
      <c r="BJ13" s="99" t="s">
        <v>163</v>
      </c>
      <c r="BK13" s="130">
        <v>2.7459409652916706</v>
      </c>
      <c r="BL13" s="130">
        <v>0.54939435370153433</v>
      </c>
    </row>
    <row r="14" spans="1:64" ht="15.75" thickBot="1">
      <c r="A14" s="68">
        <v>42840</v>
      </c>
      <c r="B14" s="91">
        <v>3</v>
      </c>
      <c r="P14" s="280">
        <v>3</v>
      </c>
      <c r="Q14" s="3">
        <v>18</v>
      </c>
      <c r="R14" s="224">
        <v>43205</v>
      </c>
      <c r="S14" s="15">
        <v>538</v>
      </c>
      <c r="T14" s="94">
        <v>3.5</v>
      </c>
      <c r="Z14" s="97"/>
      <c r="AF14" s="103">
        <v>42005</v>
      </c>
      <c r="AG14" s="104">
        <v>1E-3</v>
      </c>
      <c r="AH14" s="104">
        <v>1E-3</v>
      </c>
      <c r="AI14" s="100">
        <v>42013</v>
      </c>
      <c r="AJ14" s="102">
        <v>24627.098785647118</v>
      </c>
      <c r="AK14" s="213"/>
      <c r="AL14" s="179" t="s">
        <v>400</v>
      </c>
      <c r="AM14" s="246" t="s">
        <v>448</v>
      </c>
      <c r="AN14" s="99" t="s">
        <v>579</v>
      </c>
      <c r="AO14" s="99" t="s">
        <v>144</v>
      </c>
      <c r="AP14" s="243">
        <v>3.6175160000805517</v>
      </c>
      <c r="AQ14" s="270">
        <v>3.2003896695869183</v>
      </c>
      <c r="AR14" s="243">
        <v>3.7</v>
      </c>
      <c r="AS14" s="114">
        <v>8.2483999919448436E-2</v>
      </c>
      <c r="AT14" s="114">
        <v>3.7</v>
      </c>
      <c r="AU14" s="114">
        <v>3.68</v>
      </c>
      <c r="AV14" s="114">
        <v>2.0000000000000018E-2</v>
      </c>
      <c r="AW14" s="114">
        <v>3.4465526058702123</v>
      </c>
      <c r="AY14" s="179" t="s">
        <v>50</v>
      </c>
      <c r="AZ14" s="404" t="s">
        <v>64</v>
      </c>
      <c r="BA14" s="243">
        <v>0.69575579431499557</v>
      </c>
      <c r="BB14" s="270">
        <v>2.3968479014381372</v>
      </c>
      <c r="BC14" s="243">
        <v>3.4712010642486466</v>
      </c>
      <c r="BD14" s="243" t="s">
        <v>163</v>
      </c>
      <c r="BE14" s="243" t="s">
        <v>163</v>
      </c>
      <c r="BF14" s="114" t="s">
        <v>163</v>
      </c>
      <c r="BG14" s="114" t="s">
        <v>163</v>
      </c>
      <c r="BH14" s="114" t="s">
        <v>163</v>
      </c>
      <c r="BI14" s="114" t="s">
        <v>163</v>
      </c>
      <c r="BJ14" s="99" t="s">
        <v>163</v>
      </c>
      <c r="BK14" s="130">
        <v>2.7754452699336509</v>
      </c>
      <c r="BL14" s="130">
        <v>0.54176020611508646</v>
      </c>
    </row>
    <row r="15" spans="1:64">
      <c r="A15" s="68">
        <v>42870</v>
      </c>
      <c r="B15" s="91">
        <v>3</v>
      </c>
      <c r="Q15" s="21">
        <v>2.473972602739726</v>
      </c>
      <c r="R15" s="20">
        <v>43570</v>
      </c>
      <c r="S15" s="22">
        <v>903</v>
      </c>
      <c r="T15" s="94">
        <v>3.5</v>
      </c>
      <c r="Z15" s="97"/>
      <c r="AC15" s="100"/>
      <c r="AF15" s="103">
        <v>42036</v>
      </c>
      <c r="AG15" s="104">
        <v>4.0000000000000001E-3</v>
      </c>
      <c r="AH15" s="104">
        <v>4.0000000000000001E-3</v>
      </c>
      <c r="AI15" s="100">
        <v>42044</v>
      </c>
      <c r="AJ15" s="102">
        <v>24528.590390504531</v>
      </c>
      <c r="AK15" s="213"/>
      <c r="AL15" s="179" t="s">
        <v>400</v>
      </c>
      <c r="AM15" s="218" t="s">
        <v>14</v>
      </c>
      <c r="AN15" s="99" t="s">
        <v>576</v>
      </c>
      <c r="AO15" s="99" t="s">
        <v>577</v>
      </c>
      <c r="AP15" s="243">
        <v>3.6997807433927754</v>
      </c>
      <c r="AQ15" s="270">
        <v>3.6757139856317291</v>
      </c>
      <c r="AR15" s="243">
        <v>3.84</v>
      </c>
      <c r="AS15" s="114">
        <v>0.14021925660722445</v>
      </c>
      <c r="AT15" s="114">
        <v>3.84</v>
      </c>
      <c r="AU15" s="114">
        <v>3.81</v>
      </c>
      <c r="AV15" s="114">
        <v>2.9999999999999805E-2</v>
      </c>
      <c r="AW15" s="114">
        <v>3.5275688623347952</v>
      </c>
      <c r="AY15" s="180" t="s">
        <v>50</v>
      </c>
      <c r="AZ15" s="322" t="s">
        <v>65</v>
      </c>
      <c r="BA15" s="243">
        <v>0.70037937196876698</v>
      </c>
      <c r="BB15" s="270">
        <v>2.5626905580991046</v>
      </c>
      <c r="BC15" s="243">
        <v>3.4877043963385335</v>
      </c>
      <c r="BD15" s="243" t="s">
        <v>163</v>
      </c>
      <c r="BE15" s="243">
        <v>1.06</v>
      </c>
      <c r="BF15" s="114">
        <v>0.35962062803123307</v>
      </c>
      <c r="BG15" s="114">
        <v>1.06</v>
      </c>
      <c r="BH15" s="114" t="s">
        <v>163</v>
      </c>
      <c r="BI15" s="114" t="s">
        <v>163</v>
      </c>
      <c r="BJ15" s="99" t="s">
        <v>163</v>
      </c>
      <c r="BK15" s="130">
        <v>2.7873250243697667</v>
      </c>
      <c r="BL15" s="130">
        <v>0.53850833994544767</v>
      </c>
    </row>
    <row r="16" spans="1:64" ht="19.5" thickBot="1">
      <c r="A16" s="116">
        <v>42901</v>
      </c>
      <c r="B16" s="117">
        <v>3</v>
      </c>
      <c r="C16" s="115"/>
      <c r="D16" s="564" t="s">
        <v>542</v>
      </c>
      <c r="E16" s="564"/>
      <c r="F16" s="115"/>
      <c r="G16" s="564" t="s">
        <v>39</v>
      </c>
      <c r="H16" s="564"/>
      <c r="I16" s="115"/>
      <c r="J16" s="564" t="s">
        <v>541</v>
      </c>
      <c r="K16" s="564"/>
      <c r="L16" s="115"/>
      <c r="M16" s="564" t="s">
        <v>41</v>
      </c>
      <c r="N16" s="564"/>
      <c r="O16" s="115"/>
      <c r="P16" s="115"/>
      <c r="Q16" s="118">
        <v>3.4767123287671233</v>
      </c>
      <c r="R16" s="119">
        <v>43936</v>
      </c>
      <c r="S16" s="120">
        <v>1269</v>
      </c>
      <c r="T16" s="121">
        <v>4</v>
      </c>
      <c r="U16" s="115"/>
      <c r="V16" s="115"/>
      <c r="W16" s="115"/>
      <c r="X16" s="115"/>
      <c r="Y16" s="115"/>
      <c r="Z16" s="122"/>
      <c r="AA16" s="115"/>
      <c r="AB16" s="115"/>
      <c r="AC16" s="115"/>
      <c r="AD16" s="125"/>
      <c r="AE16" s="115"/>
      <c r="AF16" s="123">
        <v>42064</v>
      </c>
      <c r="AG16" s="124">
        <v>6.0000000000000001E-3</v>
      </c>
      <c r="AH16" s="104">
        <v>6.0000000000000001E-3</v>
      </c>
      <c r="AI16" s="125">
        <v>42072</v>
      </c>
      <c r="AJ16" s="102">
        <v>24553.118980895033</v>
      </c>
      <c r="AK16" s="213" t="s">
        <v>173</v>
      </c>
      <c r="AL16" s="179" t="s">
        <v>401</v>
      </c>
      <c r="AM16" s="281" t="s">
        <v>561</v>
      </c>
      <c r="AN16" s="99" t="s">
        <v>580</v>
      </c>
      <c r="AO16" s="99" t="s">
        <v>577</v>
      </c>
      <c r="AP16" s="243">
        <v>3.7131662217622634</v>
      </c>
      <c r="AQ16" s="270">
        <v>3.8418359009694178</v>
      </c>
      <c r="AR16" s="243">
        <v>3.84</v>
      </c>
      <c r="AS16" s="114">
        <v>0.12683377823773645</v>
      </c>
      <c r="AT16" s="114">
        <v>3.84</v>
      </c>
      <c r="AU16" s="114">
        <v>3.81</v>
      </c>
      <c r="AV16" s="114">
        <v>2.9999999999999805E-2</v>
      </c>
      <c r="AW16" s="114">
        <v>3.5414795687378637</v>
      </c>
      <c r="AY16" s="180" t="s">
        <v>50</v>
      </c>
      <c r="AZ16" s="286" t="s">
        <v>66</v>
      </c>
      <c r="BA16" s="243">
        <v>0.74303694782267005</v>
      </c>
      <c r="BB16" s="270">
        <v>3.021730898680679</v>
      </c>
      <c r="BC16" s="243">
        <v>3.5543020883743157</v>
      </c>
      <c r="BD16" s="243">
        <v>3.67</v>
      </c>
      <c r="BE16" s="243">
        <v>1.05</v>
      </c>
      <c r="BF16" s="114">
        <v>0.30696305217733</v>
      </c>
      <c r="BG16" s="114">
        <v>1.05</v>
      </c>
      <c r="BH16" s="114">
        <v>1.03</v>
      </c>
      <c r="BI16" s="114">
        <v>2.0000000000000018E-2</v>
      </c>
      <c r="BJ16" s="99">
        <v>2.62</v>
      </c>
      <c r="BK16" s="130">
        <v>2.8112651405516456</v>
      </c>
      <c r="BL16" s="130">
        <v>0.54949706378022389</v>
      </c>
    </row>
    <row r="17" spans="1:64" ht="16.5" thickBot="1">
      <c r="A17" s="68">
        <v>42931</v>
      </c>
      <c r="B17" s="91">
        <v>3</v>
      </c>
      <c r="D17" s="565">
        <v>1</v>
      </c>
      <c r="E17" s="566"/>
      <c r="F17" s="79"/>
      <c r="G17" s="565">
        <v>0</v>
      </c>
      <c r="H17" s="566"/>
      <c r="I17" s="79"/>
      <c r="J17" s="565">
        <v>0</v>
      </c>
      <c r="K17" s="566"/>
      <c r="M17" s="565">
        <v>0</v>
      </c>
      <c r="N17" s="566"/>
      <c r="Q17" s="13">
        <v>4.4767123287671229</v>
      </c>
      <c r="R17" s="20">
        <v>44301</v>
      </c>
      <c r="S17" s="16">
        <v>1634</v>
      </c>
      <c r="T17" s="94">
        <v>4</v>
      </c>
      <c r="Z17" s="97"/>
      <c r="AF17" s="103">
        <v>42095</v>
      </c>
      <c r="AG17" s="104">
        <v>6.0000000000000001E-3</v>
      </c>
      <c r="AH17" s="104">
        <v>6.0000000000000001E-3</v>
      </c>
      <c r="AI17" s="100">
        <v>42103</v>
      </c>
      <c r="AJ17" s="102">
        <v>24651.331456818614</v>
      </c>
      <c r="AK17" s="215"/>
      <c r="AL17" s="179" t="s">
        <v>401</v>
      </c>
      <c r="AM17" s="179" t="s">
        <v>44</v>
      </c>
      <c r="AN17" s="99" t="s">
        <v>163</v>
      </c>
      <c r="AO17" s="99" t="s">
        <v>163</v>
      </c>
      <c r="AP17" s="243">
        <v>3.7827422433818287</v>
      </c>
      <c r="AQ17" s="270">
        <v>4.3365486410789194</v>
      </c>
      <c r="AR17" s="243" t="s">
        <v>163</v>
      </c>
      <c r="AS17" s="114" t="s">
        <v>163</v>
      </c>
      <c r="AT17" s="114" t="s">
        <v>163</v>
      </c>
      <c r="AU17" s="114" t="s">
        <v>163</v>
      </c>
      <c r="AV17" s="114" t="s">
        <v>163</v>
      </c>
      <c r="AW17" s="114">
        <v>3.6424318116420187</v>
      </c>
      <c r="AY17" s="180" t="s">
        <v>56</v>
      </c>
      <c r="AZ17" s="318" t="s">
        <v>68</v>
      </c>
      <c r="BA17" s="243">
        <v>0.86393246324243278</v>
      </c>
      <c r="BB17" s="270">
        <v>3.9984217383976808</v>
      </c>
      <c r="BC17" s="243">
        <v>3.7101401243376686</v>
      </c>
      <c r="BD17" s="243">
        <v>3.84</v>
      </c>
      <c r="BE17" s="243">
        <v>1.02</v>
      </c>
      <c r="BF17" s="114">
        <v>0.15606753675756724</v>
      </c>
      <c r="BG17" s="114">
        <v>1.02</v>
      </c>
      <c r="BH17" s="114">
        <v>1.02</v>
      </c>
      <c r="BI17" s="114">
        <v>0</v>
      </c>
      <c r="BJ17" s="99">
        <v>2.82</v>
      </c>
      <c r="BK17" s="130">
        <v>2.846207661095236</v>
      </c>
      <c r="BL17" s="130">
        <v>0.67094245530804464</v>
      </c>
    </row>
    <row r="18" spans="1:64" ht="15.75" thickBot="1">
      <c r="A18" s="68">
        <v>43023</v>
      </c>
      <c r="B18" s="91">
        <v>3</v>
      </c>
      <c r="D18" s="228"/>
      <c r="Q18" s="14">
        <v>5.4767123287671229</v>
      </c>
      <c r="R18" s="80">
        <v>44666</v>
      </c>
      <c r="S18" s="17">
        <v>1999</v>
      </c>
      <c r="T18" s="94">
        <v>4</v>
      </c>
      <c r="Z18" s="97"/>
      <c r="AF18" s="103">
        <v>42125</v>
      </c>
      <c r="AG18" s="104">
        <v>2E-3</v>
      </c>
      <c r="AH18" s="104">
        <v>2E-3</v>
      </c>
      <c r="AI18" s="100">
        <v>42133</v>
      </c>
      <c r="AJ18" s="102">
        <v>24799.239445559528</v>
      </c>
      <c r="AL18" s="179" t="s">
        <v>402</v>
      </c>
      <c r="AM18" s="403" t="s">
        <v>89</v>
      </c>
      <c r="AN18" s="99" t="s">
        <v>560</v>
      </c>
      <c r="AO18" s="99" t="s">
        <v>543</v>
      </c>
      <c r="AP18" s="243">
        <v>3.7947761302942196</v>
      </c>
      <c r="AQ18" s="270">
        <v>4.4926494355588806</v>
      </c>
      <c r="AR18" s="243">
        <v>3.85</v>
      </c>
      <c r="AS18" s="114">
        <v>5.5223869705780526E-2</v>
      </c>
      <c r="AT18" s="114">
        <v>3.85</v>
      </c>
      <c r="AU18" s="114">
        <v>3.82</v>
      </c>
      <c r="AV18" s="114">
        <v>3.0000000000000249E-2</v>
      </c>
      <c r="AW18" s="114">
        <v>3.6602951932332934</v>
      </c>
      <c r="AY18" s="179" t="s">
        <v>62</v>
      </c>
      <c r="AZ18" s="404" t="s">
        <v>470</v>
      </c>
      <c r="BA18" s="243">
        <v>0.87163170532618839</v>
      </c>
      <c r="BB18" s="270">
        <v>4.1874511944595136</v>
      </c>
      <c r="BC18" s="243">
        <v>3.7245690269177709</v>
      </c>
      <c r="BD18" s="243">
        <v>3.84</v>
      </c>
      <c r="BE18" s="243">
        <v>1.06</v>
      </c>
      <c r="BF18" s="114">
        <v>0.18836829467381166</v>
      </c>
      <c r="BG18" s="114">
        <v>1.06</v>
      </c>
      <c r="BH18" s="114">
        <v>1.02</v>
      </c>
      <c r="BI18" s="114">
        <v>4.0000000000000036E-2</v>
      </c>
      <c r="BJ18" s="99">
        <v>2.78</v>
      </c>
      <c r="BK18" s="130">
        <v>2.8529373215915825</v>
      </c>
      <c r="BL18" s="130">
        <v>0.68486450025296453</v>
      </c>
    </row>
    <row r="19" spans="1:64" ht="15.75" thickBot="1">
      <c r="A19" s="68">
        <v>43115</v>
      </c>
      <c r="B19" s="91">
        <v>3</v>
      </c>
      <c r="D19" s="70" t="s">
        <v>34</v>
      </c>
      <c r="G19" s="70" t="s">
        <v>34</v>
      </c>
      <c r="J19" s="70" t="s">
        <v>34</v>
      </c>
      <c r="M19" s="70" t="s">
        <v>34</v>
      </c>
      <c r="Q19" s="13">
        <v>6.4767123287671229</v>
      </c>
      <c r="R19" s="20">
        <v>45031</v>
      </c>
      <c r="S19" s="16">
        <v>2364</v>
      </c>
      <c r="T19" s="94">
        <v>4</v>
      </c>
      <c r="Z19" s="97"/>
      <c r="AF19" s="103">
        <v>42156</v>
      </c>
      <c r="AG19" s="104">
        <v>5.0000000000000001E-3</v>
      </c>
      <c r="AH19" s="104">
        <v>5.0000000000000001E-3</v>
      </c>
      <c r="AI19" s="100">
        <v>42164</v>
      </c>
      <c r="AJ19" s="102">
        <v>24948.034882232885</v>
      </c>
      <c r="AK19" s="215" t="s">
        <v>173</v>
      </c>
      <c r="AL19" s="179" t="s">
        <v>402</v>
      </c>
      <c r="AM19" s="286" t="s">
        <v>43</v>
      </c>
      <c r="AN19" s="99" t="s">
        <v>163</v>
      </c>
      <c r="AO19" s="99" t="s">
        <v>163</v>
      </c>
      <c r="AP19" s="243">
        <v>3.8564794496184938</v>
      </c>
      <c r="AQ19" s="270">
        <v>5.1990432951535288</v>
      </c>
      <c r="AR19" s="243" t="s">
        <v>163</v>
      </c>
      <c r="AS19" s="114" t="s">
        <v>163</v>
      </c>
      <c r="AT19" s="114" t="s">
        <v>163</v>
      </c>
      <c r="AU19" s="114" t="s">
        <v>163</v>
      </c>
      <c r="AV19" s="114" t="s">
        <v>163</v>
      </c>
      <c r="AW19" s="114">
        <v>3.7701957639603974</v>
      </c>
      <c r="AX19" s="23" t="s">
        <v>173</v>
      </c>
      <c r="AY19" s="179" t="s">
        <v>62</v>
      </c>
      <c r="AZ19" s="179" t="s">
        <v>69</v>
      </c>
      <c r="BA19" s="243">
        <v>0.92788166101251035</v>
      </c>
      <c r="BB19" s="270">
        <v>4.7823474773702008</v>
      </c>
      <c r="BC19" s="243">
        <v>3.7960900833857929</v>
      </c>
      <c r="BD19" s="243">
        <v>3.85</v>
      </c>
      <c r="BE19" s="243" t="s">
        <v>163</v>
      </c>
      <c r="BF19" s="114" t="s">
        <v>163</v>
      </c>
      <c r="BG19" s="114" t="s">
        <v>163</v>
      </c>
      <c r="BH19" s="114" t="s">
        <v>163</v>
      </c>
      <c r="BI19" s="114" t="s">
        <v>163</v>
      </c>
      <c r="BJ19" s="99" t="s">
        <v>163</v>
      </c>
      <c r="BK19" s="130">
        <v>2.8682084223732827</v>
      </c>
      <c r="BL19" s="130">
        <v>0.8049246532308022</v>
      </c>
    </row>
    <row r="20" spans="1:64">
      <c r="A20" s="68">
        <v>43205</v>
      </c>
      <c r="B20" s="91">
        <v>3.5</v>
      </c>
      <c r="D20" s="291" t="s">
        <v>278</v>
      </c>
      <c r="E20" s="71">
        <v>3.2</v>
      </c>
      <c r="G20" s="87" t="s">
        <v>278</v>
      </c>
      <c r="H20" s="71">
        <v>3.5</v>
      </c>
      <c r="J20" s="87" t="s">
        <v>278</v>
      </c>
      <c r="K20" s="71">
        <v>3.7</v>
      </c>
      <c r="M20" s="87" t="s">
        <v>278</v>
      </c>
      <c r="N20" s="71">
        <v>3.5</v>
      </c>
      <c r="Q20" s="13">
        <v>7.4794520547945202</v>
      </c>
      <c r="R20" s="80">
        <v>45397</v>
      </c>
      <c r="S20" s="18">
        <v>2730</v>
      </c>
      <c r="T20" s="94">
        <v>4</v>
      </c>
      <c r="Z20" s="97"/>
      <c r="AF20" s="103">
        <v>42186</v>
      </c>
      <c r="AG20" s="104">
        <v>4.0000000000000001E-3</v>
      </c>
      <c r="AH20" s="104">
        <v>4.0000000000000001E-3</v>
      </c>
      <c r="AI20" s="100">
        <v>42194</v>
      </c>
      <c r="AJ20" s="102">
        <v>24997.93095199735</v>
      </c>
      <c r="AK20" s="213"/>
      <c r="AL20" s="179" t="s">
        <v>402</v>
      </c>
      <c r="AM20" s="277" t="s">
        <v>90</v>
      </c>
      <c r="AN20" s="99" t="s">
        <v>163</v>
      </c>
      <c r="AO20" s="99" t="s">
        <v>163</v>
      </c>
      <c r="AP20" s="243">
        <v>3.8961846400579749</v>
      </c>
      <c r="AQ20" s="270">
        <v>5.7156421099897363</v>
      </c>
      <c r="AR20" s="243" t="s">
        <v>163</v>
      </c>
      <c r="AS20" s="114" t="s">
        <v>163</v>
      </c>
      <c r="AT20" s="114" t="s">
        <v>163</v>
      </c>
      <c r="AU20" s="114" t="s">
        <v>163</v>
      </c>
      <c r="AV20" s="114" t="s">
        <v>163</v>
      </c>
      <c r="AW20" s="114">
        <v>3.8602810251605417</v>
      </c>
      <c r="AX20" s="115"/>
      <c r="AY20" s="179" t="s">
        <v>67</v>
      </c>
      <c r="AZ20" s="179" t="s">
        <v>70</v>
      </c>
      <c r="BA20" s="243">
        <v>0.93764865898047689</v>
      </c>
      <c r="BB20" s="270">
        <v>4.9424982840566889</v>
      </c>
      <c r="BC20" s="243">
        <v>3.8085333199697868</v>
      </c>
      <c r="BD20" s="243">
        <v>3.85</v>
      </c>
      <c r="BE20" s="243">
        <v>1.03</v>
      </c>
      <c r="BF20" s="114">
        <v>9.2351341019523137E-2</v>
      </c>
      <c r="BG20" s="114" t="s">
        <v>163</v>
      </c>
      <c r="BH20" s="114">
        <v>1.03</v>
      </c>
      <c r="BI20" s="114" t="s">
        <v>163</v>
      </c>
      <c r="BJ20" s="99">
        <v>2.8200000000000003</v>
      </c>
      <c r="BK20" s="130">
        <v>2.8708846609893097</v>
      </c>
      <c r="BL20" s="130">
        <v>0.82244062311018584</v>
      </c>
    </row>
    <row r="21" spans="1:64">
      <c r="A21" s="68">
        <v>43570</v>
      </c>
      <c r="B21" s="91">
        <v>3.5</v>
      </c>
      <c r="D21" s="88" t="s">
        <v>557</v>
      </c>
      <c r="E21" s="72">
        <v>2.5</v>
      </c>
      <c r="G21" s="88" t="s">
        <v>557</v>
      </c>
      <c r="H21" s="81">
        <v>3</v>
      </c>
      <c r="J21" s="88" t="s">
        <v>557</v>
      </c>
      <c r="K21" s="72">
        <v>3.5</v>
      </c>
      <c r="M21" s="88" t="s">
        <v>557</v>
      </c>
      <c r="N21" s="72">
        <v>3.5</v>
      </c>
      <c r="Q21" s="13">
        <v>8.4794520547945211</v>
      </c>
      <c r="R21" s="20">
        <v>45762</v>
      </c>
      <c r="S21" s="16">
        <v>3095</v>
      </c>
      <c r="T21" s="94">
        <v>4</v>
      </c>
      <c r="Z21" s="97"/>
      <c r="AF21" s="103">
        <v>42217</v>
      </c>
      <c r="AG21" s="104">
        <v>6.9999999999999993E-3</v>
      </c>
      <c r="AH21" s="104">
        <v>6.9999999999999993E-3</v>
      </c>
      <c r="AI21" s="100">
        <v>42225</v>
      </c>
      <c r="AJ21" s="102">
        <v>25122.920606757336</v>
      </c>
      <c r="AK21" s="23" t="s">
        <v>173</v>
      </c>
      <c r="AL21" s="179" t="s">
        <v>403</v>
      </c>
      <c r="AM21" s="179" t="s">
        <v>397</v>
      </c>
      <c r="AN21" s="99" t="s">
        <v>405</v>
      </c>
      <c r="AO21" s="99" t="s">
        <v>406</v>
      </c>
      <c r="AP21" s="243">
        <v>3.9789001755868871</v>
      </c>
      <c r="AQ21" s="270">
        <v>7.4361266490056366</v>
      </c>
      <c r="AR21" s="243">
        <v>4.1900000000000004</v>
      </c>
      <c r="AS21" s="114">
        <v>0.21109982441311326</v>
      </c>
      <c r="AT21" s="114">
        <v>4.1900000000000004</v>
      </c>
      <c r="AU21" s="114">
        <v>4.18</v>
      </c>
      <c r="AV21" s="114">
        <v>1.0000000000000675E-2</v>
      </c>
      <c r="AW21" s="114">
        <v>4.0678165588133863</v>
      </c>
      <c r="AX21" s="214"/>
      <c r="AY21" s="179" t="s">
        <v>67</v>
      </c>
      <c r="AZ21" s="179" t="s">
        <v>72</v>
      </c>
      <c r="BA21" s="243">
        <v>0.95836308549694083</v>
      </c>
      <c r="BB21" s="270">
        <v>5.1530468049043714</v>
      </c>
      <c r="BC21" s="243">
        <v>3.832945848547709</v>
      </c>
      <c r="BD21" s="243">
        <v>3.85</v>
      </c>
      <c r="BE21" s="243" t="s">
        <v>163</v>
      </c>
      <c r="BF21" s="114" t="s">
        <v>163</v>
      </c>
      <c r="BG21" s="114" t="s">
        <v>163</v>
      </c>
      <c r="BH21" s="114" t="s">
        <v>163</v>
      </c>
      <c r="BI21" s="114" t="s">
        <v>163</v>
      </c>
      <c r="BJ21" s="99" t="s">
        <v>163</v>
      </c>
      <c r="BK21" s="130">
        <v>2.8745827630507681</v>
      </c>
      <c r="BL21" s="130">
        <v>0.86790104843859017</v>
      </c>
    </row>
    <row r="22" spans="1:64" ht="15.75" thickBot="1">
      <c r="A22" s="68">
        <v>43936</v>
      </c>
      <c r="B22" s="91">
        <v>4</v>
      </c>
      <c r="D22" s="89" t="s">
        <v>558</v>
      </c>
      <c r="E22" s="78">
        <v>2.9</v>
      </c>
      <c r="G22" s="89" t="s">
        <v>558</v>
      </c>
      <c r="H22" s="78">
        <v>3</v>
      </c>
      <c r="J22" s="89" t="s">
        <v>558</v>
      </c>
      <c r="K22" s="78">
        <v>3.1</v>
      </c>
      <c r="M22" s="89" t="s">
        <v>558</v>
      </c>
      <c r="N22" s="78">
        <v>3.2</v>
      </c>
      <c r="Q22" s="13">
        <v>9.4794520547945211</v>
      </c>
      <c r="R22" s="80">
        <v>46127</v>
      </c>
      <c r="S22" s="18">
        <v>3460</v>
      </c>
      <c r="T22" s="94">
        <v>4</v>
      </c>
      <c r="Z22" s="97"/>
      <c r="AF22" s="103">
        <v>42248</v>
      </c>
      <c r="AG22" s="104">
        <v>5.0000000000000001E-3</v>
      </c>
      <c r="AH22" s="104">
        <v>5.0000000000000001E-3</v>
      </c>
      <c r="AI22" s="100">
        <v>42256</v>
      </c>
      <c r="AJ22" s="102">
        <v>25223.412289184365</v>
      </c>
      <c r="AK22" s="214"/>
      <c r="AL22" s="179" t="s">
        <v>403</v>
      </c>
      <c r="AM22" s="281" t="s">
        <v>91</v>
      </c>
      <c r="AN22" s="99" t="s">
        <v>163</v>
      </c>
      <c r="AO22" s="99" t="s">
        <v>163</v>
      </c>
      <c r="AP22" s="243">
        <v>4.0790281280927569</v>
      </c>
      <c r="AQ22" s="270">
        <v>10.130453800647921</v>
      </c>
      <c r="AR22" s="243" t="s">
        <v>163</v>
      </c>
      <c r="AS22" s="114" t="s">
        <v>163</v>
      </c>
      <c r="AT22" s="114" t="s">
        <v>163</v>
      </c>
      <c r="AU22" s="114" t="s">
        <v>163</v>
      </c>
      <c r="AV22" s="114" t="s">
        <v>163</v>
      </c>
      <c r="AW22" s="114">
        <v>4.2454833288627389</v>
      </c>
      <c r="AX22" s="214"/>
      <c r="AY22" s="179" t="s">
        <v>67</v>
      </c>
      <c r="AZ22" s="404" t="s">
        <v>73</v>
      </c>
      <c r="BA22" s="243">
        <v>0.98634206072595121</v>
      </c>
      <c r="BB22" s="270">
        <v>5.7888891876174142</v>
      </c>
      <c r="BC22" s="243">
        <v>3.8723975598474847</v>
      </c>
      <c r="BD22" s="243" t="s">
        <v>163</v>
      </c>
      <c r="BE22" s="243" t="s">
        <v>163</v>
      </c>
      <c r="BF22" s="114" t="s">
        <v>163</v>
      </c>
      <c r="BG22" s="114" t="s">
        <v>163</v>
      </c>
      <c r="BH22" s="114" t="s">
        <v>163</v>
      </c>
      <c r="BI22" s="114" t="s">
        <v>163</v>
      </c>
      <c r="BJ22" s="99" t="s">
        <v>163</v>
      </c>
      <c r="BK22" s="130">
        <v>2.8860554991215333</v>
      </c>
      <c r="BL22" s="130">
        <v>0.9104395857557529</v>
      </c>
    </row>
    <row r="23" spans="1:64" ht="15.75" thickBot="1">
      <c r="A23" s="68">
        <v>44301</v>
      </c>
      <c r="B23" s="91">
        <v>4</v>
      </c>
      <c r="Q23" s="14">
        <v>10.479452054794521</v>
      </c>
      <c r="R23" s="95">
        <v>46492</v>
      </c>
      <c r="S23" s="19">
        <v>3825</v>
      </c>
      <c r="T23" s="96">
        <v>4</v>
      </c>
      <c r="Z23" s="97"/>
      <c r="AF23" s="103">
        <v>42278</v>
      </c>
      <c r="AG23" s="104">
        <v>4.0000000000000001E-3</v>
      </c>
      <c r="AH23" s="104">
        <v>4.0000000000000001E-3</v>
      </c>
      <c r="AI23" s="100">
        <v>42286</v>
      </c>
      <c r="AJ23" s="102">
        <v>25399.976175208652</v>
      </c>
      <c r="AK23" s="214"/>
      <c r="AL23" s="217" t="s">
        <v>404</v>
      </c>
      <c r="AM23" s="278" t="s">
        <v>92</v>
      </c>
      <c r="AN23" s="99" t="s">
        <v>163</v>
      </c>
      <c r="AO23" s="99" t="s">
        <v>163</v>
      </c>
      <c r="AP23" s="243">
        <v>4.106228826287138</v>
      </c>
      <c r="AQ23" s="270">
        <v>11.016990833430826</v>
      </c>
      <c r="AR23" s="243" t="s">
        <v>163</v>
      </c>
      <c r="AS23" s="114" t="s">
        <v>163</v>
      </c>
      <c r="AT23" s="114" t="s">
        <v>163</v>
      </c>
      <c r="AU23" s="114" t="s">
        <v>163</v>
      </c>
      <c r="AV23" s="114" t="s">
        <v>163</v>
      </c>
      <c r="AW23" s="114">
        <v>4.2868980926399507</v>
      </c>
      <c r="AY23" s="179" t="s">
        <v>67</v>
      </c>
      <c r="AZ23" s="179" t="s">
        <v>74</v>
      </c>
      <c r="BA23" s="243">
        <v>1.0010858431802445</v>
      </c>
      <c r="BB23" s="270">
        <v>6.0705734168324321</v>
      </c>
      <c r="BC23" s="243">
        <v>3.8932342063641849</v>
      </c>
      <c r="BD23" s="243" t="s">
        <v>163</v>
      </c>
      <c r="BE23" s="243" t="s">
        <v>163</v>
      </c>
      <c r="BF23" s="114" t="s">
        <v>163</v>
      </c>
      <c r="BG23" s="114" t="s">
        <v>163</v>
      </c>
      <c r="BH23" s="114" t="s">
        <v>163</v>
      </c>
      <c r="BI23" s="114" t="s">
        <v>163</v>
      </c>
      <c r="BJ23" s="99" t="s">
        <v>163</v>
      </c>
      <c r="BK23" s="130">
        <v>2.8921483631839404</v>
      </c>
      <c r="BL23" s="130">
        <v>0.9317240969341255</v>
      </c>
    </row>
    <row r="24" spans="1:64" ht="15.75" thickBot="1">
      <c r="A24" s="68">
        <v>44666</v>
      </c>
      <c r="B24" s="91">
        <v>4</v>
      </c>
      <c r="D24" s="70" t="s">
        <v>38</v>
      </c>
      <c r="G24" s="70" t="s">
        <v>38</v>
      </c>
      <c r="J24" s="70" t="s">
        <v>38</v>
      </c>
      <c r="M24" s="70" t="s">
        <v>38</v>
      </c>
      <c r="AF24" s="103">
        <v>42309</v>
      </c>
      <c r="AG24" s="104">
        <v>0</v>
      </c>
      <c r="AH24" s="104">
        <v>0</v>
      </c>
      <c r="AI24" s="100">
        <v>42317</v>
      </c>
      <c r="AJ24" s="102">
        <v>25526.976056084692</v>
      </c>
      <c r="AL24" s="217" t="s">
        <v>404</v>
      </c>
      <c r="AM24" s="407" t="s">
        <v>449</v>
      </c>
      <c r="AN24" s="99"/>
      <c r="AO24" s="99"/>
      <c r="AP24" s="243">
        <v>4.1287258536368725</v>
      </c>
      <c r="AQ24" s="270">
        <v>12.01297242911121</v>
      </c>
      <c r="AR24" s="243">
        <v>4.45</v>
      </c>
      <c r="AS24" s="114">
        <v>0.32127414636312768</v>
      </c>
      <c r="AT24" s="114">
        <v>4.45</v>
      </c>
      <c r="AU24" s="114">
        <v>4.46</v>
      </c>
      <c r="AV24" s="114">
        <v>-9.9999999999997868E-3</v>
      </c>
      <c r="AW24" s="114">
        <v>4.3225462605187026</v>
      </c>
      <c r="AX24" s="23" t="s">
        <v>173</v>
      </c>
      <c r="AY24" s="179" t="s">
        <v>67</v>
      </c>
      <c r="AZ24" s="247" t="s">
        <v>75</v>
      </c>
      <c r="BA24" s="243">
        <v>1.0135890240172998</v>
      </c>
      <c r="BB24" s="270">
        <v>6.4551090443168162</v>
      </c>
      <c r="BC24" s="243">
        <v>3.9134739001888215</v>
      </c>
      <c r="BD24" s="243" t="s">
        <v>163</v>
      </c>
      <c r="BE24" s="243" t="s">
        <v>163</v>
      </c>
      <c r="BF24" s="114" t="s">
        <v>163</v>
      </c>
      <c r="BG24" s="114" t="s">
        <v>163</v>
      </c>
      <c r="BH24" s="114" t="s">
        <v>163</v>
      </c>
      <c r="BI24" s="114" t="s">
        <v>163</v>
      </c>
      <c r="BJ24" s="99" t="s">
        <v>163</v>
      </c>
      <c r="BK24" s="130">
        <v>2.8998848761715217</v>
      </c>
      <c r="BL24" s="130">
        <v>0.95750988074910759</v>
      </c>
    </row>
    <row r="25" spans="1:64">
      <c r="A25" s="68">
        <v>45031</v>
      </c>
      <c r="B25" s="91">
        <v>4</v>
      </c>
      <c r="D25" s="67">
        <v>42667</v>
      </c>
      <c r="E25" s="73">
        <v>3.5</v>
      </c>
      <c r="G25" s="67">
        <v>42667</v>
      </c>
      <c r="H25" s="73">
        <v>3.5</v>
      </c>
      <c r="J25" s="67">
        <v>42667</v>
      </c>
      <c r="K25" s="73">
        <v>3.5</v>
      </c>
      <c r="M25" s="67">
        <v>42667</v>
      </c>
      <c r="N25" s="73">
        <v>0</v>
      </c>
      <c r="AF25" s="103">
        <v>42339</v>
      </c>
      <c r="AG25" s="104">
        <v>0</v>
      </c>
      <c r="AH25" s="104">
        <v>0</v>
      </c>
      <c r="AI25" s="100">
        <v>42347</v>
      </c>
      <c r="AJ25" s="102">
        <v>25629.083960309032</v>
      </c>
      <c r="AL25" s="217" t="s">
        <v>404</v>
      </c>
      <c r="AM25" s="181" t="s">
        <v>93</v>
      </c>
      <c r="AN25" s="99"/>
      <c r="AO25" s="99"/>
      <c r="AP25" s="243">
        <v>4.2119962356647287</v>
      </c>
      <c r="AQ25" s="270">
        <v>14.213822113857379</v>
      </c>
      <c r="AR25" s="243" t="s">
        <v>163</v>
      </c>
      <c r="AS25" s="114" t="s">
        <v>163</v>
      </c>
      <c r="AT25" s="114" t="s">
        <v>163</v>
      </c>
      <c r="AU25" s="114" t="s">
        <v>163</v>
      </c>
      <c r="AV25" s="114" t="s">
        <v>163</v>
      </c>
      <c r="AW25" s="114">
        <v>4.4438128021688428</v>
      </c>
      <c r="AY25" s="179" t="s">
        <v>71</v>
      </c>
      <c r="AZ25" s="179" t="s">
        <v>178</v>
      </c>
      <c r="BA25" s="243">
        <v>1.0248091669598087</v>
      </c>
      <c r="BB25" s="270">
        <v>6.6707297142288109</v>
      </c>
      <c r="BC25" s="243">
        <v>3.9278933984684836</v>
      </c>
      <c r="BD25" s="243" t="s">
        <v>163</v>
      </c>
      <c r="BE25" s="243">
        <v>1.25</v>
      </c>
      <c r="BF25" s="114">
        <v>0.22519083304019127</v>
      </c>
      <c r="BG25" s="114">
        <v>1.25</v>
      </c>
      <c r="BH25" s="114" t="s">
        <v>163</v>
      </c>
      <c r="BI25" s="114" t="s">
        <v>163</v>
      </c>
      <c r="BJ25" s="99" t="s">
        <v>163</v>
      </c>
      <c r="BK25" s="130">
        <v>2.9030842315086751</v>
      </c>
      <c r="BL25" s="130">
        <v>0.99354593036399863</v>
      </c>
    </row>
    <row r="26" spans="1:64">
      <c r="A26" s="68">
        <v>45397</v>
      </c>
      <c r="B26" s="91">
        <v>4</v>
      </c>
      <c r="D26" s="68">
        <v>42691</v>
      </c>
      <c r="E26" s="74">
        <v>3.5</v>
      </c>
      <c r="G26" s="68">
        <v>42691</v>
      </c>
      <c r="H26" s="74">
        <v>3.5</v>
      </c>
      <c r="J26" s="68">
        <v>42691</v>
      </c>
      <c r="K26" s="74">
        <v>3.5</v>
      </c>
      <c r="M26" s="68">
        <v>42691</v>
      </c>
      <c r="N26" s="74">
        <v>0</v>
      </c>
      <c r="AF26" s="294">
        <v>42370</v>
      </c>
      <c r="AG26" s="295">
        <v>5.0000000000000001E-3</v>
      </c>
      <c r="AH26" s="295">
        <v>5.0000000000000001E-3</v>
      </c>
      <c r="AI26" s="100">
        <v>42378</v>
      </c>
      <c r="AJ26" s="102">
        <v>25629.083960309032</v>
      </c>
      <c r="AK26" s="59"/>
      <c r="AL26" s="217"/>
      <c r="AM26" s="181"/>
      <c r="AN26" s="99"/>
      <c r="AO26" s="99"/>
      <c r="AP26" s="243"/>
      <c r="AQ26" s="270"/>
      <c r="AR26" s="243"/>
      <c r="AS26" s="114"/>
      <c r="AT26" s="114"/>
      <c r="AU26" s="114"/>
      <c r="AV26" s="114"/>
      <c r="AW26" s="114"/>
      <c r="AX26" s="214"/>
      <c r="AY26" s="179" t="s">
        <v>71</v>
      </c>
      <c r="AZ26" s="247" t="s">
        <v>179</v>
      </c>
      <c r="BA26" s="243">
        <v>1.0593699302491115</v>
      </c>
      <c r="BB26" s="270">
        <v>7.9254843381086166</v>
      </c>
      <c r="BC26" s="243">
        <v>3.9777568534672718</v>
      </c>
      <c r="BD26" s="243" t="s">
        <v>163</v>
      </c>
      <c r="BE26" s="243" t="s">
        <v>163</v>
      </c>
      <c r="BF26" s="114" t="s">
        <v>163</v>
      </c>
      <c r="BG26" s="114" t="s">
        <v>163</v>
      </c>
      <c r="BH26" s="114" t="s">
        <v>163</v>
      </c>
      <c r="BI26" s="114" t="s">
        <v>163</v>
      </c>
      <c r="BJ26" s="99" t="s">
        <v>163</v>
      </c>
      <c r="BK26" s="130">
        <v>2.9183869232181605</v>
      </c>
      <c r="BL26" s="130">
        <v>1.0834279031828848</v>
      </c>
    </row>
    <row r="27" spans="1:64">
      <c r="A27" s="68">
        <v>45762</v>
      </c>
      <c r="B27" s="91">
        <v>4</v>
      </c>
      <c r="D27" s="68">
        <v>42719</v>
      </c>
      <c r="E27" s="74">
        <v>3.5</v>
      </c>
      <c r="G27" s="68">
        <v>42719</v>
      </c>
      <c r="H27" s="74">
        <v>3.5</v>
      </c>
      <c r="J27" s="68">
        <v>42719</v>
      </c>
      <c r="K27" s="74">
        <v>3.5</v>
      </c>
      <c r="M27" s="68">
        <v>42719</v>
      </c>
      <c r="N27" s="74">
        <v>0</v>
      </c>
      <c r="AF27" s="294">
        <v>42401</v>
      </c>
      <c r="AG27" s="295">
        <v>3.0000000000000001E-3</v>
      </c>
      <c r="AH27" s="295">
        <v>3.0000000000000001E-3</v>
      </c>
      <c r="AI27" s="100">
        <v>42409</v>
      </c>
      <c r="AJ27" s="102">
        <v>25629.083960309032</v>
      </c>
      <c r="AK27" s="59"/>
      <c r="AL27" s="217"/>
      <c r="AM27" s="181"/>
      <c r="AP27" s="270"/>
      <c r="AQ27" s="270"/>
      <c r="AR27" s="536"/>
      <c r="AS27" s="99"/>
      <c r="AT27" s="99"/>
      <c r="AU27" s="99"/>
      <c r="AV27" s="99"/>
      <c r="AW27" s="99"/>
      <c r="AY27" s="179" t="s">
        <v>71</v>
      </c>
      <c r="AZ27" s="179" t="s">
        <v>444</v>
      </c>
      <c r="BA27" s="243">
        <v>1.0754334732537769</v>
      </c>
      <c r="BB27" s="270">
        <v>8.6668129309435002</v>
      </c>
      <c r="BC27" s="243">
        <v>4.0015654264374536</v>
      </c>
      <c r="BD27" s="243">
        <v>4.1900000000000004</v>
      </c>
      <c r="BE27" s="243">
        <v>1.27</v>
      </c>
      <c r="BF27" s="114">
        <v>0.1945665267462231</v>
      </c>
      <c r="BG27" s="114">
        <v>1.27</v>
      </c>
      <c r="BH27" s="114">
        <v>1.23</v>
      </c>
      <c r="BI27" s="114">
        <v>4.0000000000000036E-2</v>
      </c>
      <c r="BJ27" s="99">
        <v>2.9200000000000004</v>
      </c>
      <c r="BK27" s="130">
        <v>2.9261319531836767</v>
      </c>
      <c r="BL27" s="130">
        <v>1.1324678581359531</v>
      </c>
    </row>
    <row r="28" spans="1:64">
      <c r="A28" s="68">
        <v>46127</v>
      </c>
      <c r="B28" s="91">
        <v>4</v>
      </c>
      <c r="D28" s="68">
        <v>42750</v>
      </c>
      <c r="E28" s="74">
        <v>3.5</v>
      </c>
      <c r="G28" s="68">
        <v>42750</v>
      </c>
      <c r="H28" s="74">
        <v>3.5</v>
      </c>
      <c r="J28" s="68">
        <v>42750</v>
      </c>
      <c r="K28" s="74">
        <v>3.5</v>
      </c>
      <c r="M28" s="68">
        <v>42750</v>
      </c>
      <c r="N28" s="74">
        <v>0</v>
      </c>
      <c r="AF28" s="294">
        <v>42430</v>
      </c>
      <c r="AG28" s="295">
        <v>4.0000000000000001E-3</v>
      </c>
      <c r="AH28" s="295">
        <v>4.0000000000000001E-3</v>
      </c>
      <c r="AI28" s="100">
        <v>42438</v>
      </c>
      <c r="AJ28" s="102">
        <v>25757.229380110573</v>
      </c>
      <c r="AK28" s="214"/>
      <c r="AL28" s="23"/>
      <c r="AM28" s="23"/>
      <c r="AP28" s="100"/>
      <c r="AQ28" s="245"/>
      <c r="AR28" s="245">
        <v>4.55</v>
      </c>
      <c r="AS28" s="23">
        <v>4.9166666666666657E-2</v>
      </c>
      <c r="AX28" s="23" t="s">
        <v>173</v>
      </c>
      <c r="AY28" s="179" t="s">
        <v>71</v>
      </c>
      <c r="AZ28" s="179" t="s">
        <v>177</v>
      </c>
      <c r="BA28" s="243">
        <v>1.0869276790680149</v>
      </c>
      <c r="BB28" s="270">
        <v>8.9854204849982064</v>
      </c>
      <c r="BC28" s="243">
        <v>4.0150425592347867</v>
      </c>
      <c r="BD28" s="243" t="s">
        <v>163</v>
      </c>
      <c r="BE28" s="243" t="s">
        <v>163</v>
      </c>
      <c r="BF28" s="114" t="s">
        <v>163</v>
      </c>
      <c r="BG28" s="114" t="s">
        <v>163</v>
      </c>
      <c r="BH28" s="114" t="s">
        <v>163</v>
      </c>
      <c r="BI28" s="114" t="s">
        <v>163</v>
      </c>
      <c r="BJ28" s="99" t="s">
        <v>163</v>
      </c>
      <c r="BK28" s="130">
        <v>2.9281148801667718</v>
      </c>
      <c r="BL28" s="130">
        <v>1.1728756422640705</v>
      </c>
    </row>
    <row r="29" spans="1:64" ht="15.75" thickBot="1">
      <c r="A29" s="69">
        <v>46492</v>
      </c>
      <c r="B29" s="92">
        <v>4</v>
      </c>
      <c r="D29" s="68">
        <v>42781</v>
      </c>
      <c r="E29" s="74">
        <v>3.5</v>
      </c>
      <c r="G29" s="68">
        <v>42781</v>
      </c>
      <c r="H29" s="74">
        <v>3.5</v>
      </c>
      <c r="J29" s="68">
        <v>42781</v>
      </c>
      <c r="K29" s="74">
        <v>3.5</v>
      </c>
      <c r="M29" s="68">
        <v>42781</v>
      </c>
      <c r="N29" s="74">
        <v>0</v>
      </c>
      <c r="Q29" s="1" t="s">
        <v>2</v>
      </c>
      <c r="R29" s="1">
        <v>1</v>
      </c>
      <c r="S29" s="1"/>
      <c r="T29" s="1"/>
      <c r="U29" s="1"/>
      <c r="V29" s="348">
        <v>26249.67</v>
      </c>
      <c r="W29" s="1"/>
      <c r="X29" s="1"/>
      <c r="Y29" s="1"/>
      <c r="Z29" s="1"/>
      <c r="AA29" s="1" t="s">
        <v>2</v>
      </c>
      <c r="AB29" s="1">
        <v>30</v>
      </c>
      <c r="AC29" s="1"/>
      <c r="AD29" s="1"/>
      <c r="AF29" s="294">
        <v>42461</v>
      </c>
      <c r="AG29" s="295">
        <v>3.0000000000000001E-3</v>
      </c>
      <c r="AH29" s="295">
        <v>3.0000000000000001E-3</v>
      </c>
      <c r="AI29" s="100">
        <v>42469</v>
      </c>
      <c r="AJ29" s="102">
        <v>25834.501068250902</v>
      </c>
      <c r="AL29" s="23"/>
      <c r="AM29" s="245"/>
      <c r="AP29" s="100"/>
      <c r="AR29" s="23">
        <v>3.96</v>
      </c>
      <c r="AS29" s="245">
        <v>0.58999999999999986</v>
      </c>
      <c r="AV29" s="245"/>
      <c r="AX29" s="214"/>
      <c r="AY29" s="179" t="s">
        <v>163</v>
      </c>
      <c r="AZ29" s="278" t="s">
        <v>180</v>
      </c>
      <c r="BA29" s="243">
        <v>1.1037839304884511</v>
      </c>
      <c r="BB29" s="270">
        <v>9.7423324280606707</v>
      </c>
      <c r="BC29" s="243">
        <v>4.0375340380790838</v>
      </c>
      <c r="BD29" s="243" t="s">
        <v>163</v>
      </c>
      <c r="BE29" s="243" t="s">
        <v>163</v>
      </c>
      <c r="BF29" s="114" t="s">
        <v>163</v>
      </c>
      <c r="BG29" s="114" t="s">
        <v>163</v>
      </c>
      <c r="BH29" s="114" t="s">
        <v>163</v>
      </c>
      <c r="BI29" s="114" t="s">
        <v>163</v>
      </c>
      <c r="BJ29" s="99" t="s">
        <v>163</v>
      </c>
      <c r="BK29" s="130">
        <v>2.9337501075906327</v>
      </c>
      <c r="BL29" s="130">
        <v>1.1852483315354445</v>
      </c>
    </row>
    <row r="30" spans="1:64" ht="15.75" thickBot="1">
      <c r="D30" s="68">
        <v>42809</v>
      </c>
      <c r="E30" s="74">
        <v>3.25</v>
      </c>
      <c r="G30" s="68">
        <v>42809</v>
      </c>
      <c r="H30" s="74">
        <v>3.5</v>
      </c>
      <c r="J30" s="68">
        <v>42809</v>
      </c>
      <c r="K30" s="74">
        <v>3.5</v>
      </c>
      <c r="M30" s="68">
        <v>42809</v>
      </c>
      <c r="N30" s="74">
        <v>0</v>
      </c>
      <c r="Q30" s="5" t="s">
        <v>3</v>
      </c>
      <c r="R30" s="5" t="s">
        <v>1</v>
      </c>
      <c r="S30" s="5" t="s">
        <v>4</v>
      </c>
      <c r="T30" s="9" t="s">
        <v>5</v>
      </c>
      <c r="U30" s="105" t="s">
        <v>320</v>
      </c>
      <c r="V30" s="9" t="s">
        <v>96</v>
      </c>
      <c r="W30" s="105" t="s">
        <v>343</v>
      </c>
      <c r="X30" s="142" t="s">
        <v>132</v>
      </c>
      <c r="Y30" s="105" t="s">
        <v>133</v>
      </c>
      <c r="Z30" s="1"/>
      <c r="AA30" s="5" t="s">
        <v>6</v>
      </c>
      <c r="AB30" s="105" t="s">
        <v>97</v>
      </c>
      <c r="AC30" s="105" t="s">
        <v>6</v>
      </c>
      <c r="AD30" s="107" t="s">
        <v>98</v>
      </c>
      <c r="AF30" s="294">
        <v>42491</v>
      </c>
      <c r="AG30" s="295">
        <v>2E-3</v>
      </c>
      <c r="AH30" s="295">
        <v>2E-3</v>
      </c>
      <c r="AI30" s="100">
        <v>42499</v>
      </c>
      <c r="AJ30" s="102">
        <v>25937.839072523904</v>
      </c>
      <c r="AL30" s="23"/>
      <c r="AM30" s="23"/>
      <c r="AP30" s="537"/>
      <c r="AR30" s="245"/>
      <c r="AV30" s="59"/>
      <c r="AY30" s="179" t="s">
        <v>163</v>
      </c>
      <c r="AZ30" s="179" t="s">
        <v>181</v>
      </c>
      <c r="BA30" s="243">
        <v>1.1061976261120241</v>
      </c>
      <c r="BB30" s="270">
        <v>9.7855650724926271</v>
      </c>
      <c r="BC30" s="243">
        <v>4.0410639810002476</v>
      </c>
      <c r="BD30" s="243" t="s">
        <v>163</v>
      </c>
      <c r="BE30" s="243" t="s">
        <v>163</v>
      </c>
      <c r="BF30" s="114" t="s">
        <v>163</v>
      </c>
      <c r="BG30" s="114" t="s">
        <v>163</v>
      </c>
      <c r="BH30" s="114" t="s">
        <v>163</v>
      </c>
      <c r="BI30" s="114" t="s">
        <v>163</v>
      </c>
      <c r="BJ30" s="99" t="s">
        <v>163</v>
      </c>
      <c r="BK30" s="130">
        <v>2.9348663548882232</v>
      </c>
      <c r="BL30" s="130">
        <v>1.1872262923700843</v>
      </c>
    </row>
    <row r="31" spans="1:64" ht="15.75" thickBot="1">
      <c r="A31" s="70" t="s">
        <v>25</v>
      </c>
      <c r="D31" s="68">
        <v>42840</v>
      </c>
      <c r="E31" s="74">
        <v>3</v>
      </c>
      <c r="G31" s="68">
        <v>42840</v>
      </c>
      <c r="H31" s="74">
        <v>3.5</v>
      </c>
      <c r="J31" s="68">
        <v>42840</v>
      </c>
      <c r="K31" s="74">
        <v>3.5</v>
      </c>
      <c r="M31" s="68">
        <v>42840</v>
      </c>
      <c r="N31" s="74">
        <v>0</v>
      </c>
      <c r="Q31" s="6">
        <v>1</v>
      </c>
      <c r="R31" s="7">
        <v>42668</v>
      </c>
      <c r="S31" s="210">
        <v>3.5</v>
      </c>
      <c r="T31" s="8">
        <v>1.0000972222222222</v>
      </c>
      <c r="U31" s="98">
        <v>3.6121470212073792</v>
      </c>
      <c r="V31" s="106">
        <v>26251.355697852185</v>
      </c>
      <c r="W31" s="10">
        <v>1.2118457462010568</v>
      </c>
      <c r="X31" s="413">
        <v>1.1880804435540071</v>
      </c>
      <c r="Y31" s="414">
        <v>0.29166666666657903</v>
      </c>
      <c r="Z31" s="1"/>
      <c r="AA31" s="3">
        <v>1</v>
      </c>
      <c r="AB31" s="11">
        <v>3.6122164656518234</v>
      </c>
      <c r="AC31" s="8">
        <v>1</v>
      </c>
      <c r="AD31" s="108">
        <v>1.2119151906455012</v>
      </c>
      <c r="AF31" s="294">
        <v>42522</v>
      </c>
      <c r="AG31" s="295">
        <v>4.0000000000000001E-3</v>
      </c>
      <c r="AH31" s="295">
        <v>4.0000000000000001E-3</v>
      </c>
      <c r="AI31" s="100">
        <v>42530</v>
      </c>
      <c r="AJ31" s="102">
        <v>26015.652589741472</v>
      </c>
      <c r="AL31" s="269"/>
      <c r="AM31" s="100"/>
      <c r="AP31" s="102"/>
      <c r="AS31" s="100"/>
      <c r="AV31" s="59"/>
      <c r="AY31" s="179" t="s">
        <v>163</v>
      </c>
      <c r="AZ31" s="179" t="s">
        <v>182</v>
      </c>
      <c r="BA31" s="243">
        <v>1.118816845691935</v>
      </c>
      <c r="BB31" s="270">
        <v>10.481396824421942</v>
      </c>
      <c r="BC31" s="243">
        <v>4.0571417479072274</v>
      </c>
      <c r="BD31" s="243" t="s">
        <v>163</v>
      </c>
      <c r="BE31" s="243" t="s">
        <v>163</v>
      </c>
      <c r="BF31" s="114" t="s">
        <v>163</v>
      </c>
      <c r="BG31" s="114" t="s">
        <v>163</v>
      </c>
      <c r="BH31" s="114" t="s">
        <v>163</v>
      </c>
      <c r="BI31" s="114" t="s">
        <v>163</v>
      </c>
      <c r="BJ31" s="99" t="s">
        <v>163</v>
      </c>
      <c r="BK31" s="130">
        <v>2.9383249022152924</v>
      </c>
      <c r="BL31" s="130">
        <v>1.1970464646612722</v>
      </c>
    </row>
    <row r="32" spans="1:64" ht="15.75" thickBot="1">
      <c r="A32" s="24" t="s">
        <v>36</v>
      </c>
      <c r="B32" s="82">
        <v>1</v>
      </c>
      <c r="D32" s="68">
        <v>42870</v>
      </c>
      <c r="E32" s="74">
        <v>3</v>
      </c>
      <c r="G32" s="68">
        <v>42870</v>
      </c>
      <c r="H32" s="74">
        <v>3.5</v>
      </c>
      <c r="J32" s="68">
        <v>42870</v>
      </c>
      <c r="K32" s="74">
        <v>3.5</v>
      </c>
      <c r="M32" s="68">
        <v>42870</v>
      </c>
      <c r="N32" s="74">
        <v>0</v>
      </c>
      <c r="Q32" s="6">
        <v>2</v>
      </c>
      <c r="R32" s="7">
        <v>42669</v>
      </c>
      <c r="S32" s="210">
        <v>3.5</v>
      </c>
      <c r="T32" s="8">
        <v>1.0000972222222222</v>
      </c>
      <c r="U32" s="98">
        <v>3.6121470212073348</v>
      </c>
      <c r="V32" s="106">
        <v>26253.047696848127</v>
      </c>
      <c r="W32" s="10">
        <v>1.207488634596432</v>
      </c>
      <c r="X32" s="413">
        <v>1.1838537065176347</v>
      </c>
      <c r="Y32" s="414">
        <v>0.29168084490716062</v>
      </c>
      <c r="Z32" s="1"/>
      <c r="AA32" s="3">
        <v>30</v>
      </c>
      <c r="AB32" s="11">
        <v>3.6142303545425554</v>
      </c>
      <c r="AC32" s="8">
        <v>30</v>
      </c>
      <c r="AD32" s="108">
        <v>-0.26550595386807518</v>
      </c>
      <c r="AF32" s="294">
        <v>42552</v>
      </c>
      <c r="AG32" s="295">
        <v>2E-3</v>
      </c>
      <c r="AH32" s="295">
        <v>2E-3</v>
      </c>
      <c r="AI32" s="100">
        <v>42560</v>
      </c>
      <c r="AJ32" s="102">
        <v>26067.683894920956</v>
      </c>
      <c r="AL32" s="23"/>
      <c r="AM32" s="23"/>
      <c r="AR32" s="245"/>
      <c r="AV32" s="59"/>
      <c r="AW32" s="245"/>
      <c r="AX32" s="245"/>
      <c r="AY32" s="217" t="s">
        <v>163</v>
      </c>
      <c r="AZ32" s="221" t="s">
        <v>172</v>
      </c>
      <c r="BA32" s="243">
        <v>1.1298607845176993</v>
      </c>
      <c r="BB32" s="270">
        <v>11.044724938996007</v>
      </c>
      <c r="BC32" s="243">
        <v>4.0718537459969264</v>
      </c>
      <c r="BD32" s="243" t="s">
        <v>163</v>
      </c>
      <c r="BE32" s="243" t="s">
        <v>163</v>
      </c>
      <c r="BF32" s="114" t="s">
        <v>163</v>
      </c>
      <c r="BG32" s="114" t="s">
        <v>163</v>
      </c>
      <c r="BH32" s="114" t="s">
        <v>163</v>
      </c>
      <c r="BI32" s="114" t="s">
        <v>163</v>
      </c>
      <c r="BJ32" s="99" t="s">
        <v>163</v>
      </c>
      <c r="BK32" s="130">
        <v>2.9419929614792268</v>
      </c>
      <c r="BL32" s="130">
        <v>1.2065801822437381</v>
      </c>
    </row>
    <row r="33" spans="1:64">
      <c r="B33" s="553">
        <v>1</v>
      </c>
      <c r="D33" s="68">
        <v>42901</v>
      </c>
      <c r="E33" s="74">
        <v>3</v>
      </c>
      <c r="G33" s="68">
        <v>42901</v>
      </c>
      <c r="H33" s="74">
        <v>3.5</v>
      </c>
      <c r="J33" s="68">
        <v>42901</v>
      </c>
      <c r="K33" s="74">
        <v>3.5</v>
      </c>
      <c r="M33" s="68">
        <v>42901</v>
      </c>
      <c r="N33" s="74">
        <v>0</v>
      </c>
      <c r="Q33" s="6">
        <v>3</v>
      </c>
      <c r="R33" s="7">
        <v>42670</v>
      </c>
      <c r="S33" s="210">
        <v>3.5</v>
      </c>
      <c r="T33" s="8">
        <v>1.0000972222222222</v>
      </c>
      <c r="U33" s="98">
        <v>3.6121470212091777</v>
      </c>
      <c r="V33" s="106">
        <v>26254.739804899793</v>
      </c>
      <c r="W33" s="10">
        <v>1.20603630574867</v>
      </c>
      <c r="X33" s="413">
        <v>1.1824576781940266</v>
      </c>
      <c r="Y33" s="414">
        <v>0.29169502406700687</v>
      </c>
      <c r="Z33" s="1"/>
      <c r="AA33" s="3">
        <v>60</v>
      </c>
      <c r="AB33" s="11">
        <v>3.6163136878755782</v>
      </c>
      <c r="AC33" s="8">
        <v>60</v>
      </c>
      <c r="AD33" s="108">
        <v>-0.12841725402973855</v>
      </c>
      <c r="AF33" s="294">
        <v>42583</v>
      </c>
      <c r="AG33" s="295">
        <v>0</v>
      </c>
      <c r="AH33" s="295">
        <v>0</v>
      </c>
      <c r="AI33" s="100">
        <v>42591</v>
      </c>
      <c r="AJ33" s="102">
        <v>26171.954630500641</v>
      </c>
      <c r="AL33" s="23"/>
      <c r="AM33" s="23"/>
      <c r="AW33" s="245"/>
      <c r="AY33" s="217" t="s">
        <v>163</v>
      </c>
      <c r="AZ33" s="268" t="s">
        <v>77</v>
      </c>
      <c r="BA33" s="243">
        <v>1.1439092695875472</v>
      </c>
      <c r="BB33" s="270">
        <v>11.837603983330444</v>
      </c>
      <c r="BC33" s="243">
        <v>4.0890190270355111</v>
      </c>
      <c r="BD33" s="243" t="s">
        <v>163</v>
      </c>
      <c r="BE33" s="243" t="s">
        <v>163</v>
      </c>
      <c r="BF33" s="114" t="s">
        <v>163</v>
      </c>
      <c r="BG33" s="114" t="s">
        <v>163</v>
      </c>
      <c r="BH33" s="114" t="s">
        <v>163</v>
      </c>
      <c r="BI33" s="114" t="s">
        <v>163</v>
      </c>
      <c r="BJ33" s="99" t="s">
        <v>163</v>
      </c>
      <c r="BK33" s="130">
        <v>2.9451097574479639</v>
      </c>
      <c r="BL33" s="130">
        <v>1.2185720068239754</v>
      </c>
    </row>
    <row r="34" spans="1:64">
      <c r="D34" s="68">
        <v>42931</v>
      </c>
      <c r="E34" s="74">
        <v>3</v>
      </c>
      <c r="G34" s="68">
        <v>42931</v>
      </c>
      <c r="H34" s="74">
        <v>3.5</v>
      </c>
      <c r="J34" s="68">
        <v>42931</v>
      </c>
      <c r="K34" s="74">
        <v>3.5</v>
      </c>
      <c r="M34" s="68">
        <v>42931</v>
      </c>
      <c r="N34" s="74">
        <v>0</v>
      </c>
      <c r="Q34" s="6">
        <v>4</v>
      </c>
      <c r="R34" s="7">
        <v>42671</v>
      </c>
      <c r="S34" s="210">
        <v>3.5</v>
      </c>
      <c r="T34" s="8">
        <v>1.0000972222222222</v>
      </c>
      <c r="U34" s="98">
        <v>3.6121470212097995</v>
      </c>
      <c r="V34" s="106">
        <v>26256.432022014211</v>
      </c>
      <c r="W34" s="10">
        <v>1.2053101491386942</v>
      </c>
      <c r="X34" s="413">
        <v>1.1817693273603602</v>
      </c>
      <c r="Y34" s="414">
        <v>0.29170920414578472</v>
      </c>
      <c r="Z34" s="1"/>
      <c r="AA34" s="3">
        <v>90</v>
      </c>
      <c r="AB34" s="11">
        <v>3.618397021208867</v>
      </c>
      <c r="AC34" s="8">
        <v>90</v>
      </c>
      <c r="AD34" s="108">
        <v>0.62258535201994769</v>
      </c>
      <c r="AF34" s="294">
        <v>42614</v>
      </c>
      <c r="AG34" s="295">
        <v>2E-3</v>
      </c>
      <c r="AH34" s="295">
        <v>2E-3</v>
      </c>
      <c r="AI34" s="100">
        <v>42622</v>
      </c>
      <c r="AJ34" s="102">
        <v>26224.298539761643</v>
      </c>
      <c r="AL34" s="23"/>
      <c r="AM34" s="23"/>
      <c r="AY34" s="217" t="s">
        <v>163</v>
      </c>
      <c r="AZ34" s="242" t="s">
        <v>78</v>
      </c>
      <c r="BA34" s="243">
        <v>1.1546511665633012</v>
      </c>
      <c r="BB34" s="270">
        <v>12.449219905305716</v>
      </c>
      <c r="BC34" s="243">
        <v>4.1025685395984341</v>
      </c>
      <c r="BD34" s="243" t="s">
        <v>163</v>
      </c>
      <c r="BE34" s="243" t="s">
        <v>163</v>
      </c>
      <c r="BF34" s="114" t="s">
        <v>163</v>
      </c>
      <c r="BG34" s="114" t="s">
        <v>163</v>
      </c>
      <c r="BH34" s="114" t="s">
        <v>163</v>
      </c>
      <c r="BI34" s="114" t="s">
        <v>163</v>
      </c>
      <c r="BJ34" s="99" t="s">
        <v>163</v>
      </c>
      <c r="BK34" s="130">
        <v>2.9479173730351329</v>
      </c>
      <c r="BL34" s="130">
        <v>1.2286428670365075</v>
      </c>
    </row>
    <row r="35" spans="1:64">
      <c r="D35" s="68">
        <v>43023</v>
      </c>
      <c r="E35" s="74">
        <v>3</v>
      </c>
      <c r="G35" s="68">
        <v>43023</v>
      </c>
      <c r="H35" s="74">
        <v>3.5</v>
      </c>
      <c r="J35" s="68">
        <v>43023</v>
      </c>
      <c r="K35" s="74">
        <v>3.75</v>
      </c>
      <c r="M35" s="68">
        <v>43023</v>
      </c>
      <c r="N35" s="74">
        <v>0</v>
      </c>
      <c r="Q35" s="6">
        <v>5</v>
      </c>
      <c r="R35" s="7">
        <v>42672</v>
      </c>
      <c r="S35" s="210">
        <v>3.5</v>
      </c>
      <c r="T35" s="8">
        <v>1.0000972222222222</v>
      </c>
      <c r="U35" s="98">
        <v>3.6121470212089557</v>
      </c>
      <c r="V35" s="106">
        <v>26258.124348198413</v>
      </c>
      <c r="W35" s="10">
        <v>1.2048744576754311</v>
      </c>
      <c r="X35" s="413">
        <v>1.1813640477784659</v>
      </c>
      <c r="Y35" s="414">
        <v>0.29172338514356078</v>
      </c>
      <c r="Z35" s="1"/>
      <c r="AA35" s="3">
        <v>120</v>
      </c>
      <c r="AB35" s="11">
        <v>3.6204803545423778</v>
      </c>
      <c r="AC35" s="8">
        <v>120</v>
      </c>
      <c r="AD35" s="108">
        <v>1.0156418338358351</v>
      </c>
      <c r="AF35" s="294">
        <v>42644</v>
      </c>
      <c r="AG35" s="295">
        <v>3.6629339625333657E-3</v>
      </c>
      <c r="AH35" s="295">
        <v>4.5225491268949423E-3</v>
      </c>
      <c r="AI35" s="100">
        <v>42652</v>
      </c>
      <c r="AJ35" s="102">
        <v>26224.298539761643</v>
      </c>
      <c r="AL35" s="23"/>
      <c r="AM35" s="23"/>
      <c r="AY35" s="217" t="s">
        <v>76</v>
      </c>
      <c r="AZ35" s="179" t="s">
        <v>79</v>
      </c>
      <c r="BA35" s="243">
        <v>1.1782947123720267</v>
      </c>
      <c r="BB35" s="270">
        <v>13.800838180063897</v>
      </c>
      <c r="BC35" s="243">
        <v>4.1313259048891791</v>
      </c>
      <c r="BD35" s="243" t="s">
        <v>163</v>
      </c>
      <c r="BE35" s="243" t="s">
        <v>163</v>
      </c>
      <c r="BF35" s="114" t="s">
        <v>163</v>
      </c>
      <c r="BG35" s="114" t="s">
        <v>163</v>
      </c>
      <c r="BH35" s="114" t="s">
        <v>163</v>
      </c>
      <c r="BI35" s="114" t="s">
        <v>163</v>
      </c>
      <c r="BJ35" s="99" t="s">
        <v>163</v>
      </c>
      <c r="BK35" s="130">
        <v>2.9530311925171526</v>
      </c>
      <c r="BL35" s="130">
        <v>1.2523114780471107</v>
      </c>
    </row>
    <row r="36" spans="1:64">
      <c r="D36" s="68">
        <v>43115</v>
      </c>
      <c r="E36" s="74">
        <v>3</v>
      </c>
      <c r="G36" s="68">
        <v>43115</v>
      </c>
      <c r="H36" s="74">
        <v>3.5</v>
      </c>
      <c r="J36" s="68">
        <v>43115</v>
      </c>
      <c r="K36" s="74">
        <v>4</v>
      </c>
      <c r="M36" s="68">
        <v>43115</v>
      </c>
      <c r="N36" s="74">
        <v>0</v>
      </c>
      <c r="Q36" s="6">
        <v>6</v>
      </c>
      <c r="R36" s="7">
        <v>42673</v>
      </c>
      <c r="S36" s="210">
        <v>3.5</v>
      </c>
      <c r="T36" s="8">
        <v>1.0000972222222222</v>
      </c>
      <c r="U36" s="98">
        <v>3.6121470212096884</v>
      </c>
      <c r="V36" s="106">
        <v>26259.816783459428</v>
      </c>
      <c r="W36" s="10">
        <v>1.2045839977403716</v>
      </c>
      <c r="X36" s="413">
        <v>1.1811003040316237</v>
      </c>
      <c r="Y36" s="414">
        <v>0.29173756706057929</v>
      </c>
      <c r="Z36" s="1"/>
      <c r="AA36" s="3">
        <v>150</v>
      </c>
      <c r="AB36" s="11">
        <v>3.6068086822819683</v>
      </c>
      <c r="AC36" s="8">
        <v>150</v>
      </c>
      <c r="AD36" s="108">
        <v>1.2443191892046996</v>
      </c>
      <c r="AF36" s="294">
        <v>42675</v>
      </c>
      <c r="AG36" s="295">
        <v>2.6542297046217023E-4</v>
      </c>
      <c r="AH36" s="295">
        <v>1.1250381348237464E-3</v>
      </c>
      <c r="AI36" s="100">
        <v>42683</v>
      </c>
      <c r="AJ36" s="102">
        <v>26276.747136841168</v>
      </c>
      <c r="AL36" s="23"/>
      <c r="AM36" s="23"/>
      <c r="AY36" s="217" t="s">
        <v>76</v>
      </c>
      <c r="AZ36" s="247" t="s">
        <v>450</v>
      </c>
      <c r="BA36" s="243">
        <v>1.1991889927944106</v>
      </c>
      <c r="BB36" s="270">
        <v>15.44665317692867</v>
      </c>
      <c r="BC36" s="243">
        <v>4.1596798475921206</v>
      </c>
      <c r="BD36" s="243" t="s">
        <v>163</v>
      </c>
      <c r="BE36" s="243">
        <v>1.51</v>
      </c>
      <c r="BF36" s="114">
        <v>0.31081100720558941</v>
      </c>
      <c r="BG36" s="114" t="s">
        <v>163</v>
      </c>
      <c r="BH36" s="114">
        <v>1.51</v>
      </c>
      <c r="BI36" s="114" t="s">
        <v>163</v>
      </c>
      <c r="BJ36" s="99" t="s">
        <v>163</v>
      </c>
      <c r="BK36" s="130">
        <v>2.96049085479771</v>
      </c>
      <c r="BL36" s="130">
        <v>1.275161061302126</v>
      </c>
    </row>
    <row r="37" spans="1:64">
      <c r="A37" s="85"/>
      <c r="D37" s="68">
        <v>43205</v>
      </c>
      <c r="E37" s="74">
        <v>3.5</v>
      </c>
      <c r="G37" s="68">
        <v>43205</v>
      </c>
      <c r="H37" s="74">
        <v>3.5</v>
      </c>
      <c r="J37" s="68">
        <v>43205</v>
      </c>
      <c r="K37" s="74">
        <v>4.25</v>
      </c>
      <c r="M37" s="68">
        <v>43205</v>
      </c>
      <c r="N37" s="74">
        <v>0</v>
      </c>
      <c r="Q37" s="6">
        <v>7</v>
      </c>
      <c r="R37" s="7">
        <v>42674</v>
      </c>
      <c r="S37" s="210">
        <v>3.5</v>
      </c>
      <c r="T37" s="8">
        <v>1.0000972222222222</v>
      </c>
      <c r="U37" s="98">
        <v>3.6121470212092222</v>
      </c>
      <c r="V37" s="106">
        <v>26261.509327804284</v>
      </c>
      <c r="W37" s="10">
        <v>1.2043765268676454</v>
      </c>
      <c r="X37" s="413">
        <v>1.1809174380852383</v>
      </c>
      <c r="Y37" s="414">
        <v>0.29175174989675462</v>
      </c>
      <c r="Z37" s="1"/>
      <c r="AA37" s="3">
        <v>180</v>
      </c>
      <c r="AB37" s="11">
        <v>3.5561009603807552</v>
      </c>
      <c r="AC37" s="8">
        <v>180</v>
      </c>
      <c r="AD37" s="108">
        <v>1.0194626196703707</v>
      </c>
      <c r="AF37" s="294">
        <v>42705</v>
      </c>
      <c r="AG37" s="295">
        <v>4.9279757391973433E-4</v>
      </c>
      <c r="AH37" s="295">
        <v>1.3524127382813105E-3</v>
      </c>
      <c r="AI37" s="100">
        <v>42713</v>
      </c>
      <c r="AJ37" s="102">
        <v>26395.585016662528</v>
      </c>
      <c r="AL37" s="23"/>
      <c r="AM37" s="23"/>
      <c r="AY37" s="217" t="s">
        <v>76</v>
      </c>
      <c r="AZ37" s="179" t="s">
        <v>176</v>
      </c>
      <c r="BA37" s="243">
        <v>1.2259658110310547</v>
      </c>
      <c r="BB37" s="270">
        <v>16.512262671374557</v>
      </c>
      <c r="BC37" s="243">
        <v>4.1875519945727033</v>
      </c>
      <c r="BD37" s="243" t="s">
        <v>163</v>
      </c>
      <c r="BE37" s="243" t="s">
        <v>163</v>
      </c>
      <c r="BF37" s="114" t="s">
        <v>163</v>
      </c>
      <c r="BG37" s="114" t="s">
        <v>163</v>
      </c>
      <c r="BH37" s="114" t="s">
        <v>163</v>
      </c>
      <c r="BI37" s="114" t="s">
        <v>163</v>
      </c>
      <c r="BJ37" s="99" t="s">
        <v>163</v>
      </c>
      <c r="BK37" s="130">
        <v>2.9615861835416486</v>
      </c>
      <c r="BL37" s="130">
        <v>1.2989987870175512</v>
      </c>
    </row>
    <row r="38" spans="1:64">
      <c r="D38" s="68">
        <v>43570</v>
      </c>
      <c r="E38" s="74">
        <v>3.5</v>
      </c>
      <c r="G38" s="68">
        <v>43570</v>
      </c>
      <c r="H38" s="74">
        <v>4.25</v>
      </c>
      <c r="J38" s="68">
        <v>43570</v>
      </c>
      <c r="K38" s="74">
        <v>4.5</v>
      </c>
      <c r="M38" s="68">
        <v>43570</v>
      </c>
      <c r="N38" s="74">
        <v>0</v>
      </c>
      <c r="Q38" s="6">
        <v>8</v>
      </c>
      <c r="R38" s="7">
        <v>42675</v>
      </c>
      <c r="S38" s="210">
        <v>3.5</v>
      </c>
      <c r="T38" s="8">
        <v>1.0000972222222222</v>
      </c>
      <c r="U38" s="98">
        <v>3.612147021209644</v>
      </c>
      <c r="V38" s="106">
        <v>26263.20198124001</v>
      </c>
      <c r="W38" s="10">
        <v>1.2042209239947477</v>
      </c>
      <c r="X38" s="413">
        <v>1.180785120926009</v>
      </c>
      <c r="Y38" s="414">
        <v>0.29176593365229375</v>
      </c>
      <c r="Z38" s="1"/>
      <c r="AA38" s="3">
        <v>210</v>
      </c>
      <c r="AB38" s="11">
        <v>3.4930137019696206</v>
      </c>
      <c r="AC38" s="8">
        <v>210</v>
      </c>
      <c r="AD38" s="108">
        <v>0.70109650362489162</v>
      </c>
      <c r="AF38" s="176">
        <v>42736</v>
      </c>
      <c r="AG38" s="177">
        <v>1.0608873564961208E-3</v>
      </c>
      <c r="AH38" s="177">
        <v>8.2101571151287371E-4</v>
      </c>
      <c r="AI38" s="100">
        <v>42744</v>
      </c>
      <c r="AJ38" s="102">
        <v>26425.281056397256</v>
      </c>
      <c r="AL38" s="23"/>
      <c r="AM38" s="23"/>
      <c r="AY38" s="217" t="s">
        <v>163</v>
      </c>
      <c r="AZ38" s="179" t="s">
        <v>183</v>
      </c>
      <c r="BA38" s="243">
        <v>1.2370084713106637</v>
      </c>
      <c r="BB38" s="270">
        <v>17.120429646950615</v>
      </c>
      <c r="BC38" s="243">
        <v>4.2003620476822228</v>
      </c>
      <c r="BD38" s="243" t="s">
        <v>163</v>
      </c>
      <c r="BE38" s="243" t="s">
        <v>163</v>
      </c>
      <c r="BF38" s="114" t="s">
        <v>163</v>
      </c>
      <c r="BG38" s="114" t="s">
        <v>163</v>
      </c>
      <c r="BH38" s="114" t="s">
        <v>163</v>
      </c>
      <c r="BI38" s="114" t="s">
        <v>163</v>
      </c>
      <c r="BJ38" s="99" t="s">
        <v>163</v>
      </c>
      <c r="BK38" s="130">
        <v>2.9633535763715591</v>
      </c>
      <c r="BL38" s="130">
        <v>1.3097897380641639</v>
      </c>
    </row>
    <row r="39" spans="1:64">
      <c r="A39" s="86"/>
      <c r="D39" s="68">
        <v>43936</v>
      </c>
      <c r="E39" s="74">
        <v>4</v>
      </c>
      <c r="G39" s="68">
        <v>43936</v>
      </c>
      <c r="H39" s="74">
        <v>4.25</v>
      </c>
      <c r="J39" s="68">
        <v>43936</v>
      </c>
      <c r="K39" s="74">
        <v>4.5</v>
      </c>
      <c r="M39" s="68">
        <v>43936</v>
      </c>
      <c r="N39" s="74">
        <v>0</v>
      </c>
      <c r="Q39" s="6">
        <v>9</v>
      </c>
      <c r="R39" s="7">
        <v>42676</v>
      </c>
      <c r="S39" s="210">
        <v>3.5</v>
      </c>
      <c r="T39" s="8">
        <v>1.0000972222222222</v>
      </c>
      <c r="U39" s="98">
        <v>3.6121470212096662</v>
      </c>
      <c r="V39" s="106">
        <v>26264.894743773646</v>
      </c>
      <c r="W39" s="10">
        <v>1.2040998997016494</v>
      </c>
      <c r="X39" s="413">
        <v>1.1806865030949965</v>
      </c>
      <c r="Y39" s="414">
        <v>0.29178011832716361</v>
      </c>
      <c r="Z39" s="1"/>
      <c r="AA39" s="3">
        <v>240</v>
      </c>
      <c r="AB39" s="11">
        <v>3.4462460113152256</v>
      </c>
      <c r="AC39" s="8">
        <v>240</v>
      </c>
      <c r="AD39" s="108">
        <v>0.6810280455323855</v>
      </c>
      <c r="AF39" s="176">
        <v>42767</v>
      </c>
      <c r="AG39" s="177">
        <v>1.6589050490665169E-3</v>
      </c>
      <c r="AH39" s="177">
        <v>1.4190334040832698E-3</v>
      </c>
      <c r="AI39" s="100">
        <v>42775</v>
      </c>
      <c r="AJ39" s="102">
        <v>26461.018943110594</v>
      </c>
      <c r="AL39" s="23"/>
      <c r="AM39" s="23"/>
      <c r="AY39" s="217" t="s">
        <v>163</v>
      </c>
      <c r="AZ39" s="179" t="s">
        <v>81</v>
      </c>
      <c r="BA39" s="243">
        <v>1.2458990755341395</v>
      </c>
      <c r="BB39" s="270">
        <v>17.557321811327281</v>
      </c>
      <c r="BC39" s="243">
        <v>4.2108809946495436</v>
      </c>
      <c r="BD39" s="243" t="s">
        <v>163</v>
      </c>
      <c r="BE39" s="243" t="s">
        <v>163</v>
      </c>
      <c r="BF39" s="114" t="s">
        <v>163</v>
      </c>
      <c r="BG39" s="114" t="s">
        <v>163</v>
      </c>
      <c r="BH39" s="114" t="s">
        <v>163</v>
      </c>
      <c r="BI39" s="114" t="s">
        <v>163</v>
      </c>
      <c r="BJ39" s="99" t="s">
        <v>163</v>
      </c>
      <c r="BK39" s="130">
        <v>2.9649819191154041</v>
      </c>
      <c r="BL39" s="130">
        <v>1.3187162153572627</v>
      </c>
    </row>
    <row r="40" spans="1:64">
      <c r="D40" s="68">
        <v>44301</v>
      </c>
      <c r="E40" s="74">
        <v>4</v>
      </c>
      <c r="G40" s="68">
        <v>44301</v>
      </c>
      <c r="H40" s="74">
        <v>4.25</v>
      </c>
      <c r="J40" s="68">
        <v>44301</v>
      </c>
      <c r="K40" s="74">
        <v>4.5</v>
      </c>
      <c r="M40" s="68">
        <v>44301</v>
      </c>
      <c r="N40" s="74">
        <v>0</v>
      </c>
      <c r="Q40" s="6">
        <v>10</v>
      </c>
      <c r="R40" s="7">
        <v>42677</v>
      </c>
      <c r="S40" s="210">
        <v>3.5</v>
      </c>
      <c r="T40" s="8">
        <v>1.0000972222222222</v>
      </c>
      <c r="U40" s="98">
        <v>3.6121470212098661</v>
      </c>
      <c r="V40" s="106">
        <v>26266.58761541222</v>
      </c>
      <c r="W40" s="10">
        <v>1.2040030803726509</v>
      </c>
      <c r="X40" s="413">
        <v>1.1806114749232322</v>
      </c>
      <c r="Y40" s="414">
        <v>0.29179430392147765</v>
      </c>
      <c r="Z40" s="1"/>
      <c r="AA40" s="3">
        <v>270</v>
      </c>
      <c r="AB40" s="11">
        <v>3.4103500484455642</v>
      </c>
      <c r="AC40" s="8">
        <v>270</v>
      </c>
      <c r="AD40" s="108">
        <v>0.6678461434020504</v>
      </c>
      <c r="AF40" s="176">
        <v>42795</v>
      </c>
      <c r="AG40" s="177">
        <v>4.8052479473146281E-3</v>
      </c>
      <c r="AH40" s="177">
        <v>4.5653763023313807E-3</v>
      </c>
      <c r="AI40" s="100">
        <v>42803</v>
      </c>
      <c r="AJ40" s="102">
        <v>26482.74385540553</v>
      </c>
      <c r="AL40" s="23"/>
      <c r="AM40" s="23"/>
      <c r="AY40" s="217" t="s">
        <v>163</v>
      </c>
      <c r="AZ40" s="179" t="s">
        <v>82</v>
      </c>
      <c r="BA40" s="243">
        <v>1.257861524108828</v>
      </c>
      <c r="BB40" s="270">
        <v>18.228158550930051</v>
      </c>
      <c r="BC40" s="243">
        <v>4.2242755873526772</v>
      </c>
      <c r="BD40" s="243" t="s">
        <v>163</v>
      </c>
      <c r="BE40" s="243" t="s">
        <v>163</v>
      </c>
      <c r="BF40" s="114" t="s">
        <v>163</v>
      </c>
      <c r="BG40" s="114" t="s">
        <v>163</v>
      </c>
      <c r="BH40" s="114" t="s">
        <v>163</v>
      </c>
      <c r="BI40" s="114" t="s">
        <v>163</v>
      </c>
      <c r="BJ40" s="99" t="s">
        <v>163</v>
      </c>
      <c r="BK40" s="130">
        <v>2.9664140632438492</v>
      </c>
      <c r="BL40" s="130">
        <v>1.3301793678536213</v>
      </c>
    </row>
    <row r="41" spans="1:64">
      <c r="D41" s="68">
        <v>44666</v>
      </c>
      <c r="E41" s="74">
        <v>4</v>
      </c>
      <c r="G41" s="68">
        <v>44666</v>
      </c>
      <c r="H41" s="74">
        <v>4.25</v>
      </c>
      <c r="J41" s="68">
        <v>44666</v>
      </c>
      <c r="K41" s="74">
        <v>4.5</v>
      </c>
      <c r="M41" s="68">
        <v>44666</v>
      </c>
      <c r="N41" s="74">
        <v>0</v>
      </c>
      <c r="Q41" s="6">
        <v>11</v>
      </c>
      <c r="R41" s="7">
        <v>42678</v>
      </c>
      <c r="S41" s="210">
        <v>3.5</v>
      </c>
      <c r="T41" s="8">
        <v>1.0000972222222222</v>
      </c>
      <c r="U41" s="98">
        <v>3.6121470212095552</v>
      </c>
      <c r="V41" s="106">
        <v>26268.280596162764</v>
      </c>
      <c r="W41" s="10">
        <v>1.2039238646254669</v>
      </c>
      <c r="X41" s="413">
        <v>1.1805536029799217</v>
      </c>
      <c r="Y41" s="414">
        <v>0.29180849043524743</v>
      </c>
      <c r="Z41" s="1"/>
      <c r="AA41" s="3">
        <v>300</v>
      </c>
      <c r="AB41" s="11">
        <v>3.3820599861686254</v>
      </c>
      <c r="AC41" s="8">
        <v>300</v>
      </c>
      <c r="AD41" s="108">
        <v>0.66704364829021878</v>
      </c>
      <c r="AF41" s="176">
        <v>42826</v>
      </c>
      <c r="AG41" s="177">
        <v>2.4443441636583518E-3</v>
      </c>
      <c r="AH41" s="177">
        <v>2.2044725186751049E-3</v>
      </c>
      <c r="AI41" s="100">
        <v>42834</v>
      </c>
      <c r="AJ41" s="102">
        <v>26520.323753568133</v>
      </c>
      <c r="AL41" s="23"/>
      <c r="AM41" s="23"/>
      <c r="AY41" s="217" t="s">
        <v>80</v>
      </c>
      <c r="AZ41" s="179" t="s">
        <v>83</v>
      </c>
      <c r="BA41" s="243">
        <v>1.2675194206312195</v>
      </c>
      <c r="BB41" s="270">
        <v>18.721102577916916</v>
      </c>
      <c r="BC41" s="243">
        <v>4.2353172831398549</v>
      </c>
      <c r="BD41" s="243" t="s">
        <v>163</v>
      </c>
      <c r="BE41" s="243" t="s">
        <v>163</v>
      </c>
      <c r="BF41" s="114" t="s">
        <v>163</v>
      </c>
      <c r="BG41" s="114" t="s">
        <v>163</v>
      </c>
      <c r="BH41" s="114" t="s">
        <v>163</v>
      </c>
      <c r="BI41" s="114" t="s">
        <v>163</v>
      </c>
      <c r="BJ41" s="99" t="s">
        <v>163</v>
      </c>
      <c r="BK41" s="130">
        <v>2.9677978625086352</v>
      </c>
      <c r="BL41" s="130">
        <v>1.339692247179892</v>
      </c>
    </row>
    <row r="42" spans="1:64">
      <c r="D42" s="68">
        <v>45031</v>
      </c>
      <c r="E42" s="74">
        <v>4</v>
      </c>
      <c r="G42" s="68">
        <v>45031</v>
      </c>
      <c r="H42" s="74">
        <v>4.25</v>
      </c>
      <c r="J42" s="68">
        <v>45031</v>
      </c>
      <c r="K42" s="74">
        <v>4.5</v>
      </c>
      <c r="M42" s="68">
        <v>45031</v>
      </c>
      <c r="N42" s="74">
        <v>0</v>
      </c>
      <c r="Q42" s="6">
        <v>12</v>
      </c>
      <c r="R42" s="7">
        <v>42679</v>
      </c>
      <c r="S42" s="210">
        <v>3.5</v>
      </c>
      <c r="T42" s="8">
        <v>1.0000972222222222</v>
      </c>
      <c r="U42" s="98">
        <v>3.6121470212093998</v>
      </c>
      <c r="V42" s="106">
        <v>26269.973686032306</v>
      </c>
      <c r="W42" s="10">
        <v>1.2038578515505716</v>
      </c>
      <c r="X42" s="413">
        <v>1.1805085983151997</v>
      </c>
      <c r="Y42" s="414">
        <v>0.29182267786859173</v>
      </c>
      <c r="Z42" s="1"/>
      <c r="AA42" s="3">
        <v>330</v>
      </c>
      <c r="AB42" s="11">
        <v>3.3592989963730555</v>
      </c>
      <c r="AC42" s="8">
        <v>330</v>
      </c>
      <c r="AD42" s="108">
        <v>0.68119242333150565</v>
      </c>
      <c r="AF42" s="176">
        <v>42856</v>
      </c>
      <c r="AG42" s="177">
        <v>2.2509846834857239E-3</v>
      </c>
      <c r="AH42" s="177">
        <v>2.011113038502477E-3</v>
      </c>
      <c r="AI42" s="100">
        <v>42864</v>
      </c>
      <c r="AJ42" s="102">
        <v>26641.39901116283</v>
      </c>
      <c r="AL42" s="23"/>
      <c r="AM42" s="23"/>
      <c r="AY42" s="217" t="s">
        <v>80</v>
      </c>
      <c r="AZ42" s="179" t="s">
        <v>84</v>
      </c>
      <c r="BA42" s="243">
        <v>1.2886921589990166</v>
      </c>
      <c r="BB42" s="270">
        <v>19.842544246493841</v>
      </c>
      <c r="BC42" s="243">
        <v>4.2586919015292377</v>
      </c>
      <c r="BD42" s="243" t="s">
        <v>163</v>
      </c>
      <c r="BE42" s="243">
        <v>1.63</v>
      </c>
      <c r="BF42" s="114">
        <v>0.34130784100098333</v>
      </c>
      <c r="BG42" s="114">
        <v>1.63</v>
      </c>
      <c r="BH42" s="114">
        <v>1.63</v>
      </c>
      <c r="BI42" s="114">
        <v>0</v>
      </c>
      <c r="BJ42" s="99" t="s">
        <v>163</v>
      </c>
      <c r="BK42" s="130">
        <v>2.9699997425302209</v>
      </c>
      <c r="BL42" s="130">
        <v>1.3601501897574872</v>
      </c>
    </row>
    <row r="43" spans="1:64">
      <c r="D43" s="68">
        <v>45397</v>
      </c>
      <c r="E43" s="74">
        <v>4</v>
      </c>
      <c r="G43" s="68">
        <v>45397</v>
      </c>
      <c r="H43" s="74">
        <v>4.25</v>
      </c>
      <c r="J43" s="68">
        <v>45397</v>
      </c>
      <c r="K43" s="74">
        <v>4.5</v>
      </c>
      <c r="M43" s="68">
        <v>45397</v>
      </c>
      <c r="N43" s="74">
        <v>0</v>
      </c>
      <c r="Q43" s="6">
        <v>13</v>
      </c>
      <c r="R43" s="7">
        <v>42680</v>
      </c>
      <c r="S43" s="210">
        <v>3.5</v>
      </c>
      <c r="T43" s="8">
        <v>1.0000972222222222</v>
      </c>
      <c r="U43" s="98">
        <v>3.6121470212095774</v>
      </c>
      <c r="V43" s="106">
        <v>26271.666885027884</v>
      </c>
      <c r="W43" s="10">
        <v>1.2038019943677147</v>
      </c>
      <c r="X43" s="413">
        <v>1.1804734916548516</v>
      </c>
      <c r="Y43" s="414">
        <v>0.29183686622159277</v>
      </c>
      <c r="Z43" s="1"/>
      <c r="AA43" s="3">
        <v>360</v>
      </c>
      <c r="AB43" s="11">
        <v>3.3406832888614928</v>
      </c>
      <c r="AC43" s="8">
        <v>360</v>
      </c>
      <c r="AD43" s="108">
        <v>0.58183759033391402</v>
      </c>
      <c r="AF43" s="176">
        <v>42887</v>
      </c>
      <c r="AG43" s="177">
        <v>2.4701684388124256E-3</v>
      </c>
      <c r="AH43" s="177">
        <v>2.2302967938291787E-3</v>
      </c>
      <c r="AI43" s="100">
        <v>42895</v>
      </c>
      <c r="AJ43" s="102">
        <v>26700.129243141997</v>
      </c>
      <c r="AL43" s="23"/>
      <c r="AM43" s="23"/>
      <c r="AY43" s="217"/>
      <c r="AZ43" s="179"/>
      <c r="BA43" s="243"/>
      <c r="BB43" s="270"/>
      <c r="BC43" s="243"/>
      <c r="BD43" s="243"/>
      <c r="BE43" s="243"/>
      <c r="BF43" s="114"/>
      <c r="BG43" s="114"/>
      <c r="BH43" s="114"/>
      <c r="BI43" s="114"/>
      <c r="BJ43" s="99"/>
      <c r="BK43" s="130"/>
      <c r="BL43" s="130"/>
    </row>
    <row r="44" spans="1:64">
      <c r="D44" s="68">
        <v>45762</v>
      </c>
      <c r="E44" s="74">
        <v>4</v>
      </c>
      <c r="G44" s="68">
        <v>45762</v>
      </c>
      <c r="H44" s="74">
        <v>4.25</v>
      </c>
      <c r="J44" s="68">
        <v>45762</v>
      </c>
      <c r="K44" s="74">
        <v>4.5</v>
      </c>
      <c r="M44" s="68">
        <v>45762</v>
      </c>
      <c r="N44" s="74">
        <v>0</v>
      </c>
      <c r="Q44" s="6">
        <v>14</v>
      </c>
      <c r="R44" s="7">
        <v>42681</v>
      </c>
      <c r="S44" s="210">
        <v>3.5</v>
      </c>
      <c r="T44" s="8">
        <v>1.0000972222222222</v>
      </c>
      <c r="U44" s="98">
        <v>3.6121470212093776</v>
      </c>
      <c r="V44" s="106">
        <v>26273.360193156532</v>
      </c>
      <c r="W44" s="10">
        <v>1.2037541168061106</v>
      </c>
      <c r="X44" s="413">
        <v>1.1804461620870121</v>
      </c>
      <c r="Y44" s="414">
        <v>0.29185105549426166</v>
      </c>
      <c r="Z44" s="1"/>
      <c r="AA44" s="3">
        <v>390</v>
      </c>
      <c r="AB44" s="11">
        <v>3.3252552876347319</v>
      </c>
      <c r="AC44" s="8">
        <v>390</v>
      </c>
      <c r="AD44" s="108">
        <v>0.41912300954677373</v>
      </c>
      <c r="AF44" s="176">
        <v>42917</v>
      </c>
      <c r="AG44" s="177">
        <v>2.0063126234792783E-3</v>
      </c>
      <c r="AH44" s="177">
        <v>1.7664409784960311E-3</v>
      </c>
      <c r="AI44" s="100">
        <v>42925</v>
      </c>
      <c r="AJ44" s="102">
        <v>26753.826221192583</v>
      </c>
      <c r="AL44" s="23"/>
      <c r="AM44" s="23"/>
      <c r="AY44" s="217"/>
      <c r="AZ44" s="179"/>
      <c r="BA44" s="243"/>
      <c r="BB44" s="270"/>
      <c r="BC44" s="243"/>
      <c r="BD44" s="243"/>
      <c r="BE44" s="243"/>
      <c r="BF44" s="114"/>
      <c r="BG44" s="114"/>
      <c r="BH44" s="114"/>
      <c r="BI44" s="114"/>
      <c r="BJ44" s="99"/>
      <c r="BK44" s="130"/>
      <c r="BL44" s="130"/>
    </row>
    <row r="45" spans="1:64">
      <c r="D45" s="68">
        <v>46127</v>
      </c>
      <c r="E45" s="74">
        <v>4</v>
      </c>
      <c r="G45" s="68">
        <v>46127</v>
      </c>
      <c r="H45" s="74">
        <v>4.25</v>
      </c>
      <c r="J45" s="68">
        <v>46127</v>
      </c>
      <c r="K45" s="74">
        <v>4.5</v>
      </c>
      <c r="M45" s="68">
        <v>46127</v>
      </c>
      <c r="N45" s="74">
        <v>0</v>
      </c>
      <c r="Q45" s="6">
        <v>15</v>
      </c>
      <c r="R45" s="7">
        <v>42682</v>
      </c>
      <c r="S45" s="210">
        <v>3.5</v>
      </c>
      <c r="T45" s="8">
        <v>1.0000972222222222</v>
      </c>
      <c r="U45" s="98">
        <v>3.6121470212091777</v>
      </c>
      <c r="V45" s="106">
        <v>26275.053610425279</v>
      </c>
      <c r="W45" s="10">
        <v>1.2037126229377915</v>
      </c>
      <c r="X45" s="413">
        <v>1.1804250542784445</v>
      </c>
      <c r="Y45" s="414">
        <v>0.29186524568669547</v>
      </c>
      <c r="Z45" s="1"/>
      <c r="AA45" s="3">
        <v>420</v>
      </c>
      <c r="AB45" s="11">
        <v>3.3123312679810146</v>
      </c>
      <c r="AC45" s="8">
        <v>420</v>
      </c>
      <c r="AD45" s="108">
        <v>0.46708218856942085</v>
      </c>
      <c r="AF45" s="176">
        <v>42948</v>
      </c>
      <c r="AG45" s="177">
        <v>2.4126114206917126E-3</v>
      </c>
      <c r="AH45" s="177">
        <v>2.1727397757084657E-3</v>
      </c>
      <c r="AI45" s="100">
        <v>42956</v>
      </c>
      <c r="AJ45" s="102">
        <v>26813.495194036375</v>
      </c>
      <c r="AL45" s="23"/>
      <c r="AM45" s="23"/>
      <c r="AY45" s="217"/>
      <c r="AZ45" s="179"/>
      <c r="BA45" s="243"/>
      <c r="BB45" s="270"/>
      <c r="BC45" s="243"/>
      <c r="BD45" s="243"/>
      <c r="BE45" s="243"/>
      <c r="BF45" s="114"/>
      <c r="BG45" s="114"/>
      <c r="BH45" s="114"/>
      <c r="BI45" s="114"/>
      <c r="BJ45" s="99"/>
      <c r="BK45" s="130"/>
      <c r="BL45" s="130"/>
    </row>
    <row r="46" spans="1:64" ht="15.75" thickBot="1">
      <c r="D46" s="69">
        <v>46492</v>
      </c>
      <c r="E46" s="75">
        <v>4</v>
      </c>
      <c r="G46" s="69">
        <v>46492</v>
      </c>
      <c r="H46" s="75">
        <v>4.25</v>
      </c>
      <c r="J46" s="69">
        <v>46492</v>
      </c>
      <c r="K46" s="75">
        <v>4.5</v>
      </c>
      <c r="M46" s="69">
        <v>46492</v>
      </c>
      <c r="N46" s="75">
        <v>0</v>
      </c>
      <c r="Q46" s="6">
        <v>16</v>
      </c>
      <c r="R46" s="7">
        <v>42683</v>
      </c>
      <c r="S46" s="210">
        <v>3.5</v>
      </c>
      <c r="T46" s="8">
        <v>1.0000972222222222</v>
      </c>
      <c r="U46" s="98">
        <v>3.6121470212090445</v>
      </c>
      <c r="V46" s="106">
        <v>26276.747136841168</v>
      </c>
      <c r="W46" s="10">
        <v>1.2036763158172814</v>
      </c>
      <c r="X46" s="413">
        <v>1.1804090017287217</v>
      </c>
      <c r="Y46" s="414">
        <v>0.29187943679896688</v>
      </c>
      <c r="Z46" s="1"/>
      <c r="AA46" s="3">
        <v>450</v>
      </c>
      <c r="AB46" s="11">
        <v>3.3014487685580525</v>
      </c>
      <c r="AC46" s="8">
        <v>450</v>
      </c>
      <c r="AD46" s="108">
        <v>0.59869333896907584</v>
      </c>
      <c r="AF46" s="176">
        <v>42979</v>
      </c>
      <c r="AG46" s="177">
        <v>4.9260600971001711E-3</v>
      </c>
      <c r="AH46" s="177">
        <v>4.6861884521169237E-3</v>
      </c>
      <c r="AI46" s="100">
        <v>42987</v>
      </c>
      <c r="AJ46" s="102">
        <v>26860.859650723829</v>
      </c>
      <c r="AL46" s="23"/>
      <c r="AM46" s="23"/>
      <c r="BL46" s="299"/>
    </row>
    <row r="47" spans="1:64">
      <c r="Q47" s="6">
        <v>17</v>
      </c>
      <c r="R47" s="7">
        <v>42684</v>
      </c>
      <c r="S47" s="210">
        <v>3.5</v>
      </c>
      <c r="T47" s="8">
        <v>1.0000972222222222</v>
      </c>
      <c r="U47" s="98">
        <v>3.6121470212088669</v>
      </c>
      <c r="V47" s="106">
        <v>26280.699766168811</v>
      </c>
      <c r="W47" s="10">
        <v>1.0170337450474243</v>
      </c>
      <c r="X47" s="413">
        <v>0.99827037914119598</v>
      </c>
      <c r="Y47" s="414">
        <v>0.29189362883113151</v>
      </c>
      <c r="Z47" s="1"/>
      <c r="AA47" s="3">
        <v>480</v>
      </c>
      <c r="AB47" s="11">
        <v>3.2985131918384738</v>
      </c>
      <c r="AC47" s="8">
        <v>480</v>
      </c>
      <c r="AD47" s="108">
        <v>0.69452753754822105</v>
      </c>
      <c r="AF47" s="176">
        <v>43009</v>
      </c>
      <c r="AG47" s="177">
        <v>2.3385074193538191E-3</v>
      </c>
      <c r="AH47" s="177">
        <v>2.0986357743705722E-3</v>
      </c>
      <c r="AI47" s="100">
        <v>43017</v>
      </c>
      <c r="AJ47" s="102">
        <v>26919.221308896682</v>
      </c>
      <c r="AL47" s="23"/>
      <c r="AM47" s="23"/>
      <c r="BL47" s="299"/>
    </row>
    <row r="48" spans="1:64" ht="15.75" thickBot="1">
      <c r="D48" s="70" t="s">
        <v>25</v>
      </c>
      <c r="G48" s="70" t="s">
        <v>25</v>
      </c>
      <c r="J48" s="70" t="s">
        <v>25</v>
      </c>
      <c r="M48" s="70" t="s">
        <v>25</v>
      </c>
      <c r="Q48" s="6">
        <v>18</v>
      </c>
      <c r="R48" s="7">
        <v>42685</v>
      </c>
      <c r="S48" s="210">
        <v>3.5</v>
      </c>
      <c r="T48" s="8">
        <v>1.0000972222222222</v>
      </c>
      <c r="U48" s="98">
        <v>3.6121470212087781</v>
      </c>
      <c r="V48" s="106">
        <v>26284.652990063143</v>
      </c>
      <c r="W48" s="10">
        <v>0.85141822495753416</v>
      </c>
      <c r="X48" s="413">
        <v>0.8363750432152095</v>
      </c>
      <c r="Y48" s="414">
        <v>0.29190782178326968</v>
      </c>
      <c r="Z48" s="1"/>
      <c r="AA48" s="3">
        <v>510</v>
      </c>
      <c r="AB48" s="11">
        <v>3.3064320896972101</v>
      </c>
      <c r="AC48" s="8">
        <v>510</v>
      </c>
      <c r="AD48" s="108">
        <v>0.67262708524915671</v>
      </c>
      <c r="AF48" s="176">
        <v>43040</v>
      </c>
      <c r="AG48" s="177">
        <v>8.7760999537511708E-4</v>
      </c>
      <c r="AH48" s="177">
        <v>6.3773835039187003E-4</v>
      </c>
      <c r="AI48" s="100">
        <v>43048</v>
      </c>
      <c r="AJ48" s="102">
        <v>27045.369852934415</v>
      </c>
      <c r="AL48" s="23"/>
      <c r="AM48" s="23"/>
      <c r="BL48" s="299"/>
    </row>
    <row r="49" spans="4:64" ht="15.75" thickBot="1">
      <c r="D49" s="24" t="s">
        <v>571</v>
      </c>
      <c r="E49" s="76">
        <v>1</v>
      </c>
      <c r="G49" s="24" t="s">
        <v>571</v>
      </c>
      <c r="H49" s="76">
        <v>1.1000000000000001</v>
      </c>
      <c r="J49" s="24" t="s">
        <v>571</v>
      </c>
      <c r="K49" s="76">
        <v>1.2</v>
      </c>
      <c r="M49" s="24" t="s">
        <v>36</v>
      </c>
      <c r="N49" s="76">
        <v>0.8</v>
      </c>
      <c r="Q49" s="6">
        <v>19</v>
      </c>
      <c r="R49" s="7">
        <v>42686</v>
      </c>
      <c r="S49" s="210">
        <v>3.5</v>
      </c>
      <c r="T49" s="8">
        <v>1.0000972222222222</v>
      </c>
      <c r="U49" s="98">
        <v>3.6121470212087337</v>
      </c>
      <c r="V49" s="106">
        <v>26288.606808613604</v>
      </c>
      <c r="W49" s="10">
        <v>0.70346608642466446</v>
      </c>
      <c r="X49" s="413">
        <v>0.69152668524527361</v>
      </c>
      <c r="Y49" s="414">
        <v>0.29192201565544479</v>
      </c>
      <c r="Z49" s="1"/>
      <c r="AA49" s="3">
        <v>540</v>
      </c>
      <c r="AB49" s="11">
        <v>3.3233655294426332</v>
      </c>
      <c r="AC49" s="8">
        <v>540</v>
      </c>
      <c r="AD49" s="108">
        <v>0.67331407427220069</v>
      </c>
      <c r="AF49" s="176">
        <v>43070</v>
      </c>
      <c r="AG49" s="177">
        <v>6.2682054496510098E-4</v>
      </c>
      <c r="AH49" s="177">
        <v>3.8694889998185393E-4</v>
      </c>
      <c r="AI49" s="100">
        <v>43078</v>
      </c>
      <c r="AJ49" s="102">
        <v>27102.128233638869</v>
      </c>
      <c r="AL49" s="23"/>
      <c r="AM49" s="23"/>
      <c r="BL49" s="299"/>
    </row>
    <row r="50" spans="4:64">
      <c r="D50" s="23" t="s">
        <v>572</v>
      </c>
      <c r="E50" s="553">
        <v>1</v>
      </c>
      <c r="G50" s="23" t="s">
        <v>572</v>
      </c>
      <c r="H50" s="553">
        <v>1.1000000000000001</v>
      </c>
      <c r="J50" s="23" t="s">
        <v>572</v>
      </c>
      <c r="K50" s="553">
        <v>1.2</v>
      </c>
      <c r="M50" s="23" t="s">
        <v>572</v>
      </c>
      <c r="N50" s="553">
        <v>1.2</v>
      </c>
      <c r="Q50" s="6">
        <v>20</v>
      </c>
      <c r="R50" s="7">
        <v>42687</v>
      </c>
      <c r="S50" s="210">
        <v>3.5</v>
      </c>
      <c r="T50" s="8">
        <v>1.0000972222222222</v>
      </c>
      <c r="U50" s="98">
        <v>3.6121470212089557</v>
      </c>
      <c r="V50" s="106">
        <v>26292.561221909644</v>
      </c>
      <c r="W50" s="10">
        <v>0.57049474887080898</v>
      </c>
      <c r="X50" s="413">
        <v>0.56116825826739714</v>
      </c>
      <c r="Y50" s="414">
        <v>0.29193621044774076</v>
      </c>
      <c r="Z50" s="1"/>
      <c r="AA50" s="3">
        <v>570</v>
      </c>
      <c r="AB50" s="11">
        <v>3.3425959286255762</v>
      </c>
      <c r="AC50" s="8">
        <v>570</v>
      </c>
      <c r="AD50" s="108">
        <v>0.67556525027645131</v>
      </c>
      <c r="AF50" s="176">
        <v>43101</v>
      </c>
      <c r="AG50" s="177">
        <v>9.9491487950476021E-4</v>
      </c>
      <c r="AH50" s="177">
        <v>2.4166666666666668E-3</v>
      </c>
      <c r="AI50" s="100">
        <v>43109</v>
      </c>
      <c r="AJ50" s="102">
        <v>27119.412300190699</v>
      </c>
      <c r="AL50" s="23"/>
      <c r="AM50" s="23"/>
      <c r="BL50" s="299"/>
    </row>
    <row r="51" spans="4:64">
      <c r="Q51" s="6">
        <v>21</v>
      </c>
      <c r="R51" s="7">
        <v>42688</v>
      </c>
      <c r="S51" s="210">
        <v>3.5</v>
      </c>
      <c r="T51" s="8">
        <v>1.0000972222222222</v>
      </c>
      <c r="U51" s="98">
        <v>3.6121470212090667</v>
      </c>
      <c r="V51" s="106">
        <v>26296.516230040725</v>
      </c>
      <c r="W51" s="10">
        <v>0.45033864681403024</v>
      </c>
      <c r="X51" s="413">
        <v>0.44322977188063611</v>
      </c>
      <c r="Y51" s="414">
        <v>0.29195040616019391</v>
      </c>
      <c r="Z51" s="1"/>
      <c r="AA51" s="3">
        <v>600</v>
      </c>
      <c r="AB51" s="11">
        <v>3.3601140551218367</v>
      </c>
      <c r="AC51" s="8">
        <v>600</v>
      </c>
      <c r="AD51" s="108">
        <v>0.6801830673859911</v>
      </c>
      <c r="AF51" s="176">
        <v>43132</v>
      </c>
      <c r="AG51" s="177">
        <v>1.6565433462174539E-3</v>
      </c>
      <c r="AH51" s="177">
        <v>2.4166666666666668E-3</v>
      </c>
      <c r="AI51" s="100">
        <v>43140</v>
      </c>
      <c r="AJ51" s="102">
        <v>27129.906126948415</v>
      </c>
      <c r="AL51" s="23"/>
      <c r="AM51" s="23"/>
      <c r="BL51" s="299"/>
    </row>
    <row r="52" spans="4:64">
      <c r="Q52" s="6">
        <v>22</v>
      </c>
      <c r="R52" s="7">
        <v>42689</v>
      </c>
      <c r="S52" s="210">
        <v>3.5</v>
      </c>
      <c r="T52" s="8">
        <v>1.0000972222222222</v>
      </c>
      <c r="U52" s="98">
        <v>3.6121470212089557</v>
      </c>
      <c r="V52" s="106">
        <v>26300.471833096326</v>
      </c>
      <c r="W52" s="10">
        <v>0.34123040458358123</v>
      </c>
      <c r="X52" s="413">
        <v>0.33601759757621735</v>
      </c>
      <c r="Y52" s="414">
        <v>0.29196460279286424</v>
      </c>
      <c r="Z52" s="1"/>
      <c r="AA52" s="3">
        <v>630</v>
      </c>
      <c r="AB52" s="11">
        <v>3.3761641884711668</v>
      </c>
      <c r="AC52" s="8">
        <v>630</v>
      </c>
      <c r="AD52" s="108">
        <v>0.68213824809523405</v>
      </c>
      <c r="AF52" s="176">
        <v>43160</v>
      </c>
      <c r="AG52" s="177">
        <v>2.5000000000000001E-3</v>
      </c>
      <c r="AH52" s="177">
        <v>2.4166666666666668E-3</v>
      </c>
      <c r="AI52" s="100">
        <v>43168</v>
      </c>
      <c r="AJ52" s="102">
        <v>27195.47006675521</v>
      </c>
      <c r="AL52" s="23"/>
      <c r="AM52" s="23"/>
      <c r="BL52" s="299"/>
    </row>
    <row r="53" spans="4:64">
      <c r="Q53" s="6">
        <v>23</v>
      </c>
      <c r="R53" s="7">
        <v>42690</v>
      </c>
      <c r="S53" s="210">
        <v>3.5</v>
      </c>
      <c r="T53" s="8">
        <v>1.0000972222222222</v>
      </c>
      <c r="U53" s="98">
        <v>3.6121470212091333</v>
      </c>
      <c r="V53" s="106">
        <v>26304.428031165931</v>
      </c>
      <c r="W53" s="10">
        <v>0.24171334115459242</v>
      </c>
      <c r="X53" s="413">
        <v>0.23813265093489253</v>
      </c>
      <c r="Y53" s="414">
        <v>0.29197880034585916</v>
      </c>
      <c r="Z53" s="1"/>
      <c r="AA53" s="3">
        <v>660</v>
      </c>
      <c r="AB53" s="11">
        <v>3.3909462511212514</v>
      </c>
      <c r="AC53" s="8">
        <v>660</v>
      </c>
      <c r="AD53" s="108">
        <v>0.68742751547742287</v>
      </c>
      <c r="AF53" s="176">
        <v>43191</v>
      </c>
      <c r="AG53" s="177">
        <v>2.5000000000000001E-3</v>
      </c>
      <c r="AH53" s="177">
        <v>2.4166666666666668E-3</v>
      </c>
      <c r="AI53" s="100">
        <v>43199</v>
      </c>
      <c r="AJ53" s="102">
        <v>27261.19245274987</v>
      </c>
      <c r="AL53" s="23"/>
      <c r="AM53" s="23"/>
      <c r="BL53" s="299"/>
    </row>
    <row r="54" spans="4:64">
      <c r="Q54" s="6">
        <v>24</v>
      </c>
      <c r="R54" s="7">
        <v>42691</v>
      </c>
      <c r="S54" s="210">
        <v>3.5</v>
      </c>
      <c r="T54" s="8">
        <v>1.0000972222222222</v>
      </c>
      <c r="U54" s="98">
        <v>3.6121470212091999</v>
      </c>
      <c r="V54" s="106">
        <v>26308.384824339053</v>
      </c>
      <c r="W54" s="10">
        <v>0.15057607364874492</v>
      </c>
      <c r="X54" s="413">
        <v>0.14840902827228941</v>
      </c>
      <c r="Y54" s="414">
        <v>0.2919929988192127</v>
      </c>
      <c r="Z54" s="1"/>
      <c r="AA54" s="3">
        <v>690</v>
      </c>
      <c r="AB54" s="11">
        <v>3.4046254393541666</v>
      </c>
      <c r="AC54" s="8">
        <v>690</v>
      </c>
      <c r="AD54" s="108">
        <v>0.69174720028185288</v>
      </c>
      <c r="AF54" s="176">
        <v>43221</v>
      </c>
      <c r="AG54" s="177">
        <v>2.5000000000000001E-3</v>
      </c>
      <c r="AH54" s="177">
        <v>2.4166666666666668E-3</v>
      </c>
      <c r="AI54" s="100">
        <v>43229</v>
      </c>
      <c r="AJ54" s="102">
        <v>27327.073667844019</v>
      </c>
      <c r="AL54" s="23"/>
      <c r="AM54" s="23"/>
      <c r="BL54" s="299"/>
    </row>
    <row r="55" spans="4:64">
      <c r="Q55" s="6">
        <v>25</v>
      </c>
      <c r="R55" s="7">
        <v>42692</v>
      </c>
      <c r="S55" s="210">
        <v>3.5</v>
      </c>
      <c r="T55" s="8">
        <v>1.0000972222222222</v>
      </c>
      <c r="U55" s="98">
        <v>3.6121470212093332</v>
      </c>
      <c r="V55" s="106">
        <v>26312.342212705204</v>
      </c>
      <c r="W55" s="10">
        <v>6.6802971033519398E-2</v>
      </c>
      <c r="X55" s="413">
        <v>6.5867370494174793E-2</v>
      </c>
      <c r="Y55" s="414">
        <v>0.2920071982130068</v>
      </c>
      <c r="Z55" s="1"/>
      <c r="AA55" s="3">
        <v>720</v>
      </c>
      <c r="AB55" s="11">
        <v>3.4173394493351159</v>
      </c>
      <c r="AC55" s="8">
        <v>720</v>
      </c>
      <c r="AD55" s="108">
        <v>0.69323212567087844</v>
      </c>
      <c r="AF55" s="176">
        <v>43252</v>
      </c>
      <c r="AG55" s="177">
        <v>2.5000000000000001E-3</v>
      </c>
      <c r="AH55" s="177">
        <v>2.4166666666666668E-3</v>
      </c>
      <c r="AI55" s="100">
        <v>43260</v>
      </c>
      <c r="AJ55" s="102">
        <v>27393.114095874644</v>
      </c>
      <c r="AL55" s="23"/>
      <c r="AM55" s="23"/>
      <c r="BL55" s="299"/>
    </row>
    <row r="56" spans="4:64">
      <c r="Q56" s="6">
        <v>26</v>
      </c>
      <c r="R56" s="7">
        <v>42693</v>
      </c>
      <c r="S56" s="210">
        <v>3.5</v>
      </c>
      <c r="T56" s="8">
        <v>1.0000972222222222</v>
      </c>
      <c r="U56" s="98">
        <v>3.6121470212092222</v>
      </c>
      <c r="V56" s="106">
        <v>26316.300196353914</v>
      </c>
      <c r="W56" s="10">
        <v>-1.0463849738995279E-2</v>
      </c>
      <c r="X56" s="413">
        <v>-1.0321010863648757E-2</v>
      </c>
      <c r="Y56" s="414">
        <v>0.29202139852728509</v>
      </c>
      <c r="Z56" s="1"/>
      <c r="AA56" s="3">
        <v>750</v>
      </c>
      <c r="AB56" s="11">
        <v>3.427583600511233</v>
      </c>
      <c r="AC56" s="8">
        <v>750</v>
      </c>
      <c r="AD56" s="108">
        <v>0.6958141701164402</v>
      </c>
      <c r="AF56" s="176">
        <v>43282</v>
      </c>
      <c r="AG56" s="177">
        <v>2.5000000000000001E-3</v>
      </c>
      <c r="AH56" s="177">
        <v>2.4166666666666668E-3</v>
      </c>
      <c r="AI56" s="100">
        <v>43290</v>
      </c>
      <c r="AJ56" s="102">
        <v>27459.314121606341</v>
      </c>
      <c r="AL56" s="23"/>
      <c r="AM56" s="23"/>
      <c r="BL56" s="299"/>
    </row>
    <row r="57" spans="4:64">
      <c r="Q57" s="6">
        <v>27</v>
      </c>
      <c r="R57" s="7">
        <v>42694</v>
      </c>
      <c r="S57" s="210">
        <v>3.5</v>
      </c>
      <c r="T57" s="8">
        <v>1.0000972222222222</v>
      </c>
      <c r="U57" s="98">
        <v>3.6121470212091333</v>
      </c>
      <c r="V57" s="106">
        <v>26320.258775374728</v>
      </c>
      <c r="W57" s="10">
        <v>-8.1954004935103075E-2</v>
      </c>
      <c r="X57" s="413">
        <v>-8.0862035604312155E-2</v>
      </c>
      <c r="Y57" s="414">
        <v>0.29203559976213417</v>
      </c>
      <c r="Z57" s="1"/>
      <c r="AA57" s="3">
        <v>780</v>
      </c>
      <c r="AB57" s="11">
        <v>3.4370761740860618</v>
      </c>
      <c r="AC57" s="8">
        <v>780</v>
      </c>
      <c r="AD57" s="108">
        <v>0.69554402463314291</v>
      </c>
      <c r="AF57" s="176">
        <v>43313</v>
      </c>
      <c r="AG57" s="177">
        <v>2.5000000000000001E-3</v>
      </c>
      <c r="AH57" s="177">
        <v>2.4166666666666668E-3</v>
      </c>
      <c r="AI57" s="100">
        <v>43321</v>
      </c>
      <c r="AJ57" s="102">
        <v>27525.674130733558</v>
      </c>
      <c r="AL57" s="23"/>
      <c r="AM57" s="23"/>
      <c r="BL57" s="299"/>
    </row>
    <row r="58" spans="4:64">
      <c r="Q58" s="6">
        <v>28</v>
      </c>
      <c r="R58" s="7">
        <v>42695</v>
      </c>
      <c r="S58" s="210">
        <v>3.5</v>
      </c>
      <c r="T58" s="8">
        <v>1.0000972222222222</v>
      </c>
      <c r="U58" s="98">
        <v>3.6121470212091555</v>
      </c>
      <c r="V58" s="106">
        <v>26324.217949857204</v>
      </c>
      <c r="W58" s="10">
        <v>-0.14829195200682932</v>
      </c>
      <c r="X58" s="413">
        <v>-0.14636077784435653</v>
      </c>
      <c r="Y58" s="414">
        <v>0.29204980191762808</v>
      </c>
      <c r="Z58" s="1"/>
      <c r="AA58" s="3">
        <v>810</v>
      </c>
      <c r="AB58" s="11">
        <v>3.4459005908474136</v>
      </c>
      <c r="AC58" s="8">
        <v>810</v>
      </c>
      <c r="AD58" s="108">
        <v>0.69838863608126722</v>
      </c>
      <c r="AF58" s="176">
        <v>43344</v>
      </c>
      <c r="AG58" s="177">
        <v>2.5000000000000001E-3</v>
      </c>
      <c r="AH58" s="177">
        <v>2.4166666666666668E-3</v>
      </c>
      <c r="AI58" s="100">
        <v>43352</v>
      </c>
      <c r="AJ58" s="102">
        <v>27592.194509882833</v>
      </c>
      <c r="AL58" s="23"/>
      <c r="AM58" s="23"/>
      <c r="BL58" s="299"/>
    </row>
    <row r="59" spans="4:64">
      <c r="Q59" s="6">
        <v>29</v>
      </c>
      <c r="R59" s="7">
        <v>42696</v>
      </c>
      <c r="S59" s="210">
        <v>3.5</v>
      </c>
      <c r="T59" s="8">
        <v>1.0000972222222222</v>
      </c>
      <c r="U59" s="98">
        <v>3.6121470212092222</v>
      </c>
      <c r="V59" s="106">
        <v>26328.177719890919</v>
      </c>
      <c r="W59" s="10">
        <v>-0.2100152757801399</v>
      </c>
      <c r="X59" s="413">
        <v>-0.20733885320190321</v>
      </c>
      <c r="Y59" s="414">
        <v>0.29206400499383095</v>
      </c>
      <c r="Z59" s="1"/>
      <c r="AA59" s="3">
        <v>840</v>
      </c>
      <c r="AB59" s="11">
        <v>3.4541283664190225</v>
      </c>
      <c r="AC59" s="8">
        <v>840</v>
      </c>
      <c r="AD59" s="108">
        <v>0.70033347677324498</v>
      </c>
      <c r="AF59" s="176">
        <v>43374</v>
      </c>
      <c r="AG59" s="177">
        <v>2.5000000000000001E-3</v>
      </c>
      <c r="AH59" s="177">
        <v>2.4166666666666668E-3</v>
      </c>
      <c r="AI59" s="100">
        <v>43382</v>
      </c>
      <c r="AJ59" s="102">
        <v>27658.875646615052</v>
      </c>
      <c r="AL59" s="23"/>
      <c r="AM59" s="23"/>
      <c r="BL59" s="299"/>
    </row>
    <row r="60" spans="4:64">
      <c r="Q60" s="6">
        <v>30</v>
      </c>
      <c r="R60" s="7">
        <v>42697</v>
      </c>
      <c r="S60" s="210">
        <v>3.5</v>
      </c>
      <c r="T60" s="8">
        <v>1.0000972222222222</v>
      </c>
      <c r="U60" s="98">
        <v>3.6121470212092222</v>
      </c>
      <c r="V60" s="106">
        <v>26332.138085565442</v>
      </c>
      <c r="W60" s="10">
        <v>-0.26758928720140851</v>
      </c>
      <c r="X60" s="413">
        <v>-0.26424832854545777</v>
      </c>
      <c r="Y60" s="414">
        <v>0.29207820899079806</v>
      </c>
      <c r="Z60" s="1"/>
      <c r="AA60" s="3">
        <v>870</v>
      </c>
      <c r="AB60" s="11">
        <v>3.4618211618638552</v>
      </c>
      <c r="AC60" s="8">
        <v>870</v>
      </c>
      <c r="AD60" s="108">
        <v>0.69372191305384778</v>
      </c>
      <c r="AF60" s="176">
        <v>43405</v>
      </c>
      <c r="AG60" s="177">
        <v>2.5000000000000001E-3</v>
      </c>
      <c r="AH60" s="177">
        <v>2.4166666666666668E-3</v>
      </c>
      <c r="AI60" s="100">
        <v>43413</v>
      </c>
      <c r="AJ60" s="102">
        <v>27725.717929427705</v>
      </c>
      <c r="AL60" s="23"/>
      <c r="AM60" s="23"/>
      <c r="BL60" s="299"/>
    </row>
    <row r="61" spans="4:64">
      <c r="Q61" s="6">
        <v>31</v>
      </c>
      <c r="R61" s="7">
        <v>42698</v>
      </c>
      <c r="S61" s="210">
        <v>3.5</v>
      </c>
      <c r="T61" s="8">
        <v>1.0000972222222222</v>
      </c>
      <c r="U61" s="98">
        <v>3.6121470212091555</v>
      </c>
      <c r="V61" s="106">
        <v>26336.09904697039</v>
      </c>
      <c r="W61" s="10">
        <v>-0.32141877392959373</v>
      </c>
      <c r="X61" s="413">
        <v>-0.31748293953571777</v>
      </c>
      <c r="Y61" s="414">
        <v>0.29209241390859925</v>
      </c>
      <c r="Z61" s="1"/>
      <c r="AA61" s="3">
        <v>900</v>
      </c>
      <c r="AB61" s="11">
        <v>3.4690324245546393</v>
      </c>
      <c r="AC61" s="8">
        <v>900</v>
      </c>
      <c r="AD61" s="108">
        <v>0.6961175131952364</v>
      </c>
      <c r="AF61" s="176">
        <v>43435</v>
      </c>
      <c r="AG61" s="177">
        <v>2.5000000000000001E-3</v>
      </c>
      <c r="AH61" s="177">
        <v>2.4166666666666668E-3</v>
      </c>
      <c r="AI61" s="100">
        <v>43443</v>
      </c>
      <c r="AJ61" s="102">
        <v>27792.721747757158</v>
      </c>
      <c r="AL61" s="23"/>
      <c r="AM61" s="23"/>
      <c r="BL61" s="299"/>
    </row>
    <row r="62" spans="4:64">
      <c r="Q62" s="6">
        <v>32</v>
      </c>
      <c r="R62" s="7">
        <v>42699</v>
      </c>
      <c r="S62" s="210">
        <v>3.5</v>
      </c>
      <c r="T62" s="8">
        <v>1.0000972222222222</v>
      </c>
      <c r="U62" s="98">
        <v>3.6121470212092222</v>
      </c>
      <c r="V62" s="106">
        <v>26340.060604195365</v>
      </c>
      <c r="W62" s="10">
        <v>-0.37185753061430571</v>
      </c>
      <c r="X62" s="413">
        <v>-0.36738720487441978</v>
      </c>
      <c r="Y62" s="414">
        <v>0.29210661974731628</v>
      </c>
      <c r="Z62" s="1"/>
      <c r="AA62" s="3">
        <v>930</v>
      </c>
      <c r="AB62" s="11">
        <v>3.4763908984772507</v>
      </c>
      <c r="AC62" s="8">
        <v>930</v>
      </c>
      <c r="AD62" s="108">
        <v>0.69649452788774302</v>
      </c>
      <c r="AF62" s="176">
        <v>43466</v>
      </c>
      <c r="AG62" s="177">
        <v>2.5000000000000001E-3</v>
      </c>
      <c r="AH62" s="177">
        <v>2.4166666666666668E-3</v>
      </c>
      <c r="AI62" s="100">
        <v>43474</v>
      </c>
      <c r="AJ62" s="102">
        <v>27859.887491980906</v>
      </c>
      <c r="AL62" s="23"/>
      <c r="AM62" s="23"/>
      <c r="BL62" s="299"/>
    </row>
    <row r="63" spans="4:64">
      <c r="Q63" s="6">
        <v>33</v>
      </c>
      <c r="R63" s="7">
        <v>42700</v>
      </c>
      <c r="S63" s="210">
        <v>3.5</v>
      </c>
      <c r="T63" s="8">
        <v>1.0000972222222222</v>
      </c>
      <c r="U63" s="98">
        <v>3.6121470212092222</v>
      </c>
      <c r="V63" s="106">
        <v>26344.022757329993</v>
      </c>
      <c r="W63" s="10">
        <v>-0.41921614337347979</v>
      </c>
      <c r="X63" s="413">
        <v>-0.41426388342151332</v>
      </c>
      <c r="Y63" s="414">
        <v>0.29212082650700094</v>
      </c>
      <c r="Z63" s="1"/>
      <c r="AA63" s="3">
        <v>960</v>
      </c>
      <c r="AB63" s="11">
        <v>3.4846572809598166</v>
      </c>
      <c r="AC63" s="8">
        <v>960</v>
      </c>
      <c r="AD63" s="108">
        <v>0.70066225765048962</v>
      </c>
      <c r="AF63" s="176">
        <v>43497</v>
      </c>
      <c r="AG63" s="177">
        <v>2.5000000000000001E-3</v>
      </c>
      <c r="AH63" s="177">
        <v>2.4166666666666668E-3</v>
      </c>
      <c r="AI63" s="100">
        <v>43505</v>
      </c>
      <c r="AJ63" s="102">
        <v>27927.215553419861</v>
      </c>
      <c r="AL63" s="23"/>
      <c r="AM63" s="23"/>
      <c r="BL63" s="299"/>
    </row>
    <row r="64" spans="4:64">
      <c r="Q64" s="6">
        <v>34</v>
      </c>
      <c r="R64" s="7">
        <v>42701</v>
      </c>
      <c r="S64" s="210">
        <v>3.5</v>
      </c>
      <c r="T64" s="8">
        <v>1.0000972222222222</v>
      </c>
      <c r="U64" s="98">
        <v>3.6121470212091555</v>
      </c>
      <c r="V64" s="106">
        <v>26347.985506463909</v>
      </c>
      <c r="W64" s="10">
        <v>-0.46376839050868979</v>
      </c>
      <c r="X64" s="413">
        <v>-0.45838011534754203</v>
      </c>
      <c r="Y64" s="414">
        <v>0.29213503418771858</v>
      </c>
      <c r="Z64" s="1"/>
      <c r="AA64" s="3">
        <v>990</v>
      </c>
      <c r="AB64" s="11">
        <v>3.4937536145349228</v>
      </c>
      <c r="AC64" s="8">
        <v>990</v>
      </c>
      <c r="AD64" s="108">
        <v>0.70336870217446767</v>
      </c>
      <c r="AF64" s="176">
        <v>43525</v>
      </c>
      <c r="AG64" s="177">
        <v>2.5000000000000001E-3</v>
      </c>
      <c r="AH64" s="177">
        <v>2.4166666666666668E-3</v>
      </c>
      <c r="AI64" s="100">
        <v>43533</v>
      </c>
      <c r="AJ64" s="102">
        <v>27994.706324340626</v>
      </c>
      <c r="AL64" s="23"/>
      <c r="AM64" s="23"/>
      <c r="BL64" s="299"/>
    </row>
    <row r="65" spans="17:64">
      <c r="Q65" s="6">
        <v>35</v>
      </c>
      <c r="R65" s="7">
        <v>42702</v>
      </c>
      <c r="S65" s="210">
        <v>3.5</v>
      </c>
      <c r="T65" s="8">
        <v>1.0000972222222222</v>
      </c>
      <c r="U65" s="98">
        <v>3.6121470212091111</v>
      </c>
      <c r="V65" s="106">
        <v>26351.948851686771</v>
      </c>
      <c r="W65" s="10">
        <v>-0.50575653817142019</v>
      </c>
      <c r="X65" s="413">
        <v>-0.49997251051738806</v>
      </c>
      <c r="Y65" s="414">
        <v>0.29214924278954585</v>
      </c>
      <c r="Z65" s="1"/>
      <c r="AA65" s="3">
        <v>1020</v>
      </c>
      <c r="AB65" s="11">
        <v>3.5036069194980897</v>
      </c>
      <c r="AC65" s="8">
        <v>1020</v>
      </c>
      <c r="AD65" s="108">
        <v>0.70979073263452719</v>
      </c>
      <c r="AF65" s="176">
        <v>43556</v>
      </c>
      <c r="AG65" s="177">
        <v>2.5000000000000001E-3</v>
      </c>
      <c r="AH65" s="177">
        <v>2.4166666666666668E-3</v>
      </c>
      <c r="AI65" s="100">
        <v>43564</v>
      </c>
      <c r="AJ65" s="102">
        <v>28062.360197957783</v>
      </c>
      <c r="AL65" s="23"/>
      <c r="AM65" s="23"/>
      <c r="BL65" s="299"/>
    </row>
    <row r="66" spans="17:64">
      <c r="Q66" s="6">
        <v>36</v>
      </c>
      <c r="R66" s="7">
        <v>42703</v>
      </c>
      <c r="S66" s="210">
        <v>3.5</v>
      </c>
      <c r="T66" s="8">
        <v>1.0000972222222222</v>
      </c>
      <c r="U66" s="98">
        <v>3.6121470212091111</v>
      </c>
      <c r="V66" s="106">
        <v>26355.912793088246</v>
      </c>
      <c r="W66" s="10">
        <v>-0.54539574733031282</v>
      </c>
      <c r="X66" s="413">
        <v>-0.53925138881150136</v>
      </c>
      <c r="Y66" s="414">
        <v>0.2921634523125512</v>
      </c>
      <c r="Z66" s="1"/>
      <c r="AA66" s="3">
        <v>1050</v>
      </c>
      <c r="AB66" s="11">
        <v>3.514152572401946</v>
      </c>
      <c r="AC66" s="8">
        <v>1050</v>
      </c>
      <c r="AD66" s="108">
        <v>0.7170675221484123</v>
      </c>
      <c r="AF66" s="176">
        <v>43586</v>
      </c>
      <c r="AG66" s="177">
        <v>2.5000000000000001E-3</v>
      </c>
      <c r="AH66" s="177">
        <v>2.4166666666666668E-3</v>
      </c>
      <c r="AI66" s="100">
        <v>43594</v>
      </c>
      <c r="AJ66" s="102">
        <v>28130.177568436182</v>
      </c>
      <c r="AL66" s="23"/>
      <c r="AM66" s="23"/>
      <c r="BL66" s="299"/>
    </row>
    <row r="67" spans="17:64">
      <c r="Q67" s="6">
        <v>37</v>
      </c>
      <c r="R67" s="7">
        <v>42704</v>
      </c>
      <c r="S67" s="210">
        <v>3.5</v>
      </c>
      <c r="T67" s="8">
        <v>1.0000972222222222</v>
      </c>
      <c r="U67" s="98">
        <v>3.6121470212090889</v>
      </c>
      <c r="V67" s="106">
        <v>26359.877330758005</v>
      </c>
      <c r="W67" s="10">
        <v>-0.58287776129389846</v>
      </c>
      <c r="X67" s="413">
        <v>-0.5764043328252032</v>
      </c>
      <c r="Y67" s="414">
        <v>0.29217766275679546</v>
      </c>
      <c r="Z67" s="1"/>
      <c r="AA67" s="3">
        <v>1080</v>
      </c>
      <c r="AB67" s="11">
        <v>3.5253331433539392</v>
      </c>
      <c r="AC67" s="8">
        <v>1080</v>
      </c>
      <c r="AD67" s="108">
        <v>0.72247897282264018</v>
      </c>
      <c r="AF67" s="176">
        <v>43617</v>
      </c>
      <c r="AG67" s="177">
        <v>2.5000000000000001E-3</v>
      </c>
      <c r="AH67" s="177">
        <v>2.4166666666666668E-3</v>
      </c>
      <c r="AI67" s="100">
        <v>43625</v>
      </c>
      <c r="AJ67" s="102">
        <v>28198.158830893237</v>
      </c>
      <c r="AL67" s="23"/>
      <c r="AM67" s="23"/>
      <c r="BL67" s="299"/>
    </row>
    <row r="68" spans="17:64">
      <c r="Q68" s="6">
        <v>38</v>
      </c>
      <c r="R68" s="7">
        <v>42705</v>
      </c>
      <c r="S68" s="210">
        <v>3.5</v>
      </c>
      <c r="T68" s="8">
        <v>1.0000972222222222</v>
      </c>
      <c r="U68" s="98">
        <v>3.6121470212090889</v>
      </c>
      <c r="V68" s="106">
        <v>26363.842464785746</v>
      </c>
      <c r="W68" s="10">
        <v>-0.61837400718749436</v>
      </c>
      <c r="X68" s="413">
        <v>-0.61159917961809596</v>
      </c>
      <c r="Y68" s="414">
        <v>0.29219187412235065</v>
      </c>
      <c r="Z68" s="1"/>
      <c r="AA68" s="3">
        <v>1110</v>
      </c>
      <c r="AB68" s="11">
        <v>3.5370974221938019</v>
      </c>
      <c r="AC68" s="8">
        <v>1110</v>
      </c>
      <c r="AD68" s="108">
        <v>0.73133125757766027</v>
      </c>
      <c r="AF68" s="176">
        <v>43647</v>
      </c>
      <c r="AG68" s="177">
        <v>2.5000000000000001E-3</v>
      </c>
      <c r="AH68" s="177">
        <v>2.4166666666666668E-3</v>
      </c>
      <c r="AI68" s="100">
        <v>43655</v>
      </c>
      <c r="AJ68" s="102">
        <v>28266.304381401231</v>
      </c>
      <c r="AL68" s="23"/>
      <c r="AM68" s="23"/>
      <c r="BL68" s="299"/>
    </row>
    <row r="69" spans="17:64">
      <c r="Q69" s="6">
        <v>39</v>
      </c>
      <c r="R69" s="7">
        <v>42706</v>
      </c>
      <c r="S69" s="210">
        <v>3.5</v>
      </c>
      <c r="T69" s="8">
        <v>1.0000972222222222</v>
      </c>
      <c r="U69" s="98">
        <v>3.6121470212091111</v>
      </c>
      <c r="V69" s="106">
        <v>26367.808195261168</v>
      </c>
      <c r="W69" s="10">
        <v>-0.65203821723575084</v>
      </c>
      <c r="X69" s="413">
        <v>-0.6449865521919772</v>
      </c>
      <c r="Y69" s="414">
        <v>0.29220608640928142</v>
      </c>
      <c r="Z69" s="1"/>
      <c r="AA69" s="3">
        <v>1140</v>
      </c>
      <c r="AB69" s="11">
        <v>3.5493995986972746</v>
      </c>
      <c r="AC69" s="8">
        <v>1140</v>
      </c>
      <c r="AD69" s="108">
        <v>0.73841715718213263</v>
      </c>
      <c r="AF69" s="176">
        <v>43678</v>
      </c>
      <c r="AG69" s="177">
        <v>2.5000000000000001E-3</v>
      </c>
      <c r="AH69" s="177">
        <v>2.4166666666666668E-3</v>
      </c>
      <c r="AI69" s="100">
        <v>43686</v>
      </c>
      <c r="AJ69" s="102">
        <v>28334.61461698962</v>
      </c>
      <c r="AL69" s="23"/>
      <c r="AM69" s="23"/>
      <c r="BL69" s="299"/>
    </row>
    <row r="70" spans="17:64">
      <c r="Q70" s="6">
        <v>40</v>
      </c>
      <c r="R70" s="7">
        <v>42707</v>
      </c>
      <c r="S70" s="210">
        <v>3.5</v>
      </c>
      <c r="T70" s="8">
        <v>1.0000972222222222</v>
      </c>
      <c r="U70" s="98">
        <v>3.6121470212092222</v>
      </c>
      <c r="V70" s="106">
        <v>26371.774522274005</v>
      </c>
      <c r="W70" s="10">
        <v>-0.68400865441050618</v>
      </c>
      <c r="X70" s="413">
        <v>-0.67670201124906404</v>
      </c>
      <c r="Y70" s="414">
        <v>0.2922202996176626</v>
      </c>
      <c r="Z70" s="1"/>
      <c r="AA70" s="3">
        <v>1170</v>
      </c>
      <c r="AB70" s="11">
        <v>3.5621985691140656</v>
      </c>
      <c r="AC70" s="8">
        <v>1170</v>
      </c>
      <c r="AD70" s="108">
        <v>0.7485192766042692</v>
      </c>
      <c r="AF70" s="176">
        <v>43709</v>
      </c>
      <c r="AG70" s="177">
        <v>2.5000000000000001E-3</v>
      </c>
      <c r="AH70" s="177">
        <v>2.4166666666666668E-3</v>
      </c>
      <c r="AI70" s="100">
        <v>43717</v>
      </c>
      <c r="AJ70" s="102">
        <v>28403.089935647346</v>
      </c>
      <c r="AL70" s="23"/>
      <c r="AM70" s="23"/>
      <c r="BL70" s="299"/>
    </row>
    <row r="71" spans="17:64">
      <c r="Q71" s="6">
        <v>41</v>
      </c>
      <c r="R71" s="7">
        <v>42708</v>
      </c>
      <c r="S71" s="210">
        <v>3.5</v>
      </c>
      <c r="T71" s="8">
        <v>1.0000972222222222</v>
      </c>
      <c r="U71" s="98">
        <v>3.6121470212092222</v>
      </c>
      <c r="V71" s="106">
        <v>26375.741445913973</v>
      </c>
      <c r="W71" s="10">
        <v>-0.71441001039547203</v>
      </c>
      <c r="X71" s="413">
        <v>-0.70686789205633382</v>
      </c>
      <c r="Y71" s="414">
        <v>0.2922345137475455</v>
      </c>
      <c r="Z71" s="1"/>
      <c r="AA71" s="3">
        <v>1200</v>
      </c>
      <c r="AB71" s="11">
        <v>3.5754573468954622</v>
      </c>
      <c r="AC71" s="8">
        <v>1200</v>
      </c>
      <c r="AD71" s="108">
        <v>0.75926578446326021</v>
      </c>
      <c r="AF71" s="176">
        <v>43739</v>
      </c>
      <c r="AG71" s="177">
        <v>2.5000000000000001E-3</v>
      </c>
      <c r="AH71" s="177">
        <v>2.4166666666666668E-3</v>
      </c>
      <c r="AI71" s="100">
        <v>43747</v>
      </c>
      <c r="AJ71" s="102">
        <v>28471.73073632516</v>
      </c>
      <c r="AL71" s="23"/>
      <c r="AM71" s="23"/>
      <c r="BL71" s="299"/>
    </row>
    <row r="72" spans="17:64">
      <c r="Q72" s="6">
        <v>42</v>
      </c>
      <c r="R72" s="7">
        <v>42709</v>
      </c>
      <c r="S72" s="210">
        <v>3.5</v>
      </c>
      <c r="T72" s="8">
        <v>1.0000972222222222</v>
      </c>
      <c r="U72" s="98">
        <v>3.6121470212092444</v>
      </c>
      <c r="V72" s="106">
        <v>26379.708966270839</v>
      </c>
      <c r="W72" s="10">
        <v>-0.74335503081057741</v>
      </c>
      <c r="X72" s="413">
        <v>-0.73559487890419362</v>
      </c>
      <c r="Y72" s="414">
        <v>0.29224872879900815</v>
      </c>
      <c r="Z72" s="1"/>
      <c r="AA72" s="3">
        <v>1230</v>
      </c>
      <c r="AB72" s="11">
        <v>3.5891425597942543</v>
      </c>
      <c r="AC72" s="8">
        <v>1230</v>
      </c>
      <c r="AD72" s="108">
        <v>0.76619921722165085</v>
      </c>
      <c r="AF72" s="176">
        <v>43770</v>
      </c>
      <c r="AG72" s="177">
        <v>2.5000000000000001E-3</v>
      </c>
      <c r="AH72" s="177">
        <v>2.4166666666666668E-3</v>
      </c>
      <c r="AI72" s="100">
        <v>43778</v>
      </c>
      <c r="AJ72" s="102">
        <v>28540.537418937947</v>
      </c>
      <c r="AL72" s="23"/>
      <c r="AM72" s="23"/>
      <c r="BL72" s="299"/>
    </row>
    <row r="73" spans="17:64">
      <c r="Q73" s="6">
        <v>43</v>
      </c>
      <c r="R73" s="7">
        <v>42710</v>
      </c>
      <c r="S73" s="210">
        <v>3.5</v>
      </c>
      <c r="T73" s="8">
        <v>1.0000972222222222</v>
      </c>
      <c r="U73" s="98">
        <v>3.6121470212091555</v>
      </c>
      <c r="V73" s="106">
        <v>26383.677083434337</v>
      </c>
      <c r="W73" s="10">
        <v>-0.77094591234325716</v>
      </c>
      <c r="X73" s="413">
        <v>-0.76298335986822308</v>
      </c>
      <c r="Y73" s="414">
        <v>0.29226294477210601</v>
      </c>
      <c r="Z73" s="1"/>
      <c r="AA73" s="3">
        <v>1260</v>
      </c>
      <c r="AB73" s="11">
        <v>3.6032240189198323</v>
      </c>
      <c r="AC73" s="8">
        <v>1260</v>
      </c>
      <c r="AD73" s="108">
        <v>0.77773802236533274</v>
      </c>
      <c r="AF73" s="176">
        <v>43800</v>
      </c>
      <c r="AG73" s="177">
        <v>2.5000000000000001E-3</v>
      </c>
      <c r="AH73" s="177">
        <v>2.4166666666666668E-3</v>
      </c>
      <c r="AI73" s="100">
        <v>43808</v>
      </c>
      <c r="AJ73" s="102">
        <v>28609.510384367048</v>
      </c>
      <c r="AL73" s="23"/>
      <c r="AM73" s="23"/>
      <c r="BL73" s="299"/>
    </row>
    <row r="74" spans="17:64">
      <c r="Q74" s="6">
        <v>44</v>
      </c>
      <c r="R74" s="7">
        <v>42711</v>
      </c>
      <c r="S74" s="210">
        <v>3.5</v>
      </c>
      <c r="T74" s="8">
        <v>1.0000972222222222</v>
      </c>
      <c r="U74" s="98">
        <v>3.6121470212091333</v>
      </c>
      <c r="V74" s="106">
        <v>26387.645797494264</v>
      </c>
      <c r="W74" s="10">
        <v>-0.79727550829039595</v>
      </c>
      <c r="X74" s="413">
        <v>-0.78912459683694813</v>
      </c>
      <c r="Y74" s="414">
        <v>0.29227716166691964</v>
      </c>
      <c r="Z74" s="1"/>
      <c r="AA74" s="3">
        <v>1290</v>
      </c>
      <c r="AB74" s="11">
        <v>3.6174175214297368</v>
      </c>
      <c r="AC74" s="8">
        <v>1290</v>
      </c>
      <c r="AD74" s="108">
        <v>0.78779512216161973</v>
      </c>
      <c r="AF74" s="176">
        <v>43831</v>
      </c>
      <c r="AG74" s="177">
        <v>2.5000000000000001E-3</v>
      </c>
      <c r="AH74" s="177">
        <v>2.4166666666666668E-3</v>
      </c>
      <c r="AI74" s="100">
        <v>43839</v>
      </c>
      <c r="AJ74" s="102">
        <v>28678.650034462604</v>
      </c>
      <c r="AL74" s="23"/>
      <c r="AM74" s="23"/>
      <c r="BL74" s="299"/>
    </row>
    <row r="75" spans="17:64">
      <c r="Q75" s="6">
        <v>45</v>
      </c>
      <c r="R75" s="7">
        <v>42712</v>
      </c>
      <c r="S75" s="210">
        <v>3.5</v>
      </c>
      <c r="T75" s="8">
        <v>1.0000972222222222</v>
      </c>
      <c r="U75" s="98">
        <v>3.6121470212090445</v>
      </c>
      <c r="V75" s="106">
        <v>26391.615108540391</v>
      </c>
      <c r="W75" s="10">
        <v>-0.82242837246607747</v>
      </c>
      <c r="X75" s="413">
        <v>-0.81410173953004872</v>
      </c>
      <c r="Y75" s="414">
        <v>0.2922913794835077</v>
      </c>
      <c r="Z75" s="1"/>
      <c r="AA75" s="3">
        <v>1320</v>
      </c>
      <c r="AB75" s="11">
        <v>3.6310277271665363</v>
      </c>
      <c r="AC75" s="8">
        <v>1320</v>
      </c>
      <c r="AD75" s="108">
        <v>0.79919017974595696</v>
      </c>
      <c r="AF75" s="176">
        <v>43862</v>
      </c>
      <c r="AG75" s="177">
        <v>2.5000000000000001E-3</v>
      </c>
      <c r="AH75" s="177">
        <v>2.4166666666666668E-3</v>
      </c>
      <c r="AI75" s="100">
        <v>43870</v>
      </c>
      <c r="AJ75" s="102">
        <v>28747.956772045891</v>
      </c>
      <c r="AL75" s="23"/>
      <c r="AM75" s="23"/>
      <c r="BL75" s="299"/>
    </row>
    <row r="76" spans="17:64">
      <c r="Q76" s="6">
        <v>46</v>
      </c>
      <c r="R76" s="7">
        <v>42713</v>
      </c>
      <c r="S76" s="210">
        <v>3.5</v>
      </c>
      <c r="T76" s="8">
        <v>1.0000972222222222</v>
      </c>
      <c r="U76" s="98">
        <v>3.6121470212090889</v>
      </c>
      <c r="V76" s="106">
        <v>26395.585016662528</v>
      </c>
      <c r="W76" s="10">
        <v>-0.84648166621424936</v>
      </c>
      <c r="X76" s="413">
        <v>-0.83799070725714508</v>
      </c>
      <c r="Y76" s="414">
        <v>0.29230559822195262</v>
      </c>
      <c r="Z76" s="1"/>
      <c r="AA76" s="3">
        <v>1350</v>
      </c>
      <c r="AB76" s="11">
        <v>3.6440551704770869</v>
      </c>
      <c r="AC76" s="8">
        <v>1350</v>
      </c>
      <c r="AD76" s="108">
        <v>0.80847440336505327</v>
      </c>
      <c r="AF76" s="176">
        <v>43891</v>
      </c>
      <c r="AG76" s="177">
        <v>2.5000000000000001E-3</v>
      </c>
      <c r="AH76" s="177">
        <v>2.4166666666666668E-3</v>
      </c>
      <c r="AI76" s="100">
        <v>43899</v>
      </c>
      <c r="AJ76" s="102">
        <v>28817.431000911671</v>
      </c>
      <c r="AL76" s="23"/>
      <c r="AM76" s="23"/>
      <c r="BL76" s="299"/>
    </row>
    <row r="77" spans="17:64">
      <c r="Q77" s="6">
        <v>47</v>
      </c>
      <c r="R77" s="7">
        <v>42714</v>
      </c>
      <c r="S77" s="210">
        <v>3.5</v>
      </c>
      <c r="T77" s="8">
        <v>1.0000972222222222</v>
      </c>
      <c r="U77" s="98">
        <v>3.6121470212090223</v>
      </c>
      <c r="V77" s="106">
        <v>26396.542432337461</v>
      </c>
      <c r="W77" s="10">
        <v>-0.78159661465929675</v>
      </c>
      <c r="X77" s="413">
        <v>-0.77352737714240327</v>
      </c>
      <c r="Y77" s="414">
        <v>0.2923198178823016</v>
      </c>
      <c r="Z77" s="1"/>
      <c r="AA77" s="3">
        <v>1380</v>
      </c>
      <c r="AB77" s="11">
        <v>3.6565377582859435</v>
      </c>
      <c r="AC77" s="8">
        <v>1380</v>
      </c>
      <c r="AD77" s="108">
        <v>0.8188975037528855</v>
      </c>
      <c r="AF77" s="176">
        <v>43922</v>
      </c>
      <c r="AG77" s="177">
        <v>2.5000000000000001E-3</v>
      </c>
      <c r="AH77" s="177">
        <v>2.4166666666666668E-3</v>
      </c>
      <c r="AI77" s="100">
        <v>43930</v>
      </c>
      <c r="AJ77" s="102">
        <v>28887.073125830542</v>
      </c>
      <c r="AL77" s="23"/>
      <c r="AM77" s="23"/>
      <c r="BL77" s="299"/>
    </row>
    <row r="78" spans="17:64">
      <c r="Q78" s="6">
        <v>48</v>
      </c>
      <c r="R78" s="7">
        <v>42715</v>
      </c>
      <c r="S78" s="210">
        <v>3.5</v>
      </c>
      <c r="T78" s="8">
        <v>1.0000972222222222</v>
      </c>
      <c r="U78" s="98">
        <v>3.6121470212090667</v>
      </c>
      <c r="V78" s="106">
        <v>26397.499882739601</v>
      </c>
      <c r="W78" s="10">
        <v>-0.71937526406442576</v>
      </c>
      <c r="X78" s="413">
        <v>-0.71174723608655177</v>
      </c>
      <c r="Y78" s="414">
        <v>0.29233403846463946</v>
      </c>
      <c r="Z78" s="1"/>
      <c r="AA78" s="3">
        <v>1410</v>
      </c>
      <c r="AB78" s="11">
        <v>3.6685101796552178</v>
      </c>
      <c r="AC78" s="8">
        <v>1410</v>
      </c>
      <c r="AD78" s="108">
        <v>0.82916850302501521</v>
      </c>
      <c r="AF78" s="176">
        <v>43952</v>
      </c>
      <c r="AG78" s="177">
        <v>2.5000000000000001E-3</v>
      </c>
      <c r="AH78" s="177">
        <v>2.4166666666666668E-3</v>
      </c>
      <c r="AI78" s="100">
        <v>43960</v>
      </c>
      <c r="AJ78" s="102">
        <v>28956.883552551302</v>
      </c>
      <c r="AL78" s="23"/>
      <c r="AM78" s="23"/>
      <c r="BL78" s="299"/>
    </row>
    <row r="79" spans="17:64">
      <c r="Q79" s="6">
        <v>49</v>
      </c>
      <c r="R79" s="7">
        <v>42716</v>
      </c>
      <c r="S79" s="210">
        <v>3.5</v>
      </c>
      <c r="T79" s="8">
        <v>1.0000972222222222</v>
      </c>
      <c r="U79" s="98">
        <v>3.6121470212090001</v>
      </c>
      <c r="V79" s="106">
        <v>26398.457367870196</v>
      </c>
      <c r="W79" s="10">
        <v>-0.65965689727495169</v>
      </c>
      <c r="X79" s="413">
        <v>-0.65248600704211834</v>
      </c>
      <c r="Y79" s="414">
        <v>0.29234825996901692</v>
      </c>
      <c r="Z79" s="1"/>
      <c r="AA79" s="3">
        <v>1440</v>
      </c>
      <c r="AB79" s="11">
        <v>3.6800042401377011</v>
      </c>
      <c r="AC79" s="8">
        <v>1440</v>
      </c>
      <c r="AD79" s="108">
        <v>0.83744057262746741</v>
      </c>
      <c r="AF79" s="176">
        <v>43983</v>
      </c>
      <c r="AG79" s="177">
        <v>2.5000000000000001E-3</v>
      </c>
      <c r="AH79" s="177">
        <v>2.4166666666666668E-3</v>
      </c>
      <c r="AI79" s="100">
        <v>43991</v>
      </c>
      <c r="AJ79" s="102">
        <v>29026.862687803303</v>
      </c>
      <c r="AL79" s="23"/>
      <c r="AM79" s="23"/>
      <c r="BL79" s="299"/>
    </row>
    <row r="80" spans="17:64">
      <c r="Q80" s="6">
        <v>50</v>
      </c>
      <c r="R80" s="7">
        <v>42717</v>
      </c>
      <c r="S80" s="210">
        <v>3.5</v>
      </c>
      <c r="T80" s="8">
        <v>1.0000972222222222</v>
      </c>
      <c r="U80" s="98">
        <v>3.6121470212090667</v>
      </c>
      <c r="V80" s="106">
        <v>26399.41488773052</v>
      </c>
      <c r="W80" s="10">
        <v>-0.60229347072403572</v>
      </c>
      <c r="X80" s="413">
        <v>-0.59559255512606768</v>
      </c>
      <c r="Y80" s="414">
        <v>0.29236248239552065</v>
      </c>
      <c r="Z80" s="1"/>
      <c r="AA80" s="3">
        <v>1470</v>
      </c>
      <c r="AB80" s="11">
        <v>3.6910491552893907</v>
      </c>
      <c r="AC80" s="8">
        <v>1470</v>
      </c>
      <c r="AD80" s="108">
        <v>0.84656356983771797</v>
      </c>
      <c r="AF80" s="176">
        <v>44013</v>
      </c>
      <c r="AG80" s="177">
        <v>2.5000000000000001E-3</v>
      </c>
      <c r="AH80" s="177">
        <v>2.4166666666666668E-3</v>
      </c>
      <c r="AI80" s="100">
        <v>44021</v>
      </c>
      <c r="AJ80" s="102">
        <v>29097.010939298831</v>
      </c>
      <c r="AL80" s="23"/>
      <c r="AM80" s="23"/>
      <c r="BL80" s="299"/>
    </row>
    <row r="81" spans="17:64">
      <c r="Q81" s="6">
        <v>51</v>
      </c>
      <c r="R81" s="7">
        <v>42718</v>
      </c>
      <c r="S81" s="210">
        <v>3.5</v>
      </c>
      <c r="T81" s="8">
        <v>1.0000972222222222</v>
      </c>
      <c r="U81" s="98">
        <v>3.6121470212091111</v>
      </c>
      <c r="V81" s="106">
        <v>26400.372442321812</v>
      </c>
      <c r="W81" s="10">
        <v>-0.54714838942293564</v>
      </c>
      <c r="X81" s="413">
        <v>-0.54092759917058397</v>
      </c>
      <c r="Y81" s="414">
        <v>0.29237670574420432</v>
      </c>
      <c r="Z81" s="1"/>
      <c r="AA81" s="3">
        <v>1500</v>
      </c>
      <c r="AB81" s="11">
        <v>3.7016718090454082</v>
      </c>
      <c r="AC81" s="8">
        <v>1500</v>
      </c>
      <c r="AD81" s="108">
        <v>0.85425871089512151</v>
      </c>
      <c r="AF81" s="176">
        <v>44044</v>
      </c>
      <c r="AG81" s="177">
        <v>2.5000000000000001E-3</v>
      </c>
      <c r="AH81" s="177">
        <v>2.4166666666666668E-3</v>
      </c>
      <c r="AI81" s="100">
        <v>44052</v>
      </c>
      <c r="AJ81" s="102">
        <v>29167.328715735472</v>
      </c>
      <c r="AL81" s="23"/>
      <c r="AM81" s="23"/>
      <c r="BL81" s="299"/>
    </row>
    <row r="82" spans="17:64">
      <c r="Q82" s="6">
        <v>52</v>
      </c>
      <c r="R82" s="7">
        <v>42719</v>
      </c>
      <c r="S82" s="210">
        <v>3.5</v>
      </c>
      <c r="T82" s="8">
        <v>1.0000972222222222</v>
      </c>
      <c r="U82" s="98">
        <v>3.6121470212090667</v>
      </c>
      <c r="V82" s="106">
        <v>26401.330031645353</v>
      </c>
      <c r="W82" s="10">
        <v>-0.49409542134026818</v>
      </c>
      <c r="X82" s="413">
        <v>-0.48836257194498994</v>
      </c>
      <c r="Y82" s="414">
        <v>0.29239093001513033</v>
      </c>
      <c r="Z82" s="1"/>
      <c r="AA82" s="3">
        <v>1530</v>
      </c>
      <c r="AB82" s="11">
        <v>3.7118969817707361</v>
      </c>
      <c r="AC82" s="8">
        <v>1530</v>
      </c>
      <c r="AD82" s="108">
        <v>0.86266932257127582</v>
      </c>
      <c r="AF82" s="176">
        <v>44075</v>
      </c>
      <c r="AG82" s="177">
        <v>2.5000000000000001E-3</v>
      </c>
      <c r="AH82" s="177">
        <v>2.4166666666666668E-3</v>
      </c>
      <c r="AI82" s="100">
        <v>44083</v>
      </c>
      <c r="AJ82" s="102">
        <v>29237.816426798501</v>
      </c>
      <c r="AL82" s="23"/>
      <c r="AM82" s="23"/>
      <c r="BL82" s="299"/>
    </row>
    <row r="83" spans="17:64">
      <c r="Q83" s="6">
        <v>53</v>
      </c>
      <c r="R83" s="7">
        <v>42720</v>
      </c>
      <c r="S83" s="210">
        <v>3.5</v>
      </c>
      <c r="T83" s="8">
        <v>1.0000972222222222</v>
      </c>
      <c r="U83" s="98">
        <v>3.6121470212091333</v>
      </c>
      <c r="V83" s="106">
        <v>26402.287655702385</v>
      </c>
      <c r="W83" s="10">
        <v>-0.44301773300383651</v>
      </c>
      <c r="X83" s="413">
        <v>-0.43777860940477376</v>
      </c>
      <c r="Y83" s="414">
        <v>0.29240515520838156</v>
      </c>
      <c r="Z83" s="1"/>
      <c r="AA83" s="3">
        <v>1560</v>
      </c>
      <c r="AB83" s="11">
        <v>3.721747552057995</v>
      </c>
      <c r="AC83" s="8">
        <v>1560</v>
      </c>
      <c r="AD83" s="108">
        <v>0.87120336632621032</v>
      </c>
      <c r="AF83" s="176">
        <v>44105</v>
      </c>
      <c r="AG83" s="177">
        <v>2.5000000000000001E-3</v>
      </c>
      <c r="AH83" s="177">
        <v>2.4166666666666668E-3</v>
      </c>
      <c r="AI83" s="100">
        <v>44113</v>
      </c>
      <c r="AJ83" s="102">
        <v>29308.474483163267</v>
      </c>
      <c r="AL83" s="23"/>
      <c r="AM83" s="23"/>
      <c r="BL83" s="299"/>
    </row>
    <row r="84" spans="17:64">
      <c r="Q84" s="6">
        <v>54</v>
      </c>
      <c r="R84" s="7">
        <v>42721</v>
      </c>
      <c r="S84" s="210">
        <v>3.5</v>
      </c>
      <c r="T84" s="8">
        <v>1.0000972222222222</v>
      </c>
      <c r="U84" s="98">
        <v>3.6121470212091111</v>
      </c>
      <c r="V84" s="106">
        <v>26403.245314494179</v>
      </c>
      <c r="W84" s="10">
        <v>-0.39380703083059521</v>
      </c>
      <c r="X84" s="413">
        <v>-0.38906565225027556</v>
      </c>
      <c r="Y84" s="414">
        <v>0.29241938132400996</v>
      </c>
      <c r="Z84" s="1"/>
      <c r="AA84" s="3">
        <v>1590</v>
      </c>
      <c r="AB84" s="11">
        <v>3.7312446757327651</v>
      </c>
      <c r="AC84" s="8">
        <v>1590</v>
      </c>
      <c r="AD84" s="108">
        <v>0.87537902087938069</v>
      </c>
      <c r="AF84" s="176">
        <v>44136</v>
      </c>
      <c r="AG84" s="177">
        <v>2.5000000000000001E-3</v>
      </c>
      <c r="AH84" s="177">
        <v>2.4166666666666668E-3</v>
      </c>
      <c r="AI84" s="100">
        <v>44144</v>
      </c>
      <c r="AJ84" s="102">
        <v>29379.303296497579</v>
      </c>
      <c r="AL84" s="23"/>
      <c r="AM84" s="23"/>
      <c r="BL84" s="299"/>
    </row>
    <row r="85" spans="17:64">
      <c r="Q85" s="6">
        <v>55</v>
      </c>
      <c r="R85" s="7">
        <v>42722</v>
      </c>
      <c r="S85" s="210">
        <v>3.5</v>
      </c>
      <c r="T85" s="8">
        <v>1.0000972222222222</v>
      </c>
      <c r="U85" s="98">
        <v>3.6121470212090667</v>
      </c>
      <c r="V85" s="106">
        <v>26404.203008021992</v>
      </c>
      <c r="W85" s="10">
        <v>-0.34636279489860256</v>
      </c>
      <c r="X85" s="413">
        <v>-0.34212164549410184</v>
      </c>
      <c r="Y85" s="414">
        <v>0.29243360836208798</v>
      </c>
      <c r="Z85" s="1"/>
      <c r="AA85" s="3">
        <v>1620</v>
      </c>
      <c r="AB85" s="11">
        <v>3.7404079450130947</v>
      </c>
      <c r="AC85" s="8">
        <v>1620</v>
      </c>
      <c r="AD85" s="108">
        <v>0.88207027201739119</v>
      </c>
      <c r="AF85" s="176">
        <v>44166</v>
      </c>
      <c r="AG85" s="177">
        <v>2.5000000000000001E-3</v>
      </c>
      <c r="AH85" s="177">
        <v>2.4166666666666668E-3</v>
      </c>
      <c r="AI85" s="100">
        <v>44174</v>
      </c>
      <c r="AJ85" s="102">
        <v>29450.303279464119</v>
      </c>
      <c r="AL85" s="23"/>
      <c r="AM85" s="23"/>
      <c r="BL85" s="299"/>
    </row>
    <row r="86" spans="17:64">
      <c r="Q86" s="6">
        <v>56</v>
      </c>
      <c r="R86" s="7">
        <v>42723</v>
      </c>
      <c r="S86" s="210">
        <v>3.5</v>
      </c>
      <c r="T86" s="8">
        <v>1.0000972222222222</v>
      </c>
      <c r="U86" s="98">
        <v>3.6121470212090001</v>
      </c>
      <c r="V86" s="106">
        <v>26405.160736287085</v>
      </c>
      <c r="W86" s="10">
        <v>-0.3005915937598358</v>
      </c>
      <c r="X86" s="413">
        <v>-0.29685182379081609</v>
      </c>
      <c r="Y86" s="414">
        <v>0.29244783632268295</v>
      </c>
      <c r="Z86" s="1"/>
      <c r="AA86" s="3">
        <v>1650</v>
      </c>
      <c r="AB86" s="11">
        <v>3.7492555303446644</v>
      </c>
      <c r="AC86" s="8">
        <v>1650</v>
      </c>
      <c r="AD86" s="108">
        <v>0.88856434765338699</v>
      </c>
      <c r="AF86" s="176">
        <v>44197</v>
      </c>
      <c r="AG86" s="177">
        <v>2.5000000000000001E-3</v>
      </c>
      <c r="AH86" s="177">
        <v>2.4166666666666668E-3</v>
      </c>
      <c r="AI86" s="100">
        <v>44205</v>
      </c>
      <c r="AJ86" s="102">
        <v>29521.474845722827</v>
      </c>
      <c r="AL86" s="23"/>
      <c r="AM86" s="23"/>
      <c r="BL86" s="299"/>
    </row>
    <row r="87" spans="17:64">
      <c r="Q87" s="6">
        <v>57</v>
      </c>
      <c r="R87" s="7">
        <v>42724</v>
      </c>
      <c r="S87" s="210">
        <v>3.5</v>
      </c>
      <c r="T87" s="8">
        <v>1.0000972222222222</v>
      </c>
      <c r="U87" s="98">
        <v>3.6121470212090001</v>
      </c>
      <c r="V87" s="106">
        <v>26406.118499290718</v>
      </c>
      <c r="W87" s="10">
        <v>-0.25640647046616394</v>
      </c>
      <c r="X87" s="413">
        <v>-0.25316807199480146</v>
      </c>
      <c r="Y87" s="414">
        <v>0.29246206520586909</v>
      </c>
      <c r="Z87" s="1"/>
      <c r="AA87" s="3">
        <v>1680</v>
      </c>
      <c r="AB87" s="11">
        <v>3.7578043070718854</v>
      </c>
      <c r="AC87" s="8">
        <v>1680</v>
      </c>
      <c r="AD87" s="108">
        <v>0.89563936757621476</v>
      </c>
      <c r="AF87" s="176">
        <v>44228</v>
      </c>
      <c r="AG87" s="177">
        <v>2.5000000000000001E-3</v>
      </c>
      <c r="AH87" s="177">
        <v>2.4166666666666668E-3</v>
      </c>
      <c r="AI87" s="100">
        <v>44236</v>
      </c>
      <c r="AJ87" s="102">
        <v>29592.818409933327</v>
      </c>
      <c r="AL87" s="23"/>
      <c r="AM87" s="23"/>
      <c r="BL87" s="299"/>
    </row>
    <row r="88" spans="17:64">
      <c r="Q88" s="6">
        <v>58</v>
      </c>
      <c r="R88" s="7">
        <v>42725</v>
      </c>
      <c r="S88" s="210">
        <v>3.5</v>
      </c>
      <c r="T88" s="8">
        <v>1.0000972222222222</v>
      </c>
      <c r="U88" s="98">
        <v>3.6121470212089335</v>
      </c>
      <c r="V88" s="106">
        <v>26407.076297034146</v>
      </c>
      <c r="W88" s="10">
        <v>-0.21372639132060112</v>
      </c>
      <c r="X88" s="413">
        <v>-0.21098835186682888</v>
      </c>
      <c r="Y88" s="414">
        <v>0.29247629501170408</v>
      </c>
      <c r="Z88" s="1"/>
      <c r="AA88" s="3">
        <v>1710</v>
      </c>
      <c r="AB88" s="11">
        <v>3.7660699688032593</v>
      </c>
      <c r="AC88" s="8">
        <v>1710</v>
      </c>
      <c r="AD88" s="108">
        <v>0.90175657540136323</v>
      </c>
      <c r="AF88" s="176">
        <v>44256</v>
      </c>
      <c r="AG88" s="177">
        <v>2.5000000000000001E-3</v>
      </c>
      <c r="AH88" s="177">
        <v>2.4166666666666668E-3</v>
      </c>
      <c r="AI88" s="100">
        <v>44264</v>
      </c>
      <c r="AJ88" s="102">
        <v>29664.334387757335</v>
      </c>
      <c r="AL88" s="23"/>
      <c r="AM88" s="23"/>
      <c r="BL88" s="299"/>
    </row>
    <row r="89" spans="17:64">
      <c r="Q89" s="6">
        <v>59</v>
      </c>
      <c r="R89" s="7">
        <v>42726</v>
      </c>
      <c r="S89" s="210">
        <v>3.5</v>
      </c>
      <c r="T89" s="8">
        <v>1.0000972222222222</v>
      </c>
      <c r="U89" s="98">
        <v>3.6121470212089335</v>
      </c>
      <c r="V89" s="106">
        <v>26408.034129518634</v>
      </c>
      <c r="W89" s="10">
        <v>-0.1724757500044527</v>
      </c>
      <c r="X89" s="413">
        <v>-0.17023618708239635</v>
      </c>
      <c r="Y89" s="414">
        <v>0.29249052574026418</v>
      </c>
      <c r="Z89" s="1"/>
      <c r="AA89" s="3">
        <v>1740</v>
      </c>
      <c r="AB89" s="11">
        <v>3.7740671290738792</v>
      </c>
      <c r="AC89" s="8">
        <v>1740</v>
      </c>
      <c r="AD89" s="108">
        <v>0.90833794567323445</v>
      </c>
      <c r="AF89" s="176">
        <v>44287</v>
      </c>
      <c r="AG89" s="177">
        <v>2.5000000000000001E-3</v>
      </c>
      <c r="AH89" s="177">
        <v>2.4166666666666668E-3</v>
      </c>
      <c r="AI89" s="100">
        <v>44295</v>
      </c>
      <c r="AJ89" s="102">
        <v>29736.023195861086</v>
      </c>
      <c r="AL89" s="23"/>
      <c r="AM89" s="23"/>
      <c r="BL89" s="299"/>
    </row>
    <row r="90" spans="17:64">
      <c r="Q90" s="6">
        <v>60</v>
      </c>
      <c r="R90" s="7">
        <v>42727</v>
      </c>
      <c r="S90" s="210">
        <v>3.5</v>
      </c>
      <c r="T90" s="8">
        <v>1.0000972222222222</v>
      </c>
      <c r="U90" s="98">
        <v>3.6121470212089113</v>
      </c>
      <c r="V90" s="106">
        <v>26408.991996745444</v>
      </c>
      <c r="W90" s="10">
        <v>-0.13258392069640523</v>
      </c>
      <c r="X90" s="413">
        <v>-0.13084019973863548</v>
      </c>
      <c r="Y90" s="414">
        <v>0.29250475739160953</v>
      </c>
      <c r="Z90" s="1"/>
      <c r="AA90" s="3">
        <v>1770</v>
      </c>
      <c r="AB90" s="11">
        <v>3.7818094126903614</v>
      </c>
      <c r="AC90" s="8">
        <v>1770</v>
      </c>
      <c r="AD90" s="108">
        <v>0.91519804775240732</v>
      </c>
      <c r="AF90" s="176">
        <v>44317</v>
      </c>
      <c r="AG90" s="177">
        <v>2.5000000000000001E-3</v>
      </c>
      <c r="AH90" s="177">
        <v>2.4166666666666668E-3</v>
      </c>
      <c r="AI90" s="100">
        <v>44325</v>
      </c>
      <c r="AJ90" s="102">
        <v>29807.885251917753</v>
      </c>
      <c r="AL90" s="23"/>
      <c r="AM90" s="23"/>
      <c r="BL90" s="299"/>
    </row>
    <row r="91" spans="17:64">
      <c r="Q91" s="6">
        <v>61</v>
      </c>
      <c r="R91" s="7">
        <v>42728</v>
      </c>
      <c r="S91" s="210">
        <v>3.5</v>
      </c>
      <c r="T91" s="8">
        <v>1.0000972222222222</v>
      </c>
      <c r="U91" s="98">
        <v>3.6121470212089779</v>
      </c>
      <c r="V91" s="106">
        <v>26409.949898715833</v>
      </c>
      <c r="W91" s="10">
        <v>-9.3984854628403891E-2</v>
      </c>
      <c r="X91" s="413">
        <v>-9.2733692450571045E-2</v>
      </c>
      <c r="Y91" s="414">
        <v>0.29251898996581815</v>
      </c>
      <c r="Z91" s="1"/>
      <c r="AA91" s="3">
        <v>1800</v>
      </c>
      <c r="AB91" s="11">
        <v>3.7893095379594475</v>
      </c>
      <c r="AC91" s="8">
        <v>1800</v>
      </c>
      <c r="AD91" s="108">
        <v>0.92083678913928613</v>
      </c>
      <c r="AF91" s="176">
        <v>44348</v>
      </c>
      <c r="AG91" s="177">
        <v>2.5000000000000001E-3</v>
      </c>
      <c r="AH91" s="177">
        <v>2.4166666666666668E-3</v>
      </c>
      <c r="AI91" s="100">
        <v>44356</v>
      </c>
      <c r="AJ91" s="102">
        <v>29879.92097460989</v>
      </c>
      <c r="AL91" s="23"/>
      <c r="AM91" s="23"/>
      <c r="BL91" s="299"/>
    </row>
    <row r="92" spans="17:64">
      <c r="Q92" s="6">
        <v>62</v>
      </c>
      <c r="R92" s="7">
        <v>42729</v>
      </c>
      <c r="S92" s="210">
        <v>3.5</v>
      </c>
      <c r="T92" s="8">
        <v>1.0000972222222222</v>
      </c>
      <c r="U92" s="98">
        <v>3.6121470212089557</v>
      </c>
      <c r="V92" s="106">
        <v>26410.907835431055</v>
      </c>
      <c r="W92" s="10">
        <v>-5.6616715232693515E-2</v>
      </c>
      <c r="X92" s="413">
        <v>-5.5854270890645381E-2</v>
      </c>
      <c r="Y92" s="414">
        <v>0.29253322346294158</v>
      </c>
      <c r="Z92" s="1"/>
      <c r="AA92" s="3">
        <v>1830</v>
      </c>
      <c r="AB92" s="11">
        <v>3.7966719834374532</v>
      </c>
      <c r="AC92" s="8">
        <v>1830</v>
      </c>
      <c r="AD92" s="108">
        <v>0.92681637159912988</v>
      </c>
      <c r="AF92" s="176">
        <v>44378</v>
      </c>
      <c r="AG92" s="177">
        <v>2.5000000000000001E-3</v>
      </c>
      <c r="AH92" s="177">
        <v>2.4166666666666668E-3</v>
      </c>
      <c r="AI92" s="100">
        <v>44386</v>
      </c>
      <c r="AJ92" s="102">
        <v>29952.130783631867</v>
      </c>
      <c r="AL92" s="23"/>
      <c r="AM92" s="23"/>
      <c r="BL92" s="299"/>
    </row>
    <row r="93" spans="17:64">
      <c r="Q93" s="6">
        <v>63</v>
      </c>
      <c r="R93" s="7">
        <v>42730</v>
      </c>
      <c r="S93" s="210">
        <v>3.5</v>
      </c>
      <c r="T93" s="8">
        <v>1.0000972222222222</v>
      </c>
      <c r="U93" s="98">
        <v>3.6121470212089779</v>
      </c>
      <c r="V93" s="106">
        <v>26411.865806892383</v>
      </c>
      <c r="W93" s="10">
        <v>-2.0421547638926896E-2</v>
      </c>
      <c r="X93" s="413">
        <v>-2.0143502275780736E-2</v>
      </c>
      <c r="Y93" s="414">
        <v>0.29254745788305964</v>
      </c>
      <c r="Z93" s="1"/>
      <c r="AA93" s="3">
        <v>1860</v>
      </c>
      <c r="AB93" s="11">
        <v>3.8038152771466605</v>
      </c>
      <c r="AC93" s="8">
        <v>1860</v>
      </c>
      <c r="AD93" s="108">
        <v>0.93226165749782375</v>
      </c>
      <c r="AF93" s="176">
        <v>44409</v>
      </c>
      <c r="AG93" s="177">
        <v>2.5000000000000001E-3</v>
      </c>
      <c r="AH93" s="177">
        <v>2.4166666666666668E-3</v>
      </c>
      <c r="AI93" s="100">
        <v>44417</v>
      </c>
      <c r="AJ93" s="102">
        <v>30024.515099692311</v>
      </c>
      <c r="AL93" s="23"/>
      <c r="AM93" s="23"/>
      <c r="BL93" s="299"/>
    </row>
    <row r="94" spans="17:64">
      <c r="Q94" s="6">
        <v>64</v>
      </c>
      <c r="R94" s="7">
        <v>42731</v>
      </c>
      <c r="S94" s="210">
        <v>3.5</v>
      </c>
      <c r="T94" s="8">
        <v>1.0000972222222222</v>
      </c>
      <c r="U94" s="98">
        <v>3.6121470212090445</v>
      </c>
      <c r="V94" s="106">
        <v>26412.823813101069</v>
      </c>
      <c r="W94" s="10">
        <v>1.4655021191378736E-2</v>
      </c>
      <c r="X94" s="413">
        <v>1.445339412815827E-2</v>
      </c>
      <c r="Y94" s="414">
        <v>0.29256169322623704</v>
      </c>
      <c r="Z94" s="1"/>
      <c r="AA94" s="3">
        <v>1890</v>
      </c>
      <c r="AB94" s="11">
        <v>3.8107498349786182</v>
      </c>
      <c r="AC94" s="8">
        <v>1890</v>
      </c>
      <c r="AD94" s="108">
        <v>0.93785529476433016</v>
      </c>
      <c r="AF94" s="176">
        <v>44440</v>
      </c>
      <c r="AG94" s="177">
        <v>2.5000000000000001E-3</v>
      </c>
      <c r="AH94" s="177">
        <v>2.4166666666666668E-3</v>
      </c>
      <c r="AI94" s="100">
        <v>44448</v>
      </c>
      <c r="AJ94" s="102">
        <v>30097.074344516568</v>
      </c>
      <c r="AL94" s="23"/>
      <c r="AM94" s="23"/>
      <c r="BL94" s="299"/>
    </row>
    <row r="95" spans="17:64">
      <c r="Q95" s="6">
        <v>65</v>
      </c>
      <c r="R95" s="7">
        <v>42732</v>
      </c>
      <c r="S95" s="210">
        <v>3.5</v>
      </c>
      <c r="T95" s="8">
        <v>1.0000972222222222</v>
      </c>
      <c r="U95" s="98">
        <v>3.6121470212090445</v>
      </c>
      <c r="V95" s="106">
        <v>26413.781854058376</v>
      </c>
      <c r="W95" s="10">
        <v>4.8664054956581992E-2</v>
      </c>
      <c r="X95" s="413">
        <v>4.79878279330219E-2</v>
      </c>
      <c r="Y95" s="414">
        <v>0.29257592949253425</v>
      </c>
      <c r="Z95" s="1"/>
      <c r="AA95" s="3">
        <v>1920</v>
      </c>
      <c r="AB95" s="11">
        <v>3.8174854230551709</v>
      </c>
      <c r="AC95" s="8">
        <v>1920</v>
      </c>
      <c r="AD95" s="108">
        <v>0.94388899370185075</v>
      </c>
      <c r="AF95" s="176">
        <v>44470</v>
      </c>
      <c r="AG95" s="177">
        <v>2.5000000000000001E-3</v>
      </c>
      <c r="AH95" s="177">
        <v>2.4166666666666668E-3</v>
      </c>
      <c r="AI95" s="100">
        <v>44478</v>
      </c>
      <c r="AJ95" s="102">
        <v>30169.808940849151</v>
      </c>
      <c r="AL95" s="23"/>
      <c r="AM95" s="23"/>
      <c r="BL95" s="299"/>
    </row>
    <row r="96" spans="17:64">
      <c r="Q96" s="6">
        <v>66</v>
      </c>
      <c r="R96" s="7">
        <v>42733</v>
      </c>
      <c r="S96" s="210">
        <v>3.5</v>
      </c>
      <c r="T96" s="8">
        <v>1.0000972222222222</v>
      </c>
      <c r="U96" s="98">
        <v>3.6121470212090001</v>
      </c>
      <c r="V96" s="106">
        <v>26414.739929765561</v>
      </c>
      <c r="W96" s="10">
        <v>8.1653556005067962E-2</v>
      </c>
      <c r="X96" s="413">
        <v>8.0508093017032809E-2</v>
      </c>
      <c r="Y96" s="414">
        <v>0.29259016668201832</v>
      </c>
      <c r="Z96" s="1"/>
      <c r="AA96" s="3">
        <v>1950</v>
      </c>
      <c r="AB96" s="11">
        <v>3.8240312076176846</v>
      </c>
      <c r="AC96" s="8">
        <v>1950</v>
      </c>
      <c r="AD96" s="108">
        <v>0.94723399634372174</v>
      </c>
      <c r="AF96" s="176">
        <v>44501</v>
      </c>
      <c r="AG96" s="177">
        <v>2.5000000000000001E-3</v>
      </c>
      <c r="AH96" s="177">
        <v>2.4166666666666668E-3</v>
      </c>
      <c r="AI96" s="100">
        <v>44509</v>
      </c>
      <c r="AJ96" s="102">
        <v>30242.719312456204</v>
      </c>
      <c r="AL96" s="23"/>
      <c r="AM96" s="23"/>
      <c r="BL96" s="299"/>
    </row>
    <row r="97" spans="17:64">
      <c r="Q97" s="6">
        <v>67</v>
      </c>
      <c r="R97" s="7">
        <v>42734</v>
      </c>
      <c r="S97" s="210">
        <v>3.5</v>
      </c>
      <c r="T97" s="8">
        <v>1.0000972222222222</v>
      </c>
      <c r="U97" s="98">
        <v>3.6121470212089557</v>
      </c>
      <c r="V97" s="106">
        <v>26415.698040223884</v>
      </c>
      <c r="W97" s="10">
        <v>0.11366869135418511</v>
      </c>
      <c r="X97" s="413">
        <v>0.11205960004162435</v>
      </c>
      <c r="Y97" s="414">
        <v>0.29260440479476219</v>
      </c>
      <c r="Z97" s="1"/>
      <c r="AA97" s="3">
        <v>1980</v>
      </c>
      <c r="AB97" s="11">
        <v>3.8303958003900926</v>
      </c>
      <c r="AC97" s="8">
        <v>1980</v>
      </c>
      <c r="AD97" s="108">
        <v>0.95111511318413877</v>
      </c>
      <c r="AF97" s="176">
        <v>44531</v>
      </c>
      <c r="AG97" s="177">
        <v>2.5000000000000001E-3</v>
      </c>
      <c r="AH97" s="177">
        <v>2.4166666666666668E-3</v>
      </c>
      <c r="AI97" s="100">
        <v>44539</v>
      </c>
      <c r="AJ97" s="102">
        <v>30315.805884127974</v>
      </c>
      <c r="AL97" s="23"/>
      <c r="AM97" s="23"/>
      <c r="BL97" s="299"/>
    </row>
    <row r="98" spans="17:64">
      <c r="Q98" s="6">
        <v>68</v>
      </c>
      <c r="R98" s="7">
        <v>42735</v>
      </c>
      <c r="S98" s="210">
        <v>3.5</v>
      </c>
      <c r="T98" s="8">
        <v>1.0000972222222222</v>
      </c>
      <c r="U98" s="98">
        <v>3.6121470212089335</v>
      </c>
      <c r="V98" s="106">
        <v>26416.656185434618</v>
      </c>
      <c r="W98" s="10">
        <v>0.14475199897736601</v>
      </c>
      <c r="X98" s="413">
        <v>0.14268508845249883</v>
      </c>
      <c r="Y98" s="414">
        <v>0.29261864383083441</v>
      </c>
      <c r="Z98" s="1"/>
      <c r="AA98" s="3">
        <v>2010</v>
      </c>
      <c r="AB98" s="11">
        <v>3.8365872998861223</v>
      </c>
      <c r="AC98" s="8">
        <v>2010</v>
      </c>
      <c r="AD98" s="108">
        <v>0.95592274279084199</v>
      </c>
      <c r="AF98" s="176">
        <v>44562</v>
      </c>
      <c r="AG98" s="177">
        <v>2.5000000000000001E-3</v>
      </c>
      <c r="AH98" s="177">
        <v>2.4166666666666668E-3</v>
      </c>
      <c r="AI98" s="100">
        <v>44570</v>
      </c>
      <c r="AJ98" s="102">
        <v>30389.069081681286</v>
      </c>
      <c r="AL98" s="23"/>
      <c r="AM98" s="23"/>
      <c r="BL98" s="299"/>
    </row>
    <row r="99" spans="17:64">
      <c r="Q99" s="6">
        <v>69</v>
      </c>
      <c r="R99" s="7">
        <v>42736</v>
      </c>
      <c r="S99" s="210">
        <v>3.5</v>
      </c>
      <c r="T99" s="8">
        <v>1.0000972222222222</v>
      </c>
      <c r="U99" s="98">
        <v>3.6121470212089113</v>
      </c>
      <c r="V99" s="106">
        <v>26417.614365399008</v>
      </c>
      <c r="W99" s="10">
        <v>0.17494357634104674</v>
      </c>
      <c r="X99" s="413">
        <v>0.17242482004691154</v>
      </c>
      <c r="Y99" s="414">
        <v>0.29263288379029978</v>
      </c>
      <c r="Z99" s="1"/>
      <c r="AA99" s="3">
        <v>2040</v>
      </c>
      <c r="AB99" s="11">
        <v>3.8426133290787372</v>
      </c>
      <c r="AC99" s="8">
        <v>2040</v>
      </c>
      <c r="AD99" s="108">
        <v>0.96079288667625429</v>
      </c>
      <c r="AF99" s="176">
        <v>44593</v>
      </c>
      <c r="AG99" s="177">
        <v>2.5000000000000001E-3</v>
      </c>
      <c r="AH99" s="177">
        <v>2.4166666666666668E-3</v>
      </c>
      <c r="AI99" s="100">
        <v>44601</v>
      </c>
      <c r="AJ99" s="102">
        <v>30462.509331962017</v>
      </c>
      <c r="AL99" s="23"/>
      <c r="AM99" s="23"/>
      <c r="BL99" s="299"/>
    </row>
    <row r="100" spans="17:64">
      <c r="Q100" s="6">
        <v>70</v>
      </c>
      <c r="R100" s="7">
        <v>42737</v>
      </c>
      <c r="S100" s="210">
        <v>3.5</v>
      </c>
      <c r="T100" s="8">
        <v>1.0000972222222222</v>
      </c>
      <c r="U100" s="98">
        <v>3.6121470212089113</v>
      </c>
      <c r="V100" s="106">
        <v>26418.572580118322</v>
      </c>
      <c r="W100" s="10">
        <v>0.20428125294509325</v>
      </c>
      <c r="X100" s="413">
        <v>0.20131675594776055</v>
      </c>
      <c r="Y100" s="414">
        <v>0.29264712467322873</v>
      </c>
      <c r="Z100" s="1"/>
      <c r="AA100" s="3">
        <v>2070</v>
      </c>
      <c r="AB100" s="11">
        <v>3.8484810697996221</v>
      </c>
      <c r="AC100" s="8">
        <v>2070</v>
      </c>
      <c r="AD100" s="108">
        <v>0.96539962490546871</v>
      </c>
      <c r="AF100" s="176">
        <v>44621</v>
      </c>
      <c r="AG100" s="177">
        <v>2.5000000000000001E-3</v>
      </c>
      <c r="AH100" s="177">
        <v>2.4166666666666668E-3</v>
      </c>
      <c r="AI100" s="100">
        <v>44629</v>
      </c>
      <c r="AJ100" s="102">
        <v>30536.127062847594</v>
      </c>
      <c r="AL100" s="23"/>
      <c r="AM100" s="23"/>
      <c r="BL100" s="299"/>
    </row>
    <row r="101" spans="17:64">
      <c r="Q101" s="6">
        <v>71</v>
      </c>
      <c r="R101" s="7">
        <v>42738</v>
      </c>
      <c r="S101" s="210">
        <v>3.5</v>
      </c>
      <c r="T101" s="8">
        <v>1.0000972222222222</v>
      </c>
      <c r="U101" s="98">
        <v>3.6121470212089335</v>
      </c>
      <c r="V101" s="106">
        <v>26419.530829593823</v>
      </c>
      <c r="W101" s="10">
        <v>0.23280074843081699</v>
      </c>
      <c r="X101" s="413">
        <v>0.22939671862302011</v>
      </c>
      <c r="Y101" s="414">
        <v>0.29266136647968777</v>
      </c>
      <c r="Z101" s="1"/>
      <c r="AA101" s="3">
        <v>2100</v>
      </c>
      <c r="AB101" s="11">
        <v>3.8541972941949099</v>
      </c>
      <c r="AC101" s="8">
        <v>2100</v>
      </c>
      <c r="AD101" s="108">
        <v>0.96998180290323455</v>
      </c>
      <c r="AF101" s="176">
        <v>44652</v>
      </c>
      <c r="AG101" s="177">
        <v>2.5000000000000001E-3</v>
      </c>
      <c r="AH101" s="177">
        <v>2.4166666666666668E-3</v>
      </c>
      <c r="AI101" s="100">
        <v>44660</v>
      </c>
      <c r="AJ101" s="102">
        <v>30609.922703249478</v>
      </c>
      <c r="AL101" s="23"/>
      <c r="AM101" s="23"/>
      <c r="BL101" s="299"/>
    </row>
    <row r="102" spans="17:64">
      <c r="Q102" s="6">
        <v>72</v>
      </c>
      <c r="R102" s="7">
        <v>42739</v>
      </c>
      <c r="S102" s="210">
        <v>3.5</v>
      </c>
      <c r="T102" s="8">
        <v>1.0000972222222222</v>
      </c>
      <c r="U102" s="98">
        <v>3.6121470212089335</v>
      </c>
      <c r="V102" s="106">
        <v>26420.489113826759</v>
      </c>
      <c r="W102" s="10">
        <v>0.26053581764473588</v>
      </c>
      <c r="X102" s="413">
        <v>0.25669854040388795</v>
      </c>
      <c r="Y102" s="414">
        <v>0.29267560920973967</v>
      </c>
      <c r="Z102" s="1"/>
      <c r="AA102" s="3">
        <v>2130</v>
      </c>
      <c r="AB102" s="11">
        <v>3.8597683935275189</v>
      </c>
      <c r="AC102" s="8">
        <v>2130</v>
      </c>
      <c r="AD102" s="108">
        <v>0.97507898504128954</v>
      </c>
      <c r="AF102" s="176">
        <v>44682</v>
      </c>
      <c r="AG102" s="177">
        <v>2.5000000000000001E-3</v>
      </c>
      <c r="AH102" s="177">
        <v>2.4166666666666668E-3</v>
      </c>
      <c r="AI102" s="100">
        <v>44690</v>
      </c>
      <c r="AJ102" s="102">
        <v>30683.896683115665</v>
      </c>
      <c r="AL102" s="23"/>
      <c r="AM102" s="23"/>
      <c r="BL102" s="299"/>
    </row>
    <row r="103" spans="17:64">
      <c r="Q103" s="6">
        <v>73</v>
      </c>
      <c r="R103" s="7">
        <v>42740</v>
      </c>
      <c r="S103" s="210">
        <v>3.5</v>
      </c>
      <c r="T103" s="8">
        <v>1.0000972222222222</v>
      </c>
      <c r="U103" s="98">
        <v>3.6121470212089113</v>
      </c>
      <c r="V103" s="106">
        <v>26421.447432818404</v>
      </c>
      <c r="W103" s="10">
        <v>0.28751838389515783</v>
      </c>
      <c r="X103" s="413">
        <v>0.28325419979453775</v>
      </c>
      <c r="Y103" s="414">
        <v>0.29268985286345306</v>
      </c>
      <c r="Z103" s="1"/>
      <c r="AA103" s="3">
        <v>2160</v>
      </c>
      <c r="AB103" s="11">
        <v>3.8652004045832102</v>
      </c>
      <c r="AC103" s="8">
        <v>2160</v>
      </c>
      <c r="AD103" s="108">
        <v>0.97943062964261618</v>
      </c>
      <c r="AF103" s="176">
        <v>44713</v>
      </c>
      <c r="AG103" s="177">
        <v>2.5000000000000001E-3</v>
      </c>
      <c r="AH103" s="177">
        <v>2.4166666666666668E-3</v>
      </c>
      <c r="AI103" s="100">
        <v>44721</v>
      </c>
      <c r="AJ103" s="102">
        <v>30758.049433433196</v>
      </c>
      <c r="AL103" s="23"/>
      <c r="AM103" s="23"/>
      <c r="BL103" s="299"/>
    </row>
    <row r="104" spans="17:64">
      <c r="Q104" s="6">
        <v>74</v>
      </c>
      <c r="R104" s="7">
        <v>42741</v>
      </c>
      <c r="S104" s="210">
        <v>3.5</v>
      </c>
      <c r="T104" s="8">
        <v>1.0000972222222222</v>
      </c>
      <c r="U104" s="98">
        <v>3.6121470212089113</v>
      </c>
      <c r="V104" s="106">
        <v>26422.40578657002</v>
      </c>
      <c r="W104" s="10">
        <v>0.31377866151114375</v>
      </c>
      <c r="X104" s="413">
        <v>0.30909394673210616</v>
      </c>
      <c r="Y104" s="414">
        <v>0.2927040974409017</v>
      </c>
      <c r="Z104" s="1"/>
      <c r="AA104" s="3">
        <v>2190</v>
      </c>
      <c r="AB104" s="11">
        <v>3.8704990339096401</v>
      </c>
      <c r="AC104" s="8">
        <v>2190</v>
      </c>
      <c r="AD104" s="108">
        <v>0.98359110736128574</v>
      </c>
      <c r="AF104" s="176">
        <v>44743</v>
      </c>
      <c r="AG104" s="177">
        <v>2.5000000000000001E-3</v>
      </c>
      <c r="AH104" s="177">
        <v>2.4166666666666668E-3</v>
      </c>
      <c r="AI104" s="100">
        <v>44751</v>
      </c>
      <c r="AJ104" s="102">
        <v>30832.381386230663</v>
      </c>
      <c r="AL104" s="23"/>
      <c r="AM104" s="23"/>
      <c r="BL104" s="299"/>
    </row>
    <row r="105" spans="17:64">
      <c r="Q105" s="6">
        <v>75</v>
      </c>
      <c r="R105" s="7">
        <v>42742</v>
      </c>
      <c r="S105" s="210">
        <v>3.5</v>
      </c>
      <c r="T105" s="8">
        <v>1.0000972222222222</v>
      </c>
      <c r="U105" s="98">
        <v>3.6121470212089113</v>
      </c>
      <c r="V105" s="106">
        <v>26423.364175082857</v>
      </c>
      <c r="W105" s="10">
        <v>0.33934526868821813</v>
      </c>
      <c r="X105" s="413">
        <v>0.33424641782342945</v>
      </c>
      <c r="Y105" s="414">
        <v>0.29271834294214649</v>
      </c>
      <c r="Z105" s="1"/>
      <c r="AA105" s="3">
        <v>2220</v>
      </c>
      <c r="AB105" s="11">
        <v>3.8756696800936972</v>
      </c>
      <c r="AC105" s="8">
        <v>2220</v>
      </c>
      <c r="AD105" s="108">
        <v>0.98778346542083362</v>
      </c>
      <c r="AF105" s="176">
        <v>44774</v>
      </c>
      <c r="AG105" s="177">
        <v>2.5000000000000001E-3</v>
      </c>
      <c r="AH105" s="177">
        <v>2.4166666666666668E-3</v>
      </c>
      <c r="AI105" s="100">
        <v>44782</v>
      </c>
      <c r="AJ105" s="102">
        <v>30906.892974580722</v>
      </c>
      <c r="AL105" s="23"/>
      <c r="AM105" s="23"/>
      <c r="BL105" s="299"/>
    </row>
    <row r="106" spans="17:64">
      <c r="Q106" s="6">
        <v>76</v>
      </c>
      <c r="R106" s="7">
        <v>42743</v>
      </c>
      <c r="S106" s="210">
        <v>3.5</v>
      </c>
      <c r="T106" s="8">
        <v>1.0000972222222222</v>
      </c>
      <c r="U106" s="98">
        <v>3.6121470212088891</v>
      </c>
      <c r="V106" s="106">
        <v>26424.322598358187</v>
      </c>
      <c r="W106" s="10">
        <v>0.36424533151011573</v>
      </c>
      <c r="X106" s="413">
        <v>0.35873874248530008</v>
      </c>
      <c r="Y106" s="414">
        <v>0.29273258936725405</v>
      </c>
      <c r="Z106" s="1"/>
      <c r="AA106" s="3">
        <v>2250</v>
      </c>
      <c r="AB106" s="11">
        <v>3.8807174542591945</v>
      </c>
      <c r="AC106" s="8">
        <v>2250</v>
      </c>
      <c r="AD106" s="108">
        <v>0.99115664555557692</v>
      </c>
      <c r="AF106" s="176">
        <v>44805</v>
      </c>
      <c r="AG106" s="177">
        <v>2.5000000000000001E-3</v>
      </c>
      <c r="AH106" s="177">
        <v>2.4166666666666668E-3</v>
      </c>
      <c r="AI106" s="100">
        <v>44813</v>
      </c>
      <c r="AJ106" s="102">
        <v>30981.584632602626</v>
      </c>
      <c r="AL106" s="23"/>
      <c r="AM106" s="23"/>
      <c r="BL106" s="299"/>
    </row>
    <row r="107" spans="17:64">
      <c r="Q107" s="6">
        <v>77</v>
      </c>
      <c r="R107" s="7">
        <v>42744</v>
      </c>
      <c r="S107" s="210">
        <v>3.5</v>
      </c>
      <c r="T107" s="8">
        <v>1.0000972222222222</v>
      </c>
      <c r="U107" s="98">
        <v>3.6121470212088891</v>
      </c>
      <c r="V107" s="106">
        <v>26425.281056397256</v>
      </c>
      <c r="W107" s="10">
        <v>0.38850457994146215</v>
      </c>
      <c r="X107" s="413">
        <v>0.38259664081488443</v>
      </c>
      <c r="Y107" s="414">
        <v>0.29274683671629609</v>
      </c>
      <c r="Z107" s="1"/>
      <c r="AA107" s="3">
        <v>2280</v>
      </c>
      <c r="AB107" s="11">
        <v>3.8856471989489205</v>
      </c>
      <c r="AC107" s="8">
        <v>2280</v>
      </c>
      <c r="AD107" s="108">
        <v>0.99445575326836866</v>
      </c>
      <c r="AF107" s="176">
        <v>44835</v>
      </c>
      <c r="AG107" s="177">
        <v>2.5000000000000001E-3</v>
      </c>
      <c r="AH107" s="177">
        <v>2.4166666666666668E-3</v>
      </c>
      <c r="AI107" s="100">
        <v>44843</v>
      </c>
      <c r="AJ107" s="102">
        <v>31056.45679546475</v>
      </c>
      <c r="AL107" s="23"/>
      <c r="AM107" s="23"/>
      <c r="BL107" s="299"/>
    </row>
    <row r="108" spans="17:64">
      <c r="Q108" s="6">
        <v>78</v>
      </c>
      <c r="R108" s="7">
        <v>42745</v>
      </c>
      <c r="S108" s="210">
        <v>3.5</v>
      </c>
      <c r="T108" s="8">
        <v>1.0000972222222222</v>
      </c>
      <c r="U108" s="98">
        <v>3.6121470212089113</v>
      </c>
      <c r="V108" s="106">
        <v>26426.433137713575</v>
      </c>
      <c r="W108" s="10">
        <v>0.40870536651005374</v>
      </c>
      <c r="X108" s="413">
        <v>0.40246051161297614</v>
      </c>
      <c r="Y108" s="414">
        <v>0.29276108498934067</v>
      </c>
      <c r="Z108" s="1"/>
      <c r="AA108" s="3">
        <v>2310</v>
      </c>
      <c r="AB108" s="11">
        <v>3.8904635055378676</v>
      </c>
      <c r="AC108" s="8">
        <v>2310</v>
      </c>
      <c r="AD108" s="108">
        <v>0.99768367159279825</v>
      </c>
      <c r="AF108" s="176">
        <v>44866</v>
      </c>
      <c r="AG108" s="177">
        <v>2.5000000000000001E-3</v>
      </c>
      <c r="AH108" s="177">
        <v>2.4166666666666668E-3</v>
      </c>
      <c r="AI108" s="100">
        <v>44874</v>
      </c>
      <c r="AJ108" s="102">
        <v>31131.509899387125</v>
      </c>
      <c r="AL108" s="23"/>
      <c r="AM108" s="23"/>
      <c r="BL108" s="299"/>
    </row>
    <row r="109" spans="17:64">
      <c r="Q109" s="6">
        <v>79</v>
      </c>
      <c r="R109" s="7">
        <v>42746</v>
      </c>
      <c r="S109" s="210">
        <v>3.5</v>
      </c>
      <c r="T109" s="8">
        <v>1.0000972222222222</v>
      </c>
      <c r="U109" s="98">
        <v>3.6121470212089335</v>
      </c>
      <c r="V109" s="106">
        <v>26427.585269257983</v>
      </c>
      <c r="W109" s="10">
        <v>0.4283986526175898</v>
      </c>
      <c r="X109" s="413">
        <v>0.42182281095950908</v>
      </c>
      <c r="Y109" s="414">
        <v>0.29277533418645246</v>
      </c>
      <c r="Z109" s="1"/>
      <c r="AA109" s="3">
        <v>2340</v>
      </c>
      <c r="AB109" s="11">
        <v>3.8951707303087475</v>
      </c>
      <c r="AC109" s="8">
        <v>2340</v>
      </c>
      <c r="AD109" s="108">
        <v>1.0008431358614263</v>
      </c>
      <c r="AF109" s="176">
        <v>44896</v>
      </c>
      <c r="AG109" s="177">
        <v>2.5000000000000001E-3</v>
      </c>
      <c r="AH109" s="177">
        <v>2.4166666666666668E-3</v>
      </c>
      <c r="AI109" s="100">
        <v>44904</v>
      </c>
      <c r="AJ109" s="102">
        <v>31206.744381643981</v>
      </c>
      <c r="AL109" s="23"/>
      <c r="AM109" s="23"/>
      <c r="BL109" s="299"/>
    </row>
    <row r="110" spans="17:64">
      <c r="Q110" s="6">
        <v>80</v>
      </c>
      <c r="R110" s="7">
        <v>42747</v>
      </c>
      <c r="S110" s="210">
        <v>3.5</v>
      </c>
      <c r="T110" s="8">
        <v>1.0000972222222222</v>
      </c>
      <c r="U110" s="98">
        <v>3.6121470212089779</v>
      </c>
      <c r="V110" s="106">
        <v>26428.737451032663</v>
      </c>
      <c r="W110" s="10">
        <v>0.44760332539997005</v>
      </c>
      <c r="X110" s="413">
        <v>0.44070234785346107</v>
      </c>
      <c r="Y110" s="414">
        <v>0.29278958430770108</v>
      </c>
      <c r="Z110" s="1"/>
      <c r="AA110" s="3">
        <v>2370</v>
      </c>
      <c r="AB110" s="11">
        <v>3.8997730093085985</v>
      </c>
      <c r="AC110" s="8">
        <v>2370</v>
      </c>
      <c r="AD110" s="108">
        <v>1.0039367430449357</v>
      </c>
      <c r="AF110" s="176">
        <v>44927</v>
      </c>
      <c r="AG110" s="177">
        <v>2.5000000000000001E-3</v>
      </c>
      <c r="AH110" s="177">
        <v>2.4166666666666668E-3</v>
      </c>
      <c r="AI110" s="100">
        <v>44935</v>
      </c>
      <c r="AJ110" s="102">
        <v>31282.160680566289</v>
      </c>
      <c r="AL110" s="23"/>
      <c r="AM110" s="23"/>
      <c r="BL110" s="299"/>
    </row>
    <row r="111" spans="17:64">
      <c r="Q111" s="6">
        <v>81</v>
      </c>
      <c r="R111" s="7">
        <v>42748</v>
      </c>
      <c r="S111" s="210">
        <v>3.5</v>
      </c>
      <c r="T111" s="8">
        <v>1.0000972222222222</v>
      </c>
      <c r="U111" s="98">
        <v>3.6121470212090223</v>
      </c>
      <c r="V111" s="106">
        <v>26429.889683039819</v>
      </c>
      <c r="W111" s="10">
        <v>0.46633734628944712</v>
      </c>
      <c r="X111" s="413">
        <v>0.45911700245405818</v>
      </c>
      <c r="Y111" s="414">
        <v>0.29280383535315285</v>
      </c>
      <c r="Z111" s="1"/>
      <c r="AA111" s="3">
        <v>2400</v>
      </c>
      <c r="AB111" s="11">
        <v>3.9042742720929904</v>
      </c>
      <c r="AC111" s="8">
        <v>2400</v>
      </c>
      <c r="AD111" s="108">
        <v>1.0069669603913101</v>
      </c>
      <c r="AF111" s="176">
        <v>44958</v>
      </c>
      <c r="AG111" s="177">
        <v>2.5000000000000001E-3</v>
      </c>
      <c r="AH111" s="177">
        <v>2.4166666666666668E-3</v>
      </c>
      <c r="AI111" s="100">
        <v>44966</v>
      </c>
      <c r="AJ111" s="102">
        <v>31357.759235544327</v>
      </c>
      <c r="AL111" s="23"/>
      <c r="AM111" s="23"/>
      <c r="BL111" s="299"/>
    </row>
    <row r="112" spans="17:64">
      <c r="Q112" s="6">
        <v>82</v>
      </c>
      <c r="R112" s="7">
        <v>42749</v>
      </c>
      <c r="S112" s="210">
        <v>3.5</v>
      </c>
      <c r="T112" s="8">
        <v>1.0000972222222222</v>
      </c>
      <c r="U112" s="98">
        <v>3.6121470212090445</v>
      </c>
      <c r="V112" s="106">
        <v>26431.041965281624</v>
      </c>
      <c r="W112" s="10">
        <v>0.48461780704143198</v>
      </c>
      <c r="X112" s="413">
        <v>0.47708378271802732</v>
      </c>
      <c r="Y112" s="414">
        <v>0.29281808732287073</v>
      </c>
      <c r="Z112" s="1"/>
      <c r="AA112" s="3">
        <v>2430</v>
      </c>
      <c r="AB112" s="11">
        <v>3.9086782544533545</v>
      </c>
      <c r="AC112" s="8">
        <v>2430</v>
      </c>
      <c r="AD112" s="108">
        <v>1.0099361334258348</v>
      </c>
      <c r="AF112" s="176">
        <v>44986</v>
      </c>
      <c r="AG112" s="177">
        <v>2.5000000000000001E-3</v>
      </c>
      <c r="AH112" s="177">
        <v>2.4166666666666668E-3</v>
      </c>
      <c r="AI112" s="100">
        <v>44994</v>
      </c>
      <c r="AJ112" s="102">
        <v>31433.540487030226</v>
      </c>
      <c r="AL112" s="23"/>
      <c r="AM112" s="23"/>
      <c r="BL112" s="299"/>
    </row>
    <row r="113" spans="17:64">
      <c r="Q113" s="6">
        <v>83</v>
      </c>
      <c r="R113" s="7">
        <v>42750</v>
      </c>
      <c r="S113" s="210">
        <v>3.5</v>
      </c>
      <c r="T113" s="8">
        <v>1.0000972222222222</v>
      </c>
      <c r="U113" s="98">
        <v>3.6121470212090001</v>
      </c>
      <c r="V113" s="106">
        <v>26432.194297760285</v>
      </c>
      <c r="W113" s="10">
        <v>0.50246098173940545</v>
      </c>
      <c r="X113" s="413">
        <v>0.49461887694104878</v>
      </c>
      <c r="Y113" s="414">
        <v>0.29283234021692284</v>
      </c>
      <c r="Z113" s="1"/>
      <c r="AA113" s="3">
        <v>2460</v>
      </c>
      <c r="AB113" s="11">
        <v>3.9129885102144595</v>
      </c>
      <c r="AC113" s="8">
        <v>2460</v>
      </c>
      <c r="AD113" s="108">
        <v>1.0128464933659647</v>
      </c>
      <c r="AF113" s="176">
        <v>45017</v>
      </c>
      <c r="AG113" s="177">
        <v>2.5000000000000001E-3</v>
      </c>
      <c r="AH113" s="177">
        <v>2.4166666666666668E-3</v>
      </c>
      <c r="AI113" s="100">
        <v>45025</v>
      </c>
      <c r="AJ113" s="102">
        <v>31509.504876540552</v>
      </c>
      <c r="AL113" s="23"/>
      <c r="AM113" s="23"/>
      <c r="BL113" s="299"/>
    </row>
    <row r="114" spans="17:64">
      <c r="Q114" s="6">
        <v>84</v>
      </c>
      <c r="R114" s="7">
        <v>42751</v>
      </c>
      <c r="S114" s="210">
        <v>3.5</v>
      </c>
      <c r="T114" s="8">
        <v>1.0000972222222222</v>
      </c>
      <c r="U114" s="98">
        <v>3.6121470212090001</v>
      </c>
      <c r="V114" s="106">
        <v>26433.346680477982</v>
      </c>
      <c r="W114" s="10">
        <v>0.51988237511404467</v>
      </c>
      <c r="X114" s="413">
        <v>0.51173770254805562</v>
      </c>
      <c r="Y114" s="414">
        <v>0.29284659403538177</v>
      </c>
      <c r="Z114" s="1"/>
      <c r="AA114" s="3">
        <v>2490</v>
      </c>
      <c r="AB114" s="11">
        <v>3.9172084221806749</v>
      </c>
      <c r="AC114" s="8">
        <v>2490</v>
      </c>
      <c r="AD114" s="108">
        <v>1.0157001640012444</v>
      </c>
      <c r="AF114" s="176">
        <v>45047</v>
      </c>
      <c r="AG114" s="177">
        <v>2.5000000000000001E-3</v>
      </c>
      <c r="AH114" s="177">
        <v>2.4166666666666668E-3</v>
      </c>
      <c r="AI114" s="100">
        <v>45055</v>
      </c>
      <c r="AJ114" s="102">
        <v>31585.652846658861</v>
      </c>
      <c r="AL114" s="23"/>
      <c r="AM114" s="23"/>
      <c r="BL114" s="299"/>
    </row>
    <row r="115" spans="17:64">
      <c r="Q115" s="6">
        <v>85</v>
      </c>
      <c r="R115" s="7">
        <v>42752</v>
      </c>
      <c r="S115" s="210">
        <v>3.5</v>
      </c>
      <c r="T115" s="8">
        <v>1.0000972222222222</v>
      </c>
      <c r="U115" s="98">
        <v>3.6121470212089557</v>
      </c>
      <c r="V115" s="106">
        <v>26434.499113436912</v>
      </c>
      <c r="W115" s="10">
        <v>0.53689676747443738</v>
      </c>
      <c r="X115" s="413">
        <v>0.5284549514380078</v>
      </c>
      <c r="Y115" s="414">
        <v>0.29286084877830909</v>
      </c>
      <c r="Z115" s="1"/>
      <c r="AA115" s="3">
        <v>2520</v>
      </c>
      <c r="AB115" s="11">
        <v>3.9213412123008418</v>
      </c>
      <c r="AC115" s="8">
        <v>2520</v>
      </c>
      <c r="AD115" s="108">
        <v>1.0184991680815969</v>
      </c>
      <c r="AF115" s="176">
        <v>45078</v>
      </c>
      <c r="AG115" s="177">
        <v>2.5000000000000001E-3</v>
      </c>
      <c r="AH115" s="177">
        <v>2.4166666666666668E-3</v>
      </c>
      <c r="AI115" s="100">
        <v>45086</v>
      </c>
      <c r="AJ115" s="102">
        <v>31661.984841038287</v>
      </c>
      <c r="AL115" s="23"/>
      <c r="AM115" s="23"/>
      <c r="BL115" s="299"/>
    </row>
    <row r="116" spans="17:64">
      <c r="Q116" s="6">
        <v>86</v>
      </c>
      <c r="R116" s="7">
        <v>42753</v>
      </c>
      <c r="S116" s="210">
        <v>3.5</v>
      </c>
      <c r="T116" s="8">
        <v>1.0000972222222222</v>
      </c>
      <c r="U116" s="98">
        <v>3.6121470212089557</v>
      </c>
      <c r="V116" s="106">
        <v>26435.651596639262</v>
      </c>
      <c r="W116" s="10">
        <v>0.55351825652740771</v>
      </c>
      <c r="X116" s="413">
        <v>0.54478463216544881</v>
      </c>
      <c r="Y116" s="414">
        <v>0.2928751044457788</v>
      </c>
      <c r="Z116" s="1"/>
      <c r="AA116" s="3">
        <v>2550</v>
      </c>
      <c r="AB116" s="11">
        <v>3.9253899511169141</v>
      </c>
      <c r="AC116" s="8">
        <v>2550</v>
      </c>
      <c r="AD116" s="108">
        <v>1.0212454332553518</v>
      </c>
      <c r="AF116" s="176">
        <v>45108</v>
      </c>
      <c r="AG116" s="177">
        <v>2.5000000000000001E-3</v>
      </c>
      <c r="AH116" s="177">
        <v>2.4166666666666668E-3</v>
      </c>
      <c r="AI116" s="100">
        <v>45116</v>
      </c>
      <c r="AJ116" s="102">
        <v>31738.501304404133</v>
      </c>
      <c r="AL116" s="23"/>
      <c r="AM116" s="23"/>
      <c r="BL116" s="299"/>
    </row>
    <row r="117" spans="17:64">
      <c r="Q117" s="6">
        <v>87</v>
      </c>
      <c r="R117" s="7">
        <v>42754</v>
      </c>
      <c r="S117" s="210">
        <v>3.5</v>
      </c>
      <c r="T117" s="8">
        <v>1.0000972222222222</v>
      </c>
      <c r="U117" s="98">
        <v>3.6121470212089335</v>
      </c>
      <c r="V117" s="106">
        <v>26436.804130087217</v>
      </c>
      <c r="W117" s="10">
        <v>0.56976029633366565</v>
      </c>
      <c r="X117" s="413">
        <v>0.56074010921390827</v>
      </c>
      <c r="Y117" s="414">
        <v>0.29288936103785407</v>
      </c>
      <c r="Z117" s="1"/>
      <c r="AA117" s="3">
        <v>2580</v>
      </c>
      <c r="AB117" s="11">
        <v>3.9293575665550153</v>
      </c>
      <c r="AC117" s="8">
        <v>2580</v>
      </c>
      <c r="AD117" s="108">
        <v>1.0239407975940267</v>
      </c>
      <c r="AF117" s="176">
        <v>45139</v>
      </c>
      <c r="AG117" s="177">
        <v>2.5000000000000001E-3</v>
      </c>
      <c r="AH117" s="177">
        <v>2.4166666666666668E-3</v>
      </c>
      <c r="AI117" s="100">
        <v>45147</v>
      </c>
      <c r="AJ117" s="102">
        <v>31815.202682556446</v>
      </c>
      <c r="AL117" s="23"/>
      <c r="AM117" s="23"/>
      <c r="BL117" s="299"/>
    </row>
    <row r="118" spans="17:64">
      <c r="Q118" s="6">
        <v>88</v>
      </c>
      <c r="R118" s="7">
        <v>42755</v>
      </c>
      <c r="S118" s="210">
        <v>3.5</v>
      </c>
      <c r="T118" s="8">
        <v>1.0000972222222222</v>
      </c>
      <c r="U118" s="98">
        <v>3.6121470212088891</v>
      </c>
      <c r="V118" s="106">
        <v>26437.956713782969</v>
      </c>
      <c r="W118" s="10">
        <v>0.58563573362495625</v>
      </c>
      <c r="X118" s="413">
        <v>0.57633413959002799</v>
      </c>
      <c r="Y118" s="414">
        <v>0.2929036185546024</v>
      </c>
      <c r="Z118" s="1"/>
      <c r="AA118" s="3">
        <v>2610</v>
      </c>
      <c r="AB118" s="11">
        <v>3.9332468521096486</v>
      </c>
      <c r="AC118" s="8">
        <v>2610</v>
      </c>
      <c r="AD118" s="108">
        <v>1.026587014735123</v>
      </c>
      <c r="AF118" s="176">
        <v>45170</v>
      </c>
      <c r="AG118" s="177">
        <v>2.5000000000000001E-3</v>
      </c>
      <c r="AH118" s="177">
        <v>2.4166666666666668E-3</v>
      </c>
      <c r="AI118" s="100">
        <v>45178</v>
      </c>
      <c r="AJ118" s="102">
        <v>31892.089422372628</v>
      </c>
      <c r="AL118" s="23"/>
      <c r="AM118" s="23"/>
      <c r="BL118" s="299"/>
    </row>
    <row r="119" spans="17:64">
      <c r="Q119" s="6">
        <v>89</v>
      </c>
      <c r="R119" s="7">
        <v>42756</v>
      </c>
      <c r="S119" s="210">
        <v>3.5</v>
      </c>
      <c r="T119" s="8">
        <v>1.0000972222222222</v>
      </c>
      <c r="U119" s="98">
        <v>3.6121470212088891</v>
      </c>
      <c r="V119" s="106">
        <v>26439.109347728721</v>
      </c>
      <c r="W119" s="10">
        <v>0.60115684169044226</v>
      </c>
      <c r="X119" s="413">
        <v>0.59157890695174731</v>
      </c>
      <c r="Y119" s="414">
        <v>0.29291787699609612</v>
      </c>
      <c r="Z119" s="1"/>
      <c r="AA119" s="3">
        <v>2640</v>
      </c>
      <c r="AB119" s="11">
        <v>3.9370604744717927</v>
      </c>
      <c r="AC119" s="8">
        <v>2640</v>
      </c>
      <c r="AD119" s="108">
        <v>1.0291857586756046</v>
      </c>
      <c r="AF119" s="176">
        <v>45200</v>
      </c>
      <c r="AG119" s="177">
        <v>2.5000000000000001E-3</v>
      </c>
      <c r="AH119" s="177">
        <v>2.4166666666666668E-3</v>
      </c>
      <c r="AI119" s="100">
        <v>45208</v>
      </c>
      <c r="AJ119" s="102">
        <v>31969.16197181003</v>
      </c>
      <c r="AL119" s="23"/>
      <c r="AM119" s="23"/>
      <c r="BL119" s="299"/>
    </row>
    <row r="120" spans="17:64">
      <c r="Q120" s="6">
        <v>90</v>
      </c>
      <c r="R120" s="7">
        <v>42757</v>
      </c>
      <c r="S120" s="210">
        <v>3.5</v>
      </c>
      <c r="T120" s="8">
        <v>1.0000972222222222</v>
      </c>
      <c r="U120" s="98">
        <v>3.6121470212088669</v>
      </c>
      <c r="V120" s="106">
        <v>26440.262031926653</v>
      </c>
      <c r="W120" s="10">
        <v>0.61633535201994771</v>
      </c>
      <c r="X120" s="413">
        <v>0.60648605346154127</v>
      </c>
      <c r="Y120" s="414">
        <v>0.29293213636239679</v>
      </c>
      <c r="Z120" s="1"/>
      <c r="AA120" s="3">
        <v>2670</v>
      </c>
      <c r="AB120" s="11">
        <v>3.9408009806431017</v>
      </c>
      <c r="AC120" s="8">
        <v>2670</v>
      </c>
      <c r="AD120" s="108">
        <v>1.0317386282422087</v>
      </c>
      <c r="AF120" s="176">
        <v>45231</v>
      </c>
      <c r="AG120" s="177">
        <v>2.5000000000000001E-3</v>
      </c>
      <c r="AH120" s="177">
        <v>2.4166666666666668E-3</v>
      </c>
      <c r="AI120" s="100">
        <v>45239</v>
      </c>
      <c r="AJ120" s="102">
        <v>32046.420779908574</v>
      </c>
      <c r="AL120" s="23"/>
      <c r="AM120" s="23"/>
      <c r="BL120" s="299"/>
    </row>
    <row r="121" spans="17:64">
      <c r="Q121" s="6">
        <v>91</v>
      </c>
      <c r="R121" s="7">
        <v>42758</v>
      </c>
      <c r="S121" s="210">
        <v>3.5</v>
      </c>
      <c r="T121" s="8">
        <v>1.0000972222222222</v>
      </c>
      <c r="U121" s="98">
        <v>3.6121470212088891</v>
      </c>
      <c r="V121" s="106">
        <v>26441.414766378959</v>
      </c>
      <c r="W121" s="10">
        <v>0.63118248387319387</v>
      </c>
      <c r="X121" s="413">
        <v>0.62106670953821552</v>
      </c>
      <c r="Y121" s="414">
        <v>0.29294639665357775</v>
      </c>
      <c r="Z121" s="1"/>
      <c r="AA121" s="3">
        <v>2700</v>
      </c>
      <c r="AB121" s="11">
        <v>3.9444708045762593</v>
      </c>
      <c r="AC121" s="8">
        <v>2700</v>
      </c>
      <c r="AD121" s="108">
        <v>1.0342471512638431</v>
      </c>
      <c r="AF121" s="176">
        <v>45261</v>
      </c>
      <c r="AG121" s="177">
        <v>2.5000000000000001E-3</v>
      </c>
      <c r="AH121" s="177">
        <v>2.4166666666666668E-3</v>
      </c>
      <c r="AI121" s="100">
        <v>45269</v>
      </c>
      <c r="AJ121" s="102">
        <v>32123.866296793356</v>
      </c>
      <c r="AL121" s="23"/>
      <c r="AM121" s="23"/>
      <c r="BL121" s="299"/>
    </row>
    <row r="122" spans="17:64">
      <c r="Q122" s="6">
        <v>92</v>
      </c>
      <c r="R122" s="7">
        <v>42759</v>
      </c>
      <c r="S122" s="210">
        <v>3.5</v>
      </c>
      <c r="T122" s="8">
        <v>1.0000972222222222</v>
      </c>
      <c r="U122" s="98">
        <v>3.6121470212089113</v>
      </c>
      <c r="V122" s="106">
        <v>26442.567551087821</v>
      </c>
      <c r="W122" s="10">
        <v>0.6457089719348108</v>
      </c>
      <c r="X122" s="413">
        <v>0.63533152166949725</v>
      </c>
      <c r="Y122" s="414">
        <v>0.29296065786970227</v>
      </c>
      <c r="Z122" s="1"/>
      <c r="AA122" s="3">
        <v>2730</v>
      </c>
      <c r="AB122" s="11">
        <v>3.9480722733783944</v>
      </c>
      <c r="AC122" s="8">
        <v>2730</v>
      </c>
      <c r="AD122" s="108">
        <v>1.0367127884694238</v>
      </c>
      <c r="AF122" s="176">
        <v>45292</v>
      </c>
      <c r="AG122" s="177">
        <v>2.5000000000000001E-3</v>
      </c>
      <c r="AH122" s="177">
        <v>2.4166666666666668E-3</v>
      </c>
      <c r="AI122" s="100">
        <v>45300</v>
      </c>
      <c r="AJ122" s="102">
        <v>32201.498973677277</v>
      </c>
      <c r="AL122" s="23"/>
      <c r="AM122" s="23"/>
      <c r="BL122" s="299"/>
    </row>
    <row r="123" spans="17:64">
      <c r="Q123" s="6">
        <v>93</v>
      </c>
      <c r="R123" s="7">
        <v>42760</v>
      </c>
      <c r="S123" s="210">
        <v>3.5</v>
      </c>
      <c r="T123" s="8">
        <v>1.0000972222222222</v>
      </c>
      <c r="U123" s="98">
        <v>3.6121470212089113</v>
      </c>
      <c r="V123" s="106">
        <v>26443.720386055447</v>
      </c>
      <c r="W123" s="10">
        <v>0.65992509219567896</v>
      </c>
      <c r="X123" s="413">
        <v>0.64929067842923349</v>
      </c>
      <c r="Y123" s="414">
        <v>0.29297492001083775</v>
      </c>
      <c r="Z123" s="1"/>
      <c r="AA123" s="3">
        <v>2760</v>
      </c>
      <c r="AB123" s="11">
        <v>3.9516076131103324</v>
      </c>
      <c r="AC123" s="8">
        <v>2760</v>
      </c>
      <c r="AD123" s="108">
        <v>1.0391369371314259</v>
      </c>
      <c r="AF123" s="176">
        <v>45323</v>
      </c>
      <c r="AG123" s="177">
        <v>2.5000000000000001E-3</v>
      </c>
      <c r="AH123" s="177">
        <v>2.4166666666666668E-3</v>
      </c>
      <c r="AI123" s="100">
        <v>45331</v>
      </c>
      <c r="AJ123" s="102">
        <v>32279.319262863664</v>
      </c>
      <c r="AL123" s="23"/>
      <c r="AM123" s="23"/>
      <c r="BL123" s="299"/>
    </row>
    <row r="124" spans="17:64">
      <c r="Q124" s="6">
        <v>94</v>
      </c>
      <c r="R124" s="7">
        <v>42761</v>
      </c>
      <c r="S124" s="210">
        <v>3.5</v>
      </c>
      <c r="T124" s="8">
        <v>1.0000972222222222</v>
      </c>
      <c r="U124" s="98">
        <v>3.6121470212088669</v>
      </c>
      <c r="V124" s="106">
        <v>26444.873271284014</v>
      </c>
      <c r="W124" s="10">
        <v>0.67384068619442683</v>
      </c>
      <c r="X124" s="413">
        <v>0.66295393483527698</v>
      </c>
      <c r="Y124" s="414">
        <v>0.2929891830770488</v>
      </c>
      <c r="Z124" s="1"/>
      <c r="AA124" s="3">
        <v>2790</v>
      </c>
      <c r="AB124" s="11">
        <v>3.955078954211964</v>
      </c>
      <c r="AC124" s="8">
        <v>2790</v>
      </c>
      <c r="AD124" s="108">
        <v>1.0415209344745806</v>
      </c>
      <c r="AF124" s="176">
        <v>45352</v>
      </c>
      <c r="AG124" s="177">
        <v>2.5000000000000001E-3</v>
      </c>
      <c r="AH124" s="177">
        <v>2.4166666666666668E-3</v>
      </c>
      <c r="AI124" s="100">
        <v>45360</v>
      </c>
      <c r="AJ124" s="102">
        <v>32357.327617748921</v>
      </c>
      <c r="AL124" s="23"/>
      <c r="AM124" s="23"/>
      <c r="BL124" s="299"/>
    </row>
    <row r="125" spans="17:64">
      <c r="Q125" s="6">
        <v>95</v>
      </c>
      <c r="R125" s="7">
        <v>42762</v>
      </c>
      <c r="S125" s="210">
        <v>3.5</v>
      </c>
      <c r="T125" s="8">
        <v>1.0000972222222222</v>
      </c>
      <c r="U125" s="98">
        <v>3.6121470212088891</v>
      </c>
      <c r="V125" s="106">
        <v>26446.026206775721</v>
      </c>
      <c r="W125" s="10">
        <v>0.68746518373667964</v>
      </c>
      <c r="X125" s="413">
        <v>0.67633063516805547</v>
      </c>
      <c r="Y125" s="414">
        <v>0.29300344706841136</v>
      </c>
      <c r="Z125" s="1"/>
      <c r="AA125" s="3">
        <v>2820</v>
      </c>
      <c r="AB125" s="11">
        <v>3.9584883365820502</v>
      </c>
      <c r="AC125" s="8">
        <v>2820</v>
      </c>
      <c r="AD125" s="108">
        <v>1.0438660608673436</v>
      </c>
      <c r="AF125" s="176">
        <v>45383</v>
      </c>
      <c r="AG125" s="177">
        <v>2.5000000000000001E-3</v>
      </c>
      <c r="AH125" s="177">
        <v>2.4166666666666668E-3</v>
      </c>
      <c r="AI125" s="100">
        <v>45391</v>
      </c>
      <c r="AJ125" s="102">
        <v>32435.524492825149</v>
      </c>
      <c r="AL125" s="23"/>
      <c r="AM125" s="23"/>
      <c r="BL125" s="299"/>
    </row>
    <row r="126" spans="17:64">
      <c r="Q126" s="6">
        <v>96</v>
      </c>
      <c r="R126" s="7">
        <v>42763</v>
      </c>
      <c r="S126" s="210">
        <v>3.5</v>
      </c>
      <c r="T126" s="8">
        <v>1.0000972222222222</v>
      </c>
      <c r="U126" s="98">
        <v>3.6121470212088669</v>
      </c>
      <c r="V126" s="106">
        <v>26447.179192532752</v>
      </c>
      <c r="W126" s="10">
        <v>0.70080762420314802</v>
      </c>
      <c r="X126" s="413">
        <v>0.68942973436256216</v>
      </c>
      <c r="Y126" s="414">
        <v>0.29301771198498444</v>
      </c>
      <c r="Z126" s="1"/>
      <c r="AA126" s="3">
        <v>2850</v>
      </c>
      <c r="AB126" s="11">
        <v>3.9618377143377925</v>
      </c>
      <c r="AC126" s="8">
        <v>2850</v>
      </c>
      <c r="AD126" s="108">
        <v>1.0461735428121697</v>
      </c>
      <c r="AF126" s="176">
        <v>45413</v>
      </c>
      <c r="AG126" s="177">
        <v>2.5000000000000001E-3</v>
      </c>
      <c r="AH126" s="177">
        <v>2.4166666666666668E-3</v>
      </c>
      <c r="AI126" s="100">
        <v>45421</v>
      </c>
      <c r="AJ126" s="102">
        <v>32513.910343682812</v>
      </c>
      <c r="AL126" s="23"/>
      <c r="AM126" s="23"/>
      <c r="BL126" s="299"/>
    </row>
    <row r="127" spans="17:64">
      <c r="Q127" s="6">
        <v>97</v>
      </c>
      <c r="R127" s="7">
        <v>42764</v>
      </c>
      <c r="S127" s="210">
        <v>3.5</v>
      </c>
      <c r="T127" s="8">
        <v>1.0000972222222222</v>
      </c>
      <c r="U127" s="98">
        <v>3.6121470212088447</v>
      </c>
      <c r="V127" s="106">
        <v>26448.332228557309</v>
      </c>
      <c r="W127" s="10">
        <v>0.71387667654900788</v>
      </c>
      <c r="X127" s="413">
        <v>0.70225981807845039</v>
      </c>
      <c r="Y127" s="414">
        <v>0.29303197782683815</v>
      </c>
      <c r="Z127" s="1"/>
      <c r="AA127" s="3">
        <v>2880</v>
      </c>
      <c r="AB127" s="11">
        <v>3.9651289602764637</v>
      </c>
      <c r="AC127" s="8">
        <v>2880</v>
      </c>
      <c r="AD127" s="108">
        <v>1.0484445557481388</v>
      </c>
      <c r="AF127" s="176">
        <v>45444</v>
      </c>
      <c r="AG127" s="177">
        <v>2.5000000000000001E-3</v>
      </c>
      <c r="AH127" s="177">
        <v>2.4166666666666668E-3</v>
      </c>
      <c r="AI127" s="100">
        <v>45452</v>
      </c>
      <c r="AJ127" s="102">
        <v>32592.485627013382</v>
      </c>
      <c r="AL127" s="23"/>
      <c r="AM127" s="23"/>
      <c r="BL127" s="299"/>
    </row>
    <row r="128" spans="17:64">
      <c r="Q128" s="6">
        <v>98</v>
      </c>
      <c r="R128" s="7">
        <v>42765</v>
      </c>
      <c r="S128" s="210">
        <v>3.5</v>
      </c>
      <c r="T128" s="8">
        <v>1.0000972222222222</v>
      </c>
      <c r="U128" s="98">
        <v>3.6121470212088669</v>
      </c>
      <c r="V128" s="106">
        <v>26449.485314851576</v>
      </c>
      <c r="W128" s="10">
        <v>0.72668065808549898</v>
      </c>
      <c r="X128" s="413">
        <v>0.71482912154012224</v>
      </c>
      <c r="Y128" s="414">
        <v>0.2930462445940466</v>
      </c>
      <c r="Z128" s="1"/>
      <c r="AA128" s="3">
        <v>2910</v>
      </c>
      <c r="AB128" s="11">
        <v>3.9683638700626136</v>
      </c>
      <c r="AC128" s="8">
        <v>2910</v>
      </c>
      <c r="AD128" s="108">
        <v>1.0506802266817388</v>
      </c>
      <c r="AF128" s="176">
        <v>45474</v>
      </c>
      <c r="AG128" s="177">
        <v>2.5000000000000001E-3</v>
      </c>
      <c r="AH128" s="177">
        <v>2.4166666666666668E-3</v>
      </c>
      <c r="AI128" s="100">
        <v>45482</v>
      </c>
      <c r="AJ128" s="102">
        <v>32671.250800612001</v>
      </c>
      <c r="AL128" s="23"/>
      <c r="AM128" s="23"/>
      <c r="BL128" s="299"/>
    </row>
    <row r="129" spans="17:64">
      <c r="Q129" s="6">
        <v>99</v>
      </c>
      <c r="R129" s="7">
        <v>42766</v>
      </c>
      <c r="S129" s="210">
        <v>3.5</v>
      </c>
      <c r="T129" s="8">
        <v>1.0000972222222222</v>
      </c>
      <c r="U129" s="98">
        <v>3.6121470212088669</v>
      </c>
      <c r="V129" s="106">
        <v>26450.638451417744</v>
      </c>
      <c r="W129" s="10">
        <v>0.73922755213089442</v>
      </c>
      <c r="X129" s="413">
        <v>0.72714554723572111</v>
      </c>
      <c r="Y129" s="414">
        <v>0.29306051228666752</v>
      </c>
      <c r="Z129" s="1"/>
      <c r="AA129" s="3">
        <v>2940</v>
      </c>
      <c r="AB129" s="11">
        <v>3.9715441661579498</v>
      </c>
      <c r="AC129" s="8">
        <v>2940</v>
      </c>
      <c r="AD129" s="108">
        <v>1.0528816366552696</v>
      </c>
      <c r="AF129" s="176">
        <v>45505</v>
      </c>
      <c r="AG129" s="177">
        <v>2.5000000000000001E-3</v>
      </c>
      <c r="AH129" s="177">
        <v>2.4166666666666668E-3</v>
      </c>
      <c r="AI129" s="100">
        <v>45513</v>
      </c>
      <c r="AJ129" s="102">
        <v>32750.206323380149</v>
      </c>
      <c r="AL129" s="23"/>
      <c r="AM129" s="23"/>
      <c r="BL129" s="299"/>
    </row>
    <row r="130" spans="17:64">
      <c r="Q130" s="6">
        <v>100</v>
      </c>
      <c r="R130" s="7">
        <v>42767</v>
      </c>
      <c r="S130" s="210">
        <v>3.5</v>
      </c>
      <c r="T130" s="8">
        <v>1.0000972222222222</v>
      </c>
      <c r="U130" s="98">
        <v>3.6121470212088891</v>
      </c>
      <c r="V130" s="106">
        <v>26451.791638258008</v>
      </c>
      <c r="W130" s="10">
        <v>0.75152502460837933</v>
      </c>
      <c r="X130" s="413">
        <v>0.73921668155386477</v>
      </c>
      <c r="Y130" s="414">
        <v>0.29307478090477623</v>
      </c>
      <c r="Z130" s="1"/>
      <c r="AA130" s="3">
        <v>2970</v>
      </c>
      <c r="AB130" s="11">
        <v>3.9746715015144694</v>
      </c>
      <c r="AC130" s="8">
        <v>2970</v>
      </c>
      <c r="AD130" s="108">
        <v>1.0550498230669212</v>
      </c>
      <c r="AF130" s="176">
        <v>45536</v>
      </c>
      <c r="AG130" s="177">
        <v>2.5000000000000001E-3</v>
      </c>
      <c r="AH130" s="177">
        <v>2.4166666666666668E-3</v>
      </c>
      <c r="AI130" s="100">
        <v>45544</v>
      </c>
      <c r="AJ130" s="102">
        <v>32829.352655328323</v>
      </c>
      <c r="AL130" s="23"/>
      <c r="AM130" s="23"/>
      <c r="BL130" s="299"/>
    </row>
    <row r="131" spans="17:64">
      <c r="Q131" s="6">
        <v>101</v>
      </c>
      <c r="R131" s="7">
        <v>42768</v>
      </c>
      <c r="S131" s="210">
        <v>3.5</v>
      </c>
      <c r="T131" s="8">
        <v>1.0000972222222222</v>
      </c>
      <c r="U131" s="98">
        <v>3.6121470212088669</v>
      </c>
      <c r="V131" s="106">
        <v>26452.94487537456</v>
      </c>
      <c r="W131" s="10">
        <v>0.76358043966411326</v>
      </c>
      <c r="X131" s="413">
        <v>0.75104981043205732</v>
      </c>
      <c r="Y131" s="414">
        <v>0.29308905044843198</v>
      </c>
      <c r="Z131" s="1"/>
      <c r="AA131" s="3">
        <v>3000</v>
      </c>
      <c r="AB131" s="11">
        <v>3.9777474630454397</v>
      </c>
      <c r="AC131" s="8">
        <v>3000</v>
      </c>
      <c r="AD131" s="108">
        <v>1.0571857818510726</v>
      </c>
      <c r="AF131" s="176">
        <v>45566</v>
      </c>
      <c r="AG131" s="177">
        <v>2.5000000000000001E-3</v>
      </c>
      <c r="AH131" s="177">
        <v>2.4166666666666668E-3</v>
      </c>
      <c r="AI131" s="100">
        <v>45574</v>
      </c>
      <c r="AJ131" s="102">
        <v>32908.690257578703</v>
      </c>
      <c r="AL131" s="23"/>
      <c r="AM131" s="23"/>
      <c r="BL131" s="299"/>
    </row>
    <row r="132" spans="17:64">
      <c r="Q132" s="6">
        <v>102</v>
      </c>
      <c r="R132" s="7">
        <v>42769</v>
      </c>
      <c r="S132" s="210">
        <v>3.5</v>
      </c>
      <c r="T132" s="8">
        <v>1.0000972222222222</v>
      </c>
      <c r="U132" s="98">
        <v>3.6121470212088891</v>
      </c>
      <c r="V132" s="106">
        <v>26454.098162769595</v>
      </c>
      <c r="W132" s="10">
        <v>0.77540087437215632</v>
      </c>
      <c r="X132" s="413">
        <v>0.762651934084842</v>
      </c>
      <c r="Y132" s="414">
        <v>0.29310332091771113</v>
      </c>
      <c r="Z132" s="1"/>
      <c r="AA132" s="3">
        <v>3030</v>
      </c>
      <c r="AB132" s="11">
        <v>3.9807735748909856</v>
      </c>
      <c r="AC132" s="8">
        <v>3030</v>
      </c>
      <c r="AD132" s="108">
        <v>1.0592904695294749</v>
      </c>
      <c r="AF132" s="176">
        <v>45597</v>
      </c>
      <c r="AG132" s="177">
        <v>2.5000000000000001E-3</v>
      </c>
      <c r="AH132" s="177">
        <v>2.4166666666666668E-3</v>
      </c>
      <c r="AI132" s="100">
        <v>45605</v>
      </c>
      <c r="AJ132" s="102">
        <v>32988.219592367852</v>
      </c>
      <c r="AL132" s="23"/>
      <c r="AM132" s="23"/>
      <c r="BL132" s="299"/>
    </row>
    <row r="133" spans="17:64">
      <c r="Q133" s="6">
        <v>103</v>
      </c>
      <c r="R133" s="7">
        <v>42770</v>
      </c>
      <c r="S133" s="210">
        <v>3.5</v>
      </c>
      <c r="T133" s="8">
        <v>1.0000972222222222</v>
      </c>
      <c r="U133" s="98">
        <v>3.6121470212088891</v>
      </c>
      <c r="V133" s="106">
        <v>26455.251500445291</v>
      </c>
      <c r="W133" s="10">
        <v>0.78699313258769887</v>
      </c>
      <c r="X133" s="413">
        <v>0.77402978087376983</v>
      </c>
      <c r="Y133" s="414">
        <v>0.29311759231267437</v>
      </c>
      <c r="Z133" s="1"/>
      <c r="AA133" s="3">
        <v>3060</v>
      </c>
      <c r="AB133" s="11">
        <v>3.9837513014913215</v>
      </c>
      <c r="AC133" s="8">
        <v>3060</v>
      </c>
      <c r="AD133" s="108">
        <v>1.0613648051416835</v>
      </c>
      <c r="AF133" s="176">
        <v>45627</v>
      </c>
      <c r="AG133" s="177">
        <v>2.5000000000000001E-3</v>
      </c>
      <c r="AH133" s="177">
        <v>2.4166666666666668E-3</v>
      </c>
      <c r="AI133" s="100">
        <v>45635</v>
      </c>
      <c r="AJ133" s="102">
        <v>33067.941123049408</v>
      </c>
      <c r="AL133" s="23"/>
      <c r="AM133" s="23"/>
      <c r="BL133" s="299"/>
    </row>
    <row r="134" spans="17:64">
      <c r="Q134" s="6">
        <v>104</v>
      </c>
      <c r="R134" s="7">
        <v>42771</v>
      </c>
      <c r="S134" s="210">
        <v>3.5</v>
      </c>
      <c r="T134" s="8">
        <v>1.0000972222222222</v>
      </c>
      <c r="U134" s="98">
        <v>3.6121470212088891</v>
      </c>
      <c r="V134" s="106">
        <v>26456.40488840386</v>
      </c>
      <c r="W134" s="10">
        <v>0.79836375800568238</v>
      </c>
      <c r="X134" s="413">
        <v>0.78518982037717877</v>
      </c>
      <c r="Y134" s="414">
        <v>0.29313186463339258</v>
      </c>
      <c r="Z134" s="1"/>
      <c r="AA134" s="3">
        <v>3090</v>
      </c>
      <c r="AB134" s="11">
        <v>3.9866820504815887</v>
      </c>
      <c r="AC134" s="8">
        <v>3090</v>
      </c>
      <c r="AD134" s="108">
        <v>1.0634096720632265</v>
      </c>
      <c r="AF134" s="176">
        <v>45658</v>
      </c>
      <c r="AG134" s="177">
        <v>2.5000000000000001E-3</v>
      </c>
      <c r="AH134" s="177">
        <v>2.4166666666666668E-3</v>
      </c>
      <c r="AI134" s="100">
        <v>45666</v>
      </c>
      <c r="AJ134" s="102">
        <v>33147.855314096778</v>
      </c>
      <c r="AL134" s="23"/>
      <c r="AM134" s="23"/>
      <c r="BL134" s="299"/>
    </row>
    <row r="135" spans="17:64">
      <c r="Q135" s="168">
        <v>105</v>
      </c>
      <c r="R135" s="169">
        <v>42772</v>
      </c>
      <c r="S135" s="211">
        <v>3.5</v>
      </c>
      <c r="T135" s="170">
        <v>1.0000972222222222</v>
      </c>
      <c r="U135" s="171">
        <v>3.6121470212089113</v>
      </c>
      <c r="V135" s="172">
        <v>26457.558326647475</v>
      </c>
      <c r="W135" s="173">
        <v>0.80951904647796891</v>
      </c>
      <c r="X135" s="415">
        <v>0.7961382757135077</v>
      </c>
      <c r="Y135" s="416">
        <v>0.29314613787993415</v>
      </c>
      <c r="Z135" s="1"/>
      <c r="AA135" s="3">
        <v>3120</v>
      </c>
      <c r="AB135" s="11">
        <v>3.9895671754198752</v>
      </c>
      <c r="AC135" s="8">
        <v>3120</v>
      </c>
      <c r="AD135" s="108">
        <v>1.0654259197191456</v>
      </c>
      <c r="AF135" s="176">
        <v>45689</v>
      </c>
      <c r="AG135" s="177">
        <v>2.5000000000000001E-3</v>
      </c>
      <c r="AH135" s="177">
        <v>2.4166666666666668E-3</v>
      </c>
      <c r="AI135" s="100">
        <v>45697</v>
      </c>
      <c r="AJ135" s="102">
        <v>33227.962631105846</v>
      </c>
      <c r="AL135" s="23"/>
      <c r="AM135" s="23"/>
      <c r="BL135" s="299"/>
    </row>
    <row r="136" spans="17:64">
      <c r="Q136" s="168">
        <v>106</v>
      </c>
      <c r="R136" s="169">
        <v>42773</v>
      </c>
      <c r="S136" s="211">
        <v>3.5</v>
      </c>
      <c r="T136" s="170">
        <v>1.0000972222222222</v>
      </c>
      <c r="U136" s="171">
        <v>3.6121470212089335</v>
      </c>
      <c r="V136" s="172">
        <v>26458.711815178343</v>
      </c>
      <c r="W136" s="173">
        <v>0.82046505763651023</v>
      </c>
      <c r="X136" s="415">
        <v>0.80688113516623594</v>
      </c>
      <c r="Y136" s="416">
        <v>0.29316041205236482</v>
      </c>
      <c r="Z136" s="1"/>
      <c r="AA136" s="3">
        <v>3150</v>
      </c>
      <c r="AB136" s="11">
        <v>3.9924079783588464</v>
      </c>
      <c r="AC136" s="8">
        <v>3150</v>
      </c>
      <c r="AD136" s="108">
        <v>1.0674143651990586</v>
      </c>
      <c r="AF136" s="176">
        <v>45717</v>
      </c>
      <c r="AG136" s="177">
        <v>2.5000000000000001E-3</v>
      </c>
      <c r="AH136" s="177">
        <v>2.4166666666666668E-3</v>
      </c>
      <c r="AI136" s="100">
        <v>45725</v>
      </c>
      <c r="AJ136" s="102">
        <v>33308.263540797685</v>
      </c>
      <c r="AL136" s="23"/>
      <c r="AM136" s="23"/>
      <c r="BL136" s="299"/>
    </row>
    <row r="137" spans="17:64">
      <c r="Q137" s="168">
        <v>107</v>
      </c>
      <c r="R137" s="169">
        <v>42774</v>
      </c>
      <c r="S137" s="211">
        <v>3.5</v>
      </c>
      <c r="T137" s="170">
        <v>1.0000972222222222</v>
      </c>
      <c r="U137" s="171">
        <v>3.6121470212088891</v>
      </c>
      <c r="V137" s="172">
        <v>26459.865353998652</v>
      </c>
      <c r="W137" s="173">
        <v>0.83120762586934571</v>
      </c>
      <c r="X137" s="415">
        <v>0.81742416315785282</v>
      </c>
      <c r="Y137" s="416">
        <v>0.2931746871507479</v>
      </c>
      <c r="Z137" s="1"/>
      <c r="AA137" s="3">
        <v>3180</v>
      </c>
      <c r="AB137" s="11">
        <v>3.9952057122730933</v>
      </c>
      <c r="AC137" s="8">
        <v>3180</v>
      </c>
      <c r="AD137" s="108">
        <v>1.0693757947818303</v>
      </c>
      <c r="AF137" s="176">
        <v>45748</v>
      </c>
      <c r="AG137" s="177">
        <v>2.5000000000000001E-3</v>
      </c>
      <c r="AH137" s="177">
        <v>2.4166666666666668E-3</v>
      </c>
      <c r="AI137" s="100">
        <v>45756</v>
      </c>
      <c r="AJ137" s="102">
        <v>33388.758511021282</v>
      </c>
      <c r="AL137" s="23"/>
      <c r="AM137" s="23"/>
      <c r="BL137" s="299"/>
    </row>
    <row r="138" spans="17:64">
      <c r="Q138" s="168">
        <v>108</v>
      </c>
      <c r="R138" s="169">
        <v>42775</v>
      </c>
      <c r="S138" s="211">
        <v>3.5</v>
      </c>
      <c r="T138" s="170">
        <v>1.0000972222222222</v>
      </c>
      <c r="U138" s="171">
        <v>3.6121470212088891</v>
      </c>
      <c r="V138" s="172">
        <v>26461.018943110594</v>
      </c>
      <c r="W138" s="173">
        <v>0.84175237068990771</v>
      </c>
      <c r="X138" s="415">
        <v>0.82777291061394043</v>
      </c>
      <c r="Y138" s="416">
        <v>0.29318896317515669</v>
      </c>
      <c r="Z138" s="1"/>
      <c r="AA138" s="3">
        <v>3210</v>
      </c>
      <c r="AB138" s="11">
        <v>3.997961583349499</v>
      </c>
      <c r="AC138" s="8">
        <v>3210</v>
      </c>
      <c r="AD138" s="108">
        <v>1.071310965373798</v>
      </c>
      <c r="AF138" s="176">
        <v>45778</v>
      </c>
      <c r="AG138" s="177">
        <v>2.5000000000000001E-3</v>
      </c>
      <c r="AH138" s="177">
        <v>2.4166666666666668E-3</v>
      </c>
      <c r="AI138" s="100">
        <v>45786</v>
      </c>
      <c r="AJ138" s="102">
        <v>33469.448010756256</v>
      </c>
      <c r="AL138" s="23"/>
      <c r="AM138" s="23"/>
      <c r="BL138" s="299"/>
    </row>
    <row r="139" spans="17:64">
      <c r="Q139" s="168">
        <v>109</v>
      </c>
      <c r="R139" s="169">
        <v>42776</v>
      </c>
      <c r="S139" s="211">
        <v>3.5</v>
      </c>
      <c r="T139" s="170">
        <v>1.0000972222222222</v>
      </c>
      <c r="U139" s="171">
        <v>3.6121470212089113</v>
      </c>
      <c r="V139" s="172">
        <v>26461.794525866906</v>
      </c>
      <c r="W139" s="173">
        <v>0.85692969419908227</v>
      </c>
      <c r="X139" s="415">
        <v>0.8426633008523734</v>
      </c>
      <c r="Y139" s="416">
        <v>0.29320324012566173</v>
      </c>
      <c r="Z139" s="1"/>
      <c r="AA139" s="3">
        <v>3240</v>
      </c>
      <c r="AB139" s="11">
        <v>4.0006767531511551</v>
      </c>
      <c r="AC139" s="8">
        <v>3240</v>
      </c>
      <c r="AD139" s="108">
        <v>1.0732206058680407</v>
      </c>
      <c r="AF139" s="176">
        <v>45809</v>
      </c>
      <c r="AG139" s="177">
        <v>2.5000000000000001E-3</v>
      </c>
      <c r="AH139" s="177">
        <v>2.4166666666666668E-3</v>
      </c>
      <c r="AI139" s="100">
        <v>45817</v>
      </c>
      <c r="AJ139" s="102">
        <v>33550.332510115586</v>
      </c>
      <c r="AL139" s="23"/>
      <c r="AM139" s="23"/>
      <c r="BL139" s="299"/>
    </row>
    <row r="140" spans="17:64">
      <c r="Q140" s="168">
        <v>110</v>
      </c>
      <c r="R140" s="169">
        <v>42777</v>
      </c>
      <c r="S140" s="211">
        <v>3.5</v>
      </c>
      <c r="T140" s="170">
        <v>1.0000972222222222</v>
      </c>
      <c r="U140" s="171">
        <v>3.6121470212089335</v>
      </c>
      <c r="V140" s="172">
        <v>26462.570131355853</v>
      </c>
      <c r="W140" s="173">
        <v>0.87183328873214894</v>
      </c>
      <c r="X140" s="415">
        <v>0.85728446976990436</v>
      </c>
      <c r="Y140" s="416">
        <v>0.29321751800232504</v>
      </c>
      <c r="Z140" s="1"/>
      <c r="AA140" s="3">
        <v>3270</v>
      </c>
      <c r="AB140" s="11">
        <v>4.0033523406618539</v>
      </c>
      <c r="AC140" s="8">
        <v>3270</v>
      </c>
      <c r="AD140" s="108">
        <v>1.0751054184280862</v>
      </c>
      <c r="AF140" s="176">
        <v>45839</v>
      </c>
      <c r="AG140" s="177">
        <v>2.5000000000000001E-3</v>
      </c>
      <c r="AH140" s="177">
        <v>2.4166666666666668E-3</v>
      </c>
      <c r="AI140" s="100">
        <v>45847</v>
      </c>
      <c r="AJ140" s="102">
        <v>33631.412480348365</v>
      </c>
      <c r="AL140" s="23"/>
      <c r="AM140" s="23"/>
      <c r="BL140" s="299"/>
    </row>
    <row r="141" spans="17:64">
      <c r="Q141" s="168">
        <v>111</v>
      </c>
      <c r="R141" s="169">
        <v>42778</v>
      </c>
      <c r="S141" s="211">
        <v>3.5</v>
      </c>
      <c r="T141" s="170">
        <v>1.0000972222222222</v>
      </c>
      <c r="U141" s="171">
        <v>3.6121470212089335</v>
      </c>
      <c r="V141" s="172">
        <v>26463.345759578093</v>
      </c>
      <c r="W141" s="173">
        <v>0.88647049316350479</v>
      </c>
      <c r="X141" s="415">
        <v>0.87164369372020589</v>
      </c>
      <c r="Y141" s="416">
        <v>0.29323179680521233</v>
      </c>
      <c r="Z141" s="1"/>
      <c r="AA141" s="3">
        <v>3300</v>
      </c>
      <c r="AB141" s="11">
        <v>4.0059894242198384</v>
      </c>
      <c r="AC141" s="8">
        <v>3300</v>
      </c>
      <c r="AD141" s="108">
        <v>1.0769660797025602</v>
      </c>
      <c r="AF141" s="176">
        <v>45870</v>
      </c>
      <c r="AG141" s="177">
        <v>2.5000000000000001E-3</v>
      </c>
      <c r="AH141" s="177">
        <v>2.4166666666666668E-3</v>
      </c>
      <c r="AI141" s="100">
        <v>45878</v>
      </c>
      <c r="AJ141" s="102">
        <v>33712.688393842545</v>
      </c>
      <c r="AL141" s="23"/>
      <c r="AM141" s="23"/>
      <c r="BL141" s="299"/>
    </row>
    <row r="142" spans="17:64">
      <c r="Q142" s="168">
        <v>112</v>
      </c>
      <c r="R142" s="169">
        <v>42779</v>
      </c>
      <c r="S142" s="211">
        <v>3.5</v>
      </c>
      <c r="T142" s="170">
        <v>1.0000972222222222</v>
      </c>
      <c r="U142" s="171">
        <v>3.6121470212088891</v>
      </c>
      <c r="V142" s="172">
        <v>26464.121410534302</v>
      </c>
      <c r="W142" s="173">
        <v>0.90084838634951758</v>
      </c>
      <c r="X142" s="415">
        <v>0.88574798918724829</v>
      </c>
      <c r="Y142" s="416">
        <v>0.29324607653439289</v>
      </c>
      <c r="Z142" s="1"/>
      <c r="AA142" s="3">
        <v>3330</v>
      </c>
      <c r="AB142" s="11">
        <v>4.008589043345955</v>
      </c>
      <c r="AC142" s="8">
        <v>3330</v>
      </c>
      <c r="AD142" s="108">
        <v>1.0788032419729803</v>
      </c>
      <c r="AF142" s="176">
        <v>45901</v>
      </c>
      <c r="AG142" s="177">
        <v>2.5000000000000001E-3</v>
      </c>
      <c r="AH142" s="177">
        <v>2.4166666666666668E-3</v>
      </c>
      <c r="AI142" s="100">
        <v>45909</v>
      </c>
      <c r="AJ142" s="102">
        <v>33794.160724127665</v>
      </c>
      <c r="AL142" s="23"/>
      <c r="AM142" s="23"/>
      <c r="BL142" s="299"/>
    </row>
    <row r="143" spans="17:64">
      <c r="Q143" s="168">
        <v>113</v>
      </c>
      <c r="R143" s="169">
        <v>42780</v>
      </c>
      <c r="S143" s="211">
        <v>3.5</v>
      </c>
      <c r="T143" s="170">
        <v>1.0000972222222222</v>
      </c>
      <c r="U143" s="171">
        <v>3.6121470212089113</v>
      </c>
      <c r="V143" s="172">
        <v>26464.897084225144</v>
      </c>
      <c r="W143" s="173">
        <v>0.91497379854266203</v>
      </c>
      <c r="X143" s="415">
        <v>0.89960412428388736</v>
      </c>
      <c r="Y143" s="416">
        <v>0.29326035718993959</v>
      </c>
      <c r="Z143" s="1"/>
      <c r="AA143" s="3">
        <v>3360</v>
      </c>
      <c r="AB143" s="11">
        <v>4.0111522004754274</v>
      </c>
      <c r="AC143" s="8">
        <v>3360</v>
      </c>
      <c r="AD143" s="108">
        <v>1.0806175342414861</v>
      </c>
      <c r="AF143" s="176">
        <v>45931</v>
      </c>
      <c r="AG143" s="177">
        <v>2.5000000000000001E-3</v>
      </c>
      <c r="AH143" s="177">
        <v>2.4166666666666668E-3</v>
      </c>
      <c r="AI143" s="100">
        <v>45939</v>
      </c>
      <c r="AJ143" s="102">
        <v>33875.829945877646</v>
      </c>
      <c r="AL143" s="23"/>
      <c r="AM143" s="23"/>
      <c r="BL143" s="299"/>
    </row>
    <row r="144" spans="17:64">
      <c r="Q144" s="168">
        <v>114</v>
      </c>
      <c r="R144" s="169">
        <v>42781</v>
      </c>
      <c r="S144" s="211">
        <v>3.5</v>
      </c>
      <c r="T144" s="170">
        <v>1.0000972222222222</v>
      </c>
      <c r="U144" s="171">
        <v>3.6121470212089335</v>
      </c>
      <c r="V144" s="172">
        <v>26465.672780651279</v>
      </c>
      <c r="W144" s="173">
        <v>0.92885332220999928</v>
      </c>
      <c r="X144" s="415">
        <v>0.91321862964540523</v>
      </c>
      <c r="Y144" s="416">
        <v>0.29327463877191673</v>
      </c>
      <c r="Z144" s="1"/>
      <c r="AA144" s="3">
        <v>3390</v>
      </c>
      <c r="AB144" s="11">
        <v>4.0136798625966339</v>
      </c>
      <c r="AC144" s="8">
        <v>3390</v>
      </c>
      <c r="AD144" s="108">
        <v>1.0824095632597484</v>
      </c>
      <c r="AF144" s="176">
        <v>45962</v>
      </c>
      <c r="AG144" s="177">
        <v>2.5000000000000001E-3</v>
      </c>
      <c r="AH144" s="177">
        <v>2.4166666666666668E-3</v>
      </c>
      <c r="AI144" s="100">
        <v>45970</v>
      </c>
      <c r="AJ144" s="102">
        <v>33957.696534913521</v>
      </c>
      <c r="AL144" s="23"/>
      <c r="AM144" s="23"/>
      <c r="BL144" s="299"/>
    </row>
    <row r="145" spans="17:64">
      <c r="Q145" s="168">
        <v>115</v>
      </c>
      <c r="R145" s="169">
        <v>42782</v>
      </c>
      <c r="S145" s="211">
        <v>3.5</v>
      </c>
      <c r="T145" s="170">
        <v>1.0000972222222222</v>
      </c>
      <c r="U145" s="171">
        <v>3.6121470212089557</v>
      </c>
      <c r="V145" s="172">
        <v>26466.448499813378</v>
      </c>
      <c r="W145" s="173">
        <v>0.94249332229114913</v>
      </c>
      <c r="X145" s="415">
        <v>0.92659780875455267</v>
      </c>
      <c r="Y145" s="416">
        <v>0.2932889212803923</v>
      </c>
      <c r="Z145" s="1"/>
      <c r="AA145" s="3">
        <v>3420</v>
      </c>
      <c r="AB145" s="11">
        <v>4.0161729628045091</v>
      </c>
      <c r="AC145" s="8">
        <v>3420</v>
      </c>
      <c r="AD145" s="108">
        <v>1.0841799145046345</v>
      </c>
      <c r="AF145" s="176">
        <v>45992</v>
      </c>
      <c r="AG145" s="177">
        <v>2.5000000000000001E-3</v>
      </c>
      <c r="AH145" s="177">
        <v>2.4166666666666668E-3</v>
      </c>
      <c r="AI145" s="100">
        <v>46000</v>
      </c>
      <c r="AJ145" s="102">
        <v>34039.760968206232</v>
      </c>
      <c r="AL145" s="23"/>
      <c r="AM145" s="23"/>
      <c r="BL145" s="299"/>
    </row>
    <row r="146" spans="17:64">
      <c r="Q146" s="168">
        <v>116</v>
      </c>
      <c r="R146" s="169">
        <v>42783</v>
      </c>
      <c r="S146" s="211">
        <v>3.5</v>
      </c>
      <c r="T146" s="170">
        <v>1.0000972222222222</v>
      </c>
      <c r="U146" s="171">
        <v>3.6121470212090001</v>
      </c>
      <c r="V146" s="172">
        <v>26467.224241712109</v>
      </c>
      <c r="W146" s="173">
        <v>0.95589994592994998</v>
      </c>
      <c r="X146" s="415">
        <v>0.93974774773239944</v>
      </c>
      <c r="Y146" s="416">
        <v>0.29330320471543192</v>
      </c>
      <c r="Z146" s="1"/>
      <c r="AA146" s="3">
        <v>3450</v>
      </c>
      <c r="AB146" s="11">
        <v>4.0186324017722113</v>
      </c>
      <c r="AC146" s="8">
        <v>3450</v>
      </c>
      <c r="AD146" s="108">
        <v>1.0859291531020903</v>
      </c>
      <c r="AF146" s="176">
        <v>46023</v>
      </c>
      <c r="AG146" s="177">
        <v>2.5000000000000001E-3</v>
      </c>
      <c r="AH146" s="177">
        <v>2.4166666666666668E-3</v>
      </c>
      <c r="AI146" s="100">
        <v>46031</v>
      </c>
      <c r="AJ146" s="102">
        <v>34122.0237238794</v>
      </c>
      <c r="AL146" s="23"/>
      <c r="AM146" s="23"/>
      <c r="BL146" s="299"/>
    </row>
    <row r="147" spans="17:64">
      <c r="Q147" s="168">
        <v>117</v>
      </c>
      <c r="R147" s="169">
        <v>42784</v>
      </c>
      <c r="S147" s="211">
        <v>3.5</v>
      </c>
      <c r="T147" s="170">
        <v>1.0000972222222222</v>
      </c>
      <c r="U147" s="171">
        <v>3.6121470212090223</v>
      </c>
      <c r="V147" s="172">
        <v>26468.000006348138</v>
      </c>
      <c r="W147" s="173">
        <v>0.96907913171127014</v>
      </c>
      <c r="X147" s="415">
        <v>0.9526743246277728</v>
      </c>
      <c r="Y147" s="416">
        <v>0.29331748907710453</v>
      </c>
      <c r="Z147" s="1"/>
      <c r="AA147" s="3">
        <v>3480</v>
      </c>
      <c r="AB147" s="11">
        <v>4.0210590491475608</v>
      </c>
      <c r="AC147" s="8">
        <v>3480</v>
      </c>
      <c r="AD147" s="108">
        <v>1.087657824704128</v>
      </c>
      <c r="AF147" s="176">
        <v>46054</v>
      </c>
      <c r="AG147" s="177">
        <v>2.5000000000000001E-3</v>
      </c>
      <c r="AH147" s="177">
        <v>2.4166666666666668E-3</v>
      </c>
      <c r="AI147" s="100">
        <v>46062</v>
      </c>
      <c r="AJ147" s="102">
        <v>34204.48528121211</v>
      </c>
      <c r="AL147" s="23"/>
      <c r="AM147" s="23"/>
      <c r="BL147" s="299"/>
    </row>
    <row r="148" spans="17:64">
      <c r="Q148" s="168">
        <v>118</v>
      </c>
      <c r="R148" s="169">
        <v>42785</v>
      </c>
      <c r="S148" s="211">
        <v>3.5</v>
      </c>
      <c r="T148" s="170">
        <v>1.0000972222222222</v>
      </c>
      <c r="U148" s="171">
        <v>3.6121470212090445</v>
      </c>
      <c r="V148" s="172">
        <v>26468.775793722129</v>
      </c>
      <c r="W148" s="173">
        <v>0.98203661843121459</v>
      </c>
      <c r="X148" s="415">
        <v>0.9653832182335409</v>
      </c>
      <c r="Y148" s="416">
        <v>0.29333177436547686</v>
      </c>
      <c r="Z148" s="1"/>
      <c r="AA148" s="3">
        <v>3510</v>
      </c>
      <c r="AB148" s="11">
        <v>4.0234537448771812</v>
      </c>
      <c r="AC148" s="8">
        <v>3510</v>
      </c>
      <c r="AD148" s="108">
        <v>1.0893664563202285</v>
      </c>
      <c r="AF148" s="176">
        <v>46082</v>
      </c>
      <c r="AG148" s="177">
        <v>2.5000000000000001E-3</v>
      </c>
      <c r="AH148" s="177">
        <v>2.4166666666666668E-3</v>
      </c>
      <c r="AI148" s="100">
        <v>46090</v>
      </c>
      <c r="AJ148" s="102">
        <v>34287.146120641708</v>
      </c>
      <c r="AL148" s="23"/>
      <c r="AM148" s="23"/>
      <c r="BL148" s="299"/>
    </row>
    <row r="149" spans="17:64">
      <c r="Q149" s="168">
        <v>119</v>
      </c>
      <c r="R149" s="169">
        <v>42786</v>
      </c>
      <c r="S149" s="211">
        <v>3.5</v>
      </c>
      <c r="T149" s="170">
        <v>1.0000972222222222</v>
      </c>
      <c r="U149" s="171">
        <v>3.6121470212090223</v>
      </c>
      <c r="V149" s="172">
        <v>26469.551603834745</v>
      </c>
      <c r="W149" s="173">
        <v>0.99477795342846065</v>
      </c>
      <c r="X149" s="415">
        <v>0.97787991645870997</v>
      </c>
      <c r="Y149" s="416">
        <v>0.29334606058061347</v>
      </c>
      <c r="Z149" s="1"/>
      <c r="AA149" s="3">
        <v>3540</v>
      </c>
      <c r="AB149" s="11">
        <v>4.0258173004640927</v>
      </c>
      <c r="AC149" s="8">
        <v>3540</v>
      </c>
      <c r="AD149" s="108">
        <v>1.0910555571069751</v>
      </c>
      <c r="AF149" s="176">
        <v>46113</v>
      </c>
      <c r="AG149" s="177">
        <v>2.5000000000000001E-3</v>
      </c>
      <c r="AH149" s="177">
        <v>2.4166666666666668E-3</v>
      </c>
      <c r="AI149" s="100">
        <v>46121</v>
      </c>
      <c r="AJ149" s="102">
        <v>34370.006723766593</v>
      </c>
      <c r="AL149" s="23"/>
      <c r="AM149" s="23"/>
      <c r="BL149" s="299"/>
    </row>
    <row r="150" spans="17:64">
      <c r="Q150" s="168">
        <v>120</v>
      </c>
      <c r="R150" s="169">
        <v>42787</v>
      </c>
      <c r="S150" s="211">
        <v>3.5</v>
      </c>
      <c r="T150" s="170">
        <v>1.0000972222222222</v>
      </c>
      <c r="U150" s="171">
        <v>3.6121470212090445</v>
      </c>
      <c r="V150" s="172">
        <v>26470.327436686668</v>
      </c>
      <c r="W150" s="173">
        <v>1.0073085005025018</v>
      </c>
      <c r="X150" s="415">
        <v>0.99016972428198624</v>
      </c>
      <c r="Y150" s="416">
        <v>0.29336034772258768</v>
      </c>
      <c r="Z150" s="1"/>
      <c r="AA150" s="3">
        <v>3570</v>
      </c>
      <c r="AB150" s="11">
        <v>4.0281505001613791</v>
      </c>
      <c r="AC150" s="8">
        <v>3570</v>
      </c>
      <c r="AD150" s="108">
        <v>1.0927256191176107</v>
      </c>
      <c r="AF150" s="176">
        <v>46143</v>
      </c>
      <c r="AG150" s="177">
        <v>2.5000000000000001E-3</v>
      </c>
      <c r="AH150" s="177">
        <v>2.4166666666666668E-3</v>
      </c>
      <c r="AI150" s="100">
        <v>46151</v>
      </c>
      <c r="AJ150" s="102">
        <v>34453.067573349035</v>
      </c>
      <c r="AL150" s="23"/>
      <c r="AM150" s="23"/>
      <c r="BL150" s="299"/>
    </row>
    <row r="151" spans="17:64">
      <c r="Q151" s="168">
        <v>121</v>
      </c>
      <c r="R151" s="169">
        <v>42788</v>
      </c>
      <c r="S151" s="211">
        <v>3.5</v>
      </c>
      <c r="T151" s="170">
        <v>1.0000972222222222</v>
      </c>
      <c r="U151" s="171">
        <v>3.6121470212090445</v>
      </c>
      <c r="V151" s="172">
        <v>26471.103292278545</v>
      </c>
      <c r="W151" s="173">
        <v>1.019633447441981</v>
      </c>
      <c r="X151" s="415">
        <v>1.0022577713110112</v>
      </c>
      <c r="Y151" s="416">
        <v>0.293374635791465</v>
      </c>
      <c r="Z151" s="1"/>
      <c r="AA151" s="3">
        <v>3600</v>
      </c>
      <c r="AB151" s="11">
        <v>4.0304541021065061</v>
      </c>
      <c r="AC151" s="8">
        <v>3600</v>
      </c>
      <c r="AD151" s="108">
        <v>1.0943771180140671</v>
      </c>
      <c r="AF151" s="176">
        <v>46174</v>
      </c>
      <c r="AG151" s="177">
        <v>2.5000000000000001E-3</v>
      </c>
      <c r="AH151" s="177">
        <v>2.4166666666666668E-3</v>
      </c>
      <c r="AI151" s="100">
        <v>46182</v>
      </c>
      <c r="AJ151" s="102">
        <v>34536.329153317965</v>
      </c>
      <c r="AL151" s="23"/>
      <c r="AM151" s="23"/>
      <c r="BL151" s="299"/>
    </row>
    <row r="152" spans="17:64">
      <c r="Q152" s="168">
        <v>122</v>
      </c>
      <c r="R152" s="169">
        <v>42789</v>
      </c>
      <c r="S152" s="211">
        <v>3.5</v>
      </c>
      <c r="T152" s="170">
        <v>1.0000972222222222</v>
      </c>
      <c r="U152" s="171">
        <v>3.6121470212090667</v>
      </c>
      <c r="V152" s="172">
        <v>26471.87917061105</v>
      </c>
      <c r="W152" s="173">
        <v>1.0317578131855409</v>
      </c>
      <c r="X152" s="415">
        <v>1.0141490189696352</v>
      </c>
      <c r="Y152" s="416">
        <v>0.29338892478731421</v>
      </c>
      <c r="Z152" s="1"/>
      <c r="AA152" s="3">
        <v>3960</v>
      </c>
      <c r="AB152" s="11">
        <v>4.0560333320590285</v>
      </c>
      <c r="AC152" s="8">
        <v>3960</v>
      </c>
      <c r="AD152" s="108">
        <v>1.1129006592863206</v>
      </c>
      <c r="AF152" s="176">
        <v>46204</v>
      </c>
      <c r="AG152" s="177">
        <v>2.5000000000000001E-3</v>
      </c>
      <c r="AH152" s="177">
        <v>2.4166666666666668E-3</v>
      </c>
      <c r="AI152" s="100">
        <v>46212</v>
      </c>
      <c r="AJ152" s="102">
        <v>34619.791948771817</v>
      </c>
      <c r="AL152" s="23"/>
      <c r="AM152" s="23"/>
      <c r="BL152" s="299"/>
    </row>
    <row r="153" spans="17:64">
      <c r="Q153" s="168">
        <v>123</v>
      </c>
      <c r="R153" s="169">
        <v>42790</v>
      </c>
      <c r="S153" s="211">
        <v>3.5</v>
      </c>
      <c r="T153" s="170">
        <v>1.0000972222222222</v>
      </c>
      <c r="U153" s="171">
        <v>3.6121470212090889</v>
      </c>
      <c r="V153" s="172">
        <v>26472.655071684858</v>
      </c>
      <c r="W153" s="173">
        <v>1.0436864546352398</v>
      </c>
      <c r="X153" s="415">
        <v>1.0258482673342009</v>
      </c>
      <c r="Y153" s="416">
        <v>0.29340321471020187</v>
      </c>
      <c r="Z153" s="1"/>
      <c r="AA153" s="3">
        <v>4320</v>
      </c>
      <c r="AB153" s="11">
        <v>4.0784630970892701</v>
      </c>
      <c r="AC153" s="8">
        <v>4320</v>
      </c>
      <c r="AD153" s="108">
        <v>1.1294491181271917</v>
      </c>
      <c r="AF153" s="176">
        <v>46235</v>
      </c>
      <c r="AG153" s="177">
        <v>2.5000000000000001E-3</v>
      </c>
      <c r="AH153" s="177">
        <v>2.4166666666666668E-3</v>
      </c>
      <c r="AI153" s="100">
        <v>46243</v>
      </c>
      <c r="AJ153" s="102">
        <v>34703.456445981348</v>
      </c>
      <c r="AL153" s="23"/>
      <c r="AM153" s="23"/>
      <c r="BL153" s="299"/>
    </row>
    <row r="154" spans="17:64">
      <c r="Q154" s="6">
        <v>124</v>
      </c>
      <c r="R154" s="7">
        <v>42791</v>
      </c>
      <c r="S154" s="210">
        <v>3.5</v>
      </c>
      <c r="T154" s="8">
        <v>1.0000972222222222</v>
      </c>
      <c r="U154" s="98">
        <v>3.6121470212090889</v>
      </c>
      <c r="V154" s="106">
        <v>26473.430995500621</v>
      </c>
      <c r="W154" s="10">
        <v>1.0554240731441844</v>
      </c>
      <c r="X154" s="413">
        <v>1.0373601616403298</v>
      </c>
      <c r="Y154" s="414">
        <v>0.29341750556019242</v>
      </c>
      <c r="Z154" s="1"/>
      <c r="AA154" s="3">
        <v>4680</v>
      </c>
      <c r="AB154" s="11">
        <v>4.098469637067228</v>
      </c>
      <c r="AC154" s="8">
        <v>4680</v>
      </c>
      <c r="AD154" s="108">
        <v>1.1444780563555934</v>
      </c>
      <c r="AF154" s="176">
        <v>46266</v>
      </c>
      <c r="AG154" s="177">
        <v>2.5000000000000001E-3</v>
      </c>
      <c r="AH154" s="177">
        <v>2.4166666666666668E-3</v>
      </c>
      <c r="AI154" s="100">
        <v>46274</v>
      </c>
      <c r="AJ154" s="102">
        <v>34787.32313239247</v>
      </c>
      <c r="AL154" s="23"/>
      <c r="AM154" s="23"/>
      <c r="BL154" s="299"/>
    </row>
    <row r="155" spans="17:64">
      <c r="Q155" s="6">
        <v>125</v>
      </c>
      <c r="R155" s="7">
        <v>42792</v>
      </c>
      <c r="S155" s="210">
        <v>3.5</v>
      </c>
      <c r="T155" s="8">
        <v>1.0000972222222222</v>
      </c>
      <c r="U155" s="98">
        <v>3.6121470212091111</v>
      </c>
      <c r="V155" s="106">
        <v>26474.206942059016</v>
      </c>
      <c r="W155" s="10">
        <v>1.0669752206934113</v>
      </c>
      <c r="X155" s="413">
        <v>1.0486891984759126</v>
      </c>
      <c r="Y155" s="414">
        <v>0.2934317973373588</v>
      </c>
      <c r="Z155" s="1"/>
      <c r="AA155" s="3">
        <v>5040</v>
      </c>
      <c r="AB155" s="11">
        <v>4.1165718431857377</v>
      </c>
      <c r="AC155" s="8">
        <v>5040</v>
      </c>
      <c r="AD155" s="108">
        <v>1.1583129353269468</v>
      </c>
      <c r="AF155" s="176">
        <v>46296</v>
      </c>
      <c r="AG155" s="177">
        <v>2.5000000000000001E-3</v>
      </c>
      <c r="AH155" s="177">
        <v>2.4166666666666668E-3</v>
      </c>
      <c r="AI155" s="100">
        <v>46304</v>
      </c>
      <c r="AJ155" s="102">
        <v>34871.392496629087</v>
      </c>
      <c r="AL155" s="23"/>
      <c r="AM155" s="23"/>
      <c r="BL155" s="299"/>
    </row>
    <row r="156" spans="17:64" ht="15.75" thickBot="1">
      <c r="Q156" s="6">
        <v>126</v>
      </c>
      <c r="R156" s="7">
        <v>42793</v>
      </c>
      <c r="S156" s="210">
        <v>3.5</v>
      </c>
      <c r="T156" s="8">
        <v>1.0000972222222222</v>
      </c>
      <c r="U156" s="98">
        <v>3.6121470212091333</v>
      </c>
      <c r="V156" s="106">
        <v>26474.982911360712</v>
      </c>
      <c r="W156" s="10">
        <v>1.0783443057774678</v>
      </c>
      <c r="X156" s="413">
        <v>1.0598397316799537</v>
      </c>
      <c r="Y156" s="414">
        <v>0.29344609004176647</v>
      </c>
      <c r="Z156" s="1"/>
      <c r="AA156" s="4">
        <v>5400</v>
      </c>
      <c r="AB156" s="12">
        <v>4.1331503280281598</v>
      </c>
      <c r="AC156" s="417">
        <v>5400</v>
      </c>
      <c r="AD156" s="109">
        <v>1.1711924640747253</v>
      </c>
      <c r="AF156" s="176">
        <v>46327</v>
      </c>
      <c r="AG156" s="177">
        <v>2.5000000000000001E-3</v>
      </c>
      <c r="AH156" s="177">
        <v>2.4166666666666668E-3</v>
      </c>
      <c r="AI156" s="100">
        <v>46335</v>
      </c>
      <c r="AJ156" s="102">
        <v>34955.66502849594</v>
      </c>
      <c r="AL156" s="23"/>
      <c r="AM156" s="23"/>
      <c r="BL156" s="299"/>
    </row>
    <row r="157" spans="17:64">
      <c r="Q157" s="6">
        <v>127</v>
      </c>
      <c r="R157" s="7">
        <v>42794</v>
      </c>
      <c r="S157" s="210">
        <v>3.5</v>
      </c>
      <c r="T157" s="8">
        <v>1.0000972222222222</v>
      </c>
      <c r="U157" s="98">
        <v>3.6121470212091555</v>
      </c>
      <c r="V157" s="106">
        <v>26475.758903406364</v>
      </c>
      <c r="W157" s="10">
        <v>1.0895355990140798</v>
      </c>
      <c r="X157" s="413">
        <v>1.0708159779628592</v>
      </c>
      <c r="Y157" s="414">
        <v>0.29346038367348404</v>
      </c>
      <c r="Z157" s="1"/>
      <c r="AA157" s="1"/>
      <c r="AB157" s="1"/>
      <c r="AC157" s="1"/>
      <c r="AD157" s="1"/>
      <c r="AF157" s="176">
        <v>46357</v>
      </c>
      <c r="AG157" s="177">
        <v>2.5000000000000001E-3</v>
      </c>
      <c r="AH157" s="177">
        <v>2.4166666666666668E-3</v>
      </c>
      <c r="AI157" s="100">
        <v>46365</v>
      </c>
      <c r="AJ157" s="102">
        <v>35040.141218981473</v>
      </c>
      <c r="AL157" s="23"/>
      <c r="AM157" s="23"/>
      <c r="BL157" s="299"/>
    </row>
    <row r="158" spans="17:64">
      <c r="Q158" s="6">
        <v>128</v>
      </c>
      <c r="R158" s="7">
        <v>42795</v>
      </c>
      <c r="S158" s="210">
        <v>3.5</v>
      </c>
      <c r="T158" s="8">
        <v>1.0000972222222222</v>
      </c>
      <c r="U158" s="98">
        <v>3.6121470212091777</v>
      </c>
      <c r="V158" s="106">
        <v>26476.534918196645</v>
      </c>
      <c r="W158" s="10">
        <v>1.1005532384920746</v>
      </c>
      <c r="X158" s="413">
        <v>1.0816220222627098</v>
      </c>
      <c r="Y158" s="414">
        <v>0.29347467823257789</v>
      </c>
      <c r="Z158" s="1"/>
      <c r="AA158" s="1"/>
      <c r="AB158" s="1"/>
      <c r="AC158" s="1"/>
      <c r="AD158" s="1"/>
      <c r="AF158" s="176">
        <v>46388</v>
      </c>
      <c r="AG158" s="177">
        <v>2.5000000000000001E-3</v>
      </c>
      <c r="AH158" s="177">
        <v>2.4166666666666668E-3</v>
      </c>
      <c r="AI158" s="100">
        <v>46396</v>
      </c>
      <c r="AJ158" s="102">
        <v>35124.82156026068</v>
      </c>
      <c r="AL158" s="23"/>
      <c r="AM158" s="23"/>
      <c r="BL158" s="299"/>
    </row>
    <row r="159" spans="17:64">
      <c r="Q159" s="6">
        <v>129</v>
      </c>
      <c r="R159" s="7">
        <v>42796</v>
      </c>
      <c r="S159" s="210">
        <v>3.5</v>
      </c>
      <c r="T159" s="8">
        <v>1.0000972222222222</v>
      </c>
      <c r="U159" s="98">
        <v>3.6121470212091777</v>
      </c>
      <c r="V159" s="106">
        <v>26477.31095573222</v>
      </c>
      <c r="W159" s="10">
        <v>1.1114012348727886</v>
      </c>
      <c r="X159" s="413">
        <v>1.09226182285284</v>
      </c>
      <c r="Y159" s="414">
        <v>0.29348897371911242</v>
      </c>
      <c r="Z159" s="1"/>
      <c r="AA159" s="1"/>
      <c r="AB159" s="1"/>
      <c r="AC159" s="1"/>
      <c r="AD159" s="1"/>
      <c r="AF159" s="176">
        <v>46419</v>
      </c>
      <c r="AG159" s="177">
        <v>2.5000000000000001E-3</v>
      </c>
      <c r="AH159" s="177">
        <v>2.4166666666666668E-3</v>
      </c>
      <c r="AI159" s="100">
        <v>46427</v>
      </c>
      <c r="AJ159" s="102">
        <v>35209.706545697976</v>
      </c>
      <c r="AL159" s="23"/>
      <c r="AM159" s="23"/>
      <c r="BL159" s="299"/>
    </row>
    <row r="160" spans="17:64">
      <c r="Q160" s="6">
        <v>130</v>
      </c>
      <c r="R160" s="7">
        <v>42797</v>
      </c>
      <c r="S160" s="210">
        <v>3.5</v>
      </c>
      <c r="T160" s="8">
        <v>1.0000972222222222</v>
      </c>
      <c r="U160" s="98">
        <v>3.6121470212091777</v>
      </c>
      <c r="V160" s="106">
        <v>26478.087016013757</v>
      </c>
      <c r="W160" s="10">
        <v>1.1220834762576848</v>
      </c>
      <c r="X160" s="413">
        <v>1.102739216213743</v>
      </c>
      <c r="Y160" s="414">
        <v>0.29350327013316035</v>
      </c>
      <c r="Z160" s="1"/>
      <c r="AA160" s="1"/>
      <c r="AB160" s="1"/>
      <c r="AC160" s="1"/>
      <c r="AD160" s="1"/>
      <c r="AF160" s="176">
        <v>46447</v>
      </c>
      <c r="AG160" s="177">
        <v>2.5000000000000001E-3</v>
      </c>
      <c r="AH160" s="177">
        <v>2.4166666666666668E-3</v>
      </c>
      <c r="AI160" s="100">
        <v>46455</v>
      </c>
      <c r="AJ160" s="102">
        <v>35294.796669850082</v>
      </c>
      <c r="AL160" s="23"/>
      <c r="AM160" s="23"/>
      <c r="BL160" s="299"/>
    </row>
    <row r="161" spans="17:64">
      <c r="Q161" s="6">
        <v>131</v>
      </c>
      <c r="R161" s="7">
        <v>42798</v>
      </c>
      <c r="S161" s="210">
        <v>3.5</v>
      </c>
      <c r="T161" s="8">
        <v>1.0000972222222222</v>
      </c>
      <c r="U161" s="98">
        <v>3.6121470212091777</v>
      </c>
      <c r="V161" s="106">
        <v>26478.863099041926</v>
      </c>
      <c r="W161" s="10">
        <v>1.1326037328337923</v>
      </c>
      <c r="X161" s="413">
        <v>1.113057921681164</v>
      </c>
      <c r="Y161" s="414">
        <v>0.29351756747478697</v>
      </c>
      <c r="Z161" s="1"/>
      <c r="AA161" s="1"/>
      <c r="AB161" s="1"/>
      <c r="AC161" s="1"/>
      <c r="AD161" s="1"/>
      <c r="AF161" s="176">
        <v>46478</v>
      </c>
      <c r="AG161" s="177">
        <v>2.5000000000000001E-3</v>
      </c>
      <c r="AH161" s="177">
        <v>2.4166666666666668E-3</v>
      </c>
      <c r="AI161" s="100">
        <v>46486</v>
      </c>
      <c r="AJ161" s="102">
        <v>35380.092428468888</v>
      </c>
      <c r="AL161" s="23"/>
      <c r="AM161" s="23"/>
      <c r="BL161" s="299"/>
    </row>
    <row r="162" spans="17:64">
      <c r="Q162" s="6">
        <v>132</v>
      </c>
      <c r="R162" s="7">
        <v>42799</v>
      </c>
      <c r="S162" s="210">
        <v>3.5</v>
      </c>
      <c r="T162" s="8">
        <v>1.0000972222222222</v>
      </c>
      <c r="U162" s="98">
        <v>3.6121470212091555</v>
      </c>
      <c r="V162" s="106">
        <v>26479.639204817388</v>
      </c>
      <c r="W162" s="10">
        <v>1.1429656613105799</v>
      </c>
      <c r="X162" s="413">
        <v>1.1232215458839467</v>
      </c>
      <c r="Y162" s="414">
        <v>0.2935318657440607</v>
      </c>
      <c r="Z162" s="1"/>
      <c r="AA162" s="1"/>
      <c r="AB162" s="1"/>
      <c r="AC162" s="1"/>
      <c r="AD162" s="1"/>
      <c r="AF162" s="176">
        <v>46508</v>
      </c>
      <c r="AG162" s="177">
        <v>2.5000000000000001E-3</v>
      </c>
      <c r="AH162" s="177">
        <v>2.4166666666666668E-3</v>
      </c>
      <c r="AI162" s="100">
        <v>46516</v>
      </c>
      <c r="AJ162" s="102">
        <v>35465.594318504358</v>
      </c>
      <c r="AL162" s="23"/>
      <c r="AM162" s="23"/>
      <c r="BL162" s="299"/>
    </row>
    <row r="163" spans="17:64">
      <c r="Q163" s="6">
        <v>133</v>
      </c>
      <c r="R163" s="7">
        <v>42800</v>
      </c>
      <c r="S163" s="210">
        <v>3.5</v>
      </c>
      <c r="T163" s="8">
        <v>1.0000972222222222</v>
      </c>
      <c r="U163" s="98">
        <v>3.6121470212091333</v>
      </c>
      <c r="V163" s="106">
        <v>26480.415333340814</v>
      </c>
      <c r="W163" s="10">
        <v>1.1531728091571436</v>
      </c>
      <c r="X163" s="413">
        <v>1.1332335869808343</v>
      </c>
      <c r="Y163" s="414">
        <v>0.29354616494104785</v>
      </c>
      <c r="Z163" s="1"/>
      <c r="AA163" s="1"/>
      <c r="AB163" s="1"/>
      <c r="AC163" s="1"/>
      <c r="AD163" s="1"/>
      <c r="AF163" s="176">
        <v>46539</v>
      </c>
      <c r="AG163" s="177">
        <v>2.5000000000000001E-3</v>
      </c>
      <c r="AH163" s="177">
        <v>2.4166666666666668E-3</v>
      </c>
      <c r="AI163" s="100">
        <v>46547</v>
      </c>
      <c r="AJ163" s="102">
        <v>35551.302838107411</v>
      </c>
      <c r="AL163" s="23"/>
      <c r="AM163" s="23"/>
      <c r="BL163" s="299"/>
    </row>
    <row r="164" spans="17:64">
      <c r="Q164" s="6">
        <v>134</v>
      </c>
      <c r="R164" s="7">
        <v>42801</v>
      </c>
      <c r="S164" s="210">
        <v>3.5</v>
      </c>
      <c r="T164" s="8">
        <v>1.0000972222222222</v>
      </c>
      <c r="U164" s="98">
        <v>3.6121470212091111</v>
      </c>
      <c r="V164" s="106">
        <v>26481.191484612871</v>
      </c>
      <c r="W164" s="10">
        <v>1.1632286186512575</v>
      </c>
      <c r="X164" s="413">
        <v>1.1430974387079813</v>
      </c>
      <c r="Y164" s="414">
        <v>0.29356046506581784</v>
      </c>
      <c r="Z164" s="1"/>
      <c r="AA164" s="1"/>
      <c r="AB164" s="1"/>
      <c r="AC164" s="1"/>
      <c r="AD164" s="1"/>
      <c r="AF164" s="176">
        <v>46569</v>
      </c>
      <c r="AG164" s="177">
        <v>2.5000000000000001E-3</v>
      </c>
      <c r="AH164" s="177">
        <v>2.4166666666666668E-3</v>
      </c>
      <c r="AI164" s="100">
        <v>46577</v>
      </c>
      <c r="AJ164" s="102">
        <v>35637.218486632839</v>
      </c>
      <c r="AL164" s="23"/>
      <c r="AM164" s="23"/>
      <c r="BL164" s="299"/>
    </row>
    <row r="165" spans="17:64">
      <c r="Q165" s="6">
        <v>135</v>
      </c>
      <c r="R165" s="7">
        <v>42802</v>
      </c>
      <c r="S165" s="210">
        <v>3.5</v>
      </c>
      <c r="T165" s="8">
        <v>1.0000972222222222</v>
      </c>
      <c r="U165" s="98">
        <v>3.6121470212090889</v>
      </c>
      <c r="V165" s="106">
        <v>26481.967658634218</v>
      </c>
      <c r="W165" s="10">
        <v>1.173136430749544</v>
      </c>
      <c r="X165" s="413">
        <v>1.1528163942463365</v>
      </c>
      <c r="Y165" s="414">
        <v>0.29357476611843797</v>
      </c>
      <c r="Z165" s="1"/>
      <c r="AA165" s="1"/>
      <c r="AB165" s="1"/>
      <c r="AC165" s="1"/>
      <c r="AD165" s="1"/>
      <c r="AF165" s="176">
        <v>46600</v>
      </c>
      <c r="AG165" s="177">
        <v>2.5000000000000001E-3</v>
      </c>
      <c r="AH165" s="177">
        <v>2.4166666666666668E-3</v>
      </c>
      <c r="AI165" s="100">
        <v>46608</v>
      </c>
      <c r="AJ165" s="102">
        <v>35723.341764642202</v>
      </c>
      <c r="AL165" s="23"/>
      <c r="AM165" s="23"/>
      <c r="BL165" s="299"/>
    </row>
    <row r="166" spans="17:64">
      <c r="Q166" s="6">
        <v>136</v>
      </c>
      <c r="R166" s="7">
        <v>42803</v>
      </c>
      <c r="S166" s="210">
        <v>3.5</v>
      </c>
      <c r="T166" s="8">
        <v>1.0000972222222222</v>
      </c>
      <c r="U166" s="98">
        <v>3.6121470212091111</v>
      </c>
      <c r="V166" s="106">
        <v>26482.74385540553</v>
      </c>
      <c r="W166" s="10">
        <v>1.1828994887881583</v>
      </c>
      <c r="X166" s="413">
        <v>1.1623936499186451</v>
      </c>
      <c r="Y166" s="414">
        <v>0.29358906809897839</v>
      </c>
      <c r="Z166" s="1"/>
      <c r="AA166" s="1"/>
      <c r="AB166" s="1"/>
      <c r="AC166" s="1"/>
      <c r="AD166" s="1"/>
      <c r="AF166" s="176">
        <v>46631</v>
      </c>
      <c r="AG166" s="177">
        <v>2.5000000000000001E-3</v>
      </c>
      <c r="AH166" s="177">
        <v>2.4166666666666668E-3</v>
      </c>
      <c r="AI166" s="100">
        <v>46639</v>
      </c>
      <c r="AJ166" s="102">
        <v>35809.673173906755</v>
      </c>
      <c r="AL166" s="23"/>
      <c r="AM166" s="23"/>
      <c r="BL166" s="299"/>
    </row>
    <row r="167" spans="17:64">
      <c r="Q167" s="6">
        <v>137</v>
      </c>
      <c r="R167" s="7">
        <v>42804</v>
      </c>
      <c r="S167" s="210">
        <v>3.5</v>
      </c>
      <c r="T167" s="8">
        <v>1.0000972222222222</v>
      </c>
      <c r="U167" s="98">
        <v>3.6121470212090889</v>
      </c>
      <c r="V167" s="106">
        <v>26483.955278589525</v>
      </c>
      <c r="W167" s="10">
        <v>1.1880907304278931</v>
      </c>
      <c r="X167" s="413">
        <v>1.1674949629281433</v>
      </c>
      <c r="Y167" s="414">
        <v>0.29360337100750244</v>
      </c>
      <c r="Z167" s="1"/>
      <c r="AA167" s="1"/>
      <c r="AB167" s="1"/>
      <c r="AC167" s="1"/>
      <c r="AD167" s="1"/>
      <c r="AF167" s="176">
        <v>46661</v>
      </c>
      <c r="AG167" s="177">
        <v>2.5000000000000001E-3</v>
      </c>
      <c r="AH167" s="177">
        <v>2.4166666666666668E-3</v>
      </c>
      <c r="AI167" s="100">
        <v>46669</v>
      </c>
      <c r="AJ167" s="102">
        <v>35896.213217410368</v>
      </c>
      <c r="AL167" s="23"/>
      <c r="AM167" s="23"/>
      <c r="BL167" s="299"/>
    </row>
    <row r="168" spans="17:64">
      <c r="Q168" s="6">
        <v>138</v>
      </c>
      <c r="R168" s="7">
        <v>42805</v>
      </c>
      <c r="S168" s="210">
        <v>3.5</v>
      </c>
      <c r="T168" s="8">
        <v>1.0000972222222222</v>
      </c>
      <c r="U168" s="98">
        <v>3.6121470212090889</v>
      </c>
      <c r="V168" s="106">
        <v>26485.166757188705</v>
      </c>
      <c r="W168" s="10">
        <v>1.1932069972588</v>
      </c>
      <c r="X168" s="413">
        <v>1.1725230381470051</v>
      </c>
      <c r="Y168" s="414">
        <v>0.29361767484408124</v>
      </c>
      <c r="Z168" s="1"/>
      <c r="AA168" s="1"/>
      <c r="AB168" s="1"/>
      <c r="AC168" s="1"/>
      <c r="AD168" s="1"/>
      <c r="AF168" s="176">
        <v>46692</v>
      </c>
      <c r="AG168" s="177">
        <v>2.5000000000000001E-3</v>
      </c>
      <c r="AH168" s="177">
        <v>2.4166666666666668E-3</v>
      </c>
      <c r="AI168" s="100">
        <v>46700</v>
      </c>
      <c r="AJ168" s="102">
        <v>35982.962399352444</v>
      </c>
      <c r="AL168" s="23"/>
      <c r="AM168" s="23"/>
      <c r="BL168" s="299"/>
    </row>
    <row r="169" spans="17:64">
      <c r="Q169" s="6">
        <v>139</v>
      </c>
      <c r="R169" s="7">
        <v>42806</v>
      </c>
      <c r="S169" s="210">
        <v>3.5</v>
      </c>
      <c r="T169" s="8">
        <v>1.0000972222222222</v>
      </c>
      <c r="U169" s="98">
        <v>3.6121470212090667</v>
      </c>
      <c r="V169" s="106">
        <v>26486.378291205601</v>
      </c>
      <c r="W169" s="10">
        <v>1.1982499018716286</v>
      </c>
      <c r="X169" s="413">
        <v>1.177479456282511</v>
      </c>
      <c r="Y169" s="414">
        <v>0.29363197960877901</v>
      </c>
      <c r="Z169" s="1"/>
      <c r="AA169" s="1"/>
      <c r="AB169" s="1"/>
      <c r="AC169" s="1"/>
      <c r="AD169" s="1"/>
      <c r="AF169" s="176">
        <v>46722</v>
      </c>
      <c r="AG169" s="177">
        <v>2.5000000000000001E-3</v>
      </c>
      <c r="AH169" s="177">
        <v>2.4166666666666668E-3</v>
      </c>
      <c r="AI169" s="100">
        <v>46730</v>
      </c>
      <c r="AJ169" s="102">
        <v>36069.92122515088</v>
      </c>
      <c r="AL169" s="23"/>
      <c r="AM169" s="23"/>
      <c r="BL169" s="299"/>
    </row>
    <row r="170" spans="17:64">
      <c r="Q170" s="6">
        <v>140</v>
      </c>
      <c r="R170" s="7">
        <v>42807</v>
      </c>
      <c r="S170" s="210">
        <v>3.5</v>
      </c>
      <c r="T170" s="8">
        <v>1.0000972222222222</v>
      </c>
      <c r="U170" s="98">
        <v>3.6121470212090667</v>
      </c>
      <c r="V170" s="106">
        <v>26487.589880642758</v>
      </c>
      <c r="W170" s="10">
        <v>1.2032210109404806</v>
      </c>
      <c r="X170" s="413">
        <v>1.182365752878705</v>
      </c>
      <c r="Y170" s="414">
        <v>0.29364628530166775</v>
      </c>
      <c r="Z170" s="1"/>
      <c r="AA170" s="1"/>
      <c r="AB170" s="1"/>
      <c r="AC170" s="1"/>
      <c r="AD170" s="1"/>
      <c r="AF170" s="176">
        <v>46753</v>
      </c>
      <c r="AG170" s="177">
        <v>2.5000000000000001E-3</v>
      </c>
      <c r="AH170" s="177">
        <v>2.4166666666666668E-3</v>
      </c>
      <c r="AI170" s="100">
        <v>46761</v>
      </c>
      <c r="AJ170" s="102">
        <v>36157.090201444997</v>
      </c>
      <c r="AL170" s="23"/>
      <c r="AM170" s="23"/>
      <c r="BL170" s="299"/>
    </row>
    <row r="171" spans="17:64">
      <c r="Q171" s="6">
        <v>141</v>
      </c>
      <c r="R171" s="7">
        <v>42808</v>
      </c>
      <c r="S171" s="210">
        <v>3.5</v>
      </c>
      <c r="T171" s="8">
        <v>1.0000972222222222</v>
      </c>
      <c r="U171" s="98">
        <v>3.6121470212090445</v>
      </c>
      <c r="V171" s="106">
        <v>26488.801525502702</v>
      </c>
      <c r="W171" s="10">
        <v>1.2081218468460886</v>
      </c>
      <c r="X171" s="413">
        <v>1.1871834199182676</v>
      </c>
      <c r="Y171" s="414">
        <v>0.29366059192281274</v>
      </c>
      <c r="Z171" s="1"/>
      <c r="AA171" s="1"/>
      <c r="AB171" s="1"/>
      <c r="AC171" s="1"/>
      <c r="AD171" s="1"/>
      <c r="AF171" s="176">
        <v>46784</v>
      </c>
      <c r="AG171" s="177">
        <v>2.5000000000000001E-3</v>
      </c>
      <c r="AH171" s="177">
        <v>2.4166666666666668E-3</v>
      </c>
      <c r="AI171" s="100">
        <v>46792</v>
      </c>
      <c r="AJ171" s="102">
        <v>36244.469836098491</v>
      </c>
      <c r="AL171" s="23"/>
      <c r="AM171" s="23"/>
      <c r="BL171" s="299"/>
    </row>
    <row r="172" spans="17:64">
      <c r="Q172" s="6">
        <v>142</v>
      </c>
      <c r="R172" s="7">
        <v>42809</v>
      </c>
      <c r="S172" s="210">
        <v>3.25</v>
      </c>
      <c r="T172" s="8">
        <v>1.0000902777777778</v>
      </c>
      <c r="U172" s="98">
        <v>3.6102977180473728</v>
      </c>
      <c r="V172" s="106">
        <v>26490.01322578797</v>
      </c>
      <c r="W172" s="10">
        <v>1.2111474076443862</v>
      </c>
      <c r="X172" s="413">
        <v>1.1901652386111032</v>
      </c>
      <c r="Y172" s="414">
        <v>0.29352616090892869</v>
      </c>
      <c r="Z172" s="1"/>
      <c r="AA172" s="1"/>
      <c r="AB172" s="1"/>
      <c r="AC172" s="1"/>
      <c r="AD172" s="1"/>
      <c r="AF172" s="176">
        <v>46813</v>
      </c>
      <c r="AG172" s="177">
        <v>2.5000000000000001E-3</v>
      </c>
      <c r="AH172" s="177">
        <v>2.4166666666666668E-3</v>
      </c>
      <c r="AI172" s="100">
        <v>46821</v>
      </c>
      <c r="AJ172" s="102">
        <v>36332.060638202398</v>
      </c>
      <c r="AL172" s="23"/>
      <c r="AM172" s="23"/>
      <c r="BL172" s="299"/>
    </row>
    <row r="173" spans="17:64">
      <c r="Q173" s="6">
        <v>143</v>
      </c>
      <c r="R173" s="7">
        <v>42810</v>
      </c>
      <c r="S173" s="210">
        <v>3.25</v>
      </c>
      <c r="T173" s="8">
        <v>1.0000902777777778</v>
      </c>
      <c r="U173" s="98">
        <v>3.6084743115833762</v>
      </c>
      <c r="V173" s="106">
        <v>26491.224981501098</v>
      </c>
      <c r="W173" s="10">
        <v>1.2141307414657909</v>
      </c>
      <c r="X173" s="413">
        <v>1.1931058551061333</v>
      </c>
      <c r="Y173" s="414">
        <v>0.29339378338961114</v>
      </c>
      <c r="Z173" s="1"/>
      <c r="AA173" s="1"/>
      <c r="AB173" s="1"/>
      <c r="AC173" s="1"/>
      <c r="AD173" s="1"/>
      <c r="AF173" s="176">
        <v>46844</v>
      </c>
      <c r="AG173" s="177">
        <v>2.5000000000000001E-3</v>
      </c>
      <c r="AH173" s="177">
        <v>2.4166666666666668E-3</v>
      </c>
      <c r="AI173" s="100">
        <v>46852</v>
      </c>
      <c r="AJ173" s="102">
        <v>36419.863118078058</v>
      </c>
      <c r="AL173" s="23"/>
      <c r="AM173" s="23"/>
      <c r="BL173" s="299"/>
    </row>
    <row r="174" spans="17:64">
      <c r="Q174" s="6">
        <v>144</v>
      </c>
      <c r="R174" s="7">
        <v>42811</v>
      </c>
      <c r="S174" s="210">
        <v>3.25</v>
      </c>
      <c r="T174" s="8">
        <v>1.0000902777777778</v>
      </c>
      <c r="U174" s="98">
        <v>3.6066762616332682</v>
      </c>
      <c r="V174" s="106">
        <v>26492.436792644621</v>
      </c>
      <c r="W174" s="10">
        <v>1.217072726209345</v>
      </c>
      <c r="X174" s="413">
        <v>1.1960061278046275</v>
      </c>
      <c r="Y174" s="414">
        <v>0.29326341659925703</v>
      </c>
      <c r="Z174" s="1"/>
      <c r="AA174" s="1"/>
      <c r="AB174" s="1"/>
      <c r="AC174" s="1"/>
      <c r="AD174" s="1"/>
      <c r="AF174" s="176">
        <v>46874</v>
      </c>
      <c r="AG174" s="177">
        <v>2.5000000000000001E-3</v>
      </c>
      <c r="AH174" s="177">
        <v>2.4166666666666668E-3</v>
      </c>
      <c r="AI174" s="100">
        <v>46882</v>
      </c>
      <c r="AJ174" s="102">
        <v>36507.877787280086</v>
      </c>
      <c r="AL174" s="23"/>
      <c r="AM174" s="23"/>
      <c r="BL174" s="299"/>
    </row>
    <row r="175" spans="17:64">
      <c r="Q175" s="6">
        <v>145</v>
      </c>
      <c r="R175" s="7">
        <v>42812</v>
      </c>
      <c r="S175" s="210">
        <v>3.25</v>
      </c>
      <c r="T175" s="8">
        <v>1.0000902777777778</v>
      </c>
      <c r="U175" s="98">
        <v>3.6049030429333273</v>
      </c>
      <c r="V175" s="106">
        <v>26493.648659221071</v>
      </c>
      <c r="W175" s="10">
        <v>1.2199742156064231</v>
      </c>
      <c r="X175" s="413">
        <v>1.1988668914280414</v>
      </c>
      <c r="Y175" s="414">
        <v>0.29313501895201344</v>
      </c>
      <c r="Z175" s="1"/>
      <c r="AA175" s="1"/>
      <c r="AB175" s="1"/>
      <c r="AC175" s="1"/>
      <c r="AD175" s="1"/>
      <c r="AF175" s="176">
        <v>46905</v>
      </c>
      <c r="AG175" s="177">
        <v>2.5000000000000001E-3</v>
      </c>
      <c r="AH175" s="177">
        <v>2.4166666666666668E-3</v>
      </c>
      <c r="AI175" s="100">
        <v>46913</v>
      </c>
      <c r="AJ175" s="102">
        <v>36596.105158599348</v>
      </c>
      <c r="AL175" s="23"/>
      <c r="AM175" s="23"/>
      <c r="BL175" s="299"/>
    </row>
    <row r="176" spans="17:64">
      <c r="Q176" s="6">
        <v>146</v>
      </c>
      <c r="R176" s="7">
        <v>42813</v>
      </c>
      <c r="S176" s="210">
        <v>3.25</v>
      </c>
      <c r="T176" s="8">
        <v>1.0000902777777778</v>
      </c>
      <c r="U176" s="98">
        <v>3.6031541446282844</v>
      </c>
      <c r="V176" s="106">
        <v>26494.860581232992</v>
      </c>
      <c r="W176" s="10">
        <v>1.222836040046249</v>
      </c>
      <c r="X176" s="413">
        <v>1.2016889578284207</v>
      </c>
      <c r="Y176" s="414">
        <v>0.29300855000137038</v>
      </c>
      <c r="Z176" s="1"/>
      <c r="AA176" s="1"/>
      <c r="AB176" s="1"/>
      <c r="AC176" s="1"/>
      <c r="AD176" s="1"/>
      <c r="AF176" s="176">
        <v>46935</v>
      </c>
      <c r="AG176" s="177">
        <v>2.5000000000000001E-3</v>
      </c>
      <c r="AH176" s="177">
        <v>2.4166666666666668E-3</v>
      </c>
      <c r="AI176" s="100">
        <v>46943</v>
      </c>
      <c r="AJ176" s="102">
        <v>36684.545746065967</v>
      </c>
      <c r="AL176" s="23"/>
      <c r="AM176" s="23"/>
      <c r="BL176" s="299"/>
    </row>
    <row r="177" spans="17:64">
      <c r="Q177" s="6">
        <v>147</v>
      </c>
      <c r="R177" s="7">
        <v>42814</v>
      </c>
      <c r="S177" s="210">
        <v>3.25</v>
      </c>
      <c r="T177" s="8">
        <v>1.0000902777777778</v>
      </c>
      <c r="U177" s="98">
        <v>3.6014290697804041</v>
      </c>
      <c r="V177" s="106">
        <v>26496.072558682918</v>
      </c>
      <c r="W177" s="10">
        <v>1.2256590073685292</v>
      </c>
      <c r="X177" s="413">
        <v>1.204473116766708</v>
      </c>
      <c r="Y177" s="414">
        <v>0.29288397040139419</v>
      </c>
      <c r="Z177" s="1"/>
      <c r="AA177" s="1"/>
      <c r="AB177" s="1"/>
      <c r="AC177" s="1"/>
      <c r="AD177" s="1"/>
      <c r="AF177" s="176">
        <v>46966</v>
      </c>
      <c r="AG177" s="177">
        <v>2.5000000000000001E-3</v>
      </c>
      <c r="AH177" s="177">
        <v>2.4166666666666668E-3</v>
      </c>
      <c r="AI177" s="100">
        <v>46974</v>
      </c>
      <c r="AJ177" s="102">
        <v>36773.200064952296</v>
      </c>
      <c r="AL177" s="23"/>
      <c r="AM177" s="23"/>
      <c r="BL177" s="299"/>
    </row>
    <row r="178" spans="17:64">
      <c r="Q178" s="6">
        <v>148</v>
      </c>
      <c r="R178" s="7">
        <v>42815</v>
      </c>
      <c r="S178" s="210">
        <v>3.25</v>
      </c>
      <c r="T178" s="8">
        <v>1.0000902777777778</v>
      </c>
      <c r="U178" s="98">
        <v>3.599727334899061</v>
      </c>
      <c r="V178" s="106">
        <v>26497.284591573378</v>
      </c>
      <c r="W178" s="10">
        <v>1.2284439036238659</v>
      </c>
      <c r="X178" s="413">
        <v>1.2072201366591178</v>
      </c>
      <c r="Y178" s="414">
        <v>0.29276124186956365</v>
      </c>
      <c r="Z178" s="1"/>
      <c r="AA178" s="1"/>
      <c r="AB178" s="1"/>
      <c r="AC178" s="1"/>
      <c r="AD178" s="1"/>
      <c r="AF178" s="176">
        <v>46997</v>
      </c>
      <c r="AG178" s="177">
        <v>2.5000000000000001E-3</v>
      </c>
      <c r="AH178" s="177">
        <v>2.4166666666666668E-3</v>
      </c>
      <c r="AI178" s="100">
        <v>47005</v>
      </c>
      <c r="AJ178" s="102">
        <v>36862.068631775932</v>
      </c>
      <c r="AL178" s="23"/>
      <c r="AM178" s="23"/>
      <c r="BL178" s="299"/>
    </row>
    <row r="179" spans="17:64">
      <c r="Q179" s="6">
        <v>149</v>
      </c>
      <c r="R179" s="7">
        <v>42816</v>
      </c>
      <c r="S179" s="210">
        <v>3.25</v>
      </c>
      <c r="T179" s="8">
        <v>1.0000902777777778</v>
      </c>
      <c r="U179" s="98">
        <v>3.5980484694887016</v>
      </c>
      <c r="V179" s="106">
        <v>26498.496679906915</v>
      </c>
      <c r="W179" s="10">
        <v>1.231191493803041</v>
      </c>
      <c r="X179" s="413">
        <v>1.2099307652930262</v>
      </c>
      <c r="Y179" s="414">
        <v>0.29264032715107641</v>
      </c>
      <c r="Z179" s="1"/>
      <c r="AA179" s="1"/>
      <c r="AB179" s="1"/>
      <c r="AC179" s="1"/>
      <c r="AD179" s="1"/>
      <c r="AF179" s="176">
        <v>47027</v>
      </c>
      <c r="AG179" s="177">
        <v>2.5000000000000001E-3</v>
      </c>
      <c r="AH179" s="177">
        <v>2.4166666666666668E-3</v>
      </c>
      <c r="AI179" s="100">
        <v>47035</v>
      </c>
      <c r="AJ179" s="102">
        <v>36951.151964302728</v>
      </c>
      <c r="AL179" s="23"/>
      <c r="AM179" s="23"/>
      <c r="BL179" s="299"/>
    </row>
    <row r="180" spans="17:64">
      <c r="Q180" s="6">
        <v>150</v>
      </c>
      <c r="R180" s="7">
        <v>42817</v>
      </c>
      <c r="S180" s="210">
        <v>3.25</v>
      </c>
      <c r="T180" s="8">
        <v>1.0000902777777778</v>
      </c>
      <c r="U180" s="98">
        <v>3.5963920156153018</v>
      </c>
      <c r="V180" s="106">
        <v>26499.708823686058</v>
      </c>
      <c r="W180" s="10">
        <v>1.2339025225380329</v>
      </c>
      <c r="X180" s="413">
        <v>1.2126057305149729</v>
      </c>
      <c r="Y180" s="414">
        <v>0.29252118998459142</v>
      </c>
      <c r="Z180" s="1"/>
      <c r="AA180" s="1"/>
      <c r="AB180" s="1"/>
      <c r="AC180" s="1"/>
      <c r="AD180" s="1"/>
      <c r="AF180" s="176">
        <v>47058</v>
      </c>
      <c r="AG180" s="177">
        <v>2.5000000000000001E-3</v>
      </c>
      <c r="AH180" s="177">
        <v>2.4166666666666668E-3</v>
      </c>
      <c r="AI180" s="100">
        <v>47066</v>
      </c>
      <c r="AJ180" s="102">
        <v>37040.450581549798</v>
      </c>
      <c r="AL180" s="23"/>
      <c r="AM180" s="23"/>
      <c r="BL180" s="299"/>
    </row>
    <row r="181" spans="17:64">
      <c r="Q181" s="6">
        <v>151</v>
      </c>
      <c r="R181" s="7">
        <v>42818</v>
      </c>
      <c r="S181" s="210">
        <v>3.25</v>
      </c>
      <c r="T181" s="8">
        <v>1.0000902777777778</v>
      </c>
      <c r="U181" s="98">
        <v>3.5947575274899002</v>
      </c>
      <c r="V181" s="106">
        <v>26500.921022913357</v>
      </c>
      <c r="W181" s="10">
        <v>1.2365777147743451</v>
      </c>
      <c r="X181" s="413">
        <v>1.2152457408905826</v>
      </c>
      <c r="Y181" s="414">
        <v>0.29240379506933739</v>
      </c>
      <c r="Z181" s="1"/>
      <c r="AA181" s="1"/>
      <c r="AB181" s="1"/>
      <c r="AC181" s="1"/>
      <c r="AD181" s="1"/>
      <c r="AF181" s="176">
        <v>47088</v>
      </c>
      <c r="AG181" s="177">
        <v>2.5000000000000001E-3</v>
      </c>
      <c r="AH181" s="177">
        <v>2.4166666666666668E-3</v>
      </c>
      <c r="AI181" s="100">
        <v>47096</v>
      </c>
      <c r="AJ181" s="102">
        <v>37129.965003788544</v>
      </c>
      <c r="AL181" s="23"/>
      <c r="AM181" s="23"/>
      <c r="BL181" s="299"/>
    </row>
    <row r="182" spans="17:64">
      <c r="Q182" s="6">
        <v>152</v>
      </c>
      <c r="R182" s="7">
        <v>42819</v>
      </c>
      <c r="S182" s="210">
        <v>3.25</v>
      </c>
      <c r="T182" s="8">
        <v>1.0000902777777778</v>
      </c>
      <c r="U182" s="98">
        <v>3.5931445710684962</v>
      </c>
      <c r="V182" s="106">
        <v>26502.133277591332</v>
      </c>
      <c r="W182" s="10">
        <v>1.2392177764179779</v>
      </c>
      <c r="X182" s="413">
        <v>1.2178514863393322</v>
      </c>
      <c r="Y182" s="414">
        <v>0.2922881080335063</v>
      </c>
      <c r="Z182" s="1"/>
      <c r="AA182" s="1"/>
      <c r="AB182" s="1"/>
      <c r="AC182" s="1"/>
      <c r="AD182" s="1"/>
      <c r="AF182" s="176">
        <v>47119</v>
      </c>
      <c r="AG182" s="177">
        <v>2.5000000000000001E-3</v>
      </c>
      <c r="AH182" s="177">
        <v>2.4166666666666668E-3</v>
      </c>
      <c r="AI182" s="100">
        <v>47127</v>
      </c>
      <c r="AJ182" s="102">
        <v>37219.695752547705</v>
      </c>
      <c r="AL182" s="23"/>
      <c r="AM182" s="23"/>
      <c r="BL182" s="299"/>
    </row>
    <row r="183" spans="17:64">
      <c r="Q183" s="6">
        <v>153</v>
      </c>
      <c r="R183" s="7">
        <v>42820</v>
      </c>
      <c r="S183" s="210">
        <v>3.25</v>
      </c>
      <c r="T183" s="8">
        <v>1.0000902777777778</v>
      </c>
      <c r="U183" s="98">
        <v>3.5915527236680456</v>
      </c>
      <c r="V183" s="106">
        <v>26503.345587722531</v>
      </c>
      <c r="W183" s="10">
        <v>1.2418233949556878</v>
      </c>
      <c r="X183" s="413">
        <v>1.220423638743326</v>
      </c>
      <c r="Y183" s="414">
        <v>0.29217409540390826</v>
      </c>
      <c r="Z183" s="1"/>
      <c r="AA183" s="1"/>
      <c r="AB183" s="1"/>
      <c r="AC183" s="1"/>
      <c r="AD183" s="1"/>
      <c r="AF183" s="176">
        <v>47150</v>
      </c>
      <c r="AG183" s="177">
        <v>2.5000000000000001E-3</v>
      </c>
      <c r="AH183" s="177">
        <v>2.4166666666666668E-3</v>
      </c>
      <c r="AI183" s="100">
        <v>47158</v>
      </c>
      <c r="AJ183" s="102">
        <v>37309.643350616367</v>
      </c>
      <c r="AL183" s="23"/>
      <c r="AM183" s="23"/>
      <c r="BL183" s="299"/>
    </row>
    <row r="184" spans="17:64">
      <c r="Q184" s="6">
        <v>154</v>
      </c>
      <c r="R184" s="7">
        <v>42821</v>
      </c>
      <c r="S184" s="210">
        <v>3.25</v>
      </c>
      <c r="T184" s="8">
        <v>1.0000902777777778</v>
      </c>
      <c r="U184" s="98">
        <v>3.5899815735968676</v>
      </c>
      <c r="V184" s="106">
        <v>26504.557953309486</v>
      </c>
      <c r="W184" s="10">
        <v>1.2443952400523539</v>
      </c>
      <c r="X184" s="413">
        <v>1.2229628525333418</v>
      </c>
      <c r="Y184" s="414">
        <v>0.29206172457678242</v>
      </c>
      <c r="Z184" s="1"/>
      <c r="AA184" s="1"/>
      <c r="AB184" s="1"/>
      <c r="AC184" s="1"/>
      <c r="AD184" s="1"/>
      <c r="AF184" s="176">
        <v>47178</v>
      </c>
      <c r="AG184" s="177">
        <v>2.5000000000000001E-3</v>
      </c>
      <c r="AH184" s="177">
        <v>2.4166666666666668E-3</v>
      </c>
      <c r="AI184" s="100">
        <v>47186</v>
      </c>
      <c r="AJ184" s="102">
        <v>37399.808322047029</v>
      </c>
      <c r="AL184" s="23"/>
      <c r="AM184" s="23"/>
      <c r="BL184" s="299"/>
    </row>
    <row r="185" spans="17:64">
      <c r="Q185" s="6">
        <v>155</v>
      </c>
      <c r="R185" s="7">
        <v>42822</v>
      </c>
      <c r="S185" s="210">
        <v>3.25</v>
      </c>
      <c r="T185" s="8">
        <v>1.0000902777777778</v>
      </c>
      <c r="U185" s="98">
        <v>3.5884307197998844</v>
      </c>
      <c r="V185" s="106">
        <v>26505.770374354732</v>
      </c>
      <c r="W185" s="10">
        <v>1.2469339641244304</v>
      </c>
      <c r="X185" s="413">
        <v>1.2254697652514657</v>
      </c>
      <c r="Y185" s="414">
        <v>0.29195096378975549</v>
      </c>
      <c r="Z185" s="1"/>
      <c r="AA185" s="1"/>
      <c r="AB185" s="1"/>
      <c r="AC185" s="1"/>
      <c r="AD185" s="1"/>
      <c r="AF185" s="176">
        <v>47209</v>
      </c>
      <c r="AG185" s="177">
        <v>2.5000000000000001E-3</v>
      </c>
      <c r="AH185" s="177">
        <v>2.4166666666666668E-3</v>
      </c>
      <c r="AI185" s="100">
        <v>47217</v>
      </c>
      <c r="AJ185" s="102">
        <v>37490.191192158643</v>
      </c>
      <c r="AL185" s="23"/>
      <c r="AM185" s="23"/>
      <c r="BL185" s="299"/>
    </row>
    <row r="186" spans="17:64">
      <c r="Q186" s="6">
        <v>156</v>
      </c>
      <c r="R186" s="7">
        <v>42823</v>
      </c>
      <c r="S186" s="210">
        <v>3.25</v>
      </c>
      <c r="T186" s="8">
        <v>1.0000902777777778</v>
      </c>
      <c r="U186" s="98">
        <v>3.5868997715172712</v>
      </c>
      <c r="V186" s="106">
        <v>26506.982850860812</v>
      </c>
      <c r="W186" s="10">
        <v>1.2494402028920826</v>
      </c>
      <c r="X186" s="413">
        <v>1.2279449980927046</v>
      </c>
      <c r="Y186" s="414">
        <v>0.29184178209488237</v>
      </c>
      <c r="Z186" s="1"/>
      <c r="AA186" s="1"/>
      <c r="AB186" s="1"/>
      <c r="AC186" s="1"/>
      <c r="AD186" s="1"/>
      <c r="AF186" s="176">
        <v>47239</v>
      </c>
      <c r="AG186" s="177">
        <v>2.5000000000000001E-3</v>
      </c>
      <c r="AH186" s="177">
        <v>2.4166666666666668E-3</v>
      </c>
      <c r="AI186" s="100">
        <v>47247</v>
      </c>
      <c r="AJ186" s="102">
        <v>37580.792487539693</v>
      </c>
      <c r="AL186" s="23"/>
      <c r="AM186" s="23"/>
      <c r="BL186" s="299"/>
    </row>
    <row r="187" spans="17:64">
      <c r="Q187" s="6">
        <v>157</v>
      </c>
      <c r="R187" s="7">
        <v>42824</v>
      </c>
      <c r="S187" s="210">
        <v>3.25</v>
      </c>
      <c r="T187" s="8">
        <v>1.0000902777777778</v>
      </c>
      <c r="U187" s="98">
        <v>3.5853883479560977</v>
      </c>
      <c r="V187" s="106">
        <v>26508.195382830258</v>
      </c>
      <c r="W187" s="10">
        <v>1.2519145759094741</v>
      </c>
      <c r="X187" s="413">
        <v>1.2303891564252891</v>
      </c>
      <c r="Y187" s="414">
        <v>0.29173414933269232</v>
      </c>
      <c r="Z187" s="1"/>
      <c r="AA187" s="1"/>
      <c r="AB187" s="1"/>
      <c r="AC187" s="1"/>
      <c r="AD187" s="1"/>
      <c r="AF187" s="176">
        <v>47270</v>
      </c>
      <c r="AG187" s="177">
        <v>2.5000000000000001E-3</v>
      </c>
      <c r="AH187" s="177">
        <v>2.4166666666666668E-3</v>
      </c>
      <c r="AI187" s="100">
        <v>47278</v>
      </c>
      <c r="AJ187" s="102">
        <v>37671.612736051247</v>
      </c>
      <c r="AL187" s="23"/>
      <c r="AM187" s="23"/>
      <c r="BL187" s="299"/>
    </row>
    <row r="188" spans="17:64">
      <c r="Q188" s="6">
        <v>158</v>
      </c>
      <c r="R188" s="7">
        <v>42825</v>
      </c>
      <c r="S188" s="210">
        <v>3.25</v>
      </c>
      <c r="T188" s="8">
        <v>1.0000902777777778</v>
      </c>
      <c r="U188" s="98">
        <v>3.5838960779748019</v>
      </c>
      <c r="V188" s="106">
        <v>26509.407970265605</v>
      </c>
      <c r="W188" s="10">
        <v>1.2543576870758244</v>
      </c>
      <c r="X188" s="413">
        <v>1.232802830291873</v>
      </c>
      <c r="Y188" s="414">
        <v>0.29162803610725802</v>
      </c>
      <c r="Z188" s="1"/>
      <c r="AA188" s="1"/>
      <c r="AB188" s="1"/>
      <c r="AC188" s="1"/>
      <c r="AD188" s="1"/>
      <c r="AF188" s="176">
        <v>47300</v>
      </c>
      <c r="AG188" s="177">
        <v>2.5000000000000001E-3</v>
      </c>
      <c r="AH188" s="177">
        <v>2.4166666666666668E-3</v>
      </c>
      <c r="AI188" s="100">
        <v>47308</v>
      </c>
      <c r="AJ188" s="102">
        <v>37762.652466830041</v>
      </c>
      <c r="AL188" s="23"/>
      <c r="AM188" s="23"/>
      <c r="BL188" s="299"/>
    </row>
    <row r="189" spans="17:64">
      <c r="Q189" s="6">
        <v>159</v>
      </c>
      <c r="R189" s="7">
        <v>42826</v>
      </c>
      <c r="S189" s="210">
        <v>3.25</v>
      </c>
      <c r="T189" s="8">
        <v>1.0000902777777778</v>
      </c>
      <c r="U189" s="98">
        <v>3.5824225997790782</v>
      </c>
      <c r="V189" s="106">
        <v>26510.620613169394</v>
      </c>
      <c r="W189" s="10">
        <v>1.2567701251264829</v>
      </c>
      <c r="X189" s="413">
        <v>1.2351865948911702</v>
      </c>
      <c r="Y189" s="414">
        <v>0.29152341376216401</v>
      </c>
      <c r="Z189" s="1"/>
      <c r="AA189" s="1"/>
      <c r="AB189" s="1"/>
      <c r="AC189" s="1"/>
      <c r="AD189" s="1"/>
      <c r="AF189" s="176">
        <v>47331</v>
      </c>
      <c r="AG189" s="177">
        <v>2.5000000000000001E-3</v>
      </c>
      <c r="AH189" s="177">
        <v>2.4166666666666668E-3</v>
      </c>
      <c r="AI189" s="100">
        <v>47339</v>
      </c>
      <c r="AJ189" s="102">
        <v>37853.91221029155</v>
      </c>
      <c r="AL189" s="23"/>
      <c r="AM189" s="23"/>
      <c r="BL189" s="299"/>
    </row>
    <row r="190" spans="17:64">
      <c r="Q190" s="6">
        <v>160</v>
      </c>
      <c r="R190" s="7">
        <v>42827</v>
      </c>
      <c r="S190" s="210">
        <v>3.25</v>
      </c>
      <c r="T190" s="8">
        <v>1.0000902777777778</v>
      </c>
      <c r="U190" s="98">
        <v>3.5809675606296443</v>
      </c>
      <c r="V190" s="106">
        <v>26511.833311544167</v>
      </c>
      <c r="W190" s="10">
        <v>1.259152464105795</v>
      </c>
      <c r="X190" s="413">
        <v>1.2375410110417762</v>
      </c>
      <c r="Y190" s="414">
        <v>0.29142025435741348</v>
      </c>
      <c r="Z190" s="1"/>
      <c r="AA190" s="1"/>
      <c r="AB190" s="1"/>
      <c r="AC190" s="1"/>
      <c r="AD190" s="1"/>
      <c r="AF190" s="176">
        <v>47362</v>
      </c>
      <c r="AG190" s="177">
        <v>2.5000000000000001E-3</v>
      </c>
      <c r="AH190" s="177">
        <v>2.4166666666666668E-3</v>
      </c>
      <c r="AI190" s="100">
        <v>47370</v>
      </c>
      <c r="AJ190" s="102">
        <v>37945.392498133093</v>
      </c>
      <c r="AL190" s="23"/>
      <c r="AM190" s="23"/>
      <c r="BL190" s="299"/>
    </row>
    <row r="191" spans="17:64">
      <c r="Q191" s="6">
        <v>161</v>
      </c>
      <c r="R191" s="7">
        <v>42828</v>
      </c>
      <c r="S191" s="210">
        <v>3.25</v>
      </c>
      <c r="T191" s="8">
        <v>1.0000902777777778</v>
      </c>
      <c r="U191" s="98">
        <v>3.5795306165606</v>
      </c>
      <c r="V191" s="106">
        <v>26513.046065392453</v>
      </c>
      <c r="W191" s="10">
        <v>1.2615052638230484</v>
      </c>
      <c r="X191" s="413">
        <v>1.2398666256292532</v>
      </c>
      <c r="Y191" s="414">
        <v>0.29131853064716706</v>
      </c>
      <c r="Z191" s="1"/>
      <c r="AA191" s="1"/>
      <c r="AB191" s="1"/>
      <c r="AC191" s="1"/>
      <c r="AD191" s="1"/>
      <c r="AF191" s="176">
        <v>47392</v>
      </c>
      <c r="AG191" s="177">
        <v>2.5000000000000001E-3</v>
      </c>
      <c r="AH191" s="177">
        <v>2.4166666666666668E-3</v>
      </c>
      <c r="AI191" s="100">
        <v>47400</v>
      </c>
      <c r="AJ191" s="102">
        <v>38037.093863336915</v>
      </c>
      <c r="AL191" s="23"/>
      <c r="AM191" s="23"/>
      <c r="BL191" s="299"/>
    </row>
    <row r="192" spans="17:64">
      <c r="Q192" s="6">
        <v>162</v>
      </c>
      <c r="R192" s="7">
        <v>42829</v>
      </c>
      <c r="S192" s="210">
        <v>3.25</v>
      </c>
      <c r="T192" s="8">
        <v>1.0000902777777778</v>
      </c>
      <c r="U192" s="98">
        <v>3.5781114321083551</v>
      </c>
      <c r="V192" s="106">
        <v>26514.258874716797</v>
      </c>
      <c r="W192" s="10">
        <v>1.2638290702901012</v>
      </c>
      <c r="X192" s="413">
        <v>1.2421639720353224</v>
      </c>
      <c r="Y192" s="414">
        <v>0.29121821605832193</v>
      </c>
      <c r="Z192" s="1"/>
      <c r="AA192" s="1"/>
      <c r="AB192" s="1"/>
      <c r="AC192" s="1"/>
      <c r="AD192" s="1"/>
      <c r="AF192" s="176">
        <v>47423</v>
      </c>
      <c r="AG192" s="177">
        <v>2.5000000000000001E-3</v>
      </c>
      <c r="AH192" s="177">
        <v>2.4166666666666668E-3</v>
      </c>
      <c r="AI192" s="100">
        <v>47431</v>
      </c>
      <c r="AJ192" s="102">
        <v>38129.016840173317</v>
      </c>
      <c r="AL192" s="23"/>
      <c r="AM192" s="23"/>
      <c r="BL192" s="299"/>
    </row>
    <row r="193" spans="17:64">
      <c r="Q193" s="6">
        <v>163</v>
      </c>
      <c r="R193" s="7">
        <v>42830</v>
      </c>
      <c r="S193" s="210">
        <v>3.25</v>
      </c>
      <c r="T193" s="8">
        <v>1.0000902777777778</v>
      </c>
      <c r="U193" s="98">
        <v>3.5767096800506826</v>
      </c>
      <c r="V193" s="106">
        <v>26515.471739519729</v>
      </c>
      <c r="W193" s="10">
        <v>1.2661244161450425</v>
      </c>
      <c r="X193" s="413">
        <v>1.2444335705531719</v>
      </c>
      <c r="Y193" s="414">
        <v>0.29111928466988435</v>
      </c>
      <c r="Z193" s="1"/>
      <c r="AA193" s="1"/>
      <c r="AB193" s="1"/>
      <c r="AC193" s="1"/>
      <c r="AD193" s="1"/>
      <c r="AF193" s="176">
        <v>47453</v>
      </c>
      <c r="AG193" s="177">
        <v>2.5000000000000001E-3</v>
      </c>
      <c r="AH193" s="177">
        <v>2.4166666666666668E-3</v>
      </c>
      <c r="AI193" s="100">
        <v>47461</v>
      </c>
      <c r="AJ193" s="102">
        <v>38221.16196420374</v>
      </c>
      <c r="AL193" s="23"/>
      <c r="AM193" s="23"/>
      <c r="BL193" s="299"/>
    </row>
    <row r="194" spans="17:64">
      <c r="Q194" s="6">
        <v>164</v>
      </c>
      <c r="R194" s="7">
        <v>42831</v>
      </c>
      <c r="S194" s="210">
        <v>3.25</v>
      </c>
      <c r="T194" s="8">
        <v>1.0000902777777778</v>
      </c>
      <c r="U194" s="98">
        <v>3.5753250411550086</v>
      </c>
      <c r="V194" s="106">
        <v>26516.684659803792</v>
      </c>
      <c r="W194" s="10">
        <v>1.2683918210580458</v>
      </c>
      <c r="X194" s="413">
        <v>1.2466759287854732</v>
      </c>
      <c r="Y194" s="414">
        <v>0.29102171119307974</v>
      </c>
      <c r="Z194" s="1"/>
      <c r="AA194" s="1"/>
      <c r="AB194" s="1"/>
      <c r="AC194" s="1"/>
      <c r="AD194" s="1"/>
      <c r="AF194" s="176">
        <v>47484</v>
      </c>
      <c r="AG194" s="177">
        <v>2.5000000000000001E-3</v>
      </c>
      <c r="AH194" s="177">
        <v>2.4166666666666668E-3</v>
      </c>
      <c r="AI194" s="100">
        <v>47492</v>
      </c>
      <c r="AJ194" s="102">
        <v>38313.529772283902</v>
      </c>
      <c r="AL194" s="23"/>
      <c r="AM194" s="23"/>
      <c r="BL194" s="299"/>
    </row>
    <row r="195" spans="17:64">
      <c r="Q195" s="6">
        <v>165</v>
      </c>
      <c r="R195" s="7">
        <v>42832</v>
      </c>
      <c r="S195" s="210">
        <v>3.25</v>
      </c>
      <c r="T195" s="8">
        <v>1.0000902777777778</v>
      </c>
      <c r="U195" s="98">
        <v>3.5739572039361178</v>
      </c>
      <c r="V195" s="106">
        <v>26517.89763557152</v>
      </c>
      <c r="W195" s="10">
        <v>1.2706317921242327</v>
      </c>
      <c r="X195" s="413">
        <v>1.2488915420295237</v>
      </c>
      <c r="Y195" s="414">
        <v>0.29092547095219085</v>
      </c>
      <c r="Z195" s="1"/>
      <c r="AA195" s="1"/>
      <c r="AB195" s="1"/>
      <c r="AC195" s="1"/>
      <c r="AD195" s="1"/>
      <c r="AF195" s="176">
        <v>47515</v>
      </c>
      <c r="AG195" s="177">
        <v>2.5000000000000001E-3</v>
      </c>
      <c r="AH195" s="177">
        <v>2.4166666666666668E-3</v>
      </c>
      <c r="AI195" s="100">
        <v>47523</v>
      </c>
      <c r="AJ195" s="102">
        <v>38406.120802566926</v>
      </c>
      <c r="AL195" s="23"/>
      <c r="AM195" s="23"/>
      <c r="BL195" s="299"/>
    </row>
    <row r="196" spans="17:64">
      <c r="Q196" s="6">
        <v>166</v>
      </c>
      <c r="R196" s="7">
        <v>42833</v>
      </c>
      <c r="S196" s="210">
        <v>3.25</v>
      </c>
      <c r="T196" s="8">
        <v>1.0000902777777778</v>
      </c>
      <c r="U196" s="98">
        <v>3.5726058644224956</v>
      </c>
      <c r="V196" s="106">
        <v>26519.110666825454</v>
      </c>
      <c r="W196" s="10">
        <v>1.2728448242416812</v>
      </c>
      <c r="X196" s="413">
        <v>1.2510808936477944</v>
      </c>
      <c r="Y196" s="414">
        <v>0.29083053986609991</v>
      </c>
      <c r="Z196" s="1"/>
      <c r="AA196" s="1"/>
      <c r="AB196" s="1"/>
      <c r="AC196" s="1"/>
      <c r="AD196" s="1"/>
      <c r="AF196" s="176">
        <v>47543</v>
      </c>
      <c r="AG196" s="177">
        <v>2.5000000000000001E-3</v>
      </c>
      <c r="AH196" s="177">
        <v>2.4166666666666668E-3</v>
      </c>
      <c r="AI196" s="100">
        <v>47551</v>
      </c>
      <c r="AJ196" s="102">
        <v>38498.935594506467</v>
      </c>
      <c r="AL196" s="23"/>
      <c r="AM196" s="23"/>
      <c r="BL196" s="299"/>
    </row>
    <row r="197" spans="17:64">
      <c r="Q197" s="6">
        <v>167</v>
      </c>
      <c r="R197" s="7">
        <v>42834</v>
      </c>
      <c r="S197" s="210">
        <v>3.25</v>
      </c>
      <c r="T197" s="8">
        <v>1.0000902777777778</v>
      </c>
      <c r="U197" s="98">
        <v>3.5712707259312637</v>
      </c>
      <c r="V197" s="106">
        <v>26520.323753568133</v>
      </c>
      <c r="W197" s="10">
        <v>1.2750314004758012</v>
      </c>
      <c r="X197" s="413">
        <v>1.2532444554251165</v>
      </c>
      <c r="Y197" s="414">
        <v>0.29073689443048645</v>
      </c>
      <c r="Z197" s="1"/>
      <c r="AA197" s="1"/>
      <c r="AB197" s="1"/>
      <c r="AC197" s="1"/>
      <c r="AD197" s="1"/>
      <c r="AF197" s="176">
        <v>47574</v>
      </c>
      <c r="AG197" s="177">
        <v>2.5000000000000001E-3</v>
      </c>
      <c r="AH197" s="177">
        <v>2.4166666666666668E-3</v>
      </c>
      <c r="AI197" s="100">
        <v>47582</v>
      </c>
      <c r="AJ197" s="102">
        <v>38591.97468885986</v>
      </c>
      <c r="AL197" s="23"/>
      <c r="AM197" s="23"/>
      <c r="BL197" s="299"/>
    </row>
    <row r="198" spans="17:64">
      <c r="Q198" s="6">
        <v>168</v>
      </c>
      <c r="R198" s="7">
        <v>42835</v>
      </c>
      <c r="S198" s="210">
        <v>3.25</v>
      </c>
      <c r="T198" s="8">
        <v>1.0000902777777778</v>
      </c>
      <c r="U198" s="98">
        <v>3.5699514988508207</v>
      </c>
      <c r="V198" s="106">
        <v>26524.350716567966</v>
      </c>
      <c r="W198" s="10">
        <v>1.2538509692287647</v>
      </c>
      <c r="X198" s="413">
        <v>1.2325171323699844</v>
      </c>
      <c r="Y198" s="414">
        <v>0.2906445117006527</v>
      </c>
      <c r="Z198" s="1"/>
      <c r="AA198" s="1"/>
      <c r="AB198" s="1"/>
      <c r="AC198" s="1"/>
      <c r="AD198" s="1"/>
      <c r="AF198" s="176">
        <v>47604</v>
      </c>
      <c r="AG198" s="177">
        <v>2.5000000000000001E-3</v>
      </c>
      <c r="AH198" s="177">
        <v>2.4166666666666668E-3</v>
      </c>
      <c r="AI198" s="100">
        <v>47612</v>
      </c>
      <c r="AJ198" s="102">
        <v>38685.238627691273</v>
      </c>
      <c r="AL198" s="23"/>
      <c r="AM198" s="23"/>
      <c r="BL198" s="299"/>
    </row>
    <row r="199" spans="17:64">
      <c r="Q199" s="6">
        <v>169</v>
      </c>
      <c r="R199" s="7">
        <v>42836</v>
      </c>
      <c r="S199" s="210">
        <v>3.25</v>
      </c>
      <c r="T199" s="8">
        <v>1.0000902777777778</v>
      </c>
      <c r="U199" s="98">
        <v>3.568647900431543</v>
      </c>
      <c r="V199" s="106">
        <v>26528.378291039637</v>
      </c>
      <c r="W199" s="10">
        <v>1.232925545281649</v>
      </c>
      <c r="X199" s="413">
        <v>1.2120359149596058</v>
      </c>
      <c r="Y199" s="414">
        <v>0.2905533692749746</v>
      </c>
      <c r="Z199" s="1"/>
      <c r="AA199" s="1"/>
      <c r="AB199" s="1"/>
      <c r="AC199" s="1"/>
      <c r="AD199" s="1"/>
      <c r="AF199" s="176">
        <v>47635</v>
      </c>
      <c r="AG199" s="177">
        <v>2.5000000000000001E-3</v>
      </c>
      <c r="AH199" s="177">
        <v>2.4166666666666668E-3</v>
      </c>
      <c r="AI199" s="100">
        <v>47643</v>
      </c>
      <c r="AJ199" s="102">
        <v>38778.727954374866</v>
      </c>
      <c r="AL199" s="23"/>
      <c r="AM199" s="23"/>
      <c r="BL199" s="299"/>
    </row>
    <row r="200" spans="17:64">
      <c r="Q200" s="6">
        <v>170</v>
      </c>
      <c r="R200" s="7">
        <v>42837</v>
      </c>
      <c r="S200" s="210">
        <v>3.25</v>
      </c>
      <c r="T200" s="8">
        <v>1.0000902777777778</v>
      </c>
      <c r="U200" s="98">
        <v>3.5673596545837682</v>
      </c>
      <c r="V200" s="106">
        <v>26532.406477075983</v>
      </c>
      <c r="W200" s="10">
        <v>1.2122505512914161</v>
      </c>
      <c r="X200" s="413">
        <v>1.1917964601036308</v>
      </c>
      <c r="Y200" s="414">
        <v>0.29046344527892515</v>
      </c>
      <c r="Z200" s="1"/>
      <c r="AA200" s="1"/>
      <c r="AB200" s="1"/>
      <c r="AC200" s="1"/>
      <c r="AD200" s="1"/>
      <c r="AF200" s="176">
        <v>47665</v>
      </c>
      <c r="AG200" s="177">
        <v>2.5000000000000001E-3</v>
      </c>
      <c r="AH200" s="177">
        <v>2.4166666666666668E-3</v>
      </c>
      <c r="AI200" s="100">
        <v>47673</v>
      </c>
      <c r="AJ200" s="102">
        <v>38872.443213597944</v>
      </c>
      <c r="AL200" s="23"/>
      <c r="AM200" s="23"/>
      <c r="BL200" s="299"/>
    </row>
    <row r="201" spans="17:64">
      <c r="Q201" s="6">
        <v>171</v>
      </c>
      <c r="R201" s="7">
        <v>42838</v>
      </c>
      <c r="S201" s="210">
        <v>3.25</v>
      </c>
      <c r="T201" s="8">
        <v>1.0000902777777778</v>
      </c>
      <c r="U201" s="98">
        <v>3.5660864916828183</v>
      </c>
      <c r="V201" s="106">
        <v>26536.435274769879</v>
      </c>
      <c r="W201" s="10">
        <v>1.1918215188031267</v>
      </c>
      <c r="X201" s="413">
        <v>1.1717945263041851</v>
      </c>
      <c r="Y201" s="414">
        <v>0.29037471834966599</v>
      </c>
      <c r="Z201" s="1"/>
      <c r="AA201" s="1"/>
      <c r="AB201" s="1"/>
      <c r="AC201" s="1"/>
      <c r="AD201" s="1"/>
      <c r="AF201" s="176">
        <v>47696</v>
      </c>
      <c r="AG201" s="177">
        <v>2.5000000000000001E-3</v>
      </c>
      <c r="AH201" s="177">
        <v>2.4166666666666668E-3</v>
      </c>
      <c r="AI201" s="100">
        <v>47704</v>
      </c>
      <c r="AJ201" s="102">
        <v>38966.38495136414</v>
      </c>
      <c r="AL201" s="23"/>
      <c r="AM201" s="23"/>
      <c r="BL201" s="299"/>
    </row>
    <row r="202" spans="17:64">
      <c r="Q202" s="6">
        <v>172</v>
      </c>
      <c r="R202" s="7">
        <v>42839</v>
      </c>
      <c r="S202" s="210">
        <v>3.25</v>
      </c>
      <c r="T202" s="8">
        <v>1.0000902777777778</v>
      </c>
      <c r="U202" s="98">
        <v>3.5648281483808386</v>
      </c>
      <c r="V202" s="106">
        <v>26540.464684214199</v>
      </c>
      <c r="W202" s="10">
        <v>1.1716340850321805</v>
      </c>
      <c r="X202" s="413">
        <v>1.1520259707031595</v>
      </c>
      <c r="Y202" s="414">
        <v>0.29028716762116907</v>
      </c>
      <c r="Z202" s="1"/>
      <c r="AA202" s="1"/>
      <c r="AB202" s="1"/>
      <c r="AC202" s="1"/>
      <c r="AD202" s="1"/>
      <c r="AF202" s="176">
        <v>47727</v>
      </c>
      <c r="AG202" s="177">
        <v>2.5000000000000001E-3</v>
      </c>
      <c r="AH202" s="177">
        <v>2.4166666666666668E-3</v>
      </c>
      <c r="AI202" s="100">
        <v>47735</v>
      </c>
      <c r="AJ202" s="102">
        <v>39060.553714996604</v>
      </c>
      <c r="AL202" s="23"/>
      <c r="AM202" s="23"/>
      <c r="BL202" s="299"/>
    </row>
    <row r="203" spans="17:64">
      <c r="Q203" s="6">
        <v>173</v>
      </c>
      <c r="R203" s="7">
        <v>42840</v>
      </c>
      <c r="S203" s="210">
        <v>3</v>
      </c>
      <c r="T203" s="8">
        <v>1.0000833333333334</v>
      </c>
      <c r="U203" s="98">
        <v>3.5620671407714966</v>
      </c>
      <c r="V203" s="106">
        <v>26544.494705501827</v>
      </c>
      <c r="W203" s="10">
        <v>1.1502020979148764</v>
      </c>
      <c r="X203" s="413">
        <v>1.131033926191817</v>
      </c>
      <c r="Y203" s="414">
        <v>0.2900783445871507</v>
      </c>
      <c r="Z203" s="1"/>
      <c r="AA203" s="1"/>
      <c r="AB203" s="1"/>
      <c r="AC203" s="1"/>
      <c r="AD203" s="1"/>
      <c r="AF203" s="176">
        <v>47757</v>
      </c>
      <c r="AG203" s="177">
        <v>2.5000000000000001E-3</v>
      </c>
      <c r="AH203" s="177">
        <v>2.4166666666666668E-3</v>
      </c>
      <c r="AI203" s="100">
        <v>47765</v>
      </c>
      <c r="AJ203" s="102">
        <v>39154.950053141183</v>
      </c>
      <c r="AL203" s="23"/>
      <c r="AM203" s="23"/>
      <c r="BL203" s="299"/>
    </row>
    <row r="204" spans="17:64">
      <c r="Q204" s="6">
        <v>174</v>
      </c>
      <c r="R204" s="7">
        <v>42841</v>
      </c>
      <c r="S204" s="210">
        <v>3</v>
      </c>
      <c r="T204" s="8">
        <v>1.0000833333333334</v>
      </c>
      <c r="U204" s="98">
        <v>3.559337941225249</v>
      </c>
      <c r="V204" s="106">
        <v>26548.525338725678</v>
      </c>
      <c r="W204" s="10">
        <v>1.1290209176101129</v>
      </c>
      <c r="X204" s="413">
        <v>1.110284145721494</v>
      </c>
      <c r="Y204" s="414">
        <v>0.2898720435424067</v>
      </c>
      <c r="Z204" s="1"/>
      <c r="AA204" s="1"/>
      <c r="AB204" s="1"/>
      <c r="AC204" s="1"/>
      <c r="AD204" s="1"/>
      <c r="AF204" s="176">
        <v>47788</v>
      </c>
      <c r="AG204" s="177">
        <v>2.5000000000000001E-3</v>
      </c>
      <c r="AH204" s="177">
        <v>2.4166666666666668E-3</v>
      </c>
      <c r="AI204" s="100">
        <v>47796</v>
      </c>
      <c r="AJ204" s="102">
        <v>39249.574515769607</v>
      </c>
      <c r="AL204" s="23"/>
      <c r="AM204" s="23"/>
      <c r="BL204" s="299"/>
    </row>
    <row r="205" spans="17:64">
      <c r="Q205" s="6">
        <v>175</v>
      </c>
      <c r="R205" s="7">
        <v>42842</v>
      </c>
      <c r="S205" s="210">
        <v>3</v>
      </c>
      <c r="T205" s="8">
        <v>1.0000833333333334</v>
      </c>
      <c r="U205" s="98">
        <v>3.5566400032260415</v>
      </c>
      <c r="V205" s="106">
        <v>26552.556583978665</v>
      </c>
      <c r="W205" s="10">
        <v>1.1080861676028952</v>
      </c>
      <c r="X205" s="413">
        <v>1.0897724761280208</v>
      </c>
      <c r="Y205" s="414">
        <v>0.28966822126291852</v>
      </c>
      <c r="Z205" s="1"/>
      <c r="AA205" s="1"/>
      <c r="AB205" s="1"/>
      <c r="AC205" s="1"/>
      <c r="AD205" s="1"/>
      <c r="AF205" s="176">
        <v>47818</v>
      </c>
      <c r="AG205" s="177">
        <v>2.5000000000000001E-3</v>
      </c>
      <c r="AH205" s="177">
        <v>2.4166666666666668E-3</v>
      </c>
      <c r="AI205" s="100">
        <v>47826</v>
      </c>
      <c r="AJ205" s="102">
        <v>39344.42765418272</v>
      </c>
      <c r="AL205" s="23"/>
      <c r="AM205" s="23"/>
      <c r="BL205" s="299"/>
    </row>
    <row r="206" spans="17:64">
      <c r="Q206" s="6">
        <v>176</v>
      </c>
      <c r="R206" s="7">
        <v>42843</v>
      </c>
      <c r="S206" s="210">
        <v>3</v>
      </c>
      <c r="T206" s="8">
        <v>1.0000833333333334</v>
      </c>
      <c r="U206" s="98">
        <v>3.5539727927065723</v>
      </c>
      <c r="V206" s="106">
        <v>26556.588441353721</v>
      </c>
      <c r="W206" s="10">
        <v>1.0873935726042561</v>
      </c>
      <c r="X206" s="413">
        <v>1.0694948586370039</v>
      </c>
      <c r="Y206" s="414">
        <v>0.28946683550703184</v>
      </c>
      <c r="Z206" s="1"/>
      <c r="AA206" s="1"/>
      <c r="AB206" s="1"/>
      <c r="AC206" s="1"/>
      <c r="AD206" s="1"/>
      <c r="AF206" s="176">
        <v>47849</v>
      </c>
      <c r="AG206" s="177">
        <v>2.5000000000000001E-3</v>
      </c>
      <c r="AH206" s="177">
        <v>2.4166666666666668E-3</v>
      </c>
      <c r="AI206" s="100">
        <v>47857</v>
      </c>
      <c r="AJ206" s="102">
        <v>39439.510021013666</v>
      </c>
      <c r="AL206" s="23"/>
      <c r="AM206" s="23"/>
      <c r="BL206" s="299"/>
    </row>
    <row r="207" spans="17:64">
      <c r="Q207" s="6">
        <v>177</v>
      </c>
      <c r="R207" s="7">
        <v>42844</v>
      </c>
      <c r="S207" s="210">
        <v>3</v>
      </c>
      <c r="T207" s="8">
        <v>1.0000833333333334</v>
      </c>
      <c r="U207" s="98">
        <v>3.5513357876959528</v>
      </c>
      <c r="V207" s="106">
        <v>26560.620910943788</v>
      </c>
      <c r="W207" s="10">
        <v>1.0669389556423159</v>
      </c>
      <c r="X207" s="413">
        <v>1.0494473261980366</v>
      </c>
      <c r="Y207" s="414">
        <v>0.28926784498771335</v>
      </c>
      <c r="Z207" s="1"/>
      <c r="AA207" s="1"/>
      <c r="AB207" s="1"/>
      <c r="AC207" s="1"/>
      <c r="AD207" s="1"/>
      <c r="AF207" s="176">
        <v>47880</v>
      </c>
      <c r="AG207" s="177">
        <v>2.5000000000000001E-3</v>
      </c>
      <c r="AH207" s="177">
        <v>2.4166666666666668E-3</v>
      </c>
      <c r="AI207" s="100">
        <v>47888</v>
      </c>
      <c r="AJ207" s="102">
        <v>39534.82217023112</v>
      </c>
      <c r="AL207" s="23"/>
      <c r="AM207" s="23"/>
      <c r="BL207" s="299"/>
    </row>
    <row r="208" spans="17:64">
      <c r="Q208" s="6">
        <v>178</v>
      </c>
      <c r="R208" s="7">
        <v>42845</v>
      </c>
      <c r="S208" s="210">
        <v>3</v>
      </c>
      <c r="T208" s="8">
        <v>1.0000833333333334</v>
      </c>
      <c r="U208" s="98">
        <v>3.5487284779789796</v>
      </c>
      <c r="V208" s="106">
        <v>26564.653992841842</v>
      </c>
      <c r="W208" s="10">
        <v>1.0467182352520643</v>
      </c>
      <c r="X208" s="413">
        <v>1.0296260009077765</v>
      </c>
      <c r="Y208" s="414">
        <v>0.28907120934572461</v>
      </c>
      <c r="Z208" s="1"/>
      <c r="AA208" s="1"/>
      <c r="AB208" s="1"/>
      <c r="AC208" s="1"/>
      <c r="AD208" s="1"/>
      <c r="AF208" s="176">
        <v>47908</v>
      </c>
      <c r="AG208" s="177">
        <v>2.5000000000000001E-3</v>
      </c>
      <c r="AH208" s="177">
        <v>2.4166666666666668E-3</v>
      </c>
      <c r="AI208" s="100">
        <v>47916</v>
      </c>
      <c r="AJ208" s="102">
        <v>39630.364657142512</v>
      </c>
      <c r="AL208" s="23"/>
      <c r="AM208" s="23"/>
      <c r="BL208" s="299"/>
    </row>
    <row r="209" spans="17:64">
      <c r="Q209" s="6">
        <v>179</v>
      </c>
      <c r="R209" s="7">
        <v>42846</v>
      </c>
      <c r="S209" s="210">
        <v>3</v>
      </c>
      <c r="T209" s="8">
        <v>1.0000833333333334</v>
      </c>
      <c r="U209" s="98">
        <v>3.5461503647672199</v>
      </c>
      <c r="V209" s="106">
        <v>26568.687687140849</v>
      </c>
      <c r="W209" s="10">
        <v>1.0267274227616419</v>
      </c>
      <c r="X209" s="413">
        <v>1.0100270915199399</v>
      </c>
      <c r="Y209" s="414">
        <v>0.28887688912371318</v>
      </c>
      <c r="Z209" s="1"/>
      <c r="AA209" s="1"/>
      <c r="AB209" s="1"/>
      <c r="AC209" s="1"/>
      <c r="AD209" s="1"/>
      <c r="AF209" s="176">
        <v>47939</v>
      </c>
      <c r="AG209" s="177">
        <v>2.5000000000000001E-3</v>
      </c>
      <c r="AH209" s="177">
        <v>2.4166666666666668E-3</v>
      </c>
      <c r="AI209" s="100">
        <v>47947</v>
      </c>
      <c r="AJ209" s="102">
        <v>39726.138038397279</v>
      </c>
      <c r="AL209" s="23"/>
      <c r="AM209" s="23"/>
      <c r="BL209" s="299"/>
    </row>
    <row r="210" spans="17:64">
      <c r="Q210" s="6">
        <v>180</v>
      </c>
      <c r="R210" s="7">
        <v>42847</v>
      </c>
      <c r="S210" s="210">
        <v>3</v>
      </c>
      <c r="T210" s="8">
        <v>1.0000833333333334</v>
      </c>
      <c r="U210" s="98">
        <v>3.543600960380755</v>
      </c>
      <c r="V210" s="106">
        <v>26572.721993933799</v>
      </c>
      <c r="W210" s="10">
        <v>1.0069626196703707</v>
      </c>
      <c r="X210" s="413">
        <v>0.99064689103824932</v>
      </c>
      <c r="Y210" s="414">
        <v>0.28868484574115322</v>
      </c>
      <c r="Z210" s="1"/>
      <c r="AA210" s="1"/>
      <c r="AB210" s="1"/>
      <c r="AC210" s="1"/>
      <c r="AD210" s="1"/>
      <c r="AF210" s="176">
        <v>47969</v>
      </c>
      <c r="AG210" s="177">
        <v>2.5000000000000001E-3</v>
      </c>
      <c r="AH210" s="177">
        <v>2.4166666666666668E-3</v>
      </c>
      <c r="AI210" s="100">
        <v>47977</v>
      </c>
      <c r="AJ210" s="102">
        <v>39822.142871990072</v>
      </c>
      <c r="AL210" s="23"/>
      <c r="AM210" s="23"/>
      <c r="BL210" s="299"/>
    </row>
    <row r="211" spans="17:64">
      <c r="Q211" s="6">
        <v>181</v>
      </c>
      <c r="R211" s="7">
        <v>42848</v>
      </c>
      <c r="S211" s="210">
        <v>3</v>
      </c>
      <c r="T211" s="8">
        <v>1.0000833333333334</v>
      </c>
      <c r="U211" s="98">
        <v>3.5410797879407596</v>
      </c>
      <c r="V211" s="106">
        <v>26576.756913313697</v>
      </c>
      <c r="W211" s="10">
        <v>0.9874200151152257</v>
      </c>
      <c r="X211" s="413">
        <v>0.97148177438895256</v>
      </c>
      <c r="Y211" s="414">
        <v>0.28849504147013433</v>
      </c>
      <c r="Z211" s="1"/>
      <c r="AA211" s="1"/>
      <c r="AB211" s="1"/>
      <c r="AC211" s="1"/>
      <c r="AD211" s="1"/>
      <c r="AF211" s="176">
        <v>48000</v>
      </c>
      <c r="AG211" s="177">
        <v>2.5000000000000001E-3</v>
      </c>
      <c r="AH211" s="177">
        <v>2.4166666666666668E-3</v>
      </c>
      <c r="AI211" s="100">
        <v>48008</v>
      </c>
      <c r="AJ211" s="102">
        <v>39918.379717264048</v>
      </c>
      <c r="AL211" s="23"/>
      <c r="AM211" s="23"/>
      <c r="BL211" s="299"/>
    </row>
    <row r="212" spans="17:64">
      <c r="Q212" s="6">
        <v>182</v>
      </c>
      <c r="R212" s="7">
        <v>42849</v>
      </c>
      <c r="S212" s="210">
        <v>3</v>
      </c>
      <c r="T212" s="8">
        <v>1.0000833333333334</v>
      </c>
      <c r="U212" s="98">
        <v>3.5385863810719842</v>
      </c>
      <c r="V212" s="106">
        <v>26580.792445373565</v>
      </c>
      <c r="W212" s="10">
        <v>0.96809588342208208</v>
      </c>
      <c r="X212" s="413">
        <v>0.95252819617020412</v>
      </c>
      <c r="Y212" s="414">
        <v>0.28830743941192366</v>
      </c>
      <c r="Z212" s="1"/>
      <c r="AA212" s="1"/>
      <c r="AB212" s="1"/>
      <c r="AC212" s="1"/>
      <c r="AD212" s="1"/>
      <c r="AF212" s="176">
        <v>48030</v>
      </c>
      <c r="AG212" s="177">
        <v>2.5000000000000001E-3</v>
      </c>
      <c r="AH212" s="177">
        <v>2.4166666666666668E-3</v>
      </c>
      <c r="AI212" s="100">
        <v>48038</v>
      </c>
      <c r="AJ212" s="102">
        <v>40014.849134914104</v>
      </c>
      <c r="AL212" s="23"/>
      <c r="AM212" s="23"/>
      <c r="BL212" s="299"/>
    </row>
    <row r="213" spans="17:64">
      <c r="Q213" s="6">
        <v>183</v>
      </c>
      <c r="R213" s="7">
        <v>42850</v>
      </c>
      <c r="S213" s="210">
        <v>3</v>
      </c>
      <c r="T213" s="8">
        <v>1.0000833333333334</v>
      </c>
      <c r="U213" s="98">
        <v>3.5361202836153183</v>
      </c>
      <c r="V213" s="106">
        <v>26584.828590206427</v>
      </c>
      <c r="W213" s="10">
        <v>0.94898658173900863</v>
      </c>
      <c r="X213" s="413">
        <v>0.9337826884754119</v>
      </c>
      <c r="Y213" s="414">
        <v>0.28812200347432548</v>
      </c>
      <c r="Z213" s="1"/>
      <c r="AA213" s="1"/>
      <c r="AB213" s="1"/>
      <c r="AC213" s="1"/>
      <c r="AD213" s="1"/>
      <c r="AF213" s="176">
        <v>48061</v>
      </c>
      <c r="AG213" s="177">
        <v>2.5000000000000001E-3</v>
      </c>
      <c r="AH213" s="177">
        <v>2.4166666666666668E-3</v>
      </c>
      <c r="AI213" s="100">
        <v>48069</v>
      </c>
      <c r="AJ213" s="102">
        <v>40111.551686990148</v>
      </c>
      <c r="AL213" s="23"/>
      <c r="AM213" s="23"/>
      <c r="BL213" s="299"/>
    </row>
    <row r="214" spans="17:64">
      <c r="Q214" s="6">
        <v>184</v>
      </c>
      <c r="R214" s="7">
        <v>42851</v>
      </c>
      <c r="S214" s="210">
        <v>3</v>
      </c>
      <c r="T214" s="8">
        <v>1.0000833333333334</v>
      </c>
      <c r="U214" s="98">
        <v>3.5336810493494353</v>
      </c>
      <c r="V214" s="106">
        <v>26588.865347905328</v>
      </c>
      <c r="W214" s="10">
        <v>0.93008854774747629</v>
      </c>
      <c r="X214" s="413">
        <v>0.91524185878712738</v>
      </c>
      <c r="Y214" s="414">
        <v>0.28793869834975327</v>
      </c>
      <c r="Z214" s="1"/>
      <c r="AA214" s="1"/>
      <c r="AB214" s="1"/>
      <c r="AC214" s="1"/>
      <c r="AD214" s="1"/>
      <c r="AF214" s="176">
        <v>48092</v>
      </c>
      <c r="AG214" s="177">
        <v>2.5000000000000001E-3</v>
      </c>
      <c r="AH214" s="177">
        <v>2.4166666666666668E-3</v>
      </c>
      <c r="AI214" s="100">
        <v>48100</v>
      </c>
      <c r="AJ214" s="102">
        <v>40208.487936900376</v>
      </c>
      <c r="AL214" s="23"/>
      <c r="AM214" s="23"/>
      <c r="BL214" s="299"/>
    </row>
    <row r="215" spans="17:64">
      <c r="Q215" s="6">
        <v>185</v>
      </c>
      <c r="R215" s="7">
        <v>42852</v>
      </c>
      <c r="S215" s="210">
        <v>3</v>
      </c>
      <c r="T215" s="8">
        <v>1.0000833333333334</v>
      </c>
      <c r="U215" s="98">
        <v>3.5312682417217633</v>
      </c>
      <c r="V215" s="106">
        <v>26592.902718563339</v>
      </c>
      <c r="W215" s="10">
        <v>0.91139829744957268</v>
      </c>
      <c r="X215" s="413">
        <v>0.89690238793975985</v>
      </c>
      <c r="Y215" s="414">
        <v>0.28775748949403501</v>
      </c>
      <c r="Z215" s="1"/>
      <c r="AA215" s="1"/>
      <c r="AB215" s="1"/>
      <c r="AC215" s="1"/>
      <c r="AD215" s="1"/>
      <c r="AF215" s="176">
        <v>48122</v>
      </c>
      <c r="AG215" s="177">
        <v>2.5000000000000001E-3</v>
      </c>
      <c r="AH215" s="177">
        <v>2.4166666666666668E-3</v>
      </c>
      <c r="AI215" s="100">
        <v>48130</v>
      </c>
      <c r="AJ215" s="102">
        <v>40305.658449414557</v>
      </c>
      <c r="AL215" s="23"/>
      <c r="AM215" s="23"/>
      <c r="BL215" s="299"/>
    </row>
    <row r="216" spans="17:64">
      <c r="Q216" s="6">
        <v>186</v>
      </c>
      <c r="R216" s="7">
        <v>42853</v>
      </c>
      <c r="S216" s="210">
        <v>3</v>
      </c>
      <c r="T216" s="8">
        <v>1.0000833333333334</v>
      </c>
      <c r="U216" s="98">
        <v>3.5288814335878937</v>
      </c>
      <c r="V216" s="106">
        <v>26596.940702273529</v>
      </c>
      <c r="W216" s="10">
        <v>0.89291242302727003</v>
      </c>
      <c r="X216" s="413">
        <v>0.87876102814745249</v>
      </c>
      <c r="Y216" s="414">
        <v>0.28757834310587682</v>
      </c>
      <c r="Z216" s="1"/>
      <c r="AA216" s="1"/>
      <c r="AB216" s="1"/>
      <c r="AC216" s="1"/>
      <c r="AD216" s="1"/>
      <c r="AF216" s="176">
        <v>48153</v>
      </c>
      <c r="AG216" s="177">
        <v>2.5000000000000001E-3</v>
      </c>
      <c r="AH216" s="177">
        <v>2.4166666666666668E-3</v>
      </c>
      <c r="AI216" s="100">
        <v>48161</v>
      </c>
      <c r="AJ216" s="102">
        <v>40403.063790667315</v>
      </c>
      <c r="AL216" s="23"/>
      <c r="AM216" s="23"/>
      <c r="BL216" s="299"/>
    </row>
    <row r="217" spans="17:64">
      <c r="Q217" s="6">
        <v>187</v>
      </c>
      <c r="R217" s="7">
        <v>42854</v>
      </c>
      <c r="S217" s="210">
        <v>3</v>
      </c>
      <c r="T217" s="8">
        <v>1.0000833333333334</v>
      </c>
      <c r="U217" s="98">
        <v>3.5265202069596047</v>
      </c>
      <c r="V217" s="106">
        <v>26600.979299128983</v>
      </c>
      <c r="W217" s="10">
        <v>0.8746275907721035</v>
      </c>
      <c r="X217" s="413">
        <v>0.86081460109591657</v>
      </c>
      <c r="Y217" s="414">
        <v>0.28740122610701452</v>
      </c>
      <c r="Z217" s="1"/>
      <c r="AA217" s="1"/>
      <c r="AB217" s="1"/>
      <c r="AC217" s="1"/>
      <c r="AD217" s="1"/>
      <c r="AF217" s="176">
        <v>48183</v>
      </c>
      <c r="AG217" s="177">
        <v>2.5000000000000001E-3</v>
      </c>
      <c r="AH217" s="177">
        <v>2.4166666666666668E-3</v>
      </c>
      <c r="AI217" s="100">
        <v>48191</v>
      </c>
      <c r="AJ217" s="102">
        <v>40500.704528161426</v>
      </c>
      <c r="AL217" s="23"/>
      <c r="AM217" s="23"/>
      <c r="BL217" s="299"/>
    </row>
    <row r="218" spans="17:64">
      <c r="Q218" s="6">
        <v>188</v>
      </c>
      <c r="R218" s="7">
        <v>42855</v>
      </c>
      <c r="S218" s="210">
        <v>3</v>
      </c>
      <c r="T218" s="8">
        <v>1.0000833333333334</v>
      </c>
      <c r="U218" s="98">
        <v>3.5241841527606566</v>
      </c>
      <c r="V218" s="106">
        <v>26605.018509222809</v>
      </c>
      <c r="W218" s="10">
        <v>0.85654053908132965</v>
      </c>
      <c r="X218" s="413">
        <v>0.84305999609440263</v>
      </c>
      <c r="Y218" s="414">
        <v>0.28722610612297306</v>
      </c>
      <c r="Z218" s="1"/>
      <c r="AA218" s="1"/>
      <c r="AB218" s="1"/>
      <c r="AC218" s="1"/>
      <c r="AD218" s="1"/>
      <c r="AF218" s="176">
        <v>48214</v>
      </c>
      <c r="AG218" s="177">
        <v>2.5000000000000001E-3</v>
      </c>
      <c r="AH218" s="177">
        <v>2.4166666666666668E-3</v>
      </c>
      <c r="AI218" s="100">
        <v>48222</v>
      </c>
      <c r="AJ218" s="102">
        <v>40598.581230771153</v>
      </c>
      <c r="AL218" s="23"/>
      <c r="AM218" s="23"/>
      <c r="BL218" s="299"/>
    </row>
    <row r="219" spans="17:64">
      <c r="Q219" s="6">
        <v>189</v>
      </c>
      <c r="R219" s="7">
        <v>42856</v>
      </c>
      <c r="S219" s="210">
        <v>3</v>
      </c>
      <c r="T219" s="8">
        <v>1.0000833333333334</v>
      </c>
      <c r="U219" s="98">
        <v>3.5218728705908253</v>
      </c>
      <c r="V219" s="106">
        <v>26609.058332648121</v>
      </c>
      <c r="W219" s="10">
        <v>0.83864807651938822</v>
      </c>
      <c r="X219" s="413">
        <v>0.82549416828705435</v>
      </c>
      <c r="Y219" s="414">
        <v>0.28705295146445503</v>
      </c>
      <c r="Z219" s="1"/>
      <c r="AA219" s="1"/>
      <c r="AB219" s="1"/>
      <c r="AC219" s="1"/>
      <c r="AD219" s="1"/>
      <c r="AF219" s="176">
        <v>48245</v>
      </c>
      <c r="AG219" s="177">
        <v>2.5000000000000001E-3</v>
      </c>
      <c r="AH219" s="177">
        <v>2.4166666666666668E-3</v>
      </c>
      <c r="AI219" s="100">
        <v>48253</v>
      </c>
      <c r="AJ219" s="102">
        <v>40696.694468745518</v>
      </c>
      <c r="AL219" s="23"/>
      <c r="AM219" s="23"/>
      <c r="BL219" s="299"/>
    </row>
    <row r="220" spans="17:64">
      <c r="Q220" s="6">
        <v>190</v>
      </c>
      <c r="R220" s="7">
        <v>42857</v>
      </c>
      <c r="S220" s="210">
        <v>3</v>
      </c>
      <c r="T220" s="8">
        <v>1.0000833333333334</v>
      </c>
      <c r="U220" s="98">
        <v>3.5195859684967967</v>
      </c>
      <c r="V220" s="106">
        <v>26613.098769498054</v>
      </c>
      <c r="W220" s="10">
        <v>0.82094707994095906</v>
      </c>
      <c r="X220" s="413">
        <v>0.80811413692007605</v>
      </c>
      <c r="Y220" s="414">
        <v>0.28688173110930609</v>
      </c>
      <c r="Z220" s="1"/>
      <c r="AA220" s="1"/>
      <c r="AB220" s="1"/>
      <c r="AC220" s="1"/>
      <c r="AD220" s="1"/>
      <c r="AF220" s="176">
        <v>48274</v>
      </c>
      <c r="AG220" s="177">
        <v>2.5000000000000001E-3</v>
      </c>
      <c r="AH220" s="177">
        <v>2.4166666666666668E-3</v>
      </c>
      <c r="AI220" s="100">
        <v>48282</v>
      </c>
      <c r="AJ220" s="102">
        <v>40795.044813711655</v>
      </c>
      <c r="AL220" s="23"/>
      <c r="AM220" s="23"/>
      <c r="BL220" s="299"/>
    </row>
    <row r="221" spans="17:64">
      <c r="Q221" s="6">
        <v>191</v>
      </c>
      <c r="R221" s="7">
        <v>42858</v>
      </c>
      <c r="S221" s="210">
        <v>3</v>
      </c>
      <c r="T221" s="8">
        <v>1.0000833333333334</v>
      </c>
      <c r="U221" s="98">
        <v>3.5173230627507879</v>
      </c>
      <c r="V221" s="106">
        <v>26617.139819865744</v>
      </c>
      <c r="W221" s="10">
        <v>0.80343449267457068</v>
      </c>
      <c r="X221" s="413">
        <v>0.79091698366396079</v>
      </c>
      <c r="Y221" s="414">
        <v>0.2867124146850506</v>
      </c>
      <c r="Z221" s="1"/>
      <c r="AA221" s="1"/>
      <c r="AB221" s="1"/>
      <c r="AC221" s="1"/>
      <c r="AD221" s="1"/>
      <c r="AF221" s="176">
        <v>48305</v>
      </c>
      <c r="AG221" s="177">
        <v>2.5000000000000001E-3</v>
      </c>
      <c r="AH221" s="177">
        <v>2.4166666666666668E-3</v>
      </c>
      <c r="AI221" s="100">
        <v>48313</v>
      </c>
      <c r="AJ221" s="102">
        <v>40893.632838678124</v>
      </c>
      <c r="AL221" s="23"/>
      <c r="AM221" s="23"/>
      <c r="BL221" s="299"/>
    </row>
    <row r="222" spans="17:64">
      <c r="Q222" s="6">
        <v>192</v>
      </c>
      <c r="R222" s="7">
        <v>42859</v>
      </c>
      <c r="S222" s="210">
        <v>3</v>
      </c>
      <c r="T222" s="8">
        <v>1.0000833333333334</v>
      </c>
      <c r="U222" s="98">
        <v>3.5150837776357857</v>
      </c>
      <c r="V222" s="106">
        <v>26621.181483844361</v>
      </c>
      <c r="W222" s="10">
        <v>0.78610732276325201</v>
      </c>
      <c r="X222" s="413">
        <v>0.77389985098764991</v>
      </c>
      <c r="Y222" s="414">
        <v>0.2865449724519728</v>
      </c>
      <c r="Z222" s="1"/>
      <c r="AA222" s="1"/>
      <c r="AB222" s="1"/>
      <c r="AC222" s="1"/>
      <c r="AD222" s="1"/>
      <c r="AF222" s="176">
        <v>48335</v>
      </c>
      <c r="AG222" s="177">
        <v>2.5000000000000001E-3</v>
      </c>
      <c r="AH222" s="177">
        <v>2.4166666666666668E-3</v>
      </c>
      <c r="AI222" s="100">
        <v>48343</v>
      </c>
      <c r="AJ222" s="102">
        <v>40992.459118038263</v>
      </c>
      <c r="AL222" s="23"/>
      <c r="AM222" s="23"/>
      <c r="BL222" s="299"/>
    </row>
    <row r="223" spans="17:64">
      <c r="Q223" s="6">
        <v>193</v>
      </c>
      <c r="R223" s="7">
        <v>42860</v>
      </c>
      <c r="S223" s="210">
        <v>3</v>
      </c>
      <c r="T223" s="8">
        <v>1.0000833333333334</v>
      </c>
      <c r="U223" s="98">
        <v>3.5128677452377355</v>
      </c>
      <c r="V223" s="106">
        <v>26625.223761527071</v>
      </c>
      <c r="W223" s="10">
        <v>0.76896264126129488</v>
      </c>
      <c r="X223" s="413">
        <v>0.75705994058365045</v>
      </c>
      <c r="Y223" s="414">
        <v>0.28637937528672752</v>
      </c>
      <c r="Z223" s="1"/>
      <c r="AA223" s="1"/>
      <c r="AB223" s="1"/>
      <c r="AC223" s="1"/>
      <c r="AD223" s="1"/>
      <c r="AF223" s="176">
        <v>48366</v>
      </c>
      <c r="AG223" s="177">
        <v>2.5000000000000001E-3</v>
      </c>
      <c r="AH223" s="177">
        <v>2.4166666666666668E-3</v>
      </c>
      <c r="AI223" s="100">
        <v>48374</v>
      </c>
      <c r="AJ223" s="102">
        <v>41091.524227573522</v>
      </c>
      <c r="AL223" s="23"/>
      <c r="AM223" s="23"/>
      <c r="BL223" s="299"/>
    </row>
    <row r="224" spans="17:64">
      <c r="Q224" s="6">
        <v>194</v>
      </c>
      <c r="R224" s="7">
        <v>42861</v>
      </c>
      <c r="S224" s="210">
        <v>3</v>
      </c>
      <c r="T224" s="8">
        <v>1.0000833333333334</v>
      </c>
      <c r="U224" s="98">
        <v>3.5106746052438353</v>
      </c>
      <c r="V224" s="106">
        <v>26629.266653007067</v>
      </c>
      <c r="W224" s="10">
        <v>0.75199758058408506</v>
      </c>
      <c r="X224" s="413">
        <v>0.7403945118413664</v>
      </c>
      <c r="Y224" s="414">
        <v>0.28621559466645097</v>
      </c>
      <c r="Z224" s="1"/>
      <c r="AA224" s="1"/>
      <c r="AB224" s="1"/>
      <c r="AC224" s="1"/>
      <c r="AD224" s="1"/>
      <c r="AF224" s="176">
        <v>48396</v>
      </c>
      <c r="AG224" s="177">
        <v>2.5000000000000001E-3</v>
      </c>
      <c r="AH224" s="177">
        <v>2.4166666666666668E-3</v>
      </c>
      <c r="AI224" s="100">
        <v>48404</v>
      </c>
      <c r="AJ224" s="102">
        <v>41190.828744456827</v>
      </c>
      <c r="AL224" s="23"/>
      <c r="AM224" s="23"/>
      <c r="BL224" s="299"/>
    </row>
    <row r="225" spans="17:64">
      <c r="Q225" s="6">
        <v>195</v>
      </c>
      <c r="R225" s="7">
        <v>42862</v>
      </c>
      <c r="S225" s="210">
        <v>3</v>
      </c>
      <c r="T225" s="8">
        <v>1.0000833333333334</v>
      </c>
      <c r="U225" s="98">
        <v>3.5085040047473592</v>
      </c>
      <c r="V225" s="106">
        <v>26633.310158377546</v>
      </c>
      <c r="W225" s="10">
        <v>0.73520933290995849</v>
      </c>
      <c r="X225" s="413">
        <v>0.72390088036801903</v>
      </c>
      <c r="Y225" s="414">
        <v>0.28605360265336033</v>
      </c>
      <c r="Z225" s="1"/>
      <c r="AA225" s="1"/>
      <c r="AB225" s="1"/>
      <c r="AC225" s="1"/>
      <c r="AD225" s="1"/>
      <c r="AF225" s="176">
        <v>48427</v>
      </c>
      <c r="AG225" s="177">
        <v>2.5000000000000001E-3</v>
      </c>
      <c r="AH225" s="177">
        <v>2.4166666666666668E-3</v>
      </c>
      <c r="AI225" s="100">
        <v>48435</v>
      </c>
      <c r="AJ225" s="102">
        <v>41290.373247255935</v>
      </c>
      <c r="AL225" s="23"/>
      <c r="AM225" s="23"/>
      <c r="BL225" s="299"/>
    </row>
    <row r="226" spans="17:64">
      <c r="Q226" s="6">
        <v>196</v>
      </c>
      <c r="R226" s="7">
        <v>42863</v>
      </c>
      <c r="S226" s="210">
        <v>3</v>
      </c>
      <c r="T226" s="8">
        <v>1.0000833333333334</v>
      </c>
      <c r="U226" s="98">
        <v>3.5063555980583638</v>
      </c>
      <c r="V226" s="106">
        <v>26637.35427773172</v>
      </c>
      <c r="W226" s="10">
        <v>0.71859514863132912</v>
      </c>
      <c r="X226" s="413">
        <v>0.70757641655435555</v>
      </c>
      <c r="Y226" s="414">
        <v>0.28589337187984176</v>
      </c>
      <c r="Z226" s="1"/>
      <c r="AA226" s="1"/>
      <c r="AB226" s="1"/>
      <c r="AC226" s="1"/>
      <c r="AD226" s="1"/>
      <c r="AF226" s="176">
        <v>48458</v>
      </c>
      <c r="AG226" s="177">
        <v>2.5000000000000001E-3</v>
      </c>
      <c r="AH226" s="177">
        <v>2.4166666666666668E-3</v>
      </c>
      <c r="AI226" s="100">
        <v>48466</v>
      </c>
      <c r="AJ226" s="102">
        <v>41390.158315936809</v>
      </c>
      <c r="AL226" s="23"/>
      <c r="AM226" s="23"/>
      <c r="BL226" s="299"/>
    </row>
    <row r="227" spans="17:64">
      <c r="Q227" s="6">
        <v>197</v>
      </c>
      <c r="R227" s="7">
        <v>42864</v>
      </c>
      <c r="S227" s="210">
        <v>3</v>
      </c>
      <c r="T227" s="8">
        <v>1.0000833333333334</v>
      </c>
      <c r="U227" s="98">
        <v>3.504229046519991</v>
      </c>
      <c r="V227" s="106">
        <v>26641.39901116283</v>
      </c>
      <c r="W227" s="10">
        <v>0.70215233485382278</v>
      </c>
      <c r="X227" s="413">
        <v>0.69141854418404247</v>
      </c>
      <c r="Y227" s="414">
        <v>0.28573487553395893</v>
      </c>
      <c r="Z227" s="1"/>
      <c r="AA227" s="1"/>
      <c r="AB227" s="1"/>
      <c r="AC227" s="1"/>
      <c r="AD227" s="1"/>
      <c r="AF227" s="176">
        <v>48488</v>
      </c>
      <c r="AG227" s="177">
        <v>2.5000000000000001E-3</v>
      </c>
      <c r="AH227" s="177">
        <v>2.4166666666666668E-3</v>
      </c>
      <c r="AI227" s="100">
        <v>48496</v>
      </c>
      <c r="AJ227" s="102">
        <v>41490.184531866995</v>
      </c>
      <c r="AL227" s="23"/>
      <c r="AM227" s="23"/>
      <c r="BL227" s="299"/>
    </row>
    <row r="228" spans="17:64">
      <c r="Q228" s="6">
        <v>198</v>
      </c>
      <c r="R228" s="7">
        <v>42865</v>
      </c>
      <c r="S228" s="210">
        <v>3</v>
      </c>
      <c r="T228" s="8">
        <v>1.0000833333333334</v>
      </c>
      <c r="U228" s="98">
        <v>3.5021240183307212</v>
      </c>
      <c r="V228" s="106">
        <v>26643.291516841407</v>
      </c>
      <c r="W228" s="10">
        <v>0.70087632133499778</v>
      </c>
      <c r="X228" s="413">
        <v>0.69017066064617916</v>
      </c>
      <c r="Y228" s="414">
        <v>0.28557808734543744</v>
      </c>
      <c r="Z228" s="1"/>
      <c r="AA228" s="1"/>
      <c r="AB228" s="1"/>
      <c r="AC228" s="1"/>
      <c r="AD228" s="1"/>
      <c r="AF228" s="176">
        <v>48519</v>
      </c>
      <c r="AG228" s="177">
        <v>2.5000000000000001E-3</v>
      </c>
      <c r="AH228" s="177">
        <v>2.4166666666666668E-3</v>
      </c>
      <c r="AI228" s="100">
        <v>48527</v>
      </c>
      <c r="AJ228" s="102">
        <v>41590.45247781901</v>
      </c>
      <c r="AL228" s="23"/>
      <c r="AM228" s="23"/>
      <c r="BL228" s="299"/>
    </row>
    <row r="229" spans="17:64">
      <c r="Q229" s="6">
        <v>199</v>
      </c>
      <c r="R229" s="7">
        <v>42866</v>
      </c>
      <c r="S229" s="210">
        <v>3</v>
      </c>
      <c r="T229" s="8">
        <v>1.0000833333333334</v>
      </c>
      <c r="U229" s="98">
        <v>3.5000401883716892</v>
      </c>
      <c r="V229" s="106">
        <v>26645.184156956529</v>
      </c>
      <c r="W229" s="10">
        <v>0.69961314799837915</v>
      </c>
      <c r="X229" s="413">
        <v>0.68893534610707596</v>
      </c>
      <c r="Y229" s="414">
        <v>0.28542298157205204</v>
      </c>
      <c r="Z229" s="1"/>
      <c r="AA229" s="1"/>
      <c r="AB229" s="1"/>
      <c r="AC229" s="1"/>
      <c r="AD229" s="1"/>
      <c r="AF229" s="176">
        <v>48549</v>
      </c>
      <c r="AG229" s="177">
        <v>2.5000000000000001E-3</v>
      </c>
      <c r="AH229" s="177">
        <v>2.4166666666666668E-3</v>
      </c>
      <c r="AI229" s="100">
        <v>48557</v>
      </c>
      <c r="AJ229" s="102">
        <v>41690.962737973743</v>
      </c>
      <c r="AL229" s="23"/>
      <c r="AM229" s="23"/>
      <c r="BL229" s="299"/>
    </row>
    <row r="230" spans="17:64">
      <c r="Q230" s="6">
        <v>200</v>
      </c>
      <c r="R230" s="7">
        <v>42867</v>
      </c>
      <c r="S230" s="210">
        <v>3</v>
      </c>
      <c r="T230" s="8">
        <v>1.0000833333333334</v>
      </c>
      <c r="U230" s="98">
        <v>3.497977238039196</v>
      </c>
      <c r="V230" s="106">
        <v>26647.076931517757</v>
      </c>
      <c r="W230" s="10">
        <v>0.69836262200320132</v>
      </c>
      <c r="X230" s="413">
        <v>0.68771241203191114</v>
      </c>
      <c r="Y230" s="414">
        <v>0.28526953298641522</v>
      </c>
      <c r="Z230" s="1"/>
      <c r="AA230" s="1"/>
      <c r="AB230" s="1"/>
      <c r="AC230" s="1"/>
      <c r="AD230" s="1"/>
      <c r="AF230" s="176">
        <v>48580</v>
      </c>
      <c r="AG230" s="177">
        <v>2.5000000000000001E-3</v>
      </c>
      <c r="AH230" s="177">
        <v>2.4166666666666668E-3</v>
      </c>
      <c r="AI230" s="100">
        <v>48588</v>
      </c>
      <c r="AJ230" s="102">
        <v>41791.715897923852</v>
      </c>
      <c r="AL230" s="23"/>
      <c r="AM230" s="23"/>
      <c r="BL230" s="299"/>
    </row>
    <row r="231" spans="17:64">
      <c r="Q231" s="6">
        <v>201</v>
      </c>
      <c r="R231" s="7">
        <v>42868</v>
      </c>
      <c r="S231" s="210">
        <v>3</v>
      </c>
      <c r="T231" s="8">
        <v>1.0000833333333334</v>
      </c>
      <c r="U231" s="98">
        <v>3.4959348550825053</v>
      </c>
      <c r="V231" s="106">
        <v>26648.969840534628</v>
      </c>
      <c r="W231" s="10">
        <v>0.69712455435129161</v>
      </c>
      <c r="X231" s="413">
        <v>0.68650167363811809</v>
      </c>
      <c r="Y231" s="414">
        <v>0.28511771686318382</v>
      </c>
      <c r="Z231" s="1"/>
      <c r="AA231" s="1"/>
      <c r="AB231" s="1"/>
      <c r="AC231" s="1"/>
      <c r="AD231" s="1"/>
      <c r="AF231" s="176">
        <v>48611</v>
      </c>
      <c r="AG231" s="177">
        <v>2.5000000000000001E-3</v>
      </c>
      <c r="AH231" s="177">
        <v>2.4166666666666668E-3</v>
      </c>
      <c r="AI231" s="100">
        <v>48619</v>
      </c>
      <c r="AJ231" s="102">
        <v>41892.712544677168</v>
      </c>
      <c r="AL231" s="23"/>
      <c r="AM231" s="23"/>
      <c r="BL231" s="299"/>
    </row>
    <row r="232" spans="17:64">
      <c r="Q232" s="6">
        <v>202</v>
      </c>
      <c r="R232" s="7">
        <v>42869</v>
      </c>
      <c r="S232" s="210">
        <v>3</v>
      </c>
      <c r="T232" s="8">
        <v>1.0000833333333334</v>
      </c>
      <c r="U232" s="98">
        <v>3.4939127334461251</v>
      </c>
      <c r="V232" s="106">
        <v>26650.862884016704</v>
      </c>
      <c r="W232" s="10">
        <v>0.69589875979134685</v>
      </c>
      <c r="X232" s="413">
        <v>0.68530294980191409</v>
      </c>
      <c r="Y232" s="414">
        <v>0.28496750896662199</v>
      </c>
      <c r="Z232" s="1"/>
      <c r="AA232" s="1"/>
      <c r="AB232" s="1"/>
      <c r="AC232" s="1"/>
      <c r="AD232" s="1"/>
      <c r="AF232" s="176">
        <v>48639</v>
      </c>
      <c r="AG232" s="177">
        <v>2.5000000000000001E-3</v>
      </c>
      <c r="AH232" s="177">
        <v>2.4166666666666668E-3</v>
      </c>
      <c r="AI232" s="100">
        <v>48647</v>
      </c>
      <c r="AJ232" s="102">
        <v>41993.953266660137</v>
      </c>
      <c r="AL232" s="23"/>
      <c r="AM232" s="23"/>
      <c r="BL232" s="299"/>
    </row>
    <row r="233" spans="17:64">
      <c r="Q233" s="6">
        <v>203</v>
      </c>
      <c r="R233" s="7">
        <v>42870</v>
      </c>
      <c r="S233" s="210">
        <v>3</v>
      </c>
      <c r="T233" s="8">
        <v>1.0000833333333334</v>
      </c>
      <c r="U233" s="98">
        <v>3.4919105731169964</v>
      </c>
      <c r="V233" s="106">
        <v>26652.756061973527</v>
      </c>
      <c r="W233" s="10">
        <v>0.69468505672709568</v>
      </c>
      <c r="X233" s="413">
        <v>0.68411606296873317</v>
      </c>
      <c r="Y233" s="414">
        <v>0.28481888553854867</v>
      </c>
      <c r="Z233" s="1"/>
      <c r="AA233" s="1"/>
      <c r="AB233" s="1"/>
      <c r="AC233" s="1"/>
      <c r="AD233" s="1"/>
      <c r="AF233" s="176">
        <v>48670</v>
      </c>
      <c r="AG233" s="177">
        <v>2.5000000000000001E-3</v>
      </c>
      <c r="AH233" s="177">
        <v>2.4166666666666668E-3</v>
      </c>
      <c r="AI233" s="100">
        <v>48678</v>
      </c>
      <c r="AJ233" s="102">
        <v>42095.438653721234</v>
      </c>
      <c r="AL233" s="23"/>
      <c r="AM233" s="23"/>
      <c r="BL233" s="299"/>
    </row>
    <row r="234" spans="17:64">
      <c r="Q234" s="6">
        <v>204</v>
      </c>
      <c r="R234" s="7">
        <v>42871</v>
      </c>
      <c r="S234" s="210">
        <v>3</v>
      </c>
      <c r="T234" s="8">
        <v>1.0000833333333334</v>
      </c>
      <c r="U234" s="98">
        <v>3.4899280799761234</v>
      </c>
      <c r="V234" s="106">
        <v>26654.649374414661</v>
      </c>
      <c r="W234" s="10">
        <v>0.69348326712694863</v>
      </c>
      <c r="X234" s="413">
        <v>0.68294083906519754</v>
      </c>
      <c r="Y234" s="414">
        <v>0.28467182328662943</v>
      </c>
      <c r="Z234" s="1"/>
      <c r="AA234" s="1"/>
      <c r="AB234" s="1"/>
      <c r="AC234" s="1"/>
      <c r="AD234" s="1"/>
      <c r="AF234" s="176">
        <v>48700</v>
      </c>
      <c r="AG234" s="177">
        <v>2.5000000000000001E-3</v>
      </c>
      <c r="AH234" s="177">
        <v>2.4166666666666668E-3</v>
      </c>
      <c r="AI234" s="100">
        <v>48708</v>
      </c>
      <c r="AJ234" s="102">
        <v>42197.169297134395</v>
      </c>
      <c r="AL234" s="23"/>
      <c r="AM234" s="23"/>
      <c r="BL234" s="299"/>
    </row>
    <row r="235" spans="17:64">
      <c r="Q235" s="6">
        <v>205</v>
      </c>
      <c r="R235" s="7">
        <v>42872</v>
      </c>
      <c r="S235" s="210">
        <v>3</v>
      </c>
      <c r="T235" s="8">
        <v>1.0000833333333334</v>
      </c>
      <c r="U235" s="98">
        <v>3.4879649656544887</v>
      </c>
      <c r="V235" s="106">
        <v>26656.542821349649</v>
      </c>
      <c r="W235" s="10">
        <v>0.69229321643755615</v>
      </c>
      <c r="X235" s="413">
        <v>0.68177710741471698</v>
      </c>
      <c r="Y235" s="414">
        <v>0.28452629937301782</v>
      </c>
      <c r="Z235" s="1"/>
      <c r="AA235" s="1"/>
      <c r="AB235" s="1"/>
      <c r="AC235" s="1"/>
      <c r="AD235" s="1"/>
      <c r="AF235" s="176">
        <v>48731</v>
      </c>
      <c r="AG235" s="177">
        <v>2.5000000000000001E-3</v>
      </c>
      <c r="AH235" s="177">
        <v>2.4166666666666668E-3</v>
      </c>
      <c r="AI235" s="100">
        <v>48739</v>
      </c>
      <c r="AJ235" s="102">
        <v>42299.145789602473</v>
      </c>
      <c r="AL235" s="23"/>
      <c r="AM235" s="23"/>
      <c r="BL235" s="299"/>
    </row>
    <row r="236" spans="17:64">
      <c r="Q236" s="6">
        <v>206</v>
      </c>
      <c r="R236" s="7">
        <v>42873</v>
      </c>
      <c r="S236" s="210">
        <v>3</v>
      </c>
      <c r="T236" s="8">
        <v>1.0000833333333334</v>
      </c>
      <c r="U236" s="98">
        <v>3.4860209473932313</v>
      </c>
      <c r="V236" s="106">
        <v>26658.436402788055</v>
      </c>
      <c r="W236" s="10">
        <v>0.69111473349883212</v>
      </c>
      <c r="X236" s="413">
        <v>0.6806247006546543</v>
      </c>
      <c r="Y236" s="414">
        <v>0.28438229140331733</v>
      </c>
      <c r="Z236" s="1"/>
      <c r="AA236" s="1"/>
      <c r="AB236" s="1"/>
      <c r="AC236" s="1"/>
      <c r="AD236" s="1"/>
      <c r="AF236" s="176">
        <v>48761</v>
      </c>
      <c r="AG236" s="177">
        <v>2.5000000000000001E-3</v>
      </c>
      <c r="AH236" s="177">
        <v>2.4166666666666668E-3</v>
      </c>
      <c r="AI236" s="100">
        <v>48769</v>
      </c>
      <c r="AJ236" s="102">
        <v>42401.368725260683</v>
      </c>
      <c r="AL236" s="23"/>
      <c r="AM236" s="23"/>
      <c r="BL236" s="299"/>
    </row>
    <row r="237" spans="17:64">
      <c r="Q237" s="6">
        <v>207</v>
      </c>
      <c r="R237" s="7">
        <v>42874</v>
      </c>
      <c r="S237" s="210">
        <v>3</v>
      </c>
      <c r="T237" s="8">
        <v>1.0000833333333334</v>
      </c>
      <c r="U237" s="98">
        <v>3.4840957479078671</v>
      </c>
      <c r="V237" s="106">
        <v>26660.330118739421</v>
      </c>
      <c r="W237" s="10">
        <v>0.68994765046221929</v>
      </c>
      <c r="X237" s="413">
        <v>0.67948345465654925</v>
      </c>
      <c r="Y237" s="414">
        <v>0.28423977741587336</v>
      </c>
      <c r="Z237" s="1"/>
      <c r="AA237" s="1"/>
      <c r="AB237" s="1"/>
      <c r="AC237" s="1"/>
      <c r="AD237" s="1"/>
      <c r="AF237" s="176">
        <v>48792</v>
      </c>
      <c r="AG237" s="177">
        <v>2.5000000000000001E-3</v>
      </c>
      <c r="AH237" s="177">
        <v>2.4166666666666668E-3</v>
      </c>
      <c r="AI237" s="100">
        <v>48800</v>
      </c>
      <c r="AJ237" s="102">
        <v>42503.838699680069</v>
      </c>
      <c r="AL237" s="23"/>
      <c r="AM237" s="23"/>
      <c r="BL237" s="299"/>
    </row>
    <row r="238" spans="17:64">
      <c r="Q238" s="6">
        <v>208</v>
      </c>
      <c r="R238" s="7">
        <v>42875</v>
      </c>
      <c r="S238" s="210">
        <v>3</v>
      </c>
      <c r="T238" s="8">
        <v>1.0000833333333334</v>
      </c>
      <c r="U238" s="98">
        <v>3.4821890952565271</v>
      </c>
      <c r="V238" s="106">
        <v>26662.223969213315</v>
      </c>
      <c r="W238" s="10">
        <v>0.68879180271068652</v>
      </c>
      <c r="X238" s="413">
        <v>0.67835320844810398</v>
      </c>
      <c r="Y238" s="414">
        <v>0.28409873587137746</v>
      </c>
      <c r="Z238" s="1"/>
      <c r="AA238" s="1"/>
      <c r="AB238" s="1"/>
      <c r="AC238" s="1"/>
      <c r="AD238" s="1"/>
      <c r="AF238" s="176">
        <v>48823</v>
      </c>
      <c r="AG238" s="177">
        <v>2.5000000000000001E-3</v>
      </c>
      <c r="AH238" s="177">
        <v>2.4166666666666668E-3</v>
      </c>
      <c r="AI238" s="100">
        <v>48831</v>
      </c>
      <c r="AJ238" s="102">
        <v>42606.556309870968</v>
      </c>
      <c r="AL238" s="23"/>
      <c r="AM238" s="23"/>
      <c r="BL238" s="299"/>
    </row>
    <row r="239" spans="17:64">
      <c r="Q239" s="6">
        <v>209</v>
      </c>
      <c r="R239" s="7">
        <v>42876</v>
      </c>
      <c r="S239" s="210">
        <v>3</v>
      </c>
      <c r="T239" s="8">
        <v>1.0000833333333334</v>
      </c>
      <c r="U239" s="98">
        <v>3.480300722711771</v>
      </c>
      <c r="V239" s="106">
        <v>26664.117954219284</v>
      </c>
      <c r="W239" s="10">
        <v>0.68764702878165718</v>
      </c>
      <c r="X239" s="413">
        <v>0.67723380413798362</v>
      </c>
      <c r="Y239" s="414">
        <v>0.28395914564275332</v>
      </c>
      <c r="Z239" s="1"/>
      <c r="AA239" s="1"/>
      <c r="AB239" s="1"/>
      <c r="AC239" s="1"/>
      <c r="AD239" s="1"/>
      <c r="AF239" s="176">
        <v>48853</v>
      </c>
      <c r="AG239" s="177">
        <v>2.5000000000000001E-3</v>
      </c>
      <c r="AH239" s="177">
        <v>2.4166666666666668E-3</v>
      </c>
      <c r="AI239" s="100">
        <v>48861</v>
      </c>
      <c r="AJ239" s="102">
        <v>42709.522154286489</v>
      </c>
      <c r="AL239" s="23"/>
      <c r="AM239" s="23"/>
      <c r="BL239" s="299"/>
    </row>
    <row r="240" spans="17:64">
      <c r="Q240" s="6">
        <v>210</v>
      </c>
      <c r="R240" s="7">
        <v>42877</v>
      </c>
      <c r="S240" s="210">
        <v>3</v>
      </c>
      <c r="T240" s="8">
        <v>1.0000833333333334</v>
      </c>
      <c r="U240" s="98">
        <v>3.4784303686362872</v>
      </c>
      <c r="V240" s="106">
        <v>26666.012073766891</v>
      </c>
      <c r="W240" s="10">
        <v>0.68651317029155834</v>
      </c>
      <c r="X240" s="413">
        <v>0.6761250868422306</v>
      </c>
      <c r="Y240" s="414">
        <v>0.28382098600534533</v>
      </c>
      <c r="Z240" s="1"/>
      <c r="AA240" s="1"/>
      <c r="AB240" s="1"/>
      <c r="AC240" s="1"/>
      <c r="AD240" s="1"/>
      <c r="AF240" s="176">
        <v>48884</v>
      </c>
      <c r="AG240" s="177">
        <v>2.5000000000000001E-3</v>
      </c>
      <c r="AH240" s="177">
        <v>2.4166666666666668E-3</v>
      </c>
      <c r="AI240" s="100">
        <v>48892</v>
      </c>
      <c r="AJ240" s="102">
        <v>42812.73683282602</v>
      </c>
      <c r="AL240" s="23"/>
      <c r="AM240" s="23"/>
      <c r="BL240" s="299"/>
    </row>
    <row r="241" spans="17:64">
      <c r="Q241" s="6">
        <v>211</v>
      </c>
      <c r="R241" s="7">
        <v>42878</v>
      </c>
      <c r="S241" s="210">
        <v>3</v>
      </c>
      <c r="T241" s="8">
        <v>1.0000833333333334</v>
      </c>
      <c r="U241" s="98">
        <v>3.4765777763620109</v>
      </c>
      <c r="V241" s="106">
        <v>26667.906327865687</v>
      </c>
      <c r="W241" s="10">
        <v>0.68539007186290135</v>
      </c>
      <c r="X241" s="413">
        <v>0.67502690461311465</v>
      </c>
      <c r="Y241" s="414">
        <v>0.28368423662738218</v>
      </c>
      <c r="Z241" s="1"/>
      <c r="AA241" s="1"/>
      <c r="AB241" s="1"/>
      <c r="AC241" s="1"/>
      <c r="AD241" s="1"/>
      <c r="AF241" s="176">
        <v>48914</v>
      </c>
      <c r="AG241" s="177">
        <v>2.5000000000000001E-3</v>
      </c>
      <c r="AH241" s="177">
        <v>2.4166666666666668E-3</v>
      </c>
      <c r="AI241" s="100">
        <v>48922</v>
      </c>
      <c r="AJ241" s="102">
        <v>42916.200946838682</v>
      </c>
      <c r="AL241" s="23"/>
      <c r="AM241" s="23"/>
      <c r="BL241" s="299"/>
    </row>
    <row r="242" spans="17:64">
      <c r="Q242" s="6">
        <v>212</v>
      </c>
      <c r="R242" s="7">
        <v>42879</v>
      </c>
      <c r="S242" s="210">
        <v>3</v>
      </c>
      <c r="T242" s="8">
        <v>1.0000833333333334</v>
      </c>
      <c r="U242" s="98">
        <v>3.4747426940727744</v>
      </c>
      <c r="V242" s="106">
        <v>26669.800716525235</v>
      </c>
      <c r="W242" s="10">
        <v>0.68427758105318315</v>
      </c>
      <c r="X242" s="413">
        <v>0.67393910836976778</v>
      </c>
      <c r="Y242" s="414">
        <v>0.28354887756071728</v>
      </c>
      <c r="Z242" s="1"/>
      <c r="AA242" s="1"/>
      <c r="AB242" s="1"/>
      <c r="AC242" s="1"/>
      <c r="AD242" s="1"/>
      <c r="AF242" s="176">
        <v>48945</v>
      </c>
      <c r="AG242" s="177">
        <v>2.5000000000000001E-3</v>
      </c>
      <c r="AH242" s="177">
        <v>2.4166666666666668E-3</v>
      </c>
      <c r="AI242" s="100">
        <v>48953</v>
      </c>
      <c r="AJ242" s="102">
        <v>43019.915099126876</v>
      </c>
      <c r="AL242" s="23"/>
      <c r="AM242" s="23"/>
      <c r="BL242" s="299"/>
    </row>
    <row r="243" spans="17:64">
      <c r="Q243" s="6">
        <v>213</v>
      </c>
      <c r="R243" s="7">
        <v>42880</v>
      </c>
      <c r="S243" s="210">
        <v>3</v>
      </c>
      <c r="T243" s="8">
        <v>1.0000833333333334</v>
      </c>
      <c r="U243" s="98">
        <v>3.4729248746900421</v>
      </c>
      <c r="V243" s="106">
        <v>26671.695239755092</v>
      </c>
      <c r="W243" s="10">
        <v>0.68317554828609683</v>
      </c>
      <c r="X243" s="413">
        <v>0.67286155183107565</v>
      </c>
      <c r="Y243" s="414">
        <v>0.28341488923181085</v>
      </c>
      <c r="Z243" s="1"/>
      <c r="AA243" s="1"/>
      <c r="AB243" s="1"/>
      <c r="AC243" s="1"/>
      <c r="AD243" s="1"/>
      <c r="AF243" s="176">
        <v>48976</v>
      </c>
      <c r="AG243" s="177">
        <v>2.5000000000000001E-3</v>
      </c>
      <c r="AH243" s="177">
        <v>2.4166666666666668E-3</v>
      </c>
      <c r="AI243" s="100">
        <v>48984</v>
      </c>
      <c r="AJ243" s="102">
        <v>43123.879893949772</v>
      </c>
      <c r="AL243" s="23"/>
      <c r="AM243" s="23"/>
      <c r="BL243" s="299"/>
    </row>
    <row r="244" spans="17:64">
      <c r="Q244" s="6">
        <v>214</v>
      </c>
      <c r="R244" s="7">
        <v>42881</v>
      </c>
      <c r="S244" s="210">
        <v>3</v>
      </c>
      <c r="T244" s="8">
        <v>1.0000833333333334</v>
      </c>
      <c r="U244" s="98">
        <v>3.4711240757622663</v>
      </c>
      <c r="V244" s="106">
        <v>26673.589897564816</v>
      </c>
      <c r="W244" s="10">
        <v>0.68208382678431878</v>
      </c>
      <c r="X244" s="413">
        <v>0.67179409145003832</v>
      </c>
      <c r="Y244" s="414">
        <v>0.28328225243298982</v>
      </c>
      <c r="Z244" s="1"/>
      <c r="AA244" s="1"/>
      <c r="AB244" s="1"/>
      <c r="AC244" s="1"/>
      <c r="AD244" s="1"/>
      <c r="AF244" s="176">
        <v>49004</v>
      </c>
      <c r="AG244" s="177">
        <v>2.5000000000000001E-3</v>
      </c>
      <c r="AH244" s="177">
        <v>2.4166666666666668E-3</v>
      </c>
      <c r="AI244" s="100">
        <v>49012</v>
      </c>
      <c r="AJ244" s="102">
        <v>43228.095937026817</v>
      </c>
      <c r="AL244" s="23"/>
      <c r="AM244" s="23"/>
      <c r="BL244" s="299"/>
    </row>
    <row r="245" spans="17:64">
      <c r="Q245" s="6">
        <v>215</v>
      </c>
      <c r="R245" s="7">
        <v>42882</v>
      </c>
      <c r="S245" s="210">
        <v>3</v>
      </c>
      <c r="T245" s="8">
        <v>1.0000833333333334</v>
      </c>
      <c r="U245" s="98">
        <v>3.4693400593567958</v>
      </c>
      <c r="V245" s="106">
        <v>26675.484689963967</v>
      </c>
      <c r="W245" s="10">
        <v>0.68100227250442735</v>
      </c>
      <c r="X245" s="413">
        <v>0.670736586350409</v>
      </c>
      <c r="Y245" s="414">
        <v>0.28315094831393017</v>
      </c>
      <c r="Z245" s="1"/>
      <c r="AA245" s="1"/>
      <c r="AB245" s="1"/>
      <c r="AC245" s="1"/>
      <c r="AD245" s="1"/>
      <c r="AF245" s="176">
        <v>49035</v>
      </c>
      <c r="AG245" s="177">
        <v>2.5000000000000001E-3</v>
      </c>
      <c r="AH245" s="177">
        <v>2.4166666666666668E-3</v>
      </c>
      <c r="AI245" s="100">
        <v>49043</v>
      </c>
      <c r="AJ245" s="102">
        <v>43332.563835541303</v>
      </c>
      <c r="AL245" s="23"/>
      <c r="AM245" s="23"/>
      <c r="BL245" s="299"/>
    </row>
    <row r="246" spans="17:64">
      <c r="Q246" s="6">
        <v>216</v>
      </c>
      <c r="R246" s="7">
        <v>42883</v>
      </c>
      <c r="S246" s="210">
        <v>3</v>
      </c>
      <c r="T246" s="8">
        <v>1.0000833333333334</v>
      </c>
      <c r="U246" s="98">
        <v>3.4675725919552924</v>
      </c>
      <c r="V246" s="106">
        <v>26677.379616962113</v>
      </c>
      <c r="W246" s="10">
        <v>0.67993074407348697</v>
      </c>
      <c r="X246" s="413">
        <v>0.66968889826464939</v>
      </c>
      <c r="Y246" s="414">
        <v>0.28302095837339103</v>
      </c>
      <c r="Z246" s="1"/>
      <c r="AA246" s="1"/>
      <c r="AB246" s="1"/>
      <c r="AC246" s="1"/>
      <c r="AD246" s="1"/>
      <c r="AF246" s="176">
        <v>49065</v>
      </c>
      <c r="AG246" s="177">
        <v>2.5000000000000001E-3</v>
      </c>
      <c r="AH246" s="177">
        <v>2.4166666666666668E-3</v>
      </c>
      <c r="AI246" s="100">
        <v>49073</v>
      </c>
      <c r="AJ246" s="102">
        <v>43437.284198143861</v>
      </c>
      <c r="AL246" s="23"/>
      <c r="AM246" s="23"/>
      <c r="BL246" s="299"/>
    </row>
    <row r="247" spans="17:64">
      <c r="Q247" s="6">
        <v>217</v>
      </c>
      <c r="R247" s="7">
        <v>42884</v>
      </c>
      <c r="S247" s="210">
        <v>3</v>
      </c>
      <c r="T247" s="8">
        <v>1.0000833333333334</v>
      </c>
      <c r="U247" s="98">
        <v>3.4658214443517688</v>
      </c>
      <c r="V247" s="106">
        <v>26679.274678568803</v>
      </c>
      <c r="W247" s="10">
        <v>0.67886910272751955</v>
      </c>
      <c r="X247" s="413">
        <v>0.66865089147400547</v>
      </c>
      <c r="Y247" s="414">
        <v>0.28289226445116811</v>
      </c>
      <c r="Z247" s="1"/>
      <c r="AA247" s="1"/>
      <c r="AB247" s="1"/>
      <c r="AC247" s="1"/>
      <c r="AD247" s="1"/>
      <c r="AF247" s="176">
        <v>49096</v>
      </c>
      <c r="AG247" s="177">
        <v>2.5000000000000001E-3</v>
      </c>
      <c r="AH247" s="177">
        <v>2.4166666666666668E-3</v>
      </c>
      <c r="AI247" s="100">
        <v>49104</v>
      </c>
      <c r="AJ247" s="102">
        <v>43542.257634956048</v>
      </c>
      <c r="AL247" s="23"/>
      <c r="AM247" s="23"/>
      <c r="BL247" s="299"/>
    </row>
    <row r="248" spans="17:64">
      <c r="Q248" s="6">
        <v>218</v>
      </c>
      <c r="R248" s="7">
        <v>42885</v>
      </c>
      <c r="S248" s="210">
        <v>3</v>
      </c>
      <c r="T248" s="8">
        <v>1.0000833333333334</v>
      </c>
      <c r="U248" s="98">
        <v>3.464086391553467</v>
      </c>
      <c r="V248" s="106">
        <v>26681.169874793606</v>
      </c>
      <c r="W248" s="10">
        <v>0.67781721225155245</v>
      </c>
      <c r="X248" s="413">
        <v>0.66762243274997513</v>
      </c>
      <c r="Y248" s="414">
        <v>0.28276484872027202</v>
      </c>
      <c r="Z248" s="1"/>
      <c r="AA248" s="1"/>
      <c r="AB248" s="1"/>
      <c r="AC248" s="1"/>
      <c r="AD248" s="1"/>
      <c r="AF248" s="176">
        <v>49126</v>
      </c>
      <c r="AG248" s="177">
        <v>2.5000000000000001E-3</v>
      </c>
      <c r="AH248" s="177">
        <v>2.4166666666666668E-3</v>
      </c>
      <c r="AI248" s="100">
        <v>49134</v>
      </c>
      <c r="AJ248" s="102">
        <v>43647.48475757386</v>
      </c>
      <c r="AL248" s="23"/>
      <c r="AM248" s="23"/>
      <c r="BL248" s="299"/>
    </row>
    <row r="249" spans="17:64">
      <c r="Q249" s="6">
        <v>219</v>
      </c>
      <c r="R249" s="7">
        <v>42886</v>
      </c>
      <c r="S249" s="210">
        <v>3</v>
      </c>
      <c r="T249" s="8">
        <v>1.0000833333333334</v>
      </c>
      <c r="U249" s="98">
        <v>3.462367212684514</v>
      </c>
      <c r="V249" s="106">
        <v>26683.065205646089</v>
      </c>
      <c r="W249" s="10">
        <v>0.67677493892128737</v>
      </c>
      <c r="X249" s="413">
        <v>0.66660339129734458</v>
      </c>
      <c r="Y249" s="414">
        <v>0.28263869367932043</v>
      </c>
      <c r="Z249" s="1"/>
      <c r="AA249" s="1"/>
      <c r="AB249" s="1"/>
      <c r="AC249" s="1"/>
      <c r="AD249" s="1"/>
      <c r="AF249" s="176">
        <v>49157</v>
      </c>
      <c r="AG249" s="177">
        <v>2.5000000000000001E-3</v>
      </c>
      <c r="AH249" s="177">
        <v>2.4166666666666668E-3</v>
      </c>
      <c r="AI249" s="100">
        <v>49165</v>
      </c>
      <c r="AJ249" s="102">
        <v>43752.966179071336</v>
      </c>
      <c r="AL249" s="23"/>
      <c r="AM249" s="23"/>
      <c r="BL249" s="299"/>
    </row>
    <row r="250" spans="17:64">
      <c r="Q250" s="6">
        <v>220</v>
      </c>
      <c r="R250" s="7">
        <v>42887</v>
      </c>
      <c r="S250" s="210">
        <v>3</v>
      </c>
      <c r="T250" s="8">
        <v>1.0000833333333334</v>
      </c>
      <c r="U250" s="98">
        <v>3.4606636908921962</v>
      </c>
      <c r="V250" s="106">
        <v>26684.960671135806</v>
      </c>
      <c r="W250" s="10">
        <v>0.67574215144665661</v>
      </c>
      <c r="X250" s="413">
        <v>0.66559363869917598</v>
      </c>
      <c r="Y250" s="414">
        <v>0.282513782145141</v>
      </c>
      <c r="Z250" s="1"/>
      <c r="AA250" s="1"/>
      <c r="AB250" s="1"/>
      <c r="AC250" s="1"/>
      <c r="AD250" s="1"/>
      <c r="AF250" s="176">
        <v>49188</v>
      </c>
      <c r="AG250" s="177">
        <v>2.5000000000000001E-3</v>
      </c>
      <c r="AH250" s="177">
        <v>2.4166666666666668E-3</v>
      </c>
      <c r="AI250" s="100">
        <v>49196</v>
      </c>
      <c r="AJ250" s="102">
        <v>43858.702514004093</v>
      </c>
      <c r="AL250" s="23"/>
      <c r="AM250" s="23"/>
      <c r="BL250" s="299"/>
    </row>
    <row r="251" spans="17:64">
      <c r="Q251" s="6">
        <v>221</v>
      </c>
      <c r="R251" s="7">
        <v>42888</v>
      </c>
      <c r="S251" s="210">
        <v>3</v>
      </c>
      <c r="T251" s="8">
        <v>1.0000833333333334</v>
      </c>
      <c r="U251" s="98">
        <v>3.4589756132558325</v>
      </c>
      <c r="V251" s="106">
        <v>26686.856271272332</v>
      </c>
      <c r="W251" s="10">
        <v>0.67471872091642293</v>
      </c>
      <c r="X251" s="413">
        <v>0.66459304886271187</v>
      </c>
      <c r="Y251" s="414">
        <v>0.28239009724556896</v>
      </c>
      <c r="Z251" s="1"/>
      <c r="AA251" s="1"/>
      <c r="AB251" s="1"/>
      <c r="AC251" s="1"/>
      <c r="AD251" s="1"/>
      <c r="AF251" s="176">
        <v>49218</v>
      </c>
      <c r="AG251" s="177">
        <v>2.5000000000000001E-3</v>
      </c>
      <c r="AH251" s="177">
        <v>2.4166666666666668E-3</v>
      </c>
      <c r="AI251" s="100">
        <v>49226</v>
      </c>
      <c r="AJ251" s="102">
        <v>43964.69437841294</v>
      </c>
      <c r="AL251" s="23"/>
      <c r="AM251" s="23"/>
      <c r="BL251" s="299"/>
    </row>
    <row r="252" spans="17:64">
      <c r="Q252" s="6">
        <v>222</v>
      </c>
      <c r="R252" s="7">
        <v>42889</v>
      </c>
      <c r="S252" s="210">
        <v>3</v>
      </c>
      <c r="T252" s="8">
        <v>1.0000833333333334</v>
      </c>
      <c r="U252" s="98">
        <v>3.457302770697912</v>
      </c>
      <c r="V252" s="106">
        <v>26688.752006065217</v>
      </c>
      <c r="W252" s="10">
        <v>0.67370452074473341</v>
      </c>
      <c r="X252" s="413">
        <v>0.66360149796717216</v>
      </c>
      <c r="Y252" s="414">
        <v>0.28226762241244263</v>
      </c>
      <c r="Z252" s="1"/>
      <c r="AA252" s="1"/>
      <c r="AB252" s="1"/>
      <c r="AC252" s="1"/>
      <c r="AD252" s="1"/>
      <c r="AF252" s="176">
        <v>49249</v>
      </c>
      <c r="AG252" s="177">
        <v>2.5000000000000001E-3</v>
      </c>
      <c r="AH252" s="177">
        <v>2.4166666666666668E-3</v>
      </c>
      <c r="AI252" s="100">
        <v>49257</v>
      </c>
      <c r="AJ252" s="102">
        <v>44070.94238982744</v>
      </c>
      <c r="AL252" s="23"/>
      <c r="AM252" s="23"/>
      <c r="BL252" s="299"/>
    </row>
    <row r="253" spans="17:64">
      <c r="Q253" s="6">
        <v>223</v>
      </c>
      <c r="R253" s="7">
        <v>42890</v>
      </c>
      <c r="S253" s="210">
        <v>3</v>
      </c>
      <c r="T253" s="8">
        <v>1.0000833333333334</v>
      </c>
      <c r="U253" s="98">
        <v>3.4556449578978965</v>
      </c>
      <c r="V253" s="106">
        <v>26690.647875524046</v>
      </c>
      <c r="W253" s="10">
        <v>0.67269942661865034</v>
      </c>
      <c r="X253" s="413">
        <v>0.66261886441263385</v>
      </c>
      <c r="Y253" s="414">
        <v>0.282146341374787</v>
      </c>
      <c r="Z253" s="1"/>
      <c r="AA253" s="1"/>
      <c r="AB253" s="1"/>
      <c r="AC253" s="1"/>
      <c r="AD253" s="1"/>
      <c r="AF253" s="176">
        <v>49279</v>
      </c>
      <c r="AG253" s="177">
        <v>2.5000000000000001E-3</v>
      </c>
      <c r="AH253" s="177">
        <v>2.4166666666666668E-3</v>
      </c>
      <c r="AI253" s="100">
        <v>49287</v>
      </c>
      <c r="AJ253" s="102">
        <v>44177.447167269529</v>
      </c>
      <c r="AL253" s="23"/>
      <c r="AM253" s="23"/>
      <c r="BL253" s="299"/>
    </row>
    <row r="254" spans="17:64">
      <c r="Q254" s="6">
        <v>224</v>
      </c>
      <c r="R254" s="7">
        <v>42891</v>
      </c>
      <c r="S254" s="210">
        <v>3</v>
      </c>
      <c r="T254" s="8">
        <v>1.0000833333333334</v>
      </c>
      <c r="U254" s="98">
        <v>3.4540019732081539</v>
      </c>
      <c r="V254" s="106">
        <v>26692.543879658369</v>
      </c>
      <c r="W254" s="10">
        <v>0.67170331644788028</v>
      </c>
      <c r="X254" s="413">
        <v>0.66164502877085118</v>
      </c>
      <c r="Y254" s="414">
        <v>0.2820262381521802</v>
      </c>
      <c r="Z254" s="1"/>
      <c r="AA254" s="1"/>
      <c r="AB254" s="1"/>
      <c r="AC254" s="1"/>
      <c r="AD254" s="1"/>
      <c r="AF254" s="176">
        <v>49310</v>
      </c>
      <c r="AG254" s="177">
        <v>2.5000000000000001E-3</v>
      </c>
      <c r="AH254" s="177">
        <v>2.4166666666666668E-3</v>
      </c>
      <c r="AI254" s="100">
        <v>49318</v>
      </c>
      <c r="AJ254" s="102">
        <v>44284.209331257101</v>
      </c>
      <c r="AL254" s="23"/>
      <c r="AM254" s="23"/>
      <c r="BL254" s="299"/>
    </row>
    <row r="255" spans="17:64">
      <c r="Q255" s="6">
        <v>225</v>
      </c>
      <c r="R255" s="7">
        <v>42892</v>
      </c>
      <c r="S255" s="210">
        <v>3</v>
      </c>
      <c r="T255" s="8">
        <v>1.0000833333333334</v>
      </c>
      <c r="U255" s="98">
        <v>3.4523736185722242</v>
      </c>
      <c r="V255" s="106">
        <v>26694.440018477759</v>
      </c>
      <c r="W255" s="10">
        <v>0.67071607031474745</v>
      </c>
      <c r="X255" s="413">
        <v>0.66067987373656933</v>
      </c>
      <c r="Y255" s="414">
        <v>0.28190729704829981</v>
      </c>
      <c r="Z255" s="1"/>
      <c r="AA255" s="1"/>
      <c r="AB255" s="1"/>
      <c r="AC255" s="1"/>
      <c r="AD255" s="1"/>
      <c r="AF255" s="176">
        <v>49341</v>
      </c>
      <c r="AG255" s="177">
        <v>2.5000000000000001E-3</v>
      </c>
      <c r="AH255" s="177">
        <v>2.4166666666666668E-3</v>
      </c>
      <c r="AI255" s="100">
        <v>49349</v>
      </c>
      <c r="AJ255" s="102">
        <v>44391.229503807641</v>
      </c>
      <c r="AL255" s="23"/>
      <c r="AM255" s="23"/>
      <c r="BL255" s="299"/>
    </row>
    <row r="256" spans="17:64">
      <c r="Q256" s="6">
        <v>226</v>
      </c>
      <c r="R256" s="7">
        <v>42893</v>
      </c>
      <c r="S256" s="210">
        <v>3</v>
      </c>
      <c r="T256" s="8">
        <v>1.0000833333333334</v>
      </c>
      <c r="U256" s="98">
        <v>3.4507596994452161</v>
      </c>
      <c r="V256" s="106">
        <v>26696.336291991778</v>
      </c>
      <c r="W256" s="10">
        <v>0.6697375704264763</v>
      </c>
      <c r="X256" s="413">
        <v>0.65972328408080361</v>
      </c>
      <c r="Y256" s="414">
        <v>0.2817895026446342</v>
      </c>
      <c r="Z256" s="1"/>
      <c r="AA256" s="1"/>
      <c r="AB256" s="1"/>
      <c r="AC256" s="1"/>
      <c r="AD256" s="1"/>
      <c r="AF256" s="176">
        <v>49369</v>
      </c>
      <c r="AG256" s="177">
        <v>2.5000000000000001E-3</v>
      </c>
      <c r="AH256" s="177">
        <v>2.4166666666666668E-3</v>
      </c>
      <c r="AI256" s="100">
        <v>49377</v>
      </c>
      <c r="AJ256" s="102">
        <v>44498.508308441844</v>
      </c>
      <c r="AL256" s="23"/>
      <c r="AM256" s="23"/>
      <c r="BL256" s="299"/>
    </row>
    <row r="257" spans="17:64">
      <c r="Q257" s="6">
        <v>227</v>
      </c>
      <c r="R257" s="7">
        <v>42894</v>
      </c>
      <c r="S257" s="210">
        <v>3</v>
      </c>
      <c r="T257" s="8">
        <v>1.0000833333333334</v>
      </c>
      <c r="U257" s="98">
        <v>3.4491600247163134</v>
      </c>
      <c r="V257" s="106">
        <v>26698.232700210003</v>
      </c>
      <c r="W257" s="10">
        <v>0.6687677010680515</v>
      </c>
      <c r="X257" s="413">
        <v>0.65877514660496539</v>
      </c>
      <c r="Y257" s="414">
        <v>0.28167283979436381</v>
      </c>
      <c r="Z257" s="1"/>
      <c r="AA257" s="1"/>
      <c r="AB257" s="1"/>
      <c r="AC257" s="1"/>
      <c r="AD257" s="1"/>
      <c r="AF257" s="176">
        <v>49400</v>
      </c>
      <c r="AG257" s="177">
        <v>2.5000000000000001E-3</v>
      </c>
      <c r="AH257" s="177">
        <v>2.4166666666666668E-3</v>
      </c>
      <c r="AI257" s="100">
        <v>49408</v>
      </c>
      <c r="AJ257" s="102">
        <v>44606.04637018725</v>
      </c>
      <c r="AL257" s="23"/>
      <c r="AM257" s="23"/>
      <c r="BL257" s="299"/>
    </row>
    <row r="258" spans="17:64">
      <c r="Q258" s="6">
        <v>228</v>
      </c>
      <c r="R258" s="7">
        <v>42895</v>
      </c>
      <c r="S258" s="210">
        <v>3</v>
      </c>
      <c r="T258" s="8">
        <v>1.0000833333333334</v>
      </c>
      <c r="U258" s="98">
        <v>3.4475744066333691</v>
      </c>
      <c r="V258" s="106">
        <v>26700.129243141997</v>
      </c>
      <c r="W258" s="10">
        <v>0.66780634855692078</v>
      </c>
      <c r="X258" s="413">
        <v>0.6578353500965467</v>
      </c>
      <c r="Y258" s="414">
        <v>0.28155729361640558</v>
      </c>
      <c r="Z258" s="1"/>
      <c r="AA258" s="1"/>
      <c r="AB258" s="1"/>
      <c r="AC258" s="1"/>
      <c r="AD258" s="1"/>
      <c r="AF258" s="176">
        <v>49430</v>
      </c>
      <c r="AG258" s="177">
        <v>2.5000000000000001E-3</v>
      </c>
      <c r="AH258" s="177">
        <v>2.4166666666666668E-3</v>
      </c>
      <c r="AI258" s="100">
        <v>49438</v>
      </c>
      <c r="AJ258" s="102">
        <v>44713.844315581875</v>
      </c>
      <c r="AL258" s="23"/>
      <c r="AM258" s="23"/>
      <c r="BL258" s="299"/>
    </row>
    <row r="259" spans="17:64">
      <c r="Q259" s="6">
        <v>229</v>
      </c>
      <c r="R259" s="7">
        <v>42896</v>
      </c>
      <c r="S259" s="210">
        <v>3</v>
      </c>
      <c r="T259" s="8">
        <v>1.0000833333333334</v>
      </c>
      <c r="U259" s="98">
        <v>3.4460026607294303</v>
      </c>
      <c r="V259" s="106">
        <v>26701.917404850697</v>
      </c>
      <c r="W259" s="10">
        <v>0.66750547314298192</v>
      </c>
      <c r="X259" s="413">
        <v>0.65754533322112541</v>
      </c>
      <c r="Y259" s="414">
        <v>0.28144284948960507</v>
      </c>
      <c r="Z259" s="1"/>
      <c r="AA259" s="1"/>
      <c r="AB259" s="1"/>
      <c r="AC259" s="1"/>
      <c r="AD259" s="1"/>
      <c r="AF259" s="176">
        <v>49461</v>
      </c>
      <c r="AG259" s="177">
        <v>2.5000000000000001E-3</v>
      </c>
      <c r="AH259" s="177">
        <v>2.4166666666666668E-3</v>
      </c>
      <c r="AI259" s="100">
        <v>49469</v>
      </c>
      <c r="AJ259" s="102">
        <v>44821.902772677866</v>
      </c>
      <c r="AL259" s="23"/>
      <c r="AM259" s="23"/>
      <c r="BL259" s="299"/>
    </row>
    <row r="260" spans="17:64">
      <c r="Q260" s="6">
        <v>230</v>
      </c>
      <c r="R260" s="7">
        <v>42897</v>
      </c>
      <c r="S260" s="210">
        <v>3</v>
      </c>
      <c r="T260" s="8">
        <v>1.0000833333333334</v>
      </c>
      <c r="U260" s="98">
        <v>3.4444446057511291</v>
      </c>
      <c r="V260" s="106">
        <v>26703.705686316207</v>
      </c>
      <c r="W260" s="10">
        <v>0.66720721492450341</v>
      </c>
      <c r="X260" s="413">
        <v>0.65725788030015209</v>
      </c>
      <c r="Y260" s="414">
        <v>0.28132949304709176</v>
      </c>
      <c r="Z260" s="1"/>
      <c r="AA260" s="1"/>
      <c r="AB260" s="1"/>
      <c r="AC260" s="1"/>
      <c r="AD260" s="1"/>
      <c r="AF260" s="176">
        <v>49491</v>
      </c>
      <c r="AG260" s="177">
        <v>2.5000000000000001E-3</v>
      </c>
      <c r="AH260" s="177">
        <v>2.4166666666666668E-3</v>
      </c>
      <c r="AI260" s="100">
        <v>49499</v>
      </c>
      <c r="AJ260" s="102">
        <v>44930.222371045173</v>
      </c>
      <c r="AL260" s="23"/>
      <c r="AM260" s="23"/>
      <c r="BL260" s="299"/>
    </row>
    <row r="261" spans="17:64">
      <c r="Q261" s="6">
        <v>231</v>
      </c>
      <c r="R261" s="7">
        <v>42898</v>
      </c>
      <c r="S261" s="210">
        <v>3</v>
      </c>
      <c r="T261" s="8">
        <v>1.0000833333333334</v>
      </c>
      <c r="U261" s="98">
        <v>3.4429000635891382</v>
      </c>
      <c r="V261" s="106">
        <v>26705.494087546544</v>
      </c>
      <c r="W261" s="10">
        <v>0.66691153990059426</v>
      </c>
      <c r="X261" s="413">
        <v>0.65697295803631284</v>
      </c>
      <c r="Y261" s="414">
        <v>0.28121721017077211</v>
      </c>
      <c r="Z261" s="1"/>
      <c r="AA261" s="1"/>
      <c r="AB261" s="1"/>
      <c r="AC261" s="1"/>
      <c r="AD261" s="1"/>
      <c r="AF261" s="176">
        <v>49522</v>
      </c>
      <c r="AG261" s="177">
        <v>2.5000000000000001E-3</v>
      </c>
      <c r="AH261" s="177">
        <v>2.4166666666666668E-3</v>
      </c>
      <c r="AI261" s="100">
        <v>49530</v>
      </c>
      <c r="AJ261" s="102">
        <v>45038.803741775198</v>
      </c>
      <c r="AL261" s="23"/>
      <c r="AM261" s="23"/>
      <c r="BL261" s="299"/>
    </row>
    <row r="262" spans="17:64">
      <c r="Q262" s="6">
        <v>232</v>
      </c>
      <c r="R262" s="7">
        <v>42899</v>
      </c>
      <c r="S262" s="210">
        <v>3</v>
      </c>
      <c r="T262" s="8">
        <v>1.0000833333333334</v>
      </c>
      <c r="U262" s="98">
        <v>3.441368859210181</v>
      </c>
      <c r="V262" s="106">
        <v>26707.282608549736</v>
      </c>
      <c r="W262" s="10">
        <v>0.66661841465649463</v>
      </c>
      <c r="X262" s="413">
        <v>0.65669053370617891</v>
      </c>
      <c r="Y262" s="414">
        <v>0.28110598698596795</v>
      </c>
      <c r="Z262" s="1"/>
      <c r="AA262" s="1"/>
      <c r="AB262" s="1"/>
      <c r="AC262" s="1"/>
      <c r="AD262" s="1"/>
      <c r="AF262" s="176">
        <v>49553</v>
      </c>
      <c r="AG262" s="177">
        <v>2.5000000000000001E-3</v>
      </c>
      <c r="AH262" s="177">
        <v>2.4166666666666668E-3</v>
      </c>
      <c r="AI262" s="100">
        <v>49561</v>
      </c>
      <c r="AJ262" s="102">
        <v>45147.647517484489</v>
      </c>
      <c r="AL262" s="23"/>
      <c r="AM262" s="23"/>
      <c r="BL262" s="299"/>
    </row>
    <row r="263" spans="17:64">
      <c r="Q263" s="6">
        <v>233</v>
      </c>
      <c r="R263" s="7">
        <v>42900</v>
      </c>
      <c r="S263" s="210">
        <v>3</v>
      </c>
      <c r="T263" s="8">
        <v>1.0000833333333334</v>
      </c>
      <c r="U263" s="98">
        <v>3.4398508205909506</v>
      </c>
      <c r="V263" s="106">
        <v>26709.0712493338</v>
      </c>
      <c r="W263" s="10">
        <v>0.66632780635147437</v>
      </c>
      <c r="X263" s="413">
        <v>0.65641057514819967</v>
      </c>
      <c r="Y263" s="414">
        <v>0.28099580985619299</v>
      </c>
      <c r="Z263" s="1"/>
      <c r="AA263" s="1"/>
      <c r="AB263" s="1"/>
      <c r="AC263" s="1"/>
      <c r="AD263" s="1"/>
      <c r="AF263" s="176">
        <v>49583</v>
      </c>
      <c r="AG263" s="177">
        <v>2.5000000000000001E-3</v>
      </c>
      <c r="AH263" s="177">
        <v>2.4166666666666668E-3</v>
      </c>
      <c r="AI263" s="100">
        <v>49591</v>
      </c>
      <c r="AJ263" s="102">
        <v>45256.754332318415</v>
      </c>
      <c r="AL263" s="23"/>
      <c r="AM263" s="23"/>
      <c r="BL263" s="299"/>
    </row>
    <row r="264" spans="17:64">
      <c r="Q264" s="6">
        <v>234</v>
      </c>
      <c r="R264" s="7">
        <v>42901</v>
      </c>
      <c r="S264" s="210">
        <v>3</v>
      </c>
      <c r="T264" s="8">
        <v>1.0000833333333334</v>
      </c>
      <c r="U264" s="98">
        <v>3.4383457786537619</v>
      </c>
      <c r="V264" s="106">
        <v>26710.860009906759</v>
      </c>
      <c r="W264" s="10">
        <v>0.66603968270633196</v>
      </c>
      <c r="X264" s="413">
        <v>0.65613305075059492</v>
      </c>
      <c r="Y264" s="414">
        <v>0.28088666537806906</v>
      </c>
      <c r="Z264" s="1"/>
      <c r="AA264" s="1"/>
      <c r="AB264" s="1"/>
      <c r="AC264" s="1"/>
      <c r="AD264" s="1"/>
      <c r="AF264" s="176">
        <v>49614</v>
      </c>
      <c r="AG264" s="177">
        <v>2.5000000000000001E-3</v>
      </c>
      <c r="AH264" s="177">
        <v>2.4166666666666668E-3</v>
      </c>
      <c r="AI264" s="100">
        <v>49622</v>
      </c>
      <c r="AJ264" s="102">
        <v>45366.124821954851</v>
      </c>
      <c r="AL264" s="23"/>
      <c r="AM264" s="23"/>
      <c r="BL264" s="299"/>
    </row>
    <row r="265" spans="17:64">
      <c r="Q265" s="6">
        <v>235</v>
      </c>
      <c r="R265" s="7">
        <v>42902</v>
      </c>
      <c r="S265" s="210">
        <v>3</v>
      </c>
      <c r="T265" s="8">
        <v>1.0000833333333334</v>
      </c>
      <c r="U265" s="98">
        <v>3.4368535672036016</v>
      </c>
      <c r="V265" s="106">
        <v>26712.648890276629</v>
      </c>
      <c r="W265" s="10">
        <v>0.66575401199151507</v>
      </c>
      <c r="X265" s="413">
        <v>0.65585792943972532</v>
      </c>
      <c r="Y265" s="414">
        <v>0.28077854037635475</v>
      </c>
      <c r="Z265" s="1"/>
      <c r="AA265" s="1"/>
      <c r="AB265" s="1"/>
      <c r="AC265" s="1"/>
      <c r="AD265" s="1"/>
      <c r="AF265" s="176">
        <v>49644</v>
      </c>
      <c r="AG265" s="177">
        <v>2.5000000000000001E-3</v>
      </c>
      <c r="AH265" s="177">
        <v>2.4166666666666668E-3</v>
      </c>
      <c r="AI265" s="100">
        <v>49652</v>
      </c>
      <c r="AJ265" s="102">
        <v>45475.759623607912</v>
      </c>
      <c r="AL265" s="23"/>
      <c r="AM265" s="23"/>
      <c r="BL265" s="299"/>
    </row>
    <row r="266" spans="17:64">
      <c r="Q266" s="6">
        <v>236</v>
      </c>
      <c r="R266" s="7">
        <v>42903</v>
      </c>
      <c r="S266" s="210">
        <v>3</v>
      </c>
      <c r="T266" s="8">
        <v>1.0000833333333334</v>
      </c>
      <c r="U266" s="98">
        <v>3.4353740228670882</v>
      </c>
      <c r="V266" s="106">
        <v>26714.437890451445</v>
      </c>
      <c r="W266" s="10">
        <v>0.66547076301528563</v>
      </c>
      <c r="X266" s="413">
        <v>0.655585180668386</v>
      </c>
      <c r="Y266" s="414">
        <v>0.28067142189912087</v>
      </c>
      <c r="Z266" s="1"/>
      <c r="AA266" s="1"/>
      <c r="AB266" s="1"/>
      <c r="AC266" s="1"/>
      <c r="AD266" s="1"/>
      <c r="AF266" s="176">
        <v>49675</v>
      </c>
      <c r="AG266" s="177">
        <v>2.5000000000000001E-3</v>
      </c>
      <c r="AH266" s="177">
        <v>2.4166666666666668E-3</v>
      </c>
      <c r="AI266" s="100">
        <v>49683</v>
      </c>
      <c r="AJ266" s="102">
        <v>45585.659376031632</v>
      </c>
      <c r="AL266" s="23"/>
      <c r="AM266" s="23"/>
      <c r="BL266" s="299"/>
    </row>
    <row r="267" spans="17:64">
      <c r="Q267" s="6">
        <v>237</v>
      </c>
      <c r="R267" s="7">
        <v>42904</v>
      </c>
      <c r="S267" s="210">
        <v>3</v>
      </c>
      <c r="T267" s="8">
        <v>1.0000833333333334</v>
      </c>
      <c r="U267" s="98">
        <v>3.4339069850328308</v>
      </c>
      <c r="V267" s="106">
        <v>26716.227010439223</v>
      </c>
      <c r="W267" s="10">
        <v>0.66518990511277298</v>
      </c>
      <c r="X267" s="413">
        <v>0.65531477440527452</v>
      </c>
      <c r="Y267" s="414">
        <v>0.28056529721303886</v>
      </c>
      <c r="Z267" s="1"/>
      <c r="AA267" s="1"/>
      <c r="AB267" s="1"/>
      <c r="AC267" s="1"/>
      <c r="AD267" s="1"/>
      <c r="AF267" s="176">
        <v>49706</v>
      </c>
      <c r="AG267" s="177">
        <v>2.5000000000000001E-3</v>
      </c>
      <c r="AH267" s="177">
        <v>2.4166666666666668E-3</v>
      </c>
      <c r="AI267" s="100">
        <v>49714</v>
      </c>
      <c r="AJ267" s="102">
        <v>45695.824719523713</v>
      </c>
      <c r="AL267" s="23"/>
      <c r="AM267" s="23"/>
      <c r="BL267" s="299"/>
    </row>
    <row r="268" spans="17:64">
      <c r="Q268" s="6">
        <v>238</v>
      </c>
      <c r="R268" s="7">
        <v>42905</v>
      </c>
      <c r="S268" s="210">
        <v>3</v>
      </c>
      <c r="T268" s="8">
        <v>1.0000833333333334</v>
      </c>
      <c r="U268" s="98">
        <v>3.4324522957932535</v>
      </c>
      <c r="V268" s="106">
        <v>26718.016250247987</v>
      </c>
      <c r="W268" s="10">
        <v>0.66491140813444982</v>
      </c>
      <c r="X268" s="413">
        <v>0.65504668112358044</v>
      </c>
      <c r="Y268" s="414">
        <v>0.28046015379878286</v>
      </c>
      <c r="Z268" s="1"/>
      <c r="AA268" s="1"/>
      <c r="AB268" s="1"/>
      <c r="AC268" s="1"/>
      <c r="AD268" s="1"/>
      <c r="AF268" s="176">
        <v>49735</v>
      </c>
      <c r="AG268" s="177">
        <v>2.5000000000000001E-3</v>
      </c>
      <c r="AH268" s="177">
        <v>2.4166666666666668E-3</v>
      </c>
      <c r="AI268" s="100">
        <v>49743</v>
      </c>
      <c r="AJ268" s="102">
        <v>45806.256295929234</v>
      </c>
      <c r="AL268" s="23"/>
      <c r="AM268" s="23"/>
      <c r="BL268" s="299"/>
    </row>
    <row r="269" spans="17:64">
      <c r="Q269" s="6">
        <v>239</v>
      </c>
      <c r="R269" s="7">
        <v>42906</v>
      </c>
      <c r="S269" s="210">
        <v>3</v>
      </c>
      <c r="T269" s="8">
        <v>1.0000833333333334</v>
      </c>
      <c r="U269" s="98">
        <v>3.4310097998879741</v>
      </c>
      <c r="V269" s="106">
        <v>26719.805609885767</v>
      </c>
      <c r="W269" s="10">
        <v>0.66463524243554062</v>
      </c>
      <c r="X269" s="413">
        <v>0.65478087179063293</v>
      </c>
      <c r="Y269" s="414">
        <v>0.28035597934655843</v>
      </c>
      <c r="Z269" s="1"/>
      <c r="AA269" s="1"/>
      <c r="AB269" s="1"/>
      <c r="AC269" s="1"/>
      <c r="AD269" s="1"/>
      <c r="AF269" s="176">
        <v>49766</v>
      </c>
      <c r="AG269" s="177">
        <v>2.5000000000000001E-3</v>
      </c>
      <c r="AH269" s="177">
        <v>2.4166666666666668E-3</v>
      </c>
      <c r="AI269" s="100">
        <v>49774</v>
      </c>
      <c r="AJ269" s="102">
        <v>45916.954748644399</v>
      </c>
      <c r="AL269" s="23"/>
      <c r="AM269" s="23"/>
      <c r="BL269" s="299"/>
    </row>
    <row r="270" spans="17:64">
      <c r="Q270" s="6">
        <v>240</v>
      </c>
      <c r="R270" s="7">
        <v>42907</v>
      </c>
      <c r="S270" s="210">
        <v>3</v>
      </c>
      <c r="T270" s="8">
        <v>1.0000833333333334</v>
      </c>
      <c r="U270" s="98">
        <v>3.429579344648559</v>
      </c>
      <c r="V270" s="106">
        <v>26721.59508936058</v>
      </c>
      <c r="W270" s="10">
        <v>0.66436137886571878</v>
      </c>
      <c r="X270" s="413">
        <v>0.65451731785787226</v>
      </c>
      <c r="Y270" s="414">
        <v>0.28025276175173419</v>
      </c>
      <c r="Z270" s="1"/>
      <c r="AA270" s="1"/>
      <c r="AB270" s="1"/>
      <c r="AC270" s="1"/>
      <c r="AD270" s="1"/>
      <c r="AF270" s="176">
        <v>49796</v>
      </c>
      <c r="AG270" s="177">
        <v>2.5000000000000001E-3</v>
      </c>
      <c r="AH270" s="177">
        <v>2.4166666666666668E-3</v>
      </c>
      <c r="AI270" s="100">
        <v>49804</v>
      </c>
      <c r="AJ270" s="102">
        <v>46027.920722620293</v>
      </c>
      <c r="AL270" s="23"/>
      <c r="AM270" s="23"/>
      <c r="BL270" s="299"/>
    </row>
    <row r="271" spans="17:64">
      <c r="Q271" s="6">
        <v>241</v>
      </c>
      <c r="R271" s="7">
        <v>42908</v>
      </c>
      <c r="S271" s="210">
        <v>3</v>
      </c>
      <c r="T271" s="8">
        <v>1.0000833333333334</v>
      </c>
      <c r="U271" s="98">
        <v>3.4281607799446778</v>
      </c>
      <c r="V271" s="106">
        <v>26723.384688680457</v>
      </c>
      <c r="W271" s="10">
        <v>0.66408978875840408</v>
      </c>
      <c r="X271" s="413">
        <v>0.65425599125037426</v>
      </c>
      <c r="Y271" s="414">
        <v>0.28015048911058837</v>
      </c>
      <c r="Z271" s="1"/>
      <c r="AA271" s="1"/>
      <c r="AB271" s="1"/>
      <c r="AC271" s="1"/>
      <c r="AD271" s="1"/>
      <c r="AF271" s="176">
        <v>49827</v>
      </c>
      <c r="AG271" s="177">
        <v>2.5000000000000001E-3</v>
      </c>
      <c r="AH271" s="177">
        <v>2.4166666666666668E-3</v>
      </c>
      <c r="AI271" s="100">
        <v>49835</v>
      </c>
      <c r="AJ271" s="102">
        <v>46139.154864366625</v>
      </c>
      <c r="AL271" s="23"/>
      <c r="AM271" s="23"/>
      <c r="BL271" s="299"/>
    </row>
    <row r="272" spans="17:64">
      <c r="Q272" s="6">
        <v>242</v>
      </c>
      <c r="R272" s="7">
        <v>42909</v>
      </c>
      <c r="S272" s="210">
        <v>3</v>
      </c>
      <c r="T272" s="8">
        <v>1.0000833333333334</v>
      </c>
      <c r="U272" s="98">
        <v>3.4267539581314788</v>
      </c>
      <c r="V272" s="106">
        <v>26725.174407853425</v>
      </c>
      <c r="W272" s="10">
        <v>0.66382044392114814</v>
      </c>
      <c r="X272" s="413">
        <v>0.65399686435732918</v>
      </c>
      <c r="Y272" s="414">
        <v>0.28004914971614936</v>
      </c>
      <c r="Z272" s="1"/>
      <c r="AA272" s="1"/>
      <c r="AB272" s="1"/>
      <c r="AC272" s="1"/>
      <c r="AD272" s="1"/>
      <c r="AF272" s="176">
        <v>49857</v>
      </c>
      <c r="AG272" s="177">
        <v>2.5000000000000001E-3</v>
      </c>
      <c r="AH272" s="177">
        <v>2.4166666666666668E-3</v>
      </c>
      <c r="AI272" s="100">
        <v>49865</v>
      </c>
      <c r="AJ272" s="102">
        <v>46250.657821955516</v>
      </c>
      <c r="AL272" s="23"/>
      <c r="AM272" s="23"/>
      <c r="BL272" s="299"/>
    </row>
    <row r="273" spans="17:64">
      <c r="Q273" s="6">
        <v>243</v>
      </c>
      <c r="R273" s="7">
        <v>42910</v>
      </c>
      <c r="S273" s="210">
        <v>3</v>
      </c>
      <c r="T273" s="8">
        <v>1.0000833333333334</v>
      </c>
      <c r="U273" s="98">
        <v>3.4253587339985403</v>
      </c>
      <c r="V273" s="106">
        <v>26726.96424688751</v>
      </c>
      <c r="W273" s="10">
        <v>0.66355331662559802</v>
      </c>
      <c r="X273" s="413">
        <v>0.65373991002239373</v>
      </c>
      <c r="Y273" s="414">
        <v>0.27994873205416115</v>
      </c>
      <c r="Z273" s="1"/>
      <c r="AA273" s="1"/>
      <c r="AB273" s="1"/>
      <c r="AC273" s="1"/>
      <c r="AD273" s="1"/>
      <c r="AF273" s="176">
        <v>49888</v>
      </c>
      <c r="AG273" s="177">
        <v>2.5000000000000001E-3</v>
      </c>
      <c r="AH273" s="177">
        <v>2.4166666666666668E-3</v>
      </c>
      <c r="AI273" s="100">
        <v>49896</v>
      </c>
      <c r="AJ273" s="102">
        <v>46362.430245025243</v>
      </c>
      <c r="AL273" s="23"/>
      <c r="AM273" s="23"/>
      <c r="BL273" s="299"/>
    </row>
    <row r="274" spans="17:64">
      <c r="Q274" s="6">
        <v>244</v>
      </c>
      <c r="R274" s="7">
        <v>42911</v>
      </c>
      <c r="S274" s="210">
        <v>3</v>
      </c>
      <c r="T274" s="8">
        <v>1.0000833333333334</v>
      </c>
      <c r="U274" s="98">
        <v>3.4239749647197337</v>
      </c>
      <c r="V274" s="106">
        <v>26728.754205790734</v>
      </c>
      <c r="W274" s="10">
        <v>0.66328837959823694</v>
      </c>
      <c r="X274" s="413">
        <v>0.65348510153447581</v>
      </c>
      <c r="Y274" s="414">
        <v>0.27984922479912061</v>
      </c>
      <c r="Z274" s="1"/>
      <c r="AA274" s="1"/>
      <c r="AB274" s="1"/>
      <c r="AC274" s="1"/>
      <c r="AD274" s="1"/>
      <c r="AF274" s="176">
        <v>49919</v>
      </c>
      <c r="AG274" s="177">
        <v>2.5000000000000001E-3</v>
      </c>
      <c r="AH274" s="177">
        <v>2.4166666666666668E-3</v>
      </c>
      <c r="AI274" s="100">
        <v>49927</v>
      </c>
      <c r="AJ274" s="102">
        <v>46474.472784784055</v>
      </c>
      <c r="AL274" s="23"/>
      <c r="AM274" s="23"/>
      <c r="BL274" s="299"/>
    </row>
    <row r="275" spans="17:64">
      <c r="Q275" s="6">
        <v>245</v>
      </c>
      <c r="R275" s="7">
        <v>42912</v>
      </c>
      <c r="S275" s="210">
        <v>3</v>
      </c>
      <c r="T275" s="8">
        <v>1.0000833333333334</v>
      </c>
      <c r="U275" s="98">
        <v>3.4226025098046176</v>
      </c>
      <c r="V275" s="106">
        <v>26730.544284571133</v>
      </c>
      <c r="W275" s="10">
        <v>0.66302560601088079</v>
      </c>
      <c r="X275" s="413">
        <v>0.65323241261851761</v>
      </c>
      <c r="Y275" s="414">
        <v>0.27975061681043623</v>
      </c>
      <c r="Z275" s="1"/>
      <c r="AA275" s="1"/>
      <c r="AB275" s="1"/>
      <c r="AC275" s="1"/>
      <c r="AD275" s="1"/>
      <c r="AF275" s="176">
        <v>49949</v>
      </c>
      <c r="AG275" s="177">
        <v>2.5000000000000001E-3</v>
      </c>
      <c r="AH275" s="177">
        <v>2.4166666666666668E-3</v>
      </c>
      <c r="AI275" s="100">
        <v>49957</v>
      </c>
      <c r="AJ275" s="102">
        <v>46586.786094013951</v>
      </c>
      <c r="AL275" s="23"/>
      <c r="AM275" s="23"/>
      <c r="BL275" s="299"/>
    </row>
    <row r="276" spans="17:64">
      <c r="Q276" s="6">
        <v>246</v>
      </c>
      <c r="R276" s="7">
        <v>42913</v>
      </c>
      <c r="S276" s="210">
        <v>3</v>
      </c>
      <c r="T276" s="8">
        <v>1.0000833333333334</v>
      </c>
      <c r="U276" s="98">
        <v>3.4212412310507645</v>
      </c>
      <c r="V276" s="106">
        <v>26732.334483236737</v>
      </c>
      <c r="W276" s="10">
        <v>0.6627649694717741</v>
      </c>
      <c r="X276" s="413">
        <v>0.65298181742673023</v>
      </c>
      <c r="Y276" s="414">
        <v>0.27965289712866148</v>
      </c>
      <c r="Z276" s="1"/>
      <c r="AA276" s="1"/>
      <c r="AB276" s="1"/>
      <c r="AC276" s="1"/>
      <c r="AD276" s="1"/>
      <c r="AF276" s="176">
        <v>49980</v>
      </c>
      <c r="AG276" s="177">
        <v>2.5000000000000001E-3</v>
      </c>
      <c r="AH276" s="177">
        <v>2.4166666666666668E-3</v>
      </c>
      <c r="AI276" s="100">
        <v>49988</v>
      </c>
      <c r="AJ276" s="102">
        <v>46699.37082707449</v>
      </c>
      <c r="AL276" s="23"/>
      <c r="AM276" s="23"/>
      <c r="BL276" s="299"/>
    </row>
    <row r="277" spans="17:64">
      <c r="Q277" s="6">
        <v>247</v>
      </c>
      <c r="R277" s="7">
        <v>42914</v>
      </c>
      <c r="S277" s="210">
        <v>3</v>
      </c>
      <c r="T277" s="8">
        <v>1.0000833333333334</v>
      </c>
      <c r="U277" s="98">
        <v>3.4198909924974652</v>
      </c>
      <c r="V277" s="106">
        <v>26734.124801795562</v>
      </c>
      <c r="W277" s="10">
        <v>0.66250644401666392</v>
      </c>
      <c r="X277" s="413">
        <v>0.65273329052994533</v>
      </c>
      <c r="Y277" s="414">
        <v>0.27955605497183095</v>
      </c>
      <c r="Z277" s="1"/>
      <c r="AA277" s="1"/>
      <c r="AB277" s="1"/>
      <c r="AC277" s="1"/>
      <c r="AD277" s="1"/>
      <c r="AF277" s="176">
        <v>50010</v>
      </c>
      <c r="AG277" s="177">
        <v>2.5000000000000001E-3</v>
      </c>
      <c r="AH277" s="177">
        <v>2.4166666666666668E-3</v>
      </c>
      <c r="AI277" s="100">
        <v>50018</v>
      </c>
      <c r="AJ277" s="102">
        <v>46812.227639906589</v>
      </c>
      <c r="AL277" s="23"/>
      <c r="AM277" s="23"/>
      <c r="BL277" s="299"/>
    </row>
    <row r="278" spans="17:64">
      <c r="Q278" s="6">
        <v>248</v>
      </c>
      <c r="R278" s="7">
        <v>42915</v>
      </c>
      <c r="S278" s="210">
        <v>3</v>
      </c>
      <c r="T278" s="8">
        <v>1.0000833333333334</v>
      </c>
      <c r="U278" s="98">
        <v>3.4185516603803867</v>
      </c>
      <c r="V278" s="106">
        <v>26735.915240255643</v>
      </c>
      <c r="W278" s="10">
        <v>0.66225000410020662</v>
      </c>
      <c r="X278" s="413">
        <v>0.65248680690904548</v>
      </c>
      <c r="Y278" s="414">
        <v>0.27946007973188441</v>
      </c>
      <c r="Z278" s="1"/>
      <c r="AA278" s="1"/>
      <c r="AB278" s="1"/>
      <c r="AC278" s="1"/>
      <c r="AD278" s="1"/>
      <c r="AF278" s="176">
        <v>50041</v>
      </c>
      <c r="AG278" s="177">
        <v>2.5000000000000001E-3</v>
      </c>
      <c r="AH278" s="177">
        <v>2.4166666666666668E-3</v>
      </c>
      <c r="AI278" s="100">
        <v>50049</v>
      </c>
      <c r="AJ278" s="102">
        <v>46925.357190036368</v>
      </c>
      <c r="AL278" s="23"/>
      <c r="AM278" s="23"/>
      <c r="BL278" s="299"/>
    </row>
    <row r="279" spans="17:64">
      <c r="Q279" s="6">
        <v>249</v>
      </c>
      <c r="R279" s="7">
        <v>42916</v>
      </c>
      <c r="S279" s="210">
        <v>3</v>
      </c>
      <c r="T279" s="8">
        <v>1.0000833333333334</v>
      </c>
      <c r="U279" s="98">
        <v>3.4172231030875189</v>
      </c>
      <c r="V279" s="106">
        <v>26737.705798625018</v>
      </c>
      <c r="W279" s="10">
        <v>0.66199562458748584</v>
      </c>
      <c r="X279" s="413">
        <v>0.65224234194685871</v>
      </c>
      <c r="Y279" s="414">
        <v>0.2793649609711723</v>
      </c>
      <c r="Z279" s="1"/>
      <c r="AA279" s="1"/>
      <c r="AB279" s="1"/>
      <c r="AC279" s="1"/>
      <c r="AD279" s="1"/>
      <c r="AF279" s="176">
        <v>50072</v>
      </c>
      <c r="AG279" s="177">
        <v>2.5000000000000001E-3</v>
      </c>
      <c r="AH279" s="177">
        <v>2.4166666666666668E-3</v>
      </c>
      <c r="AI279" s="100">
        <v>50080</v>
      </c>
      <c r="AJ279" s="102">
        <v>47038.76013657896</v>
      </c>
      <c r="AL279" s="23"/>
      <c r="AM279" s="23"/>
      <c r="BL279" s="299"/>
    </row>
    <row r="280" spans="17:64">
      <c r="Q280" s="6">
        <v>250</v>
      </c>
      <c r="R280" s="7">
        <v>42917</v>
      </c>
      <c r="S280" s="210">
        <v>3</v>
      </c>
      <c r="T280" s="8">
        <v>1.0000833333333334</v>
      </c>
      <c r="U280" s="98">
        <v>3.4159051911159199</v>
      </c>
      <c r="V280" s="106">
        <v>26739.49647691171</v>
      </c>
      <c r="W280" s="10">
        <v>0.66174328074606326</v>
      </c>
      <c r="X280" s="413">
        <v>0.65199987142021598</v>
      </c>
      <c r="Y280" s="414">
        <v>0.27927068841905012</v>
      </c>
      <c r="Z280" s="1"/>
      <c r="AA280" s="1"/>
      <c r="AB280" s="1"/>
      <c r="AC280" s="1"/>
      <c r="AD280" s="1"/>
      <c r="AF280" s="176">
        <v>50100</v>
      </c>
      <c r="AG280" s="177">
        <v>2.5000000000000001E-3</v>
      </c>
      <c r="AH280" s="177">
        <v>2.4166666666666668E-3</v>
      </c>
      <c r="AI280" s="100">
        <v>50108</v>
      </c>
      <c r="AJ280" s="102">
        <v>47152.437140242364</v>
      </c>
      <c r="AL280" s="23"/>
      <c r="AM280" s="23"/>
      <c r="BL280" s="299"/>
    </row>
    <row r="281" spans="17:64">
      <c r="Q281" s="6">
        <v>251</v>
      </c>
      <c r="R281" s="7">
        <v>42918</v>
      </c>
      <c r="S281" s="210">
        <v>3</v>
      </c>
      <c r="T281" s="8">
        <v>1.0000833333333334</v>
      </c>
      <c r="U281" s="98">
        <v>3.4145977970297503</v>
      </c>
      <c r="V281" s="106">
        <v>26741.287275123756</v>
      </c>
      <c r="W281" s="10">
        <v>0.66149294823758531</v>
      </c>
      <c r="X281" s="413">
        <v>0.6517593714918154</v>
      </c>
      <c r="Y281" s="414">
        <v>0.27917725196854637</v>
      </c>
      <c r="Z281" s="1"/>
      <c r="AA281" s="1"/>
      <c r="AB281" s="1"/>
      <c r="AC281" s="1"/>
      <c r="AD281" s="1"/>
      <c r="AF281" s="176">
        <v>50131</v>
      </c>
      <c r="AG281" s="177">
        <v>2.5000000000000001E-3</v>
      </c>
      <c r="AH281" s="177">
        <v>2.4166666666666668E-3</v>
      </c>
      <c r="AI281" s="100">
        <v>50139</v>
      </c>
      <c r="AJ281" s="102">
        <v>47266.388863331289</v>
      </c>
      <c r="AL281" s="23"/>
      <c r="AM281" s="23"/>
      <c r="BL281" s="299"/>
    </row>
    <row r="282" spans="17:64">
      <c r="Q282" s="6">
        <v>252</v>
      </c>
      <c r="R282" s="7">
        <v>42919</v>
      </c>
      <c r="S282" s="210">
        <v>3</v>
      </c>
      <c r="T282" s="8">
        <v>1.0000833333333334</v>
      </c>
      <c r="U282" s="98">
        <v>3.4133007954190608</v>
      </c>
      <c r="V282" s="106">
        <v>26743.078193269183</v>
      </c>
      <c r="W282" s="10">
        <v>0.66124460311016708</v>
      </c>
      <c r="X282" s="413">
        <v>0.65152081870275702</v>
      </c>
      <c r="Y282" s="414">
        <v>0.27908464167311764</v>
      </c>
      <c r="Z282" s="1"/>
      <c r="AA282" s="1"/>
      <c r="AB282" s="1"/>
      <c r="AC282" s="1"/>
      <c r="AD282" s="1"/>
      <c r="AF282" s="176">
        <v>50161</v>
      </c>
      <c r="AG282" s="177">
        <v>2.5000000000000001E-3</v>
      </c>
      <c r="AH282" s="177">
        <v>2.4166666666666668E-3</v>
      </c>
      <c r="AI282" s="100">
        <v>50169</v>
      </c>
      <c r="AJ282" s="102">
        <v>47380.615969751008</v>
      </c>
      <c r="AL282" s="23"/>
      <c r="AM282" s="23"/>
      <c r="BL282" s="299"/>
    </row>
    <row r="283" spans="17:64">
      <c r="Q283" s="6">
        <v>253</v>
      </c>
      <c r="R283" s="7">
        <v>42920</v>
      </c>
      <c r="S283" s="210">
        <v>3</v>
      </c>
      <c r="T283" s="8">
        <v>1.0000833333333334</v>
      </c>
      <c r="U283" s="98">
        <v>3.4120140628598694</v>
      </c>
      <c r="V283" s="106">
        <v>26744.869231356017</v>
      </c>
      <c r="W283" s="10">
        <v>0.66099822179084278</v>
      </c>
      <c r="X283" s="413">
        <v>0.65128418996512694</v>
      </c>
      <c r="Y283" s="414">
        <v>0.27899284774348332</v>
      </c>
      <c r="Z283" s="1"/>
      <c r="AA283" s="1"/>
      <c r="AB283" s="1"/>
      <c r="AC283" s="1"/>
      <c r="AD283" s="1"/>
      <c r="AF283" s="176">
        <v>50192</v>
      </c>
      <c r="AG283" s="177">
        <v>2.5000000000000001E-3</v>
      </c>
      <c r="AH283" s="177">
        <v>2.4166666666666668E-3</v>
      </c>
      <c r="AI283" s="100">
        <v>50200</v>
      </c>
      <c r="AJ283" s="102">
        <v>47495.119125011246</v>
      </c>
      <c r="AL283" s="23"/>
      <c r="AM283" s="23"/>
      <c r="BL283" s="299"/>
    </row>
    <row r="284" spans="17:64">
      <c r="Q284" s="6">
        <v>254</v>
      </c>
      <c r="R284" s="7">
        <v>42921</v>
      </c>
      <c r="S284" s="210">
        <v>3</v>
      </c>
      <c r="T284" s="8">
        <v>1.0000833333333334</v>
      </c>
      <c r="U284" s="98">
        <v>3.4107374778748145</v>
      </c>
      <c r="V284" s="106">
        <v>26746.660389392302</v>
      </c>
      <c r="W284" s="10">
        <v>0.66075378107779414</v>
      </c>
      <c r="X284" s="413">
        <v>0.6510494625544434</v>
      </c>
      <c r="Y284" s="414">
        <v>0.27890186054451954</v>
      </c>
      <c r="Z284" s="1"/>
      <c r="AA284" s="1"/>
      <c r="AB284" s="1"/>
      <c r="AC284" s="1"/>
      <c r="AD284" s="1"/>
      <c r="AF284" s="176">
        <v>50222</v>
      </c>
      <c r="AG284" s="177">
        <v>2.5000000000000001E-3</v>
      </c>
      <c r="AH284" s="177">
        <v>2.4166666666666668E-3</v>
      </c>
      <c r="AI284" s="100">
        <v>50230</v>
      </c>
      <c r="AJ284" s="102">
        <v>47609.898996230026</v>
      </c>
      <c r="AL284" s="23"/>
      <c r="AM284" s="23"/>
      <c r="BL284" s="299"/>
    </row>
    <row r="285" spans="17:64">
      <c r="Q285" s="6">
        <v>255</v>
      </c>
      <c r="R285" s="7">
        <v>42922</v>
      </c>
      <c r="S285" s="210">
        <v>3</v>
      </c>
      <c r="T285" s="8">
        <v>1.0000833333333334</v>
      </c>
      <c r="U285" s="98">
        <v>3.4094709208950746</v>
      </c>
      <c r="V285" s="106">
        <v>26748.451667386067</v>
      </c>
      <c r="W285" s="10">
        <v>0.66051125813344491</v>
      </c>
      <c r="X285" s="413">
        <v>0.65081661410284364</v>
      </c>
      <c r="Y285" s="414">
        <v>0.27881167059224682</v>
      </c>
      <c r="Z285" s="1"/>
      <c r="AA285" s="1"/>
      <c r="AB285" s="1"/>
      <c r="AC285" s="1"/>
      <c r="AD285" s="1"/>
      <c r="AF285" s="176">
        <v>50253</v>
      </c>
      <c r="AG285" s="177">
        <v>2.5000000000000001E-3</v>
      </c>
      <c r="AH285" s="177">
        <v>2.4166666666666668E-3</v>
      </c>
      <c r="AI285" s="100">
        <v>50261</v>
      </c>
      <c r="AJ285" s="102">
        <v>47724.956252137585</v>
      </c>
      <c r="AL285" s="23"/>
      <c r="AM285" s="23"/>
      <c r="BL285" s="299"/>
    </row>
    <row r="286" spans="17:64">
      <c r="Q286" s="6">
        <v>256</v>
      </c>
      <c r="R286" s="7">
        <v>42923</v>
      </c>
      <c r="S286" s="210">
        <v>3</v>
      </c>
      <c r="T286" s="8">
        <v>1.0000833333333334</v>
      </c>
      <c r="U286" s="98">
        <v>3.4082142742230426</v>
      </c>
      <c r="V286" s="106">
        <v>26750.243065345348</v>
      </c>
      <c r="W286" s="10">
        <v>0.66027063047708889</v>
      </c>
      <c r="X286" s="413">
        <v>0.65058562259186914</v>
      </c>
      <c r="Y286" s="414">
        <v>0.27872226855087284</v>
      </c>
      <c r="Z286" s="1"/>
      <c r="AA286" s="1"/>
      <c r="AB286" s="1"/>
      <c r="AC286" s="1"/>
      <c r="AD286" s="1"/>
      <c r="AF286" s="176">
        <v>50284</v>
      </c>
      <c r="AG286" s="177">
        <v>2.5000000000000001E-3</v>
      </c>
      <c r="AH286" s="177">
        <v>2.4166666666666668E-3</v>
      </c>
      <c r="AI286" s="100">
        <v>50292</v>
      </c>
      <c r="AJ286" s="102">
        <v>47840.291563080253</v>
      </c>
      <c r="AL286" s="23"/>
      <c r="AM286" s="23"/>
      <c r="BL286" s="299"/>
    </row>
    <row r="287" spans="17:64">
      <c r="Q287" s="6">
        <v>257</v>
      </c>
      <c r="R287" s="7">
        <v>42924</v>
      </c>
      <c r="S287" s="210">
        <v>3</v>
      </c>
      <c r="T287" s="8">
        <v>1.0000833333333334</v>
      </c>
      <c r="U287" s="98">
        <v>3.4069674219956658</v>
      </c>
      <c r="V287" s="106">
        <v>26752.034583278171</v>
      </c>
      <c r="W287" s="10">
        <v>0.66003187597805102</v>
      </c>
      <c r="X287" s="413">
        <v>0.65035646634582345</v>
      </c>
      <c r="Y287" s="414">
        <v>0.27863364522990691</v>
      </c>
      <c r="Z287" s="1"/>
      <c r="AA287" s="1"/>
      <c r="AB287" s="1"/>
      <c r="AC287" s="1"/>
      <c r="AD287" s="1"/>
      <c r="AF287" s="176">
        <v>50314</v>
      </c>
      <c r="AG287" s="177">
        <v>2.5000000000000001E-3</v>
      </c>
      <c r="AH287" s="177">
        <v>2.4166666666666668E-3</v>
      </c>
      <c r="AI287" s="100">
        <v>50322</v>
      </c>
      <c r="AJ287" s="102">
        <v>47955.905601024366</v>
      </c>
      <c r="AL287" s="23"/>
      <c r="AM287" s="23"/>
      <c r="BL287" s="299"/>
    </row>
    <row r="288" spans="17:64">
      <c r="Q288" s="6">
        <v>258</v>
      </c>
      <c r="R288" s="7">
        <v>42925</v>
      </c>
      <c r="S288" s="210">
        <v>3</v>
      </c>
      <c r="T288" s="8">
        <v>1.0000833333333334</v>
      </c>
      <c r="U288" s="98">
        <v>3.4057302501490749</v>
      </c>
      <c r="V288" s="106">
        <v>26753.826221192583</v>
      </c>
      <c r="W288" s="10">
        <v>0.65979497284875954</v>
      </c>
      <c r="X288" s="413">
        <v>0.65012912402494327</v>
      </c>
      <c r="Y288" s="414">
        <v>0.27854579158134912</v>
      </c>
      <c r="Z288" s="1"/>
      <c r="AA288" s="1"/>
      <c r="AB288" s="1"/>
      <c r="AC288" s="1"/>
      <c r="AD288" s="1"/>
      <c r="AF288" s="176">
        <v>50345</v>
      </c>
      <c r="AG288" s="177">
        <v>2.5000000000000001E-3</v>
      </c>
      <c r="AH288" s="177">
        <v>2.4166666666666668E-3</v>
      </c>
      <c r="AI288" s="100">
        <v>50353</v>
      </c>
      <c r="AJ288" s="102">
        <v>48071.799039560181</v>
      </c>
      <c r="AL288" s="23"/>
      <c r="AM288" s="23"/>
      <c r="BL288" s="299"/>
    </row>
    <row r="289" spans="17:64">
      <c r="Q289" s="6">
        <v>259</v>
      </c>
      <c r="R289" s="7">
        <v>42926</v>
      </c>
      <c r="S289" s="210">
        <v>3</v>
      </c>
      <c r="T289" s="8">
        <v>1.0000833333333334</v>
      </c>
      <c r="U289" s="98">
        <v>3.4045026463837003</v>
      </c>
      <c r="V289" s="106">
        <v>26755.748952598151</v>
      </c>
      <c r="W289" s="10">
        <v>0.65886549275262496</v>
      </c>
      <c r="X289" s="413">
        <v>0.64921998578735041</v>
      </c>
      <c r="Y289" s="414">
        <v>0.27845869869693951</v>
      </c>
      <c r="Z289" s="1"/>
      <c r="AA289" s="1"/>
      <c r="AB289" s="1"/>
      <c r="AC289" s="1"/>
      <c r="AD289" s="1"/>
      <c r="AF289" s="176">
        <v>50375</v>
      </c>
      <c r="AG289" s="177">
        <v>2.5000000000000001E-3</v>
      </c>
      <c r="AH289" s="177">
        <v>2.4166666666666668E-3</v>
      </c>
      <c r="AI289" s="100">
        <v>50383</v>
      </c>
      <c r="AJ289" s="102">
        <v>48187.972553905791</v>
      </c>
      <c r="AL289" s="23"/>
      <c r="AM289" s="23"/>
      <c r="BL289" s="299"/>
    </row>
    <row r="290" spans="17:64">
      <c r="Q290" s="6">
        <v>260</v>
      </c>
      <c r="R290" s="7">
        <v>42927</v>
      </c>
      <c r="S290" s="210">
        <v>3</v>
      </c>
      <c r="T290" s="8">
        <v>1.0000833333333334</v>
      </c>
      <c r="U290" s="98">
        <v>3.4032845001302547</v>
      </c>
      <c r="V290" s="106">
        <v>26757.671822185672</v>
      </c>
      <c r="W290" s="10">
        <v>0.65794317098735178</v>
      </c>
      <c r="X290" s="413">
        <v>0.64831785920582008</v>
      </c>
      <c r="Y290" s="414">
        <v>0.27837235780546582</v>
      </c>
      <c r="Z290" s="1"/>
      <c r="AA290" s="1"/>
      <c r="AB290" s="1"/>
      <c r="AC290" s="1"/>
      <c r="AD290" s="1"/>
      <c r="AF290" s="176">
        <v>50406</v>
      </c>
      <c r="AG290" s="177">
        <v>2.5000000000000001E-3</v>
      </c>
      <c r="AH290" s="177">
        <v>2.4166666666666668E-3</v>
      </c>
      <c r="AI290" s="100">
        <v>50414</v>
      </c>
      <c r="AJ290" s="102">
        <v>48304.426820911067</v>
      </c>
      <c r="AL290" s="23"/>
      <c r="AM290" s="23"/>
      <c r="BL290" s="299"/>
    </row>
    <row r="291" spans="17:64">
      <c r="Q291" s="6">
        <v>261</v>
      </c>
      <c r="R291" s="7">
        <v>42928</v>
      </c>
      <c r="S291" s="210">
        <v>3</v>
      </c>
      <c r="T291" s="8">
        <v>1.0000833333333334</v>
      </c>
      <c r="U291" s="98">
        <v>3.4020757025165826</v>
      </c>
      <c r="V291" s="106">
        <v>26759.594829965081</v>
      </c>
      <c r="W291" s="10">
        <v>0.6570279251760347</v>
      </c>
      <c r="X291" s="413">
        <v>0.64742266368681911</v>
      </c>
      <c r="Y291" s="414">
        <v>0.27828676027014299</v>
      </c>
      <c r="Z291" s="1"/>
      <c r="AA291" s="1"/>
      <c r="AB291" s="1"/>
      <c r="AC291" s="1"/>
      <c r="AD291" s="1"/>
      <c r="AF291" s="176">
        <v>50437</v>
      </c>
      <c r="AG291" s="177">
        <v>2.5000000000000001E-3</v>
      </c>
      <c r="AH291" s="177">
        <v>2.4166666666666668E-3</v>
      </c>
      <c r="AI291" s="100">
        <v>50445</v>
      </c>
      <c r="AJ291" s="102">
        <v>48421.162519061603</v>
      </c>
      <c r="AL291" s="23"/>
      <c r="AM291" s="23"/>
      <c r="BL291" s="299"/>
    </row>
    <row r="292" spans="17:64">
      <c r="Q292" s="6">
        <v>262</v>
      </c>
      <c r="R292" s="7">
        <v>42929</v>
      </c>
      <c r="S292" s="210">
        <v>3</v>
      </c>
      <c r="T292" s="8">
        <v>1.0000833333333334</v>
      </c>
      <c r="U292" s="98">
        <v>3.4008761463351966</v>
      </c>
      <c r="V292" s="106">
        <v>26761.517975946306</v>
      </c>
      <c r="W292" s="10">
        <v>0.65611967420087236</v>
      </c>
      <c r="X292" s="413">
        <v>0.64653431986718846</v>
      </c>
      <c r="Y292" s="414">
        <v>0.2782018975860428</v>
      </c>
      <c r="Z292" s="1"/>
      <c r="AA292" s="1"/>
      <c r="AB292" s="1"/>
      <c r="AC292" s="1"/>
      <c r="AD292" s="1"/>
      <c r="AF292" s="176">
        <v>50465</v>
      </c>
      <c r="AG292" s="177">
        <v>2.5000000000000001E-3</v>
      </c>
      <c r="AH292" s="177">
        <v>2.4166666666666668E-3</v>
      </c>
      <c r="AI292" s="100">
        <v>50473</v>
      </c>
      <c r="AJ292" s="102">
        <v>48538.180328482675</v>
      </c>
      <c r="AL292" s="23"/>
      <c r="AM292" s="23"/>
      <c r="BL292" s="299"/>
    </row>
    <row r="293" spans="17:64">
      <c r="Q293" s="6">
        <v>263</v>
      </c>
      <c r="R293" s="7">
        <v>42930</v>
      </c>
      <c r="S293" s="210">
        <v>3</v>
      </c>
      <c r="T293" s="8">
        <v>1.0000833333333334</v>
      </c>
      <c r="U293" s="98">
        <v>3.3996857260116586</v>
      </c>
      <c r="V293" s="106">
        <v>26763.441260139283</v>
      </c>
      <c r="W293" s="10">
        <v>0.65521833817936415</v>
      </c>
      <c r="X293" s="413">
        <v>0.6456527495909048</v>
      </c>
      <c r="Y293" s="414">
        <v>0.27811776137759447</v>
      </c>
      <c r="Z293" s="1"/>
      <c r="AA293" s="1"/>
      <c r="AB293" s="1"/>
      <c r="AC293" s="1"/>
      <c r="AD293" s="1"/>
      <c r="AF293" s="176">
        <v>50496</v>
      </c>
      <c r="AG293" s="177">
        <v>2.5000000000000001E-3</v>
      </c>
      <c r="AH293" s="177">
        <v>2.4166666666666668E-3</v>
      </c>
      <c r="AI293" s="100">
        <v>50504</v>
      </c>
      <c r="AJ293" s="102">
        <v>48655.48093094318</v>
      </c>
      <c r="AL293" s="23"/>
      <c r="AM293" s="23"/>
      <c r="BL293" s="299"/>
    </row>
    <row r="294" spans="17:64">
      <c r="Q294" s="6">
        <v>264</v>
      </c>
      <c r="R294" s="7">
        <v>42931</v>
      </c>
      <c r="S294" s="210">
        <v>3</v>
      </c>
      <c r="T294" s="8">
        <v>1.0000833333333334</v>
      </c>
      <c r="U294" s="98">
        <v>3.3985043375734714</v>
      </c>
      <c r="V294" s="106">
        <v>26765.364682553947</v>
      </c>
      <c r="W294" s="10">
        <v>0.65432383844066244</v>
      </c>
      <c r="X294" s="413">
        <v>0.64477787588606617</v>
      </c>
      <c r="Y294" s="414">
        <v>0.27803434339612743</v>
      </c>
      <c r="Z294" s="1"/>
      <c r="AA294" s="1"/>
      <c r="AB294" s="1"/>
      <c r="AC294" s="1"/>
      <c r="AD294" s="1"/>
      <c r="AF294" s="176">
        <v>50526</v>
      </c>
      <c r="AG294" s="177">
        <v>2.5000000000000001E-3</v>
      </c>
      <c r="AH294" s="177">
        <v>2.4166666666666668E-3</v>
      </c>
      <c r="AI294" s="100">
        <v>50534</v>
      </c>
      <c r="AJ294" s="102">
        <v>48773.065009859631</v>
      </c>
      <c r="AL294" s="23"/>
      <c r="AM294" s="23"/>
      <c r="BL294" s="299"/>
    </row>
    <row r="295" spans="17:64">
      <c r="Q295" s="6">
        <v>265</v>
      </c>
      <c r="R295" s="7">
        <v>42932</v>
      </c>
      <c r="S295" s="210">
        <v>3</v>
      </c>
      <c r="T295" s="8">
        <v>1.0000833333333334</v>
      </c>
      <c r="U295" s="98">
        <v>3.3973318786199247</v>
      </c>
      <c r="V295" s="106">
        <v>26767.28824320023</v>
      </c>
      <c r="W295" s="10">
        <v>0.65343609750281306</v>
      </c>
      <c r="X295" s="413">
        <v>0.64390962294264109</v>
      </c>
      <c r="Y295" s="414">
        <v>0.27795163551748175</v>
      </c>
      <c r="Z295" s="1"/>
      <c r="AA295" s="1"/>
      <c r="AB295" s="1"/>
      <c r="AC295" s="1"/>
      <c r="AD295" s="1"/>
      <c r="AF295" s="176">
        <v>50557</v>
      </c>
      <c r="AG295" s="177">
        <v>2.5000000000000001E-3</v>
      </c>
      <c r="AH295" s="177">
        <v>2.4166666666666668E-3</v>
      </c>
      <c r="AI295" s="100">
        <v>50565</v>
      </c>
      <c r="AJ295" s="102">
        <v>48890.933250300128</v>
      </c>
      <c r="AL295" s="23"/>
      <c r="AM295" s="23"/>
      <c r="BL295" s="299"/>
    </row>
    <row r="296" spans="17:64">
      <c r="Q296" s="6">
        <v>266</v>
      </c>
      <c r="R296" s="7">
        <v>42933</v>
      </c>
      <c r="S296" s="210">
        <v>3</v>
      </c>
      <c r="T296" s="8">
        <v>1.0000833333333334</v>
      </c>
      <c r="U296" s="98">
        <v>3.3961682482924305</v>
      </c>
      <c r="V296" s="106">
        <v>26769.211942088063</v>
      </c>
      <c r="W296" s="10">
        <v>0.65255503905037315</v>
      </c>
      <c r="X296" s="413">
        <v>0.6430479160905983</v>
      </c>
      <c r="Y296" s="414">
        <v>0.277869629739663</v>
      </c>
      <c r="Z296" s="1"/>
      <c r="AA296" s="1"/>
      <c r="AB296" s="1"/>
      <c r="AC296" s="1"/>
      <c r="AD296" s="1"/>
      <c r="AF296" s="176">
        <v>50587</v>
      </c>
      <c r="AG296" s="177">
        <v>2.5000000000000001E-3</v>
      </c>
      <c r="AH296" s="177">
        <v>2.4166666666666668E-3</v>
      </c>
      <c r="AI296" s="100">
        <v>50595</v>
      </c>
      <c r="AJ296" s="102">
        <v>49009.08633898836</v>
      </c>
      <c r="AL296" s="23"/>
      <c r="AM296" s="23"/>
      <c r="BL296" s="299"/>
    </row>
    <row r="297" spans="17:64">
      <c r="Q297" s="6">
        <v>267</v>
      </c>
      <c r="R297" s="7">
        <v>42934</v>
      </c>
      <c r="S297" s="210">
        <v>3</v>
      </c>
      <c r="T297" s="8">
        <v>1.0000833333333334</v>
      </c>
      <c r="U297" s="98">
        <v>3.3950133472456789</v>
      </c>
      <c r="V297" s="106">
        <v>26771.135779227385</v>
      </c>
      <c r="W297" s="10">
        <v>0.651680587912562</v>
      </c>
      <c r="X297" s="413">
        <v>0.6421926817785889</v>
      </c>
      <c r="Y297" s="414">
        <v>0.2777883181805616</v>
      </c>
      <c r="Z297" s="1"/>
      <c r="AA297" s="1"/>
      <c r="AB297" s="1"/>
      <c r="AC297" s="1"/>
      <c r="AD297" s="1"/>
      <c r="AF297" s="176">
        <v>50618</v>
      </c>
      <c r="AG297" s="177">
        <v>2.5000000000000001E-3</v>
      </c>
      <c r="AH297" s="177">
        <v>2.4166666666666668E-3</v>
      </c>
      <c r="AI297" s="100">
        <v>50626</v>
      </c>
      <c r="AJ297" s="102">
        <v>49127.524964307588</v>
      </c>
      <c r="AL297" s="23"/>
      <c r="AM297" s="23"/>
      <c r="BL297" s="299"/>
    </row>
    <row r="298" spans="17:64">
      <c r="Q298" s="6">
        <v>268</v>
      </c>
      <c r="R298" s="7">
        <v>42935</v>
      </c>
      <c r="S298" s="210">
        <v>3</v>
      </c>
      <c r="T298" s="8">
        <v>1.0000833333333334</v>
      </c>
      <c r="U298" s="98">
        <v>3.3938670776192836</v>
      </c>
      <c r="V298" s="106">
        <v>26773.059754628131</v>
      </c>
      <c r="W298" s="10">
        <v>0.65081267004174492</v>
      </c>
      <c r="X298" s="413">
        <v>0.64134384755295548</v>
      </c>
      <c r="Y298" s="414">
        <v>0.27770769307570892</v>
      </c>
      <c r="Z298" s="1"/>
      <c r="AA298" s="1"/>
      <c r="AB298" s="1"/>
      <c r="AC298" s="1"/>
      <c r="AD298" s="1"/>
      <c r="AF298" s="176">
        <v>50649</v>
      </c>
      <c r="AG298" s="177">
        <v>2.5000000000000001E-3</v>
      </c>
      <c r="AH298" s="177">
        <v>2.4166666666666668E-3</v>
      </c>
      <c r="AI298" s="100">
        <v>50657</v>
      </c>
      <c r="AJ298" s="102">
        <v>49246.249816304669</v>
      </c>
      <c r="AL298" s="23"/>
      <c r="AM298" s="23"/>
      <c r="BL298" s="299"/>
    </row>
    <row r="299" spans="17:64">
      <c r="Q299" s="6">
        <v>269</v>
      </c>
      <c r="R299" s="7">
        <v>42936</v>
      </c>
      <c r="S299" s="210">
        <v>3</v>
      </c>
      <c r="T299" s="8">
        <v>1.0000833333333334</v>
      </c>
      <c r="U299" s="98">
        <v>3.392729343010159</v>
      </c>
      <c r="V299" s="106">
        <v>26774.983868300231</v>
      </c>
      <c r="W299" s="10">
        <v>0.64995121249271648</v>
      </c>
      <c r="X299" s="413">
        <v>0.64050134203753772</v>
      </c>
      <c r="Y299" s="414">
        <v>0.27762774677609325</v>
      </c>
      <c r="Z299" s="1"/>
      <c r="AA299" s="1"/>
      <c r="AB299" s="1"/>
      <c r="AC299" s="1"/>
      <c r="AD299" s="1"/>
      <c r="AF299" s="176">
        <v>50679</v>
      </c>
      <c r="AG299" s="177">
        <v>2.5000000000000001E-3</v>
      </c>
      <c r="AH299" s="177">
        <v>2.4166666666666668E-3</v>
      </c>
      <c r="AI299" s="100">
        <v>50687</v>
      </c>
      <c r="AJ299" s="102">
        <v>49365.261586694076</v>
      </c>
      <c r="AL299" s="23"/>
      <c r="AM299" s="23"/>
      <c r="BL299" s="299"/>
    </row>
    <row r="300" spans="17:64">
      <c r="Q300" s="6">
        <v>270</v>
      </c>
      <c r="R300" s="7">
        <v>42937</v>
      </c>
      <c r="S300" s="210">
        <v>3</v>
      </c>
      <c r="T300" s="8">
        <v>1.0000833333333334</v>
      </c>
      <c r="U300" s="98">
        <v>3.3916000484455644</v>
      </c>
      <c r="V300" s="106">
        <v>26776.908120253636</v>
      </c>
      <c r="W300" s="10">
        <v>0.64909614340205035</v>
      </c>
      <c r="X300" s="413">
        <v>0.63966509491345158</v>
      </c>
      <c r="Y300" s="414">
        <v>0.27754847174602404</v>
      </c>
      <c r="Z300" s="1"/>
      <c r="AA300" s="1"/>
      <c r="AB300" s="1"/>
      <c r="AC300" s="1"/>
      <c r="AD300" s="1"/>
      <c r="AF300" s="176">
        <v>50710</v>
      </c>
      <c r="AG300" s="177">
        <v>2.5000000000000001E-3</v>
      </c>
      <c r="AH300" s="177">
        <v>2.4166666666666668E-3</v>
      </c>
      <c r="AI300" s="100">
        <v>50718</v>
      </c>
      <c r="AJ300" s="102">
        <v>49484.560968861922</v>
      </c>
      <c r="AL300" s="23"/>
      <c r="AM300" s="23"/>
      <c r="BL300" s="299"/>
    </row>
    <row r="301" spans="17:64">
      <c r="Q301" s="6">
        <v>271</v>
      </c>
      <c r="R301" s="7">
        <v>42938</v>
      </c>
      <c r="S301" s="210">
        <v>3</v>
      </c>
      <c r="T301" s="8">
        <v>1.0000833333333334</v>
      </c>
      <c r="U301" s="98">
        <v>3.3904791003565915</v>
      </c>
      <c r="V301" s="106">
        <v>26778.832510498269</v>
      </c>
      <c r="W301" s="10">
        <v>0.64824739196842618</v>
      </c>
      <c r="X301" s="413">
        <v>0.63883503689990706</v>
      </c>
      <c r="Y301" s="414">
        <v>0.2774698605610384</v>
      </c>
      <c r="Z301" s="1"/>
      <c r="AA301" s="1"/>
      <c r="AB301" s="1"/>
      <c r="AC301" s="1"/>
      <c r="AD301" s="1"/>
      <c r="AF301" s="176">
        <v>50740</v>
      </c>
      <c r="AG301" s="177">
        <v>2.5000000000000001E-3</v>
      </c>
      <c r="AH301" s="177">
        <v>2.4166666666666668E-3</v>
      </c>
      <c r="AI301" s="100">
        <v>50748</v>
      </c>
      <c r="AJ301" s="102">
        <v>49604.148657870006</v>
      </c>
      <c r="AL301" s="23"/>
      <c r="AM301" s="23"/>
      <c r="BL301" s="299"/>
    </row>
    <row r="302" spans="17:64">
      <c r="Q302" s="6">
        <v>272</v>
      </c>
      <c r="R302" s="7">
        <v>42939</v>
      </c>
      <c r="S302" s="210">
        <v>3</v>
      </c>
      <c r="T302" s="8">
        <v>1.0000833333333334</v>
      </c>
      <c r="U302" s="98">
        <v>3.3893664065522744</v>
      </c>
      <c r="V302" s="106">
        <v>26780.757039044074</v>
      </c>
      <c r="W302" s="10">
        <v>0.64740488843273436</v>
      </c>
      <c r="X302" s="413">
        <v>0.6380110997347731</v>
      </c>
      <c r="Y302" s="414">
        <v>0.27739190590585461</v>
      </c>
      <c r="Z302" s="1"/>
      <c r="AA302" s="1"/>
      <c r="AB302" s="1"/>
      <c r="AC302" s="1"/>
      <c r="AD302" s="1"/>
      <c r="AF302" s="176">
        <v>50771</v>
      </c>
      <c r="AG302" s="177">
        <v>2.5000000000000001E-3</v>
      </c>
      <c r="AH302" s="177">
        <v>2.4166666666666668E-3</v>
      </c>
      <c r="AI302" s="100">
        <v>50779</v>
      </c>
      <c r="AJ302" s="102">
        <v>49724.025350459859</v>
      </c>
      <c r="AL302" s="23"/>
      <c r="AM302" s="23"/>
      <c r="BL302" s="299"/>
    </row>
    <row r="303" spans="17:64">
      <c r="Q303" s="6">
        <v>273</v>
      </c>
      <c r="R303" s="7">
        <v>42940</v>
      </c>
      <c r="S303" s="210">
        <v>3</v>
      </c>
      <c r="T303" s="8">
        <v>1.0000833333333334</v>
      </c>
      <c r="U303" s="98">
        <v>3.3882618761945649</v>
      </c>
      <c r="V303" s="106">
        <v>26782.681705900999</v>
      </c>
      <c r="W303" s="10">
        <v>0.64656856405918006</v>
      </c>
      <c r="X303" s="413">
        <v>0.63719321615618429</v>
      </c>
      <c r="Y303" s="414">
        <v>0.27731460057238161</v>
      </c>
      <c r="Z303" s="1"/>
      <c r="AA303" s="1"/>
      <c r="AB303" s="1"/>
      <c r="AC303" s="1"/>
      <c r="AD303" s="1"/>
      <c r="AF303" s="176">
        <v>50802</v>
      </c>
      <c r="AG303" s="177">
        <v>2.5000000000000001E-3</v>
      </c>
      <c r="AH303" s="177">
        <v>2.4166666666666668E-3</v>
      </c>
      <c r="AI303" s="100">
        <v>50810</v>
      </c>
      <c r="AJ303" s="102">
        <v>49844.191745056807</v>
      </c>
      <c r="AL303" s="23"/>
      <c r="AM303" s="23"/>
      <c r="BL303" s="299"/>
    </row>
    <row r="304" spans="17:64">
      <c r="Q304" s="6">
        <v>274</v>
      </c>
      <c r="R304" s="7">
        <v>42941</v>
      </c>
      <c r="S304" s="210">
        <v>3</v>
      </c>
      <c r="T304" s="8">
        <v>1.0000833333333334</v>
      </c>
      <c r="U304" s="98">
        <v>3.3871654197732859</v>
      </c>
      <c r="V304" s="106">
        <v>26784.606511078975</v>
      </c>
      <c r="W304" s="10">
        <v>0.64573835111663147</v>
      </c>
      <c r="X304" s="413">
        <v>0.63638131988425872</v>
      </c>
      <c r="Y304" s="414">
        <v>0.27723793745775122</v>
      </c>
      <c r="Z304" s="1"/>
      <c r="AA304" s="1"/>
      <c r="AB304" s="1"/>
      <c r="AC304" s="1"/>
      <c r="AD304" s="1"/>
      <c r="AF304" s="176">
        <v>50830</v>
      </c>
      <c r="AG304" s="177">
        <v>2.5000000000000001E-3</v>
      </c>
      <c r="AH304" s="177">
        <v>2.4166666666666668E-3</v>
      </c>
      <c r="AI304" s="100">
        <v>50838</v>
      </c>
      <c r="AJ304" s="102">
        <v>49964.648541774033</v>
      </c>
      <c r="AL304" s="23"/>
      <c r="AM304" s="23"/>
      <c r="BL304" s="299"/>
    </row>
    <row r="305" spans="17:64">
      <c r="Q305" s="6">
        <v>275</v>
      </c>
      <c r="R305" s="7">
        <v>42942</v>
      </c>
      <c r="S305" s="210">
        <v>3</v>
      </c>
      <c r="T305" s="8">
        <v>1.0000833333333334</v>
      </c>
      <c r="U305" s="98">
        <v>3.3860769490821285</v>
      </c>
      <c r="V305" s="106">
        <v>26786.531454587941</v>
      </c>
      <c r="W305" s="10">
        <v>0.64491418286010127</v>
      </c>
      <c r="X305" s="413">
        <v>0.63557534560306872</v>
      </c>
      <c r="Y305" s="414">
        <v>0.27716190956240971</v>
      </c>
      <c r="Z305" s="1"/>
      <c r="AA305" s="1"/>
      <c r="AB305" s="1"/>
      <c r="AC305" s="1"/>
      <c r="AD305" s="1"/>
      <c r="AF305" s="176">
        <v>50861</v>
      </c>
      <c r="AG305" s="177">
        <v>2.5000000000000001E-3</v>
      </c>
      <c r="AH305" s="177">
        <v>2.4166666666666668E-3</v>
      </c>
      <c r="AI305" s="100">
        <v>50869</v>
      </c>
      <c r="AJ305" s="102">
        <v>50085.396442416655</v>
      </c>
      <c r="AL305" s="23"/>
      <c r="AM305" s="23"/>
      <c r="BL305" s="299"/>
    </row>
    <row r="306" spans="17:64">
      <c r="Q306" s="6">
        <v>276</v>
      </c>
      <c r="R306" s="7">
        <v>42943</v>
      </c>
      <c r="S306" s="210">
        <v>3</v>
      </c>
      <c r="T306" s="8">
        <v>1.0000833333333334</v>
      </c>
      <c r="U306" s="98">
        <v>3.3849963771950486</v>
      </c>
      <c r="V306" s="106">
        <v>26788.456536437847</v>
      </c>
      <c r="W306" s="10">
        <v>0.6440959935131163</v>
      </c>
      <c r="X306" s="413">
        <v>0.63477522894338168</v>
      </c>
      <c r="Y306" s="414">
        <v>0.27708650998825096</v>
      </c>
      <c r="Z306" s="1"/>
      <c r="AA306" s="1"/>
      <c r="AB306" s="1"/>
      <c r="AC306" s="1"/>
      <c r="AD306" s="1"/>
      <c r="AF306" s="176">
        <v>50891</v>
      </c>
      <c r="AG306" s="177">
        <v>2.5000000000000001E-3</v>
      </c>
      <c r="AH306" s="177">
        <v>2.4166666666666668E-3</v>
      </c>
      <c r="AI306" s="100">
        <v>50899</v>
      </c>
      <c r="AJ306" s="102">
        <v>50206.436150485832</v>
      </c>
      <c r="AL306" s="23"/>
      <c r="AM306" s="23"/>
      <c r="BL306" s="299"/>
    </row>
    <row r="307" spans="17:64">
      <c r="Q307" s="6">
        <v>277</v>
      </c>
      <c r="R307" s="7">
        <v>42944</v>
      </c>
      <c r="S307" s="210">
        <v>3</v>
      </c>
      <c r="T307" s="8">
        <v>1.0000833333333334</v>
      </c>
      <c r="U307" s="98">
        <v>3.3839236184429522</v>
      </c>
      <c r="V307" s="106">
        <v>26790.381756638624</v>
      </c>
      <c r="W307" s="10">
        <v>0.64328371824999842</v>
      </c>
      <c r="X307" s="413">
        <v>0.63398090646542649</v>
      </c>
      <c r="Y307" s="414">
        <v>0.27701173193677803</v>
      </c>
      <c r="Z307" s="1"/>
      <c r="AA307" s="1"/>
      <c r="AB307" s="1"/>
      <c r="AC307" s="1"/>
      <c r="AD307" s="1"/>
      <c r="AF307" s="176">
        <v>50922</v>
      </c>
      <c r="AG307" s="177">
        <v>2.5000000000000001E-3</v>
      </c>
      <c r="AH307" s="177">
        <v>2.4166666666666668E-3</v>
      </c>
      <c r="AI307" s="100">
        <v>50930</v>
      </c>
      <c r="AJ307" s="102">
        <v>50327.768371182843</v>
      </c>
      <c r="AL307" s="23"/>
      <c r="AM307" s="23"/>
      <c r="BL307" s="299"/>
    </row>
    <row r="308" spans="17:64">
      <c r="Q308" s="6">
        <v>278</v>
      </c>
      <c r="R308" s="7">
        <v>42945</v>
      </c>
      <c r="S308" s="210">
        <v>3</v>
      </c>
      <c r="T308" s="8">
        <v>1.0000833333333334</v>
      </c>
      <c r="U308" s="98">
        <v>3.3828585883912021</v>
      </c>
      <c r="V308" s="106">
        <v>26792.307115200227</v>
      </c>
      <c r="W308" s="10">
        <v>0.64247729317890023</v>
      </c>
      <c r="X308" s="413">
        <v>0.63319231564223488</v>
      </c>
      <c r="Y308" s="414">
        <v>0.27693756870731417</v>
      </c>
      <c r="Z308" s="1"/>
      <c r="AA308" s="1"/>
      <c r="AB308" s="1"/>
      <c r="AC308" s="1"/>
      <c r="AD308" s="1"/>
      <c r="AF308" s="176">
        <v>50952</v>
      </c>
      <c r="AG308" s="177">
        <v>2.5000000000000001E-3</v>
      </c>
      <c r="AH308" s="177">
        <v>2.4166666666666668E-3</v>
      </c>
      <c r="AI308" s="100">
        <v>50960</v>
      </c>
      <c r="AJ308" s="102">
        <v>50449.393811413203</v>
      </c>
      <c r="AL308" s="23"/>
      <c r="AM308" s="23"/>
      <c r="BL308" s="299"/>
    </row>
    <row r="309" spans="17:64">
      <c r="Q309" s="6">
        <v>279</v>
      </c>
      <c r="R309" s="7">
        <v>42946</v>
      </c>
      <c r="S309" s="210">
        <v>3</v>
      </c>
      <c r="T309" s="8">
        <v>1.0000833333333334</v>
      </c>
      <c r="U309" s="98">
        <v>3.3818012038173917</v>
      </c>
      <c r="V309" s="106">
        <v>26794.23261213259</v>
      </c>
      <c r="W309" s="10">
        <v>0.64167665532501861</v>
      </c>
      <c r="X309" s="413">
        <v>0.63240939484333947</v>
      </c>
      <c r="Y309" s="414">
        <v>0.27686401369525193</v>
      </c>
      <c r="Z309" s="1"/>
      <c r="AA309" s="1"/>
      <c r="AB309" s="1"/>
      <c r="AC309" s="1"/>
      <c r="AD309" s="1"/>
      <c r="AF309" s="176">
        <v>50983</v>
      </c>
      <c r="AG309" s="177">
        <v>2.5000000000000001E-3</v>
      </c>
      <c r="AH309" s="177">
        <v>2.4166666666666668E-3</v>
      </c>
      <c r="AI309" s="100">
        <v>50991</v>
      </c>
      <c r="AJ309" s="102">
        <v>50571.313179790792</v>
      </c>
      <c r="AL309" s="23"/>
      <c r="AM309" s="23"/>
      <c r="BL309" s="299"/>
    </row>
    <row r="310" spans="17:64">
      <c r="Q310" s="6">
        <v>280</v>
      </c>
      <c r="R310" s="7">
        <v>42947</v>
      </c>
      <c r="S310" s="210">
        <v>3</v>
      </c>
      <c r="T310" s="8">
        <v>1.0000833333333334</v>
      </c>
      <c r="U310" s="98">
        <v>3.3807513826897173</v>
      </c>
      <c r="V310" s="106">
        <v>26796.158247445666</v>
      </c>
      <c r="W310" s="10">
        <v>0.6408817426141411</v>
      </c>
      <c r="X310" s="413">
        <v>0.6316320833186515</v>
      </c>
      <c r="Y310" s="414">
        <v>0.27679106039033563</v>
      </c>
      <c r="Z310" s="1"/>
      <c r="AA310" s="1"/>
      <c r="AB310" s="1"/>
      <c r="AC310" s="1"/>
      <c r="AD310" s="1"/>
      <c r="AF310" s="176">
        <v>51014</v>
      </c>
      <c r="AG310" s="177">
        <v>2.5000000000000001E-3</v>
      </c>
      <c r="AH310" s="177">
        <v>2.4166666666666668E-3</v>
      </c>
      <c r="AI310" s="100">
        <v>51022</v>
      </c>
      <c r="AJ310" s="102">
        <v>50693.527186641957</v>
      </c>
      <c r="AL310" s="23"/>
      <c r="AM310" s="23"/>
      <c r="BL310" s="299"/>
    </row>
    <row r="311" spans="17:64">
      <c r="Q311" s="6">
        <v>281</v>
      </c>
      <c r="R311" s="7">
        <v>42948</v>
      </c>
      <c r="S311" s="210">
        <v>3</v>
      </c>
      <c r="T311" s="8">
        <v>1.0000833333333334</v>
      </c>
      <c r="U311" s="98">
        <v>3.3797090441457289</v>
      </c>
      <c r="V311" s="106">
        <v>26798.084021149389</v>
      </c>
      <c r="W311" s="10">
        <v>0.64009249385676981</v>
      </c>
      <c r="X311" s="413">
        <v>0.63086032118296531</v>
      </c>
      <c r="Y311" s="414">
        <v>0.27671870237498208</v>
      </c>
      <c r="Z311" s="1"/>
      <c r="AA311" s="1"/>
      <c r="AB311" s="1"/>
      <c r="AC311" s="1"/>
      <c r="AD311" s="1"/>
      <c r="AF311" s="176">
        <v>51044</v>
      </c>
      <c r="AG311" s="177">
        <v>2.5000000000000001E-3</v>
      </c>
      <c r="AH311" s="177">
        <v>2.4166666666666668E-3</v>
      </c>
      <c r="AI311" s="100">
        <v>51052</v>
      </c>
      <c r="AJ311" s="102">
        <v>50816.036544009679</v>
      </c>
      <c r="AL311" s="23"/>
      <c r="AM311" s="23"/>
      <c r="BL311" s="299"/>
    </row>
    <row r="312" spans="17:64">
      <c r="Q312" s="6">
        <v>282</v>
      </c>
      <c r="R312" s="7">
        <v>42949</v>
      </c>
      <c r="S312" s="210">
        <v>3</v>
      </c>
      <c r="T312" s="8">
        <v>1.0000833333333334</v>
      </c>
      <c r="U312" s="98">
        <v>3.3786741084715466</v>
      </c>
      <c r="V312" s="106">
        <v>26800.009933253717</v>
      </c>
      <c r="W312" s="10">
        <v>0.63930884873200089</v>
      </c>
      <c r="X312" s="413">
        <v>0.63009404940028479</v>
      </c>
      <c r="Y312" s="414">
        <v>0.27664693332264001</v>
      </c>
      <c r="Z312" s="1"/>
      <c r="AA312" s="1"/>
      <c r="AB312" s="1"/>
      <c r="AC312" s="1"/>
      <c r="AD312" s="1"/>
      <c r="AF312" s="176">
        <v>51075</v>
      </c>
      <c r="AG312" s="177">
        <v>2.5000000000000001E-3</v>
      </c>
      <c r="AH312" s="177">
        <v>2.4166666666666668E-3</v>
      </c>
      <c r="AI312" s="100">
        <v>51083</v>
      </c>
      <c r="AJ312" s="102">
        <v>50938.841965657703</v>
      </c>
      <c r="AL312" s="23"/>
      <c r="AM312" s="23"/>
      <c r="BL312" s="299"/>
    </row>
    <row r="313" spans="17:64">
      <c r="Q313" s="6">
        <v>283</v>
      </c>
      <c r="R313" s="7">
        <v>42950</v>
      </c>
      <c r="S313" s="210">
        <v>3</v>
      </c>
      <c r="T313" s="8">
        <v>1.0000833333333334</v>
      </c>
      <c r="U313" s="98">
        <v>3.3776464970815656</v>
      </c>
      <c r="V313" s="106">
        <v>26801.935983768592</v>
      </c>
      <c r="W313" s="10">
        <v>0.63853074777275864</v>
      </c>
      <c r="X313" s="413">
        <v>0.6293332097692419</v>
      </c>
      <c r="Y313" s="414">
        <v>0.2765757469961771</v>
      </c>
      <c r="Z313" s="1"/>
      <c r="AA313" s="1"/>
      <c r="AB313" s="1"/>
      <c r="AC313" s="1"/>
      <c r="AD313" s="1"/>
      <c r="AF313" s="176">
        <v>51105</v>
      </c>
      <c r="AG313" s="177">
        <v>2.5000000000000001E-3</v>
      </c>
      <c r="AH313" s="177">
        <v>2.4166666666666668E-3</v>
      </c>
      <c r="AI313" s="100">
        <v>51113</v>
      </c>
      <c r="AJ313" s="102">
        <v>51061.944167074711</v>
      </c>
      <c r="AL313" s="23"/>
      <c r="AM313" s="23"/>
      <c r="BL313" s="299"/>
    </row>
    <row r="314" spans="17:64">
      <c r="Q314" s="6">
        <v>284</v>
      </c>
      <c r="R314" s="7">
        <v>42951</v>
      </c>
      <c r="S314" s="210">
        <v>3</v>
      </c>
      <c r="T314" s="8">
        <v>1.0000833333333334</v>
      </c>
      <c r="U314" s="98">
        <v>3.3766261324985836</v>
      </c>
      <c r="V314" s="106">
        <v>26803.862172703957</v>
      </c>
      <c r="W314" s="10">
        <v>0.63775813235027456</v>
      </c>
      <c r="X314" s="413">
        <v>0.62857774490815033</v>
      </c>
      <c r="Y314" s="414">
        <v>0.27650513724630787</v>
      </c>
      <c r="Z314" s="1"/>
      <c r="AA314" s="1"/>
      <c r="AB314" s="1"/>
      <c r="AC314" s="1"/>
      <c r="AD314" s="1"/>
      <c r="AF314" s="176">
        <v>51136</v>
      </c>
      <c r="AG314" s="177">
        <v>2.5000000000000001E-3</v>
      </c>
      <c r="AH314" s="177">
        <v>2.4166666666666668E-3</v>
      </c>
      <c r="AI314" s="100">
        <v>51144</v>
      </c>
      <c r="AJ314" s="102">
        <v>51185.343865478477</v>
      </c>
      <c r="AL314" s="23"/>
      <c r="AM314" s="23"/>
      <c r="BL314" s="299"/>
    </row>
    <row r="315" spans="17:64">
      <c r="Q315" s="6">
        <v>285</v>
      </c>
      <c r="R315" s="7">
        <v>42952</v>
      </c>
      <c r="S315" s="210">
        <v>3</v>
      </c>
      <c r="T315" s="8">
        <v>1.0000833333333334</v>
      </c>
      <c r="U315" s="98">
        <v>3.375612938334327</v>
      </c>
      <c r="V315" s="106">
        <v>26805.788500069761</v>
      </c>
      <c r="W315" s="10">
        <v>0.63699094465958783</v>
      </c>
      <c r="X315" s="413">
        <v>0.62782759824068046</v>
      </c>
      <c r="Y315" s="414">
        <v>0.27643509801005745</v>
      </c>
      <c r="Z315" s="1"/>
      <c r="AA315" s="1"/>
      <c r="AB315" s="1"/>
      <c r="AC315" s="1"/>
      <c r="AD315" s="1"/>
      <c r="AF315" s="176">
        <v>51167</v>
      </c>
      <c r="AG315" s="177">
        <v>2.5000000000000001E-3</v>
      </c>
      <c r="AH315" s="177">
        <v>2.4166666666666668E-3</v>
      </c>
      <c r="AI315" s="100">
        <v>51175</v>
      </c>
      <c r="AJ315" s="102">
        <v>51309.041779820051</v>
      </c>
      <c r="AL315" s="23"/>
      <c r="AM315" s="23"/>
      <c r="BL315" s="299"/>
    </row>
    <row r="316" spans="17:64">
      <c r="Q316" s="6">
        <v>286</v>
      </c>
      <c r="R316" s="7">
        <v>42953</v>
      </c>
      <c r="S316" s="210">
        <v>3</v>
      </c>
      <c r="T316" s="8">
        <v>1.0000833333333334</v>
      </c>
      <c r="U316" s="98">
        <v>3.3746068392703332</v>
      </c>
      <c r="V316" s="106">
        <v>26807.714965875955</v>
      </c>
      <c r="W316" s="10">
        <v>0.63622912770506801</v>
      </c>
      <c r="X316" s="413">
        <v>0.62708271398178039</v>
      </c>
      <c r="Y316" s="414">
        <v>0.27636562330924519</v>
      </c>
      <c r="Z316" s="1"/>
      <c r="AA316" s="1"/>
      <c r="AB316" s="1"/>
      <c r="AC316" s="1"/>
      <c r="AD316" s="1"/>
      <c r="AF316" s="176">
        <v>51196</v>
      </c>
      <c r="AG316" s="177">
        <v>2.5000000000000001E-3</v>
      </c>
      <c r="AH316" s="177">
        <v>2.4166666666666668E-3</v>
      </c>
      <c r="AI316" s="100">
        <v>51204</v>
      </c>
      <c r="AJ316" s="102">
        <v>51433.038630787953</v>
      </c>
      <c r="AL316" s="23"/>
      <c r="AM316" s="23"/>
      <c r="BL316" s="299"/>
    </row>
    <row r="317" spans="17:64">
      <c r="Q317" s="6">
        <v>287</v>
      </c>
      <c r="R317" s="7">
        <v>42954</v>
      </c>
      <c r="S317" s="210">
        <v>3</v>
      </c>
      <c r="T317" s="8">
        <v>1.0000833333333334</v>
      </c>
      <c r="U317" s="98">
        <v>3.3736077610393655</v>
      </c>
      <c r="V317" s="106">
        <v>26809.641570132488</v>
      </c>
      <c r="W317" s="10">
        <v>0.6354726252862708</v>
      </c>
      <c r="X317" s="413">
        <v>0.62634303712386186</v>
      </c>
      <c r="Y317" s="414">
        <v>0.27629670724901262</v>
      </c>
      <c r="Z317" s="1"/>
      <c r="AA317" s="1"/>
      <c r="AB317" s="1"/>
      <c r="AC317" s="1"/>
      <c r="AD317" s="1"/>
      <c r="AF317" s="176">
        <v>51227</v>
      </c>
      <c r="AG317" s="177">
        <v>2.5000000000000001E-3</v>
      </c>
      <c r="AH317" s="177">
        <v>2.4166666666666668E-3</v>
      </c>
      <c r="AI317" s="100">
        <v>51235</v>
      </c>
      <c r="AJ317" s="102">
        <v>51557.335140812364</v>
      </c>
      <c r="AL317" s="23"/>
      <c r="AM317" s="23"/>
      <c r="BL317" s="299"/>
    </row>
    <row r="318" spans="17:64">
      <c r="Q318" s="6">
        <v>288</v>
      </c>
      <c r="R318" s="7">
        <v>42955</v>
      </c>
      <c r="S318" s="210">
        <v>3</v>
      </c>
      <c r="T318" s="8">
        <v>1.0000833333333334</v>
      </c>
      <c r="U318" s="98">
        <v>3.3726156304070276</v>
      </c>
      <c r="V318" s="106">
        <v>26811.568312849307</v>
      </c>
      <c r="W318" s="10">
        <v>0.63472138198419348</v>
      </c>
      <c r="X318" s="413">
        <v>0.62560851342338686</v>
      </c>
      <c r="Y318" s="414">
        <v>0.27622834401637197</v>
      </c>
      <c r="Z318" s="1"/>
      <c r="AA318" s="1"/>
      <c r="AB318" s="1"/>
      <c r="AC318" s="1"/>
      <c r="AD318" s="1"/>
      <c r="AF318" s="176">
        <v>51257</v>
      </c>
      <c r="AG318" s="177">
        <v>2.5000000000000001E-3</v>
      </c>
      <c r="AH318" s="177">
        <v>2.4166666666666668E-3</v>
      </c>
      <c r="AI318" s="100">
        <v>51265</v>
      </c>
      <c r="AJ318" s="102">
        <v>51681.93203406933</v>
      </c>
      <c r="AL318" s="23"/>
      <c r="AM318" s="23"/>
      <c r="BL318" s="299"/>
    </row>
    <row r="319" spans="17:64">
      <c r="Q319" s="6">
        <v>289</v>
      </c>
      <c r="R319" s="7">
        <v>42956</v>
      </c>
      <c r="S319" s="210">
        <v>3</v>
      </c>
      <c r="T319" s="8">
        <v>1.0000833333333334</v>
      </c>
      <c r="U319" s="98">
        <v>3.3716303751540222</v>
      </c>
      <c r="V319" s="106">
        <v>26813.495194036375</v>
      </c>
      <c r="W319" s="10">
        <v>0.63397534314759696</v>
      </c>
      <c r="X319" s="413">
        <v>0.62487908938748216</v>
      </c>
      <c r="Y319" s="414">
        <v>0.27616052787879419</v>
      </c>
      <c r="Z319" s="1"/>
      <c r="AA319" s="1"/>
      <c r="AB319" s="1"/>
      <c r="AC319" s="1"/>
      <c r="AD319" s="1"/>
      <c r="AF319" s="176">
        <v>51288</v>
      </c>
      <c r="AG319" s="177">
        <v>2.5000000000000001E-3</v>
      </c>
      <c r="AH319" s="177">
        <v>2.4166666666666668E-3</v>
      </c>
      <c r="AI319" s="100">
        <v>51296</v>
      </c>
      <c r="AJ319" s="102">
        <v>51806.830036485</v>
      </c>
      <c r="AL319" s="23"/>
      <c r="AM319" s="23"/>
      <c r="BL319" s="299"/>
    </row>
    <row r="320" spans="17:64">
      <c r="Q320" s="6">
        <v>290</v>
      </c>
      <c r="R320" s="7">
        <v>42957</v>
      </c>
      <c r="S320" s="210">
        <v>3</v>
      </c>
      <c r="T320" s="8">
        <v>1.0000833333333334</v>
      </c>
      <c r="U320" s="98">
        <v>3.3706519240584765</v>
      </c>
      <c r="V320" s="106">
        <v>26815.021775318095</v>
      </c>
      <c r="W320" s="10">
        <v>0.63512590409269265</v>
      </c>
      <c r="X320" s="413">
        <v>0.62601782945771112</v>
      </c>
      <c r="Y320" s="414">
        <v>0.27609325318282207</v>
      </c>
      <c r="Z320" s="1"/>
      <c r="AA320" s="1"/>
      <c r="AB320" s="1"/>
      <c r="AC320" s="1"/>
      <c r="AD320" s="1"/>
      <c r="AF320" s="176">
        <v>51318</v>
      </c>
      <c r="AG320" s="177">
        <v>2.5000000000000001E-3</v>
      </c>
      <c r="AH320" s="177">
        <v>2.4166666666666668E-3</v>
      </c>
      <c r="AI320" s="100">
        <v>51326</v>
      </c>
      <c r="AJ320" s="102">
        <v>51932.029875739841</v>
      </c>
      <c r="AL320" s="23"/>
      <c r="AM320" s="23"/>
      <c r="BL320" s="299"/>
    </row>
    <row r="321" spans="17:64">
      <c r="Q321" s="6">
        <v>291</v>
      </c>
      <c r="R321" s="7">
        <v>42958</v>
      </c>
      <c r="S321" s="210">
        <v>3</v>
      </c>
      <c r="T321" s="8">
        <v>1.0000833333333334</v>
      </c>
      <c r="U321" s="98">
        <v>3.3696802068788667</v>
      </c>
      <c r="V321" s="106">
        <v>26816.548443513151</v>
      </c>
      <c r="W321" s="10">
        <v>0.63626857042167195</v>
      </c>
      <c r="X321" s="413">
        <v>0.62714882978032072</v>
      </c>
      <c r="Y321" s="414">
        <v>0.27602651435270442</v>
      </c>
      <c r="Z321" s="1"/>
      <c r="AA321" s="1"/>
      <c r="AB321" s="1"/>
      <c r="AC321" s="1"/>
      <c r="AD321" s="1"/>
      <c r="AF321" s="176">
        <v>51349</v>
      </c>
      <c r="AG321" s="177">
        <v>2.5000000000000001E-3</v>
      </c>
      <c r="AH321" s="177">
        <v>2.4166666666666668E-3</v>
      </c>
      <c r="AI321" s="100">
        <v>51357</v>
      </c>
      <c r="AJ321" s="102">
        <v>52057.532281272885</v>
      </c>
      <c r="AL321" s="23"/>
      <c r="AM321" s="23"/>
      <c r="BL321" s="299"/>
    </row>
    <row r="322" spans="17:64">
      <c r="Q322" s="6">
        <v>292</v>
      </c>
      <c r="R322" s="7">
        <v>42959</v>
      </c>
      <c r="S322" s="210">
        <v>3</v>
      </c>
      <c r="T322" s="8">
        <v>1.0000833333333334</v>
      </c>
      <c r="U322" s="98">
        <v>3.3687151543372096</v>
      </c>
      <c r="V322" s="106">
        <v>26818.075198626502</v>
      </c>
      <c r="W322" s="10">
        <v>0.63740342311038312</v>
      </c>
      <c r="X322" s="413">
        <v>0.62827216987551071</v>
      </c>
      <c r="Y322" s="414">
        <v>0.27596030588907711</v>
      </c>
      <c r="Z322" s="1"/>
      <c r="AA322" s="1"/>
      <c r="AB322" s="1"/>
      <c r="AC322" s="1"/>
      <c r="AD322" s="1"/>
      <c r="AF322" s="176">
        <v>51380</v>
      </c>
      <c r="AG322" s="177">
        <v>2.5000000000000001E-3</v>
      </c>
      <c r="AH322" s="177">
        <v>2.4166666666666668E-3</v>
      </c>
      <c r="AI322" s="100">
        <v>51388</v>
      </c>
      <c r="AJ322" s="102">
        <v>52183.337984285965</v>
      </c>
      <c r="AL322" s="23"/>
      <c r="AM322" s="23"/>
      <c r="BL322" s="299"/>
    </row>
    <row r="323" spans="17:64">
      <c r="Q323" s="6">
        <v>293</v>
      </c>
      <c r="R323" s="7">
        <v>42960</v>
      </c>
      <c r="S323" s="210">
        <v>3</v>
      </c>
      <c r="T323" s="8">
        <v>1.0000833333333334</v>
      </c>
      <c r="U323" s="98">
        <v>3.3677566981025642</v>
      </c>
      <c r="V323" s="106">
        <v>26819.602040663081</v>
      </c>
      <c r="W323" s="10">
        <v>0.6385305420311127</v>
      </c>
      <c r="X323" s="413">
        <v>0.62938792817796263</v>
      </c>
      <c r="Y323" s="414">
        <v>0.27589462236764817</v>
      </c>
      <c r="Z323" s="1"/>
      <c r="AA323" s="1"/>
      <c r="AB323" s="1"/>
      <c r="AC323" s="1"/>
      <c r="AD323" s="1"/>
      <c r="AF323" s="176">
        <v>51410</v>
      </c>
      <c r="AG323" s="177">
        <v>2.5000000000000001E-3</v>
      </c>
      <c r="AH323" s="177">
        <v>2.4166666666666668E-3</v>
      </c>
      <c r="AI323" s="100">
        <v>51418</v>
      </c>
      <c r="AJ323" s="102">
        <v>52309.447717747993</v>
      </c>
      <c r="AL323" s="23"/>
      <c r="AM323" s="23"/>
      <c r="BL323" s="299"/>
    </row>
    <row r="324" spans="17:64">
      <c r="Q324" s="6">
        <v>294</v>
      </c>
      <c r="R324" s="7">
        <v>42961</v>
      </c>
      <c r="S324" s="210">
        <v>3</v>
      </c>
      <c r="T324" s="8">
        <v>1.0000833333333334</v>
      </c>
      <c r="U324" s="98">
        <v>3.3668047707748672</v>
      </c>
      <c r="V324" s="106">
        <v>26821.128969627851</v>
      </c>
      <c r="W324" s="10">
        <v>0.63965000597117072</v>
      </c>
      <c r="X324" s="413">
        <v>0.63049618205513824</v>
      </c>
      <c r="Y324" s="414">
        <v>0.27582945843792772</v>
      </c>
      <c r="Z324" s="1"/>
      <c r="AA324" s="1"/>
      <c r="AB324" s="1"/>
      <c r="AC324" s="1"/>
      <c r="AD324" s="1"/>
      <c r="AF324" s="176">
        <v>51441</v>
      </c>
      <c r="AG324" s="177">
        <v>2.5000000000000001E-3</v>
      </c>
      <c r="AH324" s="177">
        <v>2.4166666666666668E-3</v>
      </c>
      <c r="AI324" s="100">
        <v>51449</v>
      </c>
      <c r="AJ324" s="102">
        <v>52435.862216399219</v>
      </c>
      <c r="AL324" s="23"/>
      <c r="AM324" s="23"/>
      <c r="BL324" s="299"/>
    </row>
    <row r="325" spans="17:64">
      <c r="Q325" s="6">
        <v>295</v>
      </c>
      <c r="R325" s="7">
        <v>42962</v>
      </c>
      <c r="S325" s="210">
        <v>3</v>
      </c>
      <c r="T325" s="8">
        <v>1.0000833333333334</v>
      </c>
      <c r="U325" s="98">
        <v>3.3658593058692121</v>
      </c>
      <c r="V325" s="106">
        <v>26822.655985525755</v>
      </c>
      <c r="W325" s="10">
        <v>0.64076189265132033</v>
      </c>
      <c r="X325" s="413">
        <v>0.63159700782547556</v>
      </c>
      <c r="Y325" s="414">
        <v>0.2757648088219749</v>
      </c>
      <c r="Z325" s="1"/>
      <c r="AA325" s="1"/>
      <c r="AB325" s="1"/>
      <c r="AC325" s="1"/>
      <c r="AD325" s="1"/>
      <c r="AF325" s="176">
        <v>51471</v>
      </c>
      <c r="AG325" s="177">
        <v>2.5000000000000001E-3</v>
      </c>
      <c r="AH325" s="177">
        <v>2.4166666666666668E-3</v>
      </c>
      <c r="AI325" s="100">
        <v>51479</v>
      </c>
      <c r="AJ325" s="102">
        <v>52562.582216755523</v>
      </c>
      <c r="AL325" s="23"/>
      <c r="AM325" s="23"/>
    </row>
    <row r="326" spans="17:64">
      <c r="Q326" s="6">
        <v>296</v>
      </c>
      <c r="R326" s="7">
        <v>42963</v>
      </c>
      <c r="S326" s="210">
        <v>3</v>
      </c>
      <c r="T326" s="8">
        <v>1.0000833333333334</v>
      </c>
      <c r="U326" s="98">
        <v>3.3649202378004173</v>
      </c>
      <c r="V326" s="106">
        <v>26824.183088361737</v>
      </c>
      <c r="W326" s="10">
        <v>0.64186627874378566</v>
      </c>
      <c r="X326" s="413">
        <v>0.63269048077613699</v>
      </c>
      <c r="Y326" s="414">
        <v>0.27570066831317469</v>
      </c>
      <c r="Z326" s="1"/>
      <c r="AA326" s="1"/>
      <c r="AB326" s="1"/>
      <c r="AC326" s="1"/>
      <c r="AD326" s="1"/>
      <c r="AL326" s="23"/>
      <c r="AM326" s="23"/>
    </row>
    <row r="327" spans="17:64">
      <c r="Q327" s="6">
        <v>297</v>
      </c>
      <c r="R327" s="7">
        <v>42964</v>
      </c>
      <c r="S327" s="210">
        <v>3</v>
      </c>
      <c r="T327" s="8">
        <v>1.0000833333333334</v>
      </c>
      <c r="U327" s="98">
        <v>3.3639875018676602</v>
      </c>
      <c r="V327" s="106">
        <v>26825.710278140756</v>
      </c>
      <c r="W327" s="10">
        <v>0.6429632398897267</v>
      </c>
      <c r="X327" s="413">
        <v>0.63377667518023506</v>
      </c>
      <c r="Y327" s="414">
        <v>0.27563703177503462</v>
      </c>
      <c r="Z327" s="1"/>
      <c r="AA327" s="1"/>
      <c r="AB327" s="1"/>
      <c r="AC327" s="1"/>
      <c r="AD327" s="1"/>
      <c r="AL327" s="23"/>
      <c r="AM327" s="23"/>
    </row>
    <row r="328" spans="17:64">
      <c r="Q328" s="6">
        <v>298</v>
      </c>
      <c r="R328" s="7">
        <v>42965</v>
      </c>
      <c r="S328" s="210">
        <v>3</v>
      </c>
      <c r="T328" s="8">
        <v>1.0000833333333334</v>
      </c>
      <c r="U328" s="98">
        <v>3.3630610342398226</v>
      </c>
      <c r="V328" s="106">
        <v>26827.237554867759</v>
      </c>
      <c r="W328" s="10">
        <v>0.64405285071673646</v>
      </c>
      <c r="X328" s="413">
        <v>0.6348556643139549</v>
      </c>
      <c r="Y328" s="414">
        <v>0.27557389414000649</v>
      </c>
      <c r="Z328" s="1"/>
      <c r="AA328" s="1"/>
      <c r="AB328" s="1"/>
      <c r="AC328" s="1"/>
      <c r="AD328" s="1"/>
      <c r="AL328" s="23"/>
      <c r="AM328" s="23"/>
    </row>
    <row r="329" spans="17:64">
      <c r="Q329" s="6">
        <v>299</v>
      </c>
      <c r="R329" s="7">
        <v>42966</v>
      </c>
      <c r="S329" s="210">
        <v>3</v>
      </c>
      <c r="T329" s="8">
        <v>1.0000833333333334</v>
      </c>
      <c r="U329" s="98">
        <v>3.3621407719407914</v>
      </c>
      <c r="V329" s="106">
        <v>26828.764918547691</v>
      </c>
      <c r="W329" s="10">
        <v>0.64513518485560528</v>
      </c>
      <c r="X329" s="413">
        <v>0.63592752047325174</v>
      </c>
      <c r="Y329" s="414">
        <v>0.27551125040833968</v>
      </c>
      <c r="Z329" s="1"/>
      <c r="AA329" s="1"/>
      <c r="AB329" s="1"/>
      <c r="AC329" s="1"/>
      <c r="AD329" s="1"/>
      <c r="AL329" s="23"/>
      <c r="AM329" s="23"/>
    </row>
    <row r="330" spans="17:64">
      <c r="Q330" s="6">
        <v>300</v>
      </c>
      <c r="R330" s="7">
        <v>42967</v>
      </c>
      <c r="S330" s="210">
        <v>3</v>
      </c>
      <c r="T330" s="8">
        <v>1.0000833333333334</v>
      </c>
      <c r="U330" s="98">
        <v>3.3612266528352919</v>
      </c>
      <c r="V330" s="106">
        <v>26830.292369185514</v>
      </c>
      <c r="W330" s="10">
        <v>0.64621031495688541</v>
      </c>
      <c r="X330" s="413">
        <v>0.63699231499002806</v>
      </c>
      <c r="Y330" s="414">
        <v>0.27544909564694464</v>
      </c>
      <c r="Z330" s="1"/>
      <c r="AA330" s="1"/>
      <c r="AB330" s="1"/>
      <c r="AC330" s="1"/>
      <c r="AD330" s="1"/>
      <c r="AL330" s="23"/>
      <c r="AM330" s="23"/>
    </row>
    <row r="331" spans="17:64">
      <c r="Q331" s="6">
        <v>301</v>
      </c>
      <c r="R331" s="7">
        <v>42968</v>
      </c>
      <c r="S331" s="210">
        <v>3</v>
      </c>
      <c r="T331" s="8">
        <v>1.0000833333333334</v>
      </c>
      <c r="U331" s="98">
        <v>3.3603186156148102</v>
      </c>
      <c r="V331" s="106">
        <v>26831.819906786168</v>
      </c>
      <c r="W331" s="10">
        <v>0.64727831270732228</v>
      </c>
      <c r="X331" s="413">
        <v>0.63805011824836033</v>
      </c>
      <c r="Y331" s="414">
        <v>0.275387424988288</v>
      </c>
      <c r="Z331" s="1"/>
      <c r="AA331" s="1"/>
      <c r="AB331" s="1"/>
      <c r="AC331" s="1"/>
      <c r="AD331" s="1"/>
      <c r="AL331" s="23"/>
      <c r="AM331" s="23"/>
    </row>
    <row r="332" spans="17:64">
      <c r="Q332" s="6">
        <v>302</v>
      </c>
      <c r="R332" s="7">
        <v>42969</v>
      </c>
      <c r="S332" s="210">
        <v>3</v>
      </c>
      <c r="T332" s="8">
        <v>1.0000833333333334</v>
      </c>
      <c r="U332" s="98">
        <v>3.3594165997840042</v>
      </c>
      <c r="V332" s="106">
        <v>26833.347531354608</v>
      </c>
      <c r="W332" s="10">
        <v>0.64833924884557526</v>
      </c>
      <c r="X332" s="413">
        <v>0.63910099970000622</v>
      </c>
      <c r="Y332" s="414">
        <v>0.27532623362931119</v>
      </c>
      <c r="Z332" s="1"/>
      <c r="AA332" s="1"/>
      <c r="AB332" s="1"/>
      <c r="AC332" s="1"/>
      <c r="AD332" s="1"/>
      <c r="AL332" s="23"/>
      <c r="AM332" s="23"/>
    </row>
    <row r="333" spans="17:64">
      <c r="Q333" s="6">
        <v>303</v>
      </c>
      <c r="R333" s="7">
        <v>42970</v>
      </c>
      <c r="S333" s="210">
        <v>3</v>
      </c>
      <c r="T333" s="8">
        <v>1.0000833333333334</v>
      </c>
      <c r="U333" s="98">
        <v>3.3585205456470923</v>
      </c>
      <c r="V333" s="106">
        <v>26834.875242895785</v>
      </c>
      <c r="W333" s="10">
        <v>0.64939319317802724</v>
      </c>
      <c r="X333" s="413">
        <v>0.64014502787992134</v>
      </c>
      <c r="Y333" s="414">
        <v>0.27526551683035827</v>
      </c>
      <c r="Z333" s="1"/>
      <c r="AA333" s="1"/>
      <c r="AB333" s="1"/>
      <c r="AC333" s="1"/>
      <c r="AD333" s="1"/>
      <c r="AL333" s="23"/>
      <c r="AM333" s="23"/>
    </row>
    <row r="334" spans="17:64">
      <c r="Q334" s="6">
        <v>304</v>
      </c>
      <c r="R334" s="7">
        <v>42971</v>
      </c>
      <c r="S334" s="210">
        <v>3</v>
      </c>
      <c r="T334" s="8">
        <v>1.0000833333333334</v>
      </c>
      <c r="U334" s="98">
        <v>3.3576303942948638</v>
      </c>
      <c r="V334" s="106">
        <v>26836.403041414651</v>
      </c>
      <c r="W334" s="10">
        <v>0.65044021459392809</v>
      </c>
      <c r="X334" s="413">
        <v>0.64118227042125886</v>
      </c>
      <c r="Y334" s="414">
        <v>0.27520526991414135</v>
      </c>
      <c r="Z334" s="1"/>
      <c r="AA334" s="1"/>
      <c r="AB334" s="1"/>
      <c r="AC334" s="1"/>
      <c r="AD334" s="1"/>
      <c r="AL334" s="23"/>
      <c r="AM334" s="23"/>
    </row>
    <row r="335" spans="17:64">
      <c r="Q335" s="6">
        <v>305</v>
      </c>
      <c r="R335" s="7">
        <v>42972</v>
      </c>
      <c r="S335" s="210">
        <v>3</v>
      </c>
      <c r="T335" s="8">
        <v>1.0000833333333334</v>
      </c>
      <c r="U335" s="98">
        <v>3.3567460875916666</v>
      </c>
      <c r="V335" s="106">
        <v>26837.930926916153</v>
      </c>
      <c r="W335" s="10">
        <v>0.65148038108058248</v>
      </c>
      <c r="X335" s="413">
        <v>0.6422127940702328</v>
      </c>
      <c r="Y335" s="414">
        <v>0.27514548826471186</v>
      </c>
      <c r="Z335" s="1"/>
      <c r="AA335" s="1"/>
      <c r="AB335" s="1"/>
      <c r="AC335" s="1"/>
      <c r="AD335" s="1"/>
      <c r="AL335" s="23"/>
      <c r="AM335" s="23"/>
    </row>
    <row r="336" spans="17:64">
      <c r="Q336" s="6">
        <v>306</v>
      </c>
      <c r="R336" s="7">
        <v>42973</v>
      </c>
      <c r="S336" s="210">
        <v>3</v>
      </c>
      <c r="T336" s="8">
        <v>1.0000833333333334</v>
      </c>
      <c r="U336" s="98">
        <v>3.3558675681627737</v>
      </c>
      <c r="V336" s="106">
        <v>26839.458899405257</v>
      </c>
      <c r="W336" s="10">
        <v>0.65251375973778281</v>
      </c>
      <c r="X336" s="413">
        <v>0.64323666470042662</v>
      </c>
      <c r="Y336" s="414">
        <v>0.27508616732646274</v>
      </c>
      <c r="Z336" s="1"/>
      <c r="AA336" s="1"/>
      <c r="AB336" s="1"/>
      <c r="AC336" s="1"/>
      <c r="AD336" s="1"/>
      <c r="AL336" s="23"/>
      <c r="AM336" s="23"/>
    </row>
    <row r="337" spans="17:39">
      <c r="Q337" s="6">
        <v>307</v>
      </c>
      <c r="R337" s="7">
        <v>42974</v>
      </c>
      <c r="S337" s="210">
        <v>3</v>
      </c>
      <c r="T337" s="8">
        <v>1.0000833333333334</v>
      </c>
      <c r="U337" s="98">
        <v>3.3549947793819923</v>
      </c>
      <c r="V337" s="106">
        <v>26840.986958886904</v>
      </c>
      <c r="W337" s="10">
        <v>0.65354041679266395</v>
      </c>
      <c r="X337" s="413">
        <v>0.64425394732729258</v>
      </c>
      <c r="Y337" s="414">
        <v>0.27502730260314312</v>
      </c>
      <c r="Z337" s="1"/>
      <c r="AA337" s="1"/>
      <c r="AB337" s="1"/>
      <c r="AC337" s="1"/>
      <c r="AD337" s="1"/>
      <c r="AL337" s="23"/>
      <c r="AM337" s="23"/>
    </row>
    <row r="338" spans="17:39">
      <c r="Q338" s="6">
        <v>308</v>
      </c>
      <c r="R338" s="7">
        <v>42975</v>
      </c>
      <c r="S338" s="210">
        <v>3</v>
      </c>
      <c r="T338" s="8">
        <v>1.0000833333333334</v>
      </c>
      <c r="U338" s="98">
        <v>3.3541276653594521</v>
      </c>
      <c r="V338" s="106">
        <v>26842.515105366045</v>
      </c>
      <c r="W338" s="10">
        <v>0.65456041761347006</v>
      </c>
      <c r="X338" s="413">
        <v>0.64526470612187414</v>
      </c>
      <c r="Y338" s="414">
        <v>0.27496888965689531</v>
      </c>
      <c r="Z338" s="1"/>
      <c r="AA338" s="1"/>
      <c r="AB338" s="1"/>
      <c r="AC338" s="1"/>
      <c r="AD338" s="1"/>
      <c r="AL338" s="23"/>
      <c r="AM338" s="23"/>
    </row>
    <row r="339" spans="17:39">
      <c r="Q339" s="6">
        <v>309</v>
      </c>
      <c r="R339" s="7">
        <v>42976</v>
      </c>
      <c r="S339" s="210">
        <v>3</v>
      </c>
      <c r="T339" s="8">
        <v>1.0000833333333334</v>
      </c>
      <c r="U339" s="98">
        <v>3.3532661709297251</v>
      </c>
      <c r="V339" s="106">
        <v>26844.043338847641</v>
      </c>
      <c r="W339" s="10">
        <v>0.65557382672345454</v>
      </c>
      <c r="X339" s="413">
        <v>0.64626900442439261</v>
      </c>
      <c r="Y339" s="414">
        <v>0.27491092410730938</v>
      </c>
      <c r="Z339" s="1"/>
      <c r="AA339" s="1"/>
      <c r="AB339" s="1"/>
      <c r="AC339" s="1"/>
      <c r="AD339" s="1"/>
      <c r="AL339" s="23"/>
      <c r="AM339" s="23"/>
    </row>
    <row r="340" spans="17:39">
      <c r="Q340" s="6">
        <v>310</v>
      </c>
      <c r="R340" s="7">
        <v>42977</v>
      </c>
      <c r="S340" s="210">
        <v>3</v>
      </c>
      <c r="T340" s="8">
        <v>1.0000833333333334</v>
      </c>
      <c r="U340" s="98">
        <v>3.3524102416401025</v>
      </c>
      <c r="V340" s="106">
        <v>26845.571659336638</v>
      </c>
      <c r="W340" s="10">
        <v>0.65658070781486888</v>
      </c>
      <c r="X340" s="413">
        <v>0.64726690475800808</v>
      </c>
      <c r="Y340" s="414">
        <v>0.27485340163049909</v>
      </c>
      <c r="Z340" s="1"/>
      <c r="AA340" s="1"/>
      <c r="AB340" s="1"/>
      <c r="AC340" s="1"/>
      <c r="AD340" s="1"/>
      <c r="AL340" s="23"/>
      <c r="AM340" s="23"/>
    </row>
    <row r="341" spans="17:39">
      <c r="Q341" s="6">
        <v>311</v>
      </c>
      <c r="R341" s="7">
        <v>42978</v>
      </c>
      <c r="S341" s="210">
        <v>3</v>
      </c>
      <c r="T341" s="8">
        <v>1.0000833333333334</v>
      </c>
      <c r="U341" s="98">
        <v>3.3515598237391364</v>
      </c>
      <c r="V341" s="106">
        <v>26847.100066838</v>
      </c>
      <c r="W341" s="10">
        <v>0.65758112376181899</v>
      </c>
      <c r="X341" s="413">
        <v>0.6482584688415185</v>
      </c>
      <c r="Y341" s="414">
        <v>0.27479631795819082</v>
      </c>
      <c r="Z341" s="1"/>
      <c r="AA341" s="1"/>
      <c r="AB341" s="1"/>
      <c r="AC341" s="1"/>
      <c r="AD341" s="1"/>
      <c r="AL341" s="23"/>
      <c r="AM341" s="23"/>
    </row>
    <row r="342" spans="17:39">
      <c r="Q342" s="6">
        <v>312</v>
      </c>
      <c r="R342" s="7">
        <v>42979</v>
      </c>
      <c r="S342" s="210">
        <v>3</v>
      </c>
      <c r="T342" s="8">
        <v>1.0000833333333334</v>
      </c>
      <c r="U342" s="98">
        <v>3.3507148641653606</v>
      </c>
      <c r="V342" s="106">
        <v>26848.628561356669</v>
      </c>
      <c r="W342" s="10">
        <v>0.65857513663367673</v>
      </c>
      <c r="X342" s="413">
        <v>0.64924375760260911</v>
      </c>
      <c r="Y342" s="414">
        <v>0.27473966887683243</v>
      </c>
      <c r="Z342" s="1"/>
      <c r="AA342" s="1"/>
      <c r="AB342" s="1"/>
      <c r="AC342" s="1"/>
      <c r="AD342" s="1"/>
      <c r="AL342" s="23"/>
      <c r="AM342" s="23"/>
    </row>
    <row r="343" spans="17:39">
      <c r="Q343" s="6">
        <v>313</v>
      </c>
      <c r="R343" s="7">
        <v>42980</v>
      </c>
      <c r="S343" s="210">
        <v>3</v>
      </c>
      <c r="T343" s="8">
        <v>1.0000833333333334</v>
      </c>
      <c r="U343" s="98">
        <v>3.3498753105362544</v>
      </c>
      <c r="V343" s="106">
        <v>26850.157142897606</v>
      </c>
      <c r="W343" s="10">
        <v>0.65956280770775866</v>
      </c>
      <c r="X343" s="413">
        <v>0.65022283119020863</v>
      </c>
      <c r="Y343" s="414">
        <v>0.27468345022671914</v>
      </c>
      <c r="Z343" s="1"/>
      <c r="AA343" s="1"/>
      <c r="AB343" s="1"/>
      <c r="AC343" s="1"/>
      <c r="AD343" s="1"/>
      <c r="AL343" s="23"/>
      <c r="AM343" s="23"/>
    </row>
    <row r="344" spans="17:39">
      <c r="Q344" s="6">
        <v>314</v>
      </c>
      <c r="R344" s="7">
        <v>42981</v>
      </c>
      <c r="S344" s="210">
        <v>3</v>
      </c>
      <c r="T344" s="8">
        <v>1.0000833333333334</v>
      </c>
      <c r="U344" s="98">
        <v>3.3490411111374296</v>
      </c>
      <c r="V344" s="106">
        <v>26851.685811465759</v>
      </c>
      <c r="W344" s="10">
        <v>0.66054419748200477</v>
      </c>
      <c r="X344" s="413">
        <v>0.65119574898709431</v>
      </c>
      <c r="Y344" s="414">
        <v>0.27462765790113597</v>
      </c>
      <c r="Z344" s="1"/>
      <c r="AA344" s="1"/>
      <c r="AB344" s="1"/>
      <c r="AC344" s="1"/>
      <c r="AD344" s="1"/>
      <c r="AL344" s="23"/>
      <c r="AM344" s="23"/>
    </row>
    <row r="345" spans="17:39">
      <c r="Q345" s="6">
        <v>315</v>
      </c>
      <c r="R345" s="7">
        <v>42982</v>
      </c>
      <c r="S345" s="210">
        <v>3</v>
      </c>
      <c r="T345" s="8">
        <v>1.0000833333333334</v>
      </c>
      <c r="U345" s="98">
        <v>3.3482122149121052</v>
      </c>
      <c r="V345" s="106">
        <v>26853.214567066094</v>
      </c>
      <c r="W345" s="10">
        <v>0.66151936568727976</v>
      </c>
      <c r="X345" s="413">
        <v>0.65216256962197561</v>
      </c>
      <c r="Y345" s="414">
        <v>0.27457228784552085</v>
      </c>
      <c r="Z345" s="1"/>
      <c r="AA345" s="1"/>
      <c r="AB345" s="1"/>
      <c r="AC345" s="1"/>
      <c r="AD345" s="1"/>
      <c r="AL345" s="23"/>
      <c r="AM345" s="23"/>
    </row>
    <row r="346" spans="17:39">
      <c r="Q346" s="6">
        <v>316</v>
      </c>
      <c r="R346" s="7">
        <v>42983</v>
      </c>
      <c r="S346" s="210">
        <v>3</v>
      </c>
      <c r="T346" s="8">
        <v>1.0000833333333334</v>
      </c>
      <c r="U346" s="98">
        <v>3.3473885714504492</v>
      </c>
      <c r="V346" s="106">
        <v>26854.743409703558</v>
      </c>
      <c r="W346" s="10">
        <v>0.66248837129954108</v>
      </c>
      <c r="X346" s="413">
        <v>0.65312335098140162</v>
      </c>
      <c r="Y346" s="414">
        <v>0.27451733605663137</v>
      </c>
      <c r="Z346" s="1"/>
      <c r="AA346" s="1"/>
      <c r="AB346" s="1"/>
      <c r="AC346" s="1"/>
      <c r="AD346" s="1"/>
      <c r="AL346" s="23"/>
      <c r="AM346" s="23"/>
    </row>
    <row r="347" spans="17:39">
      <c r="Q347" s="6">
        <v>317</v>
      </c>
      <c r="R347" s="7">
        <v>42984</v>
      </c>
      <c r="S347" s="210">
        <v>3</v>
      </c>
      <c r="T347" s="8">
        <v>1.0000833333333334</v>
      </c>
      <c r="U347" s="98">
        <v>3.3465701309796314</v>
      </c>
      <c r="V347" s="106">
        <v>26856.272339383104</v>
      </c>
      <c r="W347" s="10">
        <v>0.6634512725516295</v>
      </c>
      <c r="X347" s="413">
        <v>0.65407815022149185</v>
      </c>
      <c r="Y347" s="414">
        <v>0.27446279858174089</v>
      </c>
      <c r="Z347" s="1"/>
      <c r="AA347" s="1"/>
      <c r="AB347" s="1"/>
      <c r="AC347" s="1"/>
      <c r="AD347" s="1"/>
      <c r="AL347" s="23"/>
      <c r="AM347" s="23"/>
    </row>
    <row r="348" spans="17:39">
      <c r="Q348" s="6">
        <v>318</v>
      </c>
      <c r="R348" s="7">
        <v>42985</v>
      </c>
      <c r="S348" s="210">
        <v>3</v>
      </c>
      <c r="T348" s="8">
        <v>1.0000833333333334</v>
      </c>
      <c r="U348" s="98">
        <v>3.3457568443536534</v>
      </c>
      <c r="V348" s="106">
        <v>26857.8013561097</v>
      </c>
      <c r="W348" s="10">
        <v>0.66440812694503748</v>
      </c>
      <c r="X348" s="413">
        <v>0.65502702377942068</v>
      </c>
      <c r="Y348" s="414">
        <v>0.27440867151784509</v>
      </c>
      <c r="Z348" s="1"/>
      <c r="AA348" s="1"/>
      <c r="AB348" s="1"/>
      <c r="AC348" s="1"/>
      <c r="AD348" s="1"/>
      <c r="AL348" s="23"/>
      <c r="AM348" s="23"/>
    </row>
    <row r="349" spans="17:39">
      <c r="Q349" s="6">
        <v>319</v>
      </c>
      <c r="R349" s="7">
        <v>42986</v>
      </c>
      <c r="S349" s="210">
        <v>3</v>
      </c>
      <c r="T349" s="8">
        <v>1.0000833333333334</v>
      </c>
      <c r="U349" s="98">
        <v>3.3449486630434455</v>
      </c>
      <c r="V349" s="106">
        <v>26859.33045988829</v>
      </c>
      <c r="W349" s="10">
        <v>0.66535899126134446</v>
      </c>
      <c r="X349" s="413">
        <v>0.65597002738471133</v>
      </c>
      <c r="Y349" s="414">
        <v>0.27435495101087787</v>
      </c>
      <c r="Z349" s="1"/>
      <c r="AA349" s="1"/>
      <c r="AB349" s="1"/>
      <c r="AC349" s="1"/>
      <c r="AD349" s="1"/>
      <c r="AL349" s="23"/>
      <c r="AM349" s="23"/>
    </row>
    <row r="350" spans="17:39">
      <c r="Q350" s="6">
        <v>320</v>
      </c>
      <c r="R350" s="7">
        <v>42987</v>
      </c>
      <c r="S350" s="210">
        <v>3</v>
      </c>
      <c r="T350" s="8">
        <v>1.0000833333333334</v>
      </c>
      <c r="U350" s="98">
        <v>3.3441455391274522</v>
      </c>
      <c r="V350" s="106">
        <v>26860.859650723829</v>
      </c>
      <c r="W350" s="10">
        <v>0.6663039215734301</v>
      </c>
      <c r="X350" s="413">
        <v>0.65690721607029323</v>
      </c>
      <c r="Y350" s="414">
        <v>0.27430163325495305</v>
      </c>
      <c r="Z350" s="1"/>
      <c r="AA350" s="1"/>
      <c r="AB350" s="1"/>
      <c r="AC350" s="1"/>
      <c r="AD350" s="1"/>
      <c r="AL350" s="23"/>
      <c r="AM350" s="23"/>
    </row>
    <row r="351" spans="17:39">
      <c r="Q351" s="6">
        <v>321</v>
      </c>
      <c r="R351" s="7">
        <v>42988</v>
      </c>
      <c r="S351" s="210">
        <v>3</v>
      </c>
      <c r="T351" s="8">
        <v>1.0000833333333334</v>
      </c>
      <c r="U351" s="98">
        <v>3.3433474252818618</v>
      </c>
      <c r="V351" s="106">
        <v>26862.802999270261</v>
      </c>
      <c r="W351" s="10">
        <v>0.66547856668082161</v>
      </c>
      <c r="X351" s="413">
        <v>0.65609980027075598</v>
      </c>
      <c r="Y351" s="414">
        <v>0.27424871449160587</v>
      </c>
      <c r="Z351" s="1"/>
      <c r="AA351" s="1"/>
      <c r="AB351" s="1"/>
      <c r="AC351" s="1"/>
      <c r="AD351" s="1"/>
      <c r="AL351" s="23"/>
      <c r="AM351" s="23"/>
    </row>
    <row r="352" spans="17:39">
      <c r="Q352" s="6">
        <v>322</v>
      </c>
      <c r="R352" s="7">
        <v>42989</v>
      </c>
      <c r="S352" s="210">
        <v>3</v>
      </c>
      <c r="T352" s="8">
        <v>1.0000833333333334</v>
      </c>
      <c r="U352" s="98">
        <v>3.3425542747715697</v>
      </c>
      <c r="V352" s="106">
        <v>26864.746488415458</v>
      </c>
      <c r="W352" s="10">
        <v>0.66465834492019926</v>
      </c>
      <c r="X352" s="413">
        <v>0.65529741304314615</v>
      </c>
      <c r="Y352" s="414">
        <v>0.2741961910090645</v>
      </c>
      <c r="Z352" s="1"/>
      <c r="AA352" s="1"/>
      <c r="AB352" s="1"/>
      <c r="AC352" s="1"/>
      <c r="AD352" s="1"/>
      <c r="AL352" s="23"/>
      <c r="AM352" s="23"/>
    </row>
    <row r="353" spans="17:39">
      <c r="Q353" s="6">
        <v>323</v>
      </c>
      <c r="R353" s="7">
        <v>42990</v>
      </c>
      <c r="S353" s="210">
        <v>3</v>
      </c>
      <c r="T353" s="8">
        <v>1.0000833333333334</v>
      </c>
      <c r="U353" s="98">
        <v>3.3417660414408967</v>
      </c>
      <c r="V353" s="106">
        <v>26866.690118169579</v>
      </c>
      <c r="W353" s="10">
        <v>0.66384320855334966</v>
      </c>
      <c r="X353" s="413">
        <v>0.65450000768263428</v>
      </c>
      <c r="Y353" s="414">
        <v>0.27414405914152151</v>
      </c>
      <c r="Z353" s="1"/>
      <c r="AA353" s="1"/>
      <c r="AB353" s="1"/>
      <c r="AC353" s="1"/>
      <c r="AD353" s="1"/>
      <c r="AL353" s="23"/>
      <c r="AM353" s="23"/>
    </row>
    <row r="354" spans="17:39">
      <c r="Q354" s="6">
        <v>324</v>
      </c>
      <c r="R354" s="7">
        <v>42991</v>
      </c>
      <c r="S354" s="210">
        <v>3</v>
      </c>
      <c r="T354" s="8">
        <v>1.0000833333333334</v>
      </c>
      <c r="U354" s="98">
        <v>3.3409826797046405</v>
      </c>
      <c r="V354" s="106">
        <v>26868.633888542809</v>
      </c>
      <c r="W354" s="10">
        <v>0.66303311043205415</v>
      </c>
      <c r="X354" s="413">
        <v>0.65370753806094484</v>
      </c>
      <c r="Y354" s="414">
        <v>0.27409231526842603</v>
      </c>
      <c r="Z354" s="1"/>
      <c r="AA354" s="1"/>
      <c r="AB354" s="1"/>
      <c r="AC354" s="1"/>
      <c r="AD354" s="1"/>
      <c r="AL354" s="23"/>
      <c r="AM354" s="23"/>
    </row>
    <row r="355" spans="17:39">
      <c r="Q355" s="6">
        <v>325</v>
      </c>
      <c r="R355" s="7">
        <v>42992</v>
      </c>
      <c r="S355" s="210">
        <v>3</v>
      </c>
      <c r="T355" s="8">
        <v>1.0000833333333334</v>
      </c>
      <c r="U355" s="98">
        <v>3.3402041445394159</v>
      </c>
      <c r="V355" s="106">
        <v>26870.577799545325</v>
      </c>
      <c r="W355" s="10">
        <v>0.6622280039891848</v>
      </c>
      <c r="X355" s="413">
        <v>0.65291995861751018</v>
      </c>
      <c r="Y355" s="414">
        <v>0.27404095581379218</v>
      </c>
      <c r="Z355" s="1"/>
      <c r="AA355" s="1"/>
      <c r="AB355" s="1"/>
      <c r="AC355" s="1"/>
      <c r="AD355" s="1"/>
      <c r="AL355" s="23"/>
      <c r="AM355" s="23"/>
    </row>
    <row r="356" spans="17:39">
      <c r="Q356" s="6">
        <v>326</v>
      </c>
      <c r="R356" s="7">
        <v>42993</v>
      </c>
      <c r="S356" s="210">
        <v>3</v>
      </c>
      <c r="T356" s="8">
        <v>1.0000833333333334</v>
      </c>
      <c r="U356" s="98">
        <v>3.3394303914748846</v>
      </c>
      <c r="V356" s="106">
        <v>26872.521851187288</v>
      </c>
      <c r="W356" s="10">
        <v>0.66142784322982262</v>
      </c>
      <c r="X356" s="413">
        <v>0.65213722435093502</v>
      </c>
      <c r="Y356" s="414">
        <v>0.27398997724550916</v>
      </c>
      <c r="Z356" s="1"/>
      <c r="AA356" s="1"/>
      <c r="AB356" s="1"/>
      <c r="AC356" s="1"/>
      <c r="AD356" s="1"/>
      <c r="AL356" s="23"/>
      <c r="AM356" s="23"/>
    </row>
    <row r="357" spans="17:39">
      <c r="Q357" s="6">
        <v>327</v>
      </c>
      <c r="R357" s="7">
        <v>42994</v>
      </c>
      <c r="S357" s="210">
        <v>3</v>
      </c>
      <c r="T357" s="8">
        <v>1.0000833333333334</v>
      </c>
      <c r="U357" s="98">
        <v>3.3386613765854056</v>
      </c>
      <c r="V357" s="106">
        <v>26874.466043478875</v>
      </c>
      <c r="W357" s="10">
        <v>0.66063258272226477</v>
      </c>
      <c r="X357" s="413">
        <v>0.65135929081015342</v>
      </c>
      <c r="Y357" s="414">
        <v>0.27393937607467223</v>
      </c>
      <c r="Z357" s="1"/>
      <c r="AA357" s="1"/>
      <c r="AB357" s="1"/>
      <c r="AC357" s="1"/>
      <c r="AD357" s="1"/>
      <c r="AL357" s="23"/>
      <c r="AM357" s="23"/>
    </row>
    <row r="358" spans="17:39">
      <c r="Q358" s="6">
        <v>328</v>
      </c>
      <c r="R358" s="7">
        <v>42995</v>
      </c>
      <c r="S358" s="210">
        <v>3</v>
      </c>
      <c r="T358" s="8">
        <v>1.0000833333333334</v>
      </c>
      <c r="U358" s="98">
        <v>3.3378970564815758</v>
      </c>
      <c r="V358" s="106">
        <v>26876.410376430278</v>
      </c>
      <c r="W358" s="10">
        <v>0.65984217758960906</v>
      </c>
      <c r="X358" s="413">
        <v>0.6505861140862097</v>
      </c>
      <c r="Y358" s="414">
        <v>0.27388914885492643</v>
      </c>
      <c r="Z358" s="1"/>
      <c r="AA358" s="1"/>
      <c r="AB358" s="1"/>
      <c r="AC358" s="1"/>
      <c r="AD358" s="1"/>
      <c r="AL358" s="23"/>
      <c r="AM358" s="23"/>
    </row>
    <row r="359" spans="17:39">
      <c r="Q359" s="6">
        <v>329</v>
      </c>
      <c r="R359" s="7">
        <v>42996</v>
      </c>
      <c r="S359" s="210">
        <v>3</v>
      </c>
      <c r="T359" s="8">
        <v>1.0000833333333334</v>
      </c>
      <c r="U359" s="98">
        <v>3.3371373883022581</v>
      </c>
      <c r="V359" s="106">
        <v>26878.354850051652</v>
      </c>
      <c r="W359" s="10">
        <v>0.65905658350133844</v>
      </c>
      <c r="X359" s="413">
        <v>0.64981765080409315</v>
      </c>
      <c r="Y359" s="414">
        <v>0.27383929218181774</v>
      </c>
      <c r="Z359" s="1"/>
      <c r="AA359" s="1"/>
      <c r="AB359" s="1"/>
      <c r="AC359" s="1"/>
      <c r="AD359" s="1"/>
      <c r="AL359" s="23"/>
      <c r="AM359" s="23"/>
    </row>
    <row r="360" spans="17:39">
      <c r="Q360" s="6">
        <v>330</v>
      </c>
      <c r="R360" s="7">
        <v>42997</v>
      </c>
      <c r="S360" s="210">
        <v>3</v>
      </c>
      <c r="T360" s="8">
        <v>1.0000833333333334</v>
      </c>
      <c r="U360" s="98">
        <v>3.3363823297063888</v>
      </c>
      <c r="V360" s="106">
        <v>26880.299464353186</v>
      </c>
      <c r="W360" s="10">
        <v>0.65827575666483895</v>
      </c>
      <c r="X360" s="413">
        <v>0.6490538581144053</v>
      </c>
      <c r="Y360" s="414">
        <v>0.27378980269215825</v>
      </c>
      <c r="Z360" s="1"/>
      <c r="AA360" s="1"/>
      <c r="AB360" s="1"/>
      <c r="AC360" s="1"/>
      <c r="AD360" s="1"/>
      <c r="AL360" s="23"/>
      <c r="AM360" s="23"/>
    </row>
    <row r="361" spans="17:39">
      <c r="Q361" s="6">
        <v>331</v>
      </c>
      <c r="R361" s="7">
        <v>42998</v>
      </c>
      <c r="S361" s="210">
        <v>3</v>
      </c>
      <c r="T361" s="8">
        <v>1.0000833333333334</v>
      </c>
      <c r="U361" s="98">
        <v>3.3356318388652273</v>
      </c>
      <c r="V361" s="106">
        <v>26882.244219345059</v>
      </c>
      <c r="W361" s="10">
        <v>0.65749965381747266</v>
      </c>
      <c r="X361" s="413">
        <v>0.64829469368566151</v>
      </c>
      <c r="Y361" s="414">
        <v>0.27374067706340283</v>
      </c>
      <c r="Z361" s="1"/>
      <c r="AA361" s="1"/>
      <c r="AB361" s="1"/>
      <c r="AC361" s="1"/>
      <c r="AD361" s="1"/>
      <c r="AL361" s="23"/>
      <c r="AM361" s="23"/>
    </row>
    <row r="362" spans="17:39">
      <c r="Q362" s="6">
        <v>332</v>
      </c>
      <c r="R362" s="7">
        <v>42999</v>
      </c>
      <c r="S362" s="210">
        <v>3</v>
      </c>
      <c r="T362" s="8">
        <v>1.0000833333333334</v>
      </c>
      <c r="U362" s="98">
        <v>3.3348858744545851</v>
      </c>
      <c r="V362" s="106">
        <v>26884.189115037443</v>
      </c>
      <c r="W362" s="10">
        <v>0.6567282322184731</v>
      </c>
      <c r="X362" s="413">
        <v>0.64754011569639558</v>
      </c>
      <c r="Y362" s="414">
        <v>0.273691912013039</v>
      </c>
      <c r="Z362" s="1"/>
      <c r="AA362" s="1"/>
      <c r="AB362" s="1"/>
      <c r="AC362" s="1"/>
      <c r="AD362" s="1"/>
      <c r="AL362" s="23"/>
      <c r="AM362" s="23"/>
    </row>
    <row r="363" spans="17:39">
      <c r="Q363" s="6">
        <v>333</v>
      </c>
      <c r="R363" s="7">
        <v>43000</v>
      </c>
      <c r="S363" s="210">
        <v>3</v>
      </c>
      <c r="T363" s="8">
        <v>1.0000833333333334</v>
      </c>
      <c r="U363" s="98">
        <v>3.334144395647276</v>
      </c>
      <c r="V363" s="106">
        <v>26886.134151440529</v>
      </c>
      <c r="W363" s="10">
        <v>0.65596144964110703</v>
      </c>
      <c r="X363" s="413">
        <v>0.64679008282742878</v>
      </c>
      <c r="Y363" s="414">
        <v>0.27364350429798184</v>
      </c>
      <c r="Z363" s="1"/>
      <c r="AA363" s="1"/>
      <c r="AB363" s="1"/>
      <c r="AC363" s="1"/>
      <c r="AD363" s="1"/>
      <c r="AL363" s="23"/>
      <c r="AM363" s="23"/>
    </row>
    <row r="364" spans="17:39">
      <c r="Q364" s="6">
        <v>334</v>
      </c>
      <c r="R364" s="7">
        <v>43001</v>
      </c>
      <c r="S364" s="210">
        <v>3</v>
      </c>
      <c r="T364" s="8">
        <v>1.0000833333333334</v>
      </c>
      <c r="U364" s="98">
        <v>3.3334073621056115</v>
      </c>
      <c r="V364" s="106">
        <v>26888.079328564487</v>
      </c>
      <c r="W364" s="10">
        <v>0.65519926436499176</v>
      </c>
      <c r="X364" s="413">
        <v>0.64604455425449492</v>
      </c>
      <c r="Y364" s="414">
        <v>0.27359545071398983</v>
      </c>
      <c r="Z364" s="1"/>
      <c r="AA364" s="1"/>
      <c r="AB364" s="1"/>
      <c r="AC364" s="1"/>
      <c r="AD364" s="1"/>
      <c r="AL364" s="23"/>
      <c r="AM364" s="23"/>
    </row>
    <row r="365" spans="17:39">
      <c r="Q365" s="6">
        <v>335</v>
      </c>
      <c r="R365" s="7">
        <v>43002</v>
      </c>
      <c r="S365" s="210">
        <v>3</v>
      </c>
      <c r="T365" s="8">
        <v>1.0000833333333334</v>
      </c>
      <c r="U365" s="98">
        <v>3.3326747339741392</v>
      </c>
      <c r="V365" s="106">
        <v>26890.024646419497</v>
      </c>
      <c r="W365" s="10">
        <v>0.6544416351686122</v>
      </c>
      <c r="X365" s="413">
        <v>0.64530348964080542</v>
      </c>
      <c r="Y365" s="414">
        <v>0.27354774809507892</v>
      </c>
      <c r="Z365" s="1"/>
      <c r="AA365" s="1"/>
      <c r="AB365" s="1"/>
      <c r="AC365" s="1"/>
      <c r="AD365" s="1"/>
      <c r="AL365" s="23"/>
      <c r="AM365" s="23"/>
    </row>
    <row r="366" spans="17:39">
      <c r="Q366" s="6">
        <v>336</v>
      </c>
      <c r="R366" s="7">
        <v>43003</v>
      </c>
      <c r="S366" s="210">
        <v>3</v>
      </c>
      <c r="T366" s="8">
        <v>1.0000833333333334</v>
      </c>
      <c r="U366" s="98">
        <v>3.3319464718723824</v>
      </c>
      <c r="V366" s="106">
        <v>26891.970105015746</v>
      </c>
      <c r="W366" s="10">
        <v>0.65368852132166033</v>
      </c>
      <c r="X366" s="413">
        <v>0.64456684912967643</v>
      </c>
      <c r="Y366" s="414">
        <v>0.27350039331295556</v>
      </c>
      <c r="Z366" s="1"/>
      <c r="AA366" s="1"/>
      <c r="AB366" s="1"/>
      <c r="AC366" s="1"/>
      <c r="AD366" s="1"/>
      <c r="AL366" s="23"/>
      <c r="AM366" s="23"/>
    </row>
    <row r="367" spans="17:39">
      <c r="Q367" s="6">
        <v>337</v>
      </c>
      <c r="R367" s="7">
        <v>43004</v>
      </c>
      <c r="S367" s="210">
        <v>3</v>
      </c>
      <c r="T367" s="8">
        <v>1.0000833333333334</v>
      </c>
      <c r="U367" s="98">
        <v>3.3312225368879123</v>
      </c>
      <c r="V367" s="106">
        <v>26893.915704363411</v>
      </c>
      <c r="W367" s="10">
        <v>0.65293988257792979</v>
      </c>
      <c r="X367" s="413">
        <v>0.64383459333752435</v>
      </c>
      <c r="Y367" s="414">
        <v>0.27345338327645702</v>
      </c>
      <c r="Z367" s="1"/>
      <c r="AA367" s="1"/>
      <c r="AB367" s="1"/>
      <c r="AC367" s="1"/>
      <c r="AD367" s="1"/>
      <c r="AL367" s="23"/>
      <c r="AM367" s="23"/>
    </row>
    <row r="368" spans="17:39">
      <c r="Q368" s="6">
        <v>338</v>
      </c>
      <c r="R368" s="7">
        <v>43005</v>
      </c>
      <c r="S368" s="210">
        <v>3</v>
      </c>
      <c r="T368" s="8">
        <v>1.0000833333333334</v>
      </c>
      <c r="U368" s="98">
        <v>3.3305028905693312</v>
      </c>
      <c r="V368" s="106">
        <v>26895.861444472688</v>
      </c>
      <c r="W368" s="10">
        <v>0.6521956791681216</v>
      </c>
      <c r="X368" s="413">
        <v>0.6431066833468907</v>
      </c>
      <c r="Y368" s="414">
        <v>0.2734067149310066</v>
      </c>
      <c r="Z368" s="1"/>
      <c r="AA368" s="1"/>
      <c r="AB368" s="1"/>
      <c r="AC368" s="1"/>
      <c r="AD368" s="1"/>
      <c r="AL368" s="23"/>
      <c r="AM368" s="23"/>
    </row>
    <row r="369" spans="17:39">
      <c r="Q369" s="6">
        <v>339</v>
      </c>
      <c r="R369" s="7">
        <v>43006</v>
      </c>
      <c r="S369" s="210">
        <v>3</v>
      </c>
      <c r="T369" s="8">
        <v>1.0000833333333334</v>
      </c>
      <c r="U369" s="98">
        <v>3.3297874949193895</v>
      </c>
      <c r="V369" s="106">
        <v>26897.807325353744</v>
      </c>
      <c r="W369" s="10">
        <v>0.65145587179278319</v>
      </c>
      <c r="X369" s="413">
        <v>0.64238308069951988</v>
      </c>
      <c r="Y369" s="414">
        <v>0.27336038525806561</v>
      </c>
      <c r="Z369" s="1"/>
      <c r="AA369" s="1"/>
      <c r="AB369" s="1"/>
      <c r="AC369" s="1"/>
      <c r="AD369" s="1"/>
      <c r="AL369" s="23"/>
      <c r="AM369" s="23"/>
    </row>
    <row r="370" spans="17:39">
      <c r="Q370" s="6">
        <v>340</v>
      </c>
      <c r="R370" s="7">
        <v>43007</v>
      </c>
      <c r="S370" s="210">
        <v>3</v>
      </c>
      <c r="T370" s="8">
        <v>1.0000833333333334</v>
      </c>
      <c r="U370" s="98">
        <v>3.3290763123885014</v>
      </c>
      <c r="V370" s="106">
        <v>26899.75334701678</v>
      </c>
      <c r="W370" s="10">
        <v>0.65072042161531396</v>
      </c>
      <c r="X370" s="413">
        <v>0.64166374738953602</v>
      </c>
      <c r="Y370" s="414">
        <v>0.27331439127461177</v>
      </c>
      <c r="Z370" s="1"/>
      <c r="AA370" s="1"/>
      <c r="AB370" s="1"/>
      <c r="AC370" s="1"/>
      <c r="AD370" s="1"/>
      <c r="AL370" s="23"/>
      <c r="AM370" s="23"/>
    </row>
    <row r="371" spans="17:39">
      <c r="Q371" s="6">
        <v>341</v>
      </c>
      <c r="R371" s="7">
        <v>43008</v>
      </c>
      <c r="S371" s="210">
        <v>3</v>
      </c>
      <c r="T371" s="8">
        <v>1.0000833333333334</v>
      </c>
      <c r="U371" s="98">
        <v>3.3283693058679953</v>
      </c>
      <c r="V371" s="106">
        <v>26901.699509471964</v>
      </c>
      <c r="W371" s="10">
        <v>0.64998929025532615</v>
      </c>
      <c r="X371" s="413">
        <v>0.64094864585699718</v>
      </c>
      <c r="Y371" s="414">
        <v>0.27326873003261387</v>
      </c>
      <c r="Z371" s="1"/>
      <c r="AA371" s="1"/>
      <c r="AB371" s="1"/>
      <c r="AC371" s="1"/>
      <c r="AD371" s="1"/>
      <c r="AL371" s="23"/>
      <c r="AM371" s="23"/>
    </row>
    <row r="372" spans="17:39">
      <c r="Q372" s="6">
        <v>342</v>
      </c>
      <c r="R372" s="7">
        <v>43009</v>
      </c>
      <c r="S372" s="210">
        <v>3</v>
      </c>
      <c r="T372" s="8">
        <v>1.0000833333333334</v>
      </c>
      <c r="U372" s="98">
        <v>3.3276664386837407</v>
      </c>
      <c r="V372" s="106">
        <v>26903.645812729501</v>
      </c>
      <c r="W372" s="10">
        <v>0.64926243978176146</v>
      </c>
      <c r="X372" s="413">
        <v>0.64023773898109526</v>
      </c>
      <c r="Y372" s="414">
        <v>0.27322339861851913</v>
      </c>
      <c r="Z372" s="1"/>
      <c r="AA372" s="1"/>
      <c r="AB372" s="1"/>
      <c r="AC372" s="1"/>
      <c r="AD372" s="1"/>
      <c r="AL372" s="23"/>
      <c r="AM372" s="23"/>
    </row>
    <row r="373" spans="17:39">
      <c r="Q373" s="6">
        <v>343</v>
      </c>
      <c r="R373" s="7">
        <v>43010</v>
      </c>
      <c r="S373" s="210">
        <v>3</v>
      </c>
      <c r="T373" s="8">
        <v>1.0000833333333334</v>
      </c>
      <c r="U373" s="98">
        <v>3.3269676745897536</v>
      </c>
      <c r="V373" s="106">
        <v>26905.592256799562</v>
      </c>
      <c r="W373" s="10">
        <v>0.6485398327066072</v>
      </c>
      <c r="X373" s="413">
        <v>0.63953099007410441</v>
      </c>
      <c r="Y373" s="414">
        <v>0.27317839415275363</v>
      </c>
      <c r="Z373" s="1"/>
      <c r="AA373" s="1"/>
      <c r="AB373" s="1"/>
      <c r="AC373" s="1"/>
      <c r="AD373" s="1"/>
      <c r="AL373" s="23"/>
      <c r="AM373" s="23"/>
    </row>
    <row r="374" spans="17:39">
      <c r="Q374" s="6">
        <v>344</v>
      </c>
      <c r="R374" s="7">
        <v>43011</v>
      </c>
      <c r="S374" s="210">
        <v>3</v>
      </c>
      <c r="T374" s="8">
        <v>1.0000833333333334</v>
      </c>
      <c r="U374" s="98">
        <v>3.3262729777620459</v>
      </c>
      <c r="V374" s="106">
        <v>26907.538841692338</v>
      </c>
      <c r="W374" s="10">
        <v>0.64782143197810171</v>
      </c>
      <c r="X374" s="413">
        <v>0.63882836287473754</v>
      </c>
      <c r="Y374" s="414">
        <v>0.27313371378922702</v>
      </c>
      <c r="Z374" s="1"/>
      <c r="AA374" s="1"/>
      <c r="AB374" s="1"/>
      <c r="AC374" s="1"/>
      <c r="AD374" s="1"/>
      <c r="AL374" s="23"/>
      <c r="AM374" s="23"/>
    </row>
    <row r="375" spans="17:39">
      <c r="Q375" s="6">
        <v>345</v>
      </c>
      <c r="R375" s="7">
        <v>43012</v>
      </c>
      <c r="S375" s="210">
        <v>3</v>
      </c>
      <c r="T375" s="8">
        <v>1.0000833333333334</v>
      </c>
      <c r="U375" s="98">
        <v>3.32558231279243</v>
      </c>
      <c r="V375" s="106">
        <v>26909.485567418022</v>
      </c>
      <c r="W375" s="10">
        <v>0.64710720097478358</v>
      </c>
      <c r="X375" s="413">
        <v>0.63812982154226738</v>
      </c>
      <c r="Y375" s="414">
        <v>0.27308935471484908</v>
      </c>
      <c r="Z375" s="1"/>
      <c r="AA375" s="1"/>
      <c r="AB375" s="1"/>
      <c r="AC375" s="1"/>
      <c r="AD375" s="1"/>
      <c r="AL375" s="23"/>
      <c r="AM375" s="23"/>
    </row>
    <row r="376" spans="17:39">
      <c r="Q376" s="6">
        <v>346</v>
      </c>
      <c r="R376" s="7">
        <v>43013</v>
      </c>
      <c r="S376" s="210">
        <v>3</v>
      </c>
      <c r="T376" s="8">
        <v>1.0000833333333334</v>
      </c>
      <c r="U376" s="98">
        <v>3.3248956446825462</v>
      </c>
      <c r="V376" s="106">
        <v>26911.432433986804</v>
      </c>
      <c r="W376" s="10">
        <v>0.6463971034989191</v>
      </c>
      <c r="X376" s="413">
        <v>0.63743533065017166</v>
      </c>
      <c r="Y376" s="414">
        <v>0.2730453141490507</v>
      </c>
      <c r="Z376" s="1"/>
      <c r="AA376" s="1"/>
      <c r="AB376" s="1"/>
      <c r="AC376" s="1"/>
      <c r="AD376" s="1"/>
      <c r="AL376" s="23"/>
      <c r="AM376" s="23"/>
    </row>
    <row r="377" spans="17:39">
      <c r="Q377" s="6">
        <v>347</v>
      </c>
      <c r="R377" s="7">
        <v>43014</v>
      </c>
      <c r="S377" s="210">
        <v>3</v>
      </c>
      <c r="T377" s="8">
        <v>1.0000833333333334</v>
      </c>
      <c r="U377" s="98">
        <v>3.3242129388379338</v>
      </c>
      <c r="V377" s="106">
        <v>26913.37944140887</v>
      </c>
      <c r="W377" s="10">
        <v>0.64569110377059591</v>
      </c>
      <c r="X377" s="413">
        <v>0.63674485518037194</v>
      </c>
      <c r="Y377" s="414">
        <v>0.27300158934331376</v>
      </c>
      <c r="Z377" s="1"/>
      <c r="AA377" s="1"/>
      <c r="AB377" s="1"/>
      <c r="AC377" s="1"/>
      <c r="AD377" s="1"/>
      <c r="AL377" s="23"/>
      <c r="AM377" s="23"/>
    </row>
    <row r="378" spans="17:39">
      <c r="Q378" s="6">
        <v>348</v>
      </c>
      <c r="R378" s="7">
        <v>43015</v>
      </c>
      <c r="S378" s="210">
        <v>3</v>
      </c>
      <c r="T378" s="8">
        <v>1.0000833333333334</v>
      </c>
      <c r="U378" s="98">
        <v>3.3235341610621916</v>
      </c>
      <c r="V378" s="106">
        <v>26915.32658969441</v>
      </c>
      <c r="W378" s="10">
        <v>0.64498916642172777</v>
      </c>
      <c r="X378" s="413">
        <v>0.63605836051734266</v>
      </c>
      <c r="Y378" s="414">
        <v>0.27295817758071389</v>
      </c>
      <c r="Z378" s="1"/>
      <c r="AA378" s="1"/>
      <c r="AB378" s="1"/>
      <c r="AC378" s="1"/>
      <c r="AD378" s="1"/>
      <c r="AL378" s="23"/>
      <c r="AM378" s="23"/>
    </row>
    <row r="379" spans="17:39">
      <c r="Q379" s="6">
        <v>349</v>
      </c>
      <c r="R379" s="7">
        <v>43016</v>
      </c>
      <c r="S379" s="210">
        <v>3</v>
      </c>
      <c r="T379" s="8">
        <v>1.0000833333333334</v>
      </c>
      <c r="U379" s="98">
        <v>3.3228592775513599</v>
      </c>
      <c r="V379" s="106">
        <v>26917.273878853612</v>
      </c>
      <c r="W379" s="10">
        <v>0.64429125649005936</v>
      </c>
      <c r="X379" s="413">
        <v>0.63537581244227481</v>
      </c>
      <c r="Y379" s="414">
        <v>0.27291507617546851</v>
      </c>
      <c r="Z379" s="1"/>
      <c r="AA379" s="1"/>
      <c r="AB379" s="1"/>
      <c r="AC379" s="1"/>
      <c r="AD379" s="1"/>
      <c r="AL379" s="23"/>
      <c r="AM379" s="23"/>
    </row>
    <row r="380" spans="17:39">
      <c r="Q380" s="6">
        <v>350</v>
      </c>
      <c r="R380" s="7">
        <v>43017</v>
      </c>
      <c r="S380" s="210">
        <v>3</v>
      </c>
      <c r="T380" s="8">
        <v>1.0000833333333334</v>
      </c>
      <c r="U380" s="98">
        <v>3.3221882548881698</v>
      </c>
      <c r="V380" s="106">
        <v>26919.221308896682</v>
      </c>
      <c r="W380" s="10">
        <v>0.64359733941323771</v>
      </c>
      <c r="X380" s="413">
        <v>0.63469717712729434</v>
      </c>
      <c r="Y380" s="414">
        <v>0.27287228247248752</v>
      </c>
      <c r="Z380" s="1"/>
      <c r="AA380" s="1"/>
      <c r="AB380" s="1"/>
      <c r="AC380" s="1"/>
      <c r="AD380" s="1"/>
      <c r="AL380" s="23"/>
      <c r="AM380" s="23"/>
    </row>
    <row r="381" spans="17:39">
      <c r="Q381" s="6">
        <v>351</v>
      </c>
      <c r="R381" s="7">
        <v>43018</v>
      </c>
      <c r="S381" s="210">
        <v>3</v>
      </c>
      <c r="T381" s="8">
        <v>1.0000833333333334</v>
      </c>
      <c r="U381" s="98">
        <v>3.3215210600366918</v>
      </c>
      <c r="V381" s="106">
        <v>26923.281417834103</v>
      </c>
      <c r="W381" s="10">
        <v>0.63469545966590157</v>
      </c>
      <c r="X381" s="413">
        <v>0.62592496981265322</v>
      </c>
      <c r="Y381" s="414">
        <v>0.27282979384694217</v>
      </c>
      <c r="Z381" s="1"/>
      <c r="AA381" s="1"/>
      <c r="AB381" s="1"/>
      <c r="AC381" s="1"/>
      <c r="AD381" s="1"/>
      <c r="AL381" s="23"/>
      <c r="AM381" s="23"/>
    </row>
    <row r="382" spans="17:39">
      <c r="Q382" s="6">
        <v>352</v>
      </c>
      <c r="R382" s="7">
        <v>43019</v>
      </c>
      <c r="S382" s="210">
        <v>3</v>
      </c>
      <c r="T382" s="8">
        <v>1.0000833333333334</v>
      </c>
      <c r="U382" s="98">
        <v>3.3208576603367401</v>
      </c>
      <c r="V382" s="106">
        <v>26927.342139140077</v>
      </c>
      <c r="W382" s="10">
        <v>0.62584493945028186</v>
      </c>
      <c r="X382" s="413">
        <v>0.61720307319240719</v>
      </c>
      <c r="Y382" s="414">
        <v>0.27278760770382765</v>
      </c>
      <c r="Z382" s="1"/>
      <c r="AA382" s="1"/>
      <c r="AB382" s="1"/>
      <c r="AC382" s="1"/>
      <c r="AD382" s="1"/>
      <c r="AL382" s="23"/>
      <c r="AM382" s="23"/>
    </row>
    <row r="383" spans="17:39">
      <c r="Q383" s="6">
        <v>353</v>
      </c>
      <c r="R383" s="7">
        <v>43020</v>
      </c>
      <c r="S383" s="210">
        <v>3</v>
      </c>
      <c r="T383" s="8">
        <v>1.0000833333333334</v>
      </c>
      <c r="U383" s="98">
        <v>3.3201980234987216</v>
      </c>
      <c r="V383" s="106">
        <v>26931.403472906961</v>
      </c>
      <c r="W383" s="10">
        <v>0.61704533559936436</v>
      </c>
      <c r="X383" s="413">
        <v>0.60853105966532617</v>
      </c>
      <c r="Y383" s="414">
        <v>0.27274572147754589</v>
      </c>
      <c r="Z383" s="1"/>
      <c r="AA383" s="1"/>
      <c r="AB383" s="1"/>
      <c r="AC383" s="1"/>
      <c r="AD383" s="1"/>
      <c r="AL383" s="23"/>
      <c r="AM383" s="23"/>
    </row>
    <row r="384" spans="17:39">
      <c r="Q384" s="6">
        <v>354</v>
      </c>
      <c r="R384" s="7">
        <v>43021</v>
      </c>
      <c r="S384" s="210">
        <v>3</v>
      </c>
      <c r="T384" s="8">
        <v>1.0000833333333334</v>
      </c>
      <c r="U384" s="98">
        <v>3.3195421175982176</v>
      </c>
      <c r="V384" s="106">
        <v>26935.465419227137</v>
      </c>
      <c r="W384" s="10">
        <v>0.60829621002986833</v>
      </c>
      <c r="X384" s="413">
        <v>0.59990850646196769</v>
      </c>
      <c r="Y384" s="414">
        <v>0.27270413263149079</v>
      </c>
      <c r="Z384" s="1"/>
      <c r="AA384" s="1"/>
      <c r="AB384" s="1"/>
      <c r="AC384" s="1"/>
      <c r="AD384" s="1"/>
      <c r="AL384" s="23"/>
      <c r="AM384" s="23"/>
    </row>
    <row r="385" spans="17:39">
      <c r="Q385" s="6">
        <v>355</v>
      </c>
      <c r="R385" s="7">
        <v>43022</v>
      </c>
      <c r="S385" s="210">
        <v>3</v>
      </c>
      <c r="T385" s="8">
        <v>1.0000833333333334</v>
      </c>
      <c r="U385" s="98">
        <v>3.3188899110709658</v>
      </c>
      <c r="V385" s="106">
        <v>26939.527978192986</v>
      </c>
      <c r="W385" s="10">
        <v>0.5995971296693714</v>
      </c>
      <c r="X385" s="413">
        <v>0.59133499557635361</v>
      </c>
      <c r="Y385" s="414">
        <v>0.27266283865763569</v>
      </c>
      <c r="Z385" s="1"/>
      <c r="AA385" s="1"/>
      <c r="AB385" s="1"/>
      <c r="AC385" s="1"/>
      <c r="AD385" s="1"/>
      <c r="AL385" s="23"/>
      <c r="AM385" s="23"/>
    </row>
    <row r="386" spans="17:39">
      <c r="Q386" s="6">
        <v>356</v>
      </c>
      <c r="R386" s="7">
        <v>43023</v>
      </c>
      <c r="S386" s="210">
        <v>3</v>
      </c>
      <c r="T386" s="8">
        <v>1.0000833333333334</v>
      </c>
      <c r="U386" s="98">
        <v>3.3182413727077753</v>
      </c>
      <c r="V386" s="106">
        <v>26943.591149896918</v>
      </c>
      <c r="W386" s="10">
        <v>0.59094766638496665</v>
      </c>
      <c r="X386" s="413">
        <v>0.58281011369929192</v>
      </c>
      <c r="Y386" s="414">
        <v>0.27262183707613602</v>
      </c>
      <c r="Z386" s="1"/>
      <c r="AA386" s="1"/>
      <c r="AB386" s="1"/>
      <c r="AC386" s="1"/>
      <c r="AD386" s="1"/>
      <c r="AL386" s="23"/>
      <c r="AM386" s="23"/>
    </row>
    <row r="387" spans="17:39">
      <c r="Q387" s="6">
        <v>357</v>
      </c>
      <c r="R387" s="7">
        <v>43024</v>
      </c>
      <c r="S387" s="210">
        <v>3</v>
      </c>
      <c r="T387" s="8">
        <v>1.0000833333333334</v>
      </c>
      <c r="U387" s="98">
        <v>3.3175964716494866</v>
      </c>
      <c r="V387" s="106">
        <v>26947.654934431346</v>
      </c>
      <c r="W387" s="10">
        <v>0.58234739691307436</v>
      </c>
      <c r="X387" s="413">
        <v>0.57433345215248366</v>
      </c>
      <c r="Y387" s="414">
        <v>0.27258112543493418</v>
      </c>
      <c r="Z387" s="1"/>
      <c r="AA387" s="1"/>
      <c r="AB387" s="1"/>
      <c r="AC387" s="1"/>
      <c r="AD387" s="1"/>
      <c r="AL387" s="23"/>
      <c r="AM387" s="23"/>
    </row>
    <row r="388" spans="17:39">
      <c r="Q388" s="168">
        <v>358</v>
      </c>
      <c r="R388" s="169">
        <v>43025</v>
      </c>
      <c r="S388" s="211">
        <v>3</v>
      </c>
      <c r="T388" s="170">
        <v>1.0000833333333334</v>
      </c>
      <c r="U388" s="171">
        <v>3.3169551773821304</v>
      </c>
      <c r="V388" s="172">
        <v>26951.719331888697</v>
      </c>
      <c r="W388" s="173">
        <v>0.57379590279027504</v>
      </c>
      <c r="X388" s="415">
        <v>0.56590460682384547</v>
      </c>
      <c r="Y388" s="414">
        <v>0.27254070130936647</v>
      </c>
      <c r="Z388" s="1"/>
      <c r="AA388" s="1"/>
      <c r="AB388" s="1"/>
      <c r="AC388" s="1"/>
      <c r="AD388" s="1"/>
      <c r="AL388" s="23"/>
      <c r="AM388" s="23"/>
    </row>
    <row r="389" spans="17:39">
      <c r="Q389" s="168">
        <v>359</v>
      </c>
      <c r="R389" s="169">
        <v>43026</v>
      </c>
      <c r="S389" s="211">
        <v>3</v>
      </c>
      <c r="T389" s="170">
        <v>1.0000833333333334</v>
      </c>
      <c r="U389" s="171">
        <v>3.3163174597321321</v>
      </c>
      <c r="V389" s="172">
        <v>26955.784342361425</v>
      </c>
      <c r="W389" s="173">
        <v>0.56529277028567471</v>
      </c>
      <c r="X389" s="415">
        <v>0.5575231781040022</v>
      </c>
      <c r="Y389" s="414">
        <v>0.27250056230179026</v>
      </c>
      <c r="Z389" s="1"/>
      <c r="AA389" s="1"/>
      <c r="AB389" s="1"/>
      <c r="AC389" s="1"/>
      <c r="AD389" s="1"/>
      <c r="AL389" s="23"/>
      <c r="AM389" s="23"/>
    </row>
    <row r="390" spans="17:39">
      <c r="Q390" s="168">
        <v>360</v>
      </c>
      <c r="R390" s="169">
        <v>43027</v>
      </c>
      <c r="S390" s="211">
        <v>3</v>
      </c>
      <c r="T390" s="170">
        <v>1.0000833333333334</v>
      </c>
      <c r="U390" s="171">
        <v>3.3156832888614929</v>
      </c>
      <c r="V390" s="172">
        <v>26959.849965941979</v>
      </c>
      <c r="W390" s="173">
        <v>0.556837590333914</v>
      </c>
      <c r="X390" s="415">
        <v>0.54918877082357209</v>
      </c>
      <c r="Y390" s="414">
        <v>0.27246070604119987</v>
      </c>
      <c r="Z390" s="1"/>
      <c r="AA390" s="1"/>
      <c r="AB390" s="1"/>
      <c r="AC390" s="1"/>
      <c r="AD390" s="1"/>
      <c r="AL390" s="23"/>
      <c r="AM390" s="23"/>
    </row>
    <row r="391" spans="17:39">
      <c r="Q391" s="168">
        <v>361</v>
      </c>
      <c r="R391" s="169">
        <v>43028</v>
      </c>
      <c r="S391" s="211">
        <v>3</v>
      </c>
      <c r="T391" s="170">
        <v>1.0000833333333334</v>
      </c>
      <c r="U391" s="171">
        <v>3.3150526352632159</v>
      </c>
      <c r="V391" s="172">
        <v>26963.916202722834</v>
      </c>
      <c r="W391" s="173">
        <v>0.54842995846995368</v>
      </c>
      <c r="X391" s="415">
        <v>0.54090099419193649</v>
      </c>
      <c r="Y391" s="414">
        <v>0.2724211301828629</v>
      </c>
      <c r="Z391" s="1"/>
      <c r="AA391" s="1"/>
      <c r="AB391" s="1"/>
      <c r="AC391" s="1"/>
      <c r="AD391" s="1"/>
      <c r="AL391" s="23"/>
      <c r="AM391" s="23"/>
    </row>
    <row r="392" spans="17:39">
      <c r="Q392" s="168">
        <v>362</v>
      </c>
      <c r="R392" s="169">
        <v>43029</v>
      </c>
      <c r="S392" s="211">
        <v>3</v>
      </c>
      <c r="T392" s="170">
        <v>1.0000833333333334</v>
      </c>
      <c r="U392" s="171">
        <v>3.3144254697567099</v>
      </c>
      <c r="V392" s="172">
        <v>26967.983052796473</v>
      </c>
      <c r="W392" s="173">
        <v>0.54006947476423761</v>
      </c>
      <c r="X392" s="415">
        <v>0.53265946173647238</v>
      </c>
      <c r="Y392" s="414">
        <v>0.27238183240795555</v>
      </c>
      <c r="Z392" s="1"/>
      <c r="AA392" s="1"/>
      <c r="AB392" s="1"/>
      <c r="AC392" s="1"/>
      <c r="AD392" s="1"/>
      <c r="AL392" s="23"/>
      <c r="AM392" s="23"/>
    </row>
    <row r="393" spans="17:39">
      <c r="Q393" s="168">
        <v>363</v>
      </c>
      <c r="R393" s="169">
        <v>43030</v>
      </c>
      <c r="S393" s="211">
        <v>3</v>
      </c>
      <c r="T393" s="170">
        <v>1.0000833333333334</v>
      </c>
      <c r="U393" s="171">
        <v>3.3138017634833039</v>
      </c>
      <c r="V393" s="172">
        <v>26972.050516255407</v>
      </c>
      <c r="W393" s="173">
        <v>0.53175574375949886</v>
      </c>
      <c r="X393" s="415">
        <v>0.52446379124327458</v>
      </c>
      <c r="Y393" s="414">
        <v>0.27234281042320763</v>
      </c>
      <c r="Z393" s="1"/>
      <c r="AA393" s="1"/>
      <c r="AB393" s="1"/>
      <c r="AC393" s="1"/>
      <c r="AD393" s="1"/>
      <c r="AL393" s="23"/>
      <c r="AM393" s="23"/>
    </row>
    <row r="394" spans="17:39">
      <c r="Q394" s="168">
        <v>364</v>
      </c>
      <c r="R394" s="169">
        <v>43031</v>
      </c>
      <c r="S394" s="211">
        <v>3</v>
      </c>
      <c r="T394" s="170">
        <v>1.0000833333333334</v>
      </c>
      <c r="U394" s="171">
        <v>3.3131814879017618</v>
      </c>
      <c r="V394" s="172">
        <v>26976.11859319215</v>
      </c>
      <c r="W394" s="173">
        <v>0.52348837440838736</v>
      </c>
      <c r="X394" s="415">
        <v>0.5163136046985467</v>
      </c>
      <c r="Y394" s="414">
        <v>0.27230406196054996</v>
      </c>
      <c r="Z394" s="1"/>
      <c r="AA394" s="1"/>
      <c r="AB394" s="1"/>
      <c r="AC394" s="1"/>
      <c r="AD394" s="1"/>
      <c r="AL394" s="23"/>
      <c r="AM394" s="23"/>
    </row>
    <row r="395" spans="17:39">
      <c r="Q395" s="168">
        <v>365</v>
      </c>
      <c r="R395" s="169">
        <v>43032</v>
      </c>
      <c r="S395" s="211">
        <v>3</v>
      </c>
      <c r="T395" s="170">
        <v>1.0000833333333334</v>
      </c>
      <c r="U395" s="171">
        <v>3.3125646147839971</v>
      </c>
      <c r="V395" s="172">
        <v>26980.187283699212</v>
      </c>
      <c r="W395" s="173">
        <v>0.51526698001223004</v>
      </c>
      <c r="X395" s="415">
        <v>0.50820852823124052</v>
      </c>
      <c r="Y395" s="414">
        <v>0.27226558477676693</v>
      </c>
      <c r="Z395" s="1"/>
      <c r="AA395" s="1"/>
      <c r="AB395" s="1"/>
      <c r="AC395" s="1"/>
      <c r="AD395" s="1"/>
      <c r="AL395" s="23"/>
      <c r="AM395" s="23"/>
    </row>
    <row r="396" spans="17:39">
      <c r="Q396" s="168">
        <v>366</v>
      </c>
      <c r="R396" s="169">
        <v>43033</v>
      </c>
      <c r="S396" s="211">
        <v>3</v>
      </c>
      <c r="T396" s="170">
        <v>1.0000833333333334</v>
      </c>
      <c r="U396" s="171">
        <v>3.3119511162107429</v>
      </c>
      <c r="V396" s="172">
        <v>26984.256587869153</v>
      </c>
      <c r="W396" s="173">
        <v>0.50709117816052363</v>
      </c>
      <c r="X396" s="415">
        <v>0.50014819205611227</v>
      </c>
      <c r="Y396" s="414">
        <v>0.27222737665316232</v>
      </c>
      <c r="Z396" s="1"/>
      <c r="AA396" s="1"/>
      <c r="AB396" s="1"/>
      <c r="AC396" s="1"/>
      <c r="AD396" s="1"/>
      <c r="AL396" s="23"/>
      <c r="AM396" s="23"/>
    </row>
    <row r="397" spans="17:39">
      <c r="Q397" s="6">
        <v>367</v>
      </c>
      <c r="R397" s="7">
        <v>43034</v>
      </c>
      <c r="S397" s="210">
        <v>3</v>
      </c>
      <c r="T397" s="8">
        <v>1.0000833333333334</v>
      </c>
      <c r="U397" s="98">
        <v>3.3113409645673553</v>
      </c>
      <c r="V397" s="106">
        <v>26988.326505794525</v>
      </c>
      <c r="W397" s="10">
        <v>0.49896059067204845</v>
      </c>
      <c r="X397" s="413">
        <v>0.4921322304184923</v>
      </c>
      <c r="Y397" s="414">
        <v>0.27218943539522056</v>
      </c>
      <c r="Z397" s="1"/>
      <c r="AA397" s="1"/>
      <c r="AB397" s="1"/>
      <c r="AC397" s="1"/>
      <c r="AD397" s="1"/>
      <c r="AL397" s="23"/>
      <c r="AM397" s="23"/>
    </row>
    <row r="398" spans="17:39">
      <c r="Q398" s="6">
        <v>368</v>
      </c>
      <c r="R398" s="7">
        <v>43035</v>
      </c>
      <c r="S398" s="210">
        <v>3</v>
      </c>
      <c r="T398" s="8">
        <v>1.0000833333333334</v>
      </c>
      <c r="U398" s="98">
        <v>3.3107341325396833</v>
      </c>
      <c r="V398" s="106">
        <v>26992.397037567891</v>
      </c>
      <c r="W398" s="10">
        <v>0.49087484353618205</v>
      </c>
      <c r="X398" s="413">
        <v>0.48416028153919693</v>
      </c>
      <c r="Y398" s="414">
        <v>0.2721517588322791</v>
      </c>
      <c r="Z398" s="1"/>
      <c r="AA398" s="1"/>
      <c r="AB398" s="1"/>
      <c r="AC398" s="1"/>
      <c r="AD398" s="1"/>
      <c r="AL398" s="23"/>
      <c r="AM398" s="23"/>
    </row>
    <row r="399" spans="17:39">
      <c r="Q399" s="6">
        <v>369</v>
      </c>
      <c r="R399" s="7">
        <v>43036</v>
      </c>
      <c r="S399" s="210">
        <v>3</v>
      </c>
      <c r="T399" s="8">
        <v>1.0000833333333334</v>
      </c>
      <c r="U399" s="98">
        <v>3.3101305931099834</v>
      </c>
      <c r="V399" s="106">
        <v>26996.468183281846</v>
      </c>
      <c r="W399" s="10">
        <v>0.48283356685574486</v>
      </c>
      <c r="X399" s="413">
        <v>0.47623198756072466</v>
      </c>
      <c r="Y399" s="414">
        <v>0.2721143448172077</v>
      </c>
      <c r="Z399" s="1"/>
      <c r="AA399" s="1"/>
      <c r="AB399" s="1"/>
      <c r="AC399" s="1"/>
      <c r="AD399" s="1"/>
      <c r="AL399" s="23"/>
      <c r="AM399" s="23"/>
    </row>
    <row r="400" spans="17:39">
      <c r="Q400" s="6">
        <v>370</v>
      </c>
      <c r="R400" s="7">
        <v>43037</v>
      </c>
      <c r="S400" s="210">
        <v>3</v>
      </c>
      <c r="T400" s="8">
        <v>1.0000833333333334</v>
      </c>
      <c r="U400" s="98">
        <v>3.3095303195529224</v>
      </c>
      <c r="V400" s="106">
        <v>27000.539943028973</v>
      </c>
      <c r="W400" s="10">
        <v>0.47483639479073414</v>
      </c>
      <c r="X400" s="413">
        <v>0.46834699449449813</v>
      </c>
      <c r="Y400" s="414">
        <v>0.27207719122608992</v>
      </c>
      <c r="Z400" s="1"/>
      <c r="AA400" s="1"/>
      <c r="AB400" s="1"/>
      <c r="AC400" s="1"/>
      <c r="AD400" s="1"/>
      <c r="AL400" s="23"/>
      <c r="AM400" s="23"/>
    </row>
    <row r="401" spans="17:39">
      <c r="Q401" s="6">
        <v>371</v>
      </c>
      <c r="R401" s="7">
        <v>43038</v>
      </c>
      <c r="S401" s="210">
        <v>3</v>
      </c>
      <c r="T401" s="8">
        <v>1.0000833333333334</v>
      </c>
      <c r="U401" s="98">
        <v>3.3089332854315812</v>
      </c>
      <c r="V401" s="106">
        <v>27004.612316901901</v>
      </c>
      <c r="W401" s="10">
        <v>0.46688296550252417</v>
      </c>
      <c r="X401" s="413">
        <v>0.46050495216826992</v>
      </c>
      <c r="Y401" s="414">
        <v>0.2720402959579053</v>
      </c>
      <c r="Z401" s="1"/>
      <c r="AA401" s="1"/>
      <c r="AB401" s="1"/>
      <c r="AC401" s="1"/>
      <c r="AD401" s="1"/>
      <c r="AL401" s="23"/>
      <c r="AM401" s="23"/>
    </row>
    <row r="402" spans="17:39">
      <c r="Q402" s="6">
        <v>372</v>
      </c>
      <c r="R402" s="7">
        <v>43039</v>
      </c>
      <c r="S402" s="210">
        <v>3</v>
      </c>
      <c r="T402" s="8">
        <v>1.0000833333333334</v>
      </c>
      <c r="U402" s="98">
        <v>3.3083394645936348</v>
      </c>
      <c r="V402" s="106">
        <v>27008.685304993247</v>
      </c>
      <c r="W402" s="10">
        <v>0.45897292109966514</v>
      </c>
      <c r="X402" s="413">
        <v>0.45270551417530042</v>
      </c>
      <c r="Y402" s="414">
        <v>0.2720036569342284</v>
      </c>
      <c r="Z402" s="1"/>
      <c r="AA402" s="1"/>
      <c r="AB402" s="1"/>
      <c r="AC402" s="1"/>
      <c r="AD402" s="1"/>
      <c r="AL402" s="23"/>
      <c r="AM402" s="23"/>
    </row>
    <row r="403" spans="17:39">
      <c r="Q403" s="6">
        <v>373</v>
      </c>
      <c r="R403" s="7">
        <v>43040</v>
      </c>
      <c r="S403" s="210">
        <v>3</v>
      </c>
      <c r="T403" s="8">
        <v>1.0000833333333334</v>
      </c>
      <c r="U403" s="98">
        <v>3.3077488311675118</v>
      </c>
      <c r="V403" s="106">
        <v>27012.758907395651</v>
      </c>
      <c r="W403" s="10">
        <v>0.45110590758394853</v>
      </c>
      <c r="X403" s="413">
        <v>0.44494833782356041</v>
      </c>
      <c r="Y403" s="414">
        <v>0.27196727209892263</v>
      </c>
      <c r="Z403" s="1"/>
      <c r="AA403" s="1"/>
      <c r="AB403" s="1"/>
      <c r="AC403" s="1"/>
      <c r="AD403" s="1"/>
      <c r="AL403" s="23"/>
      <c r="AM403" s="23"/>
    </row>
    <row r="404" spans="17:39">
      <c r="Q404" s="6">
        <v>374</v>
      </c>
      <c r="R404" s="7">
        <v>43041</v>
      </c>
      <c r="S404" s="210">
        <v>3</v>
      </c>
      <c r="T404" s="8">
        <v>1.0000833333333334</v>
      </c>
      <c r="U404" s="98">
        <v>3.3071613595586635</v>
      </c>
      <c r="V404" s="106">
        <v>27016.83312420177</v>
      </c>
      <c r="W404" s="10">
        <v>0.44328157479780472</v>
      </c>
      <c r="X404" s="413">
        <v>0.43723308408621897</v>
      </c>
      <c r="Y404" s="414">
        <v>0.27193113941784214</v>
      </c>
      <c r="Z404" s="1"/>
      <c r="AA404" s="1"/>
      <c r="AB404" s="1"/>
      <c r="AC404" s="1"/>
      <c r="AD404" s="1"/>
      <c r="AL404" s="23"/>
      <c r="AM404" s="23"/>
    </row>
    <row r="405" spans="17:39">
      <c r="Q405" s="6">
        <v>375</v>
      </c>
      <c r="R405" s="7">
        <v>43042</v>
      </c>
      <c r="S405" s="210">
        <v>3</v>
      </c>
      <c r="T405" s="8">
        <v>1.0000833333333334</v>
      </c>
      <c r="U405" s="98">
        <v>3.3065770244457671</v>
      </c>
      <c r="V405" s="106">
        <v>27020.90795550427</v>
      </c>
      <c r="W405" s="10">
        <v>0.43549957637223358</v>
      </c>
      <c r="X405" s="413">
        <v>0.4295594175527313</v>
      </c>
      <c r="Y405" s="414">
        <v>0.27189525687853866</v>
      </c>
      <c r="Z405" s="1"/>
      <c r="AA405" s="1"/>
      <c r="AB405" s="1"/>
      <c r="AC405" s="1"/>
      <c r="AD405" s="1"/>
      <c r="AL405" s="23"/>
      <c r="AM405" s="23"/>
    </row>
    <row r="406" spans="17:39">
      <c r="Q406" s="6">
        <v>376</v>
      </c>
      <c r="R406" s="7">
        <v>43043</v>
      </c>
      <c r="S406" s="210">
        <v>3</v>
      </c>
      <c r="T406" s="8">
        <v>1.0000833333333334</v>
      </c>
      <c r="U406" s="98">
        <v>3.305995800777195</v>
      </c>
      <c r="V406" s="106">
        <v>27024.983401395832</v>
      </c>
      <c r="W406" s="10">
        <v>0.42775956967571194</v>
      </c>
      <c r="X406" s="413">
        <v>0.42192700638072855</v>
      </c>
      <c r="Y406" s="414">
        <v>0.27185962248997286</v>
      </c>
      <c r="Z406" s="1"/>
      <c r="AA406" s="1"/>
      <c r="AB406" s="1"/>
      <c r="AC406" s="1"/>
      <c r="AD406" s="1"/>
      <c r="AL406" s="23"/>
      <c r="AM406" s="23"/>
    </row>
    <row r="407" spans="17:39">
      <c r="Q407" s="6">
        <v>377</v>
      </c>
      <c r="R407" s="7">
        <v>43044</v>
      </c>
      <c r="S407" s="210">
        <v>3</v>
      </c>
      <c r="T407" s="8">
        <v>1.0000833333333334</v>
      </c>
      <c r="U407" s="98">
        <v>3.3054176637674182</v>
      </c>
      <c r="V407" s="106">
        <v>27029.059461969151</v>
      </c>
      <c r="W407" s="10">
        <v>0.42006121576396716</v>
      </c>
      <c r="X407" s="413">
        <v>0.41433552224871578</v>
      </c>
      <c r="Y407" s="414">
        <v>0.27182423428223235</v>
      </c>
      <c r="Z407" s="1"/>
      <c r="AA407" s="1"/>
      <c r="AB407" s="1"/>
      <c r="AC407" s="1"/>
      <c r="AD407" s="1"/>
      <c r="AL407" s="23"/>
      <c r="AM407" s="23"/>
    </row>
    <row r="408" spans="17:39">
      <c r="Q408" s="6">
        <v>378</v>
      </c>
      <c r="R408" s="7">
        <v>43045</v>
      </c>
      <c r="S408" s="210">
        <v>3</v>
      </c>
      <c r="T408" s="8">
        <v>1.0000833333333334</v>
      </c>
      <c r="U408" s="98">
        <v>3.3048425888934307</v>
      </c>
      <c r="V408" s="106">
        <v>27033.136137316935</v>
      </c>
      <c r="W408" s="10">
        <v>0.41240417933059437</v>
      </c>
      <c r="X408" s="413">
        <v>0.40678464030954214</v>
      </c>
      <c r="Y408" s="414">
        <v>0.27178909030624859</v>
      </c>
      <c r="Z408" s="1"/>
      <c r="AA408" s="1"/>
      <c r="AB408" s="1"/>
      <c r="AC408" s="1"/>
      <c r="AD408" s="1"/>
      <c r="AL408" s="23"/>
      <c r="AM408" s="23"/>
    </row>
    <row r="409" spans="17:39">
      <c r="Q409" s="6">
        <v>379</v>
      </c>
      <c r="R409" s="7">
        <v>43046</v>
      </c>
      <c r="S409" s="210">
        <v>3</v>
      </c>
      <c r="T409" s="8">
        <v>1.0000833333333334</v>
      </c>
      <c r="U409" s="98">
        <v>3.3042705518913751</v>
      </c>
      <c r="V409" s="106">
        <v>27037.213427531915</v>
      </c>
      <c r="W409" s="10">
        <v>0.40478812865816227</v>
      </c>
      <c r="X409" s="413">
        <v>0.39927403914450138</v>
      </c>
      <c r="Y409" s="414">
        <v>0.27175418863352718</v>
      </c>
      <c r="Z409" s="1"/>
      <c r="AA409" s="1"/>
      <c r="AB409" s="1"/>
      <c r="AC409" s="1"/>
      <c r="AD409" s="1"/>
      <c r="AL409" s="23"/>
      <c r="AM409" s="23"/>
    </row>
    <row r="410" spans="17:39">
      <c r="Q410" s="6">
        <v>380</v>
      </c>
      <c r="R410" s="7">
        <v>43047</v>
      </c>
      <c r="S410" s="210">
        <v>3</v>
      </c>
      <c r="T410" s="8">
        <v>1.0000833333333334</v>
      </c>
      <c r="U410" s="98">
        <v>3.303701528752967</v>
      </c>
      <c r="V410" s="106">
        <v>27041.291332706824</v>
      </c>
      <c r="W410" s="10">
        <v>0.39721273557054015</v>
      </c>
      <c r="X410" s="413">
        <v>0.39180340071822112</v>
      </c>
      <c r="Y410" s="414">
        <v>0.2717195273558719</v>
      </c>
      <c r="Z410" s="1"/>
      <c r="AA410" s="1"/>
      <c r="AB410" s="1"/>
      <c r="AC410" s="1"/>
      <c r="AD410" s="1"/>
      <c r="AL410" s="23"/>
      <c r="AM410" s="23"/>
    </row>
    <row r="411" spans="17:39">
      <c r="Q411" s="6">
        <v>381</v>
      </c>
      <c r="R411" s="7">
        <v>43048</v>
      </c>
      <c r="S411" s="210">
        <v>3</v>
      </c>
      <c r="T411" s="8">
        <v>1.0000833333333334</v>
      </c>
      <c r="U411" s="98">
        <v>3.3031354957223646</v>
      </c>
      <c r="V411" s="106">
        <v>27045.369852934415</v>
      </c>
      <c r="W411" s="10">
        <v>0.38967767538571341</v>
      </c>
      <c r="X411" s="413">
        <v>0.38437241033434599</v>
      </c>
      <c r="Y411" s="414">
        <v>0.27168510458512191</v>
      </c>
      <c r="Z411" s="1"/>
      <c r="AA411" s="1"/>
      <c r="AB411" s="1"/>
      <c r="AC411" s="1"/>
      <c r="AD411" s="1"/>
      <c r="AL411" s="23"/>
      <c r="AM411" s="23"/>
    </row>
    <row r="412" spans="17:39">
      <c r="Q412" s="6">
        <v>382</v>
      </c>
      <c r="R412" s="7">
        <v>43049</v>
      </c>
      <c r="S412" s="210">
        <v>3</v>
      </c>
      <c r="T412" s="8">
        <v>1.0000833333333334</v>
      </c>
      <c r="U412" s="98">
        <v>3.3025724292926384</v>
      </c>
      <c r="V412" s="106">
        <v>27047.2598825163</v>
      </c>
      <c r="W412" s="10">
        <v>0.38994561334826372</v>
      </c>
      <c r="X412" s="413">
        <v>0.38463877500911825</v>
      </c>
      <c r="Y412" s="414">
        <v>0.2716509184528858</v>
      </c>
      <c r="Z412" s="1"/>
      <c r="AA412" s="1"/>
      <c r="AB412" s="1"/>
      <c r="AC412" s="1"/>
      <c r="AD412" s="1"/>
      <c r="AL412" s="23"/>
      <c r="AM412" s="23"/>
    </row>
    <row r="413" spans="17:39">
      <c r="Q413" s="6">
        <v>383</v>
      </c>
      <c r="R413" s="7">
        <v>43050</v>
      </c>
      <c r="S413" s="210">
        <v>3</v>
      </c>
      <c r="T413" s="8">
        <v>1.0000833333333334</v>
      </c>
      <c r="U413" s="98">
        <v>3.3020123062026396</v>
      </c>
      <c r="V413" s="106">
        <v>27049.150044180376</v>
      </c>
      <c r="W413" s="10">
        <v>0.39021215286652033</v>
      </c>
      <c r="X413" s="413">
        <v>0.38490376581547486</v>
      </c>
      <c r="Y413" s="414">
        <v>0.27161696711028732</v>
      </c>
      <c r="Z413" s="1"/>
      <c r="AA413" s="1"/>
      <c r="AB413" s="1"/>
      <c r="AC413" s="1"/>
      <c r="AD413" s="1"/>
      <c r="AL413" s="23"/>
      <c r="AM413" s="23"/>
    </row>
    <row r="414" spans="17:39">
      <c r="Q414" s="6">
        <v>384</v>
      </c>
      <c r="R414" s="7">
        <v>43051</v>
      </c>
      <c r="S414" s="210">
        <v>3</v>
      </c>
      <c r="T414" s="8">
        <v>1.0000833333333334</v>
      </c>
      <c r="U414" s="98">
        <v>3.3014551034337813</v>
      </c>
      <c r="V414" s="106">
        <v>27051.04033793588</v>
      </c>
      <c r="W414" s="10">
        <v>0.39047730486028165</v>
      </c>
      <c r="X414" s="413">
        <v>0.38516739348701257</v>
      </c>
      <c r="Y414" s="414">
        <v>0.27158324872770917</v>
      </c>
      <c r="Z414" s="1"/>
      <c r="AA414" s="1"/>
      <c r="AB414" s="1"/>
      <c r="AC414" s="1"/>
      <c r="AD414" s="1"/>
      <c r="AL414" s="23"/>
      <c r="AM414" s="23"/>
    </row>
    <row r="415" spans="17:39">
      <c r="Q415" s="6">
        <v>385</v>
      </c>
      <c r="R415" s="7">
        <v>43052</v>
      </c>
      <c r="S415" s="210">
        <v>3</v>
      </c>
      <c r="T415" s="8">
        <v>1.0000833333333334</v>
      </c>
      <c r="U415" s="98">
        <v>3.300900798206885</v>
      </c>
      <c r="V415" s="106">
        <v>27052.930763792036</v>
      </c>
      <c r="W415" s="10">
        <v>0.39074108013597009</v>
      </c>
      <c r="X415" s="413">
        <v>0.38542966864574807</v>
      </c>
      <c r="Y415" s="414">
        <v>0.27154976149454485</v>
      </c>
      <c r="Z415" s="1"/>
      <c r="AA415" s="1"/>
      <c r="AB415" s="1"/>
      <c r="AC415" s="1"/>
      <c r="AD415" s="1"/>
      <c r="AL415" s="23"/>
      <c r="AM415" s="23"/>
    </row>
    <row r="416" spans="17:39">
      <c r="Q416" s="6">
        <v>386</v>
      </c>
      <c r="R416" s="7">
        <v>43053</v>
      </c>
      <c r="S416" s="210">
        <v>3</v>
      </c>
      <c r="T416" s="8">
        <v>1.0000833333333334</v>
      </c>
      <c r="U416" s="98">
        <v>3.3003493679790941</v>
      </c>
      <c r="V416" s="106">
        <v>27054.821321758089</v>
      </c>
      <c r="W416" s="10">
        <v>0.39100348938805318</v>
      </c>
      <c r="X416" s="413">
        <v>0.38569060180368736</v>
      </c>
      <c r="Y416" s="414">
        <v>0.27151650361895069</v>
      </c>
      <c r="Z416" s="1"/>
      <c r="AA416" s="1"/>
      <c r="AB416" s="1"/>
      <c r="AC416" s="1"/>
      <c r="AD416" s="1"/>
      <c r="AL416" s="23"/>
      <c r="AM416" s="23"/>
    </row>
    <row r="417" spans="17:39">
      <c r="Q417" s="6">
        <v>387</v>
      </c>
      <c r="R417" s="7">
        <v>43054</v>
      </c>
      <c r="S417" s="210">
        <v>3</v>
      </c>
      <c r="T417" s="8">
        <v>1.0000833333333334</v>
      </c>
      <c r="U417" s="98">
        <v>3.2998007904407212</v>
      </c>
      <c r="V417" s="106">
        <v>27056.712011843258</v>
      </c>
      <c r="W417" s="10">
        <v>0.39126454320059789</v>
      </c>
      <c r="X417" s="413">
        <v>0.38595020336418517</v>
      </c>
      <c r="Y417" s="414">
        <v>0.27148347332760148</v>
      </c>
      <c r="Z417" s="1"/>
      <c r="AA417" s="1"/>
      <c r="AB417" s="1"/>
      <c r="AC417" s="1"/>
      <c r="AD417" s="1"/>
      <c r="AL417" s="23"/>
      <c r="AM417" s="23"/>
    </row>
    <row r="418" spans="17:39">
      <c r="Q418" s="6">
        <v>388</v>
      </c>
      <c r="R418" s="7">
        <v>43055</v>
      </c>
      <c r="S418" s="210">
        <v>3</v>
      </c>
      <c r="T418" s="8">
        <v>1.0000833333333334</v>
      </c>
      <c r="U418" s="98">
        <v>3.2992550435123391</v>
      </c>
      <c r="V418" s="106">
        <v>27058.602834056779</v>
      </c>
      <c r="W418" s="10">
        <v>0.39152425204851404</v>
      </c>
      <c r="X418" s="413">
        <v>0.38620848362328358</v>
      </c>
      <c r="Y418" s="414">
        <v>0.27145066886545571</v>
      </c>
      <c r="Z418" s="1"/>
      <c r="AA418" s="1"/>
      <c r="AB418" s="1"/>
      <c r="AC418" s="1"/>
      <c r="AD418" s="1"/>
      <c r="AL418" s="23"/>
      <c r="AM418" s="23"/>
    </row>
    <row r="419" spans="17:39">
      <c r="Q419" s="6">
        <v>389</v>
      </c>
      <c r="R419" s="7">
        <v>43056</v>
      </c>
      <c r="S419" s="210">
        <v>3</v>
      </c>
      <c r="T419" s="8">
        <v>1.0000833333333334</v>
      </c>
      <c r="U419" s="98">
        <v>3.29871210534185</v>
      </c>
      <c r="V419" s="106">
        <v>27060.49378840789</v>
      </c>
      <c r="W419" s="10">
        <v>0.39178262629910865</v>
      </c>
      <c r="X419" s="413">
        <v>0.38646545277121419</v>
      </c>
      <c r="Y419" s="414">
        <v>0.27141808849551996</v>
      </c>
      <c r="Z419" s="1"/>
      <c r="AA419" s="1"/>
      <c r="AB419" s="1"/>
      <c r="AC419" s="1"/>
      <c r="AD419" s="1"/>
      <c r="AL419" s="23"/>
      <c r="AM419" s="23"/>
    </row>
    <row r="420" spans="17:39">
      <c r="Q420" s="6">
        <v>390</v>
      </c>
      <c r="R420" s="7">
        <v>43057</v>
      </c>
      <c r="S420" s="210">
        <v>3</v>
      </c>
      <c r="T420" s="8">
        <v>1.0000833333333334</v>
      </c>
      <c r="U420" s="98">
        <v>3.2981719543013988</v>
      </c>
      <c r="V420" s="106">
        <v>27062.384874905816</v>
      </c>
      <c r="W420" s="10">
        <v>0.39203967621344038</v>
      </c>
      <c r="X420" s="413">
        <v>0.38672112089369348</v>
      </c>
      <c r="Y420" s="414">
        <v>0.27138573049861464</v>
      </c>
      <c r="Z420" s="1"/>
      <c r="AA420" s="1"/>
      <c r="AB420" s="1"/>
      <c r="AC420" s="1"/>
      <c r="AD420" s="1"/>
      <c r="AL420" s="23"/>
      <c r="AM420" s="23"/>
    </row>
    <row r="421" spans="17:39">
      <c r="Q421" s="6">
        <v>391</v>
      </c>
      <c r="R421" s="7">
        <v>43058</v>
      </c>
      <c r="S421" s="210">
        <v>3</v>
      </c>
      <c r="T421" s="8">
        <v>1.0000833333333334</v>
      </c>
      <c r="U421" s="98">
        <v>3.2976345689847308</v>
      </c>
      <c r="V421" s="106">
        <v>27064.276093559809</v>
      </c>
      <c r="W421" s="10">
        <v>0.39229541194756301</v>
      </c>
      <c r="X421" s="413">
        <v>0.38697549797319791</v>
      </c>
      <c r="Y421" s="414">
        <v>0.271353593173151</v>
      </c>
      <c r="Z421" s="1"/>
      <c r="AA421" s="1"/>
      <c r="AB421" s="1"/>
      <c r="AC421" s="1"/>
      <c r="AD421" s="1"/>
      <c r="AL421" s="23"/>
      <c r="AM421" s="23"/>
    </row>
    <row r="422" spans="17:39">
      <c r="Q422" s="6">
        <v>392</v>
      </c>
      <c r="R422" s="7">
        <v>43059</v>
      </c>
      <c r="S422" s="210">
        <v>3</v>
      </c>
      <c r="T422" s="8">
        <v>1.0000833333333334</v>
      </c>
      <c r="U422" s="98">
        <v>3.2970999282041502</v>
      </c>
      <c r="V422" s="106">
        <v>27066.167444379083</v>
      </c>
      <c r="W422" s="10">
        <v>0.39254984355401312</v>
      </c>
      <c r="X422" s="413">
        <v>0.38722859389042347</v>
      </c>
      <c r="Y422" s="414">
        <v>0.27132167483489839</v>
      </c>
      <c r="Z422" s="1"/>
      <c r="AA422" s="1"/>
      <c r="AB422" s="1"/>
      <c r="AC422" s="1"/>
      <c r="AD422" s="1"/>
      <c r="AL422" s="23"/>
      <c r="AM422" s="23"/>
    </row>
    <row r="423" spans="17:39">
      <c r="Q423" s="6">
        <v>393</v>
      </c>
      <c r="R423" s="7">
        <v>43060</v>
      </c>
      <c r="S423" s="210">
        <v>3</v>
      </c>
      <c r="T423" s="8">
        <v>1.0000833333333334</v>
      </c>
      <c r="U423" s="98">
        <v>3.2965680109878326</v>
      </c>
      <c r="V423" s="106">
        <v>27068.058927372895</v>
      </c>
      <c r="W423" s="10">
        <v>0.39280298098303135</v>
      </c>
      <c r="X423" s="413">
        <v>0.38748041842541797</v>
      </c>
      <c r="Y423" s="414">
        <v>0.27128997381677344</v>
      </c>
      <c r="Z423" s="1"/>
      <c r="AA423" s="1"/>
      <c r="AB423" s="1"/>
      <c r="AC423" s="1"/>
      <c r="AD423" s="1"/>
      <c r="AL423" s="23"/>
      <c r="AM423" s="23"/>
    </row>
    <row r="424" spans="17:39">
      <c r="Q424" s="6">
        <v>394</v>
      </c>
      <c r="R424" s="7">
        <v>43061</v>
      </c>
      <c r="S424" s="210">
        <v>3</v>
      </c>
      <c r="T424" s="8">
        <v>1.0000833333333334</v>
      </c>
      <c r="U424" s="98">
        <v>3.2960387965771387</v>
      </c>
      <c r="V424" s="106">
        <v>27069.950542550469</v>
      </c>
      <c r="W424" s="10">
        <v>0.39305483408387243</v>
      </c>
      <c r="X424" s="413">
        <v>0.38773098125895972</v>
      </c>
      <c r="Y424" s="414">
        <v>0.27125848846861594</v>
      </c>
      <c r="Z424" s="1"/>
      <c r="AA424" s="1"/>
      <c r="AB424" s="1"/>
      <c r="AC424" s="1"/>
      <c r="AD424" s="1"/>
      <c r="AL424" s="23"/>
      <c r="AM424" s="23"/>
    </row>
    <row r="425" spans="17:39">
      <c r="Q425" s="6">
        <v>395</v>
      </c>
      <c r="R425" s="7">
        <v>43062</v>
      </c>
      <c r="S425" s="210">
        <v>3</v>
      </c>
      <c r="T425" s="8">
        <v>1.0000833333333334</v>
      </c>
      <c r="U425" s="98">
        <v>3.2955122644238166</v>
      </c>
      <c r="V425" s="106">
        <v>27071.842289921042</v>
      </c>
      <c r="W425" s="10">
        <v>0.39330541260622631</v>
      </c>
      <c r="X425" s="413">
        <v>0.38798029197389489</v>
      </c>
      <c r="Y425" s="414">
        <v>0.27122721715697767</v>
      </c>
      <c r="Z425" s="1"/>
      <c r="AA425" s="1"/>
      <c r="AB425" s="1"/>
      <c r="AC425" s="1"/>
      <c r="AD425" s="1"/>
      <c r="AL425" s="23"/>
      <c r="AM425" s="23"/>
    </row>
    <row r="426" spans="17:39">
      <c r="Q426" s="6">
        <v>396</v>
      </c>
      <c r="R426" s="7">
        <v>43063</v>
      </c>
      <c r="S426" s="210">
        <v>3</v>
      </c>
      <c r="T426" s="8">
        <v>1.0000833333333334</v>
      </c>
      <c r="U426" s="98">
        <v>3.2949883941874036</v>
      </c>
      <c r="V426" s="106">
        <v>27073.734169493855</v>
      </c>
      <c r="W426" s="10">
        <v>0.39355472620117293</v>
      </c>
      <c r="X426" s="413">
        <v>0.38822836005615213</v>
      </c>
      <c r="Y426" s="414">
        <v>0.27119615826491011</v>
      </c>
      <c r="Z426" s="1"/>
      <c r="AA426" s="1"/>
      <c r="AB426" s="1"/>
      <c r="AC426" s="1"/>
      <c r="AD426" s="1"/>
      <c r="AL426" s="23"/>
      <c r="AM426" s="23"/>
    </row>
    <row r="427" spans="17:39">
      <c r="Q427" s="6">
        <v>397</v>
      </c>
      <c r="R427" s="7">
        <v>43064</v>
      </c>
      <c r="S427" s="210">
        <v>3</v>
      </c>
      <c r="T427" s="8">
        <v>1.0000833333333334</v>
      </c>
      <c r="U427" s="98">
        <v>3.2944671657325619</v>
      </c>
      <c r="V427" s="106">
        <v>27075.626181278156</v>
      </c>
      <c r="W427" s="10">
        <v>0.39380278442264771</v>
      </c>
      <c r="X427" s="413">
        <v>0.38847519489606397</v>
      </c>
      <c r="Y427" s="414">
        <v>0.27116531019175616</v>
      </c>
      <c r="Z427" s="1"/>
      <c r="AA427" s="1"/>
      <c r="AB427" s="1"/>
      <c r="AC427" s="1"/>
      <c r="AD427" s="1"/>
      <c r="AL427" s="23"/>
      <c r="AM427" s="23"/>
    </row>
    <row r="428" spans="17:39">
      <c r="Q428" s="6">
        <v>398</v>
      </c>
      <c r="R428" s="7">
        <v>43065</v>
      </c>
      <c r="S428" s="210">
        <v>3</v>
      </c>
      <c r="T428" s="8">
        <v>1.0000833333333334</v>
      </c>
      <c r="U428" s="98">
        <v>3.293948559126525</v>
      </c>
      <c r="V428" s="106">
        <v>27077.51832528317</v>
      </c>
      <c r="W428" s="10">
        <v>0.39404959672877382</v>
      </c>
      <c r="X428" s="413">
        <v>0.38872080578978846</v>
      </c>
      <c r="Y428" s="414">
        <v>0.27113467135294761</v>
      </c>
      <c r="Z428" s="1"/>
      <c r="AA428" s="1"/>
      <c r="AB428" s="1"/>
      <c r="AC428" s="1"/>
      <c r="AD428" s="1"/>
      <c r="AL428" s="23"/>
      <c r="AM428" s="23"/>
    </row>
    <row r="429" spans="17:39">
      <c r="Q429" s="6">
        <v>399</v>
      </c>
      <c r="R429" s="7">
        <v>43066</v>
      </c>
      <c r="S429" s="210">
        <v>3</v>
      </c>
      <c r="T429" s="8">
        <v>1.0000833333333334</v>
      </c>
      <c r="U429" s="98">
        <v>3.2934325546365439</v>
      </c>
      <c r="V429" s="106">
        <v>27079.410601518139</v>
      </c>
      <c r="W429" s="10">
        <v>0.39429517248266155</v>
      </c>
      <c r="X429" s="413">
        <v>0.38896520194000866</v>
      </c>
      <c r="Y429" s="414">
        <v>0.27110424017979989</v>
      </c>
      <c r="Z429" s="1"/>
      <c r="AA429" s="1"/>
      <c r="AB429" s="1"/>
      <c r="AC429" s="1"/>
      <c r="AD429" s="1"/>
      <c r="AL429" s="23"/>
      <c r="AM429" s="23"/>
    </row>
    <row r="430" spans="17:39">
      <c r="Q430" s="6">
        <v>400</v>
      </c>
      <c r="R430" s="7">
        <v>43067</v>
      </c>
      <c r="S430" s="210">
        <v>3</v>
      </c>
      <c r="T430" s="8">
        <v>1.0000833333333334</v>
      </c>
      <c r="U430" s="98">
        <v>3.2929191327274232</v>
      </c>
      <c r="V430" s="106">
        <v>27081.303009992313</v>
      </c>
      <c r="W430" s="10">
        <v>0.39453952095400702</v>
      </c>
      <c r="X430" s="413">
        <v>0.38920839245760064</v>
      </c>
      <c r="Y430" s="414">
        <v>0.27107401511931695</v>
      </c>
      <c r="Z430" s="1"/>
      <c r="AA430" s="1"/>
      <c r="AB430" s="1"/>
      <c r="AC430" s="1"/>
      <c r="AD430" s="1"/>
      <c r="AL430" s="23"/>
      <c r="AM430" s="23"/>
    </row>
    <row r="431" spans="17:39">
      <c r="Q431" s="6">
        <v>401</v>
      </c>
      <c r="R431" s="7">
        <v>43068</v>
      </c>
      <c r="S431" s="210">
        <v>3</v>
      </c>
      <c r="T431" s="8">
        <v>1.0000833333333334</v>
      </c>
      <c r="U431" s="98">
        <v>3.2924082740589888</v>
      </c>
      <c r="V431" s="106">
        <v>27083.195550714929</v>
      </c>
      <c r="W431" s="10">
        <v>0.39478265132000256</v>
      </c>
      <c r="X431" s="413">
        <v>0.38945038636245916</v>
      </c>
      <c r="Y431" s="414">
        <v>0.27104399463399231</v>
      </c>
      <c r="Z431" s="1"/>
      <c r="AA431" s="1"/>
      <c r="AB431" s="1"/>
      <c r="AC431" s="1"/>
      <c r="AD431" s="1"/>
      <c r="AL431" s="23"/>
      <c r="AM431" s="23"/>
    </row>
    <row r="432" spans="17:39">
      <c r="Q432" s="6">
        <v>402</v>
      </c>
      <c r="R432" s="7">
        <v>43069</v>
      </c>
      <c r="S432" s="210">
        <v>3</v>
      </c>
      <c r="T432" s="8">
        <v>1.0000833333333334</v>
      </c>
      <c r="U432" s="98">
        <v>3.2918999594836906</v>
      </c>
      <c r="V432" s="106">
        <v>27085.08822369522</v>
      </c>
      <c r="W432" s="10">
        <v>0.39502457266662461</v>
      </c>
      <c r="X432" s="413">
        <v>0.38969119258474877</v>
      </c>
      <c r="Y432" s="414">
        <v>0.2710141772016213</v>
      </c>
      <c r="Z432" s="1"/>
      <c r="AA432" s="1"/>
      <c r="AB432" s="1"/>
      <c r="AC432" s="1"/>
      <c r="AD432" s="1"/>
      <c r="AL432" s="23"/>
      <c r="AM432" s="23"/>
    </row>
    <row r="433" spans="17:39">
      <c r="Q433" s="6">
        <v>403</v>
      </c>
      <c r="R433" s="7">
        <v>43070</v>
      </c>
      <c r="S433" s="210">
        <v>3</v>
      </c>
      <c r="T433" s="8">
        <v>1.0000833333333334</v>
      </c>
      <c r="U433" s="98">
        <v>3.2913941700442928</v>
      </c>
      <c r="V433" s="106">
        <v>27086.981028942442</v>
      </c>
      <c r="W433" s="10">
        <v>0.39526529398965504</v>
      </c>
      <c r="X433" s="413">
        <v>0.38993081996601692</v>
      </c>
      <c r="Y433" s="414">
        <v>0.27098456131510817</v>
      </c>
      <c r="Z433" s="1"/>
      <c r="AA433" s="1"/>
      <c r="AB433" s="1"/>
      <c r="AC433" s="1"/>
      <c r="AD433" s="1"/>
      <c r="AL433" s="23"/>
      <c r="AM433" s="23"/>
    </row>
    <row r="434" spans="17:39">
      <c r="Q434" s="6">
        <v>404</v>
      </c>
      <c r="R434" s="7">
        <v>43071</v>
      </c>
      <c r="S434" s="210">
        <v>3</v>
      </c>
      <c r="T434" s="8">
        <v>1.0000833333333334</v>
      </c>
      <c r="U434" s="98">
        <v>3.2908908869713427</v>
      </c>
      <c r="V434" s="106">
        <v>27088.873966465835</v>
      </c>
      <c r="W434" s="10">
        <v>0.39550482419583588</v>
      </c>
      <c r="X434" s="413">
        <v>0.39016927726019185</v>
      </c>
      <c r="Y434" s="414">
        <v>0.27095514548227706</v>
      </c>
      <c r="Z434" s="1"/>
      <c r="AA434" s="1"/>
      <c r="AB434" s="1"/>
      <c r="AC434" s="1"/>
      <c r="AD434" s="1"/>
      <c r="AL434" s="23"/>
      <c r="AM434" s="23"/>
    </row>
    <row r="435" spans="17:39">
      <c r="Q435" s="6">
        <v>405</v>
      </c>
      <c r="R435" s="7">
        <v>43072</v>
      </c>
      <c r="S435" s="210">
        <v>3</v>
      </c>
      <c r="T435" s="8">
        <v>1.0000833333333334</v>
      </c>
      <c r="U435" s="98">
        <v>3.2903900916809725</v>
      </c>
      <c r="V435" s="106">
        <v>27090.767036274639</v>
      </c>
      <c r="W435" s="10">
        <v>0.39574317210409049</v>
      </c>
      <c r="X435" s="413">
        <v>0.39040657313484195</v>
      </c>
      <c r="Y435" s="414">
        <v>0.27092592822569145</v>
      </c>
      <c r="Z435" s="1"/>
      <c r="AA435" s="1"/>
      <c r="AB435" s="1"/>
      <c r="AC435" s="1"/>
      <c r="AD435" s="1"/>
      <c r="AL435" s="23"/>
      <c r="AM435" s="23"/>
    </row>
    <row r="436" spans="17:39">
      <c r="Q436" s="6">
        <v>406</v>
      </c>
      <c r="R436" s="7">
        <v>43073</v>
      </c>
      <c r="S436" s="210">
        <v>3</v>
      </c>
      <c r="T436" s="8">
        <v>1.0000833333333334</v>
      </c>
      <c r="U436" s="98">
        <v>3.2898917657726345</v>
      </c>
      <c r="V436" s="106">
        <v>27092.660238378099</v>
      </c>
      <c r="W436" s="10">
        <v>0.39598034644641178</v>
      </c>
      <c r="X436" s="413">
        <v>0.39064271617214091</v>
      </c>
      <c r="Y436" s="414">
        <v>0.27089690808247069</v>
      </c>
      <c r="Z436" s="1"/>
      <c r="AA436" s="1"/>
      <c r="AB436" s="1"/>
      <c r="AC436" s="1"/>
      <c r="AD436" s="1"/>
      <c r="AL436" s="23"/>
      <c r="AM436" s="23"/>
    </row>
    <row r="437" spans="17:39">
      <c r="Q437" s="6">
        <v>407</v>
      </c>
      <c r="R437" s="7">
        <v>43074</v>
      </c>
      <c r="S437" s="210">
        <v>3</v>
      </c>
      <c r="T437" s="8">
        <v>1.0000833333333334</v>
      </c>
      <c r="U437" s="98">
        <v>3.2893958910267473</v>
      </c>
      <c r="V437" s="106">
        <v>27094.553572785459</v>
      </c>
      <c r="W437" s="10">
        <v>0.39621635586903903</v>
      </c>
      <c r="X437" s="413">
        <v>0.39087771486983797</v>
      </c>
      <c r="Y437" s="414">
        <v>0.27086808360411152</v>
      </c>
      <c r="Z437" s="1"/>
      <c r="AA437" s="1"/>
      <c r="AB437" s="1"/>
      <c r="AC437" s="1"/>
      <c r="AD437" s="1"/>
      <c r="AL437" s="23"/>
      <c r="AM437" s="23"/>
    </row>
    <row r="438" spans="17:39">
      <c r="Q438" s="6">
        <v>408</v>
      </c>
      <c r="R438" s="7">
        <v>43075</v>
      </c>
      <c r="S438" s="210">
        <v>3</v>
      </c>
      <c r="T438" s="8">
        <v>1.0000833333333334</v>
      </c>
      <c r="U438" s="98">
        <v>3.2889024494025199</v>
      </c>
      <c r="V438" s="106">
        <v>27096.447039505972</v>
      </c>
      <c r="W438" s="10">
        <v>0.39645120893339048</v>
      </c>
      <c r="X438" s="413">
        <v>0.39111157764231258</v>
      </c>
      <c r="Y438" s="414">
        <v>0.2708394533563131</v>
      </c>
      <c r="Z438" s="1"/>
      <c r="AA438" s="1"/>
      <c r="AB438" s="1"/>
      <c r="AC438" s="1"/>
      <c r="AD438" s="1"/>
      <c r="AL438" s="23"/>
      <c r="AM438" s="23"/>
    </row>
    <row r="439" spans="17:39">
      <c r="Q439" s="6">
        <v>409</v>
      </c>
      <c r="R439" s="7">
        <v>43076</v>
      </c>
      <c r="S439" s="210">
        <v>3</v>
      </c>
      <c r="T439" s="8">
        <v>1.0000833333333334</v>
      </c>
      <c r="U439" s="98">
        <v>3.2884114230358197</v>
      </c>
      <c r="V439" s="106">
        <v>27098.340638548878</v>
      </c>
      <c r="W439" s="10">
        <v>0.3966849141174178</v>
      </c>
      <c r="X439" s="413">
        <v>0.39134431282192544</v>
      </c>
      <c r="Y439" s="414">
        <v>0.27081101591880058</v>
      </c>
      <c r="Z439" s="1"/>
      <c r="AA439" s="1"/>
      <c r="AB439" s="1"/>
      <c r="AC439" s="1"/>
      <c r="AD439" s="1"/>
      <c r="AL439" s="23"/>
      <c r="AM439" s="23"/>
    </row>
    <row r="440" spans="17:39">
      <c r="Q440" s="6">
        <v>410</v>
      </c>
      <c r="R440" s="7">
        <v>43077</v>
      </c>
      <c r="S440" s="210">
        <v>3</v>
      </c>
      <c r="T440" s="8">
        <v>1.0000833333333334</v>
      </c>
      <c r="U440" s="98">
        <v>3.2879227942369305</v>
      </c>
      <c r="V440" s="106">
        <v>27100.23436992343</v>
      </c>
      <c r="W440" s="10">
        <v>0.39691747981618342</v>
      </c>
      <c r="X440" s="413">
        <v>0.39157592865947305</v>
      </c>
      <c r="Y440" s="414">
        <v>0.27078276988516026</v>
      </c>
      <c r="Z440" s="1"/>
      <c r="AA440" s="1"/>
      <c r="AB440" s="1"/>
      <c r="AC440" s="1"/>
      <c r="AD440" s="1"/>
      <c r="AL440" s="23"/>
      <c r="AM440" s="23"/>
    </row>
    <row r="441" spans="17:39">
      <c r="Q441" s="6">
        <v>411</v>
      </c>
      <c r="R441" s="7">
        <v>43078</v>
      </c>
      <c r="S441" s="210">
        <v>3</v>
      </c>
      <c r="T441" s="8">
        <v>1.0000833333333334</v>
      </c>
      <c r="U441" s="98">
        <v>3.2874365454884868</v>
      </c>
      <c r="V441" s="106">
        <v>27102.128233638869</v>
      </c>
      <c r="W441" s="10">
        <v>0.39714891434319277</v>
      </c>
      <c r="X441" s="413">
        <v>0.39180643332554921</v>
      </c>
      <c r="Y441" s="414">
        <v>0.2707547138626612</v>
      </c>
      <c r="Z441" s="1"/>
      <c r="AA441" s="1"/>
      <c r="AB441" s="1"/>
      <c r="AC441" s="1"/>
      <c r="AD441" s="1"/>
      <c r="AL441" s="23"/>
      <c r="AM441" s="23"/>
    </row>
    <row r="442" spans="17:39">
      <c r="Q442" s="6">
        <v>412</v>
      </c>
      <c r="R442" s="7">
        <v>43079</v>
      </c>
      <c r="S442" s="210">
        <v>3</v>
      </c>
      <c r="T442" s="8">
        <v>1.0000833333333334</v>
      </c>
      <c r="U442" s="98">
        <v>3.2869526594433429</v>
      </c>
      <c r="V442" s="106">
        <v>27102.685612194076</v>
      </c>
      <c r="W442" s="10">
        <v>0.40176566016036919</v>
      </c>
      <c r="X442" s="413">
        <v>0.39636440311818355</v>
      </c>
      <c r="Y442" s="414">
        <v>0.27072684647209738</v>
      </c>
      <c r="Z442" s="1"/>
      <c r="AA442" s="1"/>
      <c r="AB442" s="1"/>
      <c r="AC442" s="1"/>
      <c r="AD442" s="1"/>
      <c r="AL442" s="23"/>
      <c r="AM442" s="23"/>
    </row>
    <row r="443" spans="17:39">
      <c r="Q443" s="6">
        <v>413</v>
      </c>
      <c r="R443" s="7">
        <v>43080</v>
      </c>
      <c r="S443" s="210">
        <v>3</v>
      </c>
      <c r="T443" s="8">
        <v>1.0000833333333334</v>
      </c>
      <c r="U443" s="98">
        <v>3.2864711189225071</v>
      </c>
      <c r="V443" s="106">
        <v>27103.24300221225</v>
      </c>
      <c r="W443" s="10">
        <v>0.40636025961551248</v>
      </c>
      <c r="X443" s="413">
        <v>0.40090064535673248</v>
      </c>
      <c r="Y443" s="414">
        <v>0.2706991663476192</v>
      </c>
      <c r="Z443" s="1"/>
      <c r="AA443" s="1"/>
      <c r="AB443" s="1"/>
      <c r="AC443" s="1"/>
      <c r="AD443" s="1"/>
      <c r="AL443" s="23"/>
      <c r="AM443" s="23"/>
    </row>
    <row r="444" spans="17:39">
      <c r="Q444" s="6">
        <v>414</v>
      </c>
      <c r="R444" s="7">
        <v>43081</v>
      </c>
      <c r="S444" s="210">
        <v>3</v>
      </c>
      <c r="T444" s="8">
        <v>1.0000833333333334</v>
      </c>
      <c r="U444" s="98">
        <v>3.285991906913166</v>
      </c>
      <c r="V444" s="106">
        <v>27103.800403693636</v>
      </c>
      <c r="W444" s="10">
        <v>0.41093287167552894</v>
      </c>
      <c r="X444" s="413">
        <v>0.40541531750890397</v>
      </c>
      <c r="Y444" s="414">
        <v>0.27067167213657517</v>
      </c>
      <c r="Z444" s="1"/>
      <c r="AA444" s="1"/>
      <c r="AB444" s="1"/>
      <c r="AC444" s="1"/>
      <c r="AD444" s="1"/>
      <c r="AL444" s="23"/>
      <c r="AM444" s="23"/>
    </row>
    <row r="445" spans="17:39">
      <c r="Q445" s="6">
        <v>415</v>
      </c>
      <c r="R445" s="7">
        <v>43082</v>
      </c>
      <c r="S445" s="210">
        <v>3</v>
      </c>
      <c r="T445" s="8">
        <v>1.0000833333333334</v>
      </c>
      <c r="U445" s="98">
        <v>3.2855150065665972</v>
      </c>
      <c r="V445" s="106">
        <v>27104.357816638461</v>
      </c>
      <c r="W445" s="10">
        <v>0.4154836537895612</v>
      </c>
      <c r="X445" s="413">
        <v>0.40990857552460636</v>
      </c>
      <c r="Y445" s="414">
        <v>0.27064436249935148</v>
      </c>
      <c r="Z445" s="1"/>
      <c r="AA445" s="1"/>
      <c r="AB445" s="1"/>
      <c r="AC445" s="1"/>
      <c r="AD445" s="1"/>
      <c r="AL445" s="23"/>
      <c r="AM445" s="23"/>
    </row>
    <row r="446" spans="17:39">
      <c r="Q446" s="6">
        <v>416</v>
      </c>
      <c r="R446" s="7">
        <v>43083</v>
      </c>
      <c r="S446" s="210">
        <v>3</v>
      </c>
      <c r="T446" s="8">
        <v>1.0000833333333334</v>
      </c>
      <c r="U446" s="98">
        <v>3.2850404011962819</v>
      </c>
      <c r="V446" s="106">
        <v>27104.915241046958</v>
      </c>
      <c r="W446" s="10">
        <v>0.4200127619070626</v>
      </c>
      <c r="X446" s="413">
        <v>0.41438057385415272</v>
      </c>
      <c r="Y446" s="414">
        <v>0.27061723610921684</v>
      </c>
      <c r="Z446" s="1"/>
      <c r="AA446" s="1"/>
      <c r="AB446" s="1"/>
      <c r="AC446" s="1"/>
      <c r="AD446" s="1"/>
      <c r="AL446" s="23"/>
      <c r="AM446" s="23"/>
    </row>
    <row r="447" spans="17:39">
      <c r="Q447" s="6">
        <v>417</v>
      </c>
      <c r="R447" s="7">
        <v>43084</v>
      </c>
      <c r="S447" s="210">
        <v>3</v>
      </c>
      <c r="T447" s="8">
        <v>1.0000833333333334</v>
      </c>
      <c r="U447" s="98">
        <v>3.2845680742759065</v>
      </c>
      <c r="V447" s="106">
        <v>27105.472676919366</v>
      </c>
      <c r="W447" s="10">
        <v>0.42452035049562742</v>
      </c>
      <c r="X447" s="413">
        <v>0.41883146546643363</v>
      </c>
      <c r="Y447" s="414">
        <v>0.27059029165216303</v>
      </c>
      <c r="Z447" s="1"/>
      <c r="AA447" s="1"/>
      <c r="AB447" s="1"/>
      <c r="AC447" s="1"/>
      <c r="AD447" s="1"/>
      <c r="AL447" s="23"/>
      <c r="AM447" s="23"/>
    </row>
    <row r="448" spans="17:39">
      <c r="Q448" s="6">
        <v>418</v>
      </c>
      <c r="R448" s="7">
        <v>43085</v>
      </c>
      <c r="S448" s="210">
        <v>3</v>
      </c>
      <c r="T448" s="8">
        <v>1.0000833333333334</v>
      </c>
      <c r="U448" s="98">
        <v>3.2840980094374528</v>
      </c>
      <c r="V448" s="106">
        <v>27106.030124255925</v>
      </c>
      <c r="W448" s="10">
        <v>0.42900657255857677</v>
      </c>
      <c r="X448" s="413">
        <v>0.42326140186644562</v>
      </c>
      <c r="Y448" s="414">
        <v>0.27056352782676435</v>
      </c>
      <c r="Z448" s="1"/>
      <c r="AA448" s="1"/>
      <c r="AB448" s="1"/>
      <c r="AC448" s="1"/>
      <c r="AD448" s="1"/>
      <c r="AL448" s="23"/>
      <c r="AM448" s="23"/>
    </row>
    <row r="449" spans="17:39">
      <c r="Q449" s="6">
        <v>419</v>
      </c>
      <c r="R449" s="7">
        <v>43086</v>
      </c>
      <c r="S449" s="210">
        <v>3</v>
      </c>
      <c r="T449" s="8">
        <v>1.0000833333333334</v>
      </c>
      <c r="U449" s="98">
        <v>3.2836301904692888</v>
      </c>
      <c r="V449" s="106">
        <v>27106.587583056866</v>
      </c>
      <c r="W449" s="10">
        <v>0.43347157965214489</v>
      </c>
      <c r="X449" s="413">
        <v>0.4276705331128372</v>
      </c>
      <c r="Y449" s="414">
        <v>0.27053694334401096</v>
      </c>
      <c r="Z449" s="1"/>
      <c r="AA449" s="1"/>
      <c r="AB449" s="1"/>
      <c r="AC449" s="1"/>
      <c r="AD449" s="1"/>
      <c r="AL449" s="23"/>
      <c r="AM449" s="23"/>
    </row>
    <row r="450" spans="17:39">
      <c r="Q450" s="6">
        <v>420</v>
      </c>
      <c r="R450" s="7">
        <v>43087</v>
      </c>
      <c r="S450" s="210">
        <v>3</v>
      </c>
      <c r="T450" s="8">
        <v>1.0000833333333334</v>
      </c>
      <c r="U450" s="98">
        <v>3.2831646013143478</v>
      </c>
      <c r="V450" s="106">
        <v>27107.145053322423</v>
      </c>
      <c r="W450" s="10">
        <v>0.43791552190275418</v>
      </c>
      <c r="X450" s="413">
        <v>0.43205900783516477</v>
      </c>
      <c r="Y450" s="414">
        <v>0.27051053692717258</v>
      </c>
      <c r="Z450" s="1"/>
      <c r="AA450" s="1"/>
      <c r="AB450" s="1"/>
      <c r="AC450" s="1"/>
      <c r="AD450" s="1"/>
      <c r="AL450" s="23"/>
      <c r="AM450" s="23"/>
    </row>
    <row r="451" spans="17:39">
      <c r="Q451" s="6">
        <v>421</v>
      </c>
      <c r="R451" s="7">
        <v>43088</v>
      </c>
      <c r="S451" s="210">
        <v>3</v>
      </c>
      <c r="T451" s="8">
        <v>1.0000833333333334</v>
      </c>
      <c r="U451" s="98">
        <v>3.2827012260682409</v>
      </c>
      <c r="V451" s="106">
        <v>27107.702535052838</v>
      </c>
      <c r="W451" s="10">
        <v>0.44233854802360195</v>
      </c>
      <c r="X451" s="413">
        <v>0.43642697325075147</v>
      </c>
      <c r="Y451" s="414">
        <v>0.27048430731164941</v>
      </c>
      <c r="Z451" s="1"/>
      <c r="AA451" s="1"/>
      <c r="AB451" s="1"/>
      <c r="AC451" s="1"/>
      <c r="AD451" s="1"/>
      <c r="AL451" s="23"/>
      <c r="AM451" s="23"/>
    </row>
    <row r="452" spans="17:39">
      <c r="Q452" s="6">
        <v>422</v>
      </c>
      <c r="R452" s="7">
        <v>43089</v>
      </c>
      <c r="S452" s="210">
        <v>3</v>
      </c>
      <c r="T452" s="8">
        <v>1.0000833333333334</v>
      </c>
      <c r="U452" s="98">
        <v>3.2822400489775028</v>
      </c>
      <c r="V452" s="106">
        <v>27108.260028248351</v>
      </c>
      <c r="W452" s="10">
        <v>0.4467408053314692</v>
      </c>
      <c r="X452" s="413">
        <v>0.44077457518160928</v>
      </c>
      <c r="Y452" s="414">
        <v>0.27045825324483325</v>
      </c>
      <c r="Z452" s="1"/>
      <c r="AA452" s="1"/>
      <c r="AB452" s="1"/>
      <c r="AC452" s="1"/>
      <c r="AD452" s="1"/>
      <c r="AL452" s="23"/>
      <c r="AM452" s="23"/>
    </row>
    <row r="453" spans="17:39">
      <c r="Q453" s="6">
        <v>423</v>
      </c>
      <c r="R453" s="7">
        <v>43090</v>
      </c>
      <c r="S453" s="210">
        <v>3</v>
      </c>
      <c r="T453" s="8">
        <v>1.0000833333333334</v>
      </c>
      <c r="U453" s="98">
        <v>3.2817810544377934</v>
      </c>
      <c r="V453" s="106">
        <v>27108.817532909183</v>
      </c>
      <c r="W453" s="10">
        <v>0.45112243976301869</v>
      </c>
      <c r="X453" s="413">
        <v>0.44510195807083752</v>
      </c>
      <c r="Y453" s="414">
        <v>0.27043237348595583</v>
      </c>
      <c r="Z453" s="1"/>
      <c r="AA453" s="1"/>
      <c r="AB453" s="1"/>
      <c r="AC453" s="1"/>
      <c r="AD453" s="1"/>
      <c r="AL453" s="23"/>
      <c r="AM453" s="23"/>
    </row>
    <row r="454" spans="17:39">
      <c r="Q454" s="6">
        <v>424</v>
      </c>
      <c r="R454" s="7">
        <v>43091</v>
      </c>
      <c r="S454" s="210">
        <v>3</v>
      </c>
      <c r="T454" s="8">
        <v>1.0000833333333334</v>
      </c>
      <c r="U454" s="98">
        <v>3.2813242269920551</v>
      </c>
      <c r="V454" s="106">
        <v>27109.375049035574</v>
      </c>
      <c r="W454" s="10">
        <v>0.45548359589064891</v>
      </c>
      <c r="X454" s="413">
        <v>0.44940926499865735</v>
      </c>
      <c r="Y454" s="414">
        <v>0.27040666680595454</v>
      </c>
      <c r="Z454" s="1"/>
      <c r="AA454" s="1"/>
      <c r="AB454" s="1"/>
      <c r="AC454" s="1"/>
      <c r="AD454" s="1"/>
      <c r="AL454" s="23"/>
      <c r="AM454" s="23"/>
    </row>
    <row r="455" spans="17:39">
      <c r="Q455" s="6">
        <v>425</v>
      </c>
      <c r="R455" s="7">
        <v>43092</v>
      </c>
      <c r="S455" s="210">
        <v>3</v>
      </c>
      <c r="T455" s="8">
        <v>1.0000833333333334</v>
      </c>
      <c r="U455" s="98">
        <v>3.280869551328891</v>
      </c>
      <c r="V455" s="106">
        <v>27109.932576627773</v>
      </c>
      <c r="W455" s="10">
        <v>0.45982441693883658</v>
      </c>
      <c r="X455" s="413">
        <v>0.45369663769885948</v>
      </c>
      <c r="Y455" s="414">
        <v>0.27038113198733904</v>
      </c>
      <c r="Z455" s="1"/>
      <c r="AA455" s="1"/>
      <c r="AB455" s="1"/>
      <c r="AC455" s="1"/>
      <c r="AD455" s="1"/>
      <c r="AL455" s="23"/>
      <c r="AM455" s="23"/>
    </row>
    <row r="456" spans="17:39">
      <c r="Q456" s="6">
        <v>426</v>
      </c>
      <c r="R456" s="7">
        <v>43093</v>
      </c>
      <c r="S456" s="210">
        <v>3</v>
      </c>
      <c r="T456" s="8">
        <v>1.0000833333333334</v>
      </c>
      <c r="U456" s="98">
        <v>3.2804170122808118</v>
      </c>
      <c r="V456" s="106">
        <v>27110.490115685996</v>
      </c>
      <c r="W456" s="10">
        <v>0.46414504479954655</v>
      </c>
      <c r="X456" s="413">
        <v>0.45796421657434455</v>
      </c>
      <c r="Y456" s="414">
        <v>0.27035576782404763</v>
      </c>
      <c r="Z456" s="1"/>
      <c r="AA456" s="1"/>
      <c r="AB456" s="1"/>
      <c r="AC456" s="1"/>
      <c r="AD456" s="1"/>
      <c r="AL456" s="23"/>
      <c r="AM456" s="23"/>
    </row>
    <row r="457" spans="17:39">
      <c r="Q457" s="6">
        <v>427</v>
      </c>
      <c r="R457" s="7">
        <v>43094</v>
      </c>
      <c r="S457" s="210">
        <v>3</v>
      </c>
      <c r="T457" s="8">
        <v>1.0000833333333334</v>
      </c>
      <c r="U457" s="98">
        <v>3.2799665948225032</v>
      </c>
      <c r="V457" s="106">
        <v>27111.047666210499</v>
      </c>
      <c r="W457" s="10">
        <v>0.46844562004764168</v>
      </c>
      <c r="X457" s="413">
        <v>0.46221214071270755</v>
      </c>
      <c r="Y457" s="414">
        <v>0.27033057312131659</v>
      </c>
      <c r="Z457" s="1"/>
      <c r="AA457" s="1"/>
      <c r="AB457" s="1"/>
      <c r="AC457" s="1"/>
      <c r="AD457" s="1"/>
      <c r="AL457" s="23"/>
      <c r="AM457" s="23"/>
    </row>
    <row r="458" spans="17:39">
      <c r="Q458" s="6">
        <v>428</v>
      </c>
      <c r="R458" s="7">
        <v>43095</v>
      </c>
      <c r="S458" s="210">
        <v>3</v>
      </c>
      <c r="T458" s="8">
        <v>1.0000833333333334</v>
      </c>
      <c r="U458" s="98">
        <v>3.2795182840692494</v>
      </c>
      <c r="V458" s="106">
        <v>27111.605228201501</v>
      </c>
      <c r="W458" s="10">
        <v>0.47272628195633715</v>
      </c>
      <c r="X458" s="413">
        <v>0.46644054790175243</v>
      </c>
      <c r="Y458" s="414">
        <v>0.27030554669555151</v>
      </c>
      <c r="Z458" s="1"/>
      <c r="AA458" s="1"/>
      <c r="AB458" s="1"/>
      <c r="AC458" s="1"/>
      <c r="AD458" s="1"/>
      <c r="AL458" s="23"/>
      <c r="AM458" s="23"/>
    </row>
    <row r="459" spans="17:39">
      <c r="Q459" s="6">
        <v>429</v>
      </c>
      <c r="R459" s="7">
        <v>43096</v>
      </c>
      <c r="S459" s="210">
        <v>3</v>
      </c>
      <c r="T459" s="8">
        <v>1.0000833333333334</v>
      </c>
      <c r="U459" s="98">
        <v>3.2790720652752237</v>
      </c>
      <c r="V459" s="106">
        <v>27112.162801659244</v>
      </c>
      <c r="W459" s="10">
        <v>0.47698716851209966</v>
      </c>
      <c r="X459" s="413">
        <v>0.47064957464449297</v>
      </c>
      <c r="Y459" s="414">
        <v>0.27028068737419214</v>
      </c>
      <c r="Z459" s="1"/>
      <c r="AA459" s="1"/>
      <c r="AB459" s="1"/>
      <c r="AC459" s="1"/>
      <c r="AD459" s="1"/>
      <c r="AL459" s="23"/>
      <c r="AM459" s="23"/>
    </row>
    <row r="460" spans="17:39">
      <c r="Q460" s="6">
        <v>430</v>
      </c>
      <c r="R460" s="7">
        <v>43097</v>
      </c>
      <c r="S460" s="210">
        <v>3</v>
      </c>
      <c r="T460" s="8">
        <v>1.0000833333333334</v>
      </c>
      <c r="U460" s="98">
        <v>3.2786279238319116</v>
      </c>
      <c r="V460" s="106">
        <v>27112.720386583966</v>
      </c>
      <c r="W460" s="10">
        <v>0.48122841642945779</v>
      </c>
      <c r="X460" s="413">
        <v>0.47483935617414708</v>
      </c>
      <c r="Y460" s="414">
        <v>0.27025599399558725</v>
      </c>
      <c r="Z460" s="1"/>
      <c r="AA460" s="1"/>
      <c r="AB460" s="1"/>
      <c r="AC460" s="1"/>
      <c r="AD460" s="1"/>
      <c r="AL460" s="23"/>
      <c r="AM460" s="23"/>
    </row>
    <row r="461" spans="17:39">
      <c r="Q461" s="6">
        <v>431</v>
      </c>
      <c r="R461" s="7">
        <v>43098</v>
      </c>
      <c r="S461" s="210">
        <v>3</v>
      </c>
      <c r="T461" s="8">
        <v>1.0000833333333334</v>
      </c>
      <c r="U461" s="98">
        <v>3.2781858452664903</v>
      </c>
      <c r="V461" s="106">
        <v>27113.277982975898</v>
      </c>
      <c r="W461" s="10">
        <v>0.48545016116570139</v>
      </c>
      <c r="X461" s="413">
        <v>0.47901002646890517</v>
      </c>
      <c r="Y461" s="414">
        <v>0.27023146540886678</v>
      </c>
      <c r="Z461" s="1"/>
      <c r="AA461" s="1"/>
      <c r="AB461" s="1"/>
      <c r="AC461" s="1"/>
      <c r="AD461" s="1"/>
      <c r="AL461" s="23"/>
      <c r="AM461" s="23"/>
    </row>
    <row r="462" spans="17:39">
      <c r="Q462" s="6">
        <v>432</v>
      </c>
      <c r="R462" s="7">
        <v>43099</v>
      </c>
      <c r="S462" s="210">
        <v>3</v>
      </c>
      <c r="T462" s="8">
        <v>1.0000833333333334</v>
      </c>
      <c r="U462" s="98">
        <v>3.2777458152402739</v>
      </c>
      <c r="V462" s="106">
        <v>27113.835590835282</v>
      </c>
      <c r="W462" s="10">
        <v>0.48965253693520339</v>
      </c>
      <c r="X462" s="413">
        <v>0.48316171826638199</v>
      </c>
      <c r="Y462" s="414">
        <v>0.27020710047381519</v>
      </c>
      <c r="Z462" s="1"/>
      <c r="AA462" s="1"/>
      <c r="AB462" s="1"/>
      <c r="AC462" s="1"/>
      <c r="AD462" s="1"/>
      <c r="AL462" s="23"/>
      <c r="AM462" s="23"/>
    </row>
    <row r="463" spans="17:39">
      <c r="Q463" s="6">
        <v>433</v>
      </c>
      <c r="R463" s="7">
        <v>43100</v>
      </c>
      <c r="S463" s="210">
        <v>3</v>
      </c>
      <c r="T463" s="8">
        <v>1.0000833333333334</v>
      </c>
      <c r="U463" s="98">
        <v>3.2773078195471372</v>
      </c>
      <c r="V463" s="106">
        <v>27114.393210162354</v>
      </c>
      <c r="W463" s="10">
        <v>0.49383567672374173</v>
      </c>
      <c r="X463" s="413">
        <v>0.48729456307797875</v>
      </c>
      <c r="Y463" s="414">
        <v>0.27018289806075163</v>
      </c>
      <c r="Z463" s="1"/>
      <c r="AA463" s="1"/>
      <c r="AB463" s="1"/>
      <c r="AC463" s="1"/>
      <c r="AD463" s="1"/>
      <c r="AL463" s="23"/>
      <c r="AM463" s="23"/>
    </row>
    <row r="464" spans="17:39">
      <c r="Q464" s="6">
        <v>434</v>
      </c>
      <c r="R464" s="7">
        <v>43101</v>
      </c>
      <c r="S464" s="210">
        <v>3</v>
      </c>
      <c r="T464" s="8">
        <v>1.0000833333333334</v>
      </c>
      <c r="U464" s="98">
        <v>3.2768718441120281</v>
      </c>
      <c r="V464" s="106">
        <v>27114.950840957343</v>
      </c>
      <c r="W464" s="10">
        <v>0.49799971230248818</v>
      </c>
      <c r="X464" s="413">
        <v>0.49140869120306496</v>
      </c>
      <c r="Y464" s="414">
        <v>0.27015885705040876</v>
      </c>
      <c r="Z464" s="1"/>
      <c r="AA464" s="1"/>
      <c r="AB464" s="1"/>
      <c r="AC464" s="1"/>
      <c r="AD464" s="1"/>
      <c r="AL464" s="23"/>
      <c r="AM464" s="23"/>
    </row>
    <row r="465" spans="17:39">
      <c r="Q465" s="6">
        <v>435</v>
      </c>
      <c r="R465" s="7">
        <v>43102</v>
      </c>
      <c r="S465" s="210">
        <v>3</v>
      </c>
      <c r="T465" s="8">
        <v>1.0000833333333334</v>
      </c>
      <c r="U465" s="98">
        <v>3.2764378749894352</v>
      </c>
      <c r="V465" s="106">
        <v>27115.508483220485</v>
      </c>
      <c r="W465" s="10">
        <v>0.50214477424179726</v>
      </c>
      <c r="X465" s="413">
        <v>0.49550423174280028</v>
      </c>
      <c r="Y465" s="414">
        <v>0.27013497633381112</v>
      </c>
      <c r="Z465" s="1"/>
      <c r="AA465" s="1"/>
      <c r="AB465" s="1"/>
      <c r="AC465" s="1"/>
      <c r="AD465" s="1"/>
      <c r="AL465" s="23"/>
      <c r="AM465" s="23"/>
    </row>
    <row r="466" spans="17:39">
      <c r="Q466" s="6">
        <v>436</v>
      </c>
      <c r="R466" s="7">
        <v>43103</v>
      </c>
      <c r="S466" s="210">
        <v>3</v>
      </c>
      <c r="T466" s="8">
        <v>1.0000833333333334</v>
      </c>
      <c r="U466" s="98">
        <v>3.2760058983619</v>
      </c>
      <c r="V466" s="106">
        <v>27116.066136952024</v>
      </c>
      <c r="W466" s="10">
        <v>0.50627099192492864</v>
      </c>
      <c r="X466" s="413">
        <v>0.49958131261394817</v>
      </c>
      <c r="Y466" s="414">
        <v>0.27011125481215609</v>
      </c>
      <c r="Z466" s="1"/>
      <c r="AA466" s="1"/>
      <c r="AB466" s="1"/>
      <c r="AC466" s="1"/>
      <c r="AD466" s="1"/>
      <c r="AL466" s="23"/>
      <c r="AM466" s="23"/>
    </row>
    <row r="467" spans="17:39">
      <c r="Q467" s="6">
        <v>437</v>
      </c>
      <c r="R467" s="7">
        <v>43104</v>
      </c>
      <c r="S467" s="210">
        <v>3</v>
      </c>
      <c r="T467" s="8">
        <v>1.0000833333333334</v>
      </c>
      <c r="U467" s="98">
        <v>3.2755759005385521</v>
      </c>
      <c r="V467" s="106">
        <v>27116.623802152189</v>
      </c>
      <c r="W467" s="10">
        <v>0.51037849356145859</v>
      </c>
      <c r="X467" s="413">
        <v>0.50364006056240929</v>
      </c>
      <c r="Y467" s="414">
        <v>0.27008769139670147</v>
      </c>
      <c r="Z467" s="1"/>
      <c r="AA467" s="1"/>
      <c r="AB467" s="1"/>
      <c r="AC467" s="1"/>
      <c r="AD467" s="1"/>
      <c r="AL467" s="23"/>
      <c r="AM467" s="23"/>
    </row>
    <row r="468" spans="17:39">
      <c r="Q468" s="6">
        <v>438</v>
      </c>
      <c r="R468" s="7">
        <v>43105</v>
      </c>
      <c r="S468" s="210">
        <v>3</v>
      </c>
      <c r="T468" s="8">
        <v>1.0000833333333334</v>
      </c>
      <c r="U468" s="98">
        <v>3.275147867953665</v>
      </c>
      <c r="V468" s="106">
        <v>27117.181478821221</v>
      </c>
      <c r="W468" s="10">
        <v>0.51446740620055831</v>
      </c>
      <c r="X468" s="413">
        <v>0.50768060117660585</v>
      </c>
      <c r="Y468" s="414">
        <v>0.27006428500864665</v>
      </c>
      <c r="Z468" s="1"/>
      <c r="AA468" s="1"/>
      <c r="AB468" s="1"/>
      <c r="AC468" s="1"/>
      <c r="AD468" s="1"/>
      <c r="AL468" s="23"/>
      <c r="AM468" s="23"/>
    </row>
    <row r="469" spans="17:39">
      <c r="Q469" s="6">
        <v>439</v>
      </c>
      <c r="R469" s="7">
        <v>43106</v>
      </c>
      <c r="S469" s="210">
        <v>3</v>
      </c>
      <c r="T469" s="8">
        <v>1.0000833333333334</v>
      </c>
      <c r="U469" s="98">
        <v>3.2747217871652579</v>
      </c>
      <c r="V469" s="106">
        <v>27117.739166959349</v>
      </c>
      <c r="W469" s="10">
        <v>0.51853785574416111</v>
      </c>
      <c r="X469" s="413">
        <v>0.51170305890066459</v>
      </c>
      <c r="Y469" s="414">
        <v>0.27004103457902207</v>
      </c>
      <c r="Z469" s="1"/>
      <c r="AA469" s="1"/>
      <c r="AB469" s="1"/>
      <c r="AC469" s="1"/>
      <c r="AD469" s="1"/>
      <c r="AL469" s="23"/>
      <c r="AM469" s="23"/>
    </row>
    <row r="470" spans="17:39">
      <c r="Q470" s="6">
        <v>440</v>
      </c>
      <c r="R470" s="7">
        <v>43107</v>
      </c>
      <c r="S470" s="210">
        <v>3</v>
      </c>
      <c r="T470" s="8">
        <v>1.0000833333333334</v>
      </c>
      <c r="U470" s="98">
        <v>3.2742976448536076</v>
      </c>
      <c r="V470" s="106">
        <v>27118.29686656682</v>
      </c>
      <c r="W470" s="10">
        <v>0.52258996695970783</v>
      </c>
      <c r="X470" s="413">
        <v>0.51570755704729265</v>
      </c>
      <c r="Y470" s="414">
        <v>0.27001793904857441</v>
      </c>
      <c r="Z470" s="1"/>
      <c r="AA470" s="1"/>
      <c r="AB470" s="1"/>
      <c r="AC470" s="1"/>
      <c r="AD470" s="1"/>
      <c r="AL470" s="23"/>
      <c r="AM470" s="23"/>
    </row>
    <row r="471" spans="17:39">
      <c r="Q471" s="6">
        <v>441</v>
      </c>
      <c r="R471" s="7">
        <v>43108</v>
      </c>
      <c r="S471" s="210">
        <v>3</v>
      </c>
      <c r="T471" s="8">
        <v>1.0000833333333334</v>
      </c>
      <c r="U471" s="98">
        <v>3.2738754278199389</v>
      </c>
      <c r="V471" s="106">
        <v>27118.854577643855</v>
      </c>
      <c r="W471" s="10">
        <v>0.52662386349315859</v>
      </c>
      <c r="X471" s="413">
        <v>0.51969421781089653</v>
      </c>
      <c r="Y471" s="414">
        <v>0.26999499736766142</v>
      </c>
      <c r="Z471" s="1"/>
      <c r="AA471" s="1"/>
      <c r="AB471" s="1"/>
      <c r="AC471" s="1"/>
      <c r="AD471" s="1"/>
      <c r="AL471" s="23"/>
      <c r="AM471" s="23"/>
    </row>
    <row r="472" spans="17:39">
      <c r="Q472" s="6">
        <v>442</v>
      </c>
      <c r="R472" s="7">
        <v>43109</v>
      </c>
      <c r="S472" s="210">
        <v>3</v>
      </c>
      <c r="T472" s="8">
        <v>1.0000833333333334</v>
      </c>
      <c r="U472" s="98">
        <v>3.2734551229850473</v>
      </c>
      <c r="V472" s="106">
        <v>27119.412300190699</v>
      </c>
      <c r="W472" s="10">
        <v>0.53063966788129413</v>
      </c>
      <c r="X472" s="413">
        <v>0.52366316227986953</v>
      </c>
      <c r="Y472" s="414">
        <v>0.26997220849613657</v>
      </c>
      <c r="Z472" s="1"/>
      <c r="AA472" s="1"/>
      <c r="AB472" s="1"/>
      <c r="AC472" s="1"/>
      <c r="AD472" s="1"/>
      <c r="AL472" s="23"/>
      <c r="AM472" s="23"/>
    </row>
    <row r="473" spans="17:39">
      <c r="Q473" s="6">
        <v>443</v>
      </c>
      <c r="R473" s="7">
        <v>43110</v>
      </c>
      <c r="S473" s="210">
        <v>3</v>
      </c>
      <c r="T473" s="8">
        <v>1.0000833333333334</v>
      </c>
      <c r="U473" s="98">
        <v>3.2730367173879227</v>
      </c>
      <c r="V473" s="106">
        <v>27119.750747366892</v>
      </c>
      <c r="W473" s="10">
        <v>0.53530728040336317</v>
      </c>
      <c r="X473" s="413">
        <v>0.52827586787364811</v>
      </c>
      <c r="Y473" s="414">
        <v>0.26994957140324832</v>
      </c>
      <c r="Z473" s="1"/>
      <c r="AA473" s="1"/>
      <c r="AB473" s="1"/>
      <c r="AC473" s="1"/>
      <c r="AD473" s="1"/>
      <c r="AL473" s="23"/>
      <c r="AM473" s="23"/>
    </row>
    <row r="474" spans="17:39">
      <c r="Q474" s="6">
        <v>444</v>
      </c>
      <c r="R474" s="7">
        <v>43111</v>
      </c>
      <c r="S474" s="210">
        <v>3</v>
      </c>
      <c r="T474" s="8">
        <v>1.0000833333333334</v>
      </c>
      <c r="U474" s="98">
        <v>3.2726201981843728</v>
      </c>
      <c r="V474" s="106">
        <v>27120.089198766869</v>
      </c>
      <c r="W474" s="10">
        <v>0.53995408289777558</v>
      </c>
      <c r="X474" s="413">
        <v>0.53286820516528133</v>
      </c>
      <c r="Y474" s="414">
        <v>0.26992708506753127</v>
      </c>
      <c r="Z474" s="1"/>
      <c r="AA474" s="1"/>
      <c r="AB474" s="1"/>
      <c r="AC474" s="1"/>
      <c r="AD474" s="1"/>
      <c r="AL474" s="23"/>
      <c r="AM474" s="23"/>
    </row>
    <row r="475" spans="17:39">
      <c r="Q475" s="6">
        <v>445</v>
      </c>
      <c r="R475" s="7">
        <v>43112</v>
      </c>
      <c r="S475" s="210">
        <v>3</v>
      </c>
      <c r="T475" s="8">
        <v>1.0000833333333334</v>
      </c>
      <c r="U475" s="98">
        <v>3.272205552645846</v>
      </c>
      <c r="V475" s="106">
        <v>27120.427654390682</v>
      </c>
      <c r="W475" s="10">
        <v>0.54458021421881497</v>
      </c>
      <c r="X475" s="413">
        <v>0.53744031149808646</v>
      </c>
      <c r="Y475" s="414">
        <v>0.26990474847669993</v>
      </c>
      <c r="Z475" s="1"/>
      <c r="AA475" s="1"/>
      <c r="AB475" s="1"/>
      <c r="AC475" s="1"/>
      <c r="AD475" s="1"/>
      <c r="AL475" s="23"/>
      <c r="AM475" s="23"/>
    </row>
    <row r="476" spans="17:39">
      <c r="Q476" s="6">
        <v>446</v>
      </c>
      <c r="R476" s="7">
        <v>43113</v>
      </c>
      <c r="S476" s="210">
        <v>3</v>
      </c>
      <c r="T476" s="8">
        <v>1.0000833333333334</v>
      </c>
      <c r="U476" s="98">
        <v>3.2717927681579884</v>
      </c>
      <c r="V476" s="106">
        <v>27120.76611423838</v>
      </c>
      <c r="W476" s="10">
        <v>0.54918581198823979</v>
      </c>
      <c r="X476" s="413">
        <v>0.54199232298369149</v>
      </c>
      <c r="Y476" s="414">
        <v>0.26988256062755089</v>
      </c>
      <c r="Z476" s="1"/>
      <c r="AA476" s="1"/>
      <c r="AB476" s="1"/>
      <c r="AC476" s="1"/>
      <c r="AD476" s="1"/>
      <c r="AL476" s="23"/>
      <c r="AM476" s="23"/>
    </row>
    <row r="477" spans="17:39">
      <c r="Q477" s="6">
        <v>447</v>
      </c>
      <c r="R477" s="7">
        <v>43114</v>
      </c>
      <c r="S477" s="210">
        <v>3</v>
      </c>
      <c r="T477" s="8">
        <v>1.0000833333333334</v>
      </c>
      <c r="U477" s="98">
        <v>3.2713818322194665</v>
      </c>
      <c r="V477" s="106">
        <v>27121.104578310023</v>
      </c>
      <c r="W477" s="10">
        <v>0.5537710126088502</v>
      </c>
      <c r="X477" s="413">
        <v>0.5465243745156162</v>
      </c>
      <c r="Y477" s="414">
        <v>0.26986052052585641</v>
      </c>
      <c r="Z477" s="1"/>
      <c r="AA477" s="1"/>
      <c r="AB477" s="1"/>
      <c r="AC477" s="1"/>
      <c r="AD477" s="1"/>
      <c r="AL477" s="23"/>
      <c r="AM477" s="23"/>
    </row>
    <row r="478" spans="17:39">
      <c r="Q478" s="6">
        <v>448</v>
      </c>
      <c r="R478" s="7">
        <v>43115</v>
      </c>
      <c r="S478" s="210">
        <v>3</v>
      </c>
      <c r="T478" s="8">
        <v>1.0000833333333334</v>
      </c>
      <c r="U478" s="98">
        <v>3.2709727324406135</v>
      </c>
      <c r="V478" s="106">
        <v>27121.443046605655</v>
      </c>
      <c r="W478" s="10">
        <v>0.55833595127809943</v>
      </c>
      <c r="X478" s="413">
        <v>0.55103659978311681</v>
      </c>
      <c r="Y478" s="414">
        <v>0.26983862718626711</v>
      </c>
      <c r="Z478" s="1"/>
      <c r="AA478" s="1"/>
      <c r="AB478" s="1"/>
      <c r="AC478" s="1"/>
      <c r="AD478" s="1"/>
      <c r="AL478" s="23"/>
      <c r="AM478" s="23"/>
    </row>
    <row r="479" spans="17:39">
      <c r="Q479" s="6">
        <v>449</v>
      </c>
      <c r="R479" s="7">
        <v>43116</v>
      </c>
      <c r="S479" s="210">
        <v>3.0055555555555555</v>
      </c>
      <c r="T479" s="8">
        <v>1.000083487654321</v>
      </c>
      <c r="U479" s="98">
        <v>3.2705784107804448</v>
      </c>
      <c r="V479" s="106">
        <v>27121.781519125328</v>
      </c>
      <c r="W479" s="10">
        <v>0.56289337658794736</v>
      </c>
      <c r="X479" s="413">
        <v>0.55554158915094243</v>
      </c>
      <c r="Y479" s="414">
        <v>0.2698179522791439</v>
      </c>
      <c r="Z479" s="1"/>
      <c r="AA479" s="1"/>
      <c r="AB479" s="1"/>
      <c r="AC479" s="1"/>
      <c r="AD479" s="1"/>
      <c r="AL479" s="23"/>
      <c r="AM479" s="23"/>
    </row>
    <row r="480" spans="17:39">
      <c r="Q480" s="6">
        <v>450</v>
      </c>
      <c r="R480" s="7">
        <v>43117</v>
      </c>
      <c r="S480" s="210">
        <v>3.0111111111111111</v>
      </c>
      <c r="T480" s="8">
        <v>1.0000836419753087</v>
      </c>
      <c r="U480" s="98">
        <v>3.2701987685580525</v>
      </c>
      <c r="V480" s="106">
        <v>27122.11999586911</v>
      </c>
      <c r="W480" s="10">
        <v>0.56744333896907584</v>
      </c>
      <c r="X480" s="413">
        <v>0.56003939353297838</v>
      </c>
      <c r="Y480" s="414">
        <v>0.26979848795351352</v>
      </c>
      <c r="Z480" s="1"/>
      <c r="AA480" s="1"/>
      <c r="AB480" s="1"/>
      <c r="AC480" s="1"/>
      <c r="AD480" s="1"/>
      <c r="AL480" s="23"/>
      <c r="AM480" s="23"/>
    </row>
    <row r="481" spans="17:39">
      <c r="Q481" s="6">
        <v>451</v>
      </c>
      <c r="R481" s="7">
        <v>43118</v>
      </c>
      <c r="S481" s="210">
        <v>3.0166666666666666</v>
      </c>
      <c r="T481" s="8">
        <v>1.0000837962962963</v>
      </c>
      <c r="U481" s="98">
        <v>3.2698337079739792</v>
      </c>
      <c r="V481" s="106">
        <v>27122.458476837033</v>
      </c>
      <c r="W481" s="10">
        <v>0.57198588840678966</v>
      </c>
      <c r="X481" s="413">
        <v>0.56453006339785505</v>
      </c>
      <c r="Y481" s="414">
        <v>0.26978022642857358</v>
      </c>
      <c r="Z481" s="1"/>
      <c r="AA481" s="1"/>
      <c r="AB481" s="1"/>
      <c r="AC481" s="1"/>
      <c r="AD481" s="1"/>
      <c r="AL481" s="23"/>
      <c r="AM481" s="23"/>
    </row>
    <row r="482" spans="17:39">
      <c r="Q482" s="6">
        <v>452</v>
      </c>
      <c r="R482" s="7">
        <v>43119</v>
      </c>
      <c r="S482" s="210">
        <v>3.0222222222222221</v>
      </c>
      <c r="T482" s="8">
        <v>1.0000839506172841</v>
      </c>
      <c r="U482" s="98">
        <v>3.2694831321004258</v>
      </c>
      <c r="V482" s="106">
        <v>27122.79696202917</v>
      </c>
      <c r="W482" s="10">
        <v>0.57652107444550182</v>
      </c>
      <c r="X482" s="413">
        <v>0.56901364877341376</v>
      </c>
      <c r="Y482" s="414">
        <v>0.26976315999291622</v>
      </c>
      <c r="Z482" s="1"/>
      <c r="AA482" s="1"/>
      <c r="AB482" s="1"/>
      <c r="AC482" s="1"/>
      <c r="AD482" s="1"/>
      <c r="AL482" s="23"/>
      <c r="AM482" s="23"/>
    </row>
    <row r="483" spans="17:39">
      <c r="Q483" s="6">
        <v>453</v>
      </c>
      <c r="R483" s="7">
        <v>43120</v>
      </c>
      <c r="S483" s="210">
        <v>3.0277777777777777</v>
      </c>
      <c r="T483" s="8">
        <v>1.0000841049382716</v>
      </c>
      <c r="U483" s="98">
        <v>3.2691469448715038</v>
      </c>
      <c r="V483" s="106">
        <v>27123.135451445556</v>
      </c>
      <c r="W483" s="10">
        <v>0.58104894619406267</v>
      </c>
      <c r="X483" s="413">
        <v>0.57349019925210187</v>
      </c>
      <c r="Y483" s="414">
        <v>0.26974728100376227</v>
      </c>
      <c r="Z483" s="1"/>
      <c r="AA483" s="1"/>
      <c r="AB483" s="1"/>
      <c r="AC483" s="1"/>
      <c r="AD483" s="1"/>
      <c r="AL483" s="23"/>
      <c r="AM483" s="23"/>
    </row>
    <row r="484" spans="17:39">
      <c r="Q484" s="6">
        <v>454</v>
      </c>
      <c r="R484" s="7">
        <v>43121</v>
      </c>
      <c r="S484" s="210">
        <v>3.0333333333333332</v>
      </c>
      <c r="T484" s="8">
        <v>1.0000842592592594</v>
      </c>
      <c r="U484" s="98">
        <v>3.2688250510737316</v>
      </c>
      <c r="V484" s="106">
        <v>27123.473945086254</v>
      </c>
      <c r="W484" s="10">
        <v>0.5855695523302229</v>
      </c>
      <c r="X484" s="413">
        <v>0.57795976399536197</v>
      </c>
      <c r="Y484" s="414">
        <v>0.26973258188620836</v>
      </c>
      <c r="Z484" s="1"/>
      <c r="AA484" s="1"/>
      <c r="AB484" s="1"/>
      <c r="AC484" s="1"/>
      <c r="AD484" s="1"/>
      <c r="AL484" s="23"/>
      <c r="AM484" s="23"/>
    </row>
    <row r="485" spans="17:39">
      <c r="Q485" s="6">
        <v>455</v>
      </c>
      <c r="R485" s="7">
        <v>43122</v>
      </c>
      <c r="S485" s="210">
        <v>3.0388888888888888</v>
      </c>
      <c r="T485" s="8">
        <v>1.0000844135802469</v>
      </c>
      <c r="U485" s="98">
        <v>3.2685173563365755</v>
      </c>
      <c r="V485" s="106">
        <v>27123.812442951315</v>
      </c>
      <c r="W485" s="10">
        <v>0.59008294110538539</v>
      </c>
      <c r="X485" s="413">
        <v>0.58242239173850952</v>
      </c>
      <c r="Y485" s="414">
        <v>0.26971905513247635</v>
      </c>
      <c r="Z485" s="1"/>
      <c r="AA485" s="1"/>
      <c r="AB485" s="1"/>
      <c r="AC485" s="1"/>
      <c r="AD485" s="1"/>
      <c r="AL485" s="23"/>
      <c r="AM485" s="23"/>
    </row>
    <row r="486" spans="17:39">
      <c r="Q486" s="6">
        <v>456</v>
      </c>
      <c r="R486" s="7">
        <v>43123</v>
      </c>
      <c r="S486" s="210">
        <v>3.0444444444444443</v>
      </c>
      <c r="T486" s="8">
        <v>1.0000845679012347</v>
      </c>
      <c r="U486" s="98">
        <v>3.2682237671231462</v>
      </c>
      <c r="V486" s="106">
        <v>27124.150945040787</v>
      </c>
      <c r="W486" s="10">
        <v>0.59458916034949016</v>
      </c>
      <c r="X486" s="413">
        <v>0.58687813079556272</v>
      </c>
      <c r="Y486" s="414">
        <v>0.26970669330118369</v>
      </c>
      <c r="Z486" s="1"/>
      <c r="AA486" s="1"/>
      <c r="AB486" s="1"/>
      <c r="AC486" s="1"/>
      <c r="AD486" s="1"/>
      <c r="AL486" s="23"/>
      <c r="AM486" s="23"/>
    </row>
    <row r="487" spans="17:39">
      <c r="Q487" s="6">
        <v>457</v>
      </c>
      <c r="R487" s="7">
        <v>43124</v>
      </c>
      <c r="S487" s="210">
        <v>3.05</v>
      </c>
      <c r="T487" s="8">
        <v>1.0000847222222222</v>
      </c>
      <c r="U487" s="98">
        <v>3.2679441907209839</v>
      </c>
      <c r="V487" s="106">
        <v>27124.48945135473</v>
      </c>
      <c r="W487" s="10">
        <v>0.59908825747521099</v>
      </c>
      <c r="X487" s="413">
        <v>0.59132702906351953</v>
      </c>
      <c r="Y487" s="414">
        <v>0.26969548901661061</v>
      </c>
      <c r="Z487" s="1"/>
      <c r="AA487" s="1"/>
      <c r="AB487" s="1"/>
      <c r="AC487" s="1"/>
      <c r="AD487" s="1"/>
      <c r="AL487" s="23"/>
      <c r="AM487" s="23"/>
    </row>
    <row r="488" spans="17:39">
      <c r="Q488" s="6">
        <v>458</v>
      </c>
      <c r="R488" s="7">
        <v>43125</v>
      </c>
      <c r="S488" s="210">
        <v>3.0555555555555554</v>
      </c>
      <c r="T488" s="8">
        <v>1.0000848765432098</v>
      </c>
      <c r="U488" s="98">
        <v>3.2676785352330651</v>
      </c>
      <c r="V488" s="106">
        <v>27124.827961893192</v>
      </c>
      <c r="W488" s="10">
        <v>0.60358027948290705</v>
      </c>
      <c r="X488" s="413">
        <v>0.59576913402725951</v>
      </c>
      <c r="Y488" s="414">
        <v>0.26968543496798797</v>
      </c>
      <c r="Z488" s="1"/>
      <c r="AA488" s="1"/>
      <c r="AB488" s="1"/>
      <c r="AC488" s="1"/>
      <c r="AD488" s="1"/>
      <c r="AL488" s="23"/>
      <c r="AM488" s="23"/>
    </row>
    <row r="489" spans="17:39">
      <c r="Q489" s="6">
        <v>459</v>
      </c>
      <c r="R489" s="7">
        <v>43126</v>
      </c>
      <c r="S489" s="210">
        <v>3.0611111111111109</v>
      </c>
      <c r="T489" s="8">
        <v>1.0000850308641975</v>
      </c>
      <c r="U489" s="98">
        <v>3.2674267095688103</v>
      </c>
      <c r="V489" s="106">
        <v>27125.166476656232</v>
      </c>
      <c r="W489" s="10">
        <v>0.60806527296481949</v>
      </c>
      <c r="X489" s="413">
        <v>0.60020449276378907</v>
      </c>
      <c r="Y489" s="414">
        <v>0.26967652390878971</v>
      </c>
      <c r="Z489" s="1"/>
      <c r="AA489" s="1"/>
      <c r="AB489" s="1"/>
      <c r="AC489" s="1"/>
      <c r="AD489" s="1"/>
      <c r="AL489" s="23"/>
      <c r="AM489" s="23"/>
    </row>
    <row r="490" spans="17:39">
      <c r="Q490" s="6">
        <v>460</v>
      </c>
      <c r="R490" s="7">
        <v>43127</v>
      </c>
      <c r="S490" s="210">
        <v>3.0666666666666669</v>
      </c>
      <c r="T490" s="8">
        <v>1.0000851851851851</v>
      </c>
      <c r="U490" s="98">
        <v>3.2671886234352021</v>
      </c>
      <c r="V490" s="106">
        <v>27125.504995643889</v>
      </c>
      <c r="W490" s="10">
        <v>0.61254328410966785</v>
      </c>
      <c r="X490" s="413">
        <v>0.60463315194684908</v>
      </c>
      <c r="Y490" s="414">
        <v>0.26966874865603158</v>
      </c>
      <c r="Z490" s="1"/>
      <c r="AA490" s="1"/>
      <c r="AB490" s="1"/>
      <c r="AC490" s="1"/>
      <c r="AD490" s="1"/>
      <c r="AL490" s="23"/>
      <c r="AM490" s="23"/>
    </row>
    <row r="491" spans="17:39">
      <c r="Q491" s="6">
        <v>461</v>
      </c>
      <c r="R491" s="7">
        <v>43128</v>
      </c>
      <c r="S491" s="210">
        <v>3.0722222222222224</v>
      </c>
      <c r="T491" s="8">
        <v>1.0000853395061728</v>
      </c>
      <c r="U491" s="98">
        <v>3.2669641873282584</v>
      </c>
      <c r="V491" s="106">
        <v>27125.843518856233</v>
      </c>
      <c r="W491" s="10">
        <v>0.61701435870680221</v>
      </c>
      <c r="X491" s="413">
        <v>0.60905515785109765</v>
      </c>
      <c r="Y491" s="414">
        <v>0.26966210208958769</v>
      </c>
      <c r="Z491" s="1"/>
      <c r="AA491" s="1"/>
      <c r="AB491" s="1"/>
      <c r="AC491" s="1"/>
      <c r="AD491" s="1"/>
      <c r="AL491" s="23"/>
      <c r="AM491" s="23"/>
    </row>
    <row r="492" spans="17:39">
      <c r="Q492" s="6">
        <v>462</v>
      </c>
      <c r="R492" s="7">
        <v>43129</v>
      </c>
      <c r="S492" s="210">
        <v>3.0777777777777779</v>
      </c>
      <c r="T492" s="8">
        <v>1.0000854938271604</v>
      </c>
      <c r="U492" s="98">
        <v>3.2667533125241954</v>
      </c>
      <c r="V492" s="106">
        <v>27126.182046293303</v>
      </c>
      <c r="W492" s="10">
        <v>0.62147854215073295</v>
      </c>
      <c r="X492" s="413">
        <v>0.61347055635663661</v>
      </c>
      <c r="Y492" s="414">
        <v>0.26965657715150315</v>
      </c>
      <c r="Z492" s="1"/>
      <c r="AA492" s="1"/>
      <c r="AB492" s="1"/>
      <c r="AC492" s="1"/>
      <c r="AD492" s="1"/>
      <c r="AL492" s="23"/>
      <c r="AM492" s="23"/>
    </row>
    <row r="493" spans="17:39">
      <c r="Q493" s="6">
        <v>463</v>
      </c>
      <c r="R493" s="7">
        <v>43130</v>
      </c>
      <c r="S493" s="210">
        <v>3.0833333333333335</v>
      </c>
      <c r="T493" s="8">
        <v>1.0000856481481482</v>
      </c>
      <c r="U493" s="98">
        <v>3.2665559110711229</v>
      </c>
      <c r="V493" s="106">
        <v>27126.520577955154</v>
      </c>
      <c r="W493" s="10">
        <v>0.62593587944523854</v>
      </c>
      <c r="X493" s="413">
        <v>0.61787939295316929</v>
      </c>
      <c r="Y493" s="414">
        <v>0.26965216684532983</v>
      </c>
      <c r="Z493" s="1"/>
      <c r="AA493" s="1"/>
      <c r="AB493" s="1"/>
      <c r="AC493" s="1"/>
      <c r="AD493" s="1"/>
      <c r="AL493" s="23"/>
      <c r="AM493" s="23"/>
    </row>
    <row r="494" spans="17:39">
      <c r="Q494" s="6">
        <v>464</v>
      </c>
      <c r="R494" s="7">
        <v>43131</v>
      </c>
      <c r="S494" s="210">
        <v>3.088888888888889</v>
      </c>
      <c r="T494" s="8">
        <v>1.0000858024691357</v>
      </c>
      <c r="U494" s="98">
        <v>3.2663718957805843</v>
      </c>
      <c r="V494" s="106">
        <v>27126.859113841849</v>
      </c>
      <c r="W494" s="10">
        <v>0.63038641520756222</v>
      </c>
      <c r="X494" s="413">
        <v>0.62228171274412081</v>
      </c>
      <c r="Y494" s="414">
        <v>0.26964886423545781</v>
      </c>
      <c r="Z494" s="1"/>
      <c r="AA494" s="1"/>
      <c r="AB494" s="1"/>
      <c r="AC494" s="1"/>
      <c r="AD494" s="1"/>
      <c r="AL494" s="23"/>
      <c r="AM494" s="23"/>
    </row>
    <row r="495" spans="17:39">
      <c r="Q495" s="6">
        <v>465</v>
      </c>
      <c r="R495" s="7">
        <v>43132</v>
      </c>
      <c r="S495" s="210">
        <v>3.0944444444444446</v>
      </c>
      <c r="T495" s="8">
        <v>1.0000859567901235</v>
      </c>
      <c r="U495" s="98">
        <v>3.2662011802193414</v>
      </c>
      <c r="V495" s="106">
        <v>27127.197653953426</v>
      </c>
      <c r="W495" s="10">
        <v>0.63483019367271964</v>
      </c>
      <c r="X495" s="413">
        <v>0.62667756045108436</v>
      </c>
      <c r="Y495" s="414">
        <v>0.26964666244646979</v>
      </c>
      <c r="Z495" s="1"/>
      <c r="AA495" s="1"/>
      <c r="AB495" s="1"/>
      <c r="AC495" s="1"/>
      <c r="AD495" s="1"/>
      <c r="AL495" s="23"/>
      <c r="AM495" s="23"/>
    </row>
    <row r="496" spans="17:39">
      <c r="Q496" s="6">
        <v>466</v>
      </c>
      <c r="R496" s="7">
        <v>43133</v>
      </c>
      <c r="S496" s="210">
        <v>3.1</v>
      </c>
      <c r="T496" s="8">
        <v>1.000086111111111</v>
      </c>
      <c r="U496" s="98">
        <v>3.2660436787011582</v>
      </c>
      <c r="V496" s="106">
        <v>27127.536198289949</v>
      </c>
      <c r="W496" s="10">
        <v>0.63926725869725143</v>
      </c>
      <c r="X496" s="413">
        <v>0.63106698041748865</v>
      </c>
      <c r="Y496" s="414">
        <v>0.26964555466248241</v>
      </c>
      <c r="Z496" s="1"/>
      <c r="AA496" s="1"/>
      <c r="AB496" s="1"/>
      <c r="AC496" s="1"/>
      <c r="AD496" s="1"/>
      <c r="AL496" s="23"/>
      <c r="AM496" s="23"/>
    </row>
    <row r="497" spans="17:39">
      <c r="Q497" s="6">
        <v>467</v>
      </c>
      <c r="R497" s="7">
        <v>43134</v>
      </c>
      <c r="S497" s="210">
        <v>3.1055555555555556</v>
      </c>
      <c r="T497" s="8">
        <v>1.0000862654320988</v>
      </c>
      <c r="U497" s="98">
        <v>3.2658993062787856</v>
      </c>
      <c r="V497" s="106">
        <v>27127.874746851467</v>
      </c>
      <c r="W497" s="10">
        <v>0.64369765376366406</v>
      </c>
      <c r="X497" s="413">
        <v>0.63545001661310929</v>
      </c>
      <c r="Y497" s="414">
        <v>0.26964553412652303</v>
      </c>
      <c r="Z497" s="1"/>
      <c r="AA497" s="1"/>
      <c r="AB497" s="1"/>
      <c r="AC497" s="1"/>
      <c r="AD497" s="1"/>
      <c r="AL497" s="23"/>
      <c r="AM497" s="23"/>
    </row>
    <row r="498" spans="17:39">
      <c r="Q498" s="6">
        <v>468</v>
      </c>
      <c r="R498" s="7">
        <v>43135</v>
      </c>
      <c r="S498" s="210">
        <v>3.1111111111111112</v>
      </c>
      <c r="T498" s="8">
        <v>1.0000864197530863</v>
      </c>
      <c r="U498" s="98">
        <v>3.2657679787360117</v>
      </c>
      <c r="V498" s="106">
        <v>27128.213299638035</v>
      </c>
      <c r="W498" s="10">
        <v>0.64812142198411582</v>
      </c>
      <c r="X498" s="413">
        <v>0.63982671263773661</v>
      </c>
      <c r="Y498" s="414">
        <v>0.269646594139892</v>
      </c>
      <c r="Z498" s="1"/>
      <c r="AA498" s="1"/>
      <c r="AB498" s="1"/>
      <c r="AC498" s="1"/>
      <c r="AD498" s="1"/>
      <c r="AL498" s="23"/>
      <c r="AM498" s="23"/>
    </row>
    <row r="499" spans="17:39">
      <c r="Q499" s="6">
        <v>469</v>
      </c>
      <c r="R499" s="7">
        <v>43136</v>
      </c>
      <c r="S499" s="210">
        <v>3.1166666666666667</v>
      </c>
      <c r="T499" s="8">
        <v>1.0000865740740741</v>
      </c>
      <c r="U499" s="98">
        <v>3.265649612579824</v>
      </c>
      <c r="V499" s="106">
        <v>27128.551856649698</v>
      </c>
      <c r="W499" s="10">
        <v>0.65253860610445802</v>
      </c>
      <c r="X499" s="413">
        <v>0.64419711172523852</v>
      </c>
      <c r="Y499" s="414">
        <v>0.26964872806154394</v>
      </c>
      <c r="Z499" s="1"/>
      <c r="AA499" s="1"/>
      <c r="AB499" s="1"/>
      <c r="AC499" s="1"/>
      <c r="AD499" s="1"/>
      <c r="AL499" s="23"/>
      <c r="AM499" s="23"/>
    </row>
    <row r="500" spans="17:39">
      <c r="Q500" s="6">
        <v>470</v>
      </c>
      <c r="R500" s="7">
        <v>43137</v>
      </c>
      <c r="S500" s="210">
        <v>3.1222222222222222</v>
      </c>
      <c r="T500" s="8">
        <v>1.0000867283950616</v>
      </c>
      <c r="U500" s="98">
        <v>3.2655441250326156</v>
      </c>
      <c r="V500" s="106">
        <v>27128.890417886512</v>
      </c>
      <c r="W500" s="10">
        <v>0.65694924850805414</v>
      </c>
      <c r="X500" s="413">
        <v>0.64856125674740306</v>
      </c>
      <c r="Y500" s="414">
        <v>0.26965192930747334</v>
      </c>
      <c r="Z500" s="1"/>
      <c r="AA500" s="1"/>
      <c r="AB500" s="1"/>
      <c r="AC500" s="1"/>
      <c r="AD500" s="1"/>
      <c r="AL500" s="23"/>
      <c r="AM500" s="23"/>
    </row>
    <row r="501" spans="17:39">
      <c r="Q501" s="6">
        <v>471</v>
      </c>
      <c r="R501" s="7">
        <v>43138</v>
      </c>
      <c r="S501" s="210">
        <v>3.1277777777777778</v>
      </c>
      <c r="T501" s="8">
        <v>1.0000868827160494</v>
      </c>
      <c r="U501" s="98">
        <v>3.2654514340246354</v>
      </c>
      <c r="V501" s="106">
        <v>27129.228983348541</v>
      </c>
      <c r="W501" s="10">
        <v>0.66135339121977665</v>
      </c>
      <c r="X501" s="413">
        <v>0.65291919021793432</v>
      </c>
      <c r="Y501" s="414">
        <v>0.26965619135011437</v>
      </c>
      <c r="Z501" s="1"/>
      <c r="AA501" s="1"/>
      <c r="AB501" s="1"/>
      <c r="AC501" s="1"/>
      <c r="AD501" s="1"/>
      <c r="AL501" s="23"/>
      <c r="AM501" s="23"/>
    </row>
    <row r="502" spans="17:39">
      <c r="Q502" s="6">
        <v>472</v>
      </c>
      <c r="R502" s="7">
        <v>43139</v>
      </c>
      <c r="S502" s="210">
        <v>3.1333333333333333</v>
      </c>
      <c r="T502" s="8">
        <v>1.0000870370370369</v>
      </c>
      <c r="U502" s="98">
        <v>3.2653714581862614</v>
      </c>
      <c r="V502" s="106">
        <v>27129.56755303582</v>
      </c>
      <c r="W502" s="10">
        <v>0.66575107590962634</v>
      </c>
      <c r="X502" s="413">
        <v>0.65727095429609395</v>
      </c>
      <c r="Y502" s="414">
        <v>0.26966150771773334</v>
      </c>
      <c r="Z502" s="1"/>
      <c r="AA502" s="1"/>
      <c r="AB502" s="1"/>
      <c r="AC502" s="1"/>
      <c r="AD502" s="1"/>
      <c r="AL502" s="23"/>
      <c r="AM502" s="23"/>
    </row>
    <row r="503" spans="17:39">
      <c r="Q503" s="6">
        <v>473</v>
      </c>
      <c r="R503" s="7">
        <v>43140</v>
      </c>
      <c r="S503" s="210">
        <v>3.1388888888888888</v>
      </c>
      <c r="T503" s="8">
        <v>1.0000871913580247</v>
      </c>
      <c r="U503" s="98">
        <v>3.2653041168407837</v>
      </c>
      <c r="V503" s="106">
        <v>27129.906126948415</v>
      </c>
      <c r="W503" s="10">
        <v>0.67014234389646266</v>
      </c>
      <c r="X503" s="413">
        <v>0.66161659079041335</v>
      </c>
      <c r="Y503" s="414">
        <v>0.26966787199384967</v>
      </c>
      <c r="Z503" s="1"/>
      <c r="AA503" s="1"/>
      <c r="AB503" s="1"/>
      <c r="AC503" s="1"/>
      <c r="AD503" s="1"/>
      <c r="AL503" s="23"/>
      <c r="AM503" s="23"/>
    </row>
    <row r="504" spans="17:39">
      <c r="Q504" s="6">
        <v>474</v>
      </c>
      <c r="R504" s="7">
        <v>43141</v>
      </c>
      <c r="S504" s="210">
        <v>3.1444444444444444</v>
      </c>
      <c r="T504" s="8">
        <v>1.0000873456790123</v>
      </c>
      <c r="U504" s="98">
        <v>3.2652493299968555</v>
      </c>
      <c r="V504" s="106">
        <v>27132.244972190339</v>
      </c>
      <c r="W504" s="10">
        <v>0.66881192253887001</v>
      </c>
      <c r="X504" s="413">
        <v>0.66030783926665826</v>
      </c>
      <c r="Y504" s="414">
        <v>0.26967527781664469</v>
      </c>
      <c r="Z504" s="1"/>
      <c r="AA504" s="1"/>
      <c r="AB504" s="1"/>
      <c r="AC504" s="1"/>
      <c r="AD504" s="1"/>
      <c r="AL504" s="23"/>
      <c r="AM504" s="23"/>
    </row>
    <row r="505" spans="17:39">
      <c r="Q505" s="6">
        <v>475</v>
      </c>
      <c r="R505" s="7">
        <v>43142</v>
      </c>
      <c r="S505" s="210">
        <v>3.15</v>
      </c>
      <c r="T505" s="8">
        <v>1.0000875</v>
      </c>
      <c r="U505" s="98">
        <v>3.2652070183413207</v>
      </c>
      <c r="V505" s="106">
        <v>27134.584019062047</v>
      </c>
      <c r="W505" s="10">
        <v>0.66749905688663347</v>
      </c>
      <c r="X505" s="413">
        <v>0.65901639494869613</v>
      </c>
      <c r="Y505" s="414">
        <v>0.26968371887839315</v>
      </c>
      <c r="Z505" s="1"/>
      <c r="AA505" s="1"/>
      <c r="AB505" s="1"/>
      <c r="AC505" s="1"/>
      <c r="AD505" s="1"/>
      <c r="AL505" s="23"/>
      <c r="AM505" s="23"/>
    </row>
    <row r="506" spans="17:39">
      <c r="Q506" s="6">
        <v>476</v>
      </c>
      <c r="R506" s="7">
        <v>43143</v>
      </c>
      <c r="S506" s="210">
        <v>3.1555555555555554</v>
      </c>
      <c r="T506" s="8">
        <v>1.0000876543209876</v>
      </c>
      <c r="U506" s="98">
        <v>3.2651771032320198</v>
      </c>
      <c r="V506" s="106">
        <v>27136.923267580922</v>
      </c>
      <c r="W506" s="10">
        <v>0.66620363571854302</v>
      </c>
      <c r="X506" s="413">
        <v>0.65774214880122894</v>
      </c>
      <c r="Y506" s="414">
        <v>0.26969318892488964</v>
      </c>
      <c r="Z506" s="1"/>
      <c r="AA506" s="1"/>
      <c r="AB506" s="1"/>
      <c r="AC506" s="1"/>
      <c r="AD506" s="1"/>
      <c r="AL506" s="23"/>
      <c r="AM506" s="23"/>
    </row>
    <row r="507" spans="17:39">
      <c r="Q507" s="6">
        <v>477</v>
      </c>
      <c r="R507" s="7">
        <v>43144</v>
      </c>
      <c r="S507" s="210">
        <v>3.161111111111111</v>
      </c>
      <c r="T507" s="8">
        <v>1.0000878086419753</v>
      </c>
      <c r="U507" s="98">
        <v>3.2651595066907513</v>
      </c>
      <c r="V507" s="106">
        <v>27139.262717764341</v>
      </c>
      <c r="W507" s="10">
        <v>0.66492554875507981</v>
      </c>
      <c r="X507" s="413">
        <v>0.65648499270878014</v>
      </c>
      <c r="Y507" s="414">
        <v>0.26970368175489284</v>
      </c>
      <c r="Z507" s="1"/>
      <c r="AA507" s="1"/>
      <c r="AB507" s="1"/>
      <c r="AC507" s="1"/>
      <c r="AD507" s="1"/>
      <c r="AL507" s="23"/>
      <c r="AM507" s="23"/>
    </row>
    <row r="508" spans="17:39">
      <c r="Q508" s="6">
        <v>478</v>
      </c>
      <c r="R508" s="7">
        <v>43145</v>
      </c>
      <c r="S508" s="210">
        <v>3.1666666666666665</v>
      </c>
      <c r="T508" s="8">
        <v>1.0000879629629629</v>
      </c>
      <c r="U508" s="98">
        <v>3.2651541513961657</v>
      </c>
      <c r="V508" s="106">
        <v>27141.602369629691</v>
      </c>
      <c r="W508" s="10">
        <v>0.66366468664849076</v>
      </c>
      <c r="X508" s="413">
        <v>0.6552448194660403</v>
      </c>
      <c r="Y508" s="414">
        <v>0.26971519121956616</v>
      </c>
      <c r="Z508" s="1"/>
      <c r="AA508" s="1"/>
      <c r="AB508" s="1"/>
      <c r="AC508" s="1"/>
      <c r="AD508" s="1"/>
      <c r="AL508" s="23"/>
      <c r="AM508" s="23"/>
    </row>
    <row r="509" spans="17:39">
      <c r="Q509" s="6">
        <v>479</v>
      </c>
      <c r="R509" s="7">
        <v>43146</v>
      </c>
      <c r="S509" s="210">
        <v>3.1722222222222221</v>
      </c>
      <c r="T509" s="8">
        <v>1.0000881172839506</v>
      </c>
      <c r="U509" s="98">
        <v>3.2651609606769938</v>
      </c>
      <c r="V509" s="106">
        <v>27143.942223194372</v>
      </c>
      <c r="W509" s="10">
        <v>0.66242094097295201</v>
      </c>
      <c r="X509" s="413">
        <v>0.65402152276833314</v>
      </c>
      <c r="Y509" s="414">
        <v>0.26972771122193639</v>
      </c>
      <c r="Z509" s="1"/>
      <c r="AA509" s="1"/>
      <c r="AB509" s="1"/>
      <c r="AC509" s="1"/>
      <c r="AD509" s="1"/>
      <c r="AL509" s="23"/>
      <c r="AM509" s="23"/>
    </row>
    <row r="510" spans="17:39">
      <c r="Q510" s="6">
        <v>480</v>
      </c>
      <c r="R510" s="7">
        <v>43147</v>
      </c>
      <c r="S510" s="210">
        <v>3.1777777777777776</v>
      </c>
      <c r="T510" s="8">
        <v>1.0000882716049382</v>
      </c>
      <c r="U510" s="98">
        <v>3.2651798585051406</v>
      </c>
      <c r="V510" s="106">
        <v>27146.282278475752</v>
      </c>
      <c r="W510" s="10">
        <v>0.66119420421488773</v>
      </c>
      <c r="X510" s="413">
        <v>0.65281499720225011</v>
      </c>
      <c r="Y510" s="414">
        <v>0.26974123571634895</v>
      </c>
      <c r="Z510" s="1"/>
      <c r="AA510" s="1"/>
      <c r="AB510" s="1"/>
      <c r="AC510" s="1"/>
      <c r="AD510" s="1"/>
      <c r="AL510" s="23"/>
      <c r="AM510" s="23"/>
    </row>
    <row r="511" spans="17:39">
      <c r="Q511" s="6">
        <v>481</v>
      </c>
      <c r="R511" s="7">
        <v>43148</v>
      </c>
      <c r="S511" s="210">
        <v>3.1833333333333331</v>
      </c>
      <c r="T511" s="8">
        <v>1.000088425925926</v>
      </c>
      <c r="U511" s="98">
        <v>3.2652107694890464</v>
      </c>
      <c r="V511" s="106">
        <v>27148.622535491235</v>
      </c>
      <c r="W511" s="10">
        <v>0.65998436976340003</v>
      </c>
      <c r="X511" s="413">
        <v>0.65162513823646906</v>
      </c>
      <c r="Y511" s="414">
        <v>0.26975575870793878</v>
      </c>
      <c r="Z511" s="1"/>
      <c r="AA511" s="1"/>
      <c r="AB511" s="1"/>
      <c r="AC511" s="1"/>
      <c r="AD511" s="1"/>
      <c r="AL511" s="23"/>
      <c r="AM511" s="23"/>
    </row>
    <row r="512" spans="17:39">
      <c r="Q512" s="6">
        <v>482</v>
      </c>
      <c r="R512" s="7">
        <v>43149</v>
      </c>
      <c r="S512" s="210">
        <v>3.1888888888888891</v>
      </c>
      <c r="T512" s="8">
        <v>1.0000885802469135</v>
      </c>
      <c r="U512" s="98">
        <v>3.2652536188668924</v>
      </c>
      <c r="V512" s="106">
        <v>27150.962994258203</v>
      </c>
      <c r="W512" s="10">
        <v>0.65879133190078765</v>
      </c>
      <c r="X512" s="413">
        <v>0.6504518422124218</v>
      </c>
      <c r="Y512" s="414">
        <v>0.2697712742520994</v>
      </c>
      <c r="Z512" s="1"/>
      <c r="AA512" s="1"/>
      <c r="AB512" s="1"/>
      <c r="AC512" s="1"/>
      <c r="AD512" s="1"/>
      <c r="AL512" s="23"/>
      <c r="AM512" s="23"/>
    </row>
    <row r="513" spans="17:39">
      <c r="Q513" s="6">
        <v>483</v>
      </c>
      <c r="R513" s="7">
        <v>43150</v>
      </c>
      <c r="S513" s="210">
        <v>3.1944444444444446</v>
      </c>
      <c r="T513" s="8">
        <v>1.0000887345679013</v>
      </c>
      <c r="U513" s="98">
        <v>3.2653083325002275</v>
      </c>
      <c r="V513" s="106">
        <v>27153.303654794065</v>
      </c>
      <c r="W513" s="10">
        <v>0.65761498579324229</v>
      </c>
      <c r="X513" s="413">
        <v>0.64929500633545711</v>
      </c>
      <c r="Y513" s="414">
        <v>0.26978777645397078</v>
      </c>
      <c r="Z513" s="1"/>
      <c r="AA513" s="1"/>
      <c r="AB513" s="1"/>
      <c r="AC513" s="1"/>
      <c r="AD513" s="1"/>
      <c r="AL513" s="23"/>
      <c r="AM513" s="23"/>
    </row>
    <row r="514" spans="17:39">
      <c r="Q514" s="6">
        <v>484</v>
      </c>
      <c r="R514" s="7">
        <v>43151</v>
      </c>
      <c r="S514" s="210">
        <v>3.2</v>
      </c>
      <c r="T514" s="8">
        <v>1.0000888888888888</v>
      </c>
      <c r="U514" s="98">
        <v>3.2653748368673297</v>
      </c>
      <c r="V514" s="106">
        <v>27155.644517116194</v>
      </c>
      <c r="W514" s="10">
        <v>0.65645522748167817</v>
      </c>
      <c r="X514" s="413">
        <v>0.64815452866585077</v>
      </c>
      <c r="Y514" s="414">
        <v>0.26980525946791312</v>
      </c>
      <c r="Z514" s="1"/>
      <c r="AA514" s="1"/>
      <c r="AB514" s="1"/>
      <c r="AC514" s="1"/>
      <c r="AD514" s="1"/>
      <c r="AL514" s="23"/>
      <c r="AM514" s="23"/>
    </row>
    <row r="515" spans="17:39">
      <c r="Q515" s="6">
        <v>485</v>
      </c>
      <c r="R515" s="7">
        <v>43152</v>
      </c>
      <c r="S515" s="210">
        <v>3.2055555555555557</v>
      </c>
      <c r="T515" s="8">
        <v>1.0000890432098766</v>
      </c>
      <c r="U515" s="98">
        <v>3.2654530590568775</v>
      </c>
      <c r="V515" s="106">
        <v>27157.985581241999</v>
      </c>
      <c r="W515" s="10">
        <v>0.65531195387240615</v>
      </c>
      <c r="X515" s="413">
        <v>0.64703030810977735</v>
      </c>
      <c r="Y515" s="414">
        <v>0.26982371749701034</v>
      </c>
      <c r="Z515" s="1"/>
      <c r="AA515" s="1"/>
      <c r="AB515" s="1"/>
      <c r="AC515" s="1"/>
      <c r="AD515" s="1"/>
      <c r="AL515" s="23"/>
      <c r="AM515" s="23"/>
    </row>
    <row r="516" spans="17:39">
      <c r="Q516" s="6">
        <v>486</v>
      </c>
      <c r="R516" s="7">
        <v>43153</v>
      </c>
      <c r="S516" s="210">
        <v>3.2111111111111112</v>
      </c>
      <c r="T516" s="8">
        <v>1.0000891975308641</v>
      </c>
      <c r="U516" s="98">
        <v>3.2655429267615999</v>
      </c>
      <c r="V516" s="106">
        <v>27160.326847188877</v>
      </c>
      <c r="W516" s="10">
        <v>0.65418506272849619</v>
      </c>
      <c r="X516" s="413">
        <v>0.64592224441103507</v>
      </c>
      <c r="Y516" s="414">
        <v>0.26984314479256621</v>
      </c>
      <c r="Z516" s="1"/>
      <c r="AA516" s="1"/>
      <c r="AB516" s="1"/>
      <c r="AC516" s="1"/>
      <c r="AD516" s="1"/>
      <c r="AL516" s="23"/>
      <c r="AM516" s="23"/>
    </row>
    <row r="517" spans="17:39">
      <c r="Q517" s="6">
        <v>487</v>
      </c>
      <c r="R517" s="7">
        <v>43154</v>
      </c>
      <c r="S517" s="210">
        <v>3.2166666666666668</v>
      </c>
      <c r="T517" s="8">
        <v>1.0000893518518519</v>
      </c>
      <c r="U517" s="98">
        <v>3.2656443682720804</v>
      </c>
      <c r="V517" s="106">
        <v>27162.668314974217</v>
      </c>
      <c r="W517" s="10">
        <v>0.65307445266060693</v>
      </c>
      <c r="X517" s="413">
        <v>0.64483023814206852</v>
      </c>
      <c r="Y517" s="414">
        <v>0.26986353565360499</v>
      </c>
      <c r="Z517" s="1"/>
      <c r="AA517" s="1"/>
      <c r="AB517" s="1"/>
      <c r="AC517" s="1"/>
      <c r="AD517" s="1"/>
      <c r="AL517" s="23"/>
      <c r="AM517" s="23"/>
    </row>
    <row r="518" spans="17:39">
      <c r="Q518" s="6">
        <v>488</v>
      </c>
      <c r="R518" s="7">
        <v>43155</v>
      </c>
      <c r="S518" s="210">
        <v>3.2222222222222223</v>
      </c>
      <c r="T518" s="8">
        <v>1.0000895061728394</v>
      </c>
      <c r="U518" s="98">
        <v>3.2657573124705186</v>
      </c>
      <c r="V518" s="106">
        <v>27165.009984615433</v>
      </c>
      <c r="W518" s="10">
        <v>0.65198002311828152</v>
      </c>
      <c r="X518" s="413">
        <v>0.64375419069559325</v>
      </c>
      <c r="Y518" s="414">
        <v>0.26988488442638808</v>
      </c>
      <c r="Z518" s="1"/>
      <c r="AA518" s="1"/>
      <c r="AB518" s="1"/>
      <c r="AC518" s="1"/>
      <c r="AD518" s="1"/>
      <c r="AL518" s="23"/>
      <c r="AM518" s="23"/>
    </row>
    <row r="519" spans="17:39">
      <c r="Q519" s="6">
        <v>489</v>
      </c>
      <c r="R519" s="7">
        <v>43156</v>
      </c>
      <c r="S519" s="210">
        <v>3.2277777777777779</v>
      </c>
      <c r="T519" s="8">
        <v>1.0000896604938272</v>
      </c>
      <c r="U519" s="98">
        <v>3.26588168882469</v>
      </c>
      <c r="V519" s="106">
        <v>27167.351856129921</v>
      </c>
      <c r="W519" s="10">
        <v>0.65090167438144331</v>
      </c>
      <c r="X519" s="413">
        <v>0.64269400427633894</v>
      </c>
      <c r="Y519" s="414">
        <v>0.26990718550392823</v>
      </c>
      <c r="Z519" s="1"/>
      <c r="AA519" s="1"/>
      <c r="AB519" s="1"/>
      <c r="AC519" s="1"/>
      <c r="AD519" s="1"/>
      <c r="AL519" s="23"/>
      <c r="AM519" s="23"/>
    </row>
    <row r="520" spans="17:39">
      <c r="Q520" s="6">
        <v>490</v>
      </c>
      <c r="R520" s="7">
        <v>43157</v>
      </c>
      <c r="S520" s="210">
        <v>3.2333333333333334</v>
      </c>
      <c r="T520" s="8">
        <v>1.0000898148148147</v>
      </c>
      <c r="U520" s="98">
        <v>3.2660174273819731</v>
      </c>
      <c r="V520" s="106">
        <v>27169.693929535082</v>
      </c>
      <c r="W520" s="10">
        <v>0.64983930755169172</v>
      </c>
      <c r="X520" s="413">
        <v>0.6416495818926008</v>
      </c>
      <c r="Y520" s="414">
        <v>0.26993043332551792</v>
      </c>
      <c r="Z520" s="1"/>
      <c r="AA520" s="1"/>
      <c r="AB520" s="1"/>
      <c r="AC520" s="1"/>
      <c r="AD520" s="1"/>
      <c r="AL520" s="23"/>
      <c r="AM520" s="23"/>
    </row>
    <row r="521" spans="17:39">
      <c r="Q521" s="6">
        <v>491</v>
      </c>
      <c r="R521" s="7">
        <v>43158</v>
      </c>
      <c r="S521" s="210">
        <v>3.2388888888888889</v>
      </c>
      <c r="T521" s="8">
        <v>1.0000899691358025</v>
      </c>
      <c r="U521" s="98">
        <v>3.2661644587633321</v>
      </c>
      <c r="V521" s="106">
        <v>27172.036204848318</v>
      </c>
      <c r="W521" s="10">
        <v>0.64879282454393117</v>
      </c>
      <c r="X521" s="413">
        <v>0.64062082734820269</v>
      </c>
      <c r="Y521" s="414">
        <v>0.2699546223762529</v>
      </c>
      <c r="Z521" s="1"/>
      <c r="AA521" s="1"/>
      <c r="AB521" s="1"/>
      <c r="AC521" s="1"/>
      <c r="AD521" s="1"/>
      <c r="AL521" s="23"/>
      <c r="AM521" s="23"/>
    </row>
    <row r="522" spans="17:39">
      <c r="Q522" s="6">
        <v>492</v>
      </c>
      <c r="R522" s="7">
        <v>43159</v>
      </c>
      <c r="S522" s="210">
        <v>3.2444444444444445</v>
      </c>
      <c r="T522" s="8">
        <v>1.00009012345679</v>
      </c>
      <c r="U522" s="98">
        <v>3.2663227141574547</v>
      </c>
      <c r="V522" s="106">
        <v>27174.378682087041</v>
      </c>
      <c r="W522" s="10">
        <v>0.64776212807788891</v>
      </c>
      <c r="X522" s="413">
        <v>0.63960764523415337</v>
      </c>
      <c r="Y522" s="414">
        <v>0.26997974718656342</v>
      </c>
      <c r="Z522" s="1"/>
      <c r="AA522" s="1"/>
      <c r="AB522" s="1"/>
      <c r="AC522" s="1"/>
      <c r="AD522" s="1"/>
      <c r="AL522" s="23"/>
      <c r="AM522" s="23"/>
    </row>
    <row r="523" spans="17:39">
      <c r="Q523" s="6">
        <v>493</v>
      </c>
      <c r="R523" s="7">
        <v>43160</v>
      </c>
      <c r="S523" s="210">
        <v>3.25</v>
      </c>
      <c r="T523" s="8">
        <v>1.0000902777777778</v>
      </c>
      <c r="U523" s="98">
        <v>3.2664921253150236</v>
      </c>
      <c r="V523" s="106">
        <v>27176.721361268657</v>
      </c>
      <c r="W523" s="10">
        <v>0.64674712167005488</v>
      </c>
      <c r="X523" s="413">
        <v>0.63860994092093748</v>
      </c>
      <c r="Y523" s="414">
        <v>0.27000580233176463</v>
      </c>
      <c r="Z523" s="1"/>
      <c r="AA523" s="1"/>
      <c r="AB523" s="1"/>
      <c r="AC523" s="1"/>
      <c r="AD523" s="1"/>
      <c r="AL523" s="23"/>
      <c r="AM523" s="23"/>
    </row>
    <row r="524" spans="17:39">
      <c r="Q524" s="6">
        <v>494</v>
      </c>
      <c r="R524" s="7">
        <v>43161</v>
      </c>
      <c r="S524" s="210">
        <v>3.2555555555555555</v>
      </c>
      <c r="T524" s="8">
        <v>1.0000904320987654</v>
      </c>
      <c r="U524" s="98">
        <v>3.2666726245428768</v>
      </c>
      <c r="V524" s="106">
        <v>27179.064242410583</v>
      </c>
      <c r="W524" s="10">
        <v>0.64574770962548822</v>
      </c>
      <c r="X524" s="413">
        <v>0.6376276205505621</v>
      </c>
      <c r="Y524" s="414">
        <v>0.2700327824315949</v>
      </c>
      <c r="Z524" s="1"/>
      <c r="AA524" s="1"/>
      <c r="AB524" s="1"/>
      <c r="AC524" s="1"/>
      <c r="AD524" s="1"/>
      <c r="AL524" s="23"/>
      <c r="AM524" s="23"/>
    </row>
    <row r="525" spans="17:39">
      <c r="Q525" s="6">
        <v>495</v>
      </c>
      <c r="R525" s="7">
        <v>43162</v>
      </c>
      <c r="S525" s="210">
        <v>3.2611111111111111</v>
      </c>
      <c r="T525" s="8">
        <v>1.0000905864197531</v>
      </c>
      <c r="U525" s="98">
        <v>3.2668641446985225</v>
      </c>
      <c r="V525" s="106">
        <v>27181.407325530217</v>
      </c>
      <c r="W525" s="10">
        <v>0.64476379702969044</v>
      </c>
      <c r="X525" s="413">
        <v>0.63666059102860184</v>
      </c>
      <c r="Y525" s="414">
        <v>0.27006068214977297</v>
      </c>
      <c r="Z525" s="1"/>
      <c r="AA525" s="1"/>
      <c r="AB525" s="1"/>
      <c r="AC525" s="1"/>
      <c r="AD525" s="1"/>
      <c r="AL525" s="23"/>
      <c r="AM525" s="23"/>
    </row>
    <row r="526" spans="17:39">
      <c r="Q526" s="6">
        <v>496</v>
      </c>
      <c r="R526" s="7">
        <v>43163</v>
      </c>
      <c r="S526" s="210">
        <v>3.2666666666666666</v>
      </c>
      <c r="T526" s="8">
        <v>1.0000907407407407</v>
      </c>
      <c r="U526" s="98">
        <v>3.2670666191843889</v>
      </c>
      <c r="V526" s="106">
        <v>27183.750610644976</v>
      </c>
      <c r="W526" s="10">
        <v>0.64379528974083389</v>
      </c>
      <c r="X526" s="413">
        <v>0.63570876001675924</v>
      </c>
      <c r="Y526" s="414">
        <v>0.27008949619354755</v>
      </c>
      <c r="Z526" s="1"/>
      <c r="AA526" s="1"/>
      <c r="AB526" s="1"/>
      <c r="AC526" s="1"/>
      <c r="AD526" s="1"/>
      <c r="AL526" s="23"/>
      <c r="AM526" s="23"/>
    </row>
    <row r="527" spans="17:39">
      <c r="Q527" s="6">
        <v>497</v>
      </c>
      <c r="R527" s="7">
        <v>43164</v>
      </c>
      <c r="S527" s="210">
        <v>3.2722222222222221</v>
      </c>
      <c r="T527" s="8">
        <v>1.0000908950617284</v>
      </c>
      <c r="U527" s="98">
        <v>3.2672799819423837</v>
      </c>
      <c r="V527" s="106">
        <v>27186.094097772278</v>
      </c>
      <c r="W527" s="10">
        <v>0.64284209438170148</v>
      </c>
      <c r="X527" s="413">
        <v>0.63477203592503328</v>
      </c>
      <c r="Y527" s="414">
        <v>0.27011921931326621</v>
      </c>
      <c r="Z527" s="1"/>
      <c r="AA527" s="1"/>
      <c r="AB527" s="1"/>
      <c r="AC527" s="1"/>
      <c r="AD527" s="1"/>
      <c r="AL527" s="23"/>
      <c r="AM527" s="23"/>
    </row>
    <row r="528" spans="17:39">
      <c r="Q528" s="6">
        <v>498</v>
      </c>
      <c r="R528" s="7">
        <v>43165</v>
      </c>
      <c r="S528" s="210">
        <v>3.2777777777777777</v>
      </c>
      <c r="T528" s="8">
        <v>1.000091049382716</v>
      </c>
      <c r="U528" s="98">
        <v>3.2675041674484318</v>
      </c>
      <c r="V528" s="106">
        <v>27188.437786929535</v>
      </c>
      <c r="W528" s="10">
        <v>0.64190411833215943</v>
      </c>
      <c r="X528" s="413">
        <v>0.63385032790433427</v>
      </c>
      <c r="Y528" s="414">
        <v>0.27014984630194017</v>
      </c>
      <c r="Z528" s="1"/>
      <c r="AA528" s="1"/>
      <c r="AB528" s="1"/>
      <c r="AC528" s="1"/>
      <c r="AD528" s="1"/>
      <c r="AL528" s="23"/>
      <c r="AM528" s="23"/>
    </row>
    <row r="529" spans="17:39">
      <c r="Q529" s="6">
        <v>499</v>
      </c>
      <c r="R529" s="7">
        <v>43166</v>
      </c>
      <c r="S529" s="210">
        <v>3.2833333333333332</v>
      </c>
      <c r="T529" s="8">
        <v>1.0000912037037037</v>
      </c>
      <c r="U529" s="98">
        <v>3.2677391107071241</v>
      </c>
      <c r="V529" s="106">
        <v>27190.781678134164</v>
      </c>
      <c r="W529" s="10">
        <v>0.64098126972131908</v>
      </c>
      <c r="X529" s="413">
        <v>0.63294354583901191</v>
      </c>
      <c r="Y529" s="414">
        <v>0.2701813719948164</v>
      </c>
      <c r="Z529" s="1"/>
      <c r="AA529" s="1"/>
      <c r="AB529" s="1"/>
      <c r="AC529" s="1"/>
      <c r="AD529" s="1"/>
      <c r="AL529" s="23"/>
      <c r="AM529" s="23"/>
    </row>
    <row r="530" spans="17:39">
      <c r="Q530" s="6">
        <v>500</v>
      </c>
      <c r="R530" s="7">
        <v>43167</v>
      </c>
      <c r="S530" s="210">
        <v>3.2888888888888888</v>
      </c>
      <c r="T530" s="8">
        <v>1.0000913580246913</v>
      </c>
      <c r="U530" s="98">
        <v>3.2679847472462997</v>
      </c>
      <c r="V530" s="106">
        <v>27193.125771403582</v>
      </c>
      <c r="W530" s="10">
        <v>0.64007345742007615</v>
      </c>
      <c r="X530" s="413">
        <v>0.63205160033950492</v>
      </c>
      <c r="Y530" s="414">
        <v>0.2702137912689544</v>
      </c>
      <c r="Z530" s="1"/>
      <c r="AA530" s="1"/>
      <c r="AB530" s="1"/>
      <c r="AC530" s="1"/>
      <c r="AD530" s="1"/>
      <c r="AL530" s="23"/>
      <c r="AM530" s="23"/>
    </row>
    <row r="531" spans="17:39">
      <c r="Q531" s="6">
        <v>501</v>
      </c>
      <c r="R531" s="7">
        <v>43168</v>
      </c>
      <c r="S531" s="210">
        <v>3.2944444444444443</v>
      </c>
      <c r="T531" s="8">
        <v>1.0000915123456791</v>
      </c>
      <c r="U531" s="98">
        <v>3.2682410131118944</v>
      </c>
      <c r="V531" s="106">
        <v>27195.47006675521</v>
      </c>
      <c r="W531" s="10">
        <v>0.6391805910336279</v>
      </c>
      <c r="X531" s="413">
        <v>0.6311744027351428</v>
      </c>
      <c r="Y531" s="414">
        <v>0.27024709904281513</v>
      </c>
      <c r="Z531" s="1"/>
      <c r="AA531" s="1"/>
      <c r="AB531" s="1"/>
      <c r="AC531" s="1"/>
      <c r="AD531" s="1"/>
      <c r="AL531" s="23"/>
      <c r="AM531" s="23"/>
    </row>
    <row r="532" spans="17:39">
      <c r="Q532" s="6">
        <v>502</v>
      </c>
      <c r="R532" s="7">
        <v>43169</v>
      </c>
      <c r="S532" s="210">
        <v>3.3</v>
      </c>
      <c r="T532" s="8">
        <v>1.0000916666666666</v>
      </c>
      <c r="U532" s="98">
        <v>3.2685078448627225</v>
      </c>
      <c r="V532" s="106">
        <v>27197.587668523207</v>
      </c>
      <c r="W532" s="10">
        <v>0.63891302766974079</v>
      </c>
      <c r="X532" s="413">
        <v>0.6309153898657115</v>
      </c>
      <c r="Y532" s="414">
        <v>0.27028129027584358</v>
      </c>
      <c r="Z532" s="1"/>
      <c r="AA532" s="1"/>
      <c r="AB532" s="1"/>
      <c r="AC532" s="1"/>
      <c r="AD532" s="1"/>
      <c r="AL532" s="23"/>
      <c r="AM532" s="23"/>
    </row>
    <row r="533" spans="17:39">
      <c r="Q533" s="6">
        <v>503</v>
      </c>
      <c r="R533" s="7">
        <v>43170</v>
      </c>
      <c r="S533" s="210">
        <v>3.3055555555555554</v>
      </c>
      <c r="T533" s="8">
        <v>1.0000918209876544</v>
      </c>
      <c r="U533" s="98">
        <v>3.2687851795653033</v>
      </c>
      <c r="V533" s="106">
        <v>27199.705435180331</v>
      </c>
      <c r="W533" s="10">
        <v>0.63865779760978736</v>
      </c>
      <c r="X533" s="413">
        <v>0.63066856176180408</v>
      </c>
      <c r="Y533" s="414">
        <v>0.27031635996806136</v>
      </c>
      <c r="Z533" s="1"/>
      <c r="AA533" s="1"/>
      <c r="AB533" s="1"/>
      <c r="AC533" s="1"/>
      <c r="AD533" s="1"/>
      <c r="AL533" s="23"/>
      <c r="AM533" s="23"/>
    </row>
    <row r="534" spans="17:39">
      <c r="Q534" s="6">
        <v>504</v>
      </c>
      <c r="R534" s="7">
        <v>43171</v>
      </c>
      <c r="S534" s="210">
        <v>3.3111111111111109</v>
      </c>
      <c r="T534" s="8">
        <v>1.0000919753086419</v>
      </c>
      <c r="U534" s="98">
        <v>3.2690729547888209</v>
      </c>
      <c r="V534" s="106">
        <v>27201.823366739412</v>
      </c>
      <c r="W534" s="10">
        <v>0.63841482735014221</v>
      </c>
      <c r="X534" s="413">
        <v>0.63043384635904798</v>
      </c>
      <c r="Y534" s="414">
        <v>0.27035230315966552</v>
      </c>
      <c r="Z534" s="1"/>
      <c r="AA534" s="1"/>
      <c r="AB534" s="1"/>
      <c r="AC534" s="1"/>
      <c r="AD534" s="1"/>
      <c r="AL534" s="23"/>
      <c r="AM534" s="23"/>
    </row>
    <row r="535" spans="17:39">
      <c r="Q535" s="6">
        <v>505</v>
      </c>
      <c r="R535" s="7">
        <v>43172</v>
      </c>
      <c r="S535" s="210">
        <v>3.3166666666666669</v>
      </c>
      <c r="T535" s="8">
        <v>1.0000921296296297</v>
      </c>
      <c r="U535" s="98">
        <v>3.2693711086001498</v>
      </c>
      <c r="V535" s="106">
        <v>27203.941463213298</v>
      </c>
      <c r="W535" s="10">
        <v>0.63818404397382178</v>
      </c>
      <c r="X535" s="413">
        <v>0.63021117216900657</v>
      </c>
      <c r="Y535" s="414">
        <v>0.27038911493063444</v>
      </c>
      <c r="Z535" s="1"/>
      <c r="AA535" s="1"/>
      <c r="AB535" s="1"/>
      <c r="AC535" s="1"/>
      <c r="AD535" s="1"/>
      <c r="AL535" s="23"/>
      <c r="AM535" s="23"/>
    </row>
    <row r="536" spans="17:39">
      <c r="Q536" s="6">
        <v>506</v>
      </c>
      <c r="R536" s="7">
        <v>43173</v>
      </c>
      <c r="S536" s="210">
        <v>3.3222222222222224</v>
      </c>
      <c r="T536" s="8">
        <v>1.0000922839506172</v>
      </c>
      <c r="U536" s="98">
        <v>3.2696795795588152</v>
      </c>
      <c r="V536" s="106">
        <v>27206.059724614835</v>
      </c>
      <c r="W536" s="10">
        <v>0.63796537514453355</v>
      </c>
      <c r="X536" s="413">
        <v>0.63000046827336087</v>
      </c>
      <c r="Y536" s="414">
        <v>0.2704267904003273</v>
      </c>
      <c r="Z536" s="1"/>
      <c r="AA536" s="1"/>
      <c r="AB536" s="1"/>
      <c r="AC536" s="1"/>
      <c r="AD536" s="1"/>
      <c r="AL536" s="23"/>
      <c r="AM536" s="23"/>
    </row>
    <row r="537" spans="17:39">
      <c r="Q537" s="6">
        <v>507</v>
      </c>
      <c r="R537" s="7">
        <v>43174</v>
      </c>
      <c r="S537" s="210">
        <v>3.3277777777777779</v>
      </c>
      <c r="T537" s="8">
        <v>1.000092438271605</v>
      </c>
      <c r="U537" s="98">
        <v>3.2699983067121963</v>
      </c>
      <c r="V537" s="106">
        <v>27208.178150956854</v>
      </c>
      <c r="W537" s="10">
        <v>0.63775874910125818</v>
      </c>
      <c r="X537" s="413">
        <v>0.62980166431865059</v>
      </c>
      <c r="Y537" s="414">
        <v>0.270465324727103</v>
      </c>
      <c r="Z537" s="1"/>
      <c r="AA537" s="1"/>
      <c r="AB537" s="1"/>
      <c r="AC537" s="1"/>
      <c r="AD537" s="1"/>
      <c r="AL537" s="23"/>
      <c r="AM537" s="23"/>
    </row>
    <row r="538" spans="17:39">
      <c r="Q538" s="6">
        <v>508</v>
      </c>
      <c r="R538" s="7">
        <v>43175</v>
      </c>
      <c r="S538" s="210">
        <v>3.3333333333333335</v>
      </c>
      <c r="T538" s="8">
        <v>1.0000925925925925</v>
      </c>
      <c r="U538" s="98">
        <v>3.2703272295906416</v>
      </c>
      <c r="V538" s="106">
        <v>27210.296742252209</v>
      </c>
      <c r="W538" s="10">
        <v>0.63756409465214325</v>
      </c>
      <c r="X538" s="413">
        <v>0.62961469051033581</v>
      </c>
      <c r="Y538" s="414">
        <v>0.27050471310793178</v>
      </c>
      <c r="Z538" s="1"/>
      <c r="AA538" s="1"/>
      <c r="AB538" s="1"/>
      <c r="AC538" s="1"/>
      <c r="AD538" s="1"/>
      <c r="AL538" s="23"/>
      <c r="AM538" s="23"/>
    </row>
    <row r="539" spans="17:39">
      <c r="Q539" s="6">
        <v>509</v>
      </c>
      <c r="R539" s="7">
        <v>43176</v>
      </c>
      <c r="S539" s="210">
        <v>3.338888888888889</v>
      </c>
      <c r="T539" s="8">
        <v>1.0000927469135803</v>
      </c>
      <c r="U539" s="98">
        <v>3.2706662882027393</v>
      </c>
      <c r="V539" s="106">
        <v>27212.415498513736</v>
      </c>
      <c r="W539" s="10">
        <v>0.63738134116919642</v>
      </c>
      <c r="X539" s="413">
        <v>0.62943947760757457</v>
      </c>
      <c r="Y539" s="414">
        <v>0.27054495077802054</v>
      </c>
      <c r="Z539" s="1"/>
      <c r="AA539" s="1"/>
      <c r="AB539" s="1"/>
      <c r="AC539" s="1"/>
      <c r="AD539" s="1"/>
      <c r="AL539" s="23"/>
      <c r="AM539" s="23"/>
    </row>
    <row r="540" spans="17:39">
      <c r="Q540" s="6">
        <v>510</v>
      </c>
      <c r="R540" s="7">
        <v>43177</v>
      </c>
      <c r="S540" s="210">
        <v>3.3444444444444446</v>
      </c>
      <c r="T540" s="8">
        <v>1.0000929012345678</v>
      </c>
      <c r="U540" s="98">
        <v>3.2710154230305433</v>
      </c>
      <c r="V540" s="106">
        <v>27214.53441975428</v>
      </c>
      <c r="W540" s="10">
        <v>0.63721041858249006</v>
      </c>
      <c r="X540" s="413">
        <v>0.6292759569176527</v>
      </c>
      <c r="Y540" s="414">
        <v>0.27058603301043571</v>
      </c>
      <c r="Z540" s="1"/>
      <c r="AA540" s="1"/>
      <c r="AB540" s="1"/>
      <c r="AC540" s="1"/>
      <c r="AD540" s="1"/>
      <c r="AL540" s="23"/>
      <c r="AM540" s="23"/>
    </row>
    <row r="541" spans="17:39">
      <c r="Q541" s="6">
        <v>511</v>
      </c>
      <c r="R541" s="7">
        <v>43178</v>
      </c>
      <c r="S541" s="210">
        <v>3.35</v>
      </c>
      <c r="T541" s="8">
        <v>1.0000930555555556</v>
      </c>
      <c r="U541" s="98">
        <v>3.2713745750249323</v>
      </c>
      <c r="V541" s="106">
        <v>27216.653505986691</v>
      </c>
      <c r="W541" s="10">
        <v>0.63705125737474333</v>
      </c>
      <c r="X541" s="413">
        <v>0.62912406029058965</v>
      </c>
      <c r="Y541" s="414">
        <v>0.27062795511573123</v>
      </c>
      <c r="Z541" s="1"/>
      <c r="AA541" s="1"/>
      <c r="AB541" s="1"/>
      <c r="AC541" s="1"/>
      <c r="AD541" s="1"/>
      <c r="AL541" s="23"/>
      <c r="AM541" s="23"/>
    </row>
    <row r="542" spans="17:39">
      <c r="Q542" s="6">
        <v>512</v>
      </c>
      <c r="R542" s="7">
        <v>43179</v>
      </c>
      <c r="S542" s="210">
        <v>3.3555555555555556</v>
      </c>
      <c r="T542" s="8">
        <v>1.0000932098765432</v>
      </c>
      <c r="U542" s="98">
        <v>3.2717436856010362</v>
      </c>
      <c r="V542" s="106">
        <v>27218.772757223822</v>
      </c>
      <c r="W542" s="10">
        <v>0.63690378857594876</v>
      </c>
      <c r="X542" s="413">
        <v>0.62898372011405657</v>
      </c>
      <c r="Y542" s="414">
        <v>0.27067071244158553</v>
      </c>
      <c r="Z542" s="1"/>
      <c r="AA542" s="1"/>
      <c r="AB542" s="1"/>
      <c r="AC542" s="1"/>
      <c r="AD542" s="1"/>
      <c r="AL542" s="23"/>
      <c r="AM542" s="23"/>
    </row>
    <row r="543" spans="17:39">
      <c r="Q543" s="6">
        <v>513</v>
      </c>
      <c r="R543" s="7">
        <v>43180</v>
      </c>
      <c r="S543" s="210">
        <v>3.3611111111111112</v>
      </c>
      <c r="T543" s="8">
        <v>1.0000933641975309</v>
      </c>
      <c r="U543" s="98">
        <v>3.2721226966336614</v>
      </c>
      <c r="V543" s="106">
        <v>27220.892173478507</v>
      </c>
      <c r="W543" s="10">
        <v>0.63676794375793211</v>
      </c>
      <c r="X543" s="413">
        <v>0.6288548693079028</v>
      </c>
      <c r="Y543" s="414">
        <v>0.27071430037244043</v>
      </c>
      <c r="Z543" s="1"/>
      <c r="AA543" s="1"/>
      <c r="AB543" s="1"/>
      <c r="AC543" s="1"/>
      <c r="AD543" s="1"/>
      <c r="AL543" s="23"/>
      <c r="AM543" s="23"/>
    </row>
    <row r="544" spans="17:39">
      <c r="Q544" s="6">
        <v>514</v>
      </c>
      <c r="R544" s="7">
        <v>43181</v>
      </c>
      <c r="S544" s="210">
        <v>3.3666666666666667</v>
      </c>
      <c r="T544" s="8">
        <v>1.0000935185185185</v>
      </c>
      <c r="U544" s="98">
        <v>3.2725115504527613</v>
      </c>
      <c r="V544" s="106">
        <v>27223.011754763611</v>
      </c>
      <c r="W544" s="10">
        <v>0.6366436550289567</v>
      </c>
      <c r="X544" s="413">
        <v>0.62873744131904086</v>
      </c>
      <c r="Y544" s="414">
        <v>0.27075871432914123</v>
      </c>
      <c r="Z544" s="1"/>
      <c r="AA544" s="1"/>
      <c r="AB544" s="1"/>
      <c r="AC544" s="1"/>
      <c r="AD544" s="1"/>
      <c r="AL544" s="23"/>
      <c r="AM544" s="23"/>
    </row>
    <row r="545" spans="17:39">
      <c r="Q545" s="6">
        <v>515</v>
      </c>
      <c r="R545" s="7">
        <v>43182</v>
      </c>
      <c r="S545" s="210">
        <v>3.3722222222222222</v>
      </c>
      <c r="T545" s="8">
        <v>1.0000936728395062</v>
      </c>
      <c r="U545" s="98">
        <v>3.2729101898390178</v>
      </c>
      <c r="V545" s="106">
        <v>27225.131501091972</v>
      </c>
      <c r="W545" s="10">
        <v>0.6365308550286386</v>
      </c>
      <c r="X545" s="413">
        <v>0.62863137011639136</v>
      </c>
      <c r="Y545" s="414">
        <v>0.27080394976858208</v>
      </c>
      <c r="Z545" s="1"/>
      <c r="AA545" s="1"/>
      <c r="AB545" s="1"/>
      <c r="AC545" s="1"/>
      <c r="AD545" s="1"/>
      <c r="AL545" s="23"/>
      <c r="AM545" s="23"/>
    </row>
    <row r="546" spans="17:39">
      <c r="Q546" s="6">
        <v>516</v>
      </c>
      <c r="R546" s="7">
        <v>43183</v>
      </c>
      <c r="S546" s="210">
        <v>3.3777777777777778</v>
      </c>
      <c r="T546" s="8">
        <v>1.0000938271604938</v>
      </c>
      <c r="U546" s="98">
        <v>3.2733185580194446</v>
      </c>
      <c r="V546" s="106">
        <v>27227.251412476446</v>
      </c>
      <c r="W546" s="10">
        <v>0.63642947692268415</v>
      </c>
      <c r="X546" s="413">
        <v>0.62853659018577868</v>
      </c>
      <c r="Y546" s="414">
        <v>0.27085000218336147</v>
      </c>
      <c r="Z546" s="1"/>
      <c r="AA546" s="1"/>
      <c r="AB546" s="1"/>
      <c r="AC546" s="1"/>
      <c r="AD546" s="1"/>
      <c r="AL546" s="23"/>
      <c r="AM546" s="23"/>
    </row>
    <row r="547" spans="17:39">
      <c r="Q547" s="6">
        <v>517</v>
      </c>
      <c r="R547" s="7">
        <v>43184</v>
      </c>
      <c r="S547" s="210">
        <v>3.3833333333333333</v>
      </c>
      <c r="T547" s="8">
        <v>1.0000939814814815</v>
      </c>
      <c r="U547" s="98">
        <v>3.2737365986630573</v>
      </c>
      <c r="V547" s="106">
        <v>27229.371488929886</v>
      </c>
      <c r="W547" s="10">
        <v>0.63633945439771633</v>
      </c>
      <c r="X547" s="413">
        <v>0.62845303652491635</v>
      </c>
      <c r="Y547" s="414">
        <v>0.27089686710143618</v>
      </c>
      <c r="Z547" s="1"/>
      <c r="AA547" s="1"/>
      <c r="AB547" s="1"/>
      <c r="AC547" s="1"/>
      <c r="AD547" s="1"/>
      <c r="AL547" s="23"/>
      <c r="AM547" s="23"/>
    </row>
    <row r="548" spans="17:39">
      <c r="Q548" s="6">
        <v>518</v>
      </c>
      <c r="R548" s="7">
        <v>43185</v>
      </c>
      <c r="S548" s="210">
        <v>3.3888888888888888</v>
      </c>
      <c r="T548" s="8">
        <v>1.0000941358024691</v>
      </c>
      <c r="U548" s="98">
        <v>3.274164255876566</v>
      </c>
      <c r="V548" s="106">
        <v>27231.491730465143</v>
      </c>
      <c r="W548" s="10">
        <v>0.6362607216563676</v>
      </c>
      <c r="X548" s="413">
        <v>0.62838064463857357</v>
      </c>
      <c r="Y548" s="414">
        <v>0.27094454008577801</v>
      </c>
      <c r="Z548" s="1"/>
      <c r="AA548" s="1"/>
      <c r="AB548" s="1"/>
      <c r="AC548" s="1"/>
      <c r="AD548" s="1"/>
      <c r="AL548" s="23"/>
      <c r="AM548" s="23"/>
    </row>
    <row r="549" spans="17:39">
      <c r="Q549" s="6">
        <v>519</v>
      </c>
      <c r="R549" s="7">
        <v>43186</v>
      </c>
      <c r="S549" s="210">
        <v>3.3944444444444444</v>
      </c>
      <c r="T549" s="8">
        <v>1.0000942901234569</v>
      </c>
      <c r="U549" s="98">
        <v>3.2746014742001339</v>
      </c>
      <c r="V549" s="106">
        <v>27233.612137095071</v>
      </c>
      <c r="W549" s="10">
        <v>0.63619321341206181</v>
      </c>
      <c r="X549" s="413">
        <v>0.62831935053355226</v>
      </c>
      <c r="Y549" s="414">
        <v>0.27099301673403714</v>
      </c>
      <c r="Z549" s="1"/>
      <c r="AA549" s="1"/>
      <c r="AB549" s="1"/>
      <c r="AC549" s="1"/>
      <c r="AD549" s="1"/>
      <c r="AL549" s="23"/>
      <c r="AM549" s="23"/>
    </row>
    <row r="550" spans="17:39">
      <c r="Q550" s="6">
        <v>520</v>
      </c>
      <c r="R550" s="7">
        <v>43187</v>
      </c>
      <c r="S550" s="210">
        <v>3.4</v>
      </c>
      <c r="T550" s="8">
        <v>1.0000944444444444</v>
      </c>
      <c r="U550" s="98">
        <v>3.2750481986031588</v>
      </c>
      <c r="V550" s="106">
        <v>27235.732708832533</v>
      </c>
      <c r="W550" s="10">
        <v>0.63613686488419585</v>
      </c>
      <c r="X550" s="413">
        <v>0.62826909071389025</v>
      </c>
      <c r="Y550" s="414">
        <v>0.2710422926782094</v>
      </c>
      <c r="Z550" s="1"/>
      <c r="AA550" s="1"/>
      <c r="AB550" s="1"/>
      <c r="AC550" s="1"/>
      <c r="AD550" s="1"/>
      <c r="AL550" s="23"/>
      <c r="AM550" s="23"/>
    </row>
    <row r="551" spans="17:39">
      <c r="Q551" s="6">
        <v>521</v>
      </c>
      <c r="R551" s="7">
        <v>43188</v>
      </c>
      <c r="S551" s="210">
        <v>3.4055555555555554</v>
      </c>
      <c r="T551" s="8">
        <v>1.0000945987654322</v>
      </c>
      <c r="U551" s="98">
        <v>3.2755043744801871</v>
      </c>
      <c r="V551" s="106">
        <v>27237.853445690376</v>
      </c>
      <c r="W551" s="10">
        <v>0.63609161179321028</v>
      </c>
      <c r="X551" s="413">
        <v>0.62822980217615121</v>
      </c>
      <c r="Y551" s="414">
        <v>0.27109236358430838</v>
      </c>
      <c r="Z551" s="1"/>
      <c r="AA551" s="1"/>
      <c r="AB551" s="1"/>
      <c r="AC551" s="1"/>
      <c r="AD551" s="1"/>
      <c r="AL551" s="23"/>
      <c r="AM551" s="23"/>
    </row>
    <row r="552" spans="17:39">
      <c r="Q552" s="6">
        <v>522</v>
      </c>
      <c r="R552" s="7">
        <v>43189</v>
      </c>
      <c r="S552" s="210">
        <v>3.411111111111111</v>
      </c>
      <c r="T552" s="8">
        <v>1.0000947530864197</v>
      </c>
      <c r="U552" s="98">
        <v>3.2759699476467619</v>
      </c>
      <c r="V552" s="106">
        <v>27239.974347681455</v>
      </c>
      <c r="W552" s="10">
        <v>0.63605739035585973</v>
      </c>
      <c r="X552" s="413">
        <v>0.62820142240470578</v>
      </c>
      <c r="Y552" s="414">
        <v>0.27114322515203543</v>
      </c>
      <c r="Z552" s="1"/>
      <c r="AA552" s="1"/>
      <c r="AB552" s="1"/>
      <c r="AC552" s="1"/>
      <c r="AD552" s="1"/>
      <c r="AL552" s="23"/>
      <c r="AM552" s="23"/>
    </row>
    <row r="553" spans="17:39">
      <c r="Q553" s="6">
        <v>523</v>
      </c>
      <c r="R553" s="7">
        <v>43190</v>
      </c>
      <c r="S553" s="210">
        <v>3.4166666666666665</v>
      </c>
      <c r="T553" s="8">
        <v>1.0000949074074075</v>
      </c>
      <c r="U553" s="98">
        <v>3.2764448643354038</v>
      </c>
      <c r="V553" s="106">
        <v>27242.095414818639</v>
      </c>
      <c r="W553" s="10">
        <v>0.63603413728015035</v>
      </c>
      <c r="X553" s="413">
        <v>0.6281838893669166</v>
      </c>
      <c r="Y553" s="414">
        <v>0.27119487311446289</v>
      </c>
      <c r="Z553" s="1"/>
      <c r="AA553" s="1"/>
      <c r="AB553" s="1"/>
      <c r="AC553" s="1"/>
      <c r="AD553" s="1"/>
      <c r="AL553" s="23"/>
      <c r="AM553" s="23"/>
    </row>
    <row r="554" spans="17:39">
      <c r="Q554" s="6">
        <v>524</v>
      </c>
      <c r="R554" s="7">
        <v>43191</v>
      </c>
      <c r="S554" s="210">
        <v>3.4222222222222221</v>
      </c>
      <c r="T554" s="8">
        <v>1.000095061728395</v>
      </c>
      <c r="U554" s="98">
        <v>3.2769290711915922</v>
      </c>
      <c r="V554" s="106">
        <v>27244.216647114783</v>
      </c>
      <c r="W554" s="10">
        <v>0.63602178976100987</v>
      </c>
      <c r="X554" s="413">
        <v>0.62817714150881865</v>
      </c>
      <c r="Y554" s="414">
        <v>0.27124730323771307</v>
      </c>
      <c r="Z554" s="1"/>
      <c r="AA554" s="1"/>
      <c r="AB554" s="1"/>
      <c r="AC554" s="1"/>
      <c r="AD554" s="1"/>
      <c r="AL554" s="23"/>
      <c r="AM554" s="23"/>
    </row>
    <row r="555" spans="17:39">
      <c r="Q555" s="6">
        <v>525</v>
      </c>
      <c r="R555" s="7">
        <v>43192</v>
      </c>
      <c r="S555" s="210">
        <v>3.4277777777777776</v>
      </c>
      <c r="T555" s="8">
        <v>1.0000952160493828</v>
      </c>
      <c r="U555" s="98">
        <v>3.2774225152698344</v>
      </c>
      <c r="V555" s="106">
        <v>27246.338044582742</v>
      </c>
      <c r="W555" s="10">
        <v>0.63602028547526945</v>
      </c>
      <c r="X555" s="413">
        <v>0.62818111775025587</v>
      </c>
      <c r="Y555" s="414">
        <v>0.27130051132064587</v>
      </c>
      <c r="Z555" s="1"/>
      <c r="AA555" s="1"/>
      <c r="AB555" s="1"/>
      <c r="AC555" s="1"/>
      <c r="AD555" s="1"/>
      <c r="AL555" s="23"/>
      <c r="AM555" s="23"/>
    </row>
    <row r="556" spans="17:39">
      <c r="Q556" s="6">
        <v>526</v>
      </c>
      <c r="R556" s="7">
        <v>43193</v>
      </c>
      <c r="S556" s="210">
        <v>3.4333333333333331</v>
      </c>
      <c r="T556" s="8">
        <v>1.0000953703703703</v>
      </c>
      <c r="U556" s="98">
        <v>3.2779251440296919</v>
      </c>
      <c r="V556" s="106">
        <v>27248.459607235385</v>
      </c>
      <c r="W556" s="10">
        <v>0.63602956257726717</v>
      </c>
      <c r="X556" s="413">
        <v>0.62819575748056056</v>
      </c>
      <c r="Y556" s="414">
        <v>0.27135449319454286</v>
      </c>
      <c r="Z556" s="1"/>
      <c r="AA556" s="1"/>
      <c r="AB556" s="1"/>
      <c r="AC556" s="1"/>
      <c r="AD556" s="1"/>
      <c r="AL556" s="23"/>
      <c r="AM556" s="23"/>
    </row>
    <row r="557" spans="17:39">
      <c r="Q557" s="6">
        <v>527</v>
      </c>
      <c r="R557" s="7">
        <v>43194</v>
      </c>
      <c r="S557" s="210">
        <v>3.4388888888888891</v>
      </c>
      <c r="T557" s="8">
        <v>1.0000955246913581</v>
      </c>
      <c r="U557" s="98">
        <v>3.278436905332005</v>
      </c>
      <c r="V557" s="106">
        <v>27250.581335085568</v>
      </c>
      <c r="W557" s="10">
        <v>0.63604955969420729</v>
      </c>
      <c r="X557" s="413">
        <v>0.62822100055408225</v>
      </c>
      <c r="Y557" s="414">
        <v>0.27140924472280559</v>
      </c>
      <c r="Z557" s="1"/>
      <c r="AA557" s="1"/>
      <c r="AB557" s="1"/>
      <c r="AC557" s="1"/>
      <c r="AD557" s="1"/>
      <c r="AL557" s="23"/>
      <c r="AM557" s="23"/>
    </row>
    <row r="558" spans="17:39">
      <c r="Q558" s="6">
        <v>528</v>
      </c>
      <c r="R558" s="7">
        <v>43195</v>
      </c>
      <c r="S558" s="210">
        <v>3.4444444444444446</v>
      </c>
      <c r="T558" s="8">
        <v>1.0000956790123456</v>
      </c>
      <c r="U558" s="98">
        <v>3.2789577474349851</v>
      </c>
      <c r="V558" s="106">
        <v>27252.703228146154</v>
      </c>
      <c r="W558" s="10">
        <v>0.63608021592156394</v>
      </c>
      <c r="X558" s="413">
        <v>0.6282567872856496</v>
      </c>
      <c r="Y558" s="414">
        <v>0.27146476180064938</v>
      </c>
      <c r="Z558" s="1"/>
      <c r="AA558" s="1"/>
      <c r="AB558" s="1"/>
      <c r="AC558" s="1"/>
      <c r="AD558" s="1"/>
      <c r="AL558" s="23"/>
      <c r="AM558" s="23"/>
    </row>
    <row r="559" spans="17:39">
      <c r="Q559" s="6">
        <v>529</v>
      </c>
      <c r="R559" s="7">
        <v>43196</v>
      </c>
      <c r="S559" s="210">
        <v>3.45</v>
      </c>
      <c r="T559" s="8">
        <v>1.0000958333333334</v>
      </c>
      <c r="U559" s="98">
        <v>3.2794876189904842</v>
      </c>
      <c r="V559" s="106">
        <v>27254.825286430012</v>
      </c>
      <c r="W559" s="10">
        <v>0.63612147081884007</v>
      </c>
      <c r="X559" s="413">
        <v>0.62830305844645851</v>
      </c>
      <c r="Y559" s="414">
        <v>0.27152104035480207</v>
      </c>
      <c r="Z559" s="1"/>
      <c r="AA559" s="1"/>
      <c r="AB559" s="1"/>
      <c r="AC559" s="1"/>
      <c r="AD559" s="1"/>
      <c r="AL559" s="23"/>
      <c r="AM559" s="23"/>
    </row>
    <row r="560" spans="17:39">
      <c r="Q560" s="6">
        <v>530</v>
      </c>
      <c r="R560" s="7">
        <v>43197</v>
      </c>
      <c r="S560" s="210">
        <v>3.4555555555555557</v>
      </c>
      <c r="T560" s="8">
        <v>1.000095987654321</v>
      </c>
      <c r="U560" s="98">
        <v>3.2800264690402425</v>
      </c>
      <c r="V560" s="106">
        <v>27256.947509950009</v>
      </c>
      <c r="W560" s="10">
        <v>0.63617326440490451</v>
      </c>
      <c r="X560" s="413">
        <v>0.62835975525951127</v>
      </c>
      <c r="Y560" s="414">
        <v>0.27157807634320469</v>
      </c>
      <c r="Z560" s="1"/>
      <c r="AA560" s="1"/>
      <c r="AB560" s="1"/>
      <c r="AC560" s="1"/>
      <c r="AD560" s="1"/>
      <c r="AL560" s="23"/>
      <c r="AM560" s="23"/>
    </row>
    <row r="561" spans="17:39">
      <c r="Q561" s="6">
        <v>531</v>
      </c>
      <c r="R561" s="7">
        <v>43198</v>
      </c>
      <c r="S561" s="210">
        <v>3.4611111111111112</v>
      </c>
      <c r="T561" s="8">
        <v>1.0000961419753087</v>
      </c>
      <c r="U561" s="98">
        <v>3.2805742470122246</v>
      </c>
      <c r="V561" s="106">
        <v>27259.069898719004</v>
      </c>
      <c r="W561" s="10">
        <v>0.63623553715388415</v>
      </c>
      <c r="X561" s="413">
        <v>0.62842681939560241</v>
      </c>
      <c r="Y561" s="414">
        <v>0.27163586575472859</v>
      </c>
      <c r="Z561" s="1"/>
      <c r="AA561" s="1"/>
      <c r="AB561" s="1"/>
      <c r="AC561" s="1"/>
      <c r="AD561" s="1"/>
      <c r="AL561" s="23"/>
      <c r="AM561" s="23"/>
    </row>
    <row r="562" spans="17:39">
      <c r="Q562" s="6">
        <v>532</v>
      </c>
      <c r="R562" s="7">
        <v>43199</v>
      </c>
      <c r="S562" s="210">
        <v>3.4666666666666668</v>
      </c>
      <c r="T562" s="8">
        <v>1.0000962962962963</v>
      </c>
      <c r="U562" s="98">
        <v>3.2811309027169333</v>
      </c>
      <c r="V562" s="106">
        <v>27261.19245274987</v>
      </c>
      <c r="W562" s="10">
        <v>0.63630822999065639</v>
      </c>
      <c r="X562" s="413">
        <v>0.62850419296888527</v>
      </c>
      <c r="Y562" s="414">
        <v>0.2716944046088709</v>
      </c>
      <c r="Z562" s="1"/>
      <c r="AA562" s="1"/>
      <c r="AB562" s="1"/>
      <c r="AC562" s="1"/>
      <c r="AD562" s="1"/>
      <c r="AL562" s="23"/>
      <c r="AM562" s="23"/>
    </row>
    <row r="563" spans="17:39">
      <c r="Q563" s="6">
        <v>533</v>
      </c>
      <c r="R563" s="7">
        <v>43200</v>
      </c>
      <c r="S563" s="210">
        <v>3.4722222222222223</v>
      </c>
      <c r="T563" s="8">
        <v>1.000096450617284</v>
      </c>
      <c r="U563" s="98">
        <v>3.2816963863437687</v>
      </c>
      <c r="V563" s="106">
        <v>27263.385932212212</v>
      </c>
      <c r="W563" s="10">
        <v>0.63621241742668477</v>
      </c>
      <c r="X563" s="413">
        <v>0.62841488611120322</v>
      </c>
      <c r="Y563" s="414">
        <v>0.27175368895547258</v>
      </c>
      <c r="Z563" s="1"/>
      <c r="AA563" s="1"/>
      <c r="AB563" s="1"/>
      <c r="AC563" s="1"/>
      <c r="AD563" s="1"/>
      <c r="AL563" s="23"/>
      <c r="AM563" s="23"/>
    </row>
    <row r="564" spans="17:39">
      <c r="Q564" s="6">
        <v>534</v>
      </c>
      <c r="R564" s="7">
        <v>43201</v>
      </c>
      <c r="S564" s="210">
        <v>3.4777777777777779</v>
      </c>
      <c r="T564" s="8">
        <v>1.0000966049382716</v>
      </c>
      <c r="U564" s="98">
        <v>3.2822706484575415</v>
      </c>
      <c r="V564" s="106">
        <v>27265.579588165438</v>
      </c>
      <c r="W564" s="10">
        <v>0.63612757803399589</v>
      </c>
      <c r="X564" s="413">
        <v>0.62833643074139356</v>
      </c>
      <c r="Y564" s="414">
        <v>0.27181371487443773</v>
      </c>
      <c r="Z564" s="1"/>
      <c r="AA564" s="1"/>
      <c r="AB564" s="1"/>
      <c r="AC564" s="1"/>
      <c r="AD564" s="1"/>
      <c r="AL564" s="23"/>
      <c r="AM564" s="23"/>
    </row>
    <row r="565" spans="17:39">
      <c r="Q565" s="6">
        <v>535</v>
      </c>
      <c r="R565" s="7">
        <v>43202</v>
      </c>
      <c r="S565" s="210">
        <v>3.4833333333333334</v>
      </c>
      <c r="T565" s="8">
        <v>1.0000967592592593</v>
      </c>
      <c r="U565" s="98">
        <v>3.2828536399948982</v>
      </c>
      <c r="V565" s="106">
        <v>27267.773420623758</v>
      </c>
      <c r="W565" s="10">
        <v>0.63605365025192206</v>
      </c>
      <c r="X565" s="413">
        <v>0.62826876651615826</v>
      </c>
      <c r="Y565" s="414">
        <v>0.27187447847545382</v>
      </c>
      <c r="Z565" s="1"/>
      <c r="AA565" s="1"/>
      <c r="AB565" s="1"/>
      <c r="AC565" s="1"/>
      <c r="AD565" s="1"/>
      <c r="AL565" s="23"/>
      <c r="AM565" s="23"/>
    </row>
    <row r="566" spans="17:39">
      <c r="Q566" s="6">
        <v>536</v>
      </c>
      <c r="R566" s="7">
        <v>43203</v>
      </c>
      <c r="S566" s="210">
        <v>3.4888888888888889</v>
      </c>
      <c r="T566" s="8">
        <v>1.0000969135802469</v>
      </c>
      <c r="U566" s="98">
        <v>3.2834453122608132</v>
      </c>
      <c r="V566" s="106">
        <v>27269.967429601376</v>
      </c>
      <c r="W566" s="10">
        <v>0.63599057298280304</v>
      </c>
      <c r="X566" s="413">
        <v>0.62821183354739984</v>
      </c>
      <c r="Y566" s="414">
        <v>0.27193597589770563</v>
      </c>
      <c r="Z566" s="1"/>
      <c r="AA566" s="1"/>
      <c r="AB566" s="1"/>
      <c r="AC566" s="1"/>
      <c r="AD566" s="1"/>
      <c r="AL566" s="23"/>
      <c r="AM566" s="23"/>
    </row>
    <row r="567" spans="17:39">
      <c r="Q567" s="6">
        <v>537</v>
      </c>
      <c r="R567" s="7">
        <v>43204</v>
      </c>
      <c r="S567" s="210">
        <v>3.4944444444444445</v>
      </c>
      <c r="T567" s="8">
        <v>1.0000970679012346</v>
      </c>
      <c r="U567" s="98">
        <v>3.2840456169251908</v>
      </c>
      <c r="V567" s="106">
        <v>27272.161615112484</v>
      </c>
      <c r="W567" s="10">
        <v>0.63593828558754506</v>
      </c>
      <c r="X567" s="413">
        <v>0.62816557239793713</v>
      </c>
      <c r="Y567" s="414">
        <v>0.27199820330960861</v>
      </c>
      <c r="Z567" s="1"/>
      <c r="AA567" s="1"/>
      <c r="AB567" s="1"/>
      <c r="AC567" s="1"/>
      <c r="AD567" s="1"/>
      <c r="AL567" s="23"/>
      <c r="AM567" s="23"/>
    </row>
    <row r="568" spans="17:39">
      <c r="Q568" s="6">
        <v>538</v>
      </c>
      <c r="R568" s="7">
        <v>43205</v>
      </c>
      <c r="S568" s="210">
        <v>3.5</v>
      </c>
      <c r="T568" s="8">
        <v>1.0000972222222222</v>
      </c>
      <c r="U568" s="98">
        <v>3.2846545060193799</v>
      </c>
      <c r="V568" s="106">
        <v>27274.355977171301</v>
      </c>
      <c r="W568" s="10">
        <v>0.63589672788131324</v>
      </c>
      <c r="X568" s="413">
        <v>0.62812992407730039</v>
      </c>
      <c r="Y568" s="414">
        <v>0.27206115690853161</v>
      </c>
      <c r="Z568" s="1"/>
      <c r="AA568" s="1"/>
      <c r="AB568" s="1"/>
      <c r="AC568" s="1"/>
      <c r="AD568" s="1"/>
      <c r="AL568" s="23"/>
      <c r="AM568" s="23"/>
    </row>
    <row r="569" spans="17:39">
      <c r="Q569" s="6">
        <v>539</v>
      </c>
      <c r="R569" s="7">
        <v>43206</v>
      </c>
      <c r="S569" s="210">
        <v>3.5</v>
      </c>
      <c r="T569" s="8">
        <v>1.0000972222222222</v>
      </c>
      <c r="U569" s="98">
        <v>3.2852611393544562</v>
      </c>
      <c r="V569" s="106">
        <v>27276.550515792016</v>
      </c>
      <c r="W569" s="10">
        <v>0.63585532439518477</v>
      </c>
      <c r="X569" s="413">
        <v>0.62809442696786444</v>
      </c>
      <c r="Y569" s="414">
        <v>0.27212393208425539</v>
      </c>
      <c r="Z569" s="1"/>
      <c r="AA569" s="1"/>
      <c r="AB569" s="1"/>
      <c r="AC569" s="1"/>
      <c r="AD569" s="1"/>
      <c r="AL569" s="23"/>
      <c r="AM569" s="23"/>
    </row>
    <row r="570" spans="17:39">
      <c r="Q570" s="6">
        <v>540</v>
      </c>
      <c r="R570" s="7">
        <v>43207</v>
      </c>
      <c r="S570" s="210">
        <v>3.5</v>
      </c>
      <c r="T570" s="8">
        <v>1.0000972222222222</v>
      </c>
      <c r="U570" s="98">
        <v>3.2858655294426331</v>
      </c>
      <c r="V570" s="106">
        <v>27278.745230988847</v>
      </c>
      <c r="W570" s="10">
        <v>0.63581407427220071</v>
      </c>
      <c r="X570" s="413">
        <v>0.62805908022978885</v>
      </c>
      <c r="Y570" s="414">
        <v>0.27218652983337244</v>
      </c>
      <c r="Z570" s="1"/>
      <c r="AA570" s="1"/>
      <c r="AB570" s="1"/>
      <c r="AC570" s="1"/>
      <c r="AD570" s="1"/>
      <c r="AL570" s="23"/>
      <c r="AM570" s="23"/>
    </row>
    <row r="571" spans="17:39">
      <c r="Q571" s="6">
        <v>541</v>
      </c>
      <c r="R571" s="7">
        <v>43208</v>
      </c>
      <c r="S571" s="210">
        <v>3.5</v>
      </c>
      <c r="T571" s="8">
        <v>1.0000972222222222</v>
      </c>
      <c r="U571" s="98">
        <v>3.286467688703798</v>
      </c>
      <c r="V571" s="106">
        <v>27280.940122775995</v>
      </c>
      <c r="W571" s="10">
        <v>0.63577297666190802</v>
      </c>
      <c r="X571" s="413">
        <v>0.62802388302962042</v>
      </c>
      <c r="Y571" s="414">
        <v>0.27224895114511038</v>
      </c>
      <c r="Z571" s="1"/>
      <c r="AA571" s="1"/>
      <c r="AB571" s="1"/>
      <c r="AC571" s="1"/>
      <c r="AD571" s="1"/>
      <c r="AL571" s="23"/>
      <c r="AM571" s="23"/>
    </row>
    <row r="572" spans="17:39">
      <c r="Q572" s="6">
        <v>542</v>
      </c>
      <c r="R572" s="7">
        <v>43209</v>
      </c>
      <c r="S572" s="210">
        <v>3.5</v>
      </c>
      <c r="T572" s="8">
        <v>1.0000972222222222</v>
      </c>
      <c r="U572" s="98">
        <v>3.2870676294662449</v>
      </c>
      <c r="V572" s="106">
        <v>27283.135191167683</v>
      </c>
      <c r="W572" s="10">
        <v>0.63573203071995987</v>
      </c>
      <c r="X572" s="413">
        <v>0.62798883453990939</v>
      </c>
      <c r="Y572" s="414">
        <v>0.27231119700139023</v>
      </c>
      <c r="Z572" s="1"/>
      <c r="AA572" s="1"/>
      <c r="AB572" s="1"/>
      <c r="AC572" s="1"/>
      <c r="AD572" s="1"/>
      <c r="AL572" s="23"/>
      <c r="AM572" s="23"/>
    </row>
    <row r="573" spans="17:39">
      <c r="Q573" s="6">
        <v>543</v>
      </c>
      <c r="R573" s="7">
        <v>43210</v>
      </c>
      <c r="S573" s="210">
        <v>3.5</v>
      </c>
      <c r="T573" s="8">
        <v>1.0000972222222222</v>
      </c>
      <c r="U573" s="98">
        <v>3.2876653639676512</v>
      </c>
      <c r="V573" s="106">
        <v>27285.330436178101</v>
      </c>
      <c r="W573" s="10">
        <v>0.63569123560835994</v>
      </c>
      <c r="X573" s="413">
        <v>0.6279539339393746</v>
      </c>
      <c r="Y573" s="414">
        <v>0.27237326837690951</v>
      </c>
      <c r="Z573" s="1"/>
      <c r="AA573" s="1"/>
      <c r="AB573" s="1"/>
      <c r="AC573" s="1"/>
      <c r="AD573" s="1"/>
      <c r="AL573" s="23"/>
      <c r="AM573" s="23"/>
    </row>
    <row r="574" spans="17:39">
      <c r="Q574" s="6">
        <v>544</v>
      </c>
      <c r="R574" s="7">
        <v>43211</v>
      </c>
      <c r="S574" s="210">
        <v>3.5</v>
      </c>
      <c r="T574" s="8">
        <v>1.0000972222222222</v>
      </c>
      <c r="U574" s="98">
        <v>3.2882609043558775</v>
      </c>
      <c r="V574" s="106">
        <v>27287.525857821471</v>
      </c>
      <c r="W574" s="10">
        <v>0.63565059049526251</v>
      </c>
      <c r="X574" s="413">
        <v>0.62791918041281825</v>
      </c>
      <c r="Y574" s="414">
        <v>0.27243516623919378</v>
      </c>
      <c r="Z574" s="1"/>
      <c r="AA574" s="1"/>
      <c r="AB574" s="1"/>
      <c r="AC574" s="1"/>
      <c r="AD574" s="1"/>
      <c r="AL574" s="23"/>
      <c r="AM574" s="23"/>
    </row>
    <row r="575" spans="17:39">
      <c r="Q575" s="6">
        <v>545</v>
      </c>
      <c r="R575" s="7">
        <v>43212</v>
      </c>
      <c r="S575" s="210">
        <v>3.5</v>
      </c>
      <c r="T575" s="8">
        <v>1.0000972222222222</v>
      </c>
      <c r="U575" s="98">
        <v>3.2888542626896777</v>
      </c>
      <c r="V575" s="106">
        <v>27289.721456112002</v>
      </c>
      <c r="W575" s="10">
        <v>0.6356100945548615</v>
      </c>
      <c r="X575" s="413">
        <v>0.6278845731509376</v>
      </c>
      <c r="Y575" s="414">
        <v>0.27249689154866769</v>
      </c>
      <c r="Z575" s="1"/>
      <c r="AA575" s="1"/>
      <c r="AB575" s="1"/>
      <c r="AC575" s="1"/>
      <c r="AD575" s="1"/>
      <c r="AL575" s="23"/>
      <c r="AM575" s="23"/>
    </row>
    <row r="576" spans="17:39">
      <c r="Q576" s="6">
        <v>546</v>
      </c>
      <c r="R576" s="7">
        <v>43213</v>
      </c>
      <c r="S576" s="210">
        <v>3.5</v>
      </c>
      <c r="T576" s="8">
        <v>1.0000972222222222</v>
      </c>
      <c r="U576" s="98">
        <v>3.2894454509396986</v>
      </c>
      <c r="V576" s="106">
        <v>27291.917231063911</v>
      </c>
      <c r="W576" s="10">
        <v>0.63556974696747925</v>
      </c>
      <c r="X576" s="413">
        <v>0.62785011135043189</v>
      </c>
      <c r="Y576" s="414">
        <v>0.2725584452587258</v>
      </c>
      <c r="Z576" s="1"/>
      <c r="AA576" s="1"/>
      <c r="AB576" s="1"/>
      <c r="AC576" s="1"/>
      <c r="AD576" s="1"/>
      <c r="AL576" s="23"/>
      <c r="AM576" s="23"/>
    </row>
    <row r="577" spans="17:39">
      <c r="Q577" s="6">
        <v>547</v>
      </c>
      <c r="R577" s="7">
        <v>43214</v>
      </c>
      <c r="S577" s="210">
        <v>3.5</v>
      </c>
      <c r="T577" s="8">
        <v>1.0000972222222222</v>
      </c>
      <c r="U577" s="98">
        <v>3.2900344809891235</v>
      </c>
      <c r="V577" s="106">
        <v>27294.11318269141</v>
      </c>
      <c r="W577" s="10">
        <v>0.63552954691930008</v>
      </c>
      <c r="X577" s="413">
        <v>0.62781579421372846</v>
      </c>
      <c r="Y577" s="414">
        <v>0.27261982831578357</v>
      </c>
      <c r="Z577" s="1"/>
      <c r="AA577" s="1"/>
      <c r="AB577" s="1"/>
      <c r="AC577" s="1"/>
      <c r="AD577" s="1"/>
      <c r="AL577" s="23"/>
      <c r="AM577" s="23"/>
    </row>
    <row r="578" spans="17:39">
      <c r="Q578" s="6">
        <v>548</v>
      </c>
      <c r="R578" s="7">
        <v>43215</v>
      </c>
      <c r="S578" s="210">
        <v>3.5</v>
      </c>
      <c r="T578" s="8">
        <v>1.0000972222222222</v>
      </c>
      <c r="U578" s="98">
        <v>3.2906213646345384</v>
      </c>
      <c r="V578" s="106">
        <v>27296.309311008714</v>
      </c>
      <c r="W578" s="10">
        <v>0.63548949360263673</v>
      </c>
      <c r="X578" s="413">
        <v>0.62778162094930989</v>
      </c>
      <c r="Y578" s="414">
        <v>0.27268104165935325</v>
      </c>
      <c r="Z578" s="1"/>
      <c r="AA578" s="1"/>
      <c r="AB578" s="1"/>
      <c r="AC578" s="1"/>
      <c r="AD578" s="1"/>
      <c r="AL578" s="23"/>
      <c r="AM578" s="23"/>
    </row>
    <row r="579" spans="17:39">
      <c r="Q579" s="6">
        <v>549</v>
      </c>
      <c r="R579" s="7">
        <v>43216</v>
      </c>
      <c r="S579" s="210">
        <v>3.5</v>
      </c>
      <c r="T579" s="8">
        <v>1.0000972222222222</v>
      </c>
      <c r="U579" s="98">
        <v>3.291206113586731</v>
      </c>
      <c r="V579" s="106">
        <v>27298.505616030041</v>
      </c>
      <c r="W579" s="10">
        <v>0.63544958621553072</v>
      </c>
      <c r="X579" s="413">
        <v>0.62774759077122155</v>
      </c>
      <c r="Y579" s="414">
        <v>0.27274208622210178</v>
      </c>
      <c r="Z579" s="1"/>
      <c r="AA579" s="1"/>
      <c r="AB579" s="1"/>
      <c r="AC579" s="1"/>
      <c r="AD579" s="1"/>
      <c r="AL579" s="23"/>
      <c r="AM579" s="23"/>
    </row>
    <row r="580" spans="17:39">
      <c r="Q580" s="6">
        <v>550</v>
      </c>
      <c r="R580" s="7">
        <v>43217</v>
      </c>
      <c r="S580" s="210">
        <v>3.5</v>
      </c>
      <c r="T580" s="8">
        <v>1.0000972222222222</v>
      </c>
      <c r="U580" s="98">
        <v>3.2917887394714462</v>
      </c>
      <c r="V580" s="106">
        <v>27300.702097769608</v>
      </c>
      <c r="W580" s="10">
        <v>0.63540982396192991</v>
      </c>
      <c r="X580" s="413">
        <v>0.62771370289932704</v>
      </c>
      <c r="Y580" s="414">
        <v>0.27280296292991424</v>
      </c>
      <c r="Z580" s="1"/>
      <c r="AA580" s="1"/>
      <c r="AB580" s="1"/>
      <c r="AC580" s="1"/>
      <c r="AD580" s="1"/>
      <c r="AL580" s="23"/>
      <c r="AM580" s="23"/>
    </row>
    <row r="581" spans="17:39">
      <c r="Q581" s="6">
        <v>551</v>
      </c>
      <c r="R581" s="7">
        <v>43218</v>
      </c>
      <c r="S581" s="210">
        <v>3.5</v>
      </c>
      <c r="T581" s="8">
        <v>1.0000972222222222</v>
      </c>
      <c r="U581" s="98">
        <v>3.2923692538301408</v>
      </c>
      <c r="V581" s="106">
        <v>27302.898756241637</v>
      </c>
      <c r="W581" s="10">
        <v>0.63537020605155536</v>
      </c>
      <c r="X581" s="413">
        <v>0.62767995655912412</v>
      </c>
      <c r="Y581" s="414">
        <v>0.27286367270195189</v>
      </c>
      <c r="Z581" s="1"/>
      <c r="AA581" s="1"/>
      <c r="AB581" s="1"/>
      <c r="AC581" s="1"/>
      <c r="AD581" s="1"/>
      <c r="AL581" s="23"/>
      <c r="AM581" s="23"/>
    </row>
    <row r="582" spans="17:39">
      <c r="Q582" s="6">
        <v>552</v>
      </c>
      <c r="R582" s="7">
        <v>43219</v>
      </c>
      <c r="S582" s="210">
        <v>3.5</v>
      </c>
      <c r="T582" s="8">
        <v>1.0000972222222222</v>
      </c>
      <c r="U582" s="98">
        <v>3.2929476681208047</v>
      </c>
      <c r="V582" s="106">
        <v>27305.09559146034</v>
      </c>
      <c r="W582" s="10">
        <v>0.63533073169985688</v>
      </c>
      <c r="X582" s="413">
        <v>0.62764635098175192</v>
      </c>
      <c r="Y582" s="414">
        <v>0.27292421645072013</v>
      </c>
      <c r="Z582" s="1"/>
      <c r="AA582" s="1"/>
      <c r="AB582" s="1"/>
      <c r="AC582" s="1"/>
      <c r="AD582" s="1"/>
      <c r="AL582" s="23"/>
      <c r="AM582" s="23"/>
    </row>
    <row r="583" spans="17:39">
      <c r="Q583" s="6">
        <v>553</v>
      </c>
      <c r="R583" s="7">
        <v>43220</v>
      </c>
      <c r="S583" s="210">
        <v>3.5</v>
      </c>
      <c r="T583" s="8">
        <v>1.0000972222222222</v>
      </c>
      <c r="U583" s="98">
        <v>3.2935239937186722</v>
      </c>
      <c r="V583" s="106">
        <v>27307.292603439942</v>
      </c>
      <c r="W583" s="10">
        <v>0.63529140012794638</v>
      </c>
      <c r="X583" s="413">
        <v>0.62761288540388194</v>
      </c>
      <c r="Y583" s="414">
        <v>0.27298459508212281</v>
      </c>
      <c r="Z583" s="1"/>
      <c r="AA583" s="1"/>
      <c r="AB583" s="1"/>
      <c r="AC583" s="1"/>
      <c r="AD583" s="1"/>
      <c r="AL583" s="23"/>
      <c r="AM583" s="23"/>
    </row>
    <row r="584" spans="17:39">
      <c r="Q584" s="6">
        <v>554</v>
      </c>
      <c r="R584" s="7">
        <v>43221</v>
      </c>
      <c r="S584" s="210">
        <v>3.5</v>
      </c>
      <c r="T584" s="8">
        <v>1.0000972222222222</v>
      </c>
      <c r="U584" s="98">
        <v>3.294098241916954</v>
      </c>
      <c r="V584" s="106">
        <v>27309.489792194676</v>
      </c>
      <c r="W584" s="10">
        <v>0.63525221056255354</v>
      </c>
      <c r="X584" s="413">
        <v>0.6275795590676827</v>
      </c>
      <c r="Y584" s="414">
        <v>0.27304480949552301</v>
      </c>
      <c r="Z584" s="1"/>
      <c r="AA584" s="1"/>
      <c r="AB584" s="1"/>
      <c r="AC584" s="1"/>
      <c r="AD584" s="1"/>
      <c r="AL584" s="23"/>
      <c r="AM584" s="23"/>
    </row>
    <row r="585" spans="17:39">
      <c r="Q585" s="6">
        <v>555</v>
      </c>
      <c r="R585" s="7">
        <v>43222</v>
      </c>
      <c r="S585" s="210">
        <v>3.5</v>
      </c>
      <c r="T585" s="8">
        <v>1.0000972222222222</v>
      </c>
      <c r="U585" s="98">
        <v>3.2946704239275704</v>
      </c>
      <c r="V585" s="106">
        <v>27311.687157738746</v>
      </c>
      <c r="W585" s="10">
        <v>0.63521316223600355</v>
      </c>
      <c r="X585" s="413">
        <v>0.6275463712208279</v>
      </c>
      <c r="Y585" s="414">
        <v>0.2731048605837994</v>
      </c>
      <c r="Z585" s="1"/>
      <c r="AA585" s="1"/>
      <c r="AB585" s="1"/>
      <c r="AC585" s="1"/>
      <c r="AD585" s="1"/>
      <c r="AL585" s="23"/>
      <c r="AM585" s="23"/>
    </row>
    <row r="586" spans="17:39">
      <c r="Q586" s="6">
        <v>556</v>
      </c>
      <c r="R586" s="7">
        <v>43223</v>
      </c>
      <c r="S586" s="210">
        <v>3.5</v>
      </c>
      <c r="T586" s="8">
        <v>1.0000972222222222</v>
      </c>
      <c r="U586" s="98">
        <v>3.2952405508819727</v>
      </c>
      <c r="V586" s="106">
        <v>27313.884700086393</v>
      </c>
      <c r="W586" s="10">
        <v>0.63517425438612829</v>
      </c>
      <c r="X586" s="413">
        <v>0.62751332111634572</v>
      </c>
      <c r="Y586" s="414">
        <v>0.27316474923341433</v>
      </c>
      <c r="Z586" s="1"/>
      <c r="AA586" s="1"/>
      <c r="AB586" s="1"/>
      <c r="AC586" s="1"/>
      <c r="AD586" s="1"/>
      <c r="AL586" s="23"/>
      <c r="AM586" s="23"/>
    </row>
    <row r="587" spans="17:39">
      <c r="Q587" s="6">
        <v>557</v>
      </c>
      <c r="R587" s="7">
        <v>43224</v>
      </c>
      <c r="S587" s="210">
        <v>3.5</v>
      </c>
      <c r="T587" s="8">
        <v>1.0000972222222222</v>
      </c>
      <c r="U587" s="98">
        <v>3.2958086338317205</v>
      </c>
      <c r="V587" s="106">
        <v>27316.082419251841</v>
      </c>
      <c r="W587" s="10">
        <v>0.63513548625624416</v>
      </c>
      <c r="X587" s="413">
        <v>0.62748040801270111</v>
      </c>
      <c r="Y587" s="414">
        <v>0.27322447632445818</v>
      </c>
      <c r="Z587" s="1"/>
      <c r="AA587" s="1"/>
      <c r="AB587" s="1"/>
      <c r="AC587" s="1"/>
      <c r="AD587" s="1"/>
      <c r="AL587" s="23"/>
      <c r="AM587" s="23"/>
    </row>
    <row r="588" spans="17:39">
      <c r="Q588" s="6">
        <v>558</v>
      </c>
      <c r="R588" s="7">
        <v>43225</v>
      </c>
      <c r="S588" s="210">
        <v>3.5</v>
      </c>
      <c r="T588" s="8">
        <v>1.0000972222222222</v>
      </c>
      <c r="U588" s="98">
        <v>3.2963746837493035</v>
      </c>
      <c r="V588" s="106">
        <v>27318.280315249314</v>
      </c>
      <c r="W588" s="10">
        <v>0.63509685709506325</v>
      </c>
      <c r="X588" s="413">
        <v>0.62744763117360225</v>
      </c>
      <c r="Y588" s="414">
        <v>0.27328404273071588</v>
      </c>
      <c r="Z588" s="1"/>
      <c r="AA588" s="1"/>
      <c r="AB588" s="1"/>
      <c r="AC588" s="1"/>
      <c r="AD588" s="1"/>
      <c r="AL588" s="23"/>
      <c r="AM588" s="23"/>
    </row>
    <row r="589" spans="17:39">
      <c r="Q589" s="6">
        <v>559</v>
      </c>
      <c r="R589" s="7">
        <v>43226</v>
      </c>
      <c r="S589" s="210">
        <v>3.5</v>
      </c>
      <c r="T589" s="8">
        <v>1.0000972222222222</v>
      </c>
      <c r="U589" s="98">
        <v>3.2969387115288518</v>
      </c>
      <c r="V589" s="106">
        <v>27320.47838809303</v>
      </c>
      <c r="W589" s="10">
        <v>0.63505836615673772</v>
      </c>
      <c r="X589" s="413">
        <v>0.62741498986809807</v>
      </c>
      <c r="Y589" s="414">
        <v>0.27334344931972138</v>
      </c>
      <c r="Z589" s="1"/>
      <c r="AA589" s="1"/>
      <c r="AB589" s="1"/>
      <c r="AC589" s="1"/>
      <c r="AD589" s="1"/>
      <c r="AL589" s="23"/>
      <c r="AM589" s="23"/>
    </row>
    <row r="590" spans="17:39">
      <c r="Q590" s="6">
        <v>560</v>
      </c>
      <c r="R590" s="7">
        <v>43227</v>
      </c>
      <c r="S590" s="210">
        <v>3.5</v>
      </c>
      <c r="T590" s="8">
        <v>1.0000972222222222</v>
      </c>
      <c r="U590" s="98">
        <v>3.2975007279867352</v>
      </c>
      <c r="V590" s="106">
        <v>27322.676637797242</v>
      </c>
      <c r="W590" s="10">
        <v>0.63502001270066</v>
      </c>
      <c r="X590" s="413">
        <v>0.62738248337035818</v>
      </c>
      <c r="Y590" s="414">
        <v>0.2734026969528105</v>
      </c>
      <c r="Z590" s="1"/>
      <c r="AA590" s="1"/>
      <c r="AB590" s="1"/>
      <c r="AC590" s="1"/>
      <c r="AD590" s="1"/>
      <c r="AL590" s="23"/>
      <c r="AM590" s="23"/>
    </row>
    <row r="591" spans="17:39">
      <c r="Q591" s="6">
        <v>561</v>
      </c>
      <c r="R591" s="7">
        <v>43228</v>
      </c>
      <c r="S591" s="210">
        <v>3.5</v>
      </c>
      <c r="T591" s="8">
        <v>1.0000972222222222</v>
      </c>
      <c r="U591" s="98">
        <v>3.2980607438623633</v>
      </c>
      <c r="V591" s="106">
        <v>27324.87506437616</v>
      </c>
      <c r="W591" s="10">
        <v>0.63498179599161819</v>
      </c>
      <c r="X591" s="413">
        <v>0.62735011095988458</v>
      </c>
      <c r="Y591" s="414">
        <v>0.2734617864851801</v>
      </c>
      <c r="Z591" s="1"/>
      <c r="AA591" s="1"/>
      <c r="AB591" s="1"/>
      <c r="AC591" s="1"/>
      <c r="AD591" s="1"/>
      <c r="AL591" s="23"/>
      <c r="AM591" s="23"/>
    </row>
    <row r="592" spans="17:39">
      <c r="Q592" s="6">
        <v>562</v>
      </c>
      <c r="R592" s="7">
        <v>43229</v>
      </c>
      <c r="S592" s="210">
        <v>3.5</v>
      </c>
      <c r="T592" s="8">
        <v>1.0000972222222222</v>
      </c>
      <c r="U592" s="98">
        <v>3.2986187698188063</v>
      </c>
      <c r="V592" s="106">
        <v>27327.073667844019</v>
      </c>
      <c r="W592" s="10">
        <v>0.63494371529952964</v>
      </c>
      <c r="X592" s="413">
        <v>0.62731787192113642</v>
      </c>
      <c r="Y592" s="414">
        <v>0.27352071876593786</v>
      </c>
      <c r="Z592" s="1"/>
      <c r="AA592" s="1"/>
      <c r="AB592" s="1"/>
      <c r="AC592" s="1"/>
      <c r="AD592" s="1"/>
      <c r="AL592" s="23"/>
      <c r="AM592" s="23"/>
    </row>
    <row r="593" spans="17:39">
      <c r="Q593" s="6">
        <v>563</v>
      </c>
      <c r="R593" s="7">
        <v>43230</v>
      </c>
      <c r="S593" s="210">
        <v>3.5</v>
      </c>
      <c r="T593" s="8">
        <v>1.0000972222222222</v>
      </c>
      <c r="U593" s="98">
        <v>3.2991748164435064</v>
      </c>
      <c r="V593" s="106">
        <v>27329.201517054611</v>
      </c>
      <c r="W593" s="10">
        <v>0.63507510345910401</v>
      </c>
      <c r="X593" s="413">
        <v>0.62745335392949697</v>
      </c>
      <c r="Y593" s="414">
        <v>0.27357949463816222</v>
      </c>
      <c r="Z593" s="1"/>
      <c r="AA593" s="1"/>
      <c r="AB593" s="1"/>
      <c r="AC593" s="1"/>
      <c r="AD593" s="1"/>
      <c r="AL593" s="23"/>
      <c r="AM593" s="23"/>
    </row>
    <row r="594" spans="17:39">
      <c r="Q594" s="6">
        <v>564</v>
      </c>
      <c r="R594" s="7">
        <v>43231</v>
      </c>
      <c r="S594" s="210">
        <v>3.5</v>
      </c>
      <c r="T594" s="8">
        <v>1.0000972222222222</v>
      </c>
      <c r="U594" s="98">
        <v>3.2997288942488989</v>
      </c>
      <c r="V594" s="106">
        <v>27331.329531952255</v>
      </c>
      <c r="W594" s="10">
        <v>0.63520602587381347</v>
      </c>
      <c r="X594" s="413">
        <v>0.62758837965035774</v>
      </c>
      <c r="Y594" s="414">
        <v>0.27363811493895118</v>
      </c>
      <c r="Z594" s="1"/>
      <c r="AA594" s="1"/>
      <c r="AB594" s="1"/>
      <c r="AC594" s="1"/>
      <c r="AD594" s="1"/>
      <c r="AL594" s="23"/>
      <c r="AM594" s="23"/>
    </row>
    <row r="595" spans="17:39">
      <c r="Q595" s="6">
        <v>565</v>
      </c>
      <c r="R595" s="7">
        <v>43232</v>
      </c>
      <c r="S595" s="210">
        <v>3.5</v>
      </c>
      <c r="T595" s="8">
        <v>1.0000972222222222</v>
      </c>
      <c r="U595" s="98">
        <v>3.3002810136731453</v>
      </c>
      <c r="V595" s="106">
        <v>27333.457712549847</v>
      </c>
      <c r="W595" s="10">
        <v>0.63533648501579165</v>
      </c>
      <c r="X595" s="413">
        <v>0.62772295150699342</v>
      </c>
      <c r="Y595" s="414">
        <v>0.27369658049947648</v>
      </c>
      <c r="Z595" s="1"/>
      <c r="AA595" s="1"/>
      <c r="AB595" s="1"/>
      <c r="AC595" s="1"/>
      <c r="AD595" s="1"/>
      <c r="AL595" s="23"/>
      <c r="AM595" s="23"/>
    </row>
    <row r="596" spans="17:39">
      <c r="Q596" s="6">
        <v>566</v>
      </c>
      <c r="R596" s="7">
        <v>43233</v>
      </c>
      <c r="S596" s="210">
        <v>3.5</v>
      </c>
      <c r="T596" s="8">
        <v>1.0000972222222222</v>
      </c>
      <c r="U596" s="98">
        <v>3.3008311850807326</v>
      </c>
      <c r="V596" s="106">
        <v>27335.586058860295</v>
      </c>
      <c r="W596" s="10">
        <v>0.63546648333963063</v>
      </c>
      <c r="X596" s="413">
        <v>0.62785707190551099</v>
      </c>
      <c r="Y596" s="414">
        <v>0.27375489214503929</v>
      </c>
      <c r="Z596" s="1"/>
      <c r="AA596" s="1"/>
      <c r="AB596" s="1"/>
      <c r="AC596" s="1"/>
      <c r="AD596" s="1"/>
      <c r="AL596" s="23"/>
      <c r="AM596" s="23"/>
    </row>
    <row r="597" spans="17:39">
      <c r="Q597" s="6">
        <v>567</v>
      </c>
      <c r="R597" s="7">
        <v>43234</v>
      </c>
      <c r="S597" s="210">
        <v>3.5</v>
      </c>
      <c r="T597" s="8">
        <v>1.0000972222222222</v>
      </c>
      <c r="U597" s="98">
        <v>3.3013794187631174</v>
      </c>
      <c r="V597" s="106">
        <v>27337.714570896511</v>
      </c>
      <c r="W597" s="10">
        <v>0.63559602328260301</v>
      </c>
      <c r="X597" s="413">
        <v>0.6279907432350007</v>
      </c>
      <c r="Y597" s="414">
        <v>0.2738130506951138</v>
      </c>
      <c r="Z597" s="1"/>
      <c r="AA597" s="1"/>
      <c r="AB597" s="1"/>
      <c r="AC597" s="1"/>
      <c r="AD597" s="1"/>
      <c r="AL597" s="23"/>
      <c r="AM597" s="23"/>
    </row>
    <row r="598" spans="17:39">
      <c r="Q598" s="6">
        <v>568</v>
      </c>
      <c r="R598" s="7">
        <v>43235</v>
      </c>
      <c r="S598" s="210">
        <v>3.5</v>
      </c>
      <c r="T598" s="8">
        <v>1.0000972222222222</v>
      </c>
      <c r="U598" s="98">
        <v>3.3019257249394363</v>
      </c>
      <c r="V598" s="106">
        <v>27339.843248671379</v>
      </c>
      <c r="W598" s="10">
        <v>0.63572510726492837</v>
      </c>
      <c r="X598" s="413">
        <v>0.62812396786784064</v>
      </c>
      <c r="Y598" s="414">
        <v>0.27387105696340919</v>
      </c>
      <c r="Z598" s="1"/>
      <c r="AA598" s="1"/>
      <c r="AB598" s="1"/>
      <c r="AC598" s="1"/>
      <c r="AD598" s="1"/>
      <c r="AL598" s="23"/>
      <c r="AM598" s="23"/>
    </row>
    <row r="599" spans="17:39">
      <c r="Q599" s="6">
        <v>569</v>
      </c>
      <c r="R599" s="7">
        <v>43236</v>
      </c>
      <c r="S599" s="210">
        <v>3.5</v>
      </c>
      <c r="T599" s="8">
        <v>1.0000972222222222</v>
      </c>
      <c r="U599" s="98">
        <v>3.3024701137570389</v>
      </c>
      <c r="V599" s="106">
        <v>27341.972092197822</v>
      </c>
      <c r="W599" s="10">
        <v>0.63585373768964004</v>
      </c>
      <c r="X599" s="413">
        <v>0.62825674815956312</v>
      </c>
      <c r="Y599" s="414">
        <v>0.27392891175790979</v>
      </c>
      <c r="Z599" s="1"/>
      <c r="AA599" s="1"/>
      <c r="AB599" s="1"/>
      <c r="AC599" s="1"/>
      <c r="AD599" s="1"/>
      <c r="AL599" s="23"/>
      <c r="AM599" s="23"/>
    </row>
    <row r="600" spans="17:39">
      <c r="Q600" s="6">
        <v>570</v>
      </c>
      <c r="R600" s="7">
        <v>43237</v>
      </c>
      <c r="S600" s="210">
        <v>3.5</v>
      </c>
      <c r="T600" s="8">
        <v>1.0000972222222222</v>
      </c>
      <c r="U600" s="98">
        <v>3.3030125952922429</v>
      </c>
      <c r="V600" s="106">
        <v>27344.101101488737</v>
      </c>
      <c r="W600" s="10">
        <v>0.63598191694311801</v>
      </c>
      <c r="X600" s="413">
        <v>0.62838908644936631</v>
      </c>
      <c r="Y600" s="414">
        <v>0.27398661588093548</v>
      </c>
      <c r="Z600" s="1"/>
      <c r="AA600" s="1"/>
      <c r="AB600" s="1"/>
      <c r="AC600" s="1"/>
      <c r="AD600" s="1"/>
      <c r="AL600" s="23"/>
      <c r="AM600" s="23"/>
    </row>
    <row r="601" spans="17:39">
      <c r="Q601" s="6">
        <v>571</v>
      </c>
      <c r="R601" s="7">
        <v>43238</v>
      </c>
      <c r="S601" s="210">
        <v>3.5</v>
      </c>
      <c r="T601" s="8">
        <v>1.0000972222222222</v>
      </c>
      <c r="U601" s="98">
        <v>3.3035531795508</v>
      </c>
      <c r="V601" s="106">
        <v>27346.230276557035</v>
      </c>
      <c r="W601" s="10">
        <v>0.63610964739486686</v>
      </c>
      <c r="X601" s="413">
        <v>0.62852098505990828</v>
      </c>
      <c r="Y601" s="414">
        <v>0.27404417012918231</v>
      </c>
      <c r="Z601" s="1"/>
      <c r="AA601" s="1"/>
      <c r="AB601" s="1"/>
      <c r="AC601" s="1"/>
      <c r="AD601" s="1"/>
      <c r="AL601" s="23"/>
      <c r="AM601" s="23"/>
    </row>
    <row r="602" spans="17:39">
      <c r="Q602" s="6">
        <v>572</v>
      </c>
      <c r="R602" s="7">
        <v>43239</v>
      </c>
      <c r="S602" s="210">
        <v>3.5</v>
      </c>
      <c r="T602" s="8">
        <v>1.0000972222222222</v>
      </c>
      <c r="U602" s="98">
        <v>3.3040918764686733</v>
      </c>
      <c r="V602" s="106">
        <v>27348.359617415623</v>
      </c>
      <c r="W602" s="10">
        <v>0.63623693139793769</v>
      </c>
      <c r="X602" s="413">
        <v>0.62865244629768802</v>
      </c>
      <c r="Y602" s="414">
        <v>0.2741015752937786</v>
      </c>
      <c r="Z602" s="1"/>
      <c r="AA602" s="1"/>
      <c r="AB602" s="1"/>
      <c r="AC602" s="1"/>
      <c r="AD602" s="1"/>
      <c r="AL602" s="23"/>
      <c r="AM602" s="23"/>
    </row>
    <row r="603" spans="17:39">
      <c r="Q603" s="6">
        <v>573</v>
      </c>
      <c r="R603" s="7">
        <v>43240</v>
      </c>
      <c r="S603" s="210">
        <v>3.5</v>
      </c>
      <c r="T603" s="8">
        <v>1.0000972222222222</v>
      </c>
      <c r="U603" s="98">
        <v>3.3046286959125259</v>
      </c>
      <c r="V603" s="106">
        <v>27350.489124077412</v>
      </c>
      <c r="W603" s="10">
        <v>0.63636377128888366</v>
      </c>
      <c r="X603" s="413">
        <v>0.62878347245304766</v>
      </c>
      <c r="Y603" s="414">
        <v>0.27415883216032744</v>
      </c>
      <c r="Z603" s="1"/>
      <c r="AA603" s="1"/>
      <c r="AB603" s="1"/>
      <c r="AC603" s="1"/>
      <c r="AD603" s="1"/>
      <c r="AL603" s="23"/>
      <c r="AM603" s="23"/>
    </row>
    <row r="604" spans="17:39">
      <c r="Q604" s="6">
        <v>574</v>
      </c>
      <c r="R604" s="7">
        <v>43241</v>
      </c>
      <c r="S604" s="210">
        <v>3.5</v>
      </c>
      <c r="T604" s="8">
        <v>1.0000972222222222</v>
      </c>
      <c r="U604" s="98">
        <v>3.3051636476803647</v>
      </c>
      <c r="V604" s="106">
        <v>27352.618796555311</v>
      </c>
      <c r="W604" s="10">
        <v>0.63649016938800429</v>
      </c>
      <c r="X604" s="413">
        <v>0.62891406580041098</v>
      </c>
      <c r="Y604" s="414">
        <v>0.27421594150895867</v>
      </c>
      <c r="Z604" s="1"/>
      <c r="AA604" s="1"/>
      <c r="AB604" s="1"/>
      <c r="AC604" s="1"/>
      <c r="AD604" s="1"/>
      <c r="AL604" s="23"/>
      <c r="AM604" s="23"/>
    </row>
    <row r="605" spans="17:39">
      <c r="Q605" s="6">
        <v>575</v>
      </c>
      <c r="R605" s="7">
        <v>43242</v>
      </c>
      <c r="S605" s="210">
        <v>3.5</v>
      </c>
      <c r="T605" s="8">
        <v>1.0000972222222222</v>
      </c>
      <c r="U605" s="98">
        <v>3.3056967415021621</v>
      </c>
      <c r="V605" s="106">
        <v>27354.748634862237</v>
      </c>
      <c r="W605" s="10">
        <v>0.63661612799950085</v>
      </c>
      <c r="X605" s="413">
        <v>0.62904422859835118</v>
      </c>
      <c r="Y605" s="414">
        <v>0.27427290411437744</v>
      </c>
      <c r="Z605" s="1"/>
      <c r="AA605" s="1"/>
      <c r="AB605" s="1"/>
      <c r="AC605" s="1"/>
      <c r="AD605" s="1"/>
      <c r="AL605" s="23"/>
      <c r="AM605" s="23"/>
    </row>
    <row r="606" spans="17:39">
      <c r="Q606" s="6">
        <v>576</v>
      </c>
      <c r="R606" s="7">
        <v>43243</v>
      </c>
      <c r="S606" s="210">
        <v>3.5</v>
      </c>
      <c r="T606" s="8">
        <v>1.0000972222222222</v>
      </c>
      <c r="U606" s="98">
        <v>3.3062279870403888</v>
      </c>
      <c r="V606" s="106">
        <v>27356.878639011091</v>
      </c>
      <c r="W606" s="10">
        <v>0.63674164941154299</v>
      </c>
      <c r="X606" s="413">
        <v>0.62917396308979912</v>
      </c>
      <c r="Y606" s="414">
        <v>0.27432972074590645</v>
      </c>
      <c r="Z606" s="1"/>
      <c r="AA606" s="1"/>
      <c r="AB606" s="1"/>
      <c r="AC606" s="1"/>
      <c r="AD606" s="1"/>
      <c r="AL606" s="23"/>
      <c r="AM606" s="23"/>
    </row>
    <row r="607" spans="17:39">
      <c r="Q607" s="6">
        <v>577</v>
      </c>
      <c r="R607" s="7">
        <v>43244</v>
      </c>
      <c r="S607" s="210">
        <v>3.5</v>
      </c>
      <c r="T607" s="8">
        <v>1.0000972222222222</v>
      </c>
      <c r="U607" s="98">
        <v>3.306757393890658</v>
      </c>
      <c r="V607" s="106">
        <v>27359.008809014795</v>
      </c>
      <c r="W607" s="10">
        <v>0.63686673589642417</v>
      </c>
      <c r="X607" s="413">
        <v>0.62930327150206711</v>
      </c>
      <c r="Y607" s="414">
        <v>0.27438639216754013</v>
      </c>
      <c r="Z607" s="1"/>
      <c r="AA607" s="1"/>
      <c r="AB607" s="1"/>
      <c r="AC607" s="1"/>
      <c r="AD607" s="1"/>
      <c r="AL607" s="23"/>
      <c r="AM607" s="23"/>
    </row>
    <row r="608" spans="17:39">
      <c r="Q608" s="6">
        <v>578</v>
      </c>
      <c r="R608" s="7">
        <v>43245</v>
      </c>
      <c r="S608" s="210">
        <v>3.5</v>
      </c>
      <c r="T608" s="8">
        <v>1.0000972222222222</v>
      </c>
      <c r="U608" s="98">
        <v>3.3072849715822805</v>
      </c>
      <c r="V608" s="106">
        <v>27361.139144886263</v>
      </c>
      <c r="W608" s="10">
        <v>0.63699138971080593</v>
      </c>
      <c r="X608" s="413">
        <v>0.62943215604716429</v>
      </c>
      <c r="Y608" s="414">
        <v>0.27444291913798202</v>
      </c>
      <c r="Z608" s="1"/>
      <c r="AA608" s="1"/>
      <c r="AB608" s="1"/>
      <c r="AC608" s="1"/>
      <c r="AD608" s="1"/>
      <c r="AL608" s="23"/>
      <c r="AM608" s="23"/>
    </row>
    <row r="609" spans="17:39">
      <c r="Q609" s="6">
        <v>579</v>
      </c>
      <c r="R609" s="7">
        <v>43246</v>
      </c>
      <c r="S609" s="210">
        <v>3.5</v>
      </c>
      <c r="T609" s="8">
        <v>1.0000972222222222</v>
      </c>
      <c r="U609" s="98">
        <v>3.3078107295787973</v>
      </c>
      <c r="V609" s="106">
        <v>27363.269646638404</v>
      </c>
      <c r="W609" s="10">
        <v>0.63711561309565123</v>
      </c>
      <c r="X609" s="413">
        <v>0.62956061892169424</v>
      </c>
      <c r="Y609" s="414">
        <v>0.27449930241069548</v>
      </c>
      <c r="Z609" s="1"/>
      <c r="AA609" s="1"/>
      <c r="AB609" s="1"/>
      <c r="AC609" s="1"/>
      <c r="AD609" s="1"/>
      <c r="AL609" s="23"/>
      <c r="AM609" s="23"/>
    </row>
    <row r="610" spans="17:39">
      <c r="Q610" s="6">
        <v>580</v>
      </c>
      <c r="R610" s="7">
        <v>43247</v>
      </c>
      <c r="S610" s="210">
        <v>3.5</v>
      </c>
      <c r="T610" s="8">
        <v>1.0000972222222222</v>
      </c>
      <c r="U610" s="98">
        <v>3.3083346772786015</v>
      </c>
      <c r="V610" s="106">
        <v>27365.400314284143</v>
      </c>
      <c r="W610" s="10">
        <v>0.63723940827653536</v>
      </c>
      <c r="X610" s="413">
        <v>0.62968866230715237</v>
      </c>
      <c r="Y610" s="414">
        <v>0.27455554273394983</v>
      </c>
      <c r="Z610" s="1"/>
      <c r="AA610" s="1"/>
      <c r="AB610" s="1"/>
      <c r="AC610" s="1"/>
      <c r="AD610" s="1"/>
      <c r="AL610" s="23"/>
      <c r="AM610" s="23"/>
    </row>
    <row r="611" spans="17:39">
      <c r="Q611" s="6">
        <v>581</v>
      </c>
      <c r="R611" s="7">
        <v>43248</v>
      </c>
      <c r="S611" s="210">
        <v>3.5</v>
      </c>
      <c r="T611" s="8">
        <v>1.0000972222222222</v>
      </c>
      <c r="U611" s="98">
        <v>3.3088568240154714</v>
      </c>
      <c r="V611" s="106">
        <v>27367.531147836395</v>
      </c>
      <c r="W611" s="10">
        <v>0.6373627774637125</v>
      </c>
      <c r="X611" s="413">
        <v>0.62981628837007053</v>
      </c>
      <c r="Y611" s="414">
        <v>0.27461164085086148</v>
      </c>
      <c r="Z611" s="1"/>
      <c r="AA611" s="1"/>
      <c r="AB611" s="1"/>
      <c r="AC611" s="1"/>
      <c r="AD611" s="1"/>
      <c r="AL611" s="23"/>
      <c r="AM611" s="23"/>
    </row>
    <row r="612" spans="17:39">
      <c r="Q612" s="6">
        <v>582</v>
      </c>
      <c r="R612" s="7">
        <v>43249</v>
      </c>
      <c r="S612" s="210">
        <v>3.5</v>
      </c>
      <c r="T612" s="8">
        <v>1.0000972222222222</v>
      </c>
      <c r="U612" s="98">
        <v>3.3093771790591253</v>
      </c>
      <c r="V612" s="106">
        <v>27369.662147308078</v>
      </c>
      <c r="W612" s="10">
        <v>0.63748572285224903</v>
      </c>
      <c r="X612" s="413">
        <v>0.62994349926202164</v>
      </c>
      <c r="Y612" s="414">
        <v>0.27466759749943992</v>
      </c>
      <c r="Z612" s="1"/>
      <c r="AA612" s="1"/>
      <c r="AB612" s="1"/>
      <c r="AC612" s="1"/>
      <c r="AD612" s="1"/>
      <c r="AL612" s="23"/>
      <c r="AM612" s="23"/>
    </row>
    <row r="613" spans="17:39">
      <c r="Q613" s="6">
        <v>583</v>
      </c>
      <c r="R613" s="7">
        <v>43250</v>
      </c>
      <c r="S613" s="210">
        <v>3.5</v>
      </c>
      <c r="T613" s="8">
        <v>1.0000972222222222</v>
      </c>
      <c r="U613" s="98">
        <v>3.3098957516157768</v>
      </c>
      <c r="V613" s="106">
        <v>27371.793312712103</v>
      </c>
      <c r="W613" s="10">
        <v>0.63760824662215665</v>
      </c>
      <c r="X613" s="413">
        <v>0.63007029711985785</v>
      </c>
      <c r="Y613" s="414">
        <v>0.27472341341263284</v>
      </c>
      <c r="Z613" s="1"/>
      <c r="AA613" s="1"/>
      <c r="AB613" s="1"/>
      <c r="AC613" s="1"/>
      <c r="AD613" s="1"/>
      <c r="AL613" s="23"/>
      <c r="AM613" s="23"/>
    </row>
    <row r="614" spans="17:39">
      <c r="Q614" s="6">
        <v>584</v>
      </c>
      <c r="R614" s="7">
        <v>43251</v>
      </c>
      <c r="S614" s="210">
        <v>3.5</v>
      </c>
      <c r="T614" s="8">
        <v>1.0000972222222222</v>
      </c>
      <c r="U614" s="98">
        <v>3.3104125508287119</v>
      </c>
      <c r="V614" s="106">
        <v>27373.924644061408</v>
      </c>
      <c r="W614" s="10">
        <v>0.6377303509385257</v>
      </c>
      <c r="X614" s="413">
        <v>0.63019668406578111</v>
      </c>
      <c r="Y614" s="414">
        <v>0.27477908931837053</v>
      </c>
      <c r="Z614" s="1"/>
      <c r="AA614" s="1"/>
      <c r="AB614" s="1"/>
      <c r="AC614" s="1"/>
      <c r="AD614" s="1"/>
      <c r="AL614" s="23"/>
      <c r="AM614" s="23"/>
    </row>
    <row r="615" spans="17:39">
      <c r="Q615" s="6">
        <v>585</v>
      </c>
      <c r="R615" s="7">
        <v>43252</v>
      </c>
      <c r="S615" s="210">
        <v>3.5</v>
      </c>
      <c r="T615" s="8">
        <v>1.0000972222222222</v>
      </c>
      <c r="U615" s="98">
        <v>3.3109275857787335</v>
      </c>
      <c r="V615" s="106">
        <v>27376.056141368899</v>
      </c>
      <c r="W615" s="10">
        <v>0.63785203795163614</v>
      </c>
      <c r="X615" s="413">
        <v>0.63032266220749678</v>
      </c>
      <c r="Y615" s="414">
        <v>0.27483462593960006</v>
      </c>
      <c r="Z615" s="1"/>
      <c r="AA615" s="1"/>
      <c r="AB615" s="1"/>
      <c r="AC615" s="1"/>
      <c r="AD615" s="1"/>
      <c r="AL615" s="23"/>
      <c r="AM615" s="23"/>
    </row>
    <row r="616" spans="17:39">
      <c r="Q616" s="6">
        <v>586</v>
      </c>
      <c r="R616" s="7">
        <v>43253</v>
      </c>
      <c r="S616" s="210">
        <v>3.5</v>
      </c>
      <c r="T616" s="8">
        <v>1.0000972222222222</v>
      </c>
      <c r="U616" s="98">
        <v>3.3114408654847605</v>
      </c>
      <c r="V616" s="106">
        <v>27378.187804647507</v>
      </c>
      <c r="W616" s="10">
        <v>0.63797330979706857</v>
      </c>
      <c r="X616" s="413">
        <v>0.63044823363825475</v>
      </c>
      <c r="Y616" s="414">
        <v>0.27489002399433926</v>
      </c>
      <c r="Z616" s="1"/>
      <c r="AA616" s="1"/>
      <c r="AB616" s="1"/>
      <c r="AC616" s="1"/>
      <c r="AD616" s="1"/>
      <c r="AL616" s="23"/>
      <c r="AM616" s="23"/>
    </row>
    <row r="617" spans="17:39">
      <c r="Q617" s="6">
        <v>587</v>
      </c>
      <c r="R617" s="7">
        <v>43254</v>
      </c>
      <c r="S617" s="210">
        <v>3.5</v>
      </c>
      <c r="T617" s="8">
        <v>1.0000972222222222</v>
      </c>
      <c r="U617" s="98">
        <v>3.3119523989043831</v>
      </c>
      <c r="V617" s="106">
        <v>27380.319633910149</v>
      </c>
      <c r="W617" s="10">
        <v>0.63809416859594847</v>
      </c>
      <c r="X617" s="413">
        <v>0.63057340043716337</v>
      </c>
      <c r="Y617" s="414">
        <v>0.27494528419571235</v>
      </c>
      <c r="Z617" s="1"/>
      <c r="AA617" s="1"/>
      <c r="AB617" s="1"/>
      <c r="AC617" s="1"/>
      <c r="AD617" s="1"/>
      <c r="AL617" s="23"/>
      <c r="AM617" s="23"/>
    </row>
    <row r="618" spans="17:39">
      <c r="Q618" s="6">
        <v>588</v>
      </c>
      <c r="R618" s="7">
        <v>43255</v>
      </c>
      <c r="S618" s="210">
        <v>3.5</v>
      </c>
      <c r="T618" s="8">
        <v>1.0000972222222222</v>
      </c>
      <c r="U618" s="98">
        <v>3.3124621949342847</v>
      </c>
      <c r="V618" s="106">
        <v>27382.451629169755</v>
      </c>
      <c r="W618" s="10">
        <v>0.63821461645485744</v>
      </c>
      <c r="X618" s="413">
        <v>0.63069816466907869</v>
      </c>
      <c r="Y618" s="414">
        <v>0.27500040725199204</v>
      </c>
      <c r="Z618" s="1"/>
      <c r="AA618" s="1"/>
      <c r="AB618" s="1"/>
      <c r="AC618" s="1"/>
      <c r="AD618" s="1"/>
      <c r="AL618" s="23"/>
      <c r="AM618" s="23"/>
    </row>
    <row r="619" spans="17:39">
      <c r="Q619" s="6">
        <v>589</v>
      </c>
      <c r="R619" s="7">
        <v>43256</v>
      </c>
      <c r="S619" s="210">
        <v>3.5</v>
      </c>
      <c r="T619" s="8">
        <v>1.0000972222222222</v>
      </c>
      <c r="U619" s="98">
        <v>3.3129702624108859</v>
      </c>
      <c r="V619" s="106">
        <v>27384.58379043925</v>
      </c>
      <c r="W619" s="10">
        <v>0.63833465546618839</v>
      </c>
      <c r="X619" s="413">
        <v>0.63082252838490183</v>
      </c>
      <c r="Y619" s="414">
        <v>0.27505539386664363</v>
      </c>
      <c r="Z619" s="1"/>
      <c r="AA619" s="1"/>
      <c r="AB619" s="1"/>
      <c r="AC619" s="1"/>
      <c r="AD619" s="1"/>
      <c r="AL619" s="23"/>
      <c r="AM619" s="23"/>
    </row>
    <row r="620" spans="17:39">
      <c r="Q620" s="6">
        <v>590</v>
      </c>
      <c r="R620" s="7">
        <v>43257</v>
      </c>
      <c r="S620" s="210">
        <v>3.5</v>
      </c>
      <c r="T620" s="8">
        <v>1.0000972222222222</v>
      </c>
      <c r="U620" s="98">
        <v>3.3134766101106994</v>
      </c>
      <c r="V620" s="106">
        <v>27386.716117731554</v>
      </c>
      <c r="W620" s="10">
        <v>0.63845428770801238</v>
      </c>
      <c r="X620" s="413">
        <v>0.63094649362153465</v>
      </c>
      <c r="Y620" s="414">
        <v>0.27511024473835827</v>
      </c>
      <c r="Z620" s="1"/>
      <c r="AA620" s="1"/>
      <c r="AB620" s="1"/>
      <c r="AC620" s="1"/>
      <c r="AD620" s="1"/>
      <c r="AL620" s="23"/>
      <c r="AM620" s="23"/>
    </row>
    <row r="621" spans="17:39">
      <c r="Q621" s="6">
        <v>591</v>
      </c>
      <c r="R621" s="7">
        <v>43258</v>
      </c>
      <c r="S621" s="210">
        <v>3.5</v>
      </c>
      <c r="T621" s="8">
        <v>1.0000972222222222</v>
      </c>
      <c r="U621" s="98">
        <v>3.3139812467509966</v>
      </c>
      <c r="V621" s="106">
        <v>27388.848611059606</v>
      </c>
      <c r="W621" s="10">
        <v>0.63857351524452266</v>
      </c>
      <c r="X621" s="413">
        <v>0.63107006240225516</v>
      </c>
      <c r="Y621" s="414">
        <v>0.27516496056110645</v>
      </c>
      <c r="Z621" s="1"/>
      <c r="AA621" s="1"/>
      <c r="AB621" s="1"/>
      <c r="AC621" s="1"/>
      <c r="AD621" s="1"/>
      <c r="AL621" s="23"/>
      <c r="AM621" s="23"/>
    </row>
    <row r="622" spans="17:39">
      <c r="Q622" s="6">
        <v>592</v>
      </c>
      <c r="R622" s="7">
        <v>43259</v>
      </c>
      <c r="S622" s="210">
        <v>3.5</v>
      </c>
      <c r="T622" s="8">
        <v>1.0000972222222222</v>
      </c>
      <c r="U622" s="98">
        <v>3.3144841809902292</v>
      </c>
      <c r="V622" s="106">
        <v>27390.981270436321</v>
      </c>
      <c r="W622" s="10">
        <v>0.63869234012585707</v>
      </c>
      <c r="X622" s="413">
        <v>0.63119323673653571</v>
      </c>
      <c r="Y622" s="414">
        <v>0.27521954202416615</v>
      </c>
      <c r="Z622" s="1"/>
      <c r="AA622" s="1"/>
      <c r="AB622" s="1"/>
      <c r="AC622" s="1"/>
      <c r="AD622" s="1"/>
      <c r="AL622" s="23"/>
      <c r="AM622" s="23"/>
    </row>
    <row r="623" spans="17:39">
      <c r="Q623" s="6">
        <v>593</v>
      </c>
      <c r="R623" s="7">
        <v>43260</v>
      </c>
      <c r="S623" s="210">
        <v>3.5</v>
      </c>
      <c r="T623" s="8">
        <v>1.0000972222222222</v>
      </c>
      <c r="U623" s="98">
        <v>3.3149854214284735</v>
      </c>
      <c r="V623" s="106">
        <v>27393.114095874644</v>
      </c>
      <c r="W623" s="10">
        <v>0.63881076438827566</v>
      </c>
      <c r="X623" s="413">
        <v>0.63131601862029363</v>
      </c>
      <c r="Y623" s="414">
        <v>0.27527398981216367</v>
      </c>
      <c r="Z623" s="1"/>
      <c r="AA623" s="1"/>
      <c r="AB623" s="1"/>
      <c r="AC623" s="1"/>
      <c r="AD623" s="1"/>
      <c r="AL623" s="23"/>
      <c r="AM623" s="23"/>
    </row>
    <row r="624" spans="17:39">
      <c r="Q624" s="6">
        <v>594</v>
      </c>
      <c r="R624" s="7">
        <v>43261</v>
      </c>
      <c r="S624" s="210">
        <v>3.5</v>
      </c>
      <c r="T624" s="8">
        <v>1.0000972222222222</v>
      </c>
      <c r="U624" s="98">
        <v>3.3154849766080297</v>
      </c>
      <c r="V624" s="106">
        <v>27395.318189964913</v>
      </c>
      <c r="W624" s="10">
        <v>0.6387682876152212</v>
      </c>
      <c r="X624" s="413">
        <v>0.63127947251311933</v>
      </c>
      <c r="Y624" s="414">
        <v>0.27532830460512175</v>
      </c>
      <c r="Z624" s="1"/>
      <c r="AA624" s="1"/>
      <c r="AB624" s="1"/>
      <c r="AC624" s="1"/>
      <c r="AD624" s="1"/>
      <c r="AL624" s="23"/>
      <c r="AM624" s="23"/>
    </row>
    <row r="625" spans="17:39">
      <c r="Q625" s="6">
        <v>595</v>
      </c>
      <c r="R625" s="7">
        <v>43262</v>
      </c>
      <c r="S625" s="210">
        <v>3.5</v>
      </c>
      <c r="T625" s="8">
        <v>1.0000972222222222</v>
      </c>
      <c r="U625" s="98">
        <v>3.3159828550138215</v>
      </c>
      <c r="V625" s="106">
        <v>27397.522461400142</v>
      </c>
      <c r="W625" s="10">
        <v>0.63872595363905216</v>
      </c>
      <c r="X625" s="413">
        <v>0.6312430664206844</v>
      </c>
      <c r="Y625" s="414">
        <v>0.27538248707848606</v>
      </c>
      <c r="Z625" s="1"/>
      <c r="AA625" s="1"/>
      <c r="AB625" s="1"/>
      <c r="AC625" s="1"/>
      <c r="AD625" s="1"/>
      <c r="AL625" s="23"/>
      <c r="AM625" s="23"/>
    </row>
    <row r="626" spans="17:39">
      <c r="Q626" s="6">
        <v>596</v>
      </c>
      <c r="R626" s="7">
        <v>43263</v>
      </c>
      <c r="S626" s="210">
        <v>3.5</v>
      </c>
      <c r="T626" s="8">
        <v>1.0000972222222222</v>
      </c>
      <c r="U626" s="98">
        <v>3.3164790650739295</v>
      </c>
      <c r="V626" s="106">
        <v>27399.726910194604</v>
      </c>
      <c r="W626" s="10">
        <v>0.63868376174094355</v>
      </c>
      <c r="X626" s="413">
        <v>0.63120679963856541</v>
      </c>
      <c r="Y626" s="414">
        <v>0.27543653790317452</v>
      </c>
      <c r="Z626" s="1"/>
      <c r="AA626" s="1"/>
      <c r="AB626" s="1"/>
      <c r="AC626" s="1"/>
      <c r="AD626" s="1"/>
      <c r="AL626" s="23"/>
      <c r="AM626" s="23"/>
    </row>
    <row r="627" spans="17:39">
      <c r="Q627" s="6">
        <v>597</v>
      </c>
      <c r="R627" s="7">
        <v>43264</v>
      </c>
      <c r="S627" s="210">
        <v>3.5</v>
      </c>
      <c r="T627" s="8">
        <v>1.0000972222222222</v>
      </c>
      <c r="U627" s="98">
        <v>3.3169736151600349</v>
      </c>
      <c r="V627" s="106">
        <v>27401.931536362565</v>
      </c>
      <c r="W627" s="10">
        <v>0.63864171120682212</v>
      </c>
      <c r="X627" s="413">
        <v>0.63117067146696493</v>
      </c>
      <c r="Y627" s="414">
        <v>0.27549045774560549</v>
      </c>
      <c r="Z627" s="1"/>
      <c r="AA627" s="1"/>
      <c r="AB627" s="1"/>
      <c r="AC627" s="1"/>
      <c r="AD627" s="1"/>
      <c r="AL627" s="23"/>
      <c r="AM627" s="23"/>
    </row>
    <row r="628" spans="17:39">
      <c r="Q628" s="6">
        <v>598</v>
      </c>
      <c r="R628" s="7">
        <v>43265</v>
      </c>
      <c r="S628" s="210">
        <v>3.5</v>
      </c>
      <c r="T628" s="8">
        <v>1.0000972222222222</v>
      </c>
      <c r="U628" s="98">
        <v>3.3174665135879078</v>
      </c>
      <c r="V628" s="106">
        <v>27404.136339918299</v>
      </c>
      <c r="W628" s="10">
        <v>0.63859980132741079</v>
      </c>
      <c r="X628" s="413">
        <v>0.63113468121077987</v>
      </c>
      <c r="Y628" s="414">
        <v>0.27554424726774618</v>
      </c>
      <c r="Z628" s="1"/>
      <c r="AA628" s="1"/>
      <c r="AB628" s="1"/>
      <c r="AC628" s="1"/>
      <c r="AD628" s="1"/>
      <c r="AL628" s="23"/>
      <c r="AM628" s="23"/>
    </row>
    <row r="629" spans="17:39">
      <c r="Q629" s="6">
        <v>599</v>
      </c>
      <c r="R629" s="7">
        <v>43266</v>
      </c>
      <c r="S629" s="210">
        <v>3.5</v>
      </c>
      <c r="T629" s="8">
        <v>1.0000972222222222</v>
      </c>
      <c r="U629" s="98">
        <v>3.3179577686178519</v>
      </c>
      <c r="V629" s="106">
        <v>27406.341320876083</v>
      </c>
      <c r="W629" s="10">
        <v>0.63855803139820644</v>
      </c>
      <c r="X629" s="413">
        <v>0.63109882817961549</v>
      </c>
      <c r="Y629" s="414">
        <v>0.27559790712713672</v>
      </c>
      <c r="Z629" s="1"/>
      <c r="AA629" s="1"/>
      <c r="AB629" s="1"/>
      <c r="AC629" s="1"/>
      <c r="AD629" s="1"/>
      <c r="AL629" s="23"/>
      <c r="AM629" s="23"/>
    </row>
    <row r="630" spans="17:39">
      <c r="Q630" s="6">
        <v>600</v>
      </c>
      <c r="R630" s="7">
        <v>43267</v>
      </c>
      <c r="S630" s="210">
        <v>3.5</v>
      </c>
      <c r="T630" s="8">
        <v>1.0000972222222222</v>
      </c>
      <c r="U630" s="98">
        <v>3.3184473884551702</v>
      </c>
      <c r="V630" s="106">
        <v>27408.546479250181</v>
      </c>
      <c r="W630" s="10">
        <v>0.63851640071932447</v>
      </c>
      <c r="X630" s="413">
        <v>0.63106311168758644</v>
      </c>
      <c r="Y630" s="414">
        <v>0.27565143797693703</v>
      </c>
      <c r="Z630" s="1"/>
      <c r="AA630" s="1"/>
      <c r="AB630" s="1"/>
      <c r="AC630" s="1"/>
      <c r="AD630" s="1"/>
      <c r="AL630" s="23"/>
      <c r="AM630" s="23"/>
    </row>
    <row r="631" spans="17:39">
      <c r="Q631" s="6">
        <v>601</v>
      </c>
      <c r="R631" s="7">
        <v>43268</v>
      </c>
      <c r="S631" s="210">
        <v>3.5</v>
      </c>
      <c r="T631" s="8">
        <v>1.0000972222222222</v>
      </c>
      <c r="U631" s="98">
        <v>3.3189353812506761</v>
      </c>
      <c r="V631" s="106">
        <v>27410.751815054875</v>
      </c>
      <c r="W631" s="10">
        <v>0.63847490859563205</v>
      </c>
      <c r="X631" s="413">
        <v>0.63102753105346554</v>
      </c>
      <c r="Y631" s="414">
        <v>0.27570484046596316</v>
      </c>
      <c r="Z631" s="1"/>
      <c r="AA631" s="1"/>
      <c r="AB631" s="1"/>
      <c r="AC631" s="1"/>
      <c r="AD631" s="1"/>
      <c r="AL631" s="23"/>
      <c r="AM631" s="23"/>
    </row>
    <row r="632" spans="17:39">
      <c r="Q632" s="6">
        <v>602</v>
      </c>
      <c r="R632" s="7">
        <v>43269</v>
      </c>
      <c r="S632" s="210">
        <v>3.5</v>
      </c>
      <c r="T632" s="8">
        <v>1.0000972222222222</v>
      </c>
      <c r="U632" s="98">
        <v>3.3194217551010707</v>
      </c>
      <c r="V632" s="106">
        <v>27412.957328304441</v>
      </c>
      <c r="W632" s="10">
        <v>0.63843355433654825</v>
      </c>
      <c r="X632" s="413">
        <v>0.63099208560045927</v>
      </c>
      <c r="Y632" s="414">
        <v>0.27575811523871785</v>
      </c>
      <c r="Z632" s="1"/>
      <c r="AA632" s="1"/>
      <c r="AB632" s="1"/>
      <c r="AC632" s="1"/>
      <c r="AD632" s="1"/>
      <c r="AL632" s="23"/>
      <c r="AM632" s="23"/>
    </row>
    <row r="633" spans="17:39">
      <c r="Q633" s="6">
        <v>603</v>
      </c>
      <c r="R633" s="7">
        <v>43270</v>
      </c>
      <c r="S633" s="210">
        <v>3.5</v>
      </c>
      <c r="T633" s="8">
        <v>1.0000972222222222</v>
      </c>
      <c r="U633" s="98">
        <v>3.3199065180494314</v>
      </c>
      <c r="V633" s="106">
        <v>27415.163019013162</v>
      </c>
      <c r="W633" s="10">
        <v>0.63839233725606626</v>
      </c>
      <c r="X633" s="413">
        <v>0.63095677465630273</v>
      </c>
      <c r="Y633" s="414">
        <v>0.27581126293542968</v>
      </c>
      <c r="Z633" s="1"/>
      <c r="AA633" s="1"/>
      <c r="AB633" s="1"/>
      <c r="AC633" s="1"/>
      <c r="AD633" s="1"/>
      <c r="AL633" s="23"/>
      <c r="AM633" s="23"/>
    </row>
    <row r="634" spans="17:39">
      <c r="Q634" s="6">
        <v>604</v>
      </c>
      <c r="R634" s="7">
        <v>43271</v>
      </c>
      <c r="S634" s="210">
        <v>3.5</v>
      </c>
      <c r="T634" s="8">
        <v>1.0000972222222222</v>
      </c>
      <c r="U634" s="98">
        <v>3.3203896780856113</v>
      </c>
      <c r="V634" s="106">
        <v>27417.368887195305</v>
      </c>
      <c r="W634" s="10">
        <v>0.6383512566727978</v>
      </c>
      <c r="X634" s="413">
        <v>0.63092159755323673</v>
      </c>
      <c r="Y634" s="414">
        <v>0.27586428419208509</v>
      </c>
      <c r="Z634" s="1"/>
      <c r="AA634" s="1"/>
      <c r="AB634" s="1"/>
      <c r="AC634" s="1"/>
      <c r="AD634" s="1"/>
      <c r="AL634" s="23"/>
      <c r="AM634" s="23"/>
    </row>
    <row r="635" spans="17:39">
      <c r="Q635" s="6">
        <v>605</v>
      </c>
      <c r="R635" s="7">
        <v>43272</v>
      </c>
      <c r="S635" s="210">
        <v>3.5</v>
      </c>
      <c r="T635" s="8">
        <v>1.0000972222222222</v>
      </c>
      <c r="U635" s="98">
        <v>3.3208712431467724</v>
      </c>
      <c r="V635" s="106">
        <v>27419.574932865155</v>
      </c>
      <c r="W635" s="10">
        <v>0.63831031190979548</v>
      </c>
      <c r="X635" s="413">
        <v>0.63088655362783741</v>
      </c>
      <c r="Y635" s="414">
        <v>0.27591717964047113</v>
      </c>
      <c r="Z635" s="1"/>
      <c r="AA635" s="1"/>
      <c r="AB635" s="1"/>
      <c r="AC635" s="1"/>
      <c r="AD635" s="1"/>
      <c r="AL635" s="23"/>
      <c r="AM635" s="23"/>
    </row>
    <row r="636" spans="17:39">
      <c r="Q636" s="6">
        <v>606</v>
      </c>
      <c r="R636" s="7">
        <v>43273</v>
      </c>
      <c r="S636" s="210">
        <v>3.5</v>
      </c>
      <c r="T636" s="8">
        <v>1.0000972222222222</v>
      </c>
      <c r="U636" s="98">
        <v>3.3213512211177187</v>
      </c>
      <c r="V636" s="106">
        <v>27421.781156036999</v>
      </c>
      <c r="W636" s="10">
        <v>0.63826950229457502</v>
      </c>
      <c r="X636" s="413">
        <v>0.63085164222107326</v>
      </c>
      <c r="Y636" s="414">
        <v>0.27596994990820128</v>
      </c>
      <c r="Z636" s="1"/>
      <c r="AA636" s="1"/>
      <c r="AB636" s="1"/>
      <c r="AC636" s="1"/>
      <c r="AD636" s="1"/>
      <c r="AL636" s="23"/>
      <c r="AM636" s="23"/>
    </row>
    <row r="637" spans="17:39">
      <c r="Q637" s="6">
        <v>607</v>
      </c>
      <c r="R637" s="7">
        <v>43274</v>
      </c>
      <c r="S637" s="210">
        <v>3.5</v>
      </c>
      <c r="T637" s="8">
        <v>1.0000972222222222</v>
      </c>
      <c r="U637" s="98">
        <v>3.3218296198313846</v>
      </c>
      <c r="V637" s="106">
        <v>27423.987556725107</v>
      </c>
      <c r="W637" s="10">
        <v>0.63822882715918183</v>
      </c>
      <c r="X637" s="413">
        <v>0.6308168626783609</v>
      </c>
      <c r="Y637" s="414">
        <v>0.27602259561875553</v>
      </c>
      <c r="Z637" s="1"/>
      <c r="AA637" s="1"/>
      <c r="AB637" s="1"/>
      <c r="AC637" s="1"/>
      <c r="AD637" s="1"/>
      <c r="AL637" s="23"/>
      <c r="AM637" s="23"/>
    </row>
    <row r="638" spans="17:39">
      <c r="Q638" s="6">
        <v>608</v>
      </c>
      <c r="R638" s="7">
        <v>43275</v>
      </c>
      <c r="S638" s="210">
        <v>3.5</v>
      </c>
      <c r="T638" s="8">
        <v>1.0000972222222222</v>
      </c>
      <c r="U638" s="98">
        <v>3.3223064470692343</v>
      </c>
      <c r="V638" s="106">
        <v>27426.194134943773</v>
      </c>
      <c r="W638" s="10">
        <v>0.63818828583990239</v>
      </c>
      <c r="X638" s="413">
        <v>0.63078221434922632</v>
      </c>
      <c r="Y638" s="414">
        <v>0.27607511739151197</v>
      </c>
      <c r="Z638" s="1"/>
      <c r="AA638" s="1"/>
      <c r="AB638" s="1"/>
      <c r="AC638" s="1"/>
      <c r="AD638" s="1"/>
      <c r="AL638" s="23"/>
      <c r="AM638" s="23"/>
    </row>
    <row r="639" spans="17:39">
      <c r="Q639" s="6">
        <v>609</v>
      </c>
      <c r="R639" s="7">
        <v>43276</v>
      </c>
      <c r="S639" s="210">
        <v>3.5</v>
      </c>
      <c r="T639" s="8">
        <v>1.0000972222222222</v>
      </c>
      <c r="U639" s="98">
        <v>3.3227817105617063</v>
      </c>
      <c r="V639" s="106">
        <v>27428.400890707278</v>
      </c>
      <c r="W639" s="10">
        <v>0.63814787767750847</v>
      </c>
      <c r="X639" s="413">
        <v>0.63074769658765151</v>
      </c>
      <c r="Y639" s="414">
        <v>0.27612751584178158</v>
      </c>
      <c r="Z639" s="1"/>
      <c r="AA639" s="1"/>
      <c r="AB639" s="1"/>
      <c r="AC639" s="1"/>
      <c r="AD639" s="1"/>
      <c r="AL639" s="23"/>
      <c r="AM639" s="23"/>
    </row>
    <row r="640" spans="17:39">
      <c r="Q640" s="6">
        <v>610</v>
      </c>
      <c r="R640" s="7">
        <v>43277</v>
      </c>
      <c r="S640" s="210">
        <v>3.5</v>
      </c>
      <c r="T640" s="8">
        <v>1.0000972222222222</v>
      </c>
      <c r="U640" s="98">
        <v>3.3232554179886131</v>
      </c>
      <c r="V640" s="106">
        <v>27430.607824029907</v>
      </c>
      <c r="W640" s="10">
        <v>0.63810760201701289</v>
      </c>
      <c r="X640" s="413">
        <v>0.63071330875173681</v>
      </c>
      <c r="Y640" s="414">
        <v>0.27617979158083938</v>
      </c>
      <c r="Z640" s="1"/>
      <c r="AA640" s="1"/>
      <c r="AB640" s="1"/>
      <c r="AC640" s="1"/>
      <c r="AD640" s="1"/>
      <c r="AL640" s="23"/>
      <c r="AM640" s="23"/>
    </row>
    <row r="641" spans="17:39">
      <c r="Q641" s="6">
        <v>611</v>
      </c>
      <c r="R641" s="7">
        <v>43278</v>
      </c>
      <c r="S641" s="210">
        <v>3.5</v>
      </c>
      <c r="T641" s="8">
        <v>1.0000972222222222</v>
      </c>
      <c r="U641" s="98">
        <v>3.3237275769795405</v>
      </c>
      <c r="V641" s="106">
        <v>27432.814934925944</v>
      </c>
      <c r="W641" s="10">
        <v>0.63806745820782496</v>
      </c>
      <c r="X641" s="413">
        <v>0.63067905020390269</v>
      </c>
      <c r="Y641" s="414">
        <v>0.27623194521595978</v>
      </c>
      <c r="Z641" s="1"/>
      <c r="AA641" s="1"/>
      <c r="AB641" s="1"/>
      <c r="AC641" s="1"/>
      <c r="AD641" s="1"/>
      <c r="AL641" s="23"/>
      <c r="AM641" s="23"/>
    </row>
    <row r="642" spans="17:39">
      <c r="Q642" s="6">
        <v>612</v>
      </c>
      <c r="R642" s="7">
        <v>43279</v>
      </c>
      <c r="S642" s="210">
        <v>3.5</v>
      </c>
      <c r="T642" s="8">
        <v>1.0000972222222222</v>
      </c>
      <c r="U642" s="98">
        <v>3.324198195114314</v>
      </c>
      <c r="V642" s="106">
        <v>27435.022223409684</v>
      </c>
      <c r="W642" s="10">
        <v>0.63802744560346181</v>
      </c>
      <c r="X642" s="413">
        <v>0.63064492031056674</v>
      </c>
      <c r="Y642" s="414">
        <v>0.27628397735044924</v>
      </c>
      <c r="Z642" s="1"/>
      <c r="AA642" s="1"/>
      <c r="AB642" s="1"/>
      <c r="AC642" s="1"/>
      <c r="AD642" s="1"/>
      <c r="AL642" s="23"/>
      <c r="AM642" s="23"/>
    </row>
    <row r="643" spans="17:39">
      <c r="Q643" s="6">
        <v>613</v>
      </c>
      <c r="R643" s="7">
        <v>43280</v>
      </c>
      <c r="S643" s="210">
        <v>3.5</v>
      </c>
      <c r="T643" s="8">
        <v>1.0000972222222222</v>
      </c>
      <c r="U643" s="98">
        <v>3.3246672799233323</v>
      </c>
      <c r="V643" s="106">
        <v>27437.229689495405</v>
      </c>
      <c r="W643" s="10">
        <v>0.63798756356177044</v>
      </c>
      <c r="X643" s="413">
        <v>0.63061091844243777</v>
      </c>
      <c r="Y643" s="414">
        <v>0.27633588858367714</v>
      </c>
      <c r="Z643" s="1"/>
      <c r="AA643" s="1"/>
      <c r="AB643" s="1"/>
      <c r="AC643" s="1"/>
      <c r="AD643" s="1"/>
      <c r="AL643" s="23"/>
      <c r="AM643" s="23"/>
    </row>
    <row r="644" spans="17:39">
      <c r="Q644" s="6">
        <v>614</v>
      </c>
      <c r="R644" s="7">
        <v>43281</v>
      </c>
      <c r="S644" s="210">
        <v>3.5</v>
      </c>
      <c r="T644" s="8">
        <v>1.0000972222222222</v>
      </c>
      <c r="U644" s="98">
        <v>3.3251348388880331</v>
      </c>
      <c r="V644" s="106">
        <v>27439.437333197402</v>
      </c>
      <c r="W644" s="10">
        <v>0.63794781144477231</v>
      </c>
      <c r="X644" s="413">
        <v>0.63057704397429759</v>
      </c>
      <c r="Y644" s="414">
        <v>0.27638767951110965</v>
      </c>
      <c r="Z644" s="1"/>
      <c r="AA644" s="1"/>
      <c r="AB644" s="1"/>
      <c r="AC644" s="1"/>
      <c r="AD644" s="1"/>
      <c r="AL644" s="23"/>
      <c r="AM644" s="23"/>
    </row>
    <row r="645" spans="17:39">
      <c r="Q645" s="6">
        <v>615</v>
      </c>
      <c r="R645" s="7">
        <v>43282</v>
      </c>
      <c r="S645" s="210">
        <v>3.5</v>
      </c>
      <c r="T645" s="8">
        <v>1.0000972222222222</v>
      </c>
      <c r="U645" s="98">
        <v>3.3256008794412262</v>
      </c>
      <c r="V645" s="106">
        <v>27441.645154529979</v>
      </c>
      <c r="W645" s="10">
        <v>0.63790818861853005</v>
      </c>
      <c r="X645" s="413">
        <v>0.63054329628485217</v>
      </c>
      <c r="Y645" s="414">
        <v>0.27643935072433751</v>
      </c>
      <c r="Z645" s="1"/>
      <c r="AA645" s="1"/>
      <c r="AB645" s="1"/>
      <c r="AC645" s="1"/>
      <c r="AD645" s="1"/>
      <c r="AL645" s="23"/>
      <c r="AM645" s="23"/>
    </row>
    <row r="646" spans="17:39">
      <c r="Q646" s="6">
        <v>616</v>
      </c>
      <c r="R646" s="7">
        <v>43283</v>
      </c>
      <c r="S646" s="210">
        <v>3.5</v>
      </c>
      <c r="T646" s="8">
        <v>1.0000972222222222</v>
      </c>
      <c r="U646" s="98">
        <v>3.3260654089675379</v>
      </c>
      <c r="V646" s="106">
        <v>27443.853153507403</v>
      </c>
      <c r="W646" s="10">
        <v>0.63786869445336958</v>
      </c>
      <c r="X646" s="413">
        <v>0.63050967475703579</v>
      </c>
      <c r="Y646" s="414">
        <v>0.27649090281111238</v>
      </c>
      <c r="Z646" s="1"/>
      <c r="AA646" s="1"/>
      <c r="AB646" s="1"/>
      <c r="AC646" s="1"/>
      <c r="AD646" s="1"/>
      <c r="AL646" s="23"/>
      <c r="AM646" s="23"/>
    </row>
    <row r="647" spans="17:39">
      <c r="Q647" s="6">
        <v>617</v>
      </c>
      <c r="R647" s="7">
        <v>43284</v>
      </c>
      <c r="S647" s="210">
        <v>3.5</v>
      </c>
      <c r="T647" s="8">
        <v>1.0000972222222222</v>
      </c>
      <c r="U647" s="98">
        <v>3.3265284348038326</v>
      </c>
      <c r="V647" s="106">
        <v>27446.061330143988</v>
      </c>
      <c r="W647" s="10">
        <v>0.63782932832363581</v>
      </c>
      <c r="X647" s="413">
        <v>0.63047617877770601</v>
      </c>
      <c r="Y647" s="414">
        <v>0.27654233635538078</v>
      </c>
      <c r="Z647" s="1"/>
      <c r="AA647" s="1"/>
      <c r="AB647" s="1"/>
      <c r="AC647" s="1"/>
      <c r="AD647" s="1"/>
      <c r="AL647" s="23"/>
      <c r="AM647" s="23"/>
    </row>
    <row r="648" spans="17:39">
      <c r="Q648" s="6">
        <v>618</v>
      </c>
      <c r="R648" s="7">
        <v>43285</v>
      </c>
      <c r="S648" s="210">
        <v>3.5</v>
      </c>
      <c r="T648" s="8">
        <v>1.0000972222222222</v>
      </c>
      <c r="U648" s="98">
        <v>3.3269899642395018</v>
      </c>
      <c r="V648" s="106">
        <v>27448.269684454026</v>
      </c>
      <c r="W648" s="10">
        <v>0.63779008960767047</v>
      </c>
      <c r="X648" s="413">
        <v>0.63044280773761108</v>
      </c>
      <c r="Y648" s="414">
        <v>0.27659365193730212</v>
      </c>
      <c r="Z648" s="1"/>
      <c r="AA648" s="1"/>
      <c r="AB648" s="1"/>
      <c r="AC648" s="1"/>
      <c r="AD648" s="1"/>
      <c r="AL648" s="23"/>
      <c r="AM648" s="23"/>
    </row>
    <row r="649" spans="17:39">
      <c r="Q649" s="6">
        <v>619</v>
      </c>
      <c r="R649" s="7">
        <v>43286</v>
      </c>
      <c r="S649" s="210">
        <v>3.5</v>
      </c>
      <c r="T649" s="8">
        <v>1.0000972222222222</v>
      </c>
      <c r="U649" s="98">
        <v>3.3274500045168853</v>
      </c>
      <c r="V649" s="106">
        <v>27450.478216451811</v>
      </c>
      <c r="W649" s="10">
        <v>0.6377509776879231</v>
      </c>
      <c r="X649" s="413">
        <v>0.63040956103153944</v>
      </c>
      <c r="Y649" s="414">
        <v>0.2766448501332901</v>
      </c>
      <c r="Z649" s="1"/>
      <c r="AA649" s="1"/>
      <c r="AB649" s="1"/>
      <c r="AC649" s="1"/>
      <c r="AD649" s="1"/>
      <c r="AL649" s="23"/>
      <c r="AM649" s="23"/>
    </row>
    <row r="650" spans="17:39">
      <c r="Q650" s="6">
        <v>620</v>
      </c>
      <c r="R650" s="7">
        <v>43287</v>
      </c>
      <c r="S650" s="210">
        <v>3.5</v>
      </c>
      <c r="T650" s="8">
        <v>1.0000972222222222</v>
      </c>
      <c r="U650" s="98">
        <v>3.327908562831694</v>
      </c>
      <c r="V650" s="106">
        <v>27452.686926151629</v>
      </c>
      <c r="W650" s="10">
        <v>0.63771199195079564</v>
      </c>
      <c r="X650" s="413">
        <v>0.63037643805818455</v>
      </c>
      <c r="Y650" s="414">
        <v>0.27669593151604055</v>
      </c>
      <c r="Z650" s="1"/>
      <c r="AA650" s="1"/>
      <c r="AB650" s="1"/>
      <c r="AC650" s="1"/>
      <c r="AD650" s="1"/>
      <c r="AL650" s="23"/>
      <c r="AM650" s="23"/>
    </row>
    <row r="651" spans="17:39">
      <c r="Q651" s="6">
        <v>621</v>
      </c>
      <c r="R651" s="7">
        <v>43288</v>
      </c>
      <c r="S651" s="210">
        <v>3.5</v>
      </c>
      <c r="T651" s="8">
        <v>1.0000972222222222</v>
      </c>
      <c r="U651" s="98">
        <v>3.3283656463333422</v>
      </c>
      <c r="V651" s="106">
        <v>27454.895813567797</v>
      </c>
      <c r="W651" s="10">
        <v>0.63767313178662022</v>
      </c>
      <c r="X651" s="413">
        <v>0.63034343822003536</v>
      </c>
      <c r="Y651" s="414">
        <v>0.27674689665456276</v>
      </c>
      <c r="Z651" s="1"/>
      <c r="AA651" s="1"/>
      <c r="AB651" s="1"/>
      <c r="AC651" s="1"/>
      <c r="AD651" s="1"/>
      <c r="AL651" s="23"/>
      <c r="AM651" s="23"/>
    </row>
    <row r="652" spans="17:39">
      <c r="Q652" s="6">
        <v>622</v>
      </c>
      <c r="R652" s="7">
        <v>43289</v>
      </c>
      <c r="S652" s="210">
        <v>3.5</v>
      </c>
      <c r="T652" s="8">
        <v>1.0000972222222222</v>
      </c>
      <c r="U652" s="98">
        <v>3.3288212621253699</v>
      </c>
      <c r="V652" s="106">
        <v>27457.104878714599</v>
      </c>
      <c r="W652" s="10">
        <v>0.63763439658968135</v>
      </c>
      <c r="X652" s="413">
        <v>0.63031056092348769</v>
      </c>
      <c r="Y652" s="414">
        <v>0.27679774611420555</v>
      </c>
      <c r="Z652" s="1"/>
      <c r="AA652" s="1"/>
      <c r="AB652" s="1"/>
      <c r="AC652" s="1"/>
      <c r="AD652" s="1"/>
      <c r="AL652" s="23"/>
      <c r="AM652" s="23"/>
    </row>
    <row r="653" spans="17:39">
      <c r="Q653" s="6">
        <v>623</v>
      </c>
      <c r="R653" s="7">
        <v>43290</v>
      </c>
      <c r="S653" s="210">
        <v>3.5</v>
      </c>
      <c r="T653" s="8">
        <v>1.0000972222222222</v>
      </c>
      <c r="U653" s="98">
        <v>3.3292754172656869</v>
      </c>
      <c r="V653" s="106">
        <v>27459.314121606341</v>
      </c>
      <c r="W653" s="10">
        <v>0.63759578575812714</v>
      </c>
      <c r="X653" s="413">
        <v>0.63027780557873592</v>
      </c>
      <c r="Y653" s="414">
        <v>0.27684848045668692</v>
      </c>
      <c r="Z653" s="1"/>
      <c r="AA653" s="1"/>
      <c r="AB653" s="1"/>
      <c r="AC653" s="1"/>
      <c r="AD653" s="1"/>
      <c r="AL653" s="23"/>
      <c r="AM653" s="23"/>
    </row>
    <row r="654" spans="17:39">
      <c r="Q654" s="6">
        <v>624</v>
      </c>
      <c r="R654" s="7">
        <v>43291</v>
      </c>
      <c r="S654" s="210">
        <v>3.5</v>
      </c>
      <c r="T654" s="8">
        <v>1.0000972222222222</v>
      </c>
      <c r="U654" s="98">
        <v>3.3297281187670835</v>
      </c>
      <c r="V654" s="106">
        <v>27461.452267848679</v>
      </c>
      <c r="W654" s="10">
        <v>0.63771008282547115</v>
      </c>
      <c r="X654" s="413">
        <v>0.63039654398256306</v>
      </c>
      <c r="Y654" s="414">
        <v>0.27689910024012526</v>
      </c>
      <c r="Z654" s="1"/>
      <c r="AA654" s="1"/>
      <c r="AB654" s="1"/>
      <c r="AC654" s="1"/>
      <c r="AD654" s="1"/>
      <c r="AL654" s="23"/>
      <c r="AM654" s="23"/>
    </row>
    <row r="655" spans="17:39">
      <c r="Q655" s="6">
        <v>625</v>
      </c>
      <c r="R655" s="7">
        <v>43292</v>
      </c>
      <c r="S655" s="210">
        <v>3.5</v>
      </c>
      <c r="T655" s="8">
        <v>1.0000972222222222</v>
      </c>
      <c r="U655" s="98">
        <v>3.3301793735975416</v>
      </c>
      <c r="V655" s="106">
        <v>27463.590580579861</v>
      </c>
      <c r="W655" s="10">
        <v>0.63782401427141533</v>
      </c>
      <c r="X655" s="413">
        <v>0.63051492423618072</v>
      </c>
      <c r="Y655" s="414">
        <v>0.2769496060190722</v>
      </c>
      <c r="Z655" s="1"/>
      <c r="AA655" s="1"/>
      <c r="AB655" s="1"/>
      <c r="AC655" s="1"/>
      <c r="AD655" s="1"/>
      <c r="AL655" s="23"/>
      <c r="AM655" s="23"/>
    </row>
    <row r="656" spans="17:39">
      <c r="Q656" s="6">
        <v>626</v>
      </c>
      <c r="R656" s="7">
        <v>43293</v>
      </c>
      <c r="S656" s="210">
        <v>3.5</v>
      </c>
      <c r="T656" s="8">
        <v>1.0000972222222222</v>
      </c>
      <c r="U656" s="98">
        <v>3.3306291886805228</v>
      </c>
      <c r="V656" s="106">
        <v>27465.729059812842</v>
      </c>
      <c r="W656" s="10">
        <v>0.63793758184749194</v>
      </c>
      <c r="X656" s="413">
        <v>0.63063294805634695</v>
      </c>
      <c r="Y656" s="414">
        <v>0.27699999834452738</v>
      </c>
      <c r="Z656" s="1"/>
      <c r="AA656" s="1"/>
      <c r="AB656" s="1"/>
      <c r="AC656" s="1"/>
      <c r="AD656" s="1"/>
      <c r="AL656" s="23"/>
      <c r="AM656" s="23"/>
    </row>
    <row r="657" spans="17:39">
      <c r="Q657" s="6">
        <v>627</v>
      </c>
      <c r="R657" s="7">
        <v>43294</v>
      </c>
      <c r="S657" s="210">
        <v>3.5</v>
      </c>
      <c r="T657" s="8">
        <v>1.0000972222222222</v>
      </c>
      <c r="U657" s="98">
        <v>3.3310775708954132</v>
      </c>
      <c r="V657" s="106">
        <v>27467.867705560591</v>
      </c>
      <c r="W657" s="10">
        <v>0.63805078729406439</v>
      </c>
      <c r="X657" s="413">
        <v>0.63075061714890557</v>
      </c>
      <c r="Y657" s="414">
        <v>0.27705027776398283</v>
      </c>
      <c r="Z657" s="1"/>
      <c r="AA657" s="1"/>
      <c r="AB657" s="1"/>
      <c r="AC657" s="1"/>
      <c r="AD657" s="1"/>
      <c r="AL657" s="23"/>
      <c r="AM657" s="23"/>
    </row>
    <row r="658" spans="17:39">
      <c r="Q658" s="6">
        <v>628</v>
      </c>
      <c r="R658" s="7">
        <v>43295</v>
      </c>
      <c r="S658" s="210">
        <v>3.5</v>
      </c>
      <c r="T658" s="8">
        <v>1.0000972222222222</v>
      </c>
      <c r="U658" s="98">
        <v>3.331524527077856</v>
      </c>
      <c r="V658" s="106">
        <v>27470.006517836082</v>
      </c>
      <c r="W658" s="10">
        <v>0.63816363234050488</v>
      </c>
      <c r="X658" s="413">
        <v>0.63086793320887358</v>
      </c>
      <c r="Y658" s="414">
        <v>0.27710044482144336</v>
      </c>
      <c r="Z658" s="1"/>
      <c r="AA658" s="1"/>
      <c r="AB658" s="1"/>
      <c r="AC658" s="1"/>
      <c r="AD658" s="1"/>
      <c r="AL658" s="23"/>
      <c r="AM658" s="23"/>
    </row>
    <row r="659" spans="17:39">
      <c r="Q659" s="6">
        <v>629</v>
      </c>
      <c r="R659" s="7">
        <v>43296</v>
      </c>
      <c r="S659" s="210">
        <v>3.5</v>
      </c>
      <c r="T659" s="8">
        <v>1.0000972222222222</v>
      </c>
      <c r="U659" s="98">
        <v>3.3319700640200622</v>
      </c>
      <c r="V659" s="106">
        <v>27472.145496652269</v>
      </c>
      <c r="W659" s="10">
        <v>0.63827611870508338</v>
      </c>
      <c r="X659" s="413">
        <v>0.63098489792039958</v>
      </c>
      <c r="Y659" s="414">
        <v>0.27715050005745101</v>
      </c>
      <c r="Z659" s="1"/>
      <c r="AA659" s="1"/>
      <c r="AB659" s="1"/>
      <c r="AC659" s="1"/>
      <c r="AD659" s="1"/>
      <c r="AL659" s="23"/>
      <c r="AM659" s="23"/>
    </row>
    <row r="660" spans="17:39">
      <c r="Q660" s="6">
        <v>630</v>
      </c>
      <c r="R660" s="7">
        <v>43297</v>
      </c>
      <c r="S660" s="210">
        <v>3.5</v>
      </c>
      <c r="T660" s="8">
        <v>1.0000972222222222</v>
      </c>
      <c r="U660" s="98">
        <v>3.3324141884711667</v>
      </c>
      <c r="V660" s="106">
        <v>27474.284642022125</v>
      </c>
      <c r="W660" s="10">
        <v>0.63838824809523409</v>
      </c>
      <c r="X660" s="413">
        <v>0.63110151295704098</v>
      </c>
      <c r="Y660" s="414">
        <v>0.27720044400911803</v>
      </c>
      <c r="Z660" s="1"/>
      <c r="AA660" s="1"/>
      <c r="AB660" s="1"/>
      <c r="AC660" s="1"/>
      <c r="AD660" s="1"/>
      <c r="AL660" s="23"/>
      <c r="AM660" s="23"/>
    </row>
    <row r="661" spans="17:39">
      <c r="Q661" s="6">
        <v>631</v>
      </c>
      <c r="R661" s="7">
        <v>43298</v>
      </c>
      <c r="S661" s="210">
        <v>3.5</v>
      </c>
      <c r="T661" s="8">
        <v>1.0000972222222222</v>
      </c>
      <c r="U661" s="98">
        <v>3.3328569071375824</v>
      </c>
      <c r="V661" s="106">
        <v>27476.42395395862</v>
      </c>
      <c r="W661" s="10">
        <v>0.63850002220751101</v>
      </c>
      <c r="X661" s="413">
        <v>0.63121777998163198</v>
      </c>
      <c r="Y661" s="414">
        <v>0.27725027721015283</v>
      </c>
      <c r="Z661" s="1"/>
      <c r="AA661" s="1"/>
      <c r="AB661" s="1"/>
      <c r="AC661" s="1"/>
      <c r="AD661" s="1"/>
      <c r="AL661" s="23"/>
      <c r="AM661" s="23"/>
    </row>
    <row r="662" spans="17:39">
      <c r="Q662" s="6">
        <v>632</v>
      </c>
      <c r="R662" s="7">
        <v>43299</v>
      </c>
      <c r="S662" s="210">
        <v>3.5</v>
      </c>
      <c r="T662" s="8">
        <v>1.0000972222222222</v>
      </c>
      <c r="U662" s="98">
        <v>3.3332982266833566</v>
      </c>
      <c r="V662" s="106">
        <v>27478.563432474719</v>
      </c>
      <c r="W662" s="10">
        <v>0.63861144272783221</v>
      </c>
      <c r="X662" s="413">
        <v>0.63133370064663463</v>
      </c>
      <c r="Y662" s="414">
        <v>0.27730000019088602</v>
      </c>
      <c r="Z662" s="1"/>
      <c r="AA662" s="1"/>
      <c r="AB662" s="1"/>
      <c r="AC662" s="1"/>
      <c r="AD662" s="1"/>
      <c r="AL662" s="23"/>
      <c r="AM662" s="23"/>
    </row>
    <row r="663" spans="17:39">
      <c r="Q663" s="6">
        <v>633</v>
      </c>
      <c r="R663" s="7">
        <v>43300</v>
      </c>
      <c r="S663" s="210">
        <v>3.5</v>
      </c>
      <c r="T663" s="8">
        <v>1.0000972222222222</v>
      </c>
      <c r="U663" s="98">
        <v>3.3337381537304811</v>
      </c>
      <c r="V663" s="106">
        <v>27480.703077583399</v>
      </c>
      <c r="W663" s="10">
        <v>0.63872251133134661</v>
      </c>
      <c r="X663" s="413">
        <v>0.63144927659389194</v>
      </c>
      <c r="Y663" s="414">
        <v>0.2773496134782989</v>
      </c>
      <c r="Z663" s="1"/>
      <c r="AA663" s="1"/>
      <c r="AB663" s="1"/>
      <c r="AC663" s="1"/>
      <c r="AD663" s="1"/>
      <c r="AL663" s="23"/>
      <c r="AM663" s="23"/>
    </row>
    <row r="664" spans="17:39">
      <c r="Q664" s="6">
        <v>634</v>
      </c>
      <c r="R664" s="7">
        <v>43301</v>
      </c>
      <c r="S664" s="210">
        <v>3.5</v>
      </c>
      <c r="T664" s="8">
        <v>1.0000972222222222</v>
      </c>
      <c r="U664" s="98">
        <v>3.3341766948591811</v>
      </c>
      <c r="V664" s="106">
        <v>27482.842889297634</v>
      </c>
      <c r="W664" s="10">
        <v>0.6388332296827004</v>
      </c>
      <c r="X664" s="413">
        <v>0.63156450945501408</v>
      </c>
      <c r="Y664" s="414">
        <v>0.27739911759604396</v>
      </c>
      <c r="Z664" s="1"/>
      <c r="AA664" s="1"/>
      <c r="AB664" s="1"/>
      <c r="AC664" s="1"/>
      <c r="AD664" s="1"/>
      <c r="AL664" s="23"/>
      <c r="AM664" s="23"/>
    </row>
    <row r="665" spans="17:39">
      <c r="Q665" s="6">
        <v>635</v>
      </c>
      <c r="R665" s="7">
        <v>43302</v>
      </c>
      <c r="S665" s="210">
        <v>3.5</v>
      </c>
      <c r="T665" s="8">
        <v>1.0000972222222222</v>
      </c>
      <c r="U665" s="98">
        <v>3.3346138566083372</v>
      </c>
      <c r="V665" s="106">
        <v>27484.982867630384</v>
      </c>
      <c r="W665" s="10">
        <v>0.63894359943610368</v>
      </c>
      <c r="X665" s="413">
        <v>0.63167940085132124</v>
      </c>
      <c r="Y665" s="414">
        <v>0.27744851306448126</v>
      </c>
      <c r="Z665" s="1"/>
      <c r="AA665" s="1"/>
      <c r="AB665" s="1"/>
      <c r="AC665" s="1"/>
      <c r="AD665" s="1"/>
      <c r="AL665" s="23"/>
      <c r="AM665" s="23"/>
    </row>
    <row r="666" spans="17:39">
      <c r="Q666" s="6">
        <v>636</v>
      </c>
      <c r="R666" s="7">
        <v>43303</v>
      </c>
      <c r="S666" s="210">
        <v>3.5</v>
      </c>
      <c r="T666" s="8">
        <v>1.0000972222222222</v>
      </c>
      <c r="U666" s="98">
        <v>3.3350496454757295</v>
      </c>
      <c r="V666" s="106">
        <v>27487.123012594642</v>
      </c>
      <c r="W666" s="10">
        <v>0.63905362223524165</v>
      </c>
      <c r="X666" s="413">
        <v>0.63179395239383573</v>
      </c>
      <c r="Y666" s="414">
        <v>0.27749780040069516</v>
      </c>
      <c r="Z666" s="1"/>
      <c r="AA666" s="1"/>
      <c r="AB666" s="1"/>
      <c r="AC666" s="1"/>
      <c r="AD666" s="1"/>
      <c r="AL666" s="23"/>
      <c r="AM666" s="23"/>
    </row>
    <row r="667" spans="17:39">
      <c r="Q667" s="6">
        <v>637</v>
      </c>
      <c r="R667" s="7">
        <v>43304</v>
      </c>
      <c r="S667" s="210">
        <v>3.5</v>
      </c>
      <c r="T667" s="8">
        <v>1.0000972222222222</v>
      </c>
      <c r="U667" s="98">
        <v>3.3354840679184372</v>
      </c>
      <c r="V667" s="106">
        <v>27489.263324203366</v>
      </c>
      <c r="W667" s="10">
        <v>0.63916329971362984</v>
      </c>
      <c r="X667" s="413">
        <v>0.63190816568363939</v>
      </c>
      <c r="Y667" s="414">
        <v>0.27754698011852585</v>
      </c>
      <c r="Z667" s="1"/>
      <c r="AA667" s="1"/>
      <c r="AB667" s="1"/>
      <c r="AC667" s="1"/>
      <c r="AD667" s="1"/>
      <c r="AL667" s="23"/>
      <c r="AM667" s="23"/>
    </row>
    <row r="668" spans="17:39">
      <c r="Q668" s="6">
        <v>638</v>
      </c>
      <c r="R668" s="7">
        <v>43305</v>
      </c>
      <c r="S668" s="210">
        <v>3.5</v>
      </c>
      <c r="T668" s="8">
        <v>1.0000972222222222</v>
      </c>
      <c r="U668" s="98">
        <v>3.3359171303530388</v>
      </c>
      <c r="V668" s="106">
        <v>27491.403802469536</v>
      </c>
      <c r="W668" s="10">
        <v>0.63927263349443653</v>
      </c>
      <c r="X668" s="413">
        <v>0.63202204231161307</v>
      </c>
      <c r="Y668" s="414">
        <v>0.27759605272858828</v>
      </c>
      <c r="Z668" s="1"/>
      <c r="AA668" s="1"/>
      <c r="AB668" s="1"/>
      <c r="AC668" s="1"/>
      <c r="AD668" s="1"/>
      <c r="AL668" s="23"/>
      <c r="AM668" s="23"/>
    </row>
    <row r="669" spans="17:39">
      <c r="Q669" s="6">
        <v>639</v>
      </c>
      <c r="R669" s="7">
        <v>43306</v>
      </c>
      <c r="S669" s="210">
        <v>3.5</v>
      </c>
      <c r="T669" s="8">
        <v>1.0000972222222222</v>
      </c>
      <c r="U669" s="98">
        <v>3.3363488391560336</v>
      </c>
      <c r="V669" s="106">
        <v>27493.544447406137</v>
      </c>
      <c r="W669" s="10">
        <v>0.63938162519070474</v>
      </c>
      <c r="X669" s="413">
        <v>0.63213558385876656</v>
      </c>
      <c r="Y669" s="414">
        <v>0.27764501873830366</v>
      </c>
      <c r="Z669" s="1"/>
      <c r="AA669" s="1"/>
      <c r="AB669" s="1"/>
      <c r="AC669" s="1"/>
      <c r="AD669" s="1"/>
      <c r="AL669" s="23"/>
      <c r="AM669" s="23"/>
    </row>
    <row r="670" spans="17:39">
      <c r="Q670" s="6">
        <v>640</v>
      </c>
      <c r="R670" s="7">
        <v>43307</v>
      </c>
      <c r="S670" s="210">
        <v>3.5</v>
      </c>
      <c r="T670" s="8">
        <v>1.0000972222222222</v>
      </c>
      <c r="U670" s="98">
        <v>3.3367792006641306</v>
      </c>
      <c r="V670" s="106">
        <v>27495.685259026137</v>
      </c>
      <c r="W670" s="10">
        <v>0.63949027640539668</v>
      </c>
      <c r="X670" s="413">
        <v>0.6322487918961659</v>
      </c>
      <c r="Y670" s="414">
        <v>0.27769387865192419</v>
      </c>
      <c r="Z670" s="1"/>
      <c r="AA670" s="1"/>
      <c r="AB670" s="1"/>
      <c r="AC670" s="1"/>
      <c r="AD670" s="1"/>
      <c r="AL670" s="23"/>
      <c r="AM670" s="23"/>
    </row>
    <row r="671" spans="17:39">
      <c r="Q671" s="6">
        <v>641</v>
      </c>
      <c r="R671" s="7">
        <v>43308</v>
      </c>
      <c r="S671" s="210">
        <v>3.5</v>
      </c>
      <c r="T671" s="8">
        <v>1.0000972222222222</v>
      </c>
      <c r="U671" s="98">
        <v>3.3372082211745369</v>
      </c>
      <c r="V671" s="106">
        <v>27497.82623734252</v>
      </c>
      <c r="W671" s="10">
        <v>0.63959858873148256</v>
      </c>
      <c r="X671" s="413">
        <v>0.6323616679851356</v>
      </c>
      <c r="Y671" s="414">
        <v>0.27774263297055329</v>
      </c>
      <c r="Z671" s="1"/>
      <c r="AA671" s="1"/>
      <c r="AB671" s="1"/>
      <c r="AC671" s="1"/>
      <c r="AD671" s="1"/>
      <c r="AL671" s="23"/>
      <c r="AM671" s="23"/>
    </row>
    <row r="672" spans="17:39">
      <c r="Q672" s="6">
        <v>642</v>
      </c>
      <c r="R672" s="7">
        <v>43309</v>
      </c>
      <c r="S672" s="210">
        <v>3.5</v>
      </c>
      <c r="T672" s="8">
        <v>1.0000972222222222</v>
      </c>
      <c r="U672" s="98">
        <v>3.337635906945291</v>
      </c>
      <c r="V672" s="106">
        <v>27499.967382368272</v>
      </c>
      <c r="W672" s="10">
        <v>0.63970656375200718</v>
      </c>
      <c r="X672" s="413">
        <v>0.632474213677235</v>
      </c>
      <c r="Y672" s="414">
        <v>0.27779128219217536</v>
      </c>
      <c r="Z672" s="1"/>
      <c r="AA672" s="1"/>
      <c r="AB672" s="1"/>
      <c r="AC672" s="1"/>
      <c r="AD672" s="1"/>
      <c r="AL672" s="23"/>
      <c r="AM672" s="23"/>
    </row>
    <row r="673" spans="17:39">
      <c r="Q673" s="6">
        <v>643</v>
      </c>
      <c r="R673" s="7">
        <v>43310</v>
      </c>
      <c r="S673" s="210">
        <v>3.5</v>
      </c>
      <c r="T673" s="8">
        <v>1.0000972222222222</v>
      </c>
      <c r="U673" s="98">
        <v>3.3380622641955515</v>
      </c>
      <c r="V673" s="106">
        <v>27502.108694116359</v>
      </c>
      <c r="W673" s="10">
        <v>0.63981420304020098</v>
      </c>
      <c r="X673" s="413">
        <v>0.63258643051442121</v>
      </c>
      <c r="Y673" s="414">
        <v>0.2778398268116738</v>
      </c>
      <c r="Z673" s="1"/>
      <c r="AA673" s="1"/>
      <c r="AB673" s="1"/>
      <c r="AC673" s="1"/>
      <c r="AD673" s="1"/>
      <c r="AL673" s="23"/>
      <c r="AM673" s="23"/>
    </row>
    <row r="674" spans="17:39">
      <c r="Q674" s="6">
        <v>644</v>
      </c>
      <c r="R674" s="7">
        <v>43311</v>
      </c>
      <c r="S674" s="210">
        <v>3.5</v>
      </c>
      <c r="T674" s="8">
        <v>1.0000972222222222</v>
      </c>
      <c r="U674" s="98">
        <v>3.3384872991058856</v>
      </c>
      <c r="V674" s="106">
        <v>27504.250172599772</v>
      </c>
      <c r="W674" s="10">
        <v>0.63992150815952442</v>
      </c>
      <c r="X674" s="413">
        <v>0.63269832002906146</v>
      </c>
      <c r="Y674" s="414">
        <v>0.2778882673208633</v>
      </c>
      <c r="Z674" s="1"/>
      <c r="AA674" s="1"/>
      <c r="AB674" s="1"/>
      <c r="AC674" s="1"/>
      <c r="AD674" s="1"/>
      <c r="AL674" s="23"/>
      <c r="AM674" s="23"/>
    </row>
    <row r="675" spans="17:39">
      <c r="Q675" s="6">
        <v>645</v>
      </c>
      <c r="R675" s="7">
        <v>43312</v>
      </c>
      <c r="S675" s="210">
        <v>3.5</v>
      </c>
      <c r="T675" s="8">
        <v>1.0000972222222222</v>
      </c>
      <c r="U675" s="98">
        <v>3.3389110178185799</v>
      </c>
      <c r="V675" s="106">
        <v>27506.391817831496</v>
      </c>
      <c r="W675" s="10">
        <v>0.64002848066362361</v>
      </c>
      <c r="X675" s="413">
        <v>0.63280988374388358</v>
      </c>
      <c r="Y675" s="414">
        <v>0.27793660420850247</v>
      </c>
      <c r="Z675" s="1"/>
      <c r="AA675" s="1"/>
      <c r="AB675" s="1"/>
      <c r="AC675" s="1"/>
      <c r="AD675" s="1"/>
      <c r="AL675" s="23"/>
      <c r="AM675" s="23"/>
    </row>
    <row r="676" spans="17:39">
      <c r="Q676" s="6">
        <v>646</v>
      </c>
      <c r="R676" s="7">
        <v>43313</v>
      </c>
      <c r="S676" s="210">
        <v>3.5</v>
      </c>
      <c r="T676" s="8">
        <v>1.0000972222222222</v>
      </c>
      <c r="U676" s="98">
        <v>3.3393334264379293</v>
      </c>
      <c r="V676" s="106">
        <v>27508.533629824513</v>
      </c>
      <c r="W676" s="10">
        <v>0.64013512209670775</v>
      </c>
      <c r="X676" s="413">
        <v>0.63292112317240956</v>
      </c>
      <c r="Y676" s="414">
        <v>0.27798483796032958</v>
      </c>
      <c r="Z676" s="1"/>
      <c r="AA676" s="1"/>
      <c r="AB676" s="1"/>
      <c r="AC676" s="1"/>
      <c r="AD676" s="1"/>
      <c r="AL676" s="23"/>
      <c r="AM676" s="23"/>
    </row>
    <row r="677" spans="17:39">
      <c r="Q677" s="6">
        <v>647</v>
      </c>
      <c r="R677" s="7">
        <v>43314</v>
      </c>
      <c r="S677" s="210">
        <v>3.5</v>
      </c>
      <c r="T677" s="8">
        <v>1.0000972222222222</v>
      </c>
      <c r="U677" s="98">
        <v>3.3397545310305921</v>
      </c>
      <c r="V677" s="106">
        <v>27510.675608591802</v>
      </c>
      <c r="W677" s="10">
        <v>0.64024143399330491</v>
      </c>
      <c r="X677" s="413">
        <v>0.63303203981860656</v>
      </c>
      <c r="Y677" s="414">
        <v>0.27803296905907798</v>
      </c>
      <c r="Z677" s="1"/>
      <c r="AA677" s="1"/>
      <c r="AB677" s="1"/>
      <c r="AC677" s="1"/>
      <c r="AD677" s="1"/>
      <c r="AL677" s="23"/>
      <c r="AM677" s="23"/>
    </row>
    <row r="678" spans="17:39">
      <c r="Q678" s="6">
        <v>648</v>
      </c>
      <c r="R678" s="7">
        <v>43315</v>
      </c>
      <c r="S678" s="210">
        <v>3.5</v>
      </c>
      <c r="T678" s="8">
        <v>1.0000972222222222</v>
      </c>
      <c r="U678" s="98">
        <v>3.3401743376257675</v>
      </c>
      <c r="V678" s="106">
        <v>27512.817754146356</v>
      </c>
      <c r="W678" s="10">
        <v>0.64034741787855065</v>
      </c>
      <c r="X678" s="413">
        <v>0.63314263517730596</v>
      </c>
      <c r="Y678" s="414">
        <v>0.27808099798450314</v>
      </c>
      <c r="Z678" s="1"/>
      <c r="AA678" s="1"/>
      <c r="AB678" s="1"/>
      <c r="AC678" s="1"/>
      <c r="AD678" s="1"/>
      <c r="AL678" s="23"/>
      <c r="AM678" s="23"/>
    </row>
    <row r="679" spans="17:39">
      <c r="Q679" s="6">
        <v>649</v>
      </c>
      <c r="R679" s="7">
        <v>43316</v>
      </c>
      <c r="S679" s="210">
        <v>3.5</v>
      </c>
      <c r="T679" s="8">
        <v>1.0000972222222222</v>
      </c>
      <c r="U679" s="98">
        <v>3.3405928522155737</v>
      </c>
      <c r="V679" s="106">
        <v>27514.960066501164</v>
      </c>
      <c r="W679" s="10">
        <v>0.64045307526816586</v>
      </c>
      <c r="X679" s="413">
        <v>0.63325291073403966</v>
      </c>
      <c r="Y679" s="414">
        <v>0.27812892521340171</v>
      </c>
      <c r="Z679" s="1"/>
      <c r="AA679" s="1"/>
      <c r="AB679" s="1"/>
      <c r="AC679" s="1"/>
      <c r="AD679" s="1"/>
      <c r="AL679" s="23"/>
      <c r="AM679" s="23"/>
    </row>
    <row r="680" spans="17:39">
      <c r="Q680" s="6">
        <v>650</v>
      </c>
      <c r="R680" s="7">
        <v>43317</v>
      </c>
      <c r="S680" s="210">
        <v>3.5</v>
      </c>
      <c r="T680" s="8">
        <v>1.0000972222222222</v>
      </c>
      <c r="U680" s="98">
        <v>3.3410100807552912</v>
      </c>
      <c r="V680" s="106">
        <v>27517.102545669204</v>
      </c>
      <c r="W680" s="10">
        <v>0.64055840766852334</v>
      </c>
      <c r="X680" s="413">
        <v>0.6333628679652229</v>
      </c>
      <c r="Y680" s="414">
        <v>0.27817675121963698</v>
      </c>
      <c r="Z680" s="1"/>
      <c r="AA680" s="1"/>
      <c r="AB680" s="1"/>
      <c r="AC680" s="1"/>
      <c r="AD680" s="1"/>
      <c r="AL680" s="23"/>
      <c r="AM680" s="23"/>
    </row>
    <row r="681" spans="17:39">
      <c r="Q681" s="6">
        <v>651</v>
      </c>
      <c r="R681" s="7">
        <v>43318</v>
      </c>
      <c r="S681" s="210">
        <v>3.5</v>
      </c>
      <c r="T681" s="8">
        <v>1.0000972222222222</v>
      </c>
      <c r="U681" s="98">
        <v>3.3414260291636744</v>
      </c>
      <c r="V681" s="106">
        <v>27519.245191663471</v>
      </c>
      <c r="W681" s="10">
        <v>0.64066341657678105</v>
      </c>
      <c r="X681" s="413">
        <v>0.63347250833819846</v>
      </c>
      <c r="Y681" s="414">
        <v>0.27822447647416498</v>
      </c>
      <c r="Z681" s="1"/>
      <c r="AA681" s="1"/>
      <c r="AB681" s="1"/>
      <c r="AC681" s="1"/>
      <c r="AD681" s="1"/>
      <c r="AL681" s="23"/>
      <c r="AM681" s="23"/>
    </row>
    <row r="682" spans="17:39">
      <c r="Q682" s="6">
        <v>652</v>
      </c>
      <c r="R682" s="7">
        <v>43319</v>
      </c>
      <c r="S682" s="210">
        <v>3.5</v>
      </c>
      <c r="T682" s="8">
        <v>1.0000972222222222</v>
      </c>
      <c r="U682" s="98">
        <v>3.3418407033231956</v>
      </c>
      <c r="V682" s="106">
        <v>27521.388004496963</v>
      </c>
      <c r="W682" s="10">
        <v>0.64076810348088209</v>
      </c>
      <c r="X682" s="413">
        <v>0.63358183331132001</v>
      </c>
      <c r="Y682" s="414">
        <v>0.27827210144504833</v>
      </c>
      <c r="Z682" s="1"/>
      <c r="AA682" s="1"/>
      <c r="AB682" s="1"/>
      <c r="AC682" s="1"/>
      <c r="AD682" s="1"/>
      <c r="AL682" s="23"/>
      <c r="AM682" s="23"/>
    </row>
    <row r="683" spans="17:39">
      <c r="Q683" s="6">
        <v>653</v>
      </c>
      <c r="R683" s="7">
        <v>43320</v>
      </c>
      <c r="S683" s="210">
        <v>3.5</v>
      </c>
      <c r="T683" s="8">
        <v>1.0000972222222222</v>
      </c>
      <c r="U683" s="98">
        <v>3.3422541090803337</v>
      </c>
      <c r="V683" s="106">
        <v>27523.53098418266</v>
      </c>
      <c r="W683" s="10">
        <v>0.64087246985966573</v>
      </c>
      <c r="X683" s="413">
        <v>0.63369084433397094</v>
      </c>
      <c r="Y683" s="414">
        <v>0.27831962659748438</v>
      </c>
      <c r="Z683" s="1"/>
      <c r="AA683" s="1"/>
      <c r="AB683" s="1"/>
      <c r="AC683" s="1"/>
      <c r="AD683" s="1"/>
      <c r="AL683" s="23"/>
      <c r="AM683" s="23"/>
    </row>
    <row r="684" spans="17:39">
      <c r="Q684" s="6">
        <v>654</v>
      </c>
      <c r="R684" s="7">
        <v>43321</v>
      </c>
      <c r="S684" s="210">
        <v>3.5</v>
      </c>
      <c r="T684" s="8">
        <v>1.0000972222222222</v>
      </c>
      <c r="U684" s="98">
        <v>3.342666252245885</v>
      </c>
      <c r="V684" s="106">
        <v>27525.674130733558</v>
      </c>
      <c r="W684" s="10">
        <v>0.64097651718293402</v>
      </c>
      <c r="X684" s="413">
        <v>0.63379954284670659</v>
      </c>
      <c r="Y684" s="414">
        <v>0.27836705239382531</v>
      </c>
      <c r="Z684" s="1"/>
      <c r="AA684" s="1"/>
      <c r="AB684" s="1"/>
      <c r="AC684" s="1"/>
      <c r="AD684" s="1"/>
      <c r="AL684" s="23"/>
      <c r="AM684" s="23"/>
    </row>
    <row r="685" spans="17:39">
      <c r="Q685" s="6">
        <v>655</v>
      </c>
      <c r="R685" s="7">
        <v>43322</v>
      </c>
      <c r="S685" s="210">
        <v>3.5</v>
      </c>
      <c r="T685" s="8">
        <v>1.0000972222222222</v>
      </c>
      <c r="U685" s="98">
        <v>3.3430771385951852</v>
      </c>
      <c r="V685" s="106">
        <v>27527.817444162651</v>
      </c>
      <c r="W685" s="10">
        <v>0.64108024691154064</v>
      </c>
      <c r="X685" s="413">
        <v>0.63390793028128489</v>
      </c>
      <c r="Y685" s="414">
        <v>0.27841437929360185</v>
      </c>
      <c r="Z685" s="1"/>
      <c r="AA685" s="1"/>
      <c r="AB685" s="1"/>
      <c r="AC685" s="1"/>
      <c r="AD685" s="1"/>
      <c r="AL685" s="23"/>
      <c r="AM685" s="23"/>
    </row>
    <row r="686" spans="17:39">
      <c r="Q686" s="6">
        <v>656</v>
      </c>
      <c r="R686" s="7">
        <v>43323</v>
      </c>
      <c r="S686" s="210">
        <v>3.5</v>
      </c>
      <c r="T686" s="8">
        <v>1.0000972222222222</v>
      </c>
      <c r="U686" s="98">
        <v>3.3434867738684204</v>
      </c>
      <c r="V686" s="106">
        <v>27529.960924482933</v>
      </c>
      <c r="W686" s="10">
        <v>0.64118366049743525</v>
      </c>
      <c r="X686" s="413">
        <v>0.63401600806075809</v>
      </c>
      <c r="Y686" s="414">
        <v>0.27846160775354378</v>
      </c>
      <c r="Z686" s="1"/>
      <c r="AA686" s="1"/>
      <c r="AB686" s="1"/>
      <c r="AC686" s="1"/>
      <c r="AD686" s="1"/>
      <c r="AL686" s="23"/>
      <c r="AM686" s="23"/>
    </row>
    <row r="687" spans="17:39">
      <c r="Q687" s="6">
        <v>657</v>
      </c>
      <c r="R687" s="7">
        <v>43324</v>
      </c>
      <c r="S687" s="210">
        <v>3.5</v>
      </c>
      <c r="T687" s="8">
        <v>1.0000972222222222</v>
      </c>
      <c r="U687" s="98">
        <v>3.3438951637708492</v>
      </c>
      <c r="V687" s="106">
        <v>27532.104571707394</v>
      </c>
      <c r="W687" s="10">
        <v>0.64128675938366353</v>
      </c>
      <c r="X687" s="413">
        <v>0.63412377759941729</v>
      </c>
      <c r="Y687" s="414">
        <v>0.27850873822759703</v>
      </c>
      <c r="Z687" s="1"/>
      <c r="AA687" s="1"/>
      <c r="AB687" s="1"/>
      <c r="AC687" s="1"/>
      <c r="AD687" s="1"/>
      <c r="AL687" s="23"/>
      <c r="AM687" s="23"/>
    </row>
    <row r="688" spans="17:39">
      <c r="Q688" s="6">
        <v>658</v>
      </c>
      <c r="R688" s="7">
        <v>43325</v>
      </c>
      <c r="S688" s="210">
        <v>3.5</v>
      </c>
      <c r="T688" s="8">
        <v>1.0000972222222222</v>
      </c>
      <c r="U688" s="98">
        <v>3.344302313973091</v>
      </c>
      <c r="V688" s="106">
        <v>27534.24838584903</v>
      </c>
      <c r="W688" s="10">
        <v>0.64138954500454481</v>
      </c>
      <c r="X688" s="413">
        <v>0.63423124030304068</v>
      </c>
      <c r="Y688" s="414">
        <v>0.27855577116694896</v>
      </c>
      <c r="Z688" s="1"/>
      <c r="AA688" s="1"/>
      <c r="AB688" s="1"/>
      <c r="AC688" s="1"/>
      <c r="AD688" s="1"/>
      <c r="AL688" s="23"/>
      <c r="AM688" s="23"/>
    </row>
    <row r="689" spans="17:39">
      <c r="Q689" s="6">
        <v>659</v>
      </c>
      <c r="R689" s="7">
        <v>43326</v>
      </c>
      <c r="S689" s="210">
        <v>3.5</v>
      </c>
      <c r="T689" s="8">
        <v>1.0000972222222222</v>
      </c>
      <c r="U689" s="98">
        <v>3.3447082301113928</v>
      </c>
      <c r="V689" s="106">
        <v>27536.392366920856</v>
      </c>
      <c r="W689" s="10">
        <v>0.64149201878567208</v>
      </c>
      <c r="X689" s="413">
        <v>0.63433839756880128</v>
      </c>
      <c r="Y689" s="414">
        <v>0.27860270702004941</v>
      </c>
      <c r="Z689" s="1"/>
      <c r="AA689" s="1"/>
      <c r="AB689" s="1"/>
      <c r="AC689" s="1"/>
      <c r="AD689" s="1"/>
      <c r="AL689" s="23"/>
      <c r="AM689" s="23"/>
    </row>
    <row r="690" spans="17:39">
      <c r="Q690" s="6">
        <v>660</v>
      </c>
      <c r="R690" s="7">
        <v>43327</v>
      </c>
      <c r="S690" s="210">
        <v>3.5</v>
      </c>
      <c r="T690" s="8">
        <v>1.0000972222222222</v>
      </c>
      <c r="U690" s="98">
        <v>3.345112917787918</v>
      </c>
      <c r="V690" s="106">
        <v>27538.536514935844</v>
      </c>
      <c r="W690" s="10">
        <v>0.64159418214408959</v>
      </c>
      <c r="X690" s="413">
        <v>0.63444525078553748</v>
      </c>
      <c r="Y690" s="414">
        <v>0.27864954623263438</v>
      </c>
      <c r="Z690" s="1"/>
      <c r="AA690" s="1"/>
      <c r="AB690" s="1"/>
      <c r="AC690" s="1"/>
      <c r="AD690" s="1"/>
      <c r="AL690" s="23"/>
      <c r="AM690" s="23"/>
    </row>
    <row r="691" spans="17:39">
      <c r="Q691" s="6">
        <v>661</v>
      </c>
      <c r="R691" s="7">
        <v>43328</v>
      </c>
      <c r="S691" s="210">
        <v>3.5</v>
      </c>
      <c r="T691" s="8">
        <v>1.0000972222222222</v>
      </c>
      <c r="U691" s="98">
        <v>3.3455163825709233</v>
      </c>
      <c r="V691" s="106">
        <v>27540.680829907014</v>
      </c>
      <c r="W691" s="10">
        <v>0.64169603648813744</v>
      </c>
      <c r="X691" s="413">
        <v>0.63455180133352584</v>
      </c>
      <c r="Y691" s="414">
        <v>0.27869628924773748</v>
      </c>
      <c r="Z691" s="1"/>
      <c r="AA691" s="1"/>
      <c r="AB691" s="1"/>
      <c r="AC691" s="1"/>
      <c r="AD691" s="1"/>
      <c r="AL691" s="23"/>
      <c r="AM691" s="23"/>
    </row>
    <row r="692" spans="17:39">
      <c r="Q692" s="6">
        <v>662</v>
      </c>
      <c r="R692" s="7">
        <v>43329</v>
      </c>
      <c r="S692" s="210">
        <v>3.5</v>
      </c>
      <c r="T692" s="8">
        <v>1.0000972222222222</v>
      </c>
      <c r="U692" s="98">
        <v>3.3459186299951149</v>
      </c>
      <c r="V692" s="106">
        <v>27542.825311847355</v>
      </c>
      <c r="W692" s="10">
        <v>0.64179758321776248</v>
      </c>
      <c r="X692" s="413">
        <v>0.63465805058481184</v>
      </c>
      <c r="Y692" s="414">
        <v>0.27874293650571941</v>
      </c>
      <c r="Z692" s="1"/>
      <c r="AA692" s="1"/>
      <c r="AB692" s="1"/>
      <c r="AC692" s="1"/>
      <c r="AD692" s="1"/>
      <c r="AL692" s="23"/>
      <c r="AM692" s="23"/>
    </row>
    <row r="693" spans="17:39">
      <c r="Q693" s="6">
        <v>663</v>
      </c>
      <c r="R693" s="7">
        <v>43330</v>
      </c>
      <c r="S693" s="210">
        <v>3.5</v>
      </c>
      <c r="T693" s="8">
        <v>1.0000972222222222</v>
      </c>
      <c r="U693" s="98">
        <v>3.3463196655618255</v>
      </c>
      <c r="V693" s="106">
        <v>27544.969960769868</v>
      </c>
      <c r="W693" s="10">
        <v>0.64189882372440721</v>
      </c>
      <c r="X693" s="413">
        <v>0.63476399990312682</v>
      </c>
      <c r="Y693" s="414">
        <v>0.27878948844428503</v>
      </c>
      <c r="Z693" s="1"/>
      <c r="AA693" s="1"/>
      <c r="AB693" s="1"/>
      <c r="AC693" s="1"/>
      <c r="AD693" s="1"/>
      <c r="AL693" s="23"/>
      <c r="AM693" s="23"/>
    </row>
    <row r="694" spans="17:39">
      <c r="Q694" s="6">
        <v>664</v>
      </c>
      <c r="R694" s="7">
        <v>43331</v>
      </c>
      <c r="S694" s="210">
        <v>3.5</v>
      </c>
      <c r="T694" s="8">
        <v>1.0000972222222222</v>
      </c>
      <c r="U694" s="98">
        <v>3.3467194947392809</v>
      </c>
      <c r="V694" s="106">
        <v>27547.114776687558</v>
      </c>
      <c r="W694" s="10">
        <v>0.64199975939116527</v>
      </c>
      <c r="X694" s="413">
        <v>0.63486965064399892</v>
      </c>
      <c r="Y694" s="414">
        <v>0.27883594549849849</v>
      </c>
      <c r="Z694" s="1"/>
      <c r="AA694" s="1"/>
      <c r="AB694" s="1"/>
      <c r="AC694" s="1"/>
      <c r="AD694" s="1"/>
      <c r="AL694" s="23"/>
      <c r="AM694" s="23"/>
    </row>
    <row r="695" spans="17:39">
      <c r="Q695" s="6">
        <v>665</v>
      </c>
      <c r="R695" s="7">
        <v>43332</v>
      </c>
      <c r="S695" s="210">
        <v>3.5</v>
      </c>
      <c r="T695" s="8">
        <v>1.0000972222222222</v>
      </c>
      <c r="U695" s="98">
        <v>3.3471181229628666</v>
      </c>
      <c r="V695" s="106">
        <v>27549.259759613436</v>
      </c>
      <c r="W695" s="10">
        <v>0.64210039159275922</v>
      </c>
      <c r="X695" s="413">
        <v>0.63497500415475472</v>
      </c>
      <c r="Y695" s="414">
        <v>0.27888230810081199</v>
      </c>
      <c r="Z695" s="1"/>
      <c r="AA695" s="1"/>
      <c r="AB695" s="1"/>
      <c r="AC695" s="1"/>
      <c r="AD695" s="1"/>
      <c r="AL695" s="23"/>
      <c r="AM695" s="23"/>
    </row>
    <row r="696" spans="17:39">
      <c r="Q696" s="6">
        <v>666</v>
      </c>
      <c r="R696" s="7">
        <v>43333</v>
      </c>
      <c r="S696" s="210">
        <v>3.5</v>
      </c>
      <c r="T696" s="8">
        <v>1.0000972222222222</v>
      </c>
      <c r="U696" s="98">
        <v>3.347515555635372</v>
      </c>
      <c r="V696" s="106">
        <v>27551.404909560493</v>
      </c>
      <c r="W696" s="10">
        <v>0.64220072169574038</v>
      </c>
      <c r="X696" s="413">
        <v>0.63508006177471255</v>
      </c>
      <c r="Y696" s="414">
        <v>0.2789285766810774</v>
      </c>
      <c r="Z696" s="1"/>
      <c r="AA696" s="1"/>
      <c r="AB696" s="1"/>
      <c r="AC696" s="1"/>
      <c r="AD696" s="1"/>
      <c r="AL696" s="23"/>
      <c r="AM696" s="23"/>
    </row>
    <row r="697" spans="17:39">
      <c r="Q697" s="6">
        <v>667</v>
      </c>
      <c r="R697" s="7">
        <v>43334</v>
      </c>
      <c r="S697" s="210">
        <v>3.5</v>
      </c>
      <c r="T697" s="8">
        <v>1.0000972222222222</v>
      </c>
      <c r="U697" s="98">
        <v>3.3479117981272122</v>
      </c>
      <c r="V697" s="106">
        <v>27553.550226541745</v>
      </c>
      <c r="W697" s="10">
        <v>0.64230075105837781</v>
      </c>
      <c r="X697" s="413">
        <v>0.63518482483505134</v>
      </c>
      <c r="Y697" s="414">
        <v>0.27897475166657276</v>
      </c>
      <c r="Z697" s="1"/>
      <c r="AA697" s="1"/>
      <c r="AB697" s="1"/>
      <c r="AC697" s="1"/>
      <c r="AD697" s="1"/>
      <c r="AL697" s="23"/>
      <c r="AM697" s="23"/>
    </row>
    <row r="698" spans="17:39">
      <c r="Q698" s="6">
        <v>668</v>
      </c>
      <c r="R698" s="7">
        <v>43335</v>
      </c>
      <c r="S698" s="210">
        <v>3.5</v>
      </c>
      <c r="T698" s="8">
        <v>1.0000972222222222</v>
      </c>
      <c r="U698" s="98">
        <v>3.3483068557766948</v>
      </c>
      <c r="V698" s="106">
        <v>27555.695710570191</v>
      </c>
      <c r="W698" s="10">
        <v>0.64240048103090253</v>
      </c>
      <c r="X698" s="413">
        <v>0.63528929465909811</v>
      </c>
      <c r="Y698" s="414">
        <v>0.27902083348201567</v>
      </c>
      <c r="Z698" s="1"/>
      <c r="AA698" s="1"/>
      <c r="AB698" s="1"/>
      <c r="AC698" s="1"/>
      <c r="AD698" s="1"/>
      <c r="AL698" s="23"/>
      <c r="AM698" s="23"/>
    </row>
    <row r="699" spans="17:39">
      <c r="Q699" s="6">
        <v>669</v>
      </c>
      <c r="R699" s="7">
        <v>43336</v>
      </c>
      <c r="S699" s="210">
        <v>3.5</v>
      </c>
      <c r="T699" s="8">
        <v>1.0000972222222222</v>
      </c>
      <c r="U699" s="98">
        <v>3.3487007338902641</v>
      </c>
      <c r="V699" s="106">
        <v>27557.84136165884</v>
      </c>
      <c r="W699" s="10">
        <v>0.64249991295541875</v>
      </c>
      <c r="X699" s="413">
        <v>0.63539347256219647</v>
      </c>
      <c r="Y699" s="414">
        <v>0.2790668225495852</v>
      </c>
      <c r="Z699" s="1"/>
      <c r="AA699" s="1"/>
      <c r="AB699" s="1"/>
      <c r="AC699" s="1"/>
      <c r="AD699" s="1"/>
      <c r="AL699" s="23"/>
      <c r="AM699" s="23"/>
    </row>
    <row r="700" spans="17:39">
      <c r="Q700" s="6">
        <v>670</v>
      </c>
      <c r="R700" s="7">
        <v>43337</v>
      </c>
      <c r="S700" s="210">
        <v>3.5</v>
      </c>
      <c r="T700" s="8">
        <v>1.0000972222222222</v>
      </c>
      <c r="U700" s="98">
        <v>3.3490934377426784</v>
      </c>
      <c r="V700" s="106">
        <v>27559.987179820706</v>
      </c>
      <c r="W700" s="10">
        <v>0.64259904816597047</v>
      </c>
      <c r="X700" s="413">
        <v>0.63549735985178901</v>
      </c>
      <c r="Y700" s="414">
        <v>0.27911271928893794</v>
      </c>
      <c r="Z700" s="1"/>
      <c r="AA700" s="1"/>
      <c r="AB700" s="1"/>
      <c r="AC700" s="1"/>
      <c r="AD700" s="1"/>
      <c r="AL700" s="23"/>
      <c r="AM700" s="23"/>
    </row>
    <row r="701" spans="17:39">
      <c r="Q701" s="6">
        <v>671</v>
      </c>
      <c r="R701" s="7">
        <v>43338</v>
      </c>
      <c r="S701" s="210">
        <v>3.5</v>
      </c>
      <c r="T701" s="8">
        <v>1.0000972222222222</v>
      </c>
      <c r="U701" s="98">
        <v>3.3494849725773213</v>
      </c>
      <c r="V701" s="106">
        <v>27562.133165068786</v>
      </c>
      <c r="W701" s="10">
        <v>0.64269788798878569</v>
      </c>
      <c r="X701" s="413">
        <v>0.63560095782766746</v>
      </c>
      <c r="Y701" s="414">
        <v>0.27915852411723291</v>
      </c>
      <c r="Z701" s="1"/>
      <c r="AA701" s="1"/>
      <c r="AB701" s="1"/>
      <c r="AC701" s="1"/>
      <c r="AD701" s="1"/>
      <c r="AL701" s="23"/>
      <c r="AM701" s="23"/>
    </row>
    <row r="702" spans="17:39">
      <c r="Q702" s="6">
        <v>672</v>
      </c>
      <c r="R702" s="7">
        <v>43339</v>
      </c>
      <c r="S702" s="210">
        <v>3.5</v>
      </c>
      <c r="T702" s="8">
        <v>1.0000972222222222</v>
      </c>
      <c r="U702" s="98">
        <v>3.3498753436064455</v>
      </c>
      <c r="V702" s="106">
        <v>27564.279317416098</v>
      </c>
      <c r="W702" s="10">
        <v>0.64279643374209883</v>
      </c>
      <c r="X702" s="413">
        <v>0.63570426778175593</v>
      </c>
      <c r="Y702" s="414">
        <v>0.2792042374491478</v>
      </c>
      <c r="Z702" s="1"/>
      <c r="AA702" s="1"/>
      <c r="AB702" s="1"/>
      <c r="AC702" s="1"/>
      <c r="AD702" s="1"/>
      <c r="AL702" s="23"/>
      <c r="AM702" s="23"/>
    </row>
    <row r="703" spans="17:39">
      <c r="Q703" s="6">
        <v>673</v>
      </c>
      <c r="R703" s="7">
        <v>43340</v>
      </c>
      <c r="S703" s="210">
        <v>3.5</v>
      </c>
      <c r="T703" s="8">
        <v>1.0000972222222222</v>
      </c>
      <c r="U703" s="98">
        <v>3.3502645560112843</v>
      </c>
      <c r="V703" s="106">
        <v>27566.425636875661</v>
      </c>
      <c r="W703" s="10">
        <v>0.64289468673632832</v>
      </c>
      <c r="X703" s="413">
        <v>0.63580729099835931</v>
      </c>
      <c r="Y703" s="414">
        <v>0.27924985969688992</v>
      </c>
      <c r="Z703" s="1"/>
      <c r="AA703" s="1"/>
      <c r="AB703" s="1"/>
      <c r="AC703" s="1"/>
      <c r="AD703" s="1"/>
      <c r="AL703" s="23"/>
      <c r="AM703" s="23"/>
    </row>
    <row r="704" spans="17:39">
      <c r="Q704" s="6">
        <v>674</v>
      </c>
      <c r="R704" s="7">
        <v>43341</v>
      </c>
      <c r="S704" s="210">
        <v>3.5</v>
      </c>
      <c r="T704" s="8">
        <v>1.0000972222222222</v>
      </c>
      <c r="U704" s="98">
        <v>3.3506526149424287</v>
      </c>
      <c r="V704" s="106">
        <v>27568.572123460475</v>
      </c>
      <c r="W704" s="10">
        <v>0.64299264827414326</v>
      </c>
      <c r="X704" s="413">
        <v>0.63591002875414837</v>
      </c>
      <c r="Y704" s="414">
        <v>0.27929539127022607</v>
      </c>
      <c r="Z704" s="1"/>
      <c r="AA704" s="1"/>
      <c r="AB704" s="1"/>
      <c r="AC704" s="1"/>
      <c r="AD704" s="1"/>
      <c r="AL704" s="23"/>
      <c r="AM704" s="23"/>
    </row>
    <row r="705" spans="17:39">
      <c r="Q705" s="6">
        <v>675</v>
      </c>
      <c r="R705" s="7">
        <v>43342</v>
      </c>
      <c r="S705" s="210">
        <v>3.5</v>
      </c>
      <c r="T705" s="8">
        <v>1.0000972222222222</v>
      </c>
      <c r="U705" s="98">
        <v>3.3510395255199388</v>
      </c>
      <c r="V705" s="106">
        <v>27570.718777183556</v>
      </c>
      <c r="W705" s="10">
        <v>0.64309031965048558</v>
      </c>
      <c r="X705" s="413">
        <v>0.63601248231824081</v>
      </c>
      <c r="Y705" s="414">
        <v>0.279340832576492</v>
      </c>
      <c r="Z705" s="1"/>
      <c r="AA705" s="1"/>
      <c r="AB705" s="1"/>
      <c r="AC705" s="1"/>
      <c r="AD705" s="1"/>
      <c r="AL705" s="23"/>
      <c r="AM705" s="23"/>
    </row>
    <row r="706" spans="17:39">
      <c r="Q706" s="6">
        <v>676</v>
      </c>
      <c r="R706" s="7">
        <v>43343</v>
      </c>
      <c r="S706" s="210">
        <v>3.5</v>
      </c>
      <c r="T706" s="8">
        <v>1.0000972222222222</v>
      </c>
      <c r="U706" s="98">
        <v>3.3514252928336319</v>
      </c>
      <c r="V706" s="106">
        <v>27572.865598057924</v>
      </c>
      <c r="W706" s="10">
        <v>0.64318770215261445</v>
      </c>
      <c r="X706" s="413">
        <v>0.63611465295220859</v>
      </c>
      <c r="Y706" s="414">
        <v>0.27938618402061577</v>
      </c>
      <c r="Z706" s="1"/>
      <c r="AA706" s="1"/>
      <c r="AB706" s="1"/>
      <c r="AC706" s="1"/>
      <c r="AD706" s="1"/>
      <c r="AL706" s="23"/>
      <c r="AM706" s="23"/>
    </row>
    <row r="707" spans="17:39">
      <c r="Q707" s="6">
        <v>677</v>
      </c>
      <c r="R707" s="7">
        <v>43344</v>
      </c>
      <c r="S707" s="210">
        <v>3.5</v>
      </c>
      <c r="T707" s="8">
        <v>1.0000972222222222</v>
      </c>
      <c r="U707" s="98">
        <v>3.3518099219433051</v>
      </c>
      <c r="V707" s="106">
        <v>27575.012586096589</v>
      </c>
      <c r="W707" s="10">
        <v>0.64328479706023955</v>
      </c>
      <c r="X707" s="413">
        <v>0.63621654191024135</v>
      </c>
      <c r="Y707" s="414">
        <v>0.27943144600513242</v>
      </c>
      <c r="Z707" s="1"/>
      <c r="AA707" s="1"/>
      <c r="AB707" s="1"/>
      <c r="AC707" s="1"/>
      <c r="AD707" s="1"/>
      <c r="AL707" s="23"/>
      <c r="AM707" s="23"/>
    </row>
    <row r="708" spans="17:39">
      <c r="Q708" s="6">
        <v>678</v>
      </c>
      <c r="R708" s="7">
        <v>43345</v>
      </c>
      <c r="S708" s="210">
        <v>3.5</v>
      </c>
      <c r="T708" s="8">
        <v>1.0000972222222222</v>
      </c>
      <c r="U708" s="98">
        <v>3.3521934178789348</v>
      </c>
      <c r="V708" s="106">
        <v>27577.159741312567</v>
      </c>
      <c r="W708" s="10">
        <v>0.64338160564543223</v>
      </c>
      <c r="X708" s="413">
        <v>0.63631815043899909</v>
      </c>
      <c r="Y708" s="414">
        <v>0.27947661893020181</v>
      </c>
      <c r="Z708" s="1"/>
      <c r="AA708" s="1"/>
      <c r="AB708" s="1"/>
      <c r="AC708" s="1"/>
      <c r="AD708" s="1"/>
      <c r="AL708" s="23"/>
      <c r="AM708" s="23"/>
    </row>
    <row r="709" spans="17:39">
      <c r="Q709" s="6">
        <v>679</v>
      </c>
      <c r="R709" s="7">
        <v>43346</v>
      </c>
      <c r="S709" s="210">
        <v>3.5</v>
      </c>
      <c r="T709" s="8">
        <v>1.0000972222222222</v>
      </c>
      <c r="U709" s="98">
        <v>3.3525757856408989</v>
      </c>
      <c r="V709" s="106">
        <v>27579.307063718879</v>
      </c>
      <c r="W709" s="10">
        <v>0.64347812917289193</v>
      </c>
      <c r="X709" s="413">
        <v>0.63641947977797453</v>
      </c>
      <c r="Y709" s="414">
        <v>0.27952170319363062</v>
      </c>
      <c r="Z709" s="1"/>
      <c r="AA709" s="1"/>
      <c r="AB709" s="1"/>
      <c r="AC709" s="1"/>
      <c r="AD709" s="1"/>
      <c r="AL709" s="23"/>
      <c r="AM709" s="23"/>
    </row>
    <row r="710" spans="17:39">
      <c r="Q710" s="6">
        <v>680</v>
      </c>
      <c r="R710" s="7">
        <v>43347</v>
      </c>
      <c r="S710" s="210">
        <v>3.5</v>
      </c>
      <c r="T710" s="8">
        <v>1.0000972222222222</v>
      </c>
      <c r="U710" s="98">
        <v>3.3529570302001988</v>
      </c>
      <c r="V710" s="106">
        <v>27581.454553328542</v>
      </c>
      <c r="W710" s="10">
        <v>0.6435743688997686</v>
      </c>
      <c r="X710" s="413">
        <v>0.63652053115920471</v>
      </c>
      <c r="Y710" s="414">
        <v>0.2795666991908804</v>
      </c>
      <c r="Z710" s="1"/>
      <c r="AA710" s="1"/>
      <c r="AB710" s="1"/>
      <c r="AC710" s="1"/>
      <c r="AD710" s="1"/>
      <c r="AL710" s="23"/>
      <c r="AM710" s="23"/>
    </row>
    <row r="711" spans="17:39">
      <c r="Q711" s="6">
        <v>681</v>
      </c>
      <c r="R711" s="7">
        <v>43348</v>
      </c>
      <c r="S711" s="210">
        <v>3.5</v>
      </c>
      <c r="T711" s="8">
        <v>1.0000972222222222</v>
      </c>
      <c r="U711" s="98">
        <v>3.3533371564986592</v>
      </c>
      <c r="V711" s="106">
        <v>27583.602210154575</v>
      </c>
      <c r="W711" s="10">
        <v>0.64367032607592911</v>
      </c>
      <c r="X711" s="413">
        <v>0.63662130580761922</v>
      </c>
      <c r="Y711" s="414">
        <v>0.27961160731509294</v>
      </c>
      <c r="Z711" s="1"/>
      <c r="AA711" s="1"/>
      <c r="AB711" s="1"/>
      <c r="AC711" s="1"/>
      <c r="AD711" s="1"/>
      <c r="AL711" s="23"/>
      <c r="AM711" s="23"/>
    </row>
    <row r="712" spans="17:39">
      <c r="Q712" s="6">
        <v>682</v>
      </c>
      <c r="R712" s="7">
        <v>43349</v>
      </c>
      <c r="S712" s="210">
        <v>3.5</v>
      </c>
      <c r="T712" s="8">
        <v>1.0000972222222222</v>
      </c>
      <c r="U712" s="98">
        <v>3.3537161694491724</v>
      </c>
      <c r="V712" s="106">
        <v>27585.750034209996</v>
      </c>
      <c r="W712" s="10">
        <v>0.64376600194380185</v>
      </c>
      <c r="X712" s="413">
        <v>0.63672180494084607</v>
      </c>
      <c r="Y712" s="414">
        <v>0.27965642795710416</v>
      </c>
      <c r="Z712" s="1"/>
      <c r="AA712" s="1"/>
      <c r="AB712" s="1"/>
      <c r="AC712" s="1"/>
      <c r="AD712" s="1"/>
      <c r="AL712" s="23"/>
      <c r="AM712" s="23"/>
    </row>
    <row r="713" spans="17:39">
      <c r="Q713" s="6">
        <v>683</v>
      </c>
      <c r="R713" s="7">
        <v>43350</v>
      </c>
      <c r="S713" s="210">
        <v>3.5</v>
      </c>
      <c r="T713" s="8">
        <v>1.0000972222222222</v>
      </c>
      <c r="U713" s="98">
        <v>3.3540940739358982</v>
      </c>
      <c r="V713" s="106">
        <v>27587.898025507831</v>
      </c>
      <c r="W713" s="10">
        <v>0.64386139773862094</v>
      </c>
      <c r="X713" s="413">
        <v>0.63682202976946389</v>
      </c>
      <c r="Y713" s="414">
        <v>0.27970116150546298</v>
      </c>
      <c r="Z713" s="1"/>
      <c r="AA713" s="1"/>
      <c r="AB713" s="1"/>
      <c r="AC713" s="1"/>
      <c r="AD713" s="1"/>
      <c r="AL713" s="23"/>
      <c r="AM713" s="23"/>
    </row>
    <row r="714" spans="17:39">
      <c r="Q714" s="6">
        <v>684</v>
      </c>
      <c r="R714" s="7">
        <v>43351</v>
      </c>
      <c r="S714" s="210">
        <v>3.5</v>
      </c>
      <c r="T714" s="8">
        <v>1.0000972222222222</v>
      </c>
      <c r="U714" s="98">
        <v>3.3544708748144858</v>
      </c>
      <c r="V714" s="106">
        <v>27590.046184061102</v>
      </c>
      <c r="W714" s="10">
        <v>0.6439565146884263</v>
      </c>
      <c r="X714" s="413">
        <v>0.63692198149697221</v>
      </c>
      <c r="Y714" s="414">
        <v>0.27974580834644719</v>
      </c>
      <c r="Z714" s="1"/>
      <c r="AA714" s="1"/>
      <c r="AB714" s="1"/>
      <c r="AC714" s="1"/>
      <c r="AD714" s="1"/>
      <c r="AL714" s="23"/>
      <c r="AM714" s="23"/>
    </row>
    <row r="715" spans="17:39">
      <c r="Q715" s="6">
        <v>685</v>
      </c>
      <c r="R715" s="7">
        <v>43352</v>
      </c>
      <c r="S715" s="210">
        <v>3.5</v>
      </c>
      <c r="T715" s="8">
        <v>1.0000972222222222</v>
      </c>
      <c r="U715" s="98">
        <v>3.3548465769122071</v>
      </c>
      <c r="V715" s="106">
        <v>27592.194509882833</v>
      </c>
      <c r="W715" s="10">
        <v>0.64405135401399694</v>
      </c>
      <c r="X715" s="413">
        <v>0.63702166131980775</v>
      </c>
      <c r="Y715" s="414">
        <v>0.27979036886407377</v>
      </c>
      <c r="Z715" s="1"/>
      <c r="AA715" s="1"/>
      <c r="AB715" s="1"/>
      <c r="AC715" s="1"/>
      <c r="AD715" s="1"/>
      <c r="AL715" s="23"/>
      <c r="AM715" s="23"/>
    </row>
    <row r="716" spans="17:39">
      <c r="Q716" s="6">
        <v>686</v>
      </c>
      <c r="R716" s="7">
        <v>43353</v>
      </c>
      <c r="S716" s="210">
        <v>3.5</v>
      </c>
      <c r="T716" s="8">
        <v>1.0000972222222222</v>
      </c>
      <c r="U716" s="98">
        <v>3.3552211850282898</v>
      </c>
      <c r="V716" s="106">
        <v>27594.414622303932</v>
      </c>
      <c r="W716" s="10">
        <v>0.64400693237880446</v>
      </c>
      <c r="X716" s="413">
        <v>0.63698321360395815</v>
      </c>
      <c r="Y716" s="414">
        <v>0.27983484344012877</v>
      </c>
      <c r="Z716" s="1"/>
      <c r="AA716" s="1"/>
      <c r="AB716" s="1"/>
      <c r="AC716" s="1"/>
      <c r="AD716" s="1"/>
      <c r="AL716" s="23"/>
      <c r="AM716" s="23"/>
    </row>
    <row r="717" spans="17:39">
      <c r="Q717" s="6">
        <v>687</v>
      </c>
      <c r="R717" s="7">
        <v>43354</v>
      </c>
      <c r="S717" s="210">
        <v>3.5</v>
      </c>
      <c r="T717" s="8">
        <v>1.0000972222222222</v>
      </c>
      <c r="U717" s="98">
        <v>3.3555947039340062</v>
      </c>
      <c r="V717" s="106">
        <v>27596.634913358848</v>
      </c>
      <c r="W717" s="10">
        <v>0.64396264008375059</v>
      </c>
      <c r="X717" s="413">
        <v>0.63694489271402599</v>
      </c>
      <c r="Y717" s="414">
        <v>0.27987923245416813</v>
      </c>
      <c r="Z717" s="1"/>
      <c r="AA717" s="1"/>
      <c r="AB717" s="1"/>
      <c r="AC717" s="1"/>
      <c r="AD717" s="1"/>
      <c r="AL717" s="23"/>
      <c r="AM717" s="23"/>
    </row>
    <row r="718" spans="17:39">
      <c r="Q718" s="6">
        <v>688</v>
      </c>
      <c r="R718" s="7">
        <v>43355</v>
      </c>
      <c r="S718" s="210">
        <v>3.5</v>
      </c>
      <c r="T718" s="8">
        <v>1.0000972222222222</v>
      </c>
      <c r="U718" s="98">
        <v>3.3559671383729395</v>
      </c>
      <c r="V718" s="106">
        <v>27598.855383061964</v>
      </c>
      <c r="W718" s="10">
        <v>0.64391847656477541</v>
      </c>
      <c r="X718" s="413">
        <v>0.6369066980972703</v>
      </c>
      <c r="Y718" s="414">
        <v>0.27992353628354799</v>
      </c>
      <c r="Z718" s="1"/>
      <c r="AA718" s="1"/>
      <c r="AB718" s="1"/>
      <c r="AC718" s="1"/>
      <c r="AD718" s="1"/>
      <c r="AL718" s="23"/>
      <c r="AM718" s="23"/>
    </row>
    <row r="719" spans="17:39">
      <c r="Q719" s="6">
        <v>689</v>
      </c>
      <c r="R719" s="7">
        <v>43356</v>
      </c>
      <c r="S719" s="210">
        <v>3.5</v>
      </c>
      <c r="T719" s="8">
        <v>1.0000972222222222</v>
      </c>
      <c r="U719" s="98">
        <v>3.3563384930611839</v>
      </c>
      <c r="V719" s="106">
        <v>27601.076031427649</v>
      </c>
      <c r="W719" s="10">
        <v>0.64387444126110527</v>
      </c>
      <c r="X719" s="413">
        <v>0.63686862920412413</v>
      </c>
      <c r="Y719" s="414">
        <v>0.27996775530343093</v>
      </c>
      <c r="Z719" s="1"/>
      <c r="AA719" s="1"/>
      <c r="AB719" s="1"/>
      <c r="AC719" s="1"/>
      <c r="AD719" s="1"/>
      <c r="AL719" s="23"/>
      <c r="AM719" s="23"/>
    </row>
    <row r="720" spans="17:39">
      <c r="Q720" s="6">
        <v>690</v>
      </c>
      <c r="R720" s="7">
        <v>43357</v>
      </c>
      <c r="S720" s="210">
        <v>3.5</v>
      </c>
      <c r="T720" s="8">
        <v>1.0000972222222222</v>
      </c>
      <c r="U720" s="98">
        <v>3.3567087726875</v>
      </c>
      <c r="V720" s="106">
        <v>27603.296858470272</v>
      </c>
      <c r="W720" s="10">
        <v>0.64383053361518616</v>
      </c>
      <c r="X720" s="413">
        <v>0.63683068548821764</v>
      </c>
      <c r="Y720" s="414">
        <v>0.28001188988680464</v>
      </c>
      <c r="Z720" s="1"/>
      <c r="AA720" s="1"/>
      <c r="AB720" s="1"/>
      <c r="AC720" s="1"/>
      <c r="AD720" s="1"/>
      <c r="AL720" s="23"/>
      <c r="AM720" s="23"/>
    </row>
    <row r="721" spans="17:39">
      <c r="Q721" s="6">
        <v>691</v>
      </c>
      <c r="R721" s="7">
        <v>43358</v>
      </c>
      <c r="S721" s="210">
        <v>3.5</v>
      </c>
      <c r="T721" s="8">
        <v>1.0000972222222222</v>
      </c>
      <c r="U721" s="98">
        <v>3.3570779819135366</v>
      </c>
      <c r="V721" s="106">
        <v>27605.517864204226</v>
      </c>
      <c r="W721" s="10">
        <v>0.64378675307268374</v>
      </c>
      <c r="X721" s="413">
        <v>0.63679286640632138</v>
      </c>
      <c r="Y721" s="414">
        <v>0.28005594040449849</v>
      </c>
      <c r="Z721" s="1"/>
      <c r="AA721" s="1"/>
      <c r="AB721" s="1"/>
      <c r="AC721" s="1"/>
      <c r="AD721" s="1"/>
      <c r="AL721" s="23"/>
      <c r="AM721" s="23"/>
    </row>
    <row r="722" spans="17:39">
      <c r="Q722" s="6">
        <v>692</v>
      </c>
      <c r="R722" s="7">
        <v>43359</v>
      </c>
      <c r="S722" s="210">
        <v>3.5</v>
      </c>
      <c r="T722" s="8">
        <v>1.0000972222222222</v>
      </c>
      <c r="U722" s="98">
        <v>3.3574461253740751</v>
      </c>
      <c r="V722" s="106">
        <v>27607.739048643871</v>
      </c>
      <c r="W722" s="10">
        <v>0.64374309908252769</v>
      </c>
      <c r="X722" s="413">
        <v>0.63675517141837989</v>
      </c>
      <c r="Y722" s="414">
        <v>0.28009990722520051</v>
      </c>
      <c r="Z722" s="1"/>
      <c r="AA722" s="1"/>
      <c r="AB722" s="1"/>
      <c r="AC722" s="1"/>
      <c r="AD722" s="1"/>
      <c r="AL722" s="23"/>
      <c r="AM722" s="23"/>
    </row>
    <row r="723" spans="17:39">
      <c r="Q723" s="6">
        <v>693</v>
      </c>
      <c r="R723" s="7">
        <v>43360</v>
      </c>
      <c r="S723" s="210">
        <v>3.5</v>
      </c>
      <c r="T723" s="8">
        <v>1.0000972222222222</v>
      </c>
      <c r="U723" s="98">
        <v>3.3578132076771183</v>
      </c>
      <c r="V723" s="106">
        <v>27609.960411803597</v>
      </c>
      <c r="W723" s="10">
        <v>0.64369957109675635</v>
      </c>
      <c r="X723" s="413">
        <v>0.63671759998740918</v>
      </c>
      <c r="Y723" s="414">
        <v>0.28014379071546847</v>
      </c>
      <c r="Z723" s="1"/>
      <c r="AA723" s="1"/>
      <c r="AB723" s="1"/>
      <c r="AC723" s="1"/>
      <c r="AD723" s="1"/>
      <c r="AL723" s="23"/>
      <c r="AM723" s="23"/>
    </row>
    <row r="724" spans="17:39">
      <c r="Q724" s="6">
        <v>694</v>
      </c>
      <c r="R724" s="7">
        <v>43361</v>
      </c>
      <c r="S724" s="210">
        <v>3.5</v>
      </c>
      <c r="T724" s="8">
        <v>1.0000972222222222</v>
      </c>
      <c r="U724" s="98">
        <v>3.3581792334041793</v>
      </c>
      <c r="V724" s="106">
        <v>27612.181953697782</v>
      </c>
      <c r="W724" s="10">
        <v>0.64365616857060548</v>
      </c>
      <c r="X724" s="413">
        <v>0.6366801515795546</v>
      </c>
      <c r="Y724" s="414">
        <v>0.28018759123974862</v>
      </c>
      <c r="Z724" s="1"/>
      <c r="AA724" s="1"/>
      <c r="AB724" s="1"/>
      <c r="AC724" s="1"/>
      <c r="AD724" s="1"/>
      <c r="AL724" s="23"/>
      <c r="AM724" s="23"/>
    </row>
    <row r="725" spans="17:39">
      <c r="Q725" s="6">
        <v>695</v>
      </c>
      <c r="R725" s="7">
        <v>43362</v>
      </c>
      <c r="S725" s="210">
        <v>3.5</v>
      </c>
      <c r="T725" s="8">
        <v>1.0000972222222222</v>
      </c>
      <c r="U725" s="98">
        <v>3.3585442071104143</v>
      </c>
      <c r="V725" s="106">
        <v>27614.403674340811</v>
      </c>
      <c r="W725" s="10">
        <v>0.64361289096241947</v>
      </c>
      <c r="X725" s="413">
        <v>0.63664282566402275</v>
      </c>
      <c r="Y725" s="414">
        <v>0.28023130916039041</v>
      </c>
      <c r="Z725" s="1"/>
      <c r="AA725" s="1"/>
      <c r="AB725" s="1"/>
      <c r="AC725" s="1"/>
      <c r="AD725" s="1"/>
      <c r="AL725" s="23"/>
      <c r="AM725" s="23"/>
    </row>
    <row r="726" spans="17:39">
      <c r="Q726" s="6">
        <v>696</v>
      </c>
      <c r="R726" s="7">
        <v>43363</v>
      </c>
      <c r="S726" s="210">
        <v>3.5</v>
      </c>
      <c r="T726" s="8">
        <v>1.0000972222222222</v>
      </c>
      <c r="U726" s="98">
        <v>3.3589081333248672</v>
      </c>
      <c r="V726" s="106">
        <v>27616.62557374706</v>
      </c>
      <c r="W726" s="10">
        <v>0.64356973773371795</v>
      </c>
      <c r="X726" s="413">
        <v>0.63660562171309376</v>
      </c>
      <c r="Y726" s="414">
        <v>0.28027494483766302</v>
      </c>
      <c r="Z726" s="1"/>
      <c r="AA726" s="1"/>
      <c r="AB726" s="1"/>
      <c r="AC726" s="1"/>
      <c r="AD726" s="1"/>
      <c r="AL726" s="23"/>
      <c r="AM726" s="23"/>
    </row>
    <row r="727" spans="17:39">
      <c r="Q727" s="6">
        <v>697</v>
      </c>
      <c r="R727" s="7">
        <v>43364</v>
      </c>
      <c r="S727" s="210">
        <v>3.5</v>
      </c>
      <c r="T727" s="8">
        <v>1.0000972222222222</v>
      </c>
      <c r="U727" s="98">
        <v>3.3592710165506023</v>
      </c>
      <c r="V727" s="106">
        <v>27618.847651930908</v>
      </c>
      <c r="W727" s="10">
        <v>0.64352670834908476</v>
      </c>
      <c r="X727" s="413">
        <v>0.63656853920207579</v>
      </c>
      <c r="Y727" s="414">
        <v>0.28031849862976771</v>
      </c>
      <c r="Z727" s="1"/>
      <c r="AA727" s="1"/>
      <c r="AB727" s="1"/>
      <c r="AC727" s="1"/>
      <c r="AD727" s="1"/>
      <c r="AL727" s="23"/>
      <c r="AM727" s="23"/>
    </row>
    <row r="728" spans="17:39">
      <c r="Q728" s="6">
        <v>698</v>
      </c>
      <c r="R728" s="7">
        <v>43365</v>
      </c>
      <c r="S728" s="210">
        <v>3.5</v>
      </c>
      <c r="T728" s="8">
        <v>1.0000972222222222</v>
      </c>
      <c r="U728" s="98">
        <v>3.3596328612648829</v>
      </c>
      <c r="V728" s="106">
        <v>27621.069908906753</v>
      </c>
      <c r="W728" s="10">
        <v>0.64348380227610136</v>
      </c>
      <c r="X728" s="413">
        <v>0.63653157760921586</v>
      </c>
      <c r="Y728" s="414">
        <v>0.2803619708928487</v>
      </c>
      <c r="Z728" s="1"/>
      <c r="AA728" s="1"/>
      <c r="AB728" s="1"/>
      <c r="AC728" s="1"/>
      <c r="AD728" s="1"/>
      <c r="AL728" s="23"/>
      <c r="AM728" s="23"/>
    </row>
    <row r="729" spans="17:39">
      <c r="Q729" s="6">
        <v>699</v>
      </c>
      <c r="R729" s="7">
        <v>43366</v>
      </c>
      <c r="S729" s="210">
        <v>3.5</v>
      </c>
      <c r="T729" s="8">
        <v>1.0000972222222222</v>
      </c>
      <c r="U729" s="98">
        <v>3.3599936719194368</v>
      </c>
      <c r="V729" s="106">
        <v>27623.292344688973</v>
      </c>
      <c r="W729" s="10">
        <v>0.64344101898552442</v>
      </c>
      <c r="X729" s="413">
        <v>0.63649473641586052</v>
      </c>
      <c r="Y729" s="414">
        <v>0.28040536198102028</v>
      </c>
      <c r="Z729" s="1"/>
      <c r="AA729" s="1"/>
      <c r="AB729" s="1"/>
      <c r="AC729" s="1"/>
      <c r="AD729" s="1"/>
      <c r="AL729" s="23"/>
      <c r="AM729" s="23"/>
    </row>
    <row r="730" spans="17:39">
      <c r="Q730" s="6">
        <v>700</v>
      </c>
      <c r="R730" s="7">
        <v>43367</v>
      </c>
      <c r="S730" s="210">
        <v>3.5</v>
      </c>
      <c r="T730" s="8">
        <v>1.0000972222222222</v>
      </c>
      <c r="U730" s="98">
        <v>3.3603534529405232</v>
      </c>
      <c r="V730" s="106">
        <v>27625.514959291959</v>
      </c>
      <c r="W730" s="10">
        <v>0.643398357950975</v>
      </c>
      <c r="X730" s="413">
        <v>0.63645801510617162</v>
      </c>
      <c r="Y730" s="414">
        <v>0.28044867224636694</v>
      </c>
      <c r="Z730" s="1"/>
      <c r="AA730" s="1"/>
      <c r="AB730" s="1"/>
      <c r="AC730" s="1"/>
      <c r="AD730" s="1"/>
      <c r="AL730" s="23"/>
      <c r="AM730" s="23"/>
    </row>
    <row r="731" spans="17:39">
      <c r="Q731" s="6">
        <v>701</v>
      </c>
      <c r="R731" s="7">
        <v>43368</v>
      </c>
      <c r="S731" s="210">
        <v>3.5</v>
      </c>
      <c r="T731" s="8">
        <v>1.0000972222222222</v>
      </c>
      <c r="U731" s="98">
        <v>3.360712208729244</v>
      </c>
      <c r="V731" s="106">
        <v>27627.737752730092</v>
      </c>
      <c r="W731" s="10">
        <v>0.6433558186492716</v>
      </c>
      <c r="X731" s="413">
        <v>0.63642141316742584</v>
      </c>
      <c r="Y731" s="414">
        <v>0.28049190203897062</v>
      </c>
      <c r="Z731" s="1"/>
      <c r="AA731" s="1"/>
      <c r="AB731" s="1"/>
      <c r="AC731" s="1"/>
      <c r="AD731" s="1"/>
      <c r="AL731" s="23"/>
      <c r="AM731" s="23"/>
    </row>
    <row r="732" spans="17:39">
      <c r="Q732" s="6">
        <v>702</v>
      </c>
      <c r="R732" s="7">
        <v>43369</v>
      </c>
      <c r="S732" s="210">
        <v>3.5</v>
      </c>
      <c r="T732" s="8">
        <v>1.0000972222222222</v>
      </c>
      <c r="U732" s="98">
        <v>3.3610699436615876</v>
      </c>
      <c r="V732" s="106">
        <v>27629.960725017772</v>
      </c>
      <c r="W732" s="10">
        <v>0.64331340056005271</v>
      </c>
      <c r="X732" s="413">
        <v>0.63638493008970742</v>
      </c>
      <c r="Y732" s="414">
        <v>0.28053505170691279</v>
      </c>
      <c r="Z732" s="1"/>
      <c r="AA732" s="1"/>
      <c r="AB732" s="1"/>
      <c r="AC732" s="1"/>
      <c r="AD732" s="1"/>
      <c r="AL732" s="23"/>
      <c r="AM732" s="23"/>
    </row>
    <row r="733" spans="17:39">
      <c r="Q733" s="6">
        <v>703</v>
      </c>
      <c r="R733" s="7">
        <v>43370</v>
      </c>
      <c r="S733" s="210">
        <v>3.5</v>
      </c>
      <c r="T733" s="8">
        <v>1.0000972222222222</v>
      </c>
      <c r="U733" s="98">
        <v>3.3614266620887179</v>
      </c>
      <c r="V733" s="106">
        <v>27632.18387616938</v>
      </c>
      <c r="W733" s="10">
        <v>0.64327110316597658</v>
      </c>
      <c r="X733" s="413">
        <v>0.63634856536600148</v>
      </c>
      <c r="Y733" s="414">
        <v>0.28057812159629825</v>
      </c>
      <c r="Z733" s="1"/>
      <c r="AA733" s="1"/>
      <c r="AB733" s="1"/>
      <c r="AC733" s="1"/>
      <c r="AD733" s="1"/>
      <c r="AL733" s="23"/>
      <c r="AM733" s="23"/>
    </row>
    <row r="734" spans="17:39">
      <c r="Q734" s="6">
        <v>704</v>
      </c>
      <c r="R734" s="7">
        <v>43371</v>
      </c>
      <c r="S734" s="210">
        <v>3.5</v>
      </c>
      <c r="T734" s="8">
        <v>1.0000972222222222</v>
      </c>
      <c r="U734" s="98">
        <v>3.3617823683370851</v>
      </c>
      <c r="V734" s="106">
        <v>27634.40720619931</v>
      </c>
      <c r="W734" s="10">
        <v>0.64322892595265468</v>
      </c>
      <c r="X734" s="413">
        <v>0.63631231849221992</v>
      </c>
      <c r="Y734" s="414">
        <v>0.28062111205126711</v>
      </c>
      <c r="Z734" s="1"/>
      <c r="AA734" s="1"/>
      <c r="AB734" s="1"/>
      <c r="AC734" s="1"/>
      <c r="AD734" s="1"/>
      <c r="AL734" s="23"/>
      <c r="AM734" s="23"/>
    </row>
    <row r="735" spans="17:39">
      <c r="Q735" s="6">
        <v>705</v>
      </c>
      <c r="R735" s="7">
        <v>43372</v>
      </c>
      <c r="S735" s="210">
        <v>3.5</v>
      </c>
      <c r="T735" s="8">
        <v>1.0000972222222222</v>
      </c>
      <c r="U735" s="98">
        <v>3.3621370667086259</v>
      </c>
      <c r="V735" s="106">
        <v>27636.630715121955</v>
      </c>
      <c r="W735" s="10">
        <v>0.64318686840860728</v>
      </c>
      <c r="X735" s="413">
        <v>0.63627618896713456</v>
      </c>
      <c r="Y735" s="414">
        <v>0.28066402341400215</v>
      </c>
      <c r="Z735" s="1"/>
      <c r="AA735" s="1"/>
      <c r="AB735" s="1"/>
      <c r="AC735" s="1"/>
      <c r="AD735" s="1"/>
      <c r="AL735" s="23"/>
      <c r="AM735" s="23"/>
    </row>
    <row r="736" spans="17:39">
      <c r="Q736" s="6">
        <v>706</v>
      </c>
      <c r="R736" s="7">
        <v>43373</v>
      </c>
      <c r="S736" s="210">
        <v>3.5</v>
      </c>
      <c r="T736" s="8">
        <v>1.0000972222222222</v>
      </c>
      <c r="U736" s="98">
        <v>3.3624907614809407</v>
      </c>
      <c r="V736" s="106">
        <v>27638.854402951707</v>
      </c>
      <c r="W736" s="10">
        <v>0.64314493002526341</v>
      </c>
      <c r="X736" s="413">
        <v>0.63624017629234542</v>
      </c>
      <c r="Y736" s="414">
        <v>0.28070685602475415</v>
      </c>
      <c r="Z736" s="1"/>
      <c r="AA736" s="1"/>
      <c r="AB736" s="1"/>
      <c r="AC736" s="1"/>
      <c r="AD736" s="1"/>
      <c r="AL736" s="23"/>
      <c r="AM736" s="23"/>
    </row>
    <row r="737" spans="17:39">
      <c r="Q737" s="6">
        <v>707</v>
      </c>
      <c r="R737" s="7">
        <v>43374</v>
      </c>
      <c r="S737" s="210">
        <v>3.5</v>
      </c>
      <c r="T737" s="8">
        <v>1.0000972222222222</v>
      </c>
      <c r="U737" s="98">
        <v>3.3628434569074495</v>
      </c>
      <c r="V737" s="106">
        <v>27641.078269702975</v>
      </c>
      <c r="W737" s="10">
        <v>0.64310311029684986</v>
      </c>
      <c r="X737" s="413">
        <v>0.63620427997219353</v>
      </c>
      <c r="Y737" s="414">
        <v>0.28074961022184319</v>
      </c>
      <c r="Z737" s="1"/>
      <c r="AA737" s="1"/>
      <c r="AB737" s="1"/>
      <c r="AC737" s="1"/>
      <c r="AD737" s="1"/>
      <c r="AL737" s="23"/>
      <c r="AM737" s="23"/>
    </row>
    <row r="738" spans="17:39">
      <c r="Q738" s="6">
        <v>708</v>
      </c>
      <c r="R738" s="7">
        <v>43375</v>
      </c>
      <c r="S738" s="210">
        <v>3.5</v>
      </c>
      <c r="T738" s="8">
        <v>1.0000972222222222</v>
      </c>
      <c r="U738" s="98">
        <v>3.3631951572175689</v>
      </c>
      <c r="V738" s="106">
        <v>27643.302315390134</v>
      </c>
      <c r="W738" s="10">
        <v>0.64306140872061324</v>
      </c>
      <c r="X738" s="413">
        <v>0.63616849951398957</v>
      </c>
      <c r="Y738" s="414">
        <v>0.28079228634168346</v>
      </c>
      <c r="Z738" s="1"/>
      <c r="AA738" s="1"/>
      <c r="AB738" s="1"/>
      <c r="AC738" s="1"/>
      <c r="AD738" s="1"/>
      <c r="AL738" s="23"/>
      <c r="AM738" s="23"/>
    </row>
    <row r="739" spans="17:39">
      <c r="Q739" s="6">
        <v>709</v>
      </c>
      <c r="R739" s="7">
        <v>43376</v>
      </c>
      <c r="S739" s="210">
        <v>3.5</v>
      </c>
      <c r="T739" s="8">
        <v>1.0000972222222222</v>
      </c>
      <c r="U739" s="98">
        <v>3.3635458666168905</v>
      </c>
      <c r="V739" s="106">
        <v>27645.526540027597</v>
      </c>
      <c r="W739" s="10">
        <v>0.64301982479646469</v>
      </c>
      <c r="X739" s="413">
        <v>0.63613283442766566</v>
      </c>
      <c r="Y739" s="414">
        <v>0.28083488471878848</v>
      </c>
      <c r="Z739" s="1"/>
      <c r="AA739" s="1"/>
      <c r="AB739" s="1"/>
      <c r="AC739" s="1"/>
      <c r="AD739" s="1"/>
      <c r="AL739" s="23"/>
      <c r="AM739" s="23"/>
    </row>
    <row r="740" spans="17:39">
      <c r="Q740" s="6">
        <v>710</v>
      </c>
      <c r="R740" s="7">
        <v>43377</v>
      </c>
      <c r="S740" s="210">
        <v>3.5</v>
      </c>
      <c r="T740" s="8">
        <v>1.0000972222222222</v>
      </c>
      <c r="U740" s="98">
        <v>3.3638955892873579</v>
      </c>
      <c r="V740" s="106">
        <v>27647.750943629759</v>
      </c>
      <c r="W740" s="10">
        <v>0.64297835802726855</v>
      </c>
      <c r="X740" s="413">
        <v>0.63609728422601675</v>
      </c>
      <c r="Y740" s="414">
        <v>0.28087740568579095</v>
      </c>
      <c r="Z740" s="1"/>
      <c r="AA740" s="1"/>
      <c r="AB740" s="1"/>
      <c r="AC740" s="1"/>
      <c r="AD740" s="1"/>
      <c r="AL740" s="23"/>
      <c r="AM740" s="23"/>
    </row>
    <row r="741" spans="17:39">
      <c r="Q741" s="6">
        <v>711</v>
      </c>
      <c r="R741" s="7">
        <v>43378</v>
      </c>
      <c r="S741" s="210">
        <v>3.5</v>
      </c>
      <c r="T741" s="8">
        <v>1.0000972222222222</v>
      </c>
      <c r="U741" s="98">
        <v>3.3642443293873781</v>
      </c>
      <c r="V741" s="106">
        <v>27649.975526211016</v>
      </c>
      <c r="W741" s="10">
        <v>0.64293700791857589</v>
      </c>
      <c r="X741" s="413">
        <v>0.63606184842448821</v>
      </c>
      <c r="Y741" s="414">
        <v>0.2809198495734474</v>
      </c>
      <c r="Z741" s="1"/>
      <c r="AA741" s="1"/>
      <c r="AB741" s="1"/>
      <c r="AC741" s="1"/>
      <c r="AD741" s="1"/>
      <c r="AL741" s="23"/>
      <c r="AM741" s="23"/>
    </row>
    <row r="742" spans="17:39">
      <c r="Q742" s="6">
        <v>712</v>
      </c>
      <c r="R742" s="7">
        <v>43379</v>
      </c>
      <c r="S742" s="210">
        <v>3.5</v>
      </c>
      <c r="T742" s="8">
        <v>1.0000972222222222</v>
      </c>
      <c r="U742" s="98">
        <v>3.3645920910520211</v>
      </c>
      <c r="V742" s="106">
        <v>27652.200287785767</v>
      </c>
      <c r="W742" s="10">
        <v>0.64289577397880215</v>
      </c>
      <c r="X742" s="413">
        <v>0.63602652654134906</v>
      </c>
      <c r="Y742" s="414">
        <v>0.28096221671065824</v>
      </c>
      <c r="Z742" s="1"/>
      <c r="AA742" s="1"/>
      <c r="AB742" s="1"/>
      <c r="AC742" s="1"/>
      <c r="AD742" s="1"/>
      <c r="AL742" s="23"/>
      <c r="AM742" s="23"/>
    </row>
    <row r="743" spans="17:39">
      <c r="Q743" s="6">
        <v>713</v>
      </c>
      <c r="R743" s="7">
        <v>43380</v>
      </c>
      <c r="S743" s="210">
        <v>3.5</v>
      </c>
      <c r="T743" s="8">
        <v>1.0000972222222222</v>
      </c>
      <c r="U743" s="98">
        <v>3.3649388783932199</v>
      </c>
      <c r="V743" s="106">
        <v>27654.425228368429</v>
      </c>
      <c r="W743" s="10">
        <v>0.64285465571904954</v>
      </c>
      <c r="X743" s="413">
        <v>0.6359913180974589</v>
      </c>
      <c r="Y743" s="414">
        <v>0.28100450742448224</v>
      </c>
      <c r="Z743" s="1"/>
      <c r="AA743" s="1"/>
      <c r="AB743" s="1"/>
      <c r="AC743" s="1"/>
      <c r="AD743" s="1"/>
      <c r="AL743" s="23"/>
      <c r="AM743" s="23"/>
    </row>
    <row r="744" spans="17:39">
      <c r="Q744" s="6">
        <v>714</v>
      </c>
      <c r="R744" s="7">
        <v>43381</v>
      </c>
      <c r="S744" s="210">
        <v>3.5</v>
      </c>
      <c r="T744" s="8">
        <v>1.0000972222222222</v>
      </c>
      <c r="U744" s="98">
        <v>3.3652846954999038</v>
      </c>
      <c r="V744" s="106">
        <v>27656.650347973387</v>
      </c>
      <c r="W744" s="10">
        <v>0.6428136526532624</v>
      </c>
      <c r="X744" s="413">
        <v>0.63595622261650653</v>
      </c>
      <c r="Y744" s="414">
        <v>0.28104672204014525</v>
      </c>
      <c r="Z744" s="1"/>
      <c r="AA744" s="1"/>
      <c r="AB744" s="1"/>
      <c r="AC744" s="1"/>
      <c r="AD744" s="1"/>
      <c r="AL744" s="23"/>
      <c r="AM744" s="23"/>
    </row>
    <row r="745" spans="17:39">
      <c r="Q745" s="6">
        <v>715</v>
      </c>
      <c r="R745" s="7">
        <v>43382</v>
      </c>
      <c r="S745" s="210">
        <v>3.5</v>
      </c>
      <c r="T745" s="8">
        <v>1.0000972222222222</v>
      </c>
      <c r="U745" s="98">
        <v>3.3656295464381314</v>
      </c>
      <c r="V745" s="106">
        <v>27658.875646615052</v>
      </c>
      <c r="W745" s="10">
        <v>0.64277276429800523</v>
      </c>
      <c r="X745" s="413">
        <v>0.63592123962472302</v>
      </c>
      <c r="Y745" s="414">
        <v>0.28108886088105245</v>
      </c>
      <c r="Z745" s="1"/>
      <c r="AA745" s="1"/>
      <c r="AB745" s="1"/>
      <c r="AC745" s="1"/>
      <c r="AD745" s="1"/>
      <c r="AL745" s="23"/>
      <c r="AM745" s="23"/>
    </row>
    <row r="746" spans="17:39">
      <c r="Q746" s="6">
        <v>716</v>
      </c>
      <c r="R746" s="7">
        <v>43383</v>
      </c>
      <c r="S746" s="210">
        <v>3.5</v>
      </c>
      <c r="T746" s="8">
        <v>1.0000972222222222</v>
      </c>
      <c r="U746" s="98">
        <v>3.3659734352512682</v>
      </c>
      <c r="V746" s="106">
        <v>27661.029331909929</v>
      </c>
      <c r="W746" s="10">
        <v>0.64286514965707919</v>
      </c>
      <c r="X746" s="413">
        <v>0.63601851577397328</v>
      </c>
      <c r="Y746" s="414">
        <v>0.28113092426880243</v>
      </c>
      <c r="Z746" s="1"/>
      <c r="AA746" s="1"/>
      <c r="AB746" s="1"/>
      <c r="AC746" s="1"/>
      <c r="AD746" s="1"/>
      <c r="AL746" s="23"/>
      <c r="AM746" s="23"/>
    </row>
    <row r="747" spans="17:39">
      <c r="Q747" s="6">
        <v>717</v>
      </c>
      <c r="R747" s="7">
        <v>43384</v>
      </c>
      <c r="S747" s="210">
        <v>3.5</v>
      </c>
      <c r="T747" s="8">
        <v>1.0000972222222222</v>
      </c>
      <c r="U747" s="98">
        <v>3.3663163659601647</v>
      </c>
      <c r="V747" s="106">
        <v>27663.183184903613</v>
      </c>
      <c r="W747" s="10">
        <v>0.6429572774008907</v>
      </c>
      <c r="X747" s="413">
        <v>0.636115539627371</v>
      </c>
      <c r="Y747" s="414">
        <v>0.28117291252320242</v>
      </c>
      <c r="Z747" s="1"/>
      <c r="AA747" s="1"/>
      <c r="AB747" s="1"/>
      <c r="AC747" s="1"/>
      <c r="AD747" s="1"/>
      <c r="AL747" s="23"/>
      <c r="AM747" s="23"/>
    </row>
    <row r="748" spans="17:39">
      <c r="Q748" s="6">
        <v>718</v>
      </c>
      <c r="R748" s="7">
        <v>43385</v>
      </c>
      <c r="S748" s="210">
        <v>3.5</v>
      </c>
      <c r="T748" s="8">
        <v>1.0000972222222222</v>
      </c>
      <c r="U748" s="98">
        <v>3.3666583425632668</v>
      </c>
      <c r="V748" s="106">
        <v>27665.337205609154</v>
      </c>
      <c r="W748" s="10">
        <v>0.6430491486053791</v>
      </c>
      <c r="X748" s="413">
        <v>0.63621231223933317</v>
      </c>
      <c r="Y748" s="414">
        <v>0.28121482596227343</v>
      </c>
      <c r="Z748" s="1"/>
      <c r="AA748" s="1"/>
      <c r="AB748" s="1"/>
      <c r="AC748" s="1"/>
      <c r="AD748" s="1"/>
      <c r="AL748" s="23"/>
      <c r="AM748" s="23"/>
    </row>
    <row r="749" spans="17:39">
      <c r="Q749" s="6">
        <v>719</v>
      </c>
      <c r="R749" s="7">
        <v>43386</v>
      </c>
      <c r="S749" s="210">
        <v>3.5</v>
      </c>
      <c r="T749" s="8">
        <v>1.0000972222222222</v>
      </c>
      <c r="U749" s="98">
        <v>3.3669993690368605</v>
      </c>
      <c r="V749" s="106">
        <v>27667.491394039615</v>
      </c>
      <c r="W749" s="10">
        <v>0.64314076434068834</v>
      </c>
      <c r="X749" s="413">
        <v>0.63630883465863286</v>
      </c>
      <c r="Y749" s="414">
        <v>0.28125666490227541</v>
      </c>
      <c r="Z749" s="1"/>
      <c r="AA749" s="1"/>
      <c r="AB749" s="1"/>
      <c r="AC749" s="1"/>
      <c r="AD749" s="1"/>
      <c r="AL749" s="23"/>
      <c r="AM749" s="23"/>
    </row>
    <row r="750" spans="17:39">
      <c r="Q750" s="6">
        <v>720</v>
      </c>
      <c r="R750" s="7">
        <v>43387</v>
      </c>
      <c r="S750" s="210">
        <v>3.5</v>
      </c>
      <c r="T750" s="8">
        <v>1.0000972222222222</v>
      </c>
      <c r="U750" s="98">
        <v>3.3673394493351161</v>
      </c>
      <c r="V750" s="106">
        <v>27669.645750208063</v>
      </c>
      <c r="W750" s="10">
        <v>0.6432321256708784</v>
      </c>
      <c r="X750" s="413">
        <v>0.63640510792805083</v>
      </c>
      <c r="Y750" s="414">
        <v>0.28129842965770502</v>
      </c>
      <c r="Z750" s="1"/>
      <c r="AA750" s="1"/>
      <c r="AB750" s="1"/>
      <c r="AC750" s="1"/>
      <c r="AD750" s="1"/>
      <c r="AL750" s="23"/>
      <c r="AM750" s="23"/>
    </row>
    <row r="751" spans="17:39">
      <c r="Q751" s="6">
        <v>721</v>
      </c>
      <c r="R751" s="7">
        <v>43388</v>
      </c>
      <c r="S751" s="210">
        <v>3.5</v>
      </c>
      <c r="T751" s="8">
        <v>1.0000972222222222</v>
      </c>
      <c r="U751" s="98">
        <v>3.3676785873903103</v>
      </c>
      <c r="V751" s="106">
        <v>27671.800274127545</v>
      </c>
      <c r="W751" s="10">
        <v>0.64332323365419164</v>
      </c>
      <c r="X751" s="413">
        <v>0.6365011330846706</v>
      </c>
      <c r="Y751" s="414">
        <v>0.28134012054131663</v>
      </c>
      <c r="Z751" s="1"/>
      <c r="AA751" s="1"/>
      <c r="AB751" s="1"/>
      <c r="AC751" s="1"/>
      <c r="AD751" s="1"/>
      <c r="AL751" s="23"/>
      <c r="AM751" s="23"/>
    </row>
    <row r="752" spans="17:39">
      <c r="Q752" s="6">
        <v>722</v>
      </c>
      <c r="R752" s="7">
        <v>43389</v>
      </c>
      <c r="S752" s="210">
        <v>3.5</v>
      </c>
      <c r="T752" s="8">
        <v>1.0000972222222222</v>
      </c>
      <c r="U752" s="98">
        <v>3.3680167871129818</v>
      </c>
      <c r="V752" s="106">
        <v>27673.954965811135</v>
      </c>
      <c r="W752" s="10">
        <v>0.64341408934294186</v>
      </c>
      <c r="X752" s="413">
        <v>0.63659691115977501</v>
      </c>
      <c r="Y752" s="414">
        <v>0.28138173786413506</v>
      </c>
      <c r="Z752" s="1"/>
      <c r="AA752" s="1"/>
      <c r="AB752" s="1"/>
      <c r="AC752" s="1"/>
      <c r="AD752" s="1"/>
      <c r="AL752" s="23"/>
      <c r="AM752" s="23"/>
    </row>
    <row r="753" spans="17:39">
      <c r="Q753" s="6">
        <v>723</v>
      </c>
      <c r="R753" s="7">
        <v>43390</v>
      </c>
      <c r="S753" s="210">
        <v>3.5</v>
      </c>
      <c r="T753" s="8">
        <v>1.0000972222222222</v>
      </c>
      <c r="U753" s="98">
        <v>3.3683540523920197</v>
      </c>
      <c r="V753" s="106">
        <v>27676.109825271891</v>
      </c>
      <c r="W753" s="10">
        <v>0.6435046937836697</v>
      </c>
      <c r="X753" s="413">
        <v>0.63669244317897444</v>
      </c>
      <c r="Y753" s="414">
        <v>0.28142328193546129</v>
      </c>
      <c r="Z753" s="1"/>
      <c r="AA753" s="1"/>
      <c r="AB753" s="1"/>
      <c r="AC753" s="1"/>
      <c r="AD753" s="1"/>
      <c r="AL753" s="23"/>
      <c r="AM753" s="23"/>
    </row>
    <row r="754" spans="17:39">
      <c r="Q754" s="6">
        <v>724</v>
      </c>
      <c r="R754" s="7">
        <v>43391</v>
      </c>
      <c r="S754" s="210">
        <v>3.5</v>
      </c>
      <c r="T754" s="8">
        <v>1.0000972222222222</v>
      </c>
      <c r="U754" s="98">
        <v>3.3686903870948859</v>
      </c>
      <c r="V754" s="106">
        <v>27678.264852522876</v>
      </c>
      <c r="W754" s="10">
        <v>0.64359504801712042</v>
      </c>
      <c r="X754" s="413">
        <v>0.63678773016221302</v>
      </c>
      <c r="Y754" s="414">
        <v>0.28146475306288848</v>
      </c>
      <c r="Z754" s="1"/>
      <c r="AA754" s="1"/>
      <c r="AB754" s="1"/>
      <c r="AC754" s="1"/>
      <c r="AD754" s="1"/>
      <c r="AL754" s="23"/>
      <c r="AM754" s="23"/>
    </row>
    <row r="755" spans="17:39">
      <c r="Q755" s="6">
        <v>725</v>
      </c>
      <c r="R755" s="7">
        <v>43392</v>
      </c>
      <c r="S755" s="210">
        <v>3.5</v>
      </c>
      <c r="T755" s="8">
        <v>1.0000972222222222</v>
      </c>
      <c r="U755" s="98">
        <v>3.3690257950677038</v>
      </c>
      <c r="V755" s="106">
        <v>27680.420047577158</v>
      </c>
      <c r="W755" s="10">
        <v>0.64368515307831053</v>
      </c>
      <c r="X755" s="413">
        <v>0.63688277312378549</v>
      </c>
      <c r="Y755" s="414">
        <v>0.28150615155231368</v>
      </c>
      <c r="Z755" s="1"/>
      <c r="AA755" s="1"/>
      <c r="AB755" s="1"/>
      <c r="AC755" s="1"/>
      <c r="AD755" s="1"/>
      <c r="AL755" s="23"/>
      <c r="AM755" s="23"/>
    </row>
    <row r="756" spans="17:39">
      <c r="Q756" s="6">
        <v>726</v>
      </c>
      <c r="R756" s="7">
        <v>43393</v>
      </c>
      <c r="S756" s="210">
        <v>3.5</v>
      </c>
      <c r="T756" s="8">
        <v>1.0000972222222222</v>
      </c>
      <c r="U756" s="98">
        <v>3.3693602801354361</v>
      </c>
      <c r="V756" s="106">
        <v>27682.575410447807</v>
      </c>
      <c r="W756" s="10">
        <v>0.64377500999650561</v>
      </c>
      <c r="X756" s="413">
        <v>0.63697757307239811</v>
      </c>
      <c r="Y756" s="414">
        <v>0.28154747770794847</v>
      </c>
      <c r="Z756" s="1"/>
      <c r="AA756" s="1"/>
      <c r="AB756" s="1"/>
      <c r="AC756" s="1"/>
      <c r="AD756" s="1"/>
      <c r="AL756" s="23"/>
      <c r="AM756" s="23"/>
    </row>
    <row r="757" spans="17:39">
      <c r="Q757" s="6">
        <v>727</v>
      </c>
      <c r="R757" s="7">
        <v>43394</v>
      </c>
      <c r="S757" s="210">
        <v>3.5</v>
      </c>
      <c r="T757" s="8">
        <v>1.0000972222222222</v>
      </c>
      <c r="U757" s="98">
        <v>3.3696938461020398</v>
      </c>
      <c r="V757" s="106">
        <v>27684.730941147878</v>
      </c>
      <c r="W757" s="10">
        <v>0.64386461979537568</v>
      </c>
      <c r="X757" s="413">
        <v>0.63707213101122928</v>
      </c>
      <c r="Y757" s="414">
        <v>0.28158873183233174</v>
      </c>
      <c r="Z757" s="1"/>
      <c r="AA757" s="1"/>
      <c r="AB757" s="1"/>
      <c r="AC757" s="1"/>
      <c r="AD757" s="1"/>
      <c r="AL757" s="23"/>
      <c r="AM757" s="23"/>
    </row>
    <row r="758" spans="17:39">
      <c r="Q758" s="6">
        <v>728</v>
      </c>
      <c r="R758" s="7">
        <v>43395</v>
      </c>
      <c r="S758" s="210">
        <v>3.5</v>
      </c>
      <c r="T758" s="8">
        <v>1.0000972222222222</v>
      </c>
      <c r="U758" s="98">
        <v>3.3700264967506</v>
      </c>
      <c r="V758" s="106">
        <v>27686.886639690456</v>
      </c>
      <c r="W758" s="10">
        <v>0.64395398349292865</v>
      </c>
      <c r="X758" s="413">
        <v>0.63716644793792343</v>
      </c>
      <c r="Y758" s="414">
        <v>0.28162991422634076</v>
      </c>
      <c r="Z758" s="1"/>
      <c r="AA758" s="1"/>
      <c r="AB758" s="1"/>
      <c r="AC758" s="1"/>
      <c r="AD758" s="1"/>
      <c r="AL758" s="23"/>
      <c r="AM758" s="23"/>
    </row>
    <row r="759" spans="17:39">
      <c r="Q759" s="6">
        <v>729</v>
      </c>
      <c r="R759" s="7">
        <v>43396</v>
      </c>
      <c r="S759" s="210">
        <v>3.5</v>
      </c>
      <c r="T759" s="8">
        <v>1.0000972222222222</v>
      </c>
      <c r="U759" s="98">
        <v>3.3703582358434403</v>
      </c>
      <c r="V759" s="106">
        <v>27689.042506088594</v>
      </c>
      <c r="W759" s="10">
        <v>0.6440431021016213</v>
      </c>
      <c r="X759" s="413">
        <v>0.63726052484469475</v>
      </c>
      <c r="Y759" s="414">
        <v>0.28167102518920029</v>
      </c>
      <c r="Z759" s="1"/>
      <c r="AA759" s="1"/>
      <c r="AB759" s="1"/>
      <c r="AC759" s="1"/>
      <c r="AD759" s="1"/>
      <c r="AL759" s="23"/>
      <c r="AM759" s="23"/>
    </row>
    <row r="760" spans="17:39" ht="15.75" thickBot="1">
      <c r="Q760" s="6">
        <v>730</v>
      </c>
      <c r="R760" s="7">
        <v>43397</v>
      </c>
      <c r="S760" s="210">
        <v>3.5</v>
      </c>
      <c r="T760" s="8">
        <v>1.0000972222222222</v>
      </c>
      <c r="U760" s="98">
        <v>3.3706890671223011</v>
      </c>
      <c r="V760" s="106">
        <v>27691.19854035537</v>
      </c>
      <c r="W760" s="10">
        <v>0.6441319766283149</v>
      </c>
      <c r="X760" s="418">
        <v>0.63735436271824397</v>
      </c>
      <c r="Y760" s="419">
        <v>0.2817120650184981</v>
      </c>
      <c r="Z760" s="1"/>
      <c r="AA760" s="1"/>
      <c r="AB760" s="1"/>
      <c r="AC760" s="1"/>
      <c r="AD760" s="1"/>
      <c r="AL760" s="23"/>
      <c r="AM760" s="23"/>
    </row>
    <row r="761" spans="17:39">
      <c r="Q761" s="6">
        <v>731</v>
      </c>
      <c r="R761" s="7">
        <v>43398</v>
      </c>
      <c r="S761" s="210">
        <v>3.5</v>
      </c>
      <c r="T761" s="8">
        <v>1.0000972222222222</v>
      </c>
      <c r="U761" s="98">
        <v>3.3710189943085167</v>
      </c>
      <c r="V761" s="106">
        <v>27693.354742503856</v>
      </c>
      <c r="W761" s="10">
        <v>0.6442206080744306</v>
      </c>
      <c r="X761" s="420"/>
      <c r="Y761" s="420"/>
      <c r="Z761" s="1"/>
      <c r="AA761" s="1"/>
      <c r="AB761" s="1"/>
      <c r="AC761" s="1"/>
      <c r="AD761" s="1"/>
      <c r="AL761" s="23"/>
      <c r="AM761" s="23"/>
    </row>
    <row r="762" spans="17:39">
      <c r="Q762" s="6">
        <v>732</v>
      </c>
      <c r="R762" s="7">
        <v>43399</v>
      </c>
      <c r="S762" s="210">
        <v>3.5</v>
      </c>
      <c r="T762" s="8">
        <v>1.0000972222222222</v>
      </c>
      <c r="U762" s="98">
        <v>3.3713480211030378</v>
      </c>
      <c r="V762" s="106">
        <v>27695.511112547119</v>
      </c>
      <c r="W762" s="10">
        <v>0.64430899743586068</v>
      </c>
      <c r="X762" s="420"/>
      <c r="Y762" s="420"/>
      <c r="Z762" s="1"/>
      <c r="AA762" s="1"/>
      <c r="AB762" s="1"/>
      <c r="AC762" s="1"/>
      <c r="AD762" s="1"/>
      <c r="AL762" s="23"/>
      <c r="AM762" s="23"/>
    </row>
    <row r="763" spans="17:39">
      <c r="Q763" s="6">
        <v>733</v>
      </c>
      <c r="R763" s="7">
        <v>43400</v>
      </c>
      <c r="S763" s="210">
        <v>3.5</v>
      </c>
      <c r="T763" s="8">
        <v>1.0000972222222222</v>
      </c>
      <c r="U763" s="98">
        <v>3.3716761511866755</v>
      </c>
      <c r="V763" s="106">
        <v>27697.667650498239</v>
      </c>
      <c r="W763" s="10">
        <v>0.64439714570307949</v>
      </c>
      <c r="X763" s="420"/>
      <c r="Y763" s="420"/>
      <c r="Z763" s="1"/>
      <c r="AA763" s="1"/>
      <c r="AB763" s="1"/>
      <c r="AC763" s="1"/>
      <c r="AD763" s="1"/>
      <c r="AL763" s="23"/>
      <c r="AM763" s="23"/>
    </row>
    <row r="764" spans="17:39">
      <c r="Q764" s="6">
        <v>734</v>
      </c>
      <c r="R764" s="7">
        <v>43401</v>
      </c>
      <c r="S764" s="210">
        <v>3.5</v>
      </c>
      <c r="T764" s="8">
        <v>1.0000972222222222</v>
      </c>
      <c r="U764" s="98">
        <v>3.3720033882202127</v>
      </c>
      <c r="V764" s="106">
        <v>27699.824356370289</v>
      </c>
      <c r="W764" s="10">
        <v>0.64448505386114352</v>
      </c>
      <c r="X764" s="420"/>
      <c r="Y764" s="420"/>
      <c r="Z764" s="1"/>
      <c r="AA764" s="1"/>
      <c r="AB764" s="1"/>
      <c r="AC764" s="1"/>
      <c r="AD764" s="1"/>
      <c r="AL764" s="23"/>
      <c r="AM764" s="23"/>
    </row>
    <row r="765" spans="17:39">
      <c r="Q765" s="6">
        <v>735</v>
      </c>
      <c r="R765" s="7">
        <v>43402</v>
      </c>
      <c r="S765" s="210">
        <v>3.5</v>
      </c>
      <c r="T765" s="8">
        <v>1.0000972222222222</v>
      </c>
      <c r="U765" s="98">
        <v>3.372329735844537</v>
      </c>
      <c r="V765" s="106">
        <v>27701.981230176341</v>
      </c>
      <c r="W765" s="10">
        <v>0.64457272288982459</v>
      </c>
      <c r="X765" s="420"/>
      <c r="Y765" s="420"/>
      <c r="Z765" s="1"/>
      <c r="AA765" s="1"/>
      <c r="AB765" s="1"/>
      <c r="AC765" s="1"/>
      <c r="AD765" s="1"/>
      <c r="AL765" s="23"/>
      <c r="AM765" s="23"/>
    </row>
    <row r="766" spans="17:39">
      <c r="Q766" s="6">
        <v>736</v>
      </c>
      <c r="R766" s="7">
        <v>43403</v>
      </c>
      <c r="S766" s="210">
        <v>3.5</v>
      </c>
      <c r="T766" s="8">
        <v>1.0000972222222222</v>
      </c>
      <c r="U766" s="98">
        <v>3.3726551976807517</v>
      </c>
      <c r="V766" s="106">
        <v>27704.138271929471</v>
      </c>
      <c r="W766" s="10">
        <v>0.64466015376349883</v>
      </c>
      <c r="X766" s="420"/>
      <c r="Y766" s="420"/>
      <c r="Z766" s="1"/>
      <c r="AA766" s="1"/>
      <c r="AB766" s="1"/>
      <c r="AC766" s="1"/>
      <c r="AD766" s="1"/>
      <c r="AL766" s="23"/>
      <c r="AM766" s="23"/>
    </row>
    <row r="767" spans="17:39">
      <c r="Q767" s="6">
        <v>737</v>
      </c>
      <c r="R767" s="7">
        <v>43404</v>
      </c>
      <c r="S767" s="210">
        <v>3.5</v>
      </c>
      <c r="T767" s="8">
        <v>1.0000972222222222</v>
      </c>
      <c r="U767" s="98">
        <v>3.3729797773303538</v>
      </c>
      <c r="V767" s="106">
        <v>27706.295481642763</v>
      </c>
      <c r="W767" s="10">
        <v>0.64474734745127993</v>
      </c>
      <c r="X767" s="420"/>
      <c r="Y767" s="420"/>
      <c r="Z767" s="1"/>
      <c r="AA767" s="1"/>
      <c r="AB767" s="1"/>
      <c r="AC767" s="1"/>
      <c r="AD767" s="1"/>
      <c r="AL767" s="23"/>
      <c r="AM767" s="23"/>
    </row>
    <row r="768" spans="17:39">
      <c r="Q768" s="6">
        <v>738</v>
      </c>
      <c r="R768" s="7">
        <v>43405</v>
      </c>
      <c r="S768" s="210">
        <v>3.5</v>
      </c>
      <c r="T768" s="8">
        <v>1.0000972222222222</v>
      </c>
      <c r="U768" s="98">
        <v>3.3733034783753224</v>
      </c>
      <c r="V768" s="106">
        <v>27708.452859329289</v>
      </c>
      <c r="W768" s="10">
        <v>0.64483430491706351</v>
      </c>
      <c r="X768" s="420"/>
      <c r="Y768" s="420"/>
      <c r="Z768" s="1"/>
      <c r="AA768" s="1"/>
      <c r="AB768" s="1"/>
      <c r="AC768" s="1"/>
      <c r="AD768" s="1"/>
      <c r="AL768" s="23"/>
      <c r="AM768" s="23"/>
    </row>
    <row r="769" spans="17:39">
      <c r="Q769" s="6">
        <v>739</v>
      </c>
      <c r="R769" s="7">
        <v>43406</v>
      </c>
      <c r="S769" s="210">
        <v>3.5</v>
      </c>
      <c r="T769" s="8">
        <v>1.0000972222222222</v>
      </c>
      <c r="U769" s="98">
        <v>3.3736263043782522</v>
      </c>
      <c r="V769" s="106">
        <v>27710.610405002128</v>
      </c>
      <c r="W769" s="10">
        <v>0.64492102711946053</v>
      </c>
      <c r="X769" s="420"/>
      <c r="Y769" s="420"/>
      <c r="Z769" s="1"/>
      <c r="AA769" s="1"/>
      <c r="AB769" s="1"/>
      <c r="AC769" s="1"/>
      <c r="AD769" s="1"/>
      <c r="AL769" s="23"/>
      <c r="AM769" s="23"/>
    </row>
    <row r="770" spans="17:39">
      <c r="Q770" s="6">
        <v>740</v>
      </c>
      <c r="R770" s="7">
        <v>43407</v>
      </c>
      <c r="S770" s="210">
        <v>3.5</v>
      </c>
      <c r="T770" s="8">
        <v>1.0000972222222222</v>
      </c>
      <c r="U770" s="98">
        <v>3.3739482588825531</v>
      </c>
      <c r="V770" s="106">
        <v>27712.768118674361</v>
      </c>
      <c r="W770" s="10">
        <v>0.64500751501195275</v>
      </c>
      <c r="X770" s="420"/>
      <c r="Y770" s="420"/>
      <c r="Z770" s="1"/>
      <c r="AA770" s="1"/>
      <c r="AB770" s="1"/>
      <c r="AC770" s="1"/>
      <c r="AD770" s="1"/>
      <c r="AL770" s="23"/>
      <c r="AM770" s="23"/>
    </row>
    <row r="771" spans="17:39">
      <c r="Q771" s="6">
        <v>741</v>
      </c>
      <c r="R771" s="7">
        <v>43408</v>
      </c>
      <c r="S771" s="210">
        <v>3.5</v>
      </c>
      <c r="T771" s="8">
        <v>1.0000972222222222</v>
      </c>
      <c r="U771" s="98">
        <v>3.3742693454125172</v>
      </c>
      <c r="V771" s="106">
        <v>27714.926000359075</v>
      </c>
      <c r="W771" s="10">
        <v>0.64509376954284825</v>
      </c>
      <c r="X771" s="420"/>
      <c r="Y771" s="420"/>
      <c r="Z771" s="1"/>
      <c r="AA771" s="1"/>
      <c r="AB771" s="1"/>
      <c r="AC771" s="1"/>
      <c r="AD771" s="1"/>
      <c r="AL771" s="23"/>
      <c r="AM771" s="23"/>
    </row>
    <row r="772" spans="17:39">
      <c r="Q772" s="6">
        <v>742</v>
      </c>
      <c r="R772" s="7">
        <v>43409</v>
      </c>
      <c r="S772" s="210">
        <v>3.5</v>
      </c>
      <c r="T772" s="8">
        <v>1.0000972222222222</v>
      </c>
      <c r="U772" s="98">
        <v>3.3745895674734072</v>
      </c>
      <c r="V772" s="106">
        <v>27717.084050069345</v>
      </c>
      <c r="W772" s="10">
        <v>0.64517979165539252</v>
      </c>
      <c r="X772" s="420"/>
      <c r="Y772" s="420"/>
      <c r="Z772" s="1"/>
      <c r="AA772" s="1"/>
      <c r="AB772" s="1"/>
      <c r="AC772" s="1"/>
      <c r="AD772" s="1"/>
      <c r="AL772" s="23"/>
      <c r="AM772" s="23"/>
    </row>
    <row r="773" spans="17:39">
      <c r="Q773" s="6">
        <v>743</v>
      </c>
      <c r="R773" s="7">
        <v>43410</v>
      </c>
      <c r="S773" s="210">
        <v>3.5</v>
      </c>
      <c r="T773" s="8">
        <v>1.0000972222222222</v>
      </c>
      <c r="U773" s="98">
        <v>3.3749089285517009</v>
      </c>
      <c r="V773" s="106">
        <v>27719.242267818256</v>
      </c>
      <c r="W773" s="10">
        <v>0.64526558228770181</v>
      </c>
      <c r="X773" s="420"/>
      <c r="Y773" s="420"/>
      <c r="Z773" s="1"/>
      <c r="AA773" s="1"/>
      <c r="AB773" s="1"/>
      <c r="AC773" s="1"/>
      <c r="AD773" s="1"/>
      <c r="AL773" s="23"/>
      <c r="AM773" s="23"/>
    </row>
    <row r="774" spans="17:39">
      <c r="Q774" s="6">
        <v>744</v>
      </c>
      <c r="R774" s="7">
        <v>43411</v>
      </c>
      <c r="S774" s="210">
        <v>3.5</v>
      </c>
      <c r="T774" s="8">
        <v>1.0000972222222222</v>
      </c>
      <c r="U774" s="98">
        <v>3.3752274321151132</v>
      </c>
      <c r="V774" s="106">
        <v>27721.400653618897</v>
      </c>
      <c r="W774" s="10">
        <v>0.64535114237282976</v>
      </c>
      <c r="X774" s="420"/>
      <c r="Y774" s="420"/>
      <c r="Z774" s="1"/>
      <c r="AA774" s="1"/>
      <c r="AB774" s="1"/>
      <c r="AC774" s="1"/>
      <c r="AD774" s="1"/>
      <c r="AL774" s="23"/>
      <c r="AM774" s="23"/>
    </row>
    <row r="775" spans="17:39">
      <c r="Q775" s="6">
        <v>745</v>
      </c>
      <c r="R775" s="7">
        <v>43412</v>
      </c>
      <c r="S775" s="210">
        <v>3.5</v>
      </c>
      <c r="T775" s="8">
        <v>1.0000972222222222</v>
      </c>
      <c r="U775" s="98">
        <v>3.3755450816127741</v>
      </c>
      <c r="V775" s="106">
        <v>27723.559207484352</v>
      </c>
      <c r="W775" s="10">
        <v>0.6454364728389228</v>
      </c>
      <c r="X775" s="420"/>
      <c r="Y775" s="420"/>
      <c r="Z775" s="1"/>
      <c r="AA775" s="1"/>
      <c r="AB775" s="1"/>
      <c r="AC775" s="1"/>
      <c r="AD775" s="1"/>
      <c r="AL775" s="23"/>
      <c r="AM775" s="23"/>
    </row>
    <row r="776" spans="17:39">
      <c r="Q776" s="6">
        <v>746</v>
      </c>
      <c r="R776" s="7">
        <v>43413</v>
      </c>
      <c r="S776" s="210">
        <v>3.5</v>
      </c>
      <c r="T776" s="8">
        <v>1.0000972222222222</v>
      </c>
      <c r="U776" s="98">
        <v>3.3758618804753393</v>
      </c>
      <c r="V776" s="106">
        <v>27725.717929427705</v>
      </c>
      <c r="W776" s="10">
        <v>0.64552157460904258</v>
      </c>
      <c r="X776" s="420"/>
      <c r="Y776" s="420"/>
      <c r="Z776" s="1"/>
      <c r="AA776" s="1"/>
      <c r="AB776" s="1"/>
      <c r="AC776" s="1"/>
      <c r="AD776" s="1"/>
      <c r="AL776" s="23"/>
      <c r="AM776" s="23"/>
    </row>
    <row r="777" spans="17:39">
      <c r="Q777" s="6">
        <v>747</v>
      </c>
      <c r="R777" s="7">
        <v>43414</v>
      </c>
      <c r="S777" s="210">
        <v>3.5</v>
      </c>
      <c r="T777" s="8">
        <v>1.0000972222222222</v>
      </c>
      <c r="U777" s="98">
        <v>3.3761778321151237</v>
      </c>
      <c r="V777" s="106">
        <v>27727.948785358247</v>
      </c>
      <c r="W777" s="10">
        <v>0.64547881166638899</v>
      </c>
      <c r="X777" s="420"/>
      <c r="Y777" s="420"/>
      <c r="Z777" s="1"/>
      <c r="AA777" s="1"/>
      <c r="AB777" s="1"/>
      <c r="AC777" s="1"/>
      <c r="AD777" s="1"/>
      <c r="AL777" s="23"/>
      <c r="AM777" s="23"/>
    </row>
    <row r="778" spans="17:39">
      <c r="Q778" s="6">
        <v>748</v>
      </c>
      <c r="R778" s="7">
        <v>43415</v>
      </c>
      <c r="S778" s="210">
        <v>3.5</v>
      </c>
      <c r="T778" s="8">
        <v>1.0000972222222222</v>
      </c>
      <c r="U778" s="98">
        <v>3.3764929399262344</v>
      </c>
      <c r="V778" s="106">
        <v>27730.179820787042</v>
      </c>
      <c r="W778" s="10">
        <v>0.64543616308125884</v>
      </c>
      <c r="X778" s="420"/>
      <c r="Y778" s="420"/>
      <c r="Z778" s="1"/>
      <c r="AA778" s="1"/>
      <c r="AB778" s="1"/>
      <c r="AC778" s="1"/>
      <c r="AD778" s="1"/>
      <c r="AL778" s="23"/>
      <c r="AM778" s="23"/>
    </row>
    <row r="779" spans="17:39">
      <c r="Q779" s="6">
        <v>749</v>
      </c>
      <c r="R779" s="7">
        <v>43416</v>
      </c>
      <c r="S779" s="210">
        <v>3.5</v>
      </c>
      <c r="T779" s="8">
        <v>1.0000972222222222</v>
      </c>
      <c r="U779" s="98">
        <v>3.3768072072846156</v>
      </c>
      <c r="V779" s="106">
        <v>27732.41103572855</v>
      </c>
      <c r="W779" s="10">
        <v>0.64539362839548531</v>
      </c>
      <c r="X779" s="420"/>
      <c r="Y779" s="420"/>
      <c r="Z779" s="1"/>
      <c r="AA779" s="1"/>
      <c r="AB779" s="1"/>
      <c r="AC779" s="1"/>
      <c r="AD779" s="1"/>
      <c r="AL779" s="23"/>
      <c r="AM779" s="23"/>
    </row>
    <row r="780" spans="17:39">
      <c r="Q780" s="6">
        <v>750</v>
      </c>
      <c r="R780" s="7">
        <v>43417</v>
      </c>
      <c r="S780" s="210">
        <v>3.5</v>
      </c>
      <c r="T780" s="8">
        <v>1.0000972222222222</v>
      </c>
      <c r="U780" s="98">
        <v>3.3771206375482699</v>
      </c>
      <c r="V780" s="106">
        <v>27734.642430197204</v>
      </c>
      <c r="W780" s="10">
        <v>0.64535120715347727</v>
      </c>
      <c r="X780" s="420"/>
      <c r="Y780" s="420"/>
      <c r="Z780" s="1"/>
      <c r="AA780" s="1"/>
      <c r="AB780" s="1"/>
      <c r="AC780" s="1"/>
      <c r="AD780" s="1"/>
      <c r="AL780" s="23"/>
      <c r="AM780" s="23"/>
    </row>
    <row r="781" spans="17:39">
      <c r="Q781" s="6">
        <v>751</v>
      </c>
      <c r="R781" s="7">
        <v>43418</v>
      </c>
      <c r="S781" s="210">
        <v>3.5</v>
      </c>
      <c r="T781" s="8">
        <v>1.0000972222222222</v>
      </c>
      <c r="U781" s="98">
        <v>3.3774332340573254</v>
      </c>
      <c r="V781" s="106">
        <v>27736.87400420745</v>
      </c>
      <c r="W781" s="10">
        <v>0.64530889890195287</v>
      </c>
      <c r="X781" s="420"/>
      <c r="Y781" s="420"/>
      <c r="Z781" s="1"/>
      <c r="AA781" s="1"/>
      <c r="AB781" s="1"/>
      <c r="AC781" s="1"/>
      <c r="AD781" s="1"/>
      <c r="AL781" s="23"/>
      <c r="AM781" s="23"/>
    </row>
    <row r="782" spans="17:39">
      <c r="Q782" s="6">
        <v>752</v>
      </c>
      <c r="R782" s="7">
        <v>43419</v>
      </c>
      <c r="S782" s="210">
        <v>3.5</v>
      </c>
      <c r="T782" s="8">
        <v>1.0000972222222222</v>
      </c>
      <c r="U782" s="98">
        <v>3.3777450001341691</v>
      </c>
      <c r="V782" s="106">
        <v>27739.105757773741</v>
      </c>
      <c r="W782" s="10">
        <v>0.64526670319009494</v>
      </c>
      <c r="X782" s="420"/>
      <c r="Y782" s="420"/>
      <c r="Z782" s="1"/>
      <c r="AA782" s="1"/>
      <c r="AB782" s="1"/>
      <c r="AC782" s="1"/>
      <c r="AD782" s="1"/>
      <c r="AL782" s="23"/>
      <c r="AM782" s="23"/>
    </row>
    <row r="783" spans="17:39">
      <c r="Q783" s="6">
        <v>753</v>
      </c>
      <c r="R783" s="7">
        <v>43420</v>
      </c>
      <c r="S783" s="210">
        <v>3.5</v>
      </c>
      <c r="T783" s="8">
        <v>1.0000972222222222</v>
      </c>
      <c r="U783" s="98">
        <v>3.3780559390835352</v>
      </c>
      <c r="V783" s="106">
        <v>27741.337690910514</v>
      </c>
      <c r="W783" s="10">
        <v>0.6452246195694622</v>
      </c>
      <c r="X783" s="420"/>
      <c r="Y783" s="420"/>
      <c r="Z783" s="1"/>
      <c r="AA783" s="1"/>
      <c r="AB783" s="1"/>
      <c r="AC783" s="1"/>
      <c r="AD783" s="1"/>
      <c r="AL783" s="23"/>
      <c r="AM783" s="23"/>
    </row>
    <row r="784" spans="17:39">
      <c r="Q784" s="6">
        <v>754</v>
      </c>
      <c r="R784" s="7">
        <v>43421</v>
      </c>
      <c r="S784" s="210">
        <v>3.5</v>
      </c>
      <c r="T784" s="8">
        <v>1.0000972222222222</v>
      </c>
      <c r="U784" s="98">
        <v>3.378366054192683</v>
      </c>
      <c r="V784" s="106">
        <v>27743.569803632221</v>
      </c>
      <c r="W784" s="10">
        <v>0.64518264759398924</v>
      </c>
      <c r="X784" s="420"/>
      <c r="Y784" s="420"/>
      <c r="Z784" s="1"/>
      <c r="AA784" s="1"/>
      <c r="AB784" s="1"/>
      <c r="AC784" s="1"/>
      <c r="AD784" s="1"/>
      <c r="AL784" s="23"/>
      <c r="AM784" s="23"/>
    </row>
    <row r="785" spans="17:39">
      <c r="Q785" s="6">
        <v>755</v>
      </c>
      <c r="R785" s="7">
        <v>43422</v>
      </c>
      <c r="S785" s="210">
        <v>3.5</v>
      </c>
      <c r="T785" s="8">
        <v>1.0000972222222222</v>
      </c>
      <c r="U785" s="98">
        <v>3.3786753487314414</v>
      </c>
      <c r="V785" s="106">
        <v>27745.802095953317</v>
      </c>
      <c r="W785" s="10">
        <v>0.64514078681998654</v>
      </c>
      <c r="X785" s="420"/>
      <c r="Y785" s="420"/>
      <c r="Z785" s="1"/>
      <c r="AA785" s="1"/>
      <c r="AB785" s="1"/>
      <c r="AC785" s="1"/>
      <c r="AD785" s="1"/>
      <c r="AL785" s="23"/>
      <c r="AM785" s="23"/>
    </row>
    <row r="786" spans="17:39">
      <c r="Q786" s="6">
        <v>756</v>
      </c>
      <c r="R786" s="7">
        <v>43423</v>
      </c>
      <c r="S786" s="210">
        <v>3.5</v>
      </c>
      <c r="T786" s="8">
        <v>1.0000972222222222</v>
      </c>
      <c r="U786" s="98">
        <v>3.3789838259523863</v>
      </c>
      <c r="V786" s="106">
        <v>27748.034567888255</v>
      </c>
      <c r="W786" s="10">
        <v>0.64509903680611824</v>
      </c>
      <c r="X786" s="420"/>
      <c r="Y786" s="420"/>
      <c r="Z786" s="1"/>
      <c r="AA786" s="1"/>
      <c r="AB786" s="1"/>
      <c r="AC786" s="1"/>
      <c r="AD786" s="1"/>
      <c r="AL786" s="23"/>
      <c r="AM786" s="23"/>
    </row>
    <row r="787" spans="17:39">
      <c r="Q787" s="6">
        <v>757</v>
      </c>
      <c r="R787" s="7">
        <v>43424</v>
      </c>
      <c r="S787" s="210">
        <v>3.5</v>
      </c>
      <c r="T787" s="8">
        <v>1.0000972222222222</v>
      </c>
      <c r="U787" s="98">
        <v>3.3792914890909076</v>
      </c>
      <c r="V787" s="106">
        <v>27750.267219451474</v>
      </c>
      <c r="W787" s="10">
        <v>0.64505739711337995</v>
      </c>
      <c r="X787" s="420"/>
      <c r="Y787" s="420"/>
      <c r="Z787" s="1"/>
      <c r="AA787" s="1"/>
      <c r="AB787" s="1"/>
      <c r="AC787" s="1"/>
      <c r="AD787" s="1"/>
      <c r="AL787" s="23"/>
      <c r="AM787" s="23"/>
    </row>
    <row r="788" spans="17:39">
      <c r="Q788" s="6">
        <v>758</v>
      </c>
      <c r="R788" s="7">
        <v>43425</v>
      </c>
      <c r="S788" s="210">
        <v>3.5</v>
      </c>
      <c r="T788" s="8">
        <v>1.0000972222222222</v>
      </c>
      <c r="U788" s="98">
        <v>3.3795983413653419</v>
      </c>
      <c r="V788" s="106">
        <v>27752.500050657432</v>
      </c>
      <c r="W788" s="10">
        <v>0.64501586730505434</v>
      </c>
      <c r="X788" s="420"/>
      <c r="Y788" s="420"/>
      <c r="Z788" s="1"/>
      <c r="AA788" s="1"/>
      <c r="AB788" s="1"/>
      <c r="AC788" s="1"/>
      <c r="AD788" s="1"/>
      <c r="AL788" s="23"/>
      <c r="AM788" s="23"/>
    </row>
    <row r="789" spans="17:39">
      <c r="Q789" s="6">
        <v>759</v>
      </c>
      <c r="R789" s="7">
        <v>43426</v>
      </c>
      <c r="S789" s="210">
        <v>3.5</v>
      </c>
      <c r="T789" s="8">
        <v>1.0000972222222222</v>
      </c>
      <c r="U789" s="98">
        <v>3.3799043859770839</v>
      </c>
      <c r="V789" s="106">
        <v>27754.733061520594</v>
      </c>
      <c r="W789" s="10">
        <v>0.64497444694675554</v>
      </c>
      <c r="X789" s="420"/>
      <c r="Y789" s="420"/>
      <c r="Z789" s="1"/>
      <c r="AA789" s="1"/>
      <c r="AB789" s="1"/>
      <c r="AC789" s="1"/>
      <c r="AD789" s="1"/>
      <c r="AL789" s="23"/>
      <c r="AM789" s="23"/>
    </row>
    <row r="790" spans="17:39">
      <c r="Q790" s="6">
        <v>760</v>
      </c>
      <c r="R790" s="7">
        <v>43427</v>
      </c>
      <c r="S790" s="210">
        <v>3.5</v>
      </c>
      <c r="T790" s="8">
        <v>1.0000972222222222</v>
      </c>
      <c r="U790" s="98">
        <v>3.3802096261107195</v>
      </c>
      <c r="V790" s="106">
        <v>27756.966252055401</v>
      </c>
      <c r="W790" s="10">
        <v>0.64493313560638477</v>
      </c>
      <c r="X790" s="420"/>
      <c r="Y790" s="420"/>
      <c r="Z790" s="1"/>
      <c r="AA790" s="1"/>
      <c r="AB790" s="1"/>
      <c r="AC790" s="1"/>
      <c r="AD790" s="1"/>
      <c r="AL790" s="23"/>
      <c r="AM790" s="23"/>
    </row>
    <row r="791" spans="17:39">
      <c r="Q791" s="6">
        <v>761</v>
      </c>
      <c r="R791" s="7">
        <v>43428</v>
      </c>
      <c r="S791" s="210">
        <v>3.5</v>
      </c>
      <c r="T791" s="8">
        <v>1.0000972222222222</v>
      </c>
      <c r="U791" s="98">
        <v>3.3805140649340704</v>
      </c>
      <c r="V791" s="106">
        <v>27759.199622276319</v>
      </c>
      <c r="W791" s="10">
        <v>0.64489193285408586</v>
      </c>
      <c r="X791" s="420"/>
      <c r="Y791" s="420"/>
      <c r="Z791" s="1"/>
      <c r="AA791" s="1"/>
      <c r="AB791" s="1"/>
      <c r="AC791" s="1"/>
      <c r="AD791" s="1"/>
      <c r="AL791" s="23"/>
      <c r="AM791" s="23"/>
    </row>
    <row r="792" spans="17:39">
      <c r="Q792" s="6">
        <v>762</v>
      </c>
      <c r="R792" s="7">
        <v>43429</v>
      </c>
      <c r="S792" s="210">
        <v>3.5</v>
      </c>
      <c r="T792" s="8">
        <v>1.0000972222222222</v>
      </c>
      <c r="U792" s="98">
        <v>3.3808177055983935</v>
      </c>
      <c r="V792" s="106">
        <v>27761.433172197805</v>
      </c>
      <c r="W792" s="10">
        <v>0.64485083826231193</v>
      </c>
      <c r="X792" s="420"/>
      <c r="Y792" s="420"/>
      <c r="Z792" s="1"/>
      <c r="AA792" s="1"/>
      <c r="AB792" s="1"/>
      <c r="AC792" s="1"/>
      <c r="AD792" s="1"/>
      <c r="AL792" s="23"/>
      <c r="AM792" s="23"/>
    </row>
    <row r="793" spans="17:39">
      <c r="Q793" s="6">
        <v>763</v>
      </c>
      <c r="R793" s="7">
        <v>43430</v>
      </c>
      <c r="S793" s="210">
        <v>3.5</v>
      </c>
      <c r="T793" s="8">
        <v>1.0000972222222222</v>
      </c>
      <c r="U793" s="98">
        <v>3.3811205512384257</v>
      </c>
      <c r="V793" s="106">
        <v>27763.666901834316</v>
      </c>
      <c r="W793" s="10">
        <v>0.64480985140569214</v>
      </c>
      <c r="X793" s="420"/>
      <c r="Y793" s="420"/>
      <c r="Z793" s="1"/>
      <c r="AA793" s="1"/>
      <c r="AB793" s="1"/>
      <c r="AC793" s="1"/>
      <c r="AD793" s="1"/>
      <c r="AL793" s="23"/>
      <c r="AM793" s="23"/>
    </row>
    <row r="794" spans="17:39">
      <c r="Q794" s="6">
        <v>764</v>
      </c>
      <c r="R794" s="7">
        <v>43431</v>
      </c>
      <c r="S794" s="210">
        <v>3.5</v>
      </c>
      <c r="T794" s="8">
        <v>1.0000972222222222</v>
      </c>
      <c r="U794" s="98">
        <v>3.3814226049725171</v>
      </c>
      <c r="V794" s="106">
        <v>27765.90081120031</v>
      </c>
      <c r="W794" s="10">
        <v>0.64476897186116489</v>
      </c>
      <c r="X794" s="420"/>
      <c r="Y794" s="420"/>
      <c r="Z794" s="1"/>
      <c r="AA794" s="1"/>
      <c r="AB794" s="1"/>
      <c r="AC794" s="1"/>
      <c r="AD794" s="1"/>
      <c r="AL794" s="23"/>
      <c r="AM794" s="23"/>
    </row>
    <row r="795" spans="17:39">
      <c r="Q795" s="6">
        <v>765</v>
      </c>
      <c r="R795" s="7">
        <v>43432</v>
      </c>
      <c r="S795" s="210">
        <v>3.5</v>
      </c>
      <c r="T795" s="8">
        <v>1.0000972222222222</v>
      </c>
      <c r="U795" s="98">
        <v>3.3817238699027197</v>
      </c>
      <c r="V795" s="106">
        <v>27768.134900310251</v>
      </c>
      <c r="W795" s="10">
        <v>0.64472819920777802</v>
      </c>
      <c r="X795" s="420"/>
      <c r="Y795" s="420"/>
      <c r="Z795" s="1"/>
      <c r="AA795" s="1"/>
      <c r="AB795" s="1"/>
      <c r="AC795" s="1"/>
      <c r="AD795" s="1"/>
      <c r="AL795" s="23"/>
      <c r="AM795" s="23"/>
    </row>
    <row r="796" spans="17:39">
      <c r="Q796" s="6">
        <v>766</v>
      </c>
      <c r="R796" s="7">
        <v>43433</v>
      </c>
      <c r="S796" s="210">
        <v>3.5</v>
      </c>
      <c r="T796" s="8">
        <v>1.0000972222222222</v>
      </c>
      <c r="U796" s="98">
        <v>3.382024349114876</v>
      </c>
      <c r="V796" s="106">
        <v>27770.369169178597</v>
      </c>
      <c r="W796" s="10">
        <v>0.64468753302686643</v>
      </c>
      <c r="X796" s="420"/>
      <c r="Y796" s="420"/>
      <c r="Z796" s="1"/>
      <c r="AA796" s="1"/>
      <c r="AB796" s="1"/>
      <c r="AC796" s="1"/>
      <c r="AD796" s="1"/>
      <c r="AL796" s="23"/>
      <c r="AM796" s="23"/>
    </row>
    <row r="797" spans="17:39">
      <c r="Q797" s="6">
        <v>767</v>
      </c>
      <c r="R797" s="7">
        <v>43434</v>
      </c>
      <c r="S797" s="210">
        <v>3.5</v>
      </c>
      <c r="T797" s="8">
        <v>1.0000972222222222</v>
      </c>
      <c r="U797" s="98">
        <v>3.3823240456788195</v>
      </c>
      <c r="V797" s="106">
        <v>27772.603617819816</v>
      </c>
      <c r="W797" s="10">
        <v>0.64464697290191886</v>
      </c>
      <c r="X797" s="420"/>
      <c r="Y797" s="420"/>
      <c r="Z797" s="1"/>
      <c r="AA797" s="1"/>
      <c r="AB797" s="1"/>
      <c r="AC797" s="1"/>
      <c r="AD797" s="1"/>
      <c r="AL797" s="23"/>
      <c r="AM797" s="23"/>
    </row>
    <row r="798" spans="17:39">
      <c r="Q798" s="6">
        <v>768</v>
      </c>
      <c r="R798" s="7">
        <v>43435</v>
      </c>
      <c r="S798" s="210">
        <v>3.5</v>
      </c>
      <c r="T798" s="8">
        <v>1.0000972222222222</v>
      </c>
      <c r="U798" s="98">
        <v>3.3826229626483517</v>
      </c>
      <c r="V798" s="106">
        <v>27774.838246248382</v>
      </c>
      <c r="W798" s="10">
        <v>0.64460651841855565</v>
      </c>
      <c r="X798" s="420"/>
      <c r="Y798" s="420"/>
      <c r="Z798" s="1"/>
      <c r="AA798" s="1"/>
      <c r="AB798" s="1"/>
      <c r="AC798" s="1"/>
      <c r="AD798" s="1"/>
      <c r="AL798" s="23"/>
      <c r="AM798" s="23"/>
    </row>
    <row r="799" spans="17:39">
      <c r="Q799" s="6">
        <v>769</v>
      </c>
      <c r="R799" s="7">
        <v>43436</v>
      </c>
      <c r="S799" s="210">
        <v>3.5</v>
      </c>
      <c r="T799" s="8">
        <v>1.0000972222222222</v>
      </c>
      <c r="U799" s="98">
        <v>3.3829211030614648</v>
      </c>
      <c r="V799" s="106">
        <v>27777.07305447874</v>
      </c>
      <c r="W799" s="10">
        <v>0.64456616916461762</v>
      </c>
      <c r="X799" s="420"/>
      <c r="Y799" s="420"/>
      <c r="Z799" s="1"/>
      <c r="AA799" s="1"/>
      <c r="AB799" s="1"/>
      <c r="AC799" s="1"/>
      <c r="AD799" s="1"/>
      <c r="AL799" s="23"/>
      <c r="AM799" s="23"/>
    </row>
    <row r="800" spans="17:39">
      <c r="Q800" s="6">
        <v>770</v>
      </c>
      <c r="R800" s="7">
        <v>43437</v>
      </c>
      <c r="S800" s="210">
        <v>3.5</v>
      </c>
      <c r="T800" s="8">
        <v>1.0000972222222222</v>
      </c>
      <c r="U800" s="98">
        <v>3.3832184699403411</v>
      </c>
      <c r="V800" s="106">
        <v>27779.308042525372</v>
      </c>
      <c r="W800" s="10">
        <v>0.64452592473005499</v>
      </c>
      <c r="X800" s="420"/>
      <c r="Y800" s="420"/>
      <c r="Z800" s="1"/>
      <c r="AA800" s="1"/>
      <c r="AB800" s="1"/>
      <c r="AC800" s="1"/>
      <c r="AD800" s="1"/>
      <c r="AL800" s="23"/>
      <c r="AM800" s="23"/>
    </row>
    <row r="801" spans="17:39">
      <c r="Q801" s="6">
        <v>771</v>
      </c>
      <c r="R801" s="7">
        <v>43438</v>
      </c>
      <c r="S801" s="210">
        <v>3.5</v>
      </c>
      <c r="T801" s="8">
        <v>1.0000972222222222</v>
      </c>
      <c r="U801" s="98">
        <v>3.3835150662915092</v>
      </c>
      <c r="V801" s="106">
        <v>27781.543210402746</v>
      </c>
      <c r="W801" s="10">
        <v>0.64448578470694962</v>
      </c>
      <c r="X801" s="420"/>
      <c r="Y801" s="420"/>
      <c r="Z801" s="1"/>
      <c r="AA801" s="1"/>
      <c r="AB801" s="1"/>
      <c r="AC801" s="1"/>
      <c r="AD801" s="1"/>
      <c r="AL801" s="23"/>
      <c r="AM801" s="23"/>
    </row>
    <row r="802" spans="17:39">
      <c r="Q802" s="6">
        <v>772</v>
      </c>
      <c r="R802" s="7">
        <v>43439</v>
      </c>
      <c r="S802" s="210">
        <v>3.5</v>
      </c>
      <c r="T802" s="8">
        <v>1.0000972222222222</v>
      </c>
      <c r="U802" s="98">
        <v>3.3838108951059542</v>
      </c>
      <c r="V802" s="106">
        <v>27783.778558125327</v>
      </c>
      <c r="W802" s="10">
        <v>0.64444574868947058</v>
      </c>
      <c r="X802" s="420"/>
      <c r="Y802" s="420"/>
      <c r="Z802" s="1"/>
      <c r="AA802" s="1"/>
      <c r="AB802" s="1"/>
      <c r="AC802" s="1"/>
      <c r="AD802" s="1"/>
      <c r="AL802" s="23"/>
      <c r="AM802" s="23"/>
    </row>
    <row r="803" spans="17:39">
      <c r="Q803" s="6">
        <v>773</v>
      </c>
      <c r="R803" s="7">
        <v>43440</v>
      </c>
      <c r="S803" s="210">
        <v>3.5</v>
      </c>
      <c r="T803" s="8">
        <v>1.0000972222222222</v>
      </c>
      <c r="U803" s="98">
        <v>3.3841059593591849</v>
      </c>
      <c r="V803" s="106">
        <v>27786.014085707582</v>
      </c>
      <c r="W803" s="10">
        <v>0.64440581627394078</v>
      </c>
      <c r="X803" s="420"/>
      <c r="Y803" s="420"/>
      <c r="Z803" s="1"/>
      <c r="AA803" s="1"/>
      <c r="AB803" s="1"/>
      <c r="AC803" s="1"/>
      <c r="AD803" s="1"/>
      <c r="AL803" s="23"/>
      <c r="AM803" s="23"/>
    </row>
    <row r="804" spans="17:39">
      <c r="Q804" s="6">
        <v>774</v>
      </c>
      <c r="R804" s="7">
        <v>43441</v>
      </c>
      <c r="S804" s="210">
        <v>3.5</v>
      </c>
      <c r="T804" s="8">
        <v>1.0000972222222222</v>
      </c>
      <c r="U804" s="98">
        <v>3.3844002620113445</v>
      </c>
      <c r="V804" s="106">
        <v>27788.249793163995</v>
      </c>
      <c r="W804" s="10">
        <v>0.64436598705872594</v>
      </c>
      <c r="X804" s="420"/>
      <c r="Y804" s="420"/>
      <c r="Z804" s="1"/>
      <c r="AA804" s="1"/>
      <c r="AB804" s="1"/>
      <c r="AC804" s="1"/>
      <c r="AD804" s="1"/>
      <c r="AL804" s="23"/>
      <c r="AM804" s="23"/>
    </row>
    <row r="805" spans="17:39">
      <c r="Q805" s="6">
        <v>775</v>
      </c>
      <c r="R805" s="7">
        <v>43442</v>
      </c>
      <c r="S805" s="210">
        <v>3.5</v>
      </c>
      <c r="T805" s="8">
        <v>1.0000972222222222</v>
      </c>
      <c r="U805" s="98">
        <v>3.3846938060073439</v>
      </c>
      <c r="V805" s="106">
        <v>27790.485680509028</v>
      </c>
      <c r="W805" s="10">
        <v>0.644326260644279</v>
      </c>
      <c r="X805" s="420"/>
      <c r="Y805" s="420"/>
      <c r="Z805" s="1"/>
      <c r="AA805" s="1"/>
      <c r="AB805" s="1"/>
      <c r="AC805" s="1"/>
      <c r="AD805" s="1"/>
      <c r="AL805" s="23"/>
      <c r="AM805" s="23"/>
    </row>
    <row r="806" spans="17:39">
      <c r="Q806" s="6">
        <v>776</v>
      </c>
      <c r="R806" s="7">
        <v>43443</v>
      </c>
      <c r="S806" s="210">
        <v>3.5</v>
      </c>
      <c r="T806" s="8">
        <v>1.0000972222222222</v>
      </c>
      <c r="U806" s="98">
        <v>3.3849865942769064</v>
      </c>
      <c r="V806" s="106">
        <v>27792.721747757158</v>
      </c>
      <c r="W806" s="10">
        <v>0.64428663663311792</v>
      </c>
      <c r="X806" s="420"/>
      <c r="Y806" s="420"/>
      <c r="Z806" s="1"/>
      <c r="AA806" s="1"/>
      <c r="AB806" s="1"/>
      <c r="AC806" s="1"/>
      <c r="AD806" s="1"/>
      <c r="AL806" s="23"/>
      <c r="AM806" s="23"/>
    </row>
    <row r="807" spans="17:39">
      <c r="Q807" s="6">
        <v>777</v>
      </c>
      <c r="R807" s="7">
        <v>43444</v>
      </c>
      <c r="S807" s="210">
        <v>3.5</v>
      </c>
      <c r="T807" s="8">
        <v>1.0000972222222222</v>
      </c>
      <c r="U807" s="98">
        <v>3.3852786297347004</v>
      </c>
      <c r="V807" s="106">
        <v>27794.885855109082</v>
      </c>
      <c r="W807" s="10">
        <v>0.64436982199311821</v>
      </c>
      <c r="X807" s="420"/>
      <c r="Y807" s="420"/>
      <c r="Z807" s="1"/>
      <c r="AA807" s="1"/>
      <c r="AB807" s="1"/>
      <c r="AC807" s="1"/>
      <c r="AD807" s="1"/>
      <c r="AL807" s="23"/>
      <c r="AM807" s="23"/>
    </row>
    <row r="808" spans="17:39">
      <c r="Q808" s="6">
        <v>778</v>
      </c>
      <c r="R808" s="7">
        <v>43445</v>
      </c>
      <c r="S808" s="210">
        <v>3.5</v>
      </c>
      <c r="T808" s="8">
        <v>1.0000972222222222</v>
      </c>
      <c r="U808" s="98">
        <v>3.3855699152804064</v>
      </c>
      <c r="V808" s="106">
        <v>27797.050130971336</v>
      </c>
      <c r="W808" s="10">
        <v>0.64445279357747687</v>
      </c>
      <c r="X808" s="420"/>
      <c r="Y808" s="420"/>
      <c r="Z808" s="1"/>
      <c r="AA808" s="1"/>
      <c r="AB808" s="1"/>
      <c r="AC808" s="1"/>
      <c r="AD808" s="1"/>
      <c r="AL808" s="23"/>
      <c r="AM808" s="23"/>
    </row>
    <row r="809" spans="17:39">
      <c r="Q809" s="6">
        <v>779</v>
      </c>
      <c r="R809" s="7">
        <v>43446</v>
      </c>
      <c r="S809" s="210">
        <v>3.5</v>
      </c>
      <c r="T809" s="8">
        <v>1.0000972222222222</v>
      </c>
      <c r="U809" s="98">
        <v>3.3858604537988723</v>
      </c>
      <c r="V809" s="106">
        <v>27799.214575357033</v>
      </c>
      <c r="W809" s="10">
        <v>0.64453555220926884</v>
      </c>
      <c r="X809" s="420"/>
      <c r="Y809" s="420"/>
      <c r="Z809" s="1"/>
      <c r="AA809" s="1"/>
      <c r="AB809" s="1"/>
      <c r="AC809" s="1"/>
      <c r="AD809" s="1"/>
      <c r="AL809" s="23"/>
      <c r="AM809" s="23"/>
    </row>
    <row r="810" spans="17:39">
      <c r="Q810" s="6">
        <v>780</v>
      </c>
      <c r="R810" s="7">
        <v>43447</v>
      </c>
      <c r="S810" s="210">
        <v>3.5</v>
      </c>
      <c r="T810" s="8">
        <v>1.0000972222222222</v>
      </c>
      <c r="U810" s="98">
        <v>3.3861502481601358</v>
      </c>
      <c r="V810" s="106">
        <v>27801.379188279298</v>
      </c>
      <c r="W810" s="10">
        <v>0.64461809870721698</v>
      </c>
      <c r="X810" s="420"/>
      <c r="Y810" s="420"/>
      <c r="Z810" s="1"/>
      <c r="AA810" s="1"/>
      <c r="AB810" s="1"/>
      <c r="AC810" s="1"/>
      <c r="AD810" s="1"/>
      <c r="AL810" s="23"/>
      <c r="AM810" s="23"/>
    </row>
    <row r="811" spans="17:39">
      <c r="Q811" s="6">
        <v>781</v>
      </c>
      <c r="R811" s="7">
        <v>43448</v>
      </c>
      <c r="S811" s="210">
        <v>3.5</v>
      </c>
      <c r="T811" s="8">
        <v>1.0000972222222222</v>
      </c>
      <c r="U811" s="98">
        <v>3.3864393012195348</v>
      </c>
      <c r="V811" s="106">
        <v>27803.543969751267</v>
      </c>
      <c r="W811" s="10">
        <v>0.64470043388593634</v>
      </c>
      <c r="X811" s="420"/>
      <c r="Y811" s="420"/>
      <c r="Z811" s="1"/>
      <c r="AA811" s="1"/>
      <c r="AB811" s="1"/>
      <c r="AC811" s="1"/>
      <c r="AD811" s="1"/>
      <c r="AL811" s="23"/>
      <c r="AM811" s="23"/>
    </row>
    <row r="812" spans="17:39">
      <c r="Q812" s="6">
        <v>782</v>
      </c>
      <c r="R812" s="7">
        <v>43449</v>
      </c>
      <c r="S812" s="210">
        <v>3.5</v>
      </c>
      <c r="T812" s="8">
        <v>1.0000972222222222</v>
      </c>
      <c r="U812" s="98">
        <v>3.3867276158178417</v>
      </c>
      <c r="V812" s="106">
        <v>27805.708919786044</v>
      </c>
      <c r="W812" s="10">
        <v>0.64478255855582312</v>
      </c>
      <c r="X812" s="420"/>
      <c r="Y812" s="420"/>
      <c r="Z812" s="1"/>
      <c r="AA812" s="1"/>
      <c r="AB812" s="1"/>
      <c r="AC812" s="1"/>
      <c r="AD812" s="1"/>
      <c r="AL812" s="23"/>
      <c r="AM812" s="23"/>
    </row>
    <row r="813" spans="17:39">
      <c r="Q813" s="6">
        <v>783</v>
      </c>
      <c r="R813" s="7">
        <v>43450</v>
      </c>
      <c r="S813" s="210">
        <v>3.5</v>
      </c>
      <c r="T813" s="8">
        <v>1.0000972222222222</v>
      </c>
      <c r="U813" s="98">
        <v>3.3870151947813287</v>
      </c>
      <c r="V813" s="106">
        <v>27807.874038396771</v>
      </c>
      <c r="W813" s="10">
        <v>0.64486447352318788</v>
      </c>
      <c r="X813" s="420"/>
      <c r="Y813" s="420"/>
      <c r="Z813" s="1"/>
      <c r="AA813" s="1"/>
      <c r="AB813" s="1"/>
      <c r="AC813" s="1"/>
      <c r="AD813" s="1"/>
      <c r="AL813" s="23"/>
      <c r="AM813" s="23"/>
    </row>
    <row r="814" spans="17:39">
      <c r="Q814" s="6">
        <v>784</v>
      </c>
      <c r="R814" s="7">
        <v>43451</v>
      </c>
      <c r="S814" s="210">
        <v>3.5</v>
      </c>
      <c r="T814" s="8">
        <v>1.0000972222222222</v>
      </c>
      <c r="U814" s="98">
        <v>3.3873020409218801</v>
      </c>
      <c r="V814" s="106">
        <v>27810.039325596565</v>
      </c>
      <c r="W814" s="10">
        <v>0.64494617959023337</v>
      </c>
      <c r="X814" s="420"/>
      <c r="Y814" s="420"/>
      <c r="Z814" s="1"/>
      <c r="AA814" s="1"/>
      <c r="AB814" s="1"/>
      <c r="AC814" s="1"/>
      <c r="AD814" s="1"/>
      <c r="AL814" s="23"/>
      <c r="AM814" s="23"/>
    </row>
    <row r="815" spans="17:39">
      <c r="Q815" s="6">
        <v>785</v>
      </c>
      <c r="R815" s="7">
        <v>43452</v>
      </c>
      <c r="S815" s="210">
        <v>3.5</v>
      </c>
      <c r="T815" s="8">
        <v>1.0000972222222222</v>
      </c>
      <c r="U815" s="98">
        <v>3.3875881570370581</v>
      </c>
      <c r="V815" s="106">
        <v>27812.204781398552</v>
      </c>
      <c r="W815" s="10">
        <v>0.64502767755503232</v>
      </c>
      <c r="X815" s="420"/>
      <c r="Y815" s="420"/>
      <c r="Z815" s="1"/>
      <c r="AA815" s="1"/>
      <c r="AB815" s="1"/>
      <c r="AC815" s="1"/>
      <c r="AD815" s="1"/>
      <c r="AL815" s="23"/>
      <c r="AM815" s="23"/>
    </row>
    <row r="816" spans="17:39">
      <c r="Q816" s="6">
        <v>786</v>
      </c>
      <c r="R816" s="7">
        <v>43453</v>
      </c>
      <c r="S816" s="210">
        <v>3.5</v>
      </c>
      <c r="T816" s="8">
        <v>1.0000972222222222</v>
      </c>
      <c r="U816" s="98">
        <v>3.3878735459102138</v>
      </c>
      <c r="V816" s="106">
        <v>27814.370405815869</v>
      </c>
      <c r="W816" s="10">
        <v>0.64510896821161623</v>
      </c>
      <c r="X816" s="420"/>
      <c r="Y816" s="420"/>
      <c r="Z816" s="1"/>
      <c r="AA816" s="1"/>
      <c r="AB816" s="1"/>
      <c r="AC816" s="1"/>
      <c r="AD816" s="1"/>
      <c r="AL816" s="23"/>
      <c r="AM816" s="23"/>
    </row>
    <row r="817" spans="17:39">
      <c r="Q817" s="6">
        <v>787</v>
      </c>
      <c r="R817" s="7">
        <v>43454</v>
      </c>
      <c r="S817" s="210">
        <v>3.5</v>
      </c>
      <c r="T817" s="8">
        <v>1.0000972222222222</v>
      </c>
      <c r="U817" s="98">
        <v>3.3881582103105101</v>
      </c>
      <c r="V817" s="106">
        <v>27816.536198861642</v>
      </c>
      <c r="W817" s="10">
        <v>0.6451900523499754</v>
      </c>
      <c r="X817" s="420"/>
      <c r="Y817" s="420"/>
      <c r="Z817" s="1"/>
      <c r="AA817" s="1"/>
      <c r="AB817" s="1"/>
      <c r="AC817" s="1"/>
      <c r="AD817" s="1"/>
      <c r="AL817" s="23"/>
      <c r="AM817" s="23"/>
    </row>
    <row r="818" spans="17:39">
      <c r="Q818" s="6">
        <v>788</v>
      </c>
      <c r="R818" s="7">
        <v>43455</v>
      </c>
      <c r="S818" s="210">
        <v>3.5</v>
      </c>
      <c r="T818" s="8">
        <v>1.0000972222222222</v>
      </c>
      <c r="U818" s="98">
        <v>3.388442152993143</v>
      </c>
      <c r="V818" s="106">
        <v>27818.702160548997</v>
      </c>
      <c r="W818" s="10">
        <v>0.64527093075612552</v>
      </c>
      <c r="X818" s="420"/>
      <c r="Y818" s="420"/>
      <c r="Z818" s="1"/>
      <c r="AA818" s="1"/>
      <c r="AB818" s="1"/>
      <c r="AC818" s="1"/>
      <c r="AD818" s="1"/>
      <c r="AL818" s="23"/>
      <c r="AM818" s="23"/>
    </row>
    <row r="819" spans="17:39">
      <c r="Q819" s="6">
        <v>789</v>
      </c>
      <c r="R819" s="7">
        <v>43456</v>
      </c>
      <c r="S819" s="210">
        <v>3.5</v>
      </c>
      <c r="T819" s="8">
        <v>1.0000972222222222</v>
      </c>
      <c r="U819" s="98">
        <v>3.3887253766992975</v>
      </c>
      <c r="V819" s="106">
        <v>27820.868290891074</v>
      </c>
      <c r="W819" s="10">
        <v>0.64535160421201887</v>
      </c>
      <c r="X819" s="420"/>
      <c r="Y819" s="420"/>
      <c r="Z819" s="1"/>
      <c r="AA819" s="1"/>
      <c r="AB819" s="1"/>
      <c r="AC819" s="1"/>
      <c r="AD819" s="1"/>
      <c r="AL819" s="23"/>
      <c r="AM819" s="23"/>
    </row>
    <row r="820" spans="17:39">
      <c r="Q820" s="6">
        <v>790</v>
      </c>
      <c r="R820" s="7">
        <v>43457</v>
      </c>
      <c r="S820" s="210">
        <v>3.5</v>
      </c>
      <c r="T820" s="8">
        <v>1.0000972222222222</v>
      </c>
      <c r="U820" s="98">
        <v>3.3890078841563476</v>
      </c>
      <c r="V820" s="106">
        <v>27823.034589900995</v>
      </c>
      <c r="W820" s="10">
        <v>0.64543207349576637</v>
      </c>
      <c r="X820" s="420"/>
      <c r="Y820" s="420"/>
      <c r="Z820" s="1"/>
      <c r="AA820" s="1"/>
      <c r="AB820" s="1"/>
      <c r="AC820" s="1"/>
      <c r="AD820" s="1"/>
      <c r="AL820" s="23"/>
      <c r="AM820" s="23"/>
    </row>
    <row r="821" spans="17:39">
      <c r="Q821" s="6">
        <v>791</v>
      </c>
      <c r="R821" s="7">
        <v>43458</v>
      </c>
      <c r="S821" s="210">
        <v>3.5</v>
      </c>
      <c r="T821" s="8">
        <v>1.0000972222222222</v>
      </c>
      <c r="U821" s="98">
        <v>3.3892896780778337</v>
      </c>
      <c r="V821" s="106">
        <v>27825.201057591898</v>
      </c>
      <c r="W821" s="10">
        <v>0.64551233938143771</v>
      </c>
      <c r="X821" s="420"/>
      <c r="Y821" s="420"/>
      <c r="Z821" s="1"/>
      <c r="AA821" s="1"/>
      <c r="AB821" s="1"/>
      <c r="AC821" s="1"/>
      <c r="AD821" s="1"/>
      <c r="AL821" s="23"/>
      <c r="AM821" s="23"/>
    </row>
    <row r="822" spans="17:39">
      <c r="Q822" s="6">
        <v>792</v>
      </c>
      <c r="R822" s="7">
        <v>43459</v>
      </c>
      <c r="S822" s="210">
        <v>3.5</v>
      </c>
      <c r="T822" s="8">
        <v>1.0000972222222222</v>
      </c>
      <c r="U822" s="98">
        <v>3.3895707611636627</v>
      </c>
      <c r="V822" s="106">
        <v>27827.367693976925</v>
      </c>
      <c r="W822" s="10">
        <v>0.645592402639239</v>
      </c>
      <c r="X822" s="420"/>
      <c r="Y822" s="420"/>
      <c r="Z822" s="1"/>
      <c r="AA822" s="1"/>
      <c r="AB822" s="1"/>
      <c r="AC822" s="1"/>
      <c r="AD822" s="1"/>
      <c r="AL822" s="23"/>
      <c r="AM822" s="23"/>
    </row>
    <row r="823" spans="17:39">
      <c r="Q823" s="6">
        <v>793</v>
      </c>
      <c r="R823" s="7">
        <v>43460</v>
      </c>
      <c r="S823" s="210">
        <v>3.5</v>
      </c>
      <c r="T823" s="8">
        <v>1.0000972222222222</v>
      </c>
      <c r="U823" s="98">
        <v>3.389851136100086</v>
      </c>
      <c r="V823" s="106">
        <v>27829.534499069196</v>
      </c>
      <c r="W823" s="10">
        <v>0.64567226403549061</v>
      </c>
      <c r="X823" s="420"/>
      <c r="Y823" s="420"/>
      <c r="Z823" s="1"/>
      <c r="AA823" s="1"/>
      <c r="AB823" s="1"/>
      <c r="AC823" s="1"/>
      <c r="AD823" s="1"/>
      <c r="AL823" s="23"/>
      <c r="AM823" s="23"/>
    </row>
    <row r="824" spans="17:39">
      <c r="Q824" s="6">
        <v>794</v>
      </c>
      <c r="R824" s="7">
        <v>43461</v>
      </c>
      <c r="S824" s="210">
        <v>3.5</v>
      </c>
      <c r="T824" s="8">
        <v>1.0000972222222222</v>
      </c>
      <c r="U824" s="98">
        <v>3.3901308055598767</v>
      </c>
      <c r="V824" s="106">
        <v>27831.701472881858</v>
      </c>
      <c r="W824" s="10">
        <v>0.64575192433271589</v>
      </c>
      <c r="X824" s="420"/>
      <c r="Y824" s="420"/>
      <c r="Z824" s="1"/>
      <c r="AA824" s="1"/>
      <c r="AB824" s="1"/>
      <c r="AC824" s="1"/>
      <c r="AD824" s="1"/>
      <c r="AL824" s="23"/>
      <c r="AM824" s="23"/>
    </row>
    <row r="825" spans="17:39">
      <c r="Q825" s="6">
        <v>795</v>
      </c>
      <c r="R825" s="7">
        <v>43462</v>
      </c>
      <c r="S825" s="210">
        <v>3.5</v>
      </c>
      <c r="T825" s="8">
        <v>1.0000972222222222</v>
      </c>
      <c r="U825" s="98">
        <v>3.3904097722023518</v>
      </c>
      <c r="V825" s="106">
        <v>27833.868615428055</v>
      </c>
      <c r="W825" s="10">
        <v>0.64583138428941922</v>
      </c>
      <c r="X825" s="420"/>
      <c r="Y825" s="420"/>
      <c r="Z825" s="1"/>
      <c r="AA825" s="1"/>
      <c r="AB825" s="1"/>
      <c r="AC825" s="1"/>
      <c r="AD825" s="1"/>
      <c r="AL825" s="23"/>
      <c r="AM825" s="23"/>
    </row>
    <row r="826" spans="17:39">
      <c r="Q826" s="6">
        <v>796</v>
      </c>
      <c r="R826" s="7">
        <v>43463</v>
      </c>
      <c r="S826" s="210">
        <v>3.5</v>
      </c>
      <c r="T826" s="8">
        <v>1.0000972222222222</v>
      </c>
      <c r="U826" s="98">
        <v>3.3906880386734839</v>
      </c>
      <c r="V826" s="106">
        <v>27836.03592672091</v>
      </c>
      <c r="W826" s="10">
        <v>0.64591064466053005</v>
      </c>
      <c r="X826" s="420"/>
      <c r="Y826" s="420"/>
      <c r="Z826" s="1"/>
      <c r="AA826" s="1"/>
      <c r="AB826" s="1"/>
      <c r="AC826" s="1"/>
      <c r="AD826" s="1"/>
      <c r="AL826" s="23"/>
      <c r="AM826" s="23"/>
    </row>
    <row r="827" spans="17:39">
      <c r="Q827" s="6">
        <v>797</v>
      </c>
      <c r="R827" s="7">
        <v>43464</v>
      </c>
      <c r="S827" s="210">
        <v>3.5</v>
      </c>
      <c r="T827" s="8">
        <v>1.0000972222222222</v>
      </c>
      <c r="U827" s="98">
        <v>3.3909656076059891</v>
      </c>
      <c r="V827" s="106">
        <v>27838.203406773569</v>
      </c>
      <c r="W827" s="10">
        <v>0.64598970619702545</v>
      </c>
      <c r="X827" s="420"/>
      <c r="Y827" s="420"/>
      <c r="Z827" s="1"/>
      <c r="AA827" s="1"/>
      <c r="AB827" s="1"/>
      <c r="AC827" s="1"/>
      <c r="AD827" s="1"/>
      <c r="AL827" s="23"/>
      <c r="AM827" s="23"/>
    </row>
    <row r="828" spans="17:39">
      <c r="Q828" s="6">
        <v>798</v>
      </c>
      <c r="R828" s="7">
        <v>43465</v>
      </c>
      <c r="S828" s="210">
        <v>3.5</v>
      </c>
      <c r="T828" s="8">
        <v>1.0000972222222222</v>
      </c>
      <c r="U828" s="98">
        <v>3.3912424816193942</v>
      </c>
      <c r="V828" s="106">
        <v>27840.371055599178</v>
      </c>
      <c r="W828" s="10">
        <v>0.64606856964619652</v>
      </c>
      <c r="X828" s="420"/>
      <c r="Y828" s="420"/>
      <c r="Z828" s="1"/>
      <c r="AA828" s="1"/>
      <c r="AB828" s="1"/>
      <c r="AC828" s="1"/>
      <c r="AD828" s="1"/>
      <c r="AL828" s="23"/>
      <c r="AM828" s="23"/>
    </row>
    <row r="829" spans="17:39">
      <c r="Q829" s="6">
        <v>799</v>
      </c>
      <c r="R829" s="7">
        <v>43466</v>
      </c>
      <c r="S829" s="210">
        <v>3.5</v>
      </c>
      <c r="T829" s="8">
        <v>1.0000972222222222</v>
      </c>
      <c r="U829" s="98">
        <v>3.3915186633201033</v>
      </c>
      <c r="V829" s="106">
        <v>27842.538873210873</v>
      </c>
      <c r="W829" s="10">
        <v>0.64614723575151523</v>
      </c>
      <c r="X829" s="420"/>
      <c r="Y829" s="420"/>
      <c r="Z829" s="1"/>
      <c r="AA829" s="1"/>
      <c r="AB829" s="1"/>
      <c r="AC829" s="1"/>
      <c r="AD829" s="1"/>
      <c r="AL829" s="23"/>
      <c r="AM829" s="23"/>
    </row>
    <row r="830" spans="17:39">
      <c r="Q830" s="6">
        <v>800</v>
      </c>
      <c r="R830" s="7">
        <v>43467</v>
      </c>
      <c r="S830" s="210">
        <v>3.5</v>
      </c>
      <c r="T830" s="8">
        <v>1.0000972222222222</v>
      </c>
      <c r="U830" s="98">
        <v>3.3917941553015529</v>
      </c>
      <c r="V830" s="106">
        <v>27844.706859621798</v>
      </c>
      <c r="W830" s="10">
        <v>0.64622570525287859</v>
      </c>
      <c r="X830" s="420"/>
      <c r="Y830" s="420"/>
      <c r="Z830" s="1"/>
      <c r="AA830" s="1"/>
      <c r="AB830" s="1"/>
      <c r="AC830" s="1"/>
      <c r="AD830" s="1"/>
      <c r="AL830" s="23"/>
      <c r="AM830" s="23"/>
    </row>
    <row r="831" spans="17:39">
      <c r="Q831" s="6">
        <v>801</v>
      </c>
      <c r="R831" s="7">
        <v>43468</v>
      </c>
      <c r="S831" s="210">
        <v>3.5</v>
      </c>
      <c r="T831" s="8">
        <v>1.0000972222222222</v>
      </c>
      <c r="U831" s="98">
        <v>3.3920689601442122</v>
      </c>
      <c r="V831" s="106">
        <v>27846.875014845096</v>
      </c>
      <c r="W831" s="10">
        <v>0.64630397888632007</v>
      </c>
      <c r="X831" s="420"/>
      <c r="Y831" s="420"/>
      <c r="Z831" s="1"/>
      <c r="AA831" s="1"/>
      <c r="AB831" s="1"/>
      <c r="AC831" s="1"/>
      <c r="AD831" s="1"/>
      <c r="AL831" s="23"/>
      <c r="AM831" s="23"/>
    </row>
    <row r="832" spans="17:39">
      <c r="Q832" s="6">
        <v>802</v>
      </c>
      <c r="R832" s="7">
        <v>43469</v>
      </c>
      <c r="S832" s="210">
        <v>3.5</v>
      </c>
      <c r="T832" s="8">
        <v>1.0000972222222222</v>
      </c>
      <c r="U832" s="98">
        <v>3.3923430804156718</v>
      </c>
      <c r="V832" s="106">
        <v>27849.043338893913</v>
      </c>
      <c r="W832" s="10">
        <v>0.64638205738432042</v>
      </c>
      <c r="X832" s="420"/>
      <c r="Y832" s="420"/>
      <c r="Z832" s="1"/>
      <c r="AA832" s="1"/>
      <c r="AB832" s="1"/>
      <c r="AC832" s="1"/>
      <c r="AD832" s="1"/>
      <c r="AL832" s="23"/>
      <c r="AM832" s="23"/>
    </row>
    <row r="833" spans="17:39">
      <c r="Q833" s="6">
        <v>803</v>
      </c>
      <c r="R833" s="7">
        <v>43470</v>
      </c>
      <c r="S833" s="210">
        <v>3.5</v>
      </c>
      <c r="T833" s="8">
        <v>1.0000972222222222</v>
      </c>
      <c r="U833" s="98">
        <v>3.3926165186707768</v>
      </c>
      <c r="V833" s="106">
        <v>27851.211831781391</v>
      </c>
      <c r="W833" s="10">
        <v>0.64645994147565222</v>
      </c>
      <c r="X833" s="420"/>
      <c r="Y833" s="420"/>
      <c r="Z833" s="1"/>
      <c r="AA833" s="1"/>
      <c r="AB833" s="1"/>
      <c r="AC833" s="1"/>
      <c r="AD833" s="1"/>
      <c r="AL833" s="23"/>
      <c r="AM833" s="23"/>
    </row>
    <row r="834" spans="17:39">
      <c r="Q834" s="6">
        <v>804</v>
      </c>
      <c r="R834" s="7">
        <v>43471</v>
      </c>
      <c r="S834" s="210">
        <v>3.5</v>
      </c>
      <c r="T834" s="8">
        <v>1.0000972222222222</v>
      </c>
      <c r="U834" s="98">
        <v>3.3928892774516717</v>
      </c>
      <c r="V834" s="106">
        <v>27853.380493520679</v>
      </c>
      <c r="W834" s="10">
        <v>0.64653763188551316</v>
      </c>
      <c r="X834" s="420"/>
      <c r="Y834" s="420"/>
      <c r="Z834" s="1"/>
      <c r="AA834" s="1"/>
      <c r="AB834" s="1"/>
      <c r="AC834" s="1"/>
      <c r="AD834" s="1"/>
      <c r="AL834" s="23"/>
      <c r="AM834" s="23"/>
    </row>
    <row r="835" spans="17:39">
      <c r="Q835" s="6">
        <v>805</v>
      </c>
      <c r="R835" s="7">
        <v>43472</v>
      </c>
      <c r="S835" s="210">
        <v>3.5</v>
      </c>
      <c r="T835" s="8">
        <v>1.0000972222222222</v>
      </c>
      <c r="U835" s="98">
        <v>3.3931613592878884</v>
      </c>
      <c r="V835" s="106">
        <v>27855.549324124931</v>
      </c>
      <c r="W835" s="10">
        <v>0.6466151293354816</v>
      </c>
      <c r="X835" s="420"/>
      <c r="Y835" s="420"/>
      <c r="Z835" s="1"/>
      <c r="AA835" s="1"/>
      <c r="AB835" s="1"/>
      <c r="AC835" s="1"/>
      <c r="AD835" s="1"/>
      <c r="AL835" s="23"/>
      <c r="AM835" s="23"/>
    </row>
    <row r="836" spans="17:39">
      <c r="Q836" s="6">
        <v>806</v>
      </c>
      <c r="R836" s="7">
        <v>43473</v>
      </c>
      <c r="S836" s="210">
        <v>3.5</v>
      </c>
      <c r="T836" s="8">
        <v>1.0000972222222222</v>
      </c>
      <c r="U836" s="98">
        <v>3.3934327666964137</v>
      </c>
      <c r="V836" s="106">
        <v>27857.718323607289</v>
      </c>
      <c r="W836" s="10">
        <v>0.64669243454353875</v>
      </c>
      <c r="X836" s="420"/>
      <c r="Y836" s="420"/>
      <c r="Z836" s="1"/>
      <c r="AA836" s="1"/>
      <c r="AB836" s="1"/>
      <c r="AC836" s="1"/>
      <c r="AD836" s="1"/>
      <c r="AL836" s="23"/>
      <c r="AM836" s="23"/>
    </row>
    <row r="837" spans="17:39">
      <c r="Q837" s="6">
        <v>807</v>
      </c>
      <c r="R837" s="7">
        <v>43474</v>
      </c>
      <c r="S837" s="210">
        <v>3.5</v>
      </c>
      <c r="T837" s="8">
        <v>1.0000972222222222</v>
      </c>
      <c r="U837" s="98">
        <v>3.393703502181733</v>
      </c>
      <c r="V837" s="106">
        <v>27859.887491980906</v>
      </c>
      <c r="W837" s="10">
        <v>0.64676954822411314</v>
      </c>
      <c r="X837" s="420"/>
      <c r="Y837" s="420"/>
      <c r="Z837" s="1"/>
      <c r="AA837" s="1"/>
      <c r="AB837" s="1"/>
      <c r="AC837" s="1"/>
      <c r="AD837" s="1"/>
      <c r="AL837" s="23"/>
      <c r="AM837" s="23"/>
    </row>
    <row r="838" spans="17:39">
      <c r="Q838" s="6">
        <v>808</v>
      </c>
      <c r="R838" s="7">
        <v>43475</v>
      </c>
      <c r="S838" s="210">
        <v>3.5</v>
      </c>
      <c r="T838" s="8">
        <v>1.0000972222222222</v>
      </c>
      <c r="U838" s="98">
        <v>3.3939735682360306</v>
      </c>
      <c r="V838" s="106">
        <v>27862.056829258931</v>
      </c>
      <c r="W838" s="10">
        <v>0.64684647108810278</v>
      </c>
      <c r="X838" s="420"/>
      <c r="Y838" s="420"/>
      <c r="Z838" s="1"/>
      <c r="AA838" s="1"/>
      <c r="AB838" s="1"/>
      <c r="AC838" s="1"/>
      <c r="AD838" s="1"/>
      <c r="AL838" s="23"/>
      <c r="AM838" s="23"/>
    </row>
    <row r="839" spans="17:39">
      <c r="Q839" s="6">
        <v>809</v>
      </c>
      <c r="R839" s="7">
        <v>43476</v>
      </c>
      <c r="S839" s="210">
        <v>3.5</v>
      </c>
      <c r="T839" s="8">
        <v>1.0000972222222222</v>
      </c>
      <c r="U839" s="98">
        <v>3.3942429673391006</v>
      </c>
      <c r="V839" s="106">
        <v>27864.226335454518</v>
      </c>
      <c r="W839" s="10">
        <v>0.64692320384289737</v>
      </c>
      <c r="X839" s="420"/>
      <c r="Y839" s="420"/>
      <c r="Z839" s="1"/>
      <c r="AA839" s="1"/>
      <c r="AB839" s="1"/>
      <c r="AC839" s="1"/>
      <c r="AD839" s="1"/>
      <c r="AL839" s="23"/>
      <c r="AM839" s="23"/>
    </row>
    <row r="840" spans="17:39">
      <c r="Q840" s="6">
        <v>810</v>
      </c>
      <c r="R840" s="7">
        <v>43477</v>
      </c>
      <c r="S840" s="210">
        <v>3.5</v>
      </c>
      <c r="T840" s="8">
        <v>1.0000972222222222</v>
      </c>
      <c r="U840" s="98">
        <v>3.3945117019585247</v>
      </c>
      <c r="V840" s="106">
        <v>27866.396010580811</v>
      </c>
      <c r="W840" s="10">
        <v>0.64699974719237829</v>
      </c>
      <c r="X840" s="420"/>
      <c r="Y840" s="420"/>
      <c r="Z840" s="1"/>
      <c r="AA840" s="1"/>
      <c r="AB840" s="1"/>
      <c r="AC840" s="1"/>
      <c r="AD840" s="1"/>
      <c r="AL840" s="23"/>
      <c r="AM840" s="23"/>
    </row>
    <row r="841" spans="17:39">
      <c r="Q841" s="6">
        <v>811</v>
      </c>
      <c r="R841" s="7">
        <v>43478</v>
      </c>
      <c r="S841" s="210">
        <v>3.5</v>
      </c>
      <c r="T841" s="8">
        <v>1.0000972222222222</v>
      </c>
      <c r="U841" s="98">
        <v>3.3947797745497388</v>
      </c>
      <c r="V841" s="106">
        <v>27868.565854650973</v>
      </c>
      <c r="W841" s="10">
        <v>0.64707610183696307</v>
      </c>
      <c r="X841" s="420"/>
      <c r="Y841" s="420"/>
      <c r="Z841" s="1"/>
      <c r="AA841" s="1"/>
      <c r="AB841" s="1"/>
      <c r="AC841" s="1"/>
      <c r="AD841" s="1"/>
      <c r="AL841" s="23"/>
      <c r="AM841" s="23"/>
    </row>
    <row r="842" spans="17:39">
      <c r="Q842" s="6">
        <v>812</v>
      </c>
      <c r="R842" s="7">
        <v>43479</v>
      </c>
      <c r="S842" s="210">
        <v>3.5</v>
      </c>
      <c r="T842" s="8">
        <v>1.0000972222222222</v>
      </c>
      <c r="U842" s="98">
        <v>3.3950471875561217</v>
      </c>
      <c r="V842" s="106">
        <v>27870.735867678166</v>
      </c>
      <c r="W842" s="10">
        <v>0.64715226847364971</v>
      </c>
      <c r="X842" s="420"/>
      <c r="Y842" s="420"/>
      <c r="Z842" s="1"/>
      <c r="AA842" s="1"/>
      <c r="AB842" s="1"/>
      <c r="AC842" s="1"/>
      <c r="AD842" s="1"/>
      <c r="AL842" s="23"/>
      <c r="AM842" s="23"/>
    </row>
    <row r="843" spans="17:39">
      <c r="Q843" s="6">
        <v>813</v>
      </c>
      <c r="R843" s="7">
        <v>43480</v>
      </c>
      <c r="S843" s="210">
        <v>3.5</v>
      </c>
      <c r="T843" s="8">
        <v>1.0000972222222222</v>
      </c>
      <c r="U843" s="98">
        <v>3.3953139434089952</v>
      </c>
      <c r="V843" s="106">
        <v>27872.90604967553</v>
      </c>
      <c r="W843" s="10">
        <v>0.64722824779597232</v>
      </c>
      <c r="X843" s="420"/>
      <c r="Y843" s="420"/>
      <c r="Z843" s="1"/>
      <c r="AA843" s="1"/>
      <c r="AB843" s="1"/>
      <c r="AC843" s="1"/>
      <c r="AD843" s="1"/>
      <c r="AL843" s="23"/>
      <c r="AM843" s="23"/>
    </row>
    <row r="844" spans="17:39">
      <c r="Q844" s="6">
        <v>814</v>
      </c>
      <c r="R844" s="7">
        <v>43481</v>
      </c>
      <c r="S844" s="210">
        <v>3.5</v>
      </c>
      <c r="T844" s="8">
        <v>1.0000972222222222</v>
      </c>
      <c r="U844" s="98">
        <v>3.3955800445277795</v>
      </c>
      <c r="V844" s="106">
        <v>27875.076400656231</v>
      </c>
      <c r="W844" s="10">
        <v>0.64730404049404555</v>
      </c>
      <c r="X844" s="420"/>
      <c r="Y844" s="420"/>
      <c r="Z844" s="1"/>
      <c r="AA844" s="1"/>
      <c r="AB844" s="1"/>
      <c r="AC844" s="1"/>
      <c r="AD844" s="1"/>
      <c r="AL844" s="23"/>
      <c r="AM844" s="23"/>
    </row>
    <row r="845" spans="17:39">
      <c r="Q845" s="6">
        <v>815</v>
      </c>
      <c r="R845" s="7">
        <v>43482</v>
      </c>
      <c r="S845" s="210">
        <v>3.5</v>
      </c>
      <c r="T845" s="8">
        <v>1.0000972222222222</v>
      </c>
      <c r="U845" s="98">
        <v>3.3958454933199933</v>
      </c>
      <c r="V845" s="106">
        <v>27877.246920633424</v>
      </c>
      <c r="W845" s="10">
        <v>0.64737964725463115</v>
      </c>
      <c r="X845" s="420"/>
      <c r="Y845" s="420"/>
      <c r="Z845" s="1"/>
      <c r="AA845" s="1"/>
      <c r="AB845" s="1"/>
      <c r="AC845" s="1"/>
      <c r="AD845" s="1"/>
      <c r="AL845" s="23"/>
      <c r="AM845" s="23"/>
    </row>
    <row r="846" spans="17:39">
      <c r="Q846" s="6">
        <v>816</v>
      </c>
      <c r="R846" s="7">
        <v>43483</v>
      </c>
      <c r="S846" s="210">
        <v>3.5</v>
      </c>
      <c r="T846" s="8">
        <v>1.0000972222222222</v>
      </c>
      <c r="U846" s="98">
        <v>3.3961102921814312</v>
      </c>
      <c r="V846" s="106">
        <v>27879.417609620268</v>
      </c>
      <c r="W846" s="10">
        <v>0.64745506876113801</v>
      </c>
      <c r="X846" s="420"/>
      <c r="Y846" s="420"/>
      <c r="Z846" s="1"/>
      <c r="AA846" s="1"/>
      <c r="AB846" s="1"/>
      <c r="AC846" s="1"/>
      <c r="AD846" s="1"/>
      <c r="AL846" s="23"/>
      <c r="AM846" s="23"/>
    </row>
    <row r="847" spans="17:39">
      <c r="Q847" s="6">
        <v>817</v>
      </c>
      <c r="R847" s="7">
        <v>43484</v>
      </c>
      <c r="S847" s="210">
        <v>3.5</v>
      </c>
      <c r="T847" s="8">
        <v>1.0000972222222222</v>
      </c>
      <c r="U847" s="98">
        <v>3.3963744434960974</v>
      </c>
      <c r="V847" s="106">
        <v>27881.588467629925</v>
      </c>
      <c r="W847" s="10">
        <v>0.64753030569355552</v>
      </c>
      <c r="X847" s="420"/>
      <c r="Y847" s="420"/>
      <c r="Z847" s="1"/>
      <c r="AA847" s="1"/>
      <c r="AB847" s="1"/>
      <c r="AC847" s="1"/>
      <c r="AD847" s="1"/>
      <c r="AL847" s="23"/>
      <c r="AM847" s="23"/>
    </row>
    <row r="848" spans="17:39">
      <c r="Q848" s="6">
        <v>818</v>
      </c>
      <c r="R848" s="7">
        <v>43485</v>
      </c>
      <c r="S848" s="210">
        <v>3.5</v>
      </c>
      <c r="T848" s="8">
        <v>1.0000972222222222</v>
      </c>
      <c r="U848" s="98">
        <v>3.396637949636383</v>
      </c>
      <c r="V848" s="106">
        <v>27883.75949467556</v>
      </c>
      <c r="W848" s="10">
        <v>0.64760535872863123</v>
      </c>
      <c r="X848" s="420"/>
      <c r="Y848" s="420"/>
      <c r="Z848" s="1"/>
      <c r="AA848" s="1"/>
      <c r="AB848" s="1"/>
      <c r="AC848" s="1"/>
      <c r="AD848" s="1"/>
      <c r="AL848" s="23"/>
      <c r="AM848" s="23"/>
    </row>
    <row r="849" spans="17:39">
      <c r="Q849" s="6">
        <v>819</v>
      </c>
      <c r="R849" s="7">
        <v>43486</v>
      </c>
      <c r="S849" s="210">
        <v>3.5</v>
      </c>
      <c r="T849" s="8">
        <v>1.0000972222222222</v>
      </c>
      <c r="U849" s="98">
        <v>3.3969008129631328</v>
      </c>
      <c r="V849" s="106">
        <v>27885.930690770325</v>
      </c>
      <c r="W849" s="10">
        <v>0.64768022853978202</v>
      </c>
      <c r="X849" s="420"/>
      <c r="Y849" s="420"/>
      <c r="Z849" s="1"/>
      <c r="AA849" s="1"/>
      <c r="AB849" s="1"/>
      <c r="AC849" s="1"/>
      <c r="AD849" s="1"/>
      <c r="AL849" s="23"/>
      <c r="AM849" s="23"/>
    </row>
    <row r="850" spans="17:39">
      <c r="Q850" s="6">
        <v>820</v>
      </c>
      <c r="R850" s="7">
        <v>43487</v>
      </c>
      <c r="S850" s="210">
        <v>3.5</v>
      </c>
      <c r="T850" s="8">
        <v>1.0000972222222222</v>
      </c>
      <c r="U850" s="98">
        <v>3.3971630358256455</v>
      </c>
      <c r="V850" s="106">
        <v>27888.102055927397</v>
      </c>
      <c r="W850" s="10">
        <v>0.64775491579713851</v>
      </c>
      <c r="X850" s="420"/>
      <c r="Y850" s="420"/>
      <c r="Z850" s="1"/>
      <c r="AA850" s="1"/>
      <c r="AB850" s="1"/>
      <c r="AC850" s="1"/>
      <c r="AD850" s="1"/>
      <c r="AL850" s="23"/>
      <c r="AM850" s="23"/>
    </row>
    <row r="851" spans="17:39">
      <c r="Q851" s="6">
        <v>821</v>
      </c>
      <c r="R851" s="7">
        <v>43488</v>
      </c>
      <c r="S851" s="210">
        <v>3.5</v>
      </c>
      <c r="T851" s="8">
        <v>1.0000972222222222</v>
      </c>
      <c r="U851" s="98">
        <v>3.3974246205618064</v>
      </c>
      <c r="V851" s="106">
        <v>27890.273590159926</v>
      </c>
      <c r="W851" s="10">
        <v>0.64782942116754505</v>
      </c>
      <c r="X851" s="420"/>
      <c r="Y851" s="420"/>
      <c r="Z851" s="1"/>
      <c r="AA851" s="1"/>
      <c r="AB851" s="1"/>
      <c r="AC851" s="1"/>
      <c r="AD851" s="1"/>
      <c r="AL851" s="23"/>
      <c r="AM851" s="23"/>
    </row>
    <row r="852" spans="17:39">
      <c r="Q852" s="6">
        <v>822</v>
      </c>
      <c r="R852" s="7">
        <v>43489</v>
      </c>
      <c r="S852" s="210">
        <v>3.5</v>
      </c>
      <c r="T852" s="8">
        <v>1.0000972222222222</v>
      </c>
      <c r="U852" s="98">
        <v>3.3976855694981323</v>
      </c>
      <c r="V852" s="106">
        <v>27892.44529348108</v>
      </c>
      <c r="W852" s="10">
        <v>0.64790374531464856</v>
      </c>
      <c r="X852" s="420"/>
      <c r="Y852" s="420"/>
      <c r="Z852" s="1"/>
      <c r="AA852" s="1"/>
      <c r="AB852" s="1"/>
      <c r="AC852" s="1"/>
      <c r="AD852" s="1"/>
      <c r="AL852" s="23"/>
      <c r="AM852" s="23"/>
    </row>
    <row r="853" spans="17:39">
      <c r="Q853" s="6">
        <v>823</v>
      </c>
      <c r="R853" s="7">
        <v>43490</v>
      </c>
      <c r="S853" s="210">
        <v>3.5</v>
      </c>
      <c r="T853" s="8">
        <v>1.0000972222222222</v>
      </c>
      <c r="U853" s="98">
        <v>3.3979458849498156</v>
      </c>
      <c r="V853" s="106">
        <v>27894.617165904037</v>
      </c>
      <c r="W853" s="10">
        <v>0.64797788889878749</v>
      </c>
      <c r="X853" s="420"/>
      <c r="Y853" s="420"/>
      <c r="Z853" s="1"/>
      <c r="AA853" s="1"/>
      <c r="AB853" s="1"/>
      <c r="AC853" s="1"/>
      <c r="AD853" s="1"/>
      <c r="AL853" s="23"/>
      <c r="AM853" s="23"/>
    </row>
    <row r="854" spans="17:39">
      <c r="Q854" s="6">
        <v>824</v>
      </c>
      <c r="R854" s="7">
        <v>43491</v>
      </c>
      <c r="S854" s="210">
        <v>3.5</v>
      </c>
      <c r="T854" s="8">
        <v>1.0000972222222222</v>
      </c>
      <c r="U854" s="98">
        <v>3.3982055692208801</v>
      </c>
      <c r="V854" s="106">
        <v>27896.789207441947</v>
      </c>
      <c r="W854" s="10">
        <v>0.64805185257721387</v>
      </c>
      <c r="X854" s="420"/>
      <c r="Y854" s="420"/>
      <c r="Z854" s="1"/>
      <c r="AA854" s="1"/>
      <c r="AB854" s="1"/>
      <c r="AC854" s="1"/>
      <c r="AD854" s="1"/>
      <c r="AL854" s="23"/>
      <c r="AM854" s="23"/>
    </row>
    <row r="855" spans="17:39">
      <c r="Q855" s="6">
        <v>825</v>
      </c>
      <c r="R855" s="7">
        <v>43492</v>
      </c>
      <c r="S855" s="210">
        <v>3.5</v>
      </c>
      <c r="T855" s="8">
        <v>1.0000972222222222</v>
      </c>
      <c r="U855" s="98">
        <v>3.3984646246041361</v>
      </c>
      <c r="V855" s="106">
        <v>27898.961418107992</v>
      </c>
      <c r="W855" s="10">
        <v>0.64812563700391568</v>
      </c>
      <c r="X855" s="420"/>
      <c r="Y855" s="420"/>
      <c r="Z855" s="1"/>
      <c r="AA855" s="1"/>
      <c r="AB855" s="1"/>
      <c r="AC855" s="1"/>
      <c r="AD855" s="1"/>
      <c r="AL855" s="23"/>
      <c r="AM855" s="23"/>
    </row>
    <row r="856" spans="17:39">
      <c r="Q856" s="6">
        <v>826</v>
      </c>
      <c r="R856" s="7">
        <v>43493</v>
      </c>
      <c r="S856" s="210">
        <v>3.5</v>
      </c>
      <c r="T856" s="8">
        <v>1.0000972222222222</v>
      </c>
      <c r="U856" s="98">
        <v>3.3987230533813362</v>
      </c>
      <c r="V856" s="106">
        <v>27901.13379791534</v>
      </c>
      <c r="W856" s="10">
        <v>0.64819924282970565</v>
      </c>
      <c r="X856" s="420"/>
      <c r="Y856" s="420"/>
      <c r="Z856" s="1"/>
      <c r="AA856" s="1"/>
      <c r="AB856" s="1"/>
      <c r="AC856" s="1"/>
      <c r="AD856" s="1"/>
      <c r="AL856" s="23"/>
      <c r="AM856" s="23"/>
    </row>
    <row r="857" spans="17:39">
      <c r="Q857" s="6">
        <v>827</v>
      </c>
      <c r="R857" s="7">
        <v>43494</v>
      </c>
      <c r="S857" s="210">
        <v>3.5</v>
      </c>
      <c r="T857" s="8">
        <v>1.0000972222222222</v>
      </c>
      <c r="U857" s="98">
        <v>3.3989808578231973</v>
      </c>
      <c r="V857" s="106">
        <v>27903.306346877154</v>
      </c>
      <c r="W857" s="10">
        <v>0.64827267070231009</v>
      </c>
      <c r="X857" s="420"/>
      <c r="Y857" s="420"/>
      <c r="Z857" s="1"/>
      <c r="AA857" s="1"/>
      <c r="AB857" s="1"/>
      <c r="AC857" s="1"/>
      <c r="AD857" s="1"/>
      <c r="AL857" s="23"/>
      <c r="AM857" s="23"/>
    </row>
    <row r="858" spans="17:39">
      <c r="Q858" s="6">
        <v>828</v>
      </c>
      <c r="R858" s="7">
        <v>43495</v>
      </c>
      <c r="S858" s="210">
        <v>3.5</v>
      </c>
      <c r="T858" s="8">
        <v>1.0000972222222222</v>
      </c>
      <c r="U858" s="98">
        <v>3.3992380401894673</v>
      </c>
      <c r="V858" s="106">
        <v>27905.479065006606</v>
      </c>
      <c r="W858" s="10">
        <v>0.6483459212662579</v>
      </c>
      <c r="X858" s="420"/>
      <c r="Y858" s="420"/>
      <c r="Z858" s="1"/>
      <c r="AA858" s="1"/>
      <c r="AB858" s="1"/>
      <c r="AC858" s="1"/>
      <c r="AD858" s="1"/>
      <c r="AL858" s="23"/>
      <c r="AM858" s="23"/>
    </row>
    <row r="859" spans="17:39">
      <c r="Q859" s="6">
        <v>829</v>
      </c>
      <c r="R859" s="7">
        <v>43496</v>
      </c>
      <c r="S859" s="210">
        <v>3.5</v>
      </c>
      <c r="T859" s="8">
        <v>1.0000972222222222</v>
      </c>
      <c r="U859" s="98">
        <v>3.399494602729014</v>
      </c>
      <c r="V859" s="106">
        <v>27907.651952316879</v>
      </c>
      <c r="W859" s="10">
        <v>0.64841899516303592</v>
      </c>
      <c r="X859" s="420"/>
      <c r="Y859" s="420"/>
      <c r="Z859" s="1"/>
      <c r="AA859" s="1"/>
      <c r="AB859" s="1"/>
      <c r="AC859" s="1"/>
      <c r="AD859" s="1"/>
      <c r="AL859" s="23"/>
      <c r="AM859" s="23"/>
    </row>
    <row r="860" spans="17:39">
      <c r="Q860" s="6">
        <v>830</v>
      </c>
      <c r="R860" s="7">
        <v>43497</v>
      </c>
      <c r="S860" s="210">
        <v>3.5</v>
      </c>
      <c r="T860" s="8">
        <v>1.0000972222222222</v>
      </c>
      <c r="U860" s="98">
        <v>3.3997505476798917</v>
      </c>
      <c r="V860" s="106">
        <v>27909.825008821135</v>
      </c>
      <c r="W860" s="10">
        <v>0.64849189303102239</v>
      </c>
      <c r="X860" s="420"/>
      <c r="Y860" s="420"/>
      <c r="Z860" s="1"/>
      <c r="AA860" s="1"/>
      <c r="AB860" s="1"/>
      <c r="AC860" s="1"/>
      <c r="AD860" s="1"/>
      <c r="AL860" s="23"/>
      <c r="AM860" s="23"/>
    </row>
    <row r="861" spans="17:39">
      <c r="Q861" s="6">
        <v>831</v>
      </c>
      <c r="R861" s="7">
        <v>43498</v>
      </c>
      <c r="S861" s="210">
        <v>3.5</v>
      </c>
      <c r="T861" s="8">
        <v>1.0000972222222222</v>
      </c>
      <c r="U861" s="98">
        <v>3.4000058772693631</v>
      </c>
      <c r="V861" s="106">
        <v>27911.998234532552</v>
      </c>
      <c r="W861" s="10">
        <v>0.64856461550546474</v>
      </c>
      <c r="X861" s="420"/>
      <c r="Y861" s="420"/>
      <c r="Z861" s="1"/>
      <c r="AA861" s="1"/>
      <c r="AB861" s="1"/>
      <c r="AC861" s="1"/>
      <c r="AD861" s="1"/>
      <c r="AL861" s="23"/>
      <c r="AM861" s="23"/>
    </row>
    <row r="862" spans="17:39">
      <c r="Q862" s="6">
        <v>832</v>
      </c>
      <c r="R862" s="7">
        <v>43499</v>
      </c>
      <c r="S862" s="210">
        <v>3.5</v>
      </c>
      <c r="T862" s="8">
        <v>1.0000972222222222</v>
      </c>
      <c r="U862" s="98">
        <v>3.4002605937139885</v>
      </c>
      <c r="V862" s="106">
        <v>27914.171629464305</v>
      </c>
      <c r="W862" s="10">
        <v>0.64863716321861276</v>
      </c>
      <c r="X862" s="420"/>
      <c r="Y862" s="420"/>
      <c r="Z862" s="1"/>
      <c r="AA862" s="1"/>
      <c r="AB862" s="1"/>
      <c r="AC862" s="1"/>
      <c r="AD862" s="1"/>
      <c r="AL862" s="23"/>
      <c r="AM862" s="23"/>
    </row>
    <row r="863" spans="17:39">
      <c r="Q863" s="6">
        <v>833</v>
      </c>
      <c r="R863" s="7">
        <v>43500</v>
      </c>
      <c r="S863" s="210">
        <v>3.5</v>
      </c>
      <c r="T863" s="8">
        <v>1.0000972222222222</v>
      </c>
      <c r="U863" s="98">
        <v>3.4005146992197366</v>
      </c>
      <c r="V863" s="106">
        <v>27916.345193629575</v>
      </c>
      <c r="W863" s="10">
        <v>0.64870953679967425</v>
      </c>
      <c r="X863" s="420"/>
      <c r="Y863" s="420"/>
      <c r="Z863" s="1"/>
      <c r="AA863" s="1"/>
      <c r="AB863" s="1"/>
      <c r="AC863" s="1"/>
      <c r="AD863" s="1"/>
      <c r="AL863" s="23"/>
      <c r="AM863" s="23"/>
    </row>
    <row r="864" spans="17:39">
      <c r="Q864" s="6">
        <v>834</v>
      </c>
      <c r="R864" s="7">
        <v>43501</v>
      </c>
      <c r="S864" s="210">
        <v>3.5</v>
      </c>
      <c r="T864" s="8">
        <v>1.0000972222222222</v>
      </c>
      <c r="U864" s="98">
        <v>3.4007681959819847</v>
      </c>
      <c r="V864" s="106">
        <v>27918.518927041532</v>
      </c>
      <c r="W864" s="10">
        <v>0.6487817368748594</v>
      </c>
      <c r="X864" s="420"/>
      <c r="Y864" s="420"/>
      <c r="Z864" s="1"/>
      <c r="AA864" s="1"/>
      <c r="AB864" s="1"/>
      <c r="AC864" s="1"/>
      <c r="AD864" s="1"/>
      <c r="AL864" s="23"/>
      <c r="AM864" s="23"/>
    </row>
    <row r="865" spans="17:39">
      <c r="Q865" s="6">
        <v>835</v>
      </c>
      <c r="R865" s="7">
        <v>43502</v>
      </c>
      <c r="S865" s="210">
        <v>3.5</v>
      </c>
      <c r="T865" s="8">
        <v>1.0000972222222222</v>
      </c>
      <c r="U865" s="98">
        <v>3.4010210861856072</v>
      </c>
      <c r="V865" s="106">
        <v>27920.692829713356</v>
      </c>
      <c r="W865" s="10">
        <v>0.64885376406733641</v>
      </c>
      <c r="X865" s="420"/>
      <c r="Y865" s="420"/>
      <c r="Z865" s="1"/>
      <c r="AA865" s="1"/>
      <c r="AB865" s="1"/>
      <c r="AC865" s="1"/>
      <c r="AD865" s="1"/>
      <c r="AL865" s="23"/>
      <c r="AM865" s="23"/>
    </row>
    <row r="866" spans="17:39">
      <c r="Q866" s="6">
        <v>836</v>
      </c>
      <c r="R866" s="7">
        <v>43503</v>
      </c>
      <c r="S866" s="210">
        <v>3.5</v>
      </c>
      <c r="T866" s="8">
        <v>1.0000972222222222</v>
      </c>
      <c r="U866" s="98">
        <v>3.4012733720050203</v>
      </c>
      <c r="V866" s="106">
        <v>27922.866901658235</v>
      </c>
      <c r="W866" s="10">
        <v>0.64892561899729806</v>
      </c>
      <c r="X866" s="420"/>
      <c r="Y866" s="420"/>
      <c r="Z866" s="1"/>
      <c r="AA866" s="1"/>
      <c r="AB866" s="1"/>
      <c r="AC866" s="1"/>
      <c r="AD866" s="1"/>
      <c r="AL866" s="23"/>
      <c r="AM866" s="23"/>
    </row>
    <row r="867" spans="17:39">
      <c r="Q867" s="6">
        <v>837</v>
      </c>
      <c r="R867" s="7">
        <v>43504</v>
      </c>
      <c r="S867" s="210">
        <v>3.5</v>
      </c>
      <c r="T867" s="8">
        <v>1.0000972222222222</v>
      </c>
      <c r="U867" s="98">
        <v>3.4015250556042709</v>
      </c>
      <c r="V867" s="106">
        <v>27925.041142889342</v>
      </c>
      <c r="W867" s="10">
        <v>0.64899730228200614</v>
      </c>
      <c r="X867" s="420"/>
      <c r="Y867" s="420"/>
      <c r="Z867" s="1"/>
      <c r="AA867" s="1"/>
      <c r="AB867" s="1"/>
      <c r="AC867" s="1"/>
      <c r="AD867" s="1"/>
      <c r="AL867" s="23"/>
      <c r="AM867" s="23"/>
    </row>
    <row r="868" spans="17:39">
      <c r="Q868" s="6">
        <v>838</v>
      </c>
      <c r="R868" s="7">
        <v>43505</v>
      </c>
      <c r="S868" s="210">
        <v>3.5</v>
      </c>
      <c r="T868" s="8">
        <v>1.0000972222222222</v>
      </c>
      <c r="U868" s="98">
        <v>3.4017761391371026</v>
      </c>
      <c r="V868" s="106">
        <v>27927.215553419861</v>
      </c>
      <c r="W868" s="10">
        <v>0.64906881453579146</v>
      </c>
      <c r="X868" s="420"/>
      <c r="Y868" s="420"/>
      <c r="Z868" s="1"/>
      <c r="AA868" s="1"/>
      <c r="AB868" s="1"/>
      <c r="AC868" s="1"/>
      <c r="AD868" s="1"/>
      <c r="AL868" s="23"/>
      <c r="AM868" s="23"/>
    </row>
    <row r="869" spans="17:39">
      <c r="Q869" s="6">
        <v>839</v>
      </c>
      <c r="R869" s="7">
        <v>43506</v>
      </c>
      <c r="S869" s="210">
        <v>3.5</v>
      </c>
      <c r="T869" s="8">
        <v>1.0000972222222222</v>
      </c>
      <c r="U869" s="98">
        <v>3.4020266247469788</v>
      </c>
      <c r="V869" s="106">
        <v>27929.623134003137</v>
      </c>
      <c r="W869" s="10">
        <v>0.64877486936616435</v>
      </c>
      <c r="X869" s="420"/>
      <c r="Y869" s="420"/>
      <c r="Z869" s="1"/>
      <c r="AA869" s="1"/>
      <c r="AB869" s="1"/>
      <c r="AC869" s="1"/>
      <c r="AD869" s="1"/>
      <c r="AL869" s="23"/>
      <c r="AM869" s="23"/>
    </row>
    <row r="870" spans="17:39">
      <c r="Q870" s="6">
        <v>840</v>
      </c>
      <c r="R870" s="7">
        <v>43507</v>
      </c>
      <c r="S870" s="210">
        <v>3.5</v>
      </c>
      <c r="T870" s="8">
        <v>1.0000972222222222</v>
      </c>
      <c r="U870" s="98">
        <v>3.4022765145671707</v>
      </c>
      <c r="V870" s="106">
        <v>27932.030922141807</v>
      </c>
      <c r="W870" s="10">
        <v>0.64848162492139316</v>
      </c>
      <c r="X870" s="420"/>
      <c r="Y870" s="420"/>
      <c r="Z870" s="1"/>
      <c r="AA870" s="1"/>
      <c r="AB870" s="1"/>
      <c r="AC870" s="1"/>
      <c r="AD870" s="1"/>
      <c r="AL870" s="23"/>
      <c r="AM870" s="23"/>
    </row>
    <row r="871" spans="17:39">
      <c r="Q871" s="6">
        <v>841</v>
      </c>
      <c r="R871" s="7">
        <v>43508</v>
      </c>
      <c r="S871" s="210">
        <v>3.5</v>
      </c>
      <c r="T871" s="8">
        <v>1.0000972222222222</v>
      </c>
      <c r="U871" s="98">
        <v>3.4025258107208023</v>
      </c>
      <c r="V871" s="106">
        <v>27934.438917853768</v>
      </c>
      <c r="W871" s="10">
        <v>0.64818907869881315</v>
      </c>
      <c r="X871" s="420"/>
      <c r="Y871" s="420"/>
      <c r="Z871" s="1"/>
      <c r="AA871" s="1"/>
      <c r="AB871" s="1"/>
      <c r="AC871" s="1"/>
      <c r="AD871" s="1"/>
      <c r="AL871" s="23"/>
      <c r="AM871" s="23"/>
    </row>
    <row r="872" spans="17:39">
      <c r="Q872" s="6">
        <v>842</v>
      </c>
      <c r="R872" s="7">
        <v>43509</v>
      </c>
      <c r="S872" s="210">
        <v>3.5</v>
      </c>
      <c r="T872" s="8">
        <v>1.0000972222222222</v>
      </c>
      <c r="U872" s="98">
        <v>3.402774515320961</v>
      </c>
      <c r="V872" s="106">
        <v>27936.847121156909</v>
      </c>
      <c r="W872" s="10">
        <v>0.64789722820768336</v>
      </c>
      <c r="X872" s="420"/>
      <c r="Y872" s="420"/>
      <c r="Z872" s="1"/>
      <c r="AA872" s="1"/>
      <c r="AB872" s="1"/>
      <c r="AC872" s="1"/>
      <c r="AD872" s="1"/>
      <c r="AL872" s="23"/>
      <c r="AM872" s="23"/>
    </row>
    <row r="873" spans="17:39">
      <c r="Q873" s="6">
        <v>843</v>
      </c>
      <c r="R873" s="7">
        <v>43510</v>
      </c>
      <c r="S873" s="210">
        <v>3.5</v>
      </c>
      <c r="T873" s="8">
        <v>1.0000972222222222</v>
      </c>
      <c r="U873" s="98">
        <v>3.4030226304706757</v>
      </c>
      <c r="V873" s="106">
        <v>27939.255532069128</v>
      </c>
      <c r="W873" s="10">
        <v>0.64760607096903122</v>
      </c>
      <c r="X873" s="420"/>
      <c r="Y873" s="420"/>
      <c r="Z873" s="1"/>
      <c r="AA873" s="1"/>
      <c r="AB873" s="1"/>
      <c r="AC873" s="1"/>
      <c r="AD873" s="1"/>
      <c r="AL873" s="23"/>
      <c r="AM873" s="23"/>
    </row>
    <row r="874" spans="17:39">
      <c r="Q874" s="6">
        <v>844</v>
      </c>
      <c r="R874" s="7">
        <v>43511</v>
      </c>
      <c r="S874" s="210">
        <v>3.5</v>
      </c>
      <c r="T874" s="8">
        <v>1.0000972222222222</v>
      </c>
      <c r="U874" s="98">
        <v>3.4032701582630276</v>
      </c>
      <c r="V874" s="106">
        <v>27941.664150608332</v>
      </c>
      <c r="W874" s="10">
        <v>0.64731560451571912</v>
      </c>
      <c r="X874" s="420"/>
      <c r="Y874" s="420"/>
      <c r="Z874" s="1"/>
      <c r="AA874" s="1"/>
      <c r="AB874" s="1"/>
      <c r="AC874" s="1"/>
      <c r="AD874" s="1"/>
      <c r="AL874" s="23"/>
      <c r="AM874" s="23"/>
    </row>
    <row r="875" spans="17:39">
      <c r="Q875" s="6">
        <v>845</v>
      </c>
      <c r="R875" s="7">
        <v>43512</v>
      </c>
      <c r="S875" s="210">
        <v>3.5</v>
      </c>
      <c r="T875" s="8">
        <v>1.0000972222222222</v>
      </c>
      <c r="U875" s="98">
        <v>3.4035171007812393</v>
      </c>
      <c r="V875" s="106">
        <v>27944.072976792406</v>
      </c>
      <c r="W875" s="10">
        <v>0.64702582639231121</v>
      </c>
      <c r="X875" s="420"/>
      <c r="Y875" s="420"/>
      <c r="Z875" s="1"/>
      <c r="AA875" s="1"/>
      <c r="AB875" s="1"/>
      <c r="AC875" s="1"/>
      <c r="AD875" s="1"/>
      <c r="AL875" s="23"/>
      <c r="AM875" s="23"/>
    </row>
    <row r="876" spans="17:39">
      <c r="Q876" s="6">
        <v>846</v>
      </c>
      <c r="R876" s="7">
        <v>43513</v>
      </c>
      <c r="S876" s="210">
        <v>3.5</v>
      </c>
      <c r="T876" s="8">
        <v>1.0000972222222222</v>
      </c>
      <c r="U876" s="98">
        <v>3.40376346009863</v>
      </c>
      <c r="V876" s="106">
        <v>27946.482010639258</v>
      </c>
      <c r="W876" s="10">
        <v>0.64673673415489574</v>
      </c>
      <c r="X876" s="420"/>
      <c r="Y876" s="420"/>
      <c r="Z876" s="1"/>
      <c r="AA876" s="1"/>
      <c r="AB876" s="1"/>
      <c r="AC876" s="1"/>
      <c r="AD876" s="1"/>
      <c r="AL876" s="23"/>
      <c r="AM876" s="23"/>
    </row>
    <row r="877" spans="17:39">
      <c r="Q877" s="6">
        <v>847</v>
      </c>
      <c r="R877" s="7">
        <v>43514</v>
      </c>
      <c r="S877" s="210">
        <v>3.5</v>
      </c>
      <c r="T877" s="8">
        <v>1.0000972222222222</v>
      </c>
      <c r="U877" s="98">
        <v>3.4040092382787712</v>
      </c>
      <c r="V877" s="106">
        <v>27948.891252166792</v>
      </c>
      <c r="W877" s="10">
        <v>0.64644832537121832</v>
      </c>
      <c r="X877" s="420"/>
      <c r="Y877" s="420"/>
      <c r="Z877" s="1"/>
      <c r="AA877" s="1"/>
      <c r="AB877" s="1"/>
      <c r="AC877" s="1"/>
      <c r="AD877" s="1"/>
      <c r="AL877" s="23"/>
      <c r="AM877" s="23"/>
    </row>
    <row r="878" spans="17:39">
      <c r="Q878" s="6">
        <v>848</v>
      </c>
      <c r="R878" s="7">
        <v>43515</v>
      </c>
      <c r="S878" s="210">
        <v>3.5</v>
      </c>
      <c r="T878" s="8">
        <v>1.0000972222222222</v>
      </c>
      <c r="U878" s="98">
        <v>3.404254437375509</v>
      </c>
      <c r="V878" s="106">
        <v>27951.300701392913</v>
      </c>
      <c r="W878" s="10">
        <v>0.64616059762043765</v>
      </c>
      <c r="X878" s="420"/>
      <c r="Y878" s="420"/>
      <c r="Z878" s="1"/>
      <c r="AA878" s="1"/>
      <c r="AB878" s="1"/>
      <c r="AC878" s="1"/>
      <c r="AD878" s="1"/>
      <c r="AL878" s="23"/>
      <c r="AM878" s="23"/>
    </row>
    <row r="879" spans="17:39">
      <c r="Q879" s="6">
        <v>849</v>
      </c>
      <c r="R879" s="7">
        <v>43516</v>
      </c>
      <c r="S879" s="210">
        <v>3.5</v>
      </c>
      <c r="T879" s="8">
        <v>1.0000972222222222</v>
      </c>
      <c r="U879" s="98">
        <v>3.4044990594330304</v>
      </c>
      <c r="V879" s="106">
        <v>27953.710358335517</v>
      </c>
      <c r="W879" s="10">
        <v>0.64587354849325873</v>
      </c>
      <c r="X879" s="420"/>
      <c r="Y879" s="420"/>
      <c r="Z879" s="1"/>
      <c r="AA879" s="1"/>
      <c r="AB879" s="1"/>
      <c r="AC879" s="1"/>
      <c r="AD879" s="1"/>
      <c r="AL879" s="23"/>
      <c r="AM879" s="23"/>
    </row>
    <row r="880" spans="17:39">
      <c r="Q880" s="6">
        <v>850</v>
      </c>
      <c r="R880" s="7">
        <v>43517</v>
      </c>
      <c r="S880" s="210">
        <v>3.5</v>
      </c>
      <c r="T880" s="8">
        <v>1.0000972222222222</v>
      </c>
      <c r="U880" s="98">
        <v>3.4047431064858857</v>
      </c>
      <c r="V880" s="106">
        <v>27956.12022301252</v>
      </c>
      <c r="W880" s="10">
        <v>0.64558717559153322</v>
      </c>
      <c r="X880" s="420"/>
      <c r="Y880" s="420"/>
      <c r="Z880" s="1"/>
      <c r="AA880" s="1"/>
      <c r="AB880" s="1"/>
      <c r="AC880" s="1"/>
      <c r="AD880" s="1"/>
      <c r="AL880" s="23"/>
      <c r="AM880" s="23"/>
    </row>
    <row r="881" spans="17:39">
      <c r="Q881" s="6">
        <v>851</v>
      </c>
      <c r="R881" s="7">
        <v>43518</v>
      </c>
      <c r="S881" s="210">
        <v>3.5</v>
      </c>
      <c r="T881" s="8">
        <v>1.0000972222222222</v>
      </c>
      <c r="U881" s="98">
        <v>3.4049865805591217</v>
      </c>
      <c r="V881" s="106">
        <v>27958.530295441829</v>
      </c>
      <c r="W881" s="10">
        <v>0.64530147652857028</v>
      </c>
      <c r="X881" s="420"/>
      <c r="Y881" s="420"/>
      <c r="Z881" s="1"/>
      <c r="AA881" s="1"/>
      <c r="AB881" s="1"/>
      <c r="AC881" s="1"/>
      <c r="AD881" s="1"/>
      <c r="AL881" s="23"/>
      <c r="AM881" s="23"/>
    </row>
    <row r="882" spans="17:39">
      <c r="Q882" s="6">
        <v>852</v>
      </c>
      <c r="R882" s="7">
        <v>43519</v>
      </c>
      <c r="S882" s="210">
        <v>3.5</v>
      </c>
      <c r="T882" s="8">
        <v>1.0000972222222222</v>
      </c>
      <c r="U882" s="98">
        <v>3.4052294836682373</v>
      </c>
      <c r="V882" s="106">
        <v>27960.940575641351</v>
      </c>
      <c r="W882" s="10">
        <v>0.64501644892887011</v>
      </c>
      <c r="X882" s="420"/>
      <c r="Y882" s="420"/>
      <c r="Z882" s="1"/>
      <c r="AA882" s="1"/>
      <c r="AB882" s="1"/>
      <c r="AC882" s="1"/>
      <c r="AD882" s="1"/>
      <c r="AL882" s="23"/>
      <c r="AM882" s="23"/>
    </row>
    <row r="883" spans="17:39">
      <c r="Q883" s="6">
        <v>853</v>
      </c>
      <c r="R883" s="7">
        <v>43520</v>
      </c>
      <c r="S883" s="210">
        <v>3.5</v>
      </c>
      <c r="T883" s="8">
        <v>1.0000972222222222</v>
      </c>
      <c r="U883" s="98">
        <v>3.4054718178192944</v>
      </c>
      <c r="V883" s="106">
        <v>27963.351063629001</v>
      </c>
      <c r="W883" s="10">
        <v>0.64473209042799073</v>
      </c>
      <c r="X883" s="420"/>
      <c r="Y883" s="420"/>
      <c r="Z883" s="1"/>
      <c r="AA883" s="1"/>
      <c r="AB883" s="1"/>
      <c r="AC883" s="1"/>
      <c r="AD883" s="1"/>
      <c r="AL883" s="23"/>
      <c r="AM883" s="23"/>
    </row>
    <row r="884" spans="17:39">
      <c r="Q884" s="6">
        <v>854</v>
      </c>
      <c r="R884" s="7">
        <v>43521</v>
      </c>
      <c r="S884" s="210">
        <v>3.5</v>
      </c>
      <c r="T884" s="8">
        <v>1.0000972222222222</v>
      </c>
      <c r="U884" s="98">
        <v>3.4057135850089848</v>
      </c>
      <c r="V884" s="106">
        <v>27965.761759422694</v>
      </c>
      <c r="W884" s="10">
        <v>0.64444839867268122</v>
      </c>
      <c r="X884" s="420"/>
      <c r="Y884" s="420"/>
      <c r="Z884" s="1"/>
      <c r="AA884" s="1"/>
      <c r="AB884" s="1"/>
      <c r="AC884" s="1"/>
      <c r="AD884" s="1"/>
      <c r="AL884" s="23"/>
      <c r="AM884" s="23"/>
    </row>
    <row r="885" spans="17:39">
      <c r="Q885" s="6">
        <v>855</v>
      </c>
      <c r="R885" s="7">
        <v>43522</v>
      </c>
      <c r="S885" s="210">
        <v>3.5</v>
      </c>
      <c r="T885" s="8">
        <v>1.0000972222222222</v>
      </c>
      <c r="U885" s="98">
        <v>3.4059547872246743</v>
      </c>
      <c r="V885" s="106">
        <v>27968.172663040339</v>
      </c>
      <c r="W885" s="10">
        <v>0.64416537132065965</v>
      </c>
      <c r="X885" s="420"/>
      <c r="Y885" s="420"/>
      <c r="Z885" s="1"/>
      <c r="AA885" s="1"/>
      <c r="AB885" s="1"/>
      <c r="AC885" s="1"/>
      <c r="AD885" s="1"/>
      <c r="AL885" s="23"/>
      <c r="AM885" s="23"/>
    </row>
    <row r="886" spans="17:39">
      <c r="Q886" s="6">
        <v>856</v>
      </c>
      <c r="R886" s="7">
        <v>43523</v>
      </c>
      <c r="S886" s="210">
        <v>3.5</v>
      </c>
      <c r="T886" s="8">
        <v>1.0000972222222222</v>
      </c>
      <c r="U886" s="98">
        <v>3.4061954264444472</v>
      </c>
      <c r="V886" s="106">
        <v>27970.583774499857</v>
      </c>
      <c r="W886" s="10">
        <v>0.64388300604063531</v>
      </c>
      <c r="X886" s="420"/>
      <c r="Y886" s="420"/>
      <c r="Z886" s="1"/>
      <c r="AA886" s="1"/>
      <c r="AB886" s="1"/>
      <c r="AC886" s="1"/>
      <c r="AD886" s="1"/>
      <c r="AL886" s="23"/>
      <c r="AM886" s="23"/>
    </row>
    <row r="887" spans="17:39">
      <c r="Q887" s="6">
        <v>857</v>
      </c>
      <c r="R887" s="7">
        <v>43524</v>
      </c>
      <c r="S887" s="210">
        <v>3.5</v>
      </c>
      <c r="T887" s="8">
        <v>1.0000972222222222</v>
      </c>
      <c r="U887" s="98">
        <v>3.4064355046371508</v>
      </c>
      <c r="V887" s="106">
        <v>27972.995093819158</v>
      </c>
      <c r="W887" s="10">
        <v>0.64360130051219766</v>
      </c>
      <c r="X887" s="420"/>
      <c r="Y887" s="420"/>
      <c r="Z887" s="1"/>
      <c r="AA887" s="1"/>
      <c r="AB887" s="1"/>
      <c r="AC887" s="1"/>
      <c r="AD887" s="1"/>
      <c r="AL887" s="23"/>
      <c r="AM887" s="23"/>
    </row>
    <row r="888" spans="17:39">
      <c r="Q888" s="6">
        <v>858</v>
      </c>
      <c r="R888" s="7">
        <v>43525</v>
      </c>
      <c r="S888" s="210">
        <v>3.5</v>
      </c>
      <c r="T888" s="8">
        <v>1.0000972222222222</v>
      </c>
      <c r="U888" s="98">
        <v>3.4066750237624621</v>
      </c>
      <c r="V888" s="106">
        <v>27975.406621016169</v>
      </c>
      <c r="W888" s="10">
        <v>0.64332025242574975</v>
      </c>
      <c r="X888" s="420"/>
      <c r="Y888" s="420"/>
      <c r="Z888" s="1"/>
      <c r="AA888" s="1"/>
      <c r="AB888" s="1"/>
      <c r="AC888" s="1"/>
      <c r="AD888" s="1"/>
      <c r="AL888" s="23"/>
      <c r="AM888" s="23"/>
    </row>
    <row r="889" spans="17:39">
      <c r="Q889" s="6">
        <v>859</v>
      </c>
      <c r="R889" s="7">
        <v>43526</v>
      </c>
      <c r="S889" s="210">
        <v>3.5</v>
      </c>
      <c r="T889" s="8">
        <v>1.0000972222222222</v>
      </c>
      <c r="U889" s="98">
        <v>3.4069139857709541</v>
      </c>
      <c r="V889" s="106">
        <v>27977.818356108815</v>
      </c>
      <c r="W889" s="10">
        <v>0.64303985948244158</v>
      </c>
      <c r="X889" s="420"/>
      <c r="Y889" s="420"/>
      <c r="Z889" s="1"/>
      <c r="AA889" s="1"/>
      <c r="AB889" s="1"/>
      <c r="AC889" s="1"/>
      <c r="AD889" s="1"/>
      <c r="AL889" s="23"/>
      <c r="AM889" s="23"/>
    </row>
    <row r="890" spans="17:39">
      <c r="Q890" s="6">
        <v>860</v>
      </c>
      <c r="R890" s="7">
        <v>43527</v>
      </c>
      <c r="S890" s="210">
        <v>3.5</v>
      </c>
      <c r="T890" s="8">
        <v>1.0000972222222222</v>
      </c>
      <c r="U890" s="98">
        <v>3.4071523926041403</v>
      </c>
      <c r="V890" s="106">
        <v>27980.23029911501</v>
      </c>
      <c r="W890" s="10">
        <v>0.64276011939421451</v>
      </c>
      <c r="X890" s="420"/>
      <c r="Y890" s="420"/>
      <c r="Z890" s="1"/>
      <c r="AA890" s="1"/>
      <c r="AB890" s="1"/>
      <c r="AC890" s="1"/>
      <c r="AD890" s="1"/>
      <c r="AL890" s="23"/>
      <c r="AM890" s="23"/>
    </row>
    <row r="891" spans="17:39">
      <c r="Q891" s="6">
        <v>861</v>
      </c>
      <c r="R891" s="7">
        <v>43528</v>
      </c>
      <c r="S891" s="210">
        <v>3.5</v>
      </c>
      <c r="T891" s="8">
        <v>1.0000972222222222</v>
      </c>
      <c r="U891" s="98">
        <v>3.4073902461944972</v>
      </c>
      <c r="V891" s="106">
        <v>27982.642450052681</v>
      </c>
      <c r="W891" s="10">
        <v>0.64248102988360145</v>
      </c>
      <c r="X891" s="420"/>
      <c r="Y891" s="420"/>
      <c r="Z891" s="1"/>
      <c r="AA891" s="1"/>
      <c r="AB891" s="1"/>
      <c r="AC891" s="1"/>
      <c r="AD891" s="1"/>
      <c r="AL891" s="23"/>
      <c r="AM891" s="23"/>
    </row>
    <row r="892" spans="17:39">
      <c r="Q892" s="6">
        <v>862</v>
      </c>
      <c r="R892" s="7">
        <v>43529</v>
      </c>
      <c r="S892" s="210">
        <v>3.5</v>
      </c>
      <c r="T892" s="8">
        <v>1.0000972222222222</v>
      </c>
      <c r="U892" s="98">
        <v>3.4076275484655971</v>
      </c>
      <c r="V892" s="106">
        <v>27985.054808939753</v>
      </c>
      <c r="W892" s="10">
        <v>0.64220258868368241</v>
      </c>
      <c r="X892" s="420"/>
      <c r="Y892" s="420"/>
      <c r="Z892" s="1"/>
      <c r="AA892" s="1"/>
      <c r="AB892" s="1"/>
      <c r="AC892" s="1"/>
      <c r="AD892" s="1"/>
      <c r="AL892" s="23"/>
      <c r="AM892" s="23"/>
    </row>
    <row r="893" spans="17:39">
      <c r="Q893" s="6">
        <v>863</v>
      </c>
      <c r="R893" s="7">
        <v>43530</v>
      </c>
      <c r="S893" s="210">
        <v>3.5</v>
      </c>
      <c r="T893" s="8">
        <v>1.0000972222222222</v>
      </c>
      <c r="U893" s="98">
        <v>3.407864301332042</v>
      </c>
      <c r="V893" s="106">
        <v>27987.467375794156</v>
      </c>
      <c r="W893" s="10">
        <v>0.64192479353812892</v>
      </c>
      <c r="X893" s="420"/>
      <c r="Y893" s="420"/>
      <c r="Z893" s="1"/>
      <c r="AA893" s="1"/>
      <c r="AB893" s="1"/>
      <c r="AC893" s="1"/>
      <c r="AD893" s="1"/>
      <c r="AL893" s="23"/>
      <c r="AM893" s="23"/>
    </row>
    <row r="894" spans="17:39">
      <c r="Q894" s="6">
        <v>864</v>
      </c>
      <c r="R894" s="7">
        <v>43531</v>
      </c>
      <c r="S894" s="210">
        <v>3.5</v>
      </c>
      <c r="T894" s="8">
        <v>1.0000972222222222</v>
      </c>
      <c r="U894" s="98">
        <v>3.4081005066995962</v>
      </c>
      <c r="V894" s="106">
        <v>27989.880150633817</v>
      </c>
      <c r="W894" s="10">
        <v>0.64164764220095982</v>
      </c>
      <c r="X894" s="420"/>
      <c r="Y894" s="420"/>
      <c r="Z894" s="1"/>
      <c r="AA894" s="1"/>
      <c r="AB894" s="1"/>
      <c r="AC894" s="1"/>
      <c r="AD894" s="1"/>
      <c r="AL894" s="23"/>
      <c r="AM894" s="23"/>
    </row>
    <row r="895" spans="17:39">
      <c r="Q895" s="6">
        <v>865</v>
      </c>
      <c r="R895" s="7">
        <v>43532</v>
      </c>
      <c r="S895" s="210">
        <v>3.5</v>
      </c>
      <c r="T895" s="8">
        <v>1.0000972222222222</v>
      </c>
      <c r="U895" s="98">
        <v>3.4083361664652534</v>
      </c>
      <c r="V895" s="106">
        <v>27992.293133476662</v>
      </c>
      <c r="W895" s="10">
        <v>0.64137113243676325</v>
      </c>
      <c r="X895" s="420"/>
      <c r="Y895" s="420"/>
      <c r="Z895" s="1"/>
      <c r="AA895" s="1"/>
      <c r="AB895" s="1"/>
      <c r="AC895" s="1"/>
      <c r="AD895" s="1"/>
      <c r="AL895" s="23"/>
      <c r="AM895" s="23"/>
    </row>
    <row r="896" spans="17:39">
      <c r="Q896" s="6">
        <v>866</v>
      </c>
      <c r="R896" s="7">
        <v>43533</v>
      </c>
      <c r="S896" s="210">
        <v>3.5</v>
      </c>
      <c r="T896" s="8">
        <v>1.0000972222222222</v>
      </c>
      <c r="U896" s="98">
        <v>3.4085712825172365</v>
      </c>
      <c r="V896" s="106">
        <v>27994.706324340626</v>
      </c>
      <c r="W896" s="10">
        <v>0.64109526202031919</v>
      </c>
      <c r="X896" s="420"/>
      <c r="Y896" s="420"/>
      <c r="Z896" s="1"/>
      <c r="AA896" s="1"/>
      <c r="AB896" s="1"/>
      <c r="AC896" s="1"/>
      <c r="AD896" s="1"/>
      <c r="AL896" s="23"/>
      <c r="AM896" s="23"/>
    </row>
    <row r="897" spans="17:39">
      <c r="Q897" s="6">
        <v>867</v>
      </c>
      <c r="R897" s="7">
        <v>43534</v>
      </c>
      <c r="S897" s="210">
        <v>3.5</v>
      </c>
      <c r="T897" s="8">
        <v>1.0000972222222222</v>
      </c>
      <c r="U897" s="98">
        <v>3.4088058567350421</v>
      </c>
      <c r="V897" s="106">
        <v>27996.886159418362</v>
      </c>
      <c r="W897" s="10">
        <v>0.64117349073871122</v>
      </c>
      <c r="X897" s="420"/>
      <c r="Y897" s="420"/>
      <c r="Z897" s="1"/>
      <c r="AA897" s="1"/>
      <c r="AB897" s="1"/>
      <c r="AC897" s="1"/>
      <c r="AD897" s="1"/>
      <c r="AL897" s="23"/>
      <c r="AM897" s="23"/>
    </row>
    <row r="898" spans="17:39">
      <c r="Q898" s="6">
        <v>868</v>
      </c>
      <c r="R898" s="7">
        <v>43535</v>
      </c>
      <c r="S898" s="210">
        <v>3.5</v>
      </c>
      <c r="T898" s="8">
        <v>1.0000972222222222</v>
      </c>
      <c r="U898" s="98">
        <v>3.4090398909895292</v>
      </c>
      <c r="V898" s="106">
        <v>27999.066164231077</v>
      </c>
      <c r="W898" s="10">
        <v>0.64125153926721801</v>
      </c>
      <c r="X898" s="420"/>
      <c r="Y898" s="420"/>
      <c r="Z898" s="1"/>
      <c r="AA898" s="1"/>
      <c r="AB898" s="1"/>
      <c r="AC898" s="1"/>
      <c r="AD898" s="1"/>
      <c r="AL898" s="23"/>
      <c r="AM898" s="23"/>
    </row>
    <row r="899" spans="17:39">
      <c r="Q899" s="6">
        <v>869</v>
      </c>
      <c r="R899" s="7">
        <v>43536</v>
      </c>
      <c r="S899" s="210">
        <v>3.5</v>
      </c>
      <c r="T899" s="8">
        <v>1.0000972222222222</v>
      </c>
      <c r="U899" s="98">
        <v>3.4092733871429637</v>
      </c>
      <c r="V899" s="106">
        <v>28001.246338791989</v>
      </c>
      <c r="W899" s="10">
        <v>0.64132940822765327</v>
      </c>
      <c r="X899" s="420"/>
      <c r="Y899" s="420"/>
      <c r="Z899" s="1"/>
      <c r="AA899" s="1"/>
      <c r="AB899" s="1"/>
      <c r="AC899" s="1"/>
      <c r="AD899" s="1"/>
      <c r="AL899" s="23"/>
      <c r="AM899" s="23"/>
    </row>
    <row r="900" spans="17:39">
      <c r="Q900" s="6">
        <v>870</v>
      </c>
      <c r="R900" s="7">
        <v>43537</v>
      </c>
      <c r="S900" s="210">
        <v>3.5</v>
      </c>
      <c r="T900" s="8">
        <v>1.0000972222222222</v>
      </c>
      <c r="U900" s="98">
        <v>3.4095063470490405</v>
      </c>
      <c r="V900" s="106">
        <v>28003.426683114314</v>
      </c>
      <c r="W900" s="10">
        <v>0.64140709823903297</v>
      </c>
      <c r="X900" s="420"/>
      <c r="Y900" s="420"/>
      <c r="Z900" s="1"/>
      <c r="AA900" s="1"/>
      <c r="AB900" s="1"/>
      <c r="AC900" s="1"/>
      <c r="AD900" s="1"/>
      <c r="AL900" s="23"/>
      <c r="AM900" s="23"/>
    </row>
    <row r="901" spans="17:39">
      <c r="Q901" s="6">
        <v>871</v>
      </c>
      <c r="R901" s="7">
        <v>43538</v>
      </c>
      <c r="S901" s="210">
        <v>3.5</v>
      </c>
      <c r="T901" s="8">
        <v>1.0000972222222222</v>
      </c>
      <c r="U901" s="98">
        <v>3.4097387725529726</v>
      </c>
      <c r="V901" s="106">
        <v>28005.607197211284</v>
      </c>
      <c r="W901" s="10">
        <v>0.64148460991748646</v>
      </c>
      <c r="X901" s="420"/>
      <c r="Y901" s="420"/>
      <c r="Z901" s="1"/>
      <c r="AA901" s="1"/>
      <c r="AB901" s="1"/>
      <c r="AC901" s="1"/>
      <c r="AD901" s="1"/>
      <c r="AL901" s="23"/>
      <c r="AM901" s="23"/>
    </row>
    <row r="902" spans="17:39">
      <c r="Q902" s="6">
        <v>872</v>
      </c>
      <c r="R902" s="7">
        <v>43539</v>
      </c>
      <c r="S902" s="210">
        <v>3.5</v>
      </c>
      <c r="T902" s="8">
        <v>1.0000972222222222</v>
      </c>
      <c r="U902" s="98">
        <v>3.4099706654914907</v>
      </c>
      <c r="V902" s="106">
        <v>28007.787881096101</v>
      </c>
      <c r="W902" s="10">
        <v>0.64156194387636756</v>
      </c>
      <c r="X902" s="420"/>
      <c r="Y902" s="420"/>
      <c r="Z902" s="1"/>
      <c r="AA902" s="1"/>
      <c r="AB902" s="1"/>
      <c r="AC902" s="1"/>
      <c r="AD902" s="1"/>
      <c r="AL902" s="23"/>
      <c r="AM902" s="23"/>
    </row>
    <row r="903" spans="17:39">
      <c r="Q903" s="6">
        <v>873</v>
      </c>
      <c r="R903" s="7">
        <v>43540</v>
      </c>
      <c r="S903" s="210">
        <v>3.5</v>
      </c>
      <c r="T903" s="8">
        <v>1.0000972222222222</v>
      </c>
      <c r="U903" s="98">
        <v>3.4102020276929323</v>
      </c>
      <c r="V903" s="106">
        <v>28009.968734781993</v>
      </c>
      <c r="W903" s="10">
        <v>0.6416391007261657</v>
      </c>
      <c r="X903" s="420"/>
      <c r="Y903" s="420"/>
      <c r="Z903" s="1"/>
      <c r="AA903" s="1"/>
      <c r="AB903" s="1"/>
      <c r="AC903" s="1"/>
      <c r="AD903" s="1"/>
      <c r="AL903" s="23"/>
      <c r="AM903" s="23"/>
    </row>
    <row r="904" spans="17:39">
      <c r="Q904" s="6">
        <v>874</v>
      </c>
      <c r="R904" s="7">
        <v>43541</v>
      </c>
      <c r="S904" s="210">
        <v>3.5</v>
      </c>
      <c r="T904" s="8">
        <v>1.0000972222222222</v>
      </c>
      <c r="U904" s="98">
        <v>3.410432860977286</v>
      </c>
      <c r="V904" s="106">
        <v>28012.149758282183</v>
      </c>
      <c r="W904" s="10">
        <v>0.64171608107463918</v>
      </c>
      <c r="X904" s="420"/>
      <c r="Y904" s="420"/>
      <c r="Z904" s="1"/>
      <c r="AA904" s="1"/>
      <c r="AB904" s="1"/>
      <c r="AC904" s="1"/>
      <c r="AD904" s="1"/>
      <c r="AL904" s="23"/>
      <c r="AM904" s="23"/>
    </row>
    <row r="905" spans="17:39">
      <c r="Q905" s="6">
        <v>875</v>
      </c>
      <c r="R905" s="7">
        <v>43542</v>
      </c>
      <c r="S905" s="210">
        <v>3.5</v>
      </c>
      <c r="T905" s="8">
        <v>1.0000972222222222</v>
      </c>
      <c r="U905" s="98">
        <v>3.4106631671561916</v>
      </c>
      <c r="V905" s="106">
        <v>28014.330951609889</v>
      </c>
      <c r="W905" s="10">
        <v>0.6417928855266819</v>
      </c>
      <c r="X905" s="420"/>
      <c r="Y905" s="420"/>
      <c r="Z905" s="1"/>
      <c r="AA905" s="1"/>
      <c r="AB905" s="1"/>
      <c r="AC905" s="1"/>
      <c r="AD905" s="1"/>
      <c r="AL905" s="23"/>
      <c r="AM905" s="23"/>
    </row>
    <row r="906" spans="17:39">
      <c r="Q906" s="6">
        <v>876</v>
      </c>
      <c r="R906" s="7">
        <v>43543</v>
      </c>
      <c r="S906" s="210">
        <v>3.5</v>
      </c>
      <c r="T906" s="8">
        <v>1.0000972222222222</v>
      </c>
      <c r="U906" s="98">
        <v>3.410892948033073</v>
      </c>
      <c r="V906" s="106">
        <v>28016.512314778342</v>
      </c>
      <c r="W906" s="10">
        <v>0.64186951468452325</v>
      </c>
      <c r="X906" s="420"/>
      <c r="Y906" s="420"/>
      <c r="Z906" s="1"/>
      <c r="AA906" s="1"/>
      <c r="AB906" s="1"/>
      <c r="AC906" s="1"/>
      <c r="AD906" s="1"/>
      <c r="AL906" s="23"/>
      <c r="AM906" s="23"/>
    </row>
    <row r="907" spans="17:39">
      <c r="Q907" s="6">
        <v>877</v>
      </c>
      <c r="R907" s="7">
        <v>43544</v>
      </c>
      <c r="S907" s="210">
        <v>3.5</v>
      </c>
      <c r="T907" s="8">
        <v>1.0000972222222222</v>
      </c>
      <c r="U907" s="98">
        <v>3.4111222054030943</v>
      </c>
      <c r="V907" s="106">
        <v>28018.693847800765</v>
      </c>
      <c r="W907" s="10">
        <v>0.64194596914757263</v>
      </c>
      <c r="X907" s="420"/>
      <c r="Y907" s="420"/>
      <c r="Z907" s="1"/>
      <c r="AA907" s="1"/>
      <c r="AB907" s="1"/>
      <c r="AC907" s="1"/>
      <c r="AD907" s="1"/>
      <c r="AL907" s="23"/>
      <c r="AM907" s="23"/>
    </row>
    <row r="908" spans="17:39">
      <c r="Q908" s="6">
        <v>878</v>
      </c>
      <c r="R908" s="7">
        <v>43545</v>
      </c>
      <c r="S908" s="210">
        <v>3.5</v>
      </c>
      <c r="T908" s="8">
        <v>1.0000972222222222</v>
      </c>
      <c r="U908" s="98">
        <v>3.4113509410532927</v>
      </c>
      <c r="V908" s="106">
        <v>28020.875550690376</v>
      </c>
      <c r="W908" s="10">
        <v>0.64202224951255271</v>
      </c>
      <c r="X908" s="420"/>
      <c r="Y908" s="420"/>
      <c r="Z908" s="1"/>
      <c r="AA908" s="1"/>
      <c r="AB908" s="1"/>
      <c r="AC908" s="1"/>
      <c r="AD908" s="1"/>
      <c r="AL908" s="23"/>
      <c r="AM908" s="23"/>
    </row>
    <row r="909" spans="17:39">
      <c r="Q909" s="6">
        <v>879</v>
      </c>
      <c r="R909" s="7">
        <v>43546</v>
      </c>
      <c r="S909" s="210">
        <v>3.5</v>
      </c>
      <c r="T909" s="8">
        <v>1.0000972222222222</v>
      </c>
      <c r="U909" s="98">
        <v>3.4115791567625342</v>
      </c>
      <c r="V909" s="106">
        <v>28023.057423460414</v>
      </c>
      <c r="W909" s="10">
        <v>0.64209835637345503</v>
      </c>
      <c r="X909" s="420"/>
      <c r="Y909" s="420"/>
      <c r="Z909" s="1"/>
      <c r="AA909" s="1"/>
      <c r="AB909" s="1"/>
      <c r="AC909" s="1"/>
      <c r="AD909" s="1"/>
      <c r="AL909" s="23"/>
      <c r="AM909" s="23"/>
    </row>
    <row r="910" spans="17:39">
      <c r="Q910" s="6">
        <v>880</v>
      </c>
      <c r="R910" s="7">
        <v>43547</v>
      </c>
      <c r="S910" s="210">
        <v>3.5</v>
      </c>
      <c r="T910" s="8">
        <v>1.0000972222222222</v>
      </c>
      <c r="U910" s="98">
        <v>3.4118068543016467</v>
      </c>
      <c r="V910" s="106">
        <v>28025.239466124098</v>
      </c>
      <c r="W910" s="10">
        <v>0.64217429032160656</v>
      </c>
      <c r="X910" s="420"/>
      <c r="Y910" s="420"/>
      <c r="Z910" s="1"/>
      <c r="AA910" s="1"/>
      <c r="AB910" s="1"/>
      <c r="AC910" s="1"/>
      <c r="AD910" s="1"/>
      <c r="AL910" s="23"/>
      <c r="AM910" s="23"/>
    </row>
    <row r="911" spans="17:39">
      <c r="Q911" s="6">
        <v>881</v>
      </c>
      <c r="R911" s="7">
        <v>43548</v>
      </c>
      <c r="S911" s="210">
        <v>3.5</v>
      </c>
      <c r="T911" s="8">
        <v>1.0000972222222222</v>
      </c>
      <c r="U911" s="98">
        <v>3.4120340354333756</v>
      </c>
      <c r="V911" s="106">
        <v>28027.421678694656</v>
      </c>
      <c r="W911" s="10">
        <v>0.64225005194555873</v>
      </c>
      <c r="X911" s="420"/>
      <c r="Y911" s="420"/>
      <c r="Z911" s="1"/>
      <c r="AA911" s="1"/>
      <c r="AB911" s="1"/>
      <c r="AC911" s="1"/>
      <c r="AD911" s="1"/>
      <c r="AL911" s="23"/>
      <c r="AM911" s="23"/>
    </row>
    <row r="912" spans="17:39">
      <c r="Q912" s="6">
        <v>882</v>
      </c>
      <c r="R912" s="7">
        <v>43549</v>
      </c>
      <c r="S912" s="210">
        <v>3.5</v>
      </c>
      <c r="T912" s="8">
        <v>1.0000972222222222</v>
      </c>
      <c r="U912" s="98">
        <v>3.4122607019125395</v>
      </c>
      <c r="V912" s="106">
        <v>28029.604061185328</v>
      </c>
      <c r="W912" s="10">
        <v>0.64232564183126506</v>
      </c>
      <c r="X912" s="420"/>
      <c r="Y912" s="420"/>
      <c r="Z912" s="1"/>
      <c r="AA912" s="1"/>
      <c r="AB912" s="1"/>
      <c r="AC912" s="1"/>
      <c r="AD912" s="1"/>
      <c r="AL912" s="23"/>
      <c r="AM912" s="23"/>
    </row>
    <row r="913" spans="17:39">
      <c r="Q913" s="6">
        <v>883</v>
      </c>
      <c r="R913" s="7">
        <v>43550</v>
      </c>
      <c r="S913" s="210">
        <v>3.5</v>
      </c>
      <c r="T913" s="8">
        <v>1.0000972222222222</v>
      </c>
      <c r="U913" s="98">
        <v>3.4124868554859855</v>
      </c>
      <c r="V913" s="106">
        <v>28031.786613609333</v>
      </c>
      <c r="W913" s="10">
        <v>0.64240106056205892</v>
      </c>
      <c r="X913" s="420"/>
      <c r="Y913" s="420"/>
      <c r="Z913" s="1"/>
      <c r="AA913" s="1"/>
      <c r="AB913" s="1"/>
      <c r="AC913" s="1"/>
      <c r="AD913" s="1"/>
      <c r="AL913" s="23"/>
      <c r="AM913" s="23"/>
    </row>
    <row r="914" spans="17:39">
      <c r="Q914" s="6">
        <v>884</v>
      </c>
      <c r="R914" s="7">
        <v>43551</v>
      </c>
      <c r="S914" s="210">
        <v>3.5</v>
      </c>
      <c r="T914" s="8">
        <v>1.0000972222222222</v>
      </c>
      <c r="U914" s="98">
        <v>3.4127124978926782</v>
      </c>
      <c r="V914" s="106">
        <v>28033.969335979909</v>
      </c>
      <c r="W914" s="10">
        <v>0.64247630871856476</v>
      </c>
      <c r="X914" s="420"/>
      <c r="Y914" s="420"/>
      <c r="Z914" s="1"/>
      <c r="AA914" s="1"/>
      <c r="AB914" s="1"/>
      <c r="AC914" s="1"/>
      <c r="AD914" s="1"/>
      <c r="AL914" s="23"/>
      <c r="AM914" s="23"/>
    </row>
    <row r="915" spans="17:39">
      <c r="Q915" s="6">
        <v>885</v>
      </c>
      <c r="R915" s="7">
        <v>43552</v>
      </c>
      <c r="S915" s="210">
        <v>3.5</v>
      </c>
      <c r="T915" s="8">
        <v>1.0000972222222222</v>
      </c>
      <c r="U915" s="98">
        <v>3.4129376308636994</v>
      </c>
      <c r="V915" s="106">
        <v>28036.152228310293</v>
      </c>
      <c r="W915" s="10">
        <v>0.64255138687880908</v>
      </c>
      <c r="X915" s="420"/>
      <c r="Y915" s="420"/>
      <c r="Z915" s="1"/>
      <c r="AA915" s="1"/>
      <c r="AB915" s="1"/>
      <c r="AC915" s="1"/>
      <c r="AD915" s="1"/>
      <c r="AL915" s="23"/>
      <c r="AM915" s="23"/>
    </row>
    <row r="916" spans="17:39">
      <c r="Q916" s="6">
        <v>886</v>
      </c>
      <c r="R916" s="7">
        <v>43553</v>
      </c>
      <c r="S916" s="210">
        <v>3.5</v>
      </c>
      <c r="T916" s="8">
        <v>1.0000972222222222</v>
      </c>
      <c r="U916" s="98">
        <v>3.4131622561223374</v>
      </c>
      <c r="V916" s="106">
        <v>28038.335290613712</v>
      </c>
      <c r="W916" s="10">
        <v>0.64262629561819828</v>
      </c>
      <c r="X916" s="420"/>
      <c r="Y916" s="420"/>
      <c r="Z916" s="1"/>
      <c r="AA916" s="1"/>
      <c r="AB916" s="1"/>
      <c r="AC916" s="1"/>
      <c r="AD916" s="1"/>
      <c r="AL916" s="23"/>
      <c r="AM916" s="23"/>
    </row>
    <row r="917" spans="17:39">
      <c r="Q917" s="6">
        <v>887</v>
      </c>
      <c r="R917" s="7">
        <v>43554</v>
      </c>
      <c r="S917" s="210">
        <v>3.5</v>
      </c>
      <c r="T917" s="8">
        <v>1.0000972222222222</v>
      </c>
      <c r="U917" s="98">
        <v>3.4133863753841309</v>
      </c>
      <c r="V917" s="106">
        <v>28040.518522903403</v>
      </c>
      <c r="W917" s="10">
        <v>0.64270103550958524</v>
      </c>
      <c r="X917" s="420"/>
      <c r="Y917" s="420"/>
      <c r="Z917" s="1"/>
      <c r="AA917" s="1"/>
      <c r="AB917" s="1"/>
      <c r="AC917" s="1"/>
      <c r="AD917" s="1"/>
      <c r="AL917" s="23"/>
      <c r="AM917" s="23"/>
    </row>
    <row r="918" spans="17:39">
      <c r="Q918" s="6">
        <v>888</v>
      </c>
      <c r="R918" s="7">
        <v>43555</v>
      </c>
      <c r="S918" s="210">
        <v>3.5</v>
      </c>
      <c r="T918" s="8">
        <v>1.0000972222222222</v>
      </c>
      <c r="U918" s="98">
        <v>3.4136099903568917</v>
      </c>
      <c r="V918" s="106">
        <v>28042.701925192607</v>
      </c>
      <c r="W918" s="10">
        <v>0.6427756071232027</v>
      </c>
      <c r="X918" s="420"/>
      <c r="Y918" s="420"/>
      <c r="Z918" s="1"/>
      <c r="AA918" s="1"/>
      <c r="AB918" s="1"/>
      <c r="AC918" s="1"/>
      <c r="AD918" s="1"/>
      <c r="AL918" s="23"/>
      <c r="AM918" s="23"/>
    </row>
    <row r="919" spans="17:39">
      <c r="Q919" s="6">
        <v>889</v>
      </c>
      <c r="R919" s="7">
        <v>43556</v>
      </c>
      <c r="S919" s="210">
        <v>3.5</v>
      </c>
      <c r="T919" s="8">
        <v>1.0000972222222222</v>
      </c>
      <c r="U919" s="98">
        <v>3.4138331027407487</v>
      </c>
      <c r="V919" s="106">
        <v>28044.885497494553</v>
      </c>
      <c r="W919" s="10">
        <v>0.64285001102670769</v>
      </c>
      <c r="X919" s="420"/>
      <c r="Y919" s="420"/>
      <c r="Z919" s="1"/>
      <c r="AA919" s="1"/>
      <c r="AB919" s="1"/>
      <c r="AC919" s="1"/>
      <c r="AD919" s="1"/>
      <c r="AL919" s="23"/>
      <c r="AM919" s="23"/>
    </row>
    <row r="920" spans="17:39">
      <c r="Q920" s="6">
        <v>890</v>
      </c>
      <c r="R920" s="7">
        <v>43557</v>
      </c>
      <c r="S920" s="210">
        <v>3.5</v>
      </c>
      <c r="T920" s="8">
        <v>1.0000972222222222</v>
      </c>
      <c r="U920" s="98">
        <v>3.4140557142282146</v>
      </c>
      <c r="V920" s="106">
        <v>28047.069239822482</v>
      </c>
      <c r="W920" s="10">
        <v>0.64292424778527035</v>
      </c>
      <c r="X920" s="420"/>
      <c r="Y920" s="420"/>
      <c r="Z920" s="1"/>
      <c r="AA920" s="1"/>
      <c r="AB920" s="1"/>
      <c r="AC920" s="1"/>
      <c r="AD920" s="1"/>
      <c r="AL920" s="23"/>
      <c r="AM920" s="23"/>
    </row>
    <row r="921" spans="17:39">
      <c r="Q921" s="6">
        <v>891</v>
      </c>
      <c r="R921" s="7">
        <v>43558</v>
      </c>
      <c r="S921" s="210">
        <v>3.5</v>
      </c>
      <c r="T921" s="8">
        <v>1.0000972222222222</v>
      </c>
      <c r="U921" s="98">
        <v>3.414277826504164</v>
      </c>
      <c r="V921" s="106">
        <v>28049.253152189638</v>
      </c>
      <c r="W921" s="10">
        <v>0.6429983179614629</v>
      </c>
      <c r="X921" s="420"/>
      <c r="Y921" s="420"/>
      <c r="Z921" s="1"/>
      <c r="AA921" s="1"/>
      <c r="AB921" s="1"/>
      <c r="AC921" s="1"/>
      <c r="AD921" s="1"/>
      <c r="AL921" s="23"/>
      <c r="AM921" s="23"/>
    </row>
    <row r="922" spans="17:39">
      <c r="Q922" s="6">
        <v>892</v>
      </c>
      <c r="R922" s="7">
        <v>43559</v>
      </c>
      <c r="S922" s="210">
        <v>3.5</v>
      </c>
      <c r="T922" s="8">
        <v>1.0000972222222222</v>
      </c>
      <c r="U922" s="98">
        <v>3.4144994412459884</v>
      </c>
      <c r="V922" s="106">
        <v>28051.437234609257</v>
      </c>
      <c r="W922" s="10">
        <v>0.64307222211534842</v>
      </c>
      <c r="X922" s="420"/>
      <c r="Y922" s="420"/>
      <c r="Z922" s="1"/>
      <c r="AA922" s="1"/>
      <c r="AB922" s="1"/>
      <c r="AC922" s="1"/>
      <c r="AD922" s="1"/>
      <c r="AL922" s="23"/>
      <c r="AM922" s="23"/>
    </row>
    <row r="923" spans="17:39">
      <c r="Q923" s="6">
        <v>893</v>
      </c>
      <c r="R923" s="7">
        <v>43560</v>
      </c>
      <c r="S923" s="210">
        <v>3.5</v>
      </c>
      <c r="T923" s="8">
        <v>1.0000972222222222</v>
      </c>
      <c r="U923" s="98">
        <v>3.4147205601235298</v>
      </c>
      <c r="V923" s="106">
        <v>28053.621487094581</v>
      </c>
      <c r="W923" s="10">
        <v>0.64314596080450315</v>
      </c>
      <c r="X923" s="420"/>
      <c r="Y923" s="420"/>
      <c r="Z923" s="1"/>
      <c r="AA923" s="1"/>
      <c r="AB923" s="1"/>
      <c r="AC923" s="1"/>
      <c r="AD923" s="1"/>
      <c r="AL923" s="23"/>
      <c r="AM923" s="23"/>
    </row>
    <row r="924" spans="17:39">
      <c r="Q924" s="6">
        <v>894</v>
      </c>
      <c r="R924" s="7">
        <v>43561</v>
      </c>
      <c r="S924" s="210">
        <v>3.5</v>
      </c>
      <c r="T924" s="8">
        <v>1.0000972222222222</v>
      </c>
      <c r="U924" s="98">
        <v>3.4149411847991695</v>
      </c>
      <c r="V924" s="106">
        <v>28055.805909658848</v>
      </c>
      <c r="W924" s="10">
        <v>0.64321953458401637</v>
      </c>
      <c r="X924" s="420"/>
      <c r="Y924" s="420"/>
      <c r="Z924" s="1"/>
      <c r="AA924" s="1"/>
      <c r="AB924" s="1"/>
      <c r="AC924" s="1"/>
      <c r="AD924" s="1"/>
      <c r="AL924" s="23"/>
      <c r="AM924" s="23"/>
    </row>
    <row r="925" spans="17:39">
      <c r="Q925" s="6">
        <v>895</v>
      </c>
      <c r="R925" s="7">
        <v>43562</v>
      </c>
      <c r="S925" s="210">
        <v>3.5</v>
      </c>
      <c r="T925" s="8">
        <v>1.0000972222222222</v>
      </c>
      <c r="U925" s="98">
        <v>3.4151613169278727</v>
      </c>
      <c r="V925" s="106">
        <v>28057.990502315311</v>
      </c>
      <c r="W925" s="10">
        <v>0.64329294400642389</v>
      </c>
      <c r="X925" s="420"/>
      <c r="Y925" s="420"/>
      <c r="Z925" s="1"/>
      <c r="AA925" s="1"/>
      <c r="AB925" s="1"/>
      <c r="AC925" s="1"/>
      <c r="AD925" s="1"/>
      <c r="AL925" s="23"/>
      <c r="AM925" s="23"/>
    </row>
    <row r="926" spans="17:39">
      <c r="Q926" s="6">
        <v>896</v>
      </c>
      <c r="R926" s="7">
        <v>43563</v>
      </c>
      <c r="S926" s="210">
        <v>3.5</v>
      </c>
      <c r="T926" s="8">
        <v>1.0000972222222222</v>
      </c>
      <c r="U926" s="98">
        <v>3.4153809581572325</v>
      </c>
      <c r="V926" s="106">
        <v>28060.175265077207</v>
      </c>
      <c r="W926" s="10">
        <v>0.64336618962190784</v>
      </c>
      <c r="X926" s="420"/>
      <c r="Y926" s="420"/>
      <c r="Z926" s="1"/>
      <c r="AA926" s="1"/>
      <c r="AB926" s="1"/>
      <c r="AC926" s="1"/>
      <c r="AD926" s="1"/>
      <c r="AL926" s="23"/>
      <c r="AM926" s="23"/>
    </row>
    <row r="927" spans="17:39">
      <c r="Q927" s="6">
        <v>897</v>
      </c>
      <c r="R927" s="7">
        <v>43564</v>
      </c>
      <c r="S927" s="210">
        <v>3.5</v>
      </c>
      <c r="T927" s="8">
        <v>1.0000972222222222</v>
      </c>
      <c r="U927" s="98">
        <v>3.4156001101274924</v>
      </c>
      <c r="V927" s="106">
        <v>28062.360197957783</v>
      </c>
      <c r="W927" s="10">
        <v>0.6434392719780746</v>
      </c>
      <c r="X927" s="420"/>
      <c r="Y927" s="420"/>
      <c r="Z927" s="1"/>
      <c r="AA927" s="1"/>
      <c r="AB927" s="1"/>
      <c r="AC927" s="1"/>
      <c r="AD927" s="1"/>
      <c r="AL927" s="23"/>
      <c r="AM927" s="23"/>
    </row>
    <row r="928" spans="17:39">
      <c r="Q928" s="6">
        <v>898</v>
      </c>
      <c r="R928" s="7">
        <v>43565</v>
      </c>
      <c r="S928" s="210">
        <v>3.5</v>
      </c>
      <c r="T928" s="8">
        <v>1.0000972222222222</v>
      </c>
      <c r="U928" s="98">
        <v>3.4158187744715907</v>
      </c>
      <c r="V928" s="106">
        <v>28064.618140667579</v>
      </c>
      <c r="W928" s="10">
        <v>0.6434060192185731</v>
      </c>
      <c r="X928" s="420"/>
      <c r="Y928" s="420"/>
      <c r="Z928" s="1"/>
      <c r="AA928" s="1"/>
      <c r="AB928" s="1"/>
      <c r="AC928" s="1"/>
      <c r="AD928" s="1"/>
      <c r="AL928" s="23"/>
      <c r="AM928" s="23"/>
    </row>
    <row r="929" spans="17:39">
      <c r="Q929" s="6">
        <v>899</v>
      </c>
      <c r="R929" s="7">
        <v>43566</v>
      </c>
      <c r="S929" s="210">
        <v>3.5</v>
      </c>
      <c r="T929" s="8">
        <v>1.0000972222222222</v>
      </c>
      <c r="U929" s="98">
        <v>3.4160369528152268</v>
      </c>
      <c r="V929" s="106">
        <v>28066.876265055074</v>
      </c>
      <c r="W929" s="10">
        <v>0.64337284044726495</v>
      </c>
      <c r="X929" s="420"/>
      <c r="Y929" s="420"/>
      <c r="Z929" s="1"/>
      <c r="AA929" s="1"/>
      <c r="AB929" s="1"/>
      <c r="AC929" s="1"/>
      <c r="AD929" s="1"/>
      <c r="AL929" s="23"/>
      <c r="AM929" s="23"/>
    </row>
    <row r="930" spans="17:39">
      <c r="Q930" s="6">
        <v>900</v>
      </c>
      <c r="R930" s="7">
        <v>43567</v>
      </c>
      <c r="S930" s="210">
        <v>3.5</v>
      </c>
      <c r="T930" s="8">
        <v>1.0000972222222222</v>
      </c>
      <c r="U930" s="98">
        <v>3.4162546467768617</v>
      </c>
      <c r="V930" s="106">
        <v>28069.134571134906</v>
      </c>
      <c r="W930" s="10">
        <v>0.64333973541745859</v>
      </c>
      <c r="X930" s="420"/>
      <c r="Y930" s="420"/>
      <c r="Z930" s="1"/>
      <c r="AA930" s="1"/>
      <c r="AB930" s="1"/>
      <c r="AC930" s="1"/>
      <c r="AD930" s="1"/>
      <c r="AL930" s="23"/>
      <c r="AM930" s="23"/>
    </row>
    <row r="931" spans="17:39">
      <c r="Q931" s="6">
        <v>901</v>
      </c>
      <c r="R931" s="7">
        <v>43568</v>
      </c>
      <c r="S931" s="210">
        <v>3.5</v>
      </c>
      <c r="T931" s="8">
        <v>1.0000972222222222</v>
      </c>
      <c r="U931" s="98">
        <v>3.4164718579677622</v>
      </c>
      <c r="V931" s="106">
        <v>28071.393058921676</v>
      </c>
      <c r="W931" s="10">
        <v>0.64330670388355049</v>
      </c>
      <c r="X931" s="420"/>
      <c r="Y931" s="420"/>
      <c r="Z931" s="1"/>
      <c r="AA931" s="1"/>
      <c r="AB931" s="1"/>
      <c r="AC931" s="1"/>
      <c r="AD931" s="1"/>
      <c r="AL931" s="23"/>
      <c r="AM931" s="23"/>
    </row>
    <row r="932" spans="17:39">
      <c r="Q932" s="6">
        <v>902</v>
      </c>
      <c r="R932" s="7">
        <v>43569</v>
      </c>
      <c r="S932" s="210">
        <v>3.5</v>
      </c>
      <c r="T932" s="8">
        <v>1.0000972222222222</v>
      </c>
      <c r="U932" s="98">
        <v>3.4166885879921116</v>
      </c>
      <c r="V932" s="106">
        <v>28073.651728430013</v>
      </c>
      <c r="W932" s="10">
        <v>0.64327374560111394</v>
      </c>
      <c r="X932" s="420"/>
      <c r="Y932" s="420"/>
      <c r="Z932" s="1"/>
      <c r="AA932" s="1"/>
      <c r="AB932" s="1"/>
      <c r="AC932" s="1"/>
      <c r="AD932" s="1"/>
      <c r="AL932" s="23"/>
      <c r="AM932" s="23"/>
    </row>
    <row r="933" spans="17:39">
      <c r="Q933" s="6">
        <v>903</v>
      </c>
      <c r="R933" s="7">
        <v>43570</v>
      </c>
      <c r="S933" s="210">
        <v>3.5</v>
      </c>
      <c r="T933" s="8">
        <v>1.0000972222222222</v>
      </c>
      <c r="U933" s="98">
        <v>3.4169048384469658</v>
      </c>
      <c r="V933" s="106">
        <v>28075.910579674539</v>
      </c>
      <c r="W933" s="10">
        <v>0.64324086032674366</v>
      </c>
      <c r="X933" s="420"/>
      <c r="Y933" s="420"/>
      <c r="Z933" s="1"/>
      <c r="AA933" s="1"/>
      <c r="AB933" s="1"/>
      <c r="AC933" s="1"/>
      <c r="AD933" s="1"/>
      <c r="AL933" s="23"/>
      <c r="AM933" s="23"/>
    </row>
    <row r="934" spans="17:39">
      <c r="Q934" s="6">
        <v>904</v>
      </c>
      <c r="R934" s="7">
        <v>43571</v>
      </c>
      <c r="S934" s="210">
        <v>3.5013661202185791</v>
      </c>
      <c r="T934" s="8">
        <v>1.000097260170006</v>
      </c>
      <c r="U934" s="98">
        <v>3.4171221953085418</v>
      </c>
      <c r="V934" s="106">
        <v>28078.169612669873</v>
      </c>
      <c r="W934" s="10">
        <v>0.64320958970705</v>
      </c>
      <c r="X934" s="420"/>
      <c r="Y934" s="420"/>
      <c r="Z934" s="1"/>
      <c r="AA934" s="1"/>
      <c r="AB934" s="1"/>
      <c r="AC934" s="1"/>
      <c r="AD934" s="1"/>
      <c r="AL934" s="23"/>
      <c r="AM934" s="23"/>
    </row>
    <row r="935" spans="17:39">
      <c r="Q935" s="6">
        <v>905</v>
      </c>
      <c r="R935" s="7">
        <v>43572</v>
      </c>
      <c r="S935" s="210">
        <v>3.5027322404371586</v>
      </c>
      <c r="T935" s="8">
        <v>1.00009729811779</v>
      </c>
      <c r="U935" s="98">
        <v>3.4173406549176333</v>
      </c>
      <c r="V935" s="106">
        <v>28080.428827430642</v>
      </c>
      <c r="W935" s="10">
        <v>0.64317992838811566</v>
      </c>
      <c r="X935" s="420"/>
      <c r="Y935" s="420"/>
      <c r="Z935" s="1"/>
      <c r="AA935" s="1"/>
      <c r="AB935" s="1"/>
      <c r="AC935" s="1"/>
      <c r="AD935" s="1"/>
      <c r="AL935" s="23"/>
      <c r="AM935" s="23"/>
    </row>
    <row r="936" spans="17:39">
      <c r="Q936" s="6">
        <v>906</v>
      </c>
      <c r="R936" s="7">
        <v>43573</v>
      </c>
      <c r="S936" s="210">
        <v>3.5040983606557377</v>
      </c>
      <c r="T936" s="8">
        <v>1.0000973360655738</v>
      </c>
      <c r="U936" s="98">
        <v>3.4175602136311767</v>
      </c>
      <c r="V936" s="106">
        <v>28082.688223971469</v>
      </c>
      <c r="W936" s="10">
        <v>0.64315187103962668</v>
      </c>
      <c r="X936" s="420"/>
      <c r="Y936" s="420"/>
      <c r="Z936" s="1"/>
      <c r="AA936" s="1"/>
      <c r="AB936" s="1"/>
      <c r="AC936" s="1"/>
      <c r="AD936" s="1"/>
      <c r="AL936" s="23"/>
      <c r="AM936" s="23"/>
    </row>
    <row r="937" spans="17:39">
      <c r="Q937" s="6">
        <v>907</v>
      </c>
      <c r="R937" s="7">
        <v>43574</v>
      </c>
      <c r="S937" s="210">
        <v>3.5054644808743167</v>
      </c>
      <c r="T937" s="8">
        <v>1.0000973740133576</v>
      </c>
      <c r="U937" s="98">
        <v>3.4177808678222288</v>
      </c>
      <c r="V937" s="106">
        <v>28084.947802306986</v>
      </c>
      <c r="W937" s="10">
        <v>0.64312541235493903</v>
      </c>
      <c r="X937" s="420"/>
      <c r="Y937" s="420"/>
      <c r="Z937" s="1"/>
      <c r="AA937" s="1"/>
      <c r="AB937" s="1"/>
      <c r="AC937" s="1"/>
      <c r="AD937" s="1"/>
      <c r="AL937" s="23"/>
      <c r="AM937" s="23"/>
    </row>
    <row r="938" spans="17:39">
      <c r="Q938" s="6">
        <v>908</v>
      </c>
      <c r="R938" s="7">
        <v>43575</v>
      </c>
      <c r="S938" s="210">
        <v>3.5068306010928962</v>
      </c>
      <c r="T938" s="8">
        <v>1.0000974119611414</v>
      </c>
      <c r="U938" s="98">
        <v>3.4180026138798336</v>
      </c>
      <c r="V938" s="106">
        <v>28087.207562451815</v>
      </c>
      <c r="W938" s="10">
        <v>0.64310054705081221</v>
      </c>
      <c r="X938" s="420"/>
      <c r="Y938" s="420"/>
      <c r="Z938" s="1"/>
      <c r="AA938" s="1"/>
      <c r="AB938" s="1"/>
      <c r="AC938" s="1"/>
      <c r="AD938" s="1"/>
      <c r="AL938" s="23"/>
      <c r="AM938" s="23"/>
    </row>
    <row r="939" spans="17:39">
      <c r="Q939" s="6">
        <v>909</v>
      </c>
      <c r="R939" s="7">
        <v>43576</v>
      </c>
      <c r="S939" s="210">
        <v>3.5081967213114753</v>
      </c>
      <c r="T939" s="8">
        <v>1.0000974499089252</v>
      </c>
      <c r="U939" s="98">
        <v>3.4182254482090002</v>
      </c>
      <c r="V939" s="106">
        <v>28089.46750442058</v>
      </c>
      <c r="W939" s="10">
        <v>0.6430772698673648</v>
      </c>
      <c r="X939" s="420"/>
      <c r="Y939" s="420"/>
      <c r="Z939" s="1"/>
      <c r="AA939" s="1"/>
      <c r="AB939" s="1"/>
      <c r="AC939" s="1"/>
      <c r="AD939" s="1"/>
      <c r="AL939" s="23"/>
      <c r="AM939" s="23"/>
    </row>
    <row r="940" spans="17:39">
      <c r="Q940" s="6">
        <v>910</v>
      </c>
      <c r="R940" s="7">
        <v>43577</v>
      </c>
      <c r="S940" s="210">
        <v>3.5095628415300548</v>
      </c>
      <c r="T940" s="8">
        <v>1.0000974878567093</v>
      </c>
      <c r="U940" s="98">
        <v>3.4184493672305694</v>
      </c>
      <c r="V940" s="106">
        <v>28091.72762822792</v>
      </c>
      <c r="W940" s="10">
        <v>0.64305557556791904</v>
      </c>
      <c r="X940" s="420"/>
      <c r="Y940" s="420"/>
      <c r="Z940" s="1"/>
      <c r="AA940" s="1"/>
      <c r="AB940" s="1"/>
      <c r="AC940" s="1"/>
      <c r="AD940" s="1"/>
      <c r="AL940" s="23"/>
      <c r="AM940" s="23"/>
    </row>
    <row r="941" spans="17:39">
      <c r="Q941" s="6">
        <v>911</v>
      </c>
      <c r="R941" s="7">
        <v>43578</v>
      </c>
      <c r="S941" s="210">
        <v>3.5109289617486339</v>
      </c>
      <c r="T941" s="8">
        <v>1.0000975258044931</v>
      </c>
      <c r="U941" s="98">
        <v>3.4186743673810804</v>
      </c>
      <c r="V941" s="106">
        <v>28093.98793388846</v>
      </c>
      <c r="W941" s="10">
        <v>0.64303545893877878</v>
      </c>
      <c r="X941" s="420"/>
      <c r="Y941" s="420"/>
      <c r="Z941" s="1"/>
      <c r="AA941" s="1"/>
      <c r="AB941" s="1"/>
      <c r="AC941" s="1"/>
      <c r="AD941" s="1"/>
      <c r="AL941" s="23"/>
      <c r="AM941" s="23"/>
    </row>
    <row r="942" spans="17:39">
      <c r="Q942" s="6">
        <v>912</v>
      </c>
      <c r="R942" s="7">
        <v>43579</v>
      </c>
      <c r="S942" s="210">
        <v>3.512295081967213</v>
      </c>
      <c r="T942" s="8">
        <v>1.0000975637522769</v>
      </c>
      <c r="U942" s="98">
        <v>3.4189004451127714</v>
      </c>
      <c r="V942" s="106">
        <v>28096.24842141684</v>
      </c>
      <c r="W942" s="10">
        <v>0.64301691478929612</v>
      </c>
      <c r="X942" s="420"/>
      <c r="Y942" s="420"/>
      <c r="Z942" s="1"/>
      <c r="AA942" s="1"/>
      <c r="AB942" s="1"/>
      <c r="AC942" s="1"/>
      <c r="AD942" s="1"/>
      <c r="AL942" s="23"/>
      <c r="AM942" s="23"/>
    </row>
    <row r="943" spans="17:39">
      <c r="Q943" s="6">
        <v>913</v>
      </c>
      <c r="R943" s="7">
        <v>43580</v>
      </c>
      <c r="S943" s="210">
        <v>3.5136612021857925</v>
      </c>
      <c r="T943" s="8">
        <v>1.0000976017000607</v>
      </c>
      <c r="U943" s="98">
        <v>3.4191275968934676</v>
      </c>
      <c r="V943" s="106">
        <v>28098.509090827687</v>
      </c>
      <c r="W943" s="10">
        <v>0.64299993795158272</v>
      </c>
      <c r="X943" s="420"/>
      <c r="Y943" s="420"/>
      <c r="Z943" s="1"/>
      <c r="AA943" s="1"/>
      <c r="AB943" s="1"/>
      <c r="AC943" s="1"/>
      <c r="AD943" s="1"/>
      <c r="AL943" s="23"/>
      <c r="AM943" s="23"/>
    </row>
    <row r="944" spans="17:39">
      <c r="Q944" s="6">
        <v>914</v>
      </c>
      <c r="R944" s="7">
        <v>43581</v>
      </c>
      <c r="S944" s="210">
        <v>3.5150273224043715</v>
      </c>
      <c r="T944" s="8">
        <v>1.0000976396478445</v>
      </c>
      <c r="U944" s="98">
        <v>3.419355819206471</v>
      </c>
      <c r="V944" s="106">
        <v>28100.769942135637</v>
      </c>
      <c r="W944" s="10">
        <v>0.6429845232804432</v>
      </c>
      <c r="X944" s="420"/>
      <c r="Y944" s="420"/>
      <c r="Z944" s="1"/>
      <c r="AA944" s="1"/>
      <c r="AB944" s="1"/>
      <c r="AC944" s="1"/>
      <c r="AD944" s="1"/>
      <c r="AL944" s="23"/>
      <c r="AM944" s="23"/>
    </row>
    <row r="945" spans="17:39">
      <c r="Q945" s="6">
        <v>915</v>
      </c>
      <c r="R945" s="7">
        <v>43582</v>
      </c>
      <c r="S945" s="210">
        <v>3.5163934426229506</v>
      </c>
      <c r="T945" s="8">
        <v>1.0000976775956285</v>
      </c>
      <c r="U945" s="98">
        <v>3.4195851085504936</v>
      </c>
      <c r="V945" s="106">
        <v>28103.030975355327</v>
      </c>
      <c r="W945" s="10">
        <v>0.64297066565326411</v>
      </c>
      <c r="X945" s="420"/>
      <c r="Y945" s="420"/>
      <c r="Z945" s="1"/>
      <c r="AA945" s="1"/>
      <c r="AB945" s="1"/>
      <c r="AC945" s="1"/>
      <c r="AD945" s="1"/>
      <c r="AL945" s="23"/>
      <c r="AM945" s="23"/>
    </row>
    <row r="946" spans="17:39">
      <c r="Q946" s="6">
        <v>916</v>
      </c>
      <c r="R946" s="7">
        <v>43583</v>
      </c>
      <c r="S946" s="210">
        <v>3.5177595628415301</v>
      </c>
      <c r="T946" s="8">
        <v>1.0000977155434123</v>
      </c>
      <c r="U946" s="98">
        <v>3.4198154614395904</v>
      </c>
      <c r="V946" s="106">
        <v>28105.29219050139</v>
      </c>
      <c r="W946" s="10">
        <v>0.64295835996988071</v>
      </c>
      <c r="X946" s="420"/>
      <c r="Y946" s="420"/>
      <c r="Z946" s="1"/>
      <c r="AA946" s="1"/>
      <c r="AB946" s="1"/>
      <c r="AC946" s="1"/>
      <c r="AD946" s="1"/>
      <c r="AL946" s="23"/>
      <c r="AM946" s="23"/>
    </row>
    <row r="947" spans="17:39">
      <c r="Q947" s="6">
        <v>917</v>
      </c>
      <c r="R947" s="7">
        <v>43584</v>
      </c>
      <c r="S947" s="210">
        <v>3.5191256830601092</v>
      </c>
      <c r="T947" s="8">
        <v>1.0000977534911961</v>
      </c>
      <c r="U947" s="98">
        <v>3.4200468744030044</v>
      </c>
      <c r="V947" s="106">
        <v>28107.553587588463</v>
      </c>
      <c r="W947" s="10">
        <v>0.64294760115242156</v>
      </c>
      <c r="X947" s="420"/>
      <c r="Y947" s="420"/>
      <c r="Z947" s="1"/>
      <c r="AA947" s="1"/>
      <c r="AB947" s="1"/>
      <c r="AC947" s="1"/>
      <c r="AD947" s="1"/>
      <c r="AL947" s="23"/>
      <c r="AM947" s="23"/>
    </row>
    <row r="948" spans="17:39">
      <c r="Q948" s="6">
        <v>918</v>
      </c>
      <c r="R948" s="7">
        <v>43585</v>
      </c>
      <c r="S948" s="210">
        <v>3.5204918032786887</v>
      </c>
      <c r="T948" s="8">
        <v>1.0000977914389799</v>
      </c>
      <c r="U948" s="98">
        <v>3.4202793439851664</v>
      </c>
      <c r="V948" s="106">
        <v>28109.81516663119</v>
      </c>
      <c r="W948" s="10">
        <v>0.64293838414517523</v>
      </c>
      <c r="X948" s="420"/>
      <c r="Y948" s="420"/>
      <c r="Z948" s="1"/>
      <c r="AA948" s="1"/>
      <c r="AB948" s="1"/>
      <c r="AC948" s="1"/>
      <c r="AD948" s="1"/>
      <c r="AL948" s="23"/>
      <c r="AM948" s="23"/>
    </row>
    <row r="949" spans="17:39">
      <c r="Q949" s="6">
        <v>919</v>
      </c>
      <c r="R949" s="7">
        <v>43586</v>
      </c>
      <c r="S949" s="210">
        <v>3.5218579234972678</v>
      </c>
      <c r="T949" s="8">
        <v>1.0000978293867637</v>
      </c>
      <c r="U949" s="98">
        <v>3.4205128667455842</v>
      </c>
      <c r="V949" s="106">
        <v>28112.076927644215</v>
      </c>
      <c r="W949" s="10">
        <v>0.6429307039145904</v>
      </c>
      <c r="X949" s="420"/>
      <c r="Y949" s="420"/>
      <c r="Z949" s="1"/>
      <c r="AA949" s="1"/>
      <c r="AB949" s="1"/>
      <c r="AC949" s="1"/>
      <c r="AD949" s="1"/>
      <c r="AL949" s="23"/>
      <c r="AM949" s="23"/>
    </row>
    <row r="950" spans="17:39">
      <c r="Q950" s="6">
        <v>920</v>
      </c>
      <c r="R950" s="7">
        <v>43587</v>
      </c>
      <c r="S950" s="210">
        <v>3.5232240437158469</v>
      </c>
      <c r="T950" s="8">
        <v>1.0000978673345478</v>
      </c>
      <c r="U950" s="98">
        <v>3.4207474392587534</v>
      </c>
      <c r="V950" s="106">
        <v>28114.338870642168</v>
      </c>
      <c r="W950" s="10">
        <v>0.64292455544905369</v>
      </c>
      <c r="X950" s="420"/>
      <c r="Y950" s="420"/>
      <c r="Z950" s="1"/>
      <c r="AA950" s="1"/>
      <c r="AB950" s="1"/>
      <c r="AC950" s="1"/>
      <c r="AD950" s="1"/>
      <c r="AL950" s="23"/>
      <c r="AM950" s="23"/>
    </row>
    <row r="951" spans="17:39">
      <c r="Q951" s="6">
        <v>921</v>
      </c>
      <c r="R951" s="7">
        <v>43588</v>
      </c>
      <c r="S951" s="210">
        <v>3.5245901639344264</v>
      </c>
      <c r="T951" s="8">
        <v>1.0000979052823316</v>
      </c>
      <c r="U951" s="98">
        <v>3.4209830581140688</v>
      </c>
      <c r="V951" s="106">
        <v>28116.600995639703</v>
      </c>
      <c r="W951" s="10">
        <v>0.64291993375873435</v>
      </c>
      <c r="X951" s="420"/>
      <c r="Y951" s="420"/>
      <c r="Z951" s="1"/>
      <c r="AA951" s="1"/>
      <c r="AB951" s="1"/>
      <c r="AC951" s="1"/>
      <c r="AD951" s="1"/>
      <c r="AL951" s="23"/>
      <c r="AM951" s="23"/>
    </row>
    <row r="952" spans="17:39">
      <c r="Q952" s="6">
        <v>922</v>
      </c>
      <c r="R952" s="7">
        <v>43589</v>
      </c>
      <c r="S952" s="210">
        <v>3.5259562841530054</v>
      </c>
      <c r="T952" s="8">
        <v>1.0000979432301154</v>
      </c>
      <c r="U952" s="98">
        <v>3.4212197199157579</v>
      </c>
      <c r="V952" s="106">
        <v>28118.863302651458</v>
      </c>
      <c r="W952" s="10">
        <v>0.64291683387553977</v>
      </c>
      <c r="X952" s="420"/>
      <c r="Y952" s="420"/>
      <c r="Z952" s="1"/>
      <c r="AA952" s="1"/>
      <c r="AB952" s="1"/>
      <c r="AC952" s="1"/>
      <c r="AD952" s="1"/>
      <c r="AL952" s="23"/>
      <c r="AM952" s="23"/>
    </row>
    <row r="953" spans="17:39">
      <c r="Q953" s="6">
        <v>923</v>
      </c>
      <c r="R953" s="7">
        <v>43590</v>
      </c>
      <c r="S953" s="210">
        <v>3.5273224043715845</v>
      </c>
      <c r="T953" s="8">
        <v>1.0000979811778992</v>
      </c>
      <c r="U953" s="98">
        <v>3.421457421282792</v>
      </c>
      <c r="V953" s="106">
        <v>28121.125791692084</v>
      </c>
      <c r="W953" s="10">
        <v>0.64291525085300449</v>
      </c>
      <c r="X953" s="420"/>
      <c r="Y953" s="420"/>
      <c r="Z953" s="1"/>
      <c r="AA953" s="1"/>
      <c r="AB953" s="1"/>
      <c r="AC953" s="1"/>
      <c r="AD953" s="1"/>
      <c r="AL953" s="23"/>
      <c r="AM953" s="23"/>
    </row>
    <row r="954" spans="17:39">
      <c r="Q954" s="6">
        <v>924</v>
      </c>
      <c r="R954" s="7">
        <v>43591</v>
      </c>
      <c r="S954" s="210">
        <v>3.528688524590164</v>
      </c>
      <c r="T954" s="8">
        <v>1.000098019125683</v>
      </c>
      <c r="U954" s="98">
        <v>3.4216961588488415</v>
      </c>
      <c r="V954" s="106">
        <v>28123.388462776213</v>
      </c>
      <c r="W954" s="10">
        <v>0.64291517976613477</v>
      </c>
      <c r="X954" s="420"/>
      <c r="Y954" s="420"/>
      <c r="Z954" s="1"/>
      <c r="AA954" s="1"/>
      <c r="AB954" s="1"/>
      <c r="AC954" s="1"/>
      <c r="AD954" s="1"/>
      <c r="AL954" s="23"/>
      <c r="AM954" s="23"/>
    </row>
    <row r="955" spans="17:39">
      <c r="Q955" s="6">
        <v>925</v>
      </c>
      <c r="R955" s="7">
        <v>43592</v>
      </c>
      <c r="S955" s="210">
        <v>3.5300546448087431</v>
      </c>
      <c r="T955" s="8">
        <v>1.000098057073467</v>
      </c>
      <c r="U955" s="98">
        <v>3.4219359292621432</v>
      </c>
      <c r="V955" s="106">
        <v>28125.651315918516</v>
      </c>
      <c r="W955" s="10">
        <v>0.64291661571129755</v>
      </c>
      <c r="X955" s="420"/>
      <c r="Y955" s="420"/>
      <c r="Z955" s="1"/>
      <c r="AA955" s="1"/>
      <c r="AB955" s="1"/>
      <c r="AC955" s="1"/>
      <c r="AD955" s="1"/>
      <c r="AL955" s="23"/>
      <c r="AM955" s="23"/>
    </row>
    <row r="956" spans="17:39">
      <c r="Q956" s="6">
        <v>926</v>
      </c>
      <c r="R956" s="7">
        <v>43593</v>
      </c>
      <c r="S956" s="210">
        <v>3.5314207650273226</v>
      </c>
      <c r="T956" s="8">
        <v>1.0000980950212508</v>
      </c>
      <c r="U956" s="98">
        <v>3.422176729185411</v>
      </c>
      <c r="V956" s="106">
        <v>28127.914351133619</v>
      </c>
      <c r="W956" s="10">
        <v>0.64291955380610943</v>
      </c>
      <c r="X956" s="420"/>
      <c r="Y956" s="420"/>
      <c r="Z956" s="1"/>
      <c r="AA956" s="1"/>
      <c r="AB956" s="1"/>
      <c r="AC956" s="1"/>
      <c r="AD956" s="1"/>
      <c r="AL956" s="23"/>
      <c r="AM956" s="23"/>
    </row>
    <row r="957" spans="17:39">
      <c r="Q957" s="6">
        <v>927</v>
      </c>
      <c r="R957" s="7">
        <v>43594</v>
      </c>
      <c r="S957" s="210">
        <v>3.5327868852459017</v>
      </c>
      <c r="T957" s="8">
        <v>1.0000981329690346</v>
      </c>
      <c r="U957" s="98">
        <v>3.4224185552958142</v>
      </c>
      <c r="V957" s="106">
        <v>28130.177568436182</v>
      </c>
      <c r="W957" s="10">
        <v>0.64292398918928129</v>
      </c>
      <c r="X957" s="420"/>
      <c r="Y957" s="420"/>
      <c r="Z957" s="1"/>
      <c r="AA957" s="1"/>
      <c r="AB957" s="1"/>
      <c r="AC957" s="1"/>
      <c r="AD957" s="1"/>
      <c r="AL957" s="23"/>
      <c r="AM957" s="23"/>
    </row>
    <row r="958" spans="17:39">
      <c r="Q958" s="6">
        <v>928</v>
      </c>
      <c r="R958" s="7">
        <v>43595</v>
      </c>
      <c r="S958" s="210">
        <v>3.5341530054644807</v>
      </c>
      <c r="T958" s="8">
        <v>1.0000981709168184</v>
      </c>
      <c r="U958" s="98">
        <v>3.4226614042849102</v>
      </c>
      <c r="V958" s="106">
        <v>28132.367952114299</v>
      </c>
      <c r="W958" s="10">
        <v>0.64303265663703257</v>
      </c>
      <c r="X958" s="420"/>
      <c r="Y958" s="420"/>
      <c r="Z958" s="1"/>
      <c r="AA958" s="1"/>
      <c r="AB958" s="1"/>
      <c r="AC958" s="1"/>
      <c r="AD958" s="1"/>
      <c r="AL958" s="23"/>
      <c r="AM958" s="23"/>
    </row>
    <row r="959" spans="17:39">
      <c r="Q959" s="6">
        <v>929</v>
      </c>
      <c r="R959" s="7">
        <v>43596</v>
      </c>
      <c r="S959" s="210">
        <v>3.5355191256830603</v>
      </c>
      <c r="T959" s="8">
        <v>1.0000982088646022</v>
      </c>
      <c r="U959" s="98">
        <v>3.4229052728584675</v>
      </c>
      <c r="V959" s="106">
        <v>28134.558506348782</v>
      </c>
      <c r="W959" s="10">
        <v>0.64314259064999213</v>
      </c>
      <c r="X959" s="420"/>
      <c r="Y959" s="420"/>
      <c r="Z959" s="1"/>
      <c r="AA959" s="1"/>
      <c r="AB959" s="1"/>
      <c r="AC959" s="1"/>
      <c r="AD959" s="1"/>
      <c r="AL959" s="23"/>
      <c r="AM959" s="23"/>
    </row>
    <row r="960" spans="17:39">
      <c r="Q960" s="6">
        <v>930</v>
      </c>
      <c r="R960" s="7">
        <v>43597</v>
      </c>
      <c r="S960" s="210">
        <v>3.5368852459016393</v>
      </c>
      <c r="T960" s="8">
        <v>1.0000982468123862</v>
      </c>
      <c r="U960" s="98">
        <v>3.4231501577365098</v>
      </c>
      <c r="V960" s="106">
        <v>28136.749231152895</v>
      </c>
      <c r="W960" s="10">
        <v>0.64325378714700232</v>
      </c>
      <c r="X960" s="420"/>
      <c r="Y960" s="420"/>
      <c r="Z960" s="1"/>
      <c r="AA960" s="1"/>
      <c r="AB960" s="1"/>
      <c r="AC960" s="1"/>
      <c r="AD960" s="1"/>
      <c r="AL960" s="23"/>
      <c r="AM960" s="23"/>
    </row>
    <row r="961" spans="17:39">
      <c r="Q961" s="6">
        <v>931</v>
      </c>
      <c r="R961" s="7">
        <v>43598</v>
      </c>
      <c r="S961" s="210">
        <v>3.5382513661202184</v>
      </c>
      <c r="T961" s="8">
        <v>1.00009828476017</v>
      </c>
      <c r="U961" s="98">
        <v>3.4233960556531606</v>
      </c>
      <c r="V961" s="106">
        <v>28138.940126539928</v>
      </c>
      <c r="W961" s="10">
        <v>0.64336624206440263</v>
      </c>
      <c r="X961" s="420"/>
      <c r="Y961" s="420"/>
      <c r="Z961" s="1"/>
      <c r="AA961" s="1"/>
      <c r="AB961" s="1"/>
      <c r="AC961" s="1"/>
      <c r="AD961" s="1"/>
      <c r="AL961" s="23"/>
      <c r="AM961" s="23"/>
    </row>
    <row r="962" spans="17:39">
      <c r="Q962" s="6">
        <v>932</v>
      </c>
      <c r="R962" s="7">
        <v>43599</v>
      </c>
      <c r="S962" s="210">
        <v>3.5396174863387979</v>
      </c>
      <c r="T962" s="8">
        <v>1.0000983227079538</v>
      </c>
      <c r="U962" s="98">
        <v>3.4236429633565768</v>
      </c>
      <c r="V962" s="106">
        <v>28141.131192523175</v>
      </c>
      <c r="W962" s="10">
        <v>0.64347995135600744</v>
      </c>
      <c r="X962" s="420"/>
      <c r="Y962" s="420"/>
      <c r="Z962" s="1"/>
      <c r="AA962" s="1"/>
      <c r="AB962" s="1"/>
      <c r="AC962" s="1"/>
      <c r="AD962" s="1"/>
      <c r="AL962" s="23"/>
      <c r="AM962" s="23"/>
    </row>
    <row r="963" spans="17:39">
      <c r="Q963" s="6">
        <v>933</v>
      </c>
      <c r="R963" s="7">
        <v>43600</v>
      </c>
      <c r="S963" s="210">
        <v>3.540983606557377</v>
      </c>
      <c r="T963" s="8">
        <v>1.0000983606557377</v>
      </c>
      <c r="U963" s="98">
        <v>3.4238908776089039</v>
      </c>
      <c r="V963" s="106">
        <v>28143.322429115899</v>
      </c>
      <c r="W963" s="10">
        <v>0.64359491099308386</v>
      </c>
      <c r="X963" s="420"/>
      <c r="Y963" s="420"/>
      <c r="Z963" s="1"/>
      <c r="AA963" s="1"/>
      <c r="AB963" s="1"/>
      <c r="AC963" s="1"/>
      <c r="AD963" s="1"/>
      <c r="AL963" s="23"/>
      <c r="AM963" s="23"/>
    </row>
    <row r="964" spans="17:39">
      <c r="Q964" s="6">
        <v>934</v>
      </c>
      <c r="R964" s="7">
        <v>43601</v>
      </c>
      <c r="S964" s="210">
        <v>3.5423497267759565</v>
      </c>
      <c r="T964" s="8">
        <v>1.0000983986035215</v>
      </c>
      <c r="U964" s="98">
        <v>3.4241397951861874</v>
      </c>
      <c r="V964" s="106">
        <v>28145.5138363314</v>
      </c>
      <c r="W964" s="10">
        <v>0.64371111696415184</v>
      </c>
      <c r="X964" s="420"/>
      <c r="Y964" s="420"/>
      <c r="Z964" s="1"/>
      <c r="AA964" s="1"/>
      <c r="AB964" s="1"/>
      <c r="AC964" s="1"/>
      <c r="AD964" s="1"/>
      <c r="AL964" s="23"/>
      <c r="AM964" s="23"/>
    </row>
    <row r="965" spans="17:39">
      <c r="Q965" s="6">
        <v>935</v>
      </c>
      <c r="R965" s="7">
        <v>43602</v>
      </c>
      <c r="S965" s="210">
        <v>3.5437158469945356</v>
      </c>
      <c r="T965" s="8">
        <v>1.0000984365513055</v>
      </c>
      <c r="U965" s="98">
        <v>3.4243897128782841</v>
      </c>
      <c r="V965" s="106">
        <v>28147.705414182958</v>
      </c>
      <c r="W965" s="10">
        <v>0.64382856527498422</v>
      </c>
      <c r="X965" s="420"/>
      <c r="Y965" s="420"/>
      <c r="Z965" s="1"/>
      <c r="AA965" s="1"/>
      <c r="AB965" s="1"/>
      <c r="AC965" s="1"/>
      <c r="AD965" s="1"/>
      <c r="AL965" s="23"/>
      <c r="AM965" s="23"/>
    </row>
    <row r="966" spans="17:39">
      <c r="Q966" s="6">
        <v>936</v>
      </c>
      <c r="R966" s="7">
        <v>43603</v>
      </c>
      <c r="S966" s="210">
        <v>3.5450819672131146</v>
      </c>
      <c r="T966" s="8">
        <v>1.0000984744990893</v>
      </c>
      <c r="U966" s="98">
        <v>3.4246406274887953</v>
      </c>
      <c r="V966" s="106">
        <v>28149.897162683854</v>
      </c>
      <c r="W966" s="10">
        <v>0.64394725194840685</v>
      </c>
      <c r="X966" s="420"/>
      <c r="Y966" s="420"/>
      <c r="Z966" s="1"/>
      <c r="AA966" s="1"/>
      <c r="AB966" s="1"/>
      <c r="AC966" s="1"/>
      <c r="AD966" s="1"/>
      <c r="AL966" s="23"/>
      <c r="AM966" s="23"/>
    </row>
    <row r="967" spans="17:39">
      <c r="Q967" s="6">
        <v>937</v>
      </c>
      <c r="R967" s="7">
        <v>43604</v>
      </c>
      <c r="S967" s="210">
        <v>3.5464480874316942</v>
      </c>
      <c r="T967" s="8">
        <v>1.0000985124468731</v>
      </c>
      <c r="U967" s="98">
        <v>3.4248925358350002</v>
      </c>
      <c r="V967" s="106">
        <v>28152.089081847389</v>
      </c>
      <c r="W967" s="10">
        <v>0.64406717302432082</v>
      </c>
      <c r="X967" s="420"/>
      <c r="Y967" s="420"/>
      <c r="Z967" s="1"/>
      <c r="AA967" s="1"/>
      <c r="AB967" s="1"/>
      <c r="AC967" s="1"/>
      <c r="AD967" s="1"/>
      <c r="AL967" s="23"/>
      <c r="AM967" s="23"/>
    </row>
    <row r="968" spans="17:39">
      <c r="Q968" s="6">
        <v>938</v>
      </c>
      <c r="R968" s="7">
        <v>43605</v>
      </c>
      <c r="S968" s="210">
        <v>3.5478142076502732</v>
      </c>
      <c r="T968" s="8">
        <v>1.0000985503946569</v>
      </c>
      <c r="U968" s="98">
        <v>3.4251454347477672</v>
      </c>
      <c r="V968" s="106">
        <v>28154.281171686845</v>
      </c>
      <c r="W968" s="10">
        <v>0.64418832455952479</v>
      </c>
      <c r="X968" s="420"/>
      <c r="Y968" s="420"/>
      <c r="Z968" s="1"/>
      <c r="AA968" s="1"/>
      <c r="AB968" s="1"/>
      <c r="AC968" s="1"/>
      <c r="AD968" s="1"/>
      <c r="AL968" s="23"/>
      <c r="AM968" s="23"/>
    </row>
    <row r="969" spans="17:39">
      <c r="Q969" s="6">
        <v>939</v>
      </c>
      <c r="R969" s="7">
        <v>43606</v>
      </c>
      <c r="S969" s="210">
        <v>3.5491803278688523</v>
      </c>
      <c r="T969" s="8">
        <v>1.0000985883424407</v>
      </c>
      <c r="U969" s="98">
        <v>3.4253993210715095</v>
      </c>
      <c r="V969" s="106">
        <v>28156.473432215505</v>
      </c>
      <c r="W969" s="10">
        <v>0.64431070262769286</v>
      </c>
      <c r="X969" s="420"/>
      <c r="Y969" s="420"/>
      <c r="Z969" s="1"/>
      <c r="AA969" s="1"/>
      <c r="AB969" s="1"/>
      <c r="AC969" s="1"/>
      <c r="AD969" s="1"/>
      <c r="AL969" s="23"/>
      <c r="AM969" s="23"/>
    </row>
    <row r="970" spans="17:39">
      <c r="Q970" s="6">
        <v>940</v>
      </c>
      <c r="R970" s="7">
        <v>43607</v>
      </c>
      <c r="S970" s="210">
        <v>3.5505464480874318</v>
      </c>
      <c r="T970" s="8">
        <v>1.0000986262902247</v>
      </c>
      <c r="U970" s="98">
        <v>3.4256541916641181</v>
      </c>
      <c r="V970" s="106">
        <v>28158.665863446677</v>
      </c>
      <c r="W970" s="10">
        <v>0.64443430331924123</v>
      </c>
      <c r="X970" s="420"/>
      <c r="Y970" s="420"/>
      <c r="Z970" s="1"/>
      <c r="AA970" s="1"/>
      <c r="AB970" s="1"/>
      <c r="AC970" s="1"/>
      <c r="AD970" s="1"/>
      <c r="AL970" s="23"/>
      <c r="AM970" s="23"/>
    </row>
    <row r="971" spans="17:39">
      <c r="Q971" s="6">
        <v>941</v>
      </c>
      <c r="R971" s="7">
        <v>43608</v>
      </c>
      <c r="S971" s="210">
        <v>3.5519125683060109</v>
      </c>
      <c r="T971" s="8">
        <v>1.0000986642380085</v>
      </c>
      <c r="U971" s="98">
        <v>3.425910043396807</v>
      </c>
      <c r="V971" s="106">
        <v>28160.858465393634</v>
      </c>
      <c r="W971" s="10">
        <v>0.6445591227412395</v>
      </c>
      <c r="X971" s="420"/>
      <c r="Y971" s="420"/>
      <c r="Z971" s="1"/>
      <c r="AA971" s="1"/>
      <c r="AB971" s="1"/>
      <c r="AC971" s="1"/>
      <c r="AD971" s="1"/>
      <c r="AL971" s="23"/>
      <c r="AM971" s="23"/>
    </row>
    <row r="972" spans="17:39">
      <c r="Q972" s="6">
        <v>942</v>
      </c>
      <c r="R972" s="7">
        <v>43609</v>
      </c>
      <c r="S972" s="210">
        <v>3.5532786885245899</v>
      </c>
      <c r="T972" s="8">
        <v>1.0000987021857923</v>
      </c>
      <c r="U972" s="98">
        <v>3.4261668731541572</v>
      </c>
      <c r="V972" s="106">
        <v>28163.051238069682</v>
      </c>
      <c r="W972" s="10">
        <v>0.64468515701732176</v>
      </c>
      <c r="X972" s="420"/>
      <c r="Y972" s="420"/>
      <c r="Z972" s="1"/>
      <c r="AA972" s="1"/>
      <c r="AB972" s="1"/>
      <c r="AC972" s="1"/>
      <c r="AD972" s="1"/>
      <c r="AL972" s="23"/>
      <c r="AM972" s="23"/>
    </row>
    <row r="973" spans="17:39">
      <c r="Q973" s="6">
        <v>943</v>
      </c>
      <c r="R973" s="7">
        <v>43610</v>
      </c>
      <c r="S973" s="210">
        <v>3.5546448087431695</v>
      </c>
      <c r="T973" s="8">
        <v>1.0000987401335761</v>
      </c>
      <c r="U973" s="98">
        <v>3.4264246778339835</v>
      </c>
      <c r="V973" s="106">
        <v>28165.244181488109</v>
      </c>
      <c r="W973" s="10">
        <v>0.64481240228764225</v>
      </c>
      <c r="X973" s="420"/>
      <c r="Y973" s="420"/>
      <c r="Z973" s="1"/>
      <c r="AA973" s="1"/>
      <c r="AB973" s="1"/>
      <c r="AC973" s="1"/>
      <c r="AD973" s="1"/>
      <c r="AL973" s="23"/>
      <c r="AM973" s="23"/>
    </row>
    <row r="974" spans="17:39">
      <c r="Q974" s="6">
        <v>944</v>
      </c>
      <c r="R974" s="7">
        <v>43611</v>
      </c>
      <c r="S974" s="210">
        <v>3.5560109289617485</v>
      </c>
      <c r="T974" s="8">
        <v>1.0000987780813599</v>
      </c>
      <c r="U974" s="98">
        <v>3.4266834543472457</v>
      </c>
      <c r="V974" s="106">
        <v>28167.43729566221</v>
      </c>
      <c r="W974" s="10">
        <v>0.64494085470871987</v>
      </c>
      <c r="X974" s="420"/>
      <c r="Y974" s="420"/>
      <c r="Z974" s="1"/>
      <c r="AA974" s="1"/>
      <c r="AB974" s="1"/>
      <c r="AC974" s="1"/>
      <c r="AD974" s="1"/>
      <c r="AL974" s="23"/>
      <c r="AM974" s="23"/>
    </row>
    <row r="975" spans="17:39">
      <c r="Q975" s="6">
        <v>945</v>
      </c>
      <c r="R975" s="7">
        <v>43612</v>
      </c>
      <c r="S975" s="210">
        <v>3.557377049180328</v>
      </c>
      <c r="T975" s="8">
        <v>1.000098816029144</v>
      </c>
      <c r="U975" s="98">
        <v>3.4269431996180266</v>
      </c>
      <c r="V975" s="106">
        <v>28169.630580605284</v>
      </c>
      <c r="W975" s="10">
        <v>0.64507051045341601</v>
      </c>
      <c r="X975" s="420"/>
      <c r="Y975" s="420"/>
      <c r="Z975" s="1"/>
      <c r="AA975" s="1"/>
      <c r="AB975" s="1"/>
      <c r="AC975" s="1"/>
      <c r="AD975" s="1"/>
      <c r="AL975" s="23"/>
      <c r="AM975" s="23"/>
    </row>
    <row r="976" spans="17:39">
      <c r="Q976" s="6">
        <v>946</v>
      </c>
      <c r="R976" s="7">
        <v>43613</v>
      </c>
      <c r="S976" s="210">
        <v>3.5587431693989071</v>
      </c>
      <c r="T976" s="8">
        <v>1.0000988539769278</v>
      </c>
      <c r="U976" s="98">
        <v>3.4272039105834429</v>
      </c>
      <c r="V976" s="106">
        <v>28171.824036330629</v>
      </c>
      <c r="W976" s="10">
        <v>0.64520136571080133</v>
      </c>
      <c r="X976" s="420"/>
      <c r="Y976" s="420"/>
      <c r="Z976" s="1"/>
      <c r="AA976" s="1"/>
      <c r="AB976" s="1"/>
      <c r="AC976" s="1"/>
      <c r="AD976" s="1"/>
      <c r="AL976" s="23"/>
      <c r="AM976" s="23"/>
    </row>
    <row r="977" spans="17:39">
      <c r="Q977" s="6">
        <v>947</v>
      </c>
      <c r="R977" s="7">
        <v>43614</v>
      </c>
      <c r="S977" s="210">
        <v>3.5601092896174862</v>
      </c>
      <c r="T977" s="8">
        <v>1.0000988919247116</v>
      </c>
      <c r="U977" s="98">
        <v>3.4274655841935786</v>
      </c>
      <c r="V977" s="106">
        <v>28174.017662851536</v>
      </c>
      <c r="W977" s="10">
        <v>0.64533341668608912</v>
      </c>
      <c r="X977" s="420"/>
      <c r="Y977" s="420"/>
      <c r="Z977" s="1"/>
      <c r="AA977" s="1"/>
      <c r="AB977" s="1"/>
      <c r="AC977" s="1"/>
      <c r="AD977" s="1"/>
      <c r="AL977" s="23"/>
      <c r="AM977" s="23"/>
    </row>
    <row r="978" spans="17:39">
      <c r="Q978" s="6">
        <v>948</v>
      </c>
      <c r="R978" s="7">
        <v>43615</v>
      </c>
      <c r="S978" s="210">
        <v>3.5614754098360657</v>
      </c>
      <c r="T978" s="8">
        <v>1.0000989298724954</v>
      </c>
      <c r="U978" s="98">
        <v>3.4277282174113965</v>
      </c>
      <c r="V978" s="106">
        <v>28176.211460181308</v>
      </c>
      <c r="W978" s="10">
        <v>0.6454666596005243</v>
      </c>
      <c r="X978" s="420"/>
      <c r="Y978" s="420"/>
      <c r="Z978" s="1"/>
      <c r="AA978" s="1"/>
      <c r="AB978" s="1"/>
      <c r="AC978" s="1"/>
      <c r="AD978" s="1"/>
      <c r="AL978" s="23"/>
      <c r="AM978" s="23"/>
    </row>
    <row r="979" spans="17:39">
      <c r="Q979" s="6">
        <v>949</v>
      </c>
      <c r="R979" s="7">
        <v>43616</v>
      </c>
      <c r="S979" s="210">
        <v>3.5628415300546448</v>
      </c>
      <c r="T979" s="8">
        <v>1.0000989678202794</v>
      </c>
      <c r="U979" s="98">
        <v>3.4279918072127158</v>
      </c>
      <c r="V979" s="106">
        <v>28178.405428333252</v>
      </c>
      <c r="W979" s="10">
        <v>0.64560109069136118</v>
      </c>
      <c r="X979" s="420"/>
      <c r="Y979" s="420"/>
      <c r="Z979" s="1"/>
      <c r="AA979" s="1"/>
      <c r="AB979" s="1"/>
      <c r="AC979" s="1"/>
      <c r="AD979" s="1"/>
      <c r="AL979" s="23"/>
      <c r="AM979" s="23"/>
    </row>
    <row r="980" spans="17:39">
      <c r="Q980" s="6">
        <v>950</v>
      </c>
      <c r="R980" s="7">
        <v>43617</v>
      </c>
      <c r="S980" s="210">
        <v>3.5642076502732238</v>
      </c>
      <c r="T980" s="8">
        <v>1.0000990057680632</v>
      </c>
      <c r="U980" s="98">
        <v>3.4282563505860786</v>
      </c>
      <c r="V980" s="106">
        <v>28180.599567320663</v>
      </c>
      <c r="W980" s="10">
        <v>0.64573670621170809</v>
      </c>
      <c r="X980" s="420"/>
      <c r="Y980" s="420"/>
      <c r="Z980" s="1"/>
      <c r="AA980" s="1"/>
      <c r="AB980" s="1"/>
      <c r="AC980" s="1"/>
      <c r="AD980" s="1"/>
      <c r="AL980" s="23"/>
      <c r="AM980" s="23"/>
    </row>
    <row r="981" spans="17:39">
      <c r="Q981" s="6">
        <v>951</v>
      </c>
      <c r="R981" s="7">
        <v>43618</v>
      </c>
      <c r="S981" s="210">
        <v>3.5655737704918034</v>
      </c>
      <c r="T981" s="8">
        <v>1.000099043715847</v>
      </c>
      <c r="U981" s="98">
        <v>3.4285218445327503</v>
      </c>
      <c r="V981" s="106">
        <v>28182.793877156841</v>
      </c>
      <c r="W981" s="10">
        <v>0.64587350243052732</v>
      </c>
      <c r="X981" s="420"/>
      <c r="Y981" s="420"/>
      <c r="Z981" s="1"/>
      <c r="AA981" s="1"/>
      <c r="AB981" s="1"/>
      <c r="AC981" s="1"/>
      <c r="AD981" s="1"/>
      <c r="AL981" s="23"/>
      <c r="AM981" s="23"/>
    </row>
    <row r="982" spans="17:39">
      <c r="Q982" s="6">
        <v>952</v>
      </c>
      <c r="R982" s="7">
        <v>43619</v>
      </c>
      <c r="S982" s="210">
        <v>3.5669398907103824</v>
      </c>
      <c r="T982" s="8">
        <v>1.0000990816636308</v>
      </c>
      <c r="U982" s="98">
        <v>3.4287882860666086</v>
      </c>
      <c r="V982" s="106">
        <v>28184.988357855091</v>
      </c>
      <c r="W982" s="10">
        <v>0.64601147563241312</v>
      </c>
      <c r="X982" s="420"/>
      <c r="Y982" s="420"/>
      <c r="Z982" s="1"/>
      <c r="AA982" s="1"/>
      <c r="AB982" s="1"/>
      <c r="AC982" s="1"/>
      <c r="AD982" s="1"/>
      <c r="AL982" s="23"/>
      <c r="AM982" s="23"/>
    </row>
    <row r="983" spans="17:39">
      <c r="Q983" s="6">
        <v>953</v>
      </c>
      <c r="R983" s="7">
        <v>43620</v>
      </c>
      <c r="S983" s="210">
        <v>3.5683060109289619</v>
      </c>
      <c r="T983" s="8">
        <v>1.0000991196114146</v>
      </c>
      <c r="U983" s="98">
        <v>3.4290556722140986</v>
      </c>
      <c r="V983" s="106">
        <v>28187.183009428718</v>
      </c>
      <c r="W983" s="10">
        <v>0.64615062211768048</v>
      </c>
      <c r="X983" s="420"/>
      <c r="Y983" s="420"/>
      <c r="Z983" s="1"/>
      <c r="AA983" s="1"/>
      <c r="AB983" s="1"/>
      <c r="AC983" s="1"/>
      <c r="AD983" s="1"/>
      <c r="AL983" s="23"/>
      <c r="AM983" s="23"/>
    </row>
    <row r="984" spans="17:39">
      <c r="Q984" s="6">
        <v>954</v>
      </c>
      <c r="R984" s="7">
        <v>43621</v>
      </c>
      <c r="S984" s="210">
        <v>3.569672131147541</v>
      </c>
      <c r="T984" s="8">
        <v>1.0000991575591986</v>
      </c>
      <c r="U984" s="98">
        <v>3.4293240000141445</v>
      </c>
      <c r="V984" s="106">
        <v>28189.377831891026</v>
      </c>
      <c r="W984" s="10">
        <v>0.64629093820209871</v>
      </c>
      <c r="X984" s="420"/>
      <c r="Y984" s="420"/>
      <c r="Z984" s="1"/>
      <c r="AA984" s="1"/>
      <c r="AB984" s="1"/>
      <c r="AC984" s="1"/>
      <c r="AD984" s="1"/>
      <c r="AL984" s="23"/>
      <c r="AM984" s="23"/>
    </row>
    <row r="985" spans="17:39">
      <c r="Q985" s="6">
        <v>955</v>
      </c>
      <c r="R985" s="7">
        <v>43622</v>
      </c>
      <c r="S985" s="210">
        <v>3.5710382513661201</v>
      </c>
      <c r="T985" s="8">
        <v>1.0000991955069825</v>
      </c>
      <c r="U985" s="98">
        <v>3.429593266518105</v>
      </c>
      <c r="V985" s="106">
        <v>28191.572825255324</v>
      </c>
      <c r="W985" s="10">
        <v>0.64643242021704683</v>
      </c>
      <c r="X985" s="420"/>
      <c r="Y985" s="420"/>
      <c r="Z985" s="1"/>
      <c r="AA985" s="1"/>
      <c r="AB985" s="1"/>
      <c r="AC985" s="1"/>
      <c r="AD985" s="1"/>
      <c r="AL985" s="23"/>
      <c r="AM985" s="23"/>
    </row>
    <row r="986" spans="17:39">
      <c r="Q986" s="6">
        <v>956</v>
      </c>
      <c r="R986" s="7">
        <v>43623</v>
      </c>
      <c r="S986" s="210">
        <v>3.5724043715846996</v>
      </c>
      <c r="T986" s="8">
        <v>1.0000992334547663</v>
      </c>
      <c r="U986" s="98">
        <v>3.4298634687897067</v>
      </c>
      <c r="V986" s="106">
        <v>28193.767989534921</v>
      </c>
      <c r="W986" s="10">
        <v>0.64657506450913615</v>
      </c>
      <c r="X986" s="420"/>
      <c r="Y986" s="420"/>
      <c r="Z986" s="1"/>
      <c r="AA986" s="1"/>
      <c r="AB986" s="1"/>
      <c r="AC986" s="1"/>
      <c r="AD986" s="1"/>
      <c r="AL986" s="23"/>
      <c r="AM986" s="23"/>
    </row>
    <row r="987" spans="17:39">
      <c r="Q987" s="6">
        <v>957</v>
      </c>
      <c r="R987" s="7">
        <v>43624</v>
      </c>
      <c r="S987" s="210">
        <v>3.5737704918032787</v>
      </c>
      <c r="T987" s="8">
        <v>1.0000992714025501</v>
      </c>
      <c r="U987" s="98">
        <v>3.4301346039049774</v>
      </c>
      <c r="V987" s="106">
        <v>28195.963324743119</v>
      </c>
      <c r="W987" s="10">
        <v>0.64671886744045448</v>
      </c>
      <c r="X987" s="420"/>
      <c r="Y987" s="420"/>
      <c r="Z987" s="1"/>
      <c r="AA987" s="1"/>
      <c r="AB987" s="1"/>
      <c r="AC987" s="1"/>
      <c r="AD987" s="1"/>
      <c r="AL987" s="23"/>
      <c r="AM987" s="23"/>
    </row>
    <row r="988" spans="17:39">
      <c r="Q988" s="6">
        <v>958</v>
      </c>
      <c r="R988" s="7">
        <v>43625</v>
      </c>
      <c r="S988" s="210">
        <v>3.5751366120218577</v>
      </c>
      <c r="T988" s="8">
        <v>1.0000993093503339</v>
      </c>
      <c r="U988" s="98">
        <v>3.4304066689521573</v>
      </c>
      <c r="V988" s="106">
        <v>28198.158830893237</v>
      </c>
      <c r="W988" s="10">
        <v>0.64686382538812204</v>
      </c>
      <c r="X988" s="420"/>
      <c r="Y988" s="420"/>
      <c r="Z988" s="1"/>
      <c r="AA988" s="1"/>
      <c r="AB988" s="1"/>
      <c r="AC988" s="1"/>
      <c r="AD988" s="1"/>
      <c r="AL988" s="23"/>
      <c r="AM988" s="23"/>
    </row>
    <row r="989" spans="17:39">
      <c r="Q989" s="6">
        <v>959</v>
      </c>
      <c r="R989" s="7">
        <v>43626</v>
      </c>
      <c r="S989" s="210">
        <v>3.5765027322404372</v>
      </c>
      <c r="T989" s="8">
        <v>1.0000993472981179</v>
      </c>
      <c r="U989" s="98">
        <v>3.4306796610316992</v>
      </c>
      <c r="V989" s="106">
        <v>28200.427700179807</v>
      </c>
      <c r="W989" s="10">
        <v>0.64691051229064378</v>
      </c>
      <c r="X989" s="420"/>
      <c r="Y989" s="420"/>
      <c r="Z989" s="1"/>
      <c r="AA989" s="1"/>
      <c r="AB989" s="1"/>
      <c r="AC989" s="1"/>
      <c r="AD989" s="1"/>
      <c r="AL989" s="23"/>
      <c r="AM989" s="23"/>
    </row>
    <row r="990" spans="17:39">
      <c r="Q990" s="6">
        <v>960</v>
      </c>
      <c r="R990" s="7">
        <v>43627</v>
      </c>
      <c r="S990" s="210">
        <v>3.5778688524590163</v>
      </c>
      <c r="T990" s="8">
        <v>1.0000993852459017</v>
      </c>
      <c r="U990" s="98">
        <v>3.4309535772561128</v>
      </c>
      <c r="V990" s="106">
        <v>28202.696752023254</v>
      </c>
      <c r="W990" s="10">
        <v>0.64695855394678592</v>
      </c>
      <c r="X990" s="420"/>
      <c r="Y990" s="420"/>
      <c r="Z990" s="1"/>
      <c r="AA990" s="1"/>
      <c r="AB990" s="1"/>
      <c r="AC990" s="1"/>
      <c r="AD990" s="1"/>
      <c r="AL990" s="23"/>
      <c r="AM990" s="23"/>
    </row>
    <row r="991" spans="17:39">
      <c r="Q991" s="6">
        <v>961</v>
      </c>
      <c r="R991" s="7">
        <v>43628</v>
      </c>
      <c r="S991" s="210">
        <v>3.5792349726775958</v>
      </c>
      <c r="T991" s="8">
        <v>1.0000994231936855</v>
      </c>
      <c r="U991" s="98">
        <v>3.4312284147499872</v>
      </c>
      <c r="V991" s="106">
        <v>28204.96598643827</v>
      </c>
      <c r="W991" s="10">
        <v>0.64700794612930768</v>
      </c>
      <c r="X991" s="420"/>
      <c r="Y991" s="420"/>
      <c r="Z991" s="1"/>
      <c r="AA991" s="1"/>
      <c r="AB991" s="1"/>
      <c r="AC991" s="1"/>
      <c r="AD991" s="1"/>
      <c r="AL991" s="23"/>
      <c r="AM991" s="23"/>
    </row>
    <row r="992" spans="17:39">
      <c r="Q992" s="6">
        <v>962</v>
      </c>
      <c r="R992" s="7">
        <v>43629</v>
      </c>
      <c r="S992" s="210">
        <v>3.5806010928961749</v>
      </c>
      <c r="T992" s="8">
        <v>1.0000994611414693</v>
      </c>
      <c r="U992" s="98">
        <v>3.4315041706498794</v>
      </c>
      <c r="V992" s="106">
        <v>28207.235403439539</v>
      </c>
      <c r="W992" s="10">
        <v>0.64705868462864302</v>
      </c>
      <c r="X992" s="420"/>
      <c r="Y992" s="420"/>
      <c r="Z992" s="1"/>
      <c r="AA992" s="1"/>
      <c r="AB992" s="1"/>
      <c r="AC992" s="1"/>
      <c r="AD992" s="1"/>
      <c r="AL992" s="23"/>
      <c r="AM992" s="23"/>
    </row>
    <row r="993" spans="17:39">
      <c r="Q993" s="6">
        <v>963</v>
      </c>
      <c r="R993" s="7">
        <v>43630</v>
      </c>
      <c r="S993" s="210">
        <v>3.581967213114754</v>
      </c>
      <c r="T993" s="8">
        <v>1.0000994990892531</v>
      </c>
      <c r="U993" s="98">
        <v>3.4317808421042484</v>
      </c>
      <c r="V993" s="106">
        <v>28209.505003041755</v>
      </c>
      <c r="W993" s="10">
        <v>0.64711076525265643</v>
      </c>
      <c r="X993" s="420"/>
      <c r="Y993" s="420"/>
      <c r="Z993" s="1"/>
      <c r="AA993" s="1"/>
      <c r="AB993" s="1"/>
      <c r="AC993" s="1"/>
      <c r="AD993" s="1"/>
      <c r="AL993" s="23"/>
      <c r="AM993" s="23"/>
    </row>
    <row r="994" spans="17:39">
      <c r="Q994" s="6">
        <v>964</v>
      </c>
      <c r="R994" s="7">
        <v>43631</v>
      </c>
      <c r="S994" s="210">
        <v>3.5833333333333335</v>
      </c>
      <c r="T994" s="8">
        <v>1.0000995370370371</v>
      </c>
      <c r="U994" s="98">
        <v>3.4320584262734544</v>
      </c>
      <c r="V994" s="106">
        <v>28211.774785259619</v>
      </c>
      <c r="W994" s="10">
        <v>0.64716418382673169</v>
      </c>
      <c r="X994" s="420"/>
      <c r="Y994" s="420"/>
      <c r="Z994" s="1"/>
      <c r="AA994" s="1"/>
      <c r="AB994" s="1"/>
      <c r="AC994" s="1"/>
      <c r="AD994" s="1"/>
      <c r="AL994" s="23"/>
      <c r="AM994" s="23"/>
    </row>
    <row r="995" spans="17:39">
      <c r="Q995" s="6">
        <v>965</v>
      </c>
      <c r="R995" s="7">
        <v>43632</v>
      </c>
      <c r="S995" s="210">
        <v>3.5846994535519126</v>
      </c>
      <c r="T995" s="8">
        <v>1.0000995749848209</v>
      </c>
      <c r="U995" s="98">
        <v>3.4323369203296039</v>
      </c>
      <c r="V995" s="106">
        <v>28214.044750107809</v>
      </c>
      <c r="W995" s="10">
        <v>0.64721893619361648</v>
      </c>
      <c r="X995" s="420"/>
      <c r="Y995" s="420"/>
      <c r="Z995" s="1"/>
      <c r="AA995" s="1"/>
      <c r="AB995" s="1"/>
      <c r="AC995" s="1"/>
      <c r="AD995" s="1"/>
      <c r="AL995" s="23"/>
      <c r="AM995" s="23"/>
    </row>
    <row r="996" spans="17:39">
      <c r="Q996" s="6">
        <v>966</v>
      </c>
      <c r="R996" s="7">
        <v>43633</v>
      </c>
      <c r="S996" s="210">
        <v>3.5860655737704916</v>
      </c>
      <c r="T996" s="8">
        <v>1.0000996129326047</v>
      </c>
      <c r="U996" s="98">
        <v>3.4326163214565497</v>
      </c>
      <c r="V996" s="106">
        <v>28216.314897601027</v>
      </c>
      <c r="W996" s="10">
        <v>0.64727501821328914</v>
      </c>
      <c r="X996" s="420"/>
      <c r="Y996" s="420"/>
      <c r="Z996" s="1"/>
      <c r="AA996" s="1"/>
      <c r="AB996" s="1"/>
      <c r="AC996" s="1"/>
      <c r="AD996" s="1"/>
      <c r="AL996" s="23"/>
      <c r="AM996" s="23"/>
    </row>
    <row r="997" spans="17:39">
      <c r="Q997" s="6">
        <v>967</v>
      </c>
      <c r="R997" s="7">
        <v>43634</v>
      </c>
      <c r="S997" s="210">
        <v>3.5874316939890711</v>
      </c>
      <c r="T997" s="8">
        <v>1.0000996508803885</v>
      </c>
      <c r="U997" s="98">
        <v>3.4328966268498462</v>
      </c>
      <c r="V997" s="106">
        <v>28218.585227753974</v>
      </c>
      <c r="W997" s="10">
        <v>0.64733242576291428</v>
      </c>
      <c r="X997" s="420"/>
      <c r="Y997" s="420"/>
      <c r="Z997" s="1"/>
      <c r="AA997" s="1"/>
      <c r="AB997" s="1"/>
      <c r="AC997" s="1"/>
      <c r="AD997" s="1"/>
      <c r="AL997" s="23"/>
      <c r="AM997" s="23"/>
    </row>
    <row r="998" spans="17:39">
      <c r="Q998" s="6">
        <v>968</v>
      </c>
      <c r="R998" s="7">
        <v>43635</v>
      </c>
      <c r="S998" s="210">
        <v>3.5887978142076502</v>
      </c>
      <c r="T998" s="8">
        <v>1.0000996888281724</v>
      </c>
      <c r="U998" s="98">
        <v>3.4331778337166163</v>
      </c>
      <c r="V998" s="106">
        <v>28220.855740581344</v>
      </c>
      <c r="W998" s="10">
        <v>0.6473911547367539</v>
      </c>
      <c r="X998" s="420"/>
      <c r="Y998" s="420"/>
      <c r="Z998" s="1"/>
      <c r="AA998" s="1"/>
      <c r="AB998" s="1"/>
      <c r="AC998" s="1"/>
      <c r="AD998" s="1"/>
      <c r="AL998" s="23"/>
      <c r="AM998" s="23"/>
    </row>
    <row r="999" spans="17:39">
      <c r="Q999" s="6">
        <v>969</v>
      </c>
      <c r="R999" s="7">
        <v>43636</v>
      </c>
      <c r="S999" s="210">
        <v>3.5901639344262297</v>
      </c>
      <c r="T999" s="8">
        <v>1.0000997267759564</v>
      </c>
      <c r="U999" s="98">
        <v>3.4334599392755738</v>
      </c>
      <c r="V999" s="106">
        <v>28223.126436097831</v>
      </c>
      <c r="W999" s="10">
        <v>0.64745120104610088</v>
      </c>
      <c r="X999" s="420"/>
      <c r="Y999" s="420"/>
      <c r="Z999" s="1"/>
      <c r="AA999" s="1"/>
      <c r="AB999" s="1"/>
      <c r="AC999" s="1"/>
      <c r="AD999" s="1"/>
      <c r="AL999" s="23"/>
      <c r="AM999" s="23"/>
    </row>
    <row r="1000" spans="17:39">
      <c r="Q1000" s="6">
        <v>970</v>
      </c>
      <c r="R1000" s="7">
        <v>43637</v>
      </c>
      <c r="S1000" s="210">
        <v>3.5915300546448088</v>
      </c>
      <c r="T1000" s="8">
        <v>1.0000997647237402</v>
      </c>
      <c r="U1000" s="98">
        <v>3.4337429407568898</v>
      </c>
      <c r="V1000" s="106">
        <v>28225.397314318136</v>
      </c>
      <c r="W1000" s="10">
        <v>0.64751256061907903</v>
      </c>
      <c r="X1000" s="420"/>
      <c r="Y1000" s="420"/>
      <c r="Z1000" s="1"/>
      <c r="AA1000" s="1"/>
      <c r="AB1000" s="1"/>
      <c r="AC1000" s="1"/>
      <c r="AD1000" s="1"/>
      <c r="AL1000" s="23"/>
      <c r="AM1000" s="23"/>
    </row>
    <row r="1001" spans="17:39">
      <c r="Q1001" s="6">
        <v>971</v>
      </c>
      <c r="R1001" s="7">
        <v>43638</v>
      </c>
      <c r="S1001" s="210">
        <v>3.5928961748633879</v>
      </c>
      <c r="T1001" s="8">
        <v>1.000099802671524</v>
      </c>
      <c r="U1001" s="98">
        <v>3.434026835402193</v>
      </c>
      <c r="V1001" s="106">
        <v>28227.668375256962</v>
      </c>
      <c r="W1001" s="10">
        <v>0.64757522940068757</v>
      </c>
      <c r="X1001" s="420"/>
      <c r="Y1001" s="420"/>
      <c r="Z1001" s="1"/>
      <c r="AA1001" s="1"/>
      <c r="AB1001" s="1"/>
      <c r="AC1001" s="1"/>
      <c r="AD1001" s="1"/>
      <c r="AL1001" s="23"/>
      <c r="AM1001" s="23"/>
    </row>
    <row r="1002" spans="17:39">
      <c r="Q1002" s="6">
        <v>972</v>
      </c>
      <c r="R1002" s="7">
        <v>43639</v>
      </c>
      <c r="S1002" s="210">
        <v>3.5942622950819674</v>
      </c>
      <c r="T1002" s="8">
        <v>1.0000998406193078</v>
      </c>
      <c r="U1002" s="98">
        <v>3.4343116204644808</v>
      </c>
      <c r="V1002" s="106">
        <v>28229.939618929009</v>
      </c>
      <c r="W1002" s="10">
        <v>0.6476392033526901</v>
      </c>
      <c r="X1002" s="420"/>
      <c r="Y1002" s="420"/>
      <c r="Z1002" s="1"/>
      <c r="AA1002" s="1"/>
      <c r="AB1002" s="1"/>
      <c r="AC1002" s="1"/>
      <c r="AD1002" s="1"/>
      <c r="AL1002" s="23"/>
      <c r="AM1002" s="23"/>
    </row>
    <row r="1003" spans="17:39">
      <c r="Q1003" s="6">
        <v>973</v>
      </c>
      <c r="R1003" s="7">
        <v>43640</v>
      </c>
      <c r="S1003" s="210">
        <v>3.5956284153005464</v>
      </c>
      <c r="T1003" s="8">
        <v>1.0000998785670916</v>
      </c>
      <c r="U1003" s="98">
        <v>3.4345972932080748</v>
      </c>
      <c r="V1003" s="106">
        <v>28232.211045348984</v>
      </c>
      <c r="W1003" s="10">
        <v>0.64770447845348134</v>
      </c>
      <c r="X1003" s="420"/>
      <c r="Y1003" s="420"/>
      <c r="Z1003" s="1"/>
      <c r="AA1003" s="1"/>
      <c r="AB1003" s="1"/>
      <c r="AC1003" s="1"/>
      <c r="AD1003" s="1"/>
      <c r="AL1003" s="23"/>
      <c r="AM1003" s="23"/>
    </row>
    <row r="1004" spans="17:39">
      <c r="Q1004" s="6">
        <v>974</v>
      </c>
      <c r="R1004" s="7">
        <v>43641</v>
      </c>
      <c r="S1004" s="210">
        <v>3.5969945355191255</v>
      </c>
      <c r="T1004" s="8">
        <v>1.0000999165148756</v>
      </c>
      <c r="U1004" s="98">
        <v>3.4348838509085544</v>
      </c>
      <c r="V1004" s="106">
        <v>28234.482654531588</v>
      </c>
      <c r="W1004" s="10">
        <v>0.64777105069799834</v>
      </c>
      <c r="X1004" s="420"/>
      <c r="Y1004" s="420"/>
      <c r="Z1004" s="1"/>
      <c r="AA1004" s="1"/>
      <c r="AB1004" s="1"/>
      <c r="AC1004" s="1"/>
      <c r="AD1004" s="1"/>
      <c r="AL1004" s="23"/>
      <c r="AM1004" s="23"/>
    </row>
    <row r="1005" spans="17:39">
      <c r="Q1005" s="6">
        <v>975</v>
      </c>
      <c r="R1005" s="7">
        <v>43642</v>
      </c>
      <c r="S1005" s="210">
        <v>3.598360655737705</v>
      </c>
      <c r="T1005" s="8">
        <v>1.0000999544626594</v>
      </c>
      <c r="U1005" s="98">
        <v>3.4351712908526677</v>
      </c>
      <c r="V1005" s="106">
        <v>28236.754446491526</v>
      </c>
      <c r="W1005" s="10">
        <v>0.64783891609769828</v>
      </c>
      <c r="X1005" s="420"/>
      <c r="Y1005" s="420"/>
      <c r="Z1005" s="1"/>
      <c r="AA1005" s="1"/>
      <c r="AB1005" s="1"/>
      <c r="AC1005" s="1"/>
      <c r="AD1005" s="1"/>
      <c r="AL1005" s="23"/>
      <c r="AM1005" s="23"/>
    </row>
    <row r="1006" spans="17:39">
      <c r="Q1006" s="6">
        <v>976</v>
      </c>
      <c r="R1006" s="7">
        <v>43643</v>
      </c>
      <c r="S1006" s="210">
        <v>3.5997267759562841</v>
      </c>
      <c r="T1006" s="8">
        <v>1.0000999924104432</v>
      </c>
      <c r="U1006" s="98">
        <v>3.4354596103383539</v>
      </c>
      <c r="V1006" s="106">
        <v>28239.026421243503</v>
      </c>
      <c r="W1006" s="10">
        <v>0.64790807068040301</v>
      </c>
      <c r="X1006" s="420"/>
      <c r="Y1006" s="420"/>
      <c r="Z1006" s="1"/>
      <c r="AA1006" s="1"/>
      <c r="AB1006" s="1"/>
      <c r="AC1006" s="1"/>
      <c r="AD1006" s="1"/>
      <c r="AL1006" s="23"/>
      <c r="AM1006" s="23"/>
    </row>
    <row r="1007" spans="17:39">
      <c r="Q1007" s="6">
        <v>977</v>
      </c>
      <c r="R1007" s="7">
        <v>43644</v>
      </c>
      <c r="S1007" s="210">
        <v>3.6010928961748632</v>
      </c>
      <c r="T1007" s="8">
        <v>1.000100030358227</v>
      </c>
      <c r="U1007" s="98">
        <v>3.4357488066745656</v>
      </c>
      <c r="V1007" s="106">
        <v>28241.298578802231</v>
      </c>
      <c r="W1007" s="10">
        <v>0.64797851049021027</v>
      </c>
      <c r="X1007" s="420"/>
      <c r="Y1007" s="420"/>
      <c r="Z1007" s="1"/>
      <c r="AA1007" s="1"/>
      <c r="AB1007" s="1"/>
      <c r="AC1007" s="1"/>
      <c r="AD1007" s="1"/>
      <c r="AL1007" s="23"/>
      <c r="AM1007" s="23"/>
    </row>
    <row r="1008" spans="17:39">
      <c r="Q1008" s="6">
        <v>978</v>
      </c>
      <c r="R1008" s="7">
        <v>43645</v>
      </c>
      <c r="S1008" s="210">
        <v>3.6024590163934427</v>
      </c>
      <c r="T1008" s="8">
        <v>1.0001000683060108</v>
      </c>
      <c r="U1008" s="98">
        <v>3.4360388771813799</v>
      </c>
      <c r="V1008" s="106">
        <v>28243.570919182413</v>
      </c>
      <c r="W1008" s="10">
        <v>0.64805023158756025</v>
      </c>
      <c r="X1008" s="420"/>
      <c r="Y1008" s="420"/>
      <c r="Z1008" s="1"/>
      <c r="AA1008" s="1"/>
      <c r="AB1008" s="1"/>
      <c r="AC1008" s="1"/>
      <c r="AD1008" s="1"/>
      <c r="AL1008" s="23"/>
      <c r="AM1008" s="23"/>
    </row>
    <row r="1009" spans="17:39">
      <c r="Q1009" s="6">
        <v>979</v>
      </c>
      <c r="R1009" s="7">
        <v>43646</v>
      </c>
      <c r="S1009" s="210">
        <v>3.6038251366120218</v>
      </c>
      <c r="T1009" s="8">
        <v>1.0001001062537949</v>
      </c>
      <c r="U1009" s="98">
        <v>3.4363298191897762</v>
      </c>
      <c r="V1009" s="106">
        <v>28245.843442398764</v>
      </c>
      <c r="W1009" s="10">
        <v>0.64812323004894701</v>
      </c>
      <c r="X1009" s="420"/>
      <c r="Y1009" s="420"/>
      <c r="Z1009" s="1"/>
      <c r="AA1009" s="1"/>
      <c r="AB1009" s="1"/>
      <c r="AC1009" s="1"/>
      <c r="AD1009" s="1"/>
      <c r="AL1009" s="23"/>
      <c r="AM1009" s="23"/>
    </row>
    <row r="1010" spans="17:39">
      <c r="Q1010" s="6">
        <v>980</v>
      </c>
      <c r="R1010" s="7">
        <v>43647</v>
      </c>
      <c r="S1010" s="210">
        <v>3.6051912568306013</v>
      </c>
      <c r="T1010" s="8">
        <v>1.0001001442015787</v>
      </c>
      <c r="U1010" s="98">
        <v>3.4366216300416585</v>
      </c>
      <c r="V1010" s="106">
        <v>28248.116148465997</v>
      </c>
      <c r="W1010" s="10">
        <v>0.64819750196694059</v>
      </c>
      <c r="X1010" s="420"/>
      <c r="Y1010" s="420"/>
      <c r="Z1010" s="1"/>
      <c r="AA1010" s="1"/>
      <c r="AB1010" s="1"/>
      <c r="AC1010" s="1"/>
      <c r="AD1010" s="1"/>
      <c r="AL1010" s="23"/>
      <c r="AM1010" s="23"/>
    </row>
    <row r="1011" spans="17:39">
      <c r="Q1011" s="6">
        <v>981</v>
      </c>
      <c r="R1011" s="7">
        <v>43648</v>
      </c>
      <c r="S1011" s="210">
        <v>3.6065573770491803</v>
      </c>
      <c r="T1011" s="8">
        <v>1.0001001821493625</v>
      </c>
      <c r="U1011" s="98">
        <v>3.4369143070898112</v>
      </c>
      <c r="V1011" s="106">
        <v>28250.389037398818</v>
      </c>
      <c r="W1011" s="10">
        <v>0.64827304345012049</v>
      </c>
      <c r="X1011" s="420"/>
      <c r="Y1011" s="420"/>
      <c r="Z1011" s="1"/>
      <c r="AA1011" s="1"/>
      <c r="AB1011" s="1"/>
      <c r="AC1011" s="1"/>
      <c r="AD1011" s="1"/>
      <c r="AL1011" s="23"/>
      <c r="AM1011" s="23"/>
    </row>
    <row r="1012" spans="17:39">
      <c r="Q1012" s="6">
        <v>982</v>
      </c>
      <c r="R1012" s="7">
        <v>43649</v>
      </c>
      <c r="S1012" s="210">
        <v>3.6079234972677594</v>
      </c>
      <c r="T1012" s="8">
        <v>1.0001002200971463</v>
      </c>
      <c r="U1012" s="98">
        <v>3.4372078476978096</v>
      </c>
      <c r="V1012" s="106">
        <v>28252.662109211942</v>
      </c>
      <c r="W1012" s="10">
        <v>0.64834985062292017</v>
      </c>
      <c r="X1012" s="420"/>
      <c r="Y1012" s="420"/>
      <c r="Z1012" s="1"/>
      <c r="AA1012" s="1"/>
      <c r="AB1012" s="1"/>
      <c r="AC1012" s="1"/>
      <c r="AD1012" s="1"/>
      <c r="AL1012" s="23"/>
      <c r="AM1012" s="23"/>
    </row>
    <row r="1013" spans="17:39">
      <c r="Q1013" s="6">
        <v>983</v>
      </c>
      <c r="R1013" s="7">
        <v>43650</v>
      </c>
      <c r="S1013" s="210">
        <v>3.6092896174863389</v>
      </c>
      <c r="T1013" s="8">
        <v>1.0001002580449301</v>
      </c>
      <c r="U1013" s="98">
        <v>3.4375022492399987</v>
      </c>
      <c r="V1013" s="106">
        <v>28254.935363920093</v>
      </c>
      <c r="W1013" s="10">
        <v>0.64842791962562707</v>
      </c>
      <c r="X1013" s="420"/>
      <c r="Y1013" s="420"/>
      <c r="Z1013" s="1"/>
      <c r="AA1013" s="1"/>
      <c r="AB1013" s="1"/>
      <c r="AC1013" s="1"/>
      <c r="AD1013" s="1"/>
      <c r="AL1013" s="23"/>
      <c r="AM1013" s="23"/>
    </row>
    <row r="1014" spans="17:39">
      <c r="Q1014" s="6">
        <v>984</v>
      </c>
      <c r="R1014" s="7">
        <v>43651</v>
      </c>
      <c r="S1014" s="210">
        <v>3.610655737704918</v>
      </c>
      <c r="T1014" s="8">
        <v>1.0001002959927141</v>
      </c>
      <c r="U1014" s="98">
        <v>3.4377975091013813</v>
      </c>
      <c r="V1014" s="106">
        <v>28257.208801537978</v>
      </c>
      <c r="W1014" s="10">
        <v>0.64850724661427162</v>
      </c>
      <c r="X1014" s="420"/>
      <c r="Y1014" s="420"/>
      <c r="Z1014" s="1"/>
      <c r="AA1014" s="1"/>
      <c r="AB1014" s="1"/>
      <c r="AC1014" s="1"/>
      <c r="AD1014" s="1"/>
      <c r="AL1014" s="23"/>
      <c r="AM1014" s="23"/>
    </row>
    <row r="1015" spans="17:39">
      <c r="Q1015" s="6">
        <v>985</v>
      </c>
      <c r="R1015" s="7">
        <v>43652</v>
      </c>
      <c r="S1015" s="210">
        <v>3.6120218579234971</v>
      </c>
      <c r="T1015" s="8">
        <v>1.0001003339404979</v>
      </c>
      <c r="U1015" s="98">
        <v>3.4380936246776406</v>
      </c>
      <c r="V1015" s="106">
        <v>28259.482422080309</v>
      </c>
      <c r="W1015" s="10">
        <v>0.64858782776056056</v>
      </c>
      <c r="X1015" s="420"/>
      <c r="Y1015" s="420"/>
      <c r="Z1015" s="1"/>
      <c r="AA1015" s="1"/>
      <c r="AB1015" s="1"/>
      <c r="AC1015" s="1"/>
      <c r="AD1015" s="1"/>
      <c r="AL1015" s="23"/>
      <c r="AM1015" s="23"/>
    </row>
    <row r="1016" spans="17:39">
      <c r="Q1016" s="6">
        <v>986</v>
      </c>
      <c r="R1016" s="7">
        <v>43653</v>
      </c>
      <c r="S1016" s="210">
        <v>3.6133879781420766</v>
      </c>
      <c r="T1016" s="8">
        <v>1.0001003718882817</v>
      </c>
      <c r="U1016" s="98">
        <v>3.4383905933750292</v>
      </c>
      <c r="V1016" s="106">
        <v>28261.756225561821</v>
      </c>
      <c r="W1016" s="10">
        <v>0.64866965925165498</v>
      </c>
      <c r="X1016" s="420"/>
      <c r="Y1016" s="420"/>
      <c r="Z1016" s="1"/>
      <c r="AA1016" s="1"/>
      <c r="AB1016" s="1"/>
      <c r="AC1016" s="1"/>
      <c r="AD1016" s="1"/>
      <c r="AL1016" s="23"/>
      <c r="AM1016" s="23"/>
    </row>
    <row r="1017" spans="17:39">
      <c r="Q1017" s="6">
        <v>987</v>
      </c>
      <c r="R1017" s="7">
        <v>43654</v>
      </c>
      <c r="S1017" s="210">
        <v>3.6147540983606556</v>
      </c>
      <c r="T1017" s="8">
        <v>1.0001004098360655</v>
      </c>
      <c r="U1017" s="98">
        <v>3.4386884126103023</v>
      </c>
      <c r="V1017" s="106">
        <v>28264.030211997222</v>
      </c>
      <c r="W1017" s="10">
        <v>0.64875273729037009</v>
      </c>
      <c r="X1017" s="420"/>
      <c r="Y1017" s="420"/>
      <c r="Z1017" s="1"/>
      <c r="AA1017" s="1"/>
      <c r="AB1017" s="1"/>
      <c r="AC1017" s="1"/>
      <c r="AD1017" s="1"/>
      <c r="AL1017" s="23"/>
      <c r="AM1017" s="23"/>
    </row>
    <row r="1018" spans="17:39">
      <c r="Q1018" s="6">
        <v>988</v>
      </c>
      <c r="R1018" s="7">
        <v>43655</v>
      </c>
      <c r="S1018" s="210">
        <v>3.6161202185792352</v>
      </c>
      <c r="T1018" s="8">
        <v>1.0001004477838493</v>
      </c>
      <c r="U1018" s="98">
        <v>3.4389870798107403</v>
      </c>
      <c r="V1018" s="106">
        <v>28266.304381401231</v>
      </c>
      <c r="W1018" s="10">
        <v>0.64883705809484216</v>
      </c>
      <c r="X1018" s="420"/>
      <c r="Y1018" s="420"/>
      <c r="Z1018" s="1"/>
      <c r="AA1018" s="1"/>
      <c r="AB1018" s="1"/>
      <c r="AC1018" s="1"/>
      <c r="AD1018" s="1"/>
      <c r="AL1018" s="23"/>
      <c r="AM1018" s="23"/>
    </row>
    <row r="1019" spans="17:39">
      <c r="Q1019" s="6">
        <v>989</v>
      </c>
      <c r="R1019" s="7">
        <v>43656</v>
      </c>
      <c r="S1019" s="210">
        <v>3.6174863387978142</v>
      </c>
      <c r="T1019" s="8">
        <v>1.0001004857316333</v>
      </c>
      <c r="U1019" s="98">
        <v>3.439286592414037</v>
      </c>
      <c r="V1019" s="106">
        <v>28268.505364726243</v>
      </c>
      <c r="W1019" s="10">
        <v>0.64901902643055287</v>
      </c>
      <c r="X1019" s="420"/>
      <c r="Y1019" s="420"/>
      <c r="Z1019" s="1"/>
      <c r="AA1019" s="1"/>
      <c r="AB1019" s="1"/>
      <c r="AC1019" s="1"/>
      <c r="AD1019" s="1"/>
      <c r="AL1019" s="23"/>
      <c r="AM1019" s="23"/>
    </row>
    <row r="1020" spans="17:39">
      <c r="Q1020" s="6">
        <v>990</v>
      </c>
      <c r="R1020" s="7">
        <v>43657</v>
      </c>
      <c r="S1020" s="210">
        <v>3.6188524590163933</v>
      </c>
      <c r="T1020" s="8">
        <v>1.0001005236794172</v>
      </c>
      <c r="U1020" s="98">
        <v>3.4395869478682561</v>
      </c>
      <c r="V1020" s="106">
        <v>28270.706519432966</v>
      </c>
      <c r="W1020" s="10">
        <v>0.64920203550780098</v>
      </c>
      <c r="X1020" s="420"/>
      <c r="Y1020" s="420"/>
      <c r="Z1020" s="1"/>
      <c r="AA1020" s="1"/>
      <c r="AB1020" s="1"/>
      <c r="AC1020" s="1"/>
      <c r="AD1020" s="1"/>
      <c r="AL1020" s="23"/>
      <c r="AM1020" s="23"/>
    </row>
    <row r="1021" spans="17:39">
      <c r="Q1021" s="6">
        <v>991</v>
      </c>
      <c r="R1021" s="7">
        <v>43658</v>
      </c>
      <c r="S1021" s="210">
        <v>3.6202185792349728</v>
      </c>
      <c r="T1021" s="8">
        <v>1.000100561627201</v>
      </c>
      <c r="U1021" s="98">
        <v>3.4398881436317863</v>
      </c>
      <c r="V1021" s="106">
        <v>28272.907845534744</v>
      </c>
      <c r="W1021" s="10">
        <v>0.6493860821825681</v>
      </c>
      <c r="X1021" s="420"/>
      <c r="Y1021" s="420"/>
      <c r="Z1021" s="1"/>
      <c r="AA1021" s="1"/>
      <c r="AB1021" s="1"/>
      <c r="AC1021" s="1"/>
      <c r="AD1021" s="1"/>
      <c r="AL1021" s="23"/>
      <c r="AM1021" s="23"/>
    </row>
    <row r="1022" spans="17:39">
      <c r="Q1022" s="6">
        <v>992</v>
      </c>
      <c r="R1022" s="7">
        <v>43659</v>
      </c>
      <c r="S1022" s="210">
        <v>3.6215846994535519</v>
      </c>
      <c r="T1022" s="8">
        <v>1.0001005995749848</v>
      </c>
      <c r="U1022" s="98">
        <v>3.4401901771732524</v>
      </c>
      <c r="V1022" s="106">
        <v>28275.109343044918</v>
      </c>
      <c r="W1022" s="10">
        <v>0.64957116332364784</v>
      </c>
      <c r="X1022" s="420"/>
      <c r="Y1022" s="420"/>
      <c r="Z1022" s="1"/>
      <c r="AA1022" s="1"/>
      <c r="AB1022" s="1"/>
      <c r="AC1022" s="1"/>
      <c r="AD1022" s="1"/>
      <c r="AL1022" s="23"/>
      <c r="AM1022" s="23"/>
    </row>
    <row r="1023" spans="17:39">
      <c r="Q1023" s="6">
        <v>993</v>
      </c>
      <c r="R1023" s="7">
        <v>43660</v>
      </c>
      <c r="S1023" s="210">
        <v>3.622950819672131</v>
      </c>
      <c r="T1023" s="8">
        <v>1.0001006375227686</v>
      </c>
      <c r="U1023" s="98">
        <v>3.4404930459715377</v>
      </c>
      <c r="V1023" s="106">
        <v>28277.31101197685</v>
      </c>
      <c r="W1023" s="10">
        <v>0.6497572758124015</v>
      </c>
      <c r="X1023" s="420"/>
      <c r="Y1023" s="420"/>
      <c r="Z1023" s="1"/>
      <c r="AA1023" s="1"/>
      <c r="AB1023" s="1"/>
      <c r="AC1023" s="1"/>
      <c r="AD1023" s="1"/>
      <c r="AL1023" s="23"/>
      <c r="AM1023" s="23"/>
    </row>
    <row r="1024" spans="17:39">
      <c r="Q1024" s="6">
        <v>994</v>
      </c>
      <c r="R1024" s="7">
        <v>43661</v>
      </c>
      <c r="S1024" s="210">
        <v>3.6243169398907105</v>
      </c>
      <c r="T1024" s="8">
        <v>1.0001006754705526</v>
      </c>
      <c r="U1024" s="98">
        <v>3.4407967475156953</v>
      </c>
      <c r="V1024" s="106">
        <v>28279.512852343869</v>
      </c>
      <c r="W1024" s="10">
        <v>0.64994441654280255</v>
      </c>
      <c r="X1024" s="420"/>
      <c r="Y1024" s="420"/>
      <c r="Z1024" s="1"/>
      <c r="AA1024" s="1"/>
      <c r="AB1024" s="1"/>
      <c r="AC1024" s="1"/>
      <c r="AD1024" s="1"/>
      <c r="AL1024" s="23"/>
      <c r="AM1024" s="23"/>
    </row>
    <row r="1025" spans="17:39">
      <c r="Q1025" s="6">
        <v>995</v>
      </c>
      <c r="R1025" s="7">
        <v>43662</v>
      </c>
      <c r="S1025" s="210">
        <v>3.6256830601092895</v>
      </c>
      <c r="T1025" s="8">
        <v>1.0001007134183364</v>
      </c>
      <c r="U1025" s="98">
        <v>3.441101279304859</v>
      </c>
      <c r="V1025" s="106">
        <v>28281.714864159341</v>
      </c>
      <c r="W1025" s="10">
        <v>0.65013258242134775</v>
      </c>
      <c r="X1025" s="420"/>
      <c r="Y1025" s="420"/>
      <c r="Z1025" s="1"/>
      <c r="AA1025" s="1"/>
      <c r="AB1025" s="1"/>
      <c r="AC1025" s="1"/>
      <c r="AD1025" s="1"/>
      <c r="AL1025" s="23"/>
      <c r="AM1025" s="23"/>
    </row>
    <row r="1026" spans="17:39">
      <c r="Q1026" s="6">
        <v>996</v>
      </c>
      <c r="R1026" s="7">
        <v>43663</v>
      </c>
      <c r="S1026" s="210">
        <v>3.627049180327869</v>
      </c>
      <c r="T1026" s="8">
        <v>1.0001007513661202</v>
      </c>
      <c r="U1026" s="98">
        <v>3.4414066388482434</v>
      </c>
      <c r="V1026" s="106">
        <v>28283.917047436604</v>
      </c>
      <c r="W1026" s="10">
        <v>0.65032177036696837</v>
      </c>
      <c r="X1026" s="420"/>
      <c r="Y1026" s="420"/>
      <c r="Z1026" s="1"/>
      <c r="AA1026" s="1"/>
      <c r="AB1026" s="1"/>
      <c r="AC1026" s="1"/>
      <c r="AD1026" s="1"/>
      <c r="AL1026" s="23"/>
      <c r="AM1026" s="23"/>
    </row>
    <row r="1027" spans="17:39">
      <c r="Q1027" s="6">
        <v>997</v>
      </c>
      <c r="R1027" s="7">
        <v>43664</v>
      </c>
      <c r="S1027" s="210">
        <v>3.6284153005464481</v>
      </c>
      <c r="T1027" s="8">
        <v>1.000100789313904</v>
      </c>
      <c r="U1027" s="98">
        <v>3.4417128236650774</v>
      </c>
      <c r="V1027" s="106">
        <v>28286.119402189008</v>
      </c>
      <c r="W1027" s="10">
        <v>0.65051197731100796</v>
      </c>
      <c r="X1027" s="420"/>
      <c r="Y1027" s="420"/>
      <c r="Z1027" s="1"/>
      <c r="AA1027" s="1"/>
      <c r="AB1027" s="1"/>
      <c r="AC1027" s="1"/>
      <c r="AD1027" s="1"/>
      <c r="AL1027" s="23"/>
      <c r="AM1027" s="23"/>
    </row>
    <row r="1028" spans="17:39">
      <c r="Q1028" s="6">
        <v>998</v>
      </c>
      <c r="R1028" s="7">
        <v>43665</v>
      </c>
      <c r="S1028" s="210">
        <v>3.6297814207650272</v>
      </c>
      <c r="T1028" s="8">
        <v>1.0001008272616878</v>
      </c>
      <c r="U1028" s="98">
        <v>3.4420198312845596</v>
      </c>
      <c r="V1028" s="106">
        <v>28288.321928429916</v>
      </c>
      <c r="W1028" s="10">
        <v>0.65070320019713357</v>
      </c>
      <c r="X1028" s="420"/>
      <c r="Y1028" s="420"/>
      <c r="Z1028" s="1"/>
      <c r="AA1028" s="1"/>
      <c r="AB1028" s="1"/>
      <c r="AC1028" s="1"/>
      <c r="AD1028" s="1"/>
      <c r="AL1028" s="23"/>
      <c r="AM1028" s="23"/>
    </row>
    <row r="1029" spans="17:39">
      <c r="Q1029" s="6">
        <v>999</v>
      </c>
      <c r="R1029" s="7">
        <v>43666</v>
      </c>
      <c r="S1029" s="210">
        <v>3.6311475409836067</v>
      </c>
      <c r="T1029" s="8">
        <v>1.0001008652094718</v>
      </c>
      <c r="U1029" s="98">
        <v>3.4423276592457697</v>
      </c>
      <c r="V1029" s="106">
        <v>28290.524626172675</v>
      </c>
      <c r="W1029" s="10">
        <v>0.65089543598124688</v>
      </c>
      <c r="X1029" s="420"/>
      <c r="Y1029" s="420"/>
      <c r="Z1029" s="1"/>
      <c r="AA1029" s="1"/>
      <c r="AB1029" s="1"/>
      <c r="AC1029" s="1"/>
      <c r="AD1029" s="1"/>
      <c r="AL1029" s="23"/>
      <c r="AM1029" s="23"/>
    </row>
    <row r="1030" spans="17:39">
      <c r="Q1030" s="6">
        <v>1000</v>
      </c>
      <c r="R1030" s="7">
        <v>43667</v>
      </c>
      <c r="S1030" s="210">
        <v>3.6325136612021858</v>
      </c>
      <c r="T1030" s="8">
        <v>1.0001009031572556</v>
      </c>
      <c r="U1030" s="98">
        <v>3.4426363050976905</v>
      </c>
      <c r="V1030" s="106">
        <v>28292.727495430638</v>
      </c>
      <c r="W1030" s="10">
        <v>0.65108868163152867</v>
      </c>
      <c r="X1030" s="420"/>
      <c r="Y1030" s="420"/>
      <c r="Z1030" s="1"/>
      <c r="AA1030" s="1"/>
      <c r="AB1030" s="1"/>
      <c r="AC1030" s="1"/>
      <c r="AD1030" s="1"/>
      <c r="AL1030" s="23"/>
      <c r="AM1030" s="23"/>
    </row>
    <row r="1031" spans="17:39">
      <c r="Q1031" s="6">
        <v>1001</v>
      </c>
      <c r="R1031" s="7">
        <v>43668</v>
      </c>
      <c r="S1031" s="210">
        <v>3.6338797814207648</v>
      </c>
      <c r="T1031" s="8">
        <v>1.0001009411050394</v>
      </c>
      <c r="U1031" s="98">
        <v>3.442945766399097</v>
      </c>
      <c r="V1031" s="106">
        <v>28294.930536217165</v>
      </c>
      <c r="W1031" s="10">
        <v>0.6512829341282389</v>
      </c>
      <c r="X1031" s="420"/>
      <c r="Y1031" s="420"/>
      <c r="Z1031" s="1"/>
      <c r="AA1031" s="1"/>
      <c r="AB1031" s="1"/>
      <c r="AC1031" s="1"/>
      <c r="AD1031" s="1"/>
      <c r="AL1031" s="23"/>
      <c r="AM1031" s="23"/>
    </row>
    <row r="1032" spans="17:39">
      <c r="Q1032" s="6">
        <v>1002</v>
      </c>
      <c r="R1032" s="7">
        <v>43669</v>
      </c>
      <c r="S1032" s="210">
        <v>3.6352459016393444</v>
      </c>
      <c r="T1032" s="8">
        <v>1.0001009790528232</v>
      </c>
      <c r="U1032" s="98">
        <v>3.4432560407185342</v>
      </c>
      <c r="V1032" s="106">
        <v>28297.133748545606</v>
      </c>
      <c r="W1032" s="10">
        <v>0.65147819046376121</v>
      </c>
      <c r="X1032" s="420"/>
      <c r="Y1032" s="420"/>
      <c r="Z1032" s="1"/>
      <c r="AA1032" s="1"/>
      <c r="AB1032" s="1"/>
      <c r="AC1032" s="1"/>
      <c r="AD1032" s="1"/>
      <c r="AL1032" s="23"/>
      <c r="AM1032" s="23"/>
    </row>
    <row r="1033" spans="17:39">
      <c r="Q1033" s="6">
        <v>1003</v>
      </c>
      <c r="R1033" s="7">
        <v>43670</v>
      </c>
      <c r="S1033" s="210">
        <v>3.6366120218579234</v>
      </c>
      <c r="T1033" s="8">
        <v>1.0001010170006073</v>
      </c>
      <c r="U1033" s="98">
        <v>3.4435671256342504</v>
      </c>
      <c r="V1033" s="106">
        <v>28299.337132429322</v>
      </c>
      <c r="W1033" s="10">
        <v>0.65167444764249183</v>
      </c>
      <c r="X1033" s="420"/>
      <c r="Y1033" s="420"/>
      <c r="Z1033" s="1"/>
      <c r="AA1033" s="1"/>
      <c r="AB1033" s="1"/>
      <c r="AC1033" s="1"/>
      <c r="AD1033" s="1"/>
      <c r="AL1033" s="23"/>
      <c r="AM1033" s="23"/>
    </row>
    <row r="1034" spans="17:39">
      <c r="Q1034" s="6">
        <v>1004</v>
      </c>
      <c r="R1034" s="7">
        <v>43671</v>
      </c>
      <c r="S1034" s="210">
        <v>3.6379781420765029</v>
      </c>
      <c r="T1034" s="8">
        <v>1.0001010549483911</v>
      </c>
      <c r="U1034" s="98">
        <v>3.443879018734175</v>
      </c>
      <c r="V1034" s="106">
        <v>28301.540687881672</v>
      </c>
      <c r="W1034" s="10">
        <v>0.65187170268075079</v>
      </c>
      <c r="X1034" s="420"/>
      <c r="Y1034" s="420"/>
      <c r="Z1034" s="1"/>
      <c r="AA1034" s="1"/>
      <c r="AB1034" s="1"/>
      <c r="AC1034" s="1"/>
      <c r="AD1034" s="1"/>
      <c r="AL1034" s="23"/>
      <c r="AM1034" s="23"/>
    </row>
    <row r="1035" spans="17:39">
      <c r="Q1035" s="6">
        <v>1005</v>
      </c>
      <c r="R1035" s="7">
        <v>43672</v>
      </c>
      <c r="S1035" s="210">
        <v>3.639344262295082</v>
      </c>
      <c r="T1035" s="8">
        <v>1.0001010928961749</v>
      </c>
      <c r="U1035" s="98">
        <v>3.4441917176158521</v>
      </c>
      <c r="V1035" s="106">
        <v>28303.744414916007</v>
      </c>
      <c r="W1035" s="10">
        <v>0.65206995260684852</v>
      </c>
      <c r="X1035" s="420"/>
      <c r="Y1035" s="420"/>
      <c r="Z1035" s="1"/>
      <c r="AA1035" s="1"/>
      <c r="AB1035" s="1"/>
      <c r="AC1035" s="1"/>
      <c r="AD1035" s="1"/>
      <c r="AL1035" s="23"/>
      <c r="AM1035" s="23"/>
    </row>
    <row r="1036" spans="17:39">
      <c r="Q1036" s="6">
        <v>1006</v>
      </c>
      <c r="R1036" s="7">
        <v>43673</v>
      </c>
      <c r="S1036" s="210">
        <v>3.6407103825136611</v>
      </c>
      <c r="T1036" s="8">
        <v>1.0001011308439587</v>
      </c>
      <c r="U1036" s="98">
        <v>3.4445052198863957</v>
      </c>
      <c r="V1036" s="106">
        <v>28305.948313545698</v>
      </c>
      <c r="W1036" s="10">
        <v>0.65226919446088605</v>
      </c>
      <c r="X1036" s="420"/>
      <c r="Y1036" s="420"/>
      <c r="Z1036" s="1"/>
      <c r="AA1036" s="1"/>
      <c r="AB1036" s="1"/>
      <c r="AC1036" s="1"/>
      <c r="AD1036" s="1"/>
      <c r="AL1036" s="23"/>
      <c r="AM1036" s="23"/>
    </row>
    <row r="1037" spans="17:39">
      <c r="Q1037" s="6">
        <v>1007</v>
      </c>
      <c r="R1037" s="7">
        <v>43674</v>
      </c>
      <c r="S1037" s="210">
        <v>3.6420765027322406</v>
      </c>
      <c r="T1037" s="8">
        <v>1.0001011687917425</v>
      </c>
      <c r="U1037" s="98">
        <v>3.4448195231624679</v>
      </c>
      <c r="V1037" s="106">
        <v>28308.152383784109</v>
      </c>
      <c r="W1037" s="10">
        <v>0.65246942529473273</v>
      </c>
      <c r="X1037" s="420"/>
      <c r="Y1037" s="420"/>
      <c r="Z1037" s="1"/>
      <c r="AA1037" s="1"/>
      <c r="AB1037" s="1"/>
      <c r="AC1037" s="1"/>
      <c r="AD1037" s="1"/>
      <c r="AL1037" s="23"/>
      <c r="AM1037" s="23"/>
    </row>
    <row r="1038" spans="17:39">
      <c r="Q1038" s="6">
        <v>1008</v>
      </c>
      <c r="R1038" s="7">
        <v>43675</v>
      </c>
      <c r="S1038" s="210">
        <v>3.6434426229508197</v>
      </c>
      <c r="T1038" s="8">
        <v>1.0001012067395265</v>
      </c>
      <c r="U1038" s="98">
        <v>3.4451346250701675</v>
      </c>
      <c r="V1038" s="106">
        <v>28310.356625644588</v>
      </c>
      <c r="W1038" s="10">
        <v>0.65267064217204851</v>
      </c>
      <c r="X1038" s="420"/>
      <c r="Y1038" s="420"/>
      <c r="Z1038" s="1"/>
      <c r="AA1038" s="1"/>
      <c r="AB1038" s="1"/>
      <c r="AC1038" s="1"/>
      <c r="AD1038" s="1"/>
      <c r="AL1038" s="23"/>
      <c r="AM1038" s="23"/>
    </row>
    <row r="1039" spans="17:39">
      <c r="Q1039" s="6">
        <v>1009</v>
      </c>
      <c r="R1039" s="7">
        <v>43676</v>
      </c>
      <c r="S1039" s="210">
        <v>3.6448087431693987</v>
      </c>
      <c r="T1039" s="8">
        <v>1.0001012446873103</v>
      </c>
      <c r="U1039" s="98">
        <v>3.4454505232450527</v>
      </c>
      <c r="V1039" s="106">
        <v>28312.561039140506</v>
      </c>
      <c r="W1039" s="10">
        <v>0.65287284216810626</v>
      </c>
      <c r="X1039" s="420"/>
      <c r="Y1039" s="420"/>
      <c r="Z1039" s="1"/>
      <c r="AA1039" s="1"/>
      <c r="AB1039" s="1"/>
      <c r="AC1039" s="1"/>
      <c r="AD1039" s="1"/>
      <c r="AL1039" s="23"/>
      <c r="AM1039" s="23"/>
    </row>
    <row r="1040" spans="17:39">
      <c r="Q1040" s="6">
        <v>1010</v>
      </c>
      <c r="R1040" s="7">
        <v>43677</v>
      </c>
      <c r="S1040" s="210">
        <v>3.6461748633879782</v>
      </c>
      <c r="T1040" s="8">
        <v>1.0001012826350941</v>
      </c>
      <c r="U1040" s="98">
        <v>3.4457672153320518</v>
      </c>
      <c r="V1040" s="106">
        <v>28314.765624285235</v>
      </c>
      <c r="W1040" s="10">
        <v>0.65307602236981399</v>
      </c>
      <c r="X1040" s="420"/>
      <c r="Y1040" s="420"/>
      <c r="Z1040" s="1"/>
      <c r="AA1040" s="1"/>
      <c r="AB1040" s="1"/>
      <c r="AC1040" s="1"/>
      <c r="AD1040" s="1"/>
      <c r="AL1040" s="23"/>
      <c r="AM1040" s="23"/>
    </row>
    <row r="1041" spans="17:39">
      <c r="Q1041" s="6">
        <v>1011</v>
      </c>
      <c r="R1041" s="7">
        <v>43678</v>
      </c>
      <c r="S1041" s="210">
        <v>3.6475409836065573</v>
      </c>
      <c r="T1041" s="8">
        <v>1.0001013205828779</v>
      </c>
      <c r="U1041" s="98">
        <v>3.4460846989854188</v>
      </c>
      <c r="V1041" s="106">
        <v>28316.970381092131</v>
      </c>
      <c r="W1041" s="10">
        <v>0.65328017987562603</v>
      </c>
      <c r="X1041" s="420"/>
      <c r="Y1041" s="420"/>
      <c r="Z1041" s="1"/>
      <c r="AA1041" s="1"/>
      <c r="AB1041" s="1"/>
      <c r="AC1041" s="1"/>
      <c r="AD1041" s="1"/>
      <c r="AL1041" s="23"/>
      <c r="AM1041" s="23"/>
    </row>
    <row r="1042" spans="17:39">
      <c r="Q1042" s="6">
        <v>1012</v>
      </c>
      <c r="R1042" s="7">
        <v>43679</v>
      </c>
      <c r="S1042" s="210">
        <v>3.6489071038251368</v>
      </c>
      <c r="T1042" s="8">
        <v>1.0001013585306617</v>
      </c>
      <c r="U1042" s="98">
        <v>3.4464029718687117</v>
      </c>
      <c r="V1042" s="106">
        <v>28319.175309574563</v>
      </c>
      <c r="W1042" s="10">
        <v>0.65348531179549862</v>
      </c>
      <c r="X1042" s="420"/>
      <c r="Y1042" s="420"/>
      <c r="Z1042" s="1"/>
      <c r="AA1042" s="1"/>
      <c r="AB1042" s="1"/>
      <c r="AC1042" s="1"/>
      <c r="AD1042" s="1"/>
      <c r="AL1042" s="23"/>
      <c r="AM1042" s="23"/>
    </row>
    <row r="1043" spans="17:39">
      <c r="Q1043" s="6">
        <v>1013</v>
      </c>
      <c r="R1043" s="7">
        <v>43680</v>
      </c>
      <c r="S1043" s="210">
        <v>3.6502732240437159</v>
      </c>
      <c r="T1043" s="8">
        <v>1.0001013964784458</v>
      </c>
      <c r="U1043" s="98">
        <v>3.4467220316547253</v>
      </c>
      <c r="V1043" s="106">
        <v>28321.3804097459</v>
      </c>
      <c r="W1043" s="10">
        <v>0.6536914152508233</v>
      </c>
      <c r="X1043" s="420"/>
      <c r="Y1043" s="420"/>
      <c r="Z1043" s="1"/>
      <c r="AA1043" s="1"/>
      <c r="AB1043" s="1"/>
      <c r="AC1043" s="1"/>
      <c r="AD1043" s="1"/>
      <c r="AL1043" s="23"/>
      <c r="AM1043" s="23"/>
    </row>
    <row r="1044" spans="17:39">
      <c r="Q1044" s="6">
        <v>1014</v>
      </c>
      <c r="R1044" s="7">
        <v>43681</v>
      </c>
      <c r="S1044" s="210">
        <v>3.651639344262295</v>
      </c>
      <c r="T1044" s="8">
        <v>1.0001014344262296</v>
      </c>
      <c r="U1044" s="98">
        <v>3.4470418760254695</v>
      </c>
      <c r="V1044" s="106">
        <v>28323.585681619508</v>
      </c>
      <c r="W1044" s="10">
        <v>0.65389848737442691</v>
      </c>
      <c r="X1044" s="420"/>
      <c r="Y1044" s="420"/>
      <c r="Z1044" s="1"/>
      <c r="AA1044" s="1"/>
      <c r="AB1044" s="1"/>
      <c r="AC1044" s="1"/>
      <c r="AD1044" s="1"/>
      <c r="AL1044" s="23"/>
      <c r="AM1044" s="23"/>
    </row>
    <row r="1045" spans="17:39">
      <c r="Q1045" s="6">
        <v>1015</v>
      </c>
      <c r="R1045" s="7">
        <v>43682</v>
      </c>
      <c r="S1045" s="210">
        <v>3.6530054644808745</v>
      </c>
      <c r="T1045" s="8">
        <v>1.0001014723740134</v>
      </c>
      <c r="U1045" s="98">
        <v>3.44736250267208</v>
      </c>
      <c r="V1045" s="106">
        <v>28325.791125208758</v>
      </c>
      <c r="W1045" s="10">
        <v>0.65410652531037172</v>
      </c>
      <c r="X1045" s="420"/>
      <c r="Y1045" s="420"/>
      <c r="Z1045" s="1"/>
      <c r="AA1045" s="1"/>
      <c r="AB1045" s="1"/>
      <c r="AC1045" s="1"/>
      <c r="AD1045" s="1"/>
      <c r="AL1045" s="23"/>
      <c r="AM1045" s="23"/>
    </row>
    <row r="1046" spans="17:39">
      <c r="Q1046" s="6">
        <v>1016</v>
      </c>
      <c r="R1046" s="7">
        <v>43683</v>
      </c>
      <c r="S1046" s="210">
        <v>3.6543715846994536</v>
      </c>
      <c r="T1046" s="8">
        <v>1.0001015103217972</v>
      </c>
      <c r="U1046" s="98">
        <v>3.4476839092948186</v>
      </c>
      <c r="V1046" s="106">
        <v>28327.996740527018</v>
      </c>
      <c r="W1046" s="10">
        <v>0.65431552621402211</v>
      </c>
      <c r="X1046" s="420"/>
      <c r="Y1046" s="420"/>
      <c r="Z1046" s="1"/>
      <c r="AA1046" s="1"/>
      <c r="AB1046" s="1"/>
      <c r="AC1046" s="1"/>
      <c r="AD1046" s="1"/>
      <c r="AL1046" s="23"/>
      <c r="AM1046" s="23"/>
    </row>
    <row r="1047" spans="17:39">
      <c r="Q1047" s="6">
        <v>1017</v>
      </c>
      <c r="R1047" s="7">
        <v>43684</v>
      </c>
      <c r="S1047" s="210">
        <v>3.6557377049180326</v>
      </c>
      <c r="T1047" s="8">
        <v>1.000101548269581</v>
      </c>
      <c r="U1047" s="98">
        <v>3.4480060936030066</v>
      </c>
      <c r="V1047" s="106">
        <v>28330.202527587669</v>
      </c>
      <c r="W1047" s="10">
        <v>0.6545254872520001</v>
      </c>
      <c r="X1047" s="420"/>
      <c r="Y1047" s="420"/>
      <c r="Z1047" s="1"/>
      <c r="AA1047" s="1"/>
      <c r="AB1047" s="1"/>
      <c r="AC1047" s="1"/>
      <c r="AD1047" s="1"/>
      <c r="AL1047" s="23"/>
      <c r="AM1047" s="23"/>
    </row>
    <row r="1048" spans="17:39">
      <c r="Q1048" s="6">
        <v>1018</v>
      </c>
      <c r="R1048" s="7">
        <v>43685</v>
      </c>
      <c r="S1048" s="210">
        <v>3.6571038251366121</v>
      </c>
      <c r="T1048" s="8">
        <v>1.000101586217365</v>
      </c>
      <c r="U1048" s="98">
        <v>3.4483290533149802</v>
      </c>
      <c r="V1048" s="106">
        <v>28332.408486404078</v>
      </c>
      <c r="W1048" s="10">
        <v>0.65473640560205215</v>
      </c>
      <c r="X1048" s="420"/>
      <c r="Y1048" s="420"/>
      <c r="Z1048" s="1"/>
      <c r="AA1048" s="1"/>
      <c r="AB1048" s="1"/>
      <c r="AC1048" s="1"/>
      <c r="AD1048" s="1"/>
      <c r="AL1048" s="23"/>
      <c r="AM1048" s="23"/>
    </row>
    <row r="1049" spans="17:39">
      <c r="Q1049" s="6">
        <v>1019</v>
      </c>
      <c r="R1049" s="7">
        <v>43686</v>
      </c>
      <c r="S1049" s="210">
        <v>3.6584699453551912</v>
      </c>
      <c r="T1049" s="8">
        <v>1.0001016241651488</v>
      </c>
      <c r="U1049" s="98">
        <v>3.4486527861580463</v>
      </c>
      <c r="V1049" s="106">
        <v>28334.61461698962</v>
      </c>
      <c r="W1049" s="10">
        <v>0.65494827845304915</v>
      </c>
      <c r="X1049" s="420"/>
      <c r="Y1049" s="420"/>
      <c r="Z1049" s="1"/>
      <c r="AA1049" s="1"/>
      <c r="AB1049" s="1"/>
      <c r="AC1049" s="1"/>
      <c r="AD1049" s="1"/>
      <c r="AL1049" s="23"/>
      <c r="AM1049" s="23"/>
    </row>
    <row r="1050" spans="17:39">
      <c r="Q1050" s="6">
        <v>1020</v>
      </c>
      <c r="R1050" s="7">
        <v>43687</v>
      </c>
      <c r="S1050" s="210">
        <v>3.6598360655737703</v>
      </c>
      <c r="T1050" s="8">
        <v>1.0001016621129326</v>
      </c>
      <c r="U1050" s="98">
        <v>3.4489772898684601</v>
      </c>
      <c r="V1050" s="106">
        <v>28336.820919357666</v>
      </c>
      <c r="W1050" s="10">
        <v>0.6551611030048976</v>
      </c>
      <c r="X1050" s="420"/>
      <c r="Y1050" s="420"/>
      <c r="Z1050" s="1"/>
      <c r="AA1050" s="1"/>
      <c r="AB1050" s="1"/>
      <c r="AC1050" s="1"/>
      <c r="AD1050" s="1"/>
      <c r="AL1050" s="23"/>
      <c r="AM1050" s="23"/>
    </row>
    <row r="1051" spans="17:39">
      <c r="Q1051" s="6">
        <v>1021</v>
      </c>
      <c r="R1051" s="7">
        <v>43688</v>
      </c>
      <c r="S1051" s="210">
        <v>3.6612021857923498</v>
      </c>
      <c r="T1051" s="8">
        <v>1.0001017000607164</v>
      </c>
      <c r="U1051" s="98">
        <v>3.4493025621913587</v>
      </c>
      <c r="V1051" s="106">
        <v>28339.027393521599</v>
      </c>
      <c r="W1051" s="10">
        <v>0.65537487646849524</v>
      </c>
      <c r="X1051" s="420"/>
      <c r="Y1051" s="420"/>
      <c r="Z1051" s="1"/>
      <c r="AA1051" s="1"/>
      <c r="AB1051" s="1"/>
      <c r="AC1051" s="1"/>
      <c r="AD1051" s="1"/>
      <c r="AL1051" s="23"/>
      <c r="AM1051" s="23"/>
    </row>
    <row r="1052" spans="17:39">
      <c r="Q1052" s="6">
        <v>1022</v>
      </c>
      <c r="R1052" s="7">
        <v>43689</v>
      </c>
      <c r="S1052" s="210">
        <v>3.6625683060109289</v>
      </c>
      <c r="T1052" s="8">
        <v>1.0001017380085002</v>
      </c>
      <c r="U1052" s="98">
        <v>3.4496286008806942</v>
      </c>
      <c r="V1052" s="106">
        <v>28341.23403949479</v>
      </c>
      <c r="W1052" s="10">
        <v>0.65558959606573097</v>
      </c>
      <c r="X1052" s="420"/>
      <c r="Y1052" s="420"/>
      <c r="Z1052" s="1"/>
      <c r="AA1052" s="1"/>
      <c r="AB1052" s="1"/>
      <c r="AC1052" s="1"/>
      <c r="AD1052" s="1"/>
      <c r="AL1052" s="23"/>
      <c r="AM1052" s="23"/>
    </row>
    <row r="1053" spans="17:39">
      <c r="Q1053" s="6">
        <v>1023</v>
      </c>
      <c r="R1053" s="7">
        <v>43690</v>
      </c>
      <c r="S1053" s="210">
        <v>3.6639344262295084</v>
      </c>
      <c r="T1053" s="8">
        <v>1.0001017759562842</v>
      </c>
      <c r="U1053" s="98">
        <v>3.4499554036992341</v>
      </c>
      <c r="V1053" s="106">
        <v>28343.440857290614</v>
      </c>
      <c r="W1053" s="10">
        <v>0.65580525902930731</v>
      </c>
      <c r="X1053" s="420"/>
      <c r="Y1053" s="420"/>
      <c r="Z1053" s="1"/>
      <c r="AA1053" s="1"/>
      <c r="AB1053" s="1"/>
      <c r="AC1053" s="1"/>
      <c r="AD1053" s="1"/>
      <c r="AL1053" s="23"/>
      <c r="AM1053" s="23"/>
    </row>
    <row r="1054" spans="17:39">
      <c r="Q1054" s="6">
        <v>1024</v>
      </c>
      <c r="R1054" s="7">
        <v>43691</v>
      </c>
      <c r="S1054" s="210">
        <v>3.6653005464480874</v>
      </c>
      <c r="T1054" s="8">
        <v>1.000101813904068</v>
      </c>
      <c r="U1054" s="98">
        <v>3.4502829684185166</v>
      </c>
      <c r="V1054" s="106">
        <v>28345.647846922464</v>
      </c>
      <c r="W1054" s="10">
        <v>0.65602186260280693</v>
      </c>
      <c r="X1054" s="420"/>
      <c r="Y1054" s="420"/>
      <c r="Z1054" s="1"/>
      <c r="AA1054" s="1"/>
      <c r="AB1054" s="1"/>
      <c r="AC1054" s="1"/>
      <c r="AD1054" s="1"/>
      <c r="AL1054" s="23"/>
      <c r="AM1054" s="23"/>
    </row>
    <row r="1055" spans="17:39">
      <c r="Q1055" s="6">
        <v>1025</v>
      </c>
      <c r="R1055" s="7">
        <v>43692</v>
      </c>
      <c r="S1055" s="210">
        <v>3.6666666666666665</v>
      </c>
      <c r="T1055" s="8">
        <v>1.0001018518518519</v>
      </c>
      <c r="U1055" s="98">
        <v>3.4506112928187616</v>
      </c>
      <c r="V1055" s="106">
        <v>28347.855008403705</v>
      </c>
      <c r="W1055" s="10">
        <v>0.65623940404058168</v>
      </c>
      <c r="X1055" s="420"/>
      <c r="Y1055" s="420"/>
      <c r="Z1055" s="1"/>
      <c r="AA1055" s="1"/>
      <c r="AB1055" s="1"/>
      <c r="AC1055" s="1"/>
      <c r="AD1055" s="1"/>
      <c r="AL1055" s="23"/>
      <c r="AM1055" s="23"/>
    </row>
    <row r="1056" spans="17:39">
      <c r="Q1056" s="6">
        <v>1026</v>
      </c>
      <c r="R1056" s="7">
        <v>43693</v>
      </c>
      <c r="S1056" s="210">
        <v>3.668032786885246</v>
      </c>
      <c r="T1056" s="8">
        <v>1.0001018897996357</v>
      </c>
      <c r="U1056" s="98">
        <v>3.4509403746888934</v>
      </c>
      <c r="V1056" s="106">
        <v>28350.062341747729</v>
      </c>
      <c r="W1056" s="10">
        <v>0.65645788060775256</v>
      </c>
      <c r="X1056" s="420"/>
      <c r="Y1056" s="420"/>
      <c r="Z1056" s="1"/>
      <c r="AA1056" s="1"/>
      <c r="AB1056" s="1"/>
      <c r="AC1056" s="1"/>
      <c r="AD1056" s="1"/>
      <c r="AL1056" s="23"/>
      <c r="AM1056" s="23"/>
    </row>
    <row r="1057" spans="17:39">
      <c r="Q1057" s="6">
        <v>1027</v>
      </c>
      <c r="R1057" s="7">
        <v>43694</v>
      </c>
      <c r="S1057" s="210">
        <v>3.6693989071038251</v>
      </c>
      <c r="T1057" s="8">
        <v>1.0001019277474195</v>
      </c>
      <c r="U1057" s="98">
        <v>3.4512702118264516</v>
      </c>
      <c r="V1057" s="106">
        <v>28352.269846967913</v>
      </c>
      <c r="W1057" s="10">
        <v>0.65667728958007654</v>
      </c>
      <c r="X1057" s="420"/>
      <c r="Y1057" s="420"/>
      <c r="Z1057" s="1"/>
      <c r="AA1057" s="1"/>
      <c r="AB1057" s="1"/>
      <c r="AC1057" s="1"/>
      <c r="AD1057" s="1"/>
      <c r="AL1057" s="23"/>
      <c r="AM1057" s="23"/>
    </row>
    <row r="1058" spans="17:39">
      <c r="Q1058" s="6">
        <v>1028</v>
      </c>
      <c r="R1058" s="7">
        <v>43695</v>
      </c>
      <c r="S1058" s="210">
        <v>3.6707650273224042</v>
      </c>
      <c r="T1058" s="8">
        <v>1.0001019656952035</v>
      </c>
      <c r="U1058" s="98">
        <v>3.4516008020375466</v>
      </c>
      <c r="V1058" s="106">
        <v>28354.477524077636</v>
      </c>
      <c r="W1058" s="10">
        <v>0.65689762824394649</v>
      </c>
      <c r="X1058" s="420"/>
      <c r="Y1058" s="420"/>
      <c r="Z1058" s="1"/>
      <c r="AA1058" s="1"/>
      <c r="AB1058" s="1"/>
      <c r="AC1058" s="1"/>
      <c r="AD1058" s="1"/>
      <c r="AL1058" s="23"/>
      <c r="AM1058" s="23"/>
    </row>
    <row r="1059" spans="17:39">
      <c r="Q1059" s="6">
        <v>1029</v>
      </c>
      <c r="R1059" s="7">
        <v>43696</v>
      </c>
      <c r="S1059" s="210">
        <v>3.6721311475409837</v>
      </c>
      <c r="T1059" s="8">
        <v>1.0001020036429873</v>
      </c>
      <c r="U1059" s="98">
        <v>3.4519321431368821</v>
      </c>
      <c r="V1059" s="106">
        <v>28356.685373090291</v>
      </c>
      <c r="W1059" s="10">
        <v>0.65711889389632461</v>
      </c>
      <c r="X1059" s="420"/>
      <c r="Y1059" s="420"/>
      <c r="Z1059" s="1"/>
      <c r="AA1059" s="1"/>
      <c r="AB1059" s="1"/>
      <c r="AC1059" s="1"/>
      <c r="AD1059" s="1"/>
      <c r="AL1059" s="23"/>
      <c r="AM1059" s="23"/>
    </row>
    <row r="1060" spans="17:39">
      <c r="Q1060" s="6">
        <v>1030</v>
      </c>
      <c r="R1060" s="7">
        <v>43697</v>
      </c>
      <c r="S1060" s="210">
        <v>3.6734972677595628</v>
      </c>
      <c r="T1060" s="8">
        <v>1.0001020415907711</v>
      </c>
      <c r="U1060" s="98">
        <v>3.4522642329475994</v>
      </c>
      <c r="V1060" s="106">
        <v>28358.893394019266</v>
      </c>
      <c r="W1060" s="10">
        <v>0.65734108384472023</v>
      </c>
      <c r="X1060" s="420"/>
      <c r="Y1060" s="420"/>
      <c r="Z1060" s="1"/>
      <c r="AA1060" s="1"/>
      <c r="AB1060" s="1"/>
      <c r="AC1060" s="1"/>
      <c r="AD1060" s="1"/>
      <c r="AL1060" s="23"/>
      <c r="AM1060" s="23"/>
    </row>
    <row r="1061" spans="17:39">
      <c r="Q1061" s="6">
        <v>1031</v>
      </c>
      <c r="R1061" s="7">
        <v>43698</v>
      </c>
      <c r="S1061" s="210">
        <v>3.6748633879781423</v>
      </c>
      <c r="T1061" s="8">
        <v>1.0001020795385549</v>
      </c>
      <c r="U1061" s="98">
        <v>3.4525970693013441</v>
      </c>
      <c r="V1061" s="106">
        <v>28361.101586877932</v>
      </c>
      <c r="W1061" s="10">
        <v>0.65756419540707878</v>
      </c>
      <c r="X1061" s="420"/>
      <c r="Y1061" s="420"/>
      <c r="Z1061" s="1"/>
      <c r="AA1061" s="1"/>
      <c r="AB1061" s="1"/>
      <c r="AC1061" s="1"/>
      <c r="AD1061" s="1"/>
      <c r="AL1061" s="23"/>
      <c r="AM1061" s="23"/>
    </row>
    <row r="1062" spans="17:39">
      <c r="Q1062" s="6">
        <v>1032</v>
      </c>
      <c r="R1062" s="7">
        <v>43699</v>
      </c>
      <c r="S1062" s="210">
        <v>3.6762295081967213</v>
      </c>
      <c r="T1062" s="8">
        <v>1.0001021174863387</v>
      </c>
      <c r="U1062" s="98">
        <v>3.4529306500381551</v>
      </c>
      <c r="V1062" s="106">
        <v>28363.309951679694</v>
      </c>
      <c r="W1062" s="10">
        <v>0.65778822591180397</v>
      </c>
      <c r="X1062" s="420"/>
      <c r="Y1062" s="420"/>
      <c r="Z1062" s="1"/>
      <c r="AA1062" s="1"/>
      <c r="AB1062" s="1"/>
      <c r="AC1062" s="1"/>
      <c r="AD1062" s="1"/>
      <c r="AL1062" s="23"/>
      <c r="AM1062" s="23"/>
    </row>
    <row r="1063" spans="17:39">
      <c r="Q1063" s="6">
        <v>1033</v>
      </c>
      <c r="R1063" s="7">
        <v>43700</v>
      </c>
      <c r="S1063" s="210">
        <v>3.6775956284153004</v>
      </c>
      <c r="T1063" s="8">
        <v>1.0001021554341227</v>
      </c>
      <c r="U1063" s="98">
        <v>3.4532649730064868</v>
      </c>
      <c r="V1063" s="106">
        <v>28365.518488437927</v>
      </c>
      <c r="W1063" s="10">
        <v>0.6580131726976246</v>
      </c>
      <c r="X1063" s="420"/>
      <c r="Y1063" s="420"/>
      <c r="Z1063" s="1"/>
      <c r="AA1063" s="1"/>
      <c r="AB1063" s="1"/>
      <c r="AC1063" s="1"/>
      <c r="AD1063" s="1"/>
      <c r="AL1063" s="23"/>
      <c r="AM1063" s="23"/>
    </row>
    <row r="1064" spans="17:39">
      <c r="Q1064" s="6">
        <v>1034</v>
      </c>
      <c r="R1064" s="7">
        <v>43701</v>
      </c>
      <c r="S1064" s="210">
        <v>3.6789617486338799</v>
      </c>
      <c r="T1064" s="8">
        <v>1.0001021933819065</v>
      </c>
      <c r="U1064" s="98">
        <v>3.4536000360630981</v>
      </c>
      <c r="V1064" s="106">
        <v>28367.727197166027</v>
      </c>
      <c r="W1064" s="10">
        <v>0.65823903311361676</v>
      </c>
      <c r="X1064" s="420"/>
      <c r="Y1064" s="420"/>
      <c r="Z1064" s="1"/>
      <c r="AA1064" s="1"/>
      <c r="AB1064" s="1"/>
      <c r="AC1064" s="1"/>
      <c r="AD1064" s="1"/>
      <c r="AL1064" s="23"/>
      <c r="AM1064" s="23"/>
    </row>
    <row r="1065" spans="17:39">
      <c r="Q1065" s="6">
        <v>1035</v>
      </c>
      <c r="R1065" s="7">
        <v>43702</v>
      </c>
      <c r="S1065" s="210">
        <v>3.680327868852459</v>
      </c>
      <c r="T1065" s="8">
        <v>1.0001022313296903</v>
      </c>
      <c r="U1065" s="98">
        <v>3.4539358370730744</v>
      </c>
      <c r="V1065" s="106">
        <v>28369.936077877388</v>
      </c>
      <c r="W1065" s="10">
        <v>0.65846580451915937</v>
      </c>
      <c r="X1065" s="420"/>
      <c r="Y1065" s="420"/>
      <c r="Z1065" s="1"/>
      <c r="AA1065" s="1"/>
      <c r="AB1065" s="1"/>
      <c r="AC1065" s="1"/>
      <c r="AD1065" s="1"/>
      <c r="AL1065" s="23"/>
      <c r="AM1065" s="23"/>
    </row>
    <row r="1066" spans="17:39">
      <c r="Q1066" s="6">
        <v>1036</v>
      </c>
      <c r="R1066" s="7">
        <v>43703</v>
      </c>
      <c r="S1066" s="210">
        <v>3.6816939890710381</v>
      </c>
      <c r="T1066" s="8">
        <v>1.0001022692774741</v>
      </c>
      <c r="U1066" s="98">
        <v>3.4542723739097392</v>
      </c>
      <c r="V1066" s="106">
        <v>28372.145130585392</v>
      </c>
      <c r="W1066" s="10">
        <v>0.65869348428377883</v>
      </c>
      <c r="X1066" s="420"/>
      <c r="Y1066" s="420"/>
      <c r="Z1066" s="1"/>
      <c r="AA1066" s="1"/>
      <c r="AB1066" s="1"/>
      <c r="AC1066" s="1"/>
      <c r="AD1066" s="1"/>
      <c r="AL1066" s="23"/>
      <c r="AM1066" s="23"/>
    </row>
    <row r="1067" spans="17:39">
      <c r="Q1067" s="6">
        <v>1037</v>
      </c>
      <c r="R1067" s="7">
        <v>43704</v>
      </c>
      <c r="S1067" s="210">
        <v>3.6830601092896176</v>
      </c>
      <c r="T1067" s="8">
        <v>1.0001023072252579</v>
      </c>
      <c r="U1067" s="98">
        <v>3.4546096444546315</v>
      </c>
      <c r="V1067" s="106">
        <v>28374.354355303436</v>
      </c>
      <c r="W1067" s="10">
        <v>0.65892206978721557</v>
      </c>
      <c r="X1067" s="420"/>
      <c r="Y1067" s="420"/>
      <c r="Z1067" s="1"/>
      <c r="AA1067" s="1"/>
      <c r="AB1067" s="1"/>
      <c r="AC1067" s="1"/>
      <c r="AD1067" s="1"/>
      <c r="AL1067" s="23"/>
      <c r="AM1067" s="23"/>
    </row>
    <row r="1068" spans="17:39">
      <c r="Q1068" s="6">
        <v>1038</v>
      </c>
      <c r="R1068" s="7">
        <v>43705</v>
      </c>
      <c r="S1068" s="210">
        <v>3.6844262295081966</v>
      </c>
      <c r="T1068" s="8">
        <v>1.000102345173042</v>
      </c>
      <c r="U1068" s="98">
        <v>3.454947646597506</v>
      </c>
      <c r="V1068" s="106">
        <v>28376.563752044924</v>
      </c>
      <c r="W1068" s="10">
        <v>0.65915155841935746</v>
      </c>
      <c r="X1068" s="420"/>
      <c r="Y1068" s="420"/>
      <c r="Z1068" s="1"/>
      <c r="AA1068" s="1"/>
      <c r="AB1068" s="1"/>
      <c r="AC1068" s="1"/>
      <c r="AD1068" s="1"/>
      <c r="AL1068" s="23"/>
      <c r="AM1068" s="23"/>
    </row>
    <row r="1069" spans="17:39">
      <c r="Q1069" s="6">
        <v>1039</v>
      </c>
      <c r="R1069" s="7">
        <v>43706</v>
      </c>
      <c r="S1069" s="210">
        <v>3.6857923497267762</v>
      </c>
      <c r="T1069" s="8">
        <v>1.0001023831208258</v>
      </c>
      <c r="U1069" s="98">
        <v>3.455286378236222</v>
      </c>
      <c r="V1069" s="106">
        <v>28378.773320823235</v>
      </c>
      <c r="W1069" s="10">
        <v>0.6593819475801066</v>
      </c>
      <c r="X1069" s="420"/>
      <c r="Y1069" s="420"/>
      <c r="Z1069" s="1"/>
      <c r="AA1069" s="1"/>
      <c r="AB1069" s="1"/>
      <c r="AC1069" s="1"/>
      <c r="AD1069" s="1"/>
      <c r="AL1069" s="23"/>
      <c r="AM1069" s="23"/>
    </row>
    <row r="1070" spans="17:39">
      <c r="Q1070" s="6">
        <v>1040</v>
      </c>
      <c r="R1070" s="7">
        <v>43707</v>
      </c>
      <c r="S1070" s="210">
        <v>3.6871584699453552</v>
      </c>
      <c r="T1070" s="8">
        <v>1.0001024210686096</v>
      </c>
      <c r="U1070" s="98">
        <v>3.4556258372767434</v>
      </c>
      <c r="V1070" s="106">
        <v>28380.983061651768</v>
      </c>
      <c r="W1070" s="10">
        <v>0.65961323467944588</v>
      </c>
      <c r="X1070" s="420"/>
      <c r="Y1070" s="420"/>
      <c r="Z1070" s="1"/>
      <c r="AA1070" s="1"/>
      <c r="AB1070" s="1"/>
      <c r="AC1070" s="1"/>
      <c r="AD1070" s="1"/>
      <c r="AL1070" s="23"/>
      <c r="AM1070" s="23"/>
    </row>
    <row r="1071" spans="17:39">
      <c r="Q1071" s="6">
        <v>1041</v>
      </c>
      <c r="R1071" s="7">
        <v>43708</v>
      </c>
      <c r="S1071" s="210">
        <v>3.6885245901639343</v>
      </c>
      <c r="T1071" s="8">
        <v>1.0001024590163934</v>
      </c>
      <c r="U1071" s="98">
        <v>3.4559660216331167</v>
      </c>
      <c r="V1071" s="106">
        <v>28383.19297454393</v>
      </c>
      <c r="W1071" s="10">
        <v>0.65984541713728362</v>
      </c>
      <c r="X1071" s="420"/>
      <c r="Y1071" s="420"/>
      <c r="Z1071" s="1"/>
      <c r="AA1071" s="1"/>
      <c r="AB1071" s="1"/>
      <c r="AC1071" s="1"/>
      <c r="AD1071" s="1"/>
      <c r="AL1071" s="23"/>
      <c r="AM1071" s="23"/>
    </row>
    <row r="1072" spans="17:39">
      <c r="Q1072" s="6">
        <v>1042</v>
      </c>
      <c r="R1072" s="7">
        <v>43709</v>
      </c>
      <c r="S1072" s="210">
        <v>3.6898907103825138</v>
      </c>
      <c r="T1072" s="8">
        <v>1.0001024969641772</v>
      </c>
      <c r="U1072" s="98">
        <v>3.4563069292273818</v>
      </c>
      <c r="V1072" s="106">
        <v>28385.403059513108</v>
      </c>
      <c r="W1072" s="10">
        <v>0.66007849238347571</v>
      </c>
      <c r="X1072" s="420"/>
      <c r="Y1072" s="420"/>
      <c r="Z1072" s="1"/>
      <c r="AA1072" s="1"/>
      <c r="AB1072" s="1"/>
      <c r="AC1072" s="1"/>
      <c r="AD1072" s="1"/>
      <c r="AL1072" s="23"/>
      <c r="AM1072" s="23"/>
    </row>
    <row r="1073" spans="17:39">
      <c r="Q1073" s="6">
        <v>1043</v>
      </c>
      <c r="R1073" s="7">
        <v>43710</v>
      </c>
      <c r="S1073" s="210">
        <v>3.6912568306010929</v>
      </c>
      <c r="T1073" s="8">
        <v>1.0001025349119612</v>
      </c>
      <c r="U1073" s="98">
        <v>3.4566485579895723</v>
      </c>
      <c r="V1073" s="106">
        <v>28387.613316572704</v>
      </c>
      <c r="W1073" s="10">
        <v>0.66031245785775905</v>
      </c>
      <c r="X1073" s="420"/>
      <c r="Y1073" s="420"/>
      <c r="Z1073" s="1"/>
      <c r="AA1073" s="1"/>
      <c r="AB1073" s="1"/>
      <c r="AC1073" s="1"/>
      <c r="AD1073" s="1"/>
      <c r="AL1073" s="23"/>
      <c r="AM1073" s="23"/>
    </row>
    <row r="1074" spans="17:39">
      <c r="Q1074" s="6">
        <v>1044</v>
      </c>
      <c r="R1074" s="7">
        <v>43711</v>
      </c>
      <c r="S1074" s="210">
        <v>3.692622950819672</v>
      </c>
      <c r="T1074" s="8">
        <v>1.000102572859745</v>
      </c>
      <c r="U1074" s="98">
        <v>3.4569909058576931</v>
      </c>
      <c r="V1074" s="106">
        <v>28389.823745736121</v>
      </c>
      <c r="W1074" s="10">
        <v>0.6605473110097293</v>
      </c>
      <c r="X1074" s="420"/>
      <c r="Y1074" s="420"/>
      <c r="Z1074" s="1"/>
      <c r="AA1074" s="1"/>
      <c r="AB1074" s="1"/>
      <c r="AC1074" s="1"/>
      <c r="AD1074" s="1"/>
      <c r="AL1074" s="23"/>
      <c r="AM1074" s="23"/>
    </row>
    <row r="1075" spans="17:39">
      <c r="Q1075" s="6">
        <v>1045</v>
      </c>
      <c r="R1075" s="7">
        <v>43712</v>
      </c>
      <c r="S1075" s="210">
        <v>3.6939890710382515</v>
      </c>
      <c r="T1075" s="8">
        <v>1.0001026108075288</v>
      </c>
      <c r="U1075" s="98">
        <v>3.4573339707776096</v>
      </c>
      <c r="V1075" s="106">
        <v>28392.034347016757</v>
      </c>
      <c r="W1075" s="10">
        <v>0.66078304929872989</v>
      </c>
      <c r="X1075" s="420"/>
      <c r="Y1075" s="420"/>
      <c r="Z1075" s="1"/>
      <c r="AA1075" s="1"/>
      <c r="AB1075" s="1"/>
      <c r="AC1075" s="1"/>
      <c r="AD1075" s="1"/>
      <c r="AL1075" s="23"/>
      <c r="AM1075" s="23"/>
    </row>
    <row r="1076" spans="17:39">
      <c r="Q1076" s="6">
        <v>1046</v>
      </c>
      <c r="R1076" s="7">
        <v>43713</v>
      </c>
      <c r="S1076" s="210">
        <v>3.6953551912568305</v>
      </c>
      <c r="T1076" s="8">
        <v>1.0001026487553126</v>
      </c>
      <c r="U1076" s="98">
        <v>3.457677750703092</v>
      </c>
      <c r="V1076" s="106">
        <v>28394.245120428015</v>
      </c>
      <c r="W1076" s="10">
        <v>0.66101967019385199</v>
      </c>
      <c r="X1076" s="420"/>
      <c r="Y1076" s="420"/>
      <c r="Z1076" s="1"/>
      <c r="AA1076" s="1"/>
      <c r="AB1076" s="1"/>
      <c r="AC1076" s="1"/>
      <c r="AD1076" s="1"/>
      <c r="AL1076" s="23"/>
      <c r="AM1076" s="23"/>
    </row>
    <row r="1077" spans="17:39">
      <c r="Q1077" s="6">
        <v>1047</v>
      </c>
      <c r="R1077" s="7">
        <v>43714</v>
      </c>
      <c r="S1077" s="210">
        <v>3.6967213114754101</v>
      </c>
      <c r="T1077" s="8">
        <v>1.0001026867030964</v>
      </c>
      <c r="U1077" s="98">
        <v>3.4580222435957486</v>
      </c>
      <c r="V1077" s="106">
        <v>28396.456065983297</v>
      </c>
      <c r="W1077" s="10">
        <v>0.66125717117386795</v>
      </c>
      <c r="X1077" s="420"/>
      <c r="Y1077" s="420"/>
      <c r="Z1077" s="1"/>
      <c r="AA1077" s="1"/>
      <c r="AB1077" s="1"/>
      <c r="AC1077" s="1"/>
      <c r="AD1077" s="1"/>
      <c r="AL1077" s="23"/>
      <c r="AM1077" s="23"/>
    </row>
    <row r="1078" spans="17:39">
      <c r="Q1078" s="6">
        <v>1048</v>
      </c>
      <c r="R1078" s="7">
        <v>43715</v>
      </c>
      <c r="S1078" s="210">
        <v>3.6980874316939891</v>
      </c>
      <c r="T1078" s="8">
        <v>1.0001027246508805</v>
      </c>
      <c r="U1078" s="98">
        <v>3.4583674474249593</v>
      </c>
      <c r="V1078" s="106">
        <v>28398.667183696012</v>
      </c>
      <c r="W1078" s="10">
        <v>0.66149554972725344</v>
      </c>
      <c r="X1078" s="420"/>
      <c r="Y1078" s="420"/>
      <c r="Z1078" s="1"/>
      <c r="AA1078" s="1"/>
      <c r="AB1078" s="1"/>
      <c r="AC1078" s="1"/>
      <c r="AD1078" s="1"/>
      <c r="AL1078" s="23"/>
      <c r="AM1078" s="23"/>
    </row>
    <row r="1079" spans="17:39">
      <c r="Q1079" s="6">
        <v>1049</v>
      </c>
      <c r="R1079" s="7">
        <v>43716</v>
      </c>
      <c r="S1079" s="210">
        <v>3.6994535519125682</v>
      </c>
      <c r="T1079" s="8">
        <v>1.0001027625986643</v>
      </c>
      <c r="U1079" s="98">
        <v>3.4587133601678755</v>
      </c>
      <c r="V1079" s="106">
        <v>28400.878473579556</v>
      </c>
      <c r="W1079" s="10">
        <v>0.66173480335205426</v>
      </c>
      <c r="X1079" s="420"/>
      <c r="Y1079" s="420"/>
      <c r="Z1079" s="1"/>
      <c r="AA1079" s="1"/>
      <c r="AB1079" s="1"/>
      <c r="AC1079" s="1"/>
      <c r="AD1079" s="1"/>
      <c r="AL1079" s="23"/>
      <c r="AM1079" s="23"/>
    </row>
    <row r="1080" spans="17:39">
      <c r="Q1080" s="6">
        <v>1050</v>
      </c>
      <c r="R1080" s="7">
        <v>43717</v>
      </c>
      <c r="S1080" s="210">
        <v>3.7008196721311477</v>
      </c>
      <c r="T1080" s="8">
        <v>1.0001028005464481</v>
      </c>
      <c r="U1080" s="98">
        <v>3.4590599798093535</v>
      </c>
      <c r="V1080" s="106">
        <v>28403.089935647346</v>
      </c>
      <c r="W1080" s="10">
        <v>0.66197492955581971</v>
      </c>
      <c r="X1080" s="420"/>
      <c r="Y1080" s="420"/>
      <c r="Z1080" s="1"/>
      <c r="AA1080" s="1"/>
      <c r="AB1080" s="1"/>
      <c r="AC1080" s="1"/>
      <c r="AD1080" s="1"/>
      <c r="AL1080" s="23"/>
      <c r="AM1080" s="23"/>
    </row>
    <row r="1081" spans="17:39">
      <c r="Q1081" s="6">
        <v>1051</v>
      </c>
      <c r="R1081" s="7">
        <v>43718</v>
      </c>
      <c r="S1081" s="210">
        <v>3.7021857923497268</v>
      </c>
      <c r="T1081" s="8">
        <v>1.0001028384942319</v>
      </c>
      <c r="U1081" s="98">
        <v>3.4594073043419771</v>
      </c>
      <c r="V1081" s="106">
        <v>28405.375294020749</v>
      </c>
      <c r="W1081" s="10">
        <v>0.66212519270376635</v>
      </c>
      <c r="X1081" s="420"/>
      <c r="Y1081" s="420"/>
      <c r="Z1081" s="1"/>
      <c r="AA1081" s="1"/>
      <c r="AB1081" s="1"/>
      <c r="AC1081" s="1"/>
      <c r="AD1081" s="1"/>
      <c r="AL1081" s="23"/>
      <c r="AM1081" s="23"/>
    </row>
    <row r="1082" spans="17:39">
      <c r="Q1082" s="6">
        <v>1052</v>
      </c>
      <c r="R1082" s="7">
        <v>43719</v>
      </c>
      <c r="S1082" s="210">
        <v>3.7035519125683058</v>
      </c>
      <c r="T1082" s="8">
        <v>1.0001028764420157</v>
      </c>
      <c r="U1082" s="98">
        <v>3.4597553317659013</v>
      </c>
      <c r="V1082" s="106">
        <v>28407.660836277762</v>
      </c>
      <c r="W1082" s="10">
        <v>0.66227649561678703</v>
      </c>
      <c r="X1082" s="420"/>
      <c r="Y1082" s="420"/>
      <c r="Z1082" s="1"/>
      <c r="AA1082" s="1"/>
      <c r="AB1082" s="1"/>
      <c r="AC1082" s="1"/>
      <c r="AD1082" s="1"/>
      <c r="AL1082" s="23"/>
      <c r="AM1082" s="23"/>
    </row>
    <row r="1083" spans="17:39">
      <c r="Q1083" s="6">
        <v>1053</v>
      </c>
      <c r="R1083" s="7">
        <v>43720</v>
      </c>
      <c r="S1083" s="210">
        <v>3.7049180327868854</v>
      </c>
      <c r="T1083" s="8">
        <v>1.0001029143897997</v>
      </c>
      <c r="U1083" s="98">
        <v>3.4601040600889643</v>
      </c>
      <c r="V1083" s="106">
        <v>28409.946562433193</v>
      </c>
      <c r="W1083" s="10">
        <v>0.66242883533786934</v>
      </c>
      <c r="X1083" s="420"/>
      <c r="Y1083" s="420"/>
      <c r="Z1083" s="1"/>
      <c r="AA1083" s="1"/>
      <c r="AB1083" s="1"/>
      <c r="AC1083" s="1"/>
      <c r="AD1083" s="1"/>
      <c r="AL1083" s="23"/>
      <c r="AM1083" s="23"/>
    </row>
    <row r="1084" spans="17:39">
      <c r="Q1084" s="6">
        <v>1054</v>
      </c>
      <c r="R1084" s="7">
        <v>43721</v>
      </c>
      <c r="S1084" s="210">
        <v>3.7062841530054644</v>
      </c>
      <c r="T1084" s="8">
        <v>1.0001029523375835</v>
      </c>
      <c r="U1084" s="98">
        <v>3.4604534873265314</v>
      </c>
      <c r="V1084" s="106">
        <v>28412.23247250183</v>
      </c>
      <c r="W1084" s="10">
        <v>0.66258220892123632</v>
      </c>
      <c r="X1084" s="420"/>
      <c r="Y1084" s="420"/>
      <c r="Z1084" s="1"/>
      <c r="AA1084" s="1"/>
      <c r="AB1084" s="1"/>
      <c r="AC1084" s="1"/>
      <c r="AD1084" s="1"/>
      <c r="AL1084" s="23"/>
      <c r="AM1084" s="23"/>
    </row>
    <row r="1085" spans="17:39">
      <c r="Q1085" s="6">
        <v>1055</v>
      </c>
      <c r="R1085" s="7">
        <v>43722</v>
      </c>
      <c r="S1085" s="210">
        <v>3.7076502732240435</v>
      </c>
      <c r="T1085" s="8">
        <v>1.0001029902853673</v>
      </c>
      <c r="U1085" s="98">
        <v>3.4608036115015395</v>
      </c>
      <c r="V1085" s="106">
        <v>28414.518566498475</v>
      </c>
      <c r="W1085" s="10">
        <v>0.66273661343232426</v>
      </c>
      <c r="X1085" s="420"/>
      <c r="Y1085" s="420"/>
      <c r="Z1085" s="1"/>
      <c r="AA1085" s="1"/>
      <c r="AB1085" s="1"/>
      <c r="AC1085" s="1"/>
      <c r="AD1085" s="1"/>
      <c r="AL1085" s="23"/>
      <c r="AM1085" s="23"/>
    </row>
    <row r="1086" spans="17:39">
      <c r="Q1086" s="6">
        <v>1056</v>
      </c>
      <c r="R1086" s="7">
        <v>43723</v>
      </c>
      <c r="S1086" s="210">
        <v>3.709016393442623</v>
      </c>
      <c r="T1086" s="8">
        <v>1.0001030282331511</v>
      </c>
      <c r="U1086" s="98">
        <v>3.4611544306444086</v>
      </c>
      <c r="V1086" s="106">
        <v>28416.804844437927</v>
      </c>
      <c r="W1086" s="10">
        <v>0.66289204594769391</v>
      </c>
      <c r="X1086" s="420"/>
      <c r="Y1086" s="420"/>
      <c r="Z1086" s="1"/>
      <c r="AA1086" s="1"/>
      <c r="AB1086" s="1"/>
      <c r="AC1086" s="1"/>
      <c r="AD1086" s="1"/>
      <c r="AL1086" s="23"/>
      <c r="AM1086" s="23"/>
    </row>
    <row r="1087" spans="17:39">
      <c r="Q1087" s="6">
        <v>1057</v>
      </c>
      <c r="R1087" s="7">
        <v>43724</v>
      </c>
      <c r="S1087" s="210">
        <v>3.7103825136612021</v>
      </c>
      <c r="T1087" s="8">
        <v>1.0001030661809351</v>
      </c>
      <c r="U1087" s="98">
        <v>3.4615059427930639</v>
      </c>
      <c r="V1087" s="106">
        <v>28419.09130633498</v>
      </c>
      <c r="W1087" s="10">
        <v>0.66304850355507483</v>
      </c>
      <c r="X1087" s="420"/>
      <c r="Y1087" s="420"/>
      <c r="Z1087" s="1"/>
      <c r="AA1087" s="1"/>
      <c r="AB1087" s="1"/>
      <c r="AC1087" s="1"/>
      <c r="AD1087" s="1"/>
      <c r="AL1087" s="23"/>
      <c r="AM1087" s="23"/>
    </row>
    <row r="1088" spans="17:39">
      <c r="Q1088" s="6">
        <v>1058</v>
      </c>
      <c r="R1088" s="7">
        <v>43725</v>
      </c>
      <c r="S1088" s="210">
        <v>3.7117486338797816</v>
      </c>
      <c r="T1088" s="8">
        <v>1.0001031041287189</v>
      </c>
      <c r="U1088" s="98">
        <v>3.46185814599278</v>
      </c>
      <c r="V1088" s="106">
        <v>28421.377952204442</v>
      </c>
      <c r="W1088" s="10">
        <v>0.6632059833531434</v>
      </c>
      <c r="X1088" s="420"/>
      <c r="Y1088" s="420"/>
      <c r="Z1088" s="1"/>
      <c r="AA1088" s="1"/>
      <c r="AB1088" s="1"/>
      <c r="AC1088" s="1"/>
      <c r="AD1088" s="1"/>
      <c r="AL1088" s="23"/>
      <c r="AM1088" s="23"/>
    </row>
    <row r="1089" spans="17:39">
      <c r="Q1089" s="6">
        <v>1059</v>
      </c>
      <c r="R1089" s="7">
        <v>43726</v>
      </c>
      <c r="S1089" s="210">
        <v>3.7131147540983607</v>
      </c>
      <c r="T1089" s="8">
        <v>1.0001031420765027</v>
      </c>
      <c r="U1089" s="98">
        <v>3.4622110382963145</v>
      </c>
      <c r="V1089" s="106">
        <v>28423.664782061114</v>
      </c>
      <c r="W1089" s="10">
        <v>0.66336448245158941</v>
      </c>
      <c r="X1089" s="420"/>
      <c r="Y1089" s="420"/>
      <c r="Z1089" s="1"/>
      <c r="AA1089" s="1"/>
      <c r="AB1089" s="1"/>
      <c r="AC1089" s="1"/>
      <c r="AD1089" s="1"/>
      <c r="AL1089" s="23"/>
      <c r="AM1089" s="23"/>
    </row>
    <row r="1090" spans="17:39">
      <c r="Q1090" s="6">
        <v>1060</v>
      </c>
      <c r="R1090" s="7">
        <v>43727</v>
      </c>
      <c r="S1090" s="210">
        <v>3.7144808743169397</v>
      </c>
      <c r="T1090" s="8">
        <v>1.0001031800242866</v>
      </c>
      <c r="U1090" s="98">
        <v>3.4625646177637304</v>
      </c>
      <c r="V1090" s="106">
        <v>28425.951795919809</v>
      </c>
      <c r="W1090" s="10">
        <v>0.66352399797109385</v>
      </c>
      <c r="X1090" s="420"/>
      <c r="Y1090" s="420"/>
      <c r="Z1090" s="1"/>
      <c r="AA1090" s="1"/>
      <c r="AB1090" s="1"/>
      <c r="AC1090" s="1"/>
      <c r="AD1090" s="1"/>
      <c r="AL1090" s="23"/>
      <c r="AM1090" s="23"/>
    </row>
    <row r="1091" spans="17:39">
      <c r="Q1091" s="6">
        <v>1061</v>
      </c>
      <c r="R1091" s="7">
        <v>43728</v>
      </c>
      <c r="S1091" s="210">
        <v>3.7158469945355193</v>
      </c>
      <c r="T1091" s="8">
        <v>1.0001032179720704</v>
      </c>
      <c r="U1091" s="98">
        <v>3.4629188824624402</v>
      </c>
      <c r="V1091" s="106">
        <v>28428.238993795316</v>
      </c>
      <c r="W1091" s="10">
        <v>0.66368452704315128</v>
      </c>
      <c r="X1091" s="420"/>
      <c r="Y1091" s="420"/>
      <c r="Z1091" s="1"/>
      <c r="AA1091" s="1"/>
      <c r="AB1091" s="1"/>
      <c r="AC1091" s="1"/>
      <c r="AD1091" s="1"/>
      <c r="AL1091" s="23"/>
      <c r="AM1091" s="23"/>
    </row>
    <row r="1092" spans="17:39">
      <c r="Q1092" s="6">
        <v>1062</v>
      </c>
      <c r="R1092" s="7">
        <v>43729</v>
      </c>
      <c r="S1092" s="210">
        <v>3.7172131147540983</v>
      </c>
      <c r="T1092" s="8">
        <v>1.0001032559198544</v>
      </c>
      <c r="U1092" s="98">
        <v>3.4632738304671618</v>
      </c>
      <c r="V1092" s="106">
        <v>28430.526375702448</v>
      </c>
      <c r="W1092" s="10">
        <v>0.66384606681015867</v>
      </c>
      <c r="X1092" s="420"/>
      <c r="Y1092" s="420"/>
      <c r="Z1092" s="1"/>
      <c r="AA1092" s="1"/>
      <c r="AB1092" s="1"/>
      <c r="AC1092" s="1"/>
      <c r="AD1092" s="1"/>
      <c r="AL1092" s="23"/>
      <c r="AM1092" s="23"/>
    </row>
    <row r="1093" spans="17:39">
      <c r="Q1093" s="6">
        <v>1063</v>
      </c>
      <c r="R1093" s="7">
        <v>43730</v>
      </c>
      <c r="S1093" s="210">
        <v>3.7185792349726774</v>
      </c>
      <c r="T1093" s="8">
        <v>1.0001032938676382</v>
      </c>
      <c r="U1093" s="98">
        <v>3.4636294598598516</v>
      </c>
      <c r="V1093" s="106">
        <v>28432.813941656015</v>
      </c>
      <c r="W1093" s="10">
        <v>0.66400861442523773</v>
      </c>
      <c r="X1093" s="420"/>
      <c r="Y1093" s="420"/>
      <c r="Z1093" s="1"/>
      <c r="AA1093" s="1"/>
      <c r="AB1093" s="1"/>
      <c r="AC1093" s="1"/>
      <c r="AD1093" s="1"/>
      <c r="AL1093" s="23"/>
      <c r="AM1093" s="23"/>
    </row>
    <row r="1094" spans="17:39">
      <c r="Q1094" s="6">
        <v>1064</v>
      </c>
      <c r="R1094" s="7">
        <v>43731</v>
      </c>
      <c r="S1094" s="210">
        <v>3.7199453551912569</v>
      </c>
      <c r="T1094" s="8">
        <v>1.000103331815422</v>
      </c>
      <c r="U1094" s="98">
        <v>3.4639857687297049</v>
      </c>
      <c r="V1094" s="106">
        <v>28435.101691670821</v>
      </c>
      <c r="W1094" s="10">
        <v>0.66417216705232374</v>
      </c>
      <c r="X1094" s="420"/>
      <c r="Y1094" s="420"/>
      <c r="Z1094" s="1"/>
      <c r="AA1094" s="1"/>
      <c r="AB1094" s="1"/>
      <c r="AC1094" s="1"/>
      <c r="AD1094" s="1"/>
      <c r="AL1094" s="23"/>
      <c r="AM1094" s="23"/>
    </row>
    <row r="1095" spans="17:39">
      <c r="Q1095" s="6">
        <v>1065</v>
      </c>
      <c r="R1095" s="7">
        <v>43732</v>
      </c>
      <c r="S1095" s="210">
        <v>3.721311475409836</v>
      </c>
      <c r="T1095" s="8">
        <v>1.0001033697632058</v>
      </c>
      <c r="U1095" s="98">
        <v>3.4643427551730888</v>
      </c>
      <c r="V1095" s="106">
        <v>28437.389625761683</v>
      </c>
      <c r="W1095" s="10">
        <v>0.66433672186589909</v>
      </c>
      <c r="X1095" s="420"/>
      <c r="Y1095" s="420"/>
      <c r="Z1095" s="1"/>
      <c r="AA1095" s="1"/>
      <c r="AB1095" s="1"/>
      <c r="AC1095" s="1"/>
      <c r="AD1095" s="1"/>
      <c r="AL1095" s="23"/>
      <c r="AM1095" s="23"/>
    </row>
    <row r="1096" spans="17:39">
      <c r="Q1096" s="6">
        <v>1066</v>
      </c>
      <c r="R1096" s="7">
        <v>43733</v>
      </c>
      <c r="S1096" s="210">
        <v>3.7226775956284155</v>
      </c>
      <c r="T1096" s="8">
        <v>1.0001034077109896</v>
      </c>
      <c r="U1096" s="98">
        <v>3.4647004172935425</v>
      </c>
      <c r="V1096" s="106">
        <v>28439.677743943408</v>
      </c>
      <c r="W1096" s="10">
        <v>0.66450227605121537</v>
      </c>
      <c r="X1096" s="420"/>
      <c r="Y1096" s="420"/>
      <c r="Z1096" s="1"/>
      <c r="AA1096" s="1"/>
      <c r="AB1096" s="1"/>
      <c r="AC1096" s="1"/>
      <c r="AD1096" s="1"/>
      <c r="AL1096" s="23"/>
      <c r="AM1096" s="23"/>
    </row>
    <row r="1097" spans="17:39">
      <c r="Q1097" s="6">
        <v>1067</v>
      </c>
      <c r="R1097" s="7">
        <v>43734</v>
      </c>
      <c r="S1097" s="210">
        <v>3.7240437158469946</v>
      </c>
      <c r="T1097" s="8">
        <v>1.0001034456587736</v>
      </c>
      <c r="U1097" s="98">
        <v>3.4650587532017108</v>
      </c>
      <c r="V1097" s="106">
        <v>28441.966046230809</v>
      </c>
      <c r="W1097" s="10">
        <v>0.66466882680400463</v>
      </c>
      <c r="X1097" s="420"/>
      <c r="Y1097" s="420"/>
      <c r="Z1097" s="1"/>
      <c r="AA1097" s="1"/>
      <c r="AB1097" s="1"/>
      <c r="AC1097" s="1"/>
      <c r="AD1097" s="1"/>
      <c r="AL1097" s="23"/>
      <c r="AM1097" s="23"/>
    </row>
    <row r="1098" spans="17:39">
      <c r="Q1098" s="6">
        <v>1068</v>
      </c>
      <c r="R1098" s="7">
        <v>43735</v>
      </c>
      <c r="S1098" s="210">
        <v>3.7254098360655736</v>
      </c>
      <c r="T1098" s="8">
        <v>1.0001034836065574</v>
      </c>
      <c r="U1098" s="98">
        <v>3.4654177610153658</v>
      </c>
      <c r="V1098" s="106">
        <v>28444.254532638697</v>
      </c>
      <c r="W1098" s="10">
        <v>0.66483637133065709</v>
      </c>
      <c r="X1098" s="420"/>
      <c r="Y1098" s="420"/>
      <c r="Z1098" s="1"/>
      <c r="AA1098" s="1"/>
      <c r="AB1098" s="1"/>
      <c r="AC1098" s="1"/>
      <c r="AD1098" s="1"/>
      <c r="AL1098" s="23"/>
      <c r="AM1098" s="23"/>
    </row>
    <row r="1099" spans="17:39">
      <c r="Q1099" s="6">
        <v>1069</v>
      </c>
      <c r="R1099" s="7">
        <v>43736</v>
      </c>
      <c r="S1099" s="210">
        <v>3.7267759562841531</v>
      </c>
      <c r="T1099" s="8">
        <v>1.0001035215543412</v>
      </c>
      <c r="U1099" s="98">
        <v>3.4657774388592744</v>
      </c>
      <c r="V1099" s="106">
        <v>28446.543203181889</v>
      </c>
      <c r="W1099" s="10">
        <v>0.66500490684788804</v>
      </c>
      <c r="X1099" s="420"/>
      <c r="Y1099" s="420"/>
      <c r="Z1099" s="1"/>
      <c r="AA1099" s="1"/>
      <c r="AB1099" s="1"/>
      <c r="AC1099" s="1"/>
      <c r="AD1099" s="1"/>
      <c r="AL1099" s="23"/>
      <c r="AM1099" s="23"/>
    </row>
    <row r="1100" spans="17:39">
      <c r="Q1100" s="6">
        <v>1070</v>
      </c>
      <c r="R1100" s="7">
        <v>43737</v>
      </c>
      <c r="S1100" s="210">
        <v>3.7281420765027322</v>
      </c>
      <c r="T1100" s="8">
        <v>1.000103559502125</v>
      </c>
      <c r="U1100" s="98">
        <v>3.4661377848652863</v>
      </c>
      <c r="V1100" s="106">
        <v>28448.832057875195</v>
      </c>
      <c r="W1100" s="10">
        <v>0.66517443058293768</v>
      </c>
      <c r="X1100" s="420"/>
      <c r="Y1100" s="420"/>
      <c r="Z1100" s="1"/>
      <c r="AA1100" s="1"/>
      <c r="AB1100" s="1"/>
      <c r="AC1100" s="1"/>
      <c r="AD1100" s="1"/>
      <c r="AL1100" s="23"/>
      <c r="AM1100" s="23"/>
    </row>
    <row r="1101" spans="17:39">
      <c r="Q1101" s="6">
        <v>1071</v>
      </c>
      <c r="R1101" s="7">
        <v>43738</v>
      </c>
      <c r="S1101" s="210">
        <v>3.7295081967213113</v>
      </c>
      <c r="T1101" s="8">
        <v>1.0001035974499088</v>
      </c>
      <c r="U1101" s="98">
        <v>3.4664987971722017</v>
      </c>
      <c r="V1101" s="106">
        <v>28451.121096733437</v>
      </c>
      <c r="W1101" s="10">
        <v>0.6653449397734601</v>
      </c>
      <c r="X1101" s="420"/>
      <c r="Y1101" s="420"/>
      <c r="Z1101" s="1"/>
      <c r="AA1101" s="1"/>
      <c r="AB1101" s="1"/>
      <c r="AC1101" s="1"/>
      <c r="AD1101" s="1"/>
      <c r="AL1101" s="23"/>
      <c r="AM1101" s="23"/>
    </row>
    <row r="1102" spans="17:39">
      <c r="Q1102" s="6">
        <v>1072</v>
      </c>
      <c r="R1102" s="7">
        <v>43739</v>
      </c>
      <c r="S1102" s="210">
        <v>3.7308743169398908</v>
      </c>
      <c r="T1102" s="8">
        <v>1.0001036353976929</v>
      </c>
      <c r="U1102" s="98">
        <v>3.4668604739258146</v>
      </c>
      <c r="V1102" s="106">
        <v>28453.410319771443</v>
      </c>
      <c r="W1102" s="10">
        <v>0.66551643166734564</v>
      </c>
      <c r="X1102" s="420"/>
      <c r="Y1102" s="420"/>
      <c r="Z1102" s="1"/>
      <c r="AA1102" s="1"/>
      <c r="AB1102" s="1"/>
      <c r="AC1102" s="1"/>
      <c r="AD1102" s="1"/>
      <c r="AL1102" s="23"/>
      <c r="AM1102" s="23"/>
    </row>
    <row r="1103" spans="17:39">
      <c r="Q1103" s="6">
        <v>1073</v>
      </c>
      <c r="R1103" s="7">
        <v>43740</v>
      </c>
      <c r="S1103" s="210">
        <v>3.7322404371584699</v>
      </c>
      <c r="T1103" s="8">
        <v>1.0001036733454767</v>
      </c>
      <c r="U1103" s="98">
        <v>3.467222813278803</v>
      </c>
      <c r="V1103" s="106">
        <v>28455.699727004012</v>
      </c>
      <c r="W1103" s="10">
        <v>0.66568890352287635</v>
      </c>
      <c r="X1103" s="420"/>
      <c r="Y1103" s="420"/>
      <c r="Z1103" s="1"/>
      <c r="AA1103" s="1"/>
      <c r="AB1103" s="1"/>
      <c r="AC1103" s="1"/>
      <c r="AD1103" s="1"/>
      <c r="AL1103" s="23"/>
      <c r="AM1103" s="23"/>
    </row>
    <row r="1104" spans="17:39">
      <c r="Q1104" s="6">
        <v>1074</v>
      </c>
      <c r="R1104" s="7">
        <v>43741</v>
      </c>
      <c r="S1104" s="210">
        <v>3.7336065573770494</v>
      </c>
      <c r="T1104" s="8">
        <v>1.0001037112932605</v>
      </c>
      <c r="U1104" s="98">
        <v>3.46758581339075</v>
      </c>
      <c r="V1104" s="106">
        <v>28457.989318445976</v>
      </c>
      <c r="W1104" s="10">
        <v>0.6658623526084817</v>
      </c>
      <c r="X1104" s="420"/>
      <c r="Y1104" s="420"/>
      <c r="Z1104" s="1"/>
      <c r="AA1104" s="1"/>
      <c r="AB1104" s="1"/>
      <c r="AC1104" s="1"/>
      <c r="AD1104" s="1"/>
      <c r="AL1104" s="23"/>
      <c r="AM1104" s="23"/>
    </row>
    <row r="1105" spans="17:39">
      <c r="Q1105" s="6">
        <v>1075</v>
      </c>
      <c r="R1105" s="7">
        <v>43742</v>
      </c>
      <c r="S1105" s="210">
        <v>3.7349726775956285</v>
      </c>
      <c r="T1105" s="8">
        <v>1.0001037492410443</v>
      </c>
      <c r="U1105" s="98">
        <v>3.4679494724281223</v>
      </c>
      <c r="V1105" s="106">
        <v>28460.279094112164</v>
      </c>
      <c r="W1105" s="10">
        <v>0.66603677620284962</v>
      </c>
      <c r="X1105" s="420"/>
      <c r="Y1105" s="420"/>
      <c r="Z1105" s="1"/>
      <c r="AA1105" s="1"/>
      <c r="AB1105" s="1"/>
      <c r="AC1105" s="1"/>
      <c r="AD1105" s="1"/>
      <c r="AL1105" s="23"/>
      <c r="AM1105" s="23"/>
    </row>
    <row r="1106" spans="17:39">
      <c r="Q1106" s="6">
        <v>1076</v>
      </c>
      <c r="R1106" s="7">
        <v>43743</v>
      </c>
      <c r="S1106" s="210">
        <v>3.7363387978142075</v>
      </c>
      <c r="T1106" s="8">
        <v>1.0001037871888281</v>
      </c>
      <c r="U1106" s="98">
        <v>3.4683137885642035</v>
      </c>
      <c r="V1106" s="106">
        <v>28462.569054017385</v>
      </c>
      <c r="W1106" s="10">
        <v>0.66621217159481549</v>
      </c>
      <c r="X1106" s="420"/>
      <c r="Y1106" s="420"/>
      <c r="Z1106" s="1"/>
      <c r="AA1106" s="1"/>
      <c r="AB1106" s="1"/>
      <c r="AC1106" s="1"/>
      <c r="AD1106" s="1"/>
      <c r="AL1106" s="23"/>
      <c r="AM1106" s="23"/>
    </row>
    <row r="1107" spans="17:39">
      <c r="Q1107" s="6">
        <v>1077</v>
      </c>
      <c r="R1107" s="7">
        <v>43744</v>
      </c>
      <c r="S1107" s="210">
        <v>3.737704918032787</v>
      </c>
      <c r="T1107" s="8">
        <v>1.0001038251366121</v>
      </c>
      <c r="U1107" s="98">
        <v>3.4686787599790714</v>
      </c>
      <c r="V1107" s="106">
        <v>28464.859198176466</v>
      </c>
      <c r="W1107" s="10">
        <v>0.66638853608327331</v>
      </c>
      <c r="X1107" s="420"/>
      <c r="Y1107" s="420"/>
      <c r="Z1107" s="1"/>
      <c r="AA1107" s="1"/>
      <c r="AB1107" s="1"/>
      <c r="AC1107" s="1"/>
      <c r="AD1107" s="1"/>
      <c r="AL1107" s="23"/>
      <c r="AM1107" s="23"/>
    </row>
    <row r="1108" spans="17:39">
      <c r="Q1108" s="6">
        <v>1078</v>
      </c>
      <c r="R1108" s="7">
        <v>43745</v>
      </c>
      <c r="S1108" s="210">
        <v>3.7390710382513661</v>
      </c>
      <c r="T1108" s="8">
        <v>1.0001038630843959</v>
      </c>
      <c r="U1108" s="98">
        <v>3.4690443848595542</v>
      </c>
      <c r="V1108" s="106">
        <v>28467.149526604244</v>
      </c>
      <c r="W1108" s="10">
        <v>0.66656586697715348</v>
      </c>
      <c r="X1108" s="420"/>
      <c r="Y1108" s="420"/>
      <c r="Z1108" s="1"/>
      <c r="AA1108" s="1"/>
      <c r="AB1108" s="1"/>
      <c r="AC1108" s="1"/>
      <c r="AD1108" s="1"/>
      <c r="AL1108" s="23"/>
      <c r="AM1108" s="23"/>
    </row>
    <row r="1109" spans="17:39">
      <c r="Q1109" s="6">
        <v>1079</v>
      </c>
      <c r="R1109" s="7">
        <v>43746</v>
      </c>
      <c r="S1109" s="210">
        <v>3.7404371584699452</v>
      </c>
      <c r="T1109" s="8">
        <v>1.0001039010321797</v>
      </c>
      <c r="U1109" s="98">
        <v>3.4694106613992304</v>
      </c>
      <c r="V1109" s="106">
        <v>28469.440039315534</v>
      </c>
      <c r="W1109" s="10">
        <v>0.66674416159544503</v>
      </c>
      <c r="X1109" s="420"/>
      <c r="Y1109" s="420"/>
      <c r="Z1109" s="1"/>
      <c r="AA1109" s="1"/>
      <c r="AB1109" s="1"/>
      <c r="AC1109" s="1"/>
      <c r="AD1109" s="1"/>
      <c r="AL1109" s="23"/>
      <c r="AM1109" s="23"/>
    </row>
    <row r="1110" spans="17:39">
      <c r="Q1110" s="6">
        <v>1080</v>
      </c>
      <c r="R1110" s="7">
        <v>43747</v>
      </c>
      <c r="S1110" s="210">
        <v>3.7418032786885247</v>
      </c>
      <c r="T1110" s="8">
        <v>1.0001039389799635</v>
      </c>
      <c r="U1110" s="98">
        <v>3.4697775877983839</v>
      </c>
      <c r="V1110" s="106">
        <v>28471.73073632516</v>
      </c>
      <c r="W1110" s="10">
        <v>0.6669234172670846</v>
      </c>
      <c r="X1110" s="420"/>
      <c r="Y1110" s="420"/>
      <c r="Z1110" s="1"/>
      <c r="AA1110" s="1"/>
      <c r="AB1110" s="1"/>
      <c r="AC1110" s="1"/>
      <c r="AD1110" s="1"/>
      <c r="AL1110" s="23"/>
      <c r="AM1110" s="23"/>
    </row>
    <row r="1111" spans="17:39">
      <c r="Q1111" s="6">
        <v>1081</v>
      </c>
      <c r="R1111" s="7">
        <v>43748</v>
      </c>
      <c r="S1111" s="210">
        <v>3.7431693989071038</v>
      </c>
      <c r="T1111" s="8">
        <v>1.0001039769277473</v>
      </c>
      <c r="U1111" s="98">
        <v>3.4701451622639601</v>
      </c>
      <c r="V1111" s="106">
        <v>28473.947715373404</v>
      </c>
      <c r="W1111" s="10">
        <v>0.66719185081069998</v>
      </c>
      <c r="X1111" s="420"/>
      <c r="Y1111" s="420"/>
      <c r="Z1111" s="1"/>
      <c r="AA1111" s="1"/>
      <c r="AB1111" s="1"/>
      <c r="AC1111" s="1"/>
      <c r="AD1111" s="1"/>
      <c r="AL1111" s="23"/>
      <c r="AM1111" s="23"/>
    </row>
    <row r="1112" spans="17:39">
      <c r="Q1112" s="6">
        <v>1082</v>
      </c>
      <c r="R1112" s="7">
        <v>43749</v>
      </c>
      <c r="S1112" s="210">
        <v>3.7445355191256833</v>
      </c>
      <c r="T1112" s="8">
        <v>1.0001040148755314</v>
      </c>
      <c r="U1112" s="98">
        <v>3.4705133830095658</v>
      </c>
      <c r="V1112" s="106">
        <v>28476.164867048887</v>
      </c>
      <c r="W1112" s="10">
        <v>0.66746107742208238</v>
      </c>
      <c r="X1112" s="420"/>
      <c r="Y1112" s="420"/>
      <c r="Z1112" s="1"/>
      <c r="AA1112" s="1"/>
      <c r="AB1112" s="1"/>
      <c r="AC1112" s="1"/>
      <c r="AD1112" s="1"/>
      <c r="AL1112" s="23"/>
      <c r="AM1112" s="23"/>
    </row>
    <row r="1113" spans="17:39">
      <c r="Q1113" s="6">
        <v>1083</v>
      </c>
      <c r="R1113" s="7">
        <v>43750</v>
      </c>
      <c r="S1113" s="210">
        <v>3.7459016393442623</v>
      </c>
      <c r="T1113" s="8">
        <v>1.0001040528233152</v>
      </c>
      <c r="U1113" s="98">
        <v>3.4708822482554025</v>
      </c>
      <c r="V1113" s="106">
        <v>28478.382191365035</v>
      </c>
      <c r="W1113" s="10">
        <v>0.66773109491267135</v>
      </c>
      <c r="X1113" s="420"/>
      <c r="Y1113" s="420"/>
      <c r="Z1113" s="1"/>
      <c r="AA1113" s="1"/>
      <c r="AB1113" s="1"/>
      <c r="AC1113" s="1"/>
      <c r="AD1113" s="1"/>
      <c r="AL1113" s="23"/>
      <c r="AM1113" s="23"/>
    </row>
    <row r="1114" spans="17:39">
      <c r="Q1114" s="6">
        <v>1084</v>
      </c>
      <c r="R1114" s="7">
        <v>43751</v>
      </c>
      <c r="S1114" s="210">
        <v>3.7472677595628414</v>
      </c>
      <c r="T1114" s="8">
        <v>1.000104090771099</v>
      </c>
      <c r="U1114" s="98">
        <v>3.4712517562282441</v>
      </c>
      <c r="V1114" s="106">
        <v>28480.599688335304</v>
      </c>
      <c r="W1114" s="10">
        <v>0.66800190110196667</v>
      </c>
      <c r="X1114" s="420"/>
      <c r="Y1114" s="420"/>
      <c r="Z1114" s="1"/>
      <c r="AA1114" s="1"/>
      <c r="AB1114" s="1"/>
      <c r="AC1114" s="1"/>
      <c r="AD1114" s="1"/>
      <c r="AL1114" s="23"/>
      <c r="AM1114" s="23"/>
    </row>
    <row r="1115" spans="17:39">
      <c r="Q1115" s="6">
        <v>1085</v>
      </c>
      <c r="R1115" s="7">
        <v>43752</v>
      </c>
      <c r="S1115" s="210">
        <v>3.7486338797814209</v>
      </c>
      <c r="T1115" s="8">
        <v>1.0001041287188828</v>
      </c>
      <c r="U1115" s="98">
        <v>3.471621905161415</v>
      </c>
      <c r="V1115" s="106">
        <v>28482.817357973141</v>
      </c>
      <c r="W1115" s="10">
        <v>0.66827349381757273</v>
      </c>
      <c r="X1115" s="420"/>
      <c r="Y1115" s="420"/>
      <c r="Z1115" s="1"/>
      <c r="AA1115" s="1"/>
      <c r="AB1115" s="1"/>
      <c r="AC1115" s="1"/>
      <c r="AD1115" s="1"/>
      <c r="AL1115" s="23"/>
      <c r="AM1115" s="23"/>
    </row>
    <row r="1116" spans="17:39">
      <c r="Q1116" s="6">
        <v>1086</v>
      </c>
      <c r="R1116" s="7">
        <v>43753</v>
      </c>
      <c r="S1116" s="210">
        <v>3.75</v>
      </c>
      <c r="T1116" s="8">
        <v>1.0001041666666666</v>
      </c>
      <c r="U1116" s="98">
        <v>3.4719926932947676</v>
      </c>
      <c r="V1116" s="106">
        <v>28485.035200291975</v>
      </c>
      <c r="W1116" s="10">
        <v>0.66854587089504314</v>
      </c>
      <c r="X1116" s="420"/>
      <c r="Y1116" s="420"/>
      <c r="Z1116" s="1"/>
      <c r="AA1116" s="1"/>
      <c r="AB1116" s="1"/>
      <c r="AC1116" s="1"/>
      <c r="AD1116" s="1"/>
      <c r="AL1116" s="23"/>
      <c r="AM1116" s="23"/>
    </row>
    <row r="1117" spans="17:39">
      <c r="Q1117" s="6">
        <v>1087</v>
      </c>
      <c r="R1117" s="7">
        <v>43754</v>
      </c>
      <c r="S1117" s="210">
        <v>3.7513661202185791</v>
      </c>
      <c r="T1117" s="8">
        <v>1.0001042046144506</v>
      </c>
      <c r="U1117" s="98">
        <v>3.4723641188746379</v>
      </c>
      <c r="V1117" s="106">
        <v>28487.253215305271</v>
      </c>
      <c r="W1117" s="10">
        <v>0.66881903017796951</v>
      </c>
      <c r="X1117" s="420"/>
      <c r="Y1117" s="420"/>
      <c r="Z1117" s="1"/>
      <c r="AA1117" s="1"/>
      <c r="AB1117" s="1"/>
      <c r="AC1117" s="1"/>
      <c r="AD1117" s="1"/>
      <c r="AL1117" s="23"/>
      <c r="AM1117" s="23"/>
    </row>
    <row r="1118" spans="17:39">
      <c r="Q1118" s="6">
        <v>1088</v>
      </c>
      <c r="R1118" s="7">
        <v>43755</v>
      </c>
      <c r="S1118" s="210">
        <v>3.7527322404371586</v>
      </c>
      <c r="T1118" s="8">
        <v>1.0001042425622344</v>
      </c>
      <c r="U1118" s="98">
        <v>3.4727361801538237</v>
      </c>
      <c r="V1118" s="106">
        <v>28489.471403026459</v>
      </c>
      <c r="W1118" s="10">
        <v>0.66909296951789266</v>
      </c>
      <c r="X1118" s="420"/>
      <c r="Y1118" s="420"/>
      <c r="Z1118" s="1"/>
      <c r="AA1118" s="1"/>
      <c r="AB1118" s="1"/>
      <c r="AC1118" s="1"/>
      <c r="AD1118" s="1"/>
      <c r="AL1118" s="23"/>
      <c r="AM1118" s="23"/>
    </row>
    <row r="1119" spans="17:39">
      <c r="Q1119" s="6">
        <v>1089</v>
      </c>
      <c r="R1119" s="7">
        <v>43756</v>
      </c>
      <c r="S1119" s="210">
        <v>3.7540983606557377</v>
      </c>
      <c r="T1119" s="8">
        <v>1.0001042805100182</v>
      </c>
      <c r="U1119" s="98">
        <v>3.4731088753915618</v>
      </c>
      <c r="V1119" s="106">
        <v>28491.689763468996</v>
      </c>
      <c r="W1119" s="10">
        <v>0.66936768677423597</v>
      </c>
      <c r="X1119" s="420"/>
      <c r="Y1119" s="420"/>
      <c r="Z1119" s="1"/>
      <c r="AA1119" s="1"/>
      <c r="AB1119" s="1"/>
      <c r="AC1119" s="1"/>
      <c r="AD1119" s="1"/>
      <c r="AL1119" s="23"/>
      <c r="AM1119" s="23"/>
    </row>
    <row r="1120" spans="17:39">
      <c r="Q1120" s="6">
        <v>1090</v>
      </c>
      <c r="R1120" s="7">
        <v>43757</v>
      </c>
      <c r="S1120" s="210">
        <v>3.7554644808743167</v>
      </c>
      <c r="T1120" s="8">
        <v>1.000104318457802</v>
      </c>
      <c r="U1120" s="98">
        <v>3.4734822028534618</v>
      </c>
      <c r="V1120" s="106">
        <v>28493.908296646332</v>
      </c>
      <c r="W1120" s="10">
        <v>0.66964317981428323</v>
      </c>
      <c r="X1120" s="420"/>
      <c r="Y1120" s="420"/>
      <c r="Z1120" s="1"/>
      <c r="AA1120" s="1"/>
      <c r="AB1120" s="1"/>
      <c r="AC1120" s="1"/>
      <c r="AD1120" s="1"/>
      <c r="AL1120" s="23"/>
      <c r="AM1120" s="23"/>
    </row>
    <row r="1121" spans="17:39">
      <c r="Q1121" s="6">
        <v>1091</v>
      </c>
      <c r="R1121" s="7">
        <v>43758</v>
      </c>
      <c r="S1121" s="210">
        <v>3.7568306010928962</v>
      </c>
      <c r="T1121" s="8">
        <v>1.0001043564055858</v>
      </c>
      <c r="U1121" s="98">
        <v>3.4738561608115281</v>
      </c>
      <c r="V1121" s="106">
        <v>28496.127002571917</v>
      </c>
      <c r="W1121" s="10">
        <v>0.66991944651322299</v>
      </c>
      <c r="X1121" s="420"/>
      <c r="Y1121" s="420"/>
      <c r="Z1121" s="1"/>
      <c r="AA1121" s="1"/>
      <c r="AB1121" s="1"/>
      <c r="AC1121" s="1"/>
      <c r="AD1121" s="1"/>
      <c r="AL1121" s="23"/>
      <c r="AM1121" s="23"/>
    </row>
    <row r="1122" spans="17:39">
      <c r="Q1122" s="6">
        <v>1092</v>
      </c>
      <c r="R1122" s="7">
        <v>43759</v>
      </c>
      <c r="S1122" s="210">
        <v>3.7581967213114753</v>
      </c>
      <c r="T1122" s="8">
        <v>1.0001043943533698</v>
      </c>
      <c r="U1122" s="98">
        <v>3.4742307475441159</v>
      </c>
      <c r="V1122" s="106">
        <v>28498.345881259193</v>
      </c>
      <c r="W1122" s="10">
        <v>0.67019648475399318</v>
      </c>
      <c r="X1122" s="420"/>
      <c r="Y1122" s="420"/>
      <c r="Z1122" s="1"/>
      <c r="AA1122" s="1"/>
      <c r="AB1122" s="1"/>
      <c r="AC1122" s="1"/>
      <c r="AD1122" s="1"/>
      <c r="AL1122" s="23"/>
      <c r="AM1122" s="23"/>
    </row>
    <row r="1123" spans="17:39">
      <c r="Q1123" s="6">
        <v>1093</v>
      </c>
      <c r="R1123" s="7">
        <v>43760</v>
      </c>
      <c r="S1123" s="210">
        <v>3.7595628415300548</v>
      </c>
      <c r="T1123" s="8">
        <v>1.0001044323011536</v>
      </c>
      <c r="U1123" s="98">
        <v>3.4746059613358415</v>
      </c>
      <c r="V1123" s="106">
        <v>28500.564932721627</v>
      </c>
      <c r="W1123" s="10">
        <v>0.67047429242725887</v>
      </c>
      <c r="X1123" s="420"/>
      <c r="Y1123" s="420"/>
      <c r="Z1123" s="1"/>
      <c r="AA1123" s="1"/>
      <c r="AB1123" s="1"/>
      <c r="AC1123" s="1"/>
      <c r="AD1123" s="1"/>
      <c r="AL1123" s="23"/>
      <c r="AM1123" s="23"/>
    </row>
    <row r="1124" spans="17:39">
      <c r="Q1124" s="6">
        <v>1094</v>
      </c>
      <c r="R1124" s="7">
        <v>43761</v>
      </c>
      <c r="S1124" s="210">
        <v>3.7609289617486339</v>
      </c>
      <c r="T1124" s="8">
        <v>1.0001044702489374</v>
      </c>
      <c r="U1124" s="98">
        <v>3.4749818004776722</v>
      </c>
      <c r="V1124" s="106">
        <v>28502.784156972662</v>
      </c>
      <c r="W1124" s="10">
        <v>0.67075286743152329</v>
      </c>
      <c r="X1124" s="420"/>
      <c r="Y1124" s="420"/>
      <c r="Z1124" s="1"/>
      <c r="AA1124" s="1"/>
      <c r="AB1124" s="1"/>
      <c r="AC1124" s="1"/>
      <c r="AD1124" s="1"/>
      <c r="AL1124" s="23"/>
      <c r="AM1124" s="23"/>
    </row>
    <row r="1125" spans="17:39">
      <c r="Q1125" s="6">
        <v>1095</v>
      </c>
      <c r="R1125" s="7">
        <v>43762</v>
      </c>
      <c r="S1125" s="210">
        <v>3.762295081967213</v>
      </c>
      <c r="T1125" s="8">
        <v>1.0001045081967213</v>
      </c>
      <c r="U1125" s="98">
        <v>3.4753582632667701</v>
      </c>
      <c r="V1125" s="106">
        <v>28505.003554025752</v>
      </c>
      <c r="W1125" s="10">
        <v>0.67103220767288363</v>
      </c>
      <c r="X1125" s="420"/>
      <c r="Y1125" s="420"/>
      <c r="Z1125" s="1"/>
      <c r="AA1125" s="1"/>
      <c r="AB1125" s="1"/>
      <c r="AC1125" s="1"/>
      <c r="AD1125" s="1"/>
      <c r="AL1125" s="23"/>
      <c r="AM1125" s="23"/>
    </row>
    <row r="1126" spans="17:39">
      <c r="Q1126" s="6">
        <v>1096</v>
      </c>
      <c r="R1126" s="7">
        <v>43763</v>
      </c>
      <c r="S1126" s="210">
        <v>3.7636612021857925</v>
      </c>
      <c r="T1126" s="8">
        <v>1.0001045461445051</v>
      </c>
      <c r="U1126" s="98">
        <v>3.4757353480065589</v>
      </c>
      <c r="V1126" s="106">
        <v>28507.22312389436</v>
      </c>
      <c r="W1126" s="10">
        <v>0.671312311065142</v>
      </c>
      <c r="X1126" s="420"/>
      <c r="Y1126" s="420"/>
      <c r="Z1126" s="1"/>
      <c r="AA1126" s="1"/>
      <c r="AB1126" s="1"/>
      <c r="AC1126" s="1"/>
      <c r="AD1126" s="1"/>
      <c r="AL1126" s="23"/>
      <c r="AM1126" s="23"/>
    </row>
    <row r="1127" spans="17:39">
      <c r="Q1127" s="6">
        <v>1097</v>
      </c>
      <c r="R1127" s="7">
        <v>43764</v>
      </c>
      <c r="S1127" s="210">
        <v>3.7650273224043715</v>
      </c>
      <c r="T1127" s="8">
        <v>1.0001045840922891</v>
      </c>
      <c r="U1127" s="98">
        <v>3.4761130530066575</v>
      </c>
      <c r="V1127" s="106">
        <v>28509.442866591937</v>
      </c>
      <c r="W1127" s="10">
        <v>0.67159317552971665</v>
      </c>
      <c r="X1127" s="420"/>
      <c r="Y1127" s="420"/>
      <c r="Z1127" s="1"/>
      <c r="AA1127" s="1"/>
      <c r="AB1127" s="1"/>
      <c r="AC1127" s="1"/>
      <c r="AD1127" s="1"/>
      <c r="AL1127" s="23"/>
      <c r="AM1127" s="23"/>
    </row>
    <row r="1128" spans="17:39">
      <c r="Q1128" s="6">
        <v>1098</v>
      </c>
      <c r="R1128" s="7">
        <v>43765</v>
      </c>
      <c r="S1128" s="210">
        <v>3.7663934426229506</v>
      </c>
      <c r="T1128" s="8">
        <v>1.0001046220400729</v>
      </c>
      <c r="U1128" s="98">
        <v>3.4764913765828576</v>
      </c>
      <c r="V1128" s="106">
        <v>28511.662782131938</v>
      </c>
      <c r="W1128" s="10">
        <v>0.67187479899564195</v>
      </c>
      <c r="X1128" s="420"/>
      <c r="Y1128" s="420"/>
      <c r="Z1128" s="1"/>
      <c r="AA1128" s="1"/>
      <c r="AB1128" s="1"/>
      <c r="AC1128" s="1"/>
      <c r="AD1128" s="1"/>
      <c r="AL1128" s="23"/>
      <c r="AM1128" s="23"/>
    </row>
    <row r="1129" spans="17:39">
      <c r="Q1129" s="6">
        <v>1099</v>
      </c>
      <c r="R1129" s="7">
        <v>43766</v>
      </c>
      <c r="S1129" s="210">
        <v>3.7677595628415301</v>
      </c>
      <c r="T1129" s="8">
        <v>1.0001046599878567</v>
      </c>
      <c r="U1129" s="98">
        <v>3.476870317057057</v>
      </c>
      <c r="V1129" s="106">
        <v>28513.882870527832</v>
      </c>
      <c r="W1129" s="10">
        <v>0.6721571793994352</v>
      </c>
      <c r="X1129" s="420"/>
      <c r="Y1129" s="420"/>
      <c r="Z1129" s="1"/>
      <c r="AA1129" s="1"/>
      <c r="AB1129" s="1"/>
      <c r="AC1129" s="1"/>
      <c r="AD1129" s="1"/>
      <c r="AL1129" s="23"/>
      <c r="AM1129" s="23"/>
    </row>
    <row r="1130" spans="17:39">
      <c r="Q1130" s="6">
        <v>1100</v>
      </c>
      <c r="R1130" s="7">
        <v>43767</v>
      </c>
      <c r="S1130" s="210">
        <v>3.7691256830601092</v>
      </c>
      <c r="T1130" s="8">
        <v>1.0001046979356405</v>
      </c>
      <c r="U1130" s="98">
        <v>3.477249872757282</v>
      </c>
      <c r="V1130" s="106">
        <v>28516.103131793065</v>
      </c>
      <c r="W1130" s="10">
        <v>0.6724403146852076</v>
      </c>
      <c r="X1130" s="420"/>
      <c r="Y1130" s="420"/>
      <c r="Z1130" s="1"/>
      <c r="AA1130" s="1"/>
      <c r="AB1130" s="1"/>
      <c r="AC1130" s="1"/>
      <c r="AD1130" s="1"/>
      <c r="AL1130" s="23"/>
      <c r="AM1130" s="23"/>
    </row>
    <row r="1131" spans="17:39">
      <c r="Q1131" s="6">
        <v>1101</v>
      </c>
      <c r="R1131" s="7">
        <v>43768</v>
      </c>
      <c r="S1131" s="210">
        <v>3.7704918032786887</v>
      </c>
      <c r="T1131" s="8">
        <v>1.0001047358834243</v>
      </c>
      <c r="U1131" s="98">
        <v>3.4776300420176876</v>
      </c>
      <c r="V1131" s="106">
        <v>28518.323565941104</v>
      </c>
      <c r="W1131" s="10">
        <v>0.67272420280455325</v>
      </c>
      <c r="X1131" s="420"/>
      <c r="Y1131" s="420"/>
      <c r="Z1131" s="1"/>
      <c r="AA1131" s="1"/>
      <c r="AB1131" s="1"/>
      <c r="AC1131" s="1"/>
      <c r="AD1131" s="1"/>
      <c r="AL1131" s="23"/>
      <c r="AM1131" s="23"/>
    </row>
    <row r="1132" spans="17:39">
      <c r="Q1132" s="6">
        <v>1102</v>
      </c>
      <c r="R1132" s="7">
        <v>43769</v>
      </c>
      <c r="S1132" s="210">
        <v>3.7718579234972678</v>
      </c>
      <c r="T1132" s="8">
        <v>1.0001047738312083</v>
      </c>
      <c r="U1132" s="98">
        <v>3.4780108231784235</v>
      </c>
      <c r="V1132" s="106">
        <v>28520.544172985417</v>
      </c>
      <c r="W1132" s="10">
        <v>0.67300884171641595</v>
      </c>
      <c r="X1132" s="420"/>
      <c r="Y1132" s="420"/>
      <c r="Z1132" s="1"/>
      <c r="AA1132" s="1"/>
      <c r="AB1132" s="1"/>
      <c r="AC1132" s="1"/>
      <c r="AD1132" s="1"/>
      <c r="AL1132" s="23"/>
      <c r="AM1132" s="23"/>
    </row>
    <row r="1133" spans="17:39">
      <c r="Q1133" s="6">
        <v>1103</v>
      </c>
      <c r="R1133" s="7">
        <v>43770</v>
      </c>
      <c r="S1133" s="210">
        <v>3.7732240437158469</v>
      </c>
      <c r="T1133" s="8">
        <v>1.0001048117789921</v>
      </c>
      <c r="U1133" s="98">
        <v>3.4783922145857016</v>
      </c>
      <c r="V1133" s="106">
        <v>28522.764952939458</v>
      </c>
      <c r="W1133" s="10">
        <v>0.673294229387289</v>
      </c>
      <c r="X1133" s="420"/>
      <c r="Y1133" s="420"/>
      <c r="Z1133" s="1"/>
      <c r="AA1133" s="1"/>
      <c r="AB1133" s="1"/>
      <c r="AC1133" s="1"/>
      <c r="AD1133" s="1"/>
      <c r="AL1133" s="23"/>
      <c r="AM1133" s="23"/>
    </row>
    <row r="1134" spans="17:39">
      <c r="Q1134" s="6">
        <v>1104</v>
      </c>
      <c r="R1134" s="7">
        <v>43771</v>
      </c>
      <c r="S1134" s="210">
        <v>3.7745901639344264</v>
      </c>
      <c r="T1134" s="8">
        <v>1.0001048497267759</v>
      </c>
      <c r="U1134" s="98">
        <v>3.4787742145917511</v>
      </c>
      <c r="V1134" s="106">
        <v>28524.985905816691</v>
      </c>
      <c r="W1134" s="10">
        <v>0.67358036379103758</v>
      </c>
      <c r="X1134" s="420"/>
      <c r="Y1134" s="420"/>
      <c r="Z1134" s="1"/>
      <c r="AA1134" s="1"/>
      <c r="AB1134" s="1"/>
      <c r="AC1134" s="1"/>
      <c r="AD1134" s="1"/>
      <c r="AL1134" s="23"/>
      <c r="AM1134" s="23"/>
    </row>
    <row r="1135" spans="17:39">
      <c r="Q1135" s="6">
        <v>1105</v>
      </c>
      <c r="R1135" s="7">
        <v>43772</v>
      </c>
      <c r="S1135" s="210">
        <v>3.7759562841530054</v>
      </c>
      <c r="T1135" s="8">
        <v>1.0001048876745597</v>
      </c>
      <c r="U1135" s="98">
        <v>3.4791568215547297</v>
      </c>
      <c r="V1135" s="106">
        <v>28527.207031630584</v>
      </c>
      <c r="W1135" s="10">
        <v>0.67386724290876554</v>
      </c>
      <c r="X1135" s="420"/>
      <c r="Y1135" s="420"/>
      <c r="Z1135" s="1"/>
      <c r="AA1135" s="1"/>
      <c r="AB1135" s="1"/>
      <c r="AC1135" s="1"/>
      <c r="AD1135" s="1"/>
      <c r="AL1135" s="23"/>
      <c r="AM1135" s="23"/>
    </row>
    <row r="1136" spans="17:39">
      <c r="Q1136" s="6">
        <v>1106</v>
      </c>
      <c r="R1136" s="7">
        <v>43773</v>
      </c>
      <c r="S1136" s="210">
        <v>3.7773224043715845</v>
      </c>
      <c r="T1136" s="8">
        <v>1.0001049256223438</v>
      </c>
      <c r="U1136" s="98">
        <v>3.4795400338388127</v>
      </c>
      <c r="V1136" s="106">
        <v>28529.428330394603</v>
      </c>
      <c r="W1136" s="10">
        <v>0.6741548647290152</v>
      </c>
      <c r="X1136" s="420"/>
      <c r="Y1136" s="420"/>
      <c r="Z1136" s="1"/>
      <c r="AA1136" s="1"/>
      <c r="AB1136" s="1"/>
      <c r="AC1136" s="1"/>
      <c r="AD1136" s="1"/>
      <c r="AL1136" s="23"/>
      <c r="AM1136" s="23"/>
    </row>
    <row r="1137" spans="17:39">
      <c r="Q1137" s="6">
        <v>1107</v>
      </c>
      <c r="R1137" s="7">
        <v>43774</v>
      </c>
      <c r="S1137" s="210">
        <v>3.778688524590164</v>
      </c>
      <c r="T1137" s="8">
        <v>1.0001049635701276</v>
      </c>
      <c r="U1137" s="98">
        <v>3.479923849814015</v>
      </c>
      <c r="V1137" s="106">
        <v>28531.649802122211</v>
      </c>
      <c r="W1137" s="10">
        <v>0.67444322724752315</v>
      </c>
      <c r="X1137" s="420"/>
      <c r="Y1137" s="420"/>
      <c r="Z1137" s="1"/>
      <c r="AA1137" s="1"/>
      <c r="AB1137" s="1"/>
      <c r="AC1137" s="1"/>
      <c r="AD1137" s="1"/>
      <c r="AL1137" s="23"/>
      <c r="AM1137" s="23"/>
    </row>
    <row r="1138" spans="17:39">
      <c r="Q1138" s="6">
        <v>1108</v>
      </c>
      <c r="R1138" s="7">
        <v>43775</v>
      </c>
      <c r="S1138" s="210">
        <v>3.7800546448087431</v>
      </c>
      <c r="T1138" s="8">
        <v>1.0001050015179114</v>
      </c>
      <c r="U1138" s="98">
        <v>3.4803082678563024</v>
      </c>
      <c r="V1138" s="106">
        <v>28533.871446826877</v>
      </c>
      <c r="W1138" s="10">
        <v>0.67473232846737563</v>
      </c>
      <c r="X1138" s="420"/>
      <c r="Y1138" s="420"/>
      <c r="Z1138" s="1"/>
      <c r="AA1138" s="1"/>
      <c r="AB1138" s="1"/>
      <c r="AC1138" s="1"/>
      <c r="AD1138" s="1"/>
      <c r="AL1138" s="23"/>
      <c r="AM1138" s="23"/>
    </row>
    <row r="1139" spans="17:39">
      <c r="Q1139" s="6">
        <v>1109</v>
      </c>
      <c r="R1139" s="7">
        <v>43776</v>
      </c>
      <c r="S1139" s="210">
        <v>3.7814207650273226</v>
      </c>
      <c r="T1139" s="8">
        <v>1.0001050394656952</v>
      </c>
      <c r="U1139" s="98">
        <v>3.4806932863475026</v>
      </c>
      <c r="V1139" s="106">
        <v>28536.093264522082</v>
      </c>
      <c r="W1139" s="10">
        <v>0.67502216639874213</v>
      </c>
      <c r="X1139" s="420"/>
      <c r="Y1139" s="420"/>
      <c r="Z1139" s="1"/>
      <c r="AA1139" s="1"/>
      <c r="AB1139" s="1"/>
      <c r="AC1139" s="1"/>
      <c r="AD1139" s="1"/>
      <c r="AL1139" s="23"/>
      <c r="AM1139" s="23"/>
    </row>
    <row r="1140" spans="17:39">
      <c r="Q1140" s="6">
        <v>1110</v>
      </c>
      <c r="R1140" s="7">
        <v>43777</v>
      </c>
      <c r="S1140" s="210">
        <v>3.7827868852459017</v>
      </c>
      <c r="T1140" s="8">
        <v>1.000105077413479</v>
      </c>
      <c r="U1140" s="98">
        <v>3.4810789036752832</v>
      </c>
      <c r="V1140" s="106">
        <v>28538.315255221278</v>
      </c>
      <c r="W1140" s="10">
        <v>0.6753127390591418</v>
      </c>
      <c r="X1140" s="420"/>
      <c r="Y1140" s="420"/>
      <c r="Z1140" s="1"/>
      <c r="AA1140" s="1"/>
      <c r="AB1140" s="1"/>
      <c r="AC1140" s="1"/>
      <c r="AD1140" s="1"/>
      <c r="AL1140" s="23"/>
      <c r="AM1140" s="23"/>
    </row>
    <row r="1141" spans="17:39">
      <c r="Q1141" s="6">
        <v>1111</v>
      </c>
      <c r="R1141" s="7">
        <v>43778</v>
      </c>
      <c r="S1141" s="210">
        <v>3.7841530054644807</v>
      </c>
      <c r="T1141" s="8">
        <v>1.000105115361263</v>
      </c>
      <c r="U1141" s="98">
        <v>3.4814651182331069</v>
      </c>
      <c r="V1141" s="106">
        <v>28540.537418937947</v>
      </c>
      <c r="W1141" s="10">
        <v>0.67560404447315481</v>
      </c>
      <c r="X1141" s="420"/>
      <c r="Y1141" s="420"/>
      <c r="Z1141" s="1"/>
      <c r="AA1141" s="1"/>
      <c r="AB1141" s="1"/>
      <c r="AC1141" s="1"/>
      <c r="AD1141" s="1"/>
      <c r="AL1141" s="23"/>
      <c r="AM1141" s="23"/>
    </row>
    <row r="1142" spans="17:39">
      <c r="Q1142" s="6">
        <v>1112</v>
      </c>
      <c r="R1142" s="7">
        <v>43779</v>
      </c>
      <c r="S1142" s="210">
        <v>3.7855191256830603</v>
      </c>
      <c r="T1142" s="8">
        <v>1.0001051533090468</v>
      </c>
      <c r="U1142" s="98">
        <v>3.4818519284202543</v>
      </c>
      <c r="V1142" s="106">
        <v>28542.833836557282</v>
      </c>
      <c r="W1142" s="10">
        <v>0.67581031313228568</v>
      </c>
      <c r="X1142" s="420"/>
      <c r="Y1142" s="420"/>
      <c r="Z1142" s="1"/>
      <c r="AA1142" s="1"/>
      <c r="AB1142" s="1"/>
      <c r="AC1142" s="1"/>
      <c r="AD1142" s="1"/>
      <c r="AL1142" s="23"/>
      <c r="AM1142" s="23"/>
    </row>
    <row r="1143" spans="17:39">
      <c r="Q1143" s="6">
        <v>1113</v>
      </c>
      <c r="R1143" s="7">
        <v>43780</v>
      </c>
      <c r="S1143" s="210">
        <v>3.7868852459016393</v>
      </c>
      <c r="T1143" s="8">
        <v>1.0001051912568306</v>
      </c>
      <c r="U1143" s="98">
        <v>3.4822393326417345</v>
      </c>
      <c r="V1143" s="106">
        <v>28545.130438950073</v>
      </c>
      <c r="W1143" s="10">
        <v>0.67601746430960841</v>
      </c>
      <c r="X1143" s="420"/>
      <c r="Y1143" s="420"/>
      <c r="Z1143" s="1"/>
      <c r="AA1143" s="1"/>
      <c r="AB1143" s="1"/>
      <c r="AC1143" s="1"/>
      <c r="AD1143" s="1"/>
      <c r="AL1143" s="23"/>
      <c r="AM1143" s="23"/>
    </row>
    <row r="1144" spans="17:39">
      <c r="Q1144" s="6">
        <v>1114</v>
      </c>
      <c r="R1144" s="7">
        <v>43781</v>
      </c>
      <c r="S1144" s="210">
        <v>3.7882513661202184</v>
      </c>
      <c r="T1144" s="8">
        <v>1.0001052292046144</v>
      </c>
      <c r="U1144" s="98">
        <v>3.4826273293083077</v>
      </c>
      <c r="V1144" s="106">
        <v>28547.427226131196</v>
      </c>
      <c r="W1144" s="10">
        <v>0.67622549563499668</v>
      </c>
      <c r="X1144" s="420"/>
      <c r="Y1144" s="420"/>
      <c r="Z1144" s="1"/>
      <c r="AA1144" s="1"/>
      <c r="AB1144" s="1"/>
      <c r="AC1144" s="1"/>
      <c r="AD1144" s="1"/>
      <c r="AL1144" s="23"/>
      <c r="AM1144" s="23"/>
    </row>
    <row r="1145" spans="17:39">
      <c r="Q1145" s="6">
        <v>1115</v>
      </c>
      <c r="R1145" s="7">
        <v>43782</v>
      </c>
      <c r="S1145" s="210">
        <v>3.7896174863387979</v>
      </c>
      <c r="T1145" s="8">
        <v>1.0001052671523982</v>
      </c>
      <c r="U1145" s="98">
        <v>3.4830159168364627</v>
      </c>
      <c r="V1145" s="106">
        <v>28549.724198115517</v>
      </c>
      <c r="W1145" s="10">
        <v>0.67643440474687289</v>
      </c>
      <c r="X1145" s="420"/>
      <c r="Y1145" s="420"/>
      <c r="Z1145" s="1"/>
      <c r="AA1145" s="1"/>
      <c r="AB1145" s="1"/>
      <c r="AC1145" s="1"/>
      <c r="AD1145" s="1"/>
      <c r="AL1145" s="23"/>
      <c r="AM1145" s="23"/>
    </row>
    <row r="1146" spans="17:39">
      <c r="Q1146" s="6">
        <v>1116</v>
      </c>
      <c r="R1146" s="7">
        <v>43783</v>
      </c>
      <c r="S1146" s="210">
        <v>3.790983606557377</v>
      </c>
      <c r="T1146" s="8">
        <v>1.0001053051001823</v>
      </c>
      <c r="U1146" s="98">
        <v>3.4834050936483729</v>
      </c>
      <c r="V1146" s="106">
        <v>28552.021354917899</v>
      </c>
      <c r="W1146" s="10">
        <v>0.67664418929223036</v>
      </c>
      <c r="X1146" s="420"/>
      <c r="Y1146" s="420"/>
      <c r="Z1146" s="1"/>
      <c r="AA1146" s="1"/>
      <c r="AB1146" s="1"/>
      <c r="AC1146" s="1"/>
      <c r="AD1146" s="1"/>
      <c r="AL1146" s="23"/>
      <c r="AM1146" s="23"/>
    </row>
    <row r="1147" spans="17:39">
      <c r="Q1147" s="6">
        <v>1117</v>
      </c>
      <c r="R1147" s="7">
        <v>43784</v>
      </c>
      <c r="S1147" s="210">
        <v>3.7923497267759565</v>
      </c>
      <c r="T1147" s="8">
        <v>1.0001053430479661</v>
      </c>
      <c r="U1147" s="98">
        <v>3.4837948581718736</v>
      </c>
      <c r="V1147" s="106">
        <v>28554.318696553226</v>
      </c>
      <c r="W1147" s="10">
        <v>0.67685484692638909</v>
      </c>
      <c r="X1147" s="420"/>
      <c r="Y1147" s="420"/>
      <c r="Z1147" s="1"/>
      <c r="AA1147" s="1"/>
      <c r="AB1147" s="1"/>
      <c r="AC1147" s="1"/>
      <c r="AD1147" s="1"/>
      <c r="AL1147" s="23"/>
      <c r="AM1147" s="23"/>
    </row>
    <row r="1148" spans="17:39">
      <c r="Q1148" s="6">
        <v>1118</v>
      </c>
      <c r="R1148" s="7">
        <v>43785</v>
      </c>
      <c r="S1148" s="210">
        <v>3.7937158469945356</v>
      </c>
      <c r="T1148" s="8">
        <v>1.0001053809957499</v>
      </c>
      <c r="U1148" s="98">
        <v>3.4841852088403957</v>
      </c>
      <c r="V1148" s="106">
        <v>28556.616223036355</v>
      </c>
      <c r="W1148" s="10">
        <v>0.67706637531315117</v>
      </c>
      <c r="X1148" s="420"/>
      <c r="Y1148" s="420"/>
      <c r="Z1148" s="1"/>
      <c r="AA1148" s="1"/>
      <c r="AB1148" s="1"/>
      <c r="AC1148" s="1"/>
      <c r="AD1148" s="1"/>
      <c r="AL1148" s="23"/>
      <c r="AM1148" s="23"/>
    </row>
    <row r="1149" spans="17:39">
      <c r="Q1149" s="6">
        <v>1119</v>
      </c>
      <c r="R1149" s="7">
        <v>43786</v>
      </c>
      <c r="S1149" s="210">
        <v>3.7950819672131146</v>
      </c>
      <c r="T1149" s="8">
        <v>1.0001054189435337</v>
      </c>
      <c r="U1149" s="98">
        <v>3.4845761440930101</v>
      </c>
      <c r="V1149" s="106">
        <v>28558.913934382166</v>
      </c>
      <c r="W1149" s="10">
        <v>0.67727877212464538</v>
      </c>
      <c r="X1149" s="420"/>
      <c r="Y1149" s="420"/>
      <c r="Z1149" s="1"/>
      <c r="AA1149" s="1"/>
      <c r="AB1149" s="1"/>
      <c r="AC1149" s="1"/>
      <c r="AD1149" s="1"/>
      <c r="AL1149" s="23"/>
      <c r="AM1149" s="23"/>
    </row>
    <row r="1150" spans="17:39">
      <c r="Q1150" s="6">
        <v>1120</v>
      </c>
      <c r="R1150" s="7">
        <v>43787</v>
      </c>
      <c r="S1150" s="210">
        <v>3.7964480874316942</v>
      </c>
      <c r="T1150" s="8">
        <v>1.0001054568913175</v>
      </c>
      <c r="U1150" s="98">
        <v>3.484967662374383</v>
      </c>
      <c r="V1150" s="106">
        <v>28561.211830605534</v>
      </c>
      <c r="W1150" s="10">
        <v>0.67749203504141597</v>
      </c>
      <c r="X1150" s="420"/>
      <c r="Y1150" s="420"/>
      <c r="Z1150" s="1"/>
      <c r="AA1150" s="1"/>
      <c r="AB1150" s="1"/>
      <c r="AC1150" s="1"/>
      <c r="AD1150" s="1"/>
      <c r="AL1150" s="23"/>
      <c r="AM1150" s="23"/>
    </row>
    <row r="1151" spans="17:39">
      <c r="Q1151" s="6">
        <v>1121</v>
      </c>
      <c r="R1151" s="7">
        <v>43788</v>
      </c>
      <c r="S1151" s="210">
        <v>3.7978142076502732</v>
      </c>
      <c r="T1151" s="8">
        <v>1.0001054948391015</v>
      </c>
      <c r="U1151" s="98">
        <v>3.4853597621347321</v>
      </c>
      <c r="V1151" s="106">
        <v>28563.509911721343</v>
      </c>
      <c r="W1151" s="10">
        <v>0.67770616175222287</v>
      </c>
      <c r="X1151" s="420"/>
      <c r="Y1151" s="420"/>
      <c r="Z1151" s="1"/>
      <c r="AA1151" s="1"/>
      <c r="AB1151" s="1"/>
      <c r="AC1151" s="1"/>
      <c r="AD1151" s="1"/>
      <c r="AL1151" s="23"/>
      <c r="AM1151" s="23"/>
    </row>
    <row r="1152" spans="17:39">
      <c r="Q1152" s="6">
        <v>1122</v>
      </c>
      <c r="R1152" s="7">
        <v>43789</v>
      </c>
      <c r="S1152" s="210">
        <v>3.7991803278688523</v>
      </c>
      <c r="T1152" s="8">
        <v>1.0001055327868853</v>
      </c>
      <c r="U1152" s="98">
        <v>3.4857524418297814</v>
      </c>
      <c r="V1152" s="106">
        <v>28565.808177744453</v>
      </c>
      <c r="W1152" s="10">
        <v>0.67792114995413044</v>
      </c>
      <c r="X1152" s="420"/>
      <c r="Y1152" s="420"/>
      <c r="Z1152" s="1"/>
      <c r="AA1152" s="1"/>
      <c r="AB1152" s="1"/>
      <c r="AC1152" s="1"/>
      <c r="AD1152" s="1"/>
      <c r="AL1152" s="23"/>
      <c r="AM1152" s="23"/>
    </row>
    <row r="1153" spans="17:39">
      <c r="Q1153" s="6">
        <v>1123</v>
      </c>
      <c r="R1153" s="7">
        <v>43790</v>
      </c>
      <c r="S1153" s="210">
        <v>3.8005464480874318</v>
      </c>
      <c r="T1153" s="8">
        <v>1.0001055707346691</v>
      </c>
      <c r="U1153" s="98">
        <v>3.4861456999208285</v>
      </c>
      <c r="V1153" s="106">
        <v>28568.106628689748</v>
      </c>
      <c r="W1153" s="10">
        <v>0.67813699735246313</v>
      </c>
      <c r="X1153" s="420"/>
      <c r="Y1153" s="420"/>
      <c r="Z1153" s="1"/>
      <c r="AA1153" s="1"/>
      <c r="AB1153" s="1"/>
      <c r="AC1153" s="1"/>
      <c r="AD1153" s="1"/>
      <c r="AL1153" s="23"/>
      <c r="AM1153" s="23"/>
    </row>
    <row r="1154" spans="17:39">
      <c r="Q1154" s="6">
        <v>1124</v>
      </c>
      <c r="R1154" s="7">
        <v>43791</v>
      </c>
      <c r="S1154" s="210">
        <v>3.8019125683060109</v>
      </c>
      <c r="T1154" s="8">
        <v>1.0001056086824529</v>
      </c>
      <c r="U1154" s="98">
        <v>3.4865395348745665</v>
      </c>
      <c r="V1154" s="106">
        <v>28570.405264572109</v>
      </c>
      <c r="W1154" s="10">
        <v>0.6783537016606056</v>
      </c>
      <c r="X1154" s="420"/>
      <c r="Y1154" s="420"/>
      <c r="Z1154" s="1"/>
      <c r="AA1154" s="1"/>
      <c r="AB1154" s="1"/>
      <c r="AC1154" s="1"/>
      <c r="AD1154" s="1"/>
      <c r="AL1154" s="23"/>
      <c r="AM1154" s="23"/>
    </row>
    <row r="1155" spans="17:39">
      <c r="Q1155" s="6">
        <v>1125</v>
      </c>
      <c r="R1155" s="7">
        <v>43792</v>
      </c>
      <c r="S1155" s="210">
        <v>3.8032786885245899</v>
      </c>
      <c r="T1155" s="8">
        <v>1.0001056466302367</v>
      </c>
      <c r="U1155" s="98">
        <v>3.4869339451632397</v>
      </c>
      <c r="V1155" s="106">
        <v>28572.704085406418</v>
      </c>
      <c r="W1155" s="10">
        <v>0.67857126060022477</v>
      </c>
      <c r="X1155" s="420"/>
      <c r="Y1155" s="420"/>
      <c r="Z1155" s="1"/>
      <c r="AA1155" s="1"/>
      <c r="AB1155" s="1"/>
      <c r="AC1155" s="1"/>
      <c r="AD1155" s="1"/>
      <c r="AL1155" s="23"/>
      <c r="AM1155" s="23"/>
    </row>
    <row r="1156" spans="17:39">
      <c r="Q1156" s="6">
        <v>1126</v>
      </c>
      <c r="R1156" s="7">
        <v>43793</v>
      </c>
      <c r="S1156" s="210">
        <v>3.8046448087431695</v>
      </c>
      <c r="T1156" s="8">
        <v>1.0001056845780207</v>
      </c>
      <c r="U1156" s="98">
        <v>3.4873289292644882</v>
      </c>
      <c r="V1156" s="106">
        <v>28575.003091207556</v>
      </c>
      <c r="W1156" s="10">
        <v>0.67878967190106998</v>
      </c>
      <c r="X1156" s="420"/>
      <c r="Y1156" s="420"/>
      <c r="Z1156" s="1"/>
      <c r="AA1156" s="1"/>
      <c r="AB1156" s="1"/>
      <c r="AC1156" s="1"/>
      <c r="AD1156" s="1"/>
      <c r="AL1156" s="23"/>
      <c r="AM1156" s="23"/>
    </row>
    <row r="1157" spans="17:39">
      <c r="Q1157" s="6">
        <v>1127</v>
      </c>
      <c r="R1157" s="7">
        <v>43794</v>
      </c>
      <c r="S1157" s="210">
        <v>3.8060109289617485</v>
      </c>
      <c r="T1157" s="8">
        <v>1.0001057225258045</v>
      </c>
      <c r="U1157" s="98">
        <v>3.4877244856613476</v>
      </c>
      <c r="V1157" s="106">
        <v>28577.302281990404</v>
      </c>
      <c r="W1157" s="10">
        <v>0.6790089333009286</v>
      </c>
      <c r="X1157" s="420"/>
      <c r="Y1157" s="420"/>
      <c r="Z1157" s="1"/>
      <c r="AA1157" s="1"/>
      <c r="AB1157" s="1"/>
      <c r="AC1157" s="1"/>
      <c r="AD1157" s="1"/>
      <c r="AL1157" s="23"/>
      <c r="AM1157" s="23"/>
    </row>
    <row r="1158" spans="17:39">
      <c r="Q1158" s="6">
        <v>1128</v>
      </c>
      <c r="R1158" s="7">
        <v>43795</v>
      </c>
      <c r="S1158" s="210">
        <v>3.807377049180328</v>
      </c>
      <c r="T1158" s="8">
        <v>1.0001057604735883</v>
      </c>
      <c r="U1158" s="98">
        <v>3.4881206128422715</v>
      </c>
      <c r="V1158" s="106">
        <v>28579.60165776985</v>
      </c>
      <c r="W1158" s="10">
        <v>0.6792290425456482</v>
      </c>
      <c r="X1158" s="420"/>
      <c r="Y1158" s="420"/>
      <c r="Z1158" s="1"/>
      <c r="AA1158" s="1"/>
      <c r="AB1158" s="1"/>
      <c r="AC1158" s="1"/>
      <c r="AD1158" s="1"/>
      <c r="AL1158" s="23"/>
      <c r="AM1158" s="23"/>
    </row>
    <row r="1159" spans="17:39">
      <c r="Q1159" s="6">
        <v>1129</v>
      </c>
      <c r="R1159" s="7">
        <v>43796</v>
      </c>
      <c r="S1159" s="210">
        <v>3.8087431693989071</v>
      </c>
      <c r="T1159" s="8">
        <v>1.0001057984213721</v>
      </c>
      <c r="U1159" s="98">
        <v>3.4885173093010646</v>
      </c>
      <c r="V1159" s="106">
        <v>28581.901218560772</v>
      </c>
      <c r="W1159" s="10">
        <v>0.67944999738915879</v>
      </c>
      <c r="X1159" s="420"/>
      <c r="Y1159" s="420"/>
      <c r="Z1159" s="1"/>
      <c r="AA1159" s="1"/>
      <c r="AB1159" s="1"/>
      <c r="AC1159" s="1"/>
      <c r="AD1159" s="1"/>
      <c r="AL1159" s="23"/>
      <c r="AM1159" s="23"/>
    </row>
    <row r="1160" spans="17:39">
      <c r="Q1160" s="6">
        <v>1130</v>
      </c>
      <c r="R1160" s="7">
        <v>43797</v>
      </c>
      <c r="S1160" s="210">
        <v>3.8101092896174862</v>
      </c>
      <c r="T1160" s="8">
        <v>1.000105836369156</v>
      </c>
      <c r="U1160" s="98">
        <v>3.488914573536861</v>
      </c>
      <c r="V1160" s="106">
        <v>28584.200964378062</v>
      </c>
      <c r="W1160" s="10">
        <v>0.67967179559320634</v>
      </c>
      <c r="X1160" s="420"/>
      <c r="Y1160" s="420"/>
      <c r="Z1160" s="1"/>
      <c r="AA1160" s="1"/>
      <c r="AB1160" s="1"/>
      <c r="AC1160" s="1"/>
      <c r="AD1160" s="1"/>
      <c r="AL1160" s="23"/>
      <c r="AM1160" s="23"/>
    </row>
    <row r="1161" spans="17:39">
      <c r="Q1161" s="6">
        <v>1131</v>
      </c>
      <c r="R1161" s="7">
        <v>43798</v>
      </c>
      <c r="S1161" s="210">
        <v>3.8114754098360657</v>
      </c>
      <c r="T1161" s="8">
        <v>1.00010587431694</v>
      </c>
      <c r="U1161" s="98">
        <v>3.4893124040541679</v>
      </c>
      <c r="V1161" s="106">
        <v>28586.500895236597</v>
      </c>
      <c r="W1161" s="10">
        <v>0.67989443492766366</v>
      </c>
      <c r="X1161" s="420"/>
      <c r="Y1161" s="420"/>
      <c r="Z1161" s="1"/>
      <c r="AA1161" s="1"/>
      <c r="AB1161" s="1"/>
      <c r="AC1161" s="1"/>
      <c r="AD1161" s="1"/>
      <c r="AL1161" s="23"/>
      <c r="AM1161" s="23"/>
    </row>
    <row r="1162" spans="17:39">
      <c r="Q1162" s="6">
        <v>1132</v>
      </c>
      <c r="R1162" s="7">
        <v>43799</v>
      </c>
      <c r="S1162" s="210">
        <v>3.8128415300546448</v>
      </c>
      <c r="T1162" s="8">
        <v>1.0001059122647238</v>
      </c>
      <c r="U1162" s="98">
        <v>3.4897107993627108</v>
      </c>
      <c r="V1162" s="106">
        <v>28588.801011151278</v>
      </c>
      <c r="W1162" s="10">
        <v>0.68011791317013071</v>
      </c>
      <c r="X1162" s="420"/>
      <c r="Y1162" s="420"/>
      <c r="Z1162" s="1"/>
      <c r="AA1162" s="1"/>
      <c r="AB1162" s="1"/>
      <c r="AC1162" s="1"/>
      <c r="AD1162" s="1"/>
      <c r="AL1162" s="23"/>
      <c r="AM1162" s="23"/>
    </row>
    <row r="1163" spans="17:39">
      <c r="Q1163" s="6">
        <v>1133</v>
      </c>
      <c r="R1163" s="7">
        <v>43800</v>
      </c>
      <c r="S1163" s="210">
        <v>3.8142076502732238</v>
      </c>
      <c r="T1163" s="8">
        <v>1.0001059502125076</v>
      </c>
      <c r="U1163" s="98">
        <v>3.4901097579775442</v>
      </c>
      <c r="V1163" s="106">
        <v>28591.101312136998</v>
      </c>
      <c r="W1163" s="10">
        <v>0.68034222810620104</v>
      </c>
      <c r="X1163" s="420"/>
      <c r="Y1163" s="420"/>
      <c r="Z1163" s="1"/>
      <c r="AA1163" s="1"/>
      <c r="AB1163" s="1"/>
      <c r="AC1163" s="1"/>
      <c r="AD1163" s="1"/>
    </row>
    <row r="1164" spans="17:39">
      <c r="Q1164" s="6">
        <v>1134</v>
      </c>
      <c r="R1164" s="7">
        <v>43801</v>
      </c>
      <c r="S1164" s="210">
        <v>3.8155737704918034</v>
      </c>
      <c r="T1164" s="8">
        <v>1.0001059881602914</v>
      </c>
      <c r="U1164" s="98">
        <v>3.4905092784189184</v>
      </c>
      <c r="V1164" s="106">
        <v>28593.401798208633</v>
      </c>
      <c r="W1164" s="10">
        <v>0.68056737752921759</v>
      </c>
      <c r="X1164" s="420"/>
      <c r="Y1164" s="420"/>
      <c r="Z1164" s="1"/>
      <c r="AA1164" s="1"/>
      <c r="AB1164" s="1"/>
      <c r="AC1164" s="1"/>
      <c r="AD1164" s="1"/>
    </row>
    <row r="1165" spans="17:39">
      <c r="Q1165" s="6">
        <v>1135</v>
      </c>
      <c r="R1165" s="7">
        <v>43802</v>
      </c>
      <c r="S1165" s="210">
        <v>3.8169398907103824</v>
      </c>
      <c r="T1165" s="8">
        <v>1.0001060261080752</v>
      </c>
      <c r="U1165" s="98">
        <v>3.4909093592123464</v>
      </c>
      <c r="V1165" s="106">
        <v>28595.702469381085</v>
      </c>
      <c r="W1165" s="10">
        <v>0.68079335924036144</v>
      </c>
      <c r="X1165" s="420"/>
      <c r="Y1165" s="420"/>
      <c r="Z1165" s="1"/>
      <c r="AA1165" s="1"/>
      <c r="AB1165" s="1"/>
      <c r="AC1165" s="1"/>
      <c r="AD1165" s="1"/>
    </row>
    <row r="1166" spans="17:39">
      <c r="Q1166" s="6">
        <v>1136</v>
      </c>
      <c r="R1166" s="7">
        <v>43803</v>
      </c>
      <c r="S1166" s="210">
        <v>3.8183060109289619</v>
      </c>
      <c r="T1166" s="8">
        <v>1.0001060640558592</v>
      </c>
      <c r="U1166" s="98">
        <v>3.4913099988885588</v>
      </c>
      <c r="V1166" s="106">
        <v>28598.003325669248</v>
      </c>
      <c r="W1166" s="10">
        <v>0.68102017104858525</v>
      </c>
      <c r="X1166" s="420"/>
      <c r="Y1166" s="420"/>
      <c r="Z1166" s="1"/>
      <c r="AA1166" s="1"/>
      <c r="AB1166" s="1"/>
      <c r="AC1166" s="1"/>
      <c r="AD1166" s="1"/>
    </row>
    <row r="1167" spans="17:39">
      <c r="Q1167" s="6">
        <v>1137</v>
      </c>
      <c r="R1167" s="7">
        <v>43804</v>
      </c>
      <c r="S1167" s="210">
        <v>3.819672131147541</v>
      </c>
      <c r="T1167" s="8">
        <v>1.000106102003643</v>
      </c>
      <c r="U1167" s="98">
        <v>3.4917111959833935</v>
      </c>
      <c r="V1167" s="106">
        <v>28600.304367088018</v>
      </c>
      <c r="W1167" s="10">
        <v>0.68124781077052443</v>
      </c>
      <c r="X1167" s="420"/>
      <c r="Y1167" s="420"/>
      <c r="Z1167" s="1"/>
      <c r="AA1167" s="1"/>
      <c r="AB1167" s="1"/>
      <c r="AC1167" s="1"/>
      <c r="AD1167" s="1"/>
    </row>
    <row r="1168" spans="17:39">
      <c r="Q1168" s="6">
        <v>1138</v>
      </c>
      <c r="R1168" s="7">
        <v>43805</v>
      </c>
      <c r="S1168" s="210">
        <v>3.8210382513661201</v>
      </c>
      <c r="T1168" s="8">
        <v>1.0001061399514268</v>
      </c>
      <c r="U1168" s="98">
        <v>3.4921129490379288</v>
      </c>
      <c r="V1168" s="106">
        <v>28602.605593652275</v>
      </c>
      <c r="W1168" s="10">
        <v>0.68147627623058593</v>
      </c>
      <c r="X1168" s="420"/>
      <c r="Y1168" s="420"/>
      <c r="Z1168" s="1"/>
      <c r="AA1168" s="1"/>
      <c r="AB1168" s="1"/>
      <c r="AC1168" s="1"/>
      <c r="AD1168" s="1"/>
    </row>
    <row r="1169" spans="17:30">
      <c r="Q1169" s="6">
        <v>1139</v>
      </c>
      <c r="R1169" s="7">
        <v>43806</v>
      </c>
      <c r="S1169" s="210">
        <v>3.8224043715846996</v>
      </c>
      <c r="T1169" s="8">
        <v>1.0001061778992106</v>
      </c>
      <c r="U1169" s="98">
        <v>3.4925152565983053</v>
      </c>
      <c r="V1169" s="106">
        <v>28604.907005376943</v>
      </c>
      <c r="W1169" s="10">
        <v>0.68170556526074844</v>
      </c>
      <c r="X1169" s="420"/>
      <c r="Y1169" s="420"/>
      <c r="Z1169" s="1"/>
      <c r="AA1169" s="1"/>
      <c r="AB1169" s="1"/>
      <c r="AC1169" s="1"/>
      <c r="AD1169" s="1"/>
    </row>
    <row r="1170" spans="17:30">
      <c r="Q1170" s="6">
        <v>1140</v>
      </c>
      <c r="R1170" s="7">
        <v>43807</v>
      </c>
      <c r="S1170" s="210">
        <v>3.8237704918032787</v>
      </c>
      <c r="T1170" s="8">
        <v>1.0001062158469944</v>
      </c>
      <c r="U1170" s="98">
        <v>3.492918117215793</v>
      </c>
      <c r="V1170" s="106">
        <v>28607.2086022769</v>
      </c>
      <c r="W1170" s="10">
        <v>0.68193567570065117</v>
      </c>
      <c r="X1170" s="420"/>
      <c r="Y1170" s="420"/>
      <c r="Z1170" s="1"/>
      <c r="AA1170" s="1"/>
      <c r="AB1170" s="1"/>
      <c r="AC1170" s="1"/>
      <c r="AD1170" s="1"/>
    </row>
    <row r="1171" spans="17:30">
      <c r="Q1171" s="6">
        <v>1141</v>
      </c>
      <c r="R1171" s="7">
        <v>43808</v>
      </c>
      <c r="S1171" s="210">
        <v>3.8251366120218577</v>
      </c>
      <c r="T1171" s="8">
        <v>1.0001062537947785</v>
      </c>
      <c r="U1171" s="98">
        <v>3.4933215294467912</v>
      </c>
      <c r="V1171" s="106">
        <v>28609.510384367048</v>
      </c>
      <c r="W1171" s="10">
        <v>0.68216660539757168</v>
      </c>
      <c r="X1171" s="420"/>
      <c r="Y1171" s="420"/>
      <c r="Z1171" s="1"/>
      <c r="AA1171" s="1"/>
      <c r="AB1171" s="1"/>
      <c r="AC1171" s="1"/>
      <c r="AD1171" s="1"/>
    </row>
    <row r="1172" spans="17:30">
      <c r="Q1172" s="6">
        <v>1142</v>
      </c>
      <c r="R1172" s="7">
        <v>43809</v>
      </c>
      <c r="S1172" s="210">
        <v>3.8265027322404372</v>
      </c>
      <c r="T1172" s="8">
        <v>1.0001062917425623</v>
      </c>
      <c r="U1172" s="98">
        <v>3.4937254918527172</v>
      </c>
      <c r="V1172" s="106">
        <v>28611.738091761799</v>
      </c>
      <c r="W1172" s="10">
        <v>0.68248187212278655</v>
      </c>
      <c r="X1172" s="420"/>
      <c r="Y1172" s="420"/>
      <c r="Z1172" s="1"/>
      <c r="AA1172" s="1"/>
      <c r="AB1172" s="1"/>
      <c r="AC1172" s="1"/>
      <c r="AD1172" s="1"/>
    </row>
    <row r="1173" spans="17:30">
      <c r="Q1173" s="6">
        <v>1143</v>
      </c>
      <c r="R1173" s="7">
        <v>43810</v>
      </c>
      <c r="S1173" s="210">
        <v>3.8278688524590163</v>
      </c>
      <c r="T1173" s="8">
        <v>1.0001063296903461</v>
      </c>
      <c r="U1173" s="98">
        <v>3.4941300030000511</v>
      </c>
      <c r="V1173" s="106">
        <v>28613.96597261916</v>
      </c>
      <c r="W1173" s="10">
        <v>0.68279780813516044</v>
      </c>
      <c r="X1173" s="420"/>
      <c r="Y1173" s="420"/>
      <c r="Z1173" s="1"/>
      <c r="AA1173" s="1"/>
      <c r="AB1173" s="1"/>
      <c r="AC1173" s="1"/>
      <c r="AD1173" s="1"/>
    </row>
    <row r="1174" spans="17:30">
      <c r="Q1174" s="6">
        <v>1144</v>
      </c>
      <c r="R1174" s="7">
        <v>43811</v>
      </c>
      <c r="S1174" s="210">
        <v>3.8292349726775958</v>
      </c>
      <c r="T1174" s="8">
        <v>1.0001063676381299</v>
      </c>
      <c r="U1174" s="98">
        <v>3.494535061460291</v>
      </c>
      <c r="V1174" s="106">
        <v>28616.194026952628</v>
      </c>
      <c r="W1174" s="10">
        <v>0.68311441168840137</v>
      </c>
      <c r="X1174" s="420"/>
      <c r="Y1174" s="420"/>
      <c r="Z1174" s="1"/>
      <c r="AA1174" s="1"/>
      <c r="AB1174" s="1"/>
      <c r="AC1174" s="1"/>
      <c r="AD1174" s="1"/>
    </row>
    <row r="1175" spans="17:30">
      <c r="Q1175" s="6">
        <v>1145</v>
      </c>
      <c r="R1175" s="7">
        <v>43812</v>
      </c>
      <c r="S1175" s="210">
        <v>3.8306010928961749</v>
      </c>
      <c r="T1175" s="8">
        <v>1.0001064055859137</v>
      </c>
      <c r="U1175" s="98">
        <v>3.4949406658099091</v>
      </c>
      <c r="V1175" s="106">
        <v>28618.422254775716</v>
      </c>
      <c r="W1175" s="10">
        <v>0.68343168104230134</v>
      </c>
      <c r="X1175" s="420"/>
      <c r="Y1175" s="420"/>
      <c r="Z1175" s="1"/>
      <c r="AA1175" s="1"/>
      <c r="AB1175" s="1"/>
      <c r="AC1175" s="1"/>
      <c r="AD1175" s="1"/>
    </row>
    <row r="1176" spans="17:30">
      <c r="Q1176" s="6">
        <v>1146</v>
      </c>
      <c r="R1176" s="7">
        <v>43813</v>
      </c>
      <c r="S1176" s="210">
        <v>3.831967213114754</v>
      </c>
      <c r="T1176" s="8">
        <v>1.0001064435336977</v>
      </c>
      <c r="U1176" s="98">
        <v>3.4953468146304179</v>
      </c>
      <c r="V1176" s="106">
        <v>28620.650656101945</v>
      </c>
      <c r="W1176" s="10">
        <v>0.68374961446278082</v>
      </c>
      <c r="X1176" s="420"/>
      <c r="Y1176" s="420"/>
      <c r="Z1176" s="1"/>
      <c r="AA1176" s="1"/>
      <c r="AB1176" s="1"/>
      <c r="AC1176" s="1"/>
      <c r="AD1176" s="1"/>
    </row>
    <row r="1177" spans="17:30">
      <c r="Q1177" s="6">
        <v>1147</v>
      </c>
      <c r="R1177" s="7">
        <v>43814</v>
      </c>
      <c r="S1177" s="210">
        <v>3.8333333333333335</v>
      </c>
      <c r="T1177" s="8">
        <v>1.0001064814814815</v>
      </c>
      <c r="U1177" s="98">
        <v>3.4957535065082146</v>
      </c>
      <c r="V1177" s="106">
        <v>28622.879230944804</v>
      </c>
      <c r="W1177" s="10">
        <v>0.68406821022182207</v>
      </c>
      <c r="X1177" s="420"/>
      <c r="Y1177" s="420"/>
      <c r="Z1177" s="1"/>
      <c r="AA1177" s="1"/>
      <c r="AB1177" s="1"/>
      <c r="AC1177" s="1"/>
      <c r="AD1177" s="1"/>
    </row>
    <row r="1178" spans="17:30">
      <c r="Q1178" s="6">
        <v>1148</v>
      </c>
      <c r="R1178" s="7">
        <v>43815</v>
      </c>
      <c r="S1178" s="210">
        <v>3.8346994535519126</v>
      </c>
      <c r="T1178" s="8">
        <v>1.0001065194292653</v>
      </c>
      <c r="U1178" s="98">
        <v>3.4961607400346706</v>
      </c>
      <c r="V1178" s="106">
        <v>28625.107979317818</v>
      </c>
      <c r="W1178" s="10">
        <v>0.68438746659742478</v>
      </c>
      <c r="X1178" s="420"/>
      <c r="Y1178" s="420"/>
      <c r="Z1178" s="1"/>
      <c r="AA1178" s="1"/>
      <c r="AB1178" s="1"/>
      <c r="AC1178" s="1"/>
      <c r="AD1178" s="1"/>
    </row>
    <row r="1179" spans="17:30">
      <c r="Q1179" s="6">
        <v>1149</v>
      </c>
      <c r="R1179" s="7">
        <v>43816</v>
      </c>
      <c r="S1179" s="210">
        <v>3.8360655737704916</v>
      </c>
      <c r="T1179" s="8">
        <v>1.0001065573770491</v>
      </c>
      <c r="U1179" s="98">
        <v>3.4965685138060643</v>
      </c>
      <c r="V1179" s="106">
        <v>28627.336901234492</v>
      </c>
      <c r="W1179" s="10">
        <v>0.68470738187358382</v>
      </c>
      <c r="X1179" s="420"/>
      <c r="Y1179" s="420"/>
      <c r="Z1179" s="1"/>
      <c r="AA1179" s="1"/>
      <c r="AB1179" s="1"/>
      <c r="AC1179" s="1"/>
      <c r="AD1179" s="1"/>
    </row>
    <row r="1180" spans="17:30">
      <c r="Q1180" s="6">
        <v>1150</v>
      </c>
      <c r="R1180" s="7">
        <v>43817</v>
      </c>
      <c r="S1180" s="210">
        <v>3.8374316939890711</v>
      </c>
      <c r="T1180" s="8">
        <v>1.0001065953248329</v>
      </c>
      <c r="U1180" s="98">
        <v>3.496976826423559</v>
      </c>
      <c r="V1180" s="106">
        <v>28629.565996708341</v>
      </c>
      <c r="W1180" s="10">
        <v>0.6850279543403337</v>
      </c>
      <c r="X1180" s="420"/>
      <c r="Y1180" s="420"/>
      <c r="Z1180" s="1"/>
      <c r="AA1180" s="1"/>
      <c r="AB1180" s="1"/>
      <c r="AC1180" s="1"/>
      <c r="AD1180" s="1"/>
    </row>
    <row r="1181" spans="17:30">
      <c r="Q1181" s="6">
        <v>1151</v>
      </c>
      <c r="R1181" s="7">
        <v>43818</v>
      </c>
      <c r="S1181" s="210">
        <v>3.8387978142076502</v>
      </c>
      <c r="T1181" s="8">
        <v>1.000106633272617</v>
      </c>
      <c r="U1181" s="98">
        <v>3.4973856764932032</v>
      </c>
      <c r="V1181" s="106">
        <v>28631.795265752884</v>
      </c>
      <c r="W1181" s="10">
        <v>0.68534918229357089</v>
      </c>
      <c r="X1181" s="420"/>
      <c r="Y1181" s="420"/>
      <c r="Z1181" s="1"/>
      <c r="AA1181" s="1"/>
      <c r="AB1181" s="1"/>
      <c r="AC1181" s="1"/>
      <c r="AD1181" s="1"/>
    </row>
    <row r="1182" spans="17:30">
      <c r="Q1182" s="6">
        <v>1152</v>
      </c>
      <c r="R1182" s="7">
        <v>43819</v>
      </c>
      <c r="S1182" s="210">
        <v>3.8401639344262297</v>
      </c>
      <c r="T1182" s="8">
        <v>1.0001066712204008</v>
      </c>
      <c r="U1182" s="98">
        <v>3.4977950626258636</v>
      </c>
      <c r="V1182" s="106">
        <v>28634.024708381636</v>
      </c>
      <c r="W1182" s="10">
        <v>0.68567106403520928</v>
      </c>
      <c r="X1182" s="420"/>
      <c r="Y1182" s="420"/>
      <c r="Z1182" s="1"/>
      <c r="AA1182" s="1"/>
      <c r="AB1182" s="1"/>
      <c r="AC1182" s="1"/>
      <c r="AD1182" s="1"/>
    </row>
    <row r="1183" spans="17:30">
      <c r="Q1183" s="6">
        <v>1153</v>
      </c>
      <c r="R1183" s="7">
        <v>43820</v>
      </c>
      <c r="S1183" s="210">
        <v>3.8415300546448088</v>
      </c>
      <c r="T1183" s="8">
        <v>1.0001067091681846</v>
      </c>
      <c r="U1183" s="98">
        <v>3.4982049834372475</v>
      </c>
      <c r="V1183" s="106">
        <v>28636.2543246081</v>
      </c>
      <c r="W1183" s="10">
        <v>0.68599359787302472</v>
      </c>
      <c r="X1183" s="420"/>
      <c r="Y1183" s="420"/>
      <c r="Z1183" s="1"/>
      <c r="AA1183" s="1"/>
      <c r="AB1183" s="1"/>
      <c r="AC1183" s="1"/>
      <c r="AD1183" s="1"/>
    </row>
    <row r="1184" spans="17:30">
      <c r="Q1184" s="6">
        <v>1154</v>
      </c>
      <c r="R1184" s="7">
        <v>43821</v>
      </c>
      <c r="S1184" s="210">
        <v>3.8428961748633879</v>
      </c>
      <c r="T1184" s="8">
        <v>1.0001067471159684</v>
      </c>
      <c r="U1184" s="98">
        <v>3.4986154375478806</v>
      </c>
      <c r="V1184" s="106">
        <v>28638.484114445815</v>
      </c>
      <c r="W1184" s="10">
        <v>0.68631678212065506</v>
      </c>
      <c r="X1184" s="420"/>
      <c r="Y1184" s="420"/>
      <c r="Z1184" s="1"/>
      <c r="AA1184" s="1"/>
      <c r="AB1184" s="1"/>
      <c r="AC1184" s="1"/>
      <c r="AD1184" s="1"/>
    </row>
    <row r="1185" spans="17:30">
      <c r="Q1185" s="6">
        <v>1155</v>
      </c>
      <c r="R1185" s="7">
        <v>43822</v>
      </c>
      <c r="S1185" s="210">
        <v>3.8442622950819674</v>
      </c>
      <c r="T1185" s="8">
        <v>1.0001067850637522</v>
      </c>
      <c r="U1185" s="98">
        <v>3.4990264235830626</v>
      </c>
      <c r="V1185" s="106">
        <v>28640.71407790828</v>
      </c>
      <c r="W1185" s="10">
        <v>0.68664061509762231</v>
      </c>
      <c r="X1185" s="420"/>
      <c r="Y1185" s="420"/>
      <c r="Z1185" s="1"/>
      <c r="AA1185" s="1"/>
      <c r="AB1185" s="1"/>
      <c r="AC1185" s="1"/>
      <c r="AD1185" s="1"/>
    </row>
    <row r="1186" spans="17:30">
      <c r="Q1186" s="6">
        <v>1156</v>
      </c>
      <c r="R1186" s="7">
        <v>43823</v>
      </c>
      <c r="S1186" s="210">
        <v>3.8456284153005464</v>
      </c>
      <c r="T1186" s="8">
        <v>1.0001068230115362</v>
      </c>
      <c r="U1186" s="98">
        <v>3.499437940172867</v>
      </c>
      <c r="V1186" s="106">
        <v>28642.944215009025</v>
      </c>
      <c r="W1186" s="10">
        <v>0.68696509512926607</v>
      </c>
      <c r="X1186" s="420"/>
      <c r="Y1186" s="420"/>
      <c r="Z1186" s="1"/>
      <c r="AA1186" s="1"/>
      <c r="AB1186" s="1"/>
      <c r="AC1186" s="1"/>
      <c r="AD1186" s="1"/>
    </row>
    <row r="1187" spans="17:30">
      <c r="Q1187" s="6">
        <v>1157</v>
      </c>
      <c r="R1187" s="7">
        <v>43824</v>
      </c>
      <c r="S1187" s="210">
        <v>3.8469945355191255</v>
      </c>
      <c r="T1187" s="8">
        <v>1.00010686095932</v>
      </c>
      <c r="U1187" s="98">
        <v>3.4998499859521193</v>
      </c>
      <c r="V1187" s="106">
        <v>28645.174525761569</v>
      </c>
      <c r="W1187" s="10">
        <v>0.6872902205467657</v>
      </c>
      <c r="X1187" s="420"/>
      <c r="Y1187" s="420"/>
      <c r="Z1187" s="1"/>
      <c r="AA1187" s="1"/>
      <c r="AB1187" s="1"/>
      <c r="AC1187" s="1"/>
      <c r="AD1187" s="1"/>
    </row>
    <row r="1188" spans="17:30">
      <c r="Q1188" s="6">
        <v>1158</v>
      </c>
      <c r="R1188" s="7">
        <v>43825</v>
      </c>
      <c r="S1188" s="210">
        <v>3.848360655737705</v>
      </c>
      <c r="T1188" s="8">
        <v>1.0001068989071038</v>
      </c>
      <c r="U1188" s="98">
        <v>3.5002625595603298</v>
      </c>
      <c r="V1188" s="106">
        <v>28647.405010179427</v>
      </c>
      <c r="W1188" s="10">
        <v>0.6876159896869849</v>
      </c>
      <c r="X1188" s="420"/>
      <c r="Y1188" s="420"/>
      <c r="Z1188" s="1"/>
      <c r="AA1188" s="1"/>
      <c r="AB1188" s="1"/>
      <c r="AC1188" s="1"/>
      <c r="AD1188" s="1"/>
    </row>
    <row r="1189" spans="17:30">
      <c r="Q1189" s="6">
        <v>1159</v>
      </c>
      <c r="R1189" s="7">
        <v>43826</v>
      </c>
      <c r="S1189" s="210">
        <v>3.8497267759562841</v>
      </c>
      <c r="T1189" s="8">
        <v>1.0001069368548876</v>
      </c>
      <c r="U1189" s="98">
        <v>3.500675659641761</v>
      </c>
      <c r="V1189" s="106">
        <v>28649.635668276132</v>
      </c>
      <c r="W1189" s="10">
        <v>0.68794240089262715</v>
      </c>
      <c r="X1189" s="420"/>
      <c r="Y1189" s="420"/>
      <c r="Z1189" s="1"/>
      <c r="AA1189" s="1"/>
      <c r="AB1189" s="1"/>
      <c r="AC1189" s="1"/>
      <c r="AD1189" s="1"/>
    </row>
    <row r="1190" spans="17:30">
      <c r="Q1190" s="6">
        <v>1160</v>
      </c>
      <c r="R1190" s="7">
        <v>43827</v>
      </c>
      <c r="S1190" s="210">
        <v>3.8510928961748632</v>
      </c>
      <c r="T1190" s="8">
        <v>1.0001069748026716</v>
      </c>
      <c r="U1190" s="98">
        <v>3.5010892848453157</v>
      </c>
      <c r="V1190" s="106">
        <v>28651.866500065204</v>
      </c>
      <c r="W1190" s="10">
        <v>0.68826945251208027</v>
      </c>
      <c r="X1190" s="420"/>
      <c r="Y1190" s="420"/>
      <c r="Z1190" s="1"/>
      <c r="AA1190" s="1"/>
      <c r="AB1190" s="1"/>
      <c r="AC1190" s="1"/>
      <c r="AD1190" s="1"/>
    </row>
    <row r="1191" spans="17:30">
      <c r="Q1191" s="6">
        <v>1161</v>
      </c>
      <c r="R1191" s="7">
        <v>43828</v>
      </c>
      <c r="S1191" s="210">
        <v>3.8524590163934427</v>
      </c>
      <c r="T1191" s="8">
        <v>1.0001070127504554</v>
      </c>
      <c r="U1191" s="98">
        <v>3.5015034338245821</v>
      </c>
      <c r="V1191" s="106">
        <v>28654.097505560163</v>
      </c>
      <c r="W1191" s="10">
        <v>0.68859714289943863</v>
      </c>
      <c r="X1191" s="420"/>
      <c r="Y1191" s="420"/>
      <c r="Z1191" s="1"/>
      <c r="AA1191" s="1"/>
      <c r="AB1191" s="1"/>
      <c r="AC1191" s="1"/>
      <c r="AD1191" s="1"/>
    </row>
    <row r="1192" spans="17:30">
      <c r="Q1192" s="6">
        <v>1162</v>
      </c>
      <c r="R1192" s="7">
        <v>43829</v>
      </c>
      <c r="S1192" s="210">
        <v>3.8538251366120218</v>
      </c>
      <c r="T1192" s="8">
        <v>1.0001070506982392</v>
      </c>
      <c r="U1192" s="98">
        <v>3.5019181052378112</v>
      </c>
      <c r="V1192" s="106">
        <v>28656.328684774537</v>
      </c>
      <c r="W1192" s="10">
        <v>0.68892547041450314</v>
      </c>
      <c r="X1192" s="420"/>
      <c r="Y1192" s="420"/>
      <c r="Z1192" s="1"/>
      <c r="AA1192" s="1"/>
      <c r="AB1192" s="1"/>
      <c r="AC1192" s="1"/>
      <c r="AD1192" s="1"/>
    </row>
    <row r="1193" spans="17:30">
      <c r="Q1193" s="6">
        <v>1163</v>
      </c>
      <c r="R1193" s="7">
        <v>43830</v>
      </c>
      <c r="S1193" s="210">
        <v>3.8551912568306013</v>
      </c>
      <c r="T1193" s="8">
        <v>1.000107088646023</v>
      </c>
      <c r="U1193" s="98">
        <v>3.5023332977478283</v>
      </c>
      <c r="V1193" s="106">
        <v>28658.560037721858</v>
      </c>
      <c r="W1193" s="10">
        <v>0.68925443342267023</v>
      </c>
      <c r="X1193" s="420"/>
      <c r="Y1193" s="420"/>
      <c r="Z1193" s="1"/>
      <c r="AA1193" s="1"/>
      <c r="AB1193" s="1"/>
      <c r="AC1193" s="1"/>
      <c r="AD1193" s="1"/>
    </row>
    <row r="1194" spans="17:30">
      <c r="Q1194" s="6">
        <v>1164</v>
      </c>
      <c r="R1194" s="7">
        <v>43831</v>
      </c>
      <c r="S1194" s="210">
        <v>3.8565573770491803</v>
      </c>
      <c r="T1194" s="8">
        <v>1.0001071265938068</v>
      </c>
      <c r="U1194" s="98">
        <v>3.5027490100220993</v>
      </c>
      <c r="V1194" s="106">
        <v>28660.791564415649</v>
      </c>
      <c r="W1194" s="10">
        <v>0.68958403029502069</v>
      </c>
      <c r="X1194" s="420"/>
      <c r="Y1194" s="420"/>
      <c r="Z1194" s="1"/>
      <c r="AA1194" s="1"/>
      <c r="AB1194" s="1"/>
      <c r="AC1194" s="1"/>
      <c r="AD1194" s="1"/>
    </row>
    <row r="1195" spans="17:30">
      <c r="Q1195" s="6">
        <v>1165</v>
      </c>
      <c r="R1195" s="7">
        <v>43832</v>
      </c>
      <c r="S1195" s="210">
        <v>3.8579234972677594</v>
      </c>
      <c r="T1195" s="8">
        <v>1.0001071645415909</v>
      </c>
      <c r="U1195" s="98">
        <v>3.5031652407326863</v>
      </c>
      <c r="V1195" s="106">
        <v>28663.023264869436</v>
      </c>
      <c r="W1195" s="10">
        <v>0.68991425940827522</v>
      </c>
      <c r="X1195" s="420"/>
      <c r="Y1195" s="420"/>
      <c r="Z1195" s="1"/>
      <c r="AA1195" s="1"/>
      <c r="AB1195" s="1"/>
      <c r="AC1195" s="1"/>
      <c r="AD1195" s="1"/>
    </row>
    <row r="1196" spans="17:30">
      <c r="Q1196" s="6">
        <v>1166</v>
      </c>
      <c r="R1196" s="7">
        <v>43833</v>
      </c>
      <c r="S1196" s="210">
        <v>3.8592896174863389</v>
      </c>
      <c r="T1196" s="8">
        <v>1.0001072024893747</v>
      </c>
      <c r="U1196" s="98">
        <v>3.5035819885561592</v>
      </c>
      <c r="V1196" s="106">
        <v>28665.255139096756</v>
      </c>
      <c r="W1196" s="10">
        <v>0.69024511914459463</v>
      </c>
      <c r="X1196" s="420"/>
      <c r="Y1196" s="420"/>
      <c r="Z1196" s="1"/>
      <c r="AA1196" s="1"/>
      <c r="AB1196" s="1"/>
      <c r="AC1196" s="1"/>
      <c r="AD1196" s="1"/>
    </row>
    <row r="1197" spans="17:30">
      <c r="Q1197" s="6">
        <v>1167</v>
      </c>
      <c r="R1197" s="7">
        <v>43834</v>
      </c>
      <c r="S1197" s="210">
        <v>3.860655737704918</v>
      </c>
      <c r="T1197" s="8">
        <v>1.0001072404371585</v>
      </c>
      <c r="U1197" s="98">
        <v>3.5039992521736618</v>
      </c>
      <c r="V1197" s="106">
        <v>28667.487187111135</v>
      </c>
      <c r="W1197" s="10">
        <v>0.69057660789182407</v>
      </c>
      <c r="X1197" s="420"/>
      <c r="Y1197" s="420"/>
      <c r="Z1197" s="1"/>
      <c r="AA1197" s="1"/>
      <c r="AB1197" s="1"/>
      <c r="AC1197" s="1"/>
      <c r="AD1197" s="1"/>
    </row>
    <row r="1198" spans="17:30">
      <c r="Q1198" s="6">
        <v>1168</v>
      </c>
      <c r="R1198" s="7">
        <v>43835</v>
      </c>
      <c r="S1198" s="210">
        <v>3.8620218579234971</v>
      </c>
      <c r="T1198" s="8">
        <v>1.0001072783849423</v>
      </c>
      <c r="U1198" s="98">
        <v>3.5044170302708899</v>
      </c>
      <c r="V1198" s="106">
        <v>28669.719408926107</v>
      </c>
      <c r="W1198" s="10">
        <v>0.69090872404329318</v>
      </c>
      <c r="X1198" s="420"/>
      <c r="Y1198" s="420"/>
      <c r="Z1198" s="1"/>
      <c r="AA1198" s="1"/>
      <c r="AB1198" s="1"/>
      <c r="AC1198" s="1"/>
      <c r="AD1198" s="1"/>
    </row>
    <row r="1199" spans="17:30">
      <c r="Q1199" s="6">
        <v>1169</v>
      </c>
      <c r="R1199" s="7">
        <v>43836</v>
      </c>
      <c r="S1199" s="210">
        <v>3.8633879781420766</v>
      </c>
      <c r="T1199" s="8">
        <v>1.0001073163327261</v>
      </c>
      <c r="U1199" s="98">
        <v>3.5048353215379802</v>
      </c>
      <c r="V1199" s="106">
        <v>28671.951804555203</v>
      </c>
      <c r="W1199" s="10">
        <v>0.69124146599786052</v>
      </c>
      <c r="X1199" s="420"/>
      <c r="Y1199" s="420"/>
      <c r="Z1199" s="1"/>
      <c r="AA1199" s="1"/>
      <c r="AB1199" s="1"/>
      <c r="AC1199" s="1"/>
      <c r="AD1199" s="1"/>
    </row>
    <row r="1200" spans="17:30">
      <c r="Q1200" s="6">
        <v>1170</v>
      </c>
      <c r="R1200" s="7">
        <v>43837</v>
      </c>
      <c r="S1200" s="210">
        <v>3.8647540983606556</v>
      </c>
      <c r="T1200" s="8">
        <v>1.0001073542805101</v>
      </c>
      <c r="U1200" s="98">
        <v>3.5052541246696212</v>
      </c>
      <c r="V1200" s="106">
        <v>28674.184374011962</v>
      </c>
      <c r="W1200" s="10">
        <v>0.69157483215982474</v>
      </c>
      <c r="X1200" s="420"/>
      <c r="Y1200" s="420"/>
      <c r="Z1200" s="1"/>
      <c r="AA1200" s="1"/>
      <c r="AB1200" s="1"/>
      <c r="AC1200" s="1"/>
      <c r="AD1200" s="1"/>
    </row>
    <row r="1201" spans="17:30">
      <c r="Q1201" s="6">
        <v>1171</v>
      </c>
      <c r="R1201" s="7">
        <v>43838</v>
      </c>
      <c r="S1201" s="210">
        <v>3.8661202185792352</v>
      </c>
      <c r="T1201" s="8">
        <v>1.0001073922282939</v>
      </c>
      <c r="U1201" s="98">
        <v>3.5056734383649424</v>
      </c>
      <c r="V1201" s="106">
        <v>28676.417117309917</v>
      </c>
      <c r="W1201" s="10">
        <v>0.69190882093903561</v>
      </c>
      <c r="X1201" s="420"/>
      <c r="Y1201" s="420"/>
      <c r="Z1201" s="1"/>
      <c r="AA1201" s="1"/>
      <c r="AB1201" s="1"/>
      <c r="AC1201" s="1"/>
      <c r="AD1201" s="1"/>
    </row>
    <row r="1202" spans="17:30">
      <c r="Q1202" s="6">
        <v>1172</v>
      </c>
      <c r="R1202" s="7">
        <v>43839</v>
      </c>
      <c r="S1202" s="210">
        <v>3.8674863387978142</v>
      </c>
      <c r="T1202" s="8">
        <v>1.0001074301760777</v>
      </c>
      <c r="U1202" s="98">
        <v>3.506093261327492</v>
      </c>
      <c r="V1202" s="106">
        <v>28678.650034462604</v>
      </c>
      <c r="W1202" s="10">
        <v>0.69224343075064976</v>
      </c>
      <c r="X1202" s="420"/>
      <c r="Y1202" s="420"/>
      <c r="Z1202" s="1"/>
      <c r="AA1202" s="1"/>
      <c r="AB1202" s="1"/>
      <c r="AC1202" s="1"/>
      <c r="AD1202" s="1"/>
    </row>
    <row r="1203" spans="17:30">
      <c r="Q1203" s="6">
        <v>1173</v>
      </c>
      <c r="R1203" s="7">
        <v>43840</v>
      </c>
      <c r="S1203" s="210">
        <v>3.8688524590163933</v>
      </c>
      <c r="T1203" s="8">
        <v>1.0001074681238615</v>
      </c>
      <c r="U1203" s="98">
        <v>3.5065135922652813</v>
      </c>
      <c r="V1203" s="106">
        <v>28680.88312548356</v>
      </c>
      <c r="W1203" s="10">
        <v>0.69257866001539714</v>
      </c>
      <c r="X1203" s="420"/>
      <c r="Y1203" s="420"/>
      <c r="Z1203" s="1"/>
      <c r="AA1203" s="1"/>
      <c r="AB1203" s="1"/>
      <c r="AC1203" s="1"/>
      <c r="AD1203" s="1"/>
    </row>
    <row r="1204" spans="17:30">
      <c r="Q1204" s="6">
        <v>1174</v>
      </c>
      <c r="R1204" s="7">
        <v>43841</v>
      </c>
      <c r="S1204" s="210">
        <v>3.8702185792349728</v>
      </c>
      <c r="T1204" s="8">
        <v>1.0001075060716453</v>
      </c>
      <c r="U1204" s="98">
        <v>3.5069344298907401</v>
      </c>
      <c r="V1204" s="106">
        <v>28683.116390386323</v>
      </c>
      <c r="W1204" s="10">
        <v>0.69291450715924796</v>
      </c>
      <c r="X1204" s="420"/>
      <c r="Y1204" s="420"/>
      <c r="Z1204" s="1"/>
      <c r="AA1204" s="1"/>
      <c r="AB1204" s="1"/>
      <c r="AC1204" s="1"/>
      <c r="AD1204" s="1"/>
    </row>
    <row r="1205" spans="17:30">
      <c r="Q1205" s="6">
        <v>1175</v>
      </c>
      <c r="R1205" s="7">
        <v>43842</v>
      </c>
      <c r="S1205" s="210">
        <v>3.8715846994535519</v>
      </c>
      <c r="T1205" s="8">
        <v>1.0001075440194294</v>
      </c>
      <c r="U1205" s="98">
        <v>3.5073557729206506</v>
      </c>
      <c r="V1205" s="106">
        <v>28685.349829184433</v>
      </c>
      <c r="W1205" s="10">
        <v>0.69325097061365692</v>
      </c>
      <c r="X1205" s="420"/>
      <c r="Y1205" s="420"/>
      <c r="Z1205" s="1"/>
      <c r="AA1205" s="1"/>
      <c r="AB1205" s="1"/>
      <c r="AC1205" s="1"/>
      <c r="AD1205" s="1"/>
    </row>
    <row r="1206" spans="17:30">
      <c r="Q1206" s="6">
        <v>1176</v>
      </c>
      <c r="R1206" s="7">
        <v>43843</v>
      </c>
      <c r="S1206" s="210">
        <v>3.872950819672131</v>
      </c>
      <c r="T1206" s="8">
        <v>1.0001075819672132</v>
      </c>
      <c r="U1206" s="98">
        <v>3.5077776200761912</v>
      </c>
      <c r="V1206" s="106">
        <v>28687.583441891427</v>
      </c>
      <c r="W1206" s="10">
        <v>0.6935880488153856</v>
      </c>
      <c r="X1206" s="420"/>
      <c r="Y1206" s="420"/>
      <c r="Z1206" s="1"/>
      <c r="AA1206" s="1"/>
      <c r="AB1206" s="1"/>
      <c r="AC1206" s="1"/>
      <c r="AD1206" s="1"/>
    </row>
    <row r="1207" spans="17:30">
      <c r="Q1207" s="6">
        <v>1177</v>
      </c>
      <c r="R1207" s="7">
        <v>43844</v>
      </c>
      <c r="S1207" s="210">
        <v>3.8743169398907105</v>
      </c>
      <c r="T1207" s="8">
        <v>1.000107619914997</v>
      </c>
      <c r="U1207" s="98">
        <v>3.5081999700828925</v>
      </c>
      <c r="V1207" s="106">
        <v>28689.81722852086</v>
      </c>
      <c r="W1207" s="10">
        <v>0.69392574020648023</v>
      </c>
      <c r="X1207" s="420"/>
      <c r="Y1207" s="420"/>
      <c r="Z1207" s="1"/>
      <c r="AA1207" s="1"/>
      <c r="AB1207" s="1"/>
      <c r="AC1207" s="1"/>
      <c r="AD1207" s="1"/>
    </row>
    <row r="1208" spans="17:30">
      <c r="Q1208" s="6">
        <v>1178</v>
      </c>
      <c r="R1208" s="7">
        <v>43845</v>
      </c>
      <c r="S1208" s="210">
        <v>3.8756830601092895</v>
      </c>
      <c r="T1208" s="8">
        <v>1.0001076578627808</v>
      </c>
      <c r="U1208" s="98">
        <v>3.508622821670615</v>
      </c>
      <c r="V1208" s="106">
        <v>28692.051189086254</v>
      </c>
      <c r="W1208" s="10">
        <v>0.69426404323433832</v>
      </c>
      <c r="X1208" s="420"/>
      <c r="Y1208" s="420"/>
      <c r="Z1208" s="1"/>
      <c r="AA1208" s="1"/>
      <c r="AB1208" s="1"/>
      <c r="AC1208" s="1"/>
      <c r="AD1208" s="1"/>
    </row>
    <row r="1209" spans="17:30">
      <c r="Q1209" s="6">
        <v>1179</v>
      </c>
      <c r="R1209" s="7">
        <v>43846</v>
      </c>
      <c r="S1209" s="210">
        <v>3.877049180327869</v>
      </c>
      <c r="T1209" s="8">
        <v>1.0001076958105646</v>
      </c>
      <c r="U1209" s="98">
        <v>3.5090461735735268</v>
      </c>
      <c r="V1209" s="106">
        <v>28694.285323601169</v>
      </c>
      <c r="W1209" s="10">
        <v>0.69460295635161984</v>
      </c>
      <c r="X1209" s="420"/>
      <c r="Y1209" s="420"/>
      <c r="Z1209" s="1"/>
      <c r="AA1209" s="1"/>
      <c r="AB1209" s="1"/>
      <c r="AC1209" s="1"/>
      <c r="AD1209" s="1"/>
    </row>
    <row r="1210" spans="17:30">
      <c r="Q1210" s="6">
        <v>1180</v>
      </c>
      <c r="R1210" s="7">
        <v>43847</v>
      </c>
      <c r="S1210" s="210">
        <v>3.8784153005464481</v>
      </c>
      <c r="T1210" s="8">
        <v>1.0001077337583486</v>
      </c>
      <c r="U1210" s="98">
        <v>3.5094700245301258</v>
      </c>
      <c r="V1210" s="106">
        <v>28696.519632079144</v>
      </c>
      <c r="W1210" s="10">
        <v>0.6949424780162472</v>
      </c>
      <c r="X1210" s="420"/>
      <c r="Y1210" s="420"/>
      <c r="Z1210" s="1"/>
      <c r="AA1210" s="1"/>
      <c r="AB1210" s="1"/>
      <c r="AC1210" s="1"/>
      <c r="AD1210" s="1"/>
    </row>
    <row r="1211" spans="17:30">
      <c r="Q1211" s="6">
        <v>1181</v>
      </c>
      <c r="R1211" s="7">
        <v>43848</v>
      </c>
      <c r="S1211" s="210">
        <v>3.8797814207650272</v>
      </c>
      <c r="T1211" s="8">
        <v>1.0001077717061324</v>
      </c>
      <c r="U1211" s="98">
        <v>3.5098943732831511</v>
      </c>
      <c r="V1211" s="106">
        <v>28698.754114533724</v>
      </c>
      <c r="W1211" s="10">
        <v>0.69528260669138309</v>
      </c>
      <c r="X1211" s="420"/>
      <c r="Y1211" s="420"/>
      <c r="Z1211" s="1"/>
      <c r="AA1211" s="1"/>
      <c r="AB1211" s="1"/>
      <c r="AC1211" s="1"/>
      <c r="AD1211" s="1"/>
    </row>
    <row r="1212" spans="17:30">
      <c r="Q1212" s="6">
        <v>1182</v>
      </c>
      <c r="R1212" s="7">
        <v>43849</v>
      </c>
      <c r="S1212" s="210">
        <v>3.8811475409836067</v>
      </c>
      <c r="T1212" s="8">
        <v>1.0001078096539162</v>
      </c>
      <c r="U1212" s="98">
        <v>3.5103192185796495</v>
      </c>
      <c r="V1212" s="106">
        <v>28700.988770978456</v>
      </c>
      <c r="W1212" s="10">
        <v>0.69562334084536381</v>
      </c>
      <c r="X1212" s="420"/>
      <c r="Y1212" s="420"/>
      <c r="Z1212" s="1"/>
      <c r="AA1212" s="1"/>
      <c r="AB1212" s="1"/>
      <c r="AC1212" s="1"/>
      <c r="AD1212" s="1"/>
    </row>
    <row r="1213" spans="17:30">
      <c r="Q1213" s="6">
        <v>1183</v>
      </c>
      <c r="R1213" s="7">
        <v>43850</v>
      </c>
      <c r="S1213" s="210">
        <v>3.8825136612021858</v>
      </c>
      <c r="T1213" s="8">
        <v>1.0001078476017</v>
      </c>
      <c r="U1213" s="98">
        <v>3.5107445591708641</v>
      </c>
      <c r="V1213" s="106">
        <v>28703.223601426893</v>
      </c>
      <c r="W1213" s="10">
        <v>0.69596467895176595</v>
      </c>
      <c r="X1213" s="420"/>
      <c r="Y1213" s="420"/>
      <c r="Z1213" s="1"/>
      <c r="AA1213" s="1"/>
      <c r="AB1213" s="1"/>
      <c r="AC1213" s="1"/>
      <c r="AD1213" s="1"/>
    </row>
    <row r="1214" spans="17:30">
      <c r="Q1214" s="6">
        <v>1184</v>
      </c>
      <c r="R1214" s="7">
        <v>43851</v>
      </c>
      <c r="S1214" s="210">
        <v>3.8838797814207648</v>
      </c>
      <c r="T1214" s="8">
        <v>1.0001078855494838</v>
      </c>
      <c r="U1214" s="98">
        <v>3.5111703938122796</v>
      </c>
      <c r="V1214" s="106">
        <v>28705.458605892574</v>
      </c>
      <c r="W1214" s="10">
        <v>0.69630661948929529</v>
      </c>
      <c r="X1214" s="420"/>
      <c r="Y1214" s="420"/>
      <c r="Z1214" s="1"/>
      <c r="AA1214" s="1"/>
      <c r="AB1214" s="1"/>
      <c r="AC1214" s="1"/>
      <c r="AD1214" s="1"/>
    </row>
    <row r="1215" spans="17:30">
      <c r="Q1215" s="6">
        <v>1185</v>
      </c>
      <c r="R1215" s="7">
        <v>43852</v>
      </c>
      <c r="S1215" s="210">
        <v>3.8852459016393444</v>
      </c>
      <c r="T1215" s="8">
        <v>1.0001079234972678</v>
      </c>
      <c r="U1215" s="98">
        <v>3.511596721263599</v>
      </c>
      <c r="V1215" s="106">
        <v>28707.693784389063</v>
      </c>
      <c r="W1215" s="10">
        <v>0.69664916094183127</v>
      </c>
      <c r="X1215" s="420"/>
      <c r="Y1215" s="420"/>
      <c r="Z1215" s="1"/>
      <c r="AA1215" s="1"/>
      <c r="AB1215" s="1"/>
      <c r="AC1215" s="1"/>
      <c r="AD1215" s="1"/>
    </row>
    <row r="1216" spans="17:30">
      <c r="Q1216" s="6">
        <v>1186</v>
      </c>
      <c r="R1216" s="7">
        <v>43853</v>
      </c>
      <c r="S1216" s="210">
        <v>3.8866120218579234</v>
      </c>
      <c r="T1216" s="8">
        <v>1.0001079614450517</v>
      </c>
      <c r="U1216" s="98">
        <v>3.5120235402887223</v>
      </c>
      <c r="V1216" s="106">
        <v>28709.929136929895</v>
      </c>
      <c r="W1216" s="10">
        <v>0.69699230179836036</v>
      </c>
      <c r="X1216" s="420"/>
      <c r="Y1216" s="420"/>
      <c r="Z1216" s="1"/>
      <c r="AA1216" s="1"/>
      <c r="AB1216" s="1"/>
      <c r="AC1216" s="1"/>
      <c r="AD1216" s="1"/>
    </row>
    <row r="1217" spans="17:30">
      <c r="Q1217" s="6">
        <v>1187</v>
      </c>
      <c r="R1217" s="7">
        <v>43854</v>
      </c>
      <c r="S1217" s="210">
        <v>3.8879781420765029</v>
      </c>
      <c r="T1217" s="8">
        <v>1.0001079993928355</v>
      </c>
      <c r="U1217" s="98">
        <v>3.5124508496557016</v>
      </c>
      <c r="V1217" s="106">
        <v>28712.164663528631</v>
      </c>
      <c r="W1217" s="10">
        <v>0.69733604055297604</v>
      </c>
      <c r="X1217" s="420"/>
      <c r="Y1217" s="420"/>
      <c r="Z1217" s="1"/>
      <c r="AA1217" s="1"/>
      <c r="AB1217" s="1"/>
      <c r="AC1217" s="1"/>
      <c r="AD1217" s="1"/>
    </row>
    <row r="1218" spans="17:30">
      <c r="Q1218" s="6">
        <v>1188</v>
      </c>
      <c r="R1218" s="7">
        <v>43855</v>
      </c>
      <c r="S1218" s="210">
        <v>3.889344262295082</v>
      </c>
      <c r="T1218" s="8">
        <v>1.0001080373406193</v>
      </c>
      <c r="U1218" s="98">
        <v>3.5128786481367413</v>
      </c>
      <c r="V1218" s="106">
        <v>28714.400364198831</v>
      </c>
      <c r="W1218" s="10">
        <v>0.69768037570485664</v>
      </c>
      <c r="X1218" s="420"/>
      <c r="Y1218" s="420"/>
      <c r="Z1218" s="1"/>
      <c r="AA1218" s="1"/>
      <c r="AB1218" s="1"/>
      <c r="AC1218" s="1"/>
      <c r="AD1218" s="1"/>
    </row>
    <row r="1219" spans="17:30">
      <c r="Q1219" s="6">
        <v>1189</v>
      </c>
      <c r="R1219" s="7">
        <v>43856</v>
      </c>
      <c r="S1219" s="210">
        <v>3.8907103825136611</v>
      </c>
      <c r="T1219" s="8">
        <v>1.0001080752884031</v>
      </c>
      <c r="U1219" s="98">
        <v>3.513306934508198</v>
      </c>
      <c r="V1219" s="106">
        <v>28716.63623895403</v>
      </c>
      <c r="W1219" s="10">
        <v>0.69802530575822086</v>
      </c>
      <c r="X1219" s="420"/>
      <c r="Y1219" s="420"/>
      <c r="Z1219" s="1"/>
      <c r="AA1219" s="1"/>
      <c r="AB1219" s="1"/>
      <c r="AC1219" s="1"/>
      <c r="AD1219" s="1"/>
    </row>
    <row r="1220" spans="17:30">
      <c r="Q1220" s="6">
        <v>1190</v>
      </c>
      <c r="R1220" s="7">
        <v>43857</v>
      </c>
      <c r="S1220" s="210">
        <v>3.8920765027322406</v>
      </c>
      <c r="T1220" s="8">
        <v>1.0001081132361871</v>
      </c>
      <c r="U1220" s="98">
        <v>3.513735707550536</v>
      </c>
      <c r="V1220" s="106">
        <v>28718.872287807801</v>
      </c>
      <c r="W1220" s="10">
        <v>0.69837082922235005</v>
      </c>
      <c r="X1220" s="420"/>
      <c r="Y1220" s="420"/>
      <c r="Z1220" s="1"/>
      <c r="AA1220" s="1"/>
      <c r="AB1220" s="1"/>
      <c r="AC1220" s="1"/>
      <c r="AD1220" s="1"/>
    </row>
    <row r="1221" spans="17:30">
      <c r="Q1221" s="6">
        <v>1191</v>
      </c>
      <c r="R1221" s="7">
        <v>43858</v>
      </c>
      <c r="S1221" s="210">
        <v>3.8934426229508197</v>
      </c>
      <c r="T1221" s="8">
        <v>1.0001081511839709</v>
      </c>
      <c r="U1221" s="98">
        <v>3.5141649660483498</v>
      </c>
      <c r="V1221" s="106">
        <v>28721.108510773698</v>
      </c>
      <c r="W1221" s="10">
        <v>0.69871694461152156</v>
      </c>
      <c r="X1221" s="420"/>
      <c r="Y1221" s="420"/>
      <c r="Z1221" s="1"/>
      <c r="AA1221" s="1"/>
      <c r="AB1221" s="1"/>
      <c r="AC1221" s="1"/>
      <c r="AD1221" s="1"/>
    </row>
    <row r="1222" spans="17:30">
      <c r="Q1222" s="6">
        <v>1192</v>
      </c>
      <c r="R1222" s="7">
        <v>43859</v>
      </c>
      <c r="S1222" s="210">
        <v>3.8948087431693987</v>
      </c>
      <c r="T1222" s="8">
        <v>1.0001081891317547</v>
      </c>
      <c r="U1222" s="98">
        <v>3.5145947087902751</v>
      </c>
      <c r="V1222" s="106">
        <v>28723.34490786527</v>
      </c>
      <c r="W1222" s="10">
        <v>0.69906365044505314</v>
      </c>
      <c r="X1222" s="420"/>
      <c r="Y1222" s="420"/>
      <c r="Z1222" s="1"/>
      <c r="AA1222" s="1"/>
      <c r="AB1222" s="1"/>
      <c r="AC1222" s="1"/>
      <c r="AD1222" s="1"/>
    </row>
    <row r="1223" spans="17:30">
      <c r="Q1223" s="6">
        <v>1193</v>
      </c>
      <c r="R1223" s="7">
        <v>43860</v>
      </c>
      <c r="S1223" s="210">
        <v>3.8961748633879782</v>
      </c>
      <c r="T1223" s="8">
        <v>1.0001082270795385</v>
      </c>
      <c r="U1223" s="98">
        <v>3.5150249345690554</v>
      </c>
      <c r="V1223" s="106">
        <v>28725.581479096076</v>
      </c>
      <c r="W1223" s="10">
        <v>0.69941094524716974</v>
      </c>
      <c r="X1223" s="420"/>
      <c r="Y1223" s="420"/>
      <c r="Z1223" s="1"/>
      <c r="AA1223" s="1"/>
      <c r="AB1223" s="1"/>
      <c r="AC1223" s="1"/>
      <c r="AD1223" s="1"/>
    </row>
    <row r="1224" spans="17:30">
      <c r="Q1224" s="6">
        <v>1194</v>
      </c>
      <c r="R1224" s="7">
        <v>43861</v>
      </c>
      <c r="S1224" s="210">
        <v>3.8975409836065573</v>
      </c>
      <c r="T1224" s="8">
        <v>1.0001082650273223</v>
      </c>
      <c r="U1224" s="98">
        <v>3.5154556421814753</v>
      </c>
      <c r="V1224" s="106">
        <v>28727.818224479688</v>
      </c>
      <c r="W1224" s="10">
        <v>0.69975882754709229</v>
      </c>
      <c r="X1224" s="420"/>
      <c r="Y1224" s="420"/>
      <c r="Z1224" s="1"/>
      <c r="AA1224" s="1"/>
      <c r="AB1224" s="1"/>
      <c r="AC1224" s="1"/>
      <c r="AD1224" s="1"/>
    </row>
    <row r="1225" spans="17:30">
      <c r="Q1225" s="6">
        <v>1195</v>
      </c>
      <c r="R1225" s="7">
        <v>43862</v>
      </c>
      <c r="S1225" s="210">
        <v>3.8989071038251368</v>
      </c>
      <c r="T1225" s="8">
        <v>1.0001083029751063</v>
      </c>
      <c r="U1225" s="98">
        <v>3.5158868304283386</v>
      </c>
      <c r="V1225" s="106">
        <v>28730.055144029655</v>
      </c>
      <c r="W1225" s="10">
        <v>0.70010729587901555</v>
      </c>
      <c r="X1225" s="420"/>
      <c r="Y1225" s="420"/>
      <c r="Z1225" s="1"/>
      <c r="AA1225" s="1"/>
      <c r="AB1225" s="1"/>
      <c r="AC1225" s="1"/>
      <c r="AD1225" s="1"/>
    </row>
    <row r="1226" spans="17:30">
      <c r="Q1226" s="6">
        <v>1196</v>
      </c>
      <c r="R1226" s="7">
        <v>43863</v>
      </c>
      <c r="S1226" s="210">
        <v>3.9002732240437159</v>
      </c>
      <c r="T1226" s="8">
        <v>1.0001083409228901</v>
      </c>
      <c r="U1226" s="98">
        <v>3.5163184981144679</v>
      </c>
      <c r="V1226" s="106">
        <v>28732.292237759539</v>
      </c>
      <c r="W1226" s="10">
        <v>0.70045634878190821</v>
      </c>
      <c r="X1226" s="420"/>
      <c r="Y1226" s="420"/>
      <c r="Z1226" s="1"/>
      <c r="AA1226" s="1"/>
      <c r="AB1226" s="1"/>
      <c r="AC1226" s="1"/>
      <c r="AD1226" s="1"/>
    </row>
    <row r="1227" spans="17:30">
      <c r="Q1227" s="6">
        <v>1197</v>
      </c>
      <c r="R1227" s="7">
        <v>43864</v>
      </c>
      <c r="S1227" s="210">
        <v>3.901639344262295</v>
      </c>
      <c r="T1227" s="8">
        <v>1.0001083788706739</v>
      </c>
      <c r="U1227" s="98">
        <v>3.5167506440487051</v>
      </c>
      <c r="V1227" s="106">
        <v>28734.529505682909</v>
      </c>
      <c r="W1227" s="10">
        <v>0.70080598479980161</v>
      </c>
      <c r="X1227" s="420"/>
      <c r="Y1227" s="420"/>
      <c r="Z1227" s="1"/>
      <c r="AA1227" s="1"/>
      <c r="AB1227" s="1"/>
      <c r="AC1227" s="1"/>
      <c r="AD1227" s="1"/>
    </row>
    <row r="1228" spans="17:30">
      <c r="Q1228" s="6">
        <v>1198</v>
      </c>
      <c r="R1228" s="7">
        <v>43865</v>
      </c>
      <c r="S1228" s="210">
        <v>3.9030054644808745</v>
      </c>
      <c r="T1228" s="8">
        <v>1.0001084168184577</v>
      </c>
      <c r="U1228" s="98">
        <v>3.5171832670438663</v>
      </c>
      <c r="V1228" s="106">
        <v>28736.766947813321</v>
      </c>
      <c r="W1228" s="10">
        <v>0.70115620248152322</v>
      </c>
      <c r="X1228" s="420"/>
      <c r="Y1228" s="420"/>
      <c r="Z1228" s="1"/>
      <c r="AA1228" s="1"/>
      <c r="AB1228" s="1"/>
      <c r="AC1228" s="1"/>
      <c r="AD1228" s="1"/>
    </row>
    <row r="1229" spans="17:30">
      <c r="Q1229" s="6">
        <v>1199</v>
      </c>
      <c r="R1229" s="7">
        <v>43866</v>
      </c>
      <c r="S1229" s="210">
        <v>3.9043715846994536</v>
      </c>
      <c r="T1229" s="8">
        <v>1.0001084547662416</v>
      </c>
      <c r="U1229" s="98">
        <v>3.5176163659167425</v>
      </c>
      <c r="V1229" s="106">
        <v>28739.004564164348</v>
      </c>
      <c r="W1229" s="10">
        <v>0.70150700038069669</v>
      </c>
      <c r="X1229" s="420"/>
      <c r="Y1229" s="420"/>
      <c r="Z1229" s="1"/>
      <c r="AA1229" s="1"/>
      <c r="AB1229" s="1"/>
      <c r="AC1229" s="1"/>
      <c r="AD1229" s="1"/>
    </row>
    <row r="1230" spans="17:30">
      <c r="Q1230" s="6">
        <v>1200</v>
      </c>
      <c r="R1230" s="7">
        <v>43867</v>
      </c>
      <c r="S1230" s="210">
        <v>3.9057377049180326</v>
      </c>
      <c r="T1230" s="8">
        <v>1.0001084927140256</v>
      </c>
      <c r="U1230" s="98">
        <v>3.5180499394880549</v>
      </c>
      <c r="V1230" s="106">
        <v>28741.242354749545</v>
      </c>
      <c r="W1230" s="10">
        <v>0.70185837705585286</v>
      </c>
      <c r="X1230" s="420"/>
      <c r="Y1230" s="420"/>
      <c r="Z1230" s="1"/>
      <c r="AA1230" s="1"/>
      <c r="AB1230" s="1"/>
      <c r="AC1230" s="1"/>
      <c r="AD1230" s="1"/>
    </row>
    <row r="1231" spans="17:30">
      <c r="Q1231" s="6">
        <v>1201</v>
      </c>
      <c r="R1231" s="7">
        <v>43868</v>
      </c>
      <c r="S1231" s="210">
        <v>3.9071038251366121</v>
      </c>
      <c r="T1231" s="8">
        <v>1.0001085306618094</v>
      </c>
      <c r="U1231" s="98">
        <v>3.5184839865824769</v>
      </c>
      <c r="V1231" s="106">
        <v>28743.480319582493</v>
      </c>
      <c r="W1231" s="10">
        <v>0.70221033107031872</v>
      </c>
      <c r="X1231" s="420"/>
      <c r="Y1231" s="420"/>
      <c r="Z1231" s="1"/>
      <c r="AA1231" s="1"/>
      <c r="AB1231" s="1"/>
      <c r="AC1231" s="1"/>
      <c r="AD1231" s="1"/>
    </row>
    <row r="1232" spans="17:30">
      <c r="Q1232" s="6">
        <v>1202</v>
      </c>
      <c r="R1232" s="7">
        <v>43869</v>
      </c>
      <c r="S1232" s="210">
        <v>3.9084699453551912</v>
      </c>
      <c r="T1232" s="8">
        <v>1.0001085686095932</v>
      </c>
      <c r="U1232" s="98">
        <v>3.5189185060285899</v>
      </c>
      <c r="V1232" s="106">
        <v>28745.718458676751</v>
      </c>
      <c r="W1232" s="10">
        <v>0.70256286099219523</v>
      </c>
      <c r="X1232" s="420"/>
      <c r="Y1232" s="420"/>
      <c r="Z1232" s="1"/>
      <c r="AA1232" s="1"/>
      <c r="AB1232" s="1"/>
      <c r="AC1232" s="1"/>
      <c r="AD1232" s="1"/>
    </row>
    <row r="1233" spans="17:30">
      <c r="Q1233" s="6">
        <v>1203</v>
      </c>
      <c r="R1233" s="7">
        <v>43870</v>
      </c>
      <c r="S1233" s="210">
        <v>3.9098360655737703</v>
      </c>
      <c r="T1233" s="8">
        <v>1.000108606557377</v>
      </c>
      <c r="U1233" s="98">
        <v>3.5193534966588835</v>
      </c>
      <c r="V1233" s="106">
        <v>28747.956772045891</v>
      </c>
      <c r="W1233" s="10">
        <v>0.7029159653943795</v>
      </c>
      <c r="X1233" s="420"/>
      <c r="Y1233" s="420"/>
      <c r="Z1233" s="1"/>
      <c r="AA1233" s="1"/>
      <c r="AB1233" s="1"/>
      <c r="AC1233" s="1"/>
      <c r="AD1233" s="1"/>
    </row>
    <row r="1234" spans="17:30">
      <c r="Q1234" s="6">
        <v>1204</v>
      </c>
      <c r="R1234" s="7">
        <v>43871</v>
      </c>
      <c r="S1234" s="210">
        <v>3.9112021857923498</v>
      </c>
      <c r="T1234" s="8">
        <v>1.0001086445051608</v>
      </c>
      <c r="U1234" s="98">
        <v>3.519788957309733</v>
      </c>
      <c r="V1234" s="106">
        <v>28750.349644587397</v>
      </c>
      <c r="W1234" s="10">
        <v>0.70310570758214119</v>
      </c>
      <c r="X1234" s="420"/>
      <c r="Y1234" s="420"/>
      <c r="Z1234" s="1"/>
      <c r="AA1234" s="1"/>
      <c r="AB1234" s="1"/>
      <c r="AC1234" s="1"/>
      <c r="AD1234" s="1"/>
    </row>
    <row r="1235" spans="17:30">
      <c r="Q1235" s="6">
        <v>1205</v>
      </c>
      <c r="R1235" s="7">
        <v>43872</v>
      </c>
      <c r="S1235" s="210">
        <v>3.9125683060109289</v>
      </c>
      <c r="T1235" s="8">
        <v>1.0001086824529448</v>
      </c>
      <c r="U1235" s="98">
        <v>3.520224886821377</v>
      </c>
      <c r="V1235" s="106">
        <v>28752.74271630267</v>
      </c>
      <c r="W1235" s="10">
        <v>0.70329629261574045</v>
      </c>
      <c r="X1235" s="420"/>
      <c r="Y1235" s="420"/>
      <c r="Z1235" s="1"/>
      <c r="AA1235" s="1"/>
      <c r="AB1235" s="1"/>
      <c r="AC1235" s="1"/>
      <c r="AD1235" s="1"/>
    </row>
    <row r="1236" spans="17:30">
      <c r="Q1236" s="6">
        <v>1206</v>
      </c>
      <c r="R1236" s="7">
        <v>43873</v>
      </c>
      <c r="S1236" s="210">
        <v>3.9139344262295084</v>
      </c>
      <c r="T1236" s="8">
        <v>1.0001087204007286</v>
      </c>
      <c r="U1236" s="98">
        <v>3.5206612840378959</v>
      </c>
      <c r="V1236" s="106">
        <v>28755.135987208298</v>
      </c>
      <c r="W1236" s="10">
        <v>0.70348771840413882</v>
      </c>
      <c r="X1236" s="420"/>
      <c r="Y1236" s="420"/>
      <c r="Z1236" s="1"/>
      <c r="AA1236" s="1"/>
      <c r="AB1236" s="1"/>
      <c r="AC1236" s="1"/>
      <c r="AD1236" s="1"/>
    </row>
    <row r="1237" spans="17:30">
      <c r="Q1237" s="6">
        <v>1207</v>
      </c>
      <c r="R1237" s="7">
        <v>43874</v>
      </c>
      <c r="S1237" s="210">
        <v>3.9153005464480874</v>
      </c>
      <c r="T1237" s="8">
        <v>1.0001087583485124</v>
      </c>
      <c r="U1237" s="98">
        <v>3.5210981478072334</v>
      </c>
      <c r="V1237" s="106">
        <v>28757.529457320856</v>
      </c>
      <c r="W1237" s="10">
        <v>0.70367998286331446</v>
      </c>
      <c r="X1237" s="420"/>
      <c r="Y1237" s="420"/>
      <c r="Z1237" s="1"/>
      <c r="AA1237" s="1"/>
      <c r="AB1237" s="1"/>
      <c r="AC1237" s="1"/>
      <c r="AD1237" s="1"/>
    </row>
    <row r="1238" spans="17:30">
      <c r="Q1238" s="6">
        <v>1208</v>
      </c>
      <c r="R1238" s="7">
        <v>43875</v>
      </c>
      <c r="S1238" s="210">
        <v>3.9166666666666665</v>
      </c>
      <c r="T1238" s="8">
        <v>1.0001087962962962</v>
      </c>
      <c r="U1238" s="98">
        <v>3.5215354769811524</v>
      </c>
      <c r="V1238" s="106">
        <v>28759.923126656926</v>
      </c>
      <c r="W1238" s="10">
        <v>0.70387308391612891</v>
      </c>
      <c r="X1238" s="420"/>
      <c r="Y1238" s="420"/>
      <c r="Z1238" s="1"/>
      <c r="AA1238" s="1"/>
      <c r="AB1238" s="1"/>
      <c r="AC1238" s="1"/>
      <c r="AD1238" s="1"/>
    </row>
    <row r="1239" spans="17:30">
      <c r="Q1239" s="6">
        <v>1209</v>
      </c>
      <c r="R1239" s="7">
        <v>43876</v>
      </c>
      <c r="S1239" s="210">
        <v>3.918032786885246</v>
      </c>
      <c r="T1239" s="8">
        <v>1.00010883424408</v>
      </c>
      <c r="U1239" s="98">
        <v>3.5219732704151907</v>
      </c>
      <c r="V1239" s="106">
        <v>28762.31699523309</v>
      </c>
      <c r="W1239" s="10">
        <v>0.70406701949230488</v>
      </c>
      <c r="X1239" s="420"/>
      <c r="Y1239" s="420"/>
      <c r="Z1239" s="1"/>
      <c r="AA1239" s="1"/>
      <c r="AB1239" s="1"/>
      <c r="AC1239" s="1"/>
      <c r="AD1239" s="1"/>
    </row>
    <row r="1240" spans="17:30">
      <c r="Q1240" s="6">
        <v>1210</v>
      </c>
      <c r="R1240" s="7">
        <v>43877</v>
      </c>
      <c r="S1240" s="210">
        <v>3.9193989071038251</v>
      </c>
      <c r="T1240" s="8">
        <v>1.0001088721918641</v>
      </c>
      <c r="U1240" s="98">
        <v>3.5224115269687051</v>
      </c>
      <c r="V1240" s="106">
        <v>28764.711063065934</v>
      </c>
      <c r="W1240" s="10">
        <v>0.70426178752849289</v>
      </c>
      <c r="X1240" s="420"/>
      <c r="Y1240" s="420"/>
      <c r="Z1240" s="1"/>
      <c r="AA1240" s="1"/>
      <c r="AB1240" s="1"/>
      <c r="AC1240" s="1"/>
      <c r="AD1240" s="1"/>
    </row>
    <row r="1241" spans="17:30">
      <c r="Q1241" s="6">
        <v>1211</v>
      </c>
      <c r="R1241" s="7">
        <v>43878</v>
      </c>
      <c r="S1241" s="210">
        <v>3.9207650273224042</v>
      </c>
      <c r="T1241" s="8">
        <v>1.0001089101396479</v>
      </c>
      <c r="U1241" s="98">
        <v>3.5228502455048272</v>
      </c>
      <c r="V1241" s="106">
        <v>28767.105330172042</v>
      </c>
      <c r="W1241" s="10">
        <v>0.70445738596818241</v>
      </c>
      <c r="X1241" s="420"/>
      <c r="Y1241" s="420"/>
      <c r="Z1241" s="1"/>
      <c r="AA1241" s="1"/>
      <c r="AB1241" s="1"/>
      <c r="AC1241" s="1"/>
      <c r="AD1241" s="1"/>
    </row>
    <row r="1242" spans="17:30">
      <c r="Q1242" s="6">
        <v>1212</v>
      </c>
      <c r="R1242" s="7">
        <v>43879</v>
      </c>
      <c r="S1242" s="210">
        <v>3.9221311475409837</v>
      </c>
      <c r="T1242" s="8">
        <v>1.0001089480874317</v>
      </c>
      <c r="U1242" s="98">
        <v>3.523289424890419</v>
      </c>
      <c r="V1242" s="106">
        <v>28769.499796567998</v>
      </c>
      <c r="W1242" s="10">
        <v>0.70465381276159089</v>
      </c>
      <c r="X1242" s="420"/>
      <c r="Y1242" s="420"/>
      <c r="Z1242" s="1"/>
      <c r="AA1242" s="1"/>
      <c r="AB1242" s="1"/>
      <c r="AC1242" s="1"/>
      <c r="AD1242" s="1"/>
    </row>
    <row r="1243" spans="17:30">
      <c r="Q1243" s="6">
        <v>1213</v>
      </c>
      <c r="R1243" s="7">
        <v>43880</v>
      </c>
      <c r="S1243" s="210">
        <v>3.9234972677595628</v>
      </c>
      <c r="T1243" s="8">
        <v>1.0001089860352155</v>
      </c>
      <c r="U1243" s="98">
        <v>3.523729063996095</v>
      </c>
      <c r="V1243" s="106">
        <v>28771.894462270397</v>
      </c>
      <c r="W1243" s="10">
        <v>0.70485106586577473</v>
      </c>
      <c r="X1243" s="420"/>
      <c r="Y1243" s="420"/>
      <c r="Z1243" s="1"/>
      <c r="AA1243" s="1"/>
      <c r="AB1243" s="1"/>
      <c r="AC1243" s="1"/>
      <c r="AD1243" s="1"/>
    </row>
    <row r="1244" spans="17:30">
      <c r="Q1244" s="6">
        <v>1214</v>
      </c>
      <c r="R1244" s="7">
        <v>43881</v>
      </c>
      <c r="S1244" s="210">
        <v>3.9248633879781423</v>
      </c>
      <c r="T1244" s="8">
        <v>1.0001090239829995</v>
      </c>
      <c r="U1244" s="98">
        <v>3.5241691616962445</v>
      </c>
      <c r="V1244" s="106">
        <v>28774.289327295824</v>
      </c>
      <c r="W1244" s="10">
        <v>0.70504914324456269</v>
      </c>
      <c r="X1244" s="420"/>
      <c r="Y1244" s="420"/>
      <c r="Z1244" s="1"/>
      <c r="AA1244" s="1"/>
      <c r="AB1244" s="1"/>
      <c r="AC1244" s="1"/>
      <c r="AD1244" s="1"/>
    </row>
    <row r="1245" spans="17:30">
      <c r="Q1245" s="6">
        <v>1215</v>
      </c>
      <c r="R1245" s="7">
        <v>43882</v>
      </c>
      <c r="S1245" s="210">
        <v>3.9262295081967213</v>
      </c>
      <c r="T1245" s="8">
        <v>1.0001090619307833</v>
      </c>
      <c r="U1245" s="98">
        <v>3.5246097168688761</v>
      </c>
      <c r="V1245" s="106">
        <v>28776.684391660867</v>
      </c>
      <c r="W1245" s="10">
        <v>0.70524804286844489</v>
      </c>
      <c r="X1245" s="420"/>
      <c r="Y1245" s="420"/>
      <c r="Z1245" s="1"/>
      <c r="AA1245" s="1"/>
      <c r="AB1245" s="1"/>
      <c r="AC1245" s="1"/>
      <c r="AD1245" s="1"/>
    </row>
    <row r="1246" spans="17:30">
      <c r="Q1246" s="6">
        <v>1216</v>
      </c>
      <c r="R1246" s="7">
        <v>43883</v>
      </c>
      <c r="S1246" s="210">
        <v>3.9275956284153004</v>
      </c>
      <c r="T1246" s="8">
        <v>1.0001090998785671</v>
      </c>
      <c r="U1246" s="98">
        <v>3.5250507283957733</v>
      </c>
      <c r="V1246" s="106">
        <v>28779.079655382127</v>
      </c>
      <c r="W1246" s="10">
        <v>0.70544776271466159</v>
      </c>
      <c r="X1246" s="420"/>
      <c r="Y1246" s="420"/>
      <c r="Z1246" s="1"/>
      <c r="AA1246" s="1"/>
      <c r="AB1246" s="1"/>
      <c r="AC1246" s="1"/>
      <c r="AD1246" s="1"/>
    </row>
    <row r="1247" spans="17:30">
      <c r="Q1247" s="6">
        <v>1217</v>
      </c>
      <c r="R1247" s="7">
        <v>43884</v>
      </c>
      <c r="S1247" s="210">
        <v>3.9289617486338799</v>
      </c>
      <c r="T1247" s="8">
        <v>1.0001091378263509</v>
      </c>
      <c r="U1247" s="98">
        <v>3.525492195162383</v>
      </c>
      <c r="V1247" s="106">
        <v>28781.475118476184</v>
      </c>
      <c r="W1247" s="10">
        <v>0.70564830076709217</v>
      </c>
      <c r="X1247" s="420"/>
      <c r="Y1247" s="420"/>
      <c r="Z1247" s="1"/>
      <c r="AA1247" s="1"/>
      <c r="AB1247" s="1"/>
      <c r="AC1247" s="1"/>
      <c r="AD1247" s="1"/>
    </row>
    <row r="1248" spans="17:30">
      <c r="Q1248" s="6">
        <v>1218</v>
      </c>
      <c r="R1248" s="7">
        <v>43885</v>
      </c>
      <c r="S1248" s="210">
        <v>3.930327868852459</v>
      </c>
      <c r="T1248" s="8">
        <v>1.0001091757741347</v>
      </c>
      <c r="U1248" s="98">
        <v>3.5259341160577939</v>
      </c>
      <c r="V1248" s="106">
        <v>28783.870780959649</v>
      </c>
      <c r="W1248" s="10">
        <v>0.70584965501625518</v>
      </c>
      <c r="X1248" s="420"/>
      <c r="Y1248" s="420"/>
      <c r="Z1248" s="1"/>
      <c r="AA1248" s="1"/>
      <c r="AB1248" s="1"/>
      <c r="AC1248" s="1"/>
      <c r="AD1248" s="1"/>
    </row>
    <row r="1249" spans="17:30">
      <c r="Q1249" s="6">
        <v>1219</v>
      </c>
      <c r="R1249" s="7">
        <v>43886</v>
      </c>
      <c r="S1249" s="210">
        <v>3.9316939890710381</v>
      </c>
      <c r="T1249" s="8">
        <v>1.0001092137219187</v>
      </c>
      <c r="U1249" s="98">
        <v>3.5263764899747807</v>
      </c>
      <c r="V1249" s="106">
        <v>28786.266642849107</v>
      </c>
      <c r="W1249" s="10">
        <v>0.70605182345933049</v>
      </c>
      <c r="X1249" s="420"/>
      <c r="Y1249" s="420"/>
      <c r="Z1249" s="1"/>
      <c r="AA1249" s="1"/>
      <c r="AB1249" s="1"/>
      <c r="AC1249" s="1"/>
      <c r="AD1249" s="1"/>
    </row>
    <row r="1250" spans="17:30">
      <c r="Q1250" s="6">
        <v>1220</v>
      </c>
      <c r="R1250" s="7">
        <v>43887</v>
      </c>
      <c r="S1250" s="210">
        <v>3.9330601092896176</v>
      </c>
      <c r="T1250" s="8">
        <v>1.0001092516697025</v>
      </c>
      <c r="U1250" s="98">
        <v>3.5268193158097372</v>
      </c>
      <c r="V1250" s="106">
        <v>28788.662704161161</v>
      </c>
      <c r="W1250" s="10">
        <v>0.70625480410000385</v>
      </c>
      <c r="X1250" s="420"/>
      <c r="Y1250" s="420"/>
      <c r="Z1250" s="1"/>
      <c r="AA1250" s="1"/>
      <c r="AB1250" s="1"/>
      <c r="AC1250" s="1"/>
      <c r="AD1250" s="1"/>
    </row>
    <row r="1251" spans="17:30">
      <c r="Q1251" s="6">
        <v>1221</v>
      </c>
      <c r="R1251" s="7">
        <v>43888</v>
      </c>
      <c r="S1251" s="210">
        <v>3.9344262295081966</v>
      </c>
      <c r="T1251" s="8">
        <v>1.0001092896174864</v>
      </c>
      <c r="U1251" s="98">
        <v>3.5272625924626544</v>
      </c>
      <c r="V1251" s="106">
        <v>28791.058964912412</v>
      </c>
      <c r="W1251" s="10">
        <v>0.70645859494857799</v>
      </c>
      <c r="X1251" s="420"/>
      <c r="Y1251" s="420"/>
      <c r="Z1251" s="1"/>
      <c r="AA1251" s="1"/>
      <c r="AB1251" s="1"/>
      <c r="AC1251" s="1"/>
      <c r="AD1251" s="1"/>
    </row>
    <row r="1252" spans="17:30">
      <c r="Q1252" s="6">
        <v>1222</v>
      </c>
      <c r="R1252" s="7">
        <v>43889</v>
      </c>
      <c r="S1252" s="210">
        <v>3.9357923497267762</v>
      </c>
      <c r="T1252" s="8">
        <v>1.0001093275652702</v>
      </c>
      <c r="U1252" s="98">
        <v>3.5277063188371649</v>
      </c>
      <c r="V1252" s="106">
        <v>28793.45542511945</v>
      </c>
      <c r="W1252" s="10">
        <v>0.70666319402186151</v>
      </c>
      <c r="X1252" s="420"/>
      <c r="Y1252" s="420"/>
      <c r="Z1252" s="1"/>
      <c r="AA1252" s="1"/>
      <c r="AB1252" s="1"/>
      <c r="AC1252" s="1"/>
      <c r="AD1252" s="1"/>
    </row>
    <row r="1253" spans="17:30">
      <c r="Q1253" s="6">
        <v>1223</v>
      </c>
      <c r="R1253" s="7">
        <v>43890</v>
      </c>
      <c r="S1253" s="210">
        <v>3.9371584699453552</v>
      </c>
      <c r="T1253" s="8">
        <v>1.000109365513054</v>
      </c>
      <c r="U1253" s="98">
        <v>3.5281504938404984</v>
      </c>
      <c r="V1253" s="106">
        <v>28795.852084798888</v>
      </c>
      <c r="W1253" s="10">
        <v>0.70686859934321333</v>
      </c>
      <c r="X1253" s="420"/>
      <c r="Y1253" s="420"/>
      <c r="Z1253" s="1"/>
      <c r="AA1253" s="1"/>
      <c r="AB1253" s="1"/>
      <c r="AC1253" s="1"/>
      <c r="AD1253" s="1"/>
    </row>
    <row r="1254" spans="17:30">
      <c r="Q1254" s="6">
        <v>1224</v>
      </c>
      <c r="R1254" s="7">
        <v>43891</v>
      </c>
      <c r="S1254" s="210">
        <v>3.9385245901639343</v>
      </c>
      <c r="T1254" s="8">
        <v>1.000109403460838</v>
      </c>
      <c r="U1254" s="98">
        <v>3.5285951163834373</v>
      </c>
      <c r="V1254" s="106">
        <v>28798.248943967326</v>
      </c>
      <c r="W1254" s="10">
        <v>0.70707480894240948</v>
      </c>
      <c r="X1254" s="420"/>
      <c r="Y1254" s="420"/>
      <c r="Z1254" s="1"/>
      <c r="AA1254" s="1"/>
      <c r="AB1254" s="1"/>
      <c r="AC1254" s="1"/>
      <c r="AD1254" s="1"/>
    </row>
    <row r="1255" spans="17:30">
      <c r="Q1255" s="6">
        <v>1225</v>
      </c>
      <c r="R1255" s="7">
        <v>43892</v>
      </c>
      <c r="S1255" s="210">
        <v>3.9398907103825138</v>
      </c>
      <c r="T1255" s="8">
        <v>1.0001094414086218</v>
      </c>
      <c r="U1255" s="98">
        <v>3.5290401853803166</v>
      </c>
      <c r="V1255" s="106">
        <v>28800.646002641366</v>
      </c>
      <c r="W1255" s="10">
        <v>0.70728182085573188</v>
      </c>
      <c r="X1255" s="420"/>
      <c r="Y1255" s="420"/>
      <c r="Z1255" s="1"/>
      <c r="AA1255" s="1"/>
      <c r="AB1255" s="1"/>
      <c r="AC1255" s="1"/>
      <c r="AD1255" s="1"/>
    </row>
    <row r="1256" spans="17:30">
      <c r="Q1256" s="6">
        <v>1226</v>
      </c>
      <c r="R1256" s="7">
        <v>43893</v>
      </c>
      <c r="S1256" s="210">
        <v>3.9412568306010929</v>
      </c>
      <c r="T1256" s="8">
        <v>1.0001094793564056</v>
      </c>
      <c r="U1256" s="98">
        <v>3.5294856997490465</v>
      </c>
      <c r="V1256" s="106">
        <v>28803.043260837618</v>
      </c>
      <c r="W1256" s="10">
        <v>0.70748963312581292</v>
      </c>
      <c r="X1256" s="420"/>
      <c r="Y1256" s="420"/>
      <c r="Z1256" s="1"/>
      <c r="AA1256" s="1"/>
      <c r="AB1256" s="1"/>
      <c r="AC1256" s="1"/>
      <c r="AD1256" s="1"/>
    </row>
    <row r="1257" spans="17:30">
      <c r="Q1257" s="6">
        <v>1227</v>
      </c>
      <c r="R1257" s="7">
        <v>43894</v>
      </c>
      <c r="S1257" s="210">
        <v>3.942622950819672</v>
      </c>
      <c r="T1257" s="8">
        <v>1.0001095173041894</v>
      </c>
      <c r="U1257" s="98">
        <v>3.5299316584110674</v>
      </c>
      <c r="V1257" s="106">
        <v>28805.440718572692</v>
      </c>
      <c r="W1257" s="10">
        <v>0.70769824380179092</v>
      </c>
      <c r="X1257" s="420"/>
      <c r="Y1257" s="420"/>
      <c r="Z1257" s="1"/>
      <c r="AA1257" s="1"/>
      <c r="AB1257" s="1"/>
      <c r="AC1257" s="1"/>
      <c r="AD1257" s="1"/>
    </row>
    <row r="1258" spans="17:30">
      <c r="Q1258" s="6">
        <v>1228</v>
      </c>
      <c r="R1258" s="7">
        <v>43895</v>
      </c>
      <c r="S1258" s="210">
        <v>3.9439890710382515</v>
      </c>
      <c r="T1258" s="8">
        <v>1.0001095552519732</v>
      </c>
      <c r="U1258" s="98">
        <v>3.5303780602913282</v>
      </c>
      <c r="V1258" s="106">
        <v>28807.83837586319</v>
      </c>
      <c r="W1258" s="10">
        <v>0.70790765093911023</v>
      </c>
      <c r="X1258" s="420"/>
      <c r="Y1258" s="420"/>
      <c r="Z1258" s="1"/>
      <c r="AA1258" s="1"/>
      <c r="AB1258" s="1"/>
      <c r="AC1258" s="1"/>
      <c r="AD1258" s="1"/>
    </row>
    <row r="1259" spans="17:30">
      <c r="Q1259" s="6">
        <v>1229</v>
      </c>
      <c r="R1259" s="7">
        <v>43896</v>
      </c>
      <c r="S1259" s="210">
        <v>3.9453551912568305</v>
      </c>
      <c r="T1259" s="8">
        <v>1.0001095931997572</v>
      </c>
      <c r="U1259" s="98">
        <v>3.530824904318286</v>
      </c>
      <c r="V1259" s="106">
        <v>28810.236232725718</v>
      </c>
      <c r="W1259" s="10">
        <v>0.70811785259956572</v>
      </c>
      <c r="X1259" s="420"/>
      <c r="Y1259" s="420"/>
      <c r="Z1259" s="1"/>
      <c r="AA1259" s="1"/>
      <c r="AB1259" s="1"/>
      <c r="AC1259" s="1"/>
      <c r="AD1259" s="1"/>
    </row>
    <row r="1260" spans="17:30">
      <c r="Q1260" s="6">
        <v>1230</v>
      </c>
      <c r="R1260" s="7">
        <v>43897</v>
      </c>
      <c r="S1260" s="210">
        <v>3.9467213114754101</v>
      </c>
      <c r="T1260" s="8">
        <v>1.000109631147541</v>
      </c>
      <c r="U1260" s="98">
        <v>3.5312721894238841</v>
      </c>
      <c r="V1260" s="106">
        <v>28812.634289176905</v>
      </c>
      <c r="W1260" s="10">
        <v>0.7083288468512805</v>
      </c>
      <c r="X1260" s="420"/>
      <c r="Y1260" s="420"/>
      <c r="Z1260" s="1"/>
      <c r="AA1260" s="1"/>
      <c r="AB1260" s="1"/>
      <c r="AC1260" s="1"/>
      <c r="AD1260" s="1"/>
    </row>
    <row r="1261" spans="17:30">
      <c r="Q1261" s="6">
        <v>1231</v>
      </c>
      <c r="R1261" s="7">
        <v>43898</v>
      </c>
      <c r="S1261" s="210">
        <v>3.9480874316939891</v>
      </c>
      <c r="T1261" s="8">
        <v>1.0001096690953248</v>
      </c>
      <c r="U1261" s="98">
        <v>3.5317199145435296</v>
      </c>
      <c r="V1261" s="106">
        <v>28815.032545233349</v>
      </c>
      <c r="W1261" s="10">
        <v>0.70854063176868376</v>
      </c>
      <c r="X1261" s="420"/>
      <c r="Y1261" s="420"/>
      <c r="Z1261" s="1"/>
      <c r="AA1261" s="1"/>
      <c r="AB1261" s="1"/>
      <c r="AC1261" s="1"/>
      <c r="AD1261" s="1"/>
    </row>
    <row r="1262" spans="17:30">
      <c r="Q1262" s="6">
        <v>1232</v>
      </c>
      <c r="R1262" s="7">
        <v>43899</v>
      </c>
      <c r="S1262" s="210">
        <v>3.9494535519125682</v>
      </c>
      <c r="T1262" s="8">
        <v>1.0001097070431086</v>
      </c>
      <c r="U1262" s="98">
        <v>3.532168078616138</v>
      </c>
      <c r="V1262" s="106">
        <v>28817.431000911671</v>
      </c>
      <c r="W1262" s="10">
        <v>0.70875320543246634</v>
      </c>
      <c r="X1262" s="420"/>
      <c r="Y1262" s="420"/>
      <c r="Z1262" s="1"/>
      <c r="AA1262" s="1"/>
      <c r="AB1262" s="1"/>
      <c r="AC1262" s="1"/>
      <c r="AD1262" s="1"/>
    </row>
    <row r="1263" spans="17:30">
      <c r="Q1263" s="6">
        <v>1233</v>
      </c>
      <c r="R1263" s="7">
        <v>43900</v>
      </c>
      <c r="S1263" s="210">
        <v>3.9508196721311477</v>
      </c>
      <c r="T1263" s="8">
        <v>1.0001097449908924</v>
      </c>
      <c r="U1263" s="98">
        <v>3.5326166805840442</v>
      </c>
      <c r="V1263" s="106">
        <v>28819.674898247766</v>
      </c>
      <c r="W1263" s="10">
        <v>0.70912665477904646</v>
      </c>
      <c r="X1263" s="420"/>
      <c r="Y1263" s="420"/>
      <c r="Z1263" s="1"/>
      <c r="AA1263" s="1"/>
      <c r="AB1263" s="1"/>
      <c r="AC1263" s="1"/>
      <c r="AD1263" s="1"/>
    </row>
    <row r="1264" spans="17:30">
      <c r="Q1264" s="6">
        <v>1234</v>
      </c>
      <c r="R1264" s="7">
        <v>43901</v>
      </c>
      <c r="S1264" s="210">
        <v>3.9521857923497268</v>
      </c>
      <c r="T1264" s="8">
        <v>1.0001097829386765</v>
      </c>
      <c r="U1264" s="98">
        <v>3.5330657193930026</v>
      </c>
      <c r="V1264" s="106">
        <v>28821.918970307117</v>
      </c>
      <c r="W1264" s="10">
        <v>0.70950063052295231</v>
      </c>
      <c r="X1264" s="420"/>
      <c r="Y1264" s="420"/>
      <c r="Z1264" s="1"/>
      <c r="AA1264" s="1"/>
      <c r="AB1264" s="1"/>
      <c r="AC1264" s="1"/>
      <c r="AD1264" s="1"/>
    </row>
    <row r="1265" spans="17:30">
      <c r="Q1265" s="6">
        <v>1235</v>
      </c>
      <c r="R1265" s="7">
        <v>43902</v>
      </c>
      <c r="S1265" s="210">
        <v>3.9535519125683058</v>
      </c>
      <c r="T1265" s="8">
        <v>1.0001098208864603</v>
      </c>
      <c r="U1265" s="98">
        <v>3.5335151939921872</v>
      </c>
      <c r="V1265" s="106">
        <v>28824.163217103316</v>
      </c>
      <c r="W1265" s="10">
        <v>0.70987513139462166</v>
      </c>
      <c r="X1265" s="420"/>
      <c r="Y1265" s="420"/>
      <c r="Z1265" s="1"/>
      <c r="AA1265" s="1"/>
      <c r="AB1265" s="1"/>
      <c r="AC1265" s="1"/>
      <c r="AD1265" s="1"/>
    </row>
    <row r="1266" spans="17:30">
      <c r="Q1266" s="6">
        <v>1236</v>
      </c>
      <c r="R1266" s="7">
        <v>43903</v>
      </c>
      <c r="S1266" s="210">
        <v>3.9549180327868854</v>
      </c>
      <c r="T1266" s="8">
        <v>1.0001098588342441</v>
      </c>
      <c r="U1266" s="98">
        <v>3.5339651033342134</v>
      </c>
      <c r="V1266" s="106">
        <v>28826.40763864998</v>
      </c>
      <c r="W1266" s="10">
        <v>0.71025015612868891</v>
      </c>
      <c r="X1266" s="420"/>
      <c r="Y1266" s="420"/>
      <c r="Z1266" s="1"/>
      <c r="AA1266" s="1"/>
      <c r="AB1266" s="1"/>
      <c r="AC1266" s="1"/>
      <c r="AD1266" s="1"/>
    </row>
    <row r="1267" spans="17:30">
      <c r="Q1267" s="6">
        <v>1237</v>
      </c>
      <c r="R1267" s="7">
        <v>43904</v>
      </c>
      <c r="S1267" s="210">
        <v>3.9562841530054644</v>
      </c>
      <c r="T1267" s="8">
        <v>1.0001098967820279</v>
      </c>
      <c r="U1267" s="98">
        <v>3.5344154463750721</v>
      </c>
      <c r="V1267" s="106">
        <v>28828.652234960722</v>
      </c>
      <c r="W1267" s="10">
        <v>0.71062570346382969</v>
      </c>
      <c r="X1267" s="420"/>
      <c r="Y1267" s="420"/>
      <c r="Z1267" s="1"/>
      <c r="AA1267" s="1"/>
      <c r="AB1267" s="1"/>
      <c r="AC1267" s="1"/>
      <c r="AD1267" s="1"/>
    </row>
    <row r="1268" spans="17:30">
      <c r="Q1268" s="6">
        <v>1238</v>
      </c>
      <c r="R1268" s="7">
        <v>43905</v>
      </c>
      <c r="S1268" s="210">
        <v>3.9576502732240435</v>
      </c>
      <c r="T1268" s="8">
        <v>1.0001099347298117</v>
      </c>
      <c r="U1268" s="98">
        <v>3.5348662220741067</v>
      </c>
      <c r="V1268" s="106">
        <v>28830.897006049134</v>
      </c>
      <c r="W1268" s="10">
        <v>0.71100177214280524</v>
      </c>
      <c r="X1268" s="420"/>
      <c r="Y1268" s="420"/>
      <c r="Z1268" s="1"/>
      <c r="AA1268" s="1"/>
      <c r="AB1268" s="1"/>
      <c r="AC1268" s="1"/>
      <c r="AD1268" s="1"/>
    </row>
    <row r="1269" spans="17:30">
      <c r="Q1269" s="6">
        <v>1239</v>
      </c>
      <c r="R1269" s="7">
        <v>43906</v>
      </c>
      <c r="S1269" s="210">
        <v>3.959016393442623</v>
      </c>
      <c r="T1269" s="8">
        <v>1.0001099726775957</v>
      </c>
      <c r="U1269" s="98">
        <v>3.5353174293940581</v>
      </c>
      <c r="V1269" s="106">
        <v>28833.141951928839</v>
      </c>
      <c r="W1269" s="10">
        <v>0.71137836091246243</v>
      </c>
      <c r="X1269" s="420"/>
      <c r="Y1269" s="420"/>
      <c r="Z1269" s="1"/>
      <c r="AA1269" s="1"/>
      <c r="AB1269" s="1"/>
      <c r="AC1269" s="1"/>
      <c r="AD1269" s="1"/>
    </row>
    <row r="1270" spans="17:30">
      <c r="Q1270" s="6">
        <v>1240</v>
      </c>
      <c r="R1270" s="7">
        <v>43907</v>
      </c>
      <c r="S1270" s="210">
        <v>3.9603825136612021</v>
      </c>
      <c r="T1270" s="8">
        <v>1.0001100106253795</v>
      </c>
      <c r="U1270" s="98">
        <v>3.53576906730102</v>
      </c>
      <c r="V1270" s="106">
        <v>28835.387072613437</v>
      </c>
      <c r="W1270" s="10">
        <v>0.71175546852371152</v>
      </c>
      <c r="X1270" s="420"/>
      <c r="Y1270" s="420"/>
      <c r="Z1270" s="1"/>
      <c r="AA1270" s="1"/>
      <c r="AB1270" s="1"/>
      <c r="AC1270" s="1"/>
      <c r="AD1270" s="1"/>
    </row>
    <row r="1271" spans="17:30">
      <c r="Q1271" s="6">
        <v>1241</v>
      </c>
      <c r="R1271" s="7">
        <v>43908</v>
      </c>
      <c r="S1271" s="210">
        <v>3.9617486338797816</v>
      </c>
      <c r="T1271" s="8">
        <v>1.0001100485731633</v>
      </c>
      <c r="U1271" s="98">
        <v>3.5362211347643946</v>
      </c>
      <c r="V1271" s="106">
        <v>28837.632368116545</v>
      </c>
      <c r="W1271" s="10">
        <v>0.71213309373143741</v>
      </c>
      <c r="X1271" s="420"/>
      <c r="Y1271" s="420"/>
      <c r="Z1271" s="1"/>
      <c r="AA1271" s="1"/>
      <c r="AB1271" s="1"/>
      <c r="AC1271" s="1"/>
      <c r="AD1271" s="1"/>
    </row>
    <row r="1272" spans="17:30">
      <c r="Q1272" s="6">
        <v>1242</v>
      </c>
      <c r="R1272" s="7">
        <v>43909</v>
      </c>
      <c r="S1272" s="210">
        <v>3.9631147540983607</v>
      </c>
      <c r="T1272" s="8">
        <v>1.0001100865209471</v>
      </c>
      <c r="U1272" s="98">
        <v>3.5366736307569369</v>
      </c>
      <c r="V1272" s="106">
        <v>28839.877838451775</v>
      </c>
      <c r="W1272" s="10">
        <v>0.71251123529461058</v>
      </c>
      <c r="X1272" s="420"/>
      <c r="Y1272" s="420"/>
      <c r="Z1272" s="1"/>
      <c r="AA1272" s="1"/>
      <c r="AB1272" s="1"/>
      <c r="AC1272" s="1"/>
      <c r="AD1272" s="1"/>
    </row>
    <row r="1273" spans="17:30">
      <c r="Q1273" s="6">
        <v>1243</v>
      </c>
      <c r="R1273" s="7">
        <v>43910</v>
      </c>
      <c r="S1273" s="210">
        <v>3.9644808743169397</v>
      </c>
      <c r="T1273" s="8">
        <v>1.0001101244687309</v>
      </c>
      <c r="U1273" s="98">
        <v>3.5371265542546881</v>
      </c>
      <c r="V1273" s="106">
        <v>28842.123483632742</v>
      </c>
      <c r="W1273" s="10">
        <v>0.71288989197615393</v>
      </c>
      <c r="X1273" s="420"/>
      <c r="Y1273" s="420"/>
      <c r="Z1273" s="1"/>
      <c r="AA1273" s="1"/>
      <c r="AB1273" s="1"/>
      <c r="AC1273" s="1"/>
      <c r="AD1273" s="1"/>
    </row>
    <row r="1274" spans="17:30">
      <c r="Q1274" s="6">
        <v>1244</v>
      </c>
      <c r="R1274" s="7">
        <v>43911</v>
      </c>
      <c r="S1274" s="210">
        <v>3.9658469945355193</v>
      </c>
      <c r="T1274" s="8">
        <v>1.000110162416515</v>
      </c>
      <c r="U1274" s="98">
        <v>3.5375799042370204</v>
      </c>
      <c r="V1274" s="106">
        <v>28844.369303673055</v>
      </c>
      <c r="W1274" s="10">
        <v>0.71326906254303157</v>
      </c>
      <c r="X1274" s="420"/>
      <c r="Y1274" s="420"/>
      <c r="Z1274" s="1"/>
      <c r="AA1274" s="1"/>
      <c r="AB1274" s="1"/>
      <c r="AC1274" s="1"/>
      <c r="AD1274" s="1"/>
    </row>
    <row r="1275" spans="17:30">
      <c r="Q1275" s="6">
        <v>1245</v>
      </c>
      <c r="R1275" s="7">
        <v>43912</v>
      </c>
      <c r="S1275" s="210">
        <v>3.9672131147540983</v>
      </c>
      <c r="T1275" s="8">
        <v>1.0001102003642988</v>
      </c>
      <c r="U1275" s="98">
        <v>3.5380336796865475</v>
      </c>
      <c r="V1275" s="106">
        <v>28846.615298586341</v>
      </c>
      <c r="W1275" s="10">
        <v>0.71364874576611559</v>
      </c>
      <c r="X1275" s="420"/>
      <c r="Y1275" s="420"/>
      <c r="Z1275" s="1"/>
      <c r="AA1275" s="1"/>
      <c r="AB1275" s="1"/>
      <c r="AC1275" s="1"/>
      <c r="AD1275" s="1"/>
    </row>
    <row r="1276" spans="17:30">
      <c r="Q1276" s="6">
        <v>1246</v>
      </c>
      <c r="R1276" s="7">
        <v>43913</v>
      </c>
      <c r="S1276" s="210">
        <v>3.9685792349726774</v>
      </c>
      <c r="T1276" s="8">
        <v>1.0001102383120826</v>
      </c>
      <c r="U1276" s="98">
        <v>3.5384878795891916</v>
      </c>
      <c r="V1276" s="106">
        <v>28848.861468386203</v>
      </c>
      <c r="W1276" s="10">
        <v>0.71402894042023046</v>
      </c>
      <c r="X1276" s="420"/>
      <c r="Y1276" s="420"/>
      <c r="Z1276" s="1"/>
      <c r="AA1276" s="1"/>
      <c r="AB1276" s="1"/>
      <c r="AC1276" s="1"/>
      <c r="AD1276" s="1"/>
    </row>
    <row r="1277" spans="17:30">
      <c r="Q1277" s="6">
        <v>1247</v>
      </c>
      <c r="R1277" s="7">
        <v>43914</v>
      </c>
      <c r="S1277" s="210">
        <v>3.9699453551912569</v>
      </c>
      <c r="T1277" s="8">
        <v>1.0001102762598664</v>
      </c>
      <c r="U1277" s="98">
        <v>3.5389425029341171</v>
      </c>
      <c r="V1277" s="106">
        <v>28851.107813086262</v>
      </c>
      <c r="W1277" s="10">
        <v>0.71440964528424189</v>
      </c>
      <c r="X1277" s="420"/>
      <c r="Y1277" s="420"/>
      <c r="Z1277" s="1"/>
      <c r="AA1277" s="1"/>
      <c r="AB1277" s="1"/>
      <c r="AC1277" s="1"/>
      <c r="AD1277" s="1"/>
    </row>
    <row r="1278" spans="17:30">
      <c r="Q1278" s="6">
        <v>1248</v>
      </c>
      <c r="R1278" s="7">
        <v>43915</v>
      </c>
      <c r="S1278" s="210">
        <v>3.971311475409836</v>
      </c>
      <c r="T1278" s="8">
        <v>1.0001103142076502</v>
      </c>
      <c r="U1278" s="98">
        <v>3.5393975487137297</v>
      </c>
      <c r="V1278" s="106">
        <v>28853.354332700143</v>
      </c>
      <c r="W1278" s="10">
        <v>0.71479085914076812</v>
      </c>
      <c r="X1278" s="420"/>
      <c r="Y1278" s="420"/>
      <c r="Z1278" s="1"/>
      <c r="AA1278" s="1"/>
      <c r="AB1278" s="1"/>
      <c r="AC1278" s="1"/>
      <c r="AD1278" s="1"/>
    </row>
    <row r="1279" spans="17:30">
      <c r="Q1279" s="6">
        <v>1249</v>
      </c>
      <c r="R1279" s="7">
        <v>43916</v>
      </c>
      <c r="S1279" s="210">
        <v>3.9726775956284155</v>
      </c>
      <c r="T1279" s="8">
        <v>1.0001103521554342</v>
      </c>
      <c r="U1279" s="98">
        <v>3.5398530159236996</v>
      </c>
      <c r="V1279" s="106">
        <v>28855.601027241461</v>
      </c>
      <c r="W1279" s="10">
        <v>0.71517258077651302</v>
      </c>
      <c r="X1279" s="420"/>
      <c r="Y1279" s="420"/>
      <c r="Z1279" s="1"/>
      <c r="AA1279" s="1"/>
      <c r="AB1279" s="1"/>
      <c r="AC1279" s="1"/>
      <c r="AD1279" s="1"/>
    </row>
    <row r="1280" spans="17:30">
      <c r="Q1280" s="6">
        <v>1250</v>
      </c>
      <c r="R1280" s="7">
        <v>43917</v>
      </c>
      <c r="S1280" s="210">
        <v>3.9740437158469946</v>
      </c>
      <c r="T1280" s="8">
        <v>1.000110390103218</v>
      </c>
      <c r="U1280" s="98">
        <v>3.5403089035628721</v>
      </c>
      <c r="V1280" s="106">
        <v>28857.847896723837</v>
      </c>
      <c r="W1280" s="10">
        <v>0.71555480898195523</v>
      </c>
      <c r="X1280" s="420"/>
      <c r="Y1280" s="420"/>
      <c r="Z1280" s="1"/>
      <c r="AA1280" s="1"/>
      <c r="AB1280" s="1"/>
      <c r="AC1280" s="1"/>
      <c r="AD1280" s="1"/>
    </row>
    <row r="1281" spans="17:30">
      <c r="Q1281" s="6">
        <v>1251</v>
      </c>
      <c r="R1281" s="7">
        <v>43918</v>
      </c>
      <c r="S1281" s="210">
        <v>3.9754098360655736</v>
      </c>
      <c r="T1281" s="8">
        <v>1.0001104280510018</v>
      </c>
      <c r="U1281" s="98">
        <v>3.5407652106333121</v>
      </c>
      <c r="V1281" s="106">
        <v>28860.094941160896</v>
      </c>
      <c r="W1281" s="10">
        <v>0.71593754255145914</v>
      </c>
      <c r="X1281" s="420"/>
      <c r="Y1281" s="420"/>
      <c r="Z1281" s="1"/>
      <c r="AA1281" s="1"/>
      <c r="AB1281" s="1"/>
      <c r="AC1281" s="1"/>
      <c r="AD1281" s="1"/>
    </row>
    <row r="1282" spans="17:30">
      <c r="Q1282" s="6">
        <v>1252</v>
      </c>
      <c r="R1282" s="7">
        <v>43919</v>
      </c>
      <c r="S1282" s="210">
        <v>3.9767759562841531</v>
      </c>
      <c r="T1282" s="8">
        <v>1.0001104659987856</v>
      </c>
      <c r="U1282" s="98">
        <v>3.5412219361402819</v>
      </c>
      <c r="V1282" s="106">
        <v>28862.342160566259</v>
      </c>
      <c r="W1282" s="10">
        <v>0.71632078028329715</v>
      </c>
      <c r="X1282" s="420"/>
      <c r="Y1282" s="420"/>
      <c r="Z1282" s="1"/>
      <c r="AA1282" s="1"/>
      <c r="AB1282" s="1"/>
      <c r="AC1282" s="1"/>
      <c r="AD1282" s="1"/>
    </row>
    <row r="1283" spans="17:30">
      <c r="Q1283" s="6">
        <v>1253</v>
      </c>
      <c r="R1283" s="7">
        <v>43920</v>
      </c>
      <c r="S1283" s="210">
        <v>3.9781420765027322</v>
      </c>
      <c r="T1283" s="8">
        <v>1.0001105039465694</v>
      </c>
      <c r="U1283" s="98">
        <v>3.5416790790922192</v>
      </c>
      <c r="V1283" s="106">
        <v>28864.589554953545</v>
      </c>
      <c r="W1283" s="10">
        <v>0.71670452097951642</v>
      </c>
      <c r="X1283" s="420"/>
      <c r="Y1283" s="420"/>
      <c r="Z1283" s="1"/>
      <c r="AA1283" s="1"/>
      <c r="AB1283" s="1"/>
      <c r="AC1283" s="1"/>
      <c r="AD1283" s="1"/>
    </row>
    <row r="1284" spans="17:30">
      <c r="Q1284" s="6">
        <v>1254</v>
      </c>
      <c r="R1284" s="7">
        <v>43921</v>
      </c>
      <c r="S1284" s="210">
        <v>3.9795081967213113</v>
      </c>
      <c r="T1284" s="8">
        <v>1.0001105418943534</v>
      </c>
      <c r="U1284" s="98">
        <v>3.5421366385007591</v>
      </c>
      <c r="V1284" s="106">
        <v>28866.837124336391</v>
      </c>
      <c r="W1284" s="10">
        <v>0.71708876344607209</v>
      </c>
      <c r="X1284" s="420"/>
      <c r="Y1284" s="420"/>
      <c r="Z1284" s="1"/>
      <c r="AA1284" s="1"/>
      <c r="AB1284" s="1"/>
      <c r="AC1284" s="1"/>
      <c r="AD1284" s="1"/>
    </row>
    <row r="1285" spans="17:30">
      <c r="Q1285" s="6">
        <v>1255</v>
      </c>
      <c r="R1285" s="7">
        <v>43922</v>
      </c>
      <c r="S1285" s="210">
        <v>3.9808743169398908</v>
      </c>
      <c r="T1285" s="8">
        <v>1.0001105798421372</v>
      </c>
      <c r="U1285" s="98">
        <v>3.5425946133806452</v>
      </c>
      <c r="V1285" s="106">
        <v>28869.084868728416</v>
      </c>
      <c r="W1285" s="10">
        <v>0.71747350649267183</v>
      </c>
      <c r="X1285" s="420"/>
      <c r="Y1285" s="420"/>
      <c r="Z1285" s="1"/>
      <c r="AA1285" s="1"/>
      <c r="AB1285" s="1"/>
      <c r="AC1285" s="1"/>
      <c r="AD1285" s="1"/>
    </row>
    <row r="1286" spans="17:30">
      <c r="Q1286" s="6">
        <v>1256</v>
      </c>
      <c r="R1286" s="7">
        <v>43923</v>
      </c>
      <c r="S1286" s="210">
        <v>3.9822404371584699</v>
      </c>
      <c r="T1286" s="8">
        <v>1.0001106177899211</v>
      </c>
      <c r="U1286" s="98">
        <v>3.5430530027497964</v>
      </c>
      <c r="V1286" s="106">
        <v>28871.332788143245</v>
      </c>
      <c r="W1286" s="10">
        <v>0.71785874893286472</v>
      </c>
      <c r="X1286" s="420"/>
      <c r="Y1286" s="420"/>
      <c r="Z1286" s="1"/>
      <c r="AA1286" s="1"/>
      <c r="AB1286" s="1"/>
      <c r="AC1286" s="1"/>
      <c r="AD1286" s="1"/>
    </row>
    <row r="1287" spans="17:30">
      <c r="Q1287" s="6">
        <v>1257</v>
      </c>
      <c r="R1287" s="7">
        <v>43924</v>
      </c>
      <c r="S1287" s="210">
        <v>3.9836065573770494</v>
      </c>
      <c r="T1287" s="8">
        <v>1.0001106557377049</v>
      </c>
      <c r="U1287" s="98">
        <v>3.5435118056292403</v>
      </c>
      <c r="V1287" s="106">
        <v>28873.580882594506</v>
      </c>
      <c r="W1287" s="10">
        <v>0.71824448958393017</v>
      </c>
      <c r="X1287" s="420"/>
      <c r="Y1287" s="420"/>
      <c r="Z1287" s="1"/>
      <c r="AA1287" s="1"/>
      <c r="AB1287" s="1"/>
      <c r="AC1287" s="1"/>
      <c r="AD1287" s="1"/>
    </row>
    <row r="1288" spans="17:30">
      <c r="Q1288" s="6">
        <v>1258</v>
      </c>
      <c r="R1288" s="7">
        <v>43925</v>
      </c>
      <c r="S1288" s="210">
        <v>3.9849726775956285</v>
      </c>
      <c r="T1288" s="8">
        <v>1.0001106936854887</v>
      </c>
      <c r="U1288" s="98">
        <v>3.5439710210431574</v>
      </c>
      <c r="V1288" s="106">
        <v>28875.829152095837</v>
      </c>
      <c r="W1288" s="10">
        <v>0.71863072726696675</v>
      </c>
      <c r="X1288" s="420"/>
      <c r="Y1288" s="420"/>
      <c r="Z1288" s="1"/>
      <c r="AA1288" s="1"/>
      <c r="AB1288" s="1"/>
      <c r="AC1288" s="1"/>
      <c r="AD1288" s="1"/>
    </row>
    <row r="1289" spans="17:30">
      <c r="Q1289" s="6">
        <v>1259</v>
      </c>
      <c r="R1289" s="7">
        <v>43926</v>
      </c>
      <c r="S1289" s="210">
        <v>3.9863387978142075</v>
      </c>
      <c r="T1289" s="8">
        <v>1.0001107316332727</v>
      </c>
      <c r="U1289" s="98">
        <v>3.5444306480187926</v>
      </c>
      <c r="V1289" s="106">
        <v>28878.077596660856</v>
      </c>
      <c r="W1289" s="10">
        <v>0.7190174608068034</v>
      </c>
      <c r="X1289" s="420"/>
      <c r="Y1289" s="420"/>
      <c r="Z1289" s="1"/>
      <c r="AA1289" s="1"/>
      <c r="AB1289" s="1"/>
      <c r="AC1289" s="1"/>
      <c r="AD1289" s="1"/>
    </row>
    <row r="1290" spans="17:30">
      <c r="Q1290" s="6">
        <v>1260</v>
      </c>
      <c r="R1290" s="7">
        <v>43927</v>
      </c>
      <c r="S1290" s="210">
        <v>3.987704918032787</v>
      </c>
      <c r="T1290" s="8">
        <v>1.0001107695810565</v>
      </c>
      <c r="U1290" s="98">
        <v>3.5448906855864992</v>
      </c>
      <c r="V1290" s="106">
        <v>28880.326216303205</v>
      </c>
      <c r="W1290" s="10">
        <v>0.71940468903199939</v>
      </c>
      <c r="X1290" s="420"/>
      <c r="Y1290" s="420"/>
      <c r="Z1290" s="1"/>
      <c r="AA1290" s="1"/>
      <c r="AB1290" s="1"/>
      <c r="AC1290" s="1"/>
      <c r="AD1290" s="1"/>
    </row>
    <row r="1291" spans="17:30">
      <c r="Q1291" s="6">
        <v>1261</v>
      </c>
      <c r="R1291" s="7">
        <v>43928</v>
      </c>
      <c r="S1291" s="210">
        <v>3.9890710382513661</v>
      </c>
      <c r="T1291" s="8">
        <v>1.0001108075288403</v>
      </c>
      <c r="U1291" s="98">
        <v>3.5453511327797171</v>
      </c>
      <c r="V1291" s="106">
        <v>28882.575011036515</v>
      </c>
      <c r="W1291" s="10">
        <v>0.71979241077484435</v>
      </c>
      <c r="X1291" s="420"/>
      <c r="Y1291" s="420"/>
      <c r="Z1291" s="1"/>
      <c r="AA1291" s="1"/>
      <c r="AB1291" s="1"/>
      <c r="AC1291" s="1"/>
      <c r="AD1291" s="1"/>
    </row>
    <row r="1292" spans="17:30">
      <c r="Q1292" s="6">
        <v>1262</v>
      </c>
      <c r="R1292" s="7">
        <v>43929</v>
      </c>
      <c r="S1292" s="210">
        <v>3.9904371584699452</v>
      </c>
      <c r="T1292" s="8">
        <v>1.0001108454766241</v>
      </c>
      <c r="U1292" s="98">
        <v>3.5458119886349726</v>
      </c>
      <c r="V1292" s="106">
        <v>28884.823980874415</v>
      </c>
      <c r="W1292" s="10">
        <v>0.72018062487138046</v>
      </c>
      <c r="X1292" s="420"/>
      <c r="Y1292" s="420"/>
      <c r="Z1292" s="1"/>
      <c r="AA1292" s="1"/>
      <c r="AB1292" s="1"/>
      <c r="AC1292" s="1"/>
      <c r="AD1292" s="1"/>
    </row>
    <row r="1293" spans="17:30">
      <c r="Q1293" s="6">
        <v>1263</v>
      </c>
      <c r="R1293" s="7">
        <v>43930</v>
      </c>
      <c r="S1293" s="210">
        <v>3.9918032786885247</v>
      </c>
      <c r="T1293" s="8">
        <v>1.0001108834244079</v>
      </c>
      <c r="U1293" s="98">
        <v>3.5462732521917895</v>
      </c>
      <c r="V1293" s="106">
        <v>28887.073125830542</v>
      </c>
      <c r="W1293" s="10">
        <v>0.72056933016124702</v>
      </c>
      <c r="X1293" s="420"/>
      <c r="Y1293" s="420"/>
      <c r="Z1293" s="1"/>
      <c r="AA1293" s="1"/>
      <c r="AB1293" s="1"/>
      <c r="AC1293" s="1"/>
      <c r="AD1293" s="1"/>
    </row>
    <row r="1294" spans="17:30">
      <c r="Q1294" s="6">
        <v>1264</v>
      </c>
      <c r="R1294" s="7">
        <v>43931</v>
      </c>
      <c r="S1294" s="210">
        <v>3.9931693989071038</v>
      </c>
      <c r="T1294" s="8">
        <v>1.0001109213721919</v>
      </c>
      <c r="U1294" s="98">
        <v>3.5467349224928002</v>
      </c>
      <c r="V1294" s="106">
        <v>28889.39742627112</v>
      </c>
      <c r="W1294" s="10">
        <v>0.72088303798893971</v>
      </c>
      <c r="X1294" s="420"/>
      <c r="Y1294" s="420"/>
      <c r="Z1294" s="1"/>
      <c r="AA1294" s="1"/>
      <c r="AB1294" s="1"/>
      <c r="AC1294" s="1"/>
      <c r="AD1294" s="1"/>
    </row>
    <row r="1295" spans="17:30">
      <c r="Q1295" s="6">
        <v>1265</v>
      </c>
      <c r="R1295" s="7">
        <v>43932</v>
      </c>
      <c r="S1295" s="210">
        <v>3.9945355191256833</v>
      </c>
      <c r="T1295" s="8">
        <v>1.0001109593199757</v>
      </c>
      <c r="U1295" s="98">
        <v>3.5471969985836349</v>
      </c>
      <c r="V1295" s="106">
        <v>28891.721913728652</v>
      </c>
      <c r="W1295" s="10">
        <v>0.72119735352100811</v>
      </c>
      <c r="X1295" s="420"/>
      <c r="Y1295" s="420"/>
      <c r="Z1295" s="1"/>
      <c r="AA1295" s="1"/>
      <c r="AB1295" s="1"/>
      <c r="AC1295" s="1"/>
      <c r="AD1295" s="1"/>
    </row>
    <row r="1296" spans="17:30">
      <c r="Q1296" s="6">
        <v>1266</v>
      </c>
      <c r="R1296" s="7">
        <v>43933</v>
      </c>
      <c r="S1296" s="210">
        <v>3.9959016393442623</v>
      </c>
      <c r="T1296" s="8">
        <v>1.0001109972677595</v>
      </c>
      <c r="U1296" s="98">
        <v>3.5476594795129435</v>
      </c>
      <c r="V1296" s="106">
        <v>28894.046588218192</v>
      </c>
      <c r="W1296" s="10">
        <v>0.72151227532535334</v>
      </c>
      <c r="X1296" s="420"/>
      <c r="Y1296" s="420"/>
      <c r="Z1296" s="1"/>
      <c r="AA1296" s="1"/>
      <c r="AB1296" s="1"/>
      <c r="AC1296" s="1"/>
      <c r="AD1296" s="1"/>
    </row>
    <row r="1297" spans="17:30">
      <c r="Q1297" s="6">
        <v>1267</v>
      </c>
      <c r="R1297" s="7">
        <v>43934</v>
      </c>
      <c r="S1297" s="210">
        <v>3.9972677595628414</v>
      </c>
      <c r="T1297" s="8">
        <v>1.0001110352155433</v>
      </c>
      <c r="U1297" s="98">
        <v>3.5481223643323956</v>
      </c>
      <c r="V1297" s="106">
        <v>28896.371449754788</v>
      </c>
      <c r="W1297" s="10">
        <v>0.72182780197440621</v>
      </c>
      <c r="X1297" s="420"/>
      <c r="Y1297" s="420"/>
      <c r="Z1297" s="1"/>
      <c r="AA1297" s="1"/>
      <c r="AB1297" s="1"/>
      <c r="AC1297" s="1"/>
      <c r="AD1297" s="1"/>
    </row>
    <row r="1298" spans="17:30">
      <c r="Q1298" s="6">
        <v>1268</v>
      </c>
      <c r="R1298" s="7">
        <v>43935</v>
      </c>
      <c r="S1298" s="210">
        <v>3.9986338797814209</v>
      </c>
      <c r="T1298" s="8">
        <v>1.0001110731633274</v>
      </c>
      <c r="U1298" s="98">
        <v>3.5485856520966585</v>
      </c>
      <c r="V1298" s="106">
        <v>28898.696498353485</v>
      </c>
      <c r="W1298" s="10">
        <v>0.72214393204510507</v>
      </c>
      <c r="X1298" s="420"/>
      <c r="Y1298" s="420"/>
      <c r="Z1298" s="1"/>
      <c r="AA1298" s="1"/>
      <c r="AB1298" s="1"/>
      <c r="AC1298" s="1"/>
      <c r="AD1298" s="1"/>
    </row>
    <row r="1299" spans="17:30">
      <c r="Q1299" s="6">
        <v>1269</v>
      </c>
      <c r="R1299" s="7">
        <v>43936</v>
      </c>
      <c r="S1299" s="210">
        <v>4</v>
      </c>
      <c r="T1299" s="8">
        <v>1.0001111111111112</v>
      </c>
      <c r="U1299" s="98">
        <v>3.5490493418633529</v>
      </c>
      <c r="V1299" s="106">
        <v>28901.021734029342</v>
      </c>
      <c r="W1299" s="10">
        <v>0.72246066411885135</v>
      </c>
      <c r="X1299" s="420"/>
      <c r="Y1299" s="420"/>
      <c r="Z1299" s="1"/>
      <c r="AA1299" s="1"/>
      <c r="AB1299" s="1"/>
      <c r="AC1299" s="1"/>
      <c r="AD1299" s="1"/>
    </row>
    <row r="1300" spans="17:30">
      <c r="Q1300" s="6">
        <v>1270</v>
      </c>
      <c r="R1300" s="7">
        <v>43937</v>
      </c>
      <c r="S1300" s="210">
        <v>4</v>
      </c>
      <c r="T1300" s="8">
        <v>1.0001111111111112</v>
      </c>
      <c r="U1300" s="98">
        <v>3.5495123034814391</v>
      </c>
      <c r="V1300" s="106">
        <v>28903.347156797401</v>
      </c>
      <c r="W1300" s="10">
        <v>0.7227768983955718</v>
      </c>
      <c r="X1300" s="420"/>
      <c r="Y1300" s="420"/>
      <c r="Z1300" s="1"/>
      <c r="AA1300" s="1"/>
      <c r="AB1300" s="1"/>
      <c r="AC1300" s="1"/>
      <c r="AD1300" s="1"/>
    </row>
    <row r="1301" spans="17:30">
      <c r="Q1301" s="6">
        <v>1271</v>
      </c>
      <c r="R1301" s="7">
        <v>43938</v>
      </c>
      <c r="S1301" s="210">
        <v>4</v>
      </c>
      <c r="T1301" s="8">
        <v>1.0001111111111112</v>
      </c>
      <c r="U1301" s="98">
        <v>3.5499745386647463</v>
      </c>
      <c r="V1301" s="106">
        <v>28905.672766672724</v>
      </c>
      <c r="W1301" s="10">
        <v>0.72309263604792839</v>
      </c>
      <c r="X1301" s="420"/>
      <c r="Y1301" s="420"/>
      <c r="Z1301" s="1"/>
      <c r="AA1301" s="1"/>
      <c r="AB1301" s="1"/>
      <c r="AC1301" s="1"/>
      <c r="AD1301" s="1"/>
    </row>
    <row r="1302" spans="17:30">
      <c r="Q1302" s="6">
        <v>1272</v>
      </c>
      <c r="R1302" s="7">
        <v>43939</v>
      </c>
      <c r="S1302" s="210">
        <v>4</v>
      </c>
      <c r="T1302" s="8">
        <v>1.0001111111111112</v>
      </c>
      <c r="U1302" s="98">
        <v>3.5504360491216636</v>
      </c>
      <c r="V1302" s="106">
        <v>28907.998563670368</v>
      </c>
      <c r="W1302" s="10">
        <v>0.72340787824485275</v>
      </c>
      <c r="X1302" s="420"/>
      <c r="Y1302" s="420"/>
      <c r="Z1302" s="1"/>
      <c r="AA1302" s="1"/>
      <c r="AB1302" s="1"/>
      <c r="AC1302" s="1"/>
      <c r="AD1302" s="1"/>
    </row>
    <row r="1303" spans="17:30">
      <c r="Q1303" s="6">
        <v>1273</v>
      </c>
      <c r="R1303" s="7">
        <v>43940</v>
      </c>
      <c r="S1303" s="210">
        <v>4</v>
      </c>
      <c r="T1303" s="8">
        <v>1.0001111111111112</v>
      </c>
      <c r="U1303" s="98">
        <v>3.5508968365552951</v>
      </c>
      <c r="V1303" s="106">
        <v>28910.324547805387</v>
      </c>
      <c r="W1303" s="10">
        <v>0.72372262615163496</v>
      </c>
      <c r="X1303" s="420"/>
      <c r="Y1303" s="420"/>
      <c r="Z1303" s="1"/>
      <c r="AA1303" s="1"/>
      <c r="AB1303" s="1"/>
      <c r="AC1303" s="1"/>
      <c r="AD1303" s="1"/>
    </row>
    <row r="1304" spans="17:30">
      <c r="Q1304" s="6">
        <v>1274</v>
      </c>
      <c r="R1304" s="7">
        <v>43941</v>
      </c>
      <c r="S1304" s="210">
        <v>4</v>
      </c>
      <c r="T1304" s="8">
        <v>1.0001111111111112</v>
      </c>
      <c r="U1304" s="98">
        <v>3.551356902663394</v>
      </c>
      <c r="V1304" s="106">
        <v>28912.650719092831</v>
      </c>
      <c r="W1304" s="10">
        <v>0.72403688092987917</v>
      </c>
      <c r="X1304" s="420"/>
      <c r="Y1304" s="420"/>
      <c r="Z1304" s="1"/>
      <c r="AA1304" s="1"/>
      <c r="AB1304" s="1"/>
      <c r="AC1304" s="1"/>
      <c r="AD1304" s="1"/>
    </row>
    <row r="1305" spans="17:30">
      <c r="Q1305" s="6">
        <v>1275</v>
      </c>
      <c r="R1305" s="7">
        <v>43942</v>
      </c>
      <c r="S1305" s="210">
        <v>4</v>
      </c>
      <c r="T1305" s="8">
        <v>1.0001111111111112</v>
      </c>
      <c r="U1305" s="98">
        <v>3.5518162491383842</v>
      </c>
      <c r="V1305" s="106">
        <v>28914.977077547763</v>
      </c>
      <c r="W1305" s="10">
        <v>0.7243506437376368</v>
      </c>
      <c r="X1305" s="420"/>
      <c r="Y1305" s="420"/>
      <c r="Z1305" s="1"/>
      <c r="AA1305" s="1"/>
      <c r="AB1305" s="1"/>
      <c r="AC1305" s="1"/>
      <c r="AD1305" s="1"/>
    </row>
    <row r="1306" spans="17:30">
      <c r="Q1306" s="6">
        <v>1276</v>
      </c>
      <c r="R1306" s="7">
        <v>43943</v>
      </c>
      <c r="S1306" s="210">
        <v>4</v>
      </c>
      <c r="T1306" s="8">
        <v>1.0001111111111112</v>
      </c>
      <c r="U1306" s="98">
        <v>3.5522748776674051</v>
      </c>
      <c r="V1306" s="106">
        <v>28917.303623185249</v>
      </c>
      <c r="W1306" s="10">
        <v>0.72466391572925115</v>
      </c>
      <c r="X1306" s="420"/>
      <c r="Y1306" s="420"/>
      <c r="Z1306" s="1"/>
      <c r="AA1306" s="1"/>
      <c r="AB1306" s="1"/>
      <c r="AC1306" s="1"/>
      <c r="AD1306" s="1"/>
    </row>
    <row r="1307" spans="17:30">
      <c r="Q1307" s="6">
        <v>1277</v>
      </c>
      <c r="R1307" s="7">
        <v>43944</v>
      </c>
      <c r="S1307" s="210">
        <v>4</v>
      </c>
      <c r="T1307" s="8">
        <v>1.0001111111111112</v>
      </c>
      <c r="U1307" s="98">
        <v>3.5527327899323558</v>
      </c>
      <c r="V1307" s="106">
        <v>28919.630356020341</v>
      </c>
      <c r="W1307" s="10">
        <v>0.72497669805549059</v>
      </c>
      <c r="X1307" s="420"/>
      <c r="Y1307" s="420"/>
      <c r="Z1307" s="1"/>
      <c r="AA1307" s="1"/>
      <c r="AB1307" s="1"/>
      <c r="AC1307" s="1"/>
      <c r="AD1307" s="1"/>
    </row>
    <row r="1308" spans="17:30">
      <c r="Q1308" s="6">
        <v>1278</v>
      </c>
      <c r="R1308" s="7">
        <v>43945</v>
      </c>
      <c r="S1308" s="210">
        <v>4</v>
      </c>
      <c r="T1308" s="8">
        <v>1.0001111111111112</v>
      </c>
      <c r="U1308" s="98">
        <v>3.5531899876098283</v>
      </c>
      <c r="V1308" s="106">
        <v>28921.957276068108</v>
      </c>
      <c r="W1308" s="10">
        <v>0.72528899186354856</v>
      </c>
      <c r="X1308" s="420"/>
      <c r="Y1308" s="420"/>
      <c r="Z1308" s="1"/>
      <c r="AA1308" s="1"/>
      <c r="AB1308" s="1"/>
      <c r="AC1308" s="1"/>
      <c r="AD1308" s="1"/>
    </row>
    <row r="1309" spans="17:30">
      <c r="Q1309" s="6">
        <v>1279</v>
      </c>
      <c r="R1309" s="7">
        <v>43946</v>
      </c>
      <c r="S1309" s="210">
        <v>4</v>
      </c>
      <c r="T1309" s="8">
        <v>1.0001111111111112</v>
      </c>
      <c r="U1309" s="98">
        <v>3.5536464723712413</v>
      </c>
      <c r="V1309" s="106">
        <v>28924.284383343613</v>
      </c>
      <c r="W1309" s="10">
        <v>0.72560079829695479</v>
      </c>
      <c r="X1309" s="420"/>
      <c r="Y1309" s="420"/>
      <c r="Z1309" s="1"/>
      <c r="AA1309" s="1"/>
      <c r="AB1309" s="1"/>
      <c r="AC1309" s="1"/>
      <c r="AD1309" s="1"/>
    </row>
    <row r="1310" spans="17:30">
      <c r="Q1310" s="6">
        <v>1280</v>
      </c>
      <c r="R1310" s="7">
        <v>43947</v>
      </c>
      <c r="S1310" s="210">
        <v>4</v>
      </c>
      <c r="T1310" s="8">
        <v>1.0001111111111112</v>
      </c>
      <c r="U1310" s="98">
        <v>3.5541022458827953</v>
      </c>
      <c r="V1310" s="106">
        <v>28926.611677861918</v>
      </c>
      <c r="W1310" s="10">
        <v>0.72591211849581949</v>
      </c>
      <c r="X1310" s="420"/>
      <c r="Y1310" s="420"/>
      <c r="Z1310" s="1"/>
      <c r="AA1310" s="1"/>
      <c r="AB1310" s="1"/>
      <c r="AC1310" s="1"/>
      <c r="AD1310" s="1"/>
    </row>
    <row r="1311" spans="17:30">
      <c r="Q1311" s="6">
        <v>1281</v>
      </c>
      <c r="R1311" s="7">
        <v>43948</v>
      </c>
      <c r="S1311" s="210">
        <v>4</v>
      </c>
      <c r="T1311" s="8">
        <v>1.0001111111111112</v>
      </c>
      <c r="U1311" s="98">
        <v>3.5545573098054728</v>
      </c>
      <c r="V1311" s="106">
        <v>28928.939159638085</v>
      </c>
      <c r="W1311" s="10">
        <v>0.72622295359654476</v>
      </c>
      <c r="X1311" s="420"/>
      <c r="Y1311" s="420"/>
      <c r="Z1311" s="1"/>
      <c r="AA1311" s="1"/>
      <c r="AB1311" s="1"/>
      <c r="AC1311" s="1"/>
      <c r="AD1311" s="1"/>
    </row>
    <row r="1312" spans="17:30">
      <c r="Q1312" s="6">
        <v>1282</v>
      </c>
      <c r="R1312" s="7">
        <v>43949</v>
      </c>
      <c r="S1312" s="210">
        <v>4</v>
      </c>
      <c r="T1312" s="8">
        <v>1.0001111111111112</v>
      </c>
      <c r="U1312" s="98">
        <v>3.555011665795127</v>
      </c>
      <c r="V1312" s="106">
        <v>28931.266828687189</v>
      </c>
      <c r="W1312" s="10">
        <v>0.7265333047321354</v>
      </c>
      <c r="X1312" s="420"/>
      <c r="Y1312" s="420"/>
      <c r="Z1312" s="1"/>
      <c r="AA1312" s="1"/>
      <c r="AB1312" s="1"/>
      <c r="AC1312" s="1"/>
      <c r="AD1312" s="1"/>
    </row>
    <row r="1313" spans="17:30">
      <c r="Q1313" s="6">
        <v>1283</v>
      </c>
      <c r="R1313" s="7">
        <v>43950</v>
      </c>
      <c r="S1313" s="210">
        <v>4</v>
      </c>
      <c r="T1313" s="8">
        <v>1.0001111111111112</v>
      </c>
      <c r="U1313" s="98">
        <v>3.5554653155024152</v>
      </c>
      <c r="V1313" s="106">
        <v>28933.594685024291</v>
      </c>
      <c r="W1313" s="10">
        <v>0.72684317303191026</v>
      </c>
      <c r="X1313" s="420"/>
      <c r="Y1313" s="420"/>
      <c r="Z1313" s="1"/>
      <c r="AA1313" s="1"/>
      <c r="AB1313" s="1"/>
      <c r="AC1313" s="1"/>
      <c r="AD1313" s="1"/>
    </row>
    <row r="1314" spans="17:30">
      <c r="Q1314" s="6">
        <v>1284</v>
      </c>
      <c r="R1314" s="7">
        <v>43951</v>
      </c>
      <c r="S1314" s="210">
        <v>4</v>
      </c>
      <c r="T1314" s="8">
        <v>1.0001111111111112</v>
      </c>
      <c r="U1314" s="98">
        <v>3.5559182605729101</v>
      </c>
      <c r="V1314" s="106">
        <v>28935.922728664464</v>
      </c>
      <c r="W1314" s="10">
        <v>0.72715255962183534</v>
      </c>
      <c r="X1314" s="420"/>
      <c r="Y1314" s="420"/>
      <c r="Z1314" s="1"/>
      <c r="AA1314" s="1"/>
      <c r="AB1314" s="1"/>
      <c r="AC1314" s="1"/>
      <c r="AD1314" s="1"/>
    </row>
    <row r="1315" spans="17:30">
      <c r="Q1315" s="6">
        <v>1285</v>
      </c>
      <c r="R1315" s="7">
        <v>43952</v>
      </c>
      <c r="S1315" s="210">
        <v>4</v>
      </c>
      <c r="T1315" s="8">
        <v>1.0001111111111112</v>
      </c>
      <c r="U1315" s="98">
        <v>3.5563705026470771</v>
      </c>
      <c r="V1315" s="106">
        <v>28938.250959622783</v>
      </c>
      <c r="W1315" s="10">
        <v>0.7274614656243017</v>
      </c>
      <c r="X1315" s="420"/>
      <c r="Y1315" s="420"/>
      <c r="Z1315" s="1"/>
      <c r="AA1315" s="1"/>
      <c r="AB1315" s="1"/>
      <c r="AC1315" s="1"/>
      <c r="AD1315" s="1"/>
    </row>
    <row r="1316" spans="17:30">
      <c r="Q1316" s="6">
        <v>1286</v>
      </c>
      <c r="R1316" s="7">
        <v>43953</v>
      </c>
      <c r="S1316" s="210">
        <v>4</v>
      </c>
      <c r="T1316" s="8">
        <v>1.0001111111111112</v>
      </c>
      <c r="U1316" s="98">
        <v>3.5568220433602526</v>
      </c>
      <c r="V1316" s="106">
        <v>28940.57937791431</v>
      </c>
      <c r="W1316" s="10">
        <v>0.7277698921581921</v>
      </c>
      <c r="X1316" s="420"/>
      <c r="Y1316" s="420"/>
      <c r="Z1316" s="1"/>
      <c r="AA1316" s="1"/>
      <c r="AB1316" s="1"/>
      <c r="AC1316" s="1"/>
      <c r="AD1316" s="1"/>
    </row>
    <row r="1317" spans="17:30">
      <c r="Q1317" s="6">
        <v>1287</v>
      </c>
      <c r="R1317" s="7">
        <v>43954</v>
      </c>
      <c r="S1317" s="210">
        <v>4</v>
      </c>
      <c r="T1317" s="8">
        <v>1.0001111111111112</v>
      </c>
      <c r="U1317" s="98">
        <v>3.5572728843427548</v>
      </c>
      <c r="V1317" s="106">
        <v>28942.907983554127</v>
      </c>
      <c r="W1317" s="10">
        <v>0.72807784033899203</v>
      </c>
      <c r="X1317" s="420"/>
      <c r="Y1317" s="420"/>
      <c r="Z1317" s="1"/>
      <c r="AA1317" s="1"/>
      <c r="AB1317" s="1"/>
      <c r="AC1317" s="1"/>
      <c r="AD1317" s="1"/>
    </row>
    <row r="1318" spans="17:30">
      <c r="Q1318" s="6">
        <v>1288</v>
      </c>
      <c r="R1318" s="7">
        <v>43955</v>
      </c>
      <c r="S1318" s="210">
        <v>4</v>
      </c>
      <c r="T1318" s="8">
        <v>1.0001111111111112</v>
      </c>
      <c r="U1318" s="98">
        <v>3.5577230272198168</v>
      </c>
      <c r="V1318" s="106">
        <v>28945.236776557307</v>
      </c>
      <c r="W1318" s="10">
        <v>0.72838531127865647</v>
      </c>
      <c r="X1318" s="420"/>
      <c r="Y1318" s="420"/>
      <c r="Z1318" s="1"/>
      <c r="AA1318" s="1"/>
      <c r="AB1318" s="1"/>
      <c r="AC1318" s="1"/>
      <c r="AD1318" s="1"/>
    </row>
    <row r="1319" spans="17:30">
      <c r="Q1319" s="6">
        <v>1289</v>
      </c>
      <c r="R1319" s="7">
        <v>43956</v>
      </c>
      <c r="S1319" s="210">
        <v>4</v>
      </c>
      <c r="T1319" s="8">
        <v>1.0001111111111112</v>
      </c>
      <c r="U1319" s="98">
        <v>3.5581724736116316</v>
      </c>
      <c r="V1319" s="106">
        <v>28947.565756938926</v>
      </c>
      <c r="W1319" s="10">
        <v>0.72869230608569868</v>
      </c>
      <c r="X1319" s="420"/>
      <c r="Y1319" s="420"/>
      <c r="Z1319" s="1"/>
      <c r="AA1319" s="1"/>
      <c r="AB1319" s="1"/>
      <c r="AC1319" s="1"/>
      <c r="AD1319" s="1"/>
    </row>
    <row r="1320" spans="17:30">
      <c r="Q1320" s="6">
        <v>1290</v>
      </c>
      <c r="R1320" s="7">
        <v>43957</v>
      </c>
      <c r="S1320" s="210">
        <v>4</v>
      </c>
      <c r="T1320" s="8">
        <v>1.0001111111111112</v>
      </c>
      <c r="U1320" s="98">
        <v>3.5586212251334404</v>
      </c>
      <c r="V1320" s="106">
        <v>28949.894924714048</v>
      </c>
      <c r="W1320" s="10">
        <v>0.7289988258653235</v>
      </c>
      <c r="X1320" s="420"/>
      <c r="Y1320" s="420"/>
      <c r="Z1320" s="1"/>
      <c r="AA1320" s="1"/>
      <c r="AB1320" s="1"/>
      <c r="AC1320" s="1"/>
      <c r="AD1320" s="1"/>
    </row>
    <row r="1321" spans="17:30">
      <c r="Q1321" s="6">
        <v>1291</v>
      </c>
      <c r="R1321" s="7">
        <v>43958</v>
      </c>
      <c r="S1321" s="210">
        <v>4</v>
      </c>
      <c r="T1321" s="8">
        <v>1.0001111111111112</v>
      </c>
      <c r="U1321" s="98">
        <v>3.559069283395444</v>
      </c>
      <c r="V1321" s="106">
        <v>28952.224279897771</v>
      </c>
      <c r="W1321" s="10">
        <v>0.7293048717191386</v>
      </c>
      <c r="X1321" s="420"/>
      <c r="Y1321" s="420"/>
      <c r="Z1321" s="1"/>
      <c r="AA1321" s="1"/>
      <c r="AB1321" s="1"/>
      <c r="AC1321" s="1"/>
      <c r="AD1321" s="1"/>
    </row>
    <row r="1322" spans="17:30">
      <c r="Q1322" s="6">
        <v>1292</v>
      </c>
      <c r="R1322" s="7">
        <v>43959</v>
      </c>
      <c r="S1322" s="210">
        <v>4</v>
      </c>
      <c r="T1322" s="8">
        <v>1.0001111111111112</v>
      </c>
      <c r="U1322" s="98">
        <v>3.5595166500028697</v>
      </c>
      <c r="V1322" s="106">
        <v>28954.55382250516</v>
      </c>
      <c r="W1322" s="10">
        <v>0.72961044474548764</v>
      </c>
      <c r="X1322" s="420"/>
      <c r="Y1322" s="420"/>
      <c r="Z1322" s="1"/>
      <c r="AA1322" s="1"/>
      <c r="AB1322" s="1"/>
      <c r="AC1322" s="1"/>
      <c r="AD1322" s="1"/>
    </row>
    <row r="1323" spans="17:30">
      <c r="Q1323" s="6">
        <v>1293</v>
      </c>
      <c r="R1323" s="7">
        <v>43960</v>
      </c>
      <c r="S1323" s="210">
        <v>4</v>
      </c>
      <c r="T1323" s="8">
        <v>1.0001111111111112</v>
      </c>
      <c r="U1323" s="98">
        <v>3.5599633265560371</v>
      </c>
      <c r="V1323" s="106">
        <v>28956.883552551302</v>
      </c>
      <c r="W1323" s="10">
        <v>0.72991554603922815</v>
      </c>
      <c r="X1323" s="420"/>
      <c r="Y1323" s="420"/>
      <c r="Z1323" s="1"/>
      <c r="AA1323" s="1"/>
      <c r="AB1323" s="1"/>
      <c r="AC1323" s="1"/>
      <c r="AD1323" s="1"/>
    </row>
    <row r="1324" spans="17:30">
      <c r="Q1324" s="6">
        <v>1294</v>
      </c>
      <c r="R1324" s="7">
        <v>43961</v>
      </c>
      <c r="S1324" s="210">
        <v>4</v>
      </c>
      <c r="T1324" s="8">
        <v>1.0001111111111112</v>
      </c>
      <c r="U1324" s="98">
        <v>3.5604093146502702</v>
      </c>
      <c r="V1324" s="106">
        <v>28959.138308496171</v>
      </c>
      <c r="W1324" s="10">
        <v>0.73029392092929246</v>
      </c>
      <c r="X1324" s="420"/>
      <c r="Y1324" s="420"/>
      <c r="Z1324" s="1"/>
      <c r="AA1324" s="1"/>
      <c r="AB1324" s="1"/>
      <c r="AC1324" s="1"/>
      <c r="AD1324" s="1"/>
    </row>
    <row r="1325" spans="17:30">
      <c r="Q1325" s="6">
        <v>1295</v>
      </c>
      <c r="R1325" s="7">
        <v>43962</v>
      </c>
      <c r="S1325" s="210">
        <v>4</v>
      </c>
      <c r="T1325" s="8">
        <v>1.0001111111111112</v>
      </c>
      <c r="U1325" s="98">
        <v>3.5608546158760523</v>
      </c>
      <c r="V1325" s="106">
        <v>28961.393240009813</v>
      </c>
      <c r="W1325" s="10">
        <v>0.73067171287459765</v>
      </c>
      <c r="X1325" s="420"/>
      <c r="Y1325" s="420"/>
      <c r="Z1325" s="1"/>
      <c r="AA1325" s="1"/>
      <c r="AB1325" s="1"/>
      <c r="AC1325" s="1"/>
      <c r="AD1325" s="1"/>
    </row>
    <row r="1326" spans="17:30">
      <c r="Q1326" s="6">
        <v>1296</v>
      </c>
      <c r="R1326" s="7">
        <v>43963</v>
      </c>
      <c r="S1326" s="210">
        <v>4</v>
      </c>
      <c r="T1326" s="8">
        <v>1.0001111111111112</v>
      </c>
      <c r="U1326" s="98">
        <v>3.561299231818893</v>
      </c>
      <c r="V1326" s="106">
        <v>28963.648347105889</v>
      </c>
      <c r="W1326" s="10">
        <v>0.73104892322126691</v>
      </c>
      <c r="X1326" s="420"/>
      <c r="Y1326" s="420"/>
      <c r="Z1326" s="1"/>
      <c r="AA1326" s="1"/>
      <c r="AB1326" s="1"/>
      <c r="AC1326" s="1"/>
      <c r="AD1326" s="1"/>
    </row>
    <row r="1327" spans="17:30">
      <c r="Q1327" s="6">
        <v>1297</v>
      </c>
      <c r="R1327" s="7">
        <v>43964</v>
      </c>
      <c r="S1327" s="210">
        <v>4</v>
      </c>
      <c r="T1327" s="8">
        <v>1.0001111111111112</v>
      </c>
      <c r="U1327" s="98">
        <v>3.5617431640595054</v>
      </c>
      <c r="V1327" s="106">
        <v>28965.903629798071</v>
      </c>
      <c r="W1327" s="10">
        <v>0.73142555331136005</v>
      </c>
      <c r="X1327" s="420"/>
      <c r="Y1327" s="420"/>
      <c r="Z1327" s="1"/>
      <c r="AA1327" s="1"/>
      <c r="AB1327" s="1"/>
      <c r="AC1327" s="1"/>
      <c r="AD1327" s="1"/>
    </row>
    <row r="1328" spans="17:30">
      <c r="Q1328" s="6">
        <v>1298</v>
      </c>
      <c r="R1328" s="7">
        <v>43965</v>
      </c>
      <c r="S1328" s="210">
        <v>4</v>
      </c>
      <c r="T1328" s="8">
        <v>1.0001111111111112</v>
      </c>
      <c r="U1328" s="98">
        <v>3.5621864141736737</v>
      </c>
      <c r="V1328" s="106">
        <v>28968.159088100048</v>
      </c>
      <c r="W1328" s="10">
        <v>0.73180160448265141</v>
      </c>
      <c r="X1328" s="420"/>
      <c r="Y1328" s="420"/>
      <c r="Z1328" s="1"/>
      <c r="AA1328" s="1"/>
      <c r="AB1328" s="1"/>
      <c r="AC1328" s="1"/>
      <c r="AD1328" s="1"/>
    </row>
    <row r="1329" spans="17:30">
      <c r="Q1329" s="6">
        <v>1299</v>
      </c>
      <c r="R1329" s="7">
        <v>43966</v>
      </c>
      <c r="S1329" s="210">
        <v>4</v>
      </c>
      <c r="T1329" s="8">
        <v>1.0001111111111112</v>
      </c>
      <c r="U1329" s="98">
        <v>3.5626289837323855</v>
      </c>
      <c r="V1329" s="106">
        <v>28970.414722025474</v>
      </c>
      <c r="W1329" s="10">
        <v>0.73217707806896293</v>
      </c>
      <c r="X1329" s="420"/>
      <c r="Y1329" s="420"/>
      <c r="Z1329" s="1"/>
      <c r="AA1329" s="1"/>
      <c r="AB1329" s="1"/>
      <c r="AC1329" s="1"/>
      <c r="AD1329" s="1"/>
    </row>
    <row r="1330" spans="17:30">
      <c r="Q1330" s="6">
        <v>1300</v>
      </c>
      <c r="R1330" s="7">
        <v>43967</v>
      </c>
      <c r="S1330" s="210">
        <v>4</v>
      </c>
      <c r="T1330" s="8">
        <v>1.0001111111111112</v>
      </c>
      <c r="U1330" s="98">
        <v>3.5630708743018102</v>
      </c>
      <c r="V1330" s="106">
        <v>28972.670531588039</v>
      </c>
      <c r="W1330" s="10">
        <v>0.7325519753999199</v>
      </c>
      <c r="X1330" s="420"/>
      <c r="Y1330" s="420"/>
      <c r="Z1330" s="1"/>
      <c r="AA1330" s="1"/>
      <c r="AB1330" s="1"/>
      <c r="AC1330" s="1"/>
      <c r="AD1330" s="1"/>
    </row>
    <row r="1331" spans="17:30">
      <c r="Q1331" s="6">
        <v>1301</v>
      </c>
      <c r="R1331" s="7">
        <v>43968</v>
      </c>
      <c r="S1331" s="210">
        <v>4</v>
      </c>
      <c r="T1331" s="8">
        <v>1.0001111111111112</v>
      </c>
      <c r="U1331" s="98">
        <v>3.5635120874432769</v>
      </c>
      <c r="V1331" s="106">
        <v>28974.92651680141</v>
      </c>
      <c r="W1331" s="10">
        <v>0.73292629780112861</v>
      </c>
      <c r="X1331" s="420"/>
      <c r="Y1331" s="420"/>
      <c r="Z1331" s="1"/>
      <c r="AA1331" s="1"/>
      <c r="AB1331" s="1"/>
      <c r="AC1331" s="1"/>
      <c r="AD1331" s="1"/>
    </row>
    <row r="1332" spans="17:30">
      <c r="Q1332" s="6">
        <v>1302</v>
      </c>
      <c r="R1332" s="7">
        <v>43969</v>
      </c>
      <c r="S1332" s="210">
        <v>4</v>
      </c>
      <c r="T1332" s="8">
        <v>1.0001111111111112</v>
      </c>
      <c r="U1332" s="98">
        <v>3.5639526247133846</v>
      </c>
      <c r="V1332" s="106">
        <v>28977.182677679262</v>
      </c>
      <c r="W1332" s="10">
        <v>0.73330004659415415</v>
      </c>
      <c r="X1332" s="420"/>
      <c r="Y1332" s="420"/>
      <c r="Z1332" s="1"/>
      <c r="AA1332" s="1"/>
      <c r="AB1332" s="1"/>
      <c r="AC1332" s="1"/>
      <c r="AD1332" s="1"/>
    </row>
    <row r="1333" spans="17:30">
      <c r="Q1333" s="6">
        <v>1303</v>
      </c>
      <c r="R1333" s="7">
        <v>43970</v>
      </c>
      <c r="S1333" s="210">
        <v>4</v>
      </c>
      <c r="T1333" s="8">
        <v>1.0001111111111112</v>
      </c>
      <c r="U1333" s="98">
        <v>3.5643924876639144</v>
      </c>
      <c r="V1333" s="106">
        <v>28979.439014235282</v>
      </c>
      <c r="W1333" s="10">
        <v>0.73367322309638716</v>
      </c>
      <c r="X1333" s="420"/>
      <c r="Y1333" s="420"/>
      <c r="Z1333" s="1"/>
      <c r="AA1333" s="1"/>
      <c r="AB1333" s="1"/>
      <c r="AC1333" s="1"/>
      <c r="AD1333" s="1"/>
    </row>
    <row r="1334" spans="17:30">
      <c r="Q1334" s="6">
        <v>1304</v>
      </c>
      <c r="R1334" s="7">
        <v>43971</v>
      </c>
      <c r="S1334" s="210">
        <v>4</v>
      </c>
      <c r="T1334" s="8">
        <v>1.0001111111111112</v>
      </c>
      <c r="U1334" s="98">
        <v>3.5648316778419398</v>
      </c>
      <c r="V1334" s="106">
        <v>28981.695526483152</v>
      </c>
      <c r="W1334" s="10">
        <v>0.73404582862131029</v>
      </c>
      <c r="X1334" s="420"/>
      <c r="Y1334" s="420"/>
      <c r="Z1334" s="1"/>
      <c r="AA1334" s="1"/>
      <c r="AB1334" s="1"/>
      <c r="AC1334" s="1"/>
      <c r="AD1334" s="1"/>
    </row>
    <row r="1335" spans="17:30">
      <c r="Q1335" s="6">
        <v>1305</v>
      </c>
      <c r="R1335" s="7">
        <v>43972</v>
      </c>
      <c r="S1335" s="210">
        <v>4</v>
      </c>
      <c r="T1335" s="8">
        <v>1.0001111111111112</v>
      </c>
      <c r="U1335" s="98">
        <v>3.5652701967897826</v>
      </c>
      <c r="V1335" s="106">
        <v>28983.95221443654</v>
      </c>
      <c r="W1335" s="10">
        <v>0.73441786447838719</v>
      </c>
      <c r="X1335" s="420"/>
      <c r="Y1335" s="420"/>
      <c r="Z1335" s="1"/>
      <c r="AA1335" s="1"/>
      <c r="AB1335" s="1"/>
      <c r="AC1335" s="1"/>
      <c r="AD1335" s="1"/>
    </row>
    <row r="1336" spans="17:30">
      <c r="Q1336" s="6">
        <v>1306</v>
      </c>
      <c r="R1336" s="7">
        <v>43973</v>
      </c>
      <c r="S1336" s="210">
        <v>4</v>
      </c>
      <c r="T1336" s="8">
        <v>1.0001111111111112</v>
      </c>
      <c r="U1336" s="98">
        <v>3.5657080460450574</v>
      </c>
      <c r="V1336" s="106">
        <v>28986.209078109139</v>
      </c>
      <c r="W1336" s="10">
        <v>0.73478933197297369</v>
      </c>
      <c r="X1336" s="420"/>
      <c r="Y1336" s="420"/>
      <c r="Z1336" s="1"/>
      <c r="AA1336" s="1"/>
      <c r="AB1336" s="1"/>
      <c r="AC1336" s="1"/>
      <c r="AD1336" s="1"/>
    </row>
    <row r="1337" spans="17:30">
      <c r="Q1337" s="6">
        <v>1307</v>
      </c>
      <c r="R1337" s="7">
        <v>43974</v>
      </c>
      <c r="S1337" s="210">
        <v>4</v>
      </c>
      <c r="T1337" s="8">
        <v>1.0001111111111112</v>
      </c>
      <c r="U1337" s="98">
        <v>3.5661452271406935</v>
      </c>
      <c r="V1337" s="106">
        <v>28988.466117514621</v>
      </c>
      <c r="W1337" s="10">
        <v>0.73516023240656203</v>
      </c>
      <c r="X1337" s="420"/>
      <c r="Y1337" s="420"/>
      <c r="Z1337" s="1"/>
      <c r="AA1337" s="1"/>
      <c r="AB1337" s="1"/>
      <c r="AC1337" s="1"/>
      <c r="AD1337" s="1"/>
    </row>
    <row r="1338" spans="17:30">
      <c r="Q1338" s="6">
        <v>1308</v>
      </c>
      <c r="R1338" s="7">
        <v>43975</v>
      </c>
      <c r="S1338" s="210">
        <v>4</v>
      </c>
      <c r="T1338" s="8">
        <v>1.0001111111111112</v>
      </c>
      <c r="U1338" s="98">
        <v>3.5665817416049572</v>
      </c>
      <c r="V1338" s="106">
        <v>28990.723332666676</v>
      </c>
      <c r="W1338" s="10">
        <v>0.73553056707662545</v>
      </c>
      <c r="X1338" s="420"/>
      <c r="Y1338" s="420"/>
      <c r="Z1338" s="1"/>
      <c r="AA1338" s="1"/>
      <c r="AB1338" s="1"/>
      <c r="AC1338" s="1"/>
      <c r="AD1338" s="1"/>
    </row>
    <row r="1339" spans="17:30">
      <c r="Q1339" s="6">
        <v>1309</v>
      </c>
      <c r="R1339" s="7">
        <v>43976</v>
      </c>
      <c r="S1339" s="210">
        <v>4</v>
      </c>
      <c r="T1339" s="8">
        <v>1.0001111111111112</v>
      </c>
      <c r="U1339" s="98">
        <v>3.5670175909614077</v>
      </c>
      <c r="V1339" s="106">
        <v>28992.980723578989</v>
      </c>
      <c r="W1339" s="10">
        <v>0.73590033727664039</v>
      </c>
      <c r="X1339" s="420"/>
      <c r="Y1339" s="420"/>
      <c r="Z1339" s="1"/>
      <c r="AA1339" s="1"/>
      <c r="AB1339" s="1"/>
      <c r="AC1339" s="1"/>
      <c r="AD1339" s="1"/>
    </row>
    <row r="1340" spans="17:30">
      <c r="Q1340" s="6">
        <v>1310</v>
      </c>
      <c r="R1340" s="7">
        <v>43977</v>
      </c>
      <c r="S1340" s="210">
        <v>4</v>
      </c>
      <c r="T1340" s="8">
        <v>1.0001111111111112</v>
      </c>
      <c r="U1340" s="98">
        <v>3.5674527767290298</v>
      </c>
      <c r="V1340" s="106">
        <v>28995.238290265243</v>
      </c>
      <c r="W1340" s="10">
        <v>0.73626954429619751</v>
      </c>
      <c r="X1340" s="420"/>
      <c r="Y1340" s="420"/>
      <c r="Z1340" s="1"/>
      <c r="AA1340" s="1"/>
      <c r="AB1340" s="1"/>
      <c r="AC1340" s="1"/>
      <c r="AD1340" s="1"/>
    </row>
    <row r="1341" spans="17:30">
      <c r="Q1341" s="6">
        <v>1311</v>
      </c>
      <c r="R1341" s="7">
        <v>43978</v>
      </c>
      <c r="S1341" s="210">
        <v>4</v>
      </c>
      <c r="T1341" s="8">
        <v>1.0001111111111112</v>
      </c>
      <c r="U1341" s="98">
        <v>3.5678873004221456</v>
      </c>
      <c r="V1341" s="106">
        <v>28997.496032739124</v>
      </c>
      <c r="W1341" s="10">
        <v>0.73663818942097947</v>
      </c>
      <c r="X1341" s="420"/>
      <c r="Y1341" s="420"/>
      <c r="Z1341" s="1"/>
      <c r="AA1341" s="1"/>
      <c r="AB1341" s="1"/>
      <c r="AC1341" s="1"/>
      <c r="AD1341" s="1"/>
    </row>
    <row r="1342" spans="17:30">
      <c r="Q1342" s="6">
        <v>1312</v>
      </c>
      <c r="R1342" s="7">
        <v>43979</v>
      </c>
      <c r="S1342" s="210">
        <v>4</v>
      </c>
      <c r="T1342" s="8">
        <v>1.0001111111111112</v>
      </c>
      <c r="U1342" s="98">
        <v>3.568321163550503</v>
      </c>
      <c r="V1342" s="106">
        <v>28999.753951014329</v>
      </c>
      <c r="W1342" s="10">
        <v>0.73700627393271656</v>
      </c>
      <c r="X1342" s="420"/>
      <c r="Y1342" s="420"/>
      <c r="Z1342" s="1"/>
      <c r="AA1342" s="1"/>
      <c r="AB1342" s="1"/>
      <c r="AC1342" s="1"/>
      <c r="AD1342" s="1"/>
    </row>
    <row r="1343" spans="17:30">
      <c r="Q1343" s="6">
        <v>1313</v>
      </c>
      <c r="R1343" s="7">
        <v>43980</v>
      </c>
      <c r="S1343" s="210">
        <v>4</v>
      </c>
      <c r="T1343" s="8">
        <v>1.0001111111111112</v>
      </c>
      <c r="U1343" s="98">
        <v>3.5687543676192091</v>
      </c>
      <c r="V1343" s="106">
        <v>29002.012045104537</v>
      </c>
      <c r="W1343" s="10">
        <v>0.73737379910920886</v>
      </c>
      <c r="X1343" s="420"/>
      <c r="Y1343" s="420"/>
      <c r="Z1343" s="1"/>
      <c r="AA1343" s="1"/>
      <c r="AB1343" s="1"/>
      <c r="AC1343" s="1"/>
      <c r="AD1343" s="1"/>
    </row>
    <row r="1344" spans="17:30">
      <c r="Q1344" s="6">
        <v>1314</v>
      </c>
      <c r="R1344" s="7">
        <v>43981</v>
      </c>
      <c r="S1344" s="210">
        <v>4</v>
      </c>
      <c r="T1344" s="8">
        <v>1.0001111111111112</v>
      </c>
      <c r="U1344" s="98">
        <v>3.5691869141288635</v>
      </c>
      <c r="V1344" s="106">
        <v>29004.270315023434</v>
      </c>
      <c r="W1344" s="10">
        <v>0.7377407662244817</v>
      </c>
      <c r="X1344" s="420"/>
      <c r="Y1344" s="420"/>
      <c r="Z1344" s="1"/>
      <c r="AA1344" s="1"/>
      <c r="AB1344" s="1"/>
      <c r="AC1344" s="1"/>
      <c r="AD1344" s="1"/>
    </row>
    <row r="1345" spans="17:30">
      <c r="Q1345" s="6">
        <v>1315</v>
      </c>
      <c r="R1345" s="7">
        <v>43982</v>
      </c>
      <c r="S1345" s="210">
        <v>4</v>
      </c>
      <c r="T1345" s="8">
        <v>1.0001111111111112</v>
      </c>
      <c r="U1345" s="98">
        <v>3.5696188045754917</v>
      </c>
      <c r="V1345" s="106">
        <v>29006.528760784728</v>
      </c>
      <c r="W1345" s="10">
        <v>0.73810717654860802</v>
      </c>
      <c r="X1345" s="420"/>
      <c r="Y1345" s="420"/>
      <c r="Z1345" s="1"/>
      <c r="AA1345" s="1"/>
      <c r="AB1345" s="1"/>
      <c r="AC1345" s="1"/>
      <c r="AD1345" s="1"/>
    </row>
    <row r="1346" spans="17:30">
      <c r="Q1346" s="6">
        <v>1316</v>
      </c>
      <c r="R1346" s="7">
        <v>43983</v>
      </c>
      <c r="S1346" s="210">
        <v>4</v>
      </c>
      <c r="T1346" s="8">
        <v>1.0001111111111112</v>
      </c>
      <c r="U1346" s="98">
        <v>3.5700500404505675</v>
      </c>
      <c r="V1346" s="106">
        <v>29008.787382402097</v>
      </c>
      <c r="W1346" s="10">
        <v>0.73847303134784159</v>
      </c>
      <c r="X1346" s="420"/>
      <c r="Y1346" s="420"/>
      <c r="Z1346" s="1"/>
      <c r="AA1346" s="1"/>
      <c r="AB1346" s="1"/>
      <c r="AC1346" s="1"/>
      <c r="AD1346" s="1"/>
    </row>
    <row r="1347" spans="17:30">
      <c r="Q1347" s="6">
        <v>1317</v>
      </c>
      <c r="R1347" s="7">
        <v>43984</v>
      </c>
      <c r="S1347" s="210">
        <v>4</v>
      </c>
      <c r="T1347" s="8">
        <v>1.0001111111111112</v>
      </c>
      <c r="U1347" s="98">
        <v>3.5704806232410569</v>
      </c>
      <c r="V1347" s="106">
        <v>29011.046179889239</v>
      </c>
      <c r="W1347" s="10">
        <v>0.7388383318845726</v>
      </c>
      <c r="X1347" s="420"/>
      <c r="Y1347" s="420"/>
      <c r="Z1347" s="1"/>
      <c r="AA1347" s="1"/>
      <c r="AB1347" s="1"/>
      <c r="AC1347" s="1"/>
      <c r="AD1347" s="1"/>
    </row>
    <row r="1348" spans="17:30">
      <c r="Q1348" s="6">
        <v>1318</v>
      </c>
      <c r="R1348" s="7">
        <v>43985</v>
      </c>
      <c r="S1348" s="210">
        <v>4</v>
      </c>
      <c r="T1348" s="8">
        <v>1.0001111111111112</v>
      </c>
      <c r="U1348" s="98">
        <v>3.5709105544294184</v>
      </c>
      <c r="V1348" s="106">
        <v>29013.305153259847</v>
      </c>
      <c r="W1348" s="10">
        <v>0.73920307941739427</v>
      </c>
      <c r="X1348" s="420"/>
      <c r="Y1348" s="420"/>
      <c r="Z1348" s="1"/>
      <c r="AA1348" s="1"/>
      <c r="AB1348" s="1"/>
      <c r="AC1348" s="1"/>
      <c r="AD1348" s="1"/>
    </row>
    <row r="1349" spans="17:30">
      <c r="Q1349" s="6">
        <v>1319</v>
      </c>
      <c r="R1349" s="7">
        <v>43986</v>
      </c>
      <c r="S1349" s="210">
        <v>4</v>
      </c>
      <c r="T1349" s="8">
        <v>1.0001111111111112</v>
      </c>
      <c r="U1349" s="98">
        <v>3.5713398354936476</v>
      </c>
      <c r="V1349" s="106">
        <v>29015.564302527615</v>
      </c>
      <c r="W1349" s="10">
        <v>0.73956727520110288</v>
      </c>
      <c r="X1349" s="420"/>
      <c r="Y1349" s="420"/>
      <c r="Z1349" s="1"/>
      <c r="AA1349" s="1"/>
      <c r="AB1349" s="1"/>
      <c r="AC1349" s="1"/>
      <c r="AD1349" s="1"/>
    </row>
    <row r="1350" spans="17:30">
      <c r="Q1350" s="6">
        <v>1320</v>
      </c>
      <c r="R1350" s="7">
        <v>43987</v>
      </c>
      <c r="S1350" s="210">
        <v>4</v>
      </c>
      <c r="T1350" s="8">
        <v>1.0001111111111112</v>
      </c>
      <c r="U1350" s="98">
        <v>3.571768467907277</v>
      </c>
      <c r="V1350" s="106">
        <v>29017.823627706242</v>
      </c>
      <c r="W1350" s="10">
        <v>0.73993092048669773</v>
      </c>
      <c r="X1350" s="420"/>
      <c r="Y1350" s="420"/>
      <c r="Z1350" s="1"/>
      <c r="AA1350" s="1"/>
      <c r="AB1350" s="1"/>
      <c r="AC1350" s="1"/>
      <c r="AD1350" s="1"/>
    </row>
    <row r="1351" spans="17:30">
      <c r="Q1351" s="6">
        <v>1321</v>
      </c>
      <c r="R1351" s="7">
        <v>43988</v>
      </c>
      <c r="S1351" s="210">
        <v>4</v>
      </c>
      <c r="T1351" s="8">
        <v>1.0001111111111112</v>
      </c>
      <c r="U1351" s="98">
        <v>3.5721964531393535</v>
      </c>
      <c r="V1351" s="106">
        <v>29020.083128809423</v>
      </c>
      <c r="W1351" s="10">
        <v>0.74029401652133675</v>
      </c>
      <c r="X1351" s="420"/>
      <c r="Y1351" s="420"/>
      <c r="Z1351" s="1"/>
      <c r="AA1351" s="1"/>
      <c r="AB1351" s="1"/>
      <c r="AC1351" s="1"/>
      <c r="AD1351" s="1"/>
    </row>
    <row r="1352" spans="17:30">
      <c r="Q1352" s="6">
        <v>1322</v>
      </c>
      <c r="R1352" s="7">
        <v>43989</v>
      </c>
      <c r="S1352" s="210">
        <v>4</v>
      </c>
      <c r="T1352" s="8">
        <v>1.0001111111111112</v>
      </c>
      <c r="U1352" s="98">
        <v>3.5726237926545279</v>
      </c>
      <c r="V1352" s="106">
        <v>29022.342805850865</v>
      </c>
      <c r="W1352" s="10">
        <v>0.74065656454851414</v>
      </c>
      <c r="X1352" s="420"/>
      <c r="Y1352" s="420"/>
      <c r="Z1352" s="1"/>
      <c r="AA1352" s="1"/>
      <c r="AB1352" s="1"/>
      <c r="AC1352" s="1"/>
      <c r="AD1352" s="1"/>
    </row>
    <row r="1353" spans="17:30">
      <c r="Q1353" s="6">
        <v>1323</v>
      </c>
      <c r="R1353" s="7">
        <v>43990</v>
      </c>
      <c r="S1353" s="210">
        <v>4</v>
      </c>
      <c r="T1353" s="8">
        <v>1.0001111111111112</v>
      </c>
      <c r="U1353" s="98">
        <v>3.5730504879130098</v>
      </c>
      <c r="V1353" s="106">
        <v>29024.602658844255</v>
      </c>
      <c r="W1353" s="10">
        <v>0.74101856580790493</v>
      </c>
      <c r="X1353" s="420"/>
      <c r="Y1353" s="420"/>
      <c r="Z1353" s="1"/>
      <c r="AA1353" s="1"/>
      <c r="AB1353" s="1"/>
      <c r="AC1353" s="1"/>
      <c r="AD1353" s="1"/>
    </row>
    <row r="1354" spans="17:30">
      <c r="Q1354" s="6">
        <v>1324</v>
      </c>
      <c r="R1354" s="7">
        <v>43991</v>
      </c>
      <c r="S1354" s="210">
        <v>4</v>
      </c>
      <c r="T1354" s="8">
        <v>1.0001111111111112</v>
      </c>
      <c r="U1354" s="98">
        <v>3.5734765403706348</v>
      </c>
      <c r="V1354" s="106">
        <v>29026.862687803303</v>
      </c>
      <c r="W1354" s="10">
        <v>0.74138002153545379</v>
      </c>
      <c r="X1354" s="420"/>
      <c r="Y1354" s="420"/>
      <c r="Z1354" s="1"/>
      <c r="AA1354" s="1"/>
      <c r="AB1354" s="1"/>
      <c r="AC1354" s="1"/>
      <c r="AD1354" s="1"/>
    </row>
    <row r="1355" spans="17:30">
      <c r="Q1355" s="6">
        <v>1325</v>
      </c>
      <c r="R1355" s="7">
        <v>43992</v>
      </c>
      <c r="S1355" s="210">
        <v>4</v>
      </c>
      <c r="T1355" s="8">
        <v>1.0001111111111112</v>
      </c>
      <c r="U1355" s="98">
        <v>3.5739019514788195</v>
      </c>
      <c r="V1355" s="106">
        <v>29029.198235937238</v>
      </c>
      <c r="W1355" s="10">
        <v>0.74166890587805678</v>
      </c>
      <c r="X1355" s="420"/>
      <c r="Y1355" s="420"/>
      <c r="Z1355" s="1"/>
      <c r="AA1355" s="1"/>
      <c r="AB1355" s="1"/>
      <c r="AC1355" s="1"/>
      <c r="AD1355" s="1"/>
    </row>
    <row r="1356" spans="17:30">
      <c r="Q1356" s="6">
        <v>1326</v>
      </c>
      <c r="R1356" s="7">
        <v>43993</v>
      </c>
      <c r="S1356" s="210">
        <v>4</v>
      </c>
      <c r="T1356" s="8">
        <v>1.0001111111111112</v>
      </c>
      <c r="U1356" s="98">
        <v>3.5743267226846509</v>
      </c>
      <c r="V1356" s="106">
        <v>29031.533971993133</v>
      </c>
      <c r="W1356" s="10">
        <v>0.74195735532418539</v>
      </c>
      <c r="X1356" s="420"/>
      <c r="Y1356" s="420"/>
      <c r="Z1356" s="1"/>
      <c r="AA1356" s="1"/>
      <c r="AB1356" s="1"/>
      <c r="AC1356" s="1"/>
      <c r="AD1356" s="1"/>
    </row>
    <row r="1357" spans="17:30">
      <c r="Q1357" s="6">
        <v>1327</v>
      </c>
      <c r="R1357" s="7">
        <v>43994</v>
      </c>
      <c r="S1357" s="210">
        <v>4</v>
      </c>
      <c r="T1357" s="8">
        <v>1.0001111111111112</v>
      </c>
      <c r="U1357" s="98">
        <v>3.5747508554308416</v>
      </c>
      <c r="V1357" s="106">
        <v>29033.869895986118</v>
      </c>
      <c r="W1357" s="10">
        <v>0.74224537085516573</v>
      </c>
      <c r="X1357" s="420"/>
      <c r="Y1357" s="420"/>
      <c r="Z1357" s="1"/>
      <c r="AA1357" s="1"/>
      <c r="AB1357" s="1"/>
      <c r="AC1357" s="1"/>
      <c r="AD1357" s="1"/>
    </row>
    <row r="1358" spans="17:30">
      <c r="Q1358" s="6">
        <v>1328</v>
      </c>
      <c r="R1358" s="7">
        <v>43995</v>
      </c>
      <c r="S1358" s="210">
        <v>4</v>
      </c>
      <c r="T1358" s="8">
        <v>1.0001111111111112</v>
      </c>
      <c r="U1358" s="98">
        <v>3.5751743511557965</v>
      </c>
      <c r="V1358" s="106">
        <v>29036.206007931309</v>
      </c>
      <c r="W1358" s="10">
        <v>0.74253295344941517</v>
      </c>
      <c r="X1358" s="420"/>
      <c r="Y1358" s="420"/>
      <c r="Z1358" s="1"/>
      <c r="AA1358" s="1"/>
      <c r="AB1358" s="1"/>
      <c r="AC1358" s="1"/>
      <c r="AD1358" s="1"/>
    </row>
    <row r="1359" spans="17:30">
      <c r="Q1359" s="6">
        <v>1329</v>
      </c>
      <c r="R1359" s="7">
        <v>43996</v>
      </c>
      <c r="S1359" s="210">
        <v>4</v>
      </c>
      <c r="T1359" s="8">
        <v>1.0001111111111112</v>
      </c>
      <c r="U1359" s="98">
        <v>3.5755972112935686</v>
      </c>
      <c r="V1359" s="106">
        <v>29038.542307843829</v>
      </c>
      <c r="W1359" s="10">
        <v>0.74282010408230903</v>
      </c>
      <c r="X1359" s="420"/>
      <c r="Y1359" s="420"/>
      <c r="Z1359" s="1"/>
      <c r="AA1359" s="1"/>
      <c r="AB1359" s="1"/>
      <c r="AC1359" s="1"/>
      <c r="AD1359" s="1"/>
    </row>
    <row r="1360" spans="17:30">
      <c r="Q1360" s="6">
        <v>1330</v>
      </c>
      <c r="R1360" s="7">
        <v>43997</v>
      </c>
      <c r="S1360" s="210">
        <v>4</v>
      </c>
      <c r="T1360" s="8">
        <v>1.0001111111111112</v>
      </c>
      <c r="U1360" s="98">
        <v>3.5760194372739251</v>
      </c>
      <c r="V1360" s="106">
        <v>29040.878795738809</v>
      </c>
      <c r="W1360" s="10">
        <v>0.74310682372635828</v>
      </c>
      <c r="X1360" s="420"/>
      <c r="Y1360" s="420"/>
      <c r="Z1360" s="1"/>
      <c r="AA1360" s="1"/>
      <c r="AB1360" s="1"/>
      <c r="AC1360" s="1"/>
      <c r="AD1360" s="1"/>
    </row>
    <row r="1361" spans="17:30">
      <c r="Q1361" s="6">
        <v>1331</v>
      </c>
      <c r="R1361" s="7">
        <v>43998</v>
      </c>
      <c r="S1361" s="210">
        <v>4</v>
      </c>
      <c r="T1361" s="8">
        <v>1.0001111111111112</v>
      </c>
      <c r="U1361" s="98">
        <v>3.5764410305223482</v>
      </c>
      <c r="V1361" s="106">
        <v>29043.215471631363</v>
      </c>
      <c r="W1361" s="10">
        <v>0.7433931133511873</v>
      </c>
      <c r="X1361" s="420"/>
      <c r="Y1361" s="420"/>
      <c r="Z1361" s="1"/>
      <c r="AA1361" s="1"/>
      <c r="AB1361" s="1"/>
      <c r="AC1361" s="1"/>
      <c r="AD1361" s="1"/>
    </row>
    <row r="1362" spans="17:30">
      <c r="Q1362" s="6">
        <v>1332</v>
      </c>
      <c r="R1362" s="7">
        <v>43999</v>
      </c>
      <c r="S1362" s="210">
        <v>4</v>
      </c>
      <c r="T1362" s="8">
        <v>1.0001111111111112</v>
      </c>
      <c r="U1362" s="98">
        <v>3.5768619924600564</v>
      </c>
      <c r="V1362" s="106">
        <v>29045.552335536624</v>
      </c>
      <c r="W1362" s="10">
        <v>0.74367897392344506</v>
      </c>
      <c r="X1362" s="420"/>
      <c r="Y1362" s="420"/>
      <c r="Z1362" s="1"/>
      <c r="AA1362" s="1"/>
      <c r="AB1362" s="1"/>
      <c r="AC1362" s="1"/>
      <c r="AD1362" s="1"/>
    </row>
    <row r="1363" spans="17:30">
      <c r="Q1363" s="6">
        <v>1333</v>
      </c>
      <c r="R1363" s="7">
        <v>44000</v>
      </c>
      <c r="S1363" s="210">
        <v>4</v>
      </c>
      <c r="T1363" s="8">
        <v>1.0001111111111112</v>
      </c>
      <c r="U1363" s="98">
        <v>3.5772823245040053</v>
      </c>
      <c r="V1363" s="106">
        <v>29047.889387469721</v>
      </c>
      <c r="W1363" s="10">
        <v>0.74396440640691619</v>
      </c>
      <c r="X1363" s="420"/>
      <c r="Y1363" s="420"/>
      <c r="Z1363" s="1"/>
      <c r="AA1363" s="1"/>
      <c r="AB1363" s="1"/>
      <c r="AC1363" s="1"/>
      <c r="AD1363" s="1"/>
    </row>
    <row r="1364" spans="17:30">
      <c r="Q1364" s="6">
        <v>1334</v>
      </c>
      <c r="R1364" s="7">
        <v>44001</v>
      </c>
      <c r="S1364" s="210">
        <v>4</v>
      </c>
      <c r="T1364" s="8">
        <v>1.0001111111111112</v>
      </c>
      <c r="U1364" s="98">
        <v>3.5777020280669314</v>
      </c>
      <c r="V1364" s="106">
        <v>29050.226627445787</v>
      </c>
      <c r="W1364" s="10">
        <v>0.74424941176252091</v>
      </c>
      <c r="X1364" s="420"/>
      <c r="Y1364" s="420"/>
      <c r="Z1364" s="1"/>
      <c r="AA1364" s="1"/>
      <c r="AB1364" s="1"/>
      <c r="AC1364" s="1"/>
      <c r="AD1364" s="1"/>
    </row>
    <row r="1365" spans="17:30">
      <c r="Q1365" s="6">
        <v>1335</v>
      </c>
      <c r="R1365" s="7">
        <v>44002</v>
      </c>
      <c r="S1365" s="210">
        <v>4</v>
      </c>
      <c r="T1365" s="8">
        <v>1.0001111111111112</v>
      </c>
      <c r="U1365" s="98">
        <v>3.5781211045573302</v>
      </c>
      <c r="V1365" s="106">
        <v>29052.564055479943</v>
      </c>
      <c r="W1365" s="10">
        <v>0.74453399094829287</v>
      </c>
      <c r="X1365" s="420"/>
      <c r="Y1365" s="420"/>
      <c r="Z1365" s="1"/>
      <c r="AA1365" s="1"/>
      <c r="AB1365" s="1"/>
      <c r="AC1365" s="1"/>
      <c r="AD1365" s="1"/>
    </row>
    <row r="1366" spans="17:30">
      <c r="Q1366" s="6">
        <v>1336</v>
      </c>
      <c r="R1366" s="7">
        <v>44003</v>
      </c>
      <c r="S1366" s="210">
        <v>4</v>
      </c>
      <c r="T1366" s="8">
        <v>1.0001111111111112</v>
      </c>
      <c r="U1366" s="98">
        <v>3.5785395553795007</v>
      </c>
      <c r="V1366" s="106">
        <v>29054.901671587319</v>
      </c>
      <c r="W1366" s="10">
        <v>0.74481814491940135</v>
      </c>
      <c r="X1366" s="420"/>
      <c r="Y1366" s="420"/>
      <c r="Z1366" s="1"/>
      <c r="AA1366" s="1"/>
      <c r="AB1366" s="1"/>
      <c r="AC1366" s="1"/>
      <c r="AD1366" s="1"/>
    </row>
    <row r="1367" spans="17:30">
      <c r="Q1367" s="6">
        <v>1337</v>
      </c>
      <c r="R1367" s="7">
        <v>44004</v>
      </c>
      <c r="S1367" s="210">
        <v>4</v>
      </c>
      <c r="T1367" s="8">
        <v>1.0001111111111112</v>
      </c>
      <c r="U1367" s="98">
        <v>3.5789573819335452</v>
      </c>
      <c r="V1367" s="106">
        <v>29057.239475783059</v>
      </c>
      <c r="W1367" s="10">
        <v>0.74510187462812905</v>
      </c>
      <c r="X1367" s="420"/>
      <c r="Y1367" s="420"/>
      <c r="Z1367" s="1"/>
      <c r="AA1367" s="1"/>
      <c r="AB1367" s="1"/>
      <c r="AC1367" s="1"/>
      <c r="AD1367" s="1"/>
    </row>
    <row r="1368" spans="17:30">
      <c r="Q1368" s="6">
        <v>1338</v>
      </c>
      <c r="R1368" s="7">
        <v>44005</v>
      </c>
      <c r="S1368" s="210">
        <v>4</v>
      </c>
      <c r="T1368" s="8">
        <v>1.0001111111111112</v>
      </c>
      <c r="U1368" s="98">
        <v>3.5793745856153913</v>
      </c>
      <c r="V1368" s="106">
        <v>29059.577468082287</v>
      </c>
      <c r="W1368" s="10">
        <v>0.7453851810239609</v>
      </c>
      <c r="X1368" s="420"/>
      <c r="Y1368" s="420"/>
      <c r="Z1368" s="1"/>
      <c r="AA1368" s="1"/>
      <c r="AB1368" s="1"/>
      <c r="AC1368" s="1"/>
      <c r="AD1368" s="1"/>
    </row>
    <row r="1369" spans="17:30">
      <c r="Q1369" s="6">
        <v>1339</v>
      </c>
      <c r="R1369" s="7">
        <v>44006</v>
      </c>
      <c r="S1369" s="210">
        <v>4</v>
      </c>
      <c r="T1369" s="8">
        <v>1.0001111111111112</v>
      </c>
      <c r="U1369" s="98">
        <v>3.5797911678168148</v>
      </c>
      <c r="V1369" s="106">
        <v>29061.915648500144</v>
      </c>
      <c r="W1369" s="10">
        <v>0.74566806505353966</v>
      </c>
      <c r="X1369" s="420"/>
      <c r="Y1369" s="420"/>
      <c r="Z1369" s="1"/>
      <c r="AA1369" s="1"/>
      <c r="AB1369" s="1"/>
      <c r="AC1369" s="1"/>
      <c r="AD1369" s="1"/>
    </row>
    <row r="1370" spans="17:30">
      <c r="Q1370" s="6">
        <v>1340</v>
      </c>
      <c r="R1370" s="7">
        <v>44007</v>
      </c>
      <c r="S1370" s="210">
        <v>4</v>
      </c>
      <c r="T1370" s="8">
        <v>1.0001111111111112</v>
      </c>
      <c r="U1370" s="98">
        <v>3.580207129925439</v>
      </c>
      <c r="V1370" s="106">
        <v>29064.254017051768</v>
      </c>
      <c r="W1370" s="10">
        <v>0.74595052766068815</v>
      </c>
      <c r="X1370" s="420"/>
      <c r="Y1370" s="420"/>
      <c r="Z1370" s="1"/>
      <c r="AA1370" s="1"/>
      <c r="AB1370" s="1"/>
      <c r="AC1370" s="1"/>
      <c r="AD1370" s="1"/>
    </row>
    <row r="1371" spans="17:30">
      <c r="Q1371" s="6">
        <v>1341</v>
      </c>
      <c r="R1371" s="7">
        <v>44008</v>
      </c>
      <c r="S1371" s="210">
        <v>4</v>
      </c>
      <c r="T1371" s="8">
        <v>1.0001111111111112</v>
      </c>
      <c r="U1371" s="98">
        <v>3.5806224733247793</v>
      </c>
      <c r="V1371" s="106">
        <v>29066.592573752288</v>
      </c>
      <c r="W1371" s="10">
        <v>0.74623256978638697</v>
      </c>
      <c r="X1371" s="420"/>
      <c r="Y1371" s="420"/>
      <c r="Z1371" s="1"/>
      <c r="AA1371" s="1"/>
      <c r="AB1371" s="1"/>
      <c r="AC1371" s="1"/>
      <c r="AD1371" s="1"/>
    </row>
    <row r="1372" spans="17:30">
      <c r="Q1372" s="6">
        <v>1342</v>
      </c>
      <c r="R1372" s="7">
        <v>44009</v>
      </c>
      <c r="S1372" s="210">
        <v>4</v>
      </c>
      <c r="T1372" s="8">
        <v>1.0001111111111112</v>
      </c>
      <c r="U1372" s="98">
        <v>3.5810371993942214</v>
      </c>
      <c r="V1372" s="106">
        <v>29068.931318616851</v>
      </c>
      <c r="W1372" s="10">
        <v>0.74651419236890781</v>
      </c>
      <c r="X1372" s="420"/>
      <c r="Y1372" s="420"/>
      <c r="Z1372" s="1"/>
      <c r="AA1372" s="1"/>
      <c r="AB1372" s="1"/>
      <c r="AC1372" s="1"/>
      <c r="AD1372" s="1"/>
    </row>
    <row r="1373" spans="17:30">
      <c r="Q1373" s="6">
        <v>1343</v>
      </c>
      <c r="R1373" s="7">
        <v>44010</v>
      </c>
      <c r="S1373" s="210">
        <v>4</v>
      </c>
      <c r="T1373" s="8">
        <v>1.0001111111111112</v>
      </c>
      <c r="U1373" s="98">
        <v>3.5814513095090428</v>
      </c>
      <c r="V1373" s="106">
        <v>29071.270251660593</v>
      </c>
      <c r="W1373" s="10">
        <v>0.74679539634359138</v>
      </c>
      <c r="X1373" s="420"/>
      <c r="Y1373" s="420"/>
      <c r="Z1373" s="1"/>
      <c r="AA1373" s="1"/>
      <c r="AB1373" s="1"/>
      <c r="AC1373" s="1"/>
      <c r="AD1373" s="1"/>
    </row>
    <row r="1374" spans="17:30">
      <c r="Q1374" s="6">
        <v>1344</v>
      </c>
      <c r="R1374" s="7">
        <v>44011</v>
      </c>
      <c r="S1374" s="210">
        <v>4</v>
      </c>
      <c r="T1374" s="8">
        <v>1.0001111111111112</v>
      </c>
      <c r="U1374" s="98">
        <v>3.58186480504048</v>
      </c>
      <c r="V1374" s="106">
        <v>29073.609372898649</v>
      </c>
      <c r="W1374" s="10">
        <v>0.74707618264318043</v>
      </c>
      <c r="X1374" s="420"/>
      <c r="Y1374" s="420"/>
      <c r="Z1374" s="1"/>
      <c r="AA1374" s="1"/>
      <c r="AB1374" s="1"/>
      <c r="AC1374" s="1"/>
      <c r="AD1374" s="1"/>
    </row>
    <row r="1375" spans="17:30">
      <c r="Q1375" s="6">
        <v>1345</v>
      </c>
      <c r="R1375" s="7">
        <v>44012</v>
      </c>
      <c r="S1375" s="210">
        <v>4</v>
      </c>
      <c r="T1375" s="8">
        <v>1.0001111111111112</v>
      </c>
      <c r="U1375" s="98">
        <v>3.5822776873556395</v>
      </c>
      <c r="V1375" s="106">
        <v>29075.94868234617</v>
      </c>
      <c r="W1375" s="10">
        <v>0.74735655219744235</v>
      </c>
      <c r="X1375" s="420"/>
      <c r="Y1375" s="420"/>
      <c r="Z1375" s="1"/>
      <c r="AA1375" s="1"/>
      <c r="AB1375" s="1"/>
      <c r="AC1375" s="1"/>
      <c r="AD1375" s="1"/>
    </row>
    <row r="1376" spans="17:30">
      <c r="Q1376" s="6">
        <v>1346</v>
      </c>
      <c r="R1376" s="7">
        <v>44013</v>
      </c>
      <c r="S1376" s="210">
        <v>4</v>
      </c>
      <c r="T1376" s="8">
        <v>1.0001111111111112</v>
      </c>
      <c r="U1376" s="98">
        <v>3.582689957817653</v>
      </c>
      <c r="V1376" s="106">
        <v>29078.288180018306</v>
      </c>
      <c r="W1376" s="10">
        <v>0.74763650593359099</v>
      </c>
      <c r="X1376" s="420"/>
      <c r="Y1376" s="420"/>
      <c r="Z1376" s="1"/>
      <c r="AA1376" s="1"/>
      <c r="AB1376" s="1"/>
      <c r="AC1376" s="1"/>
      <c r="AD1376" s="1"/>
    </row>
    <row r="1377" spans="17:30">
      <c r="Q1377" s="6">
        <v>1347</v>
      </c>
      <c r="R1377" s="7">
        <v>44014</v>
      </c>
      <c r="S1377" s="210">
        <v>4</v>
      </c>
      <c r="T1377" s="8">
        <v>1.0001111111111112</v>
      </c>
      <c r="U1377" s="98">
        <v>3.5831016177855446</v>
      </c>
      <c r="V1377" s="106">
        <v>29080.627865930182</v>
      </c>
      <c r="W1377" s="10">
        <v>0.74791604477590923</v>
      </c>
      <c r="X1377" s="420"/>
      <c r="Y1377" s="420"/>
      <c r="Z1377" s="1"/>
      <c r="AA1377" s="1"/>
      <c r="AB1377" s="1"/>
      <c r="AC1377" s="1"/>
      <c r="AD1377" s="1"/>
    </row>
    <row r="1378" spans="17:30">
      <c r="Q1378" s="6">
        <v>1348</v>
      </c>
      <c r="R1378" s="7">
        <v>44015</v>
      </c>
      <c r="S1378" s="210">
        <v>4</v>
      </c>
      <c r="T1378" s="8">
        <v>1.0001111111111112</v>
      </c>
      <c r="U1378" s="98">
        <v>3.5835126686143637</v>
      </c>
      <c r="V1378" s="106">
        <v>29082.967740096963</v>
      </c>
      <c r="W1378" s="10">
        <v>0.74819516964608201</v>
      </c>
      <c r="X1378" s="420"/>
      <c r="Y1378" s="420"/>
      <c r="Z1378" s="1"/>
      <c r="AA1378" s="1"/>
      <c r="AB1378" s="1"/>
      <c r="AC1378" s="1"/>
      <c r="AD1378" s="1"/>
    </row>
    <row r="1379" spans="17:30">
      <c r="Q1379" s="6">
        <v>1349</v>
      </c>
      <c r="R1379" s="7">
        <v>44016</v>
      </c>
      <c r="S1379" s="210">
        <v>4</v>
      </c>
      <c r="T1379" s="8">
        <v>1.0001111111111112</v>
      </c>
      <c r="U1379" s="98">
        <v>3.5839231116551185</v>
      </c>
      <c r="V1379" s="106">
        <v>29085.307802533789</v>
      </c>
      <c r="W1379" s="10">
        <v>0.74847388146299654</v>
      </c>
      <c r="X1379" s="420"/>
      <c r="Y1379" s="420"/>
      <c r="Z1379" s="1"/>
      <c r="AA1379" s="1"/>
      <c r="AB1379" s="1"/>
      <c r="AC1379" s="1"/>
      <c r="AD1379" s="1"/>
    </row>
    <row r="1380" spans="17:30">
      <c r="Q1380" s="6">
        <v>1350</v>
      </c>
      <c r="R1380" s="7">
        <v>44017</v>
      </c>
      <c r="S1380" s="210">
        <v>4</v>
      </c>
      <c r="T1380" s="8">
        <v>1.0001111111111112</v>
      </c>
      <c r="U1380" s="98">
        <v>3.5843329482548647</v>
      </c>
      <c r="V1380" s="106">
        <v>29087.648053255813</v>
      </c>
      <c r="W1380" s="10">
        <v>0.74875218114283104</v>
      </c>
      <c r="X1380" s="420"/>
      <c r="Y1380" s="420"/>
      <c r="Z1380" s="1"/>
      <c r="AA1380" s="1"/>
      <c r="AB1380" s="1"/>
      <c r="AC1380" s="1"/>
      <c r="AD1380" s="1"/>
    </row>
    <row r="1381" spans="17:30">
      <c r="Q1381" s="6">
        <v>1351</v>
      </c>
      <c r="R1381" s="7">
        <v>44018</v>
      </c>
      <c r="S1381" s="210">
        <v>4</v>
      </c>
      <c r="T1381" s="8">
        <v>1.0001111111111112</v>
      </c>
      <c r="U1381" s="98">
        <v>3.5847421797566392</v>
      </c>
      <c r="V1381" s="106">
        <v>29089.988492278168</v>
      </c>
      <c r="W1381" s="10">
        <v>0.74903006959907703</v>
      </c>
      <c r="X1381" s="420"/>
      <c r="Y1381" s="420"/>
      <c r="Z1381" s="1"/>
      <c r="AA1381" s="1"/>
      <c r="AB1381" s="1"/>
      <c r="AC1381" s="1"/>
      <c r="AD1381" s="1"/>
    </row>
    <row r="1382" spans="17:30">
      <c r="Q1382" s="6">
        <v>1352</v>
      </c>
      <c r="R1382" s="7">
        <v>44019</v>
      </c>
      <c r="S1382" s="210">
        <v>4</v>
      </c>
      <c r="T1382" s="8">
        <v>1.0001111111111112</v>
      </c>
      <c r="U1382" s="98">
        <v>3.5851508074995264</v>
      </c>
      <c r="V1382" s="106">
        <v>29092.329119616028</v>
      </c>
      <c r="W1382" s="10">
        <v>0.74930754774249486</v>
      </c>
      <c r="X1382" s="420"/>
      <c r="Y1382" s="420"/>
      <c r="Z1382" s="1"/>
      <c r="AA1382" s="1"/>
      <c r="AB1382" s="1"/>
      <c r="AC1382" s="1"/>
      <c r="AD1382" s="1"/>
    </row>
    <row r="1383" spans="17:30">
      <c r="Q1383" s="6">
        <v>1353</v>
      </c>
      <c r="R1383" s="7">
        <v>44020</v>
      </c>
      <c r="S1383" s="210">
        <v>4</v>
      </c>
      <c r="T1383" s="8">
        <v>1.0001111111111112</v>
      </c>
      <c r="U1383" s="98">
        <v>3.5855588328187027</v>
      </c>
      <c r="V1383" s="106">
        <v>29094.669935284528</v>
      </c>
      <c r="W1383" s="10">
        <v>0.74958461648120256</v>
      </c>
      <c r="X1383" s="420"/>
      <c r="Y1383" s="420"/>
      <c r="Z1383" s="1"/>
      <c r="AA1383" s="1"/>
      <c r="AB1383" s="1"/>
      <c r="AC1383" s="1"/>
      <c r="AD1383" s="1"/>
    </row>
    <row r="1384" spans="17:30">
      <c r="Q1384" s="6">
        <v>1354</v>
      </c>
      <c r="R1384" s="7">
        <v>44021</v>
      </c>
      <c r="S1384" s="210">
        <v>4</v>
      </c>
      <c r="T1384" s="8">
        <v>1.0001111111111112</v>
      </c>
      <c r="U1384" s="98">
        <v>3.5859662570453477</v>
      </c>
      <c r="V1384" s="106">
        <v>29097.010939298831</v>
      </c>
      <c r="W1384" s="10">
        <v>0.7498612767206092</v>
      </c>
      <c r="X1384" s="420"/>
      <c r="Y1384" s="420"/>
      <c r="Z1384" s="1"/>
      <c r="AA1384" s="1"/>
      <c r="AB1384" s="1"/>
      <c r="AC1384" s="1"/>
      <c r="AD1384" s="1"/>
    </row>
    <row r="1385" spans="17:30">
      <c r="Q1385" s="6">
        <v>1355</v>
      </c>
      <c r="R1385" s="7">
        <v>44022</v>
      </c>
      <c r="S1385" s="210">
        <v>4</v>
      </c>
      <c r="T1385" s="8">
        <v>1.0001111111111112</v>
      </c>
      <c r="U1385" s="98">
        <v>3.5863730815067552</v>
      </c>
      <c r="V1385" s="106">
        <v>29099.276606399169</v>
      </c>
      <c r="W1385" s="10">
        <v>0.75020796767335529</v>
      </c>
      <c r="X1385" s="420"/>
      <c r="Y1385" s="420"/>
      <c r="Z1385" s="1"/>
      <c r="AA1385" s="1"/>
      <c r="AB1385" s="1"/>
      <c r="AC1385" s="1"/>
      <c r="AD1385" s="1"/>
    </row>
    <row r="1386" spans="17:30">
      <c r="Q1386" s="6">
        <v>1356</v>
      </c>
      <c r="R1386" s="7">
        <v>44023</v>
      </c>
      <c r="S1386" s="210">
        <v>4</v>
      </c>
      <c r="T1386" s="8">
        <v>1.0001111111111112</v>
      </c>
      <c r="U1386" s="98">
        <v>3.586779307526311</v>
      </c>
      <c r="V1386" s="106">
        <v>29101.542449917884</v>
      </c>
      <c r="W1386" s="10">
        <v>0.75055414847289281</v>
      </c>
      <c r="X1386" s="420"/>
      <c r="Y1386" s="420"/>
      <c r="Z1386" s="1"/>
      <c r="AA1386" s="1"/>
      <c r="AB1386" s="1"/>
      <c r="AC1386" s="1"/>
      <c r="AD1386" s="1"/>
    </row>
    <row r="1387" spans="17:30">
      <c r="Q1387" s="6">
        <v>1357</v>
      </c>
      <c r="R1387" s="7">
        <v>44024</v>
      </c>
      <c r="S1387" s="210">
        <v>4</v>
      </c>
      <c r="T1387" s="8">
        <v>1.0001111111111112</v>
      </c>
      <c r="U1387" s="98">
        <v>3.5871849364235153</v>
      </c>
      <c r="V1387" s="106">
        <v>29103.808469868709</v>
      </c>
      <c r="W1387" s="10">
        <v>0.75089982024438839</v>
      </c>
      <c r="X1387" s="420"/>
      <c r="Y1387" s="420"/>
      <c r="Z1387" s="1"/>
      <c r="AA1387" s="1"/>
      <c r="AB1387" s="1"/>
      <c r="AC1387" s="1"/>
      <c r="AD1387" s="1"/>
    </row>
    <row r="1388" spans="17:30">
      <c r="Q1388" s="6">
        <v>1358</v>
      </c>
      <c r="R1388" s="7">
        <v>44025</v>
      </c>
      <c r="S1388" s="210">
        <v>4</v>
      </c>
      <c r="T1388" s="8">
        <v>1.0001111111111112</v>
      </c>
      <c r="U1388" s="98">
        <v>3.5875899695140046</v>
      </c>
      <c r="V1388" s="106">
        <v>29106.074666265384</v>
      </c>
      <c r="W1388" s="10">
        <v>0.75124498410976681</v>
      </c>
      <c r="X1388" s="420"/>
      <c r="Y1388" s="420"/>
      <c r="Z1388" s="1"/>
      <c r="AA1388" s="1"/>
      <c r="AB1388" s="1"/>
      <c r="AC1388" s="1"/>
      <c r="AD1388" s="1"/>
    </row>
    <row r="1389" spans="17:30">
      <c r="Q1389" s="6">
        <v>1359</v>
      </c>
      <c r="R1389" s="7">
        <v>44026</v>
      </c>
      <c r="S1389" s="210">
        <v>4</v>
      </c>
      <c r="T1389" s="8">
        <v>1.0001111111111112</v>
      </c>
      <c r="U1389" s="98">
        <v>3.5879944081095072</v>
      </c>
      <c r="V1389" s="106">
        <v>29108.341039121657</v>
      </c>
      <c r="W1389" s="10">
        <v>0.75158964118762217</v>
      </c>
      <c r="X1389" s="420"/>
      <c r="Y1389" s="420"/>
      <c r="Z1389" s="1"/>
      <c r="AA1389" s="1"/>
      <c r="AB1389" s="1"/>
      <c r="AC1389" s="1"/>
      <c r="AD1389" s="1"/>
    </row>
    <row r="1390" spans="17:30">
      <c r="Q1390" s="6">
        <v>1360</v>
      </c>
      <c r="R1390" s="7">
        <v>44027</v>
      </c>
      <c r="S1390" s="210">
        <v>4</v>
      </c>
      <c r="T1390" s="8">
        <v>1.0001111111111112</v>
      </c>
      <c r="U1390" s="98">
        <v>3.5883982535179548</v>
      </c>
      <c r="V1390" s="106">
        <v>29110.60758845125</v>
      </c>
      <c r="W1390" s="10">
        <v>0.75193379259326232</v>
      </c>
      <c r="X1390" s="420"/>
      <c r="Y1390" s="420"/>
      <c r="Z1390" s="1"/>
      <c r="AA1390" s="1"/>
      <c r="AB1390" s="1"/>
      <c r="AC1390" s="1"/>
      <c r="AD1390" s="1"/>
    </row>
    <row r="1391" spans="17:30">
      <c r="Q1391" s="6">
        <v>1361</v>
      </c>
      <c r="R1391" s="7">
        <v>44028</v>
      </c>
      <c r="S1391" s="210">
        <v>4</v>
      </c>
      <c r="T1391" s="8">
        <v>1.0001111111111112</v>
      </c>
      <c r="U1391" s="98">
        <v>3.5888015070433932</v>
      </c>
      <c r="V1391" s="106">
        <v>29112.87431426792</v>
      </c>
      <c r="W1391" s="10">
        <v>0.75227743943870884</v>
      </c>
      <c r="X1391" s="420"/>
      <c r="Y1391" s="420"/>
      <c r="Z1391" s="1"/>
      <c r="AA1391" s="1"/>
      <c r="AB1391" s="1"/>
      <c r="AC1391" s="1"/>
      <c r="AD1391" s="1"/>
    </row>
    <row r="1392" spans="17:30">
      <c r="Q1392" s="6">
        <v>1362</v>
      </c>
      <c r="R1392" s="7">
        <v>44029</v>
      </c>
      <c r="S1392" s="210">
        <v>4</v>
      </c>
      <c r="T1392" s="8">
        <v>1.0001111111111112</v>
      </c>
      <c r="U1392" s="98">
        <v>3.5892041699861155</v>
      </c>
      <c r="V1392" s="106">
        <v>29115.141216585402</v>
      </c>
      <c r="W1392" s="10">
        <v>0.75262058283280808</v>
      </c>
      <c r="X1392" s="420"/>
      <c r="Y1392" s="420"/>
      <c r="Z1392" s="1"/>
      <c r="AA1392" s="1"/>
      <c r="AB1392" s="1"/>
      <c r="AC1392" s="1"/>
      <c r="AD1392" s="1"/>
    </row>
    <row r="1393" spans="17:30">
      <c r="Q1393" s="6">
        <v>1363</v>
      </c>
      <c r="R1393" s="7">
        <v>44030</v>
      </c>
      <c r="S1393" s="210">
        <v>4</v>
      </c>
      <c r="T1393" s="8">
        <v>1.0001111111111112</v>
      </c>
      <c r="U1393" s="98">
        <v>3.5896062436425513</v>
      </c>
      <c r="V1393" s="106">
        <v>29117.408295417441</v>
      </c>
      <c r="W1393" s="10">
        <v>0.75296322388103132</v>
      </c>
      <c r="X1393" s="420"/>
      <c r="Y1393" s="420"/>
      <c r="Z1393" s="1"/>
      <c r="AA1393" s="1"/>
      <c r="AB1393" s="1"/>
      <c r="AC1393" s="1"/>
      <c r="AD1393" s="1"/>
    </row>
    <row r="1394" spans="17:30">
      <c r="Q1394" s="6">
        <v>1364</v>
      </c>
      <c r="R1394" s="7">
        <v>44031</v>
      </c>
      <c r="S1394" s="210">
        <v>4</v>
      </c>
      <c r="T1394" s="8">
        <v>1.0001111111111112</v>
      </c>
      <c r="U1394" s="98">
        <v>3.5900077293053556</v>
      </c>
      <c r="V1394" s="106">
        <v>29119.675550777778</v>
      </c>
      <c r="W1394" s="10">
        <v>0.7533053636857634</v>
      </c>
      <c r="X1394" s="420"/>
      <c r="Y1394" s="420"/>
      <c r="Z1394" s="1"/>
      <c r="AA1394" s="1"/>
      <c r="AB1394" s="1"/>
      <c r="AC1394" s="1"/>
      <c r="AD1394" s="1"/>
    </row>
    <row r="1395" spans="17:30">
      <c r="Q1395" s="6">
        <v>1365</v>
      </c>
      <c r="R1395" s="7">
        <v>44032</v>
      </c>
      <c r="S1395" s="210">
        <v>4</v>
      </c>
      <c r="T1395" s="8">
        <v>1.0001111111111112</v>
      </c>
      <c r="U1395" s="98">
        <v>3.5904086282634085</v>
      </c>
      <c r="V1395" s="106">
        <v>29121.942982680172</v>
      </c>
      <c r="W1395" s="10">
        <v>0.75364700334601409</v>
      </c>
      <c r="X1395" s="420"/>
      <c r="Y1395" s="420"/>
      <c r="Z1395" s="1"/>
      <c r="AA1395" s="1"/>
      <c r="AB1395" s="1"/>
      <c r="AC1395" s="1"/>
      <c r="AD1395" s="1"/>
    </row>
    <row r="1396" spans="17:30">
      <c r="Q1396" s="6">
        <v>1366</v>
      </c>
      <c r="R1396" s="7">
        <v>44033</v>
      </c>
      <c r="S1396" s="210">
        <v>4</v>
      </c>
      <c r="T1396" s="8">
        <v>1.0001111111111112</v>
      </c>
      <c r="U1396" s="98">
        <v>3.5908089418018374</v>
      </c>
      <c r="V1396" s="106">
        <v>29124.210591138351</v>
      </c>
      <c r="W1396" s="10">
        <v>0.75398814395772895</v>
      </c>
      <c r="X1396" s="420"/>
      <c r="Y1396" s="420"/>
      <c r="Z1396" s="1"/>
      <c r="AA1396" s="1"/>
      <c r="AB1396" s="1"/>
      <c r="AC1396" s="1"/>
      <c r="AD1396" s="1"/>
    </row>
    <row r="1397" spans="17:30">
      <c r="Q1397" s="6">
        <v>1367</v>
      </c>
      <c r="R1397" s="7">
        <v>44034</v>
      </c>
      <c r="S1397" s="210">
        <v>4</v>
      </c>
      <c r="T1397" s="8">
        <v>1.0001111111111112</v>
      </c>
      <c r="U1397" s="98">
        <v>3.5912086712019953</v>
      </c>
      <c r="V1397" s="106">
        <v>29126.478376166076</v>
      </c>
      <c r="W1397" s="10">
        <v>0.75432878661350067</v>
      </c>
      <c r="X1397" s="420"/>
      <c r="Y1397" s="420"/>
      <c r="Z1397" s="1"/>
      <c r="AA1397" s="1"/>
      <c r="AB1397" s="1"/>
      <c r="AC1397" s="1"/>
      <c r="AD1397" s="1"/>
    </row>
    <row r="1398" spans="17:30">
      <c r="Q1398" s="6">
        <v>1368</v>
      </c>
      <c r="R1398" s="7">
        <v>44035</v>
      </c>
      <c r="S1398" s="210">
        <v>4</v>
      </c>
      <c r="T1398" s="8">
        <v>1.0001111111111112</v>
      </c>
      <c r="U1398" s="98">
        <v>3.5916078177415045</v>
      </c>
      <c r="V1398" s="106">
        <v>29128.746337777091</v>
      </c>
      <c r="W1398" s="10">
        <v>0.75466893240287991</v>
      </c>
      <c r="X1398" s="420"/>
      <c r="Y1398" s="420"/>
      <c r="Z1398" s="1"/>
      <c r="AA1398" s="1"/>
      <c r="AB1398" s="1"/>
      <c r="AC1398" s="1"/>
      <c r="AD1398" s="1"/>
    </row>
    <row r="1399" spans="17:30">
      <c r="Q1399" s="6">
        <v>1369</v>
      </c>
      <c r="R1399" s="7">
        <v>44036</v>
      </c>
      <c r="S1399" s="210">
        <v>4</v>
      </c>
      <c r="T1399" s="8">
        <v>1.0001111111111112</v>
      </c>
      <c r="U1399" s="98">
        <v>3.5920063826942794</v>
      </c>
      <c r="V1399" s="106">
        <v>29131.014475985143</v>
      </c>
      <c r="W1399" s="10">
        <v>0.7550085824121533</v>
      </c>
      <c r="X1399" s="420"/>
      <c r="Y1399" s="420"/>
      <c r="Z1399" s="1"/>
      <c r="AA1399" s="1"/>
      <c r="AB1399" s="1"/>
      <c r="AC1399" s="1"/>
      <c r="AD1399" s="1"/>
    </row>
    <row r="1400" spans="17:30">
      <c r="Q1400" s="6">
        <v>1370</v>
      </c>
      <c r="R1400" s="7">
        <v>44037</v>
      </c>
      <c r="S1400" s="210">
        <v>4</v>
      </c>
      <c r="T1400" s="8">
        <v>1.0001111111111112</v>
      </c>
      <c r="U1400" s="98">
        <v>3.5924043673305261</v>
      </c>
      <c r="V1400" s="106">
        <v>29133.282790803991</v>
      </c>
      <c r="W1400" s="10">
        <v>0.75534773772447661</v>
      </c>
      <c r="X1400" s="420"/>
      <c r="Y1400" s="420"/>
      <c r="Z1400" s="1"/>
      <c r="AA1400" s="1"/>
      <c r="AB1400" s="1"/>
      <c r="AC1400" s="1"/>
      <c r="AD1400" s="1"/>
    </row>
    <row r="1401" spans="17:30">
      <c r="Q1401" s="6">
        <v>1371</v>
      </c>
      <c r="R1401" s="7">
        <v>44038</v>
      </c>
      <c r="S1401" s="210">
        <v>4</v>
      </c>
      <c r="T1401" s="8">
        <v>1.0001111111111112</v>
      </c>
      <c r="U1401" s="98">
        <v>3.5928017729167205</v>
      </c>
      <c r="V1401" s="106">
        <v>29135.551282247376</v>
      </c>
      <c r="W1401" s="10">
        <v>0.7556863994198304</v>
      </c>
      <c r="X1401" s="420"/>
      <c r="Y1401" s="420"/>
      <c r="Z1401" s="1"/>
      <c r="AA1401" s="1"/>
      <c r="AB1401" s="1"/>
      <c r="AC1401" s="1"/>
      <c r="AD1401" s="1"/>
    </row>
    <row r="1402" spans="17:30">
      <c r="Q1402" s="6">
        <v>1372</v>
      </c>
      <c r="R1402" s="7">
        <v>44039</v>
      </c>
      <c r="S1402" s="210">
        <v>4</v>
      </c>
      <c r="T1402" s="8">
        <v>1.0001111111111112</v>
      </c>
      <c r="U1402" s="98">
        <v>3.5931986007156969</v>
      </c>
      <c r="V1402" s="106">
        <v>29137.81995032906</v>
      </c>
      <c r="W1402" s="10">
        <v>0.7560245685750866</v>
      </c>
      <c r="X1402" s="420"/>
      <c r="Y1402" s="420"/>
      <c r="Z1402" s="1"/>
      <c r="AA1402" s="1"/>
      <c r="AB1402" s="1"/>
      <c r="AC1402" s="1"/>
      <c r="AD1402" s="1"/>
    </row>
    <row r="1403" spans="17:30">
      <c r="Q1403" s="6">
        <v>1373</v>
      </c>
      <c r="R1403" s="7">
        <v>44040</v>
      </c>
      <c r="S1403" s="210">
        <v>4</v>
      </c>
      <c r="T1403" s="8">
        <v>1.0001111111111112</v>
      </c>
      <c r="U1403" s="98">
        <v>3.5935948519866034</v>
      </c>
      <c r="V1403" s="106">
        <v>29140.088795062798</v>
      </c>
      <c r="W1403" s="10">
        <v>0.75636224626394188</v>
      </c>
      <c r="X1403" s="420"/>
      <c r="Y1403" s="420"/>
      <c r="Z1403" s="1"/>
      <c r="AA1403" s="1"/>
      <c r="AB1403" s="1"/>
      <c r="AC1403" s="1"/>
      <c r="AD1403" s="1"/>
    </row>
    <row r="1404" spans="17:30">
      <c r="Q1404" s="6">
        <v>1374</v>
      </c>
      <c r="R1404" s="7">
        <v>44041</v>
      </c>
      <c r="S1404" s="210">
        <v>4</v>
      </c>
      <c r="T1404" s="8">
        <v>1.0001111111111112</v>
      </c>
      <c r="U1404" s="98">
        <v>3.5939905279849249</v>
      </c>
      <c r="V1404" s="106">
        <v>29142.357816462336</v>
      </c>
      <c r="W1404" s="10">
        <v>0.75669943355702873</v>
      </c>
      <c r="X1404" s="420"/>
      <c r="Y1404" s="420"/>
      <c r="Z1404" s="1"/>
      <c r="AA1404" s="1"/>
      <c r="AB1404" s="1"/>
      <c r="AC1404" s="1"/>
      <c r="AD1404" s="1"/>
    </row>
    <row r="1405" spans="17:30">
      <c r="Q1405" s="6">
        <v>1375</v>
      </c>
      <c r="R1405" s="7">
        <v>44042</v>
      </c>
      <c r="S1405" s="210">
        <v>4</v>
      </c>
      <c r="T1405" s="8">
        <v>1.0001111111111112</v>
      </c>
      <c r="U1405" s="98">
        <v>3.5943856299625043</v>
      </c>
      <c r="V1405" s="106">
        <v>29144.627014541435</v>
      </c>
      <c r="W1405" s="10">
        <v>0.75703613152180438</v>
      </c>
      <c r="X1405" s="420"/>
      <c r="Y1405" s="420"/>
      <c r="Z1405" s="1"/>
      <c r="AA1405" s="1"/>
      <c r="AB1405" s="1"/>
      <c r="AC1405" s="1"/>
      <c r="AD1405" s="1"/>
    </row>
    <row r="1406" spans="17:30">
      <c r="Q1406" s="6">
        <v>1376</v>
      </c>
      <c r="R1406" s="7">
        <v>44043</v>
      </c>
      <c r="S1406" s="210">
        <v>4</v>
      </c>
      <c r="T1406" s="8">
        <v>1.0001111111111112</v>
      </c>
      <c r="U1406" s="98">
        <v>3.5947801591675654</v>
      </c>
      <c r="V1406" s="106">
        <v>29146.896389313857</v>
      </c>
      <c r="W1406" s="10">
        <v>0.75737234122270625</v>
      </c>
      <c r="X1406" s="420"/>
      <c r="Y1406" s="420"/>
      <c r="Z1406" s="1"/>
      <c r="AA1406" s="1"/>
      <c r="AB1406" s="1"/>
      <c r="AC1406" s="1"/>
      <c r="AD1406" s="1"/>
    </row>
    <row r="1407" spans="17:30">
      <c r="Q1407" s="6">
        <v>1377</v>
      </c>
      <c r="R1407" s="7">
        <v>44044</v>
      </c>
      <c r="S1407" s="210">
        <v>4</v>
      </c>
      <c r="T1407" s="8">
        <v>1.0001111111111112</v>
      </c>
      <c r="U1407" s="98">
        <v>3.5951741168447127</v>
      </c>
      <c r="V1407" s="106">
        <v>29149.165940793355</v>
      </c>
      <c r="W1407" s="10">
        <v>0.75770806372101873</v>
      </c>
      <c r="X1407" s="420"/>
      <c r="Y1407" s="420"/>
      <c r="Z1407" s="1"/>
      <c r="AA1407" s="1"/>
      <c r="AB1407" s="1"/>
      <c r="AC1407" s="1"/>
      <c r="AD1407" s="1"/>
    </row>
    <row r="1408" spans="17:30">
      <c r="Q1408" s="6">
        <v>1378</v>
      </c>
      <c r="R1408" s="7">
        <v>44045</v>
      </c>
      <c r="S1408" s="210">
        <v>4</v>
      </c>
      <c r="T1408" s="8">
        <v>1.0001111111111112</v>
      </c>
      <c r="U1408" s="98">
        <v>3.5955675042349533</v>
      </c>
      <c r="V1408" s="106">
        <v>29151.435668993687</v>
      </c>
      <c r="W1408" s="10">
        <v>0.75804330007502863</v>
      </c>
      <c r="X1408" s="420"/>
      <c r="Y1408" s="420"/>
      <c r="Z1408" s="1"/>
      <c r="AA1408" s="1"/>
      <c r="AB1408" s="1"/>
      <c r="AC1408" s="1"/>
      <c r="AD1408" s="1"/>
    </row>
    <row r="1409" spans="17:30">
      <c r="Q1409" s="6">
        <v>1379</v>
      </c>
      <c r="R1409" s="7">
        <v>44046</v>
      </c>
      <c r="S1409" s="210">
        <v>4</v>
      </c>
      <c r="T1409" s="8">
        <v>1.0001111111111112</v>
      </c>
      <c r="U1409" s="98">
        <v>3.5959603225756975</v>
      </c>
      <c r="V1409" s="106">
        <v>29153.705573928619</v>
      </c>
      <c r="W1409" s="10">
        <v>0.75837805133989189</v>
      </c>
      <c r="X1409" s="420"/>
      <c r="Y1409" s="420"/>
      <c r="Z1409" s="1"/>
      <c r="AA1409" s="1"/>
      <c r="AB1409" s="1"/>
      <c r="AC1409" s="1"/>
      <c r="AD1409" s="1"/>
    </row>
    <row r="1410" spans="17:30">
      <c r="Q1410" s="6">
        <v>1380</v>
      </c>
      <c r="R1410" s="7">
        <v>44047</v>
      </c>
      <c r="S1410" s="210">
        <v>4</v>
      </c>
      <c r="T1410" s="8">
        <v>1.0001111111111112</v>
      </c>
      <c r="U1410" s="98">
        <v>3.5963525731007584</v>
      </c>
      <c r="V1410" s="106">
        <v>29155.97565561191</v>
      </c>
      <c r="W1410" s="10">
        <v>0.75871231856770027</v>
      </c>
      <c r="X1410" s="420"/>
      <c r="Y1410" s="420"/>
      <c r="Z1410" s="1"/>
      <c r="AA1410" s="1"/>
      <c r="AB1410" s="1"/>
      <c r="AC1410" s="1"/>
      <c r="AD1410" s="1"/>
    </row>
    <row r="1411" spans="17:30">
      <c r="Q1411" s="6">
        <v>1381</v>
      </c>
      <c r="R1411" s="7">
        <v>44048</v>
      </c>
      <c r="S1411" s="210">
        <v>4</v>
      </c>
      <c r="T1411" s="8">
        <v>1.0001111111111112</v>
      </c>
      <c r="U1411" s="98">
        <v>3.5967442570404184</v>
      </c>
      <c r="V1411" s="106">
        <v>29158.245914057319</v>
      </c>
      <c r="W1411" s="10">
        <v>0.75904610280761453</v>
      </c>
      <c r="X1411" s="420"/>
      <c r="Y1411" s="420"/>
      <c r="Z1411" s="1"/>
      <c r="AA1411" s="1"/>
      <c r="AB1411" s="1"/>
      <c r="AC1411" s="1"/>
      <c r="AD1411" s="1"/>
    </row>
    <row r="1412" spans="17:30">
      <c r="Q1412" s="6">
        <v>1382</v>
      </c>
      <c r="R1412" s="7">
        <v>44049</v>
      </c>
      <c r="S1412" s="210">
        <v>4</v>
      </c>
      <c r="T1412" s="8">
        <v>1.0001111111111112</v>
      </c>
      <c r="U1412" s="98">
        <v>3.5971353756213853</v>
      </c>
      <c r="V1412" s="106">
        <v>29160.516349278612</v>
      </c>
      <c r="W1412" s="10">
        <v>0.75937940510562019</v>
      </c>
      <c r="X1412" s="420"/>
      <c r="Y1412" s="420"/>
      <c r="Z1412" s="1"/>
      <c r="AA1412" s="1"/>
      <c r="AB1412" s="1"/>
      <c r="AC1412" s="1"/>
      <c r="AD1412" s="1"/>
    </row>
    <row r="1413" spans="17:30">
      <c r="Q1413" s="6">
        <v>1383</v>
      </c>
      <c r="R1413" s="7">
        <v>44050</v>
      </c>
      <c r="S1413" s="210">
        <v>4</v>
      </c>
      <c r="T1413" s="8">
        <v>1.0001111111111112</v>
      </c>
      <c r="U1413" s="98">
        <v>3.5975259300668361</v>
      </c>
      <c r="V1413" s="106">
        <v>29162.786961289563</v>
      </c>
      <c r="W1413" s="10">
        <v>0.75971222650477177</v>
      </c>
      <c r="X1413" s="420"/>
      <c r="Y1413" s="420"/>
      <c r="Z1413" s="1"/>
      <c r="AA1413" s="1"/>
      <c r="AB1413" s="1"/>
      <c r="AC1413" s="1"/>
      <c r="AD1413" s="1"/>
    </row>
    <row r="1414" spans="17:30">
      <c r="Q1414" s="6">
        <v>1384</v>
      </c>
      <c r="R1414" s="7">
        <v>44051</v>
      </c>
      <c r="S1414" s="210">
        <v>4</v>
      </c>
      <c r="T1414" s="8">
        <v>1.0001111111111112</v>
      </c>
      <c r="U1414" s="98">
        <v>3.5979159215964174</v>
      </c>
      <c r="V1414" s="106">
        <v>29165.057750103922</v>
      </c>
      <c r="W1414" s="10">
        <v>0.76004456804512621</v>
      </c>
      <c r="X1414" s="420"/>
      <c r="Y1414" s="420"/>
      <c r="Z1414" s="1"/>
      <c r="AA1414" s="1"/>
      <c r="AB1414" s="1"/>
      <c r="AC1414" s="1"/>
      <c r="AD1414" s="1"/>
    </row>
    <row r="1415" spans="17:30">
      <c r="Q1415" s="6">
        <v>1385</v>
      </c>
      <c r="R1415" s="7">
        <v>44052</v>
      </c>
      <c r="S1415" s="210">
        <v>4</v>
      </c>
      <c r="T1415" s="8">
        <v>1.0001111111111112</v>
      </c>
      <c r="U1415" s="98">
        <v>3.5983053514262897</v>
      </c>
      <c r="V1415" s="106">
        <v>29167.328715735472</v>
      </c>
      <c r="W1415" s="10">
        <v>0.76037643076372063</v>
      </c>
      <c r="X1415" s="420"/>
      <c r="Y1415" s="420"/>
      <c r="Z1415" s="1"/>
      <c r="AA1415" s="1"/>
      <c r="AB1415" s="1"/>
      <c r="AC1415" s="1"/>
      <c r="AD1415" s="1"/>
    </row>
    <row r="1416" spans="17:30">
      <c r="Q1416" s="6">
        <v>1386</v>
      </c>
      <c r="R1416" s="7">
        <v>44053</v>
      </c>
      <c r="S1416" s="210">
        <v>4</v>
      </c>
      <c r="T1416" s="8">
        <v>1.0001111111111112</v>
      </c>
      <c r="U1416" s="98">
        <v>3.5986942207690831</v>
      </c>
      <c r="V1416" s="106">
        <v>29169.599858197969</v>
      </c>
      <c r="W1416" s="10">
        <v>0.76070781569459456</v>
      </c>
      <c r="X1416" s="420"/>
      <c r="Y1416" s="420"/>
      <c r="Z1416" s="1"/>
      <c r="AA1416" s="1"/>
      <c r="AB1416" s="1"/>
      <c r="AC1416" s="1"/>
      <c r="AD1416" s="1"/>
    </row>
    <row r="1417" spans="17:30">
      <c r="Q1417" s="6">
        <v>1387</v>
      </c>
      <c r="R1417" s="7">
        <v>44054</v>
      </c>
      <c r="S1417" s="210">
        <v>4</v>
      </c>
      <c r="T1417" s="8">
        <v>1.0001111111111112</v>
      </c>
      <c r="U1417" s="98">
        <v>3.5990825308339192</v>
      </c>
      <c r="V1417" s="106">
        <v>29171.871177505189</v>
      </c>
      <c r="W1417" s="10">
        <v>0.7610387238687899</v>
      </c>
      <c r="X1417" s="420"/>
      <c r="Y1417" s="420"/>
      <c r="Z1417" s="1"/>
      <c r="AA1417" s="1"/>
      <c r="AB1417" s="1"/>
      <c r="AC1417" s="1"/>
      <c r="AD1417" s="1"/>
    </row>
    <row r="1418" spans="17:30">
      <c r="Q1418" s="6">
        <v>1388</v>
      </c>
      <c r="R1418" s="7">
        <v>44055</v>
      </c>
      <c r="S1418" s="210">
        <v>4</v>
      </c>
      <c r="T1418" s="8">
        <v>1.0001111111111112</v>
      </c>
      <c r="U1418" s="98">
        <v>3.5994702828265002</v>
      </c>
      <c r="V1418" s="106">
        <v>29174.142673670893</v>
      </c>
      <c r="W1418" s="10">
        <v>0.76136915631448421</v>
      </c>
      <c r="X1418" s="420"/>
      <c r="Y1418" s="420"/>
      <c r="Z1418" s="1"/>
      <c r="AA1418" s="1"/>
      <c r="AB1418" s="1"/>
      <c r="AC1418" s="1"/>
      <c r="AD1418" s="1"/>
    </row>
    <row r="1419" spans="17:30">
      <c r="Q1419" s="6">
        <v>1389</v>
      </c>
      <c r="R1419" s="7">
        <v>44056</v>
      </c>
      <c r="S1419" s="210">
        <v>4</v>
      </c>
      <c r="T1419" s="8">
        <v>1.0001111111111112</v>
      </c>
      <c r="U1419" s="98">
        <v>3.59985747794902</v>
      </c>
      <c r="V1419" s="106">
        <v>29176.414346708862</v>
      </c>
      <c r="W1419" s="10">
        <v>0.7616991140567464</v>
      </c>
      <c r="X1419" s="420"/>
      <c r="Y1419" s="420"/>
      <c r="Z1419" s="1"/>
      <c r="AA1419" s="1"/>
      <c r="AB1419" s="1"/>
      <c r="AC1419" s="1"/>
      <c r="AD1419" s="1"/>
    </row>
    <row r="1420" spans="17:30">
      <c r="Q1420" s="6">
        <v>1390</v>
      </c>
      <c r="R1420" s="7">
        <v>44057</v>
      </c>
      <c r="S1420" s="210">
        <v>4</v>
      </c>
      <c r="T1420" s="8">
        <v>1.0001111111111112</v>
      </c>
      <c r="U1420" s="98">
        <v>3.6002441174002531</v>
      </c>
      <c r="V1420" s="106">
        <v>29178.686196632869</v>
      </c>
      <c r="W1420" s="10">
        <v>0.76202859811784762</v>
      </c>
      <c r="X1420" s="420"/>
      <c r="Y1420" s="420"/>
      <c r="Z1420" s="1"/>
      <c r="AA1420" s="1"/>
      <c r="AB1420" s="1"/>
      <c r="AC1420" s="1"/>
      <c r="AD1420" s="1"/>
    </row>
    <row r="1421" spans="17:30">
      <c r="Q1421" s="6">
        <v>1391</v>
      </c>
      <c r="R1421" s="7">
        <v>44058</v>
      </c>
      <c r="S1421" s="210">
        <v>4</v>
      </c>
      <c r="T1421" s="8">
        <v>1.0001111111111112</v>
      </c>
      <c r="U1421" s="98">
        <v>3.6006302023755099</v>
      </c>
      <c r="V1421" s="106">
        <v>29180.958223456677</v>
      </c>
      <c r="W1421" s="10">
        <v>0.76235760951706144</v>
      </c>
      <c r="X1421" s="420"/>
      <c r="Y1421" s="420"/>
      <c r="Z1421" s="1"/>
      <c r="AA1421" s="1"/>
      <c r="AB1421" s="1"/>
      <c r="AC1421" s="1"/>
      <c r="AD1421" s="1"/>
    </row>
    <row r="1422" spans="17:30">
      <c r="Q1422" s="6">
        <v>1392</v>
      </c>
      <c r="R1422" s="7">
        <v>44059</v>
      </c>
      <c r="S1422" s="210">
        <v>4</v>
      </c>
      <c r="T1422" s="8">
        <v>1.0001111111111112</v>
      </c>
      <c r="U1422" s="98">
        <v>3.6010157340667037</v>
      </c>
      <c r="V1422" s="106">
        <v>29183.23042719407</v>
      </c>
      <c r="W1422" s="10">
        <v>0.76268614927070821</v>
      </c>
      <c r="X1422" s="420"/>
      <c r="Y1422" s="420"/>
      <c r="Z1422" s="1"/>
      <c r="AA1422" s="1"/>
      <c r="AB1422" s="1"/>
      <c r="AC1422" s="1"/>
      <c r="AD1422" s="1"/>
    </row>
    <row r="1423" spans="17:30">
      <c r="Q1423" s="6">
        <v>1393</v>
      </c>
      <c r="R1423" s="7">
        <v>44060</v>
      </c>
      <c r="S1423" s="210">
        <v>4</v>
      </c>
      <c r="T1423" s="8">
        <v>1.0001111111111112</v>
      </c>
      <c r="U1423" s="98">
        <v>3.6014007136622839</v>
      </c>
      <c r="V1423" s="106">
        <v>29185.502807858818</v>
      </c>
      <c r="W1423" s="10">
        <v>0.76301421839226613</v>
      </c>
      <c r="X1423" s="420"/>
      <c r="Y1423" s="420"/>
      <c r="Z1423" s="1"/>
      <c r="AA1423" s="1"/>
      <c r="AB1423" s="1"/>
      <c r="AC1423" s="1"/>
      <c r="AD1423" s="1"/>
    </row>
    <row r="1424" spans="17:30">
      <c r="Q1424" s="6">
        <v>1394</v>
      </c>
      <c r="R1424" s="7">
        <v>44061</v>
      </c>
      <c r="S1424" s="210">
        <v>4</v>
      </c>
      <c r="T1424" s="8">
        <v>1.0001111111111112</v>
      </c>
      <c r="U1424" s="98">
        <v>3.6017851423473468</v>
      </c>
      <c r="V1424" s="106">
        <v>29187.775365464699</v>
      </c>
      <c r="W1424" s="10">
        <v>0.76334181789226019</v>
      </c>
      <c r="X1424" s="420"/>
      <c r="Y1424" s="420"/>
      <c r="Z1424" s="1"/>
      <c r="AA1424" s="1"/>
      <c r="AB1424" s="1"/>
      <c r="AC1424" s="1"/>
      <c r="AD1424" s="1"/>
    </row>
    <row r="1425" spans="17:30">
      <c r="Q1425" s="6">
        <v>1395</v>
      </c>
      <c r="R1425" s="7">
        <v>44062</v>
      </c>
      <c r="S1425" s="210">
        <v>4</v>
      </c>
      <c r="T1425" s="8">
        <v>1.0001111111111112</v>
      </c>
      <c r="U1425" s="98">
        <v>3.6021690213035917</v>
      </c>
      <c r="V1425" s="106">
        <v>29190.048100025495</v>
      </c>
      <c r="W1425" s="10">
        <v>0.76366894877835101</v>
      </c>
      <c r="X1425" s="420"/>
      <c r="Y1425" s="420"/>
      <c r="Z1425" s="1"/>
      <c r="AA1425" s="1"/>
      <c r="AB1425" s="1"/>
      <c r="AC1425" s="1"/>
      <c r="AD1425" s="1"/>
    </row>
    <row r="1426" spans="17:30">
      <c r="Q1426" s="6">
        <v>1396</v>
      </c>
      <c r="R1426" s="7">
        <v>44063</v>
      </c>
      <c r="S1426" s="210">
        <v>4</v>
      </c>
      <c r="T1426" s="8">
        <v>1.0001111111111112</v>
      </c>
      <c r="U1426" s="98">
        <v>3.6025523517093427</v>
      </c>
      <c r="V1426" s="106">
        <v>29192.321011554985</v>
      </c>
      <c r="W1426" s="10">
        <v>0.76399561205531263</v>
      </c>
      <c r="X1426" s="420"/>
      <c r="Y1426" s="420"/>
      <c r="Z1426" s="1"/>
      <c r="AA1426" s="1"/>
      <c r="AB1426" s="1"/>
      <c r="AC1426" s="1"/>
      <c r="AD1426" s="1"/>
    </row>
    <row r="1427" spans="17:30">
      <c r="Q1427" s="6">
        <v>1397</v>
      </c>
      <c r="R1427" s="7">
        <v>44064</v>
      </c>
      <c r="S1427" s="210">
        <v>4</v>
      </c>
      <c r="T1427" s="8">
        <v>1.0001111111111112</v>
      </c>
      <c r="U1427" s="98">
        <v>3.6029351347395266</v>
      </c>
      <c r="V1427" s="106">
        <v>29194.594100066937</v>
      </c>
      <c r="W1427" s="10">
        <v>0.76432180872505473</v>
      </c>
      <c r="X1427" s="420"/>
      <c r="Y1427" s="420"/>
      <c r="Z1427" s="1"/>
      <c r="AA1427" s="1"/>
      <c r="AB1427" s="1"/>
      <c r="AC1427" s="1"/>
      <c r="AD1427" s="1"/>
    </row>
    <row r="1428" spans="17:30">
      <c r="Q1428" s="6">
        <v>1398</v>
      </c>
      <c r="R1428" s="7">
        <v>44065</v>
      </c>
      <c r="S1428" s="210">
        <v>4</v>
      </c>
      <c r="T1428" s="8">
        <v>1.0001111111111112</v>
      </c>
      <c r="U1428" s="98">
        <v>3.6033173715657618</v>
      </c>
      <c r="V1428" s="106">
        <v>29196.867365575148</v>
      </c>
      <c r="W1428" s="10">
        <v>0.76464753978660038</v>
      </c>
      <c r="X1428" s="420"/>
      <c r="Y1428" s="420"/>
      <c r="Z1428" s="1"/>
      <c r="AA1428" s="1"/>
      <c r="AB1428" s="1"/>
      <c r="AC1428" s="1"/>
      <c r="AD1428" s="1"/>
    </row>
    <row r="1429" spans="17:30">
      <c r="Q1429" s="6">
        <v>1399</v>
      </c>
      <c r="R1429" s="7">
        <v>44066</v>
      </c>
      <c r="S1429" s="210">
        <v>4</v>
      </c>
      <c r="T1429" s="8">
        <v>1.0001111111111112</v>
      </c>
      <c r="U1429" s="98">
        <v>3.6036990633562915</v>
      </c>
      <c r="V1429" s="106">
        <v>29199.140808093387</v>
      </c>
      <c r="W1429" s="10">
        <v>0.76497280623615271</v>
      </c>
      <c r="X1429" s="420"/>
      <c r="Y1429" s="420"/>
      <c r="Z1429" s="1"/>
      <c r="AA1429" s="1"/>
      <c r="AB1429" s="1"/>
      <c r="AC1429" s="1"/>
      <c r="AD1429" s="1"/>
    </row>
    <row r="1430" spans="17:30">
      <c r="Q1430" s="6">
        <v>1400</v>
      </c>
      <c r="R1430" s="7">
        <v>44067</v>
      </c>
      <c r="S1430" s="210">
        <v>4</v>
      </c>
      <c r="T1430" s="8">
        <v>1.0001111111111112</v>
      </c>
      <c r="U1430" s="98">
        <v>3.6040802112760284</v>
      </c>
      <c r="V1430" s="106">
        <v>29201.414427635442</v>
      </c>
      <c r="W1430" s="10">
        <v>0.76529760906705047</v>
      </c>
      <c r="X1430" s="420"/>
      <c r="Y1430" s="420"/>
      <c r="Z1430" s="1"/>
      <c r="AA1430" s="1"/>
      <c r="AB1430" s="1"/>
      <c r="AC1430" s="1"/>
      <c r="AD1430" s="1"/>
    </row>
    <row r="1431" spans="17:30">
      <c r="Q1431" s="6">
        <v>1401</v>
      </c>
      <c r="R1431" s="7">
        <v>44068</v>
      </c>
      <c r="S1431" s="210">
        <v>4</v>
      </c>
      <c r="T1431" s="8">
        <v>1.0001111111111112</v>
      </c>
      <c r="U1431" s="98">
        <v>3.6044608164865988</v>
      </c>
      <c r="V1431" s="106">
        <v>29203.688224215104</v>
      </c>
      <c r="W1431" s="10">
        <v>0.76562194926981242</v>
      </c>
      <c r="X1431" s="420"/>
      <c r="Y1431" s="420"/>
      <c r="Z1431" s="1"/>
      <c r="AA1431" s="1"/>
      <c r="AB1431" s="1"/>
      <c r="AC1431" s="1"/>
      <c r="AD1431" s="1"/>
    </row>
    <row r="1432" spans="17:30">
      <c r="Q1432" s="6">
        <v>1402</v>
      </c>
      <c r="R1432" s="7">
        <v>44069</v>
      </c>
      <c r="S1432" s="210">
        <v>4</v>
      </c>
      <c r="T1432" s="8">
        <v>1.0001111111111112</v>
      </c>
      <c r="U1432" s="98">
        <v>3.6048408801462983</v>
      </c>
      <c r="V1432" s="106">
        <v>29205.962197846144</v>
      </c>
      <c r="W1432" s="10">
        <v>0.76594582783215959</v>
      </c>
      <c r="X1432" s="420"/>
      <c r="Y1432" s="420"/>
      <c r="Z1432" s="1"/>
      <c r="AA1432" s="1"/>
      <c r="AB1432" s="1"/>
      <c r="AC1432" s="1"/>
      <c r="AD1432" s="1"/>
    </row>
    <row r="1433" spans="17:30">
      <c r="Q1433" s="6">
        <v>1403</v>
      </c>
      <c r="R1433" s="7">
        <v>44070</v>
      </c>
      <c r="S1433" s="210">
        <v>4</v>
      </c>
      <c r="T1433" s="8">
        <v>1.0001111111111112</v>
      </c>
      <c r="U1433" s="98">
        <v>3.6052204034101143</v>
      </c>
      <c r="V1433" s="106">
        <v>29208.236348542356</v>
      </c>
      <c r="W1433" s="10">
        <v>0.76626924573894861</v>
      </c>
      <c r="X1433" s="420"/>
      <c r="Y1433" s="420"/>
      <c r="Z1433" s="1"/>
      <c r="AA1433" s="1"/>
      <c r="AB1433" s="1"/>
      <c r="AC1433" s="1"/>
      <c r="AD1433" s="1"/>
    </row>
    <row r="1434" spans="17:30">
      <c r="Q1434" s="6">
        <v>1404</v>
      </c>
      <c r="R1434" s="7">
        <v>44071</v>
      </c>
      <c r="S1434" s="210">
        <v>4</v>
      </c>
      <c r="T1434" s="8">
        <v>1.0001111111111112</v>
      </c>
      <c r="U1434" s="98">
        <v>3.605599387429792</v>
      </c>
      <c r="V1434" s="106">
        <v>29210.510676317535</v>
      </c>
      <c r="W1434" s="10">
        <v>0.76659220397228278</v>
      </c>
      <c r="X1434" s="420"/>
      <c r="Y1434" s="420"/>
      <c r="Z1434" s="1"/>
      <c r="AA1434" s="1"/>
      <c r="AB1434" s="1"/>
      <c r="AC1434" s="1"/>
      <c r="AD1434" s="1"/>
    </row>
    <row r="1435" spans="17:30">
      <c r="Q1435" s="6">
        <v>1405</v>
      </c>
      <c r="R1435" s="7">
        <v>44072</v>
      </c>
      <c r="S1435" s="210">
        <v>4</v>
      </c>
      <c r="T1435" s="8">
        <v>1.0001111111111112</v>
      </c>
      <c r="U1435" s="98">
        <v>3.6059778333537906</v>
      </c>
      <c r="V1435" s="106">
        <v>29212.785181185456</v>
      </c>
      <c r="W1435" s="10">
        <v>0.76691470351146762</v>
      </c>
      <c r="X1435" s="420"/>
      <c r="Y1435" s="420"/>
      <c r="Z1435" s="1"/>
      <c r="AA1435" s="1"/>
      <c r="AB1435" s="1"/>
      <c r="AC1435" s="1"/>
      <c r="AD1435" s="1"/>
    </row>
    <row r="1436" spans="17:30">
      <c r="Q1436" s="6">
        <v>1406</v>
      </c>
      <c r="R1436" s="7">
        <v>44073</v>
      </c>
      <c r="S1436" s="210">
        <v>4</v>
      </c>
      <c r="T1436" s="8">
        <v>1.0001111111111112</v>
      </c>
      <c r="U1436" s="98">
        <v>3.6063557423273052</v>
      </c>
      <c r="V1436" s="106">
        <v>29215.059863159913</v>
      </c>
      <c r="W1436" s="10">
        <v>0.7672367453330553</v>
      </c>
      <c r="X1436" s="420"/>
      <c r="Y1436" s="420"/>
      <c r="Z1436" s="1"/>
      <c r="AA1436" s="1"/>
      <c r="AB1436" s="1"/>
      <c r="AC1436" s="1"/>
      <c r="AD1436" s="1"/>
    </row>
    <row r="1437" spans="17:30">
      <c r="Q1437" s="6">
        <v>1407</v>
      </c>
      <c r="R1437" s="7">
        <v>44074</v>
      </c>
      <c r="S1437" s="210">
        <v>4</v>
      </c>
      <c r="T1437" s="8">
        <v>1.0001111111111112</v>
      </c>
      <c r="U1437" s="98">
        <v>3.6067331154922888</v>
      </c>
      <c r="V1437" s="106">
        <v>29217.334722254702</v>
      </c>
      <c r="W1437" s="10">
        <v>0.76755833041075583</v>
      </c>
      <c r="X1437" s="420"/>
      <c r="Y1437" s="420"/>
      <c r="Z1437" s="1"/>
      <c r="AA1437" s="1"/>
      <c r="AB1437" s="1"/>
      <c r="AC1437" s="1"/>
      <c r="AD1437" s="1"/>
    </row>
    <row r="1438" spans="17:30">
      <c r="Q1438" s="6">
        <v>1408</v>
      </c>
      <c r="R1438" s="7">
        <v>44075</v>
      </c>
      <c r="S1438" s="210">
        <v>4</v>
      </c>
      <c r="T1438" s="8">
        <v>1.0001111111111112</v>
      </c>
      <c r="U1438" s="98">
        <v>3.6071099539874529</v>
      </c>
      <c r="V1438" s="106">
        <v>29219.609758483606</v>
      </c>
      <c r="W1438" s="10">
        <v>0.76787945971559246</v>
      </c>
      <c r="X1438" s="420"/>
      <c r="Y1438" s="420"/>
      <c r="Z1438" s="1"/>
      <c r="AA1438" s="1"/>
      <c r="AB1438" s="1"/>
      <c r="AC1438" s="1"/>
      <c r="AD1438" s="1"/>
    </row>
    <row r="1439" spans="17:30">
      <c r="Q1439" s="6">
        <v>1409</v>
      </c>
      <c r="R1439" s="7">
        <v>44076</v>
      </c>
      <c r="S1439" s="210">
        <v>4</v>
      </c>
      <c r="T1439" s="8">
        <v>1.0001111111111112</v>
      </c>
      <c r="U1439" s="98">
        <v>3.6074862589482892</v>
      </c>
      <c r="V1439" s="106">
        <v>29221.884971860425</v>
      </c>
      <c r="W1439" s="10">
        <v>0.7682001342157907</v>
      </c>
      <c r="X1439" s="420"/>
      <c r="Y1439" s="420"/>
      <c r="Z1439" s="1"/>
      <c r="AA1439" s="1"/>
      <c r="AB1439" s="1"/>
      <c r="AC1439" s="1"/>
      <c r="AD1439" s="1"/>
    </row>
    <row r="1440" spans="17:30">
      <c r="Q1440" s="6">
        <v>1410</v>
      </c>
      <c r="R1440" s="7">
        <v>44077</v>
      </c>
      <c r="S1440" s="210">
        <v>4</v>
      </c>
      <c r="T1440" s="8">
        <v>1.0001111111111112</v>
      </c>
      <c r="U1440" s="98">
        <v>3.6078620315070697</v>
      </c>
      <c r="V1440" s="106">
        <v>29224.16036239895</v>
      </c>
      <c r="W1440" s="10">
        <v>0.7685203548768671</v>
      </c>
      <c r="X1440" s="420"/>
      <c r="Y1440" s="420"/>
      <c r="Z1440" s="1"/>
      <c r="AA1440" s="1"/>
      <c r="AB1440" s="1"/>
      <c r="AC1440" s="1"/>
      <c r="AD1440" s="1"/>
    </row>
    <row r="1441" spans="17:30">
      <c r="Q1441" s="6">
        <v>1411</v>
      </c>
      <c r="R1441" s="7">
        <v>44078</v>
      </c>
      <c r="S1441" s="210">
        <v>4</v>
      </c>
      <c r="T1441" s="8">
        <v>1.0001111111111112</v>
      </c>
      <c r="U1441" s="98">
        <v>3.6082372727928691</v>
      </c>
      <c r="V1441" s="106">
        <v>29226.435930112973</v>
      </c>
      <c r="W1441" s="10">
        <v>0.76884012266158486</v>
      </c>
      <c r="X1441" s="420"/>
      <c r="Y1441" s="420"/>
      <c r="Z1441" s="1"/>
      <c r="AA1441" s="1"/>
      <c r="AB1441" s="1"/>
      <c r="AC1441" s="1"/>
      <c r="AD1441" s="1"/>
    </row>
    <row r="1442" spans="17:30">
      <c r="Q1442" s="6">
        <v>1412</v>
      </c>
      <c r="R1442" s="7">
        <v>44079</v>
      </c>
      <c r="S1442" s="210">
        <v>4</v>
      </c>
      <c r="T1442" s="8">
        <v>1.0001111111111112</v>
      </c>
      <c r="U1442" s="98">
        <v>3.6086119839315867</v>
      </c>
      <c r="V1442" s="106">
        <v>29228.711675016293</v>
      </c>
      <c r="W1442" s="10">
        <v>0.76915943852999824</v>
      </c>
      <c r="X1442" s="420"/>
      <c r="Y1442" s="420"/>
      <c r="Z1442" s="1"/>
      <c r="AA1442" s="1"/>
      <c r="AB1442" s="1"/>
      <c r="AC1442" s="1"/>
      <c r="AD1442" s="1"/>
    </row>
    <row r="1443" spans="17:30">
      <c r="Q1443" s="6">
        <v>1413</v>
      </c>
      <c r="R1443" s="7">
        <v>44080</v>
      </c>
      <c r="S1443" s="210">
        <v>4</v>
      </c>
      <c r="T1443" s="8">
        <v>1.0001111111111112</v>
      </c>
      <c r="U1443" s="98">
        <v>3.6089861660459022</v>
      </c>
      <c r="V1443" s="106">
        <v>29230.987597122705</v>
      </c>
      <c r="W1443" s="10">
        <v>0.76947830343940815</v>
      </c>
      <c r="X1443" s="420"/>
      <c r="Y1443" s="420"/>
      <c r="Z1443" s="1"/>
      <c r="AA1443" s="1"/>
      <c r="AB1443" s="1"/>
      <c r="AC1443" s="1"/>
      <c r="AD1443" s="1"/>
    </row>
    <row r="1444" spans="17:30">
      <c r="Q1444" s="6">
        <v>1414</v>
      </c>
      <c r="R1444" s="7">
        <v>44081</v>
      </c>
      <c r="S1444" s="210">
        <v>4</v>
      </c>
      <c r="T1444" s="8">
        <v>1.0001111111111112</v>
      </c>
      <c r="U1444" s="98">
        <v>3.6093598202553645</v>
      </c>
      <c r="V1444" s="106">
        <v>29233.263696446014</v>
      </c>
      <c r="W1444" s="10">
        <v>0.76979671834449537</v>
      </c>
      <c r="X1444" s="420"/>
      <c r="Y1444" s="420"/>
      <c r="Z1444" s="1"/>
      <c r="AA1444" s="1"/>
      <c r="AB1444" s="1"/>
      <c r="AC1444" s="1"/>
      <c r="AD1444" s="1"/>
    </row>
    <row r="1445" spans="17:30">
      <c r="Q1445" s="6">
        <v>1415</v>
      </c>
      <c r="R1445" s="7">
        <v>44082</v>
      </c>
      <c r="S1445" s="210">
        <v>4</v>
      </c>
      <c r="T1445" s="8">
        <v>1.0001111111111112</v>
      </c>
      <c r="U1445" s="98">
        <v>3.6097329476763473</v>
      </c>
      <c r="V1445" s="106">
        <v>29235.53997300001</v>
      </c>
      <c r="W1445" s="10">
        <v>0.77011468419718732</v>
      </c>
      <c r="X1445" s="420"/>
      <c r="Y1445" s="420"/>
      <c r="Z1445" s="1"/>
      <c r="AA1445" s="1"/>
      <c r="AB1445" s="1"/>
      <c r="AC1445" s="1"/>
      <c r="AD1445" s="1"/>
    </row>
    <row r="1446" spans="17:30">
      <c r="Q1446" s="6">
        <v>1416</v>
      </c>
      <c r="R1446" s="7">
        <v>44083</v>
      </c>
      <c r="S1446" s="210">
        <v>4</v>
      </c>
      <c r="T1446" s="8">
        <v>1.0001111111111112</v>
      </c>
      <c r="U1446" s="98">
        <v>3.6101055494221157</v>
      </c>
      <c r="V1446" s="106">
        <v>29237.816426798501</v>
      </c>
      <c r="W1446" s="10">
        <v>0.77043220194674689</v>
      </c>
      <c r="X1446" s="420"/>
      <c r="Y1446" s="420"/>
      <c r="Z1446" s="1"/>
      <c r="AA1446" s="1"/>
      <c r="AB1446" s="1"/>
      <c r="AC1446" s="1"/>
      <c r="AD1446" s="1"/>
    </row>
    <row r="1447" spans="17:30">
      <c r="Q1447" s="6">
        <v>1417</v>
      </c>
      <c r="R1447" s="7">
        <v>44084</v>
      </c>
      <c r="S1447" s="210">
        <v>4</v>
      </c>
      <c r="T1447" s="8">
        <v>1.0001111111111112</v>
      </c>
      <c r="U1447" s="98">
        <v>3.6104776266027372</v>
      </c>
      <c r="V1447" s="106">
        <v>29240.16894861012</v>
      </c>
      <c r="W1447" s="10">
        <v>0.77068190248268387</v>
      </c>
      <c r="X1447" s="420"/>
      <c r="Y1447" s="420"/>
      <c r="Z1447" s="1"/>
      <c r="AA1447" s="1"/>
      <c r="AB1447" s="1"/>
      <c r="AC1447" s="1"/>
      <c r="AD1447" s="1"/>
    </row>
    <row r="1448" spans="17:30">
      <c r="Q1448" s="6">
        <v>1418</v>
      </c>
      <c r="R1448" s="7">
        <v>44085</v>
      </c>
      <c r="S1448" s="210">
        <v>4</v>
      </c>
      <c r="T1448" s="8">
        <v>1.0001111111111112</v>
      </c>
      <c r="U1448" s="98">
        <v>3.610849180325193</v>
      </c>
      <c r="V1448" s="106">
        <v>29242.52165970943</v>
      </c>
      <c r="W1448" s="10">
        <v>0.77093125144911401</v>
      </c>
      <c r="X1448" s="420"/>
      <c r="Y1448" s="420"/>
      <c r="Z1448" s="1"/>
      <c r="AA1448" s="1"/>
      <c r="AB1448" s="1"/>
      <c r="AC1448" s="1"/>
      <c r="AD1448" s="1"/>
    </row>
    <row r="1449" spans="17:30">
      <c r="Q1449" s="6">
        <v>1419</v>
      </c>
      <c r="R1449" s="7">
        <v>44086</v>
      </c>
      <c r="S1449" s="210">
        <v>4</v>
      </c>
      <c r="T1449" s="8">
        <v>1.0001111111111112</v>
      </c>
      <c r="U1449" s="98">
        <v>3.6112202116933556</v>
      </c>
      <c r="V1449" s="106">
        <v>29244.874560111668</v>
      </c>
      <c r="W1449" s="10">
        <v>0.77118024958799936</v>
      </c>
      <c r="X1449" s="420"/>
      <c r="Y1449" s="420"/>
      <c r="Z1449" s="1"/>
      <c r="AA1449" s="1"/>
      <c r="AB1449" s="1"/>
      <c r="AC1449" s="1"/>
      <c r="AD1449" s="1"/>
    </row>
    <row r="1450" spans="17:30">
      <c r="Q1450" s="6">
        <v>1420</v>
      </c>
      <c r="R1450" s="7">
        <v>44087</v>
      </c>
      <c r="S1450" s="210">
        <v>4</v>
      </c>
      <c r="T1450" s="8">
        <v>1.0001111111111112</v>
      </c>
      <c r="U1450" s="98">
        <v>3.611590721807989</v>
      </c>
      <c r="V1450" s="106">
        <v>29247.227649832064</v>
      </c>
      <c r="W1450" s="10">
        <v>0.77142889763923694</v>
      </c>
      <c r="X1450" s="420"/>
      <c r="Y1450" s="420"/>
      <c r="Z1450" s="1"/>
      <c r="AA1450" s="1"/>
      <c r="AB1450" s="1"/>
      <c r="AC1450" s="1"/>
      <c r="AD1450" s="1"/>
    </row>
    <row r="1451" spans="17:30">
      <c r="Q1451" s="6">
        <v>1421</v>
      </c>
      <c r="R1451" s="7">
        <v>44088</v>
      </c>
      <c r="S1451" s="210">
        <v>4</v>
      </c>
      <c r="T1451" s="8">
        <v>1.0001111111111112</v>
      </c>
      <c r="U1451" s="98">
        <v>3.6119607117667707</v>
      </c>
      <c r="V1451" s="106">
        <v>29249.580928885844</v>
      </c>
      <c r="W1451" s="10">
        <v>0.77167719634065879</v>
      </c>
      <c r="X1451" s="420"/>
      <c r="Y1451" s="420"/>
      <c r="Z1451" s="1"/>
      <c r="AA1451" s="1"/>
      <c r="AB1451" s="1"/>
      <c r="AC1451" s="1"/>
      <c r="AD1451" s="1"/>
    </row>
    <row r="1452" spans="17:30">
      <c r="Q1452" s="6">
        <v>1422</v>
      </c>
      <c r="R1452" s="7">
        <v>44089</v>
      </c>
      <c r="S1452" s="210">
        <v>4</v>
      </c>
      <c r="T1452" s="8">
        <v>1.0001111111111112</v>
      </c>
      <c r="U1452" s="98">
        <v>3.6123301826642917</v>
      </c>
      <c r="V1452" s="106">
        <v>29251.934397288256</v>
      </c>
      <c r="W1452" s="10">
        <v>0.77192514642798749</v>
      </c>
      <c r="X1452" s="420"/>
      <c r="Y1452" s="420"/>
      <c r="Z1452" s="1"/>
      <c r="AA1452" s="1"/>
      <c r="AB1452" s="1"/>
      <c r="AC1452" s="1"/>
      <c r="AD1452" s="1"/>
    </row>
    <row r="1453" spans="17:30">
      <c r="Q1453" s="6">
        <v>1423</v>
      </c>
      <c r="R1453" s="7">
        <v>44090</v>
      </c>
      <c r="S1453" s="210">
        <v>4</v>
      </c>
      <c r="T1453" s="8">
        <v>1.0001111111111112</v>
      </c>
      <c r="U1453" s="98">
        <v>3.6126991355920568</v>
      </c>
      <c r="V1453" s="106">
        <v>29254.28805505452</v>
      </c>
      <c r="W1453" s="10">
        <v>0.77217274863485841</v>
      </c>
      <c r="X1453" s="420"/>
      <c r="Y1453" s="420"/>
      <c r="Z1453" s="1"/>
      <c r="AA1453" s="1"/>
      <c r="AB1453" s="1"/>
      <c r="AC1453" s="1"/>
      <c r="AD1453" s="1"/>
    </row>
    <row r="1454" spans="17:30">
      <c r="Q1454" s="6">
        <v>1424</v>
      </c>
      <c r="R1454" s="7">
        <v>44091</v>
      </c>
      <c r="S1454" s="210">
        <v>4</v>
      </c>
      <c r="T1454" s="8">
        <v>1.0001111111111112</v>
      </c>
      <c r="U1454" s="98">
        <v>3.6130675716385507</v>
      </c>
      <c r="V1454" s="106">
        <v>29256.641902199877</v>
      </c>
      <c r="W1454" s="10">
        <v>0.77242000369293073</v>
      </c>
      <c r="X1454" s="420"/>
      <c r="Y1454" s="420"/>
      <c r="Z1454" s="1"/>
      <c r="AA1454" s="1"/>
      <c r="AB1454" s="1"/>
      <c r="AC1454" s="1"/>
      <c r="AD1454" s="1"/>
    </row>
    <row r="1455" spans="17:30">
      <c r="Q1455" s="6">
        <v>1425</v>
      </c>
      <c r="R1455" s="7">
        <v>44092</v>
      </c>
      <c r="S1455" s="210">
        <v>4</v>
      </c>
      <c r="T1455" s="8">
        <v>1.0001111111111112</v>
      </c>
      <c r="U1455" s="98">
        <v>3.6134354918891942</v>
      </c>
      <c r="V1455" s="106">
        <v>29258.995938739572</v>
      </c>
      <c r="W1455" s="10">
        <v>0.77266691233175422</v>
      </c>
      <c r="X1455" s="420"/>
      <c r="Y1455" s="420"/>
      <c r="Z1455" s="1"/>
      <c r="AA1455" s="1"/>
      <c r="AB1455" s="1"/>
      <c r="AC1455" s="1"/>
      <c r="AD1455" s="1"/>
    </row>
    <row r="1456" spans="17:30">
      <c r="Q1456" s="6">
        <v>1426</v>
      </c>
      <c r="R1456" s="7">
        <v>44093</v>
      </c>
      <c r="S1456" s="210">
        <v>4</v>
      </c>
      <c r="T1456" s="8">
        <v>1.0001111111111112</v>
      </c>
      <c r="U1456" s="98">
        <v>3.6138028974263436</v>
      </c>
      <c r="V1456" s="106">
        <v>29261.350164688844</v>
      </c>
      <c r="W1456" s="10">
        <v>0.7729134752788136</v>
      </c>
      <c r="X1456" s="420"/>
      <c r="Y1456" s="420"/>
      <c r="Z1456" s="1"/>
      <c r="AA1456" s="1"/>
      <c r="AB1456" s="1"/>
      <c r="AC1456" s="1"/>
      <c r="AD1456" s="1"/>
    </row>
    <row r="1457" spans="17:30">
      <c r="Q1457" s="6">
        <v>1427</v>
      </c>
      <c r="R1457" s="7">
        <v>44094</v>
      </c>
      <c r="S1457" s="210">
        <v>4</v>
      </c>
      <c r="T1457" s="8">
        <v>1.0001111111111112</v>
      </c>
      <c r="U1457" s="98">
        <v>3.61416978932938</v>
      </c>
      <c r="V1457" s="106">
        <v>29263.704580062924</v>
      </c>
      <c r="W1457" s="10">
        <v>0.77315969325963962</v>
      </c>
      <c r="X1457" s="420"/>
      <c r="Y1457" s="420"/>
      <c r="Z1457" s="1"/>
      <c r="AA1457" s="1"/>
      <c r="AB1457" s="1"/>
      <c r="AC1457" s="1"/>
      <c r="AD1457" s="1"/>
    </row>
    <row r="1458" spans="17:30">
      <c r="Q1458" s="6">
        <v>1428</v>
      </c>
      <c r="R1458" s="7">
        <v>44095</v>
      </c>
      <c r="S1458" s="210">
        <v>4</v>
      </c>
      <c r="T1458" s="8">
        <v>1.0001111111111112</v>
      </c>
      <c r="U1458" s="98">
        <v>3.6145361686746202</v>
      </c>
      <c r="V1458" s="106">
        <v>29266.059184877056</v>
      </c>
      <c r="W1458" s="10">
        <v>0.77340556699769802</v>
      </c>
      <c r="X1458" s="420"/>
      <c r="Y1458" s="420"/>
      <c r="Z1458" s="1"/>
      <c r="AA1458" s="1"/>
      <c r="AB1458" s="1"/>
      <c r="AC1458" s="1"/>
      <c r="AD1458" s="1"/>
    </row>
    <row r="1459" spans="17:30">
      <c r="Q1459" s="6">
        <v>1429</v>
      </c>
      <c r="R1459" s="7">
        <v>44096</v>
      </c>
      <c r="S1459" s="210">
        <v>4</v>
      </c>
      <c r="T1459" s="8">
        <v>1.0001111111111112</v>
      </c>
      <c r="U1459" s="98">
        <v>3.6149020365354056</v>
      </c>
      <c r="V1459" s="106">
        <v>29268.413979146488</v>
      </c>
      <c r="W1459" s="10">
        <v>0.77365109721436731</v>
      </c>
      <c r="X1459" s="420"/>
      <c r="Y1459" s="420"/>
      <c r="Z1459" s="1"/>
      <c r="AA1459" s="1"/>
      <c r="AB1459" s="1"/>
      <c r="AC1459" s="1"/>
      <c r="AD1459" s="1"/>
    </row>
    <row r="1460" spans="17:30">
      <c r="Q1460" s="6">
        <v>1430</v>
      </c>
      <c r="R1460" s="7">
        <v>44097</v>
      </c>
      <c r="S1460" s="210">
        <v>4</v>
      </c>
      <c r="T1460" s="8">
        <v>1.0001111111111112</v>
      </c>
      <c r="U1460" s="98">
        <v>3.6152673939820801</v>
      </c>
      <c r="V1460" s="106">
        <v>29270.768962886457</v>
      </c>
      <c r="W1460" s="10">
        <v>0.77389628462911642</v>
      </c>
      <c r="X1460" s="420"/>
      <c r="Y1460" s="420"/>
      <c r="Z1460" s="1"/>
      <c r="AA1460" s="1"/>
      <c r="AB1460" s="1"/>
      <c r="AC1460" s="1"/>
      <c r="AD1460" s="1"/>
    </row>
    <row r="1461" spans="17:30">
      <c r="Q1461" s="6">
        <v>1431</v>
      </c>
      <c r="R1461" s="7">
        <v>44098</v>
      </c>
      <c r="S1461" s="210">
        <v>4</v>
      </c>
      <c r="T1461" s="8">
        <v>1.0001111111111112</v>
      </c>
      <c r="U1461" s="98">
        <v>3.6156322420819897</v>
      </c>
      <c r="V1461" s="106">
        <v>29273.124136112216</v>
      </c>
      <c r="W1461" s="10">
        <v>0.77414112995932705</v>
      </c>
      <c r="X1461" s="420"/>
      <c r="Y1461" s="420"/>
      <c r="Z1461" s="1"/>
      <c r="AA1461" s="1"/>
      <c r="AB1461" s="1"/>
      <c r="AC1461" s="1"/>
      <c r="AD1461" s="1"/>
    </row>
    <row r="1462" spans="17:30">
      <c r="Q1462" s="6">
        <v>1432</v>
      </c>
      <c r="R1462" s="7">
        <v>44099</v>
      </c>
      <c r="S1462" s="210">
        <v>4</v>
      </c>
      <c r="T1462" s="8">
        <v>1.0001111111111112</v>
      </c>
      <c r="U1462" s="98">
        <v>3.6159965818995277</v>
      </c>
      <c r="V1462" s="106">
        <v>29275.479498839006</v>
      </c>
      <c r="W1462" s="10">
        <v>0.77438563392044912</v>
      </c>
      <c r="X1462" s="420"/>
      <c r="Y1462" s="420"/>
      <c r="Z1462" s="1"/>
      <c r="AA1462" s="1"/>
      <c r="AB1462" s="1"/>
      <c r="AC1462" s="1"/>
      <c r="AD1462" s="1"/>
    </row>
    <row r="1463" spans="17:30">
      <c r="Q1463" s="6">
        <v>1433</v>
      </c>
      <c r="R1463" s="7">
        <v>44100</v>
      </c>
      <c r="S1463" s="210">
        <v>4</v>
      </c>
      <c r="T1463" s="8">
        <v>1.0001111111111112</v>
      </c>
      <c r="U1463" s="98">
        <v>3.6163604144961115</v>
      </c>
      <c r="V1463" s="106">
        <v>29277.835051082075</v>
      </c>
      <c r="W1463" s="10">
        <v>0.77462979722588976</v>
      </c>
      <c r="X1463" s="420"/>
      <c r="Y1463" s="420"/>
      <c r="Z1463" s="1"/>
      <c r="AA1463" s="1"/>
      <c r="AB1463" s="1"/>
      <c r="AC1463" s="1"/>
      <c r="AD1463" s="1"/>
    </row>
    <row r="1464" spans="17:30">
      <c r="Q1464" s="6">
        <v>1434</v>
      </c>
      <c r="R1464" s="7">
        <v>44101</v>
      </c>
      <c r="S1464" s="210">
        <v>4</v>
      </c>
      <c r="T1464" s="8">
        <v>1.0001111111111112</v>
      </c>
      <c r="U1464" s="98">
        <v>3.6167237409301833</v>
      </c>
      <c r="V1464" s="106">
        <v>29280.190792856672</v>
      </c>
      <c r="W1464" s="10">
        <v>0.77487362058705767</v>
      </c>
      <c r="X1464" s="420"/>
      <c r="Y1464" s="420"/>
      <c r="Z1464" s="1"/>
      <c r="AA1464" s="1"/>
      <c r="AB1464" s="1"/>
      <c r="AC1464" s="1"/>
      <c r="AD1464" s="1"/>
    </row>
    <row r="1465" spans="17:30">
      <c r="Q1465" s="6">
        <v>1435</v>
      </c>
      <c r="R1465" s="7">
        <v>44102</v>
      </c>
      <c r="S1465" s="210">
        <v>4</v>
      </c>
      <c r="T1465" s="8">
        <v>1.0001111111111112</v>
      </c>
      <c r="U1465" s="98">
        <v>3.6170865622572768</v>
      </c>
      <c r="V1465" s="106">
        <v>29282.54672417805</v>
      </c>
      <c r="W1465" s="10">
        <v>0.77511710471340756</v>
      </c>
      <c r="X1465" s="420"/>
      <c r="Y1465" s="420"/>
      <c r="Z1465" s="1"/>
      <c r="AA1465" s="1"/>
      <c r="AB1465" s="1"/>
      <c r="AC1465" s="1"/>
      <c r="AD1465" s="1"/>
    </row>
    <row r="1466" spans="17:30">
      <c r="Q1466" s="6">
        <v>1436</v>
      </c>
      <c r="R1466" s="7">
        <v>44103</v>
      </c>
      <c r="S1466" s="210">
        <v>4</v>
      </c>
      <c r="T1466" s="8">
        <v>1.0001111111111112</v>
      </c>
      <c r="U1466" s="98">
        <v>3.617448879529972</v>
      </c>
      <c r="V1466" s="106">
        <v>29284.90284506145</v>
      </c>
      <c r="W1466" s="10">
        <v>0.77536025031244016</v>
      </c>
      <c r="X1466" s="420"/>
      <c r="Y1466" s="420"/>
      <c r="Z1466" s="1"/>
      <c r="AA1466" s="1"/>
      <c r="AB1466" s="1"/>
      <c r="AC1466" s="1"/>
      <c r="AD1466" s="1"/>
    </row>
    <row r="1467" spans="17:30">
      <c r="Q1467" s="6">
        <v>1437</v>
      </c>
      <c r="R1467" s="7">
        <v>44104</v>
      </c>
      <c r="S1467" s="210">
        <v>4</v>
      </c>
      <c r="T1467" s="8">
        <v>1.0001111111111112</v>
      </c>
      <c r="U1467" s="98">
        <v>3.6178106937979626</v>
      </c>
      <c r="V1467" s="106">
        <v>29287.259155522133</v>
      </c>
      <c r="W1467" s="10">
        <v>0.7756030580897022</v>
      </c>
      <c r="X1467" s="420"/>
      <c r="Y1467" s="420"/>
      <c r="Z1467" s="1"/>
      <c r="AA1467" s="1"/>
      <c r="AB1467" s="1"/>
      <c r="AC1467" s="1"/>
      <c r="AD1467" s="1"/>
    </row>
    <row r="1468" spans="17:30">
      <c r="Q1468" s="6">
        <v>1438</v>
      </c>
      <c r="R1468" s="7">
        <v>44105</v>
      </c>
      <c r="S1468" s="210">
        <v>4</v>
      </c>
      <c r="T1468" s="8">
        <v>1.0001111111111112</v>
      </c>
      <c r="U1468" s="98">
        <v>3.618172006107967</v>
      </c>
      <c r="V1468" s="106">
        <v>29289.615655575362</v>
      </c>
      <c r="W1468" s="10">
        <v>0.77584552874867541</v>
      </c>
      <c r="X1468" s="420"/>
      <c r="Y1468" s="420"/>
      <c r="Z1468" s="1"/>
      <c r="AA1468" s="1"/>
      <c r="AB1468" s="1"/>
      <c r="AC1468" s="1"/>
      <c r="AD1468" s="1"/>
    </row>
    <row r="1469" spans="17:30">
      <c r="Q1469" s="6">
        <v>1439</v>
      </c>
      <c r="R1469" s="7">
        <v>44106</v>
      </c>
      <c r="S1469" s="210">
        <v>4</v>
      </c>
      <c r="T1469" s="8">
        <v>1.0001111111111112</v>
      </c>
      <c r="U1469" s="98">
        <v>3.6185328175038611</v>
      </c>
      <c r="V1469" s="106">
        <v>29291.972345236369</v>
      </c>
      <c r="W1469" s="10">
        <v>0.77608766299099852</v>
      </c>
      <c r="X1469" s="420"/>
      <c r="Y1469" s="420"/>
      <c r="Z1469" s="1"/>
      <c r="AA1469" s="1"/>
      <c r="AB1469" s="1"/>
      <c r="AC1469" s="1"/>
      <c r="AD1469" s="1"/>
    </row>
    <row r="1470" spans="17:30">
      <c r="Q1470" s="6">
        <v>1440</v>
      </c>
      <c r="R1470" s="7">
        <v>44107</v>
      </c>
      <c r="S1470" s="210">
        <v>4</v>
      </c>
      <c r="T1470" s="8">
        <v>1.0001111111111112</v>
      </c>
      <c r="U1470" s="98">
        <v>3.6188931290265902</v>
      </c>
      <c r="V1470" s="106">
        <v>29294.329224520428</v>
      </c>
      <c r="W1470" s="10">
        <v>0.77632946151635629</v>
      </c>
      <c r="X1470" s="420"/>
      <c r="Y1470" s="420"/>
      <c r="Z1470" s="1"/>
      <c r="AA1470" s="1"/>
      <c r="AB1470" s="1"/>
      <c r="AC1470" s="1"/>
      <c r="AD1470" s="1"/>
    </row>
    <row r="1471" spans="17:30">
      <c r="Q1471" s="6">
        <v>1441</v>
      </c>
      <c r="R1471" s="7">
        <v>44108</v>
      </c>
      <c r="S1471" s="210">
        <v>4</v>
      </c>
      <c r="T1471" s="8">
        <v>1.0001111111111112</v>
      </c>
      <c r="U1471" s="98">
        <v>3.6192529417142127</v>
      </c>
      <c r="V1471" s="106">
        <v>29296.686293442795</v>
      </c>
      <c r="W1471" s="10">
        <v>0.77657092502241287</v>
      </c>
      <c r="X1471" s="420"/>
      <c r="Y1471" s="420"/>
      <c r="Z1471" s="1"/>
      <c r="AA1471" s="1"/>
      <c r="AB1471" s="1"/>
      <c r="AC1471" s="1"/>
      <c r="AD1471" s="1"/>
    </row>
    <row r="1472" spans="17:30">
      <c r="Q1472" s="6">
        <v>1442</v>
      </c>
      <c r="R1472" s="7">
        <v>44109</v>
      </c>
      <c r="S1472" s="210">
        <v>4</v>
      </c>
      <c r="T1472" s="8">
        <v>1.0001111111111112</v>
      </c>
      <c r="U1472" s="98">
        <v>3.6196122566019673</v>
      </c>
      <c r="V1472" s="106">
        <v>29299.043552018724</v>
      </c>
      <c r="W1472" s="10">
        <v>0.77681205420498944</v>
      </c>
      <c r="X1472" s="420"/>
      <c r="Y1472" s="420"/>
      <c r="Z1472" s="1"/>
      <c r="AA1472" s="1"/>
      <c r="AB1472" s="1"/>
      <c r="AC1472" s="1"/>
      <c r="AD1472" s="1"/>
    </row>
    <row r="1473" spans="17:30">
      <c r="Q1473" s="6">
        <v>1443</v>
      </c>
      <c r="R1473" s="7">
        <v>44110</v>
      </c>
      <c r="S1473" s="210">
        <v>4</v>
      </c>
      <c r="T1473" s="8">
        <v>1.0001111111111112</v>
      </c>
      <c r="U1473" s="98">
        <v>3.6199710747221614</v>
      </c>
      <c r="V1473" s="106">
        <v>29301.401000263464</v>
      </c>
      <c r="W1473" s="10">
        <v>0.77705284975790878</v>
      </c>
      <c r="X1473" s="420"/>
      <c r="Y1473" s="420"/>
      <c r="Z1473" s="1"/>
      <c r="AA1473" s="1"/>
      <c r="AB1473" s="1"/>
      <c r="AC1473" s="1"/>
      <c r="AD1473" s="1"/>
    </row>
    <row r="1474" spans="17:30">
      <c r="Q1474" s="6">
        <v>1444</v>
      </c>
      <c r="R1474" s="7">
        <v>44111</v>
      </c>
      <c r="S1474" s="210">
        <v>4</v>
      </c>
      <c r="T1474" s="8">
        <v>1.0001111111111112</v>
      </c>
      <c r="U1474" s="98">
        <v>3.6203293971043049</v>
      </c>
      <c r="V1474" s="106">
        <v>29303.758638192303</v>
      </c>
      <c r="W1474" s="10">
        <v>0.7772933123731729</v>
      </c>
      <c r="X1474" s="420"/>
      <c r="Y1474" s="420"/>
      <c r="Z1474" s="1"/>
      <c r="AA1474" s="1"/>
      <c r="AB1474" s="1"/>
      <c r="AC1474" s="1"/>
      <c r="AD1474" s="1"/>
    </row>
    <row r="1475" spans="17:30">
      <c r="Q1475" s="6">
        <v>1445</v>
      </c>
      <c r="R1475" s="7">
        <v>44112</v>
      </c>
      <c r="S1475" s="210">
        <v>4</v>
      </c>
      <c r="T1475" s="8">
        <v>1.0001111111111112</v>
      </c>
      <c r="U1475" s="98">
        <v>3.6206872247750432</v>
      </c>
      <c r="V1475" s="106">
        <v>29306.11646582048</v>
      </c>
      <c r="W1475" s="10">
        <v>0.7775334427407854</v>
      </c>
      <c r="X1475" s="420"/>
      <c r="Y1475" s="420"/>
      <c r="Z1475" s="1"/>
      <c r="AA1475" s="1"/>
      <c r="AB1475" s="1"/>
      <c r="AC1475" s="1"/>
      <c r="AD1475" s="1"/>
    </row>
    <row r="1476" spans="17:30">
      <c r="Q1476" s="6">
        <v>1446</v>
      </c>
      <c r="R1476" s="7">
        <v>44113</v>
      </c>
      <c r="S1476" s="210">
        <v>4</v>
      </c>
      <c r="T1476" s="8">
        <v>1.0001111111111112</v>
      </c>
      <c r="U1476" s="98">
        <v>3.6210445587581797</v>
      </c>
      <c r="V1476" s="106">
        <v>29308.474483163267</v>
      </c>
      <c r="W1476" s="10">
        <v>0.77777324154884031</v>
      </c>
      <c r="X1476" s="420"/>
      <c r="Y1476" s="420"/>
      <c r="Z1476" s="1"/>
      <c r="AA1476" s="1"/>
      <c r="AB1476" s="1"/>
      <c r="AC1476" s="1"/>
      <c r="AD1476" s="1"/>
    </row>
    <row r="1477" spans="17:30">
      <c r="Q1477" s="6">
        <v>1447</v>
      </c>
      <c r="R1477" s="7">
        <v>44114</v>
      </c>
      <c r="S1477" s="210">
        <v>4</v>
      </c>
      <c r="T1477" s="8">
        <v>1.0001111111111112</v>
      </c>
      <c r="U1477" s="98">
        <v>3.6214014000746975</v>
      </c>
      <c r="V1477" s="106">
        <v>29310.756616078437</v>
      </c>
      <c r="W1477" s="10">
        <v>0.77807868758652532</v>
      </c>
      <c r="X1477" s="420"/>
      <c r="Y1477" s="420"/>
      <c r="Z1477" s="1"/>
      <c r="AA1477" s="1"/>
      <c r="AB1477" s="1"/>
      <c r="AC1477" s="1"/>
      <c r="AD1477" s="1"/>
    </row>
    <row r="1478" spans="17:30">
      <c r="Q1478" s="6">
        <v>1448</v>
      </c>
      <c r="R1478" s="7">
        <v>44115</v>
      </c>
      <c r="S1478" s="210">
        <v>4</v>
      </c>
      <c r="T1478" s="8">
        <v>1.0001111111111112</v>
      </c>
      <c r="U1478" s="98">
        <v>3.6217577497428044</v>
      </c>
      <c r="V1478" s="106">
        <v>29313.038926694109</v>
      </c>
      <c r="W1478" s="10">
        <v>0.77838371266127915</v>
      </c>
      <c r="X1478" s="420"/>
      <c r="Y1478" s="420"/>
      <c r="Z1478" s="1"/>
      <c r="AA1478" s="1"/>
      <c r="AB1478" s="1"/>
      <c r="AC1478" s="1"/>
      <c r="AD1478" s="1"/>
    </row>
    <row r="1479" spans="17:30">
      <c r="Q1479" s="6">
        <v>1449</v>
      </c>
      <c r="R1479" s="7">
        <v>44116</v>
      </c>
      <c r="S1479" s="210">
        <v>4</v>
      </c>
      <c r="T1479" s="8">
        <v>1.0001111111111112</v>
      </c>
      <c r="U1479" s="98">
        <v>3.6221136087778438</v>
      </c>
      <c r="V1479" s="106">
        <v>29315.321415024118</v>
      </c>
      <c r="W1479" s="10">
        <v>0.77868831764273949</v>
      </c>
      <c r="X1479" s="420"/>
      <c r="Y1479" s="420"/>
      <c r="Z1479" s="1"/>
      <c r="AA1479" s="1"/>
      <c r="AB1479" s="1"/>
      <c r="AC1479" s="1"/>
      <c r="AD1479" s="1"/>
    </row>
    <row r="1480" spans="17:30">
      <c r="Q1480" s="6">
        <v>1450</v>
      </c>
      <c r="R1480" s="7">
        <v>44117</v>
      </c>
      <c r="S1480" s="210">
        <v>4</v>
      </c>
      <c r="T1480" s="8">
        <v>1.0001111111111112</v>
      </c>
      <c r="U1480" s="98">
        <v>3.6224689781924058</v>
      </c>
      <c r="V1480" s="106">
        <v>29317.604081082303</v>
      </c>
      <c r="W1480" s="10">
        <v>0.77899250339816817</v>
      </c>
      <c r="X1480" s="420"/>
      <c r="Y1480" s="420"/>
      <c r="Z1480" s="1"/>
      <c r="AA1480" s="1"/>
      <c r="AB1480" s="1"/>
      <c r="AC1480" s="1"/>
      <c r="AD1480" s="1"/>
    </row>
    <row r="1481" spans="17:30">
      <c r="Q1481" s="6">
        <v>1451</v>
      </c>
      <c r="R1481" s="7">
        <v>44118</v>
      </c>
      <c r="S1481" s="210">
        <v>4</v>
      </c>
      <c r="T1481" s="8">
        <v>1.0001111111111112</v>
      </c>
      <c r="U1481" s="98">
        <v>3.6228238589962825</v>
      </c>
      <c r="V1481" s="106">
        <v>29319.88692488251</v>
      </c>
      <c r="W1481" s="10">
        <v>0.77929627079242891</v>
      </c>
      <c r="X1481" s="420"/>
      <c r="Y1481" s="420"/>
      <c r="Z1481" s="1"/>
      <c r="AA1481" s="1"/>
      <c r="AB1481" s="1"/>
      <c r="AC1481" s="1"/>
      <c r="AD1481" s="1"/>
    </row>
    <row r="1482" spans="17:30">
      <c r="Q1482" s="6">
        <v>1452</v>
      </c>
      <c r="R1482" s="7">
        <v>44119</v>
      </c>
      <c r="S1482" s="210">
        <v>4</v>
      </c>
      <c r="T1482" s="8">
        <v>1.0001111111111112</v>
      </c>
      <c r="U1482" s="98">
        <v>3.6231782521964906</v>
      </c>
      <c r="V1482" s="106">
        <v>29322.169946438567</v>
      </c>
      <c r="W1482" s="10">
        <v>0.77959962068803179</v>
      </c>
      <c r="X1482" s="420"/>
      <c r="Y1482" s="420"/>
      <c r="Z1482" s="1"/>
      <c r="AA1482" s="1"/>
      <c r="AB1482" s="1"/>
      <c r="AC1482" s="1"/>
      <c r="AD1482" s="1"/>
    </row>
    <row r="1483" spans="17:30">
      <c r="Q1483" s="6">
        <v>1453</v>
      </c>
      <c r="R1483" s="7">
        <v>44120</v>
      </c>
      <c r="S1483" s="210">
        <v>4</v>
      </c>
      <c r="T1483" s="8">
        <v>1.0001111111111112</v>
      </c>
      <c r="U1483" s="98">
        <v>3.6235321587972713</v>
      </c>
      <c r="V1483" s="106">
        <v>29324.453145764328</v>
      </c>
      <c r="W1483" s="10">
        <v>0.77990255394508878</v>
      </c>
      <c r="X1483" s="420"/>
      <c r="Y1483" s="420"/>
      <c r="Z1483" s="1"/>
      <c r="AA1483" s="1"/>
      <c r="AB1483" s="1"/>
      <c r="AC1483" s="1"/>
      <c r="AD1483" s="1"/>
    </row>
    <row r="1484" spans="17:30">
      <c r="Q1484" s="6">
        <v>1454</v>
      </c>
      <c r="R1484" s="7">
        <v>44121</v>
      </c>
      <c r="S1484" s="210">
        <v>4</v>
      </c>
      <c r="T1484" s="8">
        <v>1.0001111111111112</v>
      </c>
      <c r="U1484" s="98">
        <v>3.6238855798001568</v>
      </c>
      <c r="V1484" s="106">
        <v>29326.736522873623</v>
      </c>
      <c r="W1484" s="10">
        <v>0.7802050714213804</v>
      </c>
      <c r="X1484" s="420"/>
      <c r="Y1484" s="420"/>
      <c r="Z1484" s="1"/>
      <c r="AA1484" s="1"/>
      <c r="AB1484" s="1"/>
      <c r="AC1484" s="1"/>
      <c r="AD1484" s="1"/>
    </row>
    <row r="1485" spans="17:30">
      <c r="Q1485" s="6">
        <v>1455</v>
      </c>
      <c r="R1485" s="7">
        <v>44122</v>
      </c>
      <c r="S1485" s="210">
        <v>4</v>
      </c>
      <c r="T1485" s="8">
        <v>1.0001111111111112</v>
      </c>
      <c r="U1485" s="98">
        <v>3.6242385162038593</v>
      </c>
      <c r="V1485" s="106">
        <v>29329.0200777803</v>
      </c>
      <c r="W1485" s="10">
        <v>0.78050717397226688</v>
      </c>
      <c r="X1485" s="420"/>
      <c r="Y1485" s="420"/>
      <c r="Z1485" s="1"/>
      <c r="AA1485" s="1"/>
      <c r="AB1485" s="1"/>
      <c r="AC1485" s="1"/>
      <c r="AD1485" s="1"/>
    </row>
    <row r="1486" spans="17:30">
      <c r="Q1486" s="6">
        <v>1456</v>
      </c>
      <c r="R1486" s="7">
        <v>44123</v>
      </c>
      <c r="S1486" s="210">
        <v>4</v>
      </c>
      <c r="T1486" s="8">
        <v>1.0001111111111112</v>
      </c>
      <c r="U1486" s="98">
        <v>3.6245909690044265</v>
      </c>
      <c r="V1486" s="106">
        <v>29331.303810498208</v>
      </c>
      <c r="W1486" s="10">
        <v>0.78080886245088799</v>
      </c>
      <c r="X1486" s="420"/>
      <c r="Y1486" s="420"/>
      <c r="Z1486" s="1"/>
      <c r="AA1486" s="1"/>
      <c r="AB1486" s="1"/>
      <c r="AC1486" s="1"/>
      <c r="AD1486" s="1"/>
    </row>
    <row r="1487" spans="17:30">
      <c r="Q1487" s="6">
        <v>1457</v>
      </c>
      <c r="R1487" s="7">
        <v>44124</v>
      </c>
      <c r="S1487" s="210">
        <v>4</v>
      </c>
      <c r="T1487" s="8">
        <v>1.0001111111111112</v>
      </c>
      <c r="U1487" s="98">
        <v>3.6249429391951304</v>
      </c>
      <c r="V1487" s="106">
        <v>29333.587721041189</v>
      </c>
      <c r="W1487" s="10">
        <v>0.78111013770791882</v>
      </c>
      <c r="X1487" s="420"/>
      <c r="Y1487" s="420"/>
      <c r="Z1487" s="1"/>
      <c r="AA1487" s="1"/>
      <c r="AB1487" s="1"/>
      <c r="AC1487" s="1"/>
      <c r="AD1487" s="1"/>
    </row>
    <row r="1488" spans="17:30">
      <c r="Q1488" s="6">
        <v>1458</v>
      </c>
      <c r="R1488" s="7">
        <v>44125</v>
      </c>
      <c r="S1488" s="210">
        <v>4</v>
      </c>
      <c r="T1488" s="8">
        <v>1.0001111111111112</v>
      </c>
      <c r="U1488" s="98">
        <v>3.6252944277665344</v>
      </c>
      <c r="V1488" s="106">
        <v>29335.871809423086</v>
      </c>
      <c r="W1488" s="10">
        <v>0.7814110005917918</v>
      </c>
      <c r="X1488" s="420"/>
      <c r="Y1488" s="420"/>
      <c r="Z1488" s="1"/>
      <c r="AA1488" s="1"/>
      <c r="AB1488" s="1"/>
      <c r="AC1488" s="1"/>
      <c r="AD1488" s="1"/>
    </row>
    <row r="1489" spans="17:30">
      <c r="Q1489" s="6">
        <v>1459</v>
      </c>
      <c r="R1489" s="7">
        <v>44126</v>
      </c>
      <c r="S1489" s="210">
        <v>4</v>
      </c>
      <c r="T1489" s="8">
        <v>1.0001111111111112</v>
      </c>
      <c r="U1489" s="98">
        <v>3.6256454357065149</v>
      </c>
      <c r="V1489" s="106">
        <v>29338.156075657756</v>
      </c>
      <c r="W1489" s="10">
        <v>0.78171145194856351</v>
      </c>
      <c r="X1489" s="420"/>
      <c r="Y1489" s="420"/>
      <c r="Z1489" s="1"/>
      <c r="AA1489" s="1"/>
      <c r="AB1489" s="1"/>
      <c r="AC1489" s="1"/>
      <c r="AD1489" s="1"/>
    </row>
    <row r="1490" spans="17:30">
      <c r="Q1490" s="6">
        <v>1460</v>
      </c>
      <c r="R1490" s="7">
        <v>44127</v>
      </c>
      <c r="S1490" s="210">
        <v>4</v>
      </c>
      <c r="T1490" s="8">
        <v>1.0001111111111112</v>
      </c>
      <c r="U1490" s="98">
        <v>3.6259959640002171</v>
      </c>
      <c r="V1490" s="106">
        <v>29340.440519759035</v>
      </c>
      <c r="W1490" s="10">
        <v>0.78201149262200342</v>
      </c>
      <c r="X1490" s="420"/>
      <c r="Y1490" s="420"/>
      <c r="Z1490" s="1"/>
      <c r="AA1490" s="1"/>
      <c r="AB1490" s="1"/>
      <c r="AC1490" s="1"/>
      <c r="AD1490" s="1"/>
    </row>
    <row r="1491" spans="17:30">
      <c r="Q1491" s="6">
        <v>1461</v>
      </c>
      <c r="R1491" s="7">
        <v>44128</v>
      </c>
      <c r="S1491" s="210">
        <v>4</v>
      </c>
      <c r="T1491" s="8">
        <v>1.0001111111111112</v>
      </c>
      <c r="U1491" s="98">
        <v>3.6263460136301218</v>
      </c>
      <c r="V1491" s="106">
        <v>29342.725141740782</v>
      </c>
      <c r="W1491" s="10">
        <v>0.78231112345357179</v>
      </c>
      <c r="X1491" s="420"/>
      <c r="Y1491" s="420"/>
      <c r="Z1491" s="1"/>
      <c r="AA1491" s="1"/>
      <c r="AB1491" s="1"/>
      <c r="AC1491" s="1"/>
      <c r="AD1491" s="1"/>
    </row>
    <row r="1492" spans="17:30">
      <c r="Q1492" s="6">
        <v>1462</v>
      </c>
      <c r="R1492" s="7">
        <v>44129</v>
      </c>
      <c r="S1492" s="210">
        <v>4</v>
      </c>
      <c r="T1492" s="8">
        <v>1.0001111111111112</v>
      </c>
      <c r="U1492" s="98">
        <v>3.6266955855760008</v>
      </c>
      <c r="V1492" s="106">
        <v>29345.009941616845</v>
      </c>
      <c r="W1492" s="10">
        <v>0.78261034528244178</v>
      </c>
      <c r="X1492" s="420"/>
      <c r="Y1492" s="420"/>
      <c r="Z1492" s="1"/>
      <c r="AA1492" s="1"/>
      <c r="AB1492" s="1"/>
      <c r="AC1492" s="1"/>
      <c r="AD1492" s="1"/>
    </row>
    <row r="1493" spans="17:30">
      <c r="Q1493" s="6">
        <v>1463</v>
      </c>
      <c r="R1493" s="7">
        <v>44130</v>
      </c>
      <c r="S1493" s="210">
        <v>4</v>
      </c>
      <c r="T1493" s="8">
        <v>1.0001111111111112</v>
      </c>
      <c r="U1493" s="98">
        <v>3.6270446808149837</v>
      </c>
      <c r="V1493" s="106">
        <v>29347.294919401073</v>
      </c>
      <c r="W1493" s="10">
        <v>0.7829091589454773</v>
      </c>
      <c r="X1493" s="420"/>
      <c r="Y1493" s="420"/>
      <c r="Z1493" s="1"/>
      <c r="AA1493" s="1"/>
      <c r="AB1493" s="1"/>
      <c r="AC1493" s="1"/>
      <c r="AD1493" s="1"/>
    </row>
    <row r="1494" spans="17:30">
      <c r="Q1494" s="6">
        <v>1464</v>
      </c>
      <c r="R1494" s="7">
        <v>44131</v>
      </c>
      <c r="S1494" s="210">
        <v>4</v>
      </c>
      <c r="T1494" s="8">
        <v>1.0001111111111112</v>
      </c>
      <c r="U1494" s="98">
        <v>3.6273933003215131</v>
      </c>
      <c r="V1494" s="106">
        <v>29349.580075107326</v>
      </c>
      <c r="W1494" s="10">
        <v>0.78320756527725521</v>
      </c>
      <c r="X1494" s="420"/>
      <c r="Y1494" s="420"/>
      <c r="Z1494" s="1"/>
      <c r="AA1494" s="1"/>
      <c r="AB1494" s="1"/>
      <c r="AC1494" s="1"/>
      <c r="AD1494" s="1"/>
    </row>
    <row r="1495" spans="17:30">
      <c r="Q1495" s="6">
        <v>1465</v>
      </c>
      <c r="R1495" s="7">
        <v>44132</v>
      </c>
      <c r="S1495" s="210">
        <v>4</v>
      </c>
      <c r="T1495" s="8">
        <v>1.0001111111111112</v>
      </c>
      <c r="U1495" s="98">
        <v>3.6277414450673895</v>
      </c>
      <c r="V1495" s="106">
        <v>29351.865408749454</v>
      </c>
      <c r="W1495" s="10">
        <v>0.78350556511013192</v>
      </c>
      <c r="X1495" s="420"/>
      <c r="Y1495" s="420"/>
      <c r="Z1495" s="1"/>
      <c r="AA1495" s="1"/>
      <c r="AB1495" s="1"/>
      <c r="AC1495" s="1"/>
      <c r="AD1495" s="1"/>
    </row>
    <row r="1496" spans="17:30">
      <c r="Q1496" s="6">
        <v>1466</v>
      </c>
      <c r="R1496" s="7">
        <v>44133</v>
      </c>
      <c r="S1496" s="210">
        <v>4</v>
      </c>
      <c r="T1496" s="8">
        <v>1.0001111111111112</v>
      </c>
      <c r="U1496" s="98">
        <v>3.628089116021771</v>
      </c>
      <c r="V1496" s="106">
        <v>29354.150920341312</v>
      </c>
      <c r="W1496" s="10">
        <v>0.78380315927413235</v>
      </c>
      <c r="X1496" s="420"/>
      <c r="Y1496" s="420"/>
      <c r="Z1496" s="1"/>
      <c r="AA1496" s="1"/>
      <c r="AB1496" s="1"/>
      <c r="AC1496" s="1"/>
      <c r="AD1496" s="1"/>
    </row>
    <row r="1497" spans="17:30">
      <c r="Q1497" s="6">
        <v>1467</v>
      </c>
      <c r="R1497" s="7">
        <v>44134</v>
      </c>
      <c r="S1497" s="210">
        <v>4</v>
      </c>
      <c r="T1497" s="8">
        <v>1.0001111111111112</v>
      </c>
      <c r="U1497" s="98">
        <v>3.6284363141511733</v>
      </c>
      <c r="V1497" s="106">
        <v>29356.436609896751</v>
      </c>
      <c r="W1497" s="10">
        <v>0.78410034859706101</v>
      </c>
      <c r="X1497" s="420"/>
      <c r="Y1497" s="420"/>
      <c r="Z1497" s="1"/>
      <c r="AA1497" s="1"/>
      <c r="AB1497" s="1"/>
      <c r="AC1497" s="1"/>
      <c r="AD1497" s="1"/>
    </row>
    <row r="1498" spans="17:30">
      <c r="Q1498" s="6">
        <v>1468</v>
      </c>
      <c r="R1498" s="7">
        <v>44135</v>
      </c>
      <c r="S1498" s="210">
        <v>4</v>
      </c>
      <c r="T1498" s="8">
        <v>1.0001111111111112</v>
      </c>
      <c r="U1498" s="98">
        <v>3.6287830404194921</v>
      </c>
      <c r="V1498" s="106">
        <v>29358.722477429641</v>
      </c>
      <c r="W1498" s="10">
        <v>0.78439713390447974</v>
      </c>
      <c r="X1498" s="420"/>
      <c r="Y1498" s="420"/>
      <c r="Z1498" s="1"/>
      <c r="AA1498" s="1"/>
      <c r="AB1498" s="1"/>
      <c r="AC1498" s="1"/>
      <c r="AD1498" s="1"/>
    </row>
    <row r="1499" spans="17:30">
      <c r="Q1499" s="6">
        <v>1469</v>
      </c>
      <c r="R1499" s="7">
        <v>44136</v>
      </c>
      <c r="S1499" s="210">
        <v>4</v>
      </c>
      <c r="T1499" s="8">
        <v>1.0001111111111112</v>
      </c>
      <c r="U1499" s="98">
        <v>3.6291292957879806</v>
      </c>
      <c r="V1499" s="106">
        <v>29361.008522953831</v>
      </c>
      <c r="W1499" s="10">
        <v>0.7846935160196411</v>
      </c>
      <c r="X1499" s="420"/>
      <c r="Y1499" s="420"/>
      <c r="Z1499" s="1"/>
      <c r="AA1499" s="1"/>
      <c r="AB1499" s="1"/>
      <c r="AC1499" s="1"/>
      <c r="AD1499" s="1"/>
    </row>
    <row r="1500" spans="17:30">
      <c r="Q1500" s="6">
        <v>1470</v>
      </c>
      <c r="R1500" s="7">
        <v>44137</v>
      </c>
      <c r="S1500" s="210">
        <v>4</v>
      </c>
      <c r="T1500" s="8">
        <v>1.0001111111111112</v>
      </c>
      <c r="U1500" s="98">
        <v>3.6294750812153165</v>
      </c>
      <c r="V1500" s="106">
        <v>29363.294746483181</v>
      </c>
      <c r="W1500" s="10">
        <v>0.78498949576364385</v>
      </c>
      <c r="X1500" s="420"/>
      <c r="Y1500" s="420"/>
      <c r="Z1500" s="1"/>
      <c r="AA1500" s="1"/>
      <c r="AB1500" s="1"/>
      <c r="AC1500" s="1"/>
      <c r="AD1500" s="1"/>
    </row>
    <row r="1501" spans="17:30">
      <c r="Q1501" s="6">
        <v>1471</v>
      </c>
      <c r="R1501" s="7">
        <v>44138</v>
      </c>
      <c r="S1501" s="210">
        <v>4</v>
      </c>
      <c r="T1501" s="8">
        <v>1.0001111111111112</v>
      </c>
      <c r="U1501" s="98">
        <v>3.6298203976575572</v>
      </c>
      <c r="V1501" s="106">
        <v>29365.581148031553</v>
      </c>
      <c r="W1501" s="10">
        <v>0.78528507395532188</v>
      </c>
      <c r="X1501" s="420"/>
      <c r="Y1501" s="420"/>
      <c r="Z1501" s="1"/>
      <c r="AA1501" s="1"/>
      <c r="AB1501" s="1"/>
      <c r="AC1501" s="1"/>
      <c r="AD1501" s="1"/>
    </row>
    <row r="1502" spans="17:30">
      <c r="Q1502" s="6">
        <v>1472</v>
      </c>
      <c r="R1502" s="7">
        <v>44139</v>
      </c>
      <c r="S1502" s="210">
        <v>4</v>
      </c>
      <c r="T1502" s="8">
        <v>1.0001111111111112</v>
      </c>
      <c r="U1502" s="98">
        <v>3.6301652460681844</v>
      </c>
      <c r="V1502" s="106">
        <v>29367.867727612811</v>
      </c>
      <c r="W1502" s="10">
        <v>0.78558025141128862</v>
      </c>
      <c r="X1502" s="420"/>
      <c r="Y1502" s="420"/>
      <c r="Z1502" s="1"/>
      <c r="AA1502" s="1"/>
      <c r="AB1502" s="1"/>
      <c r="AC1502" s="1"/>
      <c r="AD1502" s="1"/>
    </row>
    <row r="1503" spans="17:30">
      <c r="Q1503" s="6">
        <v>1473</v>
      </c>
      <c r="R1503" s="7">
        <v>44140</v>
      </c>
      <c r="S1503" s="210">
        <v>4</v>
      </c>
      <c r="T1503" s="8">
        <v>1.0001111111111112</v>
      </c>
      <c r="U1503" s="98">
        <v>3.6305096273980819</v>
      </c>
      <c r="V1503" s="106">
        <v>29370.154485240811</v>
      </c>
      <c r="W1503" s="10">
        <v>0.78587502894595929</v>
      </c>
      <c r="X1503" s="420"/>
      <c r="Y1503" s="420"/>
      <c r="Z1503" s="1"/>
      <c r="AA1503" s="1"/>
      <c r="AB1503" s="1"/>
      <c r="AC1503" s="1"/>
      <c r="AD1503" s="1"/>
    </row>
    <row r="1504" spans="17:30">
      <c r="Q1504" s="6">
        <v>1474</v>
      </c>
      <c r="R1504" s="7">
        <v>44141</v>
      </c>
      <c r="S1504" s="210">
        <v>4</v>
      </c>
      <c r="T1504" s="8">
        <v>1.0001111111111112</v>
      </c>
      <c r="U1504" s="98">
        <v>3.6308535425955579</v>
      </c>
      <c r="V1504" s="106">
        <v>29372.441420929423</v>
      </c>
      <c r="W1504" s="10">
        <v>0.78616940737152863</v>
      </c>
      <c r="X1504" s="420"/>
      <c r="Y1504" s="420"/>
      <c r="Z1504" s="1"/>
      <c r="AA1504" s="1"/>
      <c r="AB1504" s="1"/>
      <c r="AC1504" s="1"/>
      <c r="AD1504" s="1"/>
    </row>
    <row r="1505" spans="17:30">
      <c r="Q1505" s="6">
        <v>1475</v>
      </c>
      <c r="R1505" s="7">
        <v>44142</v>
      </c>
      <c r="S1505" s="210">
        <v>4</v>
      </c>
      <c r="T1505" s="8">
        <v>1.0001111111111112</v>
      </c>
      <c r="U1505" s="98">
        <v>3.631196992606367</v>
      </c>
      <c r="V1505" s="106">
        <v>29374.728534692513</v>
      </c>
      <c r="W1505" s="10">
        <v>0.78646338749799316</v>
      </c>
      <c r="X1505" s="420"/>
      <c r="Y1505" s="420"/>
      <c r="Z1505" s="1"/>
      <c r="AA1505" s="1"/>
      <c r="AB1505" s="1"/>
      <c r="AC1505" s="1"/>
      <c r="AD1505" s="1"/>
    </row>
    <row r="1506" spans="17:30">
      <c r="Q1506" s="6">
        <v>1476</v>
      </c>
      <c r="R1506" s="7">
        <v>44143</v>
      </c>
      <c r="S1506" s="210">
        <v>4</v>
      </c>
      <c r="T1506" s="8">
        <v>1.0001111111111112</v>
      </c>
      <c r="U1506" s="98">
        <v>3.6315399783736879</v>
      </c>
      <c r="V1506" s="106">
        <v>29377.015826543942</v>
      </c>
      <c r="W1506" s="10">
        <v>0.78675697013315116</v>
      </c>
      <c r="X1506" s="420"/>
      <c r="Y1506" s="420"/>
      <c r="Z1506" s="1"/>
      <c r="AA1506" s="1"/>
      <c r="AB1506" s="1"/>
      <c r="AC1506" s="1"/>
      <c r="AD1506" s="1"/>
    </row>
    <row r="1507" spans="17:30">
      <c r="Q1507" s="6">
        <v>1477</v>
      </c>
      <c r="R1507" s="7">
        <v>44144</v>
      </c>
      <c r="S1507" s="210">
        <v>4</v>
      </c>
      <c r="T1507" s="8">
        <v>1.0001111111111112</v>
      </c>
      <c r="U1507" s="98">
        <v>3.6318825008381683</v>
      </c>
      <c r="V1507" s="106">
        <v>29379.303296497579</v>
      </c>
      <c r="W1507" s="10">
        <v>0.78705015608262485</v>
      </c>
      <c r="X1507" s="420"/>
      <c r="Y1507" s="420"/>
      <c r="Z1507" s="1"/>
      <c r="AA1507" s="1"/>
      <c r="AB1507" s="1"/>
      <c r="AC1507" s="1"/>
      <c r="AD1507" s="1"/>
    </row>
    <row r="1508" spans="17:30">
      <c r="Q1508" s="6">
        <v>1478</v>
      </c>
      <c r="R1508" s="7">
        <v>44145</v>
      </c>
      <c r="S1508" s="210">
        <v>4</v>
      </c>
      <c r="T1508" s="8">
        <v>1.0001111111111112</v>
      </c>
      <c r="U1508" s="98">
        <v>3.6322245609379245</v>
      </c>
      <c r="V1508" s="106">
        <v>29381.667202570668</v>
      </c>
      <c r="W1508" s="10">
        <v>0.78727834595242463</v>
      </c>
      <c r="X1508" s="420"/>
      <c r="Y1508" s="420"/>
      <c r="Z1508" s="1"/>
      <c r="AA1508" s="1"/>
      <c r="AB1508" s="1"/>
      <c r="AC1508" s="1"/>
      <c r="AD1508" s="1"/>
    </row>
    <row r="1509" spans="17:30">
      <c r="Q1509" s="6">
        <v>1479</v>
      </c>
      <c r="R1509" s="7">
        <v>44146</v>
      </c>
      <c r="S1509" s="210">
        <v>4</v>
      </c>
      <c r="T1509" s="8">
        <v>1.0001111111111112</v>
      </c>
      <c r="U1509" s="98">
        <v>3.632566159608519</v>
      </c>
      <c r="V1509" s="106">
        <v>29384.031298847443</v>
      </c>
      <c r="W1509" s="10">
        <v>0.78750622776460055</v>
      </c>
      <c r="X1509" s="420"/>
      <c r="Y1509" s="420"/>
      <c r="Z1509" s="1"/>
      <c r="AA1509" s="1"/>
      <c r="AB1509" s="1"/>
      <c r="AC1509" s="1"/>
      <c r="AD1509" s="1"/>
    </row>
    <row r="1510" spans="17:30">
      <c r="Q1510" s="6">
        <v>1480</v>
      </c>
      <c r="R1510" s="7">
        <v>44147</v>
      </c>
      <c r="S1510" s="210">
        <v>4</v>
      </c>
      <c r="T1510" s="8">
        <v>1.0001111111111112</v>
      </c>
      <c r="U1510" s="98">
        <v>3.6329072977830057</v>
      </c>
      <c r="V1510" s="106">
        <v>29386.39558534322</v>
      </c>
      <c r="W1510" s="10">
        <v>0.78773380214258726</v>
      </c>
      <c r="X1510" s="420"/>
      <c r="Y1510" s="420"/>
      <c r="Z1510" s="1"/>
      <c r="AA1510" s="1"/>
      <c r="AB1510" s="1"/>
      <c r="AC1510" s="1"/>
      <c r="AD1510" s="1"/>
    </row>
    <row r="1511" spans="17:30">
      <c r="Q1511" s="6">
        <v>1481</v>
      </c>
      <c r="R1511" s="7">
        <v>44148</v>
      </c>
      <c r="S1511" s="210">
        <v>4</v>
      </c>
      <c r="T1511" s="8">
        <v>1.0001111111111112</v>
      </c>
      <c r="U1511" s="98">
        <v>3.6332479763919068</v>
      </c>
      <c r="V1511" s="106">
        <v>29388.760062073292</v>
      </c>
      <c r="W1511" s="10">
        <v>0.78796106970810964</v>
      </c>
      <c r="X1511" s="420"/>
      <c r="Y1511" s="420"/>
      <c r="Z1511" s="1"/>
      <c r="AA1511" s="1"/>
      <c r="AB1511" s="1"/>
      <c r="AC1511" s="1"/>
      <c r="AD1511" s="1"/>
    </row>
    <row r="1512" spans="17:30">
      <c r="Q1512" s="6">
        <v>1482</v>
      </c>
      <c r="R1512" s="7">
        <v>44149</v>
      </c>
      <c r="S1512" s="210">
        <v>4</v>
      </c>
      <c r="T1512" s="8">
        <v>1.0001111111111112</v>
      </c>
      <c r="U1512" s="98">
        <v>3.6335881963632799</v>
      </c>
      <c r="V1512" s="106">
        <v>29391.124729052972</v>
      </c>
      <c r="W1512" s="10">
        <v>0.78818803108118285</v>
      </c>
      <c r="X1512" s="420"/>
      <c r="Y1512" s="420"/>
      <c r="Z1512" s="1"/>
      <c r="AA1512" s="1"/>
      <c r="AB1512" s="1"/>
      <c r="AC1512" s="1"/>
      <c r="AD1512" s="1"/>
    </row>
    <row r="1513" spans="17:30">
      <c r="Q1513" s="6">
        <v>1483</v>
      </c>
      <c r="R1513" s="7">
        <v>44150</v>
      </c>
      <c r="S1513" s="210">
        <v>4</v>
      </c>
      <c r="T1513" s="8">
        <v>1.0001111111111112</v>
      </c>
      <c r="U1513" s="98">
        <v>3.6339279586226514</v>
      </c>
      <c r="V1513" s="106">
        <v>29393.489586297568</v>
      </c>
      <c r="W1513" s="10">
        <v>0.78841468688022331</v>
      </c>
      <c r="X1513" s="420"/>
      <c r="Y1513" s="420"/>
      <c r="Z1513" s="1"/>
      <c r="AA1513" s="1"/>
      <c r="AB1513" s="1"/>
      <c r="AC1513" s="1"/>
      <c r="AD1513" s="1"/>
    </row>
    <row r="1514" spans="17:30">
      <c r="Q1514" s="6">
        <v>1484</v>
      </c>
      <c r="R1514" s="7">
        <v>44151</v>
      </c>
      <c r="S1514" s="210">
        <v>4</v>
      </c>
      <c r="T1514" s="8">
        <v>1.0001111111111112</v>
      </c>
      <c r="U1514" s="98">
        <v>3.6342672640930607</v>
      </c>
      <c r="V1514" s="106">
        <v>29395.854633822386</v>
      </c>
      <c r="W1514" s="10">
        <v>0.78864103772187111</v>
      </c>
      <c r="X1514" s="420"/>
      <c r="Y1514" s="420"/>
      <c r="Z1514" s="1"/>
      <c r="AA1514" s="1"/>
      <c r="AB1514" s="1"/>
      <c r="AC1514" s="1"/>
      <c r="AD1514" s="1"/>
    </row>
    <row r="1515" spans="17:30">
      <c r="Q1515" s="6">
        <v>1485</v>
      </c>
      <c r="R1515" s="7">
        <v>44152</v>
      </c>
      <c r="S1515" s="210">
        <v>4</v>
      </c>
      <c r="T1515" s="8">
        <v>1.0001111111111112</v>
      </c>
      <c r="U1515" s="98">
        <v>3.6346061136950603</v>
      </c>
      <c r="V1515" s="106">
        <v>29398.219871642737</v>
      </c>
      <c r="W1515" s="10">
        <v>0.78886708422123419</v>
      </c>
      <c r="X1515" s="420"/>
      <c r="Y1515" s="420"/>
      <c r="Z1515" s="1"/>
      <c r="AA1515" s="1"/>
      <c r="AB1515" s="1"/>
      <c r="AC1515" s="1"/>
      <c r="AD1515" s="1"/>
    </row>
    <row r="1516" spans="17:30">
      <c r="Q1516" s="6">
        <v>1486</v>
      </c>
      <c r="R1516" s="7">
        <v>44153</v>
      </c>
      <c r="S1516" s="210">
        <v>4</v>
      </c>
      <c r="T1516" s="8">
        <v>1.0001111111111112</v>
      </c>
      <c r="U1516" s="98">
        <v>3.6349445083467602</v>
      </c>
      <c r="V1516" s="106">
        <v>29400.585299773931</v>
      </c>
      <c r="W1516" s="10">
        <v>0.78909282699166639</v>
      </c>
      <c r="X1516" s="420"/>
      <c r="Y1516" s="420"/>
      <c r="Z1516" s="1"/>
      <c r="AA1516" s="1"/>
      <c r="AB1516" s="1"/>
      <c r="AC1516" s="1"/>
      <c r="AD1516" s="1"/>
    </row>
    <row r="1517" spans="17:30">
      <c r="Q1517" s="6">
        <v>1487</v>
      </c>
      <c r="R1517" s="7">
        <v>44154</v>
      </c>
      <c r="S1517" s="210">
        <v>4</v>
      </c>
      <c r="T1517" s="8">
        <v>1.0001111111111112</v>
      </c>
      <c r="U1517" s="98">
        <v>3.6352824489637836</v>
      </c>
      <c r="V1517" s="106">
        <v>29402.950918231294</v>
      </c>
      <c r="W1517" s="10">
        <v>0.78931826664494498</v>
      </c>
      <c r="X1517" s="420"/>
      <c r="Y1517" s="420"/>
      <c r="Z1517" s="1"/>
      <c r="AA1517" s="1"/>
      <c r="AB1517" s="1"/>
      <c r="AC1517" s="1"/>
      <c r="AD1517" s="1"/>
    </row>
    <row r="1518" spans="17:30">
      <c r="Q1518" s="6">
        <v>1488</v>
      </c>
      <c r="R1518" s="7">
        <v>44155</v>
      </c>
      <c r="S1518" s="210">
        <v>4</v>
      </c>
      <c r="T1518" s="8">
        <v>1.0001111111111112</v>
      </c>
      <c r="U1518" s="98">
        <v>3.6356199364593111</v>
      </c>
      <c r="V1518" s="106">
        <v>29405.31672703012</v>
      </c>
      <c r="W1518" s="10">
        <v>0.78954340379118193</v>
      </c>
      <c r="X1518" s="420"/>
      <c r="Y1518" s="420"/>
      <c r="Z1518" s="1"/>
      <c r="AA1518" s="1"/>
      <c r="AB1518" s="1"/>
      <c r="AC1518" s="1"/>
      <c r="AD1518" s="1"/>
    </row>
    <row r="1519" spans="17:30">
      <c r="Q1519" s="6">
        <v>1489</v>
      </c>
      <c r="R1519" s="7">
        <v>44156</v>
      </c>
      <c r="S1519" s="210">
        <v>4</v>
      </c>
      <c r="T1519" s="8">
        <v>1.0001111111111112</v>
      </c>
      <c r="U1519" s="98">
        <v>3.6359569717440809</v>
      </c>
      <c r="V1519" s="106">
        <v>29407.682726185732</v>
      </c>
      <c r="W1519" s="10">
        <v>0.78976823903884608</v>
      </c>
      <c r="X1519" s="420"/>
      <c r="Y1519" s="420"/>
      <c r="Z1519" s="1"/>
      <c r="AA1519" s="1"/>
      <c r="AB1519" s="1"/>
      <c r="AC1519" s="1"/>
      <c r="AD1519" s="1"/>
    </row>
    <row r="1520" spans="17:30">
      <c r="Q1520" s="6">
        <v>1490</v>
      </c>
      <c r="R1520" s="7">
        <v>44157</v>
      </c>
      <c r="S1520" s="210">
        <v>4</v>
      </c>
      <c r="T1520" s="8">
        <v>1.0001111111111112</v>
      </c>
      <c r="U1520" s="98">
        <v>3.6362935557263665</v>
      </c>
      <c r="V1520" s="106">
        <v>29410.048915713451</v>
      </c>
      <c r="W1520" s="10">
        <v>0.78999277299476311</v>
      </c>
      <c r="X1520" s="420"/>
      <c r="Y1520" s="420"/>
      <c r="Z1520" s="1"/>
      <c r="AA1520" s="1"/>
      <c r="AB1520" s="1"/>
      <c r="AC1520" s="1"/>
      <c r="AD1520" s="1"/>
    </row>
    <row r="1521" spans="17:30">
      <c r="Q1521" s="6">
        <v>1491</v>
      </c>
      <c r="R1521" s="7">
        <v>44158</v>
      </c>
      <c r="S1521" s="210">
        <v>4</v>
      </c>
      <c r="T1521" s="8">
        <v>1.0001111111111112</v>
      </c>
      <c r="U1521" s="98">
        <v>3.6366296893120209</v>
      </c>
      <c r="V1521" s="106">
        <v>29412.415295628591</v>
      </c>
      <c r="W1521" s="10">
        <v>0.79021700626416003</v>
      </c>
      <c r="X1521" s="420"/>
      <c r="Y1521" s="420"/>
      <c r="Z1521" s="1"/>
      <c r="AA1521" s="1"/>
      <c r="AB1521" s="1"/>
      <c r="AC1521" s="1"/>
      <c r="AD1521" s="1"/>
    </row>
    <row r="1522" spans="17:30">
      <c r="Q1522" s="6">
        <v>1492</v>
      </c>
      <c r="R1522" s="7">
        <v>44159</v>
      </c>
      <c r="S1522" s="210">
        <v>4</v>
      </c>
      <c r="T1522" s="8">
        <v>1.0001111111111112</v>
      </c>
      <c r="U1522" s="98">
        <v>3.6369653734044771</v>
      </c>
      <c r="V1522" s="106">
        <v>29414.781865946472</v>
      </c>
      <c r="W1522" s="10">
        <v>0.79044093945062066</v>
      </c>
      <c r="X1522" s="420"/>
      <c r="Y1522" s="420"/>
      <c r="Z1522" s="1"/>
      <c r="AA1522" s="1"/>
      <c r="AB1522" s="1"/>
      <c r="AC1522" s="1"/>
      <c r="AD1522" s="1"/>
    </row>
    <row r="1523" spans="17:30">
      <c r="Q1523" s="6">
        <v>1493</v>
      </c>
      <c r="R1523" s="7">
        <v>44160</v>
      </c>
      <c r="S1523" s="210">
        <v>4</v>
      </c>
      <c r="T1523" s="8">
        <v>1.0001111111111112</v>
      </c>
      <c r="U1523" s="98">
        <v>3.6373006089047699</v>
      </c>
      <c r="V1523" s="106">
        <v>29417.148626682414</v>
      </c>
      <c r="W1523" s="10">
        <v>0.79066457315613015</v>
      </c>
      <c r="X1523" s="420"/>
      <c r="Y1523" s="420"/>
      <c r="Z1523" s="1"/>
      <c r="AA1523" s="1"/>
      <c r="AB1523" s="1"/>
      <c r="AC1523" s="1"/>
      <c r="AD1523" s="1"/>
    </row>
    <row r="1524" spans="17:30">
      <c r="Q1524" s="6">
        <v>1494</v>
      </c>
      <c r="R1524" s="7">
        <v>44161</v>
      </c>
      <c r="S1524" s="210">
        <v>4</v>
      </c>
      <c r="T1524" s="8">
        <v>1.0001111111111112</v>
      </c>
      <c r="U1524" s="98">
        <v>3.6376353967115138</v>
      </c>
      <c r="V1524" s="106">
        <v>29419.51557785174</v>
      </c>
      <c r="W1524" s="10">
        <v>0.79088790798107489</v>
      </c>
      <c r="X1524" s="420"/>
      <c r="Y1524" s="420"/>
      <c r="Z1524" s="1"/>
      <c r="AA1524" s="1"/>
      <c r="AB1524" s="1"/>
      <c r="AC1524" s="1"/>
      <c r="AD1524" s="1"/>
    </row>
    <row r="1525" spans="17:30">
      <c r="Q1525" s="6">
        <v>1495</v>
      </c>
      <c r="R1525" s="7">
        <v>44162</v>
      </c>
      <c r="S1525" s="210">
        <v>4</v>
      </c>
      <c r="T1525" s="8">
        <v>1.0001111111111112</v>
      </c>
      <c r="U1525" s="98">
        <v>3.637969737720903</v>
      </c>
      <c r="V1525" s="106">
        <v>29421.882719469766</v>
      </c>
      <c r="W1525" s="10">
        <v>0.79111094452419817</v>
      </c>
      <c r="X1525" s="420"/>
      <c r="Y1525" s="420"/>
      <c r="Z1525" s="1"/>
      <c r="AA1525" s="1"/>
      <c r="AB1525" s="1"/>
      <c r="AC1525" s="1"/>
      <c r="AD1525" s="1"/>
    </row>
    <row r="1526" spans="17:30">
      <c r="Q1526" s="6">
        <v>1496</v>
      </c>
      <c r="R1526" s="7">
        <v>44163</v>
      </c>
      <c r="S1526" s="210">
        <v>4</v>
      </c>
      <c r="T1526" s="8">
        <v>1.0001111111111112</v>
      </c>
      <c r="U1526" s="98">
        <v>3.6383036328267782</v>
      </c>
      <c r="V1526" s="106">
        <v>29424.250051551822</v>
      </c>
      <c r="W1526" s="10">
        <v>0.79133368338268895</v>
      </c>
      <c r="X1526" s="420"/>
      <c r="Y1526" s="420"/>
      <c r="Z1526" s="1"/>
      <c r="AA1526" s="1"/>
      <c r="AB1526" s="1"/>
      <c r="AC1526" s="1"/>
      <c r="AD1526" s="1"/>
    </row>
    <row r="1527" spans="17:30">
      <c r="Q1527" s="6">
        <v>1497</v>
      </c>
      <c r="R1527" s="7">
        <v>44164</v>
      </c>
      <c r="S1527" s="210">
        <v>4</v>
      </c>
      <c r="T1527" s="8">
        <v>1.0001111111111112</v>
      </c>
      <c r="U1527" s="98">
        <v>3.6386370829205816</v>
      </c>
      <c r="V1527" s="106">
        <v>29426.617574113228</v>
      </c>
      <c r="W1527" s="10">
        <v>0.79155612515213747</v>
      </c>
      <c r="X1527" s="420"/>
      <c r="Y1527" s="420"/>
      <c r="Z1527" s="1"/>
      <c r="AA1527" s="1"/>
      <c r="AB1527" s="1"/>
      <c r="AC1527" s="1"/>
      <c r="AD1527" s="1"/>
    </row>
    <row r="1528" spans="17:30">
      <c r="Q1528" s="6">
        <v>1498</v>
      </c>
      <c r="R1528" s="7">
        <v>44165</v>
      </c>
      <c r="S1528" s="210">
        <v>4</v>
      </c>
      <c r="T1528" s="8">
        <v>1.0001111111111112</v>
      </c>
      <c r="U1528" s="98">
        <v>3.6389700888913801</v>
      </c>
      <c r="V1528" s="106">
        <v>29428.985287169311</v>
      </c>
      <c r="W1528" s="10">
        <v>0.79177827042653526</v>
      </c>
      <c r="X1528" s="420"/>
      <c r="Y1528" s="420"/>
      <c r="Z1528" s="1"/>
      <c r="AA1528" s="1"/>
      <c r="AB1528" s="1"/>
      <c r="AC1528" s="1"/>
      <c r="AD1528" s="1"/>
    </row>
    <row r="1529" spans="17:30">
      <c r="Q1529" s="6">
        <v>1499</v>
      </c>
      <c r="R1529" s="7">
        <v>44166</v>
      </c>
      <c r="S1529" s="210">
        <v>4</v>
      </c>
      <c r="T1529" s="8">
        <v>1.0001111111111112</v>
      </c>
      <c r="U1529" s="98">
        <v>3.6393026516258642</v>
      </c>
      <c r="V1529" s="106">
        <v>29431.353190735412</v>
      </c>
      <c r="W1529" s="10">
        <v>0.79200011979823071</v>
      </c>
      <c r="X1529" s="420"/>
      <c r="Y1529" s="420"/>
      <c r="Z1529" s="1"/>
      <c r="AA1529" s="1"/>
      <c r="AB1529" s="1"/>
      <c r="AC1529" s="1"/>
      <c r="AD1529" s="1"/>
    </row>
    <row r="1530" spans="17:30">
      <c r="Q1530" s="6">
        <v>1500</v>
      </c>
      <c r="R1530" s="7">
        <v>44167</v>
      </c>
      <c r="S1530" s="210">
        <v>4</v>
      </c>
      <c r="T1530" s="8">
        <v>1.0001111111111112</v>
      </c>
      <c r="U1530" s="98">
        <v>3.639634772008371</v>
      </c>
      <c r="V1530" s="106">
        <v>29433.721284826835</v>
      </c>
      <c r="W1530" s="10">
        <v>0.79222167385808451</v>
      </c>
      <c r="X1530" s="420"/>
      <c r="Y1530" s="420"/>
      <c r="Z1530" s="1"/>
      <c r="AA1530" s="1"/>
      <c r="AB1530" s="1"/>
      <c r="AC1530" s="1"/>
      <c r="AD1530" s="1"/>
    </row>
    <row r="1531" spans="17:30">
      <c r="Q1531" s="6">
        <v>1501</v>
      </c>
      <c r="R1531" s="7">
        <v>44168</v>
      </c>
      <c r="S1531" s="210">
        <v>4</v>
      </c>
      <c r="T1531" s="8">
        <v>1.0001111111111112</v>
      </c>
      <c r="U1531" s="98">
        <v>3.6399664509209062</v>
      </c>
      <c r="V1531" s="106">
        <v>29436.089569458931</v>
      </c>
      <c r="W1531" s="10">
        <v>0.79244293319538084</v>
      </c>
      <c r="X1531" s="420"/>
      <c r="Y1531" s="420"/>
      <c r="Z1531" s="1"/>
      <c r="AA1531" s="1"/>
      <c r="AB1531" s="1"/>
      <c r="AC1531" s="1"/>
      <c r="AD1531" s="1"/>
    </row>
    <row r="1532" spans="17:30">
      <c r="Q1532" s="6">
        <v>1502</v>
      </c>
      <c r="R1532" s="7">
        <v>44169</v>
      </c>
      <c r="S1532" s="210">
        <v>4</v>
      </c>
      <c r="T1532" s="8">
        <v>1.0001111111111112</v>
      </c>
      <c r="U1532" s="98">
        <v>3.6402976892431216</v>
      </c>
      <c r="V1532" s="106">
        <v>29438.458044647028</v>
      </c>
      <c r="W1532" s="10">
        <v>0.79266389839778295</v>
      </c>
      <c r="X1532" s="420"/>
      <c r="Y1532" s="420"/>
      <c r="Z1532" s="1"/>
      <c r="AA1532" s="1"/>
      <c r="AB1532" s="1"/>
      <c r="AC1532" s="1"/>
      <c r="AD1532" s="1"/>
    </row>
    <row r="1533" spans="17:30">
      <c r="Q1533" s="6">
        <v>1503</v>
      </c>
      <c r="R1533" s="7">
        <v>44170</v>
      </c>
      <c r="S1533" s="210">
        <v>4</v>
      </c>
      <c r="T1533" s="8">
        <v>1.0001111111111112</v>
      </c>
      <c r="U1533" s="98">
        <v>3.6406284878523154</v>
      </c>
      <c r="V1533" s="106">
        <v>29440.826710406451</v>
      </c>
      <c r="W1533" s="10">
        <v>0.79288457005144419</v>
      </c>
      <c r="X1533" s="420"/>
      <c r="Y1533" s="420"/>
      <c r="Z1533" s="1"/>
      <c r="AA1533" s="1"/>
      <c r="AB1533" s="1"/>
      <c r="AC1533" s="1"/>
      <c r="AD1533" s="1"/>
    </row>
    <row r="1534" spans="17:30">
      <c r="Q1534" s="6">
        <v>1504</v>
      </c>
      <c r="R1534" s="7">
        <v>44171</v>
      </c>
      <c r="S1534" s="210">
        <v>4</v>
      </c>
      <c r="T1534" s="8">
        <v>1.0001111111111112</v>
      </c>
      <c r="U1534" s="98">
        <v>3.6409588476234989</v>
      </c>
      <c r="V1534" s="106">
        <v>29443.195566752529</v>
      </c>
      <c r="W1534" s="10">
        <v>0.7931049487409414</v>
      </c>
      <c r="X1534" s="420"/>
      <c r="Y1534" s="420"/>
      <c r="Z1534" s="1"/>
      <c r="AA1534" s="1"/>
      <c r="AB1534" s="1"/>
      <c r="AC1534" s="1"/>
      <c r="AD1534" s="1"/>
    </row>
    <row r="1535" spans="17:30">
      <c r="Q1535" s="6">
        <v>1505</v>
      </c>
      <c r="R1535" s="7">
        <v>44172</v>
      </c>
      <c r="S1535" s="210">
        <v>4</v>
      </c>
      <c r="T1535" s="8">
        <v>1.0001111111111112</v>
      </c>
      <c r="U1535" s="98">
        <v>3.6412887694293072</v>
      </c>
      <c r="V1535" s="106">
        <v>29445.564613700615</v>
      </c>
      <c r="W1535" s="10">
        <v>0.79332503504925267</v>
      </c>
      <c r="X1535" s="420"/>
      <c r="Y1535" s="420"/>
      <c r="Z1535" s="1"/>
      <c r="AA1535" s="1"/>
      <c r="AB1535" s="1"/>
      <c r="AC1535" s="1"/>
      <c r="AD1535" s="1"/>
    </row>
    <row r="1536" spans="17:30">
      <c r="Q1536" s="6">
        <v>1506</v>
      </c>
      <c r="R1536" s="7">
        <v>44173</v>
      </c>
      <c r="S1536" s="210">
        <v>4</v>
      </c>
      <c r="T1536" s="8">
        <v>1.0001111111111112</v>
      </c>
      <c r="U1536" s="98">
        <v>3.6416182541400888</v>
      </c>
      <c r="V1536" s="106">
        <v>29447.933851266032</v>
      </c>
      <c r="W1536" s="10">
        <v>0.79354482955789063</v>
      </c>
      <c r="X1536" s="420"/>
      <c r="Y1536" s="420"/>
      <c r="Z1536" s="1"/>
      <c r="AA1536" s="1"/>
      <c r="AB1536" s="1"/>
      <c r="AC1536" s="1"/>
      <c r="AD1536" s="1"/>
    </row>
    <row r="1537" spans="17:30">
      <c r="Q1537" s="6">
        <v>1507</v>
      </c>
      <c r="R1537" s="7">
        <v>44174</v>
      </c>
      <c r="S1537" s="210">
        <v>4</v>
      </c>
      <c r="T1537" s="8">
        <v>1.0001111111111112</v>
      </c>
      <c r="U1537" s="98">
        <v>3.6419473026239046</v>
      </c>
      <c r="V1537" s="106">
        <v>29450.303279464119</v>
      </c>
      <c r="W1537" s="10">
        <v>0.79376433284676917</v>
      </c>
      <c r="X1537" s="420"/>
      <c r="Y1537" s="420"/>
      <c r="Z1537" s="1"/>
      <c r="AA1537" s="1"/>
      <c r="AB1537" s="1"/>
      <c r="AC1537" s="1"/>
      <c r="AD1537" s="1"/>
    </row>
    <row r="1538" spans="17:30">
      <c r="Q1538" s="6">
        <v>1508</v>
      </c>
      <c r="R1538" s="7">
        <v>44175</v>
      </c>
      <c r="S1538" s="210">
        <v>4</v>
      </c>
      <c r="T1538" s="8">
        <v>1.0001111111111112</v>
      </c>
      <c r="U1538" s="98">
        <v>3.6422759157465068</v>
      </c>
      <c r="V1538" s="106">
        <v>29452.596456016669</v>
      </c>
      <c r="W1538" s="10">
        <v>0.79404686475383901</v>
      </c>
      <c r="X1538" s="420"/>
      <c r="Y1538" s="420"/>
      <c r="Z1538" s="1"/>
      <c r="AA1538" s="1"/>
      <c r="AB1538" s="1"/>
      <c r="AC1538" s="1"/>
      <c r="AD1538" s="1"/>
    </row>
    <row r="1539" spans="17:30">
      <c r="Q1539" s="6">
        <v>1509</v>
      </c>
      <c r="R1539" s="7">
        <v>44176</v>
      </c>
      <c r="S1539" s="210">
        <v>4</v>
      </c>
      <c r="T1539" s="8">
        <v>1.0001111111111112</v>
      </c>
      <c r="U1539" s="98">
        <v>3.64260409437136</v>
      </c>
      <c r="V1539" s="106">
        <v>29454.889811129644</v>
      </c>
      <c r="W1539" s="10">
        <v>0.79432902298883779</v>
      </c>
      <c r="X1539" s="420"/>
      <c r="Y1539" s="420"/>
      <c r="Z1539" s="1"/>
      <c r="AA1539" s="1"/>
      <c r="AB1539" s="1"/>
      <c r="AC1539" s="1"/>
      <c r="AD1539" s="1"/>
    </row>
    <row r="1540" spans="17:30">
      <c r="Q1540" s="6">
        <v>1510</v>
      </c>
      <c r="R1540" s="7">
        <v>44177</v>
      </c>
      <c r="S1540" s="210">
        <v>4</v>
      </c>
      <c r="T1540" s="8">
        <v>1.0001111111111112</v>
      </c>
      <c r="U1540" s="98">
        <v>3.6429318393596422</v>
      </c>
      <c r="V1540" s="106">
        <v>29457.183344816949</v>
      </c>
      <c r="W1540" s="10">
        <v>0.79461080829263953</v>
      </c>
      <c r="X1540" s="420"/>
      <c r="Y1540" s="420"/>
      <c r="Z1540" s="1"/>
      <c r="AA1540" s="1"/>
      <c r="AB1540" s="1"/>
      <c r="AC1540" s="1"/>
      <c r="AD1540" s="1"/>
    </row>
    <row r="1541" spans="17:30">
      <c r="Q1541" s="6">
        <v>1511</v>
      </c>
      <c r="R1541" s="7">
        <v>44178</v>
      </c>
      <c r="S1541" s="210">
        <v>4</v>
      </c>
      <c r="T1541" s="8">
        <v>1.0001111111111112</v>
      </c>
      <c r="U1541" s="98">
        <v>3.6432591515702439</v>
      </c>
      <c r="V1541" s="106">
        <v>29459.477057092485</v>
      </c>
      <c r="W1541" s="10">
        <v>0.79489222140405325</v>
      </c>
      <c r="X1541" s="420"/>
      <c r="Y1541" s="420"/>
      <c r="Z1541" s="1"/>
      <c r="AA1541" s="1"/>
      <c r="AB1541" s="1"/>
      <c r="AC1541" s="1"/>
      <c r="AD1541" s="1"/>
    </row>
    <row r="1542" spans="17:30">
      <c r="Q1542" s="6">
        <v>1512</v>
      </c>
      <c r="R1542" s="7">
        <v>44179</v>
      </c>
      <c r="S1542" s="210">
        <v>4</v>
      </c>
      <c r="T1542" s="8">
        <v>1.0001111111111112</v>
      </c>
      <c r="U1542" s="98">
        <v>3.6435860318598134</v>
      </c>
      <c r="V1542" s="106">
        <v>29461.77094797017</v>
      </c>
      <c r="W1542" s="10">
        <v>0.79517326306004499</v>
      </c>
      <c r="X1542" s="420"/>
      <c r="Y1542" s="420"/>
      <c r="Z1542" s="1"/>
      <c r="AA1542" s="1"/>
      <c r="AB1542" s="1"/>
      <c r="AC1542" s="1"/>
      <c r="AD1542" s="1"/>
    </row>
    <row r="1543" spans="17:30">
      <c r="Q1543" s="6">
        <v>1513</v>
      </c>
      <c r="R1543" s="7">
        <v>44180</v>
      </c>
      <c r="S1543" s="210">
        <v>4</v>
      </c>
      <c r="T1543" s="8">
        <v>1.0001111111111112</v>
      </c>
      <c r="U1543" s="98">
        <v>3.6439124810827339</v>
      </c>
      <c r="V1543" s="106">
        <v>29464.065017463894</v>
      </c>
      <c r="W1543" s="10">
        <v>0.7954539339956046</v>
      </c>
      <c r="X1543" s="420"/>
      <c r="Y1543" s="420"/>
      <c r="Z1543" s="1"/>
      <c r="AA1543" s="1"/>
      <c r="AB1543" s="1"/>
      <c r="AC1543" s="1"/>
      <c r="AD1543" s="1"/>
    </row>
    <row r="1544" spans="17:30">
      <c r="Q1544" s="6">
        <v>1514</v>
      </c>
      <c r="R1544" s="7">
        <v>44181</v>
      </c>
      <c r="S1544" s="210">
        <v>4</v>
      </c>
      <c r="T1544" s="8">
        <v>1.0001111111111112</v>
      </c>
      <c r="U1544" s="98">
        <v>3.6442385000911237</v>
      </c>
      <c r="V1544" s="106">
        <v>29466.35926558758</v>
      </c>
      <c r="W1544" s="10">
        <v>0.79573423494372353</v>
      </c>
      <c r="X1544" s="420"/>
      <c r="Y1544" s="420"/>
      <c r="Z1544" s="1"/>
      <c r="AA1544" s="1"/>
      <c r="AB1544" s="1"/>
      <c r="AC1544" s="1"/>
      <c r="AD1544" s="1"/>
    </row>
    <row r="1545" spans="17:30">
      <c r="Q1545" s="6">
        <v>1515</v>
      </c>
      <c r="R1545" s="7">
        <v>44182</v>
      </c>
      <c r="S1545" s="210">
        <v>4</v>
      </c>
      <c r="T1545" s="8">
        <v>1.0001111111111112</v>
      </c>
      <c r="U1545" s="98">
        <v>3.6445640897348808</v>
      </c>
      <c r="V1545" s="106">
        <v>29468.653692355128</v>
      </c>
      <c r="W1545" s="10">
        <v>0.79601416663552804</v>
      </c>
      <c r="X1545" s="420"/>
      <c r="Y1545" s="420"/>
      <c r="Z1545" s="1"/>
      <c r="AA1545" s="1"/>
      <c r="AB1545" s="1"/>
      <c r="AC1545" s="1"/>
      <c r="AD1545" s="1"/>
    </row>
    <row r="1546" spans="17:30">
      <c r="Q1546" s="6">
        <v>1516</v>
      </c>
      <c r="R1546" s="7">
        <v>44183</v>
      </c>
      <c r="S1546" s="210">
        <v>4</v>
      </c>
      <c r="T1546" s="8">
        <v>1.0001111111111112</v>
      </c>
      <c r="U1546" s="98">
        <v>3.644889250861616</v>
      </c>
      <c r="V1546" s="106">
        <v>29470.948297780447</v>
      </c>
      <c r="W1546" s="10">
        <v>0.79629372980021262</v>
      </c>
      <c r="X1546" s="420"/>
      <c r="Y1546" s="420"/>
      <c r="Z1546" s="1"/>
      <c r="AA1546" s="1"/>
      <c r="AB1546" s="1"/>
      <c r="AC1546" s="1"/>
      <c r="AD1546" s="1"/>
    </row>
    <row r="1547" spans="17:30">
      <c r="Q1547" s="6">
        <v>1517</v>
      </c>
      <c r="R1547" s="7">
        <v>44184</v>
      </c>
      <c r="S1547" s="210">
        <v>4</v>
      </c>
      <c r="T1547" s="8">
        <v>1.0001111111111112</v>
      </c>
      <c r="U1547" s="98">
        <v>3.6452139843167863</v>
      </c>
      <c r="V1547" s="106">
        <v>29473.243081877456</v>
      </c>
      <c r="W1547" s="10">
        <v>0.79657292516501776</v>
      </c>
      <c r="X1547" s="420"/>
      <c r="Y1547" s="420"/>
      <c r="Z1547" s="1"/>
      <c r="AA1547" s="1"/>
      <c r="AB1547" s="1"/>
      <c r="AC1547" s="1"/>
      <c r="AD1547" s="1"/>
    </row>
    <row r="1548" spans="17:30">
      <c r="Q1548" s="6">
        <v>1518</v>
      </c>
      <c r="R1548" s="7">
        <v>44185</v>
      </c>
      <c r="S1548" s="210">
        <v>4</v>
      </c>
      <c r="T1548" s="8">
        <v>1.0001111111111112</v>
      </c>
      <c r="U1548" s="98">
        <v>3.6455382909435619</v>
      </c>
      <c r="V1548" s="106">
        <v>29475.538044660068</v>
      </c>
      <c r="W1548" s="10">
        <v>0.79685175345531878</v>
      </c>
      <c r="X1548" s="420"/>
      <c r="Y1548" s="420"/>
      <c r="Z1548" s="1"/>
      <c r="AA1548" s="1"/>
      <c r="AB1548" s="1"/>
      <c r="AC1548" s="1"/>
      <c r="AD1548" s="1"/>
    </row>
    <row r="1549" spans="17:30">
      <c r="Q1549" s="6">
        <v>1519</v>
      </c>
      <c r="R1549" s="7">
        <v>44186</v>
      </c>
      <c r="S1549" s="210">
        <v>4</v>
      </c>
      <c r="T1549" s="8">
        <v>1.0001111111111112</v>
      </c>
      <c r="U1549" s="98">
        <v>3.6458621715829143</v>
      </c>
      <c r="V1549" s="106">
        <v>29477.83318614219</v>
      </c>
      <c r="W1549" s="10">
        <v>0.79713021539453699</v>
      </c>
      <c r="X1549" s="420"/>
      <c r="Y1549" s="420"/>
      <c r="Z1549" s="1"/>
      <c r="AA1549" s="1"/>
      <c r="AB1549" s="1"/>
      <c r="AC1549" s="1"/>
      <c r="AD1549" s="1"/>
    </row>
    <row r="1550" spans="17:30">
      <c r="Q1550" s="6">
        <v>1520</v>
      </c>
      <c r="R1550" s="7">
        <v>44187</v>
      </c>
      <c r="S1550" s="210">
        <v>4</v>
      </c>
      <c r="T1550" s="8">
        <v>1.0001111111111112</v>
      </c>
      <c r="U1550" s="98">
        <v>3.6461856270736392</v>
      </c>
      <c r="V1550" s="106">
        <v>29480.128506337744</v>
      </c>
      <c r="W1550" s="10">
        <v>0.79740831170425075</v>
      </c>
      <c r="X1550" s="420"/>
      <c r="Y1550" s="420"/>
      <c r="Z1550" s="1"/>
      <c r="AA1550" s="1"/>
      <c r="AB1550" s="1"/>
      <c r="AC1550" s="1"/>
      <c r="AD1550" s="1"/>
    </row>
    <row r="1551" spans="17:30">
      <c r="Q1551" s="6">
        <v>1521</v>
      </c>
      <c r="R1551" s="7">
        <v>44188</v>
      </c>
      <c r="S1551" s="210">
        <v>4</v>
      </c>
      <c r="T1551" s="8">
        <v>1.0001111111111112</v>
      </c>
      <c r="U1551" s="98">
        <v>3.6465086582522899</v>
      </c>
      <c r="V1551" s="106">
        <v>29482.424005260633</v>
      </c>
      <c r="W1551" s="10">
        <v>0.79768604310406221</v>
      </c>
      <c r="X1551" s="420"/>
      <c r="Y1551" s="420"/>
      <c r="Z1551" s="1"/>
      <c r="AA1551" s="1"/>
      <c r="AB1551" s="1"/>
      <c r="AC1551" s="1"/>
      <c r="AD1551" s="1"/>
    </row>
    <row r="1552" spans="17:30">
      <c r="Q1552" s="6">
        <v>1522</v>
      </c>
      <c r="R1552" s="7">
        <v>44189</v>
      </c>
      <c r="S1552" s="210">
        <v>4</v>
      </c>
      <c r="T1552" s="8">
        <v>1.0001111111111112</v>
      </c>
      <c r="U1552" s="98">
        <v>3.6468312659532431</v>
      </c>
      <c r="V1552" s="106">
        <v>29484.719682924784</v>
      </c>
      <c r="W1552" s="10">
        <v>0.79796341031179718</v>
      </c>
      <c r="X1552" s="420"/>
      <c r="Y1552" s="420"/>
      <c r="Z1552" s="1"/>
      <c r="AA1552" s="1"/>
      <c r="AB1552" s="1"/>
      <c r="AC1552" s="1"/>
      <c r="AD1552" s="1"/>
    </row>
    <row r="1553" spans="17:30">
      <c r="Q1553" s="6">
        <v>1523</v>
      </c>
      <c r="R1553" s="7">
        <v>44190</v>
      </c>
      <c r="S1553" s="210">
        <v>4</v>
      </c>
      <c r="T1553" s="8">
        <v>1.0001111111111112</v>
      </c>
      <c r="U1553" s="98">
        <v>3.6471534510086778</v>
      </c>
      <c r="V1553" s="106">
        <v>29487.015539344116</v>
      </c>
      <c r="W1553" s="10">
        <v>0.79824041404326085</v>
      </c>
      <c r="X1553" s="420"/>
      <c r="Y1553" s="420"/>
      <c r="Z1553" s="1"/>
      <c r="AA1553" s="1"/>
      <c r="AB1553" s="1"/>
      <c r="AC1553" s="1"/>
      <c r="AD1553" s="1"/>
    </row>
    <row r="1554" spans="17:30">
      <c r="Q1554" s="6">
        <v>1524</v>
      </c>
      <c r="R1554" s="7">
        <v>44191</v>
      </c>
      <c r="S1554" s="210">
        <v>4</v>
      </c>
      <c r="T1554" s="8">
        <v>1.0001111111111112</v>
      </c>
      <c r="U1554" s="98">
        <v>3.6474752142486189</v>
      </c>
      <c r="V1554" s="106">
        <v>29489.311574532538</v>
      </c>
      <c r="W1554" s="10">
        <v>0.79851705501254866</v>
      </c>
      <c r="X1554" s="420"/>
      <c r="Y1554" s="420"/>
      <c r="Z1554" s="1"/>
      <c r="AA1554" s="1"/>
      <c r="AB1554" s="1"/>
      <c r="AC1554" s="1"/>
      <c r="AD1554" s="1"/>
    </row>
    <row r="1555" spans="17:30">
      <c r="Q1555" s="6">
        <v>1525</v>
      </c>
      <c r="R1555" s="7">
        <v>44192</v>
      </c>
      <c r="S1555" s="210">
        <v>4</v>
      </c>
      <c r="T1555" s="8">
        <v>1.0001111111111112</v>
      </c>
      <c r="U1555" s="98">
        <v>3.6477965565009152</v>
      </c>
      <c r="V1555" s="106">
        <v>29491.607788503981</v>
      </c>
      <c r="W1555" s="10">
        <v>0.79879333393173546</v>
      </c>
      <c r="X1555" s="420"/>
      <c r="Y1555" s="420"/>
      <c r="Z1555" s="1"/>
      <c r="AA1555" s="1"/>
      <c r="AB1555" s="1"/>
      <c r="AC1555" s="1"/>
      <c r="AD1555" s="1"/>
    </row>
    <row r="1556" spans="17:30">
      <c r="Q1556" s="6">
        <v>1526</v>
      </c>
      <c r="R1556" s="7">
        <v>44193</v>
      </c>
      <c r="S1556" s="210">
        <v>4</v>
      </c>
      <c r="T1556" s="8">
        <v>1.0001111111111112</v>
      </c>
      <c r="U1556" s="98">
        <v>3.6481174785912174</v>
      </c>
      <c r="V1556" s="106">
        <v>29493.904181272363</v>
      </c>
      <c r="W1556" s="10">
        <v>0.79906925151109753</v>
      </c>
      <c r="X1556" s="420"/>
      <c r="Y1556" s="420"/>
      <c r="Z1556" s="1"/>
      <c r="AA1556" s="1"/>
      <c r="AB1556" s="1"/>
      <c r="AC1556" s="1"/>
      <c r="AD1556" s="1"/>
    </row>
    <row r="1557" spans="17:30">
      <c r="Q1557" s="6">
        <v>1527</v>
      </c>
      <c r="R1557" s="7">
        <v>44194</v>
      </c>
      <c r="S1557" s="210">
        <v>4</v>
      </c>
      <c r="T1557" s="8">
        <v>1.0001111111111112</v>
      </c>
      <c r="U1557" s="98">
        <v>3.6484379813430667</v>
      </c>
      <c r="V1557" s="106">
        <v>29496.200752851604</v>
      </c>
      <c r="W1557" s="10">
        <v>0.7993448084591126</v>
      </c>
      <c r="X1557" s="420"/>
      <c r="Y1557" s="420"/>
      <c r="Z1557" s="1"/>
      <c r="AA1557" s="1"/>
      <c r="AB1557" s="1"/>
      <c r="AC1557" s="1"/>
      <c r="AD1557" s="1"/>
    </row>
    <row r="1558" spans="17:30">
      <c r="Q1558" s="6">
        <v>1528</v>
      </c>
      <c r="R1558" s="7">
        <v>44195</v>
      </c>
      <c r="S1558" s="210">
        <v>4</v>
      </c>
      <c r="T1558" s="8">
        <v>1.0001111111111112</v>
      </c>
      <c r="U1558" s="98">
        <v>3.6487580655778062</v>
      </c>
      <c r="V1558" s="106">
        <v>29498.497503255625</v>
      </c>
      <c r="W1558" s="10">
        <v>0.79962000548230439</v>
      </c>
      <c r="X1558" s="420"/>
      <c r="Y1558" s="420"/>
      <c r="Z1558" s="1"/>
      <c r="AA1558" s="1"/>
      <c r="AB1558" s="1"/>
      <c r="AC1558" s="1"/>
      <c r="AD1558" s="1"/>
    </row>
    <row r="1559" spans="17:30">
      <c r="Q1559" s="6">
        <v>1529</v>
      </c>
      <c r="R1559" s="7">
        <v>44196</v>
      </c>
      <c r="S1559" s="210">
        <v>4</v>
      </c>
      <c r="T1559" s="8">
        <v>1.0001111111111112</v>
      </c>
      <c r="U1559" s="98">
        <v>3.6490777321146695</v>
      </c>
      <c r="V1559" s="106">
        <v>29500.794432498358</v>
      </c>
      <c r="W1559" s="10">
        <v>0.79989484328539806</v>
      </c>
      <c r="X1559" s="420"/>
      <c r="Y1559" s="420"/>
      <c r="Z1559" s="1"/>
      <c r="AA1559" s="1"/>
      <c r="AB1559" s="1"/>
      <c r="AC1559" s="1"/>
      <c r="AD1559" s="1"/>
    </row>
    <row r="1560" spans="17:30">
      <c r="Q1560" s="6">
        <v>1530</v>
      </c>
      <c r="R1560" s="7">
        <v>44197</v>
      </c>
      <c r="S1560" s="210">
        <v>4</v>
      </c>
      <c r="T1560" s="8">
        <v>1.0001111111111112</v>
      </c>
      <c r="U1560" s="98">
        <v>3.6493969817707361</v>
      </c>
      <c r="V1560" s="106">
        <v>29503.091540593723</v>
      </c>
      <c r="W1560" s="10">
        <v>0.80016932257127582</v>
      </c>
      <c r="X1560" s="420"/>
      <c r="Y1560" s="420"/>
      <c r="Z1560" s="1"/>
      <c r="AA1560" s="1"/>
      <c r="AB1560" s="1"/>
      <c r="AC1560" s="1"/>
      <c r="AD1560" s="1"/>
    </row>
    <row r="1561" spans="17:30">
      <c r="Q1561" s="6">
        <v>1531</v>
      </c>
      <c r="R1561" s="7">
        <v>44198</v>
      </c>
      <c r="S1561" s="210">
        <v>4</v>
      </c>
      <c r="T1561" s="8">
        <v>1.0001111111111112</v>
      </c>
      <c r="U1561" s="98">
        <v>3.6497158153609766</v>
      </c>
      <c r="V1561" s="106">
        <v>29505.388827555646</v>
      </c>
      <c r="W1561" s="10">
        <v>0.8004434440410213</v>
      </c>
      <c r="X1561" s="420"/>
      <c r="Y1561" s="420"/>
      <c r="Z1561" s="1"/>
      <c r="AA1561" s="1"/>
      <c r="AB1561" s="1"/>
      <c r="AC1561" s="1"/>
      <c r="AD1561" s="1"/>
    </row>
    <row r="1562" spans="17:30">
      <c r="Q1562" s="6">
        <v>1532</v>
      </c>
      <c r="R1562" s="7">
        <v>44199</v>
      </c>
      <c r="S1562" s="210">
        <v>4</v>
      </c>
      <c r="T1562" s="8">
        <v>1.0001111111111112</v>
      </c>
      <c r="U1562" s="98">
        <v>3.6500342336982072</v>
      </c>
      <c r="V1562" s="106">
        <v>29507.686293398056</v>
      </c>
      <c r="W1562" s="10">
        <v>0.80071720839383076</v>
      </c>
      <c r="X1562" s="420"/>
      <c r="Y1562" s="420"/>
      <c r="Z1562" s="1"/>
      <c r="AA1562" s="1"/>
      <c r="AB1562" s="1"/>
      <c r="AC1562" s="1"/>
      <c r="AD1562" s="1"/>
    </row>
    <row r="1563" spans="17:30">
      <c r="Q1563" s="6">
        <v>1533</v>
      </c>
      <c r="R1563" s="7">
        <v>44200</v>
      </c>
      <c r="S1563" s="210">
        <v>4</v>
      </c>
      <c r="T1563" s="8">
        <v>1.0001111111111112</v>
      </c>
      <c r="U1563" s="98">
        <v>3.6503522375931574</v>
      </c>
      <c r="V1563" s="106">
        <v>29509.983938134879</v>
      </c>
      <c r="W1563" s="10">
        <v>0.80099061632712409</v>
      </c>
      <c r="X1563" s="420"/>
      <c r="Y1563" s="420"/>
      <c r="Z1563" s="1"/>
      <c r="AA1563" s="1"/>
      <c r="AB1563" s="1"/>
      <c r="AC1563" s="1"/>
      <c r="AD1563" s="1"/>
    </row>
    <row r="1564" spans="17:30">
      <c r="Q1564" s="6">
        <v>1534</v>
      </c>
      <c r="R1564" s="7">
        <v>44201</v>
      </c>
      <c r="S1564" s="210">
        <v>4</v>
      </c>
      <c r="T1564" s="8">
        <v>1.0001111111111112</v>
      </c>
      <c r="U1564" s="98">
        <v>3.6506698278544247</v>
      </c>
      <c r="V1564" s="106">
        <v>29512.28176178005</v>
      </c>
      <c r="W1564" s="10">
        <v>0.80126366853650044</v>
      </c>
      <c r="X1564" s="420"/>
      <c r="Y1564" s="420"/>
      <c r="Z1564" s="1"/>
      <c r="AA1564" s="1"/>
      <c r="AB1564" s="1"/>
      <c r="AC1564" s="1"/>
      <c r="AD1564" s="1"/>
    </row>
    <row r="1565" spans="17:30">
      <c r="Q1565" s="6">
        <v>1535</v>
      </c>
      <c r="R1565" s="7">
        <v>44202</v>
      </c>
      <c r="S1565" s="210">
        <v>4</v>
      </c>
      <c r="T1565" s="8">
        <v>1.0001111111111112</v>
      </c>
      <c r="U1565" s="98">
        <v>3.6509870052885196</v>
      </c>
      <c r="V1565" s="106">
        <v>29514.579764347494</v>
      </c>
      <c r="W1565" s="10">
        <v>0.80153636571571596</v>
      </c>
      <c r="X1565" s="420"/>
      <c r="Y1565" s="420"/>
      <c r="Z1565" s="1"/>
      <c r="AA1565" s="1"/>
      <c r="AB1565" s="1"/>
      <c r="AC1565" s="1"/>
      <c r="AD1565" s="1"/>
    </row>
    <row r="1566" spans="17:30">
      <c r="Q1566" s="6">
        <v>1536</v>
      </c>
      <c r="R1566" s="7">
        <v>44203</v>
      </c>
      <c r="S1566" s="210">
        <v>4</v>
      </c>
      <c r="T1566" s="8">
        <v>1.0001111111111112</v>
      </c>
      <c r="U1566" s="98">
        <v>3.651303770699843</v>
      </c>
      <c r="V1566" s="106">
        <v>29516.877945851153</v>
      </c>
      <c r="W1566" s="10">
        <v>0.80180870855677266</v>
      </c>
      <c r="X1566" s="420"/>
      <c r="Y1566" s="420"/>
      <c r="Z1566" s="1"/>
      <c r="AA1566" s="1"/>
      <c r="AB1566" s="1"/>
      <c r="AC1566" s="1"/>
      <c r="AD1566" s="1"/>
    </row>
    <row r="1567" spans="17:30">
      <c r="Q1567" s="6">
        <v>1537</v>
      </c>
      <c r="R1567" s="7">
        <v>44204</v>
      </c>
      <c r="S1567" s="210">
        <v>4</v>
      </c>
      <c r="T1567" s="8">
        <v>1.0001111111111112</v>
      </c>
      <c r="U1567" s="98">
        <v>3.651620124890731</v>
      </c>
      <c r="V1567" s="106">
        <v>29519.176306304951</v>
      </c>
      <c r="W1567" s="10">
        <v>0.8020806977498518</v>
      </c>
      <c r="X1567" s="420"/>
      <c r="Y1567" s="420"/>
      <c r="Z1567" s="1"/>
      <c r="AA1567" s="1"/>
      <c r="AB1567" s="1"/>
      <c r="AC1567" s="1"/>
      <c r="AD1567" s="1"/>
    </row>
    <row r="1568" spans="17:30">
      <c r="Q1568" s="6">
        <v>1538</v>
      </c>
      <c r="R1568" s="7">
        <v>44205</v>
      </c>
      <c r="S1568" s="210">
        <v>4</v>
      </c>
      <c r="T1568" s="8">
        <v>1.0001111111111112</v>
      </c>
      <c r="U1568" s="98">
        <v>3.65193606866141</v>
      </c>
      <c r="V1568" s="106">
        <v>29521.474845722827</v>
      </c>
      <c r="W1568" s="10">
        <v>0.80235233398331385</v>
      </c>
      <c r="X1568" s="420"/>
      <c r="Y1568" s="420"/>
      <c r="Z1568" s="1"/>
      <c r="AA1568" s="1"/>
      <c r="AB1568" s="1"/>
      <c r="AC1568" s="1"/>
      <c r="AD1568" s="1"/>
    </row>
    <row r="1569" spans="17:30">
      <c r="Q1569" s="6">
        <v>1539</v>
      </c>
      <c r="R1569" s="7">
        <v>44206</v>
      </c>
      <c r="S1569" s="210">
        <v>4</v>
      </c>
      <c r="T1569" s="8">
        <v>1.0001111111111112</v>
      </c>
      <c r="U1569" s="98">
        <v>3.6522516028100638</v>
      </c>
      <c r="V1569" s="106">
        <v>29523.77356411871</v>
      </c>
      <c r="W1569" s="10">
        <v>0.80262361794380954</v>
      </c>
      <c r="X1569" s="420"/>
      <c r="Y1569" s="420"/>
      <c r="Z1569" s="1"/>
      <c r="AA1569" s="1"/>
      <c r="AB1569" s="1"/>
      <c r="AC1569" s="1"/>
      <c r="AD1569" s="1"/>
    </row>
    <row r="1570" spans="17:30">
      <c r="Q1570" s="6">
        <v>1540</v>
      </c>
      <c r="R1570" s="7">
        <v>44207</v>
      </c>
      <c r="S1570" s="210">
        <v>4</v>
      </c>
      <c r="T1570" s="8">
        <v>1.0001111111111112</v>
      </c>
      <c r="U1570" s="98">
        <v>3.6525667281327667</v>
      </c>
      <c r="V1570" s="106">
        <v>29526.072461506545</v>
      </c>
      <c r="W1570" s="10">
        <v>0.80289455031612444</v>
      </c>
      <c r="X1570" s="420"/>
      <c r="Y1570" s="420"/>
      <c r="Z1570" s="1"/>
      <c r="AA1570" s="1"/>
      <c r="AB1570" s="1"/>
      <c r="AC1570" s="1"/>
      <c r="AD1570" s="1"/>
    </row>
    <row r="1571" spans="17:30">
      <c r="Q1571" s="6">
        <v>1541</v>
      </c>
      <c r="R1571" s="7">
        <v>44208</v>
      </c>
      <c r="S1571" s="210">
        <v>4</v>
      </c>
      <c r="T1571" s="8">
        <v>1.0001111111111112</v>
      </c>
      <c r="U1571" s="98">
        <v>3.6528814454235725</v>
      </c>
      <c r="V1571" s="106">
        <v>29528.371537900257</v>
      </c>
      <c r="W1571" s="10">
        <v>0.80316513178335658</v>
      </c>
      <c r="X1571" s="420"/>
      <c r="Y1571" s="420"/>
      <c r="Z1571" s="1"/>
      <c r="AA1571" s="1"/>
      <c r="AB1571" s="1"/>
      <c r="AC1571" s="1"/>
      <c r="AD1571" s="1"/>
    </row>
    <row r="1572" spans="17:30">
      <c r="Q1572" s="6">
        <v>1542</v>
      </c>
      <c r="R1572" s="7">
        <v>44209</v>
      </c>
      <c r="S1572" s="210">
        <v>4</v>
      </c>
      <c r="T1572" s="8">
        <v>1.0001111111111112</v>
      </c>
      <c r="U1572" s="98">
        <v>3.6531957554744476</v>
      </c>
      <c r="V1572" s="106">
        <v>29530.670793313795</v>
      </c>
      <c r="W1572" s="10">
        <v>0.80343536302673879</v>
      </c>
      <c r="X1572" s="420"/>
      <c r="Y1572" s="420"/>
      <c r="Z1572" s="1"/>
      <c r="AA1572" s="1"/>
      <c r="AB1572" s="1"/>
      <c r="AC1572" s="1"/>
      <c r="AD1572" s="1"/>
    </row>
    <row r="1573" spans="17:30">
      <c r="Q1573" s="6">
        <v>1543</v>
      </c>
      <c r="R1573" s="7">
        <v>44210</v>
      </c>
      <c r="S1573" s="210">
        <v>4</v>
      </c>
      <c r="T1573" s="8">
        <v>1.0001111111111112</v>
      </c>
      <c r="U1573" s="98">
        <v>3.653509659075338</v>
      </c>
      <c r="V1573" s="106">
        <v>29532.9702277611</v>
      </c>
      <c r="W1573" s="10">
        <v>0.80370524472581639</v>
      </c>
      <c r="X1573" s="420"/>
      <c r="Y1573" s="420"/>
      <c r="Z1573" s="1"/>
      <c r="AA1573" s="1"/>
      <c r="AB1573" s="1"/>
      <c r="AC1573" s="1"/>
      <c r="AD1573" s="1"/>
    </row>
    <row r="1574" spans="17:30">
      <c r="Q1574" s="6">
        <v>1544</v>
      </c>
      <c r="R1574" s="7">
        <v>44211</v>
      </c>
      <c r="S1574" s="210">
        <v>4</v>
      </c>
      <c r="T1574" s="8">
        <v>1.0001111111111112</v>
      </c>
      <c r="U1574" s="98">
        <v>3.6538231570141244</v>
      </c>
      <c r="V1574" s="106">
        <v>29535.2698412561</v>
      </c>
      <c r="W1574" s="10">
        <v>0.80397477755838054</v>
      </c>
      <c r="X1574" s="420"/>
      <c r="Y1574" s="420"/>
      <c r="Z1574" s="1"/>
      <c r="AA1574" s="1"/>
      <c r="AB1574" s="1"/>
      <c r="AC1574" s="1"/>
      <c r="AD1574" s="1"/>
    </row>
    <row r="1575" spans="17:30">
      <c r="Q1575" s="6">
        <v>1545</v>
      </c>
      <c r="R1575" s="7">
        <v>44212</v>
      </c>
      <c r="S1575" s="210">
        <v>4</v>
      </c>
      <c r="T1575" s="8">
        <v>1.0001111111111112</v>
      </c>
      <c r="U1575" s="98">
        <v>3.6541362500766672</v>
      </c>
      <c r="V1575" s="106">
        <v>29537.569633812753</v>
      </c>
      <c r="W1575" s="10">
        <v>0.80424396220040162</v>
      </c>
      <c r="X1575" s="420"/>
      <c r="Y1575" s="420"/>
      <c r="Z1575" s="1"/>
      <c r="AA1575" s="1"/>
      <c r="AB1575" s="1"/>
      <c r="AC1575" s="1"/>
      <c r="AD1575" s="1"/>
    </row>
    <row r="1576" spans="17:30">
      <c r="Q1576" s="6">
        <v>1546</v>
      </c>
      <c r="R1576" s="7">
        <v>44213</v>
      </c>
      <c r="S1576" s="210">
        <v>4</v>
      </c>
      <c r="T1576" s="8">
        <v>1.0001111111111112</v>
      </c>
      <c r="U1576" s="98">
        <v>3.6544489390467838</v>
      </c>
      <c r="V1576" s="106">
        <v>29539.86960544499</v>
      </c>
      <c r="W1576" s="10">
        <v>0.80451279932614028</v>
      </c>
      <c r="X1576" s="420"/>
      <c r="Y1576" s="420"/>
      <c r="Z1576" s="1"/>
      <c r="AA1576" s="1"/>
      <c r="AB1576" s="1"/>
      <c r="AC1576" s="1"/>
      <c r="AD1576" s="1"/>
    </row>
    <row r="1577" spans="17:30">
      <c r="Q1577" s="6">
        <v>1547</v>
      </c>
      <c r="R1577" s="7">
        <v>44214</v>
      </c>
      <c r="S1577" s="210">
        <v>4</v>
      </c>
      <c r="T1577" s="8">
        <v>1.0001111111111112</v>
      </c>
      <c r="U1577" s="98">
        <v>3.6547612247062933</v>
      </c>
      <c r="V1577" s="106">
        <v>29542.169756166753</v>
      </c>
      <c r="W1577" s="10">
        <v>0.80478128960819184</v>
      </c>
      <c r="X1577" s="420"/>
      <c r="Y1577" s="420"/>
      <c r="Z1577" s="1"/>
      <c r="AA1577" s="1"/>
      <c r="AB1577" s="1"/>
      <c r="AC1577" s="1"/>
      <c r="AD1577" s="1"/>
    </row>
    <row r="1578" spans="17:30">
      <c r="Q1578" s="6">
        <v>1548</v>
      </c>
      <c r="R1578" s="7">
        <v>44215</v>
      </c>
      <c r="S1578" s="210">
        <v>4</v>
      </c>
      <c r="T1578" s="8">
        <v>1.0001111111111112</v>
      </c>
      <c r="U1578" s="98">
        <v>3.6550731078349719</v>
      </c>
      <c r="V1578" s="106">
        <v>29544.470085991998</v>
      </c>
      <c r="W1578" s="10">
        <v>0.80504943371728643</v>
      </c>
      <c r="X1578" s="420"/>
      <c r="Y1578" s="420"/>
      <c r="Z1578" s="1"/>
      <c r="AA1578" s="1"/>
      <c r="AB1578" s="1"/>
      <c r="AC1578" s="1"/>
      <c r="AD1578" s="1"/>
    </row>
    <row r="1579" spans="17:30">
      <c r="Q1579" s="6">
        <v>1549</v>
      </c>
      <c r="R1579" s="7">
        <v>44216</v>
      </c>
      <c r="S1579" s="210">
        <v>4</v>
      </c>
      <c r="T1579" s="8">
        <v>1.0001111111111112</v>
      </c>
      <c r="U1579" s="98">
        <v>3.6553845892105974</v>
      </c>
      <c r="V1579" s="106">
        <v>29546.770594934667</v>
      </c>
      <c r="W1579" s="10">
        <v>0.80531723232248886</v>
      </c>
      <c r="X1579" s="420"/>
      <c r="Y1579" s="420"/>
      <c r="Z1579" s="1"/>
      <c r="AA1579" s="1"/>
      <c r="AB1579" s="1"/>
      <c r="AC1579" s="1"/>
      <c r="AD1579" s="1"/>
    </row>
    <row r="1580" spans="17:30">
      <c r="Q1580" s="6">
        <v>1550</v>
      </c>
      <c r="R1580" s="7">
        <v>44217</v>
      </c>
      <c r="S1580" s="210">
        <v>4</v>
      </c>
      <c r="T1580" s="8">
        <v>1.0001111111111112</v>
      </c>
      <c r="U1580" s="98">
        <v>3.6556956696089715</v>
      </c>
      <c r="V1580" s="106">
        <v>29549.071283008703</v>
      </c>
      <c r="W1580" s="10">
        <v>0.8055846860911986</v>
      </c>
      <c r="X1580" s="420"/>
      <c r="Y1580" s="420"/>
      <c r="Z1580" s="1"/>
      <c r="AA1580" s="1"/>
      <c r="AB1580" s="1"/>
      <c r="AC1580" s="1"/>
      <c r="AD1580" s="1"/>
    </row>
    <row r="1581" spans="17:30">
      <c r="Q1581" s="6">
        <v>1551</v>
      </c>
      <c r="R1581" s="7">
        <v>44218</v>
      </c>
      <c r="S1581" s="210">
        <v>4</v>
      </c>
      <c r="T1581" s="8">
        <v>1.0001111111111112</v>
      </c>
      <c r="U1581" s="98">
        <v>3.6560063498038531</v>
      </c>
      <c r="V1581" s="106">
        <v>29551.37215022806</v>
      </c>
      <c r="W1581" s="10">
        <v>0.80585179568897214</v>
      </c>
      <c r="X1581" s="420"/>
      <c r="Y1581" s="420"/>
      <c r="Z1581" s="1"/>
      <c r="AA1581" s="1"/>
      <c r="AB1581" s="1"/>
      <c r="AC1581" s="1"/>
      <c r="AD1581" s="1"/>
    </row>
    <row r="1582" spans="17:30">
      <c r="Q1582" s="6">
        <v>1552</v>
      </c>
      <c r="R1582" s="7">
        <v>44219</v>
      </c>
      <c r="S1582" s="210">
        <v>4</v>
      </c>
      <c r="T1582" s="8">
        <v>1.0001111111111112</v>
      </c>
      <c r="U1582" s="98">
        <v>3.6563166305670469</v>
      </c>
      <c r="V1582" s="106">
        <v>29553.673196606684</v>
      </c>
      <c r="W1582" s="10">
        <v>0.80611856177976726</v>
      </c>
      <c r="X1582" s="420"/>
      <c r="Y1582" s="420"/>
      <c r="Z1582" s="1"/>
      <c r="AA1582" s="1"/>
      <c r="AB1582" s="1"/>
      <c r="AC1582" s="1"/>
      <c r="AD1582" s="1"/>
    </row>
    <row r="1583" spans="17:30">
      <c r="Q1583" s="6">
        <v>1553</v>
      </c>
      <c r="R1583" s="7">
        <v>44220</v>
      </c>
      <c r="S1583" s="210">
        <v>4</v>
      </c>
      <c r="T1583" s="8">
        <v>1.0001111111111112</v>
      </c>
      <c r="U1583" s="98">
        <v>3.6566265126683373</v>
      </c>
      <c r="V1583" s="106">
        <v>29555.974422158521</v>
      </c>
      <c r="W1583" s="10">
        <v>0.80638498502576539</v>
      </c>
      <c r="X1583" s="420"/>
      <c r="Y1583" s="420"/>
      <c r="Z1583" s="1"/>
      <c r="AA1583" s="1"/>
      <c r="AB1583" s="1"/>
      <c r="AC1583" s="1"/>
      <c r="AD1583" s="1"/>
    </row>
    <row r="1584" spans="17:30">
      <c r="Q1584" s="6">
        <v>1554</v>
      </c>
      <c r="R1584" s="7">
        <v>44221</v>
      </c>
      <c r="S1584" s="210">
        <v>4</v>
      </c>
      <c r="T1584" s="8">
        <v>1.0001111111111112</v>
      </c>
      <c r="U1584" s="98">
        <v>3.6569359968755766</v>
      </c>
      <c r="V1584" s="106">
        <v>29558.275826897534</v>
      </c>
      <c r="W1584" s="10">
        <v>0.8066510660874826</v>
      </c>
      <c r="X1584" s="420"/>
      <c r="Y1584" s="420"/>
      <c r="Z1584" s="1"/>
      <c r="AA1584" s="1"/>
      <c r="AB1584" s="1"/>
      <c r="AC1584" s="1"/>
      <c r="AD1584" s="1"/>
    </row>
    <row r="1585" spans="17:30">
      <c r="Q1585" s="6">
        <v>1555</v>
      </c>
      <c r="R1585" s="7">
        <v>44222</v>
      </c>
      <c r="S1585" s="210">
        <v>4</v>
      </c>
      <c r="T1585" s="8">
        <v>1.0001111111111112</v>
      </c>
      <c r="U1585" s="98">
        <v>3.6572450839546411</v>
      </c>
      <c r="V1585" s="106">
        <v>29560.577410837661</v>
      </c>
      <c r="W1585" s="10">
        <v>0.80691680562374746</v>
      </c>
      <c r="X1585" s="420"/>
      <c r="Y1585" s="420"/>
      <c r="Z1585" s="1"/>
      <c r="AA1585" s="1"/>
      <c r="AB1585" s="1"/>
      <c r="AC1585" s="1"/>
      <c r="AD1585" s="1"/>
    </row>
    <row r="1586" spans="17:30">
      <c r="Q1586" s="6">
        <v>1556</v>
      </c>
      <c r="R1586" s="7">
        <v>44223</v>
      </c>
      <c r="S1586" s="210">
        <v>4</v>
      </c>
      <c r="T1586" s="8">
        <v>1.0001111111111112</v>
      </c>
      <c r="U1586" s="98">
        <v>3.6575537746694087</v>
      </c>
      <c r="V1586" s="106">
        <v>29562.879173992867</v>
      </c>
      <c r="W1586" s="10">
        <v>0.80718220429165655</v>
      </c>
      <c r="X1586" s="420"/>
      <c r="Y1586" s="420"/>
      <c r="Z1586" s="1"/>
      <c r="AA1586" s="1"/>
      <c r="AB1586" s="1"/>
      <c r="AC1586" s="1"/>
      <c r="AD1586" s="1"/>
    </row>
    <row r="1587" spans="17:30">
      <c r="Q1587" s="6">
        <v>1557</v>
      </c>
      <c r="R1587" s="7">
        <v>44224</v>
      </c>
      <c r="S1587" s="210">
        <v>4</v>
      </c>
      <c r="T1587" s="8">
        <v>1.0001111111111112</v>
      </c>
      <c r="U1587" s="98">
        <v>3.6578620697818032</v>
      </c>
      <c r="V1587" s="106">
        <v>29565.181116377109</v>
      </c>
      <c r="W1587" s="10">
        <v>0.80744726274661893</v>
      </c>
      <c r="X1587" s="420"/>
      <c r="Y1587" s="420"/>
      <c r="Z1587" s="1"/>
      <c r="AA1587" s="1"/>
      <c r="AB1587" s="1"/>
      <c r="AC1587" s="1"/>
      <c r="AD1587" s="1"/>
    </row>
    <row r="1588" spans="17:30">
      <c r="Q1588" s="6">
        <v>1558</v>
      </c>
      <c r="R1588" s="7">
        <v>44225</v>
      </c>
      <c r="S1588" s="210">
        <v>4</v>
      </c>
      <c r="T1588" s="8">
        <v>1.0001111111111112</v>
      </c>
      <c r="U1588" s="98">
        <v>3.6581699700518389</v>
      </c>
      <c r="V1588" s="106">
        <v>29567.483238004334</v>
      </c>
      <c r="W1588" s="10">
        <v>0.80771198164244495</v>
      </c>
      <c r="X1588" s="420"/>
      <c r="Y1588" s="420"/>
      <c r="Z1588" s="1"/>
      <c r="AA1588" s="1"/>
      <c r="AB1588" s="1"/>
      <c r="AC1588" s="1"/>
      <c r="AD1588" s="1"/>
    </row>
    <row r="1589" spans="17:30">
      <c r="Q1589" s="6">
        <v>1559</v>
      </c>
      <c r="R1589" s="7">
        <v>44226</v>
      </c>
      <c r="S1589" s="210">
        <v>4</v>
      </c>
      <c r="T1589" s="8">
        <v>1.0001111111111112</v>
      </c>
      <c r="U1589" s="98">
        <v>3.6584774762375538</v>
      </c>
      <c r="V1589" s="106">
        <v>29569.785538888496</v>
      </c>
      <c r="W1589" s="10">
        <v>0.8079763616311908</v>
      </c>
      <c r="X1589" s="420"/>
      <c r="Y1589" s="420"/>
      <c r="Z1589" s="1"/>
      <c r="AA1589" s="1"/>
      <c r="AB1589" s="1"/>
      <c r="AC1589" s="1"/>
      <c r="AD1589" s="1"/>
    </row>
    <row r="1590" spans="17:30">
      <c r="Q1590" s="6">
        <v>1560</v>
      </c>
      <c r="R1590" s="7">
        <v>44227</v>
      </c>
      <c r="S1590" s="210">
        <v>4</v>
      </c>
      <c r="T1590" s="8">
        <v>1.0001111111111112</v>
      </c>
      <c r="U1590" s="98">
        <v>3.6587845890950321</v>
      </c>
      <c r="V1590" s="106">
        <v>29572.088019043567</v>
      </c>
      <c r="W1590" s="10">
        <v>0.80824040336324732</v>
      </c>
      <c r="X1590" s="420"/>
      <c r="Y1590" s="420"/>
      <c r="Z1590" s="1"/>
      <c r="AA1590" s="1"/>
      <c r="AB1590" s="1"/>
      <c r="AC1590" s="1"/>
      <c r="AD1590" s="1"/>
    </row>
    <row r="1591" spans="17:30">
      <c r="Q1591" s="6">
        <v>1561</v>
      </c>
      <c r="R1591" s="7">
        <v>44228</v>
      </c>
      <c r="S1591" s="210">
        <v>4</v>
      </c>
      <c r="T1591" s="8">
        <v>1.0001111111111112</v>
      </c>
      <c r="U1591" s="98">
        <v>3.6590913093784705</v>
      </c>
      <c r="V1591" s="106">
        <v>29574.390678483494</v>
      </c>
      <c r="W1591" s="10">
        <v>0.80850410748738444</v>
      </c>
      <c r="X1591" s="420"/>
      <c r="Y1591" s="420"/>
      <c r="Z1591" s="1"/>
      <c r="AA1591" s="1"/>
      <c r="AB1591" s="1"/>
      <c r="AC1591" s="1"/>
      <c r="AD1591" s="1"/>
    </row>
    <row r="1592" spans="17:30">
      <c r="Q1592" s="6">
        <v>1562</v>
      </c>
      <c r="R1592" s="7">
        <v>44229</v>
      </c>
      <c r="S1592" s="210">
        <v>4</v>
      </c>
      <c r="T1592" s="8">
        <v>1.0001111111111112</v>
      </c>
      <c r="U1592" s="98">
        <v>3.6593976378400894</v>
      </c>
      <c r="V1592" s="106">
        <v>29576.69351722224</v>
      </c>
      <c r="W1592" s="10">
        <v>0.80876747465070675</v>
      </c>
      <c r="X1592" s="420"/>
      <c r="Y1592" s="420"/>
      <c r="Z1592" s="1"/>
      <c r="AA1592" s="1"/>
      <c r="AB1592" s="1"/>
      <c r="AC1592" s="1"/>
      <c r="AD1592" s="1"/>
    </row>
    <row r="1593" spans="17:30">
      <c r="Q1593" s="6">
        <v>1563</v>
      </c>
      <c r="R1593" s="7">
        <v>44230</v>
      </c>
      <c r="S1593" s="210">
        <v>4</v>
      </c>
      <c r="T1593" s="8">
        <v>1.0001111111111112</v>
      </c>
      <c r="U1593" s="98">
        <v>3.6597035752302221</v>
      </c>
      <c r="V1593" s="106">
        <v>29578.996535273771</v>
      </c>
      <c r="W1593" s="10">
        <v>0.80903050549863131</v>
      </c>
      <c r="X1593" s="420"/>
      <c r="Y1593" s="420"/>
      <c r="Z1593" s="1"/>
      <c r="AA1593" s="1"/>
      <c r="AB1593" s="1"/>
      <c r="AC1593" s="1"/>
      <c r="AD1593" s="1"/>
    </row>
    <row r="1594" spans="17:30">
      <c r="Q1594" s="6">
        <v>1564</v>
      </c>
      <c r="R1594" s="7">
        <v>44231</v>
      </c>
      <c r="S1594" s="210">
        <v>4</v>
      </c>
      <c r="T1594" s="8">
        <v>1.0001111111111112</v>
      </c>
      <c r="U1594" s="98">
        <v>3.6600091222972697</v>
      </c>
      <c r="V1594" s="106">
        <v>29581.299732652045</v>
      </c>
      <c r="W1594" s="10">
        <v>0.80929320067497645</v>
      </c>
      <c r="X1594" s="420"/>
      <c r="Y1594" s="420"/>
      <c r="Z1594" s="1"/>
      <c r="AA1594" s="1"/>
      <c r="AB1594" s="1"/>
      <c r="AC1594" s="1"/>
      <c r="AD1594" s="1"/>
    </row>
    <row r="1595" spans="17:30">
      <c r="Q1595" s="6">
        <v>1565</v>
      </c>
      <c r="R1595" s="7">
        <v>44232</v>
      </c>
      <c r="S1595" s="210">
        <v>4</v>
      </c>
      <c r="T1595" s="8">
        <v>1.0001111111111112</v>
      </c>
      <c r="U1595" s="98">
        <v>3.6603142797877464</v>
      </c>
      <c r="V1595" s="106">
        <v>29583.603109371023</v>
      </c>
      <c r="W1595" s="10">
        <v>0.80955556082185076</v>
      </c>
      <c r="X1595" s="420"/>
      <c r="Y1595" s="420"/>
      <c r="Z1595" s="1"/>
      <c r="AA1595" s="1"/>
      <c r="AB1595" s="1"/>
      <c r="AC1595" s="1"/>
      <c r="AD1595" s="1"/>
    </row>
    <row r="1596" spans="17:30">
      <c r="Q1596" s="6">
        <v>1566</v>
      </c>
      <c r="R1596" s="7">
        <v>44233</v>
      </c>
      <c r="S1596" s="210">
        <v>4</v>
      </c>
      <c r="T1596" s="8">
        <v>1.0001111111111112</v>
      </c>
      <c r="U1596" s="98">
        <v>3.6606190484462342</v>
      </c>
      <c r="V1596" s="106">
        <v>29585.906665444672</v>
      </c>
      <c r="W1596" s="10">
        <v>0.80981758657980851</v>
      </c>
      <c r="X1596" s="420"/>
      <c r="Y1596" s="420"/>
      <c r="Z1596" s="1"/>
      <c r="AA1596" s="1"/>
      <c r="AB1596" s="1"/>
      <c r="AC1596" s="1"/>
      <c r="AD1596" s="1"/>
    </row>
    <row r="1597" spans="17:30">
      <c r="Q1597" s="6">
        <v>1567</v>
      </c>
      <c r="R1597" s="7">
        <v>44234</v>
      </c>
      <c r="S1597" s="210">
        <v>4</v>
      </c>
      <c r="T1597" s="8">
        <v>1.0001111111111112</v>
      </c>
      <c r="U1597" s="98">
        <v>3.660923429015428</v>
      </c>
      <c r="V1597" s="106">
        <v>29588.210400886965</v>
      </c>
      <c r="W1597" s="10">
        <v>0.81007927858769424</v>
      </c>
      <c r="X1597" s="420"/>
      <c r="Y1597" s="420"/>
      <c r="Z1597" s="1"/>
      <c r="AA1597" s="1"/>
      <c r="AB1597" s="1"/>
      <c r="AC1597" s="1"/>
      <c r="AD1597" s="1"/>
    </row>
    <row r="1598" spans="17:30">
      <c r="Q1598" s="6">
        <v>1568</v>
      </c>
      <c r="R1598" s="7">
        <v>44235</v>
      </c>
      <c r="S1598" s="210">
        <v>4</v>
      </c>
      <c r="T1598" s="8">
        <v>1.0001111111111112</v>
      </c>
      <c r="U1598" s="98">
        <v>3.6612274222361574</v>
      </c>
      <c r="V1598" s="106">
        <v>29590.514315711858</v>
      </c>
      <c r="W1598" s="10">
        <v>0.81034063748279817</v>
      </c>
      <c r="X1598" s="420"/>
      <c r="Y1598" s="420"/>
      <c r="Z1598" s="1"/>
      <c r="AA1598" s="1"/>
      <c r="AB1598" s="1"/>
      <c r="AC1598" s="1"/>
      <c r="AD1598" s="1"/>
    </row>
    <row r="1599" spans="17:30">
      <c r="Q1599" s="6">
        <v>1569</v>
      </c>
      <c r="R1599" s="7">
        <v>44236</v>
      </c>
      <c r="S1599" s="210">
        <v>4</v>
      </c>
      <c r="T1599" s="8">
        <v>1.0001111111111112</v>
      </c>
      <c r="U1599" s="98">
        <v>3.6615310288473424</v>
      </c>
      <c r="V1599" s="106">
        <v>29592.818409933327</v>
      </c>
      <c r="W1599" s="10">
        <v>0.81060166390072297</v>
      </c>
      <c r="X1599" s="420"/>
      <c r="Y1599" s="420"/>
      <c r="Z1599" s="1"/>
      <c r="AA1599" s="1"/>
      <c r="AB1599" s="1"/>
      <c r="AC1599" s="1"/>
      <c r="AD1599" s="1"/>
    </row>
    <row r="1600" spans="17:30">
      <c r="Q1600" s="6">
        <v>1570</v>
      </c>
      <c r="R1600" s="7">
        <v>44237</v>
      </c>
      <c r="S1600" s="210">
        <v>4</v>
      </c>
      <c r="T1600" s="8">
        <v>1.0001111111111112</v>
      </c>
      <c r="U1600" s="98">
        <v>3.6618342495860379</v>
      </c>
      <c r="V1600" s="106">
        <v>29595.369580667546</v>
      </c>
      <c r="W1600" s="10">
        <v>0.81066683713899579</v>
      </c>
      <c r="X1600" s="420"/>
      <c r="Y1600" s="420"/>
      <c r="Z1600" s="1"/>
      <c r="AA1600" s="1"/>
      <c r="AB1600" s="1"/>
      <c r="AC1600" s="1"/>
      <c r="AD1600" s="1"/>
    </row>
    <row r="1601" spans="17:30">
      <c r="Q1601" s="6">
        <v>1571</v>
      </c>
      <c r="R1601" s="7">
        <v>44238</v>
      </c>
      <c r="S1601" s="210">
        <v>4</v>
      </c>
      <c r="T1601" s="8">
        <v>1.0001111111111112</v>
      </c>
      <c r="U1601" s="98">
        <v>3.6621370851873891</v>
      </c>
      <c r="V1601" s="106">
        <v>29597.920971335945</v>
      </c>
      <c r="W1601" s="10">
        <v>0.81073192744891553</v>
      </c>
      <c r="X1601" s="420"/>
      <c r="Y1601" s="420"/>
      <c r="Z1601" s="1"/>
      <c r="AA1601" s="1"/>
      <c r="AB1601" s="1"/>
      <c r="AC1601" s="1"/>
      <c r="AD1601" s="1"/>
    </row>
    <row r="1602" spans="17:30">
      <c r="Q1602" s="6">
        <v>1572</v>
      </c>
      <c r="R1602" s="7">
        <v>44239</v>
      </c>
      <c r="S1602" s="210">
        <v>4</v>
      </c>
      <c r="T1602" s="8">
        <v>1.0001111111111112</v>
      </c>
      <c r="U1602" s="98">
        <v>3.6624395363847428</v>
      </c>
      <c r="V1602" s="106">
        <v>29600.472581957478</v>
      </c>
      <c r="W1602" s="10">
        <v>0.81079693498871119</v>
      </c>
      <c r="X1602" s="420"/>
      <c r="Y1602" s="420"/>
      <c r="Z1602" s="1"/>
      <c r="AA1602" s="1"/>
      <c r="AB1602" s="1"/>
      <c r="AC1602" s="1"/>
      <c r="AD1602" s="1"/>
    </row>
    <row r="1603" spans="17:30">
      <c r="Q1603" s="6">
        <v>1573</v>
      </c>
      <c r="R1603" s="7">
        <v>44240</v>
      </c>
      <c r="S1603" s="210">
        <v>4</v>
      </c>
      <c r="T1603" s="8">
        <v>1.0001111111111112</v>
      </c>
      <c r="U1603" s="98">
        <v>3.6627416039095362</v>
      </c>
      <c r="V1603" s="106">
        <v>29603.024412551105</v>
      </c>
      <c r="W1603" s="10">
        <v>0.81086185991612325</v>
      </c>
      <c r="X1603" s="420"/>
      <c r="Y1603" s="420"/>
      <c r="Z1603" s="1"/>
      <c r="AA1603" s="1"/>
      <c r="AB1603" s="1"/>
      <c r="AC1603" s="1"/>
      <c r="AD1603" s="1"/>
    </row>
    <row r="1604" spans="17:30">
      <c r="Q1604" s="6">
        <v>1574</v>
      </c>
      <c r="R1604" s="7">
        <v>44241</v>
      </c>
      <c r="S1604" s="210">
        <v>4</v>
      </c>
      <c r="T1604" s="8">
        <v>1.0001111111111112</v>
      </c>
      <c r="U1604" s="98">
        <v>3.6630432884913411</v>
      </c>
      <c r="V1604" s="106">
        <v>29605.576463135792</v>
      </c>
      <c r="W1604" s="10">
        <v>0.81092670238853692</v>
      </c>
      <c r="X1604" s="420"/>
      <c r="Y1604" s="420"/>
      <c r="Z1604" s="1"/>
      <c r="AA1604" s="1"/>
      <c r="AB1604" s="1"/>
      <c r="AC1604" s="1"/>
      <c r="AD1604" s="1"/>
    </row>
    <row r="1605" spans="17:30">
      <c r="Q1605" s="6">
        <v>1575</v>
      </c>
      <c r="R1605" s="7">
        <v>44242</v>
      </c>
      <c r="S1605" s="210">
        <v>4</v>
      </c>
      <c r="T1605" s="8">
        <v>1.0001111111111112</v>
      </c>
      <c r="U1605" s="98">
        <v>3.663344590857931</v>
      </c>
      <c r="V1605" s="106">
        <v>29608.128733730515</v>
      </c>
      <c r="W1605" s="10">
        <v>0.81099146256293775</v>
      </c>
      <c r="X1605" s="420"/>
      <c r="Y1605" s="420"/>
      <c r="Z1605" s="1"/>
      <c r="AA1605" s="1"/>
      <c r="AB1605" s="1"/>
      <c r="AC1605" s="1"/>
      <c r="AD1605" s="1"/>
    </row>
    <row r="1606" spans="17:30">
      <c r="Q1606" s="6">
        <v>1576</v>
      </c>
      <c r="R1606" s="7">
        <v>44243</v>
      </c>
      <c r="S1606" s="210">
        <v>4</v>
      </c>
      <c r="T1606" s="8">
        <v>1.0001111111111112</v>
      </c>
      <c r="U1606" s="98">
        <v>3.6636455117351918</v>
      </c>
      <c r="V1606" s="106">
        <v>29610.681224354223</v>
      </c>
      <c r="W1606" s="10">
        <v>0.81105614059588937</v>
      </c>
      <c r="X1606" s="420"/>
      <c r="Y1606" s="420"/>
      <c r="Z1606" s="1"/>
      <c r="AA1606" s="1"/>
      <c r="AB1606" s="1"/>
      <c r="AC1606" s="1"/>
      <c r="AD1606" s="1"/>
    </row>
    <row r="1607" spans="17:30">
      <c r="Q1607" s="6">
        <v>1577</v>
      </c>
      <c r="R1607" s="7">
        <v>44244</v>
      </c>
      <c r="S1607" s="210">
        <v>4</v>
      </c>
      <c r="T1607" s="8">
        <v>1.0001111111111112</v>
      </c>
      <c r="U1607" s="98">
        <v>3.6639460518471889</v>
      </c>
      <c r="V1607" s="106">
        <v>29613.233935025895</v>
      </c>
      <c r="W1607" s="10">
        <v>0.81112073664357798</v>
      </c>
      <c r="X1607" s="420"/>
      <c r="Y1607" s="420"/>
      <c r="Z1607" s="1"/>
      <c r="AA1607" s="1"/>
      <c r="AB1607" s="1"/>
      <c r="AC1607" s="1"/>
      <c r="AD1607" s="1"/>
    </row>
    <row r="1608" spans="17:30">
      <c r="Q1608" s="6">
        <v>1578</v>
      </c>
      <c r="R1608" s="7">
        <v>44245</v>
      </c>
      <c r="S1608" s="210">
        <v>4</v>
      </c>
      <c r="T1608" s="8">
        <v>1.0001111111111112</v>
      </c>
      <c r="U1608" s="98">
        <v>3.6642462119161667</v>
      </c>
      <c r="V1608" s="106">
        <v>29615.786865764498</v>
      </c>
      <c r="W1608" s="10">
        <v>0.81118525086181226</v>
      </c>
      <c r="X1608" s="420"/>
      <c r="Y1608" s="420"/>
      <c r="Z1608" s="1"/>
      <c r="AA1608" s="1"/>
      <c r="AB1608" s="1"/>
      <c r="AC1608" s="1"/>
      <c r="AD1608" s="1"/>
    </row>
    <row r="1609" spans="17:30">
      <c r="Q1609" s="6">
        <v>1579</v>
      </c>
      <c r="R1609" s="7">
        <v>44246</v>
      </c>
      <c r="S1609" s="210">
        <v>4</v>
      </c>
      <c r="T1609" s="8">
        <v>1.0001111111111112</v>
      </c>
      <c r="U1609" s="98">
        <v>3.6645459926625268</v>
      </c>
      <c r="V1609" s="106">
        <v>29618.340016589009</v>
      </c>
      <c r="W1609" s="10">
        <v>0.81124968340593462</v>
      </c>
      <c r="X1609" s="420"/>
      <c r="Y1609" s="420"/>
      <c r="Z1609" s="1"/>
      <c r="AA1609" s="1"/>
      <c r="AB1609" s="1"/>
      <c r="AC1609" s="1"/>
      <c r="AD1609" s="1"/>
    </row>
    <row r="1610" spans="17:30">
      <c r="Q1610" s="6">
        <v>1580</v>
      </c>
      <c r="R1610" s="7">
        <v>44247</v>
      </c>
      <c r="S1610" s="210">
        <v>4</v>
      </c>
      <c r="T1610" s="8">
        <v>1.0001111111111112</v>
      </c>
      <c r="U1610" s="98">
        <v>3.664845394804872</v>
      </c>
      <c r="V1610" s="106">
        <v>29620.893387518394</v>
      </c>
      <c r="W1610" s="10">
        <v>0.81131403443102101</v>
      </c>
      <c r="X1610" s="420"/>
      <c r="Y1610" s="420"/>
      <c r="Z1610" s="1"/>
      <c r="AA1610" s="1"/>
      <c r="AB1610" s="1"/>
      <c r="AC1610" s="1"/>
      <c r="AD1610" s="1"/>
    </row>
    <row r="1611" spans="17:30">
      <c r="Q1611" s="6">
        <v>1581</v>
      </c>
      <c r="R1611" s="7">
        <v>44248</v>
      </c>
      <c r="S1611" s="210">
        <v>4</v>
      </c>
      <c r="T1611" s="8">
        <v>1.0001111111111112</v>
      </c>
      <c r="U1611" s="98">
        <v>3.6651444190599625</v>
      </c>
      <c r="V1611" s="106">
        <v>29623.446978571632</v>
      </c>
      <c r="W1611" s="10">
        <v>0.81137830409161449</v>
      </c>
      <c r="X1611" s="420"/>
      <c r="Y1611" s="420"/>
      <c r="Z1611" s="1"/>
      <c r="AA1611" s="1"/>
      <c r="AB1611" s="1"/>
      <c r="AC1611" s="1"/>
      <c r="AD1611" s="1"/>
    </row>
    <row r="1612" spans="17:30">
      <c r="Q1612" s="6">
        <v>1582</v>
      </c>
      <c r="R1612" s="7">
        <v>44249</v>
      </c>
      <c r="S1612" s="210">
        <v>4</v>
      </c>
      <c r="T1612" s="8">
        <v>1.0001111111111112</v>
      </c>
      <c r="U1612" s="98">
        <v>3.6654430661427595</v>
      </c>
      <c r="V1612" s="106">
        <v>29626.000789767702</v>
      </c>
      <c r="W1612" s="10">
        <v>0.81144249254194722</v>
      </c>
      <c r="X1612" s="420"/>
      <c r="Y1612" s="420"/>
      <c r="Z1612" s="1"/>
      <c r="AA1612" s="1"/>
      <c r="AB1612" s="1"/>
      <c r="AC1612" s="1"/>
      <c r="AD1612" s="1"/>
    </row>
    <row r="1613" spans="17:30">
      <c r="Q1613" s="6">
        <v>1583</v>
      </c>
      <c r="R1613" s="7">
        <v>44250</v>
      </c>
      <c r="S1613" s="210">
        <v>4</v>
      </c>
      <c r="T1613" s="8">
        <v>1.0001111111111112</v>
      </c>
      <c r="U1613" s="98">
        <v>3.6657413367664482</v>
      </c>
      <c r="V1613" s="106">
        <v>29628.554821125574</v>
      </c>
      <c r="W1613" s="10">
        <v>0.81150659993585172</v>
      </c>
      <c r="X1613" s="420"/>
      <c r="Y1613" s="420"/>
      <c r="Z1613" s="1"/>
      <c r="AA1613" s="1"/>
      <c r="AB1613" s="1"/>
      <c r="AC1613" s="1"/>
      <c r="AD1613" s="1"/>
    </row>
    <row r="1614" spans="17:30">
      <c r="Q1614" s="6">
        <v>1584</v>
      </c>
      <c r="R1614" s="7">
        <v>44251</v>
      </c>
      <c r="S1614" s="210">
        <v>4</v>
      </c>
      <c r="T1614" s="8">
        <v>1.0001111111111112</v>
      </c>
      <c r="U1614" s="98">
        <v>3.6660392316423707</v>
      </c>
      <c r="V1614" s="106">
        <v>29631.109072664236</v>
      </c>
      <c r="W1614" s="10">
        <v>0.81157062642676081</v>
      </c>
      <c r="X1614" s="420"/>
      <c r="Y1614" s="420"/>
      <c r="Z1614" s="1"/>
      <c r="AA1614" s="1"/>
      <c r="AB1614" s="1"/>
      <c r="AC1614" s="1"/>
      <c r="AD1614" s="1"/>
    </row>
    <row r="1615" spans="17:30">
      <c r="Q1615" s="6">
        <v>1585</v>
      </c>
      <c r="R1615" s="7">
        <v>44252</v>
      </c>
      <c r="S1615" s="210">
        <v>4</v>
      </c>
      <c r="T1615" s="8">
        <v>1.0001111111111112</v>
      </c>
      <c r="U1615" s="98">
        <v>3.666336751480137</v>
      </c>
      <c r="V1615" s="106">
        <v>29633.663544402669</v>
      </c>
      <c r="W1615" s="10">
        <v>0.81163457216775203</v>
      </c>
      <c r="X1615" s="420"/>
      <c r="Y1615" s="420"/>
      <c r="Z1615" s="1"/>
      <c r="AA1615" s="1"/>
      <c r="AB1615" s="1"/>
      <c r="AC1615" s="1"/>
      <c r="AD1615" s="1"/>
    </row>
    <row r="1616" spans="17:30">
      <c r="Q1616" s="6">
        <v>1586</v>
      </c>
      <c r="R1616" s="7">
        <v>44253</v>
      </c>
      <c r="S1616" s="210">
        <v>4</v>
      </c>
      <c r="T1616" s="8">
        <v>1.0001111111111112</v>
      </c>
      <c r="U1616" s="98">
        <v>3.6666338969875145</v>
      </c>
      <c r="V1616" s="106">
        <v>29636.218236359851</v>
      </c>
      <c r="W1616" s="10">
        <v>0.81169843731145885</v>
      </c>
      <c r="X1616" s="420"/>
      <c r="Y1616" s="420"/>
      <c r="Z1616" s="1"/>
      <c r="AA1616" s="1"/>
      <c r="AB1616" s="1"/>
      <c r="AC1616" s="1"/>
      <c r="AD1616" s="1"/>
    </row>
    <row r="1617" spans="17:30">
      <c r="Q1617" s="6">
        <v>1587</v>
      </c>
      <c r="R1617" s="7">
        <v>44254</v>
      </c>
      <c r="S1617" s="210">
        <v>4</v>
      </c>
      <c r="T1617" s="8">
        <v>1.0001111111111112</v>
      </c>
      <c r="U1617" s="98">
        <v>3.6669306688705161</v>
      </c>
      <c r="V1617" s="106">
        <v>29638.77314855477</v>
      </c>
      <c r="W1617" s="10">
        <v>0.81176222201018167</v>
      </c>
      <c r="X1617" s="420"/>
      <c r="Y1617" s="420"/>
      <c r="Z1617" s="1"/>
      <c r="AA1617" s="1"/>
      <c r="AB1617" s="1"/>
      <c r="AC1617" s="1"/>
      <c r="AD1617" s="1"/>
    </row>
    <row r="1618" spans="17:30">
      <c r="Q1618" s="6">
        <v>1588</v>
      </c>
      <c r="R1618" s="7">
        <v>44255</v>
      </c>
      <c r="S1618" s="210">
        <v>4</v>
      </c>
      <c r="T1618" s="8">
        <v>1.0001111111111112</v>
      </c>
      <c r="U1618" s="98">
        <v>3.6672270678333785</v>
      </c>
      <c r="V1618" s="106">
        <v>29641.328281006408</v>
      </c>
      <c r="W1618" s="10">
        <v>0.81182592641579898</v>
      </c>
      <c r="X1618" s="420"/>
      <c r="Y1618" s="420"/>
      <c r="Z1618" s="1"/>
      <c r="AA1618" s="1"/>
      <c r="AB1618" s="1"/>
      <c r="AC1618" s="1"/>
      <c r="AD1618" s="1"/>
    </row>
    <row r="1619" spans="17:30">
      <c r="Q1619" s="6">
        <v>1589</v>
      </c>
      <c r="R1619" s="7">
        <v>44256</v>
      </c>
      <c r="S1619" s="210">
        <v>4</v>
      </c>
      <c r="T1619" s="8">
        <v>1.0001111111111112</v>
      </c>
      <c r="U1619" s="98">
        <v>3.6675230945785842</v>
      </c>
      <c r="V1619" s="106">
        <v>29643.883633733763</v>
      </c>
      <c r="W1619" s="10">
        <v>0.81188955067983404</v>
      </c>
      <c r="X1619" s="420"/>
      <c r="Y1619" s="420"/>
      <c r="Z1619" s="1"/>
      <c r="AA1619" s="1"/>
      <c r="AB1619" s="1"/>
      <c r="AC1619" s="1"/>
      <c r="AD1619" s="1"/>
    </row>
    <row r="1620" spans="17:30">
      <c r="Q1620" s="6">
        <v>1590</v>
      </c>
      <c r="R1620" s="7">
        <v>44257</v>
      </c>
      <c r="S1620" s="210">
        <v>4</v>
      </c>
      <c r="T1620" s="8">
        <v>1.0001111111111112</v>
      </c>
      <c r="U1620" s="98">
        <v>3.6678187498068393</v>
      </c>
      <c r="V1620" s="106">
        <v>29646.439206755822</v>
      </c>
      <c r="W1620" s="10">
        <v>0.8119530949534548</v>
      </c>
      <c r="X1620" s="420"/>
      <c r="Y1620" s="420"/>
      <c r="Z1620" s="1"/>
      <c r="AA1620" s="1"/>
      <c r="AB1620" s="1"/>
      <c r="AC1620" s="1"/>
      <c r="AD1620" s="1"/>
    </row>
    <row r="1621" spans="17:30">
      <c r="Q1621" s="6">
        <v>1591</v>
      </c>
      <c r="R1621" s="7">
        <v>44258</v>
      </c>
      <c r="S1621" s="210">
        <v>4</v>
      </c>
      <c r="T1621" s="8">
        <v>1.0001111111111112</v>
      </c>
      <c r="U1621" s="98">
        <v>3.6681140342170737</v>
      </c>
      <c r="V1621" s="106">
        <v>29648.995000091571</v>
      </c>
      <c r="W1621" s="10">
        <v>0.81201655938738515</v>
      </c>
      <c r="X1621" s="420"/>
      <c r="Y1621" s="420"/>
      <c r="Z1621" s="1"/>
      <c r="AA1621" s="1"/>
      <c r="AB1621" s="1"/>
      <c r="AC1621" s="1"/>
      <c r="AD1621" s="1"/>
    </row>
    <row r="1622" spans="17:30">
      <c r="Q1622" s="6">
        <v>1592</v>
      </c>
      <c r="R1622" s="7">
        <v>44259</v>
      </c>
      <c r="S1622" s="210">
        <v>4</v>
      </c>
      <c r="T1622" s="8">
        <v>1.0001111111111112</v>
      </c>
      <c r="U1622" s="98">
        <v>3.6684089485064852</v>
      </c>
      <c r="V1622" s="106">
        <v>29651.551013760003</v>
      </c>
      <c r="W1622" s="10">
        <v>0.81207994413199369</v>
      </c>
      <c r="X1622" s="420"/>
      <c r="Y1622" s="420"/>
      <c r="Z1622" s="1"/>
      <c r="AA1622" s="1"/>
      <c r="AB1622" s="1"/>
      <c r="AC1622" s="1"/>
      <c r="AD1622" s="1"/>
    </row>
    <row r="1623" spans="17:30">
      <c r="Q1623" s="6">
        <v>1593</v>
      </c>
      <c r="R1623" s="7">
        <v>44260</v>
      </c>
      <c r="S1623" s="210">
        <v>4</v>
      </c>
      <c r="T1623" s="8">
        <v>1.0001111111111112</v>
      </c>
      <c r="U1623" s="98">
        <v>3.6687034933705176</v>
      </c>
      <c r="V1623" s="106">
        <v>29654.107247780117</v>
      </c>
      <c r="W1623" s="10">
        <v>0.81214324933729376</v>
      </c>
      <c r="X1623" s="420"/>
      <c r="Y1623" s="420"/>
      <c r="Z1623" s="1"/>
      <c r="AA1623" s="1"/>
      <c r="AB1623" s="1"/>
      <c r="AC1623" s="1"/>
      <c r="AD1623" s="1"/>
    </row>
    <row r="1624" spans="17:30">
      <c r="Q1624" s="6">
        <v>1594</v>
      </c>
      <c r="R1624" s="7">
        <v>44261</v>
      </c>
      <c r="S1624" s="210">
        <v>4</v>
      </c>
      <c r="T1624" s="8">
        <v>1.0001111111111112</v>
      </c>
      <c r="U1624" s="98">
        <v>3.6689976695028825</v>
      </c>
      <c r="V1624" s="106">
        <v>29656.66370217091</v>
      </c>
      <c r="W1624" s="10">
        <v>0.81220647515289901</v>
      </c>
      <c r="X1624" s="420"/>
      <c r="Y1624" s="420"/>
      <c r="Z1624" s="1"/>
      <c r="AA1624" s="1"/>
      <c r="AB1624" s="1"/>
      <c r="AC1624" s="1"/>
      <c r="AD1624" s="1"/>
    </row>
    <row r="1625" spans="17:30">
      <c r="Q1625" s="6">
        <v>1595</v>
      </c>
      <c r="R1625" s="7">
        <v>44262</v>
      </c>
      <c r="S1625" s="210">
        <v>4</v>
      </c>
      <c r="T1625" s="8">
        <v>1.0001111111111112</v>
      </c>
      <c r="U1625" s="98">
        <v>3.6692914775955821</v>
      </c>
      <c r="V1625" s="106">
        <v>29659.22037695138</v>
      </c>
      <c r="W1625" s="10">
        <v>0.81226962172806783</v>
      </c>
      <c r="X1625" s="420"/>
      <c r="Y1625" s="420"/>
      <c r="Z1625" s="1"/>
      <c r="AA1625" s="1"/>
      <c r="AB1625" s="1"/>
      <c r="AC1625" s="1"/>
      <c r="AD1625" s="1"/>
    </row>
    <row r="1626" spans="17:30">
      <c r="Q1626" s="6">
        <v>1596</v>
      </c>
      <c r="R1626" s="7">
        <v>44263</v>
      </c>
      <c r="S1626" s="210">
        <v>4</v>
      </c>
      <c r="T1626" s="8">
        <v>1.0001111111111112</v>
      </c>
      <c r="U1626" s="98">
        <v>3.6695849183388196</v>
      </c>
      <c r="V1626" s="106">
        <v>29661.77727214052</v>
      </c>
      <c r="W1626" s="10">
        <v>0.81233268921168111</v>
      </c>
      <c r="X1626" s="420"/>
      <c r="Y1626" s="420"/>
      <c r="Z1626" s="1"/>
      <c r="AA1626" s="1"/>
      <c r="AB1626" s="1"/>
      <c r="AC1626" s="1"/>
      <c r="AD1626" s="1"/>
    </row>
    <row r="1627" spans="17:30">
      <c r="Q1627" s="6">
        <v>1597</v>
      </c>
      <c r="R1627" s="7">
        <v>44264</v>
      </c>
      <c r="S1627" s="210">
        <v>4</v>
      </c>
      <c r="T1627" s="8">
        <v>1.0001111111111112</v>
      </c>
      <c r="U1627" s="98">
        <v>3.6698779924211333</v>
      </c>
      <c r="V1627" s="106">
        <v>29664.334387757335</v>
      </c>
      <c r="W1627" s="10">
        <v>0.8123956777522201</v>
      </c>
      <c r="X1627" s="420"/>
      <c r="Y1627" s="420"/>
      <c r="Z1627" s="1"/>
      <c r="AA1627" s="1"/>
      <c r="AB1627" s="1"/>
      <c r="AC1627" s="1"/>
      <c r="AD1627" s="1"/>
    </row>
    <row r="1628" spans="17:30">
      <c r="Q1628" s="6">
        <v>1598</v>
      </c>
      <c r="R1628" s="7">
        <v>44265</v>
      </c>
      <c r="S1628" s="210">
        <v>4</v>
      </c>
      <c r="T1628" s="8">
        <v>1.0001111111111112</v>
      </c>
      <c r="U1628" s="98">
        <v>3.670170700529285</v>
      </c>
      <c r="V1628" s="106">
        <v>29666.644230050621</v>
      </c>
      <c r="W1628" s="10">
        <v>0.81265068633948889</v>
      </c>
      <c r="X1628" s="420"/>
      <c r="Y1628" s="420"/>
      <c r="Z1628" s="1"/>
      <c r="AA1628" s="1"/>
      <c r="AB1628" s="1"/>
      <c r="AC1628" s="1"/>
      <c r="AD1628" s="1"/>
    </row>
    <row r="1629" spans="17:30">
      <c r="Q1629" s="6">
        <v>1599</v>
      </c>
      <c r="R1629" s="7">
        <v>44266</v>
      </c>
      <c r="S1629" s="210">
        <v>4</v>
      </c>
      <c r="T1629" s="8">
        <v>1.0001111111111112</v>
      </c>
      <c r="U1629" s="98">
        <v>3.6704630433483931</v>
      </c>
      <c r="V1629" s="106">
        <v>29668.954252202027</v>
      </c>
      <c r="W1629" s="10">
        <v>0.81290537661051765</v>
      </c>
      <c r="X1629" s="420"/>
      <c r="Y1629" s="420"/>
      <c r="Z1629" s="1"/>
      <c r="AA1629" s="1"/>
      <c r="AB1629" s="1"/>
      <c r="AC1629" s="1"/>
      <c r="AD1629" s="1"/>
    </row>
    <row r="1630" spans="17:30">
      <c r="Q1630" s="6">
        <v>1600</v>
      </c>
      <c r="R1630" s="7">
        <v>44267</v>
      </c>
      <c r="S1630" s="210">
        <v>4</v>
      </c>
      <c r="T1630" s="8">
        <v>1.0001111111111112</v>
      </c>
      <c r="U1630" s="98">
        <v>3.6707550215618223</v>
      </c>
      <c r="V1630" s="106">
        <v>29671.264454225555</v>
      </c>
      <c r="W1630" s="10">
        <v>0.81315974916094103</v>
      </c>
      <c r="X1630" s="420"/>
      <c r="Y1630" s="420"/>
      <c r="Z1630" s="1"/>
      <c r="AA1630" s="1"/>
      <c r="AB1630" s="1"/>
      <c r="AC1630" s="1"/>
      <c r="AD1630" s="1"/>
    </row>
    <row r="1631" spans="17:30">
      <c r="Q1631" s="6">
        <v>1601</v>
      </c>
      <c r="R1631" s="7">
        <v>44268</v>
      </c>
      <c r="S1631" s="210">
        <v>4</v>
      </c>
      <c r="T1631" s="8">
        <v>1.0001111111111112</v>
      </c>
      <c r="U1631" s="98">
        <v>3.6710466358512273</v>
      </c>
      <c r="V1631" s="106">
        <v>29673.574836135213</v>
      </c>
      <c r="W1631" s="10">
        <v>0.81341380458490598</v>
      </c>
      <c r="X1631" s="420"/>
      <c r="Y1631" s="420"/>
      <c r="Z1631" s="1"/>
      <c r="AA1631" s="1"/>
      <c r="AB1631" s="1"/>
      <c r="AC1631" s="1"/>
      <c r="AD1631" s="1"/>
    </row>
    <row r="1632" spans="17:30">
      <c r="Q1632" s="6">
        <v>1602</v>
      </c>
      <c r="R1632" s="7">
        <v>44269</v>
      </c>
      <c r="S1632" s="210">
        <v>4</v>
      </c>
      <c r="T1632" s="8">
        <v>1.0001111111111112</v>
      </c>
      <c r="U1632" s="98">
        <v>3.6713378868965973</v>
      </c>
      <c r="V1632" s="106">
        <v>29675.885397945018</v>
      </c>
      <c r="W1632" s="10">
        <v>0.81366754347511616</v>
      </c>
      <c r="X1632" s="420"/>
      <c r="Y1632" s="420"/>
      <c r="Z1632" s="1"/>
      <c r="AA1632" s="1"/>
      <c r="AB1632" s="1"/>
      <c r="AC1632" s="1"/>
      <c r="AD1632" s="1"/>
    </row>
    <row r="1633" spans="17:30">
      <c r="Q1633" s="6">
        <v>1603</v>
      </c>
      <c r="R1633" s="7">
        <v>44270</v>
      </c>
      <c r="S1633" s="210">
        <v>4</v>
      </c>
      <c r="T1633" s="8">
        <v>1.0001111111111112</v>
      </c>
      <c r="U1633" s="98">
        <v>3.6716287753762122</v>
      </c>
      <c r="V1633" s="106">
        <v>29678.196139668958</v>
      </c>
      <c r="W1633" s="10">
        <v>0.81392096642274314</v>
      </c>
      <c r="X1633" s="420"/>
      <c r="Y1633" s="420"/>
      <c r="Z1633" s="1"/>
      <c r="AA1633" s="1"/>
      <c r="AB1633" s="1"/>
      <c r="AC1633" s="1"/>
      <c r="AD1633" s="1"/>
    </row>
    <row r="1634" spans="17:30">
      <c r="Q1634" s="6">
        <v>1604</v>
      </c>
      <c r="R1634" s="7">
        <v>44271</v>
      </c>
      <c r="S1634" s="210">
        <v>4</v>
      </c>
      <c r="T1634" s="8">
        <v>1.0001111111111112</v>
      </c>
      <c r="U1634" s="98">
        <v>3.6719193019666418</v>
      </c>
      <c r="V1634" s="106">
        <v>29680.507061321063</v>
      </c>
      <c r="W1634" s="10">
        <v>0.81417407401749298</v>
      </c>
      <c r="X1634" s="420"/>
      <c r="Y1634" s="420"/>
      <c r="Z1634" s="1"/>
      <c r="AA1634" s="1"/>
      <c r="AB1634" s="1"/>
      <c r="AC1634" s="1"/>
      <c r="AD1634" s="1"/>
    </row>
    <row r="1635" spans="17:30">
      <c r="Q1635" s="6">
        <v>1605</v>
      </c>
      <c r="R1635" s="7">
        <v>44272</v>
      </c>
      <c r="S1635" s="210">
        <v>4</v>
      </c>
      <c r="T1635" s="8">
        <v>1.0001111111111112</v>
      </c>
      <c r="U1635" s="98">
        <v>3.6722094673428129</v>
      </c>
      <c r="V1635" s="106">
        <v>29682.818162915326</v>
      </c>
      <c r="W1635" s="10">
        <v>0.81442686684765064</v>
      </c>
      <c r="X1635" s="420"/>
      <c r="Y1635" s="420"/>
      <c r="Z1635" s="1"/>
      <c r="AA1635" s="1"/>
      <c r="AB1635" s="1"/>
      <c r="AC1635" s="1"/>
      <c r="AD1635" s="1"/>
    </row>
    <row r="1636" spans="17:30">
      <c r="Q1636" s="6">
        <v>1606</v>
      </c>
      <c r="R1636" s="7">
        <v>44273</v>
      </c>
      <c r="S1636" s="210">
        <v>4</v>
      </c>
      <c r="T1636" s="8">
        <v>1.0001111111111112</v>
      </c>
      <c r="U1636" s="98">
        <v>3.6724992721779648</v>
      </c>
      <c r="V1636" s="106">
        <v>29685.129444465765</v>
      </c>
      <c r="W1636" s="10">
        <v>0.81467934550001342</v>
      </c>
      <c r="X1636" s="420"/>
      <c r="Y1636" s="420"/>
      <c r="Z1636" s="1"/>
      <c r="AA1636" s="1"/>
      <c r="AB1636" s="1"/>
      <c r="AC1636" s="1"/>
      <c r="AD1636" s="1"/>
    </row>
    <row r="1637" spans="17:30">
      <c r="Q1637" s="6">
        <v>1607</v>
      </c>
      <c r="R1637" s="7">
        <v>44274</v>
      </c>
      <c r="S1637" s="210">
        <v>4</v>
      </c>
      <c r="T1637" s="8">
        <v>1.0001111111111112</v>
      </c>
      <c r="U1637" s="98">
        <v>3.6727887171436491</v>
      </c>
      <c r="V1637" s="106">
        <v>29687.440905986397</v>
      </c>
      <c r="W1637" s="10">
        <v>0.81493151055993529</v>
      </c>
      <c r="X1637" s="420"/>
      <c r="Y1637" s="420"/>
      <c r="Z1637" s="1"/>
      <c r="AA1637" s="1"/>
      <c r="AB1637" s="1"/>
      <c r="AC1637" s="1"/>
      <c r="AD1637" s="1"/>
    </row>
    <row r="1638" spans="17:30">
      <c r="Q1638" s="6">
        <v>1608</v>
      </c>
      <c r="R1638" s="7">
        <v>44275</v>
      </c>
      <c r="S1638" s="210">
        <v>4</v>
      </c>
      <c r="T1638" s="8">
        <v>1.0001111111111112</v>
      </c>
      <c r="U1638" s="98">
        <v>3.6730778029097522</v>
      </c>
      <c r="V1638" s="106">
        <v>29689.752547491236</v>
      </c>
      <c r="W1638" s="10">
        <v>0.81518336261126034</v>
      </c>
      <c r="X1638" s="420"/>
      <c r="Y1638" s="420"/>
      <c r="Z1638" s="1"/>
      <c r="AA1638" s="1"/>
      <c r="AB1638" s="1"/>
      <c r="AC1638" s="1"/>
      <c r="AD1638" s="1"/>
    </row>
    <row r="1639" spans="17:30">
      <c r="Q1639" s="6">
        <v>1609</v>
      </c>
      <c r="R1639" s="7">
        <v>44276</v>
      </c>
      <c r="S1639" s="210">
        <v>4</v>
      </c>
      <c r="T1639" s="8">
        <v>1.0001111111111112</v>
      </c>
      <c r="U1639" s="98">
        <v>3.6733665301445173</v>
      </c>
      <c r="V1639" s="106">
        <v>29692.064368994284</v>
      </c>
      <c r="W1639" s="10">
        <v>0.81543490223645598</v>
      </c>
      <c r="X1639" s="420"/>
      <c r="Y1639" s="420"/>
      <c r="Z1639" s="1"/>
      <c r="AA1639" s="1"/>
      <c r="AB1639" s="1"/>
      <c r="AC1639" s="1"/>
      <c r="AD1639" s="1"/>
    </row>
    <row r="1640" spans="17:30">
      <c r="Q1640" s="6">
        <v>1610</v>
      </c>
      <c r="R1640" s="7">
        <v>44277</v>
      </c>
      <c r="S1640" s="210">
        <v>4</v>
      </c>
      <c r="T1640" s="8">
        <v>1.0001111111111112</v>
      </c>
      <c r="U1640" s="98">
        <v>3.6736548995145002</v>
      </c>
      <c r="V1640" s="106">
        <v>29694.376370509573</v>
      </c>
      <c r="W1640" s="10">
        <v>0.81568613001650192</v>
      </c>
      <c r="X1640" s="420"/>
      <c r="Y1640" s="420"/>
      <c r="Z1640" s="1"/>
      <c r="AA1640" s="1"/>
      <c r="AB1640" s="1"/>
      <c r="AC1640" s="1"/>
      <c r="AD1640" s="1"/>
    </row>
    <row r="1641" spans="17:30">
      <c r="Q1641" s="6">
        <v>1611</v>
      </c>
      <c r="R1641" s="7">
        <v>44278</v>
      </c>
      <c r="S1641" s="210">
        <v>4</v>
      </c>
      <c r="T1641" s="8">
        <v>1.0001111111111112</v>
      </c>
      <c r="U1641" s="98">
        <v>3.6739429116846356</v>
      </c>
      <c r="V1641" s="106">
        <v>29696.68855205111</v>
      </c>
      <c r="W1641" s="10">
        <v>0.81593704653093457</v>
      </c>
      <c r="X1641" s="420"/>
      <c r="Y1641" s="420"/>
      <c r="Z1641" s="1"/>
      <c r="AA1641" s="1"/>
      <c r="AB1641" s="1"/>
      <c r="AC1641" s="1"/>
      <c r="AD1641" s="1"/>
    </row>
    <row r="1642" spans="17:30">
      <c r="Q1642" s="6">
        <v>1612</v>
      </c>
      <c r="R1642" s="7">
        <v>44279</v>
      </c>
      <c r="S1642" s="210">
        <v>4</v>
      </c>
      <c r="T1642" s="8">
        <v>1.0001111111111112</v>
      </c>
      <c r="U1642" s="98">
        <v>3.674230567318193</v>
      </c>
      <c r="V1642" s="106">
        <v>29699.000913632914</v>
      </c>
      <c r="W1642" s="10">
        <v>0.81618765235789148</v>
      </c>
      <c r="X1642" s="420"/>
      <c r="Y1642" s="420"/>
      <c r="Z1642" s="1"/>
      <c r="AA1642" s="1"/>
      <c r="AB1642" s="1"/>
      <c r="AC1642" s="1"/>
      <c r="AD1642" s="1"/>
    </row>
    <row r="1643" spans="17:30">
      <c r="Q1643" s="6">
        <v>1613</v>
      </c>
      <c r="R1643" s="7">
        <v>44280</v>
      </c>
      <c r="S1643" s="210">
        <v>4</v>
      </c>
      <c r="T1643" s="8">
        <v>1.0001111111111112</v>
      </c>
      <c r="U1643" s="98">
        <v>3.6745178670768208</v>
      </c>
      <c r="V1643" s="106">
        <v>29701.313455269006</v>
      </c>
      <c r="W1643" s="10">
        <v>0.81643794807406689</v>
      </c>
      <c r="X1643" s="420"/>
      <c r="Y1643" s="420"/>
      <c r="Z1643" s="1"/>
      <c r="AA1643" s="1"/>
      <c r="AB1643" s="1"/>
      <c r="AC1643" s="1"/>
      <c r="AD1643" s="1"/>
    </row>
    <row r="1644" spans="17:30">
      <c r="Q1644" s="6">
        <v>1614</v>
      </c>
      <c r="R1644" s="7">
        <v>44281</v>
      </c>
      <c r="S1644" s="210">
        <v>4</v>
      </c>
      <c r="T1644" s="8">
        <v>1.0001111111111112</v>
      </c>
      <c r="U1644" s="98">
        <v>3.6748048116205245</v>
      </c>
      <c r="V1644" s="106">
        <v>29703.626176973401</v>
      </c>
      <c r="W1644" s="10">
        <v>0.81668793425473396</v>
      </c>
      <c r="X1644" s="420"/>
      <c r="Y1644" s="420"/>
      <c r="Z1644" s="1"/>
      <c r="AA1644" s="1"/>
      <c r="AB1644" s="1"/>
      <c r="AC1644" s="1"/>
      <c r="AD1644" s="1"/>
    </row>
    <row r="1645" spans="17:30">
      <c r="Q1645" s="6">
        <v>1615</v>
      </c>
      <c r="R1645" s="7">
        <v>44282</v>
      </c>
      <c r="S1645" s="210">
        <v>4</v>
      </c>
      <c r="T1645" s="8">
        <v>1.0001111111111112</v>
      </c>
      <c r="U1645" s="98">
        <v>3.6750914016076663</v>
      </c>
      <c r="V1645" s="106">
        <v>29705.939078760126</v>
      </c>
      <c r="W1645" s="10">
        <v>0.81693761147370036</v>
      </c>
      <c r="X1645" s="420"/>
      <c r="Y1645" s="420"/>
      <c r="Z1645" s="1"/>
      <c r="AA1645" s="1"/>
      <c r="AB1645" s="1"/>
      <c r="AC1645" s="1"/>
      <c r="AD1645" s="1"/>
    </row>
    <row r="1646" spans="17:30">
      <c r="Q1646" s="6">
        <v>1616</v>
      </c>
      <c r="R1646" s="7">
        <v>44283</v>
      </c>
      <c r="S1646" s="210">
        <v>4</v>
      </c>
      <c r="T1646" s="8">
        <v>1.0001111111111112</v>
      </c>
      <c r="U1646" s="98">
        <v>3.6753776376949654</v>
      </c>
      <c r="V1646" s="106">
        <v>29708.252160643209</v>
      </c>
      <c r="W1646" s="10">
        <v>0.81718698030337489</v>
      </c>
      <c r="X1646" s="420"/>
      <c r="Y1646" s="420"/>
      <c r="Z1646" s="1"/>
      <c r="AA1646" s="1"/>
      <c r="AB1646" s="1"/>
      <c r="AC1646" s="1"/>
      <c r="AD1646" s="1"/>
    </row>
    <row r="1647" spans="17:30">
      <c r="Q1647" s="6">
        <v>1617</v>
      </c>
      <c r="R1647" s="7">
        <v>44284</v>
      </c>
      <c r="S1647" s="210">
        <v>4</v>
      </c>
      <c r="T1647" s="8">
        <v>1.0001111111111112</v>
      </c>
      <c r="U1647" s="98">
        <v>3.6756635205375643</v>
      </c>
      <c r="V1647" s="106">
        <v>29710.565422636661</v>
      </c>
      <c r="W1647" s="10">
        <v>0.81743604131478964</v>
      </c>
      <c r="X1647" s="420"/>
      <c r="Y1647" s="420"/>
      <c r="Z1647" s="1"/>
      <c r="AA1647" s="1"/>
      <c r="AB1647" s="1"/>
      <c r="AC1647" s="1"/>
      <c r="AD1647" s="1"/>
    </row>
    <row r="1648" spans="17:30">
      <c r="Q1648" s="6">
        <v>1618</v>
      </c>
      <c r="R1648" s="7">
        <v>44285</v>
      </c>
      <c r="S1648" s="210">
        <v>4</v>
      </c>
      <c r="T1648" s="8">
        <v>1.0001111111111112</v>
      </c>
      <c r="U1648" s="98">
        <v>3.6759490507889847</v>
      </c>
      <c r="V1648" s="106">
        <v>29712.878864754504</v>
      </c>
      <c r="W1648" s="10">
        <v>0.81768479507757785</v>
      </c>
      <c r="X1648" s="420"/>
      <c r="Y1648" s="420"/>
      <c r="Z1648" s="1"/>
      <c r="AA1648" s="1"/>
      <c r="AB1648" s="1"/>
      <c r="AC1648" s="1"/>
      <c r="AD1648" s="1"/>
    </row>
    <row r="1649" spans="17:30">
      <c r="Q1649" s="6">
        <v>1619</v>
      </c>
      <c r="R1649" s="7">
        <v>44286</v>
      </c>
      <c r="S1649" s="210">
        <v>4</v>
      </c>
      <c r="T1649" s="8">
        <v>1.0001111111111112</v>
      </c>
      <c r="U1649" s="98">
        <v>3.6762342291011052</v>
      </c>
      <c r="V1649" s="106">
        <v>29715.192487010783</v>
      </c>
      <c r="W1649" s="10">
        <v>0.81793324215986285</v>
      </c>
      <c r="X1649" s="420"/>
      <c r="Y1649" s="420"/>
      <c r="Z1649" s="1"/>
      <c r="AA1649" s="1"/>
      <c r="AB1649" s="1"/>
      <c r="AC1649" s="1"/>
      <c r="AD1649" s="1"/>
    </row>
    <row r="1650" spans="17:30">
      <c r="Q1650" s="6">
        <v>1620</v>
      </c>
      <c r="R1650" s="7">
        <v>44287</v>
      </c>
      <c r="S1650" s="210">
        <v>4</v>
      </c>
      <c r="T1650" s="8">
        <v>1.0001111111111112</v>
      </c>
      <c r="U1650" s="98">
        <v>3.6765190561242056</v>
      </c>
      <c r="V1650" s="106">
        <v>29717.506289419507</v>
      </c>
      <c r="W1650" s="10">
        <v>0.8181813831285023</v>
      </c>
      <c r="X1650" s="420"/>
      <c r="Y1650" s="420"/>
      <c r="Z1650" s="1"/>
      <c r="AA1650" s="1"/>
      <c r="AB1650" s="1"/>
      <c r="AC1650" s="1"/>
      <c r="AD1650" s="1"/>
    </row>
    <row r="1651" spans="17:30">
      <c r="Q1651" s="6">
        <v>1621</v>
      </c>
      <c r="R1651" s="7">
        <v>44288</v>
      </c>
      <c r="S1651" s="210">
        <v>4</v>
      </c>
      <c r="T1651" s="8">
        <v>1.0001111111111112</v>
      </c>
      <c r="U1651" s="98">
        <v>3.6768035325069892</v>
      </c>
      <c r="V1651" s="106">
        <v>29719.820271994711</v>
      </c>
      <c r="W1651" s="10">
        <v>0.81842921854884398</v>
      </c>
      <c r="X1651" s="420"/>
      <c r="Y1651" s="420"/>
      <c r="Z1651" s="1"/>
      <c r="AA1651" s="1"/>
      <c r="AB1651" s="1"/>
      <c r="AC1651" s="1"/>
      <c r="AD1651" s="1"/>
    </row>
    <row r="1652" spans="17:30">
      <c r="Q1652" s="6">
        <v>1622</v>
      </c>
      <c r="R1652" s="7">
        <v>44289</v>
      </c>
      <c r="S1652" s="210">
        <v>4</v>
      </c>
      <c r="T1652" s="8">
        <v>1.0001111111111112</v>
      </c>
      <c r="U1652" s="98">
        <v>3.6770876588965384</v>
      </c>
      <c r="V1652" s="106">
        <v>29722.13443475042</v>
      </c>
      <c r="W1652" s="10">
        <v>0.8186767489849478</v>
      </c>
      <c r="X1652" s="420"/>
      <c r="Y1652" s="420"/>
      <c r="Z1652" s="1"/>
      <c r="AA1652" s="1"/>
      <c r="AB1652" s="1"/>
      <c r="AC1652" s="1"/>
      <c r="AD1652" s="1"/>
    </row>
    <row r="1653" spans="17:30">
      <c r="Q1653" s="6">
        <v>1623</v>
      </c>
      <c r="R1653" s="7">
        <v>44290</v>
      </c>
      <c r="S1653" s="210">
        <v>4</v>
      </c>
      <c r="T1653" s="8">
        <v>1.0001111111111112</v>
      </c>
      <c r="U1653" s="98">
        <v>3.6773714359383591</v>
      </c>
      <c r="V1653" s="106">
        <v>29724.448777700669</v>
      </c>
      <c r="W1653" s="10">
        <v>0.81892397499938596</v>
      </c>
      <c r="X1653" s="420"/>
      <c r="Y1653" s="420"/>
      <c r="Z1653" s="1"/>
      <c r="AA1653" s="1"/>
      <c r="AB1653" s="1"/>
      <c r="AC1653" s="1"/>
      <c r="AD1653" s="1"/>
    </row>
    <row r="1654" spans="17:30">
      <c r="Q1654" s="6">
        <v>1624</v>
      </c>
      <c r="R1654" s="7">
        <v>44291</v>
      </c>
      <c r="S1654" s="210">
        <v>4</v>
      </c>
      <c r="T1654" s="8">
        <v>1.0001111111111112</v>
      </c>
      <c r="U1654" s="98">
        <v>3.6776548642763585</v>
      </c>
      <c r="V1654" s="106">
        <v>29726.763300859482</v>
      </c>
      <c r="W1654" s="10">
        <v>0.81917089715339841</v>
      </c>
      <c r="X1654" s="420"/>
      <c r="Y1654" s="420"/>
      <c r="Z1654" s="1"/>
      <c r="AA1654" s="1"/>
      <c r="AB1654" s="1"/>
      <c r="AC1654" s="1"/>
      <c r="AD1654" s="1"/>
    </row>
    <row r="1655" spans="17:30">
      <c r="Q1655" s="6">
        <v>1625</v>
      </c>
      <c r="R1655" s="7">
        <v>44292</v>
      </c>
      <c r="S1655" s="210">
        <v>4</v>
      </c>
      <c r="T1655" s="8">
        <v>1.0001111111111112</v>
      </c>
      <c r="U1655" s="98">
        <v>3.677937944552867</v>
      </c>
      <c r="V1655" s="106">
        <v>29729.078004240895</v>
      </c>
      <c r="W1655" s="10">
        <v>0.81941751600687063</v>
      </c>
      <c r="X1655" s="420"/>
      <c r="Y1655" s="420"/>
      <c r="Z1655" s="1"/>
      <c r="AA1655" s="1"/>
      <c r="AB1655" s="1"/>
      <c r="AC1655" s="1"/>
      <c r="AD1655" s="1"/>
    </row>
    <row r="1656" spans="17:30">
      <c r="Q1656" s="6">
        <v>1626</v>
      </c>
      <c r="R1656" s="7">
        <v>44293</v>
      </c>
      <c r="S1656" s="210">
        <v>4</v>
      </c>
      <c r="T1656" s="8">
        <v>1.0001111111111112</v>
      </c>
      <c r="U1656" s="98">
        <v>3.6782206774086612</v>
      </c>
      <c r="V1656" s="106">
        <v>29731.392887858947</v>
      </c>
      <c r="W1656" s="10">
        <v>0.81966383211828919</v>
      </c>
      <c r="X1656" s="420"/>
      <c r="Y1656" s="420"/>
      <c r="Z1656" s="1"/>
      <c r="AA1656" s="1"/>
      <c r="AB1656" s="1"/>
      <c r="AC1656" s="1"/>
      <c r="AD1656" s="1"/>
    </row>
    <row r="1657" spans="17:30">
      <c r="Q1657" s="6">
        <v>1627</v>
      </c>
      <c r="R1657" s="7">
        <v>44294</v>
      </c>
      <c r="S1657" s="210">
        <v>4</v>
      </c>
      <c r="T1657" s="8">
        <v>1.0001111111111112</v>
      </c>
      <c r="U1657" s="98">
        <v>3.6785030634828964</v>
      </c>
      <c r="V1657" s="106">
        <v>29733.707951727662</v>
      </c>
      <c r="W1657" s="10">
        <v>0.81990984604471961</v>
      </c>
      <c r="X1657" s="420"/>
      <c r="Y1657" s="420"/>
      <c r="Z1657" s="1"/>
      <c r="AA1657" s="1"/>
      <c r="AB1657" s="1"/>
      <c r="AC1657" s="1"/>
      <c r="AD1657" s="1"/>
    </row>
    <row r="1658" spans="17:30">
      <c r="Q1658" s="6">
        <v>1628</v>
      </c>
      <c r="R1658" s="7">
        <v>44295</v>
      </c>
      <c r="S1658" s="210">
        <v>4</v>
      </c>
      <c r="T1658" s="8">
        <v>1.0001111111111112</v>
      </c>
      <c r="U1658" s="98">
        <v>3.678785103413218</v>
      </c>
      <c r="V1658" s="106">
        <v>29736.023195861086</v>
      </c>
      <c r="W1658" s="10">
        <v>0.82015555834196174</v>
      </c>
      <c r="X1658" s="420"/>
      <c r="Y1658" s="420"/>
      <c r="Z1658" s="1"/>
      <c r="AA1658" s="1"/>
      <c r="AB1658" s="1"/>
      <c r="AC1658" s="1"/>
      <c r="AD1658" s="1"/>
    </row>
    <row r="1659" spans="17:30">
      <c r="Q1659" s="6">
        <v>1629</v>
      </c>
      <c r="R1659" s="7">
        <v>44296</v>
      </c>
      <c r="S1659" s="210">
        <v>4</v>
      </c>
      <c r="T1659" s="8">
        <v>1.0001111111111112</v>
      </c>
      <c r="U1659" s="98">
        <v>3.6790667978356728</v>
      </c>
      <c r="V1659" s="106">
        <v>29738.415804191951</v>
      </c>
      <c r="W1659" s="10">
        <v>0.82034233824967995</v>
      </c>
      <c r="X1659" s="420"/>
      <c r="Y1659" s="420"/>
      <c r="Z1659" s="1"/>
      <c r="AA1659" s="1"/>
      <c r="AB1659" s="1"/>
      <c r="AC1659" s="1"/>
      <c r="AD1659" s="1"/>
    </row>
    <row r="1660" spans="17:30">
      <c r="Q1660" s="6">
        <v>1630</v>
      </c>
      <c r="R1660" s="7">
        <v>44297</v>
      </c>
      <c r="S1660" s="210">
        <v>4</v>
      </c>
      <c r="T1660" s="8">
        <v>1.0001111111111112</v>
      </c>
      <c r="U1660" s="98">
        <v>3.6793481473847311</v>
      </c>
      <c r="V1660" s="106">
        <v>29740.808605035931</v>
      </c>
      <c r="W1660" s="10">
        <v>0.82052888932497847</v>
      </c>
      <c r="X1660" s="420"/>
      <c r="Y1660" s="420"/>
      <c r="Z1660" s="1"/>
      <c r="AA1660" s="1"/>
      <c r="AB1660" s="1"/>
      <c r="AC1660" s="1"/>
      <c r="AD1660" s="1"/>
    </row>
    <row r="1661" spans="17:30">
      <c r="Q1661" s="6">
        <v>1631</v>
      </c>
      <c r="R1661" s="7">
        <v>44298</v>
      </c>
      <c r="S1661" s="210">
        <v>4</v>
      </c>
      <c r="T1661" s="8">
        <v>1.0001111111111112</v>
      </c>
      <c r="U1661" s="98">
        <v>3.6796291526933755</v>
      </c>
      <c r="V1661" s="106">
        <v>29743.20159840853</v>
      </c>
      <c r="W1661" s="10">
        <v>0.82071521198814334</v>
      </c>
      <c r="X1661" s="420"/>
      <c r="Y1661" s="420"/>
      <c r="Z1661" s="1"/>
      <c r="AA1661" s="1"/>
      <c r="AB1661" s="1"/>
      <c r="AC1661" s="1"/>
      <c r="AD1661" s="1"/>
    </row>
    <row r="1662" spans="17:30">
      <c r="Q1662" s="6">
        <v>1632</v>
      </c>
      <c r="R1662" s="7">
        <v>44299</v>
      </c>
      <c r="S1662" s="210">
        <v>4</v>
      </c>
      <c r="T1662" s="8">
        <v>1.0001111111111112</v>
      </c>
      <c r="U1662" s="98">
        <v>3.6799098143929898</v>
      </c>
      <c r="V1662" s="106">
        <v>29745.594784325225</v>
      </c>
      <c r="W1662" s="10">
        <v>0.82090130665841698</v>
      </c>
      <c r="X1662" s="420"/>
      <c r="Y1662" s="420"/>
      <c r="Z1662" s="1"/>
      <c r="AA1662" s="1"/>
      <c r="AB1662" s="1"/>
      <c r="AC1662" s="1"/>
      <c r="AD1662" s="1"/>
    </row>
    <row r="1663" spans="17:30">
      <c r="Q1663" s="6">
        <v>1633</v>
      </c>
      <c r="R1663" s="7">
        <v>44300</v>
      </c>
      <c r="S1663" s="210">
        <v>4</v>
      </c>
      <c r="T1663" s="8">
        <v>1.0001111111111112</v>
      </c>
      <c r="U1663" s="98">
        <v>3.6801901331134257</v>
      </c>
      <c r="V1663" s="106">
        <v>29747.988162801514</v>
      </c>
      <c r="W1663" s="10">
        <v>0.8210871737539982</v>
      </c>
      <c r="X1663" s="420"/>
      <c r="Y1663" s="420"/>
      <c r="Z1663" s="1"/>
      <c r="AA1663" s="1"/>
      <c r="AB1663" s="1"/>
      <c r="AC1663" s="1"/>
      <c r="AD1663" s="1"/>
    </row>
    <row r="1664" spans="17:30">
      <c r="Q1664" s="6">
        <v>1634</v>
      </c>
      <c r="R1664" s="7">
        <v>44301</v>
      </c>
      <c r="S1664" s="210">
        <v>4</v>
      </c>
      <c r="T1664" s="8">
        <v>1.0001111111111112</v>
      </c>
      <c r="U1664" s="98">
        <v>3.6804701094829806</v>
      </c>
      <c r="V1664" s="106">
        <v>29750.381733852897</v>
      </c>
      <c r="W1664" s="10">
        <v>0.82127281369210881</v>
      </c>
      <c r="X1664" s="420"/>
      <c r="Y1664" s="420"/>
      <c r="Z1664" s="1"/>
      <c r="AA1664" s="1"/>
      <c r="AB1664" s="1"/>
      <c r="AC1664" s="1"/>
      <c r="AD1664" s="1"/>
    </row>
    <row r="1665" spans="17:30">
      <c r="Q1665" s="6">
        <v>1635</v>
      </c>
      <c r="R1665" s="7">
        <v>44302</v>
      </c>
      <c r="S1665" s="210">
        <v>4</v>
      </c>
      <c r="T1665" s="8">
        <v>1.0001111111111112</v>
      </c>
      <c r="U1665" s="98">
        <v>3.6807497441284642</v>
      </c>
      <c r="V1665" s="106">
        <v>29752.775497494855</v>
      </c>
      <c r="W1665" s="10">
        <v>0.8214582268889048</v>
      </c>
      <c r="X1665" s="420"/>
      <c r="Y1665" s="420"/>
      <c r="Z1665" s="1"/>
      <c r="AA1665" s="1"/>
      <c r="AB1665" s="1"/>
      <c r="AC1665" s="1"/>
      <c r="AD1665" s="1"/>
    </row>
    <row r="1666" spans="17:30">
      <c r="Q1666" s="6">
        <v>1636</v>
      </c>
      <c r="R1666" s="7">
        <v>44303</v>
      </c>
      <c r="S1666" s="210">
        <v>4</v>
      </c>
      <c r="T1666" s="8">
        <v>1.0001111111111112</v>
      </c>
      <c r="U1666" s="98">
        <v>3.6810290376751098</v>
      </c>
      <c r="V1666" s="106">
        <v>29755.169453742896</v>
      </c>
      <c r="W1666" s="10">
        <v>0.82164341375956518</v>
      </c>
      <c r="X1666" s="420"/>
      <c r="Y1666" s="420"/>
      <c r="Z1666" s="1"/>
      <c r="AA1666" s="1"/>
      <c r="AB1666" s="1"/>
      <c r="AC1666" s="1"/>
      <c r="AD1666" s="1"/>
    </row>
    <row r="1667" spans="17:30">
      <c r="Q1667" s="6">
        <v>1637</v>
      </c>
      <c r="R1667" s="7">
        <v>44304</v>
      </c>
      <c r="S1667" s="210">
        <v>4</v>
      </c>
      <c r="T1667" s="8">
        <v>1.0001111111111112</v>
      </c>
      <c r="U1667" s="98">
        <v>3.6813079907466628</v>
      </c>
      <c r="V1667" s="106">
        <v>29757.56360261251</v>
      </c>
      <c r="W1667" s="10">
        <v>0.82182837471822534</v>
      </c>
      <c r="X1667" s="420"/>
      <c r="Y1667" s="420"/>
      <c r="Z1667" s="1"/>
      <c r="AA1667" s="1"/>
      <c r="AB1667" s="1"/>
      <c r="AC1667" s="1"/>
      <c r="AD1667" s="1"/>
    </row>
    <row r="1668" spans="17:30">
      <c r="Q1668" s="6">
        <v>1638</v>
      </c>
      <c r="R1668" s="7">
        <v>44305</v>
      </c>
      <c r="S1668" s="210">
        <v>4</v>
      </c>
      <c r="T1668" s="8">
        <v>1.0001111111111112</v>
      </c>
      <c r="U1668" s="98">
        <v>3.6815866039653145</v>
      </c>
      <c r="V1668" s="106">
        <v>29759.957944119207</v>
      </c>
      <c r="W1668" s="10">
        <v>0.82201311017804368</v>
      </c>
      <c r="X1668" s="420"/>
      <c r="Y1668" s="420"/>
      <c r="Z1668" s="1"/>
      <c r="AA1668" s="1"/>
      <c r="AB1668" s="1"/>
      <c r="AC1668" s="1"/>
      <c r="AD1668" s="1"/>
    </row>
    <row r="1669" spans="17:30">
      <c r="Q1669" s="6">
        <v>1639</v>
      </c>
      <c r="R1669" s="7">
        <v>44306</v>
      </c>
      <c r="S1669" s="210">
        <v>4</v>
      </c>
      <c r="T1669" s="8">
        <v>1.0001111111111112</v>
      </c>
      <c r="U1669" s="98">
        <v>3.6818648779517682</v>
      </c>
      <c r="V1669" s="106">
        <v>29762.352478278473</v>
      </c>
      <c r="W1669" s="10">
        <v>0.82219762055111278</v>
      </c>
      <c r="X1669" s="420"/>
      <c r="Y1669" s="420"/>
      <c r="Z1669" s="1"/>
      <c r="AA1669" s="1"/>
      <c r="AB1669" s="1"/>
      <c r="AC1669" s="1"/>
      <c r="AD1669" s="1"/>
    </row>
    <row r="1670" spans="17:30">
      <c r="Q1670" s="6">
        <v>1640</v>
      </c>
      <c r="R1670" s="7">
        <v>44307</v>
      </c>
      <c r="S1670" s="210">
        <v>4</v>
      </c>
      <c r="T1670" s="8">
        <v>1.0001111111111112</v>
      </c>
      <c r="U1670" s="98">
        <v>3.6821428133251954</v>
      </c>
      <c r="V1670" s="106">
        <v>29764.747205105814</v>
      </c>
      <c r="W1670" s="10">
        <v>0.82238190624857044</v>
      </c>
      <c r="X1670" s="420"/>
      <c r="Y1670" s="420"/>
      <c r="Z1670" s="1"/>
      <c r="AA1670" s="1"/>
      <c r="AB1670" s="1"/>
      <c r="AC1670" s="1"/>
      <c r="AD1670" s="1"/>
    </row>
    <row r="1671" spans="17:30">
      <c r="Q1671" s="6">
        <v>1641</v>
      </c>
      <c r="R1671" s="7">
        <v>44308</v>
      </c>
      <c r="S1671" s="210">
        <v>4</v>
      </c>
      <c r="T1671" s="8">
        <v>1.0001111111111112</v>
      </c>
      <c r="U1671" s="98">
        <v>3.6824204107033021</v>
      </c>
      <c r="V1671" s="106">
        <v>29767.142124616734</v>
      </c>
      <c r="W1671" s="10">
        <v>0.82256596768057744</v>
      </c>
      <c r="X1671" s="420"/>
      <c r="Y1671" s="420"/>
      <c r="Z1671" s="1"/>
      <c r="AA1671" s="1"/>
      <c r="AB1671" s="1"/>
      <c r="AC1671" s="1"/>
      <c r="AD1671" s="1"/>
    </row>
    <row r="1672" spans="17:30">
      <c r="Q1672" s="6">
        <v>1642</v>
      </c>
      <c r="R1672" s="7">
        <v>44309</v>
      </c>
      <c r="S1672" s="210">
        <v>4</v>
      </c>
      <c r="T1672" s="8">
        <v>1.0001111111111112</v>
      </c>
      <c r="U1672" s="98">
        <v>3.6826976707022396</v>
      </c>
      <c r="V1672" s="106">
        <v>29769.537236826738</v>
      </c>
      <c r="W1672" s="10">
        <v>0.82274980525622876</v>
      </c>
      <c r="X1672" s="420"/>
      <c r="Y1672" s="420"/>
      <c r="Z1672" s="1"/>
      <c r="AA1672" s="1"/>
      <c r="AB1672" s="1"/>
      <c r="AC1672" s="1"/>
      <c r="AD1672" s="1"/>
    </row>
    <row r="1673" spans="17:30">
      <c r="Q1673" s="6">
        <v>1643</v>
      </c>
      <c r="R1673" s="7">
        <v>44310</v>
      </c>
      <c r="S1673" s="210">
        <v>4</v>
      </c>
      <c r="T1673" s="8">
        <v>1.0001111111111112</v>
      </c>
      <c r="U1673" s="98">
        <v>3.682974593936672</v>
      </c>
      <c r="V1673" s="106">
        <v>29771.932541751328</v>
      </c>
      <c r="W1673" s="10">
        <v>0.8229334193836646</v>
      </c>
      <c r="X1673" s="420"/>
      <c r="Y1673" s="420"/>
      <c r="Z1673" s="1"/>
      <c r="AA1673" s="1"/>
      <c r="AB1673" s="1"/>
      <c r="AC1673" s="1"/>
      <c r="AD1673" s="1"/>
    </row>
    <row r="1674" spans="17:30">
      <c r="Q1674" s="6">
        <v>1644</v>
      </c>
      <c r="R1674" s="7">
        <v>44311</v>
      </c>
      <c r="S1674" s="210">
        <v>4</v>
      </c>
      <c r="T1674" s="8">
        <v>1.0001111111111112</v>
      </c>
      <c r="U1674" s="98">
        <v>3.6832511810198199</v>
      </c>
      <c r="V1674" s="106">
        <v>29774.328039406013</v>
      </c>
      <c r="W1674" s="10">
        <v>0.82311681047002594</v>
      </c>
      <c r="X1674" s="420"/>
      <c r="Y1674" s="420"/>
      <c r="Z1674" s="1"/>
      <c r="AA1674" s="1"/>
      <c r="AB1674" s="1"/>
      <c r="AC1674" s="1"/>
      <c r="AD1674" s="1"/>
    </row>
    <row r="1675" spans="17:30">
      <c r="Q1675" s="6">
        <v>1645</v>
      </c>
      <c r="R1675" s="7">
        <v>44312</v>
      </c>
      <c r="S1675" s="210">
        <v>4</v>
      </c>
      <c r="T1675" s="8">
        <v>1.0001111111111112</v>
      </c>
      <c r="U1675" s="98">
        <v>3.6835274325633494</v>
      </c>
      <c r="V1675" s="106">
        <v>29776.723729806297</v>
      </c>
      <c r="W1675" s="10">
        <v>0.82329997892147677</v>
      </c>
      <c r="X1675" s="420"/>
      <c r="Y1675" s="420"/>
      <c r="Z1675" s="1"/>
      <c r="AA1675" s="1"/>
      <c r="AB1675" s="1"/>
      <c r="AC1675" s="1"/>
      <c r="AD1675" s="1"/>
    </row>
    <row r="1676" spans="17:30">
      <c r="Q1676" s="6">
        <v>1646</v>
      </c>
      <c r="R1676" s="7">
        <v>44313</v>
      </c>
      <c r="S1676" s="210">
        <v>4</v>
      </c>
      <c r="T1676" s="8">
        <v>1.0001111111111112</v>
      </c>
      <c r="U1676" s="98">
        <v>3.6838033491774835</v>
      </c>
      <c r="V1676" s="106">
        <v>29779.11961296769</v>
      </c>
      <c r="W1676" s="10">
        <v>0.82348292514315968</v>
      </c>
      <c r="X1676" s="420"/>
      <c r="Y1676" s="420"/>
      <c r="Z1676" s="1"/>
      <c r="AA1676" s="1"/>
      <c r="AB1676" s="1"/>
      <c r="AC1676" s="1"/>
      <c r="AD1676" s="1"/>
    </row>
    <row r="1677" spans="17:30">
      <c r="Q1677" s="6">
        <v>1647</v>
      </c>
      <c r="R1677" s="7">
        <v>44314</v>
      </c>
      <c r="S1677" s="210">
        <v>4</v>
      </c>
      <c r="T1677" s="8">
        <v>1.0001111111111112</v>
      </c>
      <c r="U1677" s="98">
        <v>3.6840789314709799</v>
      </c>
      <c r="V1677" s="106">
        <v>29781.515688905707</v>
      </c>
      <c r="W1677" s="10">
        <v>0.82366564953930688</v>
      </c>
      <c r="X1677" s="420"/>
      <c r="Y1677" s="420"/>
      <c r="Z1677" s="1"/>
      <c r="AA1677" s="1"/>
      <c r="AB1677" s="1"/>
      <c r="AC1677" s="1"/>
      <c r="AD1677" s="1"/>
    </row>
    <row r="1678" spans="17:30">
      <c r="Q1678" s="6">
        <v>1648</v>
      </c>
      <c r="R1678" s="7">
        <v>44315</v>
      </c>
      <c r="S1678" s="210">
        <v>4</v>
      </c>
      <c r="T1678" s="8">
        <v>1.0001111111111112</v>
      </c>
      <c r="U1678" s="98">
        <v>3.6843541800510859</v>
      </c>
      <c r="V1678" s="106">
        <v>29783.911957635846</v>
      </c>
      <c r="W1678" s="10">
        <v>0.82384815251308474</v>
      </c>
      <c r="X1678" s="420"/>
      <c r="Y1678" s="420"/>
      <c r="Z1678" s="1"/>
      <c r="AA1678" s="1"/>
      <c r="AB1678" s="1"/>
      <c r="AC1678" s="1"/>
      <c r="AD1678" s="1"/>
    </row>
    <row r="1679" spans="17:30">
      <c r="Q1679" s="6">
        <v>1649</v>
      </c>
      <c r="R1679" s="7">
        <v>44316</v>
      </c>
      <c r="S1679" s="210">
        <v>4</v>
      </c>
      <c r="T1679" s="8">
        <v>1.0001111111111112</v>
      </c>
      <c r="U1679" s="98">
        <v>3.6846290955235839</v>
      </c>
      <c r="V1679" s="106">
        <v>29786.308419173627</v>
      </c>
      <c r="W1679" s="10">
        <v>0.82403043446674928</v>
      </c>
      <c r="X1679" s="420"/>
      <c r="Y1679" s="420"/>
      <c r="Z1679" s="1"/>
      <c r="AA1679" s="1"/>
      <c r="AB1679" s="1"/>
      <c r="AC1679" s="1"/>
      <c r="AD1679" s="1"/>
    </row>
    <row r="1680" spans="17:30">
      <c r="Q1680" s="6">
        <v>1650</v>
      </c>
      <c r="R1680" s="7">
        <v>44317</v>
      </c>
      <c r="S1680" s="210">
        <v>4</v>
      </c>
      <c r="T1680" s="8">
        <v>1.0001111111111112</v>
      </c>
      <c r="U1680" s="98">
        <v>3.6849036784928124</v>
      </c>
      <c r="V1680" s="106">
        <v>29788.705073534569</v>
      </c>
      <c r="W1680" s="10">
        <v>0.82421249580153511</v>
      </c>
      <c r="X1680" s="420"/>
      <c r="Y1680" s="420"/>
      <c r="Z1680" s="1"/>
      <c r="AA1680" s="1"/>
      <c r="AB1680" s="1"/>
      <c r="AC1680" s="1"/>
      <c r="AD1680" s="1"/>
    </row>
    <row r="1681" spans="17:30">
      <c r="Q1681" s="6">
        <v>1651</v>
      </c>
      <c r="R1681" s="7">
        <v>44318</v>
      </c>
      <c r="S1681" s="210">
        <v>4</v>
      </c>
      <c r="T1681" s="8">
        <v>1.0001111111111112</v>
      </c>
      <c r="U1681" s="98">
        <v>3.6851779295616449</v>
      </c>
      <c r="V1681" s="106">
        <v>29791.101920734178</v>
      </c>
      <c r="W1681" s="10">
        <v>0.82439433691774422</v>
      </c>
      <c r="X1681" s="420"/>
      <c r="Y1681" s="420"/>
      <c r="Z1681" s="1"/>
      <c r="AA1681" s="1"/>
      <c r="AB1681" s="1"/>
      <c r="AC1681" s="1"/>
      <c r="AD1681" s="1"/>
    </row>
    <row r="1682" spans="17:30">
      <c r="Q1682" s="6">
        <v>1652</v>
      </c>
      <c r="R1682" s="7">
        <v>44319</v>
      </c>
      <c r="S1682" s="210">
        <v>4</v>
      </c>
      <c r="T1682" s="8">
        <v>1.0001111111111112</v>
      </c>
      <c r="U1682" s="98">
        <v>3.685451849331467</v>
      </c>
      <c r="V1682" s="106">
        <v>29793.498960787976</v>
      </c>
      <c r="W1682" s="10">
        <v>0.82457595821465723</v>
      </c>
      <c r="X1682" s="420"/>
      <c r="Y1682" s="420"/>
      <c r="Z1682" s="1"/>
      <c r="AA1682" s="1"/>
      <c r="AB1682" s="1"/>
      <c r="AC1682" s="1"/>
      <c r="AD1682" s="1"/>
    </row>
    <row r="1683" spans="17:30">
      <c r="Q1683" s="6">
        <v>1653</v>
      </c>
      <c r="R1683" s="7">
        <v>44320</v>
      </c>
      <c r="S1683" s="210">
        <v>4</v>
      </c>
      <c r="T1683" s="8">
        <v>1.0001111111111112</v>
      </c>
      <c r="U1683" s="98">
        <v>3.6857254384022653</v>
      </c>
      <c r="V1683" s="106">
        <v>29795.89619371148</v>
      </c>
      <c r="W1683" s="10">
        <v>0.82475736009068878</v>
      </c>
      <c r="X1683" s="420"/>
      <c r="Y1683" s="420"/>
      <c r="Z1683" s="1"/>
      <c r="AA1683" s="1"/>
      <c r="AB1683" s="1"/>
      <c r="AC1683" s="1"/>
      <c r="AD1683" s="1"/>
    </row>
    <row r="1684" spans="17:30">
      <c r="Q1684" s="6">
        <v>1654</v>
      </c>
      <c r="R1684" s="7">
        <v>44321</v>
      </c>
      <c r="S1684" s="210">
        <v>4</v>
      </c>
      <c r="T1684" s="8">
        <v>1.0001111111111112</v>
      </c>
      <c r="U1684" s="98">
        <v>3.6859986973725167</v>
      </c>
      <c r="V1684" s="106">
        <v>29798.293619520209</v>
      </c>
      <c r="W1684" s="10">
        <v>0.82493854294318769</v>
      </c>
      <c r="X1684" s="420"/>
      <c r="Y1684" s="420"/>
      <c r="Z1684" s="1"/>
      <c r="AA1684" s="1"/>
      <c r="AB1684" s="1"/>
      <c r="AC1684" s="1"/>
      <c r="AD1684" s="1"/>
    </row>
    <row r="1685" spans="17:30">
      <c r="Q1685" s="6">
        <v>1655</v>
      </c>
      <c r="R1685" s="7">
        <v>44322</v>
      </c>
      <c r="S1685" s="210">
        <v>4</v>
      </c>
      <c r="T1685" s="8">
        <v>1.0001111111111112</v>
      </c>
      <c r="U1685" s="98">
        <v>3.6862716268393214</v>
      </c>
      <c r="V1685" s="106">
        <v>29800.691238229669</v>
      </c>
      <c r="W1685" s="10">
        <v>0.8251195071686146</v>
      </c>
      <c r="X1685" s="420"/>
      <c r="Y1685" s="420"/>
      <c r="Z1685" s="1"/>
      <c r="AA1685" s="1"/>
      <c r="AB1685" s="1"/>
      <c r="AC1685" s="1"/>
      <c r="AD1685" s="1"/>
    </row>
    <row r="1686" spans="17:30">
      <c r="Q1686" s="6">
        <v>1656</v>
      </c>
      <c r="R1686" s="7">
        <v>44323</v>
      </c>
      <c r="S1686" s="210">
        <v>4</v>
      </c>
      <c r="T1686" s="8">
        <v>1.0001111111111112</v>
      </c>
      <c r="U1686" s="98">
        <v>3.6865442273982696</v>
      </c>
      <c r="V1686" s="106">
        <v>29803.089049855407</v>
      </c>
      <c r="W1686" s="10">
        <v>0.82530025316238653</v>
      </c>
      <c r="X1686" s="420"/>
      <c r="Y1686" s="420"/>
      <c r="Z1686" s="1"/>
      <c r="AA1686" s="1"/>
      <c r="AB1686" s="1"/>
      <c r="AC1686" s="1"/>
      <c r="AD1686" s="1"/>
    </row>
    <row r="1687" spans="17:30">
      <c r="Q1687" s="6">
        <v>1657</v>
      </c>
      <c r="R1687" s="7">
        <v>44324</v>
      </c>
      <c r="S1687" s="210">
        <v>4</v>
      </c>
      <c r="T1687" s="8">
        <v>1.0001111111111112</v>
      </c>
      <c r="U1687" s="98">
        <v>3.6868164996435748</v>
      </c>
      <c r="V1687" s="106">
        <v>29805.487054412926</v>
      </c>
      <c r="W1687" s="10">
        <v>0.82548078131907676</v>
      </c>
      <c r="X1687" s="420"/>
      <c r="Y1687" s="420"/>
      <c r="Z1687" s="1"/>
      <c r="AA1687" s="1"/>
      <c r="AB1687" s="1"/>
      <c r="AC1687" s="1"/>
      <c r="AD1687" s="1"/>
    </row>
    <row r="1688" spans="17:30">
      <c r="Q1688" s="6">
        <v>1658</v>
      </c>
      <c r="R1688" s="7">
        <v>44325</v>
      </c>
      <c r="S1688" s="210">
        <v>4</v>
      </c>
      <c r="T1688" s="8">
        <v>1.0001111111111112</v>
      </c>
      <c r="U1688" s="98">
        <v>3.6870884441680074</v>
      </c>
      <c r="V1688" s="106">
        <v>29807.885251917753</v>
      </c>
      <c r="W1688" s="10">
        <v>0.82566109203228155</v>
      </c>
      <c r="X1688" s="420"/>
      <c r="Y1688" s="420"/>
      <c r="Z1688" s="1"/>
      <c r="AA1688" s="1"/>
      <c r="AB1688" s="1"/>
      <c r="AC1688" s="1"/>
      <c r="AD1688" s="1"/>
    </row>
    <row r="1689" spans="17:30">
      <c r="Q1689" s="6">
        <v>1659</v>
      </c>
      <c r="R1689" s="7">
        <v>44326</v>
      </c>
      <c r="S1689" s="210">
        <v>4</v>
      </c>
      <c r="T1689" s="8">
        <v>1.0001111111111112</v>
      </c>
      <c r="U1689" s="98">
        <v>3.6873600615628943</v>
      </c>
      <c r="V1689" s="106">
        <v>29810.206271938911</v>
      </c>
      <c r="W1689" s="10">
        <v>0.82589875990817241</v>
      </c>
      <c r="X1689" s="420"/>
      <c r="Y1689" s="420"/>
      <c r="Z1689" s="1"/>
      <c r="AA1689" s="1"/>
      <c r="AB1689" s="1"/>
      <c r="AC1689" s="1"/>
      <c r="AD1689" s="1"/>
    </row>
    <row r="1690" spans="17:30">
      <c r="Q1690" s="6">
        <v>1660</v>
      </c>
      <c r="R1690" s="7">
        <v>44327</v>
      </c>
      <c r="S1690" s="210">
        <v>4</v>
      </c>
      <c r="T1690" s="8">
        <v>1.0001111111111112</v>
      </c>
      <c r="U1690" s="98">
        <v>3.6876313524181414</v>
      </c>
      <c r="V1690" s="106">
        <v>29812.527472688555</v>
      </c>
      <c r="W1690" s="10">
        <v>0.82613614199646968</v>
      </c>
      <c r="X1690" s="420"/>
      <c r="Y1690" s="420"/>
      <c r="Z1690" s="1"/>
      <c r="AA1690" s="1"/>
      <c r="AB1690" s="1"/>
      <c r="AC1690" s="1"/>
      <c r="AD1690" s="1"/>
    </row>
    <row r="1691" spans="17:30">
      <c r="Q1691" s="6">
        <v>1661</v>
      </c>
      <c r="R1691" s="7">
        <v>44328</v>
      </c>
      <c r="S1691" s="210">
        <v>4</v>
      </c>
      <c r="T1691" s="8">
        <v>1.0001111111111112</v>
      </c>
      <c r="U1691" s="98">
        <v>3.6879023173222558</v>
      </c>
      <c r="V1691" s="106">
        <v>29814.848854180749</v>
      </c>
      <c r="W1691" s="10">
        <v>0.82637323881231683</v>
      </c>
      <c r="X1691" s="420"/>
      <c r="Y1691" s="420"/>
      <c r="Z1691" s="1"/>
      <c r="AA1691" s="1"/>
      <c r="AB1691" s="1"/>
      <c r="AC1691" s="1"/>
      <c r="AD1691" s="1"/>
    </row>
    <row r="1692" spans="17:30">
      <c r="Q1692" s="6">
        <v>1662</v>
      </c>
      <c r="R1692" s="7">
        <v>44329</v>
      </c>
      <c r="S1692" s="210">
        <v>4</v>
      </c>
      <c r="T1692" s="8">
        <v>1.0001111111111112</v>
      </c>
      <c r="U1692" s="98">
        <v>3.6881729568623234</v>
      </c>
      <c r="V1692" s="106">
        <v>29817.170416429577</v>
      </c>
      <c r="W1692" s="10">
        <v>0.82661005086963613</v>
      </c>
      <c r="X1692" s="420"/>
      <c r="Y1692" s="420"/>
      <c r="Z1692" s="1"/>
      <c r="AA1692" s="1"/>
      <c r="AB1692" s="1"/>
      <c r="AC1692" s="1"/>
      <c r="AD1692" s="1"/>
    </row>
    <row r="1693" spans="17:30">
      <c r="Q1693" s="6">
        <v>1663</v>
      </c>
      <c r="R1693" s="7">
        <v>44330</v>
      </c>
      <c r="S1693" s="210">
        <v>4</v>
      </c>
      <c r="T1693" s="8">
        <v>1.0001111111111112</v>
      </c>
      <c r="U1693" s="98">
        <v>3.688443271624009</v>
      </c>
      <c r="V1693" s="106">
        <v>29819.492159449117</v>
      </c>
      <c r="W1693" s="10">
        <v>0.82684657868112854</v>
      </c>
      <c r="X1693" s="420"/>
      <c r="Y1693" s="420"/>
      <c r="Z1693" s="1"/>
      <c r="AA1693" s="1"/>
      <c r="AB1693" s="1"/>
      <c r="AC1693" s="1"/>
      <c r="AD1693" s="1"/>
    </row>
    <row r="1694" spans="17:30">
      <c r="Q1694" s="6">
        <v>1664</v>
      </c>
      <c r="R1694" s="7">
        <v>44331</v>
      </c>
      <c r="S1694" s="210">
        <v>4</v>
      </c>
      <c r="T1694" s="8">
        <v>1.0001111111111112</v>
      </c>
      <c r="U1694" s="98">
        <v>3.6887132621915786</v>
      </c>
      <c r="V1694" s="106">
        <v>29821.81408325343</v>
      </c>
      <c r="W1694" s="10">
        <v>0.82708282275825162</v>
      </c>
      <c r="X1694" s="420"/>
      <c r="Y1694" s="420"/>
      <c r="Z1694" s="1"/>
      <c r="AA1694" s="1"/>
      <c r="AB1694" s="1"/>
      <c r="AC1694" s="1"/>
      <c r="AD1694" s="1"/>
    </row>
    <row r="1695" spans="17:30">
      <c r="Q1695" s="6">
        <v>1665</v>
      </c>
      <c r="R1695" s="7">
        <v>44332</v>
      </c>
      <c r="S1695" s="210">
        <v>4</v>
      </c>
      <c r="T1695" s="8">
        <v>1.0001111111111112</v>
      </c>
      <c r="U1695" s="98">
        <v>3.6889829291478993</v>
      </c>
      <c r="V1695" s="106">
        <v>29824.136187856609</v>
      </c>
      <c r="W1695" s="10">
        <v>0.82731878361124167</v>
      </c>
      <c r="X1695" s="420"/>
      <c r="Y1695" s="420"/>
      <c r="Z1695" s="1"/>
      <c r="AA1695" s="1"/>
      <c r="AB1695" s="1"/>
      <c r="AC1695" s="1"/>
      <c r="AD1695" s="1"/>
    </row>
    <row r="1696" spans="17:30">
      <c r="Q1696" s="6">
        <v>1666</v>
      </c>
      <c r="R1696" s="7">
        <v>44333</v>
      </c>
      <c r="S1696" s="210">
        <v>4</v>
      </c>
      <c r="T1696" s="8">
        <v>1.0001111111111112</v>
      </c>
      <c r="U1696" s="98">
        <v>3.6892522730744615</v>
      </c>
      <c r="V1696" s="106">
        <v>29826.458473272723</v>
      </c>
      <c r="W1696" s="10">
        <v>0.82755446174911373</v>
      </c>
      <c r="X1696" s="420"/>
      <c r="Y1696" s="420"/>
      <c r="Z1696" s="1"/>
      <c r="AA1696" s="1"/>
      <c r="AB1696" s="1"/>
      <c r="AC1696" s="1"/>
      <c r="AD1696" s="1"/>
    </row>
    <row r="1697" spans="17:30">
      <c r="Q1697" s="6">
        <v>1667</v>
      </c>
      <c r="R1697" s="7">
        <v>44334</v>
      </c>
      <c r="S1697" s="210">
        <v>4</v>
      </c>
      <c r="T1697" s="8">
        <v>1.0001111111111112</v>
      </c>
      <c r="U1697" s="98">
        <v>3.6895212945513345</v>
      </c>
      <c r="V1697" s="106">
        <v>29828.780939515851</v>
      </c>
      <c r="W1697" s="10">
        <v>0.82778985767966162</v>
      </c>
      <c r="X1697" s="420"/>
      <c r="Y1697" s="420"/>
      <c r="Z1697" s="1"/>
      <c r="AA1697" s="1"/>
      <c r="AB1697" s="1"/>
      <c r="AC1697" s="1"/>
      <c r="AD1697" s="1"/>
    </row>
    <row r="1698" spans="17:30">
      <c r="Q1698" s="6">
        <v>1668</v>
      </c>
      <c r="R1698" s="7">
        <v>44335</v>
      </c>
      <c r="S1698" s="210">
        <v>4</v>
      </c>
      <c r="T1698" s="8">
        <v>1.0001111111111112</v>
      </c>
      <c r="U1698" s="98">
        <v>3.689789994157211</v>
      </c>
      <c r="V1698" s="106">
        <v>29831.103586600075</v>
      </c>
      <c r="W1698" s="10">
        <v>0.8280249719094801</v>
      </c>
      <c r="X1698" s="420"/>
      <c r="Y1698" s="420"/>
      <c r="Z1698" s="1"/>
      <c r="AA1698" s="1"/>
      <c r="AB1698" s="1"/>
      <c r="AC1698" s="1"/>
      <c r="AD1698" s="1"/>
    </row>
    <row r="1699" spans="17:30">
      <c r="Q1699" s="6">
        <v>1669</v>
      </c>
      <c r="R1699" s="7">
        <v>44336</v>
      </c>
      <c r="S1699" s="210">
        <v>4</v>
      </c>
      <c r="T1699" s="8">
        <v>1.0001111111111112</v>
      </c>
      <c r="U1699" s="98">
        <v>3.6900583724694069</v>
      </c>
      <c r="V1699" s="106">
        <v>29833.426414539481</v>
      </c>
      <c r="W1699" s="10">
        <v>0.82825980494394269</v>
      </c>
      <c r="X1699" s="420"/>
      <c r="Y1699" s="420"/>
      <c r="Z1699" s="1"/>
      <c r="AA1699" s="1"/>
      <c r="AB1699" s="1"/>
      <c r="AC1699" s="1"/>
      <c r="AD1699" s="1"/>
    </row>
    <row r="1700" spans="17:30">
      <c r="Q1700" s="6">
        <v>1670</v>
      </c>
      <c r="R1700" s="7">
        <v>44337</v>
      </c>
      <c r="S1700" s="210">
        <v>4</v>
      </c>
      <c r="T1700" s="8">
        <v>1.0001111111111112</v>
      </c>
      <c r="U1700" s="98">
        <v>3.6903264300638394</v>
      </c>
      <c r="V1700" s="106">
        <v>29835.749423348141</v>
      </c>
      <c r="W1700" s="10">
        <v>0.82849435728717946</v>
      </c>
      <c r="X1700" s="420"/>
      <c r="Y1700" s="420"/>
      <c r="Z1700" s="1"/>
      <c r="AA1700" s="1"/>
      <c r="AB1700" s="1"/>
      <c r="AC1700" s="1"/>
      <c r="AD1700" s="1"/>
    </row>
    <row r="1701" spans="17:30">
      <c r="Q1701" s="6">
        <v>1671</v>
      </c>
      <c r="R1701" s="7">
        <v>44338</v>
      </c>
      <c r="S1701" s="210">
        <v>4</v>
      </c>
      <c r="T1701" s="8">
        <v>1.0001111111111112</v>
      </c>
      <c r="U1701" s="98">
        <v>3.6905941675150489</v>
      </c>
      <c r="V1701" s="106">
        <v>29838.072613040153</v>
      </c>
      <c r="W1701" s="10">
        <v>0.82872862944214365</v>
      </c>
      <c r="X1701" s="420"/>
      <c r="Y1701" s="420"/>
      <c r="Z1701" s="1"/>
      <c r="AA1701" s="1"/>
      <c r="AB1701" s="1"/>
      <c r="AC1701" s="1"/>
      <c r="AD1701" s="1"/>
    </row>
    <row r="1702" spans="17:30">
      <c r="Q1702" s="6">
        <v>1672</v>
      </c>
      <c r="R1702" s="7">
        <v>44339</v>
      </c>
      <c r="S1702" s="210">
        <v>4</v>
      </c>
      <c r="T1702" s="8">
        <v>1.0001111111111112</v>
      </c>
      <c r="U1702" s="98">
        <v>3.6908615853962434</v>
      </c>
      <c r="V1702" s="106">
        <v>29840.395983629587</v>
      </c>
      <c r="W1702" s="10">
        <v>0.82896262191063386</v>
      </c>
      <c r="X1702" s="420"/>
      <c r="Y1702" s="420"/>
      <c r="Z1702" s="1"/>
      <c r="AA1702" s="1"/>
      <c r="AB1702" s="1"/>
      <c r="AC1702" s="1"/>
      <c r="AD1702" s="1"/>
    </row>
    <row r="1703" spans="17:30">
      <c r="Q1703" s="6">
        <v>1673</v>
      </c>
      <c r="R1703" s="7">
        <v>44340</v>
      </c>
      <c r="S1703" s="210">
        <v>4</v>
      </c>
      <c r="T1703" s="8">
        <v>1.0001111111111112</v>
      </c>
      <c r="U1703" s="98">
        <v>3.6911286842792101</v>
      </c>
      <c r="V1703" s="106">
        <v>29842.719535130534</v>
      </c>
      <c r="W1703" s="10">
        <v>0.82919633519313862</v>
      </c>
      <c r="X1703" s="420"/>
      <c r="Y1703" s="420"/>
      <c r="Z1703" s="1"/>
      <c r="AA1703" s="1"/>
      <c r="AB1703" s="1"/>
      <c r="AC1703" s="1"/>
      <c r="AD1703" s="1"/>
    </row>
    <row r="1704" spans="17:30">
      <c r="Q1704" s="6">
        <v>1674</v>
      </c>
      <c r="R1704" s="7">
        <v>44341</v>
      </c>
      <c r="S1704" s="210">
        <v>4</v>
      </c>
      <c r="T1704" s="8">
        <v>1.0001111111111112</v>
      </c>
      <c r="U1704" s="98">
        <v>3.691395464734426</v>
      </c>
      <c r="V1704" s="106">
        <v>29845.043267557088</v>
      </c>
      <c r="W1704" s="10">
        <v>0.82942976978910288</v>
      </c>
      <c r="X1704" s="420"/>
      <c r="Y1704" s="420"/>
      <c r="Z1704" s="1"/>
      <c r="AA1704" s="1"/>
      <c r="AB1704" s="1"/>
      <c r="AC1704" s="1"/>
      <c r="AD1704" s="1"/>
    </row>
    <row r="1705" spans="17:30">
      <c r="Q1705" s="6">
        <v>1675</v>
      </c>
      <c r="R1705" s="7">
        <v>44342</v>
      </c>
      <c r="S1705" s="210">
        <v>4</v>
      </c>
      <c r="T1705" s="8">
        <v>1.0001111111111112</v>
      </c>
      <c r="U1705" s="98">
        <v>3.6916619273309692</v>
      </c>
      <c r="V1705" s="106">
        <v>29847.367180923327</v>
      </c>
      <c r="W1705" s="10">
        <v>0.82966292619663928</v>
      </c>
      <c r="X1705" s="420"/>
      <c r="Y1705" s="420"/>
      <c r="Z1705" s="1"/>
      <c r="AA1705" s="1"/>
      <c r="AB1705" s="1"/>
      <c r="AC1705" s="1"/>
      <c r="AD1705" s="1"/>
    </row>
    <row r="1706" spans="17:30">
      <c r="Q1706" s="6">
        <v>1676</v>
      </c>
      <c r="R1706" s="7">
        <v>44343</v>
      </c>
      <c r="S1706" s="210">
        <v>4</v>
      </c>
      <c r="T1706" s="8">
        <v>1.0001111111111112</v>
      </c>
      <c r="U1706" s="98">
        <v>3.6919280726365633</v>
      </c>
      <c r="V1706" s="106">
        <v>29849.691275243345</v>
      </c>
      <c r="W1706" s="10">
        <v>0.82989580491275028</v>
      </c>
      <c r="X1706" s="420"/>
      <c r="Y1706" s="420"/>
      <c r="Z1706" s="1"/>
      <c r="AA1706" s="1"/>
      <c r="AB1706" s="1"/>
      <c r="AC1706" s="1"/>
      <c r="AD1706" s="1"/>
    </row>
    <row r="1707" spans="17:30">
      <c r="Q1707" s="6">
        <v>1677</v>
      </c>
      <c r="R1707" s="7">
        <v>44344</v>
      </c>
      <c r="S1707" s="210">
        <v>4</v>
      </c>
      <c r="T1707" s="8">
        <v>1.0001111111111112</v>
      </c>
      <c r="U1707" s="98">
        <v>3.6921939012175997</v>
      </c>
      <c r="V1707" s="106">
        <v>29852.015550531232</v>
      </c>
      <c r="W1707" s="10">
        <v>0.83012840643323926</v>
      </c>
      <c r="X1707" s="420"/>
      <c r="Y1707" s="420"/>
      <c r="Z1707" s="1"/>
      <c r="AA1707" s="1"/>
      <c r="AB1707" s="1"/>
      <c r="AC1707" s="1"/>
      <c r="AD1707" s="1"/>
    </row>
    <row r="1708" spans="17:30">
      <c r="Q1708" s="6">
        <v>1678</v>
      </c>
      <c r="R1708" s="7">
        <v>44345</v>
      </c>
      <c r="S1708" s="210">
        <v>4</v>
      </c>
      <c r="T1708" s="8">
        <v>1.0001111111111112</v>
      </c>
      <c r="U1708" s="98">
        <v>3.6924594136391375</v>
      </c>
      <c r="V1708" s="106">
        <v>29854.340006801078</v>
      </c>
      <c r="W1708" s="10">
        <v>0.830360731252755</v>
      </c>
      <c r="X1708" s="420"/>
      <c r="Y1708" s="420"/>
      <c r="Z1708" s="1"/>
      <c r="AA1708" s="1"/>
      <c r="AB1708" s="1"/>
      <c r="AC1708" s="1"/>
      <c r="AD1708" s="1"/>
    </row>
    <row r="1709" spans="17:30">
      <c r="Q1709" s="6">
        <v>1679</v>
      </c>
      <c r="R1709" s="7">
        <v>44346</v>
      </c>
      <c r="S1709" s="210">
        <v>4</v>
      </c>
      <c r="T1709" s="8">
        <v>1.0001111111111112</v>
      </c>
      <c r="U1709" s="98">
        <v>3.692724610464837</v>
      </c>
      <c r="V1709" s="106">
        <v>29856.664644066972</v>
      </c>
      <c r="W1709" s="10">
        <v>0.83059277986472502</v>
      </c>
      <c r="X1709" s="420"/>
      <c r="Y1709" s="420"/>
      <c r="Z1709" s="1"/>
      <c r="AA1709" s="1"/>
      <c r="AB1709" s="1"/>
      <c r="AC1709" s="1"/>
      <c r="AD1709" s="1"/>
    </row>
    <row r="1710" spans="17:30">
      <c r="Q1710" s="6">
        <v>1680</v>
      </c>
      <c r="R1710" s="7">
        <v>44347</v>
      </c>
      <c r="S1710" s="210">
        <v>4</v>
      </c>
      <c r="T1710" s="8">
        <v>1.0001111111111112</v>
      </c>
      <c r="U1710" s="98">
        <v>3.6929894922570705</v>
      </c>
      <c r="V1710" s="106">
        <v>29858.989462343019</v>
      </c>
      <c r="W1710" s="10">
        <v>0.83082455276139999</v>
      </c>
      <c r="X1710" s="420"/>
      <c r="Y1710" s="420"/>
      <c r="Z1710" s="1"/>
      <c r="AA1710" s="1"/>
      <c r="AB1710" s="1"/>
      <c r="AC1710" s="1"/>
      <c r="AD1710" s="1"/>
    </row>
    <row r="1711" spans="17:30">
      <c r="Q1711" s="6">
        <v>1681</v>
      </c>
      <c r="R1711" s="7">
        <v>44348</v>
      </c>
      <c r="S1711" s="210">
        <v>4</v>
      </c>
      <c r="T1711" s="8">
        <v>1.0001111111111112</v>
      </c>
      <c r="U1711" s="98">
        <v>3.6932540595768559</v>
      </c>
      <c r="V1711" s="106">
        <v>29861.314461643302</v>
      </c>
      <c r="W1711" s="10">
        <v>0.83105605043392039</v>
      </c>
      <c r="X1711" s="420"/>
      <c r="Y1711" s="420"/>
      <c r="Z1711" s="1"/>
      <c r="AA1711" s="1"/>
      <c r="AB1711" s="1"/>
      <c r="AC1711" s="1"/>
      <c r="AD1711" s="1"/>
    </row>
    <row r="1712" spans="17:30">
      <c r="Q1712" s="6">
        <v>1682</v>
      </c>
      <c r="R1712" s="7">
        <v>44349</v>
      </c>
      <c r="S1712" s="210">
        <v>4</v>
      </c>
      <c r="T1712" s="8">
        <v>1.0001111111111112</v>
      </c>
      <c r="U1712" s="98">
        <v>3.6935183129838789</v>
      </c>
      <c r="V1712" s="106">
        <v>29863.639641981918</v>
      </c>
      <c r="W1712" s="10">
        <v>0.83128727337222763</v>
      </c>
      <c r="X1712" s="420"/>
      <c r="Y1712" s="420"/>
      <c r="Z1712" s="1"/>
      <c r="AA1712" s="1"/>
      <c r="AB1712" s="1"/>
      <c r="AC1712" s="1"/>
      <c r="AD1712" s="1"/>
    </row>
    <row r="1713" spans="17:30">
      <c r="Q1713" s="6">
        <v>1683</v>
      </c>
      <c r="R1713" s="7">
        <v>44350</v>
      </c>
      <c r="S1713" s="210">
        <v>4</v>
      </c>
      <c r="T1713" s="8">
        <v>1.0001111111111112</v>
      </c>
      <c r="U1713" s="98">
        <v>3.693782253036515</v>
      </c>
      <c r="V1713" s="106">
        <v>29865.965003372967</v>
      </c>
      <c r="W1713" s="10">
        <v>0.8315182220650863</v>
      </c>
      <c r="X1713" s="420"/>
      <c r="Y1713" s="420"/>
      <c r="Z1713" s="1"/>
      <c r="AA1713" s="1"/>
      <c r="AB1713" s="1"/>
      <c r="AC1713" s="1"/>
      <c r="AD1713" s="1"/>
    </row>
    <row r="1714" spans="17:30">
      <c r="Q1714" s="6">
        <v>1684</v>
      </c>
      <c r="R1714" s="7">
        <v>44351</v>
      </c>
      <c r="S1714" s="210">
        <v>4</v>
      </c>
      <c r="T1714" s="8">
        <v>1.0001111111111112</v>
      </c>
      <c r="U1714" s="98">
        <v>3.6940458802917853</v>
      </c>
      <c r="V1714" s="106">
        <v>29868.290545830547</v>
      </c>
      <c r="W1714" s="10">
        <v>0.83174889700012855</v>
      </c>
      <c r="X1714" s="420"/>
      <c r="Y1714" s="420"/>
      <c r="Z1714" s="1"/>
      <c r="AA1714" s="1"/>
      <c r="AB1714" s="1"/>
      <c r="AC1714" s="1"/>
      <c r="AD1714" s="1"/>
    </row>
    <row r="1715" spans="17:30">
      <c r="Q1715" s="6">
        <v>1685</v>
      </c>
      <c r="R1715" s="7">
        <v>44352</v>
      </c>
      <c r="S1715" s="210">
        <v>4</v>
      </c>
      <c r="T1715" s="8">
        <v>1.0001111111111112</v>
      </c>
      <c r="U1715" s="98">
        <v>3.6943091953054008</v>
      </c>
      <c r="V1715" s="106">
        <v>29870.616269368755</v>
      </c>
      <c r="W1715" s="10">
        <v>0.83197929866380971</v>
      </c>
      <c r="X1715" s="420"/>
      <c r="Y1715" s="420"/>
      <c r="Z1715" s="1"/>
      <c r="AA1715" s="1"/>
      <c r="AB1715" s="1"/>
      <c r="AC1715" s="1"/>
      <c r="AD1715" s="1"/>
    </row>
    <row r="1716" spans="17:30">
      <c r="Q1716" s="6">
        <v>1686</v>
      </c>
      <c r="R1716" s="7">
        <v>44353</v>
      </c>
      <c r="S1716" s="210">
        <v>4</v>
      </c>
      <c r="T1716" s="8">
        <v>1.0001111111111112</v>
      </c>
      <c r="U1716" s="98">
        <v>3.6945721986317848</v>
      </c>
      <c r="V1716" s="106">
        <v>29872.942174001688</v>
      </c>
      <c r="W1716" s="10">
        <v>0.83220942754145266</v>
      </c>
      <c r="X1716" s="420"/>
      <c r="Y1716" s="420"/>
      <c r="Z1716" s="1"/>
      <c r="AA1716" s="1"/>
      <c r="AB1716" s="1"/>
      <c r="AC1716" s="1"/>
      <c r="AD1716" s="1"/>
    </row>
    <row r="1717" spans="17:30">
      <c r="Q1717" s="6">
        <v>1687</v>
      </c>
      <c r="R1717" s="7">
        <v>44354</v>
      </c>
      <c r="S1717" s="210">
        <v>4</v>
      </c>
      <c r="T1717" s="8">
        <v>1.0001111111111112</v>
      </c>
      <c r="U1717" s="98">
        <v>3.6948348908240058</v>
      </c>
      <c r="V1717" s="106">
        <v>29875.268259743458</v>
      </c>
      <c r="W1717" s="10">
        <v>0.83243928411718127</v>
      </c>
      <c r="X1717" s="420"/>
      <c r="Y1717" s="420"/>
      <c r="Z1717" s="1"/>
      <c r="AA1717" s="1"/>
      <c r="AB1717" s="1"/>
      <c r="AC1717" s="1"/>
      <c r="AD1717" s="1"/>
    </row>
    <row r="1718" spans="17:30">
      <c r="Q1718" s="6">
        <v>1688</v>
      </c>
      <c r="R1718" s="7">
        <v>44355</v>
      </c>
      <c r="S1718" s="210">
        <v>4</v>
      </c>
      <c r="T1718" s="8">
        <v>1.0001111111111112</v>
      </c>
      <c r="U1718" s="98">
        <v>3.6950972724338671</v>
      </c>
      <c r="V1718" s="106">
        <v>29877.594526608154</v>
      </c>
      <c r="W1718" s="10">
        <v>0.83266886887407576</v>
      </c>
      <c r="X1718" s="420"/>
      <c r="Y1718" s="420"/>
      <c r="Z1718" s="1"/>
      <c r="AA1718" s="1"/>
      <c r="AB1718" s="1"/>
      <c r="AC1718" s="1"/>
      <c r="AD1718" s="1"/>
    </row>
    <row r="1719" spans="17:30">
      <c r="Q1719" s="6">
        <v>1689</v>
      </c>
      <c r="R1719" s="7">
        <v>44356</v>
      </c>
      <c r="S1719" s="210">
        <v>4</v>
      </c>
      <c r="T1719" s="8">
        <v>1.0001111111111112</v>
      </c>
      <c r="U1719" s="98">
        <v>3.6953593440118171</v>
      </c>
      <c r="V1719" s="106">
        <v>29879.92097460989</v>
      </c>
      <c r="W1719" s="10">
        <v>0.83289818229395074</v>
      </c>
      <c r="X1719" s="420"/>
      <c r="Y1719" s="420"/>
      <c r="Z1719" s="1"/>
      <c r="AA1719" s="1"/>
      <c r="AB1719" s="1"/>
      <c r="AC1719" s="1"/>
      <c r="AD1719" s="1"/>
    </row>
    <row r="1720" spans="17:30">
      <c r="Q1720" s="6">
        <v>1690</v>
      </c>
      <c r="R1720" s="7">
        <v>44357</v>
      </c>
      <c r="S1720" s="210">
        <v>4</v>
      </c>
      <c r="T1720" s="8">
        <v>1.0001111111111112</v>
      </c>
      <c r="U1720" s="98">
        <v>3.695621106107061</v>
      </c>
      <c r="V1720" s="106">
        <v>29882.325161187851</v>
      </c>
      <c r="W1720" s="10">
        <v>0.83307070268678896</v>
      </c>
      <c r="X1720" s="420"/>
      <c r="Y1720" s="420"/>
      <c r="Z1720" s="1"/>
      <c r="AA1720" s="1"/>
      <c r="AB1720" s="1"/>
      <c r="AC1720" s="1"/>
      <c r="AD1720" s="1"/>
    </row>
    <row r="1721" spans="17:30">
      <c r="Q1721" s="6">
        <v>1691</v>
      </c>
      <c r="R1721" s="7">
        <v>44358</v>
      </c>
      <c r="S1721" s="210">
        <v>4</v>
      </c>
      <c r="T1721" s="8">
        <v>1.0001111111111112</v>
      </c>
      <c r="U1721" s="98">
        <v>3.6958825592674716</v>
      </c>
      <c r="V1721" s="106">
        <v>29884.729541210534</v>
      </c>
      <c r="W1721" s="10">
        <v>0.83324301932885536</v>
      </c>
      <c r="X1721" s="420"/>
      <c r="Y1721" s="420"/>
      <c r="Z1721" s="1"/>
      <c r="AA1721" s="1"/>
      <c r="AB1721" s="1"/>
      <c r="AC1721" s="1"/>
      <c r="AD1721" s="1"/>
    </row>
    <row r="1722" spans="17:30">
      <c r="Q1722" s="6">
        <v>1692</v>
      </c>
      <c r="R1722" s="7">
        <v>44359</v>
      </c>
      <c r="S1722" s="210">
        <v>4</v>
      </c>
      <c r="T1722" s="8">
        <v>1.0001111111111112</v>
      </c>
      <c r="U1722" s="98">
        <v>3.6961437040396339</v>
      </c>
      <c r="V1722" s="106">
        <v>29887.134114693512</v>
      </c>
      <c r="W1722" s="10">
        <v>0.83341513258090583</v>
      </c>
      <c r="X1722" s="420"/>
      <c r="Y1722" s="420"/>
      <c r="Z1722" s="1"/>
      <c r="AA1722" s="1"/>
      <c r="AB1722" s="1"/>
      <c r="AC1722" s="1"/>
      <c r="AD1722" s="1"/>
    </row>
    <row r="1723" spans="17:30">
      <c r="Q1723" s="6">
        <v>1693</v>
      </c>
      <c r="R1723" s="7">
        <v>44360</v>
      </c>
      <c r="S1723" s="210">
        <v>4</v>
      </c>
      <c r="T1723" s="8">
        <v>1.0001111111111112</v>
      </c>
      <c r="U1723" s="98">
        <v>3.6964045409688673</v>
      </c>
      <c r="V1723" s="106">
        <v>29889.538881652341</v>
      </c>
      <c r="W1723" s="10">
        <v>0.83358704280283025</v>
      </c>
      <c r="X1723" s="420"/>
      <c r="Y1723" s="420"/>
      <c r="Z1723" s="1"/>
      <c r="AA1723" s="1"/>
      <c r="AB1723" s="1"/>
      <c r="AC1723" s="1"/>
      <c r="AD1723" s="1"/>
    </row>
    <row r="1724" spans="17:30">
      <c r="Q1724" s="6">
        <v>1694</v>
      </c>
      <c r="R1724" s="7">
        <v>44361</v>
      </c>
      <c r="S1724" s="210">
        <v>4</v>
      </c>
      <c r="T1724" s="8">
        <v>1.0001111111111112</v>
      </c>
      <c r="U1724" s="98">
        <v>3.696665070599181</v>
      </c>
      <c r="V1724" s="106">
        <v>29891.943842102595</v>
      </c>
      <c r="W1724" s="10">
        <v>0.83375875035367475</v>
      </c>
      <c r="X1724" s="420"/>
      <c r="Y1724" s="420"/>
      <c r="Z1724" s="1"/>
      <c r="AA1724" s="1"/>
      <c r="AB1724" s="1"/>
      <c r="AC1724" s="1"/>
      <c r="AD1724" s="1"/>
    </row>
    <row r="1725" spans="17:30">
      <c r="Q1725" s="6">
        <v>1695</v>
      </c>
      <c r="R1725" s="7">
        <v>44362</v>
      </c>
      <c r="S1725" s="210">
        <v>4</v>
      </c>
      <c r="T1725" s="8">
        <v>1.0001111111111112</v>
      </c>
      <c r="U1725" s="98">
        <v>3.6969252934732966</v>
      </c>
      <c r="V1725" s="106">
        <v>29894.348996059845</v>
      </c>
      <c r="W1725" s="10">
        <v>0.83393025559159728</v>
      </c>
      <c r="X1725" s="420"/>
      <c r="Y1725" s="420"/>
      <c r="Z1725" s="1"/>
      <c r="AA1725" s="1"/>
      <c r="AB1725" s="1"/>
      <c r="AC1725" s="1"/>
      <c r="AD1725" s="1"/>
    </row>
    <row r="1726" spans="17:30">
      <c r="Q1726" s="6">
        <v>1696</v>
      </c>
      <c r="R1726" s="7">
        <v>44363</v>
      </c>
      <c r="S1726" s="210">
        <v>4</v>
      </c>
      <c r="T1726" s="8">
        <v>1.0001111111111112</v>
      </c>
      <c r="U1726" s="98">
        <v>3.6971852101326697</v>
      </c>
      <c r="V1726" s="106">
        <v>29896.754343539651</v>
      </c>
      <c r="W1726" s="10">
        <v>0.83410155887397863</v>
      </c>
      <c r="X1726" s="420"/>
      <c r="Y1726" s="420"/>
      <c r="Z1726" s="1"/>
      <c r="AA1726" s="1"/>
      <c r="AB1726" s="1"/>
      <c r="AC1726" s="1"/>
      <c r="AD1726" s="1"/>
    </row>
    <row r="1727" spans="17:30">
      <c r="Q1727" s="6">
        <v>1697</v>
      </c>
      <c r="R1727" s="7">
        <v>44364</v>
      </c>
      <c r="S1727" s="210">
        <v>4</v>
      </c>
      <c r="T1727" s="8">
        <v>1.0001111111111112</v>
      </c>
      <c r="U1727" s="98">
        <v>3.6974448211175126</v>
      </c>
      <c r="V1727" s="106">
        <v>29899.159884557594</v>
      </c>
      <c r="W1727" s="10">
        <v>0.83427266055733362</v>
      </c>
      <c r="X1727" s="420"/>
      <c r="Y1727" s="420"/>
      <c r="Z1727" s="1"/>
      <c r="AA1727" s="1"/>
      <c r="AB1727" s="1"/>
      <c r="AC1727" s="1"/>
      <c r="AD1727" s="1"/>
    </row>
    <row r="1728" spans="17:30">
      <c r="Q1728" s="6">
        <v>1698</v>
      </c>
      <c r="R1728" s="7">
        <v>44365</v>
      </c>
      <c r="S1728" s="210">
        <v>4</v>
      </c>
      <c r="T1728" s="8">
        <v>1.0001111111111112</v>
      </c>
      <c r="U1728" s="98">
        <v>3.6977041269667277</v>
      </c>
      <c r="V1728" s="106">
        <v>29901.56561912924</v>
      </c>
      <c r="W1728" s="10">
        <v>0.8344435609973111</v>
      </c>
      <c r="X1728" s="420"/>
      <c r="Y1728" s="420"/>
      <c r="Z1728" s="1"/>
      <c r="AA1728" s="1"/>
      <c r="AB1728" s="1"/>
      <c r="AC1728" s="1"/>
      <c r="AD1728" s="1"/>
    </row>
    <row r="1729" spans="17:30">
      <c r="Q1729" s="6">
        <v>1699</v>
      </c>
      <c r="R1729" s="7">
        <v>44366</v>
      </c>
      <c r="S1729" s="210">
        <v>4</v>
      </c>
      <c r="T1729" s="8">
        <v>1.0001111111111112</v>
      </c>
      <c r="U1729" s="98">
        <v>3.6979631282179515</v>
      </c>
      <c r="V1729" s="106">
        <v>29903.971547270172</v>
      </c>
      <c r="W1729" s="10">
        <v>0.83461426054873833</v>
      </c>
      <c r="X1729" s="420"/>
      <c r="Y1729" s="420"/>
      <c r="Z1729" s="1"/>
      <c r="AA1729" s="1"/>
      <c r="AB1729" s="1"/>
      <c r="AC1729" s="1"/>
      <c r="AD1729" s="1"/>
    </row>
    <row r="1730" spans="17:30">
      <c r="Q1730" s="6">
        <v>1700</v>
      </c>
      <c r="R1730" s="7">
        <v>44367</v>
      </c>
      <c r="S1730" s="210">
        <v>4</v>
      </c>
      <c r="T1730" s="8">
        <v>1.0001111111111112</v>
      </c>
      <c r="U1730" s="98">
        <v>3.6982218254075772</v>
      </c>
      <c r="V1730" s="106">
        <v>29906.377668995952</v>
      </c>
      <c r="W1730" s="10">
        <v>0.83478475956562104</v>
      </c>
      <c r="X1730" s="420"/>
      <c r="Y1730" s="420"/>
      <c r="Z1730" s="1"/>
      <c r="AA1730" s="1"/>
      <c r="AB1730" s="1"/>
      <c r="AC1730" s="1"/>
      <c r="AD1730" s="1"/>
    </row>
    <row r="1731" spans="17:30">
      <c r="Q1731" s="6">
        <v>1701</v>
      </c>
      <c r="R1731" s="7">
        <v>44368</v>
      </c>
      <c r="S1731" s="210">
        <v>4</v>
      </c>
      <c r="T1731" s="8">
        <v>1.0001111111111112</v>
      </c>
      <c r="U1731" s="98">
        <v>3.6984802190707322</v>
      </c>
      <c r="V1731" s="106">
        <v>29908.783984322159</v>
      </c>
      <c r="W1731" s="10">
        <v>0.83495505840116557</v>
      </c>
      <c r="X1731" s="420"/>
      <c r="Y1731" s="420"/>
      <c r="Z1731" s="1"/>
      <c r="AA1731" s="1"/>
      <c r="AB1731" s="1"/>
      <c r="AC1731" s="1"/>
      <c r="AD1731" s="1"/>
    </row>
    <row r="1732" spans="17:30">
      <c r="Q1732" s="6">
        <v>1702</v>
      </c>
      <c r="R1732" s="7">
        <v>44369</v>
      </c>
      <c r="S1732" s="210">
        <v>4</v>
      </c>
      <c r="T1732" s="8">
        <v>1.0001111111111112</v>
      </c>
      <c r="U1732" s="98">
        <v>3.6987383097412785</v>
      </c>
      <c r="V1732" s="106">
        <v>29911.190493264377</v>
      </c>
      <c r="W1732" s="10">
        <v>0.8351251574076457</v>
      </c>
      <c r="X1732" s="420"/>
      <c r="Y1732" s="420"/>
      <c r="Z1732" s="1"/>
      <c r="AA1732" s="1"/>
      <c r="AB1732" s="1"/>
      <c r="AC1732" s="1"/>
      <c r="AD1732" s="1"/>
    </row>
    <row r="1733" spans="17:30">
      <c r="Q1733" s="6">
        <v>1703</v>
      </c>
      <c r="R1733" s="7">
        <v>44370</v>
      </c>
      <c r="S1733" s="210">
        <v>4</v>
      </c>
      <c r="T1733" s="8">
        <v>1.0001111111111112</v>
      </c>
      <c r="U1733" s="98">
        <v>3.6989960979518344</v>
      </c>
      <c r="V1733" s="106">
        <v>29913.597195838185</v>
      </c>
      <c r="W1733" s="10">
        <v>0.83529505693660244</v>
      </c>
      <c r="X1733" s="420"/>
      <c r="Y1733" s="420"/>
      <c r="Z1733" s="1"/>
      <c r="AA1733" s="1"/>
      <c r="AB1733" s="1"/>
      <c r="AC1733" s="1"/>
      <c r="AD1733" s="1"/>
    </row>
    <row r="1734" spans="17:30">
      <c r="Q1734" s="6">
        <v>1704</v>
      </c>
      <c r="R1734" s="7">
        <v>44371</v>
      </c>
      <c r="S1734" s="210">
        <v>4</v>
      </c>
      <c r="T1734" s="8">
        <v>1.0001111111111112</v>
      </c>
      <c r="U1734" s="98">
        <v>3.699253584233797</v>
      </c>
      <c r="V1734" s="106">
        <v>29916.004092059156</v>
      </c>
      <c r="W1734" s="10">
        <v>0.83546475733875525</v>
      </c>
      <c r="X1734" s="420"/>
      <c r="Y1734" s="420"/>
      <c r="Z1734" s="1"/>
      <c r="AA1734" s="1"/>
      <c r="AB1734" s="1"/>
      <c r="AC1734" s="1"/>
      <c r="AD1734" s="1"/>
    </row>
    <row r="1735" spans="17:30">
      <c r="Q1735" s="6">
        <v>1705</v>
      </c>
      <c r="R1735" s="7">
        <v>44372</v>
      </c>
      <c r="S1735" s="210">
        <v>4</v>
      </c>
      <c r="T1735" s="8">
        <v>1.0001111111111112</v>
      </c>
      <c r="U1735" s="98">
        <v>3.6995107691172757</v>
      </c>
      <c r="V1735" s="106">
        <v>29918.411181942876</v>
      </c>
      <c r="W1735" s="10">
        <v>0.83563425896391319</v>
      </c>
      <c r="X1735" s="420"/>
      <c r="Y1735" s="420"/>
      <c r="Z1735" s="1"/>
      <c r="AA1735" s="1"/>
      <c r="AB1735" s="1"/>
      <c r="AC1735" s="1"/>
      <c r="AD1735" s="1"/>
    </row>
    <row r="1736" spans="17:30">
      <c r="Q1736" s="6">
        <v>1706</v>
      </c>
      <c r="R1736" s="7">
        <v>44373</v>
      </c>
      <c r="S1736" s="210">
        <v>4</v>
      </c>
      <c r="T1736" s="8">
        <v>1.0001111111111112</v>
      </c>
      <c r="U1736" s="98">
        <v>3.6997676531311807</v>
      </c>
      <c r="V1736" s="106">
        <v>29920.81846550493</v>
      </c>
      <c r="W1736" s="10">
        <v>0.835803562161197</v>
      </c>
      <c r="X1736" s="420"/>
      <c r="Y1736" s="420"/>
      <c r="Z1736" s="1"/>
      <c r="AA1736" s="1"/>
      <c r="AB1736" s="1"/>
      <c r="AC1736" s="1"/>
      <c r="AD1736" s="1"/>
    </row>
    <row r="1737" spans="17:30">
      <c r="Q1737" s="6">
        <v>1707</v>
      </c>
      <c r="R1737" s="7">
        <v>44374</v>
      </c>
      <c r="S1737" s="210">
        <v>4</v>
      </c>
      <c r="T1737" s="8">
        <v>1.0001111111111112</v>
      </c>
      <c r="U1737" s="98">
        <v>3.7000242368031566</v>
      </c>
      <c r="V1737" s="106">
        <v>29923.225942760891</v>
      </c>
      <c r="W1737" s="10">
        <v>0.83597266727879482</v>
      </c>
      <c r="X1737" s="420"/>
      <c r="Y1737" s="420"/>
      <c r="Z1737" s="1"/>
      <c r="AA1737" s="1"/>
      <c r="AB1737" s="1"/>
      <c r="AC1737" s="1"/>
      <c r="AD1737" s="1"/>
    </row>
    <row r="1738" spans="17:30">
      <c r="Q1738" s="6">
        <v>1708</v>
      </c>
      <c r="R1738" s="7">
        <v>44375</v>
      </c>
      <c r="S1738" s="210">
        <v>4</v>
      </c>
      <c r="T1738" s="8">
        <v>1.0001111111111112</v>
      </c>
      <c r="U1738" s="98">
        <v>3.7002805206596046</v>
      </c>
      <c r="V1738" s="106">
        <v>29925.633613726353</v>
      </c>
      <c r="W1738" s="10">
        <v>0.83614157466411765</v>
      </c>
      <c r="X1738" s="420"/>
      <c r="Y1738" s="420"/>
      <c r="Z1738" s="1"/>
      <c r="AA1738" s="1"/>
      <c r="AB1738" s="1"/>
      <c r="AC1738" s="1"/>
      <c r="AD1738" s="1"/>
    </row>
    <row r="1739" spans="17:30">
      <c r="Q1739" s="6">
        <v>1709</v>
      </c>
      <c r="R1739" s="7">
        <v>44376</v>
      </c>
      <c r="S1739" s="210">
        <v>4</v>
      </c>
      <c r="T1739" s="8">
        <v>1.0001111111111112</v>
      </c>
      <c r="U1739" s="98">
        <v>3.7005365052257266</v>
      </c>
      <c r="V1739" s="106">
        <v>29928.041478416897</v>
      </c>
      <c r="W1739" s="10">
        <v>0.8363102846637771</v>
      </c>
      <c r="X1739" s="420"/>
      <c r="Y1739" s="420"/>
      <c r="Z1739" s="1"/>
      <c r="AA1739" s="1"/>
      <c r="AB1739" s="1"/>
      <c r="AC1739" s="1"/>
      <c r="AD1739" s="1"/>
    </row>
    <row r="1740" spans="17:30">
      <c r="Q1740" s="6">
        <v>1710</v>
      </c>
      <c r="R1740" s="7">
        <v>44377</v>
      </c>
      <c r="S1740" s="210">
        <v>4</v>
      </c>
      <c r="T1740" s="8">
        <v>1.0001111111111112</v>
      </c>
      <c r="U1740" s="98">
        <v>3.7007921910254815</v>
      </c>
      <c r="V1740" s="106">
        <v>29930.449536848111</v>
      </c>
      <c r="W1740" s="10">
        <v>0.83647879762358546</v>
      </c>
      <c r="X1740" s="420"/>
      <c r="Y1740" s="420"/>
      <c r="Z1740" s="1"/>
      <c r="AA1740" s="1"/>
      <c r="AB1740" s="1"/>
      <c r="AC1740" s="1"/>
      <c r="AD1740" s="1"/>
    </row>
    <row r="1741" spans="17:30">
      <c r="Q1741" s="6">
        <v>1711</v>
      </c>
      <c r="R1741" s="7">
        <v>44378</v>
      </c>
      <c r="S1741" s="210">
        <v>4</v>
      </c>
      <c r="T1741" s="8">
        <v>1.0001111111111112</v>
      </c>
      <c r="U1741" s="98">
        <v>3.7010475785816288</v>
      </c>
      <c r="V1741" s="106">
        <v>29932.857789035595</v>
      </c>
      <c r="W1741" s="10">
        <v>0.83664711388853341</v>
      </c>
      <c r="X1741" s="420"/>
      <c r="Y1741" s="420"/>
      <c r="Z1741" s="1"/>
      <c r="AA1741" s="1"/>
      <c r="AB1741" s="1"/>
      <c r="AC1741" s="1"/>
      <c r="AD1741" s="1"/>
    </row>
    <row r="1742" spans="17:30">
      <c r="Q1742" s="6">
        <v>1712</v>
      </c>
      <c r="R1742" s="7">
        <v>44379</v>
      </c>
      <c r="S1742" s="210">
        <v>4</v>
      </c>
      <c r="T1742" s="8">
        <v>1.0001111111111112</v>
      </c>
      <c r="U1742" s="98">
        <v>3.7013026684156625</v>
      </c>
      <c r="V1742" s="106">
        <v>29935.266234994921</v>
      </c>
      <c r="W1742" s="10">
        <v>0.8368152338027679</v>
      </c>
      <c r="X1742" s="420"/>
      <c r="Y1742" s="420"/>
      <c r="Z1742" s="1"/>
      <c r="AA1742" s="1"/>
      <c r="AB1742" s="1"/>
      <c r="AC1742" s="1"/>
      <c r="AD1742" s="1"/>
    </row>
    <row r="1743" spans="17:30">
      <c r="Q1743" s="6">
        <v>1713</v>
      </c>
      <c r="R1743" s="7">
        <v>44380</v>
      </c>
      <c r="S1743" s="210">
        <v>4</v>
      </c>
      <c r="T1743" s="8">
        <v>1.0001111111111112</v>
      </c>
      <c r="U1743" s="98">
        <v>3.7015574610478996</v>
      </c>
      <c r="V1743" s="106">
        <v>29937.674874741693</v>
      </c>
      <c r="W1743" s="10">
        <v>0.83698315770970311</v>
      </c>
      <c r="X1743" s="420"/>
      <c r="Y1743" s="420"/>
      <c r="Z1743" s="1"/>
      <c r="AA1743" s="1"/>
      <c r="AB1743" s="1"/>
      <c r="AC1743" s="1"/>
      <c r="AD1743" s="1"/>
    </row>
    <row r="1744" spans="17:30">
      <c r="Q1744" s="6">
        <v>1714</v>
      </c>
      <c r="R1744" s="7">
        <v>44381</v>
      </c>
      <c r="S1744" s="210">
        <v>4</v>
      </c>
      <c r="T1744" s="8">
        <v>1.0001111111111112</v>
      </c>
      <c r="U1744" s="98">
        <v>3.7018119569974584</v>
      </c>
      <c r="V1744" s="106">
        <v>29940.083708291499</v>
      </c>
      <c r="W1744" s="10">
        <v>0.83715088595190945</v>
      </c>
      <c r="X1744" s="420"/>
      <c r="Y1744" s="420"/>
      <c r="Z1744" s="1"/>
      <c r="AA1744" s="1"/>
      <c r="AB1744" s="1"/>
      <c r="AC1744" s="1"/>
      <c r="AD1744" s="1"/>
    </row>
    <row r="1745" spans="17:30">
      <c r="Q1745" s="6">
        <v>1715</v>
      </c>
      <c r="R1745" s="7">
        <v>44382</v>
      </c>
      <c r="S1745" s="210">
        <v>4</v>
      </c>
      <c r="T1745" s="8">
        <v>1.0001111111111112</v>
      </c>
      <c r="U1745" s="98">
        <v>3.7020661567821911</v>
      </c>
      <c r="V1745" s="106">
        <v>29942.492735659936</v>
      </c>
      <c r="W1745" s="10">
        <v>0.83731841887115799</v>
      </c>
      <c r="X1745" s="420"/>
      <c r="Y1745" s="420"/>
      <c r="Z1745" s="1"/>
      <c r="AA1745" s="1"/>
      <c r="AB1745" s="1"/>
      <c r="AC1745" s="1"/>
      <c r="AD1745" s="1"/>
    </row>
    <row r="1746" spans="17:30">
      <c r="Q1746" s="6">
        <v>1716</v>
      </c>
      <c r="R1746" s="7">
        <v>44383</v>
      </c>
      <c r="S1746" s="210">
        <v>4</v>
      </c>
      <c r="T1746" s="8">
        <v>1.0001111111111112</v>
      </c>
      <c r="U1746" s="98">
        <v>3.7023200609188178</v>
      </c>
      <c r="V1746" s="106">
        <v>29944.901956862588</v>
      </c>
      <c r="W1746" s="10">
        <v>0.83748575680848703</v>
      </c>
      <c r="X1746" s="420"/>
      <c r="Y1746" s="420"/>
      <c r="Z1746" s="1"/>
      <c r="AA1746" s="1"/>
      <c r="AB1746" s="1"/>
      <c r="AC1746" s="1"/>
      <c r="AD1746" s="1"/>
    </row>
    <row r="1747" spans="17:30">
      <c r="Q1747" s="6">
        <v>1717</v>
      </c>
      <c r="R1747" s="7">
        <v>44384</v>
      </c>
      <c r="S1747" s="210">
        <v>4</v>
      </c>
      <c r="T1747" s="8">
        <v>1.0001111111111112</v>
      </c>
      <c r="U1747" s="98">
        <v>3.7025736699227929</v>
      </c>
      <c r="V1747" s="106">
        <v>29947.311371915068</v>
      </c>
      <c r="W1747" s="10">
        <v>0.83765290010402449</v>
      </c>
      <c r="X1747" s="420"/>
      <c r="Y1747" s="420"/>
      <c r="Z1747" s="1"/>
      <c r="AA1747" s="1"/>
      <c r="AB1747" s="1"/>
      <c r="AC1747" s="1"/>
      <c r="AD1747" s="1"/>
    </row>
    <row r="1748" spans="17:30">
      <c r="Q1748" s="6">
        <v>1718</v>
      </c>
      <c r="R1748" s="7">
        <v>44385</v>
      </c>
      <c r="S1748" s="210">
        <v>4</v>
      </c>
      <c r="T1748" s="8">
        <v>1.0001111111111112</v>
      </c>
      <c r="U1748" s="98">
        <v>3.7028269843084161</v>
      </c>
      <c r="V1748" s="106">
        <v>29949.720980832961</v>
      </c>
      <c r="W1748" s="10">
        <v>0.83781984909720997</v>
      </c>
      <c r="X1748" s="420"/>
      <c r="Y1748" s="420"/>
      <c r="Z1748" s="1"/>
      <c r="AA1748" s="1"/>
      <c r="AB1748" s="1"/>
      <c r="AC1748" s="1"/>
      <c r="AD1748" s="1"/>
    </row>
    <row r="1749" spans="17:30">
      <c r="Q1749" s="6">
        <v>1719</v>
      </c>
      <c r="R1749" s="7">
        <v>44386</v>
      </c>
      <c r="S1749" s="210">
        <v>4</v>
      </c>
      <c r="T1749" s="8">
        <v>1.0001111111111112</v>
      </c>
      <c r="U1749" s="98">
        <v>3.7030800045887657</v>
      </c>
      <c r="V1749" s="106">
        <v>29952.130783631867</v>
      </c>
      <c r="W1749" s="10">
        <v>0.83798660412666148</v>
      </c>
      <c r="X1749" s="420"/>
      <c r="Y1749" s="420"/>
      <c r="Z1749" s="1"/>
      <c r="AA1749" s="1"/>
      <c r="AB1749" s="1"/>
      <c r="AC1749" s="1"/>
      <c r="AD1749" s="1"/>
    </row>
    <row r="1750" spans="17:30">
      <c r="Q1750" s="6">
        <v>1720</v>
      </c>
      <c r="R1750" s="7">
        <v>44387</v>
      </c>
      <c r="S1750" s="210">
        <v>4</v>
      </c>
      <c r="T1750" s="8">
        <v>1.0001111111111112</v>
      </c>
      <c r="U1750" s="98">
        <v>3.7033327312757436</v>
      </c>
      <c r="V1750" s="106">
        <v>29954.463035471861</v>
      </c>
      <c r="W1750" s="10">
        <v>0.8382087046482134</v>
      </c>
      <c r="X1750" s="420"/>
      <c r="Y1750" s="420"/>
      <c r="Z1750" s="1"/>
      <c r="AA1750" s="1"/>
      <c r="AB1750" s="1"/>
      <c r="AC1750" s="1"/>
      <c r="AD1750" s="1"/>
    </row>
    <row r="1751" spans="17:30">
      <c r="Q1751" s="6">
        <v>1721</v>
      </c>
      <c r="R1751" s="7">
        <v>44388</v>
      </c>
      <c r="S1751" s="210">
        <v>4</v>
      </c>
      <c r="T1751" s="8">
        <v>1.0001111111111112</v>
      </c>
      <c r="U1751" s="98">
        <v>3.7035851648800522</v>
      </c>
      <c r="V1751" s="106">
        <v>29956.795468914919</v>
      </c>
      <c r="W1751" s="10">
        <v>0.8384305475517051</v>
      </c>
      <c r="X1751" s="420"/>
      <c r="Y1751" s="420"/>
      <c r="Z1751" s="1"/>
      <c r="AA1751" s="1"/>
      <c r="AB1751" s="1"/>
      <c r="AC1751" s="1"/>
      <c r="AD1751" s="1"/>
    </row>
    <row r="1752" spans="17:30">
      <c r="Q1752" s="6">
        <v>1722</v>
      </c>
      <c r="R1752" s="7">
        <v>44389</v>
      </c>
      <c r="S1752" s="210">
        <v>4</v>
      </c>
      <c r="T1752" s="8">
        <v>1.0001111111111112</v>
      </c>
      <c r="U1752" s="98">
        <v>3.7038373059112395</v>
      </c>
      <c r="V1752" s="106">
        <v>29959.128083975174</v>
      </c>
      <c r="W1752" s="10">
        <v>0.83865213328515598</v>
      </c>
      <c r="X1752" s="420"/>
      <c r="Y1752" s="420"/>
      <c r="Z1752" s="1"/>
      <c r="AA1752" s="1"/>
      <c r="AB1752" s="1"/>
      <c r="AC1752" s="1"/>
      <c r="AD1752" s="1"/>
    </row>
    <row r="1753" spans="17:30">
      <c r="Q1753" s="6">
        <v>1723</v>
      </c>
      <c r="R1753" s="7">
        <v>44390</v>
      </c>
      <c r="S1753" s="210">
        <v>4</v>
      </c>
      <c r="T1753" s="8">
        <v>1.0001111111111112</v>
      </c>
      <c r="U1753" s="98">
        <v>3.7040891548776322</v>
      </c>
      <c r="V1753" s="106">
        <v>29961.460880666771</v>
      </c>
      <c r="W1753" s="10">
        <v>0.83887346229547521</v>
      </c>
      <c r="X1753" s="420"/>
      <c r="Y1753" s="420"/>
      <c r="Z1753" s="1"/>
      <c r="AA1753" s="1"/>
      <c r="AB1753" s="1"/>
      <c r="AC1753" s="1"/>
      <c r="AD1753" s="1"/>
    </row>
    <row r="1754" spans="17:30">
      <c r="Q1754" s="6">
        <v>1724</v>
      </c>
      <c r="R1754" s="7">
        <v>44391</v>
      </c>
      <c r="S1754" s="210">
        <v>4</v>
      </c>
      <c r="T1754" s="8">
        <v>1.0001111111111112</v>
      </c>
      <c r="U1754" s="98">
        <v>3.7043407122864247</v>
      </c>
      <c r="V1754" s="106">
        <v>29963.793859003865</v>
      </c>
      <c r="W1754" s="10">
        <v>0.83909453502852838</v>
      </c>
      <c r="X1754" s="420"/>
      <c r="Y1754" s="420"/>
      <c r="Z1754" s="1"/>
      <c r="AA1754" s="1"/>
      <c r="AB1754" s="1"/>
      <c r="AC1754" s="1"/>
      <c r="AD1754" s="1"/>
    </row>
    <row r="1755" spans="17:30">
      <c r="Q1755" s="6">
        <v>1725</v>
      </c>
      <c r="R1755" s="7">
        <v>44392</v>
      </c>
      <c r="S1755" s="210">
        <v>4</v>
      </c>
      <c r="T1755" s="8">
        <v>1.0001111111111112</v>
      </c>
      <c r="U1755" s="98">
        <v>3.7045919786435899</v>
      </c>
      <c r="V1755" s="106">
        <v>29966.127019000578</v>
      </c>
      <c r="W1755" s="10">
        <v>0.83931535192920403</v>
      </c>
      <c r="X1755" s="420"/>
      <c r="Y1755" s="420"/>
      <c r="Z1755" s="1"/>
      <c r="AA1755" s="1"/>
      <c r="AB1755" s="1"/>
      <c r="AC1755" s="1"/>
      <c r="AD1755" s="1"/>
    </row>
    <row r="1756" spans="17:30">
      <c r="Q1756" s="6">
        <v>1726</v>
      </c>
      <c r="R1756" s="7">
        <v>44393</v>
      </c>
      <c r="S1756" s="210">
        <v>4</v>
      </c>
      <c r="T1756" s="8">
        <v>1.0001111111111112</v>
      </c>
      <c r="U1756" s="98">
        <v>3.7048429544539685</v>
      </c>
      <c r="V1756" s="106">
        <v>29968.460360671073</v>
      </c>
      <c r="W1756" s="10">
        <v>0.83953591344132494</v>
      </c>
      <c r="X1756" s="420"/>
      <c r="Y1756" s="420"/>
      <c r="Z1756" s="1"/>
      <c r="AA1756" s="1"/>
      <c r="AB1756" s="1"/>
      <c r="AC1756" s="1"/>
      <c r="AD1756" s="1"/>
    </row>
    <row r="1757" spans="17:30">
      <c r="Q1757" s="6">
        <v>1727</v>
      </c>
      <c r="R1757" s="7">
        <v>44394</v>
      </c>
      <c r="S1757" s="210">
        <v>4</v>
      </c>
      <c r="T1757" s="8">
        <v>1.0001111111111112</v>
      </c>
      <c r="U1757" s="98">
        <v>3.7050936402212242</v>
      </c>
      <c r="V1757" s="106">
        <v>29970.793884029492</v>
      </c>
      <c r="W1757" s="10">
        <v>0.83975622000769246</v>
      </c>
      <c r="X1757" s="420"/>
      <c r="Y1757" s="420"/>
      <c r="Z1757" s="1"/>
      <c r="AA1757" s="1"/>
      <c r="AB1757" s="1"/>
      <c r="AC1757" s="1"/>
      <c r="AD1757" s="1"/>
    </row>
    <row r="1758" spans="17:30">
      <c r="Q1758" s="6">
        <v>1728</v>
      </c>
      <c r="R1758" s="7">
        <v>44395</v>
      </c>
      <c r="S1758" s="210">
        <v>4</v>
      </c>
      <c r="T1758" s="8">
        <v>1.0001111111111112</v>
      </c>
      <c r="U1758" s="98">
        <v>3.705344036447844</v>
      </c>
      <c r="V1758" s="106">
        <v>29973.127589089974</v>
      </c>
      <c r="W1758" s="10">
        <v>0.83997627207006431</v>
      </c>
      <c r="X1758" s="420"/>
      <c r="Y1758" s="420"/>
      <c r="Z1758" s="1"/>
      <c r="AA1758" s="1"/>
      <c r="AB1758" s="1"/>
      <c r="AC1758" s="1"/>
      <c r="AD1758" s="1"/>
    </row>
    <row r="1759" spans="17:30">
      <c r="Q1759" s="6">
        <v>1729</v>
      </c>
      <c r="R1759" s="7">
        <v>44396</v>
      </c>
      <c r="S1759" s="210">
        <v>4</v>
      </c>
      <c r="T1759" s="8">
        <v>1.0001111111111112</v>
      </c>
      <c r="U1759" s="98">
        <v>3.7055941436351603</v>
      </c>
      <c r="V1759" s="106">
        <v>29975.461475866676</v>
      </c>
      <c r="W1759" s="10">
        <v>0.84019607006924346</v>
      </c>
      <c r="X1759" s="420"/>
      <c r="Y1759" s="420"/>
      <c r="Z1759" s="1"/>
      <c r="AA1759" s="1"/>
      <c r="AB1759" s="1"/>
      <c r="AC1759" s="1"/>
      <c r="AD1759" s="1"/>
    </row>
    <row r="1760" spans="17:30">
      <c r="Q1760" s="6">
        <v>1730</v>
      </c>
      <c r="R1760" s="7">
        <v>44397</v>
      </c>
      <c r="S1760" s="210">
        <v>4</v>
      </c>
      <c r="T1760" s="8">
        <v>1.0001111111111112</v>
      </c>
      <c r="U1760" s="98">
        <v>3.7058439622833728</v>
      </c>
      <c r="V1760" s="106">
        <v>29977.795544373752</v>
      </c>
      <c r="W1760" s="10">
        <v>0.84041561444492263</v>
      </c>
      <c r="X1760" s="420"/>
      <c r="Y1760" s="420"/>
      <c r="Z1760" s="1"/>
      <c r="AA1760" s="1"/>
      <c r="AB1760" s="1"/>
      <c r="AC1760" s="1"/>
      <c r="AD1760" s="1"/>
    </row>
    <row r="1761" spans="17:30">
      <c r="Q1761" s="6">
        <v>1731</v>
      </c>
      <c r="R1761" s="7">
        <v>44398</v>
      </c>
      <c r="S1761" s="210">
        <v>4</v>
      </c>
      <c r="T1761" s="8">
        <v>1.0001111111111112</v>
      </c>
      <c r="U1761" s="98">
        <v>3.7060934928914824</v>
      </c>
      <c r="V1761" s="106">
        <v>29980.129794625336</v>
      </c>
      <c r="W1761" s="10">
        <v>0.84063490563586196</v>
      </c>
      <c r="X1761" s="420"/>
      <c r="Y1761" s="420"/>
      <c r="Z1761" s="1"/>
      <c r="AA1761" s="1"/>
      <c r="AB1761" s="1"/>
      <c r="AC1761" s="1"/>
      <c r="AD1761" s="1"/>
    </row>
    <row r="1762" spans="17:30">
      <c r="Q1762" s="6">
        <v>1732</v>
      </c>
      <c r="R1762" s="7">
        <v>44399</v>
      </c>
      <c r="S1762" s="210">
        <v>4</v>
      </c>
      <c r="T1762" s="8">
        <v>1.0001111111111112</v>
      </c>
      <c r="U1762" s="98">
        <v>3.7063427359573797</v>
      </c>
      <c r="V1762" s="106">
        <v>29982.464226635599</v>
      </c>
      <c r="W1762" s="10">
        <v>0.84085394407975578</v>
      </c>
      <c r="X1762" s="420"/>
      <c r="Y1762" s="420"/>
      <c r="Z1762" s="1"/>
      <c r="AA1762" s="1"/>
      <c r="AB1762" s="1"/>
      <c r="AC1762" s="1"/>
      <c r="AD1762" s="1"/>
    </row>
    <row r="1763" spans="17:30">
      <c r="Q1763" s="6">
        <v>1733</v>
      </c>
      <c r="R1763" s="7">
        <v>44400</v>
      </c>
      <c r="S1763" s="210">
        <v>4</v>
      </c>
      <c r="T1763" s="8">
        <v>1.0001111111111112</v>
      </c>
      <c r="U1763" s="98">
        <v>3.7065916919778008</v>
      </c>
      <c r="V1763" s="106">
        <v>29984.79884041868</v>
      </c>
      <c r="W1763" s="10">
        <v>0.84107273021334361</v>
      </c>
      <c r="X1763" s="420"/>
      <c r="Y1763" s="420"/>
      <c r="Z1763" s="1"/>
      <c r="AA1763" s="1"/>
      <c r="AB1763" s="1"/>
      <c r="AC1763" s="1"/>
      <c r="AD1763" s="1"/>
    </row>
    <row r="1764" spans="17:30">
      <c r="Q1764" s="6">
        <v>1734</v>
      </c>
      <c r="R1764" s="7">
        <v>44401</v>
      </c>
      <c r="S1764" s="210">
        <v>4</v>
      </c>
      <c r="T1764" s="8">
        <v>1.0001111111111112</v>
      </c>
      <c r="U1764" s="98">
        <v>3.706840361448327</v>
      </c>
      <c r="V1764" s="106">
        <v>29987.133635988735</v>
      </c>
      <c r="W1764" s="10">
        <v>0.84129126447232139</v>
      </c>
      <c r="X1764" s="420"/>
      <c r="Y1764" s="420"/>
      <c r="Z1764" s="1"/>
      <c r="AA1764" s="1"/>
      <c r="AB1764" s="1"/>
      <c r="AC1764" s="1"/>
      <c r="AD1764" s="1"/>
    </row>
    <row r="1765" spans="17:30">
      <c r="Q1765" s="6">
        <v>1735</v>
      </c>
      <c r="R1765" s="7">
        <v>44402</v>
      </c>
      <c r="S1765" s="210">
        <v>4</v>
      </c>
      <c r="T1765" s="8">
        <v>1.0001111111111112</v>
      </c>
      <c r="U1765" s="98">
        <v>3.7070887448633849</v>
      </c>
      <c r="V1765" s="106">
        <v>29989.468613359928</v>
      </c>
      <c r="W1765" s="10">
        <v>0.84150954729134142</v>
      </c>
      <c r="X1765" s="420"/>
      <c r="Y1765" s="420"/>
      <c r="Z1765" s="1"/>
      <c r="AA1765" s="1"/>
      <c r="AB1765" s="1"/>
      <c r="AC1765" s="1"/>
      <c r="AD1765" s="1"/>
    </row>
    <row r="1766" spans="17:30">
      <c r="Q1766" s="6">
        <v>1736</v>
      </c>
      <c r="R1766" s="7">
        <v>44403</v>
      </c>
      <c r="S1766" s="210">
        <v>4</v>
      </c>
      <c r="T1766" s="8">
        <v>1.0001111111111112</v>
      </c>
      <c r="U1766" s="98">
        <v>3.7073368427163134</v>
      </c>
      <c r="V1766" s="106">
        <v>29991.803772546398</v>
      </c>
      <c r="W1766" s="10">
        <v>0.84172757910419005</v>
      </c>
      <c r="X1766" s="420"/>
      <c r="Y1766" s="420"/>
      <c r="Z1766" s="1"/>
      <c r="AA1766" s="1"/>
      <c r="AB1766" s="1"/>
      <c r="AC1766" s="1"/>
      <c r="AD1766" s="1"/>
    </row>
    <row r="1767" spans="17:30">
      <c r="Q1767" s="6">
        <v>1737</v>
      </c>
      <c r="R1767" s="7">
        <v>44404</v>
      </c>
      <c r="S1767" s="210">
        <v>4</v>
      </c>
      <c r="T1767" s="8">
        <v>1.0001111111111112</v>
      </c>
      <c r="U1767" s="98">
        <v>3.7075846554992742</v>
      </c>
      <c r="V1767" s="106">
        <v>29994.13911356232</v>
      </c>
      <c r="W1767" s="10">
        <v>0.84194536034349898</v>
      </c>
      <c r="X1767" s="420"/>
      <c r="Y1767" s="420"/>
      <c r="Z1767" s="1"/>
      <c r="AA1767" s="1"/>
      <c r="AB1767" s="1"/>
      <c r="AC1767" s="1"/>
      <c r="AD1767" s="1"/>
    </row>
    <row r="1768" spans="17:30">
      <c r="Q1768" s="6">
        <v>1738</v>
      </c>
      <c r="R1768" s="7">
        <v>44405</v>
      </c>
      <c r="S1768" s="210">
        <v>4</v>
      </c>
      <c r="T1768" s="8">
        <v>1.0001111111111112</v>
      </c>
      <c r="U1768" s="98">
        <v>3.7078321837032968</v>
      </c>
      <c r="V1768" s="106">
        <v>29996.474636421848</v>
      </c>
      <c r="W1768" s="10">
        <v>0.84216289144098955</v>
      </c>
      <c r="X1768" s="420"/>
      <c r="Y1768" s="420"/>
      <c r="Z1768" s="1"/>
      <c r="AA1768" s="1"/>
      <c r="AB1768" s="1"/>
      <c r="AC1768" s="1"/>
      <c r="AD1768" s="1"/>
    </row>
    <row r="1769" spans="17:30">
      <c r="Q1769" s="6">
        <v>1739</v>
      </c>
      <c r="R1769" s="7">
        <v>44406</v>
      </c>
      <c r="S1769" s="210">
        <v>4</v>
      </c>
      <c r="T1769" s="8">
        <v>1.0001111111111112</v>
      </c>
      <c r="U1769" s="98">
        <v>3.7080794278183227</v>
      </c>
      <c r="V1769" s="106">
        <v>29998.810341139135</v>
      </c>
      <c r="W1769" s="10">
        <v>0.84238017282742828</v>
      </c>
      <c r="X1769" s="420"/>
      <c r="Y1769" s="420"/>
      <c r="Z1769" s="1"/>
      <c r="AA1769" s="1"/>
      <c r="AB1769" s="1"/>
      <c r="AC1769" s="1"/>
      <c r="AD1769" s="1"/>
    </row>
    <row r="1770" spans="17:30">
      <c r="Q1770" s="6">
        <v>1740</v>
      </c>
      <c r="R1770" s="7">
        <v>44407</v>
      </c>
      <c r="S1770" s="210">
        <v>4</v>
      </c>
      <c r="T1770" s="8">
        <v>1.0001111111111112</v>
      </c>
      <c r="U1770" s="98">
        <v>3.7083263883331385</v>
      </c>
      <c r="V1770" s="106">
        <v>30001.146227728343</v>
      </c>
      <c r="W1770" s="10">
        <v>0.84259720493249368</v>
      </c>
      <c r="X1770" s="420"/>
      <c r="Y1770" s="420"/>
      <c r="Z1770" s="1"/>
      <c r="AA1770" s="1"/>
      <c r="AB1770" s="1"/>
      <c r="AC1770" s="1"/>
      <c r="AD1770" s="1"/>
    </row>
    <row r="1771" spans="17:30">
      <c r="Q1771" s="6">
        <v>1741</v>
      </c>
      <c r="R1771" s="7">
        <v>44408</v>
      </c>
      <c r="S1771" s="210">
        <v>4</v>
      </c>
      <c r="T1771" s="8">
        <v>1.0001111111111112</v>
      </c>
      <c r="U1771" s="98">
        <v>3.708573065735421</v>
      </c>
      <c r="V1771" s="106">
        <v>30003.482296203638</v>
      </c>
      <c r="W1771" s="10">
        <v>0.8428139881849317</v>
      </c>
      <c r="X1771" s="420"/>
      <c r="Y1771" s="420"/>
      <c r="Z1771" s="1"/>
      <c r="AA1771" s="1"/>
      <c r="AB1771" s="1"/>
      <c r="AC1771" s="1"/>
      <c r="AD1771" s="1"/>
    </row>
    <row r="1772" spans="17:30">
      <c r="Q1772" s="6">
        <v>1742</v>
      </c>
      <c r="R1772" s="7">
        <v>44409</v>
      </c>
      <c r="S1772" s="210">
        <v>4</v>
      </c>
      <c r="T1772" s="8">
        <v>1.0001111111111112</v>
      </c>
      <c r="U1772" s="98">
        <v>3.7088194605117142</v>
      </c>
      <c r="V1772" s="106">
        <v>30005.818546579183</v>
      </c>
      <c r="W1772" s="10">
        <v>0.84303052301253345</v>
      </c>
      <c r="X1772" s="420"/>
      <c r="Y1772" s="420"/>
      <c r="Z1772" s="1"/>
      <c r="AA1772" s="1"/>
      <c r="AB1772" s="1"/>
      <c r="AC1772" s="1"/>
      <c r="AD1772" s="1"/>
    </row>
    <row r="1773" spans="17:30">
      <c r="Q1773" s="6">
        <v>1743</v>
      </c>
      <c r="R1773" s="7">
        <v>44410</v>
      </c>
      <c r="S1773" s="210">
        <v>4</v>
      </c>
      <c r="T1773" s="8">
        <v>1.0001111111111112</v>
      </c>
      <c r="U1773" s="98">
        <v>3.709065573147452</v>
      </c>
      <c r="V1773" s="106">
        <v>30008.154978869134</v>
      </c>
      <c r="W1773" s="10">
        <v>0.84324680984206868</v>
      </c>
      <c r="X1773" s="420"/>
      <c r="Y1773" s="420"/>
      <c r="Z1773" s="1"/>
      <c r="AA1773" s="1"/>
      <c r="AB1773" s="1"/>
      <c r="AC1773" s="1"/>
      <c r="AD1773" s="1"/>
    </row>
    <row r="1774" spans="17:30">
      <c r="Q1774" s="6">
        <v>1744</v>
      </c>
      <c r="R1774" s="7">
        <v>44411</v>
      </c>
      <c r="S1774" s="210">
        <v>4</v>
      </c>
      <c r="T1774" s="8">
        <v>1.0001111111111112</v>
      </c>
      <c r="U1774" s="98">
        <v>3.7093114041269803</v>
      </c>
      <c r="V1774" s="106">
        <v>30010.491593087663</v>
      </c>
      <c r="W1774" s="10">
        <v>0.84346284909933011</v>
      </c>
      <c r="X1774" s="420"/>
      <c r="Y1774" s="420"/>
      <c r="Z1774" s="1"/>
      <c r="AA1774" s="1"/>
      <c r="AB1774" s="1"/>
      <c r="AC1774" s="1"/>
      <c r="AD1774" s="1"/>
    </row>
    <row r="1775" spans="17:30">
      <c r="Q1775" s="6">
        <v>1745</v>
      </c>
      <c r="R1775" s="7">
        <v>44412</v>
      </c>
      <c r="S1775" s="210">
        <v>4</v>
      </c>
      <c r="T1775" s="8">
        <v>1.0001111111111112</v>
      </c>
      <c r="U1775" s="98">
        <v>3.7095569539335127</v>
      </c>
      <c r="V1775" s="106">
        <v>30012.828389248934</v>
      </c>
      <c r="W1775" s="10">
        <v>0.8436786412091557</v>
      </c>
      <c r="X1775" s="420"/>
      <c r="Y1775" s="420"/>
      <c r="Z1775" s="1"/>
      <c r="AA1775" s="1"/>
      <c r="AB1775" s="1"/>
      <c r="AC1775" s="1"/>
      <c r="AD1775" s="1"/>
    </row>
    <row r="1776" spans="17:30">
      <c r="Q1776" s="6">
        <v>1746</v>
      </c>
      <c r="R1776" s="7">
        <v>44413</v>
      </c>
      <c r="S1776" s="210">
        <v>4</v>
      </c>
      <c r="T1776" s="8">
        <v>1.0001111111111112</v>
      </c>
      <c r="U1776" s="98">
        <v>3.7098022230491745</v>
      </c>
      <c r="V1776" s="106">
        <v>30015.165367367114</v>
      </c>
      <c r="W1776" s="10">
        <v>0.84389418659540638</v>
      </c>
      <c r="X1776" s="420"/>
      <c r="Y1776" s="420"/>
      <c r="Z1776" s="1"/>
      <c r="AA1776" s="1"/>
      <c r="AB1776" s="1"/>
      <c r="AC1776" s="1"/>
      <c r="AD1776" s="1"/>
    </row>
    <row r="1777" spans="17:30">
      <c r="Q1777" s="6">
        <v>1747</v>
      </c>
      <c r="R1777" s="7">
        <v>44414</v>
      </c>
      <c r="S1777" s="210">
        <v>4</v>
      </c>
      <c r="T1777" s="8">
        <v>1.0001111111111112</v>
      </c>
      <c r="U1777" s="98">
        <v>3.710047211954981</v>
      </c>
      <c r="V1777" s="106">
        <v>30017.50252745637</v>
      </c>
      <c r="W1777" s="10">
        <v>0.84410948568096611</v>
      </c>
      <c r="X1777" s="420"/>
      <c r="Y1777" s="420"/>
      <c r="Z1777" s="1"/>
      <c r="AA1777" s="1"/>
      <c r="AB1777" s="1"/>
      <c r="AC1777" s="1"/>
      <c r="AD1777" s="1"/>
    </row>
    <row r="1778" spans="17:30">
      <c r="Q1778" s="6">
        <v>1748</v>
      </c>
      <c r="R1778" s="7">
        <v>44415</v>
      </c>
      <c r="S1778" s="210">
        <v>4</v>
      </c>
      <c r="T1778" s="8">
        <v>1.0001111111111112</v>
      </c>
      <c r="U1778" s="98">
        <v>3.7102919211308594</v>
      </c>
      <c r="V1778" s="106">
        <v>30019.839869530879</v>
      </c>
      <c r="W1778" s="10">
        <v>0.84432453888778625</v>
      </c>
      <c r="X1778" s="420"/>
      <c r="Y1778" s="420"/>
      <c r="Z1778" s="1"/>
      <c r="AA1778" s="1"/>
      <c r="AB1778" s="1"/>
      <c r="AC1778" s="1"/>
      <c r="AD1778" s="1"/>
    </row>
    <row r="1779" spans="17:30">
      <c r="Q1779" s="6">
        <v>1749</v>
      </c>
      <c r="R1779" s="7">
        <v>44416</v>
      </c>
      <c r="S1779" s="210">
        <v>4</v>
      </c>
      <c r="T1779" s="8">
        <v>1.0001111111111112</v>
      </c>
      <c r="U1779" s="98">
        <v>3.7105363510556044</v>
      </c>
      <c r="V1779" s="106">
        <v>30022.177393604798</v>
      </c>
      <c r="W1779" s="10">
        <v>0.84453934663681896</v>
      </c>
      <c r="X1779" s="420"/>
      <c r="Y1779" s="420"/>
      <c r="Z1779" s="1"/>
      <c r="AA1779" s="1"/>
      <c r="AB1779" s="1"/>
      <c r="AC1779" s="1"/>
      <c r="AD1779" s="1"/>
    </row>
    <row r="1780" spans="17:30">
      <c r="Q1780" s="6">
        <v>1750</v>
      </c>
      <c r="R1780" s="7">
        <v>44417</v>
      </c>
      <c r="S1780" s="210">
        <v>4</v>
      </c>
      <c r="T1780" s="8">
        <v>1.0001111111111112</v>
      </c>
      <c r="U1780" s="98">
        <v>3.7107805022069673</v>
      </c>
      <c r="V1780" s="106">
        <v>30024.515099692311</v>
      </c>
      <c r="W1780" s="10">
        <v>0.8447539093480394</v>
      </c>
      <c r="X1780" s="420"/>
      <c r="Y1780" s="420"/>
      <c r="Z1780" s="1"/>
      <c r="AA1780" s="1"/>
      <c r="AB1780" s="1"/>
      <c r="AC1780" s="1"/>
      <c r="AD1780" s="1"/>
    </row>
    <row r="1781" spans="17:30">
      <c r="Q1781" s="6">
        <v>1751</v>
      </c>
      <c r="R1781" s="7">
        <v>44418</v>
      </c>
      <c r="S1781" s="210">
        <v>4</v>
      </c>
      <c r="T1781" s="8">
        <v>1.0001111111111112</v>
      </c>
      <c r="U1781" s="98">
        <v>3.711024375061589</v>
      </c>
      <c r="V1781" s="106">
        <v>30026.852987807586</v>
      </c>
      <c r="W1781" s="10">
        <v>0.84496822744051236</v>
      </c>
      <c r="X1781" s="420"/>
      <c r="Y1781" s="420"/>
      <c r="Z1781" s="1"/>
      <c r="AA1781" s="1"/>
      <c r="AB1781" s="1"/>
      <c r="AC1781" s="1"/>
      <c r="AD1781" s="1"/>
    </row>
    <row r="1782" spans="17:30">
      <c r="Q1782" s="6">
        <v>1752</v>
      </c>
      <c r="R1782" s="7">
        <v>44419</v>
      </c>
      <c r="S1782" s="210">
        <v>4</v>
      </c>
      <c r="T1782" s="8">
        <v>1.0001111111111112</v>
      </c>
      <c r="U1782" s="98">
        <v>3.7112679700950224</v>
      </c>
      <c r="V1782" s="106">
        <v>30029.191057964796</v>
      </c>
      <c r="W1782" s="10">
        <v>0.84518230133232564</v>
      </c>
      <c r="X1782" s="420"/>
      <c r="Y1782" s="420"/>
      <c r="Z1782" s="1"/>
      <c r="AA1782" s="1"/>
      <c r="AB1782" s="1"/>
      <c r="AC1782" s="1"/>
      <c r="AD1782" s="1"/>
    </row>
    <row r="1783" spans="17:30">
      <c r="Q1783" s="6">
        <v>1753</v>
      </c>
      <c r="R1783" s="7">
        <v>44420</v>
      </c>
      <c r="S1783" s="210">
        <v>4</v>
      </c>
      <c r="T1783" s="8">
        <v>1.0001111111111112</v>
      </c>
      <c r="U1783" s="98">
        <v>3.7115112877817324</v>
      </c>
      <c r="V1783" s="106">
        <v>30031.529310178114</v>
      </c>
      <c r="W1783" s="10">
        <v>0.84539613144063441</v>
      </c>
      <c r="X1783" s="420"/>
      <c r="Y1783" s="420"/>
      <c r="Z1783" s="1"/>
      <c r="AA1783" s="1"/>
      <c r="AB1783" s="1"/>
      <c r="AC1783" s="1"/>
      <c r="AD1783" s="1"/>
    </row>
    <row r="1784" spans="17:30">
      <c r="Q1784" s="6">
        <v>1754</v>
      </c>
      <c r="R1784" s="7">
        <v>44421</v>
      </c>
      <c r="S1784" s="210">
        <v>4</v>
      </c>
      <c r="T1784" s="8">
        <v>1.0001111111111112</v>
      </c>
      <c r="U1784" s="98">
        <v>3.7117543285951182</v>
      </c>
      <c r="V1784" s="106">
        <v>30033.867744461717</v>
      </c>
      <c r="W1784" s="10">
        <v>0.84560971818159469</v>
      </c>
      <c r="X1784" s="420"/>
      <c r="Y1784" s="420"/>
      <c r="Z1784" s="1"/>
      <c r="AA1784" s="1"/>
      <c r="AB1784" s="1"/>
      <c r="AC1784" s="1"/>
      <c r="AD1784" s="1"/>
    </row>
    <row r="1785" spans="17:30">
      <c r="Q1785" s="6">
        <v>1755</v>
      </c>
      <c r="R1785" s="7">
        <v>44422</v>
      </c>
      <c r="S1785" s="210">
        <v>4</v>
      </c>
      <c r="T1785" s="8">
        <v>1.0001111111111112</v>
      </c>
      <c r="U1785" s="98">
        <v>3.7119970930074908</v>
      </c>
      <c r="V1785" s="106">
        <v>30036.20636082979</v>
      </c>
      <c r="W1785" s="10">
        <v>0.84582306197042989</v>
      </c>
      <c r="X1785" s="420"/>
      <c r="Y1785" s="420"/>
      <c r="Z1785" s="1"/>
      <c r="AA1785" s="1"/>
      <c r="AB1785" s="1"/>
      <c r="AC1785" s="1"/>
      <c r="AD1785" s="1"/>
    </row>
    <row r="1786" spans="17:30">
      <c r="Q1786" s="6">
        <v>1756</v>
      </c>
      <c r="R1786" s="7">
        <v>44423</v>
      </c>
      <c r="S1786" s="210">
        <v>4</v>
      </c>
      <c r="T1786" s="8">
        <v>1.0001111111111112</v>
      </c>
      <c r="U1786" s="98">
        <v>3.7122395814900955</v>
      </c>
      <c r="V1786" s="106">
        <v>30038.545159296496</v>
      </c>
      <c r="W1786" s="10">
        <v>0.84603616322149744</v>
      </c>
      <c r="X1786" s="420"/>
      <c r="Y1786" s="420"/>
      <c r="Z1786" s="1"/>
      <c r="AA1786" s="1"/>
      <c r="AB1786" s="1"/>
      <c r="AC1786" s="1"/>
      <c r="AD1786" s="1"/>
    </row>
    <row r="1787" spans="17:30">
      <c r="Q1787" s="6">
        <v>1757</v>
      </c>
      <c r="R1787" s="7">
        <v>44424</v>
      </c>
      <c r="S1787" s="210">
        <v>4</v>
      </c>
      <c r="T1787" s="8">
        <v>1.0001111111111112</v>
      </c>
      <c r="U1787" s="98">
        <v>3.7124817945130895</v>
      </c>
      <c r="V1787" s="106">
        <v>30040.884139876031</v>
      </c>
      <c r="W1787" s="10">
        <v>0.84624902234808896</v>
      </c>
      <c r="X1787" s="420"/>
      <c r="Y1787" s="420"/>
      <c r="Z1787" s="1"/>
      <c r="AA1787" s="1"/>
      <c r="AB1787" s="1"/>
      <c r="AC1787" s="1"/>
      <c r="AD1787" s="1"/>
    </row>
    <row r="1788" spans="17:30">
      <c r="Q1788" s="6">
        <v>1758</v>
      </c>
      <c r="R1788" s="7">
        <v>44425</v>
      </c>
      <c r="S1788" s="210">
        <v>4</v>
      </c>
      <c r="T1788" s="8">
        <v>1.0001111111111112</v>
      </c>
      <c r="U1788" s="98">
        <v>3.7127237325455864</v>
      </c>
      <c r="V1788" s="106">
        <v>30043.223302582563</v>
      </c>
      <c r="W1788" s="10">
        <v>0.84646163976267452</v>
      </c>
      <c r="X1788" s="420"/>
      <c r="Y1788" s="420"/>
      <c r="Z1788" s="1"/>
      <c r="AA1788" s="1"/>
      <c r="AB1788" s="1"/>
      <c r="AC1788" s="1"/>
      <c r="AD1788" s="1"/>
    </row>
    <row r="1789" spans="17:30">
      <c r="Q1789" s="6">
        <v>1759</v>
      </c>
      <c r="R1789" s="7">
        <v>44426</v>
      </c>
      <c r="S1789" s="210">
        <v>4</v>
      </c>
      <c r="T1789" s="8">
        <v>1.0001111111111112</v>
      </c>
      <c r="U1789" s="98">
        <v>3.7129653960556341</v>
      </c>
      <c r="V1789" s="106">
        <v>30045.562647430277</v>
      </c>
      <c r="W1789" s="10">
        <v>0.84667401587668056</v>
      </c>
      <c r="X1789" s="420"/>
      <c r="Y1789" s="420"/>
      <c r="Z1789" s="1"/>
      <c r="AA1789" s="1"/>
      <c r="AB1789" s="1"/>
      <c r="AC1789" s="1"/>
      <c r="AD1789" s="1"/>
    </row>
    <row r="1790" spans="17:30">
      <c r="Q1790" s="6">
        <v>1760</v>
      </c>
      <c r="R1790" s="7">
        <v>44427</v>
      </c>
      <c r="S1790" s="210">
        <v>4</v>
      </c>
      <c r="T1790" s="8">
        <v>1.0001111111111112</v>
      </c>
      <c r="U1790" s="98">
        <v>3.7132067855102147</v>
      </c>
      <c r="V1790" s="106">
        <v>30047.902174433355</v>
      </c>
      <c r="W1790" s="10">
        <v>0.84688615110071197</v>
      </c>
      <c r="X1790" s="420"/>
      <c r="Y1790" s="420"/>
      <c r="Z1790" s="1"/>
      <c r="AA1790" s="1"/>
      <c r="AB1790" s="1"/>
      <c r="AC1790" s="1"/>
      <c r="AD1790" s="1"/>
    </row>
    <row r="1791" spans="17:30">
      <c r="Q1791" s="6">
        <v>1761</v>
      </c>
      <c r="R1791" s="7">
        <v>44428</v>
      </c>
      <c r="S1791" s="210">
        <v>4</v>
      </c>
      <c r="T1791" s="8">
        <v>1.0001111111111112</v>
      </c>
      <c r="U1791" s="98">
        <v>3.713447901375222</v>
      </c>
      <c r="V1791" s="106">
        <v>30050.241883605988</v>
      </c>
      <c r="W1791" s="10">
        <v>0.84709804584433002</v>
      </c>
      <c r="X1791" s="420"/>
      <c r="Y1791" s="420"/>
      <c r="Z1791" s="1"/>
      <c r="AA1791" s="1"/>
      <c r="AB1791" s="1"/>
      <c r="AC1791" s="1"/>
      <c r="AD1791" s="1"/>
    </row>
    <row r="1792" spans="17:30">
      <c r="Q1792" s="6">
        <v>1762</v>
      </c>
      <c r="R1792" s="7">
        <v>44429</v>
      </c>
      <c r="S1792" s="210">
        <v>4</v>
      </c>
      <c r="T1792" s="8">
        <v>1.0001111111111112</v>
      </c>
      <c r="U1792" s="98">
        <v>3.7136887441155508</v>
      </c>
      <c r="V1792" s="106">
        <v>30052.581774962349</v>
      </c>
      <c r="W1792" s="10">
        <v>0.84730970051627441</v>
      </c>
      <c r="X1792" s="420"/>
      <c r="Y1792" s="420"/>
      <c r="Z1792" s="1"/>
      <c r="AA1792" s="1"/>
      <c r="AB1792" s="1"/>
      <c r="AC1792" s="1"/>
      <c r="AD1792" s="1"/>
    </row>
    <row r="1793" spans="17:30">
      <c r="Q1793" s="6">
        <v>1763</v>
      </c>
      <c r="R1793" s="7">
        <v>44430</v>
      </c>
      <c r="S1793" s="210">
        <v>4</v>
      </c>
      <c r="T1793" s="8">
        <v>1.0001111111111112</v>
      </c>
      <c r="U1793" s="98">
        <v>3.7139293141949858</v>
      </c>
      <c r="V1793" s="106">
        <v>30054.921848516635</v>
      </c>
      <c r="W1793" s="10">
        <v>0.84752111552426346</v>
      </c>
      <c r="X1793" s="420"/>
      <c r="Y1793" s="420"/>
      <c r="Z1793" s="1"/>
      <c r="AA1793" s="1"/>
      <c r="AB1793" s="1"/>
      <c r="AC1793" s="1"/>
      <c r="AD1793" s="1"/>
    </row>
    <row r="1794" spans="17:30">
      <c r="Q1794" s="6">
        <v>1764</v>
      </c>
      <c r="R1794" s="7">
        <v>44431</v>
      </c>
      <c r="S1794" s="210">
        <v>4</v>
      </c>
      <c r="T1794" s="8">
        <v>1.0001111111111112</v>
      </c>
      <c r="U1794" s="98">
        <v>3.7141696120762902</v>
      </c>
      <c r="V1794" s="106">
        <v>30057.262104283025</v>
      </c>
      <c r="W1794" s="10">
        <v>0.84773229127514949</v>
      </c>
      <c r="X1794" s="420"/>
      <c r="Y1794" s="420"/>
      <c r="Z1794" s="1"/>
      <c r="AA1794" s="1"/>
      <c r="AB1794" s="1"/>
      <c r="AC1794" s="1"/>
      <c r="AD1794" s="1"/>
    </row>
    <row r="1795" spans="17:30">
      <c r="Q1795" s="6">
        <v>1765</v>
      </c>
      <c r="R1795" s="7">
        <v>44432</v>
      </c>
      <c r="S1795" s="210">
        <v>4</v>
      </c>
      <c r="T1795" s="8">
        <v>1.0001111111111112</v>
      </c>
      <c r="U1795" s="98">
        <v>3.7144096382211833</v>
      </c>
      <c r="V1795" s="106">
        <v>30059.602542275708</v>
      </c>
      <c r="W1795" s="10">
        <v>0.84794322817485224</v>
      </c>
      <c r="X1795" s="420"/>
      <c r="Y1795" s="420"/>
      <c r="Z1795" s="1"/>
      <c r="AA1795" s="1"/>
      <c r="AB1795" s="1"/>
      <c r="AC1795" s="1"/>
      <c r="AD1795" s="1"/>
    </row>
    <row r="1796" spans="17:30">
      <c r="Q1796" s="6">
        <v>1766</v>
      </c>
      <c r="R1796" s="7">
        <v>44433</v>
      </c>
      <c r="S1796" s="210">
        <v>4</v>
      </c>
      <c r="T1796" s="8">
        <v>1.0001111111111112</v>
      </c>
      <c r="U1796" s="98">
        <v>3.7146493930903413</v>
      </c>
      <c r="V1796" s="106">
        <v>30061.94316250888</v>
      </c>
      <c r="W1796" s="10">
        <v>0.84815392662838107</v>
      </c>
      <c r="X1796" s="420"/>
      <c r="Y1796" s="420"/>
      <c r="Z1796" s="1"/>
      <c r="AA1796" s="1"/>
      <c r="AB1796" s="1"/>
      <c r="AC1796" s="1"/>
      <c r="AD1796" s="1"/>
    </row>
    <row r="1797" spans="17:30">
      <c r="Q1797" s="6">
        <v>1767</v>
      </c>
      <c r="R1797" s="7">
        <v>44434</v>
      </c>
      <c r="S1797" s="210">
        <v>4</v>
      </c>
      <c r="T1797" s="8">
        <v>1.0001111111111112</v>
      </c>
      <c r="U1797" s="98">
        <v>3.7148888771433963</v>
      </c>
      <c r="V1797" s="106">
        <v>30064.283964996721</v>
      </c>
      <c r="W1797" s="10">
        <v>0.84836438703981276</v>
      </c>
      <c r="X1797" s="420"/>
      <c r="Y1797" s="420"/>
      <c r="Z1797" s="1"/>
      <c r="AA1797" s="1"/>
      <c r="AB1797" s="1"/>
      <c r="AC1797" s="1"/>
      <c r="AD1797" s="1"/>
    </row>
    <row r="1798" spans="17:30">
      <c r="Q1798" s="6">
        <v>1768</v>
      </c>
      <c r="R1798" s="7">
        <v>44435</v>
      </c>
      <c r="S1798" s="210">
        <v>4</v>
      </c>
      <c r="T1798" s="8">
        <v>1.0001111111111112</v>
      </c>
      <c r="U1798" s="98">
        <v>3.7151280908389372</v>
      </c>
      <c r="V1798" s="106">
        <v>30066.62494975343</v>
      </c>
      <c r="W1798" s="10">
        <v>0.8485746098123137</v>
      </c>
      <c r="X1798" s="420"/>
      <c r="Y1798" s="420"/>
      <c r="Z1798" s="1"/>
      <c r="AA1798" s="1"/>
      <c r="AB1798" s="1"/>
      <c r="AC1798" s="1"/>
      <c r="AD1798" s="1"/>
    </row>
    <row r="1799" spans="17:30">
      <c r="Q1799" s="6">
        <v>1769</v>
      </c>
      <c r="R1799" s="7">
        <v>44436</v>
      </c>
      <c r="S1799" s="210">
        <v>4</v>
      </c>
      <c r="T1799" s="8">
        <v>1.0001111111111112</v>
      </c>
      <c r="U1799" s="98">
        <v>3.7153670346345091</v>
      </c>
      <c r="V1799" s="106">
        <v>30068.966116793203</v>
      </c>
      <c r="W1799" s="10">
        <v>0.84878459534816209</v>
      </c>
      <c r="X1799" s="420"/>
      <c r="Y1799" s="420"/>
      <c r="Z1799" s="1"/>
      <c r="AA1799" s="1"/>
      <c r="AB1799" s="1"/>
      <c r="AC1799" s="1"/>
      <c r="AD1799" s="1"/>
    </row>
    <row r="1800" spans="17:30">
      <c r="Q1800" s="6">
        <v>1770</v>
      </c>
      <c r="R1800" s="7">
        <v>44437</v>
      </c>
      <c r="S1800" s="210">
        <v>4</v>
      </c>
      <c r="T1800" s="8">
        <v>1.0001111111111112</v>
      </c>
      <c r="U1800" s="98">
        <v>3.7156057089866579</v>
      </c>
      <c r="V1800" s="106">
        <v>30071.307466130223</v>
      </c>
      <c r="W1800" s="10">
        <v>0.84899434404870355</v>
      </c>
      <c r="X1800" s="420"/>
      <c r="Y1800" s="420"/>
      <c r="Z1800" s="1"/>
      <c r="AA1800" s="1"/>
      <c r="AB1800" s="1"/>
      <c r="AC1800" s="1"/>
      <c r="AD1800" s="1"/>
    </row>
    <row r="1801" spans="17:30">
      <c r="Q1801" s="6">
        <v>1771</v>
      </c>
      <c r="R1801" s="7">
        <v>44438</v>
      </c>
      <c r="S1801" s="210">
        <v>4</v>
      </c>
      <c r="T1801" s="8">
        <v>1.0001111111111112</v>
      </c>
      <c r="U1801" s="98">
        <v>3.7158441143508636</v>
      </c>
      <c r="V1801" s="106">
        <v>30073.648997778684</v>
      </c>
      <c r="W1801" s="10">
        <v>0.84920385631437334</v>
      </c>
      <c r="X1801" s="420"/>
      <c r="Y1801" s="420"/>
      <c r="Z1801" s="1"/>
      <c r="AA1801" s="1"/>
      <c r="AB1801" s="1"/>
      <c r="AC1801" s="1"/>
      <c r="AD1801" s="1"/>
    </row>
    <row r="1802" spans="17:30">
      <c r="Q1802" s="6">
        <v>1772</v>
      </c>
      <c r="R1802" s="7">
        <v>44439</v>
      </c>
      <c r="S1802" s="210">
        <v>4</v>
      </c>
      <c r="T1802" s="8">
        <v>1.0001111111111112</v>
      </c>
      <c r="U1802" s="98">
        <v>3.7160822511816072</v>
      </c>
      <c r="V1802" s="106">
        <v>30075.990711752798</v>
      </c>
      <c r="W1802" s="10">
        <v>0.84941313254476292</v>
      </c>
      <c r="X1802" s="420"/>
      <c r="Y1802" s="420"/>
      <c r="Z1802" s="1"/>
      <c r="AA1802" s="1"/>
      <c r="AB1802" s="1"/>
      <c r="AC1802" s="1"/>
      <c r="AD1802" s="1"/>
    </row>
    <row r="1803" spans="17:30">
      <c r="Q1803" s="6">
        <v>1773</v>
      </c>
      <c r="R1803" s="7">
        <v>44440</v>
      </c>
      <c r="S1803" s="210">
        <v>4</v>
      </c>
      <c r="T1803" s="8">
        <v>1.0001111111111112</v>
      </c>
      <c r="U1803" s="98">
        <v>3.7163201199323481</v>
      </c>
      <c r="V1803" s="106">
        <v>30078.33260806675</v>
      </c>
      <c r="W1803" s="10">
        <v>0.84962217313850896</v>
      </c>
      <c r="X1803" s="420"/>
      <c r="Y1803" s="420"/>
      <c r="Z1803" s="1"/>
      <c r="AA1803" s="1"/>
      <c r="AB1803" s="1"/>
      <c r="AC1803" s="1"/>
      <c r="AD1803" s="1"/>
    </row>
    <row r="1804" spans="17:30">
      <c r="Q1804" s="6">
        <v>1774</v>
      </c>
      <c r="R1804" s="7">
        <v>44441</v>
      </c>
      <c r="S1804" s="210">
        <v>4</v>
      </c>
      <c r="T1804" s="8">
        <v>1.0001111111111112</v>
      </c>
      <c r="U1804" s="98">
        <v>3.7165577210554801</v>
      </c>
      <c r="V1804" s="106">
        <v>30080.674686734736</v>
      </c>
      <c r="W1804" s="10">
        <v>0.84983097849331557</v>
      </c>
      <c r="X1804" s="420"/>
      <c r="Y1804" s="420"/>
      <c r="Z1804" s="1"/>
      <c r="AA1804" s="1"/>
      <c r="AB1804" s="1"/>
      <c r="AC1804" s="1"/>
      <c r="AD1804" s="1"/>
    </row>
    <row r="1805" spans="17:30">
      <c r="Q1805" s="6">
        <v>1775</v>
      </c>
      <c r="R1805" s="7">
        <v>44442</v>
      </c>
      <c r="S1805" s="210">
        <v>4</v>
      </c>
      <c r="T1805" s="8">
        <v>1.0001111111111112</v>
      </c>
      <c r="U1805" s="98">
        <v>3.716795055002442</v>
      </c>
      <c r="V1805" s="106">
        <v>30083.016947770961</v>
      </c>
      <c r="W1805" s="10">
        <v>0.85003954900610967</v>
      </c>
      <c r="X1805" s="420"/>
      <c r="Y1805" s="420"/>
      <c r="Z1805" s="1"/>
      <c r="AA1805" s="1"/>
      <c r="AB1805" s="1"/>
      <c r="AC1805" s="1"/>
      <c r="AD1805" s="1"/>
    </row>
    <row r="1806" spans="17:30">
      <c r="Q1806" s="6">
        <v>1776</v>
      </c>
      <c r="R1806" s="7">
        <v>44443</v>
      </c>
      <c r="S1806" s="210">
        <v>4</v>
      </c>
      <c r="T1806" s="8">
        <v>1.0001111111111112</v>
      </c>
      <c r="U1806" s="98">
        <v>3.7170321222236069</v>
      </c>
      <c r="V1806" s="106">
        <v>30085.359391189621</v>
      </c>
      <c r="W1806" s="10">
        <v>0.85024788507279681</v>
      </c>
      <c r="X1806" s="420"/>
      <c r="Y1806" s="420"/>
      <c r="Z1806" s="1"/>
      <c r="AA1806" s="1"/>
      <c r="AB1806" s="1"/>
      <c r="AC1806" s="1"/>
      <c r="AD1806" s="1"/>
    </row>
    <row r="1807" spans="17:30">
      <c r="Q1807" s="6">
        <v>1777</v>
      </c>
      <c r="R1807" s="7">
        <v>44444</v>
      </c>
      <c r="S1807" s="210">
        <v>4</v>
      </c>
      <c r="T1807" s="8">
        <v>1.0001111111111112</v>
      </c>
      <c r="U1807" s="98">
        <v>3.7172689231683709</v>
      </c>
      <c r="V1807" s="106">
        <v>30087.702017004918</v>
      </c>
      <c r="W1807" s="10">
        <v>0.85045598708848313</v>
      </c>
      <c r="X1807" s="420"/>
      <c r="Y1807" s="420"/>
      <c r="Z1807" s="1"/>
      <c r="AA1807" s="1"/>
      <c r="AB1807" s="1"/>
      <c r="AC1807" s="1"/>
      <c r="AD1807" s="1"/>
    </row>
    <row r="1808" spans="17:30">
      <c r="Q1808" s="6">
        <v>1778</v>
      </c>
      <c r="R1808" s="7">
        <v>44445</v>
      </c>
      <c r="S1808" s="210">
        <v>4</v>
      </c>
      <c r="T1808" s="8">
        <v>1.0001111111111112</v>
      </c>
      <c r="U1808" s="98">
        <v>3.7175054582851086</v>
      </c>
      <c r="V1808" s="106">
        <v>30090.044825231056</v>
      </c>
      <c r="W1808" s="10">
        <v>0.85066385544736445</v>
      </c>
      <c r="X1808" s="420"/>
      <c r="Y1808" s="420"/>
      <c r="Z1808" s="1"/>
      <c r="AA1808" s="1"/>
      <c r="AB1808" s="1"/>
      <c r="AC1808" s="1"/>
      <c r="AD1808" s="1"/>
    </row>
    <row r="1809" spans="17:30">
      <c r="Q1809" s="6">
        <v>1779</v>
      </c>
      <c r="R1809" s="7">
        <v>44446</v>
      </c>
      <c r="S1809" s="210">
        <v>4</v>
      </c>
      <c r="T1809" s="8">
        <v>1.0001111111111112</v>
      </c>
      <c r="U1809" s="98">
        <v>3.7177417280211955</v>
      </c>
      <c r="V1809" s="106">
        <v>30092.387815882244</v>
      </c>
      <c r="W1809" s="10">
        <v>0.85087149054272615</v>
      </c>
      <c r="X1809" s="420"/>
      <c r="Y1809" s="420"/>
      <c r="Z1809" s="1"/>
      <c r="AA1809" s="1"/>
      <c r="AB1809" s="1"/>
      <c r="AC1809" s="1"/>
      <c r="AD1809" s="1"/>
    </row>
    <row r="1810" spans="17:30">
      <c r="Q1810" s="6">
        <v>1780</v>
      </c>
      <c r="R1810" s="7">
        <v>44447</v>
      </c>
      <c r="S1810" s="210">
        <v>4</v>
      </c>
      <c r="T1810" s="8">
        <v>1.0001111111111112</v>
      </c>
      <c r="U1810" s="98">
        <v>3.7179777328229857</v>
      </c>
      <c r="V1810" s="106">
        <v>30094.730988972678</v>
      </c>
      <c r="W1810" s="10">
        <v>0.85107889276698767</v>
      </c>
      <c r="X1810" s="420"/>
      <c r="Y1810" s="420"/>
      <c r="Z1810" s="1"/>
      <c r="AA1810" s="1"/>
      <c r="AB1810" s="1"/>
      <c r="AC1810" s="1"/>
      <c r="AD1810" s="1"/>
    </row>
    <row r="1811" spans="17:30">
      <c r="Q1811" s="6">
        <v>1781</v>
      </c>
      <c r="R1811" s="7">
        <v>44448</v>
      </c>
      <c r="S1811" s="210">
        <v>4</v>
      </c>
      <c r="T1811" s="8">
        <v>1.0001111111111112</v>
      </c>
      <c r="U1811" s="98">
        <v>3.7182134731358341</v>
      </c>
      <c r="V1811" s="106">
        <v>30097.074344516568</v>
      </c>
      <c r="W1811" s="10">
        <v>0.85128606251170247</v>
      </c>
      <c r="X1811" s="420"/>
      <c r="Y1811" s="420"/>
      <c r="Z1811" s="1"/>
      <c r="AA1811" s="1"/>
      <c r="AB1811" s="1"/>
      <c r="AC1811" s="1"/>
      <c r="AD1811" s="1"/>
    </row>
    <row r="1812" spans="17:30">
      <c r="Q1812" s="6">
        <v>1782</v>
      </c>
      <c r="R1812" s="7">
        <v>44449</v>
      </c>
      <c r="S1812" s="210">
        <v>4</v>
      </c>
      <c r="T1812" s="8">
        <v>1.0001111111111112</v>
      </c>
      <c r="U1812" s="98">
        <v>3.7184489494041184</v>
      </c>
      <c r="V1812" s="106">
        <v>30099.496003604505</v>
      </c>
      <c r="W1812" s="10">
        <v>0.85143938632434857</v>
      </c>
      <c r="X1812" s="420"/>
      <c r="Y1812" s="420"/>
      <c r="Z1812" s="1"/>
      <c r="AA1812" s="1"/>
      <c r="AB1812" s="1"/>
      <c r="AC1812" s="1"/>
      <c r="AD1812" s="1"/>
    </row>
    <row r="1813" spans="17:30">
      <c r="Q1813" s="6">
        <v>1783</v>
      </c>
      <c r="R1813" s="7">
        <v>44450</v>
      </c>
      <c r="S1813" s="210">
        <v>4</v>
      </c>
      <c r="T1813" s="8">
        <v>1.0001111111111112</v>
      </c>
      <c r="U1813" s="98">
        <v>3.7186841620712174</v>
      </c>
      <c r="V1813" s="106">
        <v>30101.917857543027</v>
      </c>
      <c r="W1813" s="10">
        <v>0.85159253838562599</v>
      </c>
      <c r="X1813" s="420"/>
      <c r="Y1813" s="420"/>
      <c r="Z1813" s="1"/>
      <c r="AA1813" s="1"/>
      <c r="AB1813" s="1"/>
      <c r="AC1813" s="1"/>
      <c r="AD1813" s="1"/>
    </row>
    <row r="1814" spans="17:30">
      <c r="Q1814" s="6">
        <v>1784</v>
      </c>
      <c r="R1814" s="7">
        <v>44451</v>
      </c>
      <c r="S1814" s="210">
        <v>4</v>
      </c>
      <c r="T1814" s="8">
        <v>1.0001111111111112</v>
      </c>
      <c r="U1814" s="98">
        <v>3.7189191115795106</v>
      </c>
      <c r="V1814" s="106">
        <v>30104.339906347828</v>
      </c>
      <c r="W1814" s="10">
        <v>0.85174551898394846</v>
      </c>
      <c r="X1814" s="420"/>
      <c r="Y1814" s="420"/>
      <c r="Z1814" s="1"/>
      <c r="AA1814" s="1"/>
      <c r="AB1814" s="1"/>
      <c r="AC1814" s="1"/>
      <c r="AD1814" s="1"/>
    </row>
    <row r="1815" spans="17:30">
      <c r="Q1815" s="6">
        <v>1785</v>
      </c>
      <c r="R1815" s="7">
        <v>44452</v>
      </c>
      <c r="S1815" s="210">
        <v>4</v>
      </c>
      <c r="T1815" s="8">
        <v>1.0001111111111112</v>
      </c>
      <c r="U1815" s="98">
        <v>3.7191537983703782</v>
      </c>
      <c r="V1815" s="106">
        <v>30106.762150034574</v>
      </c>
      <c r="W1815" s="10">
        <v>0.851898328407108</v>
      </c>
      <c r="X1815" s="420"/>
      <c r="Y1815" s="420"/>
      <c r="Z1815" s="1"/>
      <c r="AA1815" s="1"/>
      <c r="AB1815" s="1"/>
      <c r="AC1815" s="1"/>
      <c r="AD1815" s="1"/>
    </row>
    <row r="1816" spans="17:30">
      <c r="Q1816" s="6">
        <v>1786</v>
      </c>
      <c r="R1816" s="7">
        <v>44453</v>
      </c>
      <c r="S1816" s="210">
        <v>4</v>
      </c>
      <c r="T1816" s="8">
        <v>1.0001111111111112</v>
      </c>
      <c r="U1816" s="98">
        <v>3.7193882228842234</v>
      </c>
      <c r="V1816" s="106">
        <v>30109.184588618944</v>
      </c>
      <c r="W1816" s="10">
        <v>0.85205096694223048</v>
      </c>
      <c r="X1816" s="420"/>
      <c r="Y1816" s="420"/>
      <c r="Z1816" s="1"/>
      <c r="AA1816" s="1"/>
      <c r="AB1816" s="1"/>
      <c r="AC1816" s="1"/>
      <c r="AD1816" s="1"/>
    </row>
    <row r="1817" spans="17:30">
      <c r="Q1817" s="6">
        <v>1787</v>
      </c>
      <c r="R1817" s="7">
        <v>44454</v>
      </c>
      <c r="S1817" s="210">
        <v>4</v>
      </c>
      <c r="T1817" s="8">
        <v>1.0001111111111112</v>
      </c>
      <c r="U1817" s="98">
        <v>3.7196223855604726</v>
      </c>
      <c r="V1817" s="106">
        <v>30111.607222116632</v>
      </c>
      <c r="W1817" s="10">
        <v>0.85220343487582007</v>
      </c>
      <c r="X1817" s="420"/>
      <c r="Y1817" s="420"/>
      <c r="Z1817" s="1"/>
      <c r="AA1817" s="1"/>
      <c r="AB1817" s="1"/>
      <c r="AC1817" s="1"/>
      <c r="AD1817" s="1"/>
    </row>
    <row r="1818" spans="17:30">
      <c r="Q1818" s="6">
        <v>1788</v>
      </c>
      <c r="R1818" s="7">
        <v>44455</v>
      </c>
      <c r="S1818" s="210">
        <v>4</v>
      </c>
      <c r="T1818" s="8">
        <v>1.0001111111111112</v>
      </c>
      <c r="U1818" s="98">
        <v>3.7198562868375751</v>
      </c>
      <c r="V1818" s="106">
        <v>30114.030050543308</v>
      </c>
      <c r="W1818" s="10">
        <v>0.85235573249375918</v>
      </c>
      <c r="X1818" s="420"/>
      <c r="Y1818" s="420"/>
      <c r="Z1818" s="1"/>
      <c r="AA1818" s="1"/>
      <c r="AB1818" s="1"/>
      <c r="AC1818" s="1"/>
      <c r="AD1818" s="1"/>
    </row>
    <row r="1819" spans="17:30">
      <c r="Q1819" s="6">
        <v>1789</v>
      </c>
      <c r="R1819" s="7">
        <v>44456</v>
      </c>
      <c r="S1819" s="210">
        <v>4</v>
      </c>
      <c r="T1819" s="8">
        <v>1.0001111111111112</v>
      </c>
      <c r="U1819" s="98">
        <v>3.7200899271529586</v>
      </c>
      <c r="V1819" s="106">
        <v>30116.453073914665</v>
      </c>
      <c r="W1819" s="10">
        <v>0.8525078600812197</v>
      </c>
      <c r="X1819" s="420"/>
      <c r="Y1819" s="420"/>
      <c r="Z1819" s="1"/>
      <c r="AA1819" s="1"/>
      <c r="AB1819" s="1"/>
      <c r="AC1819" s="1"/>
      <c r="AD1819" s="1"/>
    </row>
    <row r="1820" spans="17:30">
      <c r="Q1820" s="6">
        <v>1790</v>
      </c>
      <c r="R1820" s="7">
        <v>44457</v>
      </c>
      <c r="S1820" s="210">
        <v>4</v>
      </c>
      <c r="T1820" s="8">
        <v>1.0001111111111112</v>
      </c>
      <c r="U1820" s="98">
        <v>3.7203233069431407</v>
      </c>
      <c r="V1820" s="106">
        <v>30118.876292246383</v>
      </c>
      <c r="W1820" s="10">
        <v>0.85265981792284062</v>
      </c>
      <c r="X1820" s="420"/>
      <c r="Y1820" s="420"/>
      <c r="Z1820" s="1"/>
      <c r="AA1820" s="1"/>
      <c r="AB1820" s="1"/>
      <c r="AC1820" s="1"/>
      <c r="AD1820" s="1"/>
    </row>
    <row r="1821" spans="17:30">
      <c r="Q1821" s="6">
        <v>1791</v>
      </c>
      <c r="R1821" s="7">
        <v>44458</v>
      </c>
      <c r="S1821" s="210">
        <v>4</v>
      </c>
      <c r="T1821" s="8">
        <v>1.0001111111111112</v>
      </c>
      <c r="U1821" s="98">
        <v>3.7205564266436175</v>
      </c>
      <c r="V1821" s="106">
        <v>30121.29970555416</v>
      </c>
      <c r="W1821" s="10">
        <v>0.85281160630250596</v>
      </c>
      <c r="X1821" s="420"/>
      <c r="Y1821" s="420"/>
      <c r="Z1821" s="1"/>
      <c r="AA1821" s="1"/>
      <c r="AB1821" s="1"/>
      <c r="AC1821" s="1"/>
      <c r="AD1821" s="1"/>
    </row>
    <row r="1822" spans="17:30">
      <c r="Q1822" s="6">
        <v>1792</v>
      </c>
      <c r="R1822" s="7">
        <v>44459</v>
      </c>
      <c r="S1822" s="210">
        <v>4</v>
      </c>
      <c r="T1822" s="8">
        <v>1.0001111111111112</v>
      </c>
      <c r="U1822" s="98">
        <v>3.7207892866889303</v>
      </c>
      <c r="V1822" s="106">
        <v>30123.723313853672</v>
      </c>
      <c r="W1822" s="10">
        <v>0.85296322550356685</v>
      </c>
      <c r="X1822" s="420"/>
      <c r="Y1822" s="420"/>
      <c r="Z1822" s="1"/>
      <c r="AA1822" s="1"/>
      <c r="AB1822" s="1"/>
      <c r="AC1822" s="1"/>
      <c r="AD1822" s="1"/>
    </row>
    <row r="1823" spans="17:30">
      <c r="Q1823" s="6">
        <v>1793</v>
      </c>
      <c r="R1823" s="7">
        <v>44460</v>
      </c>
      <c r="S1823" s="210">
        <v>4</v>
      </c>
      <c r="T1823" s="8">
        <v>1.0001111111111112</v>
      </c>
      <c r="U1823" s="98">
        <v>3.7210218875126655</v>
      </c>
      <c r="V1823" s="106">
        <v>30126.147117160606</v>
      </c>
      <c r="W1823" s="10">
        <v>0.85311467580870826</v>
      </c>
      <c r="X1823" s="420"/>
      <c r="Y1823" s="420"/>
      <c r="Z1823" s="1"/>
      <c r="AA1823" s="1"/>
      <c r="AB1823" s="1"/>
      <c r="AC1823" s="1"/>
      <c r="AD1823" s="1"/>
    </row>
    <row r="1824" spans="17:30">
      <c r="Q1824" s="6">
        <v>1794</v>
      </c>
      <c r="R1824" s="7">
        <v>44461</v>
      </c>
      <c r="S1824" s="210">
        <v>4</v>
      </c>
      <c r="T1824" s="8">
        <v>1.0001111111111112</v>
      </c>
      <c r="U1824" s="98">
        <v>3.7212542295474327</v>
      </c>
      <c r="V1824" s="106">
        <v>30128.571115490664</v>
      </c>
      <c r="W1824" s="10">
        <v>0.85326595749999345</v>
      </c>
      <c r="X1824" s="420"/>
      <c r="Y1824" s="420"/>
      <c r="Z1824" s="1"/>
      <c r="AA1824" s="1"/>
      <c r="AB1824" s="1"/>
      <c r="AC1824" s="1"/>
      <c r="AD1824" s="1"/>
    </row>
    <row r="1825" spans="17:30">
      <c r="Q1825" s="6">
        <v>1795</v>
      </c>
      <c r="R1825" s="7">
        <v>44462</v>
      </c>
      <c r="S1825" s="210">
        <v>4</v>
      </c>
      <c r="T1825" s="8">
        <v>1.0001111111111112</v>
      </c>
      <c r="U1825" s="98">
        <v>3.7214863132248643</v>
      </c>
      <c r="V1825" s="106">
        <v>30130.995308859532</v>
      </c>
      <c r="W1825" s="10">
        <v>0.85341707085884178</v>
      </c>
      <c r="X1825" s="420"/>
      <c r="Y1825" s="420"/>
      <c r="Z1825" s="1"/>
      <c r="AA1825" s="1"/>
      <c r="AB1825" s="1"/>
      <c r="AC1825" s="1"/>
      <c r="AD1825" s="1"/>
    </row>
    <row r="1826" spans="17:30">
      <c r="Q1826" s="6">
        <v>1796</v>
      </c>
      <c r="R1826" s="7">
        <v>44463</v>
      </c>
      <c r="S1826" s="210">
        <v>4</v>
      </c>
      <c r="T1826" s="8">
        <v>1.0001111111111112</v>
      </c>
      <c r="U1826" s="98">
        <v>3.7217181389756604</v>
      </c>
      <c r="V1826" s="106">
        <v>30133.419697282905</v>
      </c>
      <c r="W1826" s="10">
        <v>0.85356801616602862</v>
      </c>
      <c r="X1826" s="420"/>
      <c r="Y1826" s="420"/>
      <c r="Z1826" s="1"/>
      <c r="AA1826" s="1"/>
      <c r="AB1826" s="1"/>
      <c r="AC1826" s="1"/>
      <c r="AD1826" s="1"/>
    </row>
    <row r="1827" spans="17:30">
      <c r="Q1827" s="6">
        <v>1797</v>
      </c>
      <c r="R1827" s="7">
        <v>44464</v>
      </c>
      <c r="S1827" s="210">
        <v>4</v>
      </c>
      <c r="T1827" s="8">
        <v>1.0001111111111112</v>
      </c>
      <c r="U1827" s="98">
        <v>3.7219497072295438</v>
      </c>
      <c r="V1827" s="106">
        <v>30135.844280776477</v>
      </c>
      <c r="W1827" s="10">
        <v>0.85371879370175208</v>
      </c>
      <c r="X1827" s="420"/>
      <c r="Y1827" s="420"/>
      <c r="Z1827" s="1"/>
      <c r="AA1827" s="1"/>
      <c r="AB1827" s="1"/>
      <c r="AC1827" s="1"/>
      <c r="AD1827" s="1"/>
    </row>
    <row r="1828" spans="17:30">
      <c r="Q1828" s="6">
        <v>1798</v>
      </c>
      <c r="R1828" s="7">
        <v>44465</v>
      </c>
      <c r="S1828" s="210">
        <v>4</v>
      </c>
      <c r="T1828" s="8">
        <v>1.0001111111111112</v>
      </c>
      <c r="U1828" s="98">
        <v>3.7221810184153048</v>
      </c>
      <c r="V1828" s="106">
        <v>30138.269059355946</v>
      </c>
      <c r="W1828" s="10">
        <v>0.85386940374558851</v>
      </c>
      <c r="X1828" s="420"/>
      <c r="Y1828" s="420"/>
      <c r="Z1828" s="1"/>
      <c r="AA1828" s="1"/>
      <c r="AB1828" s="1"/>
      <c r="AC1828" s="1"/>
      <c r="AD1828" s="1"/>
    </row>
    <row r="1829" spans="17:30">
      <c r="Q1829" s="6">
        <v>1799</v>
      </c>
      <c r="R1829" s="7">
        <v>44466</v>
      </c>
      <c r="S1829" s="210">
        <v>4</v>
      </c>
      <c r="T1829" s="8">
        <v>1.0001111111111112</v>
      </c>
      <c r="U1829" s="98">
        <v>3.7224120729607568</v>
      </c>
      <c r="V1829" s="106">
        <v>30140.694033037002</v>
      </c>
      <c r="W1829" s="10">
        <v>0.85401984657642593</v>
      </c>
      <c r="X1829" s="420"/>
      <c r="Y1829" s="420"/>
      <c r="Z1829" s="1"/>
      <c r="AA1829" s="1"/>
      <c r="AB1829" s="1"/>
      <c r="AC1829" s="1"/>
      <c r="AD1829" s="1"/>
    </row>
    <row r="1830" spans="17:30">
      <c r="Q1830" s="6">
        <v>1800</v>
      </c>
      <c r="R1830" s="7">
        <v>44467</v>
      </c>
      <c r="S1830" s="210">
        <v>4</v>
      </c>
      <c r="T1830" s="8">
        <v>1.0001111111111112</v>
      </c>
      <c r="U1830" s="98">
        <v>3.7226428712927806</v>
      </c>
      <c r="V1830" s="106">
        <v>30143.119201835347</v>
      </c>
      <c r="W1830" s="10">
        <v>0.85417012247261948</v>
      </c>
      <c r="X1830" s="420"/>
      <c r="Y1830" s="420"/>
      <c r="Z1830" s="1"/>
      <c r="AA1830" s="1"/>
      <c r="AB1830" s="1"/>
      <c r="AC1830" s="1"/>
      <c r="AD1830" s="1"/>
    </row>
    <row r="1831" spans="17:30">
      <c r="Q1831" s="6">
        <v>1801</v>
      </c>
      <c r="R1831" s="7">
        <v>44468</v>
      </c>
      <c r="S1831" s="210">
        <v>4</v>
      </c>
      <c r="T1831" s="8">
        <v>1.0001111111111112</v>
      </c>
      <c r="U1831" s="98">
        <v>3.7228734138373243</v>
      </c>
      <c r="V1831" s="106">
        <v>30145.544565766679</v>
      </c>
      <c r="W1831" s="10">
        <v>0.85432023171185811</v>
      </c>
      <c r="X1831" s="420"/>
      <c r="Y1831" s="420"/>
      <c r="Z1831" s="1"/>
      <c r="AA1831" s="1"/>
      <c r="AB1831" s="1"/>
      <c r="AC1831" s="1"/>
      <c r="AD1831" s="1"/>
    </row>
    <row r="1832" spans="17:30">
      <c r="Q1832" s="6">
        <v>1802</v>
      </c>
      <c r="R1832" s="7">
        <v>44469</v>
      </c>
      <c r="S1832" s="210">
        <v>4</v>
      </c>
      <c r="T1832" s="8">
        <v>1.0001111111111112</v>
      </c>
      <c r="U1832" s="98">
        <v>3.7231037010193591</v>
      </c>
      <c r="V1832" s="106">
        <v>30147.970124846695</v>
      </c>
      <c r="W1832" s="10">
        <v>0.85447017457120911</v>
      </c>
      <c r="X1832" s="420"/>
      <c r="Y1832" s="420"/>
      <c r="Z1832" s="1"/>
      <c r="AA1832" s="1"/>
      <c r="AB1832" s="1"/>
      <c r="AC1832" s="1"/>
      <c r="AD1832" s="1"/>
    </row>
    <row r="1833" spans="17:30">
      <c r="Q1833" s="6">
        <v>1803</v>
      </c>
      <c r="R1833" s="7">
        <v>44470</v>
      </c>
      <c r="S1833" s="210">
        <v>4</v>
      </c>
      <c r="T1833" s="8">
        <v>1.0001111111111112</v>
      </c>
      <c r="U1833" s="98">
        <v>3.7233337332629235</v>
      </c>
      <c r="V1833" s="106">
        <v>30150.395879091113</v>
      </c>
      <c r="W1833" s="10">
        <v>0.85461995132714019</v>
      </c>
      <c r="X1833" s="420"/>
      <c r="Y1833" s="420"/>
      <c r="Z1833" s="1"/>
      <c r="AA1833" s="1"/>
      <c r="AB1833" s="1"/>
      <c r="AC1833" s="1"/>
      <c r="AD1833" s="1"/>
    </row>
    <row r="1834" spans="17:30">
      <c r="Q1834" s="6">
        <v>1804</v>
      </c>
      <c r="R1834" s="7">
        <v>44471</v>
      </c>
      <c r="S1834" s="210">
        <v>4</v>
      </c>
      <c r="T1834" s="8">
        <v>1.0001111111111112</v>
      </c>
      <c r="U1834" s="98">
        <v>3.7235635109911236</v>
      </c>
      <c r="V1834" s="106">
        <v>30152.821828515618</v>
      </c>
      <c r="W1834" s="10">
        <v>0.85476956225549738</v>
      </c>
      <c r="X1834" s="420"/>
      <c r="Y1834" s="420"/>
      <c r="Z1834" s="1"/>
      <c r="AA1834" s="1"/>
      <c r="AB1834" s="1"/>
      <c r="AC1834" s="1"/>
      <c r="AD1834" s="1"/>
    </row>
    <row r="1835" spans="17:30">
      <c r="Q1835" s="6">
        <v>1805</v>
      </c>
      <c r="R1835" s="7">
        <v>44472</v>
      </c>
      <c r="S1835" s="210">
        <v>4</v>
      </c>
      <c r="T1835" s="8">
        <v>1.0001111111111112</v>
      </c>
      <c r="U1835" s="98">
        <v>3.723793034626155</v>
      </c>
      <c r="V1835" s="106">
        <v>30155.247973135924</v>
      </c>
      <c r="W1835" s="10">
        <v>0.85491900763157158</v>
      </c>
      <c r="X1835" s="420"/>
      <c r="Y1835" s="420"/>
      <c r="Z1835" s="1"/>
      <c r="AA1835" s="1"/>
      <c r="AB1835" s="1"/>
      <c r="AC1835" s="1"/>
      <c r="AD1835" s="1"/>
    </row>
    <row r="1836" spans="17:30">
      <c r="Q1836" s="6">
        <v>1806</v>
      </c>
      <c r="R1836" s="7">
        <v>44473</v>
      </c>
      <c r="S1836" s="210">
        <v>4</v>
      </c>
      <c r="T1836" s="8">
        <v>1.0001111111111112</v>
      </c>
      <c r="U1836" s="98">
        <v>3.7240223045892362</v>
      </c>
      <c r="V1836" s="106">
        <v>30157.674312967738</v>
      </c>
      <c r="W1836" s="10">
        <v>0.85506828772994314</v>
      </c>
      <c r="X1836" s="420"/>
      <c r="Y1836" s="420"/>
      <c r="Z1836" s="1"/>
      <c r="AA1836" s="1"/>
      <c r="AB1836" s="1"/>
      <c r="AC1836" s="1"/>
      <c r="AD1836" s="1"/>
    </row>
    <row r="1837" spans="17:30">
      <c r="Q1837" s="6">
        <v>1807</v>
      </c>
      <c r="R1837" s="7">
        <v>44474</v>
      </c>
      <c r="S1837" s="210">
        <v>4</v>
      </c>
      <c r="T1837" s="8">
        <v>1.0001111111111112</v>
      </c>
      <c r="U1837" s="98">
        <v>3.7242513213006978</v>
      </c>
      <c r="V1837" s="106">
        <v>30160.100848026763</v>
      </c>
      <c r="W1837" s="10">
        <v>0.85521740282468173</v>
      </c>
      <c r="X1837" s="420"/>
      <c r="Y1837" s="420"/>
      <c r="Z1837" s="1"/>
      <c r="AA1837" s="1"/>
      <c r="AB1837" s="1"/>
      <c r="AC1837" s="1"/>
      <c r="AD1837" s="1"/>
    </row>
    <row r="1838" spans="17:30">
      <c r="Q1838" s="6">
        <v>1808</v>
      </c>
      <c r="R1838" s="7">
        <v>44475</v>
      </c>
      <c r="S1838" s="210">
        <v>4</v>
      </c>
      <c r="T1838" s="8">
        <v>1.0001111111111112</v>
      </c>
      <c r="U1838" s="98">
        <v>3.7244800851798932</v>
      </c>
      <c r="V1838" s="106">
        <v>30162.5275783287</v>
      </c>
      <c r="W1838" s="10">
        <v>0.85536635318919085</v>
      </c>
      <c r="X1838" s="420"/>
      <c r="Y1838" s="420"/>
      <c r="Z1838" s="1"/>
      <c r="AA1838" s="1"/>
      <c r="AB1838" s="1"/>
      <c r="AC1838" s="1"/>
      <c r="AD1838" s="1"/>
    </row>
    <row r="1839" spans="17:30">
      <c r="Q1839" s="6">
        <v>1809</v>
      </c>
      <c r="R1839" s="7">
        <v>44476</v>
      </c>
      <c r="S1839" s="210">
        <v>4</v>
      </c>
      <c r="T1839" s="8">
        <v>1.0001111111111112</v>
      </c>
      <c r="U1839" s="98">
        <v>3.7247085966452875</v>
      </c>
      <c r="V1839" s="106">
        <v>30164.954503889276</v>
      </c>
      <c r="W1839" s="10">
        <v>0.85551513909629673</v>
      </c>
      <c r="X1839" s="420"/>
      <c r="Y1839" s="420"/>
      <c r="Z1839" s="1"/>
      <c r="AA1839" s="1"/>
      <c r="AB1839" s="1"/>
      <c r="AC1839" s="1"/>
      <c r="AD1839" s="1"/>
    </row>
    <row r="1840" spans="17:30">
      <c r="Q1840" s="6">
        <v>1810</v>
      </c>
      <c r="R1840" s="7">
        <v>44477</v>
      </c>
      <c r="S1840" s="210">
        <v>4</v>
      </c>
      <c r="T1840" s="8">
        <v>1.0001111111111112</v>
      </c>
      <c r="U1840" s="98">
        <v>3.7249368561144358</v>
      </c>
      <c r="V1840" s="106">
        <v>30167.381624724188</v>
      </c>
      <c r="W1840" s="10">
        <v>0.85566376081822604</v>
      </c>
      <c r="X1840" s="420"/>
      <c r="Y1840" s="420"/>
      <c r="Z1840" s="1"/>
      <c r="AA1840" s="1"/>
      <c r="AB1840" s="1"/>
      <c r="AC1840" s="1"/>
      <c r="AD1840" s="1"/>
    </row>
    <row r="1841" spans="17:30">
      <c r="Q1841" s="6">
        <v>1811</v>
      </c>
      <c r="R1841" s="7">
        <v>44478</v>
      </c>
      <c r="S1841" s="210">
        <v>4</v>
      </c>
      <c r="T1841" s="8">
        <v>1.0001111111111112</v>
      </c>
      <c r="U1841" s="98">
        <v>3.7251648640039159</v>
      </c>
      <c r="V1841" s="106">
        <v>30169.808940849151</v>
      </c>
      <c r="W1841" s="10">
        <v>0.85581221862658374</v>
      </c>
      <c r="X1841" s="420"/>
      <c r="Y1841" s="420"/>
      <c r="Z1841" s="1"/>
      <c r="AA1841" s="1"/>
      <c r="AB1841" s="1"/>
      <c r="AC1841" s="1"/>
      <c r="AD1841" s="1"/>
    </row>
    <row r="1842" spans="17:30">
      <c r="Q1842" s="6">
        <v>1812</v>
      </c>
      <c r="R1842" s="7">
        <v>44479</v>
      </c>
      <c r="S1842" s="210">
        <v>4</v>
      </c>
      <c r="T1842" s="8">
        <v>1.0001111111111112</v>
      </c>
      <c r="U1842" s="98">
        <v>3.7253926207294397</v>
      </c>
      <c r="V1842" s="106">
        <v>30172.158142410899</v>
      </c>
      <c r="W1842" s="10">
        <v>0.85601324135260448</v>
      </c>
      <c r="X1842" s="420"/>
      <c r="Y1842" s="420"/>
      <c r="Z1842" s="1"/>
      <c r="AA1842" s="1"/>
      <c r="AB1842" s="1"/>
      <c r="AC1842" s="1"/>
      <c r="AD1842" s="1"/>
    </row>
    <row r="1843" spans="17:30">
      <c r="Q1843" s="6">
        <v>1813</v>
      </c>
      <c r="R1843" s="7">
        <v>44480</v>
      </c>
      <c r="S1843" s="210">
        <v>4</v>
      </c>
      <c r="T1843" s="8">
        <v>1.0001111111111112</v>
      </c>
      <c r="U1843" s="98">
        <v>3.7256201267057865</v>
      </c>
      <c r="V1843" s="106">
        <v>30174.507526895515</v>
      </c>
      <c r="W1843" s="10">
        <v>0.85621404272164803</v>
      </c>
      <c r="X1843" s="420"/>
      <c r="Y1843" s="420"/>
      <c r="Z1843" s="1"/>
      <c r="AA1843" s="1"/>
      <c r="AB1843" s="1"/>
      <c r="AC1843" s="1"/>
      <c r="AD1843" s="1"/>
    </row>
    <row r="1844" spans="17:30">
      <c r="Q1844" s="6">
        <v>1814</v>
      </c>
      <c r="R1844" s="7">
        <v>44481</v>
      </c>
      <c r="S1844" s="210">
        <v>4</v>
      </c>
      <c r="T1844" s="8">
        <v>1.0001111111111112</v>
      </c>
      <c r="U1844" s="98">
        <v>3.725847382346803</v>
      </c>
      <c r="V1844" s="106">
        <v>30176.857094317238</v>
      </c>
      <c r="W1844" s="10">
        <v>0.85641462309908878</v>
      </c>
      <c r="X1844" s="420"/>
      <c r="Y1844" s="420"/>
      <c r="Z1844" s="1"/>
      <c r="AA1844" s="1"/>
      <c r="AB1844" s="1"/>
      <c r="AC1844" s="1"/>
      <c r="AD1844" s="1"/>
    </row>
    <row r="1845" spans="17:30">
      <c r="Q1845" s="6">
        <v>1815</v>
      </c>
      <c r="R1845" s="7">
        <v>44482</v>
      </c>
      <c r="S1845" s="210">
        <v>4</v>
      </c>
      <c r="T1845" s="8">
        <v>1.0001111111111112</v>
      </c>
      <c r="U1845" s="98">
        <v>3.7260743880654701</v>
      </c>
      <c r="V1845" s="106">
        <v>30179.206844690318</v>
      </c>
      <c r="W1845" s="10">
        <v>0.85661498284959059</v>
      </c>
      <c r="X1845" s="420"/>
      <c r="Y1845" s="420"/>
      <c r="Z1845" s="1"/>
      <c r="AA1845" s="1"/>
      <c r="AB1845" s="1"/>
      <c r="AC1845" s="1"/>
      <c r="AD1845" s="1"/>
    </row>
    <row r="1846" spans="17:30">
      <c r="Q1846" s="6">
        <v>1816</v>
      </c>
      <c r="R1846" s="7">
        <v>44483</v>
      </c>
      <c r="S1846" s="210">
        <v>4</v>
      </c>
      <c r="T1846" s="8">
        <v>1.0001111111111112</v>
      </c>
      <c r="U1846" s="98">
        <v>3.7263011442738136</v>
      </c>
      <c r="V1846" s="106">
        <v>30181.556778029008</v>
      </c>
      <c r="W1846" s="10">
        <v>0.85681512233692914</v>
      </c>
      <c r="X1846" s="420"/>
      <c r="Y1846" s="420"/>
      <c r="Z1846" s="1"/>
      <c r="AA1846" s="1"/>
      <c r="AB1846" s="1"/>
      <c r="AC1846" s="1"/>
      <c r="AD1846" s="1"/>
    </row>
    <row r="1847" spans="17:30">
      <c r="Q1847" s="6">
        <v>1817</v>
      </c>
      <c r="R1847" s="7">
        <v>44484</v>
      </c>
      <c r="S1847" s="210">
        <v>4</v>
      </c>
      <c r="T1847" s="8">
        <v>1.0001111111111112</v>
      </c>
      <c r="U1847" s="98">
        <v>3.7265276513829937</v>
      </c>
      <c r="V1847" s="106">
        <v>30183.906894347536</v>
      </c>
      <c r="W1847" s="10">
        <v>0.85701504192416955</v>
      </c>
      <c r="X1847" s="420"/>
      <c r="Y1847" s="420"/>
      <c r="Z1847" s="1"/>
      <c r="AA1847" s="1"/>
      <c r="AB1847" s="1"/>
      <c r="AC1847" s="1"/>
      <c r="AD1847" s="1"/>
    </row>
    <row r="1848" spans="17:30">
      <c r="Q1848" s="6">
        <v>1818</v>
      </c>
      <c r="R1848" s="7">
        <v>44485</v>
      </c>
      <c r="S1848" s="210">
        <v>4</v>
      </c>
      <c r="T1848" s="8">
        <v>1.0001111111111112</v>
      </c>
      <c r="U1848" s="98">
        <v>3.7267539098032376</v>
      </c>
      <c r="V1848" s="106">
        <v>30186.257193660167</v>
      </c>
      <c r="W1848" s="10">
        <v>0.85721474197346659</v>
      </c>
      <c r="X1848" s="420"/>
      <c r="Y1848" s="420"/>
      <c r="Z1848" s="1"/>
      <c r="AA1848" s="1"/>
      <c r="AB1848" s="1"/>
      <c r="AC1848" s="1"/>
      <c r="AD1848" s="1"/>
    </row>
    <row r="1849" spans="17:30">
      <c r="Q1849" s="6">
        <v>1819</v>
      </c>
      <c r="R1849" s="7">
        <v>44486</v>
      </c>
      <c r="S1849" s="210">
        <v>4</v>
      </c>
      <c r="T1849" s="8">
        <v>1.0001111111111112</v>
      </c>
      <c r="U1849" s="98">
        <v>3.7269799199439069</v>
      </c>
      <c r="V1849" s="106">
        <v>30188.60767598114</v>
      </c>
      <c r="W1849" s="10">
        <v>0.85741422284630886</v>
      </c>
      <c r="X1849" s="420"/>
      <c r="Y1849" s="420"/>
      <c r="Z1849" s="1"/>
      <c r="AA1849" s="1"/>
      <c r="AB1849" s="1"/>
      <c r="AC1849" s="1"/>
      <c r="AD1849" s="1"/>
    </row>
    <row r="1850" spans="17:30">
      <c r="Q1850" s="6">
        <v>1820</v>
      </c>
      <c r="R1850" s="7">
        <v>44487</v>
      </c>
      <c r="S1850" s="210">
        <v>4</v>
      </c>
      <c r="T1850" s="8">
        <v>1.0001111111111112</v>
      </c>
      <c r="U1850" s="98">
        <v>3.7272056822134081</v>
      </c>
      <c r="V1850" s="106">
        <v>30190.958341324706</v>
      </c>
      <c r="W1850" s="10">
        <v>0.8576134849032746</v>
      </c>
      <c r="X1850" s="420"/>
      <c r="Y1850" s="420"/>
      <c r="Z1850" s="1"/>
      <c r="AA1850" s="1"/>
      <c r="AB1850" s="1"/>
      <c r="AC1850" s="1"/>
      <c r="AD1850" s="1"/>
    </row>
    <row r="1851" spans="17:30">
      <c r="Q1851" s="6">
        <v>1821</v>
      </c>
      <c r="R1851" s="7">
        <v>44488</v>
      </c>
      <c r="S1851" s="210">
        <v>4</v>
      </c>
      <c r="T1851" s="8">
        <v>1.0001111111111112</v>
      </c>
      <c r="U1851" s="98">
        <v>3.7274311970193041</v>
      </c>
      <c r="V1851" s="106">
        <v>30193.309189705124</v>
      </c>
      <c r="W1851" s="10">
        <v>0.8578125285042093</v>
      </c>
      <c r="X1851" s="420"/>
      <c r="Y1851" s="420"/>
      <c r="Z1851" s="1"/>
      <c r="AA1851" s="1"/>
      <c r="AB1851" s="1"/>
      <c r="AC1851" s="1"/>
      <c r="AD1851" s="1"/>
    </row>
    <row r="1852" spans="17:30">
      <c r="Q1852" s="6">
        <v>1822</v>
      </c>
      <c r="R1852" s="7">
        <v>44489</v>
      </c>
      <c r="S1852" s="210">
        <v>4</v>
      </c>
      <c r="T1852" s="8">
        <v>1.0001111111111112</v>
      </c>
      <c r="U1852" s="98">
        <v>3.7276564647682475</v>
      </c>
      <c r="V1852" s="106">
        <v>30195.660221136641</v>
      </c>
      <c r="W1852" s="10">
        <v>0.8580113540082035</v>
      </c>
      <c r="X1852" s="420"/>
      <c r="Y1852" s="420"/>
      <c r="Z1852" s="1"/>
      <c r="AA1852" s="1"/>
      <c r="AB1852" s="1"/>
      <c r="AC1852" s="1"/>
      <c r="AD1852" s="1"/>
    </row>
    <row r="1853" spans="17:30">
      <c r="Q1853" s="6">
        <v>1823</v>
      </c>
      <c r="R1853" s="7">
        <v>44490</v>
      </c>
      <c r="S1853" s="210">
        <v>4</v>
      </c>
      <c r="T1853" s="8">
        <v>1.0001111111111112</v>
      </c>
      <c r="U1853" s="98">
        <v>3.7278814858660025</v>
      </c>
      <c r="V1853" s="106">
        <v>30198.011435633507</v>
      </c>
      <c r="W1853" s="10">
        <v>0.85820996177348174</v>
      </c>
      <c r="X1853" s="420"/>
      <c r="Y1853" s="420"/>
      <c r="Z1853" s="1"/>
      <c r="AA1853" s="1"/>
      <c r="AB1853" s="1"/>
      <c r="AC1853" s="1"/>
      <c r="AD1853" s="1"/>
    </row>
    <row r="1854" spans="17:30">
      <c r="Q1854" s="6">
        <v>1824</v>
      </c>
      <c r="R1854" s="7">
        <v>44491</v>
      </c>
      <c r="S1854" s="210">
        <v>4</v>
      </c>
      <c r="T1854" s="8">
        <v>1.0001111111111112</v>
      </c>
      <c r="U1854" s="98">
        <v>3.7281062607174453</v>
      </c>
      <c r="V1854" s="106">
        <v>30200.362833209987</v>
      </c>
      <c r="W1854" s="10">
        <v>0.85840835215753586</v>
      </c>
      <c r="X1854" s="420"/>
      <c r="Y1854" s="420"/>
      <c r="Z1854" s="1"/>
      <c r="AA1854" s="1"/>
      <c r="AB1854" s="1"/>
      <c r="AC1854" s="1"/>
      <c r="AD1854" s="1"/>
    </row>
    <row r="1855" spans="17:30">
      <c r="Q1855" s="6">
        <v>1825</v>
      </c>
      <c r="R1855" s="7">
        <v>44492</v>
      </c>
      <c r="S1855" s="210">
        <v>4</v>
      </c>
      <c r="T1855" s="8">
        <v>1.0001111111111112</v>
      </c>
      <c r="U1855" s="98">
        <v>3.7283307897265638</v>
      </c>
      <c r="V1855" s="106">
        <v>30202.714413880323</v>
      </c>
      <c r="W1855" s="10">
        <v>0.85860652551705829</v>
      </c>
      <c r="X1855" s="420"/>
      <c r="Y1855" s="420"/>
      <c r="Z1855" s="1"/>
      <c r="AA1855" s="1"/>
      <c r="AB1855" s="1"/>
      <c r="AC1855" s="1"/>
      <c r="AD1855" s="1"/>
    </row>
    <row r="1856" spans="17:30">
      <c r="Q1856" s="6">
        <v>1826</v>
      </c>
      <c r="R1856" s="7">
        <v>44493</v>
      </c>
      <c r="S1856" s="210">
        <v>4</v>
      </c>
      <c r="T1856" s="8">
        <v>1.0001111111111112</v>
      </c>
      <c r="U1856" s="98">
        <v>3.7285550732964801</v>
      </c>
      <c r="V1856" s="106">
        <v>30205.06617765878</v>
      </c>
      <c r="W1856" s="10">
        <v>0.85880448220800876</v>
      </c>
      <c r="X1856" s="420"/>
      <c r="Y1856" s="420"/>
      <c r="Z1856" s="1"/>
      <c r="AA1856" s="1"/>
      <c r="AB1856" s="1"/>
      <c r="AC1856" s="1"/>
      <c r="AD1856" s="1"/>
    </row>
    <row r="1857" spans="17:30">
      <c r="Q1857" s="6">
        <v>1827</v>
      </c>
      <c r="R1857" s="7">
        <v>44494</v>
      </c>
      <c r="S1857" s="210">
        <v>4</v>
      </c>
      <c r="T1857" s="8">
        <v>1.0001111111111112</v>
      </c>
      <c r="U1857" s="98">
        <v>3.7287791118293834</v>
      </c>
      <c r="V1857" s="106">
        <v>30207.418124559616</v>
      </c>
      <c r="W1857" s="10">
        <v>0.85900222258548098</v>
      </c>
      <c r="X1857" s="420"/>
      <c r="Y1857" s="420"/>
      <c r="Z1857" s="1"/>
      <c r="AA1857" s="1"/>
      <c r="AB1857" s="1"/>
      <c r="AC1857" s="1"/>
      <c r="AD1857" s="1"/>
    </row>
    <row r="1858" spans="17:30">
      <c r="Q1858" s="6">
        <v>1828</v>
      </c>
      <c r="R1858" s="7">
        <v>44495</v>
      </c>
      <c r="S1858" s="210">
        <v>4</v>
      </c>
      <c r="T1858" s="8">
        <v>1.0001111111111112</v>
      </c>
      <c r="U1858" s="98">
        <v>3.7290029057266416</v>
      </c>
      <c r="V1858" s="106">
        <v>30209.770254597086</v>
      </c>
      <c r="W1858" s="10">
        <v>0.85919974700385815</v>
      </c>
      <c r="X1858" s="420"/>
      <c r="Y1858" s="420"/>
      <c r="Z1858" s="1"/>
      <c r="AA1858" s="1"/>
      <c r="AB1858" s="1"/>
      <c r="AC1858" s="1"/>
      <c r="AD1858" s="1"/>
    </row>
    <row r="1859" spans="17:30">
      <c r="Q1859" s="6">
        <v>1829</v>
      </c>
      <c r="R1859" s="7">
        <v>44496</v>
      </c>
      <c r="S1859" s="210">
        <v>4</v>
      </c>
      <c r="T1859" s="8">
        <v>1.0001111111111112</v>
      </c>
      <c r="U1859" s="98">
        <v>3.7292264553887344</v>
      </c>
      <c r="V1859" s="106">
        <v>30212.122567785453</v>
      </c>
      <c r="W1859" s="10">
        <v>0.8593970558167241</v>
      </c>
      <c r="X1859" s="420"/>
      <c r="Y1859" s="420"/>
      <c r="Z1859" s="1"/>
      <c r="AA1859" s="1"/>
      <c r="AB1859" s="1"/>
      <c r="AC1859" s="1"/>
      <c r="AD1859" s="1"/>
    </row>
    <row r="1860" spans="17:30">
      <c r="Q1860" s="6">
        <v>1830</v>
      </c>
      <c r="R1860" s="7">
        <v>44497</v>
      </c>
      <c r="S1860" s="210">
        <v>4</v>
      </c>
      <c r="T1860" s="8">
        <v>1.0001111111111112</v>
      </c>
      <c r="U1860" s="98">
        <v>3.7294497612152311</v>
      </c>
      <c r="V1860" s="106">
        <v>30214.475064138984</v>
      </c>
      <c r="W1860" s="10">
        <v>0.8595941493769077</v>
      </c>
      <c r="X1860" s="420"/>
      <c r="Y1860" s="420"/>
      <c r="Z1860" s="1"/>
      <c r="AA1860" s="1"/>
      <c r="AB1860" s="1"/>
      <c r="AC1860" s="1"/>
      <c r="AD1860" s="1"/>
    </row>
    <row r="1861" spans="17:30">
      <c r="Q1861" s="6">
        <v>1831</v>
      </c>
      <c r="R1861" s="7">
        <v>44498</v>
      </c>
      <c r="S1861" s="210">
        <v>4</v>
      </c>
      <c r="T1861" s="8">
        <v>1.0001111111111112</v>
      </c>
      <c r="U1861" s="98">
        <v>3.7296728236048793</v>
      </c>
      <c r="V1861" s="106">
        <v>30216.827743671929</v>
      </c>
      <c r="W1861" s="10">
        <v>0.85979102803643848</v>
      </c>
      <c r="X1861" s="420"/>
      <c r="Y1861" s="420"/>
      <c r="Z1861" s="1"/>
      <c r="AA1861" s="1"/>
      <c r="AB1861" s="1"/>
      <c r="AC1861" s="1"/>
      <c r="AD1861" s="1"/>
    </row>
    <row r="1862" spans="17:30">
      <c r="Q1862" s="6">
        <v>1832</v>
      </c>
      <c r="R1862" s="7">
        <v>44499</v>
      </c>
      <c r="S1862" s="210">
        <v>4</v>
      </c>
      <c r="T1862" s="8">
        <v>1.0001111111111112</v>
      </c>
      <c r="U1862" s="98">
        <v>3.7298956429555385</v>
      </c>
      <c r="V1862" s="106">
        <v>30219.180606398557</v>
      </c>
      <c r="W1862" s="10">
        <v>0.8599876921466354</v>
      </c>
      <c r="X1862" s="420"/>
      <c r="Y1862" s="420"/>
      <c r="Z1862" s="1"/>
      <c r="AA1862" s="1"/>
      <c r="AB1862" s="1"/>
      <c r="AC1862" s="1"/>
      <c r="AD1862" s="1"/>
    </row>
    <row r="1863" spans="17:30">
      <c r="Q1863" s="6">
        <v>1833</v>
      </c>
      <c r="R1863" s="7">
        <v>44500</v>
      </c>
      <c r="S1863" s="210">
        <v>4</v>
      </c>
      <c r="T1863" s="8">
        <v>1.0001111111111112</v>
      </c>
      <c r="U1863" s="98">
        <v>3.7301182196641802</v>
      </c>
      <c r="V1863" s="106">
        <v>30221.533652333139</v>
      </c>
      <c r="W1863" s="10">
        <v>0.86018414205799587</v>
      </c>
      <c r="X1863" s="420"/>
      <c r="Y1863" s="420"/>
      <c r="Z1863" s="1"/>
      <c r="AA1863" s="1"/>
      <c r="AB1863" s="1"/>
      <c r="AC1863" s="1"/>
      <c r="AD1863" s="1"/>
    </row>
    <row r="1864" spans="17:30">
      <c r="Q1864" s="6">
        <v>1834</v>
      </c>
      <c r="R1864" s="7">
        <v>44501</v>
      </c>
      <c r="S1864" s="210">
        <v>4</v>
      </c>
      <c r="T1864" s="8">
        <v>1.0001111111111112</v>
      </c>
      <c r="U1864" s="98">
        <v>3.7303405541269319</v>
      </c>
      <c r="V1864" s="106">
        <v>30223.886881489929</v>
      </c>
      <c r="W1864" s="10">
        <v>0.86038037812026236</v>
      </c>
      <c r="X1864" s="420"/>
      <c r="Y1864" s="420"/>
      <c r="Z1864" s="1"/>
      <c r="AA1864" s="1"/>
      <c r="AB1864" s="1"/>
      <c r="AC1864" s="1"/>
      <c r="AD1864" s="1"/>
    </row>
    <row r="1865" spans="17:30">
      <c r="Q1865" s="6">
        <v>1835</v>
      </c>
      <c r="R1865" s="7">
        <v>44502</v>
      </c>
      <c r="S1865" s="210">
        <v>4</v>
      </c>
      <c r="T1865" s="8">
        <v>1.0001111111111112</v>
      </c>
      <c r="U1865" s="98">
        <v>3.7305626467390773</v>
      </c>
      <c r="V1865" s="106">
        <v>30226.240293883202</v>
      </c>
      <c r="W1865" s="10">
        <v>0.86057640068244456</v>
      </c>
      <c r="X1865" s="420"/>
      <c r="Y1865" s="420"/>
      <c r="Z1865" s="1"/>
      <c r="AA1865" s="1"/>
      <c r="AB1865" s="1"/>
      <c r="AC1865" s="1"/>
      <c r="AD1865" s="1"/>
    </row>
    <row r="1866" spans="17:30">
      <c r="Q1866" s="6">
        <v>1836</v>
      </c>
      <c r="R1866" s="7">
        <v>44503</v>
      </c>
      <c r="S1866" s="210">
        <v>4</v>
      </c>
      <c r="T1866" s="8">
        <v>1.0001111111111112</v>
      </c>
      <c r="U1866" s="98">
        <v>3.7307844978950122</v>
      </c>
      <c r="V1866" s="106">
        <v>30228.593889527223</v>
      </c>
      <c r="W1866" s="10">
        <v>0.86077221009277505</v>
      </c>
      <c r="X1866" s="420"/>
      <c r="Y1866" s="420"/>
      <c r="Z1866" s="1"/>
      <c r="AA1866" s="1"/>
      <c r="AB1866" s="1"/>
      <c r="AC1866" s="1"/>
      <c r="AD1866" s="1"/>
    </row>
    <row r="1867" spans="17:30">
      <c r="Q1867" s="6">
        <v>1837</v>
      </c>
      <c r="R1867" s="7">
        <v>44504</v>
      </c>
      <c r="S1867" s="210">
        <v>4</v>
      </c>
      <c r="T1867" s="8">
        <v>1.0001111111111112</v>
      </c>
      <c r="U1867" s="98">
        <v>3.7310061079882662</v>
      </c>
      <c r="V1867" s="106">
        <v>30230.94766843626</v>
      </c>
      <c r="W1867" s="10">
        <v>0.8609678066987092</v>
      </c>
      <c r="X1867" s="420"/>
      <c r="Y1867" s="420"/>
      <c r="Z1867" s="1"/>
      <c r="AA1867" s="1"/>
      <c r="AB1867" s="1"/>
      <c r="AC1867" s="1"/>
      <c r="AD1867" s="1"/>
    </row>
    <row r="1868" spans="17:30">
      <c r="Q1868" s="6">
        <v>1838</v>
      </c>
      <c r="R1868" s="7">
        <v>44505</v>
      </c>
      <c r="S1868" s="210">
        <v>4</v>
      </c>
      <c r="T1868" s="8">
        <v>1.0001111111111112</v>
      </c>
      <c r="U1868" s="98">
        <v>3.7312274774115473</v>
      </c>
      <c r="V1868" s="106">
        <v>30233.301630624585</v>
      </c>
      <c r="W1868" s="10">
        <v>0.86116319084701409</v>
      </c>
      <c r="X1868" s="420"/>
      <c r="Y1868" s="420"/>
      <c r="Z1868" s="1"/>
      <c r="AA1868" s="1"/>
      <c r="AB1868" s="1"/>
      <c r="AC1868" s="1"/>
      <c r="AD1868" s="1"/>
    </row>
    <row r="1869" spans="17:30">
      <c r="Q1869" s="6">
        <v>1839</v>
      </c>
      <c r="R1869" s="7">
        <v>44506</v>
      </c>
      <c r="S1869" s="210">
        <v>4</v>
      </c>
      <c r="T1869" s="8">
        <v>1.0001111111111112</v>
      </c>
      <c r="U1869" s="98">
        <v>3.7314486065566976</v>
      </c>
      <c r="V1869" s="106">
        <v>30235.655776106465</v>
      </c>
      <c r="W1869" s="10">
        <v>0.861358362883613</v>
      </c>
      <c r="X1869" s="420"/>
      <c r="Y1869" s="420"/>
      <c r="Z1869" s="1"/>
      <c r="AA1869" s="1"/>
      <c r="AB1869" s="1"/>
      <c r="AC1869" s="1"/>
      <c r="AD1869" s="1"/>
    </row>
    <row r="1870" spans="17:30">
      <c r="Q1870" s="6">
        <v>1840</v>
      </c>
      <c r="R1870" s="7">
        <v>44507</v>
      </c>
      <c r="S1870" s="210">
        <v>4</v>
      </c>
      <c r="T1870" s="8">
        <v>1.0001111111111112</v>
      </c>
      <c r="U1870" s="98">
        <v>3.7316694958147156</v>
      </c>
      <c r="V1870" s="106">
        <v>30238.010104896184</v>
      </c>
      <c r="W1870" s="10">
        <v>0.8615533231537631</v>
      </c>
      <c r="X1870" s="420"/>
      <c r="Y1870" s="420"/>
      <c r="Z1870" s="1"/>
      <c r="AA1870" s="1"/>
      <c r="AB1870" s="1"/>
      <c r="AC1870" s="1"/>
      <c r="AD1870" s="1"/>
    </row>
    <row r="1871" spans="17:30">
      <c r="Q1871" s="6">
        <v>1841</v>
      </c>
      <c r="R1871" s="7">
        <v>44508</v>
      </c>
      <c r="S1871" s="210">
        <v>4</v>
      </c>
      <c r="T1871" s="8">
        <v>1.0001111111111112</v>
      </c>
      <c r="U1871" s="98">
        <v>3.7318901455757336</v>
      </c>
      <c r="V1871" s="106">
        <v>30240.364617008003</v>
      </c>
      <c r="W1871" s="10">
        <v>0.86174807200192216</v>
      </c>
      <c r="X1871" s="420"/>
      <c r="Y1871" s="420"/>
      <c r="Z1871" s="1"/>
      <c r="AA1871" s="1"/>
      <c r="AB1871" s="1"/>
      <c r="AC1871" s="1"/>
      <c r="AD1871" s="1"/>
    </row>
    <row r="1872" spans="17:30">
      <c r="Q1872" s="6">
        <v>1842</v>
      </c>
      <c r="R1872" s="7">
        <v>44509</v>
      </c>
      <c r="S1872" s="210">
        <v>4</v>
      </c>
      <c r="T1872" s="8">
        <v>1.0001111111111112</v>
      </c>
      <c r="U1872" s="98">
        <v>3.7321105562290402</v>
      </c>
      <c r="V1872" s="106">
        <v>30242.719312456204</v>
      </c>
      <c r="W1872" s="10">
        <v>0.86194260977179304</v>
      </c>
      <c r="X1872" s="420"/>
      <c r="Y1872" s="420"/>
      <c r="Z1872" s="1"/>
      <c r="AA1872" s="1"/>
      <c r="AB1872" s="1"/>
      <c r="AC1872" s="1"/>
      <c r="AD1872" s="1"/>
    </row>
    <row r="1873" spans="17:30">
      <c r="Q1873" s="6">
        <v>1843</v>
      </c>
      <c r="R1873" s="7">
        <v>44510</v>
      </c>
      <c r="S1873" s="210">
        <v>4</v>
      </c>
      <c r="T1873" s="8">
        <v>1.0001111111111112</v>
      </c>
      <c r="U1873" s="98">
        <v>3.7323307281631024</v>
      </c>
      <c r="V1873" s="106">
        <v>30245.152690372895</v>
      </c>
      <c r="W1873" s="10">
        <v>0.86208509201382011</v>
      </c>
      <c r="X1873" s="420"/>
      <c r="Y1873" s="420"/>
      <c r="Z1873" s="1"/>
      <c r="AA1873" s="1"/>
      <c r="AB1873" s="1"/>
      <c r="AC1873" s="1"/>
      <c r="AD1873" s="1"/>
    </row>
    <row r="1874" spans="17:30">
      <c r="Q1874" s="6">
        <v>1844</v>
      </c>
      <c r="R1874" s="7">
        <v>44511</v>
      </c>
      <c r="S1874" s="210">
        <v>4</v>
      </c>
      <c r="T1874" s="8">
        <v>1.0001111111111112</v>
      </c>
      <c r="U1874" s="98">
        <v>3.7325506617655213</v>
      </c>
      <c r="V1874" s="106">
        <v>30247.586264083086</v>
      </c>
      <c r="W1874" s="10">
        <v>0.86222741992072471</v>
      </c>
      <c r="X1874" s="420"/>
      <c r="Y1874" s="420"/>
      <c r="Z1874" s="1"/>
      <c r="AA1874" s="1"/>
      <c r="AB1874" s="1"/>
      <c r="AC1874" s="1"/>
      <c r="AD1874" s="1"/>
    </row>
    <row r="1875" spans="17:30">
      <c r="Q1875" s="6">
        <v>1845</v>
      </c>
      <c r="R1875" s="7">
        <v>44512</v>
      </c>
      <c r="S1875" s="210">
        <v>4</v>
      </c>
      <c r="T1875" s="8">
        <v>1.0001111111111112</v>
      </c>
      <c r="U1875" s="98">
        <v>3.7327703574230764</v>
      </c>
      <c r="V1875" s="106">
        <v>30250.020033602545</v>
      </c>
      <c r="W1875" s="10">
        <v>0.86236959374315081</v>
      </c>
      <c r="X1875" s="420"/>
      <c r="Y1875" s="420"/>
      <c r="Z1875" s="1"/>
      <c r="AA1875" s="1"/>
      <c r="AB1875" s="1"/>
      <c r="AC1875" s="1"/>
      <c r="AD1875" s="1"/>
    </row>
    <row r="1876" spans="17:30">
      <c r="Q1876" s="6">
        <v>1846</v>
      </c>
      <c r="R1876" s="7">
        <v>44513</v>
      </c>
      <c r="S1876" s="210">
        <v>4</v>
      </c>
      <c r="T1876" s="8">
        <v>1.0001111111111112</v>
      </c>
      <c r="U1876" s="98">
        <v>3.7329898155217034</v>
      </c>
      <c r="V1876" s="106">
        <v>30252.453998947021</v>
      </c>
      <c r="W1876" s="10">
        <v>0.86251161373118723</v>
      </c>
      <c r="X1876" s="420"/>
      <c r="Y1876" s="420"/>
      <c r="Z1876" s="1"/>
      <c r="AA1876" s="1"/>
      <c r="AB1876" s="1"/>
      <c r="AC1876" s="1"/>
      <c r="AD1876" s="1"/>
    </row>
    <row r="1877" spans="17:30">
      <c r="Q1877" s="6">
        <v>1847</v>
      </c>
      <c r="R1877" s="7">
        <v>44514</v>
      </c>
      <c r="S1877" s="210">
        <v>4</v>
      </c>
      <c r="T1877" s="8">
        <v>1.0001111111111112</v>
      </c>
      <c r="U1877" s="98">
        <v>3.7332090364465165</v>
      </c>
      <c r="V1877" s="106">
        <v>30254.888160132265</v>
      </c>
      <c r="W1877" s="10">
        <v>0.86265348013436771</v>
      </c>
      <c r="X1877" s="420"/>
      <c r="Y1877" s="420"/>
      <c r="Z1877" s="1"/>
      <c r="AA1877" s="1"/>
      <c r="AB1877" s="1"/>
      <c r="AC1877" s="1"/>
      <c r="AD1877" s="1"/>
    </row>
    <row r="1878" spans="17:30">
      <c r="Q1878" s="6">
        <v>1848</v>
      </c>
      <c r="R1878" s="7">
        <v>44515</v>
      </c>
      <c r="S1878" s="210">
        <v>4</v>
      </c>
      <c r="T1878" s="8">
        <v>1.0001111111111112</v>
      </c>
      <c r="U1878" s="98">
        <v>3.733428020581786</v>
      </c>
      <c r="V1878" s="106">
        <v>30257.322517174041</v>
      </c>
      <c r="W1878" s="10">
        <v>0.86279519320169307</v>
      </c>
      <c r="X1878" s="420"/>
      <c r="Y1878" s="420"/>
      <c r="Z1878" s="1"/>
      <c r="AA1878" s="1"/>
      <c r="AB1878" s="1"/>
      <c r="AC1878" s="1"/>
      <c r="AD1878" s="1"/>
    </row>
    <row r="1879" spans="17:30">
      <c r="Q1879" s="6">
        <v>1849</v>
      </c>
      <c r="R1879" s="7">
        <v>44516</v>
      </c>
      <c r="S1879" s="210">
        <v>4</v>
      </c>
      <c r="T1879" s="8">
        <v>1.0001111111111112</v>
      </c>
      <c r="U1879" s="98">
        <v>3.7336467683109387</v>
      </c>
      <c r="V1879" s="106">
        <v>30259.757070088104</v>
      </c>
      <c r="W1879" s="10">
        <v>0.86293675318163121</v>
      </c>
      <c r="X1879" s="420"/>
      <c r="Y1879" s="420"/>
      <c r="Z1879" s="1"/>
      <c r="AA1879" s="1"/>
      <c r="AB1879" s="1"/>
      <c r="AC1879" s="1"/>
      <c r="AD1879" s="1"/>
    </row>
    <row r="1880" spans="17:30">
      <c r="Q1880" s="6">
        <v>1850</v>
      </c>
      <c r="R1880" s="7">
        <v>44517</v>
      </c>
      <c r="S1880" s="210">
        <v>4</v>
      </c>
      <c r="T1880" s="8">
        <v>1.0001111111111112</v>
      </c>
      <c r="U1880" s="98">
        <v>3.7338652800166017</v>
      </c>
      <c r="V1880" s="106">
        <v>30262.19181889022</v>
      </c>
      <c r="W1880" s="10">
        <v>0.86307816032211715</v>
      </c>
      <c r="X1880" s="420"/>
      <c r="Y1880" s="420"/>
      <c r="Z1880" s="1"/>
      <c r="AA1880" s="1"/>
      <c r="AB1880" s="1"/>
      <c r="AC1880" s="1"/>
      <c r="AD1880" s="1"/>
    </row>
    <row r="1881" spans="17:30">
      <c r="Q1881" s="6">
        <v>1851</v>
      </c>
      <c r="R1881" s="7">
        <v>44518</v>
      </c>
      <c r="S1881" s="210">
        <v>4</v>
      </c>
      <c r="T1881" s="8">
        <v>1.0001111111111112</v>
      </c>
      <c r="U1881" s="98">
        <v>3.7340835560805585</v>
      </c>
      <c r="V1881" s="106">
        <v>30264.626763596145</v>
      </c>
      <c r="W1881" s="10">
        <v>0.86321941487055298</v>
      </c>
      <c r="X1881" s="420"/>
      <c r="Y1881" s="420"/>
      <c r="Z1881" s="1"/>
      <c r="AA1881" s="1"/>
      <c r="AB1881" s="1"/>
      <c r="AC1881" s="1"/>
      <c r="AD1881" s="1"/>
    </row>
    <row r="1882" spans="17:30">
      <c r="Q1882" s="6">
        <v>1852</v>
      </c>
      <c r="R1882" s="7">
        <v>44519</v>
      </c>
      <c r="S1882" s="210">
        <v>4</v>
      </c>
      <c r="T1882" s="8">
        <v>1.0001111111111112</v>
      </c>
      <c r="U1882" s="98">
        <v>3.7343015968837712</v>
      </c>
      <c r="V1882" s="106">
        <v>30267.061904221649</v>
      </c>
      <c r="W1882" s="10">
        <v>0.86336051707376349</v>
      </c>
      <c r="X1882" s="420"/>
      <c r="Y1882" s="420"/>
      <c r="Z1882" s="1"/>
      <c r="AA1882" s="1"/>
      <c r="AB1882" s="1"/>
      <c r="AC1882" s="1"/>
      <c r="AD1882" s="1"/>
    </row>
    <row r="1883" spans="17:30">
      <c r="Q1883" s="6">
        <v>1853</v>
      </c>
      <c r="R1883" s="7">
        <v>44520</v>
      </c>
      <c r="S1883" s="210">
        <v>4</v>
      </c>
      <c r="T1883" s="8">
        <v>1.0001111111111112</v>
      </c>
      <c r="U1883" s="98">
        <v>3.73451940280638</v>
      </c>
      <c r="V1883" s="106">
        <v>30269.497240782486</v>
      </c>
      <c r="W1883" s="10">
        <v>0.86350146717806275</v>
      </c>
      <c r="X1883" s="420"/>
      <c r="Y1883" s="420"/>
      <c r="Z1883" s="1"/>
      <c r="AA1883" s="1"/>
      <c r="AB1883" s="1"/>
      <c r="AC1883" s="1"/>
      <c r="AD1883" s="1"/>
    </row>
    <row r="1884" spans="17:30">
      <c r="Q1884" s="6">
        <v>1854</v>
      </c>
      <c r="R1884" s="7">
        <v>44521</v>
      </c>
      <c r="S1884" s="210">
        <v>4</v>
      </c>
      <c r="T1884" s="8">
        <v>1.0001111111111112</v>
      </c>
      <c r="U1884" s="98">
        <v>3.7347369742277259</v>
      </c>
      <c r="V1884" s="106">
        <v>30271.932773294422</v>
      </c>
      <c r="W1884" s="10">
        <v>0.86364226542932077</v>
      </c>
      <c r="X1884" s="420"/>
      <c r="Y1884" s="420"/>
      <c r="Z1884" s="1"/>
      <c r="AA1884" s="1"/>
      <c r="AB1884" s="1"/>
      <c r="AC1884" s="1"/>
      <c r="AD1884" s="1"/>
    </row>
    <row r="1885" spans="17:30">
      <c r="Q1885" s="6">
        <v>1855</v>
      </c>
      <c r="R1885" s="7">
        <v>44522</v>
      </c>
      <c r="S1885" s="210">
        <v>4</v>
      </c>
      <c r="T1885" s="8">
        <v>1.0001111111111112</v>
      </c>
      <c r="U1885" s="98">
        <v>3.7349543115263062</v>
      </c>
      <c r="V1885" s="106">
        <v>30274.368501773235</v>
      </c>
      <c r="W1885" s="10">
        <v>0.86378291207271918</v>
      </c>
      <c r="X1885" s="420"/>
      <c r="Y1885" s="420"/>
      <c r="Z1885" s="1"/>
      <c r="AA1885" s="1"/>
      <c r="AB1885" s="1"/>
      <c r="AC1885" s="1"/>
      <c r="AD1885" s="1"/>
    </row>
    <row r="1886" spans="17:30">
      <c r="Q1886" s="6">
        <v>1856</v>
      </c>
      <c r="R1886" s="7">
        <v>44523</v>
      </c>
      <c r="S1886" s="210">
        <v>4</v>
      </c>
      <c r="T1886" s="8">
        <v>1.0001111111111112</v>
      </c>
      <c r="U1886" s="98">
        <v>3.735171415079841</v>
      </c>
      <c r="V1886" s="106">
        <v>30276.804426234681</v>
      </c>
      <c r="W1886" s="10">
        <v>0.86392340735306217</v>
      </c>
      <c r="X1886" s="420"/>
      <c r="Y1886" s="420"/>
      <c r="Z1886" s="1"/>
      <c r="AA1886" s="1"/>
      <c r="AB1886" s="1"/>
      <c r="AC1886" s="1"/>
      <c r="AD1886" s="1"/>
    </row>
    <row r="1887" spans="17:30">
      <c r="Q1887" s="6">
        <v>1857</v>
      </c>
      <c r="R1887" s="7">
        <v>44524</v>
      </c>
      <c r="S1887" s="210">
        <v>4</v>
      </c>
      <c r="T1887" s="8">
        <v>1.0001111111111112</v>
      </c>
      <c r="U1887" s="98">
        <v>3.7353882852651843</v>
      </c>
      <c r="V1887" s="106">
        <v>30279.240546694535</v>
      </c>
      <c r="W1887" s="10">
        <v>0.86406375151455439</v>
      </c>
      <c r="X1887" s="420"/>
      <c r="Y1887" s="420"/>
      <c r="Z1887" s="1"/>
      <c r="AA1887" s="1"/>
      <c r="AB1887" s="1"/>
      <c r="AC1887" s="1"/>
      <c r="AD1887" s="1"/>
    </row>
    <row r="1888" spans="17:30">
      <c r="Q1888" s="6">
        <v>1858</v>
      </c>
      <c r="R1888" s="7">
        <v>44525</v>
      </c>
      <c r="S1888" s="210">
        <v>4</v>
      </c>
      <c r="T1888" s="8">
        <v>1.0001111111111112</v>
      </c>
      <c r="U1888" s="98">
        <v>3.7356049224584353</v>
      </c>
      <c r="V1888" s="106">
        <v>30281.676863168566</v>
      </c>
      <c r="W1888" s="10">
        <v>0.86420394480084539</v>
      </c>
      <c r="X1888" s="420"/>
      <c r="Y1888" s="420"/>
      <c r="Z1888" s="1"/>
      <c r="AA1888" s="1"/>
      <c r="AB1888" s="1"/>
      <c r="AC1888" s="1"/>
      <c r="AD1888" s="1"/>
    </row>
    <row r="1889" spans="17:30">
      <c r="Q1889" s="6">
        <v>1859</v>
      </c>
      <c r="R1889" s="7">
        <v>44526</v>
      </c>
      <c r="S1889" s="210">
        <v>4</v>
      </c>
      <c r="T1889" s="8">
        <v>1.0001111111111112</v>
      </c>
      <c r="U1889" s="98">
        <v>3.7358213270348495</v>
      </c>
      <c r="V1889" s="106">
        <v>30284.11337567255</v>
      </c>
      <c r="W1889" s="10">
        <v>0.86434398745514063</v>
      </c>
      <c r="X1889" s="420"/>
      <c r="Y1889" s="420"/>
      <c r="Z1889" s="1"/>
      <c r="AA1889" s="1"/>
      <c r="AB1889" s="1"/>
      <c r="AC1889" s="1"/>
      <c r="AD1889" s="1"/>
    </row>
    <row r="1890" spans="17:30">
      <c r="Q1890" s="6">
        <v>1860</v>
      </c>
      <c r="R1890" s="7">
        <v>44527</v>
      </c>
      <c r="S1890" s="210">
        <v>4</v>
      </c>
      <c r="T1890" s="8">
        <v>1.0001111111111112</v>
      </c>
      <c r="U1890" s="98">
        <v>3.7360374993688827</v>
      </c>
      <c r="V1890" s="106">
        <v>30286.55008422225</v>
      </c>
      <c r="W1890" s="10">
        <v>0.86448387972004603</v>
      </c>
      <c r="X1890" s="420"/>
      <c r="Y1890" s="420"/>
      <c r="Z1890" s="1"/>
      <c r="AA1890" s="1"/>
      <c r="AB1890" s="1"/>
      <c r="AC1890" s="1"/>
      <c r="AD1890" s="1"/>
    </row>
    <row r="1891" spans="17:30">
      <c r="Q1891" s="6">
        <v>1861</v>
      </c>
      <c r="R1891" s="7">
        <v>44528</v>
      </c>
      <c r="S1891" s="210">
        <v>4</v>
      </c>
      <c r="T1891" s="8">
        <v>1.0001111111111112</v>
      </c>
      <c r="U1891" s="98">
        <v>3.7362534398341918</v>
      </c>
      <c r="V1891" s="106">
        <v>30288.986988833447</v>
      </c>
      <c r="W1891" s="10">
        <v>0.86462362183767905</v>
      </c>
      <c r="X1891" s="420"/>
      <c r="Y1891" s="420"/>
      <c r="Z1891" s="1"/>
      <c r="AA1891" s="1"/>
      <c r="AB1891" s="1"/>
      <c r="AC1891" s="1"/>
      <c r="AD1891" s="1"/>
    </row>
    <row r="1892" spans="17:30">
      <c r="Q1892" s="6">
        <v>1862</v>
      </c>
      <c r="R1892" s="7">
        <v>44529</v>
      </c>
      <c r="S1892" s="210">
        <v>4</v>
      </c>
      <c r="T1892" s="8">
        <v>1.0001111111111112</v>
      </c>
      <c r="U1892" s="98">
        <v>3.7364691488036339</v>
      </c>
      <c r="V1892" s="106">
        <v>30291.424089521912</v>
      </c>
      <c r="W1892" s="10">
        <v>0.8647632140496686</v>
      </c>
      <c r="X1892" s="420"/>
      <c r="Y1892" s="420"/>
      <c r="Z1892" s="1"/>
      <c r="AA1892" s="1"/>
      <c r="AB1892" s="1"/>
      <c r="AC1892" s="1"/>
      <c r="AD1892" s="1"/>
    </row>
    <row r="1893" spans="17:30">
      <c r="Q1893" s="6">
        <v>1863</v>
      </c>
      <c r="R1893" s="7">
        <v>44530</v>
      </c>
      <c r="S1893" s="210">
        <v>4</v>
      </c>
      <c r="T1893" s="8">
        <v>1.0001111111111112</v>
      </c>
      <c r="U1893" s="98">
        <v>3.7366846266492892</v>
      </c>
      <c r="V1893" s="106">
        <v>30293.861386303422</v>
      </c>
      <c r="W1893" s="10">
        <v>0.86490265659711074</v>
      </c>
      <c r="X1893" s="420"/>
      <c r="Y1893" s="420"/>
      <c r="Z1893" s="1"/>
      <c r="AA1893" s="1"/>
      <c r="AB1893" s="1"/>
      <c r="AC1893" s="1"/>
      <c r="AD1893" s="1"/>
    </row>
    <row r="1894" spans="17:30">
      <c r="Q1894" s="6">
        <v>1864</v>
      </c>
      <c r="R1894" s="7">
        <v>44531</v>
      </c>
      <c r="S1894" s="210">
        <v>4</v>
      </c>
      <c r="T1894" s="8">
        <v>1.0001111111111112</v>
      </c>
      <c r="U1894" s="98">
        <v>3.7368998737423942</v>
      </c>
      <c r="V1894" s="106">
        <v>30296.298879193768</v>
      </c>
      <c r="W1894" s="10">
        <v>0.86504194972054638</v>
      </c>
      <c r="X1894" s="420"/>
      <c r="Y1894" s="420"/>
      <c r="Z1894" s="1"/>
      <c r="AA1894" s="1"/>
      <c r="AB1894" s="1"/>
      <c r="AC1894" s="1"/>
      <c r="AD1894" s="1"/>
    </row>
    <row r="1895" spans="17:30">
      <c r="Q1895" s="6">
        <v>1865</v>
      </c>
      <c r="R1895" s="7">
        <v>44532</v>
      </c>
      <c r="S1895" s="210">
        <v>4</v>
      </c>
      <c r="T1895" s="8">
        <v>1.0001111111111112</v>
      </c>
      <c r="U1895" s="98">
        <v>3.7371148904534301</v>
      </c>
      <c r="V1895" s="106">
        <v>30298.736568208707</v>
      </c>
      <c r="W1895" s="10">
        <v>0.86518109366002793</v>
      </c>
      <c r="X1895" s="420"/>
      <c r="Y1895" s="420"/>
      <c r="Z1895" s="1"/>
      <c r="AA1895" s="1"/>
      <c r="AB1895" s="1"/>
      <c r="AC1895" s="1"/>
      <c r="AD1895" s="1"/>
    </row>
    <row r="1896" spans="17:30">
      <c r="Q1896" s="6">
        <v>1866</v>
      </c>
      <c r="R1896" s="7">
        <v>44533</v>
      </c>
      <c r="S1896" s="210">
        <v>4</v>
      </c>
      <c r="T1896" s="8">
        <v>1.0001111111111112</v>
      </c>
      <c r="U1896" s="98">
        <v>3.737329677152057</v>
      </c>
      <c r="V1896" s="106">
        <v>30301.174453364038</v>
      </c>
      <c r="W1896" s="10">
        <v>0.86532008865509713</v>
      </c>
      <c r="X1896" s="420"/>
      <c r="Y1896" s="420"/>
      <c r="Z1896" s="1"/>
      <c r="AA1896" s="1"/>
      <c r="AB1896" s="1"/>
      <c r="AC1896" s="1"/>
      <c r="AD1896" s="1"/>
    </row>
    <row r="1897" spans="17:30">
      <c r="Q1897" s="6">
        <v>1867</v>
      </c>
      <c r="R1897" s="7">
        <v>44534</v>
      </c>
      <c r="S1897" s="210">
        <v>4</v>
      </c>
      <c r="T1897" s="8">
        <v>1.0001111111111112</v>
      </c>
      <c r="U1897" s="98">
        <v>3.7375442342071796</v>
      </c>
      <c r="V1897" s="106">
        <v>30303.612534675536</v>
      </c>
      <c r="W1897" s="10">
        <v>0.86545893494478499</v>
      </c>
      <c r="X1897" s="420"/>
      <c r="Y1897" s="420"/>
      <c r="Z1897" s="1"/>
      <c r="AA1897" s="1"/>
      <c r="AB1897" s="1"/>
      <c r="AC1897" s="1"/>
      <c r="AD1897" s="1"/>
    </row>
    <row r="1898" spans="17:30">
      <c r="Q1898" s="6">
        <v>1868</v>
      </c>
      <c r="R1898" s="7">
        <v>44535</v>
      </c>
      <c r="S1898" s="210">
        <v>4</v>
      </c>
      <c r="T1898" s="8">
        <v>1.0001111111111112</v>
      </c>
      <c r="U1898" s="98">
        <v>3.7377585619868592</v>
      </c>
      <c r="V1898" s="106">
        <v>30306.050812158985</v>
      </c>
      <c r="W1898" s="10">
        <v>0.86559763276758961</v>
      </c>
      <c r="X1898" s="420"/>
      <c r="Y1898" s="420"/>
      <c r="Z1898" s="1"/>
      <c r="AA1898" s="1"/>
      <c r="AB1898" s="1"/>
      <c r="AC1898" s="1"/>
      <c r="AD1898" s="1"/>
    </row>
    <row r="1899" spans="17:30">
      <c r="Q1899" s="6">
        <v>1869</v>
      </c>
      <c r="R1899" s="7">
        <v>44536</v>
      </c>
      <c r="S1899" s="210">
        <v>4</v>
      </c>
      <c r="T1899" s="8">
        <v>1.0001111111111112</v>
      </c>
      <c r="U1899" s="98">
        <v>3.7379726608584241</v>
      </c>
      <c r="V1899" s="106">
        <v>30308.489285830161</v>
      </c>
      <c r="W1899" s="10">
        <v>0.86573618236152061</v>
      </c>
      <c r="X1899" s="420"/>
      <c r="Y1899" s="420"/>
      <c r="Z1899" s="1"/>
      <c r="AA1899" s="1"/>
      <c r="AB1899" s="1"/>
      <c r="AC1899" s="1"/>
      <c r="AD1899" s="1"/>
    </row>
    <row r="1900" spans="17:30">
      <c r="Q1900" s="6">
        <v>1870</v>
      </c>
      <c r="R1900" s="7">
        <v>44537</v>
      </c>
      <c r="S1900" s="210">
        <v>4</v>
      </c>
      <c r="T1900" s="8">
        <v>1.0001111111111112</v>
      </c>
      <c r="U1900" s="98">
        <v>3.7381865311884033</v>
      </c>
      <c r="V1900" s="106">
        <v>30310.927955704869</v>
      </c>
      <c r="W1900" s="10">
        <v>0.8658745839640547</v>
      </c>
      <c r="X1900" s="420"/>
      <c r="Y1900" s="420"/>
      <c r="Z1900" s="1"/>
      <c r="AA1900" s="1"/>
      <c r="AB1900" s="1"/>
      <c r="AC1900" s="1"/>
      <c r="AD1900" s="1"/>
    </row>
    <row r="1901" spans="17:30">
      <c r="Q1901" s="6">
        <v>1871</v>
      </c>
      <c r="R1901" s="7">
        <v>44538</v>
      </c>
      <c r="S1901" s="210">
        <v>4</v>
      </c>
      <c r="T1901" s="8">
        <v>1.0001111111111112</v>
      </c>
      <c r="U1901" s="98">
        <v>3.7384001733425265</v>
      </c>
      <c r="V1901" s="106">
        <v>30313.366821798874</v>
      </c>
      <c r="W1901" s="10">
        <v>0.86601283781222449</v>
      </c>
      <c r="X1901" s="420"/>
      <c r="Y1901" s="420"/>
      <c r="Z1901" s="1"/>
      <c r="AA1901" s="1"/>
      <c r="AB1901" s="1"/>
      <c r="AC1901" s="1"/>
      <c r="AD1901" s="1"/>
    </row>
    <row r="1902" spans="17:30">
      <c r="Q1902" s="6">
        <v>1872</v>
      </c>
      <c r="R1902" s="7">
        <v>44539</v>
      </c>
      <c r="S1902" s="210">
        <v>4</v>
      </c>
      <c r="T1902" s="8">
        <v>1.0001111111111112</v>
      </c>
      <c r="U1902" s="98">
        <v>3.7386135876857685</v>
      </c>
      <c r="V1902" s="106">
        <v>30315.805884127974</v>
      </c>
      <c r="W1902" s="10">
        <v>0.86615094414248528</v>
      </c>
      <c r="X1902" s="420"/>
      <c r="Y1902" s="420"/>
      <c r="Z1902" s="1"/>
      <c r="AA1902" s="1"/>
      <c r="AB1902" s="1"/>
      <c r="AC1902" s="1"/>
      <c r="AD1902" s="1"/>
    </row>
    <row r="1903" spans="17:30">
      <c r="Q1903" s="6">
        <v>1873</v>
      </c>
      <c r="R1903" s="7">
        <v>44540</v>
      </c>
      <c r="S1903" s="210">
        <v>4</v>
      </c>
      <c r="T1903" s="8">
        <v>1.0001111111111112</v>
      </c>
      <c r="U1903" s="98">
        <v>3.7388267745823045</v>
      </c>
      <c r="V1903" s="106">
        <v>30318.166453883925</v>
      </c>
      <c r="W1903" s="10">
        <v>0.86633991970694879</v>
      </c>
      <c r="X1903" s="420"/>
      <c r="Y1903" s="420"/>
      <c r="Z1903" s="1"/>
      <c r="AA1903" s="1"/>
      <c r="AB1903" s="1"/>
      <c r="AC1903" s="1"/>
      <c r="AD1903" s="1"/>
    </row>
    <row r="1904" spans="17:30">
      <c r="Q1904" s="6">
        <v>1874</v>
      </c>
      <c r="R1904" s="7">
        <v>44541</v>
      </c>
      <c r="S1904" s="210">
        <v>4</v>
      </c>
      <c r="T1904" s="8">
        <v>1.0001111111111112</v>
      </c>
      <c r="U1904" s="98">
        <v>3.739039734395555</v>
      </c>
      <c r="V1904" s="106">
        <v>30320.527207447944</v>
      </c>
      <c r="W1904" s="10">
        <v>0.86652869394341359</v>
      </c>
      <c r="X1904" s="420"/>
      <c r="Y1904" s="420"/>
      <c r="Z1904" s="1"/>
      <c r="AA1904" s="1"/>
      <c r="AB1904" s="1"/>
      <c r="AC1904" s="1"/>
      <c r="AD1904" s="1"/>
    </row>
    <row r="1905" spans="17:30">
      <c r="Q1905" s="6">
        <v>1875</v>
      </c>
      <c r="R1905" s="7">
        <v>44542</v>
      </c>
      <c r="S1905" s="210">
        <v>4</v>
      </c>
      <c r="T1905" s="8">
        <v>1.0001111111111112</v>
      </c>
      <c r="U1905" s="98">
        <v>3.7392524674881411</v>
      </c>
      <c r="V1905" s="106">
        <v>30322.888144834331</v>
      </c>
      <c r="W1905" s="10">
        <v>0.86671726717342246</v>
      </c>
      <c r="X1905" s="420"/>
      <c r="Y1905" s="420"/>
      <c r="Z1905" s="1"/>
      <c r="AA1905" s="1"/>
      <c r="AB1905" s="1"/>
      <c r="AC1905" s="1"/>
      <c r="AD1905" s="1"/>
    </row>
    <row r="1906" spans="17:30">
      <c r="Q1906" s="6">
        <v>1876</v>
      </c>
      <c r="R1906" s="7">
        <v>44543</v>
      </c>
      <c r="S1906" s="210">
        <v>4</v>
      </c>
      <c r="T1906" s="8">
        <v>1.0001111111111112</v>
      </c>
      <c r="U1906" s="98">
        <v>3.7394649742219288</v>
      </c>
      <c r="V1906" s="106">
        <v>30325.24926605741</v>
      </c>
      <c r="W1906" s="10">
        <v>0.86690563971782986</v>
      </c>
      <c r="X1906" s="420"/>
      <c r="Y1906" s="420"/>
      <c r="Z1906" s="1"/>
      <c r="AA1906" s="1"/>
      <c r="AB1906" s="1"/>
      <c r="AC1906" s="1"/>
      <c r="AD1906" s="1"/>
    </row>
    <row r="1907" spans="17:30">
      <c r="Q1907" s="6">
        <v>1877</v>
      </c>
      <c r="R1907" s="7">
        <v>44544</v>
      </c>
      <c r="S1907" s="210">
        <v>4</v>
      </c>
      <c r="T1907" s="8">
        <v>1.0001111111111112</v>
      </c>
      <c r="U1907" s="98">
        <v>3.7396772549580071</v>
      </c>
      <c r="V1907" s="106">
        <v>30327.610571131499</v>
      </c>
      <c r="W1907" s="10">
        <v>0.86709381189686852</v>
      </c>
      <c r="X1907" s="420"/>
      <c r="Y1907" s="420"/>
      <c r="Z1907" s="1"/>
      <c r="AA1907" s="1"/>
      <c r="AB1907" s="1"/>
      <c r="AC1907" s="1"/>
      <c r="AD1907" s="1"/>
    </row>
    <row r="1908" spans="17:30">
      <c r="Q1908" s="6">
        <v>1878</v>
      </c>
      <c r="R1908" s="7">
        <v>44545</v>
      </c>
      <c r="S1908" s="210">
        <v>4</v>
      </c>
      <c r="T1908" s="8">
        <v>1.0001111111111112</v>
      </c>
      <c r="U1908" s="98">
        <v>3.7398893100567099</v>
      </c>
      <c r="V1908" s="106">
        <v>30329.972060070901</v>
      </c>
      <c r="W1908" s="10">
        <v>0.86728178403003842</v>
      </c>
      <c r="X1908" s="420"/>
      <c r="Y1908" s="420"/>
      <c r="Z1908" s="1"/>
      <c r="AA1908" s="1"/>
      <c r="AB1908" s="1"/>
      <c r="AC1908" s="1"/>
      <c r="AD1908" s="1"/>
    </row>
    <row r="1909" spans="17:30">
      <c r="Q1909" s="6">
        <v>1879</v>
      </c>
      <c r="R1909" s="7">
        <v>44546</v>
      </c>
      <c r="S1909" s="210">
        <v>4</v>
      </c>
      <c r="T1909" s="8">
        <v>1.0001111111111112</v>
      </c>
      <c r="U1909" s="98">
        <v>3.7401011398775941</v>
      </c>
      <c r="V1909" s="106">
        <v>30332.333732889943</v>
      </c>
      <c r="W1909" s="10">
        <v>0.8674695564361512</v>
      </c>
      <c r="X1909" s="420"/>
      <c r="Y1909" s="420"/>
      <c r="Z1909" s="1"/>
      <c r="AA1909" s="1"/>
      <c r="AB1909" s="1"/>
      <c r="AC1909" s="1"/>
      <c r="AD1909" s="1"/>
    </row>
    <row r="1910" spans="17:30">
      <c r="Q1910" s="6">
        <v>1880</v>
      </c>
      <c r="R1910" s="7">
        <v>44547</v>
      </c>
      <c r="S1910" s="210">
        <v>4</v>
      </c>
      <c r="T1910" s="8">
        <v>1.0001111111111112</v>
      </c>
      <c r="U1910" s="98">
        <v>3.7403127447794615</v>
      </c>
      <c r="V1910" s="106">
        <v>30334.695589602936</v>
      </c>
      <c r="W1910" s="10">
        <v>0.86765712943339679</v>
      </c>
      <c r="X1910" s="420"/>
      <c r="Y1910" s="420"/>
      <c r="Z1910" s="1"/>
      <c r="AA1910" s="1"/>
      <c r="AB1910" s="1"/>
      <c r="AC1910" s="1"/>
      <c r="AD1910" s="1"/>
    </row>
    <row r="1911" spans="17:30">
      <c r="Q1911" s="6">
        <v>1881</v>
      </c>
      <c r="R1911" s="7">
        <v>44548</v>
      </c>
      <c r="S1911" s="210">
        <v>4</v>
      </c>
      <c r="T1911" s="8">
        <v>1.0001111111111112</v>
      </c>
      <c r="U1911" s="98">
        <v>3.7405241251203369</v>
      </c>
      <c r="V1911" s="106">
        <v>30337.057630224204</v>
      </c>
      <c r="W1911" s="10">
        <v>0.86784450333923235</v>
      </c>
      <c r="X1911" s="420"/>
      <c r="Y1911" s="420"/>
      <c r="Z1911" s="1"/>
      <c r="AA1911" s="1"/>
      <c r="AB1911" s="1"/>
      <c r="AC1911" s="1"/>
      <c r="AD1911" s="1"/>
    </row>
    <row r="1912" spans="17:30">
      <c r="Q1912" s="6">
        <v>1882</v>
      </c>
      <c r="R1912" s="7">
        <v>44549</v>
      </c>
      <c r="S1912" s="210">
        <v>4</v>
      </c>
      <c r="T1912" s="8">
        <v>1.0001111111111112</v>
      </c>
      <c r="U1912" s="98">
        <v>3.7407352812575123</v>
      </c>
      <c r="V1912" s="106">
        <v>30339.419854768064</v>
      </c>
      <c r="W1912" s="10">
        <v>0.86803167847049334</v>
      </c>
      <c r="X1912" s="420"/>
      <c r="Y1912" s="420"/>
      <c r="Z1912" s="1"/>
      <c r="AA1912" s="1"/>
      <c r="AB1912" s="1"/>
      <c r="AC1912" s="1"/>
      <c r="AD1912" s="1"/>
    </row>
    <row r="1913" spans="17:30">
      <c r="Q1913" s="6">
        <v>1883</v>
      </c>
      <c r="R1913" s="7">
        <v>44550</v>
      </c>
      <c r="S1913" s="210">
        <v>4</v>
      </c>
      <c r="T1913" s="8">
        <v>1.0001111111111112</v>
      </c>
      <c r="U1913" s="98">
        <v>3.7409462135474802</v>
      </c>
      <c r="V1913" s="106">
        <v>30341.782263248846</v>
      </c>
      <c r="W1913" s="10">
        <v>0.86821865514326024</v>
      </c>
      <c r="X1913" s="420"/>
      <c r="Y1913" s="420"/>
      <c r="Z1913" s="1"/>
      <c r="AA1913" s="1"/>
      <c r="AB1913" s="1"/>
      <c r="AC1913" s="1"/>
      <c r="AD1913" s="1"/>
    </row>
    <row r="1914" spans="17:30">
      <c r="Q1914" s="6">
        <v>1884</v>
      </c>
      <c r="R1914" s="7">
        <v>44551</v>
      </c>
      <c r="S1914" s="210">
        <v>4</v>
      </c>
      <c r="T1914" s="8">
        <v>1.0001111111111112</v>
      </c>
      <c r="U1914" s="98">
        <v>3.7411569223460228</v>
      </c>
      <c r="V1914" s="106">
        <v>30344.144855680857</v>
      </c>
      <c r="W1914" s="10">
        <v>0.86840543367305845</v>
      </c>
      <c r="X1914" s="420"/>
      <c r="Y1914" s="420"/>
      <c r="Z1914" s="1"/>
      <c r="AA1914" s="1"/>
      <c r="AB1914" s="1"/>
      <c r="AC1914" s="1"/>
      <c r="AD1914" s="1"/>
    </row>
    <row r="1915" spans="17:30">
      <c r="Q1915" s="6">
        <v>1885</v>
      </c>
      <c r="R1915" s="7">
        <v>44552</v>
      </c>
      <c r="S1915" s="210">
        <v>4</v>
      </c>
      <c r="T1915" s="8">
        <v>1.0001111111111112</v>
      </c>
      <c r="U1915" s="98">
        <v>3.7413674080081449</v>
      </c>
      <c r="V1915" s="106">
        <v>30346.507632078439</v>
      </c>
      <c r="W1915" s="10">
        <v>0.86859201437463618</v>
      </c>
      <c r="X1915" s="420"/>
      <c r="Y1915" s="420"/>
      <c r="Z1915" s="1"/>
      <c r="AA1915" s="1"/>
      <c r="AB1915" s="1"/>
      <c r="AC1915" s="1"/>
      <c r="AD1915" s="1"/>
    </row>
    <row r="1916" spans="17:30">
      <c r="Q1916" s="6">
        <v>1886</v>
      </c>
      <c r="R1916" s="7">
        <v>44553</v>
      </c>
      <c r="S1916" s="210">
        <v>4</v>
      </c>
      <c r="T1916" s="8">
        <v>1.0001111111111112</v>
      </c>
      <c r="U1916" s="98">
        <v>3.7415776708881188</v>
      </c>
      <c r="V1916" s="106">
        <v>30348.8705924559</v>
      </c>
      <c r="W1916" s="10">
        <v>0.86877839756218656</v>
      </c>
      <c r="X1916" s="420"/>
      <c r="Y1916" s="420"/>
      <c r="Z1916" s="1"/>
      <c r="AA1916" s="1"/>
      <c r="AB1916" s="1"/>
      <c r="AC1916" s="1"/>
      <c r="AD1916" s="1"/>
    </row>
    <row r="1917" spans="17:30">
      <c r="Q1917" s="6">
        <v>1887</v>
      </c>
      <c r="R1917" s="7">
        <v>44554</v>
      </c>
      <c r="S1917" s="210">
        <v>4</v>
      </c>
      <c r="T1917" s="8">
        <v>1.0001111111111112</v>
      </c>
      <c r="U1917" s="98">
        <v>3.7417877113394393</v>
      </c>
      <c r="V1917" s="106">
        <v>30351.233736827573</v>
      </c>
      <c r="W1917" s="10">
        <v>0.86896458354912554</v>
      </c>
      <c r="X1917" s="420"/>
      <c r="Y1917" s="420"/>
      <c r="Z1917" s="1"/>
      <c r="AA1917" s="1"/>
      <c r="AB1917" s="1"/>
      <c r="AC1917" s="1"/>
      <c r="AD1917" s="1"/>
    </row>
    <row r="1918" spans="17:30">
      <c r="Q1918" s="6">
        <v>1888</v>
      </c>
      <c r="R1918" s="7">
        <v>44555</v>
      </c>
      <c r="S1918" s="210">
        <v>4</v>
      </c>
      <c r="T1918" s="8">
        <v>1.0001111111111112</v>
      </c>
      <c r="U1918" s="98">
        <v>3.7419975297148467</v>
      </c>
      <c r="V1918" s="106">
        <v>30353.597065207789</v>
      </c>
      <c r="W1918" s="10">
        <v>0.86915057264824735</v>
      </c>
      <c r="X1918" s="420"/>
      <c r="Y1918" s="420"/>
      <c r="Z1918" s="1"/>
      <c r="AA1918" s="1"/>
      <c r="AB1918" s="1"/>
      <c r="AC1918" s="1"/>
      <c r="AD1918" s="1"/>
    </row>
    <row r="1919" spans="17:30">
      <c r="Q1919" s="6">
        <v>1889</v>
      </c>
      <c r="R1919" s="7">
        <v>44556</v>
      </c>
      <c r="S1919" s="210">
        <v>4</v>
      </c>
      <c r="T1919" s="8">
        <v>1.0001111111111112</v>
      </c>
      <c r="U1919" s="98">
        <v>3.7422071263663703</v>
      </c>
      <c r="V1919" s="106">
        <v>30355.960577610862</v>
      </c>
      <c r="W1919" s="10">
        <v>0.86933636517170232</v>
      </c>
      <c r="X1919" s="420"/>
      <c r="Y1919" s="420"/>
      <c r="Z1919" s="1"/>
      <c r="AA1919" s="1"/>
      <c r="AB1919" s="1"/>
      <c r="AC1919" s="1"/>
      <c r="AD1919" s="1"/>
    </row>
    <row r="1920" spans="17:30">
      <c r="Q1920" s="6">
        <v>1890</v>
      </c>
      <c r="R1920" s="7">
        <v>44557</v>
      </c>
      <c r="S1920" s="210">
        <v>4</v>
      </c>
      <c r="T1920" s="8">
        <v>1.0001111111111112</v>
      </c>
      <c r="U1920" s="98">
        <v>3.7424165016452848</v>
      </c>
      <c r="V1920" s="106">
        <v>30358.324274051138</v>
      </c>
      <c r="W1920" s="10">
        <v>0.8695219614309968</v>
      </c>
      <c r="X1920" s="420"/>
      <c r="Y1920" s="420"/>
      <c r="Z1920" s="1"/>
      <c r="AA1920" s="1"/>
      <c r="AB1920" s="1"/>
      <c r="AC1920" s="1"/>
      <c r="AD1920" s="1"/>
    </row>
    <row r="1921" spans="17:30">
      <c r="Q1921" s="6">
        <v>1891</v>
      </c>
      <c r="R1921" s="7">
        <v>44558</v>
      </c>
      <c r="S1921" s="210">
        <v>4</v>
      </c>
      <c r="T1921" s="8">
        <v>1.0001111111111112</v>
      </c>
      <c r="U1921" s="98">
        <v>3.742625655902132</v>
      </c>
      <c r="V1921" s="106">
        <v>30360.688154542942</v>
      </c>
      <c r="W1921" s="10">
        <v>0.86970736173694885</v>
      </c>
      <c r="X1921" s="420"/>
      <c r="Y1921" s="420"/>
      <c r="Z1921" s="1"/>
      <c r="AA1921" s="1"/>
      <c r="AB1921" s="1"/>
      <c r="AC1921" s="1"/>
      <c r="AD1921" s="1"/>
    </row>
    <row r="1922" spans="17:30">
      <c r="Q1922" s="6">
        <v>1892</v>
      </c>
      <c r="R1922" s="7">
        <v>44559</v>
      </c>
      <c r="S1922" s="210">
        <v>4</v>
      </c>
      <c r="T1922" s="8">
        <v>1.0001111111111112</v>
      </c>
      <c r="U1922" s="98">
        <v>3.7428345894866766</v>
      </c>
      <c r="V1922" s="106">
        <v>30363.052219100598</v>
      </c>
      <c r="W1922" s="10">
        <v>0.86989256639971035</v>
      </c>
      <c r="X1922" s="420"/>
      <c r="Y1922" s="420"/>
      <c r="Z1922" s="1"/>
      <c r="AA1922" s="1"/>
      <c r="AB1922" s="1"/>
      <c r="AC1922" s="1"/>
      <c r="AD1922" s="1"/>
    </row>
    <row r="1923" spans="17:30">
      <c r="Q1923" s="6">
        <v>1893</v>
      </c>
      <c r="R1923" s="7">
        <v>44560</v>
      </c>
      <c r="S1923" s="210">
        <v>4</v>
      </c>
      <c r="T1923" s="8">
        <v>1.0001111111111112</v>
      </c>
      <c r="U1923" s="98">
        <v>3.7430433027479948</v>
      </c>
      <c r="V1923" s="106">
        <v>30365.416467738443</v>
      </c>
      <c r="W1923" s="10">
        <v>0.8700775757288115</v>
      </c>
      <c r="X1923" s="420"/>
      <c r="Y1923" s="420"/>
      <c r="Z1923" s="1"/>
      <c r="AA1923" s="1"/>
      <c r="AB1923" s="1"/>
      <c r="AC1923" s="1"/>
      <c r="AD1923" s="1"/>
    </row>
    <row r="1924" spans="17:30">
      <c r="Q1924" s="6">
        <v>1894</v>
      </c>
      <c r="R1924" s="7">
        <v>44561</v>
      </c>
      <c r="S1924" s="210">
        <v>4</v>
      </c>
      <c r="T1924" s="8">
        <v>1.0001111111111112</v>
      </c>
      <c r="U1924" s="98">
        <v>3.7432517960343858</v>
      </c>
      <c r="V1924" s="106">
        <v>30367.780900470818</v>
      </c>
      <c r="W1924" s="10">
        <v>0.87026239003309414</v>
      </c>
      <c r="X1924" s="420"/>
      <c r="Y1924" s="420"/>
      <c r="Z1924" s="1"/>
      <c r="AA1924" s="1"/>
      <c r="AB1924" s="1"/>
      <c r="AC1924" s="1"/>
      <c r="AD1924" s="1"/>
    </row>
    <row r="1925" spans="17:30">
      <c r="Q1925" s="6">
        <v>1895</v>
      </c>
      <c r="R1925" s="7">
        <v>44562</v>
      </c>
      <c r="S1925" s="210">
        <v>4</v>
      </c>
      <c r="T1925" s="8">
        <v>1.0001111111111112</v>
      </c>
      <c r="U1925" s="98">
        <v>3.7434600696934606</v>
      </c>
      <c r="V1925" s="106">
        <v>30370.145517312045</v>
      </c>
      <c r="W1925" s="10">
        <v>0.87044700962082278</v>
      </c>
      <c r="X1925" s="420"/>
      <c r="Y1925" s="420"/>
      <c r="Z1925" s="1"/>
      <c r="AA1925" s="1"/>
      <c r="AB1925" s="1"/>
      <c r="AC1925" s="1"/>
      <c r="AD1925" s="1"/>
    </row>
    <row r="1926" spans="17:30">
      <c r="Q1926" s="6">
        <v>1896</v>
      </c>
      <c r="R1926" s="7">
        <v>44563</v>
      </c>
      <c r="S1926" s="210">
        <v>4</v>
      </c>
      <c r="T1926" s="8">
        <v>1.0001111111111112</v>
      </c>
      <c r="U1926" s="98">
        <v>3.7436681240720304</v>
      </c>
      <c r="V1926" s="106">
        <v>30372.510318276469</v>
      </c>
      <c r="W1926" s="10">
        <v>0.87063143479948479</v>
      </c>
      <c r="X1926" s="420"/>
      <c r="Y1926" s="420"/>
      <c r="Z1926" s="1"/>
      <c r="AA1926" s="1"/>
      <c r="AB1926" s="1"/>
      <c r="AC1926" s="1"/>
      <c r="AD1926" s="1"/>
    </row>
    <row r="1927" spans="17:30">
      <c r="Q1927" s="6">
        <v>1897</v>
      </c>
      <c r="R1927" s="7">
        <v>44564</v>
      </c>
      <c r="S1927" s="210">
        <v>4</v>
      </c>
      <c r="T1927" s="8">
        <v>1.0001111111111112</v>
      </c>
      <c r="U1927" s="98">
        <v>3.7438759595162407</v>
      </c>
      <c r="V1927" s="106">
        <v>30374.87530337842</v>
      </c>
      <c r="W1927" s="10">
        <v>0.87081566587603465</v>
      </c>
      <c r="X1927" s="420"/>
      <c r="Y1927" s="420"/>
      <c r="Z1927" s="1"/>
      <c r="AA1927" s="1"/>
      <c r="AB1927" s="1"/>
      <c r="AC1927" s="1"/>
      <c r="AD1927" s="1"/>
    </row>
    <row r="1928" spans="17:30">
      <c r="Q1928" s="6">
        <v>1898</v>
      </c>
      <c r="R1928" s="7">
        <v>44565</v>
      </c>
      <c r="S1928" s="210">
        <v>4</v>
      </c>
      <c r="T1928" s="8">
        <v>1.0001111111111112</v>
      </c>
      <c r="U1928" s="98">
        <v>3.7440835763714819</v>
      </c>
      <c r="V1928" s="106">
        <v>30377.240472632242</v>
      </c>
      <c r="W1928" s="10">
        <v>0.87099970315673847</v>
      </c>
      <c r="X1928" s="420"/>
      <c r="Y1928" s="420"/>
      <c r="Z1928" s="1"/>
      <c r="AA1928" s="1"/>
      <c r="AB1928" s="1"/>
      <c r="AC1928" s="1"/>
      <c r="AD1928" s="1"/>
    </row>
    <row r="1929" spans="17:30">
      <c r="Q1929" s="6">
        <v>1899</v>
      </c>
      <c r="R1929" s="7">
        <v>44566</v>
      </c>
      <c r="S1929" s="210">
        <v>4</v>
      </c>
      <c r="T1929" s="8">
        <v>1.0001111111111112</v>
      </c>
      <c r="U1929" s="98">
        <v>3.7442909749824116</v>
      </c>
      <c r="V1929" s="106">
        <v>30379.60582605227</v>
      </c>
      <c r="W1929" s="10">
        <v>0.87118354694724065</v>
      </c>
      <c r="X1929" s="420"/>
      <c r="Y1929" s="420"/>
      <c r="Z1929" s="1"/>
      <c r="AA1929" s="1"/>
      <c r="AB1929" s="1"/>
      <c r="AC1929" s="1"/>
      <c r="AD1929" s="1"/>
    </row>
    <row r="1930" spans="17:30">
      <c r="Q1930" s="6">
        <v>1900</v>
      </c>
      <c r="R1930" s="7">
        <v>44567</v>
      </c>
      <c r="S1930" s="210">
        <v>4</v>
      </c>
      <c r="T1930" s="8">
        <v>1.0001111111111112</v>
      </c>
      <c r="U1930" s="98">
        <v>3.7444981556929768</v>
      </c>
      <c r="V1930" s="106">
        <v>30381.971363652843</v>
      </c>
      <c r="W1930" s="10">
        <v>0.87136719755247505</v>
      </c>
      <c r="X1930" s="420"/>
      <c r="Y1930" s="420"/>
      <c r="Z1930" s="1"/>
      <c r="AA1930" s="1"/>
      <c r="AB1930" s="1"/>
      <c r="AC1930" s="1"/>
      <c r="AD1930" s="1"/>
    </row>
    <row r="1931" spans="17:30">
      <c r="Q1931" s="6">
        <v>1901</v>
      </c>
      <c r="R1931" s="7">
        <v>44568</v>
      </c>
      <c r="S1931" s="210">
        <v>4</v>
      </c>
      <c r="T1931" s="8">
        <v>1.0001111111111112</v>
      </c>
      <c r="U1931" s="98">
        <v>3.744705118846392</v>
      </c>
      <c r="V1931" s="106">
        <v>30384.337085448311</v>
      </c>
      <c r="W1931" s="10">
        <v>0.8715506552767982</v>
      </c>
      <c r="X1931" s="420"/>
      <c r="Y1931" s="420"/>
      <c r="Z1931" s="1"/>
      <c r="AA1931" s="1"/>
      <c r="AB1931" s="1"/>
      <c r="AC1931" s="1"/>
      <c r="AD1931" s="1"/>
    </row>
    <row r="1932" spans="17:30">
      <c r="Q1932" s="6">
        <v>1902</v>
      </c>
      <c r="R1932" s="7">
        <v>44569</v>
      </c>
      <c r="S1932" s="210">
        <v>4</v>
      </c>
      <c r="T1932" s="8">
        <v>1.0001111111111112</v>
      </c>
      <c r="U1932" s="98">
        <v>3.7449118647851831</v>
      </c>
      <c r="V1932" s="106">
        <v>30386.70299145301</v>
      </c>
      <c r="W1932" s="10">
        <v>0.87173392042396713</v>
      </c>
      <c r="X1932" s="420"/>
      <c r="Y1932" s="420"/>
      <c r="Z1932" s="1"/>
      <c r="AA1932" s="1"/>
      <c r="AB1932" s="1"/>
      <c r="AC1932" s="1"/>
      <c r="AD1932" s="1"/>
    </row>
    <row r="1933" spans="17:30">
      <c r="Q1933" s="6">
        <v>1903</v>
      </c>
      <c r="R1933" s="7">
        <v>44570</v>
      </c>
      <c r="S1933" s="210">
        <v>4</v>
      </c>
      <c r="T1933" s="8">
        <v>1.0001111111111112</v>
      </c>
      <c r="U1933" s="98">
        <v>3.745118393851099</v>
      </c>
      <c r="V1933" s="106">
        <v>30389.069081681286</v>
      </c>
      <c r="W1933" s="10">
        <v>0.87191699329698391</v>
      </c>
      <c r="X1933" s="420"/>
      <c r="Y1933" s="420"/>
      <c r="Z1933" s="1"/>
      <c r="AA1933" s="1"/>
      <c r="AB1933" s="1"/>
      <c r="AC1933" s="1"/>
      <c r="AD1933" s="1"/>
    </row>
    <row r="1934" spans="17:30">
      <c r="Q1934" s="6">
        <v>1904</v>
      </c>
      <c r="R1934" s="7">
        <v>44571</v>
      </c>
      <c r="S1934" s="210">
        <v>4</v>
      </c>
      <c r="T1934" s="8">
        <v>1.0001111111111112</v>
      </c>
      <c r="U1934" s="98">
        <v>3.7453247063852224</v>
      </c>
      <c r="V1934" s="106">
        <v>30391.435356147482</v>
      </c>
      <c r="W1934" s="10">
        <v>0.87209987419829549</v>
      </c>
      <c r="X1934" s="420"/>
      <c r="Y1934" s="420"/>
      <c r="Z1934" s="1"/>
      <c r="AA1934" s="1"/>
      <c r="AB1934" s="1"/>
      <c r="AC1934" s="1"/>
      <c r="AD1934" s="1"/>
    </row>
    <row r="1935" spans="17:30">
      <c r="Q1935" s="6">
        <v>1905</v>
      </c>
      <c r="R1935" s="7">
        <v>44572</v>
      </c>
      <c r="S1935" s="210">
        <v>4</v>
      </c>
      <c r="T1935" s="8">
        <v>1.0001111111111112</v>
      </c>
      <c r="U1935" s="98">
        <v>3.7455308027279033</v>
      </c>
      <c r="V1935" s="106">
        <v>30393.801814865947</v>
      </c>
      <c r="W1935" s="10">
        <v>0.87228256342970489</v>
      </c>
      <c r="X1935" s="420"/>
      <c r="Y1935" s="420"/>
      <c r="Z1935" s="1"/>
      <c r="AA1935" s="1"/>
      <c r="AB1935" s="1"/>
      <c r="AC1935" s="1"/>
      <c r="AD1935" s="1"/>
    </row>
    <row r="1936" spans="17:30">
      <c r="Q1936" s="6">
        <v>1906</v>
      </c>
      <c r="R1936" s="7">
        <v>44573</v>
      </c>
      <c r="S1936" s="210">
        <v>4</v>
      </c>
      <c r="T1936" s="8">
        <v>1.0001111111111112</v>
      </c>
      <c r="U1936" s="98">
        <v>3.7457366832187589</v>
      </c>
      <c r="V1936" s="106">
        <v>30396.168457851018</v>
      </c>
      <c r="W1936" s="10">
        <v>0.87246506129237122</v>
      </c>
      <c r="X1936" s="420"/>
      <c r="Y1936" s="420"/>
      <c r="Z1936" s="1"/>
      <c r="AA1936" s="1"/>
      <c r="AB1936" s="1"/>
      <c r="AC1936" s="1"/>
      <c r="AD1936" s="1"/>
    </row>
    <row r="1937" spans="17:30">
      <c r="Q1937" s="6">
        <v>1907</v>
      </c>
      <c r="R1937" s="7">
        <v>44574</v>
      </c>
      <c r="S1937" s="210">
        <v>4</v>
      </c>
      <c r="T1937" s="8">
        <v>1.0001111111111112</v>
      </c>
      <c r="U1937" s="98">
        <v>3.7459423481967402</v>
      </c>
      <c r="V1937" s="106">
        <v>30398.53528511705</v>
      </c>
      <c r="W1937" s="10">
        <v>0.87264736808685406</v>
      </c>
      <c r="X1937" s="420"/>
      <c r="Y1937" s="420"/>
      <c r="Z1937" s="1"/>
      <c r="AA1937" s="1"/>
      <c r="AB1937" s="1"/>
      <c r="AC1937" s="1"/>
      <c r="AD1937" s="1"/>
    </row>
    <row r="1938" spans="17:30">
      <c r="Q1938" s="6">
        <v>1908</v>
      </c>
      <c r="R1938" s="7">
        <v>44575</v>
      </c>
      <c r="S1938" s="210">
        <v>4</v>
      </c>
      <c r="T1938" s="8">
        <v>1.0001111111111112</v>
      </c>
      <c r="U1938" s="98">
        <v>3.7461477980000435</v>
      </c>
      <c r="V1938" s="106">
        <v>30400.902296678403</v>
      </c>
      <c r="W1938" s="10">
        <v>0.87282948411300243</v>
      </c>
      <c r="X1938" s="420"/>
      <c r="Y1938" s="420"/>
      <c r="Z1938" s="1"/>
      <c r="AA1938" s="1"/>
      <c r="AB1938" s="1"/>
      <c r="AC1938" s="1"/>
      <c r="AD1938" s="1"/>
    </row>
    <row r="1939" spans="17:30">
      <c r="Q1939" s="6">
        <v>1909</v>
      </c>
      <c r="R1939" s="7">
        <v>44576</v>
      </c>
      <c r="S1939" s="210">
        <v>4</v>
      </c>
      <c r="T1939" s="8">
        <v>1.0001111111111112</v>
      </c>
      <c r="U1939" s="98">
        <v>3.7463530329661765</v>
      </c>
      <c r="V1939" s="106">
        <v>30403.269492549407</v>
      </c>
      <c r="W1939" s="10">
        <v>0.87301140967013247</v>
      </c>
      <c r="X1939" s="420"/>
      <c r="Y1939" s="420"/>
      <c r="Z1939" s="1"/>
      <c r="AA1939" s="1"/>
      <c r="AB1939" s="1"/>
      <c r="AC1939" s="1"/>
      <c r="AD1939" s="1"/>
    </row>
    <row r="1940" spans="17:30">
      <c r="Q1940" s="6">
        <v>1910</v>
      </c>
      <c r="R1940" s="7">
        <v>44577</v>
      </c>
      <c r="S1940" s="210">
        <v>4</v>
      </c>
      <c r="T1940" s="8">
        <v>1.0001111111111112</v>
      </c>
      <c r="U1940" s="98">
        <v>3.7465580534319587</v>
      </c>
      <c r="V1940" s="106">
        <v>30405.636872744428</v>
      </c>
      <c r="W1940" s="10">
        <v>0.87319314505687196</v>
      </c>
      <c r="X1940" s="420"/>
      <c r="Y1940" s="420"/>
      <c r="Z1940" s="1"/>
      <c r="AA1940" s="1"/>
      <c r="AB1940" s="1"/>
      <c r="AC1940" s="1"/>
      <c r="AD1940" s="1"/>
    </row>
    <row r="1941" spans="17:30">
      <c r="Q1941" s="6">
        <v>1911</v>
      </c>
      <c r="R1941" s="7">
        <v>44578</v>
      </c>
      <c r="S1941" s="210">
        <v>4</v>
      </c>
      <c r="T1941" s="8">
        <v>1.0001111111111112</v>
      </c>
      <c r="U1941" s="98">
        <v>3.746762859733499</v>
      </c>
      <c r="V1941" s="106">
        <v>30408.004437277814</v>
      </c>
      <c r="W1941" s="10">
        <v>0.87337469057129358</v>
      </c>
      <c r="X1941" s="420"/>
      <c r="Y1941" s="420"/>
      <c r="Z1941" s="1"/>
      <c r="AA1941" s="1"/>
      <c r="AB1941" s="1"/>
      <c r="AC1941" s="1"/>
      <c r="AD1941" s="1"/>
    </row>
    <row r="1942" spans="17:30">
      <c r="Q1942" s="6">
        <v>1912</v>
      </c>
      <c r="R1942" s="7">
        <v>44579</v>
      </c>
      <c r="S1942" s="210">
        <v>4</v>
      </c>
      <c r="T1942" s="8">
        <v>1.0001111111111112</v>
      </c>
      <c r="U1942" s="98">
        <v>3.7469674522061736</v>
      </c>
      <c r="V1942" s="106">
        <v>30410.372186163913</v>
      </c>
      <c r="W1942" s="10">
        <v>0.87355604651075947</v>
      </c>
      <c r="X1942" s="420"/>
      <c r="Y1942" s="420"/>
      <c r="Z1942" s="1"/>
      <c r="AA1942" s="1"/>
      <c r="AB1942" s="1"/>
      <c r="AC1942" s="1"/>
      <c r="AD1942" s="1"/>
    </row>
    <row r="1943" spans="17:30">
      <c r="Q1943" s="6">
        <v>1913</v>
      </c>
      <c r="R1943" s="7">
        <v>44580</v>
      </c>
      <c r="S1943" s="210">
        <v>4</v>
      </c>
      <c r="T1943" s="8">
        <v>1.0001111111111112</v>
      </c>
      <c r="U1943" s="98">
        <v>3.7471718311846924</v>
      </c>
      <c r="V1943" s="106">
        <v>30412.740119417089</v>
      </c>
      <c r="W1943" s="10">
        <v>0.87373721317207664</v>
      </c>
      <c r="X1943" s="420"/>
      <c r="Y1943" s="420"/>
      <c r="Z1943" s="1"/>
      <c r="AA1943" s="1"/>
      <c r="AB1943" s="1"/>
      <c r="AC1943" s="1"/>
      <c r="AD1943" s="1"/>
    </row>
    <row r="1944" spans="17:30">
      <c r="Q1944" s="6">
        <v>1914</v>
      </c>
      <c r="R1944" s="7">
        <v>44581</v>
      </c>
      <c r="S1944" s="210">
        <v>4</v>
      </c>
      <c r="T1944" s="8">
        <v>1.0001111111111112</v>
      </c>
      <c r="U1944" s="98">
        <v>3.7473759970030551</v>
      </c>
      <c r="V1944" s="106">
        <v>30415.1082370517</v>
      </c>
      <c r="W1944" s="10">
        <v>0.873918190851386</v>
      </c>
      <c r="X1944" s="420"/>
      <c r="Y1944" s="420"/>
      <c r="Z1944" s="1"/>
      <c r="AA1944" s="1"/>
      <c r="AB1944" s="1"/>
      <c r="AC1944" s="1"/>
      <c r="AD1944" s="1"/>
    </row>
    <row r="1945" spans="17:30">
      <c r="Q1945" s="6">
        <v>1915</v>
      </c>
      <c r="R1945" s="7">
        <v>44582</v>
      </c>
      <c r="S1945" s="210">
        <v>4</v>
      </c>
      <c r="T1945" s="8">
        <v>1.0001111111111112</v>
      </c>
      <c r="U1945" s="98">
        <v>3.7475799499945506</v>
      </c>
      <c r="V1945" s="106">
        <v>30417.47653908209</v>
      </c>
      <c r="W1945" s="10">
        <v>0.87409897984425111</v>
      </c>
      <c r="X1945" s="420"/>
      <c r="Y1945" s="420"/>
      <c r="Z1945" s="1"/>
      <c r="AA1945" s="1"/>
      <c r="AB1945" s="1"/>
      <c r="AC1945" s="1"/>
      <c r="AD1945" s="1"/>
    </row>
    <row r="1946" spans="17:30">
      <c r="Q1946" s="6">
        <v>1916</v>
      </c>
      <c r="R1946" s="7">
        <v>44583</v>
      </c>
      <c r="S1946" s="210">
        <v>4</v>
      </c>
      <c r="T1946" s="8">
        <v>1.0001111111111112</v>
      </c>
      <c r="U1946" s="98">
        <v>3.7477836904918016</v>
      </c>
      <c r="V1946" s="106">
        <v>30419.845025522631</v>
      </c>
      <c r="W1946" s="10">
        <v>0.87427958044559162</v>
      </c>
      <c r="X1946" s="420"/>
      <c r="Y1946" s="420"/>
      <c r="Z1946" s="1"/>
      <c r="AA1946" s="1"/>
      <c r="AB1946" s="1"/>
      <c r="AC1946" s="1"/>
      <c r="AD1946" s="1"/>
    </row>
    <row r="1947" spans="17:30">
      <c r="Q1947" s="6">
        <v>1917</v>
      </c>
      <c r="R1947" s="7">
        <v>44584</v>
      </c>
      <c r="S1947" s="210">
        <v>4</v>
      </c>
      <c r="T1947" s="8">
        <v>1.0001111111111112</v>
      </c>
      <c r="U1947" s="98">
        <v>3.7479872188267205</v>
      </c>
      <c r="V1947" s="106">
        <v>30422.213696387669</v>
      </c>
      <c r="W1947" s="10">
        <v>0.87445999294974985</v>
      </c>
      <c r="X1947" s="420"/>
      <c r="Y1947" s="420"/>
      <c r="Z1947" s="1"/>
      <c r="AA1947" s="1"/>
      <c r="AB1947" s="1"/>
      <c r="AC1947" s="1"/>
      <c r="AD1947" s="1"/>
    </row>
    <row r="1948" spans="17:30">
      <c r="Q1948" s="6">
        <v>1918</v>
      </c>
      <c r="R1948" s="7">
        <v>44585</v>
      </c>
      <c r="S1948" s="210">
        <v>4</v>
      </c>
      <c r="T1948" s="8">
        <v>1.0001111111111112</v>
      </c>
      <c r="U1948" s="98">
        <v>3.7481905353305311</v>
      </c>
      <c r="V1948" s="106">
        <v>30424.582551691576</v>
      </c>
      <c r="W1948" s="10">
        <v>0.87464021765040201</v>
      </c>
      <c r="X1948" s="420"/>
      <c r="Y1948" s="420"/>
      <c r="Z1948" s="1"/>
      <c r="AA1948" s="1"/>
      <c r="AB1948" s="1"/>
      <c r="AC1948" s="1"/>
      <c r="AD1948" s="1"/>
    </row>
    <row r="1949" spans="17:30">
      <c r="Q1949" s="6">
        <v>1919</v>
      </c>
      <c r="R1949" s="7">
        <v>44586</v>
      </c>
      <c r="S1949" s="210">
        <v>4</v>
      </c>
      <c r="T1949" s="8">
        <v>1.0001111111111112</v>
      </c>
      <c r="U1949" s="98">
        <v>3.7483936403337692</v>
      </c>
      <c r="V1949" s="106">
        <v>30426.951591448709</v>
      </c>
      <c r="W1949" s="10">
        <v>0.87482025484064696</v>
      </c>
      <c r="X1949" s="420"/>
      <c r="Y1949" s="420"/>
      <c r="Z1949" s="1"/>
      <c r="AA1949" s="1"/>
      <c r="AB1949" s="1"/>
      <c r="AC1949" s="1"/>
      <c r="AD1949" s="1"/>
    </row>
    <row r="1950" spans="17:30">
      <c r="Q1950" s="6">
        <v>1920</v>
      </c>
      <c r="R1950" s="7">
        <v>44587</v>
      </c>
      <c r="S1950" s="210">
        <v>4</v>
      </c>
      <c r="T1950" s="8">
        <v>1.0001111111111112</v>
      </c>
      <c r="U1950" s="98">
        <v>3.7485965341662819</v>
      </c>
      <c r="V1950" s="106">
        <v>30429.320815673425</v>
      </c>
      <c r="W1950" s="10">
        <v>0.87500010481296187</v>
      </c>
      <c r="X1950" s="420"/>
      <c r="Y1950" s="420"/>
      <c r="Z1950" s="1"/>
      <c r="AA1950" s="1"/>
      <c r="AB1950" s="1"/>
      <c r="AC1950" s="1"/>
      <c r="AD1950" s="1"/>
    </row>
    <row r="1951" spans="17:30">
      <c r="Q1951" s="6">
        <v>1921</v>
      </c>
      <c r="R1951" s="7">
        <v>44588</v>
      </c>
      <c r="S1951" s="210">
        <v>4</v>
      </c>
      <c r="T1951" s="8">
        <v>1.0001111111111112</v>
      </c>
      <c r="U1951" s="98">
        <v>3.7487992171572504</v>
      </c>
      <c r="V1951" s="106">
        <v>30431.690224380098</v>
      </c>
      <c r="W1951" s="10">
        <v>0.87517976785926876</v>
      </c>
      <c r="X1951" s="420"/>
      <c r="Y1951" s="420"/>
      <c r="Z1951" s="1"/>
      <c r="AA1951" s="1"/>
      <c r="AB1951" s="1"/>
      <c r="AC1951" s="1"/>
      <c r="AD1951" s="1"/>
    </row>
    <row r="1952" spans="17:30">
      <c r="Q1952" s="6">
        <v>1922</v>
      </c>
      <c r="R1952" s="7">
        <v>44589</v>
      </c>
      <c r="S1952" s="210">
        <v>4</v>
      </c>
      <c r="T1952" s="8">
        <v>1.0001111111111112</v>
      </c>
      <c r="U1952" s="98">
        <v>3.7490016896351452</v>
      </c>
      <c r="V1952" s="106">
        <v>30434.059817583089</v>
      </c>
      <c r="W1952" s="10">
        <v>0.87535924427077916</v>
      </c>
      <c r="X1952" s="420"/>
      <c r="Y1952" s="420"/>
      <c r="Z1952" s="1"/>
      <c r="AA1952" s="1"/>
      <c r="AB1952" s="1"/>
      <c r="AC1952" s="1"/>
      <c r="AD1952" s="1"/>
    </row>
    <row r="1953" spans="17:30">
      <c r="Q1953" s="6">
        <v>1923</v>
      </c>
      <c r="R1953" s="7">
        <v>44590</v>
      </c>
      <c r="S1953" s="210">
        <v>4</v>
      </c>
      <c r="T1953" s="8">
        <v>1.0001111111111112</v>
      </c>
      <c r="U1953" s="98">
        <v>3.7492039519277487</v>
      </c>
      <c r="V1953" s="106">
        <v>30436.429595296762</v>
      </c>
      <c r="W1953" s="10">
        <v>0.87553853433817164</v>
      </c>
      <c r="X1953" s="420"/>
      <c r="Y1953" s="420"/>
      <c r="Z1953" s="1"/>
      <c r="AA1953" s="1"/>
      <c r="AB1953" s="1"/>
      <c r="AC1953" s="1"/>
      <c r="AD1953" s="1"/>
    </row>
    <row r="1954" spans="17:30">
      <c r="Q1954" s="6">
        <v>1924</v>
      </c>
      <c r="R1954" s="7">
        <v>44591</v>
      </c>
      <c r="S1954" s="210">
        <v>4</v>
      </c>
      <c r="T1954" s="8">
        <v>1.0001111111111112</v>
      </c>
      <c r="U1954" s="98">
        <v>3.7494060043621991</v>
      </c>
      <c r="V1954" s="106">
        <v>30438.79955753548</v>
      </c>
      <c r="W1954" s="10">
        <v>0.87571763835152527</v>
      </c>
      <c r="X1954" s="420"/>
      <c r="Y1954" s="420"/>
      <c r="Z1954" s="1"/>
      <c r="AA1954" s="1"/>
      <c r="AB1954" s="1"/>
      <c r="AC1954" s="1"/>
      <c r="AD1954" s="1"/>
    </row>
    <row r="1955" spans="17:30">
      <c r="Q1955" s="6">
        <v>1925</v>
      </c>
      <c r="R1955" s="7">
        <v>44592</v>
      </c>
      <c r="S1955" s="210">
        <v>4</v>
      </c>
      <c r="T1955" s="8">
        <v>1.0001111111111112</v>
      </c>
      <c r="U1955" s="98">
        <v>3.7496078472649241</v>
      </c>
      <c r="V1955" s="106">
        <v>30441.169704313623</v>
      </c>
      <c r="W1955" s="10">
        <v>0.87589655660029742</v>
      </c>
      <c r="X1955" s="420"/>
      <c r="Y1955" s="420"/>
      <c r="Z1955" s="1"/>
      <c r="AA1955" s="1"/>
      <c r="AB1955" s="1"/>
      <c r="AC1955" s="1"/>
      <c r="AD1955" s="1"/>
    </row>
    <row r="1956" spans="17:30">
      <c r="Q1956" s="6">
        <v>1926</v>
      </c>
      <c r="R1956" s="7">
        <v>44593</v>
      </c>
      <c r="S1956" s="210">
        <v>4</v>
      </c>
      <c r="T1956" s="8">
        <v>1.0001111111111112</v>
      </c>
      <c r="U1956" s="98">
        <v>3.7498094809616855</v>
      </c>
      <c r="V1956" s="106">
        <v>30443.54003564555</v>
      </c>
      <c r="W1956" s="10">
        <v>0.87607528937332368</v>
      </c>
      <c r="X1956" s="420"/>
      <c r="Y1956" s="420"/>
      <c r="Z1956" s="1"/>
      <c r="AA1956" s="1"/>
      <c r="AB1956" s="1"/>
      <c r="AC1956" s="1"/>
      <c r="AD1956" s="1"/>
    </row>
    <row r="1957" spans="17:30">
      <c r="Q1957" s="6">
        <v>1927</v>
      </c>
      <c r="R1957" s="7">
        <v>44594</v>
      </c>
      <c r="S1957" s="210">
        <v>4</v>
      </c>
      <c r="T1957" s="8">
        <v>1.0001111111111112</v>
      </c>
      <c r="U1957" s="98">
        <v>3.7500109057775788</v>
      </c>
      <c r="V1957" s="106">
        <v>30445.910551545636</v>
      </c>
      <c r="W1957" s="10">
        <v>0.87625383695888459</v>
      </c>
      <c r="X1957" s="420"/>
      <c r="Y1957" s="420"/>
      <c r="Z1957" s="1"/>
      <c r="AA1957" s="1"/>
      <c r="AB1957" s="1"/>
      <c r="AC1957" s="1"/>
      <c r="AD1957" s="1"/>
    </row>
    <row r="1958" spans="17:30">
      <c r="Q1958" s="6">
        <v>1928</v>
      </c>
      <c r="R1958" s="7">
        <v>44595</v>
      </c>
      <c r="S1958" s="210">
        <v>4</v>
      </c>
      <c r="T1958" s="8">
        <v>1.0001111111111112</v>
      </c>
      <c r="U1958" s="98">
        <v>3.750212122037011</v>
      </c>
      <c r="V1958" s="106">
        <v>30448.281252028253</v>
      </c>
      <c r="W1958" s="10">
        <v>0.87643219964463892</v>
      </c>
      <c r="X1958" s="420"/>
      <c r="Y1958" s="420"/>
      <c r="Z1958" s="1"/>
      <c r="AA1958" s="1"/>
      <c r="AB1958" s="1"/>
      <c r="AC1958" s="1"/>
      <c r="AD1958" s="1"/>
    </row>
    <row r="1959" spans="17:30">
      <c r="Q1959" s="6">
        <v>1929</v>
      </c>
      <c r="R1959" s="7">
        <v>44596</v>
      </c>
      <c r="S1959" s="210">
        <v>4</v>
      </c>
      <c r="T1959" s="8">
        <v>1.0001111111111112</v>
      </c>
      <c r="U1959" s="98">
        <v>3.7504131300637455</v>
      </c>
      <c r="V1959" s="106">
        <v>30450.652137107772</v>
      </c>
      <c r="W1959" s="10">
        <v>0.87661037771766814</v>
      </c>
      <c r="X1959" s="420"/>
      <c r="Y1959" s="420"/>
      <c r="Z1959" s="1"/>
      <c r="AA1959" s="1"/>
      <c r="AB1959" s="1"/>
      <c r="AC1959" s="1"/>
      <c r="AD1959" s="1"/>
    </row>
    <row r="1960" spans="17:30">
      <c r="Q1960" s="6">
        <v>1930</v>
      </c>
      <c r="R1960" s="7">
        <v>44597</v>
      </c>
      <c r="S1960" s="210">
        <v>4</v>
      </c>
      <c r="T1960" s="8">
        <v>1.0001111111111112</v>
      </c>
      <c r="U1960" s="98">
        <v>3.750613930180835</v>
      </c>
      <c r="V1960" s="106">
        <v>30453.023206798563</v>
      </c>
      <c r="W1960" s="10">
        <v>0.876788371464432</v>
      </c>
      <c r="X1960" s="420"/>
      <c r="Y1960" s="420"/>
      <c r="Z1960" s="1"/>
      <c r="AA1960" s="1"/>
      <c r="AB1960" s="1"/>
      <c r="AC1960" s="1"/>
      <c r="AD1960" s="1"/>
    </row>
    <row r="1961" spans="17:30">
      <c r="Q1961" s="6">
        <v>1931</v>
      </c>
      <c r="R1961" s="7">
        <v>44598</v>
      </c>
      <c r="S1961" s="210">
        <v>4</v>
      </c>
      <c r="T1961" s="8">
        <v>1.0001111111111112</v>
      </c>
      <c r="U1961" s="98">
        <v>3.7508145227106882</v>
      </c>
      <c r="V1961" s="106">
        <v>30455.394461115007</v>
      </c>
      <c r="W1961" s="10">
        <v>0.87696618117081293</v>
      </c>
      <c r="X1961" s="420"/>
      <c r="Y1961" s="420"/>
      <c r="Z1961" s="1"/>
      <c r="AA1961" s="1"/>
      <c r="AB1961" s="1"/>
      <c r="AC1961" s="1"/>
      <c r="AD1961" s="1"/>
    </row>
    <row r="1962" spans="17:30">
      <c r="Q1962" s="6">
        <v>1932</v>
      </c>
      <c r="R1962" s="7">
        <v>44599</v>
      </c>
      <c r="S1962" s="210">
        <v>4</v>
      </c>
      <c r="T1962" s="8">
        <v>1.0001111111111112</v>
      </c>
      <c r="U1962" s="98">
        <v>3.7510149079750477</v>
      </c>
      <c r="V1962" s="106">
        <v>30457.765900071481</v>
      </c>
      <c r="W1962" s="10">
        <v>0.87714380712211604</v>
      </c>
      <c r="X1962" s="420"/>
      <c r="Y1962" s="420"/>
      <c r="Z1962" s="1"/>
      <c r="AA1962" s="1"/>
      <c r="AB1962" s="1"/>
      <c r="AC1962" s="1"/>
      <c r="AD1962" s="1"/>
    </row>
    <row r="1963" spans="17:30">
      <c r="Q1963" s="6">
        <v>1933</v>
      </c>
      <c r="R1963" s="7">
        <v>44600</v>
      </c>
      <c r="S1963" s="210">
        <v>4</v>
      </c>
      <c r="T1963" s="8">
        <v>1.0001111111111112</v>
      </c>
      <c r="U1963" s="98">
        <v>3.75121508629499</v>
      </c>
      <c r="V1963" s="106">
        <v>30460.137523682355</v>
      </c>
      <c r="W1963" s="10">
        <v>0.87732124960302471</v>
      </c>
      <c r="X1963" s="420"/>
      <c r="Y1963" s="420"/>
      <c r="Z1963" s="1"/>
      <c r="AA1963" s="1"/>
      <c r="AB1963" s="1"/>
      <c r="AC1963" s="1"/>
      <c r="AD1963" s="1"/>
    </row>
    <row r="1964" spans="17:30">
      <c r="Q1964" s="6">
        <v>1934</v>
      </c>
      <c r="R1964" s="7">
        <v>44601</v>
      </c>
      <c r="S1964" s="210">
        <v>4</v>
      </c>
      <c r="T1964" s="8">
        <v>1.0001111111111112</v>
      </c>
      <c r="U1964" s="98">
        <v>3.7514150579909034</v>
      </c>
      <c r="V1964" s="106">
        <v>30462.509331962017</v>
      </c>
      <c r="W1964" s="10">
        <v>0.87749850889764502</v>
      </c>
      <c r="X1964" s="420"/>
      <c r="Y1964" s="420"/>
      <c r="Z1964" s="1"/>
      <c r="AA1964" s="1"/>
      <c r="AB1964" s="1"/>
      <c r="AC1964" s="1"/>
      <c r="AD1964" s="1"/>
    </row>
    <row r="1965" spans="17:30">
      <c r="Q1965" s="6">
        <v>1935</v>
      </c>
      <c r="R1965" s="7">
        <v>44602</v>
      </c>
      <c r="S1965" s="210">
        <v>4</v>
      </c>
      <c r="T1965" s="8">
        <v>1.0001111111111112</v>
      </c>
      <c r="U1965" s="98">
        <v>3.7516148233825763</v>
      </c>
      <c r="V1965" s="106">
        <v>30465.135477982381</v>
      </c>
      <c r="W1965" s="10">
        <v>0.87751684006969199</v>
      </c>
      <c r="X1965" s="420"/>
      <c r="Y1965" s="420"/>
      <c r="Z1965" s="1"/>
      <c r="AA1965" s="1"/>
      <c r="AB1965" s="1"/>
      <c r="AC1965" s="1"/>
      <c r="AD1965" s="1"/>
    </row>
    <row r="1966" spans="17:30">
      <c r="Q1966" s="6">
        <v>1936</v>
      </c>
      <c r="R1966" s="7">
        <v>44603</v>
      </c>
      <c r="S1966" s="210">
        <v>4</v>
      </c>
      <c r="T1966" s="8">
        <v>1.0001111111111112</v>
      </c>
      <c r="U1966" s="98">
        <v>3.7518143827890649</v>
      </c>
      <c r="V1966" s="106">
        <v>30467.761850400475</v>
      </c>
      <c r="W1966" s="10">
        <v>0.87753515230788448</v>
      </c>
      <c r="X1966" s="420"/>
      <c r="Y1966" s="420"/>
      <c r="Z1966" s="1"/>
      <c r="AA1966" s="1"/>
      <c r="AB1966" s="1"/>
      <c r="AC1966" s="1"/>
      <c r="AD1966" s="1"/>
    </row>
    <row r="1967" spans="17:30">
      <c r="Q1967" s="6">
        <v>1937</v>
      </c>
      <c r="R1967" s="7">
        <v>44604</v>
      </c>
      <c r="S1967" s="210">
        <v>4</v>
      </c>
      <c r="T1967" s="8">
        <v>1.0001111111111112</v>
      </c>
      <c r="U1967" s="98">
        <v>3.7520137365288253</v>
      </c>
      <c r="V1967" s="106">
        <v>30470.388449235819</v>
      </c>
      <c r="W1967" s="10">
        <v>0.87755344564155457</v>
      </c>
      <c r="X1967" s="420"/>
      <c r="Y1967" s="420"/>
      <c r="Z1967" s="1"/>
      <c r="AA1967" s="1"/>
      <c r="AB1967" s="1"/>
      <c r="AC1967" s="1"/>
      <c r="AD1967" s="1"/>
    </row>
    <row r="1968" spans="17:30">
      <c r="Q1968" s="6">
        <v>1938</v>
      </c>
      <c r="R1968" s="7">
        <v>44605</v>
      </c>
      <c r="S1968" s="210">
        <v>4</v>
      </c>
      <c r="T1968" s="8">
        <v>1.0001111111111112</v>
      </c>
      <c r="U1968" s="98">
        <v>3.7522128849196257</v>
      </c>
      <c r="V1968" s="106">
        <v>30473.015274507918</v>
      </c>
      <c r="W1968" s="10">
        <v>0.87757172009998996</v>
      </c>
      <c r="X1968" s="420"/>
      <c r="Y1968" s="420"/>
      <c r="Z1968" s="1"/>
      <c r="AA1968" s="1"/>
      <c r="AB1968" s="1"/>
      <c r="AC1968" s="1"/>
      <c r="AD1968" s="1"/>
    </row>
    <row r="1969" spans="17:30">
      <c r="Q1969" s="6">
        <v>1939</v>
      </c>
      <c r="R1969" s="7">
        <v>44606</v>
      </c>
      <c r="S1969" s="210">
        <v>4</v>
      </c>
      <c r="T1969" s="8">
        <v>1.0001111111111112</v>
      </c>
      <c r="U1969" s="98">
        <v>3.7524118282785901</v>
      </c>
      <c r="V1969" s="106">
        <v>30475.64232623631</v>
      </c>
      <c r="W1969" s="10">
        <v>0.8775899757123673</v>
      </c>
      <c r="X1969" s="420"/>
      <c r="Y1969" s="420"/>
      <c r="Z1969" s="1"/>
      <c r="AA1969" s="1"/>
      <c r="AB1969" s="1"/>
      <c r="AC1969" s="1"/>
      <c r="AD1969" s="1"/>
    </row>
    <row r="1970" spans="17:30">
      <c r="Q1970" s="6">
        <v>1940</v>
      </c>
      <c r="R1970" s="7">
        <v>44607</v>
      </c>
      <c r="S1970" s="210">
        <v>4</v>
      </c>
      <c r="T1970" s="8">
        <v>1.0001111111111112</v>
      </c>
      <c r="U1970" s="98">
        <v>3.7526105669221987</v>
      </c>
      <c r="V1970" s="106">
        <v>30478.269604440513</v>
      </c>
      <c r="W1970" s="10">
        <v>0.87760821250781884</v>
      </c>
      <c r="X1970" s="420"/>
      <c r="Y1970" s="420"/>
      <c r="Z1970" s="1"/>
      <c r="AA1970" s="1"/>
      <c r="AB1970" s="1"/>
      <c r="AC1970" s="1"/>
      <c r="AD1970" s="1"/>
    </row>
    <row r="1971" spans="17:30">
      <c r="Q1971" s="6">
        <v>1941</v>
      </c>
      <c r="R1971" s="7">
        <v>44608</v>
      </c>
      <c r="S1971" s="210">
        <v>4</v>
      </c>
      <c r="T1971" s="8">
        <v>1.0001111111111112</v>
      </c>
      <c r="U1971" s="98">
        <v>3.7528091011662434</v>
      </c>
      <c r="V1971" s="106">
        <v>30480.897109140042</v>
      </c>
      <c r="W1971" s="10">
        <v>0.87762643051541023</v>
      </c>
      <c r="X1971" s="420"/>
      <c r="Y1971" s="420"/>
      <c r="Z1971" s="1"/>
      <c r="AA1971" s="1"/>
      <c r="AB1971" s="1"/>
      <c r="AC1971" s="1"/>
      <c r="AD1971" s="1"/>
    </row>
    <row r="1972" spans="17:30">
      <c r="Q1972" s="6">
        <v>1942</v>
      </c>
      <c r="R1972" s="7">
        <v>44609</v>
      </c>
      <c r="S1972" s="210">
        <v>4</v>
      </c>
      <c r="T1972" s="8">
        <v>1.0001111111111112</v>
      </c>
      <c r="U1972" s="98">
        <v>3.7530074313259165</v>
      </c>
      <c r="V1972" s="106">
        <v>30483.524840354436</v>
      </c>
      <c r="W1972" s="10">
        <v>0.87764462976418489</v>
      </c>
      <c r="X1972" s="420"/>
      <c r="Y1972" s="420"/>
      <c r="Z1972" s="1"/>
      <c r="AA1972" s="1"/>
      <c r="AB1972" s="1"/>
      <c r="AC1972" s="1"/>
      <c r="AD1972" s="1"/>
    </row>
    <row r="1973" spans="17:30">
      <c r="Q1973" s="6">
        <v>1943</v>
      </c>
      <c r="R1973" s="7">
        <v>44610</v>
      </c>
      <c r="S1973" s="210">
        <v>4</v>
      </c>
      <c r="T1973" s="8">
        <v>1.0001111111111112</v>
      </c>
      <c r="U1973" s="98">
        <v>3.7532055577157442</v>
      </c>
      <c r="V1973" s="106">
        <v>30486.152798103212</v>
      </c>
      <c r="W1973" s="10">
        <v>0.87766281028309745</v>
      </c>
      <c r="X1973" s="420"/>
      <c r="Y1973" s="420"/>
      <c r="Z1973" s="1"/>
      <c r="AA1973" s="1"/>
      <c r="AB1973" s="1"/>
      <c r="AC1973" s="1"/>
      <c r="AD1973" s="1"/>
    </row>
    <row r="1974" spans="17:30">
      <c r="Q1974" s="6">
        <v>1944</v>
      </c>
      <c r="R1974" s="7">
        <v>44611</v>
      </c>
      <c r="S1974" s="210">
        <v>4</v>
      </c>
      <c r="T1974" s="8">
        <v>1.0001111111111112</v>
      </c>
      <c r="U1974" s="98">
        <v>3.7534034806495864</v>
      </c>
      <c r="V1974" s="106">
        <v>30488.780982405911</v>
      </c>
      <c r="W1974" s="10">
        <v>0.87768097210103591</v>
      </c>
      <c r="X1974" s="420"/>
      <c r="Y1974" s="420"/>
      <c r="Z1974" s="1"/>
      <c r="AA1974" s="1"/>
      <c r="AB1974" s="1"/>
      <c r="AC1974" s="1"/>
      <c r="AD1974" s="1"/>
    </row>
    <row r="1975" spans="17:30">
      <c r="Q1975" s="6">
        <v>1945</v>
      </c>
      <c r="R1975" s="7">
        <v>44612</v>
      </c>
      <c r="S1975" s="210">
        <v>4</v>
      </c>
      <c r="T1975" s="8">
        <v>1.0001111111111112</v>
      </c>
      <c r="U1975" s="98">
        <v>3.7536012004406816</v>
      </c>
      <c r="V1975" s="106">
        <v>30491.409393282051</v>
      </c>
      <c r="W1975" s="10">
        <v>0.87769911524684385</v>
      </c>
      <c r="X1975" s="420"/>
      <c r="Y1975" s="420"/>
      <c r="Z1975" s="1"/>
      <c r="AA1975" s="1"/>
      <c r="AB1975" s="1"/>
      <c r="AC1975" s="1"/>
      <c r="AD1975" s="1"/>
    </row>
    <row r="1976" spans="17:30">
      <c r="Q1976" s="6">
        <v>1946</v>
      </c>
      <c r="R1976" s="7">
        <v>44613</v>
      </c>
      <c r="S1976" s="210">
        <v>4</v>
      </c>
      <c r="T1976" s="8">
        <v>1.0001111111111112</v>
      </c>
      <c r="U1976" s="98">
        <v>3.7537987174016241</v>
      </c>
      <c r="V1976" s="106">
        <v>30494.038030751173</v>
      </c>
      <c r="W1976" s="10">
        <v>0.87771723974932048</v>
      </c>
      <c r="X1976" s="420"/>
      <c r="Y1976" s="420"/>
      <c r="Z1976" s="1"/>
      <c r="AA1976" s="1"/>
      <c r="AB1976" s="1"/>
      <c r="AC1976" s="1"/>
      <c r="AD1976" s="1"/>
    </row>
    <row r="1977" spans="17:30">
      <c r="Q1977" s="6">
        <v>1947</v>
      </c>
      <c r="R1977" s="7">
        <v>44614</v>
      </c>
      <c r="S1977" s="210">
        <v>4</v>
      </c>
      <c r="T1977" s="8">
        <v>1.0001111111111112</v>
      </c>
      <c r="U1977" s="98">
        <v>3.7539960318443644</v>
      </c>
      <c r="V1977" s="106">
        <v>30496.666894832812</v>
      </c>
      <c r="W1977" s="10">
        <v>0.87773534563717615</v>
      </c>
      <c r="X1977" s="420"/>
      <c r="Y1977" s="420"/>
      <c r="Z1977" s="1"/>
      <c r="AA1977" s="1"/>
      <c r="AB1977" s="1"/>
      <c r="AC1977" s="1"/>
      <c r="AD1977" s="1"/>
    </row>
    <row r="1978" spans="17:30">
      <c r="Q1978" s="6">
        <v>1948</v>
      </c>
      <c r="R1978" s="7">
        <v>44615</v>
      </c>
      <c r="S1978" s="210">
        <v>4</v>
      </c>
      <c r="T1978" s="8">
        <v>1.0001111111111112</v>
      </c>
      <c r="U1978" s="98">
        <v>3.754193144080209</v>
      </c>
      <c r="V1978" s="106">
        <v>30499.295985546498</v>
      </c>
      <c r="W1978" s="10">
        <v>0.87775343293905461</v>
      </c>
      <c r="X1978" s="420"/>
      <c r="Y1978" s="420"/>
      <c r="Z1978" s="1"/>
      <c r="AA1978" s="1"/>
      <c r="AB1978" s="1"/>
      <c r="AC1978" s="1"/>
      <c r="AD1978" s="1"/>
    </row>
    <row r="1979" spans="17:30">
      <c r="Q1979" s="6">
        <v>1949</v>
      </c>
      <c r="R1979" s="7">
        <v>44616</v>
      </c>
      <c r="S1979" s="210">
        <v>4</v>
      </c>
      <c r="T1979" s="8">
        <v>1.0001111111111112</v>
      </c>
      <c r="U1979" s="98">
        <v>3.7543900544198205</v>
      </c>
      <c r="V1979" s="106">
        <v>30501.925302911772</v>
      </c>
      <c r="W1979" s="10">
        <v>0.87777150168357743</v>
      </c>
      <c r="X1979" s="420"/>
      <c r="Y1979" s="420"/>
      <c r="Z1979" s="1"/>
      <c r="AA1979" s="1"/>
      <c r="AB1979" s="1"/>
      <c r="AC1979" s="1"/>
      <c r="AD1979" s="1"/>
    </row>
    <row r="1980" spans="17:30">
      <c r="Q1980" s="6">
        <v>1950</v>
      </c>
      <c r="R1980" s="7">
        <v>44617</v>
      </c>
      <c r="S1980" s="210">
        <v>4</v>
      </c>
      <c r="T1980" s="8">
        <v>1.0001111111111112</v>
      </c>
      <c r="U1980" s="98">
        <v>3.7545867631732399</v>
      </c>
      <c r="V1980" s="106">
        <v>30504.554846948176</v>
      </c>
      <c r="W1980" s="10">
        <v>0.87778955189927732</v>
      </c>
      <c r="X1980" s="420"/>
      <c r="Y1980" s="420"/>
      <c r="Z1980" s="1"/>
      <c r="AA1980" s="1"/>
      <c r="AB1980" s="1"/>
      <c r="AC1980" s="1"/>
      <c r="AD1980" s="1"/>
    </row>
    <row r="1981" spans="17:30">
      <c r="Q1981" s="6">
        <v>1951</v>
      </c>
      <c r="R1981" s="7">
        <v>44618</v>
      </c>
      <c r="S1981" s="210">
        <v>4</v>
      </c>
      <c r="T1981" s="8">
        <v>1.0001111111111112</v>
      </c>
      <c r="U1981" s="98">
        <v>3.7547832706498863</v>
      </c>
      <c r="V1981" s="106">
        <v>30507.184617675248</v>
      </c>
      <c r="W1981" s="10">
        <v>0.87780758361466482</v>
      </c>
      <c r="X1981" s="420"/>
      <c r="Y1981" s="420"/>
      <c r="Z1981" s="1"/>
      <c r="AA1981" s="1"/>
      <c r="AB1981" s="1"/>
      <c r="AC1981" s="1"/>
      <c r="AD1981" s="1"/>
    </row>
    <row r="1982" spans="17:30">
      <c r="Q1982" s="6">
        <v>1952</v>
      </c>
      <c r="R1982" s="7">
        <v>44619</v>
      </c>
      <c r="S1982" s="210">
        <v>4</v>
      </c>
      <c r="T1982" s="8">
        <v>1.0001111111111112</v>
      </c>
      <c r="U1982" s="98">
        <v>3.7549795771585126</v>
      </c>
      <c r="V1982" s="106">
        <v>30509.814615112529</v>
      </c>
      <c r="W1982" s="10">
        <v>0.87782559685816164</v>
      </c>
      <c r="X1982" s="420"/>
      <c r="Y1982" s="420"/>
      <c r="Z1982" s="1"/>
      <c r="AA1982" s="1"/>
      <c r="AB1982" s="1"/>
      <c r="AC1982" s="1"/>
      <c r="AD1982" s="1"/>
    </row>
    <row r="1983" spans="17:30">
      <c r="Q1983" s="6">
        <v>1953</v>
      </c>
      <c r="R1983" s="7">
        <v>44620</v>
      </c>
      <c r="S1983" s="210">
        <v>4</v>
      </c>
      <c r="T1983" s="8">
        <v>1.0001111111111112</v>
      </c>
      <c r="U1983" s="98">
        <v>3.7551756830072502</v>
      </c>
      <c r="V1983" s="106">
        <v>30512.444839279564</v>
      </c>
      <c r="W1983" s="10">
        <v>0.87784359165812287</v>
      </c>
      <c r="X1983" s="420"/>
      <c r="Y1983" s="420"/>
      <c r="Z1983" s="1"/>
      <c r="AA1983" s="1"/>
      <c r="AB1983" s="1"/>
      <c r="AC1983" s="1"/>
      <c r="AD1983" s="1"/>
    </row>
    <row r="1984" spans="17:30">
      <c r="Q1984" s="6">
        <v>1954</v>
      </c>
      <c r="R1984" s="7">
        <v>44621</v>
      </c>
      <c r="S1984" s="210">
        <v>4</v>
      </c>
      <c r="T1984" s="8">
        <v>1.0001111111111112</v>
      </c>
      <c r="U1984" s="98">
        <v>3.7553715885036087</v>
      </c>
      <c r="V1984" s="106">
        <v>30515.075290195902</v>
      </c>
      <c r="W1984" s="10">
        <v>0.8778615680428814</v>
      </c>
      <c r="X1984" s="420"/>
      <c r="Y1984" s="420"/>
      <c r="Z1984" s="1"/>
      <c r="AA1984" s="1"/>
      <c r="AB1984" s="1"/>
      <c r="AC1984" s="1"/>
      <c r="AD1984" s="1"/>
    </row>
    <row r="1985" spans="17:30">
      <c r="Q1985" s="6">
        <v>1955</v>
      </c>
      <c r="R1985" s="7">
        <v>44622</v>
      </c>
      <c r="S1985" s="210">
        <v>4</v>
      </c>
      <c r="T1985" s="8">
        <v>1.0001111111111112</v>
      </c>
      <c r="U1985" s="98">
        <v>3.755567293954476</v>
      </c>
      <c r="V1985" s="106">
        <v>30517.705967881095</v>
      </c>
      <c r="W1985" s="10">
        <v>0.87787952604065911</v>
      </c>
      <c r="X1985" s="420"/>
      <c r="Y1985" s="420"/>
      <c r="Z1985" s="1"/>
      <c r="AA1985" s="1"/>
      <c r="AB1985" s="1"/>
      <c r="AC1985" s="1"/>
      <c r="AD1985" s="1"/>
    </row>
    <row r="1986" spans="17:30">
      <c r="Q1986" s="6">
        <v>1956</v>
      </c>
      <c r="R1986" s="7">
        <v>44623</v>
      </c>
      <c r="S1986" s="210">
        <v>4</v>
      </c>
      <c r="T1986" s="8">
        <v>1.0001111111111112</v>
      </c>
      <c r="U1986" s="98">
        <v>3.7557627996660958</v>
      </c>
      <c r="V1986" s="106">
        <v>30520.336872354685</v>
      </c>
      <c r="W1986" s="10">
        <v>0.87789746567965565</v>
      </c>
      <c r="X1986" s="420"/>
      <c r="Y1986" s="420"/>
      <c r="Z1986" s="1"/>
      <c r="AA1986" s="1"/>
      <c r="AB1986" s="1"/>
      <c r="AC1986" s="1"/>
      <c r="AD1986" s="1"/>
    </row>
    <row r="1987" spans="17:30">
      <c r="Q1987" s="6">
        <v>1957</v>
      </c>
      <c r="R1987" s="7">
        <v>44624</v>
      </c>
      <c r="S1987" s="210">
        <v>4</v>
      </c>
      <c r="T1987" s="8">
        <v>1.0001111111111112</v>
      </c>
      <c r="U1987" s="98">
        <v>3.7559581059440905</v>
      </c>
      <c r="V1987" s="106">
        <v>30522.968003636222</v>
      </c>
      <c r="W1987" s="10">
        <v>0.87791538698802629</v>
      </c>
      <c r="X1987" s="420"/>
      <c r="Y1987" s="420"/>
      <c r="Z1987" s="1"/>
      <c r="AA1987" s="1"/>
      <c r="AB1987" s="1"/>
      <c r="AC1987" s="1"/>
      <c r="AD1987" s="1"/>
    </row>
    <row r="1988" spans="17:30">
      <c r="Q1988" s="6">
        <v>1958</v>
      </c>
      <c r="R1988" s="7">
        <v>44625</v>
      </c>
      <c r="S1988" s="210">
        <v>4</v>
      </c>
      <c r="T1988" s="8">
        <v>1.0001111111111112</v>
      </c>
      <c r="U1988" s="98">
        <v>3.7561532130934827</v>
      </c>
      <c r="V1988" s="106">
        <v>30525.599361745266</v>
      </c>
      <c r="W1988" s="10">
        <v>0.87793328999385967</v>
      </c>
      <c r="X1988" s="420"/>
      <c r="Y1988" s="420"/>
      <c r="Z1988" s="1"/>
      <c r="AA1988" s="1"/>
      <c r="AB1988" s="1"/>
      <c r="AC1988" s="1"/>
      <c r="AD1988" s="1"/>
    </row>
    <row r="1989" spans="17:30">
      <c r="Q1989" s="6">
        <v>1959</v>
      </c>
      <c r="R1989" s="7">
        <v>44626</v>
      </c>
      <c r="S1989" s="210">
        <v>4</v>
      </c>
      <c r="T1989" s="8">
        <v>1.0001111111111112</v>
      </c>
      <c r="U1989" s="98">
        <v>3.7563481214186289</v>
      </c>
      <c r="V1989" s="106">
        <v>30528.230946701369</v>
      </c>
      <c r="W1989" s="10">
        <v>0.8779511747251556</v>
      </c>
      <c r="X1989" s="420"/>
      <c r="Y1989" s="420"/>
      <c r="Z1989" s="1"/>
      <c r="AA1989" s="1"/>
      <c r="AB1989" s="1"/>
      <c r="AC1989" s="1"/>
      <c r="AD1989" s="1"/>
    </row>
    <row r="1990" spans="17:30">
      <c r="Q1990" s="6">
        <v>1960</v>
      </c>
      <c r="R1990" s="7">
        <v>44627</v>
      </c>
      <c r="S1990" s="210">
        <v>4</v>
      </c>
      <c r="T1990" s="8">
        <v>1.0001111111111112</v>
      </c>
      <c r="U1990" s="98">
        <v>3.7565428312233085</v>
      </c>
      <c r="V1990" s="106">
        <v>30530.862758524087</v>
      </c>
      <c r="W1990" s="10">
        <v>0.87796904120989172</v>
      </c>
      <c r="X1990" s="420"/>
      <c r="Y1990" s="420"/>
      <c r="Z1990" s="1"/>
      <c r="AA1990" s="1"/>
      <c r="AB1990" s="1"/>
      <c r="AC1990" s="1"/>
      <c r="AD1990" s="1"/>
    </row>
    <row r="1991" spans="17:30">
      <c r="Q1991" s="6">
        <v>1961</v>
      </c>
      <c r="R1991" s="7">
        <v>44628</v>
      </c>
      <c r="S1991" s="210">
        <v>4</v>
      </c>
      <c r="T1991" s="8">
        <v>1.0001111111111112</v>
      </c>
      <c r="U1991" s="98">
        <v>3.7567373428106787</v>
      </c>
      <c r="V1991" s="106">
        <v>30533.494797232976</v>
      </c>
      <c r="W1991" s="10">
        <v>0.87798688947597903</v>
      </c>
      <c r="X1991" s="420"/>
      <c r="Y1991" s="420"/>
      <c r="Z1991" s="1"/>
      <c r="AA1991" s="1"/>
      <c r="AB1991" s="1"/>
      <c r="AC1991" s="1"/>
      <c r="AD1991" s="1"/>
    </row>
    <row r="1992" spans="17:30">
      <c r="Q1992" s="6">
        <v>1962</v>
      </c>
      <c r="R1992" s="7">
        <v>44629</v>
      </c>
      <c r="S1992" s="210">
        <v>4</v>
      </c>
      <c r="T1992" s="8">
        <v>1.0001111111111112</v>
      </c>
      <c r="U1992" s="98">
        <v>3.7569316564832533</v>
      </c>
      <c r="V1992" s="106">
        <v>30536.127062847594</v>
      </c>
      <c r="W1992" s="10">
        <v>0.87800471955126191</v>
      </c>
      <c r="X1992" s="420"/>
      <c r="Y1992" s="420"/>
      <c r="Z1992" s="1"/>
      <c r="AA1992" s="1"/>
      <c r="AB1992" s="1"/>
      <c r="AC1992" s="1"/>
      <c r="AD1992" s="1"/>
    </row>
    <row r="1993" spans="17:30">
      <c r="Q1993" s="6">
        <v>1963</v>
      </c>
      <c r="R1993" s="7">
        <v>44630</v>
      </c>
      <c r="S1993" s="210">
        <v>4</v>
      </c>
      <c r="T1993" s="8">
        <v>1.0001111111111112</v>
      </c>
      <c r="U1993" s="98">
        <v>3.7571257725429463</v>
      </c>
      <c r="V1993" s="106">
        <v>30538.504788126742</v>
      </c>
      <c r="W1993" s="10">
        <v>0.87817901314302116</v>
      </c>
      <c r="X1993" s="420"/>
      <c r="Y1993" s="420"/>
      <c r="Z1993" s="1"/>
      <c r="AA1993" s="1"/>
      <c r="AB1993" s="1"/>
      <c r="AC1993" s="1"/>
      <c r="AD1993" s="1"/>
    </row>
    <row r="1994" spans="17:30">
      <c r="Q1994" s="6">
        <v>1964</v>
      </c>
      <c r="R1994" s="7">
        <v>44631</v>
      </c>
      <c r="S1994" s="210">
        <v>4</v>
      </c>
      <c r="T1994" s="8">
        <v>1.0001111111111112</v>
      </c>
      <c r="U1994" s="98">
        <v>3.75731969129105</v>
      </c>
      <c r="V1994" s="106">
        <v>30540.882698549791</v>
      </c>
      <c r="W1994" s="10">
        <v>0.87835312954707145</v>
      </c>
      <c r="X1994" s="420"/>
      <c r="Y1994" s="420"/>
      <c r="Z1994" s="1"/>
      <c r="AA1994" s="1"/>
      <c r="AB1994" s="1"/>
      <c r="AC1994" s="1"/>
      <c r="AD1994" s="1"/>
    </row>
    <row r="1995" spans="17:30">
      <c r="Q1995" s="6">
        <v>1965</v>
      </c>
      <c r="R1995" s="7">
        <v>44632</v>
      </c>
      <c r="S1995" s="210">
        <v>4</v>
      </c>
      <c r="T1995" s="8">
        <v>1.0001111111111112</v>
      </c>
      <c r="U1995" s="98">
        <v>3.7575134130282573</v>
      </c>
      <c r="V1995" s="106">
        <v>30543.260794131143</v>
      </c>
      <c r="W1995" s="10">
        <v>0.87852706903346345</v>
      </c>
      <c r="X1995" s="420"/>
      <c r="Y1995" s="420"/>
      <c r="Z1995" s="1"/>
      <c r="AA1995" s="1"/>
      <c r="AB1995" s="1"/>
      <c r="AC1995" s="1"/>
      <c r="AD1995" s="1"/>
    </row>
    <row r="1996" spans="17:30">
      <c r="Q1996" s="6">
        <v>1966</v>
      </c>
      <c r="R1996" s="7">
        <v>44633</v>
      </c>
      <c r="S1996" s="210">
        <v>4</v>
      </c>
      <c r="T1996" s="8">
        <v>1.0001111111111112</v>
      </c>
      <c r="U1996" s="98">
        <v>3.7577069380546391</v>
      </c>
      <c r="V1996" s="106">
        <v>30545.639074885221</v>
      </c>
      <c r="W1996" s="10">
        <v>0.87870083187171488</v>
      </c>
      <c r="X1996" s="420"/>
      <c r="Y1996" s="420"/>
      <c r="Z1996" s="1"/>
      <c r="AA1996" s="1"/>
      <c r="AB1996" s="1"/>
      <c r="AC1996" s="1"/>
      <c r="AD1996" s="1"/>
    </row>
    <row r="1997" spans="17:30">
      <c r="Q1997" s="6">
        <v>1967</v>
      </c>
      <c r="R1997" s="7">
        <v>44634</v>
      </c>
      <c r="S1997" s="210">
        <v>4</v>
      </c>
      <c r="T1997" s="8">
        <v>1.0001111111111112</v>
      </c>
      <c r="U1997" s="98">
        <v>3.757900266669667</v>
      </c>
      <c r="V1997" s="106">
        <v>30548.017540826459</v>
      </c>
      <c r="W1997" s="10">
        <v>0.87887441833081059</v>
      </c>
      <c r="X1997" s="420"/>
      <c r="Y1997" s="420"/>
      <c r="Z1997" s="1"/>
      <c r="AA1997" s="1"/>
      <c r="AB1997" s="1"/>
      <c r="AC1997" s="1"/>
      <c r="AD1997" s="1"/>
    </row>
    <row r="1998" spans="17:30">
      <c r="Q1998" s="6">
        <v>1968</v>
      </c>
      <c r="R1998" s="7">
        <v>44635</v>
      </c>
      <c r="S1998" s="210">
        <v>4</v>
      </c>
      <c r="T1998" s="8">
        <v>1.0001111111111112</v>
      </c>
      <c r="U1998" s="98">
        <v>3.7580933991722132</v>
      </c>
      <c r="V1998" s="106">
        <v>30550.396191969256</v>
      </c>
      <c r="W1998" s="10">
        <v>0.87904782867913589</v>
      </c>
      <c r="X1998" s="420"/>
      <c r="Y1998" s="420"/>
      <c r="Z1998" s="1"/>
      <c r="AA1998" s="1"/>
      <c r="AB1998" s="1"/>
      <c r="AC1998" s="1"/>
      <c r="AD1998" s="1"/>
    </row>
    <row r="1999" spans="17:30">
      <c r="Q1999" s="6">
        <v>1969</v>
      </c>
      <c r="R1999" s="7">
        <v>44636</v>
      </c>
      <c r="S1999" s="210">
        <v>4</v>
      </c>
      <c r="T1999" s="8">
        <v>1.0001111111111112</v>
      </c>
      <c r="U1999" s="98">
        <v>3.7582863358605056</v>
      </c>
      <c r="V1999" s="106">
        <v>30552.775028328044</v>
      </c>
      <c r="W1999" s="10">
        <v>0.87922106318456539</v>
      </c>
      <c r="X1999" s="420"/>
      <c r="Y1999" s="420"/>
      <c r="Z1999" s="1"/>
      <c r="AA1999" s="1"/>
      <c r="AB1999" s="1"/>
      <c r="AC1999" s="1"/>
      <c r="AD1999" s="1"/>
    </row>
    <row r="2000" spans="17:30">
      <c r="Q2000" s="6">
        <v>1970</v>
      </c>
      <c r="R2000" s="7">
        <v>44637</v>
      </c>
      <c r="S2000" s="210">
        <v>4</v>
      </c>
      <c r="T2000" s="8">
        <v>1.0001111111111112</v>
      </c>
      <c r="U2000" s="98">
        <v>3.7584790770321952</v>
      </c>
      <c r="V2000" s="106">
        <v>30555.154049917241</v>
      </c>
      <c r="W2000" s="10">
        <v>0.87939412211444079</v>
      </c>
      <c r="X2000" s="420"/>
      <c r="Y2000" s="420"/>
      <c r="Z2000" s="1"/>
      <c r="AA2000" s="1"/>
      <c r="AB2000" s="1"/>
      <c r="AC2000" s="1"/>
      <c r="AD2000" s="1"/>
    </row>
    <row r="2001" spans="17:30">
      <c r="Q2001" s="6">
        <v>1971</v>
      </c>
      <c r="R2001" s="7">
        <v>44638</v>
      </c>
      <c r="S2001" s="210">
        <v>4</v>
      </c>
      <c r="T2001" s="8">
        <v>1.0001111111111112</v>
      </c>
      <c r="U2001" s="98">
        <v>3.7586716229843553</v>
      </c>
      <c r="V2001" s="106">
        <v>30557.533256751271</v>
      </c>
      <c r="W2001" s="10">
        <v>0.87956700573554869</v>
      </c>
      <c r="X2001" s="420"/>
      <c r="Y2001" s="420"/>
      <c r="Z2001" s="1"/>
      <c r="AA2001" s="1"/>
      <c r="AB2001" s="1"/>
      <c r="AC2001" s="1"/>
      <c r="AD2001" s="1"/>
    </row>
    <row r="2002" spans="17:30">
      <c r="Q2002" s="6">
        <v>1972</v>
      </c>
      <c r="R2002" s="7">
        <v>44639</v>
      </c>
      <c r="S2002" s="210">
        <v>4</v>
      </c>
      <c r="T2002" s="8">
        <v>1.0001111111111112</v>
      </c>
      <c r="U2002" s="98">
        <v>3.7588639740134155</v>
      </c>
      <c r="V2002" s="106">
        <v>30559.912648844558</v>
      </c>
      <c r="W2002" s="10">
        <v>0.87973971431412057</v>
      </c>
      <c r="X2002" s="420"/>
      <c r="Y2002" s="420"/>
      <c r="Z2002" s="1"/>
      <c r="AA2002" s="1"/>
      <c r="AB2002" s="1"/>
      <c r="AC2002" s="1"/>
      <c r="AD2002" s="1"/>
    </row>
    <row r="2003" spans="17:30">
      <c r="Q2003" s="6">
        <v>1973</v>
      </c>
      <c r="R2003" s="7">
        <v>44640</v>
      </c>
      <c r="S2003" s="210">
        <v>4</v>
      </c>
      <c r="T2003" s="8">
        <v>1.0001111111111112</v>
      </c>
      <c r="U2003" s="98">
        <v>3.7590561304152059</v>
      </c>
      <c r="V2003" s="106">
        <v>30562.292226211532</v>
      </c>
      <c r="W2003" s="10">
        <v>0.8799122481158772</v>
      </c>
      <c r="X2003" s="420"/>
      <c r="Y2003" s="420"/>
      <c r="Z2003" s="1"/>
      <c r="AA2003" s="1"/>
      <c r="AB2003" s="1"/>
      <c r="AC2003" s="1"/>
      <c r="AD2003" s="1"/>
    </row>
    <row r="2004" spans="17:30">
      <c r="Q2004" s="6">
        <v>1974</v>
      </c>
      <c r="R2004" s="7">
        <v>44641</v>
      </c>
      <c r="S2004" s="210">
        <v>4</v>
      </c>
      <c r="T2004" s="8">
        <v>1.0001111111111112</v>
      </c>
      <c r="U2004" s="98">
        <v>3.7592480924849792</v>
      </c>
      <c r="V2004" s="106">
        <v>30564.671988866608</v>
      </c>
      <c r="W2004" s="10">
        <v>0.88008460740598426</v>
      </c>
      <c r="X2004" s="420"/>
      <c r="Y2004" s="420"/>
      <c r="Z2004" s="1"/>
      <c r="AA2004" s="1"/>
      <c r="AB2004" s="1"/>
      <c r="AC2004" s="1"/>
      <c r="AD2004" s="1"/>
    </row>
    <row r="2005" spans="17:30">
      <c r="Q2005" s="6">
        <v>1975</v>
      </c>
      <c r="R2005" s="7">
        <v>44642</v>
      </c>
      <c r="S2005" s="210">
        <v>4</v>
      </c>
      <c r="T2005" s="8">
        <v>1.0001111111111112</v>
      </c>
      <c r="U2005" s="98">
        <v>3.7594398605173884</v>
      </c>
      <c r="V2005" s="106">
        <v>30567.051936824235</v>
      </c>
      <c r="W2005" s="10">
        <v>0.88025679244907451</v>
      </c>
      <c r="X2005" s="420"/>
      <c r="Y2005" s="420"/>
      <c r="Z2005" s="1"/>
      <c r="AA2005" s="1"/>
      <c r="AB2005" s="1"/>
      <c r="AC2005" s="1"/>
      <c r="AD2005" s="1"/>
    </row>
    <row r="2006" spans="17:30">
      <c r="Q2006" s="6">
        <v>1976</v>
      </c>
      <c r="R2006" s="7">
        <v>44643</v>
      </c>
      <c r="S2006" s="210">
        <v>4</v>
      </c>
      <c r="T2006" s="8">
        <v>1.0001111111111112</v>
      </c>
      <c r="U2006" s="98">
        <v>3.7596314348064874</v>
      </c>
      <c r="V2006" s="106">
        <v>30569.432070098817</v>
      </c>
      <c r="W2006" s="10">
        <v>0.88042880350924779</v>
      </c>
      <c r="X2006" s="420"/>
      <c r="Y2006" s="420"/>
      <c r="Z2006" s="1"/>
      <c r="AA2006" s="1"/>
      <c r="AB2006" s="1"/>
      <c r="AC2006" s="1"/>
      <c r="AD2006" s="1"/>
    </row>
    <row r="2007" spans="17:30">
      <c r="Q2007" s="6">
        <v>1977</v>
      </c>
      <c r="R2007" s="7">
        <v>44644</v>
      </c>
      <c r="S2007" s="210">
        <v>4</v>
      </c>
      <c r="T2007" s="8">
        <v>1.0001111111111112</v>
      </c>
      <c r="U2007" s="98">
        <v>3.7598228156457303</v>
      </c>
      <c r="V2007" s="106">
        <v>30571.812388704795</v>
      </c>
      <c r="W2007" s="10">
        <v>0.88060064085007106</v>
      </c>
      <c r="X2007" s="420"/>
      <c r="Y2007" s="420"/>
      <c r="Z2007" s="1"/>
      <c r="AA2007" s="1"/>
      <c r="AB2007" s="1"/>
      <c r="AC2007" s="1"/>
      <c r="AD2007" s="1"/>
    </row>
    <row r="2008" spans="17:30">
      <c r="Q2008" s="6">
        <v>1978</v>
      </c>
      <c r="R2008" s="7">
        <v>44645</v>
      </c>
      <c r="S2008" s="210">
        <v>4</v>
      </c>
      <c r="T2008" s="8">
        <v>1.0001111111111112</v>
      </c>
      <c r="U2008" s="98">
        <v>3.7600140033279938</v>
      </c>
      <c r="V2008" s="106">
        <v>30574.192892656607</v>
      </c>
      <c r="W2008" s="10">
        <v>0.88077230473457835</v>
      </c>
      <c r="X2008" s="420"/>
      <c r="Y2008" s="420"/>
      <c r="Z2008" s="1"/>
      <c r="AA2008" s="1"/>
      <c r="AB2008" s="1"/>
      <c r="AC2008" s="1"/>
      <c r="AD2008" s="1"/>
    </row>
    <row r="2009" spans="17:30">
      <c r="Q2009" s="6">
        <v>1979</v>
      </c>
      <c r="R2009" s="7">
        <v>44646</v>
      </c>
      <c r="S2009" s="210">
        <v>4</v>
      </c>
      <c r="T2009" s="8">
        <v>1.0001111111111112</v>
      </c>
      <c r="U2009" s="98">
        <v>3.7602049981455554</v>
      </c>
      <c r="V2009" s="106">
        <v>30576.573581968671</v>
      </c>
      <c r="W2009" s="10">
        <v>0.88094379542527079</v>
      </c>
      <c r="X2009" s="420"/>
      <c r="Y2009" s="420"/>
      <c r="Z2009" s="1"/>
      <c r="AA2009" s="1"/>
      <c r="AB2009" s="1"/>
      <c r="AC2009" s="1"/>
      <c r="AD2009" s="1"/>
    </row>
    <row r="2010" spans="17:30">
      <c r="Q2010" s="6">
        <v>1980</v>
      </c>
      <c r="R2010" s="7">
        <v>44647</v>
      </c>
      <c r="S2010" s="210">
        <v>4</v>
      </c>
      <c r="T2010" s="8">
        <v>1.0001111111111112</v>
      </c>
      <c r="U2010" s="98">
        <v>3.7603958003900928</v>
      </c>
      <c r="V2010" s="106">
        <v>30578.954456655429</v>
      </c>
      <c r="W2010" s="10">
        <v>0.88111511318413882</v>
      </c>
      <c r="X2010" s="420"/>
      <c r="Y2010" s="420"/>
      <c r="Z2010" s="1"/>
      <c r="AA2010" s="1"/>
      <c r="AB2010" s="1"/>
      <c r="AC2010" s="1"/>
      <c r="AD2010" s="1"/>
    </row>
    <row r="2011" spans="17:30">
      <c r="Q2011" s="6">
        <v>1981</v>
      </c>
      <c r="R2011" s="7">
        <v>44648</v>
      </c>
      <c r="S2011" s="210">
        <v>4</v>
      </c>
      <c r="T2011" s="8">
        <v>1.0001111111111112</v>
      </c>
      <c r="U2011" s="98">
        <v>3.7605864103527065</v>
      </c>
      <c r="V2011" s="106">
        <v>30581.335516731317</v>
      </c>
      <c r="W2011" s="10">
        <v>0.88128625827259555</v>
      </c>
      <c r="X2011" s="420"/>
      <c r="Y2011" s="420"/>
      <c r="Z2011" s="1"/>
      <c r="AA2011" s="1"/>
      <c r="AB2011" s="1"/>
      <c r="AC2011" s="1"/>
      <c r="AD2011" s="1"/>
    </row>
    <row r="2012" spans="17:30">
      <c r="Q2012" s="6">
        <v>1982</v>
      </c>
      <c r="R2012" s="7">
        <v>44649</v>
      </c>
      <c r="S2012" s="210">
        <v>4</v>
      </c>
      <c r="T2012" s="8">
        <v>1.0001111111111112</v>
      </c>
      <c r="U2012" s="98">
        <v>3.7607768283239196</v>
      </c>
      <c r="V2012" s="106">
        <v>30583.716762210766</v>
      </c>
      <c r="W2012" s="10">
        <v>0.88145723095158779</v>
      </c>
      <c r="X2012" s="420"/>
      <c r="Y2012" s="420"/>
      <c r="Z2012" s="1"/>
      <c r="AA2012" s="1"/>
      <c r="AB2012" s="1"/>
      <c r="AC2012" s="1"/>
      <c r="AD2012" s="1"/>
    </row>
    <row r="2013" spans="17:30">
      <c r="Q2013" s="6">
        <v>1983</v>
      </c>
      <c r="R2013" s="7">
        <v>44650</v>
      </c>
      <c r="S2013" s="210">
        <v>4</v>
      </c>
      <c r="T2013" s="8">
        <v>1.0001111111111112</v>
      </c>
      <c r="U2013" s="98">
        <v>3.7609670545936558</v>
      </c>
      <c r="V2013" s="106">
        <v>30586.09819310821</v>
      </c>
      <c r="W2013" s="10">
        <v>0.88162803148150726</v>
      </c>
      <c r="X2013" s="420"/>
      <c r="Y2013" s="420"/>
      <c r="Z2013" s="1"/>
      <c r="AA2013" s="1"/>
      <c r="AB2013" s="1"/>
      <c r="AC2013" s="1"/>
      <c r="AD2013" s="1"/>
    </row>
    <row r="2014" spans="17:30">
      <c r="Q2014" s="6">
        <v>1984</v>
      </c>
      <c r="R2014" s="7">
        <v>44651</v>
      </c>
      <c r="S2014" s="210">
        <v>4</v>
      </c>
      <c r="T2014" s="8">
        <v>1.0001111111111112</v>
      </c>
      <c r="U2014" s="98">
        <v>3.7611570894512614</v>
      </c>
      <c r="V2014" s="106">
        <v>30588.479809438097</v>
      </c>
      <c r="W2014" s="10">
        <v>0.88179866012221275</v>
      </c>
      <c r="X2014" s="420"/>
      <c r="Y2014" s="420"/>
      <c r="Z2014" s="1"/>
      <c r="AA2014" s="1"/>
      <c r="AB2014" s="1"/>
      <c r="AC2014" s="1"/>
      <c r="AD2014" s="1"/>
    </row>
    <row r="2015" spans="17:30">
      <c r="Q2015" s="6">
        <v>1985</v>
      </c>
      <c r="R2015" s="7">
        <v>44652</v>
      </c>
      <c r="S2015" s="210">
        <v>4</v>
      </c>
      <c r="T2015" s="8">
        <v>1.0001111111111112</v>
      </c>
      <c r="U2015" s="98">
        <v>3.7613469331854832</v>
      </c>
      <c r="V2015" s="106">
        <v>30590.861611214856</v>
      </c>
      <c r="W2015" s="10">
        <v>0.88196911713305237</v>
      </c>
      <c r="X2015" s="420"/>
      <c r="Y2015" s="420"/>
      <c r="Z2015" s="1"/>
      <c r="AA2015" s="1"/>
      <c r="AB2015" s="1"/>
      <c r="AC2015" s="1"/>
      <c r="AD2015" s="1"/>
    </row>
    <row r="2016" spans="17:30">
      <c r="Q2016" s="6">
        <v>1986</v>
      </c>
      <c r="R2016" s="7">
        <v>44653</v>
      </c>
      <c r="S2016" s="210">
        <v>4</v>
      </c>
      <c r="T2016" s="8">
        <v>1.0001111111111112</v>
      </c>
      <c r="U2016" s="98">
        <v>3.7615365860845129</v>
      </c>
      <c r="V2016" s="106">
        <v>30593.243598452929</v>
      </c>
      <c r="W2016" s="10">
        <v>0.88213940277284131</v>
      </c>
      <c r="X2016" s="420"/>
      <c r="Y2016" s="420"/>
      <c r="Z2016" s="1"/>
      <c r="AA2016" s="1"/>
      <c r="AB2016" s="1"/>
      <c r="AC2016" s="1"/>
      <c r="AD2016" s="1"/>
    </row>
    <row r="2017" spans="17:30">
      <c r="Q2017" s="6">
        <v>1987</v>
      </c>
      <c r="R2017" s="7">
        <v>44654</v>
      </c>
      <c r="S2017" s="210">
        <v>4</v>
      </c>
      <c r="T2017" s="8">
        <v>1.0001111111111112</v>
      </c>
      <c r="U2017" s="98">
        <v>3.7617260484359649</v>
      </c>
      <c r="V2017" s="106">
        <v>30595.62577116676</v>
      </c>
      <c r="W2017" s="10">
        <v>0.88230951729990625</v>
      </c>
      <c r="X2017" s="420"/>
      <c r="Y2017" s="420"/>
      <c r="Z2017" s="1"/>
      <c r="AA2017" s="1"/>
      <c r="AB2017" s="1"/>
      <c r="AC2017" s="1"/>
      <c r="AD2017" s="1"/>
    </row>
    <row r="2018" spans="17:30">
      <c r="Q2018" s="6">
        <v>1988</v>
      </c>
      <c r="R2018" s="7">
        <v>44655</v>
      </c>
      <c r="S2018" s="210">
        <v>4</v>
      </c>
      <c r="T2018" s="8">
        <v>1.0001111111111112</v>
      </c>
      <c r="U2018" s="98">
        <v>3.7619153205268541</v>
      </c>
      <c r="V2018" s="106">
        <v>30598.008129370792</v>
      </c>
      <c r="W2018" s="10">
        <v>0.882479460972041</v>
      </c>
      <c r="X2018" s="420"/>
      <c r="Y2018" s="420"/>
      <c r="Z2018" s="1"/>
      <c r="AA2018" s="1"/>
      <c r="AB2018" s="1"/>
      <c r="AC2018" s="1"/>
      <c r="AD2018" s="1"/>
    </row>
    <row r="2019" spans="17:30">
      <c r="Q2019" s="6">
        <v>1989</v>
      </c>
      <c r="R2019" s="7">
        <v>44656</v>
      </c>
      <c r="S2019" s="210">
        <v>4</v>
      </c>
      <c r="T2019" s="8">
        <v>1.0001111111111112</v>
      </c>
      <c r="U2019" s="98">
        <v>3.7621044026436179</v>
      </c>
      <c r="V2019" s="106">
        <v>30600.390673079462</v>
      </c>
      <c r="W2019" s="10">
        <v>0.88264923404646201</v>
      </c>
      <c r="X2019" s="420"/>
      <c r="Y2019" s="420"/>
      <c r="Z2019" s="1"/>
      <c r="AA2019" s="1"/>
      <c r="AB2019" s="1"/>
      <c r="AC2019" s="1"/>
      <c r="AD2019" s="1"/>
    </row>
    <row r="2020" spans="17:30">
      <c r="Q2020" s="6">
        <v>1990</v>
      </c>
      <c r="R2020" s="7">
        <v>44657</v>
      </c>
      <c r="S2020" s="210">
        <v>4</v>
      </c>
      <c r="T2020" s="8">
        <v>1.0001111111111112</v>
      </c>
      <c r="U2020" s="98">
        <v>3.762293295072161</v>
      </c>
      <c r="V2020" s="106">
        <v>30602.773402307215</v>
      </c>
      <c r="W2020" s="10">
        <v>0.88281883677996387</v>
      </c>
      <c r="X2020" s="420"/>
      <c r="Y2020" s="420"/>
      <c r="Z2020" s="1"/>
      <c r="AA2020" s="1"/>
      <c r="AB2020" s="1"/>
      <c r="AC2020" s="1"/>
      <c r="AD2020" s="1"/>
    </row>
    <row r="2021" spans="17:30">
      <c r="Q2021" s="6">
        <v>1991</v>
      </c>
      <c r="R2021" s="7">
        <v>44658</v>
      </c>
      <c r="S2021" s="210">
        <v>4</v>
      </c>
      <c r="T2021" s="8">
        <v>1.0001111111111112</v>
      </c>
      <c r="U2021" s="98">
        <v>3.7624819980977664</v>
      </c>
      <c r="V2021" s="106">
        <v>30605.156317068511</v>
      </c>
      <c r="W2021" s="10">
        <v>0.88298826942878605</v>
      </c>
      <c r="X2021" s="420"/>
      <c r="Y2021" s="420"/>
      <c r="Z2021" s="1"/>
      <c r="AA2021" s="1"/>
      <c r="AB2021" s="1"/>
      <c r="AC2021" s="1"/>
      <c r="AD2021" s="1"/>
    </row>
    <row r="2022" spans="17:30">
      <c r="Q2022" s="6">
        <v>1992</v>
      </c>
      <c r="R2022" s="7">
        <v>44659</v>
      </c>
      <c r="S2022" s="210">
        <v>4</v>
      </c>
      <c r="T2022" s="8">
        <v>1.0001111111111112</v>
      </c>
      <c r="U2022" s="98">
        <v>3.7626705120051618</v>
      </c>
      <c r="V2022" s="106">
        <v>30607.539417377779</v>
      </c>
      <c r="W2022" s="10">
        <v>0.88315753224865734</v>
      </c>
      <c r="X2022" s="420"/>
      <c r="Y2022" s="420"/>
      <c r="Z2022" s="1"/>
      <c r="AA2022" s="1"/>
      <c r="AB2022" s="1"/>
      <c r="AC2022" s="1"/>
      <c r="AD2022" s="1"/>
    </row>
    <row r="2023" spans="17:30">
      <c r="Q2023" s="6">
        <v>1993</v>
      </c>
      <c r="R2023" s="7">
        <v>44660</v>
      </c>
      <c r="S2023" s="210">
        <v>4</v>
      </c>
      <c r="T2023" s="8">
        <v>1.0001111111111112</v>
      </c>
      <c r="U2023" s="98">
        <v>3.7628588370784977</v>
      </c>
      <c r="V2023" s="106">
        <v>30609.922703249478</v>
      </c>
      <c r="W2023" s="10">
        <v>0.88332662549475138</v>
      </c>
      <c r="X2023" s="420"/>
      <c r="Y2023" s="420"/>
      <c r="Z2023" s="1"/>
      <c r="AA2023" s="1"/>
      <c r="AB2023" s="1"/>
      <c r="AC2023" s="1"/>
      <c r="AD2023" s="1"/>
    </row>
    <row r="2024" spans="17:30">
      <c r="Q2024" s="6">
        <v>1994</v>
      </c>
      <c r="R2024" s="7">
        <v>44661</v>
      </c>
      <c r="S2024" s="210">
        <v>4</v>
      </c>
      <c r="T2024" s="8">
        <v>1.0001111111111112</v>
      </c>
      <c r="U2024" s="98">
        <v>3.7630469736013694</v>
      </c>
      <c r="V2024" s="106">
        <v>30612.385626942556</v>
      </c>
      <c r="W2024" s="10">
        <v>0.88344762054097803</v>
      </c>
      <c r="X2024" s="420"/>
      <c r="Y2024" s="420"/>
      <c r="Z2024" s="1"/>
      <c r="AA2024" s="1"/>
      <c r="AB2024" s="1"/>
      <c r="AC2024" s="1"/>
      <c r="AD2024" s="1"/>
    </row>
    <row r="2025" spans="17:30">
      <c r="Q2025" s="6">
        <v>1995</v>
      </c>
      <c r="R2025" s="7">
        <v>44662</v>
      </c>
      <c r="S2025" s="210">
        <v>4</v>
      </c>
      <c r="T2025" s="8">
        <v>1.0001111111111112</v>
      </c>
      <c r="U2025" s="98">
        <v>3.7632349218568173</v>
      </c>
      <c r="V2025" s="106">
        <v>30614.848748806431</v>
      </c>
      <c r="W2025" s="10">
        <v>0.88356849443385066</v>
      </c>
      <c r="X2025" s="420"/>
      <c r="Y2025" s="420"/>
      <c r="Z2025" s="1"/>
      <c r="AA2025" s="1"/>
      <c r="AB2025" s="1"/>
      <c r="AC2025" s="1"/>
      <c r="AD2025" s="1"/>
    </row>
    <row r="2026" spans="17:30">
      <c r="Q2026" s="6">
        <v>1996</v>
      </c>
      <c r="R2026" s="7">
        <v>44663</v>
      </c>
      <c r="S2026" s="210">
        <v>4</v>
      </c>
      <c r="T2026" s="8">
        <v>1.0001111111111112</v>
      </c>
      <c r="U2026" s="98">
        <v>3.763422682127282</v>
      </c>
      <c r="V2026" s="106">
        <v>30617.312068857071</v>
      </c>
      <c r="W2026" s="10">
        <v>0.8836892473552016</v>
      </c>
      <c r="X2026" s="420"/>
      <c r="Y2026" s="420"/>
      <c r="Z2026" s="1"/>
      <c r="AA2026" s="1"/>
      <c r="AB2026" s="1"/>
      <c r="AC2026" s="1"/>
      <c r="AD2026" s="1"/>
    </row>
    <row r="2027" spans="17:30">
      <c r="Q2027" s="6">
        <v>1997</v>
      </c>
      <c r="R2027" s="7">
        <v>44664</v>
      </c>
      <c r="S2027" s="210">
        <v>4</v>
      </c>
      <c r="T2027" s="8">
        <v>1.0001111111111112</v>
      </c>
      <c r="U2027" s="98">
        <v>3.7636102546946493</v>
      </c>
      <c r="V2027" s="106">
        <v>30619.775587110405</v>
      </c>
      <c r="W2027" s="10">
        <v>0.88380987948653011</v>
      </c>
      <c r="X2027" s="420"/>
      <c r="Y2027" s="420"/>
      <c r="Z2027" s="1"/>
      <c r="AA2027" s="1"/>
      <c r="AB2027" s="1"/>
      <c r="AC2027" s="1"/>
      <c r="AD2027" s="1"/>
    </row>
    <row r="2028" spans="17:30">
      <c r="Q2028" s="6">
        <v>1998</v>
      </c>
      <c r="R2028" s="7">
        <v>44665</v>
      </c>
      <c r="S2028" s="210">
        <v>4</v>
      </c>
      <c r="T2028" s="8">
        <v>1.0001111111111112</v>
      </c>
      <c r="U2028" s="98">
        <v>3.7637976398402495</v>
      </c>
      <c r="V2028" s="106">
        <v>30622.239303582384</v>
      </c>
      <c r="W2028" s="10">
        <v>0.8839303910090246</v>
      </c>
      <c r="X2028" s="420"/>
      <c r="Y2028" s="420"/>
      <c r="Z2028" s="1"/>
      <c r="AA2028" s="1"/>
      <c r="AB2028" s="1"/>
      <c r="AC2028" s="1"/>
      <c r="AD2028" s="1"/>
    </row>
    <row r="2029" spans="17:30">
      <c r="Q2029" s="6">
        <v>1999</v>
      </c>
      <c r="R2029" s="7">
        <v>44666</v>
      </c>
      <c r="S2029" s="210">
        <v>4</v>
      </c>
      <c r="T2029" s="8">
        <v>1.0001111111111112</v>
      </c>
      <c r="U2029" s="98">
        <v>3.7639848378448582</v>
      </c>
      <c r="V2029" s="106">
        <v>30624.703218288967</v>
      </c>
      <c r="W2029" s="10">
        <v>0.88405078210342936</v>
      </c>
      <c r="X2029" s="420"/>
      <c r="Y2029" s="420"/>
      <c r="Z2029" s="1"/>
      <c r="AA2029" s="1"/>
      <c r="AB2029" s="1"/>
      <c r="AC2029" s="1"/>
      <c r="AD2029" s="1"/>
    </row>
    <row r="2030" spans="17:30">
      <c r="Q2030" s="6">
        <v>2000</v>
      </c>
      <c r="R2030" s="7">
        <v>44667</v>
      </c>
      <c r="S2030" s="210">
        <v>4</v>
      </c>
      <c r="T2030" s="8">
        <v>1.0001111111111112</v>
      </c>
      <c r="U2030" s="98">
        <v>3.7641718489886733</v>
      </c>
      <c r="V2030" s="106">
        <v>30627.167331246088</v>
      </c>
      <c r="W2030" s="10">
        <v>0.88417105295020004</v>
      </c>
      <c r="X2030" s="420"/>
      <c r="Y2030" s="420"/>
      <c r="Z2030" s="1"/>
      <c r="AA2030" s="1"/>
      <c r="AB2030" s="1"/>
      <c r="AC2030" s="1"/>
      <c r="AD2030" s="1"/>
    </row>
    <row r="2031" spans="17:30">
      <c r="Q2031" s="6">
        <v>2001</v>
      </c>
      <c r="R2031" s="7">
        <v>44668</v>
      </c>
      <c r="S2031" s="210">
        <v>4</v>
      </c>
      <c r="T2031" s="8">
        <v>1.0001111111111112</v>
      </c>
      <c r="U2031" s="98">
        <v>3.7643586735513379</v>
      </c>
      <c r="V2031" s="106">
        <v>30629.631642469711</v>
      </c>
      <c r="W2031" s="10">
        <v>0.88429120372941483</v>
      </c>
      <c r="X2031" s="420"/>
      <c r="Y2031" s="420"/>
      <c r="Z2031" s="1"/>
      <c r="AA2031" s="1"/>
      <c r="AB2031" s="1"/>
      <c r="AC2031" s="1"/>
      <c r="AD2031" s="1"/>
    </row>
    <row r="2032" spans="17:30">
      <c r="Q2032" s="6">
        <v>2002</v>
      </c>
      <c r="R2032" s="7">
        <v>44669</v>
      </c>
      <c r="S2032" s="210">
        <v>4</v>
      </c>
      <c r="T2032" s="8">
        <v>1.0001111111111112</v>
      </c>
      <c r="U2032" s="98">
        <v>3.7645453118119621</v>
      </c>
      <c r="V2032" s="106">
        <v>30632.096151975784</v>
      </c>
      <c r="W2032" s="10">
        <v>0.88441123462075222</v>
      </c>
      <c r="X2032" s="420"/>
      <c r="Y2032" s="420"/>
      <c r="Z2032" s="1"/>
      <c r="AA2032" s="1"/>
      <c r="AB2032" s="1"/>
      <c r="AC2032" s="1"/>
      <c r="AD2032" s="1"/>
    </row>
    <row r="2033" spans="17:30">
      <c r="Q2033" s="6">
        <v>2003</v>
      </c>
      <c r="R2033" s="7">
        <v>44670</v>
      </c>
      <c r="S2033" s="210">
        <v>4</v>
      </c>
      <c r="T2033" s="8">
        <v>1.0001111111111112</v>
      </c>
      <c r="U2033" s="98">
        <v>3.7647317640490563</v>
      </c>
      <c r="V2033" s="106">
        <v>30634.560859780267</v>
      </c>
      <c r="W2033" s="10">
        <v>0.88453114580357983</v>
      </c>
      <c r="X2033" s="420"/>
      <c r="Y2033" s="420"/>
      <c r="Z2033" s="1"/>
      <c r="AA2033" s="1"/>
      <c r="AB2033" s="1"/>
      <c r="AC2033" s="1"/>
      <c r="AD2033" s="1"/>
    </row>
    <row r="2034" spans="17:30">
      <c r="Q2034" s="6">
        <v>2004</v>
      </c>
      <c r="R2034" s="7">
        <v>44671</v>
      </c>
      <c r="S2034" s="210">
        <v>4</v>
      </c>
      <c r="T2034" s="8">
        <v>1.0001111111111112</v>
      </c>
      <c r="U2034" s="98">
        <v>3.7649180305405983</v>
      </c>
      <c r="V2034" s="106">
        <v>30637.025765899107</v>
      </c>
      <c r="W2034" s="10">
        <v>0.88465093745686563</v>
      </c>
      <c r="X2034" s="420"/>
      <c r="Y2034" s="420"/>
      <c r="Z2034" s="1"/>
      <c r="AA2034" s="1"/>
      <c r="AB2034" s="1"/>
      <c r="AC2034" s="1"/>
      <c r="AD2034" s="1"/>
    </row>
    <row r="2035" spans="17:30">
      <c r="Q2035" s="6">
        <v>2005</v>
      </c>
      <c r="R2035" s="7">
        <v>44672</v>
      </c>
      <c r="S2035" s="210">
        <v>4</v>
      </c>
      <c r="T2035" s="8">
        <v>1.0001111111111112</v>
      </c>
      <c r="U2035" s="98">
        <v>3.7651041115640327</v>
      </c>
      <c r="V2035" s="106">
        <v>30639.490870348262</v>
      </c>
      <c r="W2035" s="10">
        <v>0.8847706097592889</v>
      </c>
      <c r="X2035" s="420"/>
      <c r="Y2035" s="420"/>
      <c r="Z2035" s="1"/>
      <c r="AA2035" s="1"/>
      <c r="AB2035" s="1"/>
      <c r="AC2035" s="1"/>
      <c r="AD2035" s="1"/>
    </row>
    <row r="2036" spans="17:30">
      <c r="Q2036" s="6">
        <v>2006</v>
      </c>
      <c r="R2036" s="7">
        <v>44673</v>
      </c>
      <c r="S2036" s="210">
        <v>4</v>
      </c>
      <c r="T2036" s="8">
        <v>1.0001111111111112</v>
      </c>
      <c r="U2036" s="98">
        <v>3.7652900073962048</v>
      </c>
      <c r="V2036" s="106">
        <v>30641.956173143695</v>
      </c>
      <c r="W2036" s="10">
        <v>0.88489016288906264</v>
      </c>
      <c r="X2036" s="420"/>
      <c r="Y2036" s="420"/>
      <c r="Z2036" s="1"/>
      <c r="AA2036" s="1"/>
      <c r="AB2036" s="1"/>
      <c r="AC2036" s="1"/>
      <c r="AD2036" s="1"/>
    </row>
    <row r="2037" spans="17:30">
      <c r="Q2037" s="6">
        <v>2007</v>
      </c>
      <c r="R2037" s="7">
        <v>44674</v>
      </c>
      <c r="S2037" s="210">
        <v>4</v>
      </c>
      <c r="T2037" s="8">
        <v>1.0001111111111112</v>
      </c>
      <c r="U2037" s="98">
        <v>3.7654757183134491</v>
      </c>
      <c r="V2037" s="106">
        <v>30644.42167430136</v>
      </c>
      <c r="W2037" s="10">
        <v>0.88500959702417781</v>
      </c>
      <c r="X2037" s="420"/>
      <c r="Y2037" s="420"/>
      <c r="Z2037" s="1"/>
      <c r="AA2037" s="1"/>
      <c r="AB2037" s="1"/>
      <c r="AC2037" s="1"/>
      <c r="AD2037" s="1"/>
    </row>
    <row r="2038" spans="17:30">
      <c r="Q2038" s="6">
        <v>2008</v>
      </c>
      <c r="R2038" s="7">
        <v>44675</v>
      </c>
      <c r="S2038" s="210">
        <v>4</v>
      </c>
      <c r="T2038" s="8">
        <v>1.0001111111111112</v>
      </c>
      <c r="U2038" s="98">
        <v>3.7656612445915227</v>
      </c>
      <c r="V2038" s="106">
        <v>30646.887373837224</v>
      </c>
      <c r="W2038" s="10">
        <v>0.88512891234213686</v>
      </c>
      <c r="X2038" s="420"/>
      <c r="Y2038" s="420"/>
      <c r="Z2038" s="1"/>
      <c r="AA2038" s="1"/>
      <c r="AB2038" s="1"/>
      <c r="AC2038" s="1"/>
      <c r="AD2038" s="1"/>
    </row>
    <row r="2039" spans="17:30">
      <c r="Q2039" s="6">
        <v>2009</v>
      </c>
      <c r="R2039" s="7">
        <v>44676</v>
      </c>
      <c r="S2039" s="210">
        <v>4</v>
      </c>
      <c r="T2039" s="8">
        <v>1.0001111111111112</v>
      </c>
      <c r="U2039" s="98">
        <v>3.7658465865056723</v>
      </c>
      <c r="V2039" s="106">
        <v>30649.353271767242</v>
      </c>
      <c r="W2039" s="10">
        <v>0.88524810902022022</v>
      </c>
      <c r="X2039" s="420"/>
      <c r="Y2039" s="420"/>
      <c r="Z2039" s="1"/>
      <c r="AA2039" s="1"/>
      <c r="AB2039" s="1"/>
      <c r="AC2039" s="1"/>
      <c r="AD2039" s="1"/>
    </row>
    <row r="2040" spans="17:30">
      <c r="Q2040" s="6">
        <v>2010</v>
      </c>
      <c r="R2040" s="7">
        <v>44677</v>
      </c>
      <c r="S2040" s="210">
        <v>4</v>
      </c>
      <c r="T2040" s="8">
        <v>1.0001111111111112</v>
      </c>
      <c r="U2040" s="98">
        <v>3.7660317443305669</v>
      </c>
      <c r="V2040" s="106">
        <v>30651.819368107386</v>
      </c>
      <c r="W2040" s="10">
        <v>0.8853671872352864</v>
      </c>
      <c r="X2040" s="420"/>
      <c r="Y2040" s="420"/>
      <c r="Z2040" s="1"/>
      <c r="AA2040" s="1"/>
      <c r="AB2040" s="1"/>
      <c r="AC2040" s="1"/>
      <c r="AD2040" s="1"/>
    </row>
    <row r="2041" spans="17:30">
      <c r="Q2041" s="6">
        <v>2011</v>
      </c>
      <c r="R2041" s="7">
        <v>44678</v>
      </c>
      <c r="S2041" s="210">
        <v>4</v>
      </c>
      <c r="T2041" s="8">
        <v>1.0001111111111112</v>
      </c>
      <c r="U2041" s="98">
        <v>3.7662167183403206</v>
      </c>
      <c r="V2041" s="106">
        <v>30654.285662873608</v>
      </c>
      <c r="W2041" s="10">
        <v>0.88548614716379426</v>
      </c>
      <c r="X2041" s="420"/>
      <c r="Y2041" s="420"/>
      <c r="Z2041" s="1"/>
      <c r="AA2041" s="1"/>
      <c r="AB2041" s="1"/>
      <c r="AC2041" s="1"/>
      <c r="AD2041" s="1"/>
    </row>
    <row r="2042" spans="17:30">
      <c r="Q2042" s="6">
        <v>2012</v>
      </c>
      <c r="R2042" s="7">
        <v>44679</v>
      </c>
      <c r="S2042" s="210">
        <v>4</v>
      </c>
      <c r="T2042" s="8">
        <v>1.0001111111111112</v>
      </c>
      <c r="U2042" s="98">
        <v>3.7664015088085367</v>
      </c>
      <c r="V2042" s="106">
        <v>30656.752156081886</v>
      </c>
      <c r="W2042" s="10">
        <v>0.88560498898193618</v>
      </c>
      <c r="X2042" s="420"/>
      <c r="Y2042" s="420"/>
      <c r="Z2042" s="1"/>
      <c r="AA2042" s="1"/>
      <c r="AB2042" s="1"/>
      <c r="AC2042" s="1"/>
      <c r="AD2042" s="1"/>
    </row>
    <row r="2043" spans="17:30">
      <c r="Q2043" s="6">
        <v>2013</v>
      </c>
      <c r="R2043" s="7">
        <v>44680</v>
      </c>
      <c r="S2043" s="210">
        <v>4</v>
      </c>
      <c r="T2043" s="8">
        <v>1.0001111111111112</v>
      </c>
      <c r="U2043" s="98">
        <v>3.7665861160082637</v>
      </c>
      <c r="V2043" s="106">
        <v>30659.218847748172</v>
      </c>
      <c r="W2043" s="10">
        <v>0.8857237128655493</v>
      </c>
      <c r="X2043" s="420"/>
      <c r="Y2043" s="420"/>
      <c r="Z2043" s="1"/>
      <c r="AA2043" s="1"/>
      <c r="AB2043" s="1"/>
      <c r="AC2043" s="1"/>
      <c r="AD2043" s="1"/>
    </row>
    <row r="2044" spans="17:30">
      <c r="Q2044" s="6">
        <v>2014</v>
      </c>
      <c r="R2044" s="7">
        <v>44681</v>
      </c>
      <c r="S2044" s="210">
        <v>4</v>
      </c>
      <c r="T2044" s="8">
        <v>1.0001111111111112</v>
      </c>
      <c r="U2044" s="98">
        <v>3.7667705402119944</v>
      </c>
      <c r="V2044" s="106">
        <v>30661.685737888445</v>
      </c>
      <c r="W2044" s="10">
        <v>0.88584231899007104</v>
      </c>
      <c r="X2044" s="420"/>
      <c r="Y2044" s="420"/>
      <c r="Z2044" s="1"/>
      <c r="AA2044" s="1"/>
      <c r="AB2044" s="1"/>
      <c r="AC2044" s="1"/>
      <c r="AD2044" s="1"/>
    </row>
    <row r="2045" spans="17:30">
      <c r="Q2045" s="6">
        <v>2015</v>
      </c>
      <c r="R2045" s="7">
        <v>44682</v>
      </c>
      <c r="S2045" s="210">
        <v>4</v>
      </c>
      <c r="T2045" s="8">
        <v>1.0001111111111112</v>
      </c>
      <c r="U2045" s="98">
        <v>3.7669547816916893</v>
      </c>
      <c r="V2045" s="106">
        <v>30664.152826518683</v>
      </c>
      <c r="W2045" s="10">
        <v>0.8859608075306058</v>
      </c>
      <c r="X2045" s="420"/>
      <c r="Y2045" s="420"/>
      <c r="Z2045" s="1"/>
      <c r="AA2045" s="1"/>
      <c r="AB2045" s="1"/>
      <c r="AC2045" s="1"/>
      <c r="AD2045" s="1"/>
    </row>
    <row r="2046" spans="17:30">
      <c r="Q2046" s="6">
        <v>2016</v>
      </c>
      <c r="R2046" s="7">
        <v>44683</v>
      </c>
      <c r="S2046" s="210">
        <v>4</v>
      </c>
      <c r="T2046" s="8">
        <v>1.0001111111111112</v>
      </c>
      <c r="U2046" s="98">
        <v>3.7671388407187756</v>
      </c>
      <c r="V2046" s="106">
        <v>30666.620113654833</v>
      </c>
      <c r="W2046" s="10">
        <v>0.88607917866194708</v>
      </c>
      <c r="X2046" s="420"/>
      <c r="Y2046" s="420"/>
      <c r="Z2046" s="1"/>
      <c r="AA2046" s="1"/>
      <c r="AB2046" s="1"/>
      <c r="AC2046" s="1"/>
      <c r="AD2046" s="1"/>
    </row>
    <row r="2047" spans="17:30">
      <c r="Q2047" s="6">
        <v>2017</v>
      </c>
      <c r="R2047" s="7">
        <v>44684</v>
      </c>
      <c r="S2047" s="210">
        <v>4</v>
      </c>
      <c r="T2047" s="8">
        <v>1.0001111111111112</v>
      </c>
      <c r="U2047" s="98">
        <v>3.7673227175641477</v>
      </c>
      <c r="V2047" s="106">
        <v>30669.087599312887</v>
      </c>
      <c r="W2047" s="10">
        <v>0.88619743255851091</v>
      </c>
      <c r="X2047" s="420"/>
      <c r="Y2047" s="420"/>
      <c r="Z2047" s="1"/>
      <c r="AA2047" s="1"/>
      <c r="AB2047" s="1"/>
      <c r="AC2047" s="1"/>
      <c r="AD2047" s="1"/>
    </row>
    <row r="2048" spans="17:30">
      <c r="Q2048" s="6">
        <v>2018</v>
      </c>
      <c r="R2048" s="7">
        <v>44685</v>
      </c>
      <c r="S2048" s="210">
        <v>4</v>
      </c>
      <c r="T2048" s="8">
        <v>1.0001111111111112</v>
      </c>
      <c r="U2048" s="98">
        <v>3.7675064124981672</v>
      </c>
      <c r="V2048" s="106">
        <v>30671.555283508813</v>
      </c>
      <c r="W2048" s="10">
        <v>0.88631556939440248</v>
      </c>
      <c r="X2048" s="420"/>
      <c r="Y2048" s="420"/>
      <c r="Z2048" s="1"/>
      <c r="AA2048" s="1"/>
      <c r="AB2048" s="1"/>
      <c r="AC2048" s="1"/>
      <c r="AD2048" s="1"/>
    </row>
    <row r="2049" spans="17:30">
      <c r="Q2049" s="6">
        <v>2019</v>
      </c>
      <c r="R2049" s="7">
        <v>44686</v>
      </c>
      <c r="S2049" s="210">
        <v>4</v>
      </c>
      <c r="T2049" s="8">
        <v>1.0001111111111112</v>
      </c>
      <c r="U2049" s="98">
        <v>3.7676899257906182</v>
      </c>
      <c r="V2049" s="106">
        <v>30674.02316625859</v>
      </c>
      <c r="W2049" s="10">
        <v>0.88643358934330507</v>
      </c>
      <c r="X2049" s="420"/>
      <c r="Y2049" s="420"/>
      <c r="Z2049" s="1"/>
      <c r="AA2049" s="1"/>
      <c r="AB2049" s="1"/>
      <c r="AC2049" s="1"/>
      <c r="AD2049" s="1"/>
    </row>
    <row r="2050" spans="17:30">
      <c r="Q2050" s="6">
        <v>2020</v>
      </c>
      <c r="R2050" s="7">
        <v>44687</v>
      </c>
      <c r="S2050" s="210">
        <v>4</v>
      </c>
      <c r="T2050" s="8">
        <v>1.0001111111111112</v>
      </c>
      <c r="U2050" s="98">
        <v>3.7678732577108187</v>
      </c>
      <c r="V2050" s="106">
        <v>30676.491247578175</v>
      </c>
      <c r="W2050" s="10">
        <v>0.88655149257863552</v>
      </c>
      <c r="X2050" s="420"/>
      <c r="Y2050" s="420"/>
      <c r="Z2050" s="1"/>
      <c r="AA2050" s="1"/>
      <c r="AB2050" s="1"/>
      <c r="AC2050" s="1"/>
      <c r="AD2050" s="1"/>
    </row>
    <row r="2051" spans="17:30">
      <c r="Q2051" s="6">
        <v>2021</v>
      </c>
      <c r="R2051" s="7">
        <v>44688</v>
      </c>
      <c r="S2051" s="210">
        <v>4</v>
      </c>
      <c r="T2051" s="8">
        <v>1.0001111111111112</v>
      </c>
      <c r="U2051" s="98">
        <v>3.768056408527487</v>
      </c>
      <c r="V2051" s="106">
        <v>30678.959527483574</v>
      </c>
      <c r="W2051" s="10">
        <v>0.8866692792734332</v>
      </c>
      <c r="X2051" s="420"/>
      <c r="Y2051" s="420"/>
      <c r="Z2051" s="1"/>
      <c r="AA2051" s="1"/>
      <c r="AB2051" s="1"/>
      <c r="AC2051" s="1"/>
      <c r="AD2051" s="1"/>
    </row>
    <row r="2052" spans="17:30">
      <c r="Q2052" s="6">
        <v>2022</v>
      </c>
      <c r="R2052" s="7">
        <v>44689</v>
      </c>
      <c r="S2052" s="210">
        <v>4</v>
      </c>
      <c r="T2052" s="8">
        <v>1.0001111111111112</v>
      </c>
      <c r="U2052" s="98">
        <v>3.7682393785088752</v>
      </c>
      <c r="V2052" s="106">
        <v>30681.428005990743</v>
      </c>
      <c r="W2052" s="10">
        <v>0.88678694960042659</v>
      </c>
      <c r="X2052" s="420"/>
      <c r="Y2052" s="420"/>
      <c r="Z2052" s="1"/>
      <c r="AA2052" s="1"/>
      <c r="AB2052" s="1"/>
      <c r="AC2052" s="1"/>
      <c r="AD2052" s="1"/>
    </row>
    <row r="2053" spans="17:30">
      <c r="Q2053" s="6">
        <v>2023</v>
      </c>
      <c r="R2053" s="7">
        <v>44690</v>
      </c>
      <c r="S2053" s="210">
        <v>4</v>
      </c>
      <c r="T2053" s="8">
        <v>1.0001111111111112</v>
      </c>
      <c r="U2053" s="98">
        <v>3.7684221679226582</v>
      </c>
      <c r="V2053" s="106">
        <v>30683.896683115665</v>
      </c>
      <c r="W2053" s="10">
        <v>0.88690450373194452</v>
      </c>
      <c r="X2053" s="420"/>
      <c r="Y2053" s="420"/>
      <c r="Z2053" s="1"/>
      <c r="AA2053" s="1"/>
      <c r="AB2053" s="1"/>
      <c r="AC2053" s="1"/>
      <c r="AD2053" s="1"/>
    </row>
    <row r="2054" spans="17:30">
      <c r="Q2054" s="6">
        <v>2024</v>
      </c>
      <c r="R2054" s="7">
        <v>44691</v>
      </c>
      <c r="S2054" s="210">
        <v>4</v>
      </c>
      <c r="T2054" s="8">
        <v>1.0001111111111112</v>
      </c>
      <c r="U2054" s="98">
        <v>3.7686047770359998</v>
      </c>
      <c r="V2054" s="106">
        <v>30686.285914620239</v>
      </c>
      <c r="W2054" s="10">
        <v>0.88706916198528774</v>
      </c>
      <c r="X2054" s="420"/>
      <c r="Y2054" s="420"/>
      <c r="Z2054" s="1"/>
      <c r="AA2054" s="1"/>
      <c r="AB2054" s="1"/>
      <c r="AC2054" s="1"/>
      <c r="AD2054" s="1"/>
    </row>
    <row r="2055" spans="17:30">
      <c r="Q2055" s="6">
        <v>2025</v>
      </c>
      <c r="R2055" s="7">
        <v>44692</v>
      </c>
      <c r="S2055" s="210">
        <v>4</v>
      </c>
      <c r="T2055" s="8">
        <v>1.0001111111111112</v>
      </c>
      <c r="U2055" s="98">
        <v>3.7687872061155314</v>
      </c>
      <c r="V2055" s="106">
        <v>30688.675332164654</v>
      </c>
      <c r="W2055" s="10">
        <v>0.88723365788154762</v>
      </c>
      <c r="X2055" s="420"/>
      <c r="Y2055" s="420"/>
      <c r="Z2055" s="1"/>
      <c r="AA2055" s="1"/>
      <c r="AB2055" s="1"/>
      <c r="AC2055" s="1"/>
      <c r="AD2055" s="1"/>
    </row>
    <row r="2056" spans="17:30">
      <c r="Q2056" s="6">
        <v>2026</v>
      </c>
      <c r="R2056" s="7">
        <v>44693</v>
      </c>
      <c r="S2056" s="210">
        <v>4</v>
      </c>
      <c r="T2056" s="8">
        <v>1.0001111111111112</v>
      </c>
      <c r="U2056" s="98">
        <v>3.7689694554273734</v>
      </c>
      <c r="V2056" s="106">
        <v>30691.064935763388</v>
      </c>
      <c r="W2056" s="10">
        <v>0.88739799166073219</v>
      </c>
      <c r="X2056" s="420"/>
      <c r="Y2056" s="420"/>
      <c r="Z2056" s="1"/>
      <c r="AA2056" s="1"/>
      <c r="AB2056" s="1"/>
      <c r="AC2056" s="1"/>
      <c r="AD2056" s="1"/>
    </row>
    <row r="2057" spans="17:30">
      <c r="Q2057" s="6">
        <v>2027</v>
      </c>
      <c r="R2057" s="7">
        <v>44694</v>
      </c>
      <c r="S2057" s="210">
        <v>4</v>
      </c>
      <c r="T2057" s="8">
        <v>1.0001111111111112</v>
      </c>
      <c r="U2057" s="98">
        <v>3.7691515252371133</v>
      </c>
      <c r="V2057" s="106">
        <v>30693.454725430933</v>
      </c>
      <c r="W2057" s="10">
        <v>0.88756216356236095</v>
      </c>
      <c r="X2057" s="420"/>
      <c r="Y2057" s="420"/>
      <c r="Z2057" s="1"/>
      <c r="AA2057" s="1"/>
      <c r="AB2057" s="1"/>
      <c r="AC2057" s="1"/>
      <c r="AD2057" s="1"/>
    </row>
    <row r="2058" spans="17:30">
      <c r="Q2058" s="6">
        <v>2028</v>
      </c>
      <c r="R2058" s="7">
        <v>44695</v>
      </c>
      <c r="S2058" s="210">
        <v>4</v>
      </c>
      <c r="T2058" s="8">
        <v>1.0001111111111112</v>
      </c>
      <c r="U2058" s="98">
        <v>3.7693334158098057</v>
      </c>
      <c r="V2058" s="106">
        <v>30695.844701181788</v>
      </c>
      <c r="W2058" s="10">
        <v>0.88772617382553154</v>
      </c>
      <c r="X2058" s="420"/>
      <c r="Y2058" s="420"/>
      <c r="Z2058" s="1"/>
      <c r="AA2058" s="1"/>
      <c r="AB2058" s="1"/>
      <c r="AC2058" s="1"/>
      <c r="AD2058" s="1"/>
    </row>
    <row r="2059" spans="17:30">
      <c r="Q2059" s="6">
        <v>2029</v>
      </c>
      <c r="R2059" s="7">
        <v>44696</v>
      </c>
      <c r="S2059" s="210">
        <v>4</v>
      </c>
      <c r="T2059" s="8">
        <v>1.0001111111111112</v>
      </c>
      <c r="U2059" s="98">
        <v>3.7695151274099947</v>
      </c>
      <c r="V2059" s="106">
        <v>30698.234863030426</v>
      </c>
      <c r="W2059" s="10">
        <v>0.88789002268883088</v>
      </c>
      <c r="X2059" s="420"/>
      <c r="Y2059" s="420"/>
      <c r="Z2059" s="1"/>
      <c r="AA2059" s="1"/>
      <c r="AB2059" s="1"/>
      <c r="AC2059" s="1"/>
      <c r="AD2059" s="1"/>
    </row>
    <row r="2060" spans="17:30">
      <c r="Q2060" s="6">
        <v>2030</v>
      </c>
      <c r="R2060" s="7">
        <v>44697</v>
      </c>
      <c r="S2060" s="210">
        <v>4</v>
      </c>
      <c r="T2060" s="8">
        <v>1.0001111111111112</v>
      </c>
      <c r="U2060" s="98">
        <v>3.7696966603016913</v>
      </c>
      <c r="V2060" s="106">
        <v>30700.625210991348</v>
      </c>
      <c r="W2060" s="10">
        <v>0.88805371039037961</v>
      </c>
      <c r="X2060" s="420"/>
      <c r="Y2060" s="420"/>
      <c r="Z2060" s="1"/>
      <c r="AA2060" s="1"/>
      <c r="AB2060" s="1"/>
      <c r="AC2060" s="1"/>
      <c r="AD2060" s="1"/>
    </row>
    <row r="2061" spans="17:30">
      <c r="Q2061" s="6">
        <v>2031</v>
      </c>
      <c r="R2061" s="7">
        <v>44698</v>
      </c>
      <c r="S2061" s="210">
        <v>4</v>
      </c>
      <c r="T2061" s="8">
        <v>1.0001111111111112</v>
      </c>
      <c r="U2061" s="98">
        <v>3.7698780147484179</v>
      </c>
      <c r="V2061" s="106">
        <v>30703.015745079039</v>
      </c>
      <c r="W2061" s="10">
        <v>0.88821723716783207</v>
      </c>
      <c r="X2061" s="420"/>
      <c r="Y2061" s="420"/>
      <c r="Z2061" s="1"/>
      <c r="AA2061" s="1"/>
      <c r="AB2061" s="1"/>
      <c r="AC2061" s="1"/>
      <c r="AD2061" s="1"/>
    </row>
    <row r="2062" spans="17:30">
      <c r="Q2062" s="6">
        <v>2032</v>
      </c>
      <c r="R2062" s="7">
        <v>44699</v>
      </c>
      <c r="S2062" s="210">
        <v>4</v>
      </c>
      <c r="T2062" s="8">
        <v>1.0001111111111112</v>
      </c>
      <c r="U2062" s="98">
        <v>3.7700591910131642</v>
      </c>
      <c r="V2062" s="106">
        <v>30705.406465307991</v>
      </c>
      <c r="W2062" s="10">
        <v>0.88838060325842072</v>
      </c>
      <c r="X2062" s="420"/>
      <c r="Y2062" s="420"/>
      <c r="Z2062" s="1"/>
      <c r="AA2062" s="1"/>
      <c r="AB2062" s="1"/>
      <c r="AC2062" s="1"/>
      <c r="AD2062" s="1"/>
    </row>
    <row r="2063" spans="17:30">
      <c r="Q2063" s="6">
        <v>2033</v>
      </c>
      <c r="R2063" s="7">
        <v>44700</v>
      </c>
      <c r="S2063" s="210">
        <v>4</v>
      </c>
      <c r="T2063" s="8">
        <v>1.0001111111111112</v>
      </c>
      <c r="U2063" s="98">
        <v>3.7702401893583648</v>
      </c>
      <c r="V2063" s="106">
        <v>30707.797371692708</v>
      </c>
      <c r="W2063" s="10">
        <v>0.8885438088988451</v>
      </c>
      <c r="X2063" s="420"/>
      <c r="Y2063" s="420"/>
      <c r="Z2063" s="1"/>
      <c r="AA2063" s="1"/>
      <c r="AB2063" s="1"/>
      <c r="AC2063" s="1"/>
      <c r="AD2063" s="1"/>
    </row>
    <row r="2064" spans="17:30">
      <c r="Q2064" s="6">
        <v>2034</v>
      </c>
      <c r="R2064" s="7">
        <v>44701</v>
      </c>
      <c r="S2064" s="210">
        <v>4</v>
      </c>
      <c r="T2064" s="8">
        <v>1.0001111111111112</v>
      </c>
      <c r="U2064" s="98">
        <v>3.77042101004601</v>
      </c>
      <c r="V2064" s="106">
        <v>30710.188464247683</v>
      </c>
      <c r="W2064" s="10">
        <v>0.88870685432536067</v>
      </c>
      <c r="X2064" s="420"/>
      <c r="Y2064" s="420"/>
      <c r="Z2064" s="1"/>
      <c r="AA2064" s="1"/>
      <c r="AB2064" s="1"/>
      <c r="AC2064" s="1"/>
      <c r="AD2064" s="1"/>
    </row>
    <row r="2065" spans="17:30">
      <c r="Q2065" s="6">
        <v>2035</v>
      </c>
      <c r="R2065" s="7">
        <v>44702</v>
      </c>
      <c r="S2065" s="210">
        <v>4</v>
      </c>
      <c r="T2065" s="8">
        <v>1.0001111111111112</v>
      </c>
      <c r="U2065" s="98">
        <v>3.7706016533375131</v>
      </c>
      <c r="V2065" s="106">
        <v>30712.579742987404</v>
      </c>
      <c r="W2065" s="10">
        <v>0.88886973977377881</v>
      </c>
      <c r="X2065" s="420"/>
      <c r="Y2065" s="420"/>
      <c r="Z2065" s="1"/>
      <c r="AA2065" s="1"/>
      <c r="AB2065" s="1"/>
      <c r="AC2065" s="1"/>
      <c r="AD2065" s="1"/>
    </row>
    <row r="2066" spans="17:30">
      <c r="Q2066" s="6">
        <v>2036</v>
      </c>
      <c r="R2066" s="7">
        <v>44703</v>
      </c>
      <c r="S2066" s="210">
        <v>4</v>
      </c>
      <c r="T2066" s="8">
        <v>1.0001111111111112</v>
      </c>
      <c r="U2066" s="98">
        <v>3.7707821194938207</v>
      </c>
      <c r="V2066" s="106">
        <v>30714.971207926377</v>
      </c>
      <c r="W2066" s="10">
        <v>0.88903246547946679</v>
      </c>
      <c r="X2066" s="420"/>
      <c r="Y2066" s="420"/>
      <c r="Z2066" s="1"/>
      <c r="AA2066" s="1"/>
      <c r="AB2066" s="1"/>
      <c r="AC2066" s="1"/>
      <c r="AD2066" s="1"/>
    </row>
    <row r="2067" spans="17:30">
      <c r="Q2067" s="6">
        <v>2037</v>
      </c>
      <c r="R2067" s="7">
        <v>44704</v>
      </c>
      <c r="S2067" s="210">
        <v>4</v>
      </c>
      <c r="T2067" s="8">
        <v>1.0001111111111112</v>
      </c>
      <c r="U2067" s="98">
        <v>3.7709624087753246</v>
      </c>
      <c r="V2067" s="106">
        <v>30717.362859079094</v>
      </c>
      <c r="W2067" s="10">
        <v>0.88919503167723679</v>
      </c>
      <c r="X2067" s="420"/>
      <c r="Y2067" s="420"/>
      <c r="Z2067" s="1"/>
      <c r="AA2067" s="1"/>
      <c r="AB2067" s="1"/>
      <c r="AC2067" s="1"/>
      <c r="AD2067" s="1"/>
    </row>
    <row r="2068" spans="17:30">
      <c r="Q2068" s="6">
        <v>2038</v>
      </c>
      <c r="R2068" s="7">
        <v>44705</v>
      </c>
      <c r="S2068" s="210">
        <v>4</v>
      </c>
      <c r="T2068" s="8">
        <v>1.0001111111111112</v>
      </c>
      <c r="U2068" s="98">
        <v>3.7711425214419503</v>
      </c>
      <c r="V2068" s="106">
        <v>30719.754696460059</v>
      </c>
      <c r="W2068" s="10">
        <v>0.8893574386015457</v>
      </c>
      <c r="X2068" s="420"/>
      <c r="Y2068" s="420"/>
      <c r="Z2068" s="1"/>
      <c r="AA2068" s="1"/>
      <c r="AB2068" s="1"/>
      <c r="AC2068" s="1"/>
      <c r="AD2068" s="1"/>
    </row>
    <row r="2069" spans="17:30">
      <c r="Q2069" s="6">
        <v>2039</v>
      </c>
      <c r="R2069" s="7">
        <v>44706</v>
      </c>
      <c r="S2069" s="210">
        <v>4</v>
      </c>
      <c r="T2069" s="8">
        <v>1.0001111111111112</v>
      </c>
      <c r="U2069" s="98">
        <v>3.7713224577530902</v>
      </c>
      <c r="V2069" s="106">
        <v>30722.146720083772</v>
      </c>
      <c r="W2069" s="10">
        <v>0.88951968648636193</v>
      </c>
      <c r="X2069" s="420"/>
      <c r="Y2069" s="420"/>
      <c r="Z2069" s="1"/>
      <c r="AA2069" s="1"/>
      <c r="AB2069" s="1"/>
      <c r="AC2069" s="1"/>
      <c r="AD2069" s="1"/>
    </row>
    <row r="2070" spans="17:30">
      <c r="Q2070" s="6">
        <v>2040</v>
      </c>
      <c r="R2070" s="7">
        <v>44707</v>
      </c>
      <c r="S2070" s="210">
        <v>4</v>
      </c>
      <c r="T2070" s="8">
        <v>1.0001111111111112</v>
      </c>
      <c r="U2070" s="98">
        <v>3.7715022179676261</v>
      </c>
      <c r="V2070" s="106">
        <v>30724.538929964732</v>
      </c>
      <c r="W2070" s="10">
        <v>0.88968177556514316</v>
      </c>
      <c r="X2070" s="420"/>
      <c r="Y2070" s="420"/>
      <c r="Z2070" s="1"/>
      <c r="AA2070" s="1"/>
      <c r="AB2070" s="1"/>
      <c r="AC2070" s="1"/>
      <c r="AD2070" s="1"/>
    </row>
    <row r="2071" spans="17:30">
      <c r="Q2071" s="6">
        <v>2041</v>
      </c>
      <c r="R2071" s="7">
        <v>44708</v>
      </c>
      <c r="S2071" s="210">
        <v>4</v>
      </c>
      <c r="T2071" s="8">
        <v>1.0001111111111112</v>
      </c>
      <c r="U2071" s="98">
        <v>3.7716818023439291</v>
      </c>
      <c r="V2071" s="106">
        <v>30726.931326117447</v>
      </c>
      <c r="W2071" s="10">
        <v>0.88984370607094743</v>
      </c>
      <c r="X2071" s="420"/>
      <c r="Y2071" s="420"/>
      <c r="Z2071" s="1"/>
      <c r="AA2071" s="1"/>
      <c r="AB2071" s="1"/>
      <c r="AC2071" s="1"/>
      <c r="AD2071" s="1"/>
    </row>
    <row r="2072" spans="17:30">
      <c r="Q2072" s="6">
        <v>2042</v>
      </c>
      <c r="R2072" s="7">
        <v>44709</v>
      </c>
      <c r="S2072" s="210">
        <v>4</v>
      </c>
      <c r="T2072" s="8">
        <v>1.0001111111111112</v>
      </c>
      <c r="U2072" s="98">
        <v>3.7718612111399041</v>
      </c>
      <c r="V2072" s="106">
        <v>30729.32390855642</v>
      </c>
      <c r="W2072" s="10">
        <v>0.89000547823638865</v>
      </c>
      <c r="X2072" s="420"/>
      <c r="Y2072" s="420"/>
      <c r="Z2072" s="1"/>
      <c r="AA2072" s="1"/>
      <c r="AB2072" s="1"/>
      <c r="AC2072" s="1"/>
      <c r="AD2072" s="1"/>
    </row>
    <row r="2073" spans="17:30">
      <c r="Q2073" s="6">
        <v>2043</v>
      </c>
      <c r="R2073" s="7">
        <v>44710</v>
      </c>
      <c r="S2073" s="210">
        <v>4</v>
      </c>
      <c r="T2073" s="8">
        <v>1.0001111111111112</v>
      </c>
      <c r="U2073" s="98">
        <v>3.7720404446129008</v>
      </c>
      <c r="V2073" s="106">
        <v>30731.716677296157</v>
      </c>
      <c r="W2073" s="10">
        <v>0.89016709229354785</v>
      </c>
      <c r="X2073" s="420"/>
      <c r="Y2073" s="420"/>
      <c r="Z2073" s="1"/>
      <c r="AA2073" s="1"/>
      <c r="AB2073" s="1"/>
      <c r="AC2073" s="1"/>
      <c r="AD2073" s="1"/>
    </row>
    <row r="2074" spans="17:30">
      <c r="Q2074" s="6">
        <v>2044</v>
      </c>
      <c r="R2074" s="7">
        <v>44711</v>
      </c>
      <c r="S2074" s="210">
        <v>4</v>
      </c>
      <c r="T2074" s="8">
        <v>1.0001111111111112</v>
      </c>
      <c r="U2074" s="98">
        <v>3.7722195030198025</v>
      </c>
      <c r="V2074" s="106">
        <v>30734.109632351156</v>
      </c>
      <c r="W2074" s="10">
        <v>0.89032854847415077</v>
      </c>
      <c r="X2074" s="420"/>
      <c r="Y2074" s="420"/>
      <c r="Z2074" s="1"/>
      <c r="AA2074" s="1"/>
      <c r="AB2074" s="1"/>
      <c r="AC2074" s="1"/>
      <c r="AD2074" s="1"/>
    </row>
    <row r="2075" spans="17:30">
      <c r="Q2075" s="6">
        <v>2045</v>
      </c>
      <c r="R2075" s="7">
        <v>44712</v>
      </c>
      <c r="S2075" s="210">
        <v>4</v>
      </c>
      <c r="T2075" s="8">
        <v>1.0001111111111112</v>
      </c>
      <c r="U2075" s="98">
        <v>3.7723983866169597</v>
      </c>
      <c r="V2075" s="106">
        <v>30736.502773735938</v>
      </c>
      <c r="W2075" s="10">
        <v>0.89048984700939027</v>
      </c>
      <c r="X2075" s="420"/>
      <c r="Y2075" s="420"/>
      <c r="Z2075" s="1"/>
      <c r="AA2075" s="1"/>
      <c r="AB2075" s="1"/>
      <c r="AC2075" s="1"/>
      <c r="AD2075" s="1"/>
    </row>
    <row r="2076" spans="17:30">
      <c r="Q2076" s="6">
        <v>2046</v>
      </c>
      <c r="R2076" s="7">
        <v>44713</v>
      </c>
      <c r="S2076" s="210">
        <v>4</v>
      </c>
      <c r="T2076" s="8">
        <v>1.0001111111111112</v>
      </c>
      <c r="U2076" s="98">
        <v>3.7725770956602567</v>
      </c>
      <c r="V2076" s="106">
        <v>30738.896101465001</v>
      </c>
      <c r="W2076" s="10">
        <v>0.8906509881300595</v>
      </c>
      <c r="X2076" s="420"/>
      <c r="Y2076" s="420"/>
      <c r="Z2076" s="1"/>
      <c r="AA2076" s="1"/>
      <c r="AB2076" s="1"/>
      <c r="AC2076" s="1"/>
      <c r="AD2076" s="1"/>
    </row>
    <row r="2077" spans="17:30">
      <c r="Q2077" s="6">
        <v>2047</v>
      </c>
      <c r="R2077" s="7">
        <v>44714</v>
      </c>
      <c r="S2077" s="210">
        <v>4</v>
      </c>
      <c r="T2077" s="8">
        <v>1.0001111111111112</v>
      </c>
      <c r="U2077" s="98">
        <v>3.7727556304050447</v>
      </c>
      <c r="V2077" s="106">
        <v>30741.289615552862</v>
      </c>
      <c r="W2077" s="10">
        <v>0.89081197206646312</v>
      </c>
      <c r="X2077" s="420"/>
      <c r="Y2077" s="420"/>
      <c r="Z2077" s="1"/>
      <c r="AA2077" s="1"/>
      <c r="AB2077" s="1"/>
      <c r="AC2077" s="1"/>
      <c r="AD2077" s="1"/>
    </row>
    <row r="2078" spans="17:30">
      <c r="Q2078" s="6">
        <v>2048</v>
      </c>
      <c r="R2078" s="7">
        <v>44715</v>
      </c>
      <c r="S2078" s="210">
        <v>4</v>
      </c>
      <c r="T2078" s="8">
        <v>1.0001111111111112</v>
      </c>
      <c r="U2078" s="98">
        <v>3.7729339911062088</v>
      </c>
      <c r="V2078" s="106">
        <v>30743.683316014027</v>
      </c>
      <c r="W2078" s="10">
        <v>0.89097279904848392</v>
      </c>
      <c r="X2078" s="420"/>
      <c r="Y2078" s="420"/>
      <c r="Z2078" s="1"/>
      <c r="AA2078" s="1"/>
      <c r="AB2078" s="1"/>
      <c r="AC2078" s="1"/>
      <c r="AD2078" s="1"/>
    </row>
    <row r="2079" spans="17:30">
      <c r="Q2079" s="6">
        <v>2049</v>
      </c>
      <c r="R2079" s="7">
        <v>44716</v>
      </c>
      <c r="S2079" s="210">
        <v>4</v>
      </c>
      <c r="T2079" s="8">
        <v>1.0001111111111112</v>
      </c>
      <c r="U2079" s="98">
        <v>3.7731121780181232</v>
      </c>
      <c r="V2079" s="106">
        <v>30746.077202863009</v>
      </c>
      <c r="W2079" s="10">
        <v>0.89113346930556059</v>
      </c>
      <c r="X2079" s="420"/>
      <c r="Y2079" s="420"/>
      <c r="Z2079" s="1"/>
      <c r="AA2079" s="1"/>
      <c r="AB2079" s="1"/>
      <c r="AC2079" s="1"/>
      <c r="AD2079" s="1"/>
    </row>
    <row r="2080" spans="17:30">
      <c r="Q2080" s="6">
        <v>2050</v>
      </c>
      <c r="R2080" s="7">
        <v>44717</v>
      </c>
      <c r="S2080" s="210">
        <v>4</v>
      </c>
      <c r="T2080" s="8">
        <v>1.0001111111111112</v>
      </c>
      <c r="U2080" s="98">
        <v>3.7732901913946515</v>
      </c>
      <c r="V2080" s="106">
        <v>30748.47127611432</v>
      </c>
      <c r="W2080" s="10">
        <v>0.89129398306664331</v>
      </c>
      <c r="X2080" s="420"/>
      <c r="Y2080" s="420"/>
      <c r="Z2080" s="1"/>
      <c r="AA2080" s="1"/>
      <c r="AB2080" s="1"/>
      <c r="AC2080" s="1"/>
      <c r="AD2080" s="1"/>
    </row>
    <row r="2081" spans="17:30">
      <c r="Q2081" s="6">
        <v>2051</v>
      </c>
      <c r="R2081" s="7">
        <v>44718</v>
      </c>
      <c r="S2081" s="210">
        <v>4</v>
      </c>
      <c r="T2081" s="8">
        <v>1.0001111111111112</v>
      </c>
      <c r="U2081" s="98">
        <v>3.7734680314891911</v>
      </c>
      <c r="V2081" s="106">
        <v>30750.865535782479</v>
      </c>
      <c r="W2081" s="10">
        <v>0.89145434056030481</v>
      </c>
      <c r="X2081" s="420"/>
      <c r="Y2081" s="420"/>
      <c r="Z2081" s="1"/>
      <c r="AA2081" s="1"/>
      <c r="AB2081" s="1"/>
      <c r="AC2081" s="1"/>
      <c r="AD2081" s="1"/>
    </row>
    <row r="2082" spans="17:30">
      <c r="Q2082" s="6">
        <v>2052</v>
      </c>
      <c r="R2082" s="7">
        <v>44719</v>
      </c>
      <c r="S2082" s="210">
        <v>4</v>
      </c>
      <c r="T2082" s="8">
        <v>1.0001111111111112</v>
      </c>
      <c r="U2082" s="98">
        <v>3.7736456985546285</v>
      </c>
      <c r="V2082" s="106">
        <v>30753.259981882002</v>
      </c>
      <c r="W2082" s="10">
        <v>0.8916145420145849</v>
      </c>
      <c r="X2082" s="420"/>
      <c r="Y2082" s="420"/>
      <c r="Z2082" s="1"/>
      <c r="AA2082" s="1"/>
      <c r="AB2082" s="1"/>
      <c r="AC2082" s="1"/>
      <c r="AD2082" s="1"/>
    </row>
    <row r="2083" spans="17:30">
      <c r="Q2083" s="6">
        <v>2053</v>
      </c>
      <c r="R2083" s="7">
        <v>44720</v>
      </c>
      <c r="S2083" s="210">
        <v>4</v>
      </c>
      <c r="T2083" s="8">
        <v>1.0001111111111112</v>
      </c>
      <c r="U2083" s="98">
        <v>3.7738231928433841</v>
      </c>
      <c r="V2083" s="106">
        <v>30755.6546144274</v>
      </c>
      <c r="W2083" s="10">
        <v>0.89177458765719031</v>
      </c>
      <c r="X2083" s="420"/>
      <c r="Y2083" s="420"/>
      <c r="Z2083" s="1"/>
      <c r="AA2083" s="1"/>
      <c r="AB2083" s="1"/>
      <c r="AC2083" s="1"/>
      <c r="AD2083" s="1"/>
    </row>
    <row r="2084" spans="17:30">
      <c r="Q2084" s="6">
        <v>2054</v>
      </c>
      <c r="R2084" s="7">
        <v>44721</v>
      </c>
      <c r="S2084" s="210">
        <v>4</v>
      </c>
      <c r="T2084" s="8">
        <v>1.0001111111111112</v>
      </c>
      <c r="U2084" s="98">
        <v>3.7740005146073452</v>
      </c>
      <c r="V2084" s="106">
        <v>30758.049433433196</v>
      </c>
      <c r="W2084" s="10">
        <v>0.89193447771529488</v>
      </c>
      <c r="X2084" s="420"/>
      <c r="Y2084" s="420"/>
      <c r="Z2084" s="1"/>
      <c r="AA2084" s="1"/>
      <c r="AB2084" s="1"/>
      <c r="AC2084" s="1"/>
      <c r="AD2084" s="1"/>
    </row>
    <row r="2085" spans="17:30">
      <c r="Q2085" s="6">
        <v>2055</v>
      </c>
      <c r="R2085" s="7">
        <v>44722</v>
      </c>
      <c r="S2085" s="210">
        <v>4</v>
      </c>
      <c r="T2085" s="8">
        <v>1.0001111111111112</v>
      </c>
      <c r="U2085" s="98">
        <v>3.774177664097933</v>
      </c>
      <c r="V2085" s="106">
        <v>30760.524275641616</v>
      </c>
      <c r="W2085" s="10">
        <v>0.89204770227708785</v>
      </c>
      <c r="X2085" s="420"/>
      <c r="Y2085" s="420"/>
      <c r="Z2085" s="1"/>
      <c r="AA2085" s="1"/>
      <c r="AB2085" s="1"/>
      <c r="AC2085" s="1"/>
      <c r="AD2085" s="1"/>
    </row>
    <row r="2086" spans="17:30">
      <c r="Q2086" s="6">
        <v>2056</v>
      </c>
      <c r="R2086" s="7">
        <v>44723</v>
      </c>
      <c r="S2086" s="210">
        <v>4</v>
      </c>
      <c r="T2086" s="8">
        <v>1.0001111111111112</v>
      </c>
      <c r="U2086" s="98">
        <v>3.77435464156608</v>
      </c>
      <c r="V2086" s="106">
        <v>30762.999316979818</v>
      </c>
      <c r="W2086" s="10">
        <v>0.89216081682512716</v>
      </c>
      <c r="X2086" s="420"/>
      <c r="Y2086" s="420"/>
      <c r="Z2086" s="1"/>
      <c r="AA2086" s="1"/>
      <c r="AB2086" s="1"/>
      <c r="AC2086" s="1"/>
      <c r="AD2086" s="1"/>
    </row>
    <row r="2087" spans="17:30">
      <c r="Q2087" s="6">
        <v>2057</v>
      </c>
      <c r="R2087" s="7">
        <v>44724</v>
      </c>
      <c r="S2087" s="210">
        <v>4</v>
      </c>
      <c r="T2087" s="8">
        <v>1.0001111111111112</v>
      </c>
      <c r="U2087" s="98">
        <v>3.7745314472622304</v>
      </c>
      <c r="V2087" s="106">
        <v>30765.47455746384</v>
      </c>
      <c r="W2087" s="10">
        <v>0.8922738215197068</v>
      </c>
      <c r="X2087" s="420"/>
      <c r="Y2087" s="420"/>
      <c r="Z2087" s="1"/>
      <c r="AA2087" s="1"/>
      <c r="AB2087" s="1"/>
      <c r="AC2087" s="1"/>
      <c r="AD2087" s="1"/>
    </row>
    <row r="2088" spans="17:30">
      <c r="Q2088" s="6">
        <v>2058</v>
      </c>
      <c r="R2088" s="7">
        <v>44725</v>
      </c>
      <c r="S2088" s="210">
        <v>4</v>
      </c>
      <c r="T2088" s="8">
        <v>1.0001111111111112</v>
      </c>
      <c r="U2088" s="98">
        <v>3.7747080814363398</v>
      </c>
      <c r="V2088" s="106">
        <v>30767.949997109696</v>
      </c>
      <c r="W2088" s="10">
        <v>0.8923867165207211</v>
      </c>
      <c r="X2088" s="420"/>
      <c r="Y2088" s="420"/>
      <c r="Z2088" s="1"/>
      <c r="AA2088" s="1"/>
      <c r="AB2088" s="1"/>
      <c r="AC2088" s="1"/>
      <c r="AD2088" s="1"/>
    </row>
    <row r="2089" spans="17:30">
      <c r="Q2089" s="6">
        <v>2059</v>
      </c>
      <c r="R2089" s="7">
        <v>44726</v>
      </c>
      <c r="S2089" s="210">
        <v>4</v>
      </c>
      <c r="T2089" s="8">
        <v>1.0001111111111112</v>
      </c>
      <c r="U2089" s="98">
        <v>3.7748845443378753</v>
      </c>
      <c r="V2089" s="106">
        <v>30770.425635933414</v>
      </c>
      <c r="W2089" s="10">
        <v>0.89249950198786454</v>
      </c>
      <c r="X2089" s="420"/>
      <c r="Y2089" s="420"/>
      <c r="Z2089" s="1"/>
      <c r="AA2089" s="1"/>
      <c r="AB2089" s="1"/>
      <c r="AC2089" s="1"/>
      <c r="AD2089" s="1"/>
    </row>
    <row r="2090" spans="17:30">
      <c r="Q2090" s="6">
        <v>2060</v>
      </c>
      <c r="R2090" s="7">
        <v>44727</v>
      </c>
      <c r="S2090" s="210">
        <v>4</v>
      </c>
      <c r="T2090" s="8">
        <v>1.0001111111111112</v>
      </c>
      <c r="U2090" s="98">
        <v>3.7750608362158378</v>
      </c>
      <c r="V2090" s="106">
        <v>30772.901473951024</v>
      </c>
      <c r="W2090" s="10">
        <v>0.89261217808045412</v>
      </c>
      <c r="X2090" s="420"/>
      <c r="Y2090" s="420"/>
      <c r="Z2090" s="1"/>
      <c r="AA2090" s="1"/>
      <c r="AB2090" s="1"/>
      <c r="AC2090" s="1"/>
      <c r="AD2090" s="1"/>
    </row>
    <row r="2091" spans="17:30">
      <c r="Q2091" s="6">
        <v>2061</v>
      </c>
      <c r="R2091" s="7">
        <v>44728</v>
      </c>
      <c r="S2091" s="210">
        <v>4</v>
      </c>
      <c r="T2091" s="8">
        <v>1.0001111111111112</v>
      </c>
      <c r="U2091" s="98">
        <v>3.7752369573187172</v>
      </c>
      <c r="V2091" s="106">
        <v>30775.377511178544</v>
      </c>
      <c r="W2091" s="10">
        <v>0.89272474495749599</v>
      </c>
      <c r="X2091" s="420"/>
      <c r="Y2091" s="420"/>
      <c r="Z2091" s="1"/>
      <c r="AA2091" s="1"/>
      <c r="AB2091" s="1"/>
      <c r="AC2091" s="1"/>
      <c r="AD2091" s="1"/>
    </row>
    <row r="2092" spans="17:30">
      <c r="Q2092" s="6">
        <v>2062</v>
      </c>
      <c r="R2092" s="7">
        <v>44729</v>
      </c>
      <c r="S2092" s="210">
        <v>4</v>
      </c>
      <c r="T2092" s="8">
        <v>1.0001111111111112</v>
      </c>
      <c r="U2092" s="98">
        <v>3.7754129078945597</v>
      </c>
      <c r="V2092" s="106">
        <v>30777.853747632005</v>
      </c>
      <c r="W2092" s="10">
        <v>0.89283720277772982</v>
      </c>
      <c r="X2092" s="420"/>
      <c r="Y2092" s="420"/>
      <c r="Z2092" s="1"/>
      <c r="AA2092" s="1"/>
      <c r="AB2092" s="1"/>
      <c r="AC2092" s="1"/>
      <c r="AD2092" s="1"/>
    </row>
    <row r="2093" spans="17:30">
      <c r="Q2093" s="6">
        <v>2063</v>
      </c>
      <c r="R2093" s="7">
        <v>44730</v>
      </c>
      <c r="S2093" s="210">
        <v>4</v>
      </c>
      <c r="T2093" s="8">
        <v>1.0001111111111112</v>
      </c>
      <c r="U2093" s="98">
        <v>3.7755886881909007</v>
      </c>
      <c r="V2093" s="106">
        <v>30780.330183327445</v>
      </c>
      <c r="W2093" s="10">
        <v>0.89294955169954005</v>
      </c>
      <c r="X2093" s="420"/>
      <c r="Y2093" s="420"/>
      <c r="Z2093" s="1"/>
      <c r="AA2093" s="1"/>
      <c r="AB2093" s="1"/>
      <c r="AC2093" s="1"/>
      <c r="AD2093" s="1"/>
    </row>
    <row r="2094" spans="17:30">
      <c r="Q2094" s="6">
        <v>2064</v>
      </c>
      <c r="R2094" s="7">
        <v>44731</v>
      </c>
      <c r="S2094" s="210">
        <v>4</v>
      </c>
      <c r="T2094" s="8">
        <v>1.0001111111111112</v>
      </c>
      <c r="U2094" s="98">
        <v>3.775764298454809</v>
      </c>
      <c r="V2094" s="106">
        <v>30782.806818280897</v>
      </c>
      <c r="W2094" s="10">
        <v>0.89306179188104462</v>
      </c>
      <c r="X2094" s="420"/>
      <c r="Y2094" s="420"/>
      <c r="Z2094" s="1"/>
      <c r="AA2094" s="1"/>
      <c r="AB2094" s="1"/>
      <c r="AC2094" s="1"/>
      <c r="AD2094" s="1"/>
    </row>
    <row r="2095" spans="17:30">
      <c r="Q2095" s="6">
        <v>2065</v>
      </c>
      <c r="R2095" s="7">
        <v>44732</v>
      </c>
      <c r="S2095" s="210">
        <v>4</v>
      </c>
      <c r="T2095" s="8">
        <v>1.0001111111111112</v>
      </c>
      <c r="U2095" s="98">
        <v>3.7759397389328875</v>
      </c>
      <c r="V2095" s="106">
        <v>30785.28365250838</v>
      </c>
      <c r="W2095" s="10">
        <v>0.89317392348005065</v>
      </c>
      <c r="X2095" s="420"/>
      <c r="Y2095" s="420"/>
      <c r="Z2095" s="1"/>
      <c r="AA2095" s="1"/>
      <c r="AB2095" s="1"/>
      <c r="AC2095" s="1"/>
      <c r="AD2095" s="1"/>
    </row>
    <row r="2096" spans="17:30">
      <c r="Q2096" s="6">
        <v>2066</v>
      </c>
      <c r="R2096" s="7">
        <v>44733</v>
      </c>
      <c r="S2096" s="210">
        <v>4</v>
      </c>
      <c r="T2096" s="8">
        <v>1.0001111111111112</v>
      </c>
      <c r="U2096" s="98">
        <v>3.7761150098712282</v>
      </c>
      <c r="V2096" s="106">
        <v>30787.760686025933</v>
      </c>
      <c r="W2096" s="10">
        <v>0.89328594665403216</v>
      </c>
      <c r="X2096" s="420"/>
      <c r="Y2096" s="420"/>
      <c r="Z2096" s="1"/>
      <c r="AA2096" s="1"/>
      <c r="AB2096" s="1"/>
      <c r="AC2096" s="1"/>
      <c r="AD2096" s="1"/>
    </row>
    <row r="2097" spans="17:30">
      <c r="Q2097" s="6">
        <v>2067</v>
      </c>
      <c r="R2097" s="7">
        <v>44734</v>
      </c>
      <c r="S2097" s="210">
        <v>4</v>
      </c>
      <c r="T2097" s="8">
        <v>1.0001111111111112</v>
      </c>
      <c r="U2097" s="98">
        <v>3.776290111515479</v>
      </c>
      <c r="V2097" s="106">
        <v>30790.237918849598</v>
      </c>
      <c r="W2097" s="10">
        <v>0.89339786156015233</v>
      </c>
      <c r="X2097" s="420"/>
      <c r="Y2097" s="420"/>
      <c r="Z2097" s="1"/>
      <c r="AA2097" s="1"/>
      <c r="AB2097" s="1"/>
      <c r="AC2097" s="1"/>
      <c r="AD2097" s="1"/>
    </row>
    <row r="2098" spans="17:30">
      <c r="Q2098" s="6">
        <v>2068</v>
      </c>
      <c r="R2098" s="7">
        <v>44735</v>
      </c>
      <c r="S2098" s="210">
        <v>4</v>
      </c>
      <c r="T2098" s="8">
        <v>1.0001111111111112</v>
      </c>
      <c r="U2098" s="98">
        <v>3.7764650441107994</v>
      </c>
      <c r="V2098" s="106">
        <v>30792.715350995404</v>
      </c>
      <c r="W2098" s="10">
        <v>0.89350966835530787</v>
      </c>
      <c r="X2098" s="420"/>
      <c r="Y2098" s="420"/>
      <c r="Z2098" s="1"/>
      <c r="AA2098" s="1"/>
      <c r="AB2098" s="1"/>
      <c r="AC2098" s="1"/>
      <c r="AD2098" s="1"/>
    </row>
    <row r="2099" spans="17:30">
      <c r="Q2099" s="6">
        <v>2069</v>
      </c>
      <c r="R2099" s="7">
        <v>44736</v>
      </c>
      <c r="S2099" s="210">
        <v>4</v>
      </c>
      <c r="T2099" s="8">
        <v>1.0001111111111112</v>
      </c>
      <c r="U2099" s="98">
        <v>3.7766398079018826</v>
      </c>
      <c r="V2099" s="106">
        <v>30795.192982479395</v>
      </c>
      <c r="W2099" s="10">
        <v>0.89362136719610685</v>
      </c>
      <c r="X2099" s="420"/>
      <c r="Y2099" s="420"/>
      <c r="Z2099" s="1"/>
      <c r="AA2099" s="1"/>
      <c r="AB2099" s="1"/>
      <c r="AC2099" s="1"/>
      <c r="AD2099" s="1"/>
    </row>
    <row r="2100" spans="17:30">
      <c r="Q2100" s="6">
        <v>2070</v>
      </c>
      <c r="R2100" s="7">
        <v>44737</v>
      </c>
      <c r="S2100" s="210">
        <v>4</v>
      </c>
      <c r="T2100" s="8">
        <v>1.0001111111111112</v>
      </c>
      <c r="U2100" s="98">
        <v>3.7768144031329554</v>
      </c>
      <c r="V2100" s="106">
        <v>30797.670813317603</v>
      </c>
      <c r="W2100" s="10">
        <v>0.89373295823880206</v>
      </c>
      <c r="X2100" s="420"/>
      <c r="Y2100" s="420"/>
      <c r="Z2100" s="1"/>
      <c r="AA2100" s="1"/>
      <c r="AB2100" s="1"/>
      <c r="AC2100" s="1"/>
      <c r="AD2100" s="1"/>
    </row>
    <row r="2101" spans="17:30">
      <c r="Q2101" s="6">
        <v>2071</v>
      </c>
      <c r="R2101" s="7">
        <v>44738</v>
      </c>
      <c r="S2101" s="210">
        <v>4</v>
      </c>
      <c r="T2101" s="8">
        <v>1.0001111111111112</v>
      </c>
      <c r="U2101" s="98">
        <v>3.7769888300477339</v>
      </c>
      <c r="V2101" s="106">
        <v>30800.148843526076</v>
      </c>
      <c r="W2101" s="10">
        <v>0.89384444163935761</v>
      </c>
      <c r="X2101" s="420"/>
      <c r="Y2101" s="420"/>
      <c r="Z2101" s="1"/>
      <c r="AA2101" s="1"/>
      <c r="AB2101" s="1"/>
      <c r="AC2101" s="1"/>
      <c r="AD2101" s="1"/>
    </row>
    <row r="2102" spans="17:30">
      <c r="Q2102" s="6">
        <v>2072</v>
      </c>
      <c r="R2102" s="7">
        <v>44739</v>
      </c>
      <c r="S2102" s="210">
        <v>4</v>
      </c>
      <c r="T2102" s="8">
        <v>1.0001111111111112</v>
      </c>
      <c r="U2102" s="98">
        <v>3.7771630888895347</v>
      </c>
      <c r="V2102" s="106">
        <v>30802.62707312085</v>
      </c>
      <c r="W2102" s="10">
        <v>0.8939558175534712</v>
      </c>
      <c r="X2102" s="420"/>
      <c r="Y2102" s="420"/>
      <c r="Z2102" s="1"/>
      <c r="AA2102" s="1"/>
      <c r="AB2102" s="1"/>
      <c r="AC2102" s="1"/>
      <c r="AD2102" s="1"/>
    </row>
    <row r="2103" spans="17:30">
      <c r="Q2103" s="6">
        <v>2073</v>
      </c>
      <c r="R2103" s="7">
        <v>44740</v>
      </c>
      <c r="S2103" s="210">
        <v>4</v>
      </c>
      <c r="T2103" s="8">
        <v>1.0001111111111112</v>
      </c>
      <c r="U2103" s="98">
        <v>3.7773371799011413</v>
      </c>
      <c r="V2103" s="106">
        <v>30805.105502117971</v>
      </c>
      <c r="W2103" s="10">
        <v>0.89406708613650743</v>
      </c>
      <c r="X2103" s="420"/>
      <c r="Y2103" s="420"/>
      <c r="Z2103" s="1"/>
      <c r="AA2103" s="1"/>
      <c r="AB2103" s="1"/>
      <c r="AC2103" s="1"/>
      <c r="AD2103" s="1"/>
    </row>
    <row r="2104" spans="17:30">
      <c r="Q2104" s="6">
        <v>2074</v>
      </c>
      <c r="R2104" s="7">
        <v>44741</v>
      </c>
      <c r="S2104" s="210">
        <v>4</v>
      </c>
      <c r="T2104" s="8">
        <v>1.0001111111111112</v>
      </c>
      <c r="U2104" s="98">
        <v>3.7775111033248931</v>
      </c>
      <c r="V2104" s="106">
        <v>30807.58413053348</v>
      </c>
      <c r="W2104" s="10">
        <v>0.89417824754354225</v>
      </c>
      <c r="X2104" s="420"/>
      <c r="Y2104" s="420"/>
      <c r="Z2104" s="1"/>
      <c r="AA2104" s="1"/>
      <c r="AB2104" s="1"/>
      <c r="AC2104" s="1"/>
      <c r="AD2104" s="1"/>
    </row>
    <row r="2105" spans="17:30">
      <c r="Q2105" s="6">
        <v>2075</v>
      </c>
      <c r="R2105" s="7">
        <v>44742</v>
      </c>
      <c r="S2105" s="210">
        <v>4</v>
      </c>
      <c r="T2105" s="8">
        <v>1.0001111111111112</v>
      </c>
      <c r="U2105" s="98">
        <v>3.7776848594026635</v>
      </c>
      <c r="V2105" s="106">
        <v>30810.06295838342</v>
      </c>
      <c r="W2105" s="10">
        <v>0.89428930192931855</v>
      </c>
      <c r="X2105" s="420"/>
      <c r="Y2105" s="420"/>
      <c r="Z2105" s="1"/>
      <c r="AA2105" s="1"/>
      <c r="AB2105" s="1"/>
      <c r="AC2105" s="1"/>
      <c r="AD2105" s="1"/>
    </row>
    <row r="2106" spans="17:30">
      <c r="Q2106" s="6">
        <v>2076</v>
      </c>
      <c r="R2106" s="7">
        <v>44743</v>
      </c>
      <c r="S2106" s="210">
        <v>4</v>
      </c>
      <c r="T2106" s="8">
        <v>1.0001111111111112</v>
      </c>
      <c r="U2106" s="98">
        <v>3.7778584483758815</v>
      </c>
      <c r="V2106" s="106">
        <v>30812.541985683853</v>
      </c>
      <c r="W2106" s="10">
        <v>0.89440024944835717</v>
      </c>
      <c r="X2106" s="420"/>
      <c r="Y2106" s="420"/>
      <c r="Z2106" s="1"/>
      <c r="AA2106" s="1"/>
      <c r="AB2106" s="1"/>
      <c r="AC2106" s="1"/>
      <c r="AD2106" s="1"/>
    </row>
    <row r="2107" spans="17:30">
      <c r="Q2107" s="6">
        <v>2077</v>
      </c>
      <c r="R2107" s="7">
        <v>44744</v>
      </c>
      <c r="S2107" s="210">
        <v>4</v>
      </c>
      <c r="T2107" s="8">
        <v>1.0001111111111112</v>
      </c>
      <c r="U2107" s="98">
        <v>3.7780318704854876</v>
      </c>
      <c r="V2107" s="106">
        <v>30815.021212450803</v>
      </c>
      <c r="W2107" s="10">
        <v>0.89451109025484588</v>
      </c>
      <c r="X2107" s="420"/>
      <c r="Y2107" s="420"/>
      <c r="Z2107" s="1"/>
      <c r="AA2107" s="1"/>
      <c r="AB2107" s="1"/>
      <c r="AC2107" s="1"/>
      <c r="AD2107" s="1"/>
    </row>
    <row r="2108" spans="17:30">
      <c r="Q2108" s="6">
        <v>2078</v>
      </c>
      <c r="R2108" s="7">
        <v>44745</v>
      </c>
      <c r="S2108" s="210">
        <v>4</v>
      </c>
      <c r="T2108" s="8">
        <v>1.0001111111111112</v>
      </c>
      <c r="U2108" s="98">
        <v>3.7782051259719562</v>
      </c>
      <c r="V2108" s="106">
        <v>30817.500638700338</v>
      </c>
      <c r="W2108" s="10">
        <v>0.89462182450263938</v>
      </c>
      <c r="X2108" s="420"/>
      <c r="Y2108" s="420"/>
      <c r="Z2108" s="1"/>
      <c r="AA2108" s="1"/>
      <c r="AB2108" s="1"/>
      <c r="AC2108" s="1"/>
      <c r="AD2108" s="1"/>
    </row>
    <row r="2109" spans="17:30">
      <c r="Q2109" s="6">
        <v>2079</v>
      </c>
      <c r="R2109" s="7">
        <v>44746</v>
      </c>
      <c r="S2109" s="210">
        <v>4</v>
      </c>
      <c r="T2109" s="8">
        <v>1.0001111111111112</v>
      </c>
      <c r="U2109" s="98">
        <v>3.7783782150752954</v>
      </c>
      <c r="V2109" s="106">
        <v>30819.98026444851</v>
      </c>
      <c r="W2109" s="10">
        <v>0.89473245234532595</v>
      </c>
      <c r="X2109" s="420"/>
      <c r="Y2109" s="420"/>
      <c r="Z2109" s="1"/>
      <c r="AA2109" s="1"/>
      <c r="AB2109" s="1"/>
      <c r="AC2109" s="1"/>
      <c r="AD2109" s="1"/>
    </row>
    <row r="2110" spans="17:30">
      <c r="Q2110" s="6">
        <v>2080</v>
      </c>
      <c r="R2110" s="7">
        <v>44747</v>
      </c>
      <c r="S2110" s="210">
        <v>4</v>
      </c>
      <c r="T2110" s="8">
        <v>1.0001111111111112</v>
      </c>
      <c r="U2110" s="98">
        <v>3.7785511380350911</v>
      </c>
      <c r="V2110" s="106">
        <v>30822.46008971136</v>
      </c>
      <c r="W2110" s="10">
        <v>0.89484297393622736</v>
      </c>
      <c r="X2110" s="420"/>
      <c r="Y2110" s="420"/>
      <c r="Z2110" s="1"/>
      <c r="AA2110" s="1"/>
      <c r="AB2110" s="1"/>
      <c r="AC2110" s="1"/>
      <c r="AD2110" s="1"/>
    </row>
    <row r="2111" spans="17:30">
      <c r="Q2111" s="6">
        <v>2081</v>
      </c>
      <c r="R2111" s="7">
        <v>44748</v>
      </c>
      <c r="S2111" s="210">
        <v>4</v>
      </c>
      <c r="T2111" s="8">
        <v>1.0001111111111112</v>
      </c>
      <c r="U2111" s="98">
        <v>3.7787238950904412</v>
      </c>
      <c r="V2111" s="106">
        <v>30824.940114504938</v>
      </c>
      <c r="W2111" s="10">
        <v>0.89495338942833236</v>
      </c>
      <c r="X2111" s="420"/>
      <c r="Y2111" s="420"/>
      <c r="Z2111" s="1"/>
      <c r="AA2111" s="1"/>
      <c r="AB2111" s="1"/>
      <c r="AC2111" s="1"/>
      <c r="AD2111" s="1"/>
    </row>
    <row r="2112" spans="17:30">
      <c r="Q2112" s="6">
        <v>2082</v>
      </c>
      <c r="R2112" s="7">
        <v>44749</v>
      </c>
      <c r="S2112" s="210">
        <v>4</v>
      </c>
      <c r="T2112" s="8">
        <v>1.0001111111111112</v>
      </c>
      <c r="U2112" s="98">
        <v>3.7788964864799546</v>
      </c>
      <c r="V2112" s="106">
        <v>30827.420338845321</v>
      </c>
      <c r="W2112" s="10">
        <v>0.89506369897431881</v>
      </c>
      <c r="X2112" s="420"/>
      <c r="Y2112" s="420"/>
      <c r="Z2112" s="1"/>
      <c r="AA2112" s="1"/>
      <c r="AB2112" s="1"/>
      <c r="AC2112" s="1"/>
      <c r="AD2112" s="1"/>
    </row>
    <row r="2113" spans="17:30">
      <c r="Q2113" s="6">
        <v>2083</v>
      </c>
      <c r="R2113" s="7">
        <v>44750</v>
      </c>
      <c r="S2113" s="210">
        <v>4</v>
      </c>
      <c r="T2113" s="8">
        <v>1.0001111111111112</v>
      </c>
      <c r="U2113" s="98">
        <v>3.7790689124418408</v>
      </c>
      <c r="V2113" s="106">
        <v>30829.900762748541</v>
      </c>
      <c r="W2113" s="10">
        <v>0.89517390272664255</v>
      </c>
      <c r="X2113" s="420"/>
      <c r="Y2113" s="420"/>
      <c r="Z2113" s="1"/>
      <c r="AA2113" s="1"/>
      <c r="AB2113" s="1"/>
      <c r="AC2113" s="1"/>
      <c r="AD2113" s="1"/>
    </row>
    <row r="2114" spans="17:30">
      <c r="Q2114" s="6">
        <v>2084</v>
      </c>
      <c r="R2114" s="7">
        <v>44751</v>
      </c>
      <c r="S2114" s="210">
        <v>4</v>
      </c>
      <c r="T2114" s="8">
        <v>1.0001111111111112</v>
      </c>
      <c r="U2114" s="98">
        <v>3.7792411732138431</v>
      </c>
      <c r="V2114" s="106">
        <v>30832.381386230663</v>
      </c>
      <c r="W2114" s="10">
        <v>0.89528400083740411</v>
      </c>
      <c r="X2114" s="420"/>
      <c r="Y2114" s="420"/>
      <c r="Z2114" s="1"/>
      <c r="AA2114" s="1"/>
      <c r="AB2114" s="1"/>
      <c r="AC2114" s="1"/>
      <c r="AD2114" s="1"/>
    </row>
    <row r="2115" spans="17:30">
      <c r="Q2115" s="6">
        <v>2085</v>
      </c>
      <c r="R2115" s="7">
        <v>44752</v>
      </c>
      <c r="S2115" s="210">
        <v>4</v>
      </c>
      <c r="T2115" s="8">
        <v>1.0001111111111112</v>
      </c>
      <c r="U2115" s="98">
        <v>3.7794132690331939</v>
      </c>
      <c r="V2115" s="106">
        <v>30834.782179641286</v>
      </c>
      <c r="W2115" s="10">
        <v>0.89543983590660847</v>
      </c>
      <c r="X2115" s="420"/>
      <c r="Y2115" s="420"/>
      <c r="Z2115" s="1"/>
      <c r="AA2115" s="1"/>
      <c r="AB2115" s="1"/>
      <c r="AC2115" s="1"/>
      <c r="AD2115" s="1"/>
    </row>
    <row r="2116" spans="17:30">
      <c r="Q2116" s="6">
        <v>2086</v>
      </c>
      <c r="R2116" s="7">
        <v>44753</v>
      </c>
      <c r="S2116" s="210">
        <v>4</v>
      </c>
      <c r="T2116" s="8">
        <v>1.0001111111111112</v>
      </c>
      <c r="U2116" s="98">
        <v>3.779585200136748</v>
      </c>
      <c r="V2116" s="106">
        <v>30837.183159992026</v>
      </c>
      <c r="W2116" s="10">
        <v>0.89559552180575874</v>
      </c>
      <c r="X2116" s="420"/>
      <c r="Y2116" s="420"/>
      <c r="Z2116" s="1"/>
      <c r="AA2116" s="1"/>
      <c r="AB2116" s="1"/>
      <c r="AC2116" s="1"/>
      <c r="AD2116" s="1"/>
    </row>
    <row r="2117" spans="17:30">
      <c r="Q2117" s="6">
        <v>2087</v>
      </c>
      <c r="R2117" s="7">
        <v>44754</v>
      </c>
      <c r="S2117" s="210">
        <v>4</v>
      </c>
      <c r="T2117" s="8">
        <v>1.0001111111111112</v>
      </c>
      <c r="U2117" s="98">
        <v>3.7797569667608499</v>
      </c>
      <c r="V2117" s="106">
        <v>30839.584327297438</v>
      </c>
      <c r="W2117" s="10">
        <v>0.89575105874890593</v>
      </c>
      <c r="X2117" s="420"/>
      <c r="Y2117" s="420"/>
      <c r="Z2117" s="1"/>
      <c r="AA2117" s="1"/>
      <c r="AB2117" s="1"/>
      <c r="AC2117" s="1"/>
      <c r="AD2117" s="1"/>
    </row>
    <row r="2118" spans="17:30">
      <c r="Q2118" s="6">
        <v>2088</v>
      </c>
      <c r="R2118" s="7">
        <v>44755</v>
      </c>
      <c r="S2118" s="210">
        <v>4</v>
      </c>
      <c r="T2118" s="8">
        <v>1.0001111111111112</v>
      </c>
      <c r="U2118" s="98">
        <v>3.7799285691414219</v>
      </c>
      <c r="V2118" s="106">
        <v>30841.985681572078</v>
      </c>
      <c r="W2118" s="10">
        <v>0.89590644694974575</v>
      </c>
      <c r="X2118" s="420"/>
      <c r="Y2118" s="420"/>
      <c r="Z2118" s="1"/>
      <c r="AA2118" s="1"/>
      <c r="AB2118" s="1"/>
      <c r="AC2118" s="1"/>
      <c r="AD2118" s="1"/>
    </row>
    <row r="2119" spans="17:30">
      <c r="Q2119" s="6">
        <v>2089</v>
      </c>
      <c r="R2119" s="7">
        <v>44756</v>
      </c>
      <c r="S2119" s="210">
        <v>4</v>
      </c>
      <c r="T2119" s="8">
        <v>1.0001111111111112</v>
      </c>
      <c r="U2119" s="98">
        <v>3.7801000075139202</v>
      </c>
      <c r="V2119" s="106">
        <v>30844.387222830519</v>
      </c>
      <c r="W2119" s="10">
        <v>0.89606168662150765</v>
      </c>
      <c r="X2119" s="420"/>
      <c r="Y2119" s="420"/>
      <c r="Z2119" s="1"/>
      <c r="AA2119" s="1"/>
      <c r="AB2119" s="1"/>
      <c r="AC2119" s="1"/>
      <c r="AD2119" s="1"/>
    </row>
    <row r="2120" spans="17:30">
      <c r="Q2120" s="6">
        <v>2090</v>
      </c>
      <c r="R2120" s="7">
        <v>44757</v>
      </c>
      <c r="S2120" s="210">
        <v>4</v>
      </c>
      <c r="T2120" s="8">
        <v>1.0001111111111112</v>
      </c>
      <c r="U2120" s="98">
        <v>3.7802712821133566</v>
      </c>
      <c r="V2120" s="106">
        <v>30846.788951087299</v>
      </c>
      <c r="W2120" s="10">
        <v>0.89621677797708799</v>
      </c>
      <c r="X2120" s="420"/>
      <c r="Y2120" s="420"/>
      <c r="Z2120" s="1"/>
      <c r="AA2120" s="1"/>
      <c r="AB2120" s="1"/>
      <c r="AC2120" s="1"/>
      <c r="AD2120" s="1"/>
    </row>
    <row r="2121" spans="17:30">
      <c r="Q2121" s="6">
        <v>2091</v>
      </c>
      <c r="R2121" s="7">
        <v>44758</v>
      </c>
      <c r="S2121" s="210">
        <v>4</v>
      </c>
      <c r="T2121" s="8">
        <v>1.0001111111111112</v>
      </c>
      <c r="U2121" s="98">
        <v>3.7804423931742992</v>
      </c>
      <c r="V2121" s="106">
        <v>30849.190866356992</v>
      </c>
      <c r="W2121" s="10">
        <v>0.89637172122891684</v>
      </c>
      <c r="X2121" s="420"/>
      <c r="Y2121" s="420"/>
      <c r="Z2121" s="1"/>
      <c r="AA2121" s="1"/>
      <c r="AB2121" s="1"/>
      <c r="AC2121" s="1"/>
      <c r="AD2121" s="1"/>
    </row>
    <row r="2122" spans="17:30">
      <c r="Q2122" s="6">
        <v>2092</v>
      </c>
      <c r="R2122" s="7">
        <v>44759</v>
      </c>
      <c r="S2122" s="210">
        <v>4</v>
      </c>
      <c r="T2122" s="8">
        <v>1.0001111111111112</v>
      </c>
      <c r="U2122" s="98">
        <v>3.7806133409308718</v>
      </c>
      <c r="V2122" s="106">
        <v>30851.59296865416</v>
      </c>
      <c r="W2122" s="10">
        <v>0.89652651658904681</v>
      </c>
      <c r="X2122" s="420"/>
      <c r="Y2122" s="420"/>
      <c r="Z2122" s="1"/>
      <c r="AA2122" s="1"/>
      <c r="AB2122" s="1"/>
      <c r="AC2122" s="1"/>
      <c r="AD2122" s="1"/>
    </row>
    <row r="2123" spans="17:30">
      <c r="Q2123" s="6">
        <v>2093</v>
      </c>
      <c r="R2123" s="7">
        <v>44760</v>
      </c>
      <c r="S2123" s="210">
        <v>4</v>
      </c>
      <c r="T2123" s="8">
        <v>1.0001111111111112</v>
      </c>
      <c r="U2123" s="98">
        <v>3.7807841256167318</v>
      </c>
      <c r="V2123" s="106">
        <v>30853.995257993356</v>
      </c>
      <c r="W2123" s="10">
        <v>0.8966811642691086</v>
      </c>
      <c r="X2123" s="420"/>
      <c r="Y2123" s="420"/>
      <c r="Z2123" s="1"/>
      <c r="AA2123" s="1"/>
      <c r="AB2123" s="1"/>
      <c r="AC2123" s="1"/>
      <c r="AD2123" s="1"/>
    </row>
    <row r="2124" spans="17:30">
      <c r="Q2124" s="6">
        <v>2094</v>
      </c>
      <c r="R2124" s="7">
        <v>44761</v>
      </c>
      <c r="S2124" s="210">
        <v>4</v>
      </c>
      <c r="T2124" s="8">
        <v>1.0001111111111112</v>
      </c>
      <c r="U2124" s="98">
        <v>3.7809547474650929</v>
      </c>
      <c r="V2124" s="106">
        <v>30856.397734389157</v>
      </c>
      <c r="W2124" s="10">
        <v>0.89683566448033325</v>
      </c>
      <c r="X2124" s="420"/>
      <c r="Y2124" s="420"/>
      <c r="Z2124" s="1"/>
      <c r="AA2124" s="1"/>
      <c r="AB2124" s="1"/>
      <c r="AC2124" s="1"/>
      <c r="AD2124" s="1"/>
    </row>
    <row r="2125" spans="17:30">
      <c r="Q2125" s="6">
        <v>2095</v>
      </c>
      <c r="R2125" s="7">
        <v>44762</v>
      </c>
      <c r="S2125" s="210">
        <v>4</v>
      </c>
      <c r="T2125" s="8">
        <v>1.0001111111111112</v>
      </c>
      <c r="U2125" s="98">
        <v>3.7811252067087464</v>
      </c>
      <c r="V2125" s="106">
        <v>30858.800397856125</v>
      </c>
      <c r="W2125" s="10">
        <v>0.89699001743357432</v>
      </c>
      <c r="X2125" s="420"/>
      <c r="Y2125" s="420"/>
      <c r="Z2125" s="1"/>
      <c r="AA2125" s="1"/>
      <c r="AB2125" s="1"/>
      <c r="AC2125" s="1"/>
      <c r="AD2125" s="1"/>
    </row>
    <row r="2126" spans="17:30">
      <c r="Q2126" s="6">
        <v>2096</v>
      </c>
      <c r="R2126" s="7">
        <v>44763</v>
      </c>
      <c r="S2126" s="210">
        <v>4</v>
      </c>
      <c r="T2126" s="8">
        <v>1.0001111111111112</v>
      </c>
      <c r="U2126" s="98">
        <v>3.78129550358004</v>
      </c>
      <c r="V2126" s="106">
        <v>30861.203248408819</v>
      </c>
      <c r="W2126" s="10">
        <v>0.89714422333926347</v>
      </c>
      <c r="X2126" s="420"/>
      <c r="Y2126" s="420"/>
      <c r="Z2126" s="1"/>
      <c r="AA2126" s="1"/>
      <c r="AB2126" s="1"/>
      <c r="AC2126" s="1"/>
      <c r="AD2126" s="1"/>
    </row>
    <row r="2127" spans="17:30">
      <c r="Q2127" s="6">
        <v>2097</v>
      </c>
      <c r="R2127" s="7">
        <v>44764</v>
      </c>
      <c r="S2127" s="210">
        <v>4</v>
      </c>
      <c r="T2127" s="8">
        <v>1.0001111111111112</v>
      </c>
      <c r="U2127" s="98">
        <v>3.7814656383108547</v>
      </c>
      <c r="V2127" s="106">
        <v>30863.606286061819</v>
      </c>
      <c r="W2127" s="10">
        <v>0.8972982824074105</v>
      </c>
      <c r="X2127" s="420"/>
      <c r="Y2127" s="420"/>
      <c r="Z2127" s="1"/>
      <c r="AA2127" s="1"/>
      <c r="AB2127" s="1"/>
      <c r="AC2127" s="1"/>
      <c r="AD2127" s="1"/>
    </row>
    <row r="2128" spans="17:30">
      <c r="Q2128" s="6">
        <v>2098</v>
      </c>
      <c r="R2128" s="7">
        <v>44765</v>
      </c>
      <c r="S2128" s="210">
        <v>4</v>
      </c>
      <c r="T2128" s="8">
        <v>1.0001111111111112</v>
      </c>
      <c r="U2128" s="98">
        <v>3.7816356111326277</v>
      </c>
      <c r="V2128" s="106">
        <v>30866.009510829681</v>
      </c>
      <c r="W2128" s="10">
        <v>0.89745219484766992</v>
      </c>
      <c r="X2128" s="420"/>
      <c r="Y2128" s="420"/>
      <c r="Z2128" s="1"/>
      <c r="AA2128" s="1"/>
      <c r="AB2128" s="1"/>
      <c r="AC2128" s="1"/>
      <c r="AD2128" s="1"/>
    </row>
    <row r="2129" spans="17:30">
      <c r="Q2129" s="6">
        <v>2099</v>
      </c>
      <c r="R2129" s="7">
        <v>44766</v>
      </c>
      <c r="S2129" s="210">
        <v>4</v>
      </c>
      <c r="T2129" s="8">
        <v>1.0001111111111112</v>
      </c>
      <c r="U2129" s="98">
        <v>3.7818054222763742</v>
      </c>
      <c r="V2129" s="106">
        <v>30868.41292272698</v>
      </c>
      <c r="W2129" s="10">
        <v>0.89760596086925215</v>
      </c>
      <c r="X2129" s="420"/>
      <c r="Y2129" s="420"/>
      <c r="Z2129" s="1"/>
      <c r="AA2129" s="1"/>
      <c r="AB2129" s="1"/>
      <c r="AC2129" s="1"/>
      <c r="AD2129" s="1"/>
    </row>
    <row r="2130" spans="17:30">
      <c r="Q2130" s="6">
        <v>2100</v>
      </c>
      <c r="R2130" s="7">
        <v>44767</v>
      </c>
      <c r="S2130" s="210">
        <v>4</v>
      </c>
      <c r="T2130" s="8">
        <v>1.0001111111111112</v>
      </c>
      <c r="U2130" s="98">
        <v>3.7819750719726875</v>
      </c>
      <c r="V2130" s="106">
        <v>30870.816521768291</v>
      </c>
      <c r="W2130" s="10">
        <v>0.89775958068101236</v>
      </c>
      <c r="X2130" s="420"/>
      <c r="Y2130" s="420"/>
      <c r="Z2130" s="1"/>
      <c r="AA2130" s="1"/>
      <c r="AB2130" s="1"/>
      <c r="AC2130" s="1"/>
      <c r="AD2130" s="1"/>
    </row>
    <row r="2131" spans="17:30">
      <c r="Q2131" s="6">
        <v>2101</v>
      </c>
      <c r="R2131" s="7">
        <v>44768</v>
      </c>
      <c r="S2131" s="210">
        <v>4</v>
      </c>
      <c r="T2131" s="8">
        <v>1.0001111111111112</v>
      </c>
      <c r="U2131" s="98">
        <v>3.7821445604516946</v>
      </c>
      <c r="V2131" s="106">
        <v>30873.220307968179</v>
      </c>
      <c r="W2131" s="10">
        <v>0.89791305449140602</v>
      </c>
      <c r="X2131" s="420"/>
      <c r="Y2131" s="420"/>
      <c r="Z2131" s="1"/>
      <c r="AA2131" s="1"/>
      <c r="AB2131" s="1"/>
      <c r="AC2131" s="1"/>
      <c r="AD2131" s="1"/>
    </row>
    <row r="2132" spans="17:30">
      <c r="Q2132" s="6">
        <v>2102</v>
      </c>
      <c r="R2132" s="7">
        <v>44769</v>
      </c>
      <c r="S2132" s="210">
        <v>4</v>
      </c>
      <c r="T2132" s="8">
        <v>1.0001111111111112</v>
      </c>
      <c r="U2132" s="98">
        <v>3.7823138879430784</v>
      </c>
      <c r="V2132" s="106">
        <v>30875.624281341225</v>
      </c>
      <c r="W2132" s="10">
        <v>0.8980663825084223</v>
      </c>
      <c r="X2132" s="420"/>
      <c r="Y2132" s="420"/>
      <c r="Z2132" s="1"/>
      <c r="AA2132" s="1"/>
      <c r="AB2132" s="1"/>
      <c r="AC2132" s="1"/>
      <c r="AD2132" s="1"/>
    </row>
    <row r="2133" spans="17:30">
      <c r="Q2133" s="6">
        <v>2103</v>
      </c>
      <c r="R2133" s="7">
        <v>44770</v>
      </c>
      <c r="S2133" s="210">
        <v>4</v>
      </c>
      <c r="T2133" s="8">
        <v>1.0001111111111112</v>
      </c>
      <c r="U2133" s="98">
        <v>3.7824830546761223</v>
      </c>
      <c r="V2133" s="106">
        <v>30878.028441901999</v>
      </c>
      <c r="W2133" s="10">
        <v>0.89821956493976174</v>
      </c>
      <c r="X2133" s="420"/>
      <c r="Y2133" s="420"/>
      <c r="Z2133" s="1"/>
      <c r="AA2133" s="1"/>
      <c r="AB2133" s="1"/>
      <c r="AC2133" s="1"/>
      <c r="AD2133" s="1"/>
    </row>
    <row r="2134" spans="17:30">
      <c r="Q2134" s="6">
        <v>2104</v>
      </c>
      <c r="R2134" s="7">
        <v>44771</v>
      </c>
      <c r="S2134" s="210">
        <v>4</v>
      </c>
      <c r="T2134" s="8">
        <v>1.0001111111111112</v>
      </c>
      <c r="U2134" s="98">
        <v>3.782652060879621</v>
      </c>
      <c r="V2134" s="106">
        <v>30880.432789665076</v>
      </c>
      <c r="W2134" s="10">
        <v>0.89837260199261415</v>
      </c>
      <c r="X2134" s="420"/>
      <c r="Y2134" s="420"/>
      <c r="Z2134" s="1"/>
      <c r="AA2134" s="1"/>
      <c r="AB2134" s="1"/>
      <c r="AC2134" s="1"/>
      <c r="AD2134" s="1"/>
    </row>
    <row r="2135" spans="17:30">
      <c r="Q2135" s="6">
        <v>2105</v>
      </c>
      <c r="R2135" s="7">
        <v>44772</v>
      </c>
      <c r="S2135" s="210">
        <v>4</v>
      </c>
      <c r="T2135" s="8">
        <v>1.0001111111111112</v>
      </c>
      <c r="U2135" s="98">
        <v>3.7828209067819918</v>
      </c>
      <c r="V2135" s="106">
        <v>30882.837324645028</v>
      </c>
      <c r="W2135" s="10">
        <v>0.89852549387392511</v>
      </c>
      <c r="X2135" s="420"/>
      <c r="Y2135" s="420"/>
      <c r="Z2135" s="1"/>
      <c r="AA2135" s="1"/>
      <c r="AB2135" s="1"/>
      <c r="AC2135" s="1"/>
      <c r="AD2135" s="1"/>
    </row>
    <row r="2136" spans="17:30">
      <c r="Q2136" s="6">
        <v>2106</v>
      </c>
      <c r="R2136" s="7">
        <v>44773</v>
      </c>
      <c r="S2136" s="210">
        <v>4</v>
      </c>
      <c r="T2136" s="8">
        <v>1.0001111111111112</v>
      </c>
      <c r="U2136" s="98">
        <v>3.7829895926111856</v>
      </c>
      <c r="V2136" s="106">
        <v>30885.242046856449</v>
      </c>
      <c r="W2136" s="10">
        <v>0.89867824079008507</v>
      </c>
      <c r="X2136" s="420"/>
      <c r="Y2136" s="420"/>
      <c r="Z2136" s="1"/>
      <c r="AA2136" s="1"/>
      <c r="AB2136" s="1"/>
      <c r="AC2136" s="1"/>
      <c r="AD2136" s="1"/>
    </row>
    <row r="2137" spans="17:30">
      <c r="Q2137" s="6">
        <v>2107</v>
      </c>
      <c r="R2137" s="7">
        <v>44774</v>
      </c>
      <c r="S2137" s="210">
        <v>4</v>
      </c>
      <c r="T2137" s="8">
        <v>1.0001111111111112</v>
      </c>
      <c r="U2137" s="98">
        <v>3.7831581185947316</v>
      </c>
      <c r="V2137" s="106">
        <v>30887.646956313904</v>
      </c>
      <c r="W2137" s="10">
        <v>0.89883084294721804</v>
      </c>
      <c r="X2137" s="420"/>
      <c r="Y2137" s="420"/>
      <c r="Z2137" s="1"/>
      <c r="AA2137" s="1"/>
      <c r="AB2137" s="1"/>
      <c r="AC2137" s="1"/>
      <c r="AD2137" s="1"/>
    </row>
    <row r="2138" spans="17:30">
      <c r="Q2138" s="6">
        <v>2108</v>
      </c>
      <c r="R2138" s="7">
        <v>44775</v>
      </c>
      <c r="S2138" s="210">
        <v>4</v>
      </c>
      <c r="T2138" s="8">
        <v>1.0001111111111112</v>
      </c>
      <c r="U2138" s="98">
        <v>3.7833264849597148</v>
      </c>
      <c r="V2138" s="106">
        <v>30890.052053031974</v>
      </c>
      <c r="W2138" s="10">
        <v>0.89898330055098175</v>
      </c>
      <c r="X2138" s="420"/>
      <c r="Y2138" s="420"/>
      <c r="Z2138" s="1"/>
      <c r="AA2138" s="1"/>
      <c r="AB2138" s="1"/>
      <c r="AC2138" s="1"/>
      <c r="AD2138" s="1"/>
    </row>
    <row r="2139" spans="17:30">
      <c r="Q2139" s="6">
        <v>2109</v>
      </c>
      <c r="R2139" s="7">
        <v>44776</v>
      </c>
      <c r="S2139" s="210">
        <v>4</v>
      </c>
      <c r="T2139" s="8">
        <v>1.0001111111111112</v>
      </c>
      <c r="U2139" s="98">
        <v>3.7834946919327983</v>
      </c>
      <c r="V2139" s="106">
        <v>30892.457337025244</v>
      </c>
      <c r="W2139" s="10">
        <v>0.89913561380667861</v>
      </c>
      <c r="X2139" s="420"/>
      <c r="Y2139" s="420"/>
      <c r="Z2139" s="1"/>
      <c r="AA2139" s="1"/>
      <c r="AB2139" s="1"/>
      <c r="AC2139" s="1"/>
      <c r="AD2139" s="1"/>
    </row>
    <row r="2140" spans="17:30">
      <c r="Q2140" s="6">
        <v>2110</v>
      </c>
      <c r="R2140" s="7">
        <v>44777</v>
      </c>
      <c r="S2140" s="210">
        <v>4</v>
      </c>
      <c r="T2140" s="8">
        <v>1.0001111111111112</v>
      </c>
      <c r="U2140" s="98">
        <v>3.7836627397402456</v>
      </c>
      <c r="V2140" s="106">
        <v>30894.862808308295</v>
      </c>
      <c r="W2140" s="10">
        <v>0.89928778291925582</v>
      </c>
      <c r="X2140" s="420"/>
      <c r="Y2140" s="420"/>
      <c r="Z2140" s="1"/>
      <c r="AA2140" s="1"/>
      <c r="AB2140" s="1"/>
      <c r="AC2140" s="1"/>
      <c r="AD2140" s="1"/>
    </row>
    <row r="2141" spans="17:30">
      <c r="Q2141" s="6">
        <v>2111</v>
      </c>
      <c r="R2141" s="7">
        <v>44778</v>
      </c>
      <c r="S2141" s="210">
        <v>4</v>
      </c>
      <c r="T2141" s="8">
        <v>1.0001111111111112</v>
      </c>
      <c r="U2141" s="98">
        <v>3.7838306286078316</v>
      </c>
      <c r="V2141" s="106">
        <v>30897.268466895708</v>
      </c>
      <c r="W2141" s="10">
        <v>0.89943980809314983</v>
      </c>
      <c r="X2141" s="420"/>
      <c r="Y2141" s="420"/>
      <c r="Z2141" s="1"/>
      <c r="AA2141" s="1"/>
      <c r="AB2141" s="1"/>
      <c r="AC2141" s="1"/>
      <c r="AD2141" s="1"/>
    </row>
    <row r="2142" spans="17:30">
      <c r="Q2142" s="6">
        <v>2112</v>
      </c>
      <c r="R2142" s="7">
        <v>44779</v>
      </c>
      <c r="S2142" s="210">
        <v>4</v>
      </c>
      <c r="T2142" s="8">
        <v>1.0001111111111112</v>
      </c>
      <c r="U2142" s="98">
        <v>3.7839983587609538</v>
      </c>
      <c r="V2142" s="106">
        <v>30899.674312802068</v>
      </c>
      <c r="W2142" s="10">
        <v>0.89959168953257507</v>
      </c>
      <c r="X2142" s="420"/>
      <c r="Y2142" s="420"/>
      <c r="Z2142" s="1"/>
      <c r="AA2142" s="1"/>
      <c r="AB2142" s="1"/>
      <c r="AC2142" s="1"/>
      <c r="AD2142" s="1"/>
    </row>
    <row r="2143" spans="17:30">
      <c r="Q2143" s="6">
        <v>2113</v>
      </c>
      <c r="R2143" s="7">
        <v>44780</v>
      </c>
      <c r="S2143" s="210">
        <v>4</v>
      </c>
      <c r="T2143" s="8">
        <v>1.0001111111111112</v>
      </c>
      <c r="U2143" s="98">
        <v>3.7841659304245656</v>
      </c>
      <c r="V2143" s="106">
        <v>30902.08034604197</v>
      </c>
      <c r="W2143" s="10">
        <v>0.89974342744123526</v>
      </c>
      <c r="X2143" s="420"/>
      <c r="Y2143" s="420"/>
      <c r="Z2143" s="1"/>
      <c r="AA2143" s="1"/>
      <c r="AB2143" s="1"/>
      <c r="AC2143" s="1"/>
      <c r="AD2143" s="1"/>
    </row>
    <row r="2144" spans="17:30">
      <c r="Q2144" s="6">
        <v>2114</v>
      </c>
      <c r="R2144" s="7">
        <v>44781</v>
      </c>
      <c r="S2144" s="210">
        <v>4</v>
      </c>
      <c r="T2144" s="8">
        <v>1.0001111111111112</v>
      </c>
      <c r="U2144" s="98">
        <v>3.7843333438231985</v>
      </c>
      <c r="V2144" s="106">
        <v>30904.486566629988</v>
      </c>
      <c r="W2144" s="10">
        <v>0.89989502202250105</v>
      </c>
      <c r="X2144" s="420"/>
      <c r="Y2144" s="420"/>
      <c r="Z2144" s="1"/>
      <c r="AA2144" s="1"/>
      <c r="AB2144" s="1"/>
      <c r="AC2144" s="1"/>
      <c r="AD2144" s="1"/>
    </row>
    <row r="2145" spans="17:30">
      <c r="Q2145" s="6">
        <v>2115</v>
      </c>
      <c r="R2145" s="7">
        <v>44782</v>
      </c>
      <c r="S2145" s="210">
        <v>4</v>
      </c>
      <c r="T2145" s="8">
        <v>1.0001111111111112</v>
      </c>
      <c r="U2145" s="98">
        <v>3.7845005991809622</v>
      </c>
      <c r="V2145" s="106">
        <v>30906.892974580722</v>
      </c>
      <c r="W2145" s="10">
        <v>0.90004647347934341</v>
      </c>
      <c r="X2145" s="420"/>
      <c r="Y2145" s="420"/>
      <c r="Z2145" s="1"/>
      <c r="AA2145" s="1"/>
      <c r="AB2145" s="1"/>
      <c r="AC2145" s="1"/>
      <c r="AD2145" s="1"/>
    </row>
    <row r="2146" spans="17:30">
      <c r="Q2146" s="6">
        <v>2116</v>
      </c>
      <c r="R2146" s="7">
        <v>44783</v>
      </c>
      <c r="S2146" s="210">
        <v>4</v>
      </c>
      <c r="T2146" s="8">
        <v>1.0001111111111112</v>
      </c>
      <c r="U2146" s="98">
        <v>3.7846676967215442</v>
      </c>
      <c r="V2146" s="106">
        <v>30909.299569908751</v>
      </c>
      <c r="W2146" s="10">
        <v>0.90019778201440026</v>
      </c>
      <c r="X2146" s="420"/>
      <c r="Y2146" s="420"/>
      <c r="Z2146" s="1"/>
      <c r="AA2146" s="1"/>
      <c r="AB2146" s="1"/>
      <c r="AC2146" s="1"/>
      <c r="AD2146" s="1"/>
    </row>
    <row r="2147" spans="17:30">
      <c r="Q2147" s="6">
        <v>2117</v>
      </c>
      <c r="R2147" s="7">
        <v>44784</v>
      </c>
      <c r="S2147" s="210">
        <v>4</v>
      </c>
      <c r="T2147" s="8">
        <v>1.0001111111111112</v>
      </c>
      <c r="U2147" s="98">
        <v>3.7848346366681884</v>
      </c>
      <c r="V2147" s="106">
        <v>30911.706352628677</v>
      </c>
      <c r="W2147" s="10">
        <v>0.900348947829821</v>
      </c>
      <c r="X2147" s="420"/>
      <c r="Y2147" s="420"/>
      <c r="Z2147" s="1"/>
      <c r="AA2147" s="1"/>
      <c r="AB2147" s="1"/>
      <c r="AC2147" s="1"/>
      <c r="AD2147" s="1"/>
    </row>
    <row r="2148" spans="17:30">
      <c r="Q2148" s="6">
        <v>2118</v>
      </c>
      <c r="R2148" s="7">
        <v>44785</v>
      </c>
      <c r="S2148" s="210">
        <v>4</v>
      </c>
      <c r="T2148" s="8">
        <v>1.0001111111111112</v>
      </c>
      <c r="U2148" s="98">
        <v>3.7850014192437609</v>
      </c>
      <c r="V2148" s="106">
        <v>30914.113322755074</v>
      </c>
      <c r="W2148" s="10">
        <v>0.90049997112748859</v>
      </c>
      <c r="X2148" s="420"/>
      <c r="Y2148" s="420"/>
      <c r="Z2148" s="1"/>
      <c r="AA2148" s="1"/>
      <c r="AB2148" s="1"/>
      <c r="AC2148" s="1"/>
      <c r="AD2148" s="1"/>
    </row>
    <row r="2149" spans="17:30">
      <c r="Q2149" s="6">
        <v>2119</v>
      </c>
      <c r="R2149" s="7">
        <v>44786</v>
      </c>
      <c r="S2149" s="210">
        <v>4</v>
      </c>
      <c r="T2149" s="8">
        <v>1.0001111111111112</v>
      </c>
      <c r="U2149" s="98">
        <v>3.7851680446706615</v>
      </c>
      <c r="V2149" s="106">
        <v>30916.520480302544</v>
      </c>
      <c r="W2149" s="10">
        <v>0.90065085210884188</v>
      </c>
      <c r="X2149" s="420"/>
      <c r="Y2149" s="420"/>
      <c r="Z2149" s="1"/>
      <c r="AA2149" s="1"/>
      <c r="AB2149" s="1"/>
      <c r="AC2149" s="1"/>
      <c r="AD2149" s="1"/>
    </row>
    <row r="2150" spans="17:30">
      <c r="Q2150" s="6">
        <v>2120</v>
      </c>
      <c r="R2150" s="7">
        <v>44787</v>
      </c>
      <c r="S2150" s="210">
        <v>4</v>
      </c>
      <c r="T2150" s="8">
        <v>1.0001111111111112</v>
      </c>
      <c r="U2150" s="98">
        <v>3.7853345131709126</v>
      </c>
      <c r="V2150" s="106">
        <v>30918.927825285693</v>
      </c>
      <c r="W2150" s="10">
        <v>0.90080159097494228</v>
      </c>
      <c r="X2150" s="420"/>
      <c r="Y2150" s="420"/>
      <c r="Z2150" s="1"/>
      <c r="AA2150" s="1"/>
      <c r="AB2150" s="1"/>
      <c r="AC2150" s="1"/>
      <c r="AD2150" s="1"/>
    </row>
    <row r="2151" spans="17:30">
      <c r="Q2151" s="6">
        <v>2121</v>
      </c>
      <c r="R2151" s="7">
        <v>44788</v>
      </c>
      <c r="S2151" s="210">
        <v>4</v>
      </c>
      <c r="T2151" s="8">
        <v>1.0001111111111112</v>
      </c>
      <c r="U2151" s="98">
        <v>3.7855008249660704</v>
      </c>
      <c r="V2151" s="106">
        <v>30921.335357719094</v>
      </c>
      <c r="W2151" s="10">
        <v>0.90095218792647369</v>
      </c>
      <c r="X2151" s="420"/>
      <c r="Y2151" s="420"/>
      <c r="Z2151" s="1"/>
      <c r="AA2151" s="1"/>
      <c r="AB2151" s="1"/>
      <c r="AC2151" s="1"/>
      <c r="AD2151" s="1"/>
    </row>
    <row r="2152" spans="17:30">
      <c r="Q2152" s="6">
        <v>2122</v>
      </c>
      <c r="R2152" s="7">
        <v>44789</v>
      </c>
      <c r="S2152" s="210">
        <v>4</v>
      </c>
      <c r="T2152" s="8">
        <v>1.0001111111111112</v>
      </c>
      <c r="U2152" s="98">
        <v>3.7856669802773135</v>
      </c>
      <c r="V2152" s="106">
        <v>30923.743077617357</v>
      </c>
      <c r="W2152" s="10">
        <v>0.90110264316376476</v>
      </c>
      <c r="X2152" s="420"/>
      <c r="Y2152" s="420"/>
      <c r="Z2152" s="1"/>
      <c r="AA2152" s="1"/>
      <c r="AB2152" s="1"/>
      <c r="AC2152" s="1"/>
      <c r="AD2152" s="1"/>
    </row>
    <row r="2153" spans="17:30">
      <c r="Q2153" s="6">
        <v>2123</v>
      </c>
      <c r="R2153" s="7">
        <v>44790</v>
      </c>
      <c r="S2153" s="210">
        <v>4</v>
      </c>
      <c r="T2153" s="8">
        <v>1.0001111111111112</v>
      </c>
      <c r="U2153" s="98">
        <v>3.7858329793253986</v>
      </c>
      <c r="V2153" s="106">
        <v>30926.150984995074</v>
      </c>
      <c r="W2153" s="10">
        <v>0.90125295688676665</v>
      </c>
      <c r="X2153" s="420"/>
      <c r="Y2153" s="420"/>
      <c r="Z2153" s="1"/>
      <c r="AA2153" s="1"/>
      <c r="AB2153" s="1"/>
      <c r="AC2153" s="1"/>
      <c r="AD2153" s="1"/>
    </row>
    <row r="2154" spans="17:30">
      <c r="Q2154" s="6">
        <v>2124</v>
      </c>
      <c r="R2154" s="7">
        <v>44791</v>
      </c>
      <c r="S2154" s="210">
        <v>4</v>
      </c>
      <c r="T2154" s="8">
        <v>1.0001111111111112</v>
      </c>
      <c r="U2154" s="98">
        <v>3.7859988223306607</v>
      </c>
      <c r="V2154" s="106">
        <v>30928.559079866842</v>
      </c>
      <c r="W2154" s="10">
        <v>0.90140312929503086</v>
      </c>
      <c r="X2154" s="420"/>
      <c r="Y2154" s="420"/>
      <c r="Z2154" s="1"/>
      <c r="AA2154" s="1"/>
      <c r="AB2154" s="1"/>
      <c r="AC2154" s="1"/>
      <c r="AD2154" s="1"/>
    </row>
    <row r="2155" spans="17:30">
      <c r="Q2155" s="6">
        <v>2125</v>
      </c>
      <c r="R2155" s="7">
        <v>44792</v>
      </c>
      <c r="S2155" s="210">
        <v>4</v>
      </c>
      <c r="T2155" s="8">
        <v>1.0001111111111112</v>
      </c>
      <c r="U2155" s="98">
        <v>3.7861645095130347</v>
      </c>
      <c r="V2155" s="106">
        <v>30930.967362247266</v>
      </c>
      <c r="W2155" s="10">
        <v>0.90155316058775359</v>
      </c>
      <c r="X2155" s="420"/>
      <c r="Y2155" s="420"/>
      <c r="Z2155" s="1"/>
      <c r="AA2155" s="1"/>
      <c r="AB2155" s="1"/>
      <c r="AC2155" s="1"/>
      <c r="AD2155" s="1"/>
    </row>
    <row r="2156" spans="17:30">
      <c r="Q2156" s="6">
        <v>2126</v>
      </c>
      <c r="R2156" s="7">
        <v>44793</v>
      </c>
      <c r="S2156" s="210">
        <v>4</v>
      </c>
      <c r="T2156" s="8">
        <v>1.0001111111111112</v>
      </c>
      <c r="U2156" s="98">
        <v>3.786330041092012</v>
      </c>
      <c r="V2156" s="106">
        <v>30933.375832150945</v>
      </c>
      <c r="W2156" s="10">
        <v>0.90170305096373138</v>
      </c>
      <c r="X2156" s="420"/>
      <c r="Y2156" s="420"/>
      <c r="Z2156" s="1"/>
      <c r="AA2156" s="1"/>
      <c r="AB2156" s="1"/>
      <c r="AC2156" s="1"/>
      <c r="AD2156" s="1"/>
    </row>
    <row r="2157" spans="17:30">
      <c r="Q2157" s="6">
        <v>2127</v>
      </c>
      <c r="R2157" s="7">
        <v>44794</v>
      </c>
      <c r="S2157" s="210">
        <v>4</v>
      </c>
      <c r="T2157" s="8">
        <v>1.0001111111111112</v>
      </c>
      <c r="U2157" s="98">
        <v>3.7864954172866838</v>
      </c>
      <c r="V2157" s="106">
        <v>30935.784489592475</v>
      </c>
      <c r="W2157" s="10">
        <v>0.90185280062140549</v>
      </c>
      <c r="X2157" s="420"/>
      <c r="Y2157" s="420"/>
      <c r="Z2157" s="1"/>
      <c r="AA2157" s="1"/>
      <c r="AB2157" s="1"/>
      <c r="AC2157" s="1"/>
      <c r="AD2157" s="1"/>
    </row>
    <row r="2158" spans="17:30">
      <c r="Q2158" s="6">
        <v>2128</v>
      </c>
      <c r="R2158" s="7">
        <v>44795</v>
      </c>
      <c r="S2158" s="210">
        <v>4</v>
      </c>
      <c r="T2158" s="8">
        <v>1.0001111111111112</v>
      </c>
      <c r="U2158" s="98">
        <v>3.786660638315742</v>
      </c>
      <c r="V2158" s="106">
        <v>30938.193334586471</v>
      </c>
      <c r="W2158" s="10">
        <v>0.90200240975886192</v>
      </c>
      <c r="X2158" s="420"/>
      <c r="Y2158" s="420"/>
      <c r="Z2158" s="1"/>
      <c r="AA2158" s="1"/>
      <c r="AB2158" s="1"/>
      <c r="AC2158" s="1"/>
      <c r="AD2158" s="1"/>
    </row>
    <row r="2159" spans="17:30">
      <c r="Q2159" s="6">
        <v>2129</v>
      </c>
      <c r="R2159" s="7">
        <v>44796</v>
      </c>
      <c r="S2159" s="210">
        <v>4</v>
      </c>
      <c r="T2159" s="8">
        <v>1.0001111111111112</v>
      </c>
      <c r="U2159" s="98">
        <v>3.7868257043974785</v>
      </c>
      <c r="V2159" s="106">
        <v>30940.60236714752</v>
      </c>
      <c r="W2159" s="10">
        <v>0.90215187857378698</v>
      </c>
      <c r="X2159" s="420"/>
      <c r="Y2159" s="420"/>
      <c r="Z2159" s="1"/>
      <c r="AA2159" s="1"/>
      <c r="AB2159" s="1"/>
      <c r="AC2159" s="1"/>
      <c r="AD2159" s="1"/>
    </row>
    <row r="2160" spans="17:30">
      <c r="Q2160" s="6">
        <v>2130</v>
      </c>
      <c r="R2160" s="7">
        <v>44797</v>
      </c>
      <c r="S2160" s="210">
        <v>4</v>
      </c>
      <c r="T2160" s="8">
        <v>1.0001111111111112</v>
      </c>
      <c r="U2160" s="98">
        <v>3.7869906157497413</v>
      </c>
      <c r="V2160" s="106">
        <v>30943.011587290239</v>
      </c>
      <c r="W2160" s="10">
        <v>0.90230120726351171</v>
      </c>
      <c r="X2160" s="420"/>
      <c r="Y2160" s="420"/>
      <c r="Z2160" s="1"/>
      <c r="AA2160" s="1"/>
      <c r="AB2160" s="1"/>
      <c r="AC2160" s="1"/>
      <c r="AD2160" s="1"/>
    </row>
    <row r="2161" spans="17:30">
      <c r="Q2161" s="6">
        <v>2131</v>
      </c>
      <c r="R2161" s="7">
        <v>44798</v>
      </c>
      <c r="S2161" s="210">
        <v>4</v>
      </c>
      <c r="T2161" s="8">
        <v>1.0001111111111112</v>
      </c>
      <c r="U2161" s="98">
        <v>3.7871553725900009</v>
      </c>
      <c r="V2161" s="106">
        <v>30945.420995029235</v>
      </c>
      <c r="W2161" s="10">
        <v>0.90245039602498967</v>
      </c>
      <c r="X2161" s="420"/>
      <c r="Y2161" s="420"/>
      <c r="Z2161" s="1"/>
      <c r="AA2161" s="1"/>
      <c r="AB2161" s="1"/>
      <c r="AC2161" s="1"/>
      <c r="AD2161" s="1"/>
    </row>
    <row r="2162" spans="17:30">
      <c r="Q2162" s="6">
        <v>2132</v>
      </c>
      <c r="R2162" s="7">
        <v>44799</v>
      </c>
      <c r="S2162" s="210">
        <v>4</v>
      </c>
      <c r="T2162" s="8">
        <v>1.0001111111111112</v>
      </c>
      <c r="U2162" s="98">
        <v>3.7873199751352837</v>
      </c>
      <c r="V2162" s="106">
        <v>30947.830590379104</v>
      </c>
      <c r="W2162" s="10">
        <v>0.90259944505479694</v>
      </c>
      <c r="X2162" s="420"/>
      <c r="Y2162" s="420"/>
      <c r="Z2162" s="1"/>
      <c r="AA2162" s="1"/>
      <c r="AB2162" s="1"/>
      <c r="AC2162" s="1"/>
      <c r="AD2162" s="1"/>
    </row>
    <row r="2163" spans="17:30">
      <c r="Q2163" s="6">
        <v>2133</v>
      </c>
      <c r="R2163" s="7">
        <v>44800</v>
      </c>
      <c r="S2163" s="210">
        <v>4</v>
      </c>
      <c r="T2163" s="8">
        <v>1.0001111111111112</v>
      </c>
      <c r="U2163" s="98">
        <v>3.7874844236022609</v>
      </c>
      <c r="V2163" s="106">
        <v>30950.240373354467</v>
      </c>
      <c r="W2163" s="10">
        <v>0.90274835454917657</v>
      </c>
      <c r="X2163" s="420"/>
      <c r="Y2163" s="420"/>
      <c r="Z2163" s="1"/>
      <c r="AA2163" s="1"/>
      <c r="AB2163" s="1"/>
      <c r="AC2163" s="1"/>
      <c r="AD2163" s="1"/>
    </row>
    <row r="2164" spans="17:30">
      <c r="Q2164" s="6">
        <v>2134</v>
      </c>
      <c r="R2164" s="7">
        <v>44801</v>
      </c>
      <c r="S2164" s="210">
        <v>4</v>
      </c>
      <c r="T2164" s="8">
        <v>1.0001111111111112</v>
      </c>
      <c r="U2164" s="98">
        <v>3.7876487182071594</v>
      </c>
      <c r="V2164" s="106">
        <v>30952.65034396993</v>
      </c>
      <c r="W2164" s="10">
        <v>0.90289712470394967</v>
      </c>
      <c r="X2164" s="420"/>
      <c r="Y2164" s="420"/>
      <c r="Z2164" s="1"/>
      <c r="AA2164" s="1"/>
      <c r="AB2164" s="1"/>
      <c r="AC2164" s="1"/>
      <c r="AD2164" s="1"/>
    </row>
    <row r="2165" spans="17:30">
      <c r="Q2165" s="6">
        <v>2135</v>
      </c>
      <c r="R2165" s="7">
        <v>44802</v>
      </c>
      <c r="S2165" s="210">
        <v>4</v>
      </c>
      <c r="T2165" s="8">
        <v>1.0001111111111112</v>
      </c>
      <c r="U2165" s="98">
        <v>3.7878128591658067</v>
      </c>
      <c r="V2165" s="106">
        <v>30955.0605022401</v>
      </c>
      <c r="W2165" s="10">
        <v>0.90304575571460433</v>
      </c>
      <c r="X2165" s="420"/>
      <c r="Y2165" s="420"/>
      <c r="Z2165" s="1"/>
      <c r="AA2165" s="1"/>
      <c r="AB2165" s="1"/>
      <c r="AC2165" s="1"/>
      <c r="AD2165" s="1"/>
    </row>
    <row r="2166" spans="17:30">
      <c r="Q2166" s="6">
        <v>2136</v>
      </c>
      <c r="R2166" s="7">
        <v>44803</v>
      </c>
      <c r="S2166" s="210">
        <v>4</v>
      </c>
      <c r="T2166" s="8">
        <v>1.0001111111111112</v>
      </c>
      <c r="U2166" s="98">
        <v>3.7879768466936525</v>
      </c>
      <c r="V2166" s="106">
        <v>30957.47084817959</v>
      </c>
      <c r="W2166" s="10">
        <v>0.90319424777629553</v>
      </c>
      <c r="X2166" s="420"/>
      <c r="Y2166" s="420"/>
      <c r="Z2166" s="1"/>
      <c r="AA2166" s="1"/>
      <c r="AB2166" s="1"/>
      <c r="AC2166" s="1"/>
      <c r="AD2166" s="1"/>
    </row>
    <row r="2167" spans="17:30">
      <c r="Q2167" s="6">
        <v>2137</v>
      </c>
      <c r="R2167" s="7">
        <v>44804</v>
      </c>
      <c r="S2167" s="210">
        <v>4</v>
      </c>
      <c r="T2167" s="8">
        <v>1.0001111111111112</v>
      </c>
      <c r="U2167" s="98">
        <v>3.788140681005725</v>
      </c>
      <c r="V2167" s="106">
        <v>30959.881381803021</v>
      </c>
      <c r="W2167" s="10">
        <v>0.90334260108375641</v>
      </c>
      <c r="X2167" s="420"/>
      <c r="Y2167" s="420"/>
      <c r="Z2167" s="1"/>
      <c r="AA2167" s="1"/>
      <c r="AB2167" s="1"/>
      <c r="AC2167" s="1"/>
      <c r="AD2167" s="1"/>
    </row>
    <row r="2168" spans="17:30">
      <c r="Q2168" s="6">
        <v>2138</v>
      </c>
      <c r="R2168" s="7">
        <v>44805</v>
      </c>
      <c r="S2168" s="210">
        <v>4</v>
      </c>
      <c r="T2168" s="8">
        <v>1.0001111111111112</v>
      </c>
      <c r="U2168" s="98">
        <v>3.7883043623166301</v>
      </c>
      <c r="V2168" s="106">
        <v>30962.292103124997</v>
      </c>
      <c r="W2168" s="10">
        <v>0.90349081583136481</v>
      </c>
      <c r="X2168" s="420"/>
      <c r="Y2168" s="420"/>
      <c r="Z2168" s="1"/>
      <c r="AA2168" s="1"/>
      <c r="AB2168" s="1"/>
      <c r="AC2168" s="1"/>
      <c r="AD2168" s="1"/>
    </row>
    <row r="2169" spans="17:30">
      <c r="Q2169" s="6">
        <v>2139</v>
      </c>
      <c r="R2169" s="7">
        <v>44806</v>
      </c>
      <c r="S2169" s="210">
        <v>4</v>
      </c>
      <c r="T2169" s="8">
        <v>1.0001111111111112</v>
      </c>
      <c r="U2169" s="98">
        <v>3.7884678908406189</v>
      </c>
      <c r="V2169" s="106">
        <v>30964.703012160135</v>
      </c>
      <c r="W2169" s="10">
        <v>0.90363889221318772</v>
      </c>
      <c r="X2169" s="420"/>
      <c r="Y2169" s="420"/>
      <c r="Z2169" s="1"/>
      <c r="AA2169" s="1"/>
      <c r="AB2169" s="1"/>
      <c r="AC2169" s="1"/>
      <c r="AD2169" s="1"/>
    </row>
    <row r="2170" spans="17:30">
      <c r="Q2170" s="6">
        <v>2140</v>
      </c>
      <c r="R2170" s="7">
        <v>44807</v>
      </c>
      <c r="S2170" s="210">
        <v>4</v>
      </c>
      <c r="T2170" s="8">
        <v>1.0001111111111112</v>
      </c>
      <c r="U2170" s="98">
        <v>3.7886312667914979</v>
      </c>
      <c r="V2170" s="106">
        <v>30967.114108923055</v>
      </c>
      <c r="W2170" s="10">
        <v>0.90378683042284802</v>
      </c>
      <c r="X2170" s="420"/>
      <c r="Y2170" s="420"/>
      <c r="Z2170" s="1"/>
      <c r="AA2170" s="1"/>
      <c r="AB2170" s="1"/>
      <c r="AC2170" s="1"/>
      <c r="AD2170" s="1"/>
    </row>
    <row r="2171" spans="17:30">
      <c r="Q2171" s="6">
        <v>2141</v>
      </c>
      <c r="R2171" s="7">
        <v>44808</v>
      </c>
      <c r="S2171" s="210">
        <v>4</v>
      </c>
      <c r="T2171" s="8">
        <v>1.0001111111111112</v>
      </c>
      <c r="U2171" s="98">
        <v>3.7887944903826964</v>
      </c>
      <c r="V2171" s="106">
        <v>30969.525393428372</v>
      </c>
      <c r="W2171" s="10">
        <v>0.90393463065367996</v>
      </c>
      <c r="X2171" s="420"/>
      <c r="Y2171" s="420"/>
      <c r="Z2171" s="1"/>
      <c r="AA2171" s="1"/>
      <c r="AB2171" s="1"/>
      <c r="AC2171" s="1"/>
      <c r="AD2171" s="1"/>
    </row>
    <row r="2172" spans="17:30">
      <c r="Q2172" s="6">
        <v>2142</v>
      </c>
      <c r="R2172" s="7">
        <v>44809</v>
      </c>
      <c r="S2172" s="210">
        <v>4</v>
      </c>
      <c r="T2172" s="8">
        <v>1.0001111111111112</v>
      </c>
      <c r="U2172" s="98">
        <v>3.7889575618272664</v>
      </c>
      <c r="V2172" s="106">
        <v>30971.936865690706</v>
      </c>
      <c r="W2172" s="10">
        <v>0.90408229309859589</v>
      </c>
      <c r="X2172" s="420"/>
      <c r="Y2172" s="420"/>
      <c r="Z2172" s="1"/>
      <c r="AA2172" s="1"/>
      <c r="AB2172" s="1"/>
      <c r="AC2172" s="1"/>
      <c r="AD2172" s="1"/>
    </row>
    <row r="2173" spans="17:30">
      <c r="Q2173" s="6">
        <v>2143</v>
      </c>
      <c r="R2173" s="7">
        <v>44810</v>
      </c>
      <c r="S2173" s="210">
        <v>4</v>
      </c>
      <c r="T2173" s="8">
        <v>1.0001111111111112</v>
      </c>
      <c r="U2173" s="98">
        <v>3.7891204813378154</v>
      </c>
      <c r="V2173" s="106">
        <v>30974.348525724672</v>
      </c>
      <c r="W2173" s="10">
        <v>0.90422981795024171</v>
      </c>
      <c r="X2173" s="420"/>
      <c r="Y2173" s="420"/>
      <c r="Z2173" s="1"/>
      <c r="AA2173" s="1"/>
      <c r="AB2173" s="1"/>
      <c r="AC2173" s="1"/>
      <c r="AD2173" s="1"/>
    </row>
    <row r="2174" spans="17:30">
      <c r="Q2174" s="6">
        <v>2144</v>
      </c>
      <c r="R2174" s="7">
        <v>44811</v>
      </c>
      <c r="S2174" s="210">
        <v>4</v>
      </c>
      <c r="T2174" s="8">
        <v>1.0001111111111112</v>
      </c>
      <c r="U2174" s="98">
        <v>3.789283249126596</v>
      </c>
      <c r="V2174" s="106">
        <v>30976.760373544905</v>
      </c>
      <c r="W2174" s="10">
        <v>0.90437720540077482</v>
      </c>
      <c r="X2174" s="420"/>
      <c r="Y2174" s="420"/>
      <c r="Z2174" s="1"/>
      <c r="AA2174" s="1"/>
      <c r="AB2174" s="1"/>
      <c r="AC2174" s="1"/>
      <c r="AD2174" s="1"/>
    </row>
    <row r="2175" spans="17:30">
      <c r="Q2175" s="6">
        <v>2145</v>
      </c>
      <c r="R2175" s="7">
        <v>44812</v>
      </c>
      <c r="S2175" s="210">
        <v>4</v>
      </c>
      <c r="T2175" s="8">
        <v>1.0001111111111112</v>
      </c>
      <c r="U2175" s="98">
        <v>3.7894458654054386</v>
      </c>
      <c r="V2175" s="106">
        <v>30979.172409166014</v>
      </c>
      <c r="W2175" s="10">
        <v>0.90452445564210837</v>
      </c>
      <c r="X2175" s="420"/>
      <c r="Y2175" s="420"/>
      <c r="Z2175" s="1"/>
      <c r="AA2175" s="1"/>
      <c r="AB2175" s="1"/>
      <c r="AC2175" s="1"/>
      <c r="AD2175" s="1"/>
    </row>
    <row r="2176" spans="17:30">
      <c r="Q2176" s="6">
        <v>2146</v>
      </c>
      <c r="R2176" s="7">
        <v>44813</v>
      </c>
      <c r="S2176" s="210">
        <v>4</v>
      </c>
      <c r="T2176" s="8">
        <v>1.0001111111111112</v>
      </c>
      <c r="U2176" s="98">
        <v>3.7896083303857964</v>
      </c>
      <c r="V2176" s="106">
        <v>30981.584632602626</v>
      </c>
      <c r="W2176" s="10">
        <v>0.90467156886575584</v>
      </c>
      <c r="X2176" s="420"/>
      <c r="Y2176" s="420"/>
      <c r="Z2176" s="1"/>
      <c r="AA2176" s="1"/>
      <c r="AB2176" s="1"/>
      <c r="AC2176" s="1"/>
      <c r="AD2176" s="1"/>
    </row>
    <row r="2177" spans="17:30">
      <c r="Q2177" s="6">
        <v>2147</v>
      </c>
      <c r="R2177" s="7">
        <v>44814</v>
      </c>
      <c r="S2177" s="210">
        <v>4</v>
      </c>
      <c r="T2177" s="8">
        <v>1.0001111111111112</v>
      </c>
      <c r="U2177" s="98">
        <v>3.7897706442787227</v>
      </c>
      <c r="V2177" s="106">
        <v>30984.077460813282</v>
      </c>
      <c r="W2177" s="10">
        <v>0.90477402249158345</v>
      </c>
      <c r="X2177" s="420"/>
      <c r="Y2177" s="420"/>
      <c r="Z2177" s="1"/>
      <c r="AA2177" s="1"/>
      <c r="AB2177" s="1"/>
      <c r="AC2177" s="1"/>
      <c r="AD2177" s="1"/>
    </row>
    <row r="2178" spans="17:30">
      <c r="Q2178" s="6">
        <v>2148</v>
      </c>
      <c r="R2178" s="7">
        <v>44815</v>
      </c>
      <c r="S2178" s="210">
        <v>4</v>
      </c>
      <c r="T2178" s="8">
        <v>1.0001111111111112</v>
      </c>
      <c r="U2178" s="98">
        <v>3.7899328072948713</v>
      </c>
      <c r="V2178" s="106">
        <v>30986.570489600908</v>
      </c>
      <c r="W2178" s="10">
        <v>0.90487638082688004</v>
      </c>
      <c r="X2178" s="420"/>
      <c r="Y2178" s="420"/>
      <c r="Z2178" s="1"/>
      <c r="AA2178" s="1"/>
      <c r="AB2178" s="1"/>
      <c r="AC2178" s="1"/>
      <c r="AD2178" s="1"/>
    </row>
    <row r="2179" spans="17:30">
      <c r="Q2179" s="6">
        <v>2149</v>
      </c>
      <c r="R2179" s="7">
        <v>44816</v>
      </c>
      <c r="S2179" s="210">
        <v>4</v>
      </c>
      <c r="T2179" s="8">
        <v>1.0001111111111112</v>
      </c>
      <c r="U2179" s="98">
        <v>3.7900948196445183</v>
      </c>
      <c r="V2179" s="106">
        <v>30989.063718981652</v>
      </c>
      <c r="W2179" s="10">
        <v>0.9049786440044727</v>
      </c>
      <c r="X2179" s="420"/>
      <c r="Y2179" s="420"/>
      <c r="Z2179" s="1"/>
      <c r="AA2179" s="1"/>
      <c r="AB2179" s="1"/>
      <c r="AC2179" s="1"/>
      <c r="AD2179" s="1"/>
    </row>
    <row r="2180" spans="17:30">
      <c r="Q2180" s="6">
        <v>2150</v>
      </c>
      <c r="R2180" s="7">
        <v>44817</v>
      </c>
      <c r="S2180" s="210">
        <v>4</v>
      </c>
      <c r="T2180" s="8">
        <v>1.0001111111111112</v>
      </c>
      <c r="U2180" s="98">
        <v>3.7902566815375405</v>
      </c>
      <c r="V2180" s="106">
        <v>30991.557148971646</v>
      </c>
      <c r="W2180" s="10">
        <v>0.90508081215703307</v>
      </c>
      <c r="X2180" s="420"/>
      <c r="Y2180" s="420"/>
      <c r="Z2180" s="1"/>
      <c r="AA2180" s="1"/>
      <c r="AB2180" s="1"/>
      <c r="AC2180" s="1"/>
      <c r="AD2180" s="1"/>
    </row>
    <row r="2181" spans="17:30">
      <c r="Q2181" s="6">
        <v>2151</v>
      </c>
      <c r="R2181" s="7">
        <v>44818</v>
      </c>
      <c r="S2181" s="210">
        <v>4</v>
      </c>
      <c r="T2181" s="8">
        <v>1.0001111111111112</v>
      </c>
      <c r="U2181" s="98">
        <v>3.7904183931834368</v>
      </c>
      <c r="V2181" s="106">
        <v>30994.050779587029</v>
      </c>
      <c r="W2181" s="10">
        <v>0.90518288541692193</v>
      </c>
      <c r="X2181" s="420"/>
      <c r="Y2181" s="420"/>
      <c r="Z2181" s="1"/>
      <c r="AA2181" s="1"/>
      <c r="AB2181" s="1"/>
      <c r="AC2181" s="1"/>
      <c r="AD2181" s="1"/>
    </row>
    <row r="2182" spans="17:30">
      <c r="Q2182" s="6">
        <v>2152</v>
      </c>
      <c r="R2182" s="7">
        <v>44819</v>
      </c>
      <c r="S2182" s="210">
        <v>4</v>
      </c>
      <c r="T2182" s="8">
        <v>1.0001111111111112</v>
      </c>
      <c r="U2182" s="98">
        <v>3.7905799547913066</v>
      </c>
      <c r="V2182" s="106">
        <v>30996.544610843954</v>
      </c>
      <c r="W2182" s="10">
        <v>0.90528486391632246</v>
      </c>
      <c r="X2182" s="420"/>
      <c r="Y2182" s="420"/>
      <c r="Z2182" s="1"/>
      <c r="AA2182" s="1"/>
      <c r="AB2182" s="1"/>
      <c r="AC2182" s="1"/>
      <c r="AD2182" s="1"/>
    </row>
    <row r="2183" spans="17:30">
      <c r="Q2183" s="6">
        <v>2153</v>
      </c>
      <c r="R2183" s="7">
        <v>44820</v>
      </c>
      <c r="S2183" s="210">
        <v>4</v>
      </c>
      <c r="T2183" s="8">
        <v>1.0001111111111112</v>
      </c>
      <c r="U2183" s="98">
        <v>3.7907413665698719</v>
      </c>
      <c r="V2183" s="106">
        <v>30999.038642758554</v>
      </c>
      <c r="W2183" s="10">
        <v>0.90538674778710693</v>
      </c>
      <c r="X2183" s="420"/>
      <c r="Y2183" s="420"/>
      <c r="Z2183" s="1"/>
      <c r="AA2183" s="1"/>
      <c r="AB2183" s="1"/>
      <c r="AC2183" s="1"/>
      <c r="AD2183" s="1"/>
    </row>
    <row r="2184" spans="17:30">
      <c r="Q2184" s="6">
        <v>2154</v>
      </c>
      <c r="R2184" s="7">
        <v>44821</v>
      </c>
      <c r="S2184" s="210">
        <v>4</v>
      </c>
      <c r="T2184" s="8">
        <v>1.0001111111111112</v>
      </c>
      <c r="U2184" s="98">
        <v>3.7909026287274328</v>
      </c>
      <c r="V2184" s="106">
        <v>31001.532875346984</v>
      </c>
      <c r="W2184" s="10">
        <v>0.90548853716090338</v>
      </c>
      <c r="X2184" s="420"/>
      <c r="Y2184" s="420"/>
      <c r="Z2184" s="1"/>
      <c r="AA2184" s="1"/>
      <c r="AB2184" s="1"/>
      <c r="AC2184" s="1"/>
      <c r="AD2184" s="1"/>
    </row>
    <row r="2185" spans="17:30">
      <c r="Q2185" s="6">
        <v>2155</v>
      </c>
      <c r="R2185" s="7">
        <v>44822</v>
      </c>
      <c r="S2185" s="210">
        <v>4</v>
      </c>
      <c r="T2185" s="8">
        <v>1.0001111111111112</v>
      </c>
      <c r="U2185" s="98">
        <v>3.7910637414719561</v>
      </c>
      <c r="V2185" s="106">
        <v>31004.027308625384</v>
      </c>
      <c r="W2185" s="10">
        <v>0.90559023216916223</v>
      </c>
      <c r="X2185" s="420"/>
      <c r="Y2185" s="420"/>
      <c r="Z2185" s="1"/>
      <c r="AA2185" s="1"/>
      <c r="AB2185" s="1"/>
      <c r="AC2185" s="1"/>
      <c r="AD2185" s="1"/>
    </row>
    <row r="2186" spans="17:30">
      <c r="Q2186" s="6">
        <v>2156</v>
      </c>
      <c r="R2186" s="7">
        <v>44823</v>
      </c>
      <c r="S2186" s="210">
        <v>4</v>
      </c>
      <c r="T2186" s="8">
        <v>1.0001111111111112</v>
      </c>
      <c r="U2186" s="98">
        <v>3.7912247050109871</v>
      </c>
      <c r="V2186" s="106">
        <v>31006.52194260991</v>
      </c>
      <c r="W2186" s="10">
        <v>0.90569183294300082</v>
      </c>
      <c r="X2186" s="420"/>
      <c r="Y2186" s="420"/>
      <c r="Z2186" s="1"/>
      <c r="AA2186" s="1"/>
      <c r="AB2186" s="1"/>
      <c r="AC2186" s="1"/>
      <c r="AD2186" s="1"/>
    </row>
    <row r="2187" spans="17:30">
      <c r="Q2187" s="6">
        <v>2157</v>
      </c>
      <c r="R2187" s="7">
        <v>44824</v>
      </c>
      <c r="S2187" s="210">
        <v>4</v>
      </c>
      <c r="T2187" s="8">
        <v>1.0001111111111112</v>
      </c>
      <c r="U2187" s="98">
        <v>3.7913855195516932</v>
      </c>
      <c r="V2187" s="106">
        <v>31009.016777316701</v>
      </c>
      <c r="W2187" s="10">
        <v>0.90579333961338104</v>
      </c>
      <c r="X2187" s="420"/>
      <c r="Y2187" s="420"/>
      <c r="Z2187" s="1"/>
      <c r="AA2187" s="1"/>
      <c r="AB2187" s="1"/>
      <c r="AC2187" s="1"/>
      <c r="AD2187" s="1"/>
    </row>
    <row r="2188" spans="17:30">
      <c r="Q2188" s="6">
        <v>2158</v>
      </c>
      <c r="R2188" s="7">
        <v>44825</v>
      </c>
      <c r="S2188" s="210">
        <v>4</v>
      </c>
      <c r="T2188" s="8">
        <v>1.0001111111111112</v>
      </c>
      <c r="U2188" s="98">
        <v>3.7915461853008647</v>
      </c>
      <c r="V2188" s="106">
        <v>31011.51181276191</v>
      </c>
      <c r="W2188" s="10">
        <v>0.90589475231097616</v>
      </c>
      <c r="X2188" s="420"/>
      <c r="Y2188" s="420"/>
      <c r="Z2188" s="1"/>
      <c r="AA2188" s="1"/>
      <c r="AB2188" s="1"/>
      <c r="AC2188" s="1"/>
      <c r="AD2188" s="1"/>
    </row>
    <row r="2189" spans="17:30">
      <c r="Q2189" s="6">
        <v>2159</v>
      </c>
      <c r="R2189" s="7">
        <v>44826</v>
      </c>
      <c r="S2189" s="210">
        <v>4</v>
      </c>
      <c r="T2189" s="8">
        <v>1.0001111111111112</v>
      </c>
      <c r="U2189" s="98">
        <v>3.7917067024649143</v>
      </c>
      <c r="V2189" s="106">
        <v>31014.007048961692</v>
      </c>
      <c r="W2189" s="10">
        <v>0.90599607116621517</v>
      </c>
      <c r="X2189" s="420"/>
      <c r="Y2189" s="420"/>
      <c r="Z2189" s="1"/>
      <c r="AA2189" s="1"/>
      <c r="AB2189" s="1"/>
      <c r="AC2189" s="1"/>
      <c r="AD2189" s="1"/>
    </row>
    <row r="2190" spans="17:30">
      <c r="Q2190" s="6">
        <v>2160</v>
      </c>
      <c r="R2190" s="7">
        <v>44827</v>
      </c>
      <c r="S2190" s="210">
        <v>4</v>
      </c>
      <c r="T2190" s="8">
        <v>1.0001111111111112</v>
      </c>
      <c r="U2190" s="98">
        <v>3.791867071249877</v>
      </c>
      <c r="V2190" s="106">
        <v>31016.502485932197</v>
      </c>
      <c r="W2190" s="10">
        <v>0.90609729630928282</v>
      </c>
      <c r="X2190" s="420"/>
      <c r="Y2190" s="420"/>
      <c r="Z2190" s="1"/>
      <c r="AA2190" s="1"/>
      <c r="AB2190" s="1"/>
      <c r="AC2190" s="1"/>
      <c r="AD2190" s="1"/>
    </row>
    <row r="2191" spans="17:30">
      <c r="Q2191" s="6">
        <v>2161</v>
      </c>
      <c r="R2191" s="7">
        <v>44828</v>
      </c>
      <c r="S2191" s="210">
        <v>4</v>
      </c>
      <c r="T2191" s="8">
        <v>1.0001111111111112</v>
      </c>
      <c r="U2191" s="98">
        <v>3.7920272918613662</v>
      </c>
      <c r="V2191" s="106">
        <v>31018.998123689584</v>
      </c>
      <c r="W2191" s="10">
        <v>0.90619842787016402</v>
      </c>
      <c r="X2191" s="420"/>
      <c r="Y2191" s="420"/>
      <c r="Z2191" s="1"/>
      <c r="AA2191" s="1"/>
      <c r="AB2191" s="1"/>
      <c r="AC2191" s="1"/>
      <c r="AD2191" s="1"/>
    </row>
    <row r="2192" spans="17:30">
      <c r="Q2192" s="6">
        <v>2162</v>
      </c>
      <c r="R2192" s="7">
        <v>44829</v>
      </c>
      <c r="S2192" s="210">
        <v>4</v>
      </c>
      <c r="T2192" s="8">
        <v>1.0001111111111112</v>
      </c>
      <c r="U2192" s="98">
        <v>3.7921873645046622</v>
      </c>
      <c r="V2192" s="106">
        <v>31021.493962250006</v>
      </c>
      <c r="W2192" s="10">
        <v>0.90629946597853284</v>
      </c>
      <c r="X2192" s="420"/>
      <c r="Y2192" s="420"/>
      <c r="Z2192" s="1"/>
      <c r="AA2192" s="1"/>
      <c r="AB2192" s="1"/>
      <c r="AC2192" s="1"/>
      <c r="AD2192" s="1"/>
    </row>
    <row r="2193" spans="17:30">
      <c r="Q2193" s="6">
        <v>2163</v>
      </c>
      <c r="R2193" s="7">
        <v>44830</v>
      </c>
      <c r="S2193" s="210">
        <v>4</v>
      </c>
      <c r="T2193" s="8">
        <v>1.0001111111111112</v>
      </c>
      <c r="U2193" s="98">
        <v>3.7923472893846455</v>
      </c>
      <c r="V2193" s="106">
        <v>31023.99000162962</v>
      </c>
      <c r="W2193" s="10">
        <v>0.90640041076388567</v>
      </c>
      <c r="X2193" s="420"/>
      <c r="Y2193" s="420"/>
      <c r="Z2193" s="1"/>
      <c r="AA2193" s="1"/>
      <c r="AB2193" s="1"/>
      <c r="AC2193" s="1"/>
      <c r="AD2193" s="1"/>
    </row>
    <row r="2194" spans="17:30">
      <c r="Q2194" s="6">
        <v>2164</v>
      </c>
      <c r="R2194" s="7">
        <v>44831</v>
      </c>
      <c r="S2194" s="210">
        <v>4</v>
      </c>
      <c r="T2194" s="8">
        <v>1.0001111111111112</v>
      </c>
      <c r="U2194" s="98">
        <v>3.7925070667058192</v>
      </c>
      <c r="V2194" s="106">
        <v>31026.486241844581</v>
      </c>
      <c r="W2194" s="10">
        <v>0.90650126235545248</v>
      </c>
      <c r="X2194" s="420"/>
      <c r="Y2194" s="420"/>
      <c r="Z2194" s="1"/>
      <c r="AA2194" s="1"/>
      <c r="AB2194" s="1"/>
      <c r="AC2194" s="1"/>
      <c r="AD2194" s="1"/>
    </row>
    <row r="2195" spans="17:30">
      <c r="Q2195" s="6">
        <v>2165</v>
      </c>
      <c r="R2195" s="7">
        <v>44832</v>
      </c>
      <c r="S2195" s="210">
        <v>4</v>
      </c>
      <c r="T2195" s="8">
        <v>1.0001111111111112</v>
      </c>
      <c r="U2195" s="98">
        <v>3.7926666966723088</v>
      </c>
      <c r="V2195" s="106">
        <v>31028.982682911053</v>
      </c>
      <c r="W2195" s="10">
        <v>0.90660202088221897</v>
      </c>
      <c r="X2195" s="420"/>
      <c r="Y2195" s="420"/>
      <c r="Z2195" s="1"/>
      <c r="AA2195" s="1"/>
      <c r="AB2195" s="1"/>
      <c r="AC2195" s="1"/>
      <c r="AD2195" s="1"/>
    </row>
    <row r="2196" spans="17:30">
      <c r="Q2196" s="6">
        <v>2166</v>
      </c>
      <c r="R2196" s="7">
        <v>44833</v>
      </c>
      <c r="S2196" s="210">
        <v>4</v>
      </c>
      <c r="T2196" s="8">
        <v>1.0001111111111112</v>
      </c>
      <c r="U2196" s="98">
        <v>3.7928261794878848</v>
      </c>
      <c r="V2196" s="106">
        <v>31031.47932484519</v>
      </c>
      <c r="W2196" s="10">
        <v>0.90670268647297103</v>
      </c>
      <c r="X2196" s="420"/>
      <c r="Y2196" s="420"/>
      <c r="Z2196" s="1"/>
      <c r="AA2196" s="1"/>
      <c r="AB2196" s="1"/>
      <c r="AC2196" s="1"/>
      <c r="AD2196" s="1"/>
    </row>
    <row r="2197" spans="17:30">
      <c r="Q2197" s="6">
        <v>2167</v>
      </c>
      <c r="R2197" s="7">
        <v>44834</v>
      </c>
      <c r="S2197" s="210">
        <v>4</v>
      </c>
      <c r="T2197" s="8">
        <v>1.0001111111111112</v>
      </c>
      <c r="U2197" s="98">
        <v>3.7929855153559178</v>
      </c>
      <c r="V2197" s="106">
        <v>31033.976167663157</v>
      </c>
      <c r="W2197" s="10">
        <v>0.90680325925625027</v>
      </c>
      <c r="X2197" s="420"/>
      <c r="Y2197" s="420"/>
      <c r="Z2197" s="1"/>
      <c r="AA2197" s="1"/>
      <c r="AB2197" s="1"/>
      <c r="AC2197" s="1"/>
      <c r="AD2197" s="1"/>
    </row>
    <row r="2198" spans="17:30">
      <c r="Q2198" s="6">
        <v>2168</v>
      </c>
      <c r="R2198" s="7">
        <v>44835</v>
      </c>
      <c r="S2198" s="210">
        <v>4</v>
      </c>
      <c r="T2198" s="8">
        <v>1.0001111111111112</v>
      </c>
      <c r="U2198" s="98">
        <v>3.7931447044794009</v>
      </c>
      <c r="V2198" s="106">
        <v>31036.473211381133</v>
      </c>
      <c r="W2198" s="10">
        <v>0.90690373936026525</v>
      </c>
      <c r="X2198" s="420"/>
      <c r="Y2198" s="420"/>
      <c r="Z2198" s="1"/>
      <c r="AA2198" s="1"/>
      <c r="AB2198" s="1"/>
      <c r="AC2198" s="1"/>
      <c r="AD2198" s="1"/>
    </row>
    <row r="2199" spans="17:30">
      <c r="Q2199" s="6">
        <v>2169</v>
      </c>
      <c r="R2199" s="7">
        <v>44836</v>
      </c>
      <c r="S2199" s="210">
        <v>4</v>
      </c>
      <c r="T2199" s="8">
        <v>1.0001111111111112</v>
      </c>
      <c r="U2199" s="98">
        <v>3.7933037470609721</v>
      </c>
      <c r="V2199" s="106">
        <v>31038.970456015257</v>
      </c>
      <c r="W2199" s="10">
        <v>0.9070041269131357</v>
      </c>
      <c r="X2199" s="420"/>
      <c r="Y2199" s="420"/>
      <c r="Z2199" s="1"/>
      <c r="AA2199" s="1"/>
      <c r="AB2199" s="1"/>
      <c r="AC2199" s="1"/>
      <c r="AD2199" s="1"/>
    </row>
    <row r="2200" spans="17:30">
      <c r="Q2200" s="6">
        <v>2170</v>
      </c>
      <c r="R2200" s="7">
        <v>44837</v>
      </c>
      <c r="S2200" s="210">
        <v>4</v>
      </c>
      <c r="T2200" s="8">
        <v>1.0001111111111112</v>
      </c>
      <c r="U2200" s="98">
        <v>3.7934626433028695</v>
      </c>
      <c r="V2200" s="106">
        <v>31041.467901581709</v>
      </c>
      <c r="W2200" s="10">
        <v>0.9071044220426483</v>
      </c>
      <c r="X2200" s="420"/>
      <c r="Y2200" s="420"/>
      <c r="Z2200" s="1"/>
      <c r="AA2200" s="1"/>
      <c r="AB2200" s="1"/>
      <c r="AC2200" s="1"/>
      <c r="AD2200" s="1"/>
    </row>
    <row r="2201" spans="17:30">
      <c r="Q2201" s="6">
        <v>2171</v>
      </c>
      <c r="R2201" s="7">
        <v>44838</v>
      </c>
      <c r="S2201" s="210">
        <v>4</v>
      </c>
      <c r="T2201" s="8">
        <v>1.0001111111111112</v>
      </c>
      <c r="U2201" s="98">
        <v>3.7936213934069984</v>
      </c>
      <c r="V2201" s="106">
        <v>31043.965548096658</v>
      </c>
      <c r="W2201" s="10">
        <v>0.90720462487636766</v>
      </c>
      <c r="X2201" s="420"/>
      <c r="Y2201" s="420"/>
      <c r="Z2201" s="1"/>
      <c r="AA2201" s="1"/>
      <c r="AB2201" s="1"/>
      <c r="AC2201" s="1"/>
      <c r="AD2201" s="1"/>
    </row>
    <row r="2202" spans="17:30">
      <c r="Q2202" s="6">
        <v>2172</v>
      </c>
      <c r="R2202" s="7">
        <v>44839</v>
      </c>
      <c r="S2202" s="210">
        <v>4</v>
      </c>
      <c r="T2202" s="8">
        <v>1.0001111111111112</v>
      </c>
      <c r="U2202" s="98">
        <v>3.7937799975748643</v>
      </c>
      <c r="V2202" s="106">
        <v>31046.463395576273</v>
      </c>
      <c r="W2202" s="10">
        <v>0.90730473554165858</v>
      </c>
      <c r="X2202" s="420"/>
      <c r="Y2202" s="420"/>
      <c r="Z2202" s="1"/>
      <c r="AA2202" s="1"/>
      <c r="AB2202" s="1"/>
      <c r="AC2202" s="1"/>
      <c r="AD2202" s="1"/>
    </row>
    <row r="2203" spans="17:30">
      <c r="Q2203" s="6">
        <v>2173</v>
      </c>
      <c r="R2203" s="7">
        <v>44840</v>
      </c>
      <c r="S2203" s="210">
        <v>4</v>
      </c>
      <c r="T2203" s="8">
        <v>1.0001111111111112</v>
      </c>
      <c r="U2203" s="98">
        <v>3.7939384560076173</v>
      </c>
      <c r="V2203" s="106">
        <v>31048.961444036708</v>
      </c>
      <c r="W2203" s="10">
        <v>0.90740475416561939</v>
      </c>
      <c r="X2203" s="420"/>
      <c r="Y2203" s="420"/>
      <c r="Z2203" s="1"/>
      <c r="AA2203" s="1"/>
      <c r="AB2203" s="1"/>
      <c r="AC2203" s="1"/>
      <c r="AD2203" s="1"/>
    </row>
    <row r="2204" spans="17:30">
      <c r="Q2204" s="6">
        <v>2174</v>
      </c>
      <c r="R2204" s="7">
        <v>44841</v>
      </c>
      <c r="S2204" s="210">
        <v>4</v>
      </c>
      <c r="T2204" s="8">
        <v>1.0001111111111112</v>
      </c>
      <c r="U2204" s="98">
        <v>3.7940967689060079</v>
      </c>
      <c r="V2204" s="106">
        <v>31051.459693494162</v>
      </c>
      <c r="W2204" s="10">
        <v>0.90750468087512637</v>
      </c>
      <c r="X2204" s="420"/>
      <c r="Y2204" s="420"/>
      <c r="Z2204" s="1"/>
      <c r="AA2204" s="1"/>
      <c r="AB2204" s="1"/>
      <c r="AC2204" s="1"/>
      <c r="AD2204" s="1"/>
    </row>
    <row r="2205" spans="17:30">
      <c r="Q2205" s="6">
        <v>2175</v>
      </c>
      <c r="R2205" s="7">
        <v>44842</v>
      </c>
      <c r="S2205" s="210">
        <v>4</v>
      </c>
      <c r="T2205" s="8">
        <v>1.0001111111111112</v>
      </c>
      <c r="U2205" s="98">
        <v>3.7942549364704536</v>
      </c>
      <c r="V2205" s="106">
        <v>31053.958143964781</v>
      </c>
      <c r="W2205" s="10">
        <v>0.90760451579681156</v>
      </c>
      <c r="X2205" s="420"/>
      <c r="Y2205" s="420"/>
      <c r="Z2205" s="1"/>
      <c r="AA2205" s="1"/>
      <c r="AB2205" s="1"/>
      <c r="AC2205" s="1"/>
      <c r="AD2205" s="1"/>
    </row>
    <row r="2206" spans="17:30">
      <c r="Q2206" s="6">
        <v>2176</v>
      </c>
      <c r="R2206" s="7">
        <v>44843</v>
      </c>
      <c r="S2206" s="210">
        <v>4</v>
      </c>
      <c r="T2206" s="8">
        <v>1.0001111111111112</v>
      </c>
      <c r="U2206" s="98">
        <v>3.7944129589009945</v>
      </c>
      <c r="V2206" s="106">
        <v>31056.45679546475</v>
      </c>
      <c r="W2206" s="10">
        <v>0.90770425905710717</v>
      </c>
      <c r="X2206" s="420"/>
      <c r="Y2206" s="420"/>
      <c r="Z2206" s="1"/>
      <c r="AA2206" s="1"/>
      <c r="AB2206" s="1"/>
      <c r="AC2206" s="1"/>
      <c r="AD2206" s="1"/>
    </row>
    <row r="2207" spans="17:30">
      <c r="Q2207" s="6">
        <v>2177</v>
      </c>
      <c r="R2207" s="7">
        <v>44844</v>
      </c>
      <c r="S2207" s="210">
        <v>4</v>
      </c>
      <c r="T2207" s="8">
        <v>1.0001111111111112</v>
      </c>
      <c r="U2207" s="98">
        <v>3.794570836397293</v>
      </c>
      <c r="V2207" s="106">
        <v>31058.875036725385</v>
      </c>
      <c r="W2207" s="10">
        <v>0.90784782132875552</v>
      </c>
      <c r="X2207" s="420"/>
      <c r="Y2207" s="420"/>
      <c r="Z2207" s="1"/>
      <c r="AA2207" s="1"/>
      <c r="AB2207" s="1"/>
      <c r="AC2207" s="1"/>
      <c r="AD2207" s="1"/>
    </row>
    <row r="2208" spans="17:30">
      <c r="Q2208" s="6">
        <v>2178</v>
      </c>
      <c r="R2208" s="7">
        <v>44845</v>
      </c>
      <c r="S2208" s="210">
        <v>4</v>
      </c>
      <c r="T2208" s="8">
        <v>1.0001111111111112</v>
      </c>
      <c r="U2208" s="98">
        <v>3.7947285691586785</v>
      </c>
      <c r="V2208" s="106">
        <v>31061.293466284733</v>
      </c>
      <c r="W2208" s="10">
        <v>0.90799125197491559</v>
      </c>
      <c r="X2208" s="420"/>
      <c r="Y2208" s="420"/>
      <c r="Z2208" s="1"/>
      <c r="AA2208" s="1"/>
      <c r="AB2208" s="1"/>
      <c r="AC2208" s="1"/>
      <c r="AD2208" s="1"/>
    </row>
    <row r="2209" spans="17:30">
      <c r="Q2209" s="6">
        <v>2179</v>
      </c>
      <c r="R2209" s="7">
        <v>44846</v>
      </c>
      <c r="S2209" s="210">
        <v>4</v>
      </c>
      <c r="T2209" s="8">
        <v>1.0001111111111112</v>
      </c>
      <c r="U2209" s="98">
        <v>3.7948861573840587</v>
      </c>
      <c r="V2209" s="106">
        <v>31063.712084157451</v>
      </c>
      <c r="W2209" s="10">
        <v>0.90813455117653152</v>
      </c>
      <c r="X2209" s="420"/>
      <c r="Y2209" s="420"/>
      <c r="Z2209" s="1"/>
      <c r="AA2209" s="1"/>
      <c r="AB2209" s="1"/>
      <c r="AC2209" s="1"/>
      <c r="AD2209" s="1"/>
    </row>
    <row r="2210" spans="17:30">
      <c r="Q2210" s="6">
        <v>2180</v>
      </c>
      <c r="R2210" s="7">
        <v>44847</v>
      </c>
      <c r="S2210" s="210">
        <v>4</v>
      </c>
      <c r="T2210" s="8">
        <v>1.0001111111111112</v>
      </c>
      <c r="U2210" s="98">
        <v>3.7950436012720079</v>
      </c>
      <c r="V2210" s="106">
        <v>31066.130890358203</v>
      </c>
      <c r="W2210" s="10">
        <v>0.90827771911419219</v>
      </c>
      <c r="X2210" s="420"/>
      <c r="Y2210" s="420"/>
      <c r="Z2210" s="1"/>
      <c r="AA2210" s="1"/>
      <c r="AB2210" s="1"/>
      <c r="AC2210" s="1"/>
      <c r="AD2210" s="1"/>
    </row>
    <row r="2211" spans="17:30">
      <c r="Q2211" s="6">
        <v>2181</v>
      </c>
      <c r="R2211" s="7">
        <v>44848</v>
      </c>
      <c r="S2211" s="210">
        <v>4</v>
      </c>
      <c r="T2211" s="8">
        <v>1.0001111111111112</v>
      </c>
      <c r="U2211" s="98">
        <v>3.7952009010207455</v>
      </c>
      <c r="V2211" s="106">
        <v>31068.549884901666</v>
      </c>
      <c r="W2211" s="10">
        <v>0.90842075596819782</v>
      </c>
      <c r="X2211" s="420"/>
      <c r="Y2211" s="420"/>
      <c r="Z2211" s="1"/>
      <c r="AA2211" s="1"/>
      <c r="AB2211" s="1"/>
      <c r="AC2211" s="1"/>
      <c r="AD2211" s="1"/>
    </row>
    <row r="2212" spans="17:30">
      <c r="Q2212" s="6">
        <v>2182</v>
      </c>
      <c r="R2212" s="7">
        <v>44849</v>
      </c>
      <c r="S2212" s="210">
        <v>4</v>
      </c>
      <c r="T2212" s="8">
        <v>1.0001111111111112</v>
      </c>
      <c r="U2212" s="98">
        <v>3.7953580568281353</v>
      </c>
      <c r="V2212" s="106">
        <v>31070.969067802485</v>
      </c>
      <c r="W2212" s="10">
        <v>0.90856366191849336</v>
      </c>
      <c r="X2212" s="420"/>
      <c r="Y2212" s="420"/>
      <c r="Z2212" s="1"/>
      <c r="AA2212" s="1"/>
      <c r="AB2212" s="1"/>
      <c r="AC2212" s="1"/>
      <c r="AD2212" s="1"/>
    </row>
    <row r="2213" spans="17:30">
      <c r="Q2213" s="6">
        <v>2183</v>
      </c>
      <c r="R2213" s="7">
        <v>44850</v>
      </c>
      <c r="S2213" s="210">
        <v>4</v>
      </c>
      <c r="T2213" s="8">
        <v>1.0001111111111112</v>
      </c>
      <c r="U2213" s="98">
        <v>3.7955150688916417</v>
      </c>
      <c r="V2213" s="106">
        <v>31073.388439075345</v>
      </c>
      <c r="W2213" s="10">
        <v>0.90870643714469068</v>
      </c>
      <c r="X2213" s="420"/>
      <c r="Y2213" s="420"/>
      <c r="Z2213" s="1"/>
      <c r="AA2213" s="1"/>
      <c r="AB2213" s="1"/>
      <c r="AC2213" s="1"/>
      <c r="AD2213" s="1"/>
    </row>
    <row r="2214" spans="17:30">
      <c r="Q2214" s="6">
        <v>2184</v>
      </c>
      <c r="R2214" s="7">
        <v>44851</v>
      </c>
      <c r="S2214" s="210">
        <v>4</v>
      </c>
      <c r="T2214" s="8">
        <v>1.0001111111111112</v>
      </c>
      <c r="U2214" s="98">
        <v>3.7956719374083958</v>
      </c>
      <c r="V2214" s="106">
        <v>31075.807998734901</v>
      </c>
      <c r="W2214" s="10">
        <v>0.90884908182609081</v>
      </c>
      <c r="X2214" s="420"/>
      <c r="Y2214" s="420"/>
      <c r="Z2214" s="1"/>
      <c r="AA2214" s="1"/>
      <c r="AB2214" s="1"/>
      <c r="AC2214" s="1"/>
      <c r="AD2214" s="1"/>
    </row>
    <row r="2215" spans="17:30">
      <c r="Q2215" s="6">
        <v>2185</v>
      </c>
      <c r="R2215" s="7">
        <v>44852</v>
      </c>
      <c r="S2215" s="210">
        <v>4</v>
      </c>
      <c r="T2215" s="8">
        <v>1.0001111111111112</v>
      </c>
      <c r="U2215" s="98">
        <v>3.7958286625751514</v>
      </c>
      <c r="V2215" s="106">
        <v>31078.227746795827</v>
      </c>
      <c r="W2215" s="10">
        <v>0.90899159614161729</v>
      </c>
      <c r="X2215" s="420"/>
      <c r="Y2215" s="420"/>
      <c r="Z2215" s="1"/>
      <c r="AA2215" s="1"/>
      <c r="AB2215" s="1"/>
      <c r="AC2215" s="1"/>
      <c r="AD2215" s="1"/>
    </row>
    <row r="2216" spans="17:30">
      <c r="Q2216" s="6">
        <v>2186</v>
      </c>
      <c r="R2216" s="7">
        <v>44853</v>
      </c>
      <c r="S2216" s="210">
        <v>4</v>
      </c>
      <c r="T2216" s="8">
        <v>1.0001111111111112</v>
      </c>
      <c r="U2216" s="98">
        <v>3.7959852445883291</v>
      </c>
      <c r="V2216" s="106">
        <v>31080.647683272793</v>
      </c>
      <c r="W2216" s="10">
        <v>0.9091339802699494</v>
      </c>
      <c r="X2216" s="420"/>
      <c r="Y2216" s="420"/>
      <c r="Z2216" s="1"/>
      <c r="AA2216" s="1"/>
      <c r="AB2216" s="1"/>
      <c r="AC2216" s="1"/>
      <c r="AD2216" s="1"/>
    </row>
    <row r="2217" spans="17:30">
      <c r="Q2217" s="6">
        <v>2187</v>
      </c>
      <c r="R2217" s="7">
        <v>44854</v>
      </c>
      <c r="S2217" s="210">
        <v>4</v>
      </c>
      <c r="T2217" s="8">
        <v>1.0001111111111112</v>
      </c>
      <c r="U2217" s="98">
        <v>3.7961416836439721</v>
      </c>
      <c r="V2217" s="106">
        <v>31083.067808180473</v>
      </c>
      <c r="W2217" s="10">
        <v>0.90927623438936678</v>
      </c>
      <c r="X2217" s="420"/>
      <c r="Y2217" s="420"/>
      <c r="Z2217" s="1"/>
      <c r="AA2217" s="1"/>
      <c r="AB2217" s="1"/>
      <c r="AC2217" s="1"/>
      <c r="AD2217" s="1"/>
    </row>
    <row r="2218" spans="17:30">
      <c r="Q2218" s="6">
        <v>2188</v>
      </c>
      <c r="R2218" s="7">
        <v>44855</v>
      </c>
      <c r="S2218" s="210">
        <v>4</v>
      </c>
      <c r="T2218" s="8">
        <v>1.0001111111111112</v>
      </c>
      <c r="U2218" s="98">
        <v>3.7962979799377683</v>
      </c>
      <c r="V2218" s="106">
        <v>31085.488121533534</v>
      </c>
      <c r="W2218" s="10">
        <v>0.90941835867788257</v>
      </c>
      <c r="X2218" s="420"/>
      <c r="Y2218" s="420"/>
      <c r="Z2218" s="1"/>
      <c r="AA2218" s="1"/>
      <c r="AB2218" s="1"/>
      <c r="AC2218" s="1"/>
      <c r="AD2218" s="1"/>
    </row>
    <row r="2219" spans="17:30">
      <c r="Q2219" s="6">
        <v>2189</v>
      </c>
      <c r="R2219" s="7">
        <v>44856</v>
      </c>
      <c r="S2219" s="210">
        <v>4</v>
      </c>
      <c r="T2219" s="8">
        <v>1.0001111111111112</v>
      </c>
      <c r="U2219" s="98">
        <v>3.7964541336650282</v>
      </c>
      <c r="V2219" s="106">
        <v>31087.908623346655</v>
      </c>
      <c r="W2219" s="10">
        <v>0.90956035331311025</v>
      </c>
      <c r="X2219" s="420"/>
      <c r="Y2219" s="420"/>
      <c r="Z2219" s="1"/>
      <c r="AA2219" s="1"/>
      <c r="AB2219" s="1"/>
      <c r="AC2219" s="1"/>
      <c r="AD2219" s="1"/>
    </row>
    <row r="2220" spans="17:30">
      <c r="Q2220" s="6">
        <v>2190</v>
      </c>
      <c r="R2220" s="7">
        <v>44857</v>
      </c>
      <c r="S2220" s="210">
        <v>4</v>
      </c>
      <c r="T2220" s="8">
        <v>1.0001111111111112</v>
      </c>
      <c r="U2220" s="98">
        <v>3.7966101450207512</v>
      </c>
      <c r="V2220" s="106">
        <v>31090.329313634506</v>
      </c>
      <c r="W2220" s="10">
        <v>0.90970221847239685</v>
      </c>
      <c r="X2220" s="420"/>
      <c r="Y2220" s="420"/>
      <c r="Z2220" s="1"/>
      <c r="AA2220" s="1"/>
      <c r="AB2220" s="1"/>
      <c r="AC2220" s="1"/>
      <c r="AD2220" s="1"/>
    </row>
    <row r="2221" spans="17:30">
      <c r="Q2221" s="6">
        <v>2191</v>
      </c>
      <c r="R2221" s="7">
        <v>44858</v>
      </c>
      <c r="S2221" s="210">
        <v>4</v>
      </c>
      <c r="T2221" s="8">
        <v>1.0001111111111112</v>
      </c>
      <c r="U2221" s="98">
        <v>3.7967660141995596</v>
      </c>
      <c r="V2221" s="106">
        <v>31092.750192411761</v>
      </c>
      <c r="W2221" s="10">
        <v>0.90984395433277854</v>
      </c>
      <c r="X2221" s="420"/>
      <c r="Y2221" s="420"/>
      <c r="Z2221" s="1"/>
      <c r="AA2221" s="1"/>
      <c r="AB2221" s="1"/>
      <c r="AC2221" s="1"/>
      <c r="AD2221" s="1"/>
    </row>
    <row r="2222" spans="17:30">
      <c r="Q2222" s="6">
        <v>2192</v>
      </c>
      <c r="R2222" s="7">
        <v>44859</v>
      </c>
      <c r="S2222" s="210">
        <v>4</v>
      </c>
      <c r="T2222" s="8">
        <v>1.0001111111111112</v>
      </c>
      <c r="U2222" s="98">
        <v>3.7969217413956979</v>
      </c>
      <c r="V2222" s="106">
        <v>31095.171259693103</v>
      </c>
      <c r="W2222" s="10">
        <v>0.9099855610709362</v>
      </c>
      <c r="X2222" s="420"/>
      <c r="Y2222" s="420"/>
      <c r="Z2222" s="1"/>
      <c r="AA2222" s="1"/>
      <c r="AB2222" s="1"/>
      <c r="AC2222" s="1"/>
      <c r="AD2222" s="1"/>
    </row>
    <row r="2223" spans="17:30">
      <c r="Q2223" s="6">
        <v>2193</v>
      </c>
      <c r="R2223" s="7">
        <v>44860</v>
      </c>
      <c r="S2223" s="210">
        <v>4</v>
      </c>
      <c r="T2223" s="8">
        <v>1.0001111111111112</v>
      </c>
      <c r="U2223" s="98">
        <v>3.7970773268031</v>
      </c>
      <c r="V2223" s="106">
        <v>31097.592515493205</v>
      </c>
      <c r="W2223" s="10">
        <v>0.91012703886321766</v>
      </c>
      <c r="X2223" s="420"/>
      <c r="Y2223" s="420"/>
      <c r="Z2223" s="1"/>
      <c r="AA2223" s="1"/>
      <c r="AB2223" s="1"/>
      <c r="AC2223" s="1"/>
      <c r="AD2223" s="1"/>
    </row>
    <row r="2224" spans="17:30">
      <c r="Q2224" s="6">
        <v>2194</v>
      </c>
      <c r="R2224" s="7">
        <v>44861</v>
      </c>
      <c r="S2224" s="210">
        <v>4</v>
      </c>
      <c r="T2224" s="8">
        <v>1.0001111111111112</v>
      </c>
      <c r="U2224" s="98">
        <v>3.7972327706152997</v>
      </c>
      <c r="V2224" s="106">
        <v>31100.013959826749</v>
      </c>
      <c r="W2224" s="10">
        <v>0.91026838788565989</v>
      </c>
      <c r="X2224" s="420"/>
      <c r="Y2224" s="420"/>
      <c r="Z2224" s="1"/>
      <c r="AA2224" s="1"/>
      <c r="AB2224" s="1"/>
      <c r="AC2224" s="1"/>
      <c r="AD2224" s="1"/>
    </row>
    <row r="2225" spans="17:30">
      <c r="Q2225" s="6">
        <v>2195</v>
      </c>
      <c r="R2225" s="7">
        <v>44862</v>
      </c>
      <c r="S2225" s="210">
        <v>4</v>
      </c>
      <c r="T2225" s="8">
        <v>1.0001111111111112</v>
      </c>
      <c r="U2225" s="98">
        <v>3.7973880730255205</v>
      </c>
      <c r="V2225" s="106">
        <v>31102.435592708422</v>
      </c>
      <c r="W2225" s="10">
        <v>0.91040960831401119</v>
      </c>
      <c r="X2225" s="420"/>
      <c r="Y2225" s="420"/>
      <c r="Z2225" s="1"/>
      <c r="AA2225" s="1"/>
      <c r="AB2225" s="1"/>
      <c r="AC2225" s="1"/>
      <c r="AD2225" s="1"/>
    </row>
    <row r="2226" spans="17:30">
      <c r="Q2226" s="6">
        <v>2196</v>
      </c>
      <c r="R2226" s="7">
        <v>44863</v>
      </c>
      <c r="S2226" s="210">
        <v>4</v>
      </c>
      <c r="T2226" s="8">
        <v>1.0001111111111112</v>
      </c>
      <c r="U2226" s="98">
        <v>3.7975432342266302</v>
      </c>
      <c r="V2226" s="106">
        <v>31104.857414152892</v>
      </c>
      <c r="W2226" s="10">
        <v>0.91055070032368679</v>
      </c>
      <c r="X2226" s="420"/>
      <c r="Y2226" s="420"/>
      <c r="Z2226" s="1"/>
      <c r="AA2226" s="1"/>
      <c r="AB2226" s="1"/>
      <c r="AC2226" s="1"/>
      <c r="AD2226" s="1"/>
    </row>
    <row r="2227" spans="17:30">
      <c r="Q2227" s="6">
        <v>2197</v>
      </c>
      <c r="R2227" s="7">
        <v>44864</v>
      </c>
      <c r="S2227" s="210">
        <v>4</v>
      </c>
      <c r="T2227" s="8">
        <v>1.0001111111111112</v>
      </c>
      <c r="U2227" s="98">
        <v>3.7976982544110971</v>
      </c>
      <c r="V2227" s="106">
        <v>31107.279424174845</v>
      </c>
      <c r="W2227" s="10">
        <v>0.91069166408974667</v>
      </c>
      <c r="X2227" s="420"/>
      <c r="Y2227" s="420"/>
      <c r="Z2227" s="1"/>
      <c r="AA2227" s="1"/>
      <c r="AB2227" s="1"/>
      <c r="AC2227" s="1"/>
      <c r="AD2227" s="1"/>
    </row>
    <row r="2228" spans="17:30">
      <c r="Q2228" s="6">
        <v>2198</v>
      </c>
      <c r="R2228" s="7">
        <v>44865</v>
      </c>
      <c r="S2228" s="210">
        <v>4</v>
      </c>
      <c r="T2228" s="8">
        <v>1.0001111111111112</v>
      </c>
      <c r="U2228" s="98">
        <v>3.7978531337711008</v>
      </c>
      <c r="V2228" s="106">
        <v>31109.701622788973</v>
      </c>
      <c r="W2228" s="10">
        <v>0.91083249978696212</v>
      </c>
      <c r="X2228" s="420"/>
      <c r="Y2228" s="420"/>
      <c r="Z2228" s="1"/>
      <c r="AA2228" s="1"/>
      <c r="AB2228" s="1"/>
      <c r="AC2228" s="1"/>
      <c r="AD2228" s="1"/>
    </row>
    <row r="2229" spans="17:30">
      <c r="Q2229" s="6">
        <v>2199</v>
      </c>
      <c r="R2229" s="7">
        <v>44866</v>
      </c>
      <c r="S2229" s="210">
        <v>4</v>
      </c>
      <c r="T2229" s="8">
        <v>1.0001111111111112</v>
      </c>
      <c r="U2229" s="98">
        <v>3.7980078724984434</v>
      </c>
      <c r="V2229" s="106">
        <v>31112.124010009953</v>
      </c>
      <c r="W2229" s="10">
        <v>0.91097320758981581</v>
      </c>
      <c r="X2229" s="420"/>
      <c r="Y2229" s="420"/>
      <c r="Z2229" s="1"/>
      <c r="AA2229" s="1"/>
      <c r="AB2229" s="1"/>
      <c r="AC2229" s="1"/>
      <c r="AD2229" s="1"/>
    </row>
    <row r="2230" spans="17:30">
      <c r="Q2230" s="6">
        <v>2200</v>
      </c>
      <c r="R2230" s="7">
        <v>44867</v>
      </c>
      <c r="S2230" s="210">
        <v>4</v>
      </c>
      <c r="T2230" s="8">
        <v>1.0001111111111112</v>
      </c>
      <c r="U2230" s="98">
        <v>3.798162470784594</v>
      </c>
      <c r="V2230" s="106">
        <v>31114.546585852473</v>
      </c>
      <c r="W2230" s="10">
        <v>0.91111378767241291</v>
      </c>
      <c r="X2230" s="420"/>
      <c r="Y2230" s="420"/>
      <c r="Z2230" s="1"/>
      <c r="AA2230" s="1"/>
      <c r="AB2230" s="1"/>
      <c r="AC2230" s="1"/>
      <c r="AD2230" s="1"/>
    </row>
    <row r="2231" spans="17:30">
      <c r="Q2231" s="6">
        <v>2201</v>
      </c>
      <c r="R2231" s="7">
        <v>44868</v>
      </c>
      <c r="S2231" s="210">
        <v>4</v>
      </c>
      <c r="T2231" s="8">
        <v>1.0001111111111112</v>
      </c>
      <c r="U2231" s="98">
        <v>3.7983169288206442</v>
      </c>
      <c r="V2231" s="106">
        <v>31116.969350331223</v>
      </c>
      <c r="W2231" s="10">
        <v>0.91125424020856993</v>
      </c>
      <c r="X2231" s="420"/>
      <c r="Y2231" s="420"/>
      <c r="Z2231" s="1"/>
      <c r="AA2231" s="1"/>
      <c r="AB2231" s="1"/>
      <c r="AC2231" s="1"/>
      <c r="AD2231" s="1"/>
    </row>
    <row r="2232" spans="17:30">
      <c r="Q2232" s="6">
        <v>2202</v>
      </c>
      <c r="R2232" s="7">
        <v>44869</v>
      </c>
      <c r="S2232" s="210">
        <v>4</v>
      </c>
      <c r="T2232" s="8">
        <v>1.0001111111111112</v>
      </c>
      <c r="U2232" s="98">
        <v>3.7984712467973525</v>
      </c>
      <c r="V2232" s="106">
        <v>31119.392303460889</v>
      </c>
      <c r="W2232" s="10">
        <v>0.91139456537177033</v>
      </c>
      <c r="X2232" s="420"/>
      <c r="Y2232" s="420"/>
      <c r="Z2232" s="1"/>
      <c r="AA2232" s="1"/>
      <c r="AB2232" s="1"/>
      <c r="AC2232" s="1"/>
      <c r="AD2232" s="1"/>
    </row>
    <row r="2233" spans="17:30">
      <c r="Q2233" s="6">
        <v>2203</v>
      </c>
      <c r="R2233" s="7">
        <v>44870</v>
      </c>
      <c r="S2233" s="210">
        <v>4</v>
      </c>
      <c r="T2233" s="8">
        <v>1.0001111111111112</v>
      </c>
      <c r="U2233" s="98">
        <v>3.7986254249051443</v>
      </c>
      <c r="V2233" s="106">
        <v>31121.815445256158</v>
      </c>
      <c r="W2233" s="10">
        <v>0.9115347633352533</v>
      </c>
      <c r="X2233" s="420"/>
      <c r="Y2233" s="420"/>
      <c r="Z2233" s="1"/>
      <c r="AA2233" s="1"/>
      <c r="AB2233" s="1"/>
      <c r="AC2233" s="1"/>
      <c r="AD2233" s="1"/>
    </row>
    <row r="2234" spans="17:30">
      <c r="Q2234" s="6">
        <v>2204</v>
      </c>
      <c r="R2234" s="7">
        <v>44871</v>
      </c>
      <c r="S2234" s="210">
        <v>4</v>
      </c>
      <c r="T2234" s="8">
        <v>1.0001111111111112</v>
      </c>
      <c r="U2234" s="98">
        <v>3.7987794633341121</v>
      </c>
      <c r="V2234" s="106">
        <v>31124.238775731719</v>
      </c>
      <c r="W2234" s="10">
        <v>0.91167483427188056</v>
      </c>
      <c r="X2234" s="420"/>
      <c r="Y2234" s="420"/>
      <c r="Z2234" s="1"/>
      <c r="AA2234" s="1"/>
      <c r="AB2234" s="1"/>
      <c r="AC2234" s="1"/>
      <c r="AD2234" s="1"/>
    </row>
    <row r="2235" spans="17:30">
      <c r="Q2235" s="6">
        <v>2205</v>
      </c>
      <c r="R2235" s="7">
        <v>44872</v>
      </c>
      <c r="S2235" s="210">
        <v>4</v>
      </c>
      <c r="T2235" s="8">
        <v>1.0001111111111112</v>
      </c>
      <c r="U2235" s="98">
        <v>3.7989333622739707</v>
      </c>
      <c r="V2235" s="106">
        <v>31126.662294902279</v>
      </c>
      <c r="W2235" s="10">
        <v>0.91181477835420299</v>
      </c>
      <c r="X2235" s="420"/>
      <c r="Y2235" s="420"/>
      <c r="Z2235" s="1"/>
      <c r="AA2235" s="1"/>
      <c r="AB2235" s="1"/>
      <c r="AC2235" s="1"/>
      <c r="AD2235" s="1"/>
    </row>
    <row r="2236" spans="17:30">
      <c r="Q2236" s="6">
        <v>2206</v>
      </c>
      <c r="R2236" s="7">
        <v>44873</v>
      </c>
      <c r="S2236" s="210">
        <v>4</v>
      </c>
      <c r="T2236" s="8">
        <v>1.0001111111111112</v>
      </c>
      <c r="U2236" s="98">
        <v>3.7990871219140798</v>
      </c>
      <c r="V2236" s="106">
        <v>31129.086002782511</v>
      </c>
      <c r="W2236" s="10">
        <v>0.91195459575443838</v>
      </c>
      <c r="X2236" s="420"/>
      <c r="Y2236" s="420"/>
      <c r="Z2236" s="1"/>
      <c r="AA2236" s="1"/>
      <c r="AB2236" s="1"/>
      <c r="AC2236" s="1"/>
      <c r="AD2236" s="1"/>
    </row>
    <row r="2237" spans="17:30">
      <c r="Q2237" s="6">
        <v>2207</v>
      </c>
      <c r="R2237" s="7">
        <v>44874</v>
      </c>
      <c r="S2237" s="210">
        <v>4</v>
      </c>
      <c r="T2237" s="8">
        <v>1.0001111111111112</v>
      </c>
      <c r="U2237" s="98">
        <v>3.7992407424435104</v>
      </c>
      <c r="V2237" s="106">
        <v>31131.509899387125</v>
      </c>
      <c r="W2237" s="10">
        <v>0.91209428664456027</v>
      </c>
      <c r="X2237" s="420"/>
      <c r="Y2237" s="420"/>
      <c r="Z2237" s="1"/>
      <c r="AA2237" s="1"/>
      <c r="AB2237" s="1"/>
      <c r="AC2237" s="1"/>
      <c r="AD2237" s="1"/>
    </row>
    <row r="2238" spans="17:30">
      <c r="Q2238" s="6">
        <v>2208</v>
      </c>
      <c r="R2238" s="7">
        <v>44875</v>
      </c>
      <c r="S2238" s="210">
        <v>4</v>
      </c>
      <c r="T2238" s="8">
        <v>1.0001111111111112</v>
      </c>
      <c r="U2238" s="98">
        <v>3.7993942240509559</v>
      </c>
      <c r="V2238" s="106">
        <v>31134.014790826277</v>
      </c>
      <c r="W2238" s="10">
        <v>0.91219055526536863</v>
      </c>
      <c r="X2238" s="420"/>
      <c r="Y2238" s="420"/>
      <c r="Z2238" s="1"/>
      <c r="AA2238" s="1"/>
      <c r="AB2238" s="1"/>
      <c r="AC2238" s="1"/>
      <c r="AD2238" s="1"/>
    </row>
    <row r="2239" spans="17:30">
      <c r="Q2239" s="6">
        <v>2209</v>
      </c>
      <c r="R2239" s="7">
        <v>44876</v>
      </c>
      <c r="S2239" s="210">
        <v>4</v>
      </c>
      <c r="T2239" s="8">
        <v>1.0001111111111112</v>
      </c>
      <c r="U2239" s="98">
        <v>3.7995475669247769</v>
      </c>
      <c r="V2239" s="106">
        <v>31136.51988381302</v>
      </c>
      <c r="W2239" s="10">
        <v>0.91228673681755801</v>
      </c>
      <c r="X2239" s="420"/>
      <c r="Y2239" s="420"/>
      <c r="Z2239" s="1"/>
      <c r="AA2239" s="1"/>
      <c r="AB2239" s="1"/>
      <c r="AC2239" s="1"/>
      <c r="AD2239" s="1"/>
    </row>
    <row r="2240" spans="17:30">
      <c r="Q2240" s="6">
        <v>2210</v>
      </c>
      <c r="R2240" s="7">
        <v>44877</v>
      </c>
      <c r="S2240" s="210">
        <v>4</v>
      </c>
      <c r="T2240" s="8">
        <v>1.0001111111111112</v>
      </c>
      <c r="U2240" s="98">
        <v>3.7997007712530007</v>
      </c>
      <c r="V2240" s="106">
        <v>31139.02517836359</v>
      </c>
      <c r="W2240" s="10">
        <v>0.91238283141916732</v>
      </c>
      <c r="X2240" s="420"/>
      <c r="Y2240" s="420"/>
      <c r="Z2240" s="1"/>
      <c r="AA2240" s="1"/>
      <c r="AB2240" s="1"/>
      <c r="AC2240" s="1"/>
      <c r="AD2240" s="1"/>
    </row>
    <row r="2241" spans="17:30">
      <c r="Q2241" s="6">
        <v>2211</v>
      </c>
      <c r="R2241" s="7">
        <v>44878</v>
      </c>
      <c r="S2241" s="210">
        <v>4</v>
      </c>
      <c r="T2241" s="8">
        <v>1.0001111111111112</v>
      </c>
      <c r="U2241" s="98">
        <v>3.7998538372232993</v>
      </c>
      <c r="V2241" s="106">
        <v>31141.530674494192</v>
      </c>
      <c r="W2241" s="10">
        <v>0.91247883918805783</v>
      </c>
      <c r="X2241" s="420"/>
      <c r="Y2241" s="420"/>
      <c r="Z2241" s="1"/>
      <c r="AA2241" s="1"/>
      <c r="AB2241" s="1"/>
      <c r="AC2241" s="1"/>
      <c r="AD2241" s="1"/>
    </row>
    <row r="2242" spans="17:30">
      <c r="Q2242" s="6">
        <v>2212</v>
      </c>
      <c r="R2242" s="7">
        <v>44879</v>
      </c>
      <c r="S2242" s="210">
        <v>4</v>
      </c>
      <c r="T2242" s="8">
        <v>1.0001111111111112</v>
      </c>
      <c r="U2242" s="98">
        <v>3.8000067650230118</v>
      </c>
      <c r="V2242" s="106">
        <v>31144.036372221046</v>
      </c>
      <c r="W2242" s="10">
        <v>0.91257476024184658</v>
      </c>
      <c r="X2242" s="420"/>
      <c r="Y2242" s="420"/>
      <c r="Z2242" s="1"/>
      <c r="AA2242" s="1"/>
      <c r="AB2242" s="1"/>
      <c r="AC2242" s="1"/>
      <c r="AD2242" s="1"/>
    </row>
    <row r="2243" spans="17:30">
      <c r="Q2243" s="6">
        <v>2213</v>
      </c>
      <c r="R2243" s="7">
        <v>44880</v>
      </c>
      <c r="S2243" s="210">
        <v>4</v>
      </c>
      <c r="T2243" s="8">
        <v>1.0001111111111112</v>
      </c>
      <c r="U2243" s="98">
        <v>3.8001595548391442</v>
      </c>
      <c r="V2243" s="106">
        <v>31146.542271560382</v>
      </c>
      <c r="W2243" s="10">
        <v>0.91267059469799516</v>
      </c>
      <c r="X2243" s="420"/>
      <c r="Y2243" s="420"/>
      <c r="Z2243" s="1"/>
      <c r="AA2243" s="1"/>
      <c r="AB2243" s="1"/>
      <c r="AC2243" s="1"/>
      <c r="AD2243" s="1"/>
    </row>
    <row r="2244" spans="17:30">
      <c r="Q2244" s="6">
        <v>2214</v>
      </c>
      <c r="R2244" s="7">
        <v>44881</v>
      </c>
      <c r="S2244" s="210">
        <v>4</v>
      </c>
      <c r="T2244" s="8">
        <v>1.0001111111111112</v>
      </c>
      <c r="U2244" s="98">
        <v>3.8003122068583473</v>
      </c>
      <c r="V2244" s="106">
        <v>31149.04837252841</v>
      </c>
      <c r="W2244" s="10">
        <v>0.91276634267369872</v>
      </c>
      <c r="X2244" s="420"/>
      <c r="Y2244" s="420"/>
      <c r="Z2244" s="1"/>
      <c r="AA2244" s="1"/>
      <c r="AB2244" s="1"/>
      <c r="AC2244" s="1"/>
      <c r="AD2244" s="1"/>
    </row>
    <row r="2245" spans="17:30">
      <c r="Q2245" s="6">
        <v>2215</v>
      </c>
      <c r="R2245" s="7">
        <v>44882</v>
      </c>
      <c r="S2245" s="210">
        <v>4</v>
      </c>
      <c r="T2245" s="8">
        <v>1.0001111111111112</v>
      </c>
      <c r="U2245" s="98">
        <v>3.8004647212669607</v>
      </c>
      <c r="V2245" s="106">
        <v>31151.55467514136</v>
      </c>
      <c r="W2245" s="10">
        <v>0.91286200428597475</v>
      </c>
      <c r="X2245" s="420"/>
      <c r="Y2245" s="420"/>
      <c r="Z2245" s="1"/>
      <c r="AA2245" s="1"/>
      <c r="AB2245" s="1"/>
      <c r="AC2245" s="1"/>
      <c r="AD2245" s="1"/>
    </row>
    <row r="2246" spans="17:30">
      <c r="Q2246" s="6">
        <v>2216</v>
      </c>
      <c r="R2246" s="7">
        <v>44883</v>
      </c>
      <c r="S2246" s="210">
        <v>4</v>
      </c>
      <c r="T2246" s="8">
        <v>1.0001111111111112</v>
      </c>
      <c r="U2246" s="98">
        <v>3.8006170982509913</v>
      </c>
      <c r="V2246" s="106">
        <v>31154.061179415457</v>
      </c>
      <c r="W2246" s="10">
        <v>0.91295757965161872</v>
      </c>
      <c r="X2246" s="420"/>
      <c r="Y2246" s="420"/>
      <c r="Z2246" s="1"/>
      <c r="AA2246" s="1"/>
      <c r="AB2246" s="1"/>
      <c r="AC2246" s="1"/>
      <c r="AD2246" s="1"/>
    </row>
    <row r="2247" spans="17:30">
      <c r="Q2247" s="6">
        <v>2217</v>
      </c>
      <c r="R2247" s="7">
        <v>44884</v>
      </c>
      <c r="S2247" s="210">
        <v>4</v>
      </c>
      <c r="T2247" s="8">
        <v>1.0001111111111112</v>
      </c>
      <c r="U2247" s="98">
        <v>3.8007693379960683</v>
      </c>
      <c r="V2247" s="106">
        <v>31156.567885366931</v>
      </c>
      <c r="W2247" s="10">
        <v>0.91305306888720406</v>
      </c>
      <c r="X2247" s="420"/>
      <c r="Y2247" s="420"/>
      <c r="Z2247" s="1"/>
      <c r="AA2247" s="1"/>
      <c r="AB2247" s="1"/>
      <c r="AC2247" s="1"/>
      <c r="AD2247" s="1"/>
    </row>
    <row r="2248" spans="17:30">
      <c r="Q2248" s="6">
        <v>2218</v>
      </c>
      <c r="R2248" s="7">
        <v>44885</v>
      </c>
      <c r="S2248" s="210">
        <v>4</v>
      </c>
      <c r="T2248" s="8">
        <v>1.0001111111111112</v>
      </c>
      <c r="U2248" s="98">
        <v>3.8009214406875325</v>
      </c>
      <c r="V2248" s="106">
        <v>31159.074793011998</v>
      </c>
      <c r="W2248" s="10">
        <v>0.91314847210912653</v>
      </c>
      <c r="X2248" s="420"/>
      <c r="Y2248" s="420"/>
      <c r="Z2248" s="1"/>
      <c r="AA2248" s="1"/>
      <c r="AB2248" s="1"/>
      <c r="AC2248" s="1"/>
      <c r="AD2248" s="1"/>
    </row>
    <row r="2249" spans="17:30">
      <c r="Q2249" s="6">
        <v>2219</v>
      </c>
      <c r="R2249" s="7">
        <v>44886</v>
      </c>
      <c r="S2249" s="210">
        <v>4</v>
      </c>
      <c r="T2249" s="8">
        <v>1.0001111111111112</v>
      </c>
      <c r="U2249" s="98">
        <v>3.8010734065103691</v>
      </c>
      <c r="V2249" s="106">
        <v>31161.581902366892</v>
      </c>
      <c r="W2249" s="10">
        <v>0.91324378943353768</v>
      </c>
      <c r="X2249" s="420"/>
      <c r="Y2249" s="420"/>
      <c r="Z2249" s="1"/>
      <c r="AA2249" s="1"/>
      <c r="AB2249" s="1"/>
      <c r="AC2249" s="1"/>
      <c r="AD2249" s="1"/>
    </row>
    <row r="2250" spans="17:30">
      <c r="Q2250" s="6">
        <v>2220</v>
      </c>
      <c r="R2250" s="7">
        <v>44887</v>
      </c>
      <c r="S2250" s="210">
        <v>4</v>
      </c>
      <c r="T2250" s="8">
        <v>1.0001111111111112</v>
      </c>
      <c r="U2250" s="98">
        <v>3.8012252356492526</v>
      </c>
      <c r="V2250" s="106">
        <v>31164.089213447845</v>
      </c>
      <c r="W2250" s="10">
        <v>0.91333902097638919</v>
      </c>
      <c r="X2250" s="420"/>
      <c r="Y2250" s="420"/>
      <c r="Z2250" s="1"/>
      <c r="AA2250" s="1"/>
      <c r="AB2250" s="1"/>
      <c r="AC2250" s="1"/>
      <c r="AD2250" s="1"/>
    </row>
    <row r="2251" spans="17:30">
      <c r="Q2251" s="6">
        <v>2221</v>
      </c>
      <c r="R2251" s="7">
        <v>44888</v>
      </c>
      <c r="S2251" s="210">
        <v>4</v>
      </c>
      <c r="T2251" s="8">
        <v>1.0001111111111112</v>
      </c>
      <c r="U2251" s="98">
        <v>3.8013769282884802</v>
      </c>
      <c r="V2251" s="106">
        <v>31166.596726271087</v>
      </c>
      <c r="W2251" s="10">
        <v>0.91343416685343293</v>
      </c>
      <c r="X2251" s="420"/>
      <c r="Y2251" s="420"/>
      <c r="Z2251" s="1"/>
      <c r="AA2251" s="1"/>
      <c r="AB2251" s="1"/>
      <c r="AC2251" s="1"/>
      <c r="AD2251" s="1"/>
    </row>
    <row r="2252" spans="17:30">
      <c r="Q2252" s="6">
        <v>2222</v>
      </c>
      <c r="R2252" s="7">
        <v>44889</v>
      </c>
      <c r="S2252" s="210">
        <v>4</v>
      </c>
      <c r="T2252" s="8">
        <v>1.0001111111111112</v>
      </c>
      <c r="U2252" s="98">
        <v>3.8015284846120601</v>
      </c>
      <c r="V2252" s="106">
        <v>31169.104440852851</v>
      </c>
      <c r="W2252" s="10">
        <v>0.91352922718022089</v>
      </c>
      <c r="X2252" s="420"/>
      <c r="Y2252" s="420"/>
      <c r="Z2252" s="1"/>
      <c r="AA2252" s="1"/>
      <c r="AB2252" s="1"/>
      <c r="AC2252" s="1"/>
      <c r="AD2252" s="1"/>
    </row>
    <row r="2253" spans="17:30">
      <c r="Q2253" s="6">
        <v>2223</v>
      </c>
      <c r="R2253" s="7">
        <v>44890</v>
      </c>
      <c r="S2253" s="210">
        <v>4</v>
      </c>
      <c r="T2253" s="8">
        <v>1.0001111111111112</v>
      </c>
      <c r="U2253" s="98">
        <v>3.8016799048036676</v>
      </c>
      <c r="V2253" s="106">
        <v>31171.612357209371</v>
      </c>
      <c r="W2253" s="10">
        <v>0.91362420207206085</v>
      </c>
      <c r="X2253" s="420"/>
      <c r="Y2253" s="420"/>
      <c r="Z2253" s="1"/>
      <c r="AA2253" s="1"/>
      <c r="AB2253" s="1"/>
      <c r="AC2253" s="1"/>
      <c r="AD2253" s="1"/>
    </row>
    <row r="2254" spans="17:30">
      <c r="Q2254" s="6">
        <v>2224</v>
      </c>
      <c r="R2254" s="7">
        <v>44891</v>
      </c>
      <c r="S2254" s="210">
        <v>4</v>
      </c>
      <c r="T2254" s="8">
        <v>1.0001111111111112</v>
      </c>
      <c r="U2254" s="98">
        <v>3.8018311890466228</v>
      </c>
      <c r="V2254" s="106">
        <v>31174.120475356885</v>
      </c>
      <c r="W2254" s="10">
        <v>0.91371909164410514</v>
      </c>
      <c r="X2254" s="420"/>
      <c r="Y2254" s="420"/>
      <c r="Z2254" s="1"/>
      <c r="AA2254" s="1"/>
      <c r="AB2254" s="1"/>
      <c r="AC2254" s="1"/>
      <c r="AD2254" s="1"/>
    </row>
    <row r="2255" spans="17:30">
      <c r="Q2255" s="6">
        <v>2225</v>
      </c>
      <c r="R2255" s="7">
        <v>44892</v>
      </c>
      <c r="S2255" s="210">
        <v>4</v>
      </c>
      <c r="T2255" s="8">
        <v>1.0001111111111112</v>
      </c>
      <c r="U2255" s="98">
        <v>3.8019823375239348</v>
      </c>
      <c r="V2255" s="106">
        <v>31176.628795311619</v>
      </c>
      <c r="W2255" s="10">
        <v>0.91381389601126184</v>
      </c>
      <c r="X2255" s="420"/>
      <c r="Y2255" s="420"/>
      <c r="Z2255" s="1"/>
      <c r="AA2255" s="1"/>
      <c r="AB2255" s="1"/>
      <c r="AC2255" s="1"/>
      <c r="AD2255" s="1"/>
    </row>
    <row r="2256" spans="17:30">
      <c r="Q2256" s="6">
        <v>2226</v>
      </c>
      <c r="R2256" s="7">
        <v>44893</v>
      </c>
      <c r="S2256" s="210">
        <v>4</v>
      </c>
      <c r="T2256" s="8">
        <v>1.0001111111111112</v>
      </c>
      <c r="U2256" s="98">
        <v>3.8021333504182797</v>
      </c>
      <c r="V2256" s="106">
        <v>31179.137317089822</v>
      </c>
      <c r="W2256" s="10">
        <v>0.91390861528823919</v>
      </c>
      <c r="X2256" s="420"/>
      <c r="Y2256" s="420"/>
      <c r="Z2256" s="1"/>
      <c r="AA2256" s="1"/>
      <c r="AB2256" s="1"/>
      <c r="AC2256" s="1"/>
      <c r="AD2256" s="1"/>
    </row>
    <row r="2257" spans="17:30">
      <c r="Q2257" s="6">
        <v>2227</v>
      </c>
      <c r="R2257" s="7">
        <v>44894</v>
      </c>
      <c r="S2257" s="210">
        <v>4</v>
      </c>
      <c r="T2257" s="8">
        <v>1.0001111111111112</v>
      </c>
      <c r="U2257" s="98">
        <v>3.8022842279120006</v>
      </c>
      <c r="V2257" s="106">
        <v>31181.646040707725</v>
      </c>
      <c r="W2257" s="10">
        <v>0.91400324958952339</v>
      </c>
      <c r="X2257" s="420"/>
      <c r="Y2257" s="420"/>
      <c r="Z2257" s="1"/>
      <c r="AA2257" s="1"/>
      <c r="AB2257" s="1"/>
      <c r="AC2257" s="1"/>
      <c r="AD2257" s="1"/>
    </row>
    <row r="2258" spans="17:30">
      <c r="Q2258" s="6">
        <v>2228</v>
      </c>
      <c r="R2258" s="7">
        <v>44895</v>
      </c>
      <c r="S2258" s="210">
        <v>4</v>
      </c>
      <c r="T2258" s="8">
        <v>1.0001111111111112</v>
      </c>
      <c r="U2258" s="98">
        <v>3.8024349701871074</v>
      </c>
      <c r="V2258" s="106">
        <v>31184.15496618157</v>
      </c>
      <c r="W2258" s="10">
        <v>0.91409779902944521</v>
      </c>
      <c r="X2258" s="420"/>
      <c r="Y2258" s="420"/>
      <c r="Z2258" s="1"/>
      <c r="AA2258" s="1"/>
      <c r="AB2258" s="1"/>
      <c r="AC2258" s="1"/>
      <c r="AD2258" s="1"/>
    </row>
    <row r="2259" spans="17:30">
      <c r="Q2259" s="6">
        <v>2229</v>
      </c>
      <c r="R2259" s="7">
        <v>44896</v>
      </c>
      <c r="S2259" s="210">
        <v>4</v>
      </c>
      <c r="T2259" s="8">
        <v>1.0001111111111112</v>
      </c>
      <c r="U2259" s="98">
        <v>3.8025855774253214</v>
      </c>
      <c r="V2259" s="106">
        <v>31186.664093527608</v>
      </c>
      <c r="W2259" s="10">
        <v>0.91419226372209117</v>
      </c>
      <c r="X2259" s="420"/>
      <c r="Y2259" s="420"/>
      <c r="Z2259" s="1"/>
      <c r="AA2259" s="1"/>
      <c r="AB2259" s="1"/>
      <c r="AC2259" s="1"/>
      <c r="AD2259" s="1"/>
    </row>
    <row r="2260" spans="17:30">
      <c r="Q2260" s="6">
        <v>2230</v>
      </c>
      <c r="R2260" s="7">
        <v>44897</v>
      </c>
      <c r="S2260" s="210">
        <v>4</v>
      </c>
      <c r="T2260" s="8">
        <v>1.0001111111111112</v>
      </c>
      <c r="U2260" s="98">
        <v>3.8027360498080087</v>
      </c>
      <c r="V2260" s="106">
        <v>31189.173422762065</v>
      </c>
      <c r="W2260" s="10">
        <v>0.91428664378134794</v>
      </c>
      <c r="X2260" s="420"/>
      <c r="Y2260" s="420"/>
      <c r="Z2260" s="1"/>
      <c r="AA2260" s="1"/>
      <c r="AB2260" s="1"/>
      <c r="AC2260" s="1"/>
      <c r="AD2260" s="1"/>
    </row>
    <row r="2261" spans="17:30">
      <c r="Q2261" s="6">
        <v>2231</v>
      </c>
      <c r="R2261" s="7">
        <v>44898</v>
      </c>
      <c r="S2261" s="210">
        <v>4</v>
      </c>
      <c r="T2261" s="8">
        <v>1.0001111111111112</v>
      </c>
      <c r="U2261" s="98">
        <v>3.8028863875162022</v>
      </c>
      <c r="V2261" s="106">
        <v>31191.6829539012</v>
      </c>
      <c r="W2261" s="10">
        <v>0.91438093932090236</v>
      </c>
      <c r="X2261" s="420"/>
      <c r="Y2261" s="420"/>
      <c r="Z2261" s="1"/>
      <c r="AA2261" s="1"/>
      <c r="AB2261" s="1"/>
      <c r="AC2261" s="1"/>
      <c r="AD2261" s="1"/>
    </row>
    <row r="2262" spans="17:30">
      <c r="Q2262" s="6">
        <v>2232</v>
      </c>
      <c r="R2262" s="7">
        <v>44899</v>
      </c>
      <c r="S2262" s="210">
        <v>4</v>
      </c>
      <c r="T2262" s="8">
        <v>1.0001111111111112</v>
      </c>
      <c r="U2262" s="98">
        <v>3.8030365907306241</v>
      </c>
      <c r="V2262" s="106">
        <v>31194.192686961254</v>
      </c>
      <c r="W2262" s="10">
        <v>0.91447515045421923</v>
      </c>
      <c r="X2262" s="420"/>
      <c r="Y2262" s="420"/>
      <c r="Z2262" s="1"/>
      <c r="AA2262" s="1"/>
      <c r="AB2262" s="1"/>
      <c r="AC2262" s="1"/>
      <c r="AD2262" s="1"/>
    </row>
    <row r="2263" spans="17:30">
      <c r="Q2263" s="6">
        <v>2233</v>
      </c>
      <c r="R2263" s="7">
        <v>44900</v>
      </c>
      <c r="S2263" s="210">
        <v>4</v>
      </c>
      <c r="T2263" s="8">
        <v>1.0001111111111112</v>
      </c>
      <c r="U2263" s="98">
        <v>3.8031866596316855</v>
      </c>
      <c r="V2263" s="106">
        <v>31196.702621958477</v>
      </c>
      <c r="W2263" s="10">
        <v>0.91456927729460791</v>
      </c>
      <c r="X2263" s="420"/>
      <c r="Y2263" s="420"/>
      <c r="Z2263" s="1"/>
      <c r="AA2263" s="1"/>
      <c r="AB2263" s="1"/>
      <c r="AC2263" s="1"/>
      <c r="AD2263" s="1"/>
    </row>
    <row r="2264" spans="17:30">
      <c r="Q2264" s="6">
        <v>2234</v>
      </c>
      <c r="R2264" s="7">
        <v>44901</v>
      </c>
      <c r="S2264" s="210">
        <v>4</v>
      </c>
      <c r="T2264" s="8">
        <v>1.0001111111111112</v>
      </c>
      <c r="U2264" s="98">
        <v>3.8033365943994424</v>
      </c>
      <c r="V2264" s="106">
        <v>31199.2127589091</v>
      </c>
      <c r="W2264" s="10">
        <v>0.9146633199551335</v>
      </c>
      <c r="X2264" s="420"/>
      <c r="Y2264" s="420"/>
      <c r="Z2264" s="1"/>
      <c r="AA2264" s="1"/>
      <c r="AB2264" s="1"/>
      <c r="AC2264" s="1"/>
      <c r="AD2264" s="1"/>
    </row>
    <row r="2265" spans="17:30">
      <c r="Q2265" s="6">
        <v>2235</v>
      </c>
      <c r="R2265" s="7">
        <v>44902</v>
      </c>
      <c r="S2265" s="210">
        <v>4</v>
      </c>
      <c r="T2265" s="8">
        <v>1.0001111111111112</v>
      </c>
      <c r="U2265" s="98">
        <v>3.8034863952136622</v>
      </c>
      <c r="V2265" s="106">
        <v>31201.723097829399</v>
      </c>
      <c r="W2265" s="10">
        <v>0.91475727854868349</v>
      </c>
      <c r="X2265" s="420"/>
      <c r="Y2265" s="420"/>
      <c r="Z2265" s="1"/>
      <c r="AA2265" s="1"/>
      <c r="AB2265" s="1"/>
      <c r="AC2265" s="1"/>
      <c r="AD2265" s="1"/>
    </row>
    <row r="2266" spans="17:30">
      <c r="Q2266" s="6">
        <v>2236</v>
      </c>
      <c r="R2266" s="7">
        <v>44903</v>
      </c>
      <c r="S2266" s="210">
        <v>4</v>
      </c>
      <c r="T2266" s="8">
        <v>1.0001111111111112</v>
      </c>
      <c r="U2266" s="98">
        <v>3.803636062253779</v>
      </c>
      <c r="V2266" s="106">
        <v>31204.233638735608</v>
      </c>
      <c r="W2266" s="10">
        <v>0.91485115318790111</v>
      </c>
      <c r="X2266" s="420"/>
      <c r="Y2266" s="420"/>
      <c r="Z2266" s="1"/>
      <c r="AA2266" s="1"/>
      <c r="AB2266" s="1"/>
      <c r="AC2266" s="1"/>
      <c r="AD2266" s="1"/>
    </row>
    <row r="2267" spans="17:30">
      <c r="Q2267" s="6">
        <v>2237</v>
      </c>
      <c r="R2267" s="7">
        <v>44904</v>
      </c>
      <c r="S2267" s="210">
        <v>4</v>
      </c>
      <c r="T2267" s="8">
        <v>1.0001111111111112</v>
      </c>
      <c r="U2267" s="98">
        <v>3.8037855956989164</v>
      </c>
      <c r="V2267" s="106">
        <v>31206.744381643981</v>
      </c>
      <c r="W2267" s="10">
        <v>0.91494494398529636</v>
      </c>
      <c r="X2267" s="420"/>
      <c r="Y2267" s="420"/>
      <c r="Z2267" s="1"/>
      <c r="AA2267" s="1"/>
      <c r="AB2267" s="1"/>
      <c r="AC2267" s="1"/>
      <c r="AD2267" s="1"/>
    </row>
    <row r="2268" spans="17:30">
      <c r="Q2268" s="6">
        <v>2238</v>
      </c>
      <c r="R2268" s="7">
        <v>44905</v>
      </c>
      <c r="S2268" s="210">
        <v>4</v>
      </c>
      <c r="T2268" s="8">
        <v>1.0001111111111112</v>
      </c>
      <c r="U2268" s="98">
        <v>3.8039349957278423</v>
      </c>
      <c r="V2268" s="106">
        <v>31209.255326570776</v>
      </c>
      <c r="W2268" s="10">
        <v>0.91503865105311277</v>
      </c>
      <c r="X2268" s="420"/>
      <c r="Y2268" s="420"/>
      <c r="Z2268" s="1"/>
      <c r="AA2268" s="1"/>
      <c r="AB2268" s="1"/>
      <c r="AC2268" s="1"/>
      <c r="AD2268" s="1"/>
    </row>
    <row r="2269" spans="17:30">
      <c r="Q2269" s="6">
        <v>2239</v>
      </c>
      <c r="R2269" s="7">
        <v>44906</v>
      </c>
      <c r="S2269" s="210">
        <v>4</v>
      </c>
      <c r="T2269" s="8">
        <v>1.0001111111111112</v>
      </c>
      <c r="U2269" s="98">
        <v>3.8040842625190585</v>
      </c>
      <c r="V2269" s="106">
        <v>31211.766473532236</v>
      </c>
      <c r="W2269" s="10">
        <v>0.91513227450346069</v>
      </c>
      <c r="X2269" s="420"/>
      <c r="Y2269" s="420"/>
      <c r="Z2269" s="1"/>
      <c r="AA2269" s="1"/>
      <c r="AB2269" s="1"/>
      <c r="AC2269" s="1"/>
      <c r="AD2269" s="1"/>
    </row>
    <row r="2270" spans="17:30">
      <c r="Q2270" s="6">
        <v>2240</v>
      </c>
      <c r="R2270" s="7">
        <v>44907</v>
      </c>
      <c r="S2270" s="210">
        <v>4</v>
      </c>
      <c r="T2270" s="8">
        <v>1.0001111111111112</v>
      </c>
      <c r="U2270" s="98">
        <v>3.8042333962507113</v>
      </c>
      <c r="V2270" s="106">
        <v>31214.277822544635</v>
      </c>
      <c r="W2270" s="10">
        <v>0.91522581444818396</v>
      </c>
      <c r="X2270" s="420"/>
      <c r="Y2270" s="420"/>
      <c r="Z2270" s="1"/>
      <c r="AA2270" s="1"/>
      <c r="AB2270" s="1"/>
      <c r="AC2270" s="1"/>
      <c r="AD2270" s="1"/>
    </row>
    <row r="2271" spans="17:30">
      <c r="Q2271" s="6">
        <v>2241</v>
      </c>
      <c r="R2271" s="7">
        <v>44908</v>
      </c>
      <c r="S2271" s="210">
        <v>4</v>
      </c>
      <c r="T2271" s="8">
        <v>1.0001111111111112</v>
      </c>
      <c r="U2271" s="98">
        <v>3.8043823971006141</v>
      </c>
      <c r="V2271" s="106">
        <v>31216.789373624222</v>
      </c>
      <c r="W2271" s="10">
        <v>0.91531927099892663</v>
      </c>
      <c r="X2271" s="420"/>
      <c r="Y2271" s="420"/>
      <c r="Z2271" s="1"/>
      <c r="AA2271" s="1"/>
      <c r="AB2271" s="1"/>
      <c r="AC2271" s="1"/>
      <c r="AD2271" s="1"/>
    </row>
    <row r="2272" spans="17:30">
      <c r="Q2272" s="6">
        <v>2242</v>
      </c>
      <c r="R2272" s="7">
        <v>44909</v>
      </c>
      <c r="S2272" s="210">
        <v>4</v>
      </c>
      <c r="T2272" s="8">
        <v>1.0001111111111112</v>
      </c>
      <c r="U2272" s="98">
        <v>3.8045312652463137</v>
      </c>
      <c r="V2272" s="106">
        <v>31219.301126787253</v>
      </c>
      <c r="W2272" s="10">
        <v>0.91541264426717728</v>
      </c>
      <c r="X2272" s="420"/>
      <c r="Y2272" s="420"/>
      <c r="Z2272" s="1"/>
      <c r="AA2272" s="1"/>
      <c r="AB2272" s="1"/>
      <c r="AC2272" s="1"/>
      <c r="AD2272" s="1"/>
    </row>
    <row r="2273" spans="17:30">
      <c r="Q2273" s="6">
        <v>2243</v>
      </c>
      <c r="R2273" s="7">
        <v>44910</v>
      </c>
      <c r="S2273" s="210">
        <v>4</v>
      </c>
      <c r="T2273" s="8">
        <v>1.0001111111111112</v>
      </c>
      <c r="U2273" s="98">
        <v>3.8046800008650239</v>
      </c>
      <c r="V2273" s="106">
        <v>31221.813082049983</v>
      </c>
      <c r="W2273" s="10">
        <v>0.91550593436426908</v>
      </c>
      <c r="X2273" s="420"/>
      <c r="Y2273" s="420"/>
      <c r="Z2273" s="1"/>
      <c r="AA2273" s="1"/>
      <c r="AB2273" s="1"/>
      <c r="AC2273" s="1"/>
      <c r="AD2273" s="1"/>
    </row>
    <row r="2274" spans="17:30">
      <c r="Q2274" s="6">
        <v>2244</v>
      </c>
      <c r="R2274" s="7">
        <v>44911</v>
      </c>
      <c r="S2274" s="210">
        <v>4</v>
      </c>
      <c r="T2274" s="8">
        <v>1.0001111111111112</v>
      </c>
      <c r="U2274" s="98">
        <v>3.8048286041336254</v>
      </c>
      <c r="V2274" s="106">
        <v>31224.32523942869</v>
      </c>
      <c r="W2274" s="10">
        <v>0.91559914140120213</v>
      </c>
      <c r="X2274" s="420"/>
      <c r="Y2274" s="420"/>
      <c r="Z2274" s="1"/>
      <c r="AA2274" s="1"/>
      <c r="AB2274" s="1"/>
      <c r="AC2274" s="1"/>
      <c r="AD2274" s="1"/>
    </row>
    <row r="2275" spans="17:30">
      <c r="Q2275" s="6">
        <v>2245</v>
      </c>
      <c r="R2275" s="7">
        <v>44912</v>
      </c>
      <c r="S2275" s="210">
        <v>4</v>
      </c>
      <c r="T2275" s="8">
        <v>1.0001111111111112</v>
      </c>
      <c r="U2275" s="98">
        <v>3.8049770752286882</v>
      </c>
      <c r="V2275" s="106">
        <v>31226.837598939623</v>
      </c>
      <c r="W2275" s="10">
        <v>0.91569226548890992</v>
      </c>
      <c r="X2275" s="420"/>
      <c r="Y2275" s="420"/>
      <c r="Z2275" s="1"/>
      <c r="AA2275" s="1"/>
      <c r="AB2275" s="1"/>
      <c r="AC2275" s="1"/>
      <c r="AD2275" s="1"/>
    </row>
    <row r="2276" spans="17:30">
      <c r="Q2276" s="6">
        <v>2246</v>
      </c>
      <c r="R2276" s="7">
        <v>44913</v>
      </c>
      <c r="S2276" s="210">
        <v>4</v>
      </c>
      <c r="T2276" s="8">
        <v>1.0001111111111112</v>
      </c>
      <c r="U2276" s="98">
        <v>3.8051254143264712</v>
      </c>
      <c r="V2276" s="106">
        <v>31229.35016059905</v>
      </c>
      <c r="W2276" s="10">
        <v>0.91578530673803726</v>
      </c>
      <c r="X2276" s="420"/>
      <c r="Y2276" s="420"/>
      <c r="Z2276" s="1"/>
      <c r="AA2276" s="1"/>
      <c r="AB2276" s="1"/>
      <c r="AC2276" s="1"/>
      <c r="AD2276" s="1"/>
    </row>
    <row r="2277" spans="17:30">
      <c r="Q2277" s="6">
        <v>2247</v>
      </c>
      <c r="R2277" s="7">
        <v>44914</v>
      </c>
      <c r="S2277" s="210">
        <v>4</v>
      </c>
      <c r="T2277" s="8">
        <v>1.0001111111111112</v>
      </c>
      <c r="U2277" s="98">
        <v>3.8052736216029448</v>
      </c>
      <c r="V2277" s="106">
        <v>31231.862924423232</v>
      </c>
      <c r="W2277" s="10">
        <v>0.91587826525907357</v>
      </c>
      <c r="X2277" s="420"/>
      <c r="Y2277" s="420"/>
      <c r="Z2277" s="1"/>
      <c r="AA2277" s="1"/>
      <c r="AB2277" s="1"/>
      <c r="AC2277" s="1"/>
      <c r="AD2277" s="1"/>
    </row>
    <row r="2278" spans="17:30">
      <c r="Q2278" s="6">
        <v>2248</v>
      </c>
      <c r="R2278" s="7">
        <v>44915</v>
      </c>
      <c r="S2278" s="210">
        <v>4</v>
      </c>
      <c r="T2278" s="8">
        <v>1.0001111111111112</v>
      </c>
      <c r="U2278" s="98">
        <v>3.805421697233724</v>
      </c>
      <c r="V2278" s="106">
        <v>31234.375890428448</v>
      </c>
      <c r="W2278" s="10">
        <v>0.91597114116230838</v>
      </c>
      <c r="X2278" s="420"/>
      <c r="Y2278" s="420"/>
      <c r="Z2278" s="1"/>
      <c r="AA2278" s="1"/>
      <c r="AB2278" s="1"/>
      <c r="AC2278" s="1"/>
      <c r="AD2278" s="1"/>
    </row>
    <row r="2279" spans="17:30">
      <c r="Q2279" s="6">
        <v>2249</v>
      </c>
      <c r="R2279" s="7">
        <v>44916</v>
      </c>
      <c r="S2279" s="210">
        <v>4</v>
      </c>
      <c r="T2279" s="8">
        <v>1.0001111111111112</v>
      </c>
      <c r="U2279" s="98">
        <v>3.8055696413941353</v>
      </c>
      <c r="V2279" s="106">
        <v>31236.88905863095</v>
      </c>
      <c r="W2279" s="10">
        <v>0.91606393455785362</v>
      </c>
      <c r="X2279" s="420"/>
      <c r="Y2279" s="420"/>
      <c r="Z2279" s="1"/>
      <c r="AA2279" s="1"/>
      <c r="AB2279" s="1"/>
      <c r="AC2279" s="1"/>
      <c r="AD2279" s="1"/>
    </row>
    <row r="2280" spans="17:30">
      <c r="Q2280" s="6">
        <v>2250</v>
      </c>
      <c r="R2280" s="7">
        <v>44917</v>
      </c>
      <c r="S2280" s="210">
        <v>4</v>
      </c>
      <c r="T2280" s="8">
        <v>1.0001111111111112</v>
      </c>
      <c r="U2280" s="98">
        <v>3.8057174542591943</v>
      </c>
      <c r="V2280" s="106">
        <v>31239.402429047015</v>
      </c>
      <c r="W2280" s="10">
        <v>0.91615664555557697</v>
      </c>
      <c r="X2280" s="420"/>
      <c r="Y2280" s="420"/>
      <c r="Z2280" s="1"/>
      <c r="AA2280" s="1"/>
      <c r="AB2280" s="1"/>
      <c r="AC2280" s="1"/>
      <c r="AD2280" s="1"/>
    </row>
    <row r="2281" spans="17:30">
      <c r="Q2281" s="6">
        <v>2251</v>
      </c>
      <c r="R2281" s="7">
        <v>44918</v>
      </c>
      <c r="S2281" s="210">
        <v>4</v>
      </c>
      <c r="T2281" s="8">
        <v>1.0001111111111112</v>
      </c>
      <c r="U2281" s="98">
        <v>3.8058651360036055</v>
      </c>
      <c r="V2281" s="106">
        <v>31241.916001692909</v>
      </c>
      <c r="W2281" s="10">
        <v>0.91624927426521285</v>
      </c>
      <c r="X2281" s="420"/>
      <c r="Y2281" s="420"/>
      <c r="Z2281" s="1"/>
      <c r="AA2281" s="1"/>
      <c r="AB2281" s="1"/>
      <c r="AC2281" s="1"/>
      <c r="AD2281" s="1"/>
    </row>
    <row r="2282" spans="17:30">
      <c r="Q2282" s="6">
        <v>2252</v>
      </c>
      <c r="R2282" s="7">
        <v>44919</v>
      </c>
      <c r="S2282" s="210">
        <v>4</v>
      </c>
      <c r="T2282" s="8">
        <v>1.0001111111111112</v>
      </c>
      <c r="U2282" s="98">
        <v>3.806012686801763</v>
      </c>
      <c r="V2282" s="106">
        <v>31244.429776584915</v>
      </c>
      <c r="W2282" s="10">
        <v>0.91634182079622928</v>
      </c>
      <c r="X2282" s="420"/>
      <c r="Y2282" s="420"/>
      <c r="Z2282" s="1"/>
      <c r="AA2282" s="1"/>
      <c r="AB2282" s="1"/>
      <c r="AC2282" s="1"/>
      <c r="AD2282" s="1"/>
    </row>
    <row r="2283" spans="17:30">
      <c r="Q2283" s="6">
        <v>2253</v>
      </c>
      <c r="R2283" s="7">
        <v>44920</v>
      </c>
      <c r="S2283" s="210">
        <v>4</v>
      </c>
      <c r="T2283" s="8">
        <v>1.0001111111111112</v>
      </c>
      <c r="U2283" s="98">
        <v>3.8061601068277495</v>
      </c>
      <c r="V2283" s="106">
        <v>31246.943753739295</v>
      </c>
      <c r="W2283" s="10">
        <v>0.916434285257961</v>
      </c>
      <c r="X2283" s="420"/>
      <c r="Y2283" s="420"/>
      <c r="Z2283" s="1"/>
      <c r="AA2283" s="1"/>
      <c r="AB2283" s="1"/>
      <c r="AC2283" s="1"/>
      <c r="AD2283" s="1"/>
    </row>
    <row r="2284" spans="17:30">
      <c r="Q2284" s="6">
        <v>2254</v>
      </c>
      <c r="R2284" s="7">
        <v>44921</v>
      </c>
      <c r="S2284" s="210">
        <v>4</v>
      </c>
      <c r="T2284" s="8">
        <v>1.0001111111111112</v>
      </c>
      <c r="U2284" s="98">
        <v>3.8063073962553373</v>
      </c>
      <c r="V2284" s="106">
        <v>31249.457933172329</v>
      </c>
      <c r="W2284" s="10">
        <v>0.91652666775954295</v>
      </c>
      <c r="X2284" s="420"/>
      <c r="Y2284" s="420"/>
      <c r="Z2284" s="1"/>
      <c r="AA2284" s="1"/>
      <c r="AB2284" s="1"/>
      <c r="AC2284" s="1"/>
      <c r="AD2284" s="1"/>
    </row>
    <row r="2285" spans="17:30">
      <c r="Q2285" s="6">
        <v>2255</v>
      </c>
      <c r="R2285" s="7">
        <v>44922</v>
      </c>
      <c r="S2285" s="210">
        <v>4</v>
      </c>
      <c r="T2285" s="8">
        <v>1.0001111111111112</v>
      </c>
      <c r="U2285" s="98">
        <v>3.8064545552580098</v>
      </c>
      <c r="V2285" s="106">
        <v>31251.972314900293</v>
      </c>
      <c r="W2285" s="10">
        <v>0.91661896840986579</v>
      </c>
      <c r="X2285" s="420"/>
      <c r="Y2285" s="420"/>
      <c r="Z2285" s="1"/>
      <c r="AA2285" s="1"/>
      <c r="AB2285" s="1"/>
      <c r="AC2285" s="1"/>
      <c r="AD2285" s="1"/>
    </row>
    <row r="2286" spans="17:30">
      <c r="Q2286" s="6">
        <v>2256</v>
      </c>
      <c r="R2286" s="7">
        <v>44923</v>
      </c>
      <c r="S2286" s="210">
        <v>4</v>
      </c>
      <c r="T2286" s="8">
        <v>1.0001111111111112</v>
      </c>
      <c r="U2286" s="98">
        <v>3.8066015840088951</v>
      </c>
      <c r="V2286" s="106">
        <v>31254.48689893946</v>
      </c>
      <c r="W2286" s="10">
        <v>0.91671118731768697</v>
      </c>
      <c r="X2286" s="420"/>
      <c r="Y2286" s="420"/>
      <c r="Z2286" s="1"/>
      <c r="AA2286" s="1"/>
      <c r="AB2286" s="1"/>
      <c r="AC2286" s="1"/>
      <c r="AD2286" s="1"/>
    </row>
    <row r="2287" spans="17:30">
      <c r="Q2287" s="6">
        <v>2257</v>
      </c>
      <c r="R2287" s="7">
        <v>44924</v>
      </c>
      <c r="S2287" s="210">
        <v>4</v>
      </c>
      <c r="T2287" s="8">
        <v>1.0001111111111112</v>
      </c>
      <c r="U2287" s="98">
        <v>3.8067484826808773</v>
      </c>
      <c r="V2287" s="106">
        <v>31257.001685306102</v>
      </c>
      <c r="W2287" s="10">
        <v>0.9168033245915419</v>
      </c>
      <c r="X2287" s="420"/>
      <c r="Y2287" s="420"/>
      <c r="Z2287" s="1"/>
      <c r="AA2287" s="1"/>
      <c r="AB2287" s="1"/>
      <c r="AC2287" s="1"/>
      <c r="AD2287" s="1"/>
    </row>
    <row r="2288" spans="17:30">
      <c r="Q2288" s="6">
        <v>2258</v>
      </c>
      <c r="R2288" s="7">
        <v>44925</v>
      </c>
      <c r="S2288" s="210">
        <v>4</v>
      </c>
      <c r="T2288" s="8">
        <v>1.0001111111111112</v>
      </c>
      <c r="U2288" s="98">
        <v>3.8068952514464849</v>
      </c>
      <c r="V2288" s="106">
        <v>31259.516674016511</v>
      </c>
      <c r="W2288" s="10">
        <v>0.91689538033976614</v>
      </c>
      <c r="X2288" s="420"/>
      <c r="Y2288" s="420"/>
      <c r="Z2288" s="1"/>
      <c r="AA2288" s="1"/>
      <c r="AB2288" s="1"/>
      <c r="AC2288" s="1"/>
      <c r="AD2288" s="1"/>
    </row>
    <row r="2289" spans="17:30">
      <c r="Q2289" s="6">
        <v>2259</v>
      </c>
      <c r="R2289" s="7">
        <v>44926</v>
      </c>
      <c r="S2289" s="210">
        <v>4</v>
      </c>
      <c r="T2289" s="8">
        <v>1.0001111111111112</v>
      </c>
      <c r="U2289" s="98">
        <v>3.8070418904779801</v>
      </c>
      <c r="V2289" s="106">
        <v>31262.031865086963</v>
      </c>
      <c r="W2289" s="10">
        <v>0.91698735467053982</v>
      </c>
      <c r="X2289" s="420"/>
      <c r="Y2289" s="420"/>
      <c r="Z2289" s="1"/>
      <c r="AA2289" s="1"/>
      <c r="AB2289" s="1"/>
      <c r="AC2289" s="1"/>
      <c r="AD2289" s="1"/>
    </row>
    <row r="2290" spans="17:30">
      <c r="Q2290" s="6">
        <v>2260</v>
      </c>
      <c r="R2290" s="7">
        <v>44927</v>
      </c>
      <c r="S2290" s="210">
        <v>4</v>
      </c>
      <c r="T2290" s="8">
        <v>1.0001111111111112</v>
      </c>
      <c r="U2290" s="98">
        <v>3.8071883999472922</v>
      </c>
      <c r="V2290" s="106">
        <v>31264.547258533745</v>
      </c>
      <c r="W2290" s="10">
        <v>0.91707924769182103</v>
      </c>
      <c r="X2290" s="420"/>
      <c r="Y2290" s="420"/>
      <c r="Z2290" s="1"/>
      <c r="AA2290" s="1"/>
      <c r="AB2290" s="1"/>
      <c r="AC2290" s="1"/>
      <c r="AD2290" s="1"/>
    </row>
    <row r="2291" spans="17:30">
      <c r="Q2291" s="6">
        <v>2261</v>
      </c>
      <c r="R2291" s="7">
        <v>44928</v>
      </c>
      <c r="S2291" s="210">
        <v>4</v>
      </c>
      <c r="T2291" s="8">
        <v>1.0001111111111112</v>
      </c>
      <c r="U2291" s="98">
        <v>3.8073347800260393</v>
      </c>
      <c r="V2291" s="106">
        <v>31267.062854373129</v>
      </c>
      <c r="W2291" s="10">
        <v>0.91717105951134581</v>
      </c>
      <c r="X2291" s="420"/>
      <c r="Y2291" s="420"/>
      <c r="Z2291" s="1"/>
      <c r="AA2291" s="1"/>
      <c r="AB2291" s="1"/>
      <c r="AC2291" s="1"/>
      <c r="AD2291" s="1"/>
    </row>
    <row r="2292" spans="17:30">
      <c r="Q2292" s="6">
        <v>2262</v>
      </c>
      <c r="R2292" s="7">
        <v>44929</v>
      </c>
      <c r="S2292" s="210">
        <v>4</v>
      </c>
      <c r="T2292" s="8">
        <v>1.0001111111111112</v>
      </c>
      <c r="U2292" s="98">
        <v>3.8074810308855733</v>
      </c>
      <c r="V2292" s="106">
        <v>31269.578652621414</v>
      </c>
      <c r="W2292" s="10">
        <v>0.91726279023673918</v>
      </c>
      <c r="X2292" s="420"/>
      <c r="Y2292" s="420"/>
      <c r="Z2292" s="1"/>
      <c r="AA2292" s="1"/>
      <c r="AB2292" s="1"/>
      <c r="AC2292" s="1"/>
      <c r="AD2292" s="1"/>
    </row>
    <row r="2293" spans="17:30">
      <c r="Q2293" s="6">
        <v>2263</v>
      </c>
      <c r="R2293" s="7">
        <v>44930</v>
      </c>
      <c r="S2293" s="210">
        <v>4</v>
      </c>
      <c r="T2293" s="8">
        <v>1.0001111111111112</v>
      </c>
      <c r="U2293" s="98">
        <v>3.807627152696913</v>
      </c>
      <c r="V2293" s="106">
        <v>31272.094653294869</v>
      </c>
      <c r="W2293" s="10">
        <v>0.91735443997538191</v>
      </c>
      <c r="X2293" s="420"/>
      <c r="Y2293" s="420"/>
      <c r="Z2293" s="1"/>
      <c r="AA2293" s="1"/>
      <c r="AB2293" s="1"/>
      <c r="AC2293" s="1"/>
      <c r="AD2293" s="1"/>
    </row>
    <row r="2294" spans="17:30">
      <c r="Q2294" s="6">
        <v>2264</v>
      </c>
      <c r="R2294" s="7">
        <v>44931</v>
      </c>
      <c r="S2294" s="210">
        <v>4</v>
      </c>
      <c r="T2294" s="8">
        <v>1.0001111111111112</v>
      </c>
      <c r="U2294" s="98">
        <v>3.8077731456308106</v>
      </c>
      <c r="V2294" s="106">
        <v>31274.610856409803</v>
      </c>
      <c r="W2294" s="10">
        <v>0.91744600883449934</v>
      </c>
      <c r="X2294" s="420"/>
      <c r="Y2294" s="420"/>
      <c r="Z2294" s="1"/>
      <c r="AA2294" s="1"/>
      <c r="AB2294" s="1"/>
      <c r="AC2294" s="1"/>
      <c r="AD2294" s="1"/>
    </row>
    <row r="2295" spans="17:30">
      <c r="Q2295" s="6">
        <v>2265</v>
      </c>
      <c r="R2295" s="7">
        <v>44932</v>
      </c>
      <c r="S2295" s="210">
        <v>4</v>
      </c>
      <c r="T2295" s="8">
        <v>1.0001111111111112</v>
      </c>
      <c r="U2295" s="98">
        <v>3.8079190098576632</v>
      </c>
      <c r="V2295" s="106">
        <v>31277.127261982485</v>
      </c>
      <c r="W2295" s="10">
        <v>0.91753749692107256</v>
      </c>
      <c r="X2295" s="420"/>
      <c r="Y2295" s="420"/>
      <c r="Z2295" s="1"/>
      <c r="AA2295" s="1"/>
      <c r="AB2295" s="1"/>
      <c r="AC2295" s="1"/>
      <c r="AD2295" s="1"/>
    </row>
    <row r="2296" spans="17:30">
      <c r="Q2296" s="6">
        <v>2266</v>
      </c>
      <c r="R2296" s="7">
        <v>44933</v>
      </c>
      <c r="S2296" s="210">
        <v>4</v>
      </c>
      <c r="T2296" s="8">
        <v>1.0001111111111112</v>
      </c>
      <c r="U2296" s="98">
        <v>3.8080647455476235</v>
      </c>
      <c r="V2296" s="106">
        <v>31279.643870029224</v>
      </c>
      <c r="W2296" s="10">
        <v>0.91762890434197164</v>
      </c>
      <c r="X2296" s="420"/>
      <c r="Y2296" s="420"/>
      <c r="Z2296" s="1"/>
      <c r="AA2296" s="1"/>
      <c r="AB2296" s="1"/>
      <c r="AC2296" s="1"/>
      <c r="AD2296" s="1"/>
    </row>
    <row r="2297" spans="17:30">
      <c r="Q2297" s="6">
        <v>2267</v>
      </c>
      <c r="R2297" s="7">
        <v>44934</v>
      </c>
      <c r="S2297" s="210">
        <v>4</v>
      </c>
      <c r="T2297" s="8">
        <v>1.0001111111111112</v>
      </c>
      <c r="U2297" s="98">
        <v>3.8082103528704891</v>
      </c>
      <c r="V2297" s="106">
        <v>31282.160680566289</v>
      </c>
      <c r="W2297" s="10">
        <v>0.91772023120377799</v>
      </c>
      <c r="X2297" s="420"/>
      <c r="Y2297" s="420"/>
      <c r="Z2297" s="1"/>
      <c r="AA2297" s="1"/>
      <c r="AB2297" s="1"/>
      <c r="AC2297" s="1"/>
      <c r="AD2297" s="1"/>
    </row>
    <row r="2298" spans="17:30">
      <c r="Q2298" s="6">
        <v>2268</v>
      </c>
      <c r="R2298" s="7">
        <v>44935</v>
      </c>
      <c r="S2298" s="210">
        <v>4</v>
      </c>
      <c r="T2298" s="8">
        <v>1.0001111111111112</v>
      </c>
      <c r="U2298" s="98">
        <v>3.8083558319958133</v>
      </c>
      <c r="V2298" s="106">
        <v>31284.677693609989</v>
      </c>
      <c r="W2298" s="10">
        <v>0.91781147761298421</v>
      </c>
      <c r="X2298" s="420"/>
      <c r="Y2298" s="420"/>
      <c r="Z2298" s="1"/>
      <c r="AA2298" s="1"/>
      <c r="AB2298" s="1"/>
      <c r="AC2298" s="1"/>
      <c r="AD2298" s="1"/>
    </row>
    <row r="2299" spans="17:30">
      <c r="Q2299" s="6">
        <v>2269</v>
      </c>
      <c r="R2299" s="7">
        <v>44936</v>
      </c>
      <c r="S2299" s="210">
        <v>4</v>
      </c>
      <c r="T2299" s="8">
        <v>1.0001111111111112</v>
      </c>
      <c r="U2299" s="98">
        <v>3.8085011830928162</v>
      </c>
      <c r="V2299" s="106">
        <v>31287.194909176611</v>
      </c>
      <c r="W2299" s="10">
        <v>0.91790264367583863</v>
      </c>
      <c r="X2299" s="420"/>
      <c r="Y2299" s="420"/>
      <c r="Z2299" s="1"/>
      <c r="AA2299" s="1"/>
      <c r="AB2299" s="1"/>
      <c r="AC2299" s="1"/>
      <c r="AD2299" s="1"/>
    </row>
    <row r="2300" spans="17:30">
      <c r="Q2300" s="6">
        <v>2270</v>
      </c>
      <c r="R2300" s="7">
        <v>44937</v>
      </c>
      <c r="S2300" s="210">
        <v>4</v>
      </c>
      <c r="T2300" s="8">
        <v>1.0001111111111112</v>
      </c>
      <c r="U2300" s="98">
        <v>3.8086464063304293</v>
      </c>
      <c r="V2300" s="106">
        <v>31289.712327282454</v>
      </c>
      <c r="W2300" s="10">
        <v>0.91799372949843416</v>
      </c>
      <c r="X2300" s="420"/>
      <c r="Y2300" s="420"/>
      <c r="Z2300" s="1"/>
      <c r="AA2300" s="1"/>
      <c r="AB2300" s="1"/>
      <c r="AC2300" s="1"/>
      <c r="AD2300" s="1"/>
    </row>
    <row r="2301" spans="17:30">
      <c r="Q2301" s="6">
        <v>2271</v>
      </c>
      <c r="R2301" s="7">
        <v>44938</v>
      </c>
      <c r="S2301" s="210">
        <v>4</v>
      </c>
      <c r="T2301" s="8">
        <v>1.0001111111111112</v>
      </c>
      <c r="U2301" s="98">
        <v>3.8087915018772733</v>
      </c>
      <c r="V2301" s="106">
        <v>31292.229947943812</v>
      </c>
      <c r="W2301" s="10">
        <v>0.91808473518661948</v>
      </c>
      <c r="X2301" s="420"/>
      <c r="Y2301" s="420"/>
      <c r="Z2301" s="1"/>
      <c r="AA2301" s="1"/>
      <c r="AB2301" s="1"/>
      <c r="AC2301" s="1"/>
      <c r="AD2301" s="1"/>
    </row>
    <row r="2302" spans="17:30">
      <c r="Q2302" s="6">
        <v>2272</v>
      </c>
      <c r="R2302" s="7">
        <v>44939</v>
      </c>
      <c r="S2302" s="210">
        <v>4</v>
      </c>
      <c r="T2302" s="8">
        <v>1.0001111111111112</v>
      </c>
      <c r="U2302" s="98">
        <v>3.8089364699017025</v>
      </c>
      <c r="V2302" s="106">
        <v>31294.747771176986</v>
      </c>
      <c r="W2302" s="10">
        <v>0.91817566084611002</v>
      </c>
      <c r="X2302" s="420"/>
      <c r="Y2302" s="420"/>
      <c r="Z2302" s="1"/>
      <c r="AA2302" s="1"/>
      <c r="AB2302" s="1"/>
      <c r="AC2302" s="1"/>
      <c r="AD2302" s="1"/>
    </row>
    <row r="2303" spans="17:30">
      <c r="Q2303" s="6">
        <v>2273</v>
      </c>
      <c r="R2303" s="7">
        <v>44940</v>
      </c>
      <c r="S2303" s="210">
        <v>4</v>
      </c>
      <c r="T2303" s="8">
        <v>1.0001111111111112</v>
      </c>
      <c r="U2303" s="98">
        <v>3.8090813105717602</v>
      </c>
      <c r="V2303" s="106">
        <v>31297.265796998279</v>
      </c>
      <c r="W2303" s="10">
        <v>0.91826650658246578</v>
      </c>
      <c r="X2303" s="420"/>
      <c r="Y2303" s="420"/>
      <c r="Z2303" s="1"/>
      <c r="AA2303" s="1"/>
      <c r="AB2303" s="1"/>
      <c r="AC2303" s="1"/>
      <c r="AD2303" s="1"/>
    </row>
    <row r="2304" spans="17:30">
      <c r="Q2304" s="6">
        <v>2274</v>
      </c>
      <c r="R2304" s="7">
        <v>44941</v>
      </c>
      <c r="S2304" s="210">
        <v>4</v>
      </c>
      <c r="T2304" s="8">
        <v>1.0001111111111112</v>
      </c>
      <c r="U2304" s="98">
        <v>3.809226024055179</v>
      </c>
      <c r="V2304" s="106">
        <v>31299.784025423982</v>
      </c>
      <c r="W2304" s="10">
        <v>0.91835727250095811</v>
      </c>
      <c r="X2304" s="420"/>
      <c r="Y2304" s="420"/>
      <c r="Z2304" s="1"/>
      <c r="AA2304" s="1"/>
      <c r="AB2304" s="1"/>
      <c r="AC2304" s="1"/>
      <c r="AD2304" s="1"/>
    </row>
    <row r="2305" spans="17:30">
      <c r="Q2305" s="6">
        <v>2275</v>
      </c>
      <c r="R2305" s="7">
        <v>44942</v>
      </c>
      <c r="S2305" s="210">
        <v>4</v>
      </c>
      <c r="T2305" s="8">
        <v>1.0001111111111112</v>
      </c>
      <c r="U2305" s="98">
        <v>3.8093706105194247</v>
      </c>
      <c r="V2305" s="106">
        <v>31302.302456470392</v>
      </c>
      <c r="W2305" s="10">
        <v>0.91844795870679174</v>
      </c>
      <c r="X2305" s="420"/>
      <c r="Y2305" s="420"/>
      <c r="Z2305" s="1"/>
      <c r="AA2305" s="1"/>
      <c r="AB2305" s="1"/>
      <c r="AC2305" s="1"/>
      <c r="AD2305" s="1"/>
    </row>
    <row r="2306" spans="17:30">
      <c r="Q2306" s="6">
        <v>2276</v>
      </c>
      <c r="R2306" s="7">
        <v>44943</v>
      </c>
      <c r="S2306" s="210">
        <v>4</v>
      </c>
      <c r="T2306" s="8">
        <v>1.0001111111111112</v>
      </c>
      <c r="U2306" s="98">
        <v>3.8095150701316527</v>
      </c>
      <c r="V2306" s="106">
        <v>31304.821090153833</v>
      </c>
      <c r="W2306" s="10">
        <v>0.91853856530488276</v>
      </c>
      <c r="X2306" s="420"/>
      <c r="Y2306" s="420"/>
      <c r="Z2306" s="1"/>
      <c r="AA2306" s="1"/>
      <c r="AB2306" s="1"/>
      <c r="AC2306" s="1"/>
      <c r="AD2306" s="1"/>
    </row>
    <row r="2307" spans="17:30">
      <c r="Q2307" s="6">
        <v>2277</v>
      </c>
      <c r="R2307" s="7">
        <v>44944</v>
      </c>
      <c r="S2307" s="210">
        <v>4</v>
      </c>
      <c r="T2307" s="8">
        <v>1.0001111111111112</v>
      </c>
      <c r="U2307" s="98">
        <v>3.8096594030587294</v>
      </c>
      <c r="V2307" s="106">
        <v>31307.339926490593</v>
      </c>
      <c r="W2307" s="10">
        <v>0.918629092400014</v>
      </c>
      <c r="X2307" s="420"/>
      <c r="Y2307" s="420"/>
      <c r="Z2307" s="1"/>
      <c r="AA2307" s="1"/>
      <c r="AB2307" s="1"/>
      <c r="AC2307" s="1"/>
      <c r="AD2307" s="1"/>
    </row>
    <row r="2308" spans="17:30">
      <c r="Q2308" s="6">
        <v>2278</v>
      </c>
      <c r="R2308" s="7">
        <v>44945</v>
      </c>
      <c r="S2308" s="210">
        <v>4</v>
      </c>
      <c r="T2308" s="8">
        <v>1.0001111111111112</v>
      </c>
      <c r="U2308" s="98">
        <v>3.8098036094672327</v>
      </c>
      <c r="V2308" s="106">
        <v>31309.858965496984</v>
      </c>
      <c r="W2308" s="10">
        <v>0.91871954009681289</v>
      </c>
      <c r="X2308" s="420"/>
      <c r="Y2308" s="420"/>
      <c r="Z2308" s="1"/>
      <c r="AA2308" s="1"/>
      <c r="AB2308" s="1"/>
      <c r="AC2308" s="1"/>
      <c r="AD2308" s="1"/>
    </row>
    <row r="2309" spans="17:30">
      <c r="Q2309" s="6">
        <v>2279</v>
      </c>
      <c r="R2309" s="7">
        <v>44946</v>
      </c>
      <c r="S2309" s="210">
        <v>4</v>
      </c>
      <c r="T2309" s="8">
        <v>1.0001111111111112</v>
      </c>
      <c r="U2309" s="98">
        <v>3.8099476895234519</v>
      </c>
      <c r="V2309" s="106">
        <v>31312.378207189307</v>
      </c>
      <c r="W2309" s="10">
        <v>0.9188099084996626</v>
      </c>
      <c r="X2309" s="420"/>
      <c r="Y2309" s="420"/>
      <c r="Z2309" s="1"/>
      <c r="AA2309" s="1"/>
      <c r="AB2309" s="1"/>
      <c r="AC2309" s="1"/>
      <c r="AD2309" s="1"/>
    </row>
    <row r="2310" spans="17:30">
      <c r="Q2310" s="6">
        <v>2280</v>
      </c>
      <c r="R2310" s="7">
        <v>44947</v>
      </c>
      <c r="S2310" s="210">
        <v>4</v>
      </c>
      <c r="T2310" s="8">
        <v>1.0001111111111112</v>
      </c>
      <c r="U2310" s="98">
        <v>3.8100916433933651</v>
      </c>
      <c r="V2310" s="106">
        <v>31314.897651583877</v>
      </c>
      <c r="W2310" s="10">
        <v>0.91890019771281306</v>
      </c>
      <c r="X2310" s="420"/>
      <c r="Y2310" s="420"/>
      <c r="Z2310" s="1"/>
      <c r="AA2310" s="1"/>
      <c r="AB2310" s="1"/>
      <c r="AC2310" s="1"/>
      <c r="AD2310" s="1"/>
    </row>
    <row r="2311" spans="17:30">
      <c r="Q2311" s="6">
        <v>2281</v>
      </c>
      <c r="R2311" s="7">
        <v>44948</v>
      </c>
      <c r="S2311" s="210">
        <v>4</v>
      </c>
      <c r="T2311" s="8">
        <v>1.0001111111111112</v>
      </c>
      <c r="U2311" s="98">
        <v>3.8102354712426623</v>
      </c>
      <c r="V2311" s="106">
        <v>31317.417298697004</v>
      </c>
      <c r="W2311" s="10">
        <v>0.91899040784029218</v>
      </c>
      <c r="X2311" s="420"/>
      <c r="Y2311" s="420"/>
      <c r="Z2311" s="1"/>
      <c r="AA2311" s="1"/>
      <c r="AB2311" s="1"/>
      <c r="AC2311" s="1"/>
      <c r="AD2311" s="1"/>
    </row>
    <row r="2312" spans="17:30">
      <c r="Q2312" s="6">
        <v>2282</v>
      </c>
      <c r="R2312" s="7">
        <v>44949</v>
      </c>
      <c r="S2312" s="210">
        <v>4</v>
      </c>
      <c r="T2312" s="8">
        <v>1.0001111111111112</v>
      </c>
      <c r="U2312" s="98">
        <v>3.8103791732367664</v>
      </c>
      <c r="V2312" s="106">
        <v>31319.937148544996</v>
      </c>
      <c r="W2312" s="10">
        <v>0.91908053898595021</v>
      </c>
      <c r="X2312" s="420"/>
      <c r="Y2312" s="420"/>
      <c r="Z2312" s="1"/>
      <c r="AA2312" s="1"/>
      <c r="AB2312" s="1"/>
      <c r="AC2312" s="1"/>
      <c r="AD2312" s="1"/>
    </row>
    <row r="2313" spans="17:30">
      <c r="Q2313" s="6">
        <v>2283</v>
      </c>
      <c r="R2313" s="7">
        <v>44950</v>
      </c>
      <c r="S2313" s="210">
        <v>4</v>
      </c>
      <c r="T2313" s="8">
        <v>1.0001111111111112</v>
      </c>
      <c r="U2313" s="98">
        <v>3.8105227495407901</v>
      </c>
      <c r="V2313" s="106">
        <v>31322.457201144171</v>
      </c>
      <c r="W2313" s="10">
        <v>0.91917059125348199</v>
      </c>
      <c r="X2313" s="420"/>
      <c r="Y2313" s="420"/>
      <c r="Z2313" s="1"/>
      <c r="AA2313" s="1"/>
      <c r="AB2313" s="1"/>
      <c r="AC2313" s="1"/>
      <c r="AD2313" s="1"/>
    </row>
    <row r="2314" spans="17:30">
      <c r="Q2314" s="6">
        <v>2284</v>
      </c>
      <c r="R2314" s="7">
        <v>44951</v>
      </c>
      <c r="S2314" s="210">
        <v>4</v>
      </c>
      <c r="T2314" s="8">
        <v>1.0001111111111112</v>
      </c>
      <c r="U2314" s="98">
        <v>3.810666200319579</v>
      </c>
      <c r="V2314" s="106">
        <v>31324.977456510831</v>
      </c>
      <c r="W2314" s="10">
        <v>0.91926056474640472</v>
      </c>
      <c r="X2314" s="420"/>
      <c r="Y2314" s="420"/>
      <c r="Z2314" s="1"/>
      <c r="AA2314" s="1"/>
      <c r="AB2314" s="1"/>
      <c r="AC2314" s="1"/>
      <c r="AD2314" s="1"/>
    </row>
    <row r="2315" spans="17:30">
      <c r="Q2315" s="6">
        <v>2285</v>
      </c>
      <c r="R2315" s="7">
        <v>44952</v>
      </c>
      <c r="S2315" s="210">
        <v>4</v>
      </c>
      <c r="T2315" s="8">
        <v>1.0001111111111112</v>
      </c>
      <c r="U2315" s="98">
        <v>3.8108095257376684</v>
      </c>
      <c r="V2315" s="106">
        <v>31327.4979146613</v>
      </c>
      <c r="W2315" s="10">
        <v>0.91935045956801353</v>
      </c>
      <c r="X2315" s="420"/>
      <c r="Y2315" s="420"/>
      <c r="Z2315" s="1"/>
      <c r="AA2315" s="1"/>
      <c r="AB2315" s="1"/>
      <c r="AC2315" s="1"/>
      <c r="AD2315" s="1"/>
    </row>
    <row r="2316" spans="17:30">
      <c r="Q2316" s="6">
        <v>2286</v>
      </c>
      <c r="R2316" s="7">
        <v>44953</v>
      </c>
      <c r="S2316" s="210">
        <v>4</v>
      </c>
      <c r="T2316" s="8">
        <v>1.0001111111111112</v>
      </c>
      <c r="U2316" s="98">
        <v>3.8109527259593046</v>
      </c>
      <c r="V2316" s="106">
        <v>31330.018575611899</v>
      </c>
      <c r="W2316" s="10">
        <v>0.91944027582144816</v>
      </c>
      <c r="X2316" s="420"/>
      <c r="Y2316" s="420"/>
      <c r="Z2316" s="1"/>
      <c r="AA2316" s="1"/>
      <c r="AB2316" s="1"/>
      <c r="AC2316" s="1"/>
      <c r="AD2316" s="1"/>
    </row>
    <row r="2317" spans="17:30">
      <c r="Q2317" s="6">
        <v>2287</v>
      </c>
      <c r="R2317" s="7">
        <v>44954</v>
      </c>
      <c r="S2317" s="210">
        <v>4</v>
      </c>
      <c r="T2317" s="8">
        <v>1.0001111111111112</v>
      </c>
      <c r="U2317" s="98">
        <v>3.8110958011484675</v>
      </c>
      <c r="V2317" s="106">
        <v>31332.539439378928</v>
      </c>
      <c r="W2317" s="10">
        <v>0.91953001360969289</v>
      </c>
      <c r="X2317" s="420"/>
      <c r="Y2317" s="420"/>
      <c r="Z2317" s="1"/>
      <c r="AA2317" s="1"/>
      <c r="AB2317" s="1"/>
      <c r="AC2317" s="1"/>
      <c r="AD2317" s="1"/>
    </row>
    <row r="2318" spans="17:30">
      <c r="Q2318" s="6">
        <v>2288</v>
      </c>
      <c r="R2318" s="7">
        <v>44955</v>
      </c>
      <c r="S2318" s="210">
        <v>4</v>
      </c>
      <c r="T2318" s="8">
        <v>1.0001111111111112</v>
      </c>
      <c r="U2318" s="98">
        <v>3.8112387514688484</v>
      </c>
      <c r="V2318" s="106">
        <v>31335.060505978719</v>
      </c>
      <c r="W2318" s="10">
        <v>0.91961967303548775</v>
      </c>
      <c r="X2318" s="420"/>
      <c r="Y2318" s="420"/>
      <c r="Z2318" s="1"/>
      <c r="AA2318" s="1"/>
      <c r="AB2318" s="1"/>
      <c r="AC2318" s="1"/>
      <c r="AD2318" s="1"/>
    </row>
    <row r="2319" spans="17:30">
      <c r="Q2319" s="6">
        <v>2289</v>
      </c>
      <c r="R2319" s="7">
        <v>44956</v>
      </c>
      <c r="S2319" s="210">
        <v>4</v>
      </c>
      <c r="T2319" s="8">
        <v>1.0001111111111112</v>
      </c>
      <c r="U2319" s="98">
        <v>3.8113815770838277</v>
      </c>
      <c r="V2319" s="106">
        <v>31337.581775427592</v>
      </c>
      <c r="W2319" s="10">
        <v>0.91970925420146177</v>
      </c>
      <c r="X2319" s="420"/>
      <c r="Y2319" s="420"/>
      <c r="Z2319" s="1"/>
      <c r="AA2319" s="1"/>
      <c r="AB2319" s="1"/>
      <c r="AC2319" s="1"/>
      <c r="AD2319" s="1"/>
    </row>
    <row r="2320" spans="17:30">
      <c r="Q2320" s="6">
        <v>2290</v>
      </c>
      <c r="R2320" s="7">
        <v>44957</v>
      </c>
      <c r="S2320" s="210">
        <v>4</v>
      </c>
      <c r="T2320" s="8">
        <v>1.0001111111111112</v>
      </c>
      <c r="U2320" s="98">
        <v>3.8115242781565195</v>
      </c>
      <c r="V2320" s="106">
        <v>31340.103247741867</v>
      </c>
      <c r="W2320" s="10">
        <v>0.91979875721002191</v>
      </c>
      <c r="X2320" s="420"/>
      <c r="Y2320" s="420"/>
      <c r="Z2320" s="1"/>
      <c r="AA2320" s="1"/>
      <c r="AB2320" s="1"/>
      <c r="AC2320" s="1"/>
      <c r="AD2320" s="1"/>
    </row>
    <row r="2321" spans="17:30">
      <c r="Q2321" s="6">
        <v>2291</v>
      </c>
      <c r="R2321" s="7">
        <v>44958</v>
      </c>
      <c r="S2321" s="210">
        <v>4</v>
      </c>
      <c r="T2321" s="8">
        <v>1.0001111111111112</v>
      </c>
      <c r="U2321" s="98">
        <v>3.811666854849749</v>
      </c>
      <c r="V2321" s="106">
        <v>31342.62492293787</v>
      </c>
      <c r="W2321" s="10">
        <v>0.91988818216337531</v>
      </c>
      <c r="X2321" s="420"/>
      <c r="Y2321" s="420"/>
      <c r="Z2321" s="1"/>
      <c r="AA2321" s="1"/>
      <c r="AB2321" s="1"/>
      <c r="AC2321" s="1"/>
      <c r="AD2321" s="1"/>
    </row>
    <row r="2322" spans="17:30">
      <c r="Q2322" s="6">
        <v>2292</v>
      </c>
      <c r="R2322" s="7">
        <v>44959</v>
      </c>
      <c r="S2322" s="210">
        <v>4</v>
      </c>
      <c r="T2322" s="8">
        <v>1.0001111111111112</v>
      </c>
      <c r="U2322" s="98">
        <v>3.811809307326075</v>
      </c>
      <c r="V2322" s="106">
        <v>31345.146801031915</v>
      </c>
      <c r="W2322" s="10">
        <v>0.91997752916366249</v>
      </c>
      <c r="X2322" s="420"/>
      <c r="Y2322" s="420"/>
      <c r="Z2322" s="1"/>
      <c r="AA2322" s="1"/>
      <c r="AB2322" s="1"/>
      <c r="AC2322" s="1"/>
      <c r="AD2322" s="1"/>
    </row>
    <row r="2323" spans="17:30">
      <c r="Q2323" s="6">
        <v>2293</v>
      </c>
      <c r="R2323" s="7">
        <v>44960</v>
      </c>
      <c r="S2323" s="210">
        <v>4</v>
      </c>
      <c r="T2323" s="8">
        <v>1.0001111111111112</v>
      </c>
      <c r="U2323" s="98">
        <v>3.8119516357477456</v>
      </c>
      <c r="V2323" s="106">
        <v>31347.66888204034</v>
      </c>
      <c r="W2323" s="10">
        <v>0.92006679831269089</v>
      </c>
      <c r="X2323" s="420"/>
      <c r="Y2323" s="420"/>
      <c r="Z2323" s="1"/>
      <c r="AA2323" s="1"/>
      <c r="AB2323" s="1"/>
      <c r="AC2323" s="1"/>
      <c r="AD2323" s="1"/>
    </row>
    <row r="2324" spans="17:30">
      <c r="Q2324" s="6">
        <v>2294</v>
      </c>
      <c r="R2324" s="7">
        <v>44961</v>
      </c>
      <c r="S2324" s="210">
        <v>4</v>
      </c>
      <c r="T2324" s="8">
        <v>1.0001111111111112</v>
      </c>
      <c r="U2324" s="98">
        <v>3.8120938402767424</v>
      </c>
      <c r="V2324" s="106">
        <v>31350.19116597946</v>
      </c>
      <c r="W2324" s="10">
        <v>0.92015598971222357</v>
      </c>
      <c r="X2324" s="420"/>
      <c r="Y2324" s="420"/>
      <c r="Z2324" s="1"/>
      <c r="AA2324" s="1"/>
      <c r="AB2324" s="1"/>
      <c r="AC2324" s="1"/>
      <c r="AD2324" s="1"/>
    </row>
    <row r="2325" spans="17:30">
      <c r="Q2325" s="6">
        <v>2295</v>
      </c>
      <c r="R2325" s="7">
        <v>44962</v>
      </c>
      <c r="S2325" s="210">
        <v>4</v>
      </c>
      <c r="T2325" s="8">
        <v>1.0001111111111112</v>
      </c>
      <c r="U2325" s="98">
        <v>3.8122359210747803</v>
      </c>
      <c r="V2325" s="106">
        <v>31352.713652865612</v>
      </c>
      <c r="W2325" s="10">
        <v>0.9202451034637571</v>
      </c>
      <c r="X2325" s="420"/>
      <c r="Y2325" s="420"/>
      <c r="Z2325" s="1"/>
      <c r="AA2325" s="1"/>
      <c r="AB2325" s="1"/>
      <c r="AC2325" s="1"/>
      <c r="AD2325" s="1"/>
    </row>
    <row r="2326" spans="17:30">
      <c r="Q2326" s="6">
        <v>2296</v>
      </c>
      <c r="R2326" s="7">
        <v>44963</v>
      </c>
      <c r="S2326" s="210">
        <v>4</v>
      </c>
      <c r="T2326" s="8">
        <v>1.0001111111111112</v>
      </c>
      <c r="U2326" s="98">
        <v>3.8123778783032636</v>
      </c>
      <c r="V2326" s="106">
        <v>31355.236342715125</v>
      </c>
      <c r="W2326" s="10">
        <v>0.92033413966867705</v>
      </c>
      <c r="X2326" s="420"/>
      <c r="Y2326" s="420"/>
      <c r="Z2326" s="1"/>
      <c r="AA2326" s="1"/>
      <c r="AB2326" s="1"/>
      <c r="AC2326" s="1"/>
      <c r="AD2326" s="1"/>
    </row>
    <row r="2327" spans="17:30">
      <c r="Q2327" s="6">
        <v>2297</v>
      </c>
      <c r="R2327" s="7">
        <v>44964</v>
      </c>
      <c r="S2327" s="210">
        <v>4</v>
      </c>
      <c r="T2327" s="8">
        <v>1.0001111111111112</v>
      </c>
      <c r="U2327" s="98">
        <v>3.8125197121233079</v>
      </c>
      <c r="V2327" s="106">
        <v>31357.759235544323</v>
      </c>
      <c r="W2327" s="10">
        <v>0.92042309842812475</v>
      </c>
      <c r="X2327" s="420"/>
      <c r="Y2327" s="420"/>
      <c r="Z2327" s="1"/>
      <c r="AA2327" s="1"/>
      <c r="AB2327" s="1"/>
      <c r="AC2327" s="1"/>
      <c r="AD2327" s="1"/>
    </row>
    <row r="2328" spans="17:30">
      <c r="Q2328" s="6">
        <v>2298</v>
      </c>
      <c r="R2328" s="7">
        <v>44965</v>
      </c>
      <c r="S2328" s="210">
        <v>4</v>
      </c>
      <c r="T2328" s="8">
        <v>1.0001111111111112</v>
      </c>
      <c r="U2328" s="98">
        <v>3.8126614226957845</v>
      </c>
      <c r="V2328" s="106">
        <v>31360.282331369544</v>
      </c>
      <c r="W2328" s="10">
        <v>0.92051197984313049</v>
      </c>
      <c r="X2328" s="420"/>
      <c r="Y2328" s="420"/>
      <c r="Z2328" s="1"/>
      <c r="AA2328" s="1"/>
      <c r="AB2328" s="1"/>
      <c r="AC2328" s="1"/>
      <c r="AD2328" s="1"/>
    </row>
    <row r="2329" spans="17:30">
      <c r="Q2329" s="6">
        <v>2299</v>
      </c>
      <c r="R2329" s="7">
        <v>44966</v>
      </c>
      <c r="S2329" s="210">
        <v>4</v>
      </c>
      <c r="T2329" s="8">
        <v>1.0001111111111112</v>
      </c>
      <c r="U2329" s="98">
        <v>3.812803010181276</v>
      </c>
      <c r="V2329" s="106">
        <v>31362.805630207124</v>
      </c>
      <c r="W2329" s="10">
        <v>0.92060078401450252</v>
      </c>
      <c r="X2329" s="420"/>
      <c r="Y2329" s="420"/>
      <c r="Z2329" s="1"/>
      <c r="AA2329" s="1"/>
      <c r="AB2329" s="1"/>
      <c r="AC2329" s="1"/>
      <c r="AD2329" s="1"/>
    </row>
    <row r="2330" spans="17:30">
      <c r="Q2330" s="6">
        <v>2300</v>
      </c>
      <c r="R2330" s="7">
        <v>44967</v>
      </c>
      <c r="S2330" s="210">
        <v>4</v>
      </c>
      <c r="T2330" s="8">
        <v>1.0001111111111112</v>
      </c>
      <c r="U2330" s="98">
        <v>3.8129444747400765</v>
      </c>
      <c r="V2330" s="106">
        <v>31365.329132073388</v>
      </c>
      <c r="W2330" s="10">
        <v>0.92068951104289365</v>
      </c>
      <c r="X2330" s="420"/>
      <c r="Y2330" s="420"/>
      <c r="Z2330" s="1"/>
      <c r="AA2330" s="1"/>
      <c r="AB2330" s="1"/>
      <c r="AC2330" s="1"/>
      <c r="AD2330" s="1"/>
    </row>
    <row r="2331" spans="17:30">
      <c r="Q2331" s="6">
        <v>2301</v>
      </c>
      <c r="R2331" s="7">
        <v>44968</v>
      </c>
      <c r="S2331" s="210">
        <v>4</v>
      </c>
      <c r="T2331" s="8">
        <v>1.0001111111111112</v>
      </c>
      <c r="U2331" s="98">
        <v>3.8130858165321913</v>
      </c>
      <c r="V2331" s="106">
        <v>31367.852836984683</v>
      </c>
      <c r="W2331" s="10">
        <v>0.92077816102877907</v>
      </c>
      <c r="X2331" s="420"/>
      <c r="Y2331" s="420"/>
      <c r="Z2331" s="1"/>
      <c r="AA2331" s="1"/>
      <c r="AB2331" s="1"/>
      <c r="AC2331" s="1"/>
      <c r="AD2331" s="1"/>
    </row>
    <row r="2332" spans="17:30">
      <c r="Q2332" s="6">
        <v>2302</v>
      </c>
      <c r="R2332" s="7">
        <v>44969</v>
      </c>
      <c r="S2332" s="210">
        <v>4</v>
      </c>
      <c r="T2332" s="8">
        <v>1.0001111111111112</v>
      </c>
      <c r="U2332" s="98">
        <v>3.8132270357173592</v>
      </c>
      <c r="V2332" s="106">
        <v>31370.376744957335</v>
      </c>
      <c r="W2332" s="10">
        <v>0.92086673407247854</v>
      </c>
      <c r="X2332" s="420"/>
      <c r="Y2332" s="420"/>
      <c r="Z2332" s="1"/>
      <c r="AA2332" s="1"/>
      <c r="AB2332" s="1"/>
      <c r="AC2332" s="1"/>
      <c r="AD2332" s="1"/>
    </row>
    <row r="2333" spans="17:30">
      <c r="Q2333" s="6">
        <v>2303</v>
      </c>
      <c r="R2333" s="7">
        <v>44970</v>
      </c>
      <c r="S2333" s="210">
        <v>4</v>
      </c>
      <c r="T2333" s="8">
        <v>1.0001111111111112</v>
      </c>
      <c r="U2333" s="98">
        <v>3.8133681324550528</v>
      </c>
      <c r="V2333" s="106">
        <v>31372.900856007695</v>
      </c>
      <c r="W2333" s="10">
        <v>0.92095523027408976</v>
      </c>
      <c r="X2333" s="420"/>
      <c r="Y2333" s="420"/>
      <c r="Z2333" s="1"/>
      <c r="AA2333" s="1"/>
      <c r="AB2333" s="1"/>
      <c r="AC2333" s="1"/>
      <c r="AD2333" s="1"/>
    </row>
    <row r="2334" spans="17:30">
      <c r="Q2334" s="6">
        <v>2304</v>
      </c>
      <c r="R2334" s="7">
        <v>44971</v>
      </c>
      <c r="S2334" s="210">
        <v>4</v>
      </c>
      <c r="T2334" s="8">
        <v>1.0001111111111112</v>
      </c>
      <c r="U2334" s="98">
        <v>3.813509106904478</v>
      </c>
      <c r="V2334" s="106">
        <v>31375.425170152088</v>
      </c>
      <c r="W2334" s="10">
        <v>0.92104364973359942</v>
      </c>
      <c r="X2334" s="420"/>
      <c r="Y2334" s="420"/>
      <c r="Z2334" s="1"/>
      <c r="AA2334" s="1"/>
      <c r="AB2334" s="1"/>
      <c r="AC2334" s="1"/>
      <c r="AD2334" s="1"/>
    </row>
    <row r="2335" spans="17:30">
      <c r="Q2335" s="6">
        <v>2305</v>
      </c>
      <c r="R2335" s="7">
        <v>44972</v>
      </c>
      <c r="S2335" s="210">
        <v>4</v>
      </c>
      <c r="T2335" s="8">
        <v>1.0001111111111112</v>
      </c>
      <c r="U2335" s="98">
        <v>3.8136499592245077</v>
      </c>
      <c r="V2335" s="106">
        <v>31377.949687406868</v>
      </c>
      <c r="W2335" s="10">
        <v>0.92113199255072775</v>
      </c>
      <c r="X2335" s="420"/>
      <c r="Y2335" s="420"/>
      <c r="Z2335" s="1"/>
      <c r="AA2335" s="1"/>
      <c r="AB2335" s="1"/>
      <c r="AC2335" s="1"/>
      <c r="AD2335" s="1"/>
    </row>
    <row r="2336" spans="17:30">
      <c r="Q2336" s="6">
        <v>2306</v>
      </c>
      <c r="R2336" s="7">
        <v>44973</v>
      </c>
      <c r="S2336" s="210">
        <v>4</v>
      </c>
      <c r="T2336" s="8">
        <v>1.0001111111111112</v>
      </c>
      <c r="U2336" s="98">
        <v>3.813790689573815</v>
      </c>
      <c r="V2336" s="106">
        <v>31380.47440778837</v>
      </c>
      <c r="W2336" s="10">
        <v>0.92122025882517278</v>
      </c>
      <c r="X2336" s="420"/>
      <c r="Y2336" s="420"/>
      <c r="Z2336" s="1"/>
      <c r="AA2336" s="1"/>
      <c r="AB2336" s="1"/>
      <c r="AC2336" s="1"/>
      <c r="AD2336" s="1"/>
    </row>
    <row r="2337" spans="17:30">
      <c r="Q2337" s="6">
        <v>2307</v>
      </c>
      <c r="R2337" s="7">
        <v>44974</v>
      </c>
      <c r="S2337" s="210">
        <v>4</v>
      </c>
      <c r="T2337" s="8">
        <v>1.0001111111111112</v>
      </c>
      <c r="U2337" s="98">
        <v>3.8139312981107398</v>
      </c>
      <c r="V2337" s="106">
        <v>31382.999331312945</v>
      </c>
      <c r="W2337" s="10">
        <v>0.92130844865629946</v>
      </c>
      <c r="X2337" s="420"/>
      <c r="Y2337" s="420"/>
      <c r="Z2337" s="1"/>
      <c r="AA2337" s="1"/>
      <c r="AB2337" s="1"/>
      <c r="AC2337" s="1"/>
      <c r="AD2337" s="1"/>
    </row>
    <row r="2338" spans="17:30">
      <c r="Q2338" s="6">
        <v>2308</v>
      </c>
      <c r="R2338" s="7">
        <v>44975</v>
      </c>
      <c r="S2338" s="210">
        <v>4</v>
      </c>
      <c r="T2338" s="8">
        <v>1.0001111111111112</v>
      </c>
      <c r="U2338" s="98">
        <v>3.8140717849933781</v>
      </c>
      <c r="V2338" s="106">
        <v>31385.524457996937</v>
      </c>
      <c r="W2338" s="10">
        <v>0.92139656214340615</v>
      </c>
      <c r="X2338" s="420"/>
      <c r="Y2338" s="420"/>
      <c r="Z2338" s="1"/>
      <c r="AA2338" s="1"/>
      <c r="AB2338" s="1"/>
      <c r="AC2338" s="1"/>
      <c r="AD2338" s="1"/>
    </row>
    <row r="2339" spans="17:30">
      <c r="Q2339" s="6">
        <v>2309</v>
      </c>
      <c r="R2339" s="7">
        <v>44976</v>
      </c>
      <c r="S2339" s="210">
        <v>4</v>
      </c>
      <c r="T2339" s="8">
        <v>1.0001111111111112</v>
      </c>
      <c r="U2339" s="98">
        <v>3.8142121503795368</v>
      </c>
      <c r="V2339" s="106">
        <v>31388.049787856689</v>
      </c>
      <c r="W2339" s="10">
        <v>0.92148459938554694</v>
      </c>
      <c r="X2339" s="420"/>
      <c r="Y2339" s="420"/>
      <c r="Z2339" s="1"/>
      <c r="AA2339" s="1"/>
      <c r="AB2339" s="1"/>
      <c r="AC2339" s="1"/>
      <c r="AD2339" s="1"/>
    </row>
    <row r="2340" spans="17:30">
      <c r="Q2340" s="6">
        <v>2310</v>
      </c>
      <c r="R2340" s="7">
        <v>44977</v>
      </c>
      <c r="S2340" s="210">
        <v>4</v>
      </c>
      <c r="T2340" s="8">
        <v>1.0001111111111112</v>
      </c>
      <c r="U2340" s="98">
        <v>3.8143523944267566</v>
      </c>
      <c r="V2340" s="106">
        <v>31390.575320908545</v>
      </c>
      <c r="W2340" s="10">
        <v>0.92157256048168712</v>
      </c>
      <c r="X2340" s="420"/>
      <c r="Y2340" s="420"/>
      <c r="Z2340" s="1"/>
      <c r="AA2340" s="1"/>
      <c r="AB2340" s="1"/>
      <c r="AC2340" s="1"/>
      <c r="AD2340" s="1"/>
    </row>
    <row r="2341" spans="17:30">
      <c r="Q2341" s="6">
        <v>2311</v>
      </c>
      <c r="R2341" s="7">
        <v>44978</v>
      </c>
      <c r="S2341" s="210">
        <v>4</v>
      </c>
      <c r="T2341" s="8">
        <v>1.0001111111111112</v>
      </c>
      <c r="U2341" s="98">
        <v>3.8144925172923116</v>
      </c>
      <c r="V2341" s="106">
        <v>31393.10105716886</v>
      </c>
      <c r="W2341" s="10">
        <v>0.92166044553052551</v>
      </c>
      <c r="X2341" s="420"/>
      <c r="Y2341" s="420"/>
      <c r="Z2341" s="1"/>
      <c r="AA2341" s="1"/>
      <c r="AB2341" s="1"/>
      <c r="AC2341" s="1"/>
      <c r="AD2341" s="1"/>
    </row>
    <row r="2342" spans="17:30">
      <c r="Q2342" s="6">
        <v>2312</v>
      </c>
      <c r="R2342" s="7">
        <v>44979</v>
      </c>
      <c r="S2342" s="210">
        <v>4</v>
      </c>
      <c r="T2342" s="8">
        <v>1.0001111111111112</v>
      </c>
      <c r="U2342" s="98">
        <v>3.8146325191332098</v>
      </c>
      <c r="V2342" s="106">
        <v>31395.626996653984</v>
      </c>
      <c r="W2342" s="10">
        <v>0.92174825463069432</v>
      </c>
      <c r="X2342" s="420"/>
      <c r="Y2342" s="420"/>
      <c r="Z2342" s="1"/>
      <c r="AA2342" s="1"/>
      <c r="AB2342" s="1"/>
      <c r="AC2342" s="1"/>
      <c r="AD2342" s="1"/>
    </row>
    <row r="2343" spans="17:30">
      <c r="Q2343" s="6">
        <v>2313</v>
      </c>
      <c r="R2343" s="7">
        <v>44980</v>
      </c>
      <c r="S2343" s="210">
        <v>4</v>
      </c>
      <c r="T2343" s="8">
        <v>1.0001111111111112</v>
      </c>
      <c r="U2343" s="98">
        <v>3.81477240010617</v>
      </c>
      <c r="V2343" s="106">
        <v>31398.153139380272</v>
      </c>
      <c r="W2343" s="10">
        <v>0.92183598788058152</v>
      </c>
      <c r="X2343" s="420"/>
      <c r="Y2343" s="420"/>
      <c r="Z2343" s="1"/>
      <c r="AA2343" s="1"/>
      <c r="AB2343" s="1"/>
      <c r="AC2343" s="1"/>
      <c r="AD2343" s="1"/>
    </row>
    <row r="2344" spans="17:30">
      <c r="Q2344" s="6">
        <v>2314</v>
      </c>
      <c r="R2344" s="7">
        <v>44981</v>
      </c>
      <c r="S2344" s="210">
        <v>4</v>
      </c>
      <c r="T2344" s="8">
        <v>1.0001111111111112</v>
      </c>
      <c r="U2344" s="98">
        <v>3.814912160367645</v>
      </c>
      <c r="V2344" s="106">
        <v>31400.679485364068</v>
      </c>
      <c r="W2344" s="10">
        <v>0.92192364537839744</v>
      </c>
      <c r="X2344" s="420"/>
      <c r="Y2344" s="420"/>
      <c r="Z2344" s="1"/>
      <c r="AA2344" s="1"/>
      <c r="AB2344" s="1"/>
      <c r="AC2344" s="1"/>
      <c r="AD2344" s="1"/>
    </row>
    <row r="2345" spans="17:30">
      <c r="Q2345" s="6">
        <v>2315</v>
      </c>
      <c r="R2345" s="7">
        <v>44982</v>
      </c>
      <c r="S2345" s="210">
        <v>4</v>
      </c>
      <c r="T2345" s="8">
        <v>1.0001111111111112</v>
      </c>
      <c r="U2345" s="98">
        <v>3.8150518000738209</v>
      </c>
      <c r="V2345" s="106">
        <v>31403.206034621737</v>
      </c>
      <c r="W2345" s="10">
        <v>0.92201122722226359</v>
      </c>
      <c r="X2345" s="420"/>
      <c r="Y2345" s="420"/>
      <c r="Z2345" s="1"/>
      <c r="AA2345" s="1"/>
      <c r="AB2345" s="1"/>
      <c r="AC2345" s="1"/>
      <c r="AD2345" s="1"/>
    </row>
    <row r="2346" spans="17:30">
      <c r="Q2346" s="6">
        <v>2316</v>
      </c>
      <c r="R2346" s="7">
        <v>44983</v>
      </c>
      <c r="S2346" s="210">
        <v>4</v>
      </c>
      <c r="T2346" s="8">
        <v>1.0001111111111112</v>
      </c>
      <c r="U2346" s="98">
        <v>3.8151913193806175</v>
      </c>
      <c r="V2346" s="106">
        <v>31405.732787169622</v>
      </c>
      <c r="W2346" s="10">
        <v>0.92209873351001281</v>
      </c>
      <c r="X2346" s="420"/>
      <c r="Y2346" s="420"/>
      <c r="Z2346" s="1"/>
      <c r="AA2346" s="1"/>
      <c r="AB2346" s="1"/>
      <c r="AC2346" s="1"/>
      <c r="AD2346" s="1"/>
    </row>
    <row r="2347" spans="17:30">
      <c r="Q2347" s="6">
        <v>2317</v>
      </c>
      <c r="R2347" s="7">
        <v>44984</v>
      </c>
      <c r="S2347" s="210">
        <v>4</v>
      </c>
      <c r="T2347" s="8">
        <v>1.0001111111111112</v>
      </c>
      <c r="U2347" s="98">
        <v>3.8153307184436658</v>
      </c>
      <c r="V2347" s="106">
        <v>31408.259743024097</v>
      </c>
      <c r="W2347" s="10">
        <v>0.92218616433941136</v>
      </c>
      <c r="X2347" s="420"/>
      <c r="Y2347" s="420"/>
      <c r="Z2347" s="1"/>
      <c r="AA2347" s="1"/>
      <c r="AB2347" s="1"/>
      <c r="AC2347" s="1"/>
      <c r="AD2347" s="1"/>
    </row>
    <row r="2348" spans="17:30">
      <c r="Q2348" s="6">
        <v>2318</v>
      </c>
      <c r="R2348" s="7">
        <v>44985</v>
      </c>
      <c r="S2348" s="210">
        <v>4</v>
      </c>
      <c r="T2348" s="8">
        <v>1.0001111111111112</v>
      </c>
      <c r="U2348" s="98">
        <v>3.8154699974183748</v>
      </c>
      <c r="V2348" s="106">
        <v>31410.786902201504</v>
      </c>
      <c r="W2348" s="10">
        <v>0.92227351980804784</v>
      </c>
      <c r="X2348" s="420"/>
      <c r="Y2348" s="420"/>
      <c r="Z2348" s="1"/>
      <c r="AA2348" s="1"/>
      <c r="AB2348" s="1"/>
      <c r="AC2348" s="1"/>
      <c r="AD2348" s="1"/>
    </row>
    <row r="2349" spans="17:30">
      <c r="Q2349" s="6">
        <v>2319</v>
      </c>
      <c r="R2349" s="7">
        <v>44986</v>
      </c>
      <c r="S2349" s="210">
        <v>4</v>
      </c>
      <c r="T2349" s="8">
        <v>1.0001111111111112</v>
      </c>
      <c r="U2349" s="98">
        <v>3.8156091564598427</v>
      </c>
      <c r="V2349" s="106">
        <v>31413.314264718214</v>
      </c>
      <c r="W2349" s="10">
        <v>0.92236080001326659</v>
      </c>
      <c r="X2349" s="420"/>
      <c r="Y2349" s="420"/>
      <c r="Z2349" s="1"/>
      <c r="AA2349" s="1"/>
      <c r="AB2349" s="1"/>
      <c r="AC2349" s="1"/>
      <c r="AD2349" s="1"/>
    </row>
    <row r="2350" spans="17:30">
      <c r="Q2350" s="6">
        <v>2320</v>
      </c>
      <c r="R2350" s="7">
        <v>44987</v>
      </c>
      <c r="S2350" s="210">
        <v>4</v>
      </c>
      <c r="T2350" s="8">
        <v>1.0001111111111112</v>
      </c>
      <c r="U2350" s="98">
        <v>3.8157481957229011</v>
      </c>
      <c r="V2350" s="106">
        <v>31415.841830590576</v>
      </c>
      <c r="W2350" s="10">
        <v>0.92244800505232316</v>
      </c>
      <c r="X2350" s="420"/>
      <c r="Y2350" s="420"/>
      <c r="Z2350" s="1"/>
      <c r="AA2350" s="1"/>
      <c r="AB2350" s="1"/>
      <c r="AC2350" s="1"/>
      <c r="AD2350" s="1"/>
    </row>
    <row r="2351" spans="17:30">
      <c r="Q2351" s="6">
        <v>2321</v>
      </c>
      <c r="R2351" s="7">
        <v>44988</v>
      </c>
      <c r="S2351" s="210">
        <v>4</v>
      </c>
      <c r="T2351" s="8">
        <v>1.0001111111111112</v>
      </c>
      <c r="U2351" s="98">
        <v>3.8158871153621376</v>
      </c>
      <c r="V2351" s="106">
        <v>31418.369599834972</v>
      </c>
      <c r="W2351" s="10">
        <v>0.92253513502222884</v>
      </c>
      <c r="X2351" s="420"/>
      <c r="Y2351" s="420"/>
      <c r="Z2351" s="1"/>
      <c r="AA2351" s="1"/>
      <c r="AB2351" s="1"/>
      <c r="AC2351" s="1"/>
      <c r="AD2351" s="1"/>
    </row>
    <row r="2352" spans="17:30">
      <c r="Q2352" s="6">
        <v>2322</v>
      </c>
      <c r="R2352" s="7">
        <v>44989</v>
      </c>
      <c r="S2352" s="210">
        <v>4</v>
      </c>
      <c r="T2352" s="8">
        <v>1.0001111111111112</v>
      </c>
      <c r="U2352" s="98">
        <v>3.8160259155318732</v>
      </c>
      <c r="V2352" s="106">
        <v>31420.897572467744</v>
      </c>
      <c r="W2352" s="10">
        <v>0.92262219001995049</v>
      </c>
      <c r="X2352" s="420"/>
      <c r="Y2352" s="420"/>
      <c r="Z2352" s="1"/>
      <c r="AA2352" s="1"/>
      <c r="AB2352" s="1"/>
      <c r="AC2352" s="1"/>
      <c r="AD2352" s="1"/>
    </row>
    <row r="2353" spans="17:30">
      <c r="Q2353" s="6">
        <v>2323</v>
      </c>
      <c r="R2353" s="7">
        <v>44990</v>
      </c>
      <c r="S2353" s="210">
        <v>4</v>
      </c>
      <c r="T2353" s="8">
        <v>1.0001111111111112</v>
      </c>
      <c r="U2353" s="98">
        <v>3.8161645963861623</v>
      </c>
      <c r="V2353" s="106">
        <v>31423.425748505273</v>
      </c>
      <c r="W2353" s="10">
        <v>0.92270917014216636</v>
      </c>
      <c r="X2353" s="420"/>
      <c r="Y2353" s="420"/>
      <c r="Z2353" s="1"/>
      <c r="AA2353" s="1"/>
      <c r="AB2353" s="1"/>
      <c r="AC2353" s="1"/>
      <c r="AD2353" s="1"/>
    </row>
    <row r="2354" spans="17:30">
      <c r="Q2354" s="6">
        <v>2324</v>
      </c>
      <c r="R2354" s="7">
        <v>44991</v>
      </c>
      <c r="S2354" s="210">
        <v>4</v>
      </c>
      <c r="T2354" s="8">
        <v>1.0001111111111112</v>
      </c>
      <c r="U2354" s="98">
        <v>3.816303158078771</v>
      </c>
      <c r="V2354" s="106">
        <v>31425.954127963916</v>
      </c>
      <c r="W2354" s="10">
        <v>0.92279607548544362</v>
      </c>
      <c r="X2354" s="420"/>
      <c r="Y2354" s="420"/>
      <c r="Z2354" s="1"/>
      <c r="AA2354" s="1"/>
      <c r="AB2354" s="1"/>
      <c r="AC2354" s="1"/>
      <c r="AD2354" s="1"/>
    </row>
    <row r="2355" spans="17:30">
      <c r="Q2355" s="6">
        <v>2325</v>
      </c>
      <c r="R2355" s="7">
        <v>44992</v>
      </c>
      <c r="S2355" s="210">
        <v>4</v>
      </c>
      <c r="T2355" s="8">
        <v>1.0001111111111112</v>
      </c>
      <c r="U2355" s="98">
        <v>3.8164416007632207</v>
      </c>
      <c r="V2355" s="106">
        <v>31428.48271086004</v>
      </c>
      <c r="W2355" s="10">
        <v>0.92288290614617186</v>
      </c>
      <c r="X2355" s="420"/>
      <c r="Y2355" s="420"/>
      <c r="Z2355" s="1"/>
      <c r="AA2355" s="1"/>
      <c r="AB2355" s="1"/>
      <c r="AC2355" s="1"/>
      <c r="AD2355" s="1"/>
    </row>
    <row r="2356" spans="17:30">
      <c r="Q2356" s="6">
        <v>2326</v>
      </c>
      <c r="R2356" s="7">
        <v>44993</v>
      </c>
      <c r="S2356" s="210">
        <v>4</v>
      </c>
      <c r="T2356" s="8">
        <v>1.0001111111111112</v>
      </c>
      <c r="U2356" s="98">
        <v>3.8165799245927667</v>
      </c>
      <c r="V2356" s="106">
        <v>31431.011497210024</v>
      </c>
      <c r="W2356" s="10">
        <v>0.92296966222058519</v>
      </c>
      <c r="X2356" s="420"/>
      <c r="Y2356" s="420"/>
      <c r="Z2356" s="1"/>
      <c r="AA2356" s="1"/>
      <c r="AB2356" s="1"/>
      <c r="AC2356" s="1"/>
      <c r="AD2356" s="1"/>
    </row>
    <row r="2357" spans="17:30">
      <c r="Q2357" s="6">
        <v>2327</v>
      </c>
      <c r="R2357" s="7">
        <v>44994</v>
      </c>
      <c r="S2357" s="210">
        <v>4</v>
      </c>
      <c r="T2357" s="8">
        <v>1.0001111111111112</v>
      </c>
      <c r="U2357" s="98">
        <v>3.81671812972042</v>
      </c>
      <c r="V2357" s="106">
        <v>31433.540487030226</v>
      </c>
      <c r="W2357" s="10">
        <v>0.92305634380476231</v>
      </c>
      <c r="X2357" s="420"/>
      <c r="Y2357" s="420"/>
      <c r="Z2357" s="1"/>
      <c r="AA2357" s="1"/>
      <c r="AB2357" s="1"/>
      <c r="AC2357" s="1"/>
      <c r="AD2357" s="1"/>
    </row>
    <row r="2358" spans="17:30">
      <c r="Q2358" s="6">
        <v>2328</v>
      </c>
      <c r="R2358" s="7">
        <v>44995</v>
      </c>
      <c r="S2358" s="210">
        <v>4</v>
      </c>
      <c r="T2358" s="8">
        <v>1.0001111111111112</v>
      </c>
      <c r="U2358" s="98">
        <v>3.8168562162988806</v>
      </c>
      <c r="V2358" s="106">
        <v>31436.069680337027</v>
      </c>
      <c r="W2358" s="10">
        <v>0.9231429509945599</v>
      </c>
      <c r="X2358" s="420"/>
      <c r="Y2358" s="420"/>
      <c r="Z2358" s="1"/>
      <c r="AA2358" s="1"/>
      <c r="AB2358" s="1"/>
      <c r="AC2358" s="1"/>
      <c r="AD2358" s="1"/>
    </row>
    <row r="2359" spans="17:30">
      <c r="Q2359" s="6">
        <v>2329</v>
      </c>
      <c r="R2359" s="7">
        <v>44996</v>
      </c>
      <c r="S2359" s="210">
        <v>4</v>
      </c>
      <c r="T2359" s="8">
        <v>1.0001111111111112</v>
      </c>
      <c r="U2359" s="98">
        <v>3.8169941844806266</v>
      </c>
      <c r="V2359" s="106">
        <v>31438.599077146791</v>
      </c>
      <c r="W2359" s="10">
        <v>0.92322948388572357</v>
      </c>
      <c r="X2359" s="420"/>
      <c r="Y2359" s="420"/>
      <c r="Z2359" s="1"/>
      <c r="AA2359" s="1"/>
      <c r="AB2359" s="1"/>
      <c r="AC2359" s="1"/>
      <c r="AD2359" s="1"/>
    </row>
    <row r="2360" spans="17:30">
      <c r="Q2360" s="6">
        <v>2330</v>
      </c>
      <c r="R2360" s="7">
        <v>44997</v>
      </c>
      <c r="S2360" s="210">
        <v>4</v>
      </c>
      <c r="T2360" s="8">
        <v>1.0001111111111112</v>
      </c>
      <c r="U2360" s="98">
        <v>3.8171320344178694</v>
      </c>
      <c r="V2360" s="106">
        <v>31441.128677475903</v>
      </c>
      <c r="W2360" s="10">
        <v>0.92331594257382132</v>
      </c>
      <c r="X2360" s="420"/>
      <c r="Y2360" s="420"/>
      <c r="Z2360" s="1"/>
      <c r="AA2360" s="1"/>
      <c r="AB2360" s="1"/>
      <c r="AC2360" s="1"/>
      <c r="AD2360" s="1"/>
    </row>
    <row r="2361" spans="17:30">
      <c r="Q2361" s="6">
        <v>2331</v>
      </c>
      <c r="R2361" s="7">
        <v>44998</v>
      </c>
      <c r="S2361" s="210">
        <v>4</v>
      </c>
      <c r="T2361" s="8">
        <v>1.0001111111111112</v>
      </c>
      <c r="U2361" s="98">
        <v>3.8172697662625543</v>
      </c>
      <c r="V2361" s="106">
        <v>31443.658481340728</v>
      </c>
      <c r="W2361" s="10">
        <v>0.92340232715426573</v>
      </c>
      <c r="X2361" s="420"/>
      <c r="Y2361" s="420"/>
      <c r="Z2361" s="1"/>
      <c r="AA2361" s="1"/>
      <c r="AB2361" s="1"/>
      <c r="AC2361" s="1"/>
      <c r="AD2361" s="1"/>
    </row>
    <row r="2362" spans="17:30">
      <c r="Q2362" s="6">
        <v>2332</v>
      </c>
      <c r="R2362" s="7">
        <v>44999</v>
      </c>
      <c r="S2362" s="210">
        <v>4</v>
      </c>
      <c r="T2362" s="8">
        <v>1.0001111111111112</v>
      </c>
      <c r="U2362" s="98">
        <v>3.8174073801663599</v>
      </c>
      <c r="V2362" s="106">
        <v>31446.188488757653</v>
      </c>
      <c r="W2362" s="10">
        <v>0.92348863772229173</v>
      </c>
      <c r="X2362" s="420"/>
      <c r="Y2362" s="420"/>
      <c r="Z2362" s="1"/>
      <c r="AA2362" s="1"/>
      <c r="AB2362" s="1"/>
      <c r="AC2362" s="1"/>
      <c r="AD2362" s="1"/>
    </row>
    <row r="2363" spans="17:30">
      <c r="Q2363" s="6">
        <v>2333</v>
      </c>
      <c r="R2363" s="7">
        <v>45000</v>
      </c>
      <c r="S2363" s="210">
        <v>4</v>
      </c>
      <c r="T2363" s="8">
        <v>1.0001111111111112</v>
      </c>
      <c r="U2363" s="98">
        <v>3.8175448762807207</v>
      </c>
      <c r="V2363" s="106">
        <v>31448.718699743047</v>
      </c>
      <c r="W2363" s="10">
        <v>0.92357487437300101</v>
      </c>
      <c r="X2363" s="420"/>
      <c r="Y2363" s="420"/>
      <c r="Z2363" s="1"/>
      <c r="AA2363" s="1"/>
      <c r="AB2363" s="1"/>
      <c r="AC2363" s="1"/>
      <c r="AD2363" s="1"/>
    </row>
    <row r="2364" spans="17:30">
      <c r="Q2364" s="6">
        <v>2334</v>
      </c>
      <c r="R2364" s="7">
        <v>45001</v>
      </c>
      <c r="S2364" s="210">
        <v>4</v>
      </c>
      <c r="T2364" s="8">
        <v>1.0001111111111112</v>
      </c>
      <c r="U2364" s="98">
        <v>3.8176822547568046</v>
      </c>
      <c r="V2364" s="106">
        <v>31451.249114313294</v>
      </c>
      <c r="W2364" s="10">
        <v>0.92366103720127324</v>
      </c>
      <c r="X2364" s="420"/>
      <c r="Y2364" s="420"/>
      <c r="Z2364" s="1"/>
      <c r="AA2364" s="1"/>
      <c r="AB2364" s="1"/>
      <c r="AC2364" s="1"/>
      <c r="AD2364" s="1"/>
    </row>
    <row r="2365" spans="17:30">
      <c r="Q2365" s="6">
        <v>2335</v>
      </c>
      <c r="R2365" s="7">
        <v>45002</v>
      </c>
      <c r="S2365" s="210">
        <v>4</v>
      </c>
      <c r="T2365" s="8">
        <v>1.0001111111111112</v>
      </c>
      <c r="U2365" s="98">
        <v>3.8178195157454908</v>
      </c>
      <c r="V2365" s="106">
        <v>31453.779732484771</v>
      </c>
      <c r="W2365" s="10">
        <v>0.92374712630185485</v>
      </c>
      <c r="X2365" s="420"/>
      <c r="Y2365" s="420"/>
      <c r="Z2365" s="1"/>
      <c r="AA2365" s="1"/>
      <c r="AB2365" s="1"/>
      <c r="AC2365" s="1"/>
      <c r="AD2365" s="1"/>
    </row>
    <row r="2366" spans="17:30">
      <c r="Q2366" s="6">
        <v>2336</v>
      </c>
      <c r="R2366" s="7">
        <v>45003</v>
      </c>
      <c r="S2366" s="210">
        <v>4</v>
      </c>
      <c r="T2366" s="8">
        <v>1.0001111111111112</v>
      </c>
      <c r="U2366" s="98">
        <v>3.817956659397459</v>
      </c>
      <c r="V2366" s="106">
        <v>31456.310554273863</v>
      </c>
      <c r="W2366" s="10">
        <v>0.92383314176938125</v>
      </c>
      <c r="X2366" s="420"/>
      <c r="Y2366" s="420"/>
      <c r="Z2366" s="1"/>
      <c r="AA2366" s="1"/>
      <c r="AB2366" s="1"/>
      <c r="AC2366" s="1"/>
      <c r="AD2366" s="1"/>
    </row>
    <row r="2367" spans="17:30">
      <c r="Q2367" s="6">
        <v>2337</v>
      </c>
      <c r="R2367" s="7">
        <v>45004</v>
      </c>
      <c r="S2367" s="210">
        <v>4</v>
      </c>
      <c r="T2367" s="8">
        <v>1.0001111111111112</v>
      </c>
      <c r="U2367" s="98">
        <v>3.8180936858630998</v>
      </c>
      <c r="V2367" s="106">
        <v>31458.841579696953</v>
      </c>
      <c r="W2367" s="10">
        <v>0.9239190836982436</v>
      </c>
      <c r="X2367" s="420"/>
      <c r="Y2367" s="420"/>
      <c r="Z2367" s="1"/>
      <c r="AA2367" s="1"/>
      <c r="AB2367" s="1"/>
      <c r="AC2367" s="1"/>
      <c r="AD2367" s="1"/>
    </row>
    <row r="2368" spans="17:30">
      <c r="Q2368" s="6">
        <v>2338</v>
      </c>
      <c r="R2368" s="7">
        <v>45005</v>
      </c>
      <c r="S2368" s="210">
        <v>4</v>
      </c>
      <c r="T2368" s="8">
        <v>1.0001111111111112</v>
      </c>
      <c r="U2368" s="98">
        <v>3.8182305952925377</v>
      </c>
      <c r="V2368" s="106">
        <v>31461.372808770429</v>
      </c>
      <c r="W2368" s="10">
        <v>0.92400495218272205</v>
      </c>
      <c r="X2368" s="420"/>
      <c r="Y2368" s="420"/>
      <c r="Z2368" s="1"/>
      <c r="AA2368" s="1"/>
      <c r="AB2368" s="1"/>
      <c r="AC2368" s="1"/>
      <c r="AD2368" s="1"/>
    </row>
    <row r="2369" spans="17:30">
      <c r="Q2369" s="6">
        <v>2339</v>
      </c>
      <c r="R2369" s="7">
        <v>45006</v>
      </c>
      <c r="S2369" s="210">
        <v>4</v>
      </c>
      <c r="T2369" s="8">
        <v>1.0001111111111112</v>
      </c>
      <c r="U2369" s="98">
        <v>3.8183673878356528</v>
      </c>
      <c r="V2369" s="106">
        <v>31463.904241510671</v>
      </c>
      <c r="W2369" s="10">
        <v>0.92409074731689689</v>
      </c>
      <c r="X2369" s="420"/>
      <c r="Y2369" s="420"/>
      <c r="Z2369" s="1"/>
      <c r="AA2369" s="1"/>
      <c r="AB2369" s="1"/>
      <c r="AC2369" s="1"/>
      <c r="AD2369" s="1"/>
    </row>
    <row r="2370" spans="17:30">
      <c r="Q2370" s="6">
        <v>2340</v>
      </c>
      <c r="R2370" s="7">
        <v>45007</v>
      </c>
      <c r="S2370" s="210">
        <v>4</v>
      </c>
      <c r="T2370" s="8">
        <v>1.0001111111111112</v>
      </c>
      <c r="U2370" s="98">
        <v>3.8185040636420808</v>
      </c>
      <c r="V2370" s="106">
        <v>31466.435877934073</v>
      </c>
      <c r="W2370" s="10">
        <v>0.9241764691947596</v>
      </c>
      <c r="X2370" s="420"/>
      <c r="Y2370" s="420"/>
      <c r="Z2370" s="1"/>
      <c r="AA2370" s="1"/>
      <c r="AB2370" s="1"/>
      <c r="AC2370" s="1"/>
      <c r="AD2370" s="1"/>
    </row>
    <row r="2371" spans="17:30">
      <c r="Q2371" s="6">
        <v>2341</v>
      </c>
      <c r="R2371" s="7">
        <v>45008</v>
      </c>
      <c r="S2371" s="210">
        <v>4</v>
      </c>
      <c r="T2371" s="8">
        <v>1.0001111111111112</v>
      </c>
      <c r="U2371" s="98">
        <v>3.8186406228611913</v>
      </c>
      <c r="V2371" s="106">
        <v>31468.967718057018</v>
      </c>
      <c r="W2371" s="10">
        <v>0.92426211791007962</v>
      </c>
      <c r="X2371" s="420"/>
      <c r="Y2371" s="420"/>
      <c r="Z2371" s="1"/>
      <c r="AA2371" s="1"/>
      <c r="AB2371" s="1"/>
      <c r="AC2371" s="1"/>
      <c r="AD2371" s="1"/>
    </row>
    <row r="2372" spans="17:30">
      <c r="Q2372" s="6">
        <v>2342</v>
      </c>
      <c r="R2372" s="7">
        <v>45009</v>
      </c>
      <c r="S2372" s="210">
        <v>4</v>
      </c>
      <c r="T2372" s="8">
        <v>1.0001111111111112</v>
      </c>
      <c r="U2372" s="98">
        <v>3.8187770656420872</v>
      </c>
      <c r="V2372" s="106">
        <v>31471.499761895902</v>
      </c>
      <c r="W2372" s="10">
        <v>0.92434769355649316</v>
      </c>
      <c r="X2372" s="420"/>
      <c r="Y2372" s="420"/>
      <c r="Z2372" s="1"/>
      <c r="AA2372" s="1"/>
      <c r="AB2372" s="1"/>
      <c r="AC2372" s="1"/>
      <c r="AD2372" s="1"/>
    </row>
    <row r="2373" spans="17:30">
      <c r="Q2373" s="6">
        <v>2343</v>
      </c>
      <c r="R2373" s="7">
        <v>45010</v>
      </c>
      <c r="S2373" s="210">
        <v>4</v>
      </c>
      <c r="T2373" s="8">
        <v>1.0001111111111112</v>
      </c>
      <c r="U2373" s="98">
        <v>3.8189133921336271</v>
      </c>
      <c r="V2373" s="106">
        <v>31474.032009467108</v>
      </c>
      <c r="W2373" s="10">
        <v>0.92443319622743658</v>
      </c>
      <c r="X2373" s="420"/>
      <c r="Y2373" s="420"/>
      <c r="Z2373" s="1"/>
      <c r="AA2373" s="1"/>
      <c r="AB2373" s="1"/>
      <c r="AC2373" s="1"/>
      <c r="AD2373" s="1"/>
    </row>
    <row r="2374" spans="17:30">
      <c r="Q2374" s="6">
        <v>2344</v>
      </c>
      <c r="R2374" s="7">
        <v>45011</v>
      </c>
      <c r="S2374" s="210">
        <v>4</v>
      </c>
      <c r="T2374" s="8">
        <v>1.0001111111111112</v>
      </c>
      <c r="U2374" s="98">
        <v>3.8190496024844256</v>
      </c>
      <c r="V2374" s="106">
        <v>31476.564460787034</v>
      </c>
      <c r="W2374" s="10">
        <v>0.92451862601621304</v>
      </c>
      <c r="X2374" s="420"/>
      <c r="Y2374" s="420"/>
      <c r="Z2374" s="1"/>
      <c r="AA2374" s="1"/>
      <c r="AB2374" s="1"/>
      <c r="AC2374" s="1"/>
      <c r="AD2374" s="1"/>
    </row>
    <row r="2375" spans="17:30">
      <c r="Q2375" s="6">
        <v>2345</v>
      </c>
      <c r="R2375" s="7">
        <v>45012</v>
      </c>
      <c r="S2375" s="210">
        <v>4</v>
      </c>
      <c r="T2375" s="8">
        <v>1.0001111111111112</v>
      </c>
      <c r="U2375" s="98">
        <v>3.8191856968428084</v>
      </c>
      <c r="V2375" s="106">
        <v>31479.097115872075</v>
      </c>
      <c r="W2375" s="10">
        <v>0.92460398301597024</v>
      </c>
      <c r="X2375" s="420"/>
      <c r="Y2375" s="420"/>
      <c r="Z2375" s="1"/>
      <c r="AA2375" s="1"/>
      <c r="AB2375" s="1"/>
      <c r="AC2375" s="1"/>
      <c r="AD2375" s="1"/>
    </row>
    <row r="2376" spans="17:30">
      <c r="Q2376" s="6">
        <v>2346</v>
      </c>
      <c r="R2376" s="7">
        <v>45013</v>
      </c>
      <c r="S2376" s="210">
        <v>4</v>
      </c>
      <c r="T2376" s="8">
        <v>1.0001111111111112</v>
      </c>
      <c r="U2376" s="98">
        <v>3.8193216753569015</v>
      </c>
      <c r="V2376" s="106">
        <v>31481.629974738622</v>
      </c>
      <c r="W2376" s="10">
        <v>0.92468926731974488</v>
      </c>
      <c r="X2376" s="420"/>
      <c r="Y2376" s="420"/>
      <c r="Z2376" s="1"/>
      <c r="AA2376" s="1"/>
      <c r="AB2376" s="1"/>
      <c r="AC2376" s="1"/>
      <c r="AD2376" s="1"/>
    </row>
    <row r="2377" spans="17:30">
      <c r="Q2377" s="6">
        <v>2347</v>
      </c>
      <c r="R2377" s="7">
        <v>45014</v>
      </c>
      <c r="S2377" s="210">
        <v>4</v>
      </c>
      <c r="T2377" s="8">
        <v>1.0001111111111112</v>
      </c>
      <c r="U2377" s="98">
        <v>3.8194575381745421</v>
      </c>
      <c r="V2377" s="106">
        <v>31484.163037403072</v>
      </c>
      <c r="W2377" s="10">
        <v>0.92477447902030718</v>
      </c>
      <c r="X2377" s="420"/>
      <c r="Y2377" s="420"/>
      <c r="Z2377" s="1"/>
      <c r="AA2377" s="1"/>
      <c r="AB2377" s="1"/>
      <c r="AC2377" s="1"/>
      <c r="AD2377" s="1"/>
    </row>
    <row r="2378" spans="17:30">
      <c r="Q2378" s="6">
        <v>2348</v>
      </c>
      <c r="R2378" s="7">
        <v>45015</v>
      </c>
      <c r="S2378" s="210">
        <v>4</v>
      </c>
      <c r="T2378" s="8">
        <v>1.0001111111111112</v>
      </c>
      <c r="U2378" s="98">
        <v>3.8195932854433456</v>
      </c>
      <c r="V2378" s="106">
        <v>31486.696303881825</v>
      </c>
      <c r="W2378" s="10">
        <v>0.92485961821036078</v>
      </c>
      <c r="X2378" s="420"/>
      <c r="Y2378" s="420"/>
      <c r="Z2378" s="1"/>
      <c r="AA2378" s="1"/>
      <c r="AB2378" s="1"/>
      <c r="AC2378" s="1"/>
      <c r="AD2378" s="1"/>
    </row>
    <row r="2379" spans="17:30">
      <c r="Q2379" s="6">
        <v>2349</v>
      </c>
      <c r="R2379" s="7">
        <v>45016</v>
      </c>
      <c r="S2379" s="210">
        <v>4</v>
      </c>
      <c r="T2379" s="8">
        <v>1.0001111111111112</v>
      </c>
      <c r="U2379" s="98">
        <v>3.8197289173106386</v>
      </c>
      <c r="V2379" s="106">
        <v>31489.229774191281</v>
      </c>
      <c r="W2379" s="10">
        <v>0.92494468498240945</v>
      </c>
      <c r="X2379" s="420"/>
      <c r="Y2379" s="420"/>
      <c r="Z2379" s="1"/>
      <c r="AA2379" s="1"/>
      <c r="AB2379" s="1"/>
      <c r="AC2379" s="1"/>
      <c r="AD2379" s="1"/>
    </row>
    <row r="2380" spans="17:30">
      <c r="Q2380" s="6">
        <v>2350</v>
      </c>
      <c r="R2380" s="7">
        <v>45017</v>
      </c>
      <c r="S2380" s="210">
        <v>4</v>
      </c>
      <c r="T2380" s="8">
        <v>1.0001111111111112</v>
      </c>
      <c r="U2380" s="98">
        <v>3.8198644339235255</v>
      </c>
      <c r="V2380" s="106">
        <v>31491.763448347843</v>
      </c>
      <c r="W2380" s="10">
        <v>0.92502967942882375</v>
      </c>
      <c r="X2380" s="420"/>
      <c r="Y2380" s="420"/>
      <c r="Z2380" s="1"/>
      <c r="AA2380" s="1"/>
      <c r="AB2380" s="1"/>
      <c r="AC2380" s="1"/>
      <c r="AD2380" s="1"/>
    </row>
    <row r="2381" spans="17:30">
      <c r="Q2381" s="6">
        <v>2351</v>
      </c>
      <c r="R2381" s="7">
        <v>45018</v>
      </c>
      <c r="S2381" s="210">
        <v>4</v>
      </c>
      <c r="T2381" s="8">
        <v>1.0001111111111112</v>
      </c>
      <c r="U2381" s="98">
        <v>3.8199998354288445</v>
      </c>
      <c r="V2381" s="106">
        <v>31494.297326367909</v>
      </c>
      <c r="W2381" s="10">
        <v>0.9251146016417966</v>
      </c>
      <c r="X2381" s="420"/>
      <c r="Y2381" s="420"/>
      <c r="Z2381" s="1"/>
      <c r="AA2381" s="1"/>
      <c r="AB2381" s="1"/>
      <c r="AC2381" s="1"/>
      <c r="AD2381" s="1"/>
    </row>
    <row r="2382" spans="17:30">
      <c r="Q2382" s="6">
        <v>2352</v>
      </c>
      <c r="R2382" s="7">
        <v>45019</v>
      </c>
      <c r="S2382" s="210">
        <v>4</v>
      </c>
      <c r="T2382" s="8">
        <v>1.0001111111111112</v>
      </c>
      <c r="U2382" s="98">
        <v>3.8201351219731894</v>
      </c>
      <c r="V2382" s="106">
        <v>31496.831408267881</v>
      </c>
      <c r="W2382" s="10">
        <v>0.92519945171336548</v>
      </c>
      <c r="X2382" s="420"/>
      <c r="Y2382" s="420"/>
      <c r="Z2382" s="1"/>
      <c r="AA2382" s="1"/>
      <c r="AB2382" s="1"/>
      <c r="AC2382" s="1"/>
      <c r="AD2382" s="1"/>
    </row>
    <row r="2383" spans="17:30">
      <c r="Q2383" s="6">
        <v>2353</v>
      </c>
      <c r="R2383" s="7">
        <v>45020</v>
      </c>
      <c r="S2383" s="210">
        <v>4</v>
      </c>
      <c r="T2383" s="8">
        <v>1.0001111111111112</v>
      </c>
      <c r="U2383" s="98">
        <v>3.8202702937029098</v>
      </c>
      <c r="V2383" s="106">
        <v>31499.365694064159</v>
      </c>
      <c r="W2383" s="10">
        <v>0.92528422973541247</v>
      </c>
      <c r="X2383" s="420"/>
      <c r="Y2383" s="420"/>
      <c r="Z2383" s="1"/>
      <c r="AA2383" s="1"/>
      <c r="AB2383" s="1"/>
      <c r="AC2383" s="1"/>
      <c r="AD2383" s="1"/>
    </row>
    <row r="2384" spans="17:30">
      <c r="Q2384" s="6">
        <v>2354</v>
      </c>
      <c r="R2384" s="7">
        <v>45021</v>
      </c>
      <c r="S2384" s="210">
        <v>4</v>
      </c>
      <c r="T2384" s="8">
        <v>1.0001111111111112</v>
      </c>
      <c r="U2384" s="98">
        <v>3.8204053507641111</v>
      </c>
      <c r="V2384" s="106">
        <v>31501.900183773163</v>
      </c>
      <c r="W2384" s="10">
        <v>0.92536893579968638</v>
      </c>
      <c r="X2384" s="420"/>
      <c r="Y2384" s="420"/>
      <c r="Z2384" s="1"/>
      <c r="AA2384" s="1"/>
      <c r="AB2384" s="1"/>
      <c r="AC2384" s="1"/>
      <c r="AD2384" s="1"/>
    </row>
    <row r="2385" spans="17:30">
      <c r="Q2385" s="6">
        <v>2355</v>
      </c>
      <c r="R2385" s="7">
        <v>45022</v>
      </c>
      <c r="S2385" s="210">
        <v>4</v>
      </c>
      <c r="T2385" s="8">
        <v>1.0001111111111112</v>
      </c>
      <c r="U2385" s="98">
        <v>3.8205402933026322</v>
      </c>
      <c r="V2385" s="106">
        <v>31504.434877411288</v>
      </c>
      <c r="W2385" s="10">
        <v>0.9254535699977362</v>
      </c>
      <c r="X2385" s="420"/>
      <c r="Y2385" s="420"/>
      <c r="Z2385" s="1"/>
      <c r="AA2385" s="1"/>
      <c r="AB2385" s="1"/>
      <c r="AC2385" s="1"/>
      <c r="AD2385" s="1"/>
    </row>
    <row r="2386" spans="17:30">
      <c r="Q2386" s="6">
        <v>2356</v>
      </c>
      <c r="R2386" s="7">
        <v>45023</v>
      </c>
      <c r="S2386" s="210">
        <v>4</v>
      </c>
      <c r="T2386" s="8">
        <v>1.0001111111111112</v>
      </c>
      <c r="U2386" s="98">
        <v>3.8206751214640899</v>
      </c>
      <c r="V2386" s="106">
        <v>31506.969774994945</v>
      </c>
      <c r="W2386" s="10">
        <v>0.92553813242102212</v>
      </c>
      <c r="X2386" s="420"/>
      <c r="Y2386" s="420"/>
      <c r="Z2386" s="1"/>
      <c r="AA2386" s="1"/>
      <c r="AB2386" s="1"/>
      <c r="AC2386" s="1"/>
      <c r="AD2386" s="1"/>
    </row>
    <row r="2387" spans="17:30">
      <c r="Q2387" s="6">
        <v>2357</v>
      </c>
      <c r="R2387" s="7">
        <v>45024</v>
      </c>
      <c r="S2387" s="210">
        <v>4</v>
      </c>
      <c r="T2387" s="8">
        <v>1.0001111111111112</v>
      </c>
      <c r="U2387" s="98">
        <v>3.8208098353938347</v>
      </c>
      <c r="V2387" s="106">
        <v>31509.504876540548</v>
      </c>
      <c r="W2387" s="10">
        <v>0.92562262316076005</v>
      </c>
      <c r="X2387" s="420"/>
      <c r="Y2387" s="420"/>
      <c r="Z2387" s="1"/>
      <c r="AA2387" s="1"/>
      <c r="AB2387" s="1"/>
      <c r="AC2387" s="1"/>
      <c r="AD2387" s="1"/>
    </row>
    <row r="2388" spans="17:30">
      <c r="Q2388" s="6">
        <v>2358</v>
      </c>
      <c r="R2388" s="7">
        <v>45025</v>
      </c>
      <c r="S2388" s="210">
        <v>4</v>
      </c>
      <c r="T2388" s="8">
        <v>1.0001111111111112</v>
      </c>
      <c r="U2388" s="98">
        <v>3.8209444352369726</v>
      </c>
      <c r="V2388" s="106">
        <v>31512.040182064506</v>
      </c>
      <c r="W2388" s="10">
        <v>0.9257070423080993</v>
      </c>
      <c r="X2388" s="420"/>
      <c r="Y2388" s="420"/>
      <c r="Z2388" s="1"/>
      <c r="AA2388" s="1"/>
      <c r="AB2388" s="1"/>
      <c r="AC2388" s="1"/>
      <c r="AD2388" s="1"/>
    </row>
    <row r="2389" spans="17:30">
      <c r="Q2389" s="6">
        <v>2359</v>
      </c>
      <c r="R2389" s="7">
        <v>45026</v>
      </c>
      <c r="S2389" s="210">
        <v>4</v>
      </c>
      <c r="T2389" s="8">
        <v>1.0001111111111112</v>
      </c>
      <c r="U2389" s="98">
        <v>3.8210789211383878</v>
      </c>
      <c r="V2389" s="106">
        <v>31514.575691583232</v>
      </c>
      <c r="W2389" s="10">
        <v>0.92579138995398935</v>
      </c>
      <c r="X2389" s="420"/>
      <c r="Y2389" s="420"/>
      <c r="Z2389" s="1"/>
      <c r="AA2389" s="1"/>
      <c r="AB2389" s="1"/>
      <c r="AC2389" s="1"/>
      <c r="AD2389" s="1"/>
    </row>
    <row r="2390" spans="17:30">
      <c r="Q2390" s="6">
        <v>2360</v>
      </c>
      <c r="R2390" s="7">
        <v>45027</v>
      </c>
      <c r="S2390" s="210">
        <v>4</v>
      </c>
      <c r="T2390" s="8">
        <v>1.0001111111111112</v>
      </c>
      <c r="U2390" s="98">
        <v>3.8212132932426757</v>
      </c>
      <c r="V2390" s="106">
        <v>31517.111405113137</v>
      </c>
      <c r="W2390" s="10">
        <v>0.92587566618922423</v>
      </c>
      <c r="X2390" s="420"/>
      <c r="Y2390" s="420"/>
      <c r="Z2390" s="1"/>
      <c r="AA2390" s="1"/>
      <c r="AB2390" s="1"/>
      <c r="AC2390" s="1"/>
      <c r="AD2390" s="1"/>
    </row>
    <row r="2391" spans="17:30">
      <c r="Q2391" s="6">
        <v>2361</v>
      </c>
      <c r="R2391" s="7">
        <v>45028</v>
      </c>
      <c r="S2391" s="210">
        <v>4</v>
      </c>
      <c r="T2391" s="8">
        <v>1.0001111111111112</v>
      </c>
      <c r="U2391" s="98">
        <v>3.8213475516942319</v>
      </c>
      <c r="V2391" s="106">
        <v>31519.647322670637</v>
      </c>
      <c r="W2391" s="10">
        <v>0.92595987110446476</v>
      </c>
      <c r="X2391" s="420"/>
      <c r="Y2391" s="420"/>
      <c r="Z2391" s="1"/>
      <c r="AA2391" s="1"/>
      <c r="AB2391" s="1"/>
      <c r="AC2391" s="1"/>
      <c r="AD2391" s="1"/>
    </row>
    <row r="2392" spans="17:30">
      <c r="Q2392" s="6">
        <v>2362</v>
      </c>
      <c r="R2392" s="7">
        <v>45029</v>
      </c>
      <c r="S2392" s="210">
        <v>4</v>
      </c>
      <c r="T2392" s="8">
        <v>1.0001111111111112</v>
      </c>
      <c r="U2392" s="98">
        <v>3.8214816966371856</v>
      </c>
      <c r="V2392" s="106">
        <v>31522.183444272148</v>
      </c>
      <c r="W2392" s="10">
        <v>0.92604400479019411</v>
      </c>
      <c r="X2392" s="420"/>
      <c r="Y2392" s="420"/>
      <c r="Z2392" s="1"/>
      <c r="AA2392" s="1"/>
      <c r="AB2392" s="1"/>
      <c r="AC2392" s="1"/>
      <c r="AD2392" s="1"/>
    </row>
    <row r="2393" spans="17:30">
      <c r="Q2393" s="6">
        <v>2363</v>
      </c>
      <c r="R2393" s="7">
        <v>45030</v>
      </c>
      <c r="S2393" s="210">
        <v>4</v>
      </c>
      <c r="T2393" s="8">
        <v>1.0001111111111112</v>
      </c>
      <c r="U2393" s="98">
        <v>3.8216157282153995</v>
      </c>
      <c r="V2393" s="106">
        <v>31524.719769934094</v>
      </c>
      <c r="W2393" s="10">
        <v>0.92612806733674002</v>
      </c>
      <c r="X2393" s="420"/>
      <c r="Y2393" s="420"/>
      <c r="Z2393" s="1"/>
      <c r="AA2393" s="1"/>
      <c r="AB2393" s="1"/>
      <c r="AC2393" s="1"/>
      <c r="AD2393" s="1"/>
    </row>
    <row r="2394" spans="17:30">
      <c r="Q2394" s="6">
        <v>2364</v>
      </c>
      <c r="R2394" s="7">
        <v>45031</v>
      </c>
      <c r="S2394" s="210">
        <v>4</v>
      </c>
      <c r="T2394" s="8">
        <v>1.0001111111111112</v>
      </c>
      <c r="U2394" s="98">
        <v>3.8217496465725365</v>
      </c>
      <c r="V2394" s="106">
        <v>31527.256299672885</v>
      </c>
      <c r="W2394" s="10">
        <v>0.92621205883431923</v>
      </c>
      <c r="X2394" s="420"/>
      <c r="Y2394" s="420"/>
      <c r="Z2394" s="1"/>
      <c r="AA2394" s="1"/>
      <c r="AB2394" s="1"/>
      <c r="AC2394" s="1"/>
      <c r="AD2394" s="1"/>
    </row>
    <row r="2395" spans="17:30">
      <c r="Q2395" s="6">
        <v>2365</v>
      </c>
      <c r="R2395" s="7">
        <v>45032</v>
      </c>
      <c r="S2395" s="210">
        <v>4</v>
      </c>
      <c r="T2395" s="8">
        <v>1.0001111111111112</v>
      </c>
      <c r="U2395" s="98">
        <v>3.8218834518520151</v>
      </c>
      <c r="V2395" s="106">
        <v>31529.793033504942</v>
      </c>
      <c r="W2395" s="10">
        <v>0.92629597937297081</v>
      </c>
      <c r="X2395" s="420"/>
      <c r="Y2395" s="420"/>
      <c r="Z2395" s="1"/>
      <c r="AA2395" s="1"/>
      <c r="AB2395" s="1"/>
      <c r="AC2395" s="1"/>
      <c r="AD2395" s="1"/>
    </row>
    <row r="2396" spans="17:30">
      <c r="Q2396" s="6">
        <v>2366</v>
      </c>
      <c r="R2396" s="7">
        <v>45033</v>
      </c>
      <c r="S2396" s="210">
        <v>4</v>
      </c>
      <c r="T2396" s="8">
        <v>1.0001111111111112</v>
      </c>
      <c r="U2396" s="98">
        <v>3.8220171441969653</v>
      </c>
      <c r="V2396" s="106">
        <v>31532.329971446696</v>
      </c>
      <c r="W2396" s="10">
        <v>0.92637982904253402</v>
      </c>
      <c r="X2396" s="420"/>
      <c r="Y2396" s="420"/>
      <c r="Z2396" s="1"/>
      <c r="AA2396" s="1"/>
      <c r="AB2396" s="1"/>
      <c r="AC2396" s="1"/>
      <c r="AD2396" s="1"/>
    </row>
    <row r="2397" spans="17:30">
      <c r="Q2397" s="6">
        <v>2367</v>
      </c>
      <c r="R2397" s="7">
        <v>45034</v>
      </c>
      <c r="S2397" s="210">
        <v>4</v>
      </c>
      <c r="T2397" s="8">
        <v>1.0001111111111112</v>
      </c>
      <c r="U2397" s="98">
        <v>3.8221507237503172</v>
      </c>
      <c r="V2397" s="106">
        <v>31534.867113514556</v>
      </c>
      <c r="W2397" s="10">
        <v>0.92646360793280369</v>
      </c>
      <c r="X2397" s="420"/>
      <c r="Y2397" s="420"/>
      <c r="Z2397" s="1"/>
      <c r="AA2397" s="1"/>
      <c r="AB2397" s="1"/>
      <c r="AC2397" s="1"/>
      <c r="AD2397" s="1"/>
    </row>
    <row r="2398" spans="17:30">
      <c r="Q2398" s="6">
        <v>2368</v>
      </c>
      <c r="R2398" s="7">
        <v>45035</v>
      </c>
      <c r="S2398" s="210">
        <v>4</v>
      </c>
      <c r="T2398" s="8">
        <v>1.0001111111111112</v>
      </c>
      <c r="U2398" s="98">
        <v>3.8222841906547567</v>
      </c>
      <c r="V2398" s="106">
        <v>31537.404459724959</v>
      </c>
      <c r="W2398" s="10">
        <v>0.92654731613333041</v>
      </c>
      <c r="X2398" s="420"/>
      <c r="Y2398" s="420"/>
      <c r="Z2398" s="1"/>
      <c r="AA2398" s="1"/>
      <c r="AB2398" s="1"/>
      <c r="AC2398" s="1"/>
      <c r="AD2398" s="1"/>
    </row>
    <row r="2399" spans="17:30">
      <c r="Q2399" s="6">
        <v>2369</v>
      </c>
      <c r="R2399" s="7">
        <v>45036</v>
      </c>
      <c r="S2399" s="210">
        <v>4</v>
      </c>
      <c r="T2399" s="8">
        <v>1.0001111111111112</v>
      </c>
      <c r="U2399" s="98">
        <v>3.8224175450527031</v>
      </c>
      <c r="V2399" s="106">
        <v>31539.942010094324</v>
      </c>
      <c r="W2399" s="10">
        <v>0.92663095373353155</v>
      </c>
      <c r="X2399" s="420"/>
      <c r="Y2399" s="420"/>
      <c r="Z2399" s="1"/>
      <c r="AA2399" s="1"/>
      <c r="AB2399" s="1"/>
      <c r="AC2399" s="1"/>
      <c r="AD2399" s="1"/>
    </row>
    <row r="2400" spans="17:30">
      <c r="Q2400" s="6">
        <v>2370</v>
      </c>
      <c r="R2400" s="7">
        <v>45037</v>
      </c>
      <c r="S2400" s="210">
        <v>4</v>
      </c>
      <c r="T2400" s="8">
        <v>1.0001111111111112</v>
      </c>
      <c r="U2400" s="98">
        <v>3.8225507870863762</v>
      </c>
      <c r="V2400" s="106">
        <v>31542.479764639087</v>
      </c>
      <c r="W2400" s="10">
        <v>0.92671452082271344</v>
      </c>
      <c r="X2400" s="420"/>
      <c r="Y2400" s="420"/>
      <c r="Z2400" s="1"/>
      <c r="AA2400" s="1"/>
      <c r="AB2400" s="1"/>
      <c r="AC2400" s="1"/>
      <c r="AD2400" s="1"/>
    </row>
    <row r="2401" spans="17:30">
      <c r="Q2401" s="6">
        <v>2371</v>
      </c>
      <c r="R2401" s="7">
        <v>45038</v>
      </c>
      <c r="S2401" s="210">
        <v>4</v>
      </c>
      <c r="T2401" s="8">
        <v>1.0001111111111112</v>
      </c>
      <c r="U2401" s="98">
        <v>3.8226839168977067</v>
      </c>
      <c r="V2401" s="106">
        <v>31545.017723375662</v>
      </c>
      <c r="W2401" s="10">
        <v>0.92679801748998258</v>
      </c>
      <c r="X2401" s="420"/>
      <c r="Y2401" s="420"/>
      <c r="Z2401" s="1"/>
      <c r="AA2401" s="1"/>
      <c r="AB2401" s="1"/>
      <c r="AC2401" s="1"/>
      <c r="AD2401" s="1"/>
    </row>
    <row r="2402" spans="17:30">
      <c r="Q2402" s="6">
        <v>2372</v>
      </c>
      <c r="R2402" s="7">
        <v>45039</v>
      </c>
      <c r="S2402" s="210">
        <v>4</v>
      </c>
      <c r="T2402" s="8">
        <v>1.0001111111111112</v>
      </c>
      <c r="U2402" s="98">
        <v>3.8228169346284258</v>
      </c>
      <c r="V2402" s="106">
        <v>31547.555886320486</v>
      </c>
      <c r="W2402" s="10">
        <v>0.92688144382433446</v>
      </c>
      <c r="X2402" s="420"/>
      <c r="Y2402" s="420"/>
      <c r="Z2402" s="1"/>
      <c r="AA2402" s="1"/>
      <c r="AB2402" s="1"/>
      <c r="AC2402" s="1"/>
      <c r="AD2402" s="1"/>
    </row>
    <row r="2403" spans="17:30">
      <c r="Q2403" s="6">
        <v>2373</v>
      </c>
      <c r="R2403" s="7">
        <v>45040</v>
      </c>
      <c r="S2403" s="210">
        <v>4</v>
      </c>
      <c r="T2403" s="8">
        <v>1.0001111111111112</v>
      </c>
      <c r="U2403" s="98">
        <v>3.8229498404200202</v>
      </c>
      <c r="V2403" s="106">
        <v>31550.094253489988</v>
      </c>
      <c r="W2403" s="10">
        <v>0.92696479991458691</v>
      </c>
      <c r="X2403" s="420"/>
      <c r="Y2403" s="420"/>
      <c r="Z2403" s="1"/>
      <c r="AA2403" s="1"/>
      <c r="AB2403" s="1"/>
      <c r="AC2403" s="1"/>
      <c r="AD2403" s="1"/>
    </row>
    <row r="2404" spans="17:30">
      <c r="Q2404" s="6">
        <v>2374</v>
      </c>
      <c r="R2404" s="7">
        <v>45041</v>
      </c>
      <c r="S2404" s="210">
        <v>4</v>
      </c>
      <c r="T2404" s="8">
        <v>1.0001111111111112</v>
      </c>
      <c r="U2404" s="98">
        <v>3.8230826344137325</v>
      </c>
      <c r="V2404" s="106">
        <v>31552.632824900607</v>
      </c>
      <c r="W2404" s="10">
        <v>0.92704808584944676</v>
      </c>
      <c r="X2404" s="420"/>
      <c r="Y2404" s="420"/>
      <c r="Z2404" s="1"/>
      <c r="AA2404" s="1"/>
      <c r="AB2404" s="1"/>
      <c r="AC2404" s="1"/>
      <c r="AD2404" s="1"/>
    </row>
    <row r="2405" spans="17:30">
      <c r="Q2405" s="6">
        <v>2375</v>
      </c>
      <c r="R2405" s="7">
        <v>45042</v>
      </c>
      <c r="S2405" s="210">
        <v>4</v>
      </c>
      <c r="T2405" s="8">
        <v>1.0001111111111112</v>
      </c>
      <c r="U2405" s="98">
        <v>3.8232153167505389</v>
      </c>
      <c r="V2405" s="106">
        <v>31555.171600568767</v>
      </c>
      <c r="W2405" s="10">
        <v>0.92713130171739877</v>
      </c>
      <c r="X2405" s="420"/>
      <c r="Y2405" s="420"/>
      <c r="Z2405" s="1"/>
      <c r="AA2405" s="1"/>
      <c r="AB2405" s="1"/>
      <c r="AC2405" s="1"/>
      <c r="AD2405" s="1"/>
    </row>
    <row r="2406" spans="17:30">
      <c r="Q2406" s="6">
        <v>2376</v>
      </c>
      <c r="R2406" s="7">
        <v>45043</v>
      </c>
      <c r="S2406" s="210">
        <v>4</v>
      </c>
      <c r="T2406" s="8">
        <v>1.0001111111111112</v>
      </c>
      <c r="U2406" s="98">
        <v>3.8233478875712379</v>
      </c>
      <c r="V2406" s="106">
        <v>31557.710580510906</v>
      </c>
      <c r="W2406" s="10">
        <v>0.92721444760686111</v>
      </c>
      <c r="X2406" s="420"/>
      <c r="Y2406" s="420"/>
      <c r="Z2406" s="1"/>
      <c r="AA2406" s="1"/>
      <c r="AB2406" s="1"/>
      <c r="AC2406" s="1"/>
      <c r="AD2406" s="1"/>
    </row>
    <row r="2407" spans="17:30">
      <c r="Q2407" s="6">
        <v>2377</v>
      </c>
      <c r="R2407" s="7">
        <v>45044</v>
      </c>
      <c r="S2407" s="210">
        <v>4</v>
      </c>
      <c r="T2407" s="8">
        <v>1.0001111111111112</v>
      </c>
      <c r="U2407" s="98">
        <v>3.8234803470163392</v>
      </c>
      <c r="V2407" s="106">
        <v>31560.249764743465</v>
      </c>
      <c r="W2407" s="10">
        <v>0.92729752360605211</v>
      </c>
      <c r="X2407" s="420"/>
      <c r="Y2407" s="420"/>
      <c r="Z2407" s="1"/>
      <c r="AA2407" s="1"/>
      <c r="AB2407" s="1"/>
      <c r="AC2407" s="1"/>
      <c r="AD2407" s="1"/>
    </row>
    <row r="2408" spans="17:30">
      <c r="Q2408" s="6">
        <v>2378</v>
      </c>
      <c r="R2408" s="7">
        <v>45045</v>
      </c>
      <c r="S2408" s="210">
        <v>4</v>
      </c>
      <c r="T2408" s="8">
        <v>1.0001111111111112</v>
      </c>
      <c r="U2408" s="98">
        <v>3.8236126952261529</v>
      </c>
      <c r="V2408" s="106">
        <v>31562.789153282876</v>
      </c>
      <c r="W2408" s="10">
        <v>0.92738052980307906</v>
      </c>
      <c r="X2408" s="420"/>
      <c r="Y2408" s="420"/>
      <c r="Z2408" s="1"/>
      <c r="AA2408" s="1"/>
      <c r="AB2408" s="1"/>
      <c r="AC2408" s="1"/>
      <c r="AD2408" s="1"/>
    </row>
    <row r="2409" spans="17:30">
      <c r="Q2409" s="6">
        <v>2379</v>
      </c>
      <c r="R2409" s="7">
        <v>45046</v>
      </c>
      <c r="S2409" s="210">
        <v>4</v>
      </c>
      <c r="T2409" s="8">
        <v>1.0001111111111112</v>
      </c>
      <c r="U2409" s="98">
        <v>3.8237449323407224</v>
      </c>
      <c r="V2409" s="106">
        <v>31565.328746145584</v>
      </c>
      <c r="W2409" s="10">
        <v>0.92746346628582721</v>
      </c>
      <c r="X2409" s="420"/>
      <c r="Y2409" s="420"/>
      <c r="Z2409" s="1"/>
      <c r="AA2409" s="1"/>
      <c r="AB2409" s="1"/>
      <c r="AC2409" s="1"/>
      <c r="AD2409" s="1"/>
    </row>
    <row r="2410" spans="17:30">
      <c r="Q2410" s="6">
        <v>2380</v>
      </c>
      <c r="R2410" s="7">
        <v>45047</v>
      </c>
      <c r="S2410" s="210">
        <v>4</v>
      </c>
      <c r="T2410" s="8">
        <v>1.0001111111111112</v>
      </c>
      <c r="U2410" s="98">
        <v>3.8238770584998916</v>
      </c>
      <c r="V2410" s="106">
        <v>31567.868543348017</v>
      </c>
      <c r="W2410" s="10">
        <v>0.92754633314213741</v>
      </c>
      <c r="X2410" s="420"/>
      <c r="Y2410" s="420"/>
      <c r="Z2410" s="1"/>
      <c r="AA2410" s="1"/>
      <c r="AB2410" s="1"/>
      <c r="AC2410" s="1"/>
      <c r="AD2410" s="1"/>
    </row>
    <row r="2411" spans="17:30">
      <c r="Q2411" s="6">
        <v>2381</v>
      </c>
      <c r="R2411" s="7">
        <v>45048</v>
      </c>
      <c r="S2411" s="210">
        <v>4</v>
      </c>
      <c r="T2411" s="8">
        <v>1.0001111111111112</v>
      </c>
      <c r="U2411" s="98">
        <v>3.8240090738432375</v>
      </c>
      <c r="V2411" s="106">
        <v>31570.40854490663</v>
      </c>
      <c r="W2411" s="10">
        <v>0.92762913045965067</v>
      </c>
      <c r="X2411" s="420"/>
      <c r="Y2411" s="420"/>
      <c r="Z2411" s="1"/>
      <c r="AA2411" s="1"/>
      <c r="AB2411" s="1"/>
      <c r="AC2411" s="1"/>
      <c r="AD2411" s="1"/>
    </row>
    <row r="2412" spans="17:30">
      <c r="Q2412" s="6">
        <v>2382</v>
      </c>
      <c r="R2412" s="7">
        <v>45049</v>
      </c>
      <c r="S2412" s="210">
        <v>4</v>
      </c>
      <c r="T2412" s="8">
        <v>1.0001111111111112</v>
      </c>
      <c r="U2412" s="98">
        <v>3.8241409785101155</v>
      </c>
      <c r="V2412" s="106">
        <v>31572.948750837859</v>
      </c>
      <c r="W2412" s="10">
        <v>0.92771185832580816</v>
      </c>
      <c r="X2412" s="420"/>
      <c r="Y2412" s="420"/>
      <c r="Z2412" s="1"/>
      <c r="AA2412" s="1"/>
      <c r="AB2412" s="1"/>
      <c r="AC2412" s="1"/>
      <c r="AD2412" s="1"/>
    </row>
    <row r="2413" spans="17:30">
      <c r="Q2413" s="6">
        <v>2383</v>
      </c>
      <c r="R2413" s="7">
        <v>45050</v>
      </c>
      <c r="S2413" s="210">
        <v>4</v>
      </c>
      <c r="T2413" s="8">
        <v>1.0001111111111112</v>
      </c>
      <c r="U2413" s="98">
        <v>3.8242727726396586</v>
      </c>
      <c r="V2413" s="106">
        <v>31575.489161158148</v>
      </c>
      <c r="W2413" s="10">
        <v>0.92779451682802883</v>
      </c>
      <c r="X2413" s="420"/>
      <c r="Y2413" s="420"/>
      <c r="Z2413" s="1"/>
      <c r="AA2413" s="1"/>
      <c r="AB2413" s="1"/>
      <c r="AC2413" s="1"/>
      <c r="AD2413" s="1"/>
    </row>
    <row r="2414" spans="17:30">
      <c r="Q2414" s="6">
        <v>2384</v>
      </c>
      <c r="R2414" s="7">
        <v>45051</v>
      </c>
      <c r="S2414" s="210">
        <v>4</v>
      </c>
      <c r="T2414" s="8">
        <v>1.0001111111111112</v>
      </c>
      <c r="U2414" s="98">
        <v>3.8244044563707336</v>
      </c>
      <c r="V2414" s="106">
        <v>31578.029775883952</v>
      </c>
      <c r="W2414" s="10">
        <v>0.92787710605346518</v>
      </c>
      <c r="X2414" s="420"/>
      <c r="Y2414" s="420"/>
      <c r="Z2414" s="1"/>
      <c r="AA2414" s="1"/>
      <c r="AB2414" s="1"/>
      <c r="AC2414" s="1"/>
      <c r="AD2414" s="1"/>
    </row>
    <row r="2415" spans="17:30">
      <c r="Q2415" s="6">
        <v>2385</v>
      </c>
      <c r="R2415" s="7">
        <v>45052</v>
      </c>
      <c r="S2415" s="210">
        <v>4</v>
      </c>
      <c r="T2415" s="8">
        <v>1.0001111111111112</v>
      </c>
      <c r="U2415" s="98">
        <v>3.8245360298420072</v>
      </c>
      <c r="V2415" s="106">
        <v>31580.570595031702</v>
      </c>
      <c r="W2415" s="10">
        <v>0.92795962608918092</v>
      </c>
      <c r="X2415" s="420"/>
      <c r="Y2415" s="420"/>
      <c r="Z2415" s="1"/>
      <c r="AA2415" s="1"/>
      <c r="AB2415" s="1"/>
      <c r="AC2415" s="1"/>
      <c r="AD2415" s="1"/>
    </row>
    <row r="2416" spans="17:30">
      <c r="Q2416" s="6">
        <v>2386</v>
      </c>
      <c r="R2416" s="7">
        <v>45053</v>
      </c>
      <c r="S2416" s="210">
        <v>4</v>
      </c>
      <c r="T2416" s="8">
        <v>1.0001111111111112</v>
      </c>
      <c r="U2416" s="98">
        <v>3.8246674931919022</v>
      </c>
      <c r="V2416" s="106">
        <v>31583.111618617855</v>
      </c>
      <c r="W2416" s="10">
        <v>0.9280420770220843</v>
      </c>
      <c r="X2416" s="420"/>
      <c r="Y2416" s="420"/>
      <c r="Z2416" s="1"/>
      <c r="AA2416" s="1"/>
      <c r="AB2416" s="1"/>
      <c r="AC2416" s="1"/>
      <c r="AD2416" s="1"/>
    </row>
    <row r="2417" spans="17:30">
      <c r="Q2417" s="6">
        <v>2387</v>
      </c>
      <c r="R2417" s="7">
        <v>45054</v>
      </c>
      <c r="S2417" s="210">
        <v>4</v>
      </c>
      <c r="T2417" s="8">
        <v>1.0001111111111112</v>
      </c>
      <c r="U2417" s="98">
        <v>3.8247988465586191</v>
      </c>
      <c r="V2417" s="106">
        <v>31585.652846658861</v>
      </c>
      <c r="W2417" s="10">
        <v>0.92812445893897255</v>
      </c>
      <c r="X2417" s="420"/>
      <c r="Y2417" s="420"/>
      <c r="Z2417" s="1"/>
      <c r="AA2417" s="1"/>
      <c r="AB2417" s="1"/>
      <c r="AC2417" s="1"/>
      <c r="AD2417" s="1"/>
    </row>
    <row r="2418" spans="17:30">
      <c r="Q2418" s="6">
        <v>2388</v>
      </c>
      <c r="R2418" s="7">
        <v>45055</v>
      </c>
      <c r="S2418" s="210">
        <v>4</v>
      </c>
      <c r="T2418" s="8">
        <v>1.0001111111111112</v>
      </c>
      <c r="U2418" s="98">
        <v>3.8249300900801142</v>
      </c>
      <c r="V2418" s="106">
        <v>31588.194279171163</v>
      </c>
      <c r="W2418" s="10">
        <v>0.92820677192642087</v>
      </c>
      <c r="X2418" s="420"/>
      <c r="Y2418" s="420"/>
      <c r="Z2418" s="1"/>
      <c r="AA2418" s="1"/>
      <c r="AB2418" s="1"/>
      <c r="AC2418" s="1"/>
      <c r="AD2418" s="1"/>
    </row>
    <row r="2419" spans="17:30">
      <c r="Q2419" s="6">
        <v>2389</v>
      </c>
      <c r="R2419" s="7">
        <v>45056</v>
      </c>
      <c r="S2419" s="210">
        <v>4</v>
      </c>
      <c r="T2419" s="8">
        <v>1.0001111111111112</v>
      </c>
      <c r="U2419" s="98">
        <v>3.8250612238941217</v>
      </c>
      <c r="V2419" s="106">
        <v>31590.735916171227</v>
      </c>
      <c r="W2419" s="10">
        <v>0.92828901607093783</v>
      </c>
      <c r="X2419" s="420"/>
      <c r="Y2419" s="420"/>
      <c r="Z2419" s="1"/>
      <c r="AA2419" s="1"/>
      <c r="AB2419" s="1"/>
      <c r="AC2419" s="1"/>
      <c r="AD2419" s="1"/>
    </row>
    <row r="2420" spans="17:30">
      <c r="Q2420" s="6">
        <v>2390</v>
      </c>
      <c r="R2420" s="7">
        <v>45057</v>
      </c>
      <c r="S2420" s="210">
        <v>4</v>
      </c>
      <c r="T2420" s="8">
        <v>1.0001111111111112</v>
      </c>
      <c r="U2420" s="98">
        <v>3.8251922481381317</v>
      </c>
      <c r="V2420" s="106">
        <v>31593.277757675496</v>
      </c>
      <c r="W2420" s="10">
        <v>0.92837119145883218</v>
      </c>
      <c r="X2420" s="420"/>
      <c r="Y2420" s="420"/>
      <c r="Z2420" s="1"/>
      <c r="AA2420" s="1"/>
      <c r="AB2420" s="1"/>
      <c r="AC2420" s="1"/>
      <c r="AD2420" s="1"/>
    </row>
    <row r="2421" spans="17:30">
      <c r="Q2421" s="6">
        <v>2391</v>
      </c>
      <c r="R2421" s="7">
        <v>45058</v>
      </c>
      <c r="S2421" s="210">
        <v>4</v>
      </c>
      <c r="T2421" s="8">
        <v>1.0001111111111112</v>
      </c>
      <c r="U2421" s="98">
        <v>3.8253231629494344</v>
      </c>
      <c r="V2421" s="106">
        <v>31595.819803700426</v>
      </c>
      <c r="W2421" s="10">
        <v>0.92845329817630162</v>
      </c>
      <c r="X2421" s="420"/>
      <c r="Y2421" s="420"/>
      <c r="Z2421" s="1"/>
      <c r="AA2421" s="1"/>
      <c r="AB2421" s="1"/>
      <c r="AC2421" s="1"/>
      <c r="AD2421" s="1"/>
    </row>
    <row r="2422" spans="17:30">
      <c r="Q2422" s="6">
        <v>2392</v>
      </c>
      <c r="R2422" s="7">
        <v>45059</v>
      </c>
      <c r="S2422" s="210">
        <v>4</v>
      </c>
      <c r="T2422" s="8">
        <v>1.0001111111111112</v>
      </c>
      <c r="U2422" s="98">
        <v>3.8254539684650535</v>
      </c>
      <c r="V2422" s="106">
        <v>31598.362054262478</v>
      </c>
      <c r="W2422" s="10">
        <v>0.92853533630936624</v>
      </c>
      <c r="X2422" s="420"/>
      <c r="Y2422" s="420"/>
      <c r="Z2422" s="1"/>
      <c r="AA2422" s="1"/>
      <c r="AB2422" s="1"/>
      <c r="AC2422" s="1"/>
      <c r="AD2422" s="1"/>
    </row>
    <row r="2423" spans="17:30">
      <c r="Q2423" s="6">
        <v>2393</v>
      </c>
      <c r="R2423" s="7">
        <v>45060</v>
      </c>
      <c r="S2423" s="210">
        <v>4</v>
      </c>
      <c r="T2423" s="8">
        <v>1.0001111111111112</v>
      </c>
      <c r="U2423" s="98">
        <v>3.8255846648217906</v>
      </c>
      <c r="V2423" s="106">
        <v>31600.904509378102</v>
      </c>
      <c r="W2423" s="10">
        <v>0.9286173059439351</v>
      </c>
      <c r="X2423" s="420"/>
      <c r="Y2423" s="420"/>
      <c r="Z2423" s="1"/>
      <c r="AA2423" s="1"/>
      <c r="AB2423" s="1"/>
      <c r="AC2423" s="1"/>
      <c r="AD2423" s="1"/>
    </row>
    <row r="2424" spans="17:30">
      <c r="Q2424" s="6">
        <v>2394</v>
      </c>
      <c r="R2424" s="7">
        <v>45061</v>
      </c>
      <c r="S2424" s="210">
        <v>4</v>
      </c>
      <c r="T2424" s="8">
        <v>1.0001111111111112</v>
      </c>
      <c r="U2424" s="98">
        <v>3.8257152521562476</v>
      </c>
      <c r="V2424" s="106">
        <v>31603.447169063762</v>
      </c>
      <c r="W2424" s="10">
        <v>0.92869920716576182</v>
      </c>
      <c r="X2424" s="420"/>
      <c r="Y2424" s="420"/>
      <c r="Z2424" s="1"/>
      <c r="AA2424" s="1"/>
      <c r="AB2424" s="1"/>
      <c r="AC2424" s="1"/>
      <c r="AD2424" s="1"/>
    </row>
    <row r="2425" spans="17:30">
      <c r="Q2425" s="6">
        <v>2395</v>
      </c>
      <c r="R2425" s="7">
        <v>45062</v>
      </c>
      <c r="S2425" s="210">
        <v>4</v>
      </c>
      <c r="T2425" s="8">
        <v>1.0001111111111112</v>
      </c>
      <c r="U2425" s="98">
        <v>3.8258457306047822</v>
      </c>
      <c r="V2425" s="106">
        <v>31605.990033335915</v>
      </c>
      <c r="W2425" s="10">
        <v>0.9287810400604668</v>
      </c>
      <c r="X2425" s="420"/>
      <c r="Y2425" s="420"/>
      <c r="Z2425" s="1"/>
      <c r="AA2425" s="1"/>
      <c r="AB2425" s="1"/>
      <c r="AC2425" s="1"/>
      <c r="AD2425" s="1"/>
    </row>
    <row r="2426" spans="17:30">
      <c r="Q2426" s="6">
        <v>2396</v>
      </c>
      <c r="R2426" s="7">
        <v>45063</v>
      </c>
      <c r="S2426" s="210">
        <v>4</v>
      </c>
      <c r="T2426" s="8">
        <v>1.0001111111111112</v>
      </c>
      <c r="U2426" s="98">
        <v>3.8259761003035297</v>
      </c>
      <c r="V2426" s="106">
        <v>31608.533102211026</v>
      </c>
      <c r="W2426" s="10">
        <v>0.92886280471353722</v>
      </c>
      <c r="X2426" s="420"/>
      <c r="Y2426" s="420"/>
      <c r="Z2426" s="1"/>
      <c r="AA2426" s="1"/>
      <c r="AB2426" s="1"/>
      <c r="AC2426" s="1"/>
      <c r="AD2426" s="1"/>
    </row>
    <row r="2427" spans="17:30">
      <c r="Q2427" s="6">
        <v>2397</v>
      </c>
      <c r="R2427" s="7">
        <v>45064</v>
      </c>
      <c r="S2427" s="210">
        <v>4</v>
      </c>
      <c r="T2427" s="8">
        <v>1.0001111111111112</v>
      </c>
      <c r="U2427" s="98">
        <v>3.8261063613883817</v>
      </c>
      <c r="V2427" s="106">
        <v>31611.076375705554</v>
      </c>
      <c r="W2427" s="10">
        <v>0.9289445012102604</v>
      </c>
      <c r="X2427" s="420"/>
      <c r="Y2427" s="420"/>
      <c r="Z2427" s="1"/>
      <c r="AA2427" s="1"/>
      <c r="AB2427" s="1"/>
      <c r="AC2427" s="1"/>
      <c r="AD2427" s="1"/>
    </row>
    <row r="2428" spans="17:30">
      <c r="Q2428" s="6">
        <v>2398</v>
      </c>
      <c r="R2428" s="7">
        <v>45065</v>
      </c>
      <c r="S2428" s="210">
        <v>4</v>
      </c>
      <c r="T2428" s="8">
        <v>1.0001111111111112</v>
      </c>
      <c r="U2428" s="98">
        <v>3.8262365139950072</v>
      </c>
      <c r="V2428" s="106">
        <v>31613.619853835964</v>
      </c>
      <c r="W2428" s="10">
        <v>0.92902612963581266</v>
      </c>
      <c r="X2428" s="420"/>
      <c r="Y2428" s="420"/>
      <c r="Z2428" s="1"/>
      <c r="AA2428" s="1"/>
      <c r="AB2428" s="1"/>
      <c r="AC2428" s="1"/>
      <c r="AD2428" s="1"/>
    </row>
    <row r="2429" spans="17:30">
      <c r="Q2429" s="6">
        <v>2399</v>
      </c>
      <c r="R2429" s="7">
        <v>45066</v>
      </c>
      <c r="S2429" s="210">
        <v>4</v>
      </c>
      <c r="T2429" s="8">
        <v>1.0001111111111112</v>
      </c>
      <c r="U2429" s="98">
        <v>3.8263665582588757</v>
      </c>
      <c r="V2429" s="106">
        <v>31616.163536618722</v>
      </c>
      <c r="W2429" s="10">
        <v>0.92910769007528149</v>
      </c>
      <c r="X2429" s="420"/>
      <c r="Y2429" s="420"/>
      <c r="Z2429" s="1"/>
      <c r="AA2429" s="1"/>
      <c r="AB2429" s="1"/>
      <c r="AC2429" s="1"/>
      <c r="AD2429" s="1"/>
    </row>
    <row r="2430" spans="17:30">
      <c r="Q2430" s="6">
        <v>2400</v>
      </c>
      <c r="R2430" s="7">
        <v>45067</v>
      </c>
      <c r="S2430" s="210">
        <v>4</v>
      </c>
      <c r="T2430" s="8">
        <v>1.0001111111111112</v>
      </c>
      <c r="U2430" s="98">
        <v>3.8264964943152124</v>
      </c>
      <c r="V2430" s="106">
        <v>31618.707424070293</v>
      </c>
      <c r="W2430" s="10">
        <v>0.92918918261353234</v>
      </c>
      <c r="X2430" s="420"/>
      <c r="Y2430" s="420"/>
      <c r="Z2430" s="1"/>
      <c r="AA2430" s="1"/>
      <c r="AB2430" s="1"/>
      <c r="AC2430" s="1"/>
      <c r="AD2430" s="1"/>
    </row>
    <row r="2431" spans="17:30">
      <c r="Q2431" s="6">
        <v>2401</v>
      </c>
      <c r="R2431" s="7">
        <v>45068</v>
      </c>
      <c r="S2431" s="210">
        <v>4</v>
      </c>
      <c r="T2431" s="8">
        <v>1.0001111111111112</v>
      </c>
      <c r="U2431" s="98">
        <v>3.8266263222989982</v>
      </c>
      <c r="V2431" s="106">
        <v>31621.25151620715</v>
      </c>
      <c r="W2431" s="10">
        <v>0.92927060733534184</v>
      </c>
      <c r="X2431" s="420"/>
      <c r="Y2431" s="420"/>
      <c r="Z2431" s="1"/>
      <c r="AA2431" s="1"/>
      <c r="AB2431" s="1"/>
      <c r="AC2431" s="1"/>
      <c r="AD2431" s="1"/>
    </row>
    <row r="2432" spans="17:30">
      <c r="Q2432" s="6">
        <v>2402</v>
      </c>
      <c r="R2432" s="7">
        <v>45069</v>
      </c>
      <c r="S2432" s="210">
        <v>4</v>
      </c>
      <c r="T2432" s="8">
        <v>1.0001111111111112</v>
      </c>
      <c r="U2432" s="98">
        <v>3.8267560423450364</v>
      </c>
      <c r="V2432" s="106">
        <v>31623.795813045763</v>
      </c>
      <c r="W2432" s="10">
        <v>0.92935196432533118</v>
      </c>
      <c r="X2432" s="420"/>
      <c r="Y2432" s="420"/>
      <c r="Z2432" s="1"/>
      <c r="AA2432" s="1"/>
      <c r="AB2432" s="1"/>
      <c r="AC2432" s="1"/>
      <c r="AD2432" s="1"/>
    </row>
    <row r="2433" spans="17:30">
      <c r="Q2433" s="6">
        <v>2403</v>
      </c>
      <c r="R2433" s="7">
        <v>45070</v>
      </c>
      <c r="S2433" s="210">
        <v>4</v>
      </c>
      <c r="T2433" s="8">
        <v>1.0001111111111112</v>
      </c>
      <c r="U2433" s="98">
        <v>3.8268856545878416</v>
      </c>
      <c r="V2433" s="106">
        <v>31626.340314602592</v>
      </c>
      <c r="W2433" s="10">
        <v>0.92943325366796614</v>
      </c>
      <c r="X2433" s="420"/>
      <c r="Y2433" s="420"/>
      <c r="Z2433" s="1"/>
      <c r="AA2433" s="1"/>
      <c r="AB2433" s="1"/>
      <c r="AC2433" s="1"/>
      <c r="AD2433" s="1"/>
    </row>
    <row r="2434" spans="17:30">
      <c r="Q2434" s="6">
        <v>2404</v>
      </c>
      <c r="R2434" s="7">
        <v>45071</v>
      </c>
      <c r="S2434" s="210">
        <v>4</v>
      </c>
      <c r="T2434" s="8">
        <v>1.0001111111111112</v>
      </c>
      <c r="U2434" s="98">
        <v>3.8270151591617729</v>
      </c>
      <c r="V2434" s="106">
        <v>31628.885020894118</v>
      </c>
      <c r="W2434" s="10">
        <v>0.92951447544757926</v>
      </c>
      <c r="X2434" s="420"/>
      <c r="Y2434" s="420"/>
      <c r="Z2434" s="1"/>
      <c r="AA2434" s="1"/>
      <c r="AB2434" s="1"/>
      <c r="AC2434" s="1"/>
      <c r="AD2434" s="1"/>
    </row>
    <row r="2435" spans="17:30">
      <c r="Q2435" s="6">
        <v>2405</v>
      </c>
      <c r="R2435" s="7">
        <v>45072</v>
      </c>
      <c r="S2435" s="210">
        <v>4</v>
      </c>
      <c r="T2435" s="8">
        <v>1.0001111111111112</v>
      </c>
      <c r="U2435" s="98">
        <v>3.8271445562009232</v>
      </c>
      <c r="V2435" s="106">
        <v>31631.429931936811</v>
      </c>
      <c r="W2435" s="10">
        <v>0.92959562974839205</v>
      </c>
      <c r="X2435" s="420"/>
      <c r="Y2435" s="420"/>
      <c r="Z2435" s="1"/>
      <c r="AA2435" s="1"/>
      <c r="AB2435" s="1"/>
      <c r="AC2435" s="1"/>
      <c r="AD2435" s="1"/>
    </row>
    <row r="2436" spans="17:30">
      <c r="Q2436" s="6">
        <v>2406</v>
      </c>
      <c r="R2436" s="7">
        <v>45073</v>
      </c>
      <c r="S2436" s="210">
        <v>4</v>
      </c>
      <c r="T2436" s="8">
        <v>1.0001111111111112</v>
      </c>
      <c r="U2436" s="98">
        <v>3.8272738458391631</v>
      </c>
      <c r="V2436" s="106">
        <v>31633.975047747143</v>
      </c>
      <c r="W2436" s="10">
        <v>0.92967671665440399</v>
      </c>
      <c r="X2436" s="420"/>
      <c r="Y2436" s="420"/>
      <c r="Z2436" s="1"/>
      <c r="AA2436" s="1"/>
      <c r="AB2436" s="1"/>
      <c r="AC2436" s="1"/>
      <c r="AD2436" s="1"/>
    </row>
    <row r="2437" spans="17:30">
      <c r="Q2437" s="6">
        <v>2407</v>
      </c>
      <c r="R2437" s="7">
        <v>45074</v>
      </c>
      <c r="S2437" s="210">
        <v>4</v>
      </c>
      <c r="T2437" s="8">
        <v>1.0001111111111112</v>
      </c>
      <c r="U2437" s="98">
        <v>3.8274030282101634</v>
      </c>
      <c r="V2437" s="106">
        <v>31636.520368341597</v>
      </c>
      <c r="W2437" s="10">
        <v>0.92975773624959235</v>
      </c>
      <c r="X2437" s="420"/>
      <c r="Y2437" s="420"/>
      <c r="Z2437" s="1"/>
      <c r="AA2437" s="1"/>
      <c r="AB2437" s="1"/>
      <c r="AC2437" s="1"/>
      <c r="AD2437" s="1"/>
    </row>
    <row r="2438" spans="17:30">
      <c r="Q2438" s="6">
        <v>2408</v>
      </c>
      <c r="R2438" s="7">
        <v>45075</v>
      </c>
      <c r="S2438" s="210">
        <v>4</v>
      </c>
      <c r="T2438" s="8">
        <v>1.0001111111111112</v>
      </c>
      <c r="U2438" s="98">
        <v>3.827532103447373</v>
      </c>
      <c r="V2438" s="106">
        <v>31639.065893736642</v>
      </c>
      <c r="W2438" s="10">
        <v>0.92983868861771235</v>
      </c>
      <c r="X2438" s="420"/>
      <c r="Y2438" s="420"/>
      <c r="Z2438" s="1"/>
      <c r="AA2438" s="1"/>
      <c r="AB2438" s="1"/>
      <c r="AC2438" s="1"/>
      <c r="AD2438" s="1"/>
    </row>
    <row r="2439" spans="17:30">
      <c r="Q2439" s="6">
        <v>2409</v>
      </c>
      <c r="R2439" s="7">
        <v>45076</v>
      </c>
      <c r="S2439" s="210">
        <v>4</v>
      </c>
      <c r="T2439" s="8">
        <v>1.0001111111111112</v>
      </c>
      <c r="U2439" s="98">
        <v>3.8276610716839965</v>
      </c>
      <c r="V2439" s="106">
        <v>31641.611623948771</v>
      </c>
      <c r="W2439" s="10">
        <v>0.92991957384238599</v>
      </c>
      <c r="X2439" s="420"/>
      <c r="Y2439" s="420"/>
      <c r="Z2439" s="1"/>
      <c r="AA2439" s="1"/>
      <c r="AB2439" s="1"/>
      <c r="AC2439" s="1"/>
      <c r="AD2439" s="1"/>
    </row>
    <row r="2440" spans="17:30">
      <c r="Q2440" s="6">
        <v>2410</v>
      </c>
      <c r="R2440" s="7">
        <v>45077</v>
      </c>
      <c r="S2440" s="210">
        <v>4</v>
      </c>
      <c r="T2440" s="8">
        <v>1.0001111111111112</v>
      </c>
      <c r="U2440" s="98">
        <v>3.8277899330530385</v>
      </c>
      <c r="V2440" s="106">
        <v>31644.157558994448</v>
      </c>
      <c r="W2440" s="10">
        <v>0.93000039200716866</v>
      </c>
      <c r="X2440" s="420"/>
      <c r="Y2440" s="420"/>
      <c r="Z2440" s="1"/>
      <c r="AA2440" s="1"/>
      <c r="AB2440" s="1"/>
      <c r="AC2440" s="1"/>
      <c r="AD2440" s="1"/>
    </row>
    <row r="2441" spans="17:30">
      <c r="Q2441" s="6">
        <v>2411</v>
      </c>
      <c r="R2441" s="7">
        <v>45078</v>
      </c>
      <c r="S2441" s="210">
        <v>4</v>
      </c>
      <c r="T2441" s="8">
        <v>1.0001111111111112</v>
      </c>
      <c r="U2441" s="98">
        <v>3.8279186876872817</v>
      </c>
      <c r="V2441" s="106">
        <v>31646.70369889016</v>
      </c>
      <c r="W2441" s="10">
        <v>0.9300811431953715</v>
      </c>
      <c r="X2441" s="420"/>
      <c r="Y2441" s="420"/>
      <c r="Z2441" s="1"/>
      <c r="AA2441" s="1"/>
      <c r="AB2441" s="1"/>
      <c r="AC2441" s="1"/>
      <c r="AD2441" s="1"/>
    </row>
    <row r="2442" spans="17:30">
      <c r="Q2442" s="6">
        <v>2412</v>
      </c>
      <c r="R2442" s="7">
        <v>45079</v>
      </c>
      <c r="S2442" s="210">
        <v>4</v>
      </c>
      <c r="T2442" s="8">
        <v>1.0001111111111112</v>
      </c>
      <c r="U2442" s="98">
        <v>3.8280473357192646</v>
      </c>
      <c r="V2442" s="106">
        <v>31649.250043652388</v>
      </c>
      <c r="W2442" s="10">
        <v>0.93016182749023901</v>
      </c>
      <c r="X2442" s="420"/>
      <c r="Y2442" s="420"/>
      <c r="Z2442" s="1"/>
      <c r="AA2442" s="1"/>
      <c r="AB2442" s="1"/>
      <c r="AC2442" s="1"/>
      <c r="AD2442" s="1"/>
    </row>
    <row r="2443" spans="17:30">
      <c r="Q2443" s="6">
        <v>2413</v>
      </c>
      <c r="R2443" s="7">
        <v>45080</v>
      </c>
      <c r="S2443" s="210">
        <v>4</v>
      </c>
      <c r="T2443" s="8">
        <v>1.0001111111111112</v>
      </c>
      <c r="U2443" s="98">
        <v>3.8281758772813257</v>
      </c>
      <c r="V2443" s="106">
        <v>31651.796593297622</v>
      </c>
      <c r="W2443" s="10">
        <v>0.9302424449748381</v>
      </c>
      <c r="X2443" s="420"/>
      <c r="Y2443" s="420"/>
      <c r="Z2443" s="1"/>
      <c r="AA2443" s="1"/>
      <c r="AB2443" s="1"/>
      <c r="AC2443" s="1"/>
      <c r="AD2443" s="1"/>
    </row>
    <row r="2444" spans="17:30">
      <c r="Q2444" s="6">
        <v>2414</v>
      </c>
      <c r="R2444" s="7">
        <v>45081</v>
      </c>
      <c r="S2444" s="210">
        <v>4</v>
      </c>
      <c r="T2444" s="8">
        <v>1.0001111111111112</v>
      </c>
      <c r="U2444" s="98">
        <v>3.8283043125056038</v>
      </c>
      <c r="V2444" s="106">
        <v>31654.343347842339</v>
      </c>
      <c r="W2444" s="10">
        <v>0.93032299573214683</v>
      </c>
      <c r="X2444" s="420"/>
      <c r="Y2444" s="420"/>
      <c r="Z2444" s="1"/>
      <c r="AA2444" s="1"/>
      <c r="AB2444" s="1"/>
      <c r="AC2444" s="1"/>
      <c r="AD2444" s="1"/>
    </row>
    <row r="2445" spans="17:30">
      <c r="Q2445" s="6">
        <v>2415</v>
      </c>
      <c r="R2445" s="7">
        <v>45082</v>
      </c>
      <c r="S2445" s="210">
        <v>4</v>
      </c>
      <c r="T2445" s="8">
        <v>1.0001111111111112</v>
      </c>
      <c r="U2445" s="98">
        <v>3.8284326415239711</v>
      </c>
      <c r="V2445" s="106">
        <v>31656.890307303031</v>
      </c>
      <c r="W2445" s="10">
        <v>0.93040347984494343</v>
      </c>
      <c r="X2445" s="420"/>
      <c r="Y2445" s="420"/>
      <c r="Z2445" s="1"/>
      <c r="AA2445" s="1"/>
      <c r="AB2445" s="1"/>
      <c r="AC2445" s="1"/>
      <c r="AD2445" s="1"/>
    </row>
    <row r="2446" spans="17:30">
      <c r="Q2446" s="6">
        <v>2416</v>
      </c>
      <c r="R2446" s="7">
        <v>45083</v>
      </c>
      <c r="S2446" s="210">
        <v>4</v>
      </c>
      <c r="T2446" s="8">
        <v>1.0001111111111112</v>
      </c>
      <c r="U2446" s="98">
        <v>3.8285608644681224</v>
      </c>
      <c r="V2446" s="106">
        <v>31659.437471696183</v>
      </c>
      <c r="W2446" s="10">
        <v>0.9304838973959173</v>
      </c>
      <c r="X2446" s="420"/>
      <c r="Y2446" s="420"/>
      <c r="Z2446" s="1"/>
      <c r="AA2446" s="1"/>
      <c r="AB2446" s="1"/>
      <c r="AC2446" s="1"/>
      <c r="AD2446" s="1"/>
    </row>
    <row r="2447" spans="17:30">
      <c r="Q2447" s="6">
        <v>2417</v>
      </c>
      <c r="R2447" s="7">
        <v>45084</v>
      </c>
      <c r="S2447" s="210">
        <v>4</v>
      </c>
      <c r="T2447" s="8">
        <v>1.0001111111111112</v>
      </c>
      <c r="U2447" s="98">
        <v>3.8286889814695302</v>
      </c>
      <c r="V2447" s="106">
        <v>31661.984841038291</v>
      </c>
      <c r="W2447" s="10">
        <v>0.93056424846762464</v>
      </c>
      <c r="X2447" s="420"/>
      <c r="Y2447" s="420"/>
      <c r="Z2447" s="1"/>
      <c r="AA2447" s="1"/>
      <c r="AB2447" s="1"/>
      <c r="AC2447" s="1"/>
      <c r="AD2447" s="1"/>
    </row>
    <row r="2448" spans="17:30">
      <c r="Q2448" s="6">
        <v>2418</v>
      </c>
      <c r="R2448" s="7">
        <v>45085</v>
      </c>
      <c r="S2448" s="210">
        <v>4</v>
      </c>
      <c r="T2448" s="8">
        <v>1.0001111111111112</v>
      </c>
      <c r="U2448" s="98">
        <v>3.8288169926594229</v>
      </c>
      <c r="V2448" s="106">
        <v>31664.532415345831</v>
      </c>
      <c r="W2448" s="10">
        <v>0.930644533142444</v>
      </c>
      <c r="X2448" s="420"/>
      <c r="Y2448" s="420"/>
      <c r="Z2448" s="1"/>
      <c r="AA2448" s="1"/>
      <c r="AB2448" s="1"/>
      <c r="AC2448" s="1"/>
      <c r="AD2448" s="1"/>
    </row>
    <row r="2449" spans="17:30">
      <c r="Q2449" s="6">
        <v>2419</v>
      </c>
      <c r="R2449" s="7">
        <v>45086</v>
      </c>
      <c r="S2449" s="210">
        <v>4</v>
      </c>
      <c r="T2449" s="8">
        <v>1.0001111111111112</v>
      </c>
      <c r="U2449" s="98">
        <v>3.8289448981688512</v>
      </c>
      <c r="V2449" s="106">
        <v>31667.080194635313</v>
      </c>
      <c r="W2449" s="10">
        <v>0.93072475150264289</v>
      </c>
      <c r="X2449" s="420"/>
      <c r="Y2449" s="420"/>
      <c r="Z2449" s="1"/>
      <c r="AA2449" s="1"/>
      <c r="AB2449" s="1"/>
      <c r="AC2449" s="1"/>
      <c r="AD2449" s="1"/>
    </row>
    <row r="2450" spans="17:30">
      <c r="Q2450" s="6">
        <v>2420</v>
      </c>
      <c r="R2450" s="7">
        <v>45087</v>
      </c>
      <c r="S2450" s="210">
        <v>4</v>
      </c>
      <c r="T2450" s="8">
        <v>1.0001111111111112</v>
      </c>
      <c r="U2450" s="98">
        <v>3.8290726981285994</v>
      </c>
      <c r="V2450" s="106">
        <v>31669.628178923216</v>
      </c>
      <c r="W2450" s="10">
        <v>0.93080490363035562</v>
      </c>
      <c r="X2450" s="420"/>
      <c r="Y2450" s="420"/>
      <c r="Z2450" s="1"/>
      <c r="AA2450" s="1"/>
      <c r="AB2450" s="1"/>
      <c r="AC2450" s="1"/>
      <c r="AD2450" s="1"/>
    </row>
    <row r="2451" spans="17:30">
      <c r="Q2451" s="6">
        <v>2421</v>
      </c>
      <c r="R2451" s="7">
        <v>45088</v>
      </c>
      <c r="S2451" s="210">
        <v>4</v>
      </c>
      <c r="T2451" s="8">
        <v>1.0001111111111112</v>
      </c>
      <c r="U2451" s="98">
        <v>3.8292003926692963</v>
      </c>
      <c r="V2451" s="106">
        <v>31672.176368226039</v>
      </c>
      <c r="W2451" s="10">
        <v>0.93088498960758326</v>
      </c>
      <c r="X2451" s="420"/>
      <c r="Y2451" s="420"/>
      <c r="Z2451" s="1"/>
      <c r="AA2451" s="1"/>
      <c r="AB2451" s="1"/>
      <c r="AC2451" s="1"/>
      <c r="AD2451" s="1"/>
    </row>
    <row r="2452" spans="17:30">
      <c r="Q2452" s="6">
        <v>2422</v>
      </c>
      <c r="R2452" s="7">
        <v>45089</v>
      </c>
      <c r="S2452" s="210">
        <v>4</v>
      </c>
      <c r="T2452" s="8">
        <v>1.0001111111111112</v>
      </c>
      <c r="U2452" s="98">
        <v>3.8293279819213044</v>
      </c>
      <c r="V2452" s="106">
        <v>31674.724762560279</v>
      </c>
      <c r="W2452" s="10">
        <v>0.93096500951614924</v>
      </c>
      <c r="X2452" s="420"/>
      <c r="Y2452" s="420"/>
      <c r="Z2452" s="1"/>
      <c r="AA2452" s="1"/>
      <c r="AB2452" s="1"/>
      <c r="AC2452" s="1"/>
      <c r="AD2452" s="1"/>
    </row>
    <row r="2453" spans="17:30">
      <c r="Q2453" s="6">
        <v>2423</v>
      </c>
      <c r="R2453" s="7">
        <v>45090</v>
      </c>
      <c r="S2453" s="210">
        <v>4</v>
      </c>
      <c r="T2453" s="8">
        <v>1.0001111111111112</v>
      </c>
      <c r="U2453" s="98">
        <v>3.8294554660148084</v>
      </c>
      <c r="V2453" s="106">
        <v>31677.273361942433</v>
      </c>
      <c r="W2453" s="10">
        <v>0.93104496343783261</v>
      </c>
      <c r="X2453" s="420"/>
      <c r="Y2453" s="420"/>
      <c r="Z2453" s="1"/>
      <c r="AA2453" s="1"/>
      <c r="AB2453" s="1"/>
      <c r="AC2453" s="1"/>
      <c r="AD2453" s="1"/>
    </row>
    <row r="2454" spans="17:30">
      <c r="Q2454" s="6">
        <v>2424</v>
      </c>
      <c r="R2454" s="7">
        <v>45091</v>
      </c>
      <c r="S2454" s="210">
        <v>4</v>
      </c>
      <c r="T2454" s="8">
        <v>1.0001111111111112</v>
      </c>
      <c r="U2454" s="98">
        <v>3.8295828450797487</v>
      </c>
      <c r="V2454" s="106">
        <v>31679.822166389004</v>
      </c>
      <c r="W2454" s="10">
        <v>0.93112485145419033</v>
      </c>
      <c r="X2454" s="420"/>
      <c r="Y2454" s="420"/>
      <c r="Z2454" s="1"/>
      <c r="AA2454" s="1"/>
      <c r="AB2454" s="1"/>
      <c r="AC2454" s="1"/>
      <c r="AD2454" s="1"/>
    </row>
    <row r="2455" spans="17:30">
      <c r="Q2455" s="6">
        <v>2425</v>
      </c>
      <c r="R2455" s="7">
        <v>45092</v>
      </c>
      <c r="S2455" s="210">
        <v>4</v>
      </c>
      <c r="T2455" s="8">
        <v>1.0001111111111112</v>
      </c>
      <c r="U2455" s="98">
        <v>3.829710119245866</v>
      </c>
      <c r="V2455" s="106">
        <v>31682.37117591648</v>
      </c>
      <c r="W2455" s="10">
        <v>0.93120467364666837</v>
      </c>
      <c r="X2455" s="420"/>
      <c r="Y2455" s="420"/>
      <c r="Z2455" s="1"/>
      <c r="AA2455" s="1"/>
      <c r="AB2455" s="1"/>
      <c r="AC2455" s="1"/>
      <c r="AD2455" s="1"/>
    </row>
    <row r="2456" spans="17:30">
      <c r="Q2456" s="6">
        <v>2426</v>
      </c>
      <c r="R2456" s="7">
        <v>45093</v>
      </c>
      <c r="S2456" s="210">
        <v>4</v>
      </c>
      <c r="T2456" s="8">
        <v>1.0001111111111112</v>
      </c>
      <c r="U2456" s="98">
        <v>3.829837288642679</v>
      </c>
      <c r="V2456" s="106">
        <v>31684.920390541367</v>
      </c>
      <c r="W2456" s="10">
        <v>0.93128443009660167</v>
      </c>
      <c r="X2456" s="420"/>
      <c r="Y2456" s="420"/>
      <c r="Z2456" s="1"/>
      <c r="AA2456" s="1"/>
      <c r="AB2456" s="1"/>
      <c r="AC2456" s="1"/>
      <c r="AD2456" s="1"/>
    </row>
    <row r="2457" spans="17:30">
      <c r="Q2457" s="6">
        <v>2427</v>
      </c>
      <c r="R2457" s="7">
        <v>45094</v>
      </c>
      <c r="S2457" s="210">
        <v>4</v>
      </c>
      <c r="T2457" s="8">
        <v>1.0001111111111112</v>
      </c>
      <c r="U2457" s="98">
        <v>3.8299643533995065</v>
      </c>
      <c r="V2457" s="106">
        <v>31687.469810280178</v>
      </c>
      <c r="W2457" s="10">
        <v>0.93136412088514753</v>
      </c>
      <c r="X2457" s="420"/>
      <c r="Y2457" s="420"/>
      <c r="Z2457" s="1"/>
      <c r="AA2457" s="1"/>
      <c r="AB2457" s="1"/>
      <c r="AC2457" s="1"/>
      <c r="AD2457" s="1"/>
    </row>
    <row r="2458" spans="17:30">
      <c r="Q2458" s="6">
        <v>2428</v>
      </c>
      <c r="R2458" s="7">
        <v>45095</v>
      </c>
      <c r="S2458" s="210">
        <v>4</v>
      </c>
      <c r="T2458" s="8">
        <v>1.0001111111111112</v>
      </c>
      <c r="U2458" s="98">
        <v>3.8300913136454451</v>
      </c>
      <c r="V2458" s="106">
        <v>31690.019435149406</v>
      </c>
      <c r="W2458" s="10">
        <v>0.93144374609339664</v>
      </c>
      <c r="X2458" s="420"/>
      <c r="Y2458" s="420"/>
      <c r="Z2458" s="1"/>
      <c r="AA2458" s="1"/>
      <c r="AB2458" s="1"/>
      <c r="AC2458" s="1"/>
      <c r="AD2458" s="1"/>
    </row>
    <row r="2459" spans="17:30">
      <c r="Q2459" s="6">
        <v>2429</v>
      </c>
      <c r="R2459" s="7">
        <v>45096</v>
      </c>
      <c r="S2459" s="210">
        <v>4</v>
      </c>
      <c r="T2459" s="8">
        <v>1.0001111111111112</v>
      </c>
      <c r="U2459" s="98">
        <v>3.8302181695093918</v>
      </c>
      <c r="V2459" s="106">
        <v>31692.569265165555</v>
      </c>
      <c r="W2459" s="10">
        <v>0.93152330580226206</v>
      </c>
      <c r="X2459" s="420"/>
      <c r="Y2459" s="420"/>
      <c r="Z2459" s="1"/>
      <c r="AA2459" s="1"/>
      <c r="AB2459" s="1"/>
      <c r="AC2459" s="1"/>
      <c r="AD2459" s="1"/>
    </row>
    <row r="2460" spans="17:30">
      <c r="Q2460" s="6">
        <v>2430</v>
      </c>
      <c r="R2460" s="7">
        <v>45097</v>
      </c>
      <c r="S2460" s="210">
        <v>4</v>
      </c>
      <c r="T2460" s="8">
        <v>1.0001111111111112</v>
      </c>
      <c r="U2460" s="98">
        <v>3.8303449211200213</v>
      </c>
      <c r="V2460" s="106">
        <v>31695.119300345137</v>
      </c>
      <c r="W2460" s="10">
        <v>0.9316028000925014</v>
      </c>
      <c r="X2460" s="420"/>
      <c r="Y2460" s="420"/>
      <c r="Z2460" s="1"/>
      <c r="AA2460" s="1"/>
      <c r="AB2460" s="1"/>
      <c r="AC2460" s="1"/>
      <c r="AD2460" s="1"/>
    </row>
    <row r="2461" spans="17:30">
      <c r="Q2461" s="6">
        <v>2431</v>
      </c>
      <c r="R2461" s="7">
        <v>45098</v>
      </c>
      <c r="S2461" s="210">
        <v>4</v>
      </c>
      <c r="T2461" s="8">
        <v>1.0001111111111112</v>
      </c>
      <c r="U2461" s="98">
        <v>3.8304715686057866</v>
      </c>
      <c r="V2461" s="106">
        <v>31697.669540704657</v>
      </c>
      <c r="W2461" s="10">
        <v>0.93168222904480569</v>
      </c>
      <c r="X2461" s="420"/>
      <c r="Y2461" s="420"/>
      <c r="Z2461" s="1"/>
      <c r="AA2461" s="1"/>
      <c r="AB2461" s="1"/>
      <c r="AC2461" s="1"/>
      <c r="AD2461" s="1"/>
    </row>
    <row r="2462" spans="17:30">
      <c r="Q2462" s="6">
        <v>2432</v>
      </c>
      <c r="R2462" s="7">
        <v>45099</v>
      </c>
      <c r="S2462" s="210">
        <v>4</v>
      </c>
      <c r="T2462" s="8">
        <v>1.0001111111111112</v>
      </c>
      <c r="U2462" s="98">
        <v>3.8305981120949406</v>
      </c>
      <c r="V2462" s="106">
        <v>31700.219986260625</v>
      </c>
      <c r="W2462" s="10">
        <v>0.93176159273966608</v>
      </c>
      <c r="X2462" s="420"/>
      <c r="Y2462" s="420"/>
      <c r="Z2462" s="1"/>
      <c r="AA2462" s="1"/>
      <c r="AB2462" s="1"/>
      <c r="AC2462" s="1"/>
      <c r="AD2462" s="1"/>
    </row>
    <row r="2463" spans="17:30">
      <c r="Q2463" s="6">
        <v>2433</v>
      </c>
      <c r="R2463" s="7">
        <v>45100</v>
      </c>
      <c r="S2463" s="210">
        <v>4</v>
      </c>
      <c r="T2463" s="8">
        <v>1.0001111111111112</v>
      </c>
      <c r="U2463" s="98">
        <v>3.8307245517155364</v>
      </c>
      <c r="V2463" s="106">
        <v>31702.770637029549</v>
      </c>
      <c r="W2463" s="10">
        <v>0.93184089125748493</v>
      </c>
      <c r="X2463" s="420"/>
      <c r="Y2463" s="420"/>
      <c r="Z2463" s="1"/>
      <c r="AA2463" s="1"/>
      <c r="AB2463" s="1"/>
      <c r="AC2463" s="1"/>
      <c r="AD2463" s="1"/>
    </row>
    <row r="2464" spans="17:30">
      <c r="Q2464" s="6">
        <v>2434</v>
      </c>
      <c r="R2464" s="7">
        <v>45101</v>
      </c>
      <c r="S2464" s="210">
        <v>4</v>
      </c>
      <c r="T2464" s="8">
        <v>1.0001111111111112</v>
      </c>
      <c r="U2464" s="98">
        <v>3.830850887595405</v>
      </c>
      <c r="V2464" s="106">
        <v>31705.321493027943</v>
      </c>
      <c r="W2464" s="10">
        <v>0.93192012467853136</v>
      </c>
      <c r="X2464" s="420"/>
      <c r="Y2464" s="420"/>
      <c r="Z2464" s="1"/>
      <c r="AA2464" s="1"/>
      <c r="AB2464" s="1"/>
      <c r="AC2464" s="1"/>
      <c r="AD2464" s="1"/>
    </row>
    <row r="2465" spans="17:30">
      <c r="Q2465" s="6">
        <v>2435</v>
      </c>
      <c r="R2465" s="7">
        <v>45102</v>
      </c>
      <c r="S2465" s="210">
        <v>4</v>
      </c>
      <c r="T2465" s="8">
        <v>1.0001111111111112</v>
      </c>
      <c r="U2465" s="98">
        <v>3.8309771198621778</v>
      </c>
      <c r="V2465" s="106">
        <v>31707.872554272322</v>
      </c>
      <c r="W2465" s="10">
        <v>0.93199929308289686</v>
      </c>
      <c r="X2465" s="420"/>
      <c r="Y2465" s="420"/>
      <c r="Z2465" s="1"/>
      <c r="AA2465" s="1"/>
      <c r="AB2465" s="1"/>
      <c r="AC2465" s="1"/>
      <c r="AD2465" s="1"/>
    </row>
    <row r="2466" spans="17:30">
      <c r="Q2466" s="6">
        <v>2436</v>
      </c>
      <c r="R2466" s="7">
        <v>45103</v>
      </c>
      <c r="S2466" s="210">
        <v>4</v>
      </c>
      <c r="T2466" s="8">
        <v>1.0001111111111112</v>
      </c>
      <c r="U2466" s="98">
        <v>3.8311032486432417</v>
      </c>
      <c r="V2466" s="106">
        <v>31710.4238207792</v>
      </c>
      <c r="W2466" s="10">
        <v>0.93207839655060631</v>
      </c>
      <c r="X2466" s="420"/>
      <c r="Y2466" s="420"/>
      <c r="Z2466" s="1"/>
      <c r="AA2466" s="1"/>
      <c r="AB2466" s="1"/>
      <c r="AC2466" s="1"/>
      <c r="AD2466" s="1"/>
    </row>
    <row r="2467" spans="17:30">
      <c r="Q2467" s="6">
        <v>2437</v>
      </c>
      <c r="R2467" s="7">
        <v>45104</v>
      </c>
      <c r="S2467" s="210">
        <v>4</v>
      </c>
      <c r="T2467" s="8">
        <v>1.0001111111111112</v>
      </c>
      <c r="U2467" s="98">
        <v>3.8312292740658282</v>
      </c>
      <c r="V2467" s="106">
        <v>31712.975292565094</v>
      </c>
      <c r="W2467" s="10">
        <v>0.93215743516150695</v>
      </c>
      <c r="X2467" s="420"/>
      <c r="Y2467" s="420"/>
      <c r="Z2467" s="1"/>
      <c r="AA2467" s="1"/>
      <c r="AB2467" s="1"/>
      <c r="AC2467" s="1"/>
      <c r="AD2467" s="1"/>
    </row>
    <row r="2468" spans="17:30">
      <c r="Q2468" s="6">
        <v>2438</v>
      </c>
      <c r="R2468" s="7">
        <v>45105</v>
      </c>
      <c r="S2468" s="210">
        <v>4</v>
      </c>
      <c r="T2468" s="8">
        <v>1.0001111111111112</v>
      </c>
      <c r="U2468" s="98">
        <v>3.8313551962569248</v>
      </c>
      <c r="V2468" s="106">
        <v>31715.526969646511</v>
      </c>
      <c r="W2468" s="10">
        <v>0.932236408995335</v>
      </c>
      <c r="X2468" s="420"/>
      <c r="Y2468" s="420"/>
      <c r="Z2468" s="1"/>
      <c r="AA2468" s="1"/>
      <c r="AB2468" s="1"/>
      <c r="AC2468" s="1"/>
      <c r="AD2468" s="1"/>
    </row>
    <row r="2469" spans="17:30">
      <c r="Q2469" s="6">
        <v>2439</v>
      </c>
      <c r="R2469" s="7">
        <v>45106</v>
      </c>
      <c r="S2469" s="210">
        <v>4</v>
      </c>
      <c r="T2469" s="8">
        <v>1.0001111111111112</v>
      </c>
      <c r="U2469" s="98">
        <v>3.8314810153433188</v>
      </c>
      <c r="V2469" s="106">
        <v>31718.07885203998</v>
      </c>
      <c r="W2469" s="10">
        <v>0.93231531813169344</v>
      </c>
      <c r="X2469" s="420"/>
      <c r="Y2469" s="420"/>
      <c r="Z2469" s="1"/>
      <c r="AA2469" s="1"/>
      <c r="AB2469" s="1"/>
      <c r="AC2469" s="1"/>
      <c r="AD2469" s="1"/>
    </row>
    <row r="2470" spans="17:30">
      <c r="Q2470" s="6">
        <v>2440</v>
      </c>
      <c r="R2470" s="7">
        <v>45107</v>
      </c>
      <c r="S2470" s="210">
        <v>4</v>
      </c>
      <c r="T2470" s="8">
        <v>1.0001111111111112</v>
      </c>
      <c r="U2470" s="98">
        <v>3.8316067314515756</v>
      </c>
      <c r="V2470" s="106">
        <v>31720.630939762017</v>
      </c>
      <c r="W2470" s="10">
        <v>0.93239416265002983</v>
      </c>
      <c r="X2470" s="420"/>
      <c r="Y2470" s="420"/>
      <c r="Z2470" s="1"/>
      <c r="AA2470" s="1"/>
      <c r="AB2470" s="1"/>
      <c r="AC2470" s="1"/>
      <c r="AD2470" s="1"/>
    </row>
    <row r="2471" spans="17:30">
      <c r="Q2471" s="6">
        <v>2441</v>
      </c>
      <c r="R2471" s="7">
        <v>45108</v>
      </c>
      <c r="S2471" s="210">
        <v>4</v>
      </c>
      <c r="T2471" s="8">
        <v>1.0001111111111112</v>
      </c>
      <c r="U2471" s="98">
        <v>3.8317323447080831</v>
      </c>
      <c r="V2471" s="106">
        <v>31723.183232829142</v>
      </c>
      <c r="W2471" s="10">
        <v>0.93247294262970293</v>
      </c>
      <c r="X2471" s="420"/>
      <c r="Y2471" s="420"/>
      <c r="Z2471" s="1"/>
      <c r="AA2471" s="1"/>
      <c r="AB2471" s="1"/>
      <c r="AC2471" s="1"/>
      <c r="AD2471" s="1"/>
    </row>
    <row r="2472" spans="17:30">
      <c r="Q2472" s="6">
        <v>2442</v>
      </c>
      <c r="R2472" s="7">
        <v>45109</v>
      </c>
      <c r="S2472" s="210">
        <v>4</v>
      </c>
      <c r="T2472" s="8">
        <v>1.0001111111111112</v>
      </c>
      <c r="U2472" s="98">
        <v>3.831857855239007</v>
      </c>
      <c r="V2472" s="106">
        <v>31725.735731257879</v>
      </c>
      <c r="W2472" s="10">
        <v>0.93255165814991603</v>
      </c>
      <c r="X2472" s="420"/>
      <c r="Y2472" s="420"/>
      <c r="Z2472" s="1"/>
      <c r="AA2472" s="1"/>
      <c r="AB2472" s="1"/>
      <c r="AC2472" s="1"/>
      <c r="AD2472" s="1"/>
    </row>
    <row r="2473" spans="17:30">
      <c r="Q2473" s="6">
        <v>2443</v>
      </c>
      <c r="R2473" s="7">
        <v>45110</v>
      </c>
      <c r="S2473" s="210">
        <v>4</v>
      </c>
      <c r="T2473" s="8">
        <v>1.0001111111111112</v>
      </c>
      <c r="U2473" s="98">
        <v>3.8319832631703132</v>
      </c>
      <c r="V2473" s="106">
        <v>31728.288435064758</v>
      </c>
      <c r="W2473" s="10">
        <v>0.93263030928978363</v>
      </c>
      <c r="X2473" s="420"/>
      <c r="Y2473" s="420"/>
      <c r="Z2473" s="1"/>
      <c r="AA2473" s="1"/>
      <c r="AB2473" s="1"/>
      <c r="AC2473" s="1"/>
      <c r="AD2473" s="1"/>
    </row>
    <row r="2474" spans="17:30">
      <c r="Q2474" s="6">
        <v>2444</v>
      </c>
      <c r="R2474" s="7">
        <v>45111</v>
      </c>
      <c r="S2474" s="210">
        <v>4</v>
      </c>
      <c r="T2474" s="8">
        <v>1.0001111111111112</v>
      </c>
      <c r="U2474" s="98">
        <v>3.8321085686277678</v>
      </c>
      <c r="V2474" s="106">
        <v>31730.84134426629</v>
      </c>
      <c r="W2474" s="10">
        <v>0.93270889612822039</v>
      </c>
      <c r="X2474" s="420"/>
      <c r="Y2474" s="420"/>
      <c r="Z2474" s="1"/>
      <c r="AA2474" s="1"/>
      <c r="AB2474" s="1"/>
      <c r="AC2474" s="1"/>
      <c r="AD2474" s="1"/>
    </row>
    <row r="2475" spans="17:30">
      <c r="Q2475" s="6">
        <v>2445</v>
      </c>
      <c r="R2475" s="7">
        <v>45112</v>
      </c>
      <c r="S2475" s="210">
        <v>4</v>
      </c>
      <c r="T2475" s="8">
        <v>1.0001111111111112</v>
      </c>
      <c r="U2475" s="98">
        <v>3.8322337717368926</v>
      </c>
      <c r="V2475" s="106">
        <v>31733.394458879015</v>
      </c>
      <c r="W2475" s="10">
        <v>0.93278741874405213</v>
      </c>
      <c r="X2475" s="420"/>
      <c r="Y2475" s="420"/>
      <c r="Z2475" s="1"/>
      <c r="AA2475" s="1"/>
      <c r="AB2475" s="1"/>
      <c r="AC2475" s="1"/>
      <c r="AD2475" s="1"/>
    </row>
    <row r="2476" spans="17:30">
      <c r="Q2476" s="6">
        <v>2446</v>
      </c>
      <c r="R2476" s="7">
        <v>45113</v>
      </c>
      <c r="S2476" s="210">
        <v>4</v>
      </c>
      <c r="T2476" s="8">
        <v>1.0001111111111112</v>
      </c>
      <c r="U2476" s="98">
        <v>3.832358872623054</v>
      </c>
      <c r="V2476" s="106">
        <v>31735.947778919453</v>
      </c>
      <c r="W2476" s="10">
        <v>0.93286587721599368</v>
      </c>
      <c r="X2476" s="420"/>
      <c r="Y2476" s="420"/>
      <c r="Z2476" s="1"/>
      <c r="AA2476" s="1"/>
      <c r="AB2476" s="1"/>
      <c r="AC2476" s="1"/>
      <c r="AD2476" s="1"/>
    </row>
    <row r="2477" spans="17:30">
      <c r="Q2477" s="6">
        <v>2447</v>
      </c>
      <c r="R2477" s="7">
        <v>45114</v>
      </c>
      <c r="S2477" s="210">
        <v>4</v>
      </c>
      <c r="T2477" s="8">
        <v>1.0001111111111112</v>
      </c>
      <c r="U2477" s="98">
        <v>3.832483871411374</v>
      </c>
      <c r="V2477" s="106">
        <v>31738.501304404133</v>
      </c>
      <c r="W2477" s="10">
        <v>0.93294427162256</v>
      </c>
      <c r="X2477" s="420"/>
      <c r="Y2477" s="420"/>
      <c r="Z2477" s="1"/>
      <c r="AA2477" s="1"/>
      <c r="AB2477" s="1"/>
      <c r="AC2477" s="1"/>
      <c r="AD2477" s="1"/>
    </row>
    <row r="2478" spans="17:30">
      <c r="Q2478" s="6">
        <v>2448</v>
      </c>
      <c r="R2478" s="7">
        <v>45115</v>
      </c>
      <c r="S2478" s="210">
        <v>4</v>
      </c>
      <c r="T2478" s="8">
        <v>1.0001111111111112</v>
      </c>
      <c r="U2478" s="98">
        <v>3.8326087682267973</v>
      </c>
      <c r="V2478" s="106">
        <v>31741.055035349586</v>
      </c>
      <c r="W2478" s="10">
        <v>0.93302260204226606</v>
      </c>
      <c r="X2478" s="420"/>
      <c r="Y2478" s="420"/>
      <c r="Z2478" s="1"/>
      <c r="AA2478" s="1"/>
      <c r="AB2478" s="1"/>
      <c r="AC2478" s="1"/>
      <c r="AD2478" s="1"/>
    </row>
    <row r="2479" spans="17:30">
      <c r="Q2479" s="6">
        <v>2449</v>
      </c>
      <c r="R2479" s="7">
        <v>45116</v>
      </c>
      <c r="S2479" s="210">
        <v>4</v>
      </c>
      <c r="T2479" s="8">
        <v>1.0001111111111112</v>
      </c>
      <c r="U2479" s="98">
        <v>3.8327335631940462</v>
      </c>
      <c r="V2479" s="106">
        <v>31743.608971772348</v>
      </c>
      <c r="W2479" s="10">
        <v>0.93310086855333818</v>
      </c>
      <c r="X2479" s="420"/>
      <c r="Y2479" s="420"/>
      <c r="Z2479" s="1"/>
      <c r="AA2479" s="1"/>
      <c r="AB2479" s="1"/>
      <c r="AC2479" s="1"/>
      <c r="AD2479" s="1"/>
    </row>
    <row r="2480" spans="17:30">
      <c r="Q2480" s="6">
        <v>2450</v>
      </c>
      <c r="R2480" s="7">
        <v>45117</v>
      </c>
      <c r="S2480" s="210">
        <v>4</v>
      </c>
      <c r="T2480" s="8">
        <v>1.0001111111111112</v>
      </c>
      <c r="U2480" s="98">
        <v>3.8328582564376656</v>
      </c>
      <c r="V2480" s="106">
        <v>31746.163113688952</v>
      </c>
      <c r="W2480" s="10">
        <v>0.93317907123400268</v>
      </c>
      <c r="X2480" s="420"/>
      <c r="Y2480" s="420"/>
      <c r="Z2480" s="1"/>
      <c r="AA2480" s="1"/>
      <c r="AB2480" s="1"/>
      <c r="AC2480" s="1"/>
      <c r="AD2480" s="1"/>
    </row>
    <row r="2481" spans="17:30">
      <c r="Q2481" s="6">
        <v>2451</v>
      </c>
      <c r="R2481" s="7">
        <v>45118</v>
      </c>
      <c r="S2481" s="210">
        <v>4</v>
      </c>
      <c r="T2481" s="8">
        <v>1.0001111111111112</v>
      </c>
      <c r="U2481" s="98">
        <v>3.8329828480819783</v>
      </c>
      <c r="V2481" s="106">
        <v>31748.717461115924</v>
      </c>
      <c r="W2481" s="10">
        <v>0.93325721016233043</v>
      </c>
      <c r="X2481" s="420"/>
      <c r="Y2481" s="420"/>
      <c r="Z2481" s="1"/>
      <c r="AA2481" s="1"/>
      <c r="AB2481" s="1"/>
      <c r="AC2481" s="1"/>
      <c r="AD2481" s="1"/>
    </row>
    <row r="2482" spans="17:30">
      <c r="Q2482" s="6">
        <v>2452</v>
      </c>
      <c r="R2482" s="7">
        <v>45119</v>
      </c>
      <c r="S2482" s="210">
        <v>4</v>
      </c>
      <c r="T2482" s="8">
        <v>1.0001111111111112</v>
      </c>
      <c r="U2482" s="98">
        <v>3.8331073382511072</v>
      </c>
      <c r="V2482" s="106">
        <v>31751.272014069804</v>
      </c>
      <c r="W2482" s="10">
        <v>0.93333528541621469</v>
      </c>
      <c r="X2482" s="420"/>
      <c r="Y2482" s="420"/>
      <c r="Z2482" s="1"/>
      <c r="AA2482" s="1"/>
      <c r="AB2482" s="1"/>
      <c r="AC2482" s="1"/>
      <c r="AD2482" s="1"/>
    </row>
    <row r="2483" spans="17:30">
      <c r="Q2483" s="6">
        <v>2453</v>
      </c>
      <c r="R2483" s="7">
        <v>45120</v>
      </c>
      <c r="S2483" s="210">
        <v>4</v>
      </c>
      <c r="T2483" s="8">
        <v>1.0001111111111112</v>
      </c>
      <c r="U2483" s="98">
        <v>3.8332317270689753</v>
      </c>
      <c r="V2483" s="106">
        <v>31753.826772567129</v>
      </c>
      <c r="W2483" s="10">
        <v>0.93341329707348208</v>
      </c>
      <c r="X2483" s="420"/>
      <c r="Y2483" s="420"/>
      <c r="Z2483" s="1"/>
      <c r="AA2483" s="1"/>
      <c r="AB2483" s="1"/>
      <c r="AC2483" s="1"/>
      <c r="AD2483" s="1"/>
    </row>
    <row r="2484" spans="17:30">
      <c r="Q2484" s="6">
        <v>2454</v>
      </c>
      <c r="R2484" s="7">
        <v>45121</v>
      </c>
      <c r="S2484" s="210">
        <v>4</v>
      </c>
      <c r="T2484" s="8">
        <v>1.0001111111111112</v>
      </c>
      <c r="U2484" s="98">
        <v>3.8333560146592838</v>
      </c>
      <c r="V2484" s="106">
        <v>31756.381736624444</v>
      </c>
      <c r="W2484" s="10">
        <v>0.93349124521178162</v>
      </c>
      <c r="X2484" s="420"/>
      <c r="Y2484" s="420"/>
      <c r="Z2484" s="1"/>
      <c r="AA2484" s="1"/>
      <c r="AB2484" s="1"/>
      <c r="AC2484" s="1"/>
      <c r="AD2484" s="1"/>
    </row>
    <row r="2485" spans="17:30">
      <c r="Q2485" s="6">
        <v>2455</v>
      </c>
      <c r="R2485" s="7">
        <v>45122</v>
      </c>
      <c r="S2485" s="210">
        <v>4</v>
      </c>
      <c r="T2485" s="8">
        <v>1.0001111111111112</v>
      </c>
      <c r="U2485" s="98">
        <v>3.833480201145556</v>
      </c>
      <c r="V2485" s="106">
        <v>31758.936906258281</v>
      </c>
      <c r="W2485" s="10">
        <v>0.93356912990865126</v>
      </c>
      <c r="X2485" s="420"/>
      <c r="Y2485" s="420"/>
      <c r="Z2485" s="1"/>
      <c r="AA2485" s="1"/>
      <c r="AB2485" s="1"/>
      <c r="AC2485" s="1"/>
      <c r="AD2485" s="1"/>
    </row>
    <row r="2486" spans="17:30">
      <c r="Q2486" s="6">
        <v>2456</v>
      </c>
      <c r="R2486" s="7">
        <v>45123</v>
      </c>
      <c r="S2486" s="210">
        <v>4</v>
      </c>
      <c r="T2486" s="8">
        <v>1.0001111111111112</v>
      </c>
      <c r="U2486" s="98">
        <v>3.8336042866511155</v>
      </c>
      <c r="V2486" s="106">
        <v>31761.492281485185</v>
      </c>
      <c r="W2486" s="10">
        <v>0.93364695124151798</v>
      </c>
      <c r="X2486" s="420"/>
      <c r="Y2486" s="420"/>
      <c r="Z2486" s="1"/>
      <c r="AA2486" s="1"/>
      <c r="AB2486" s="1"/>
      <c r="AC2486" s="1"/>
      <c r="AD2486" s="1"/>
    </row>
    <row r="2487" spans="17:30">
      <c r="Q2487" s="6">
        <v>2457</v>
      </c>
      <c r="R2487" s="7">
        <v>45124</v>
      </c>
      <c r="S2487" s="210">
        <v>4</v>
      </c>
      <c r="T2487" s="8">
        <v>1.0001111111111112</v>
      </c>
      <c r="U2487" s="98">
        <v>3.8337282712990861</v>
      </c>
      <c r="V2487" s="106">
        <v>31764.047862321688</v>
      </c>
      <c r="W2487" s="10">
        <v>0.93372470928769769</v>
      </c>
      <c r="X2487" s="420"/>
      <c r="Y2487" s="420"/>
      <c r="Z2487" s="1"/>
      <c r="AA2487" s="1"/>
      <c r="AB2487" s="1"/>
      <c r="AC2487" s="1"/>
      <c r="AD2487" s="1"/>
    </row>
    <row r="2488" spans="17:30">
      <c r="Q2488" s="6">
        <v>2458</v>
      </c>
      <c r="R2488" s="7">
        <v>45125</v>
      </c>
      <c r="S2488" s="210">
        <v>4</v>
      </c>
      <c r="T2488" s="8">
        <v>1.0001111111111112</v>
      </c>
      <c r="U2488" s="98">
        <v>3.8338521552123694</v>
      </c>
      <c r="V2488" s="106">
        <v>31766.603648784348</v>
      </c>
      <c r="W2488" s="10">
        <v>0.93380240412432869</v>
      </c>
      <c r="X2488" s="420"/>
      <c r="Y2488" s="420"/>
      <c r="Z2488" s="1"/>
      <c r="AA2488" s="1"/>
      <c r="AB2488" s="1"/>
      <c r="AC2488" s="1"/>
      <c r="AD2488" s="1"/>
    </row>
    <row r="2489" spans="17:30">
      <c r="Q2489" s="6">
        <v>2459</v>
      </c>
      <c r="R2489" s="7">
        <v>45126</v>
      </c>
      <c r="S2489" s="210">
        <v>4</v>
      </c>
      <c r="T2489" s="8">
        <v>1.0001111111111112</v>
      </c>
      <c r="U2489" s="98">
        <v>3.8339759385136896</v>
      </c>
      <c r="V2489" s="106">
        <v>31769.159640889706</v>
      </c>
      <c r="W2489" s="10">
        <v>0.93388003582848267</v>
      </c>
      <c r="X2489" s="420"/>
      <c r="Y2489" s="420"/>
      <c r="Z2489" s="1"/>
      <c r="AA2489" s="1"/>
      <c r="AB2489" s="1"/>
      <c r="AC2489" s="1"/>
      <c r="AD2489" s="1"/>
    </row>
    <row r="2490" spans="17:30">
      <c r="Q2490" s="6">
        <v>2460</v>
      </c>
      <c r="R2490" s="7">
        <v>45127</v>
      </c>
      <c r="S2490" s="210">
        <v>4</v>
      </c>
      <c r="T2490" s="8">
        <v>1.0001111111111112</v>
      </c>
      <c r="U2490" s="98">
        <v>3.8340996213255707</v>
      </c>
      <c r="V2490" s="106">
        <v>31771.715838654305</v>
      </c>
      <c r="W2490" s="10">
        <v>0.93395760447707588</v>
      </c>
      <c r="X2490" s="420"/>
      <c r="Y2490" s="420"/>
      <c r="Z2490" s="1"/>
      <c r="AA2490" s="1"/>
      <c r="AB2490" s="1"/>
      <c r="AC2490" s="1"/>
      <c r="AD2490" s="1"/>
    </row>
    <row r="2491" spans="17:30">
      <c r="Q2491" s="6">
        <v>2461</v>
      </c>
      <c r="R2491" s="7">
        <v>45128</v>
      </c>
      <c r="S2491" s="210">
        <v>4</v>
      </c>
      <c r="T2491" s="8">
        <v>1.0001111111111112</v>
      </c>
      <c r="U2491" s="98">
        <v>3.8342232037703372</v>
      </c>
      <c r="V2491" s="106">
        <v>31774.272242094699</v>
      </c>
      <c r="W2491" s="10">
        <v>0.93403511014689133</v>
      </c>
      <c r="X2491" s="420"/>
      <c r="Y2491" s="420"/>
      <c r="Z2491" s="1"/>
      <c r="AA2491" s="1"/>
      <c r="AB2491" s="1"/>
      <c r="AC2491" s="1"/>
      <c r="AD2491" s="1"/>
    </row>
    <row r="2492" spans="17:30">
      <c r="Q2492" s="6">
        <v>2462</v>
      </c>
      <c r="R2492" s="7">
        <v>45129</v>
      </c>
      <c r="S2492" s="210">
        <v>4</v>
      </c>
      <c r="T2492" s="8">
        <v>1.0001111111111112</v>
      </c>
      <c r="U2492" s="98">
        <v>3.8343466859700914</v>
      </c>
      <c r="V2492" s="106">
        <v>31776.828851227423</v>
      </c>
      <c r="W2492" s="10">
        <v>0.93411255291460105</v>
      </c>
      <c r="X2492" s="420"/>
      <c r="Y2492" s="420"/>
      <c r="Z2492" s="1"/>
      <c r="AA2492" s="1"/>
      <c r="AB2492" s="1"/>
      <c r="AC2492" s="1"/>
      <c r="AD2492" s="1"/>
    </row>
    <row r="2493" spans="17:30">
      <c r="Q2493" s="6">
        <v>2463</v>
      </c>
      <c r="R2493" s="7">
        <v>45130</v>
      </c>
      <c r="S2493" s="210">
        <v>4</v>
      </c>
      <c r="T2493" s="8">
        <v>1.0001111111111112</v>
      </c>
      <c r="U2493" s="98">
        <v>3.8344700680467581</v>
      </c>
      <c r="V2493" s="106">
        <v>31779.385666069036</v>
      </c>
      <c r="W2493" s="10">
        <v>0.93418993285674379</v>
      </c>
      <c r="X2493" s="420"/>
      <c r="Y2493" s="420"/>
      <c r="Z2493" s="1"/>
      <c r="AA2493" s="1"/>
      <c r="AB2493" s="1"/>
      <c r="AC2493" s="1"/>
      <c r="AD2493" s="1"/>
    </row>
    <row r="2494" spans="17:30">
      <c r="Q2494" s="6">
        <v>2464</v>
      </c>
      <c r="R2494" s="7">
        <v>45131</v>
      </c>
      <c r="S2494" s="210">
        <v>4</v>
      </c>
      <c r="T2494" s="8">
        <v>1.0001111111111112</v>
      </c>
      <c r="U2494" s="98">
        <v>3.8345933501220619</v>
      </c>
      <c r="V2494" s="106">
        <v>31781.942686636103</v>
      </c>
      <c r="W2494" s="10">
        <v>0.93426725004972511</v>
      </c>
      <c r="X2494" s="420"/>
      <c r="Y2494" s="420"/>
      <c r="Z2494" s="1"/>
      <c r="AA2494" s="1"/>
      <c r="AB2494" s="1"/>
      <c r="AC2494" s="1"/>
      <c r="AD2494" s="1"/>
    </row>
    <row r="2495" spans="17:30">
      <c r="Q2495" s="6">
        <v>2465</v>
      </c>
      <c r="R2495" s="7">
        <v>45132</v>
      </c>
      <c r="S2495" s="210">
        <v>4</v>
      </c>
      <c r="T2495" s="8">
        <v>1.0001111111111112</v>
      </c>
      <c r="U2495" s="98">
        <v>3.8347165323175503</v>
      </c>
      <c r="V2495" s="106">
        <v>31784.49991294515</v>
      </c>
      <c r="W2495" s="10">
        <v>0.93434450456988394</v>
      </c>
      <c r="X2495" s="420"/>
      <c r="Y2495" s="420"/>
      <c r="Z2495" s="1"/>
      <c r="AA2495" s="1"/>
      <c r="AB2495" s="1"/>
      <c r="AC2495" s="1"/>
      <c r="AD2495" s="1"/>
    </row>
    <row r="2496" spans="17:30">
      <c r="Q2496" s="6">
        <v>2466</v>
      </c>
      <c r="R2496" s="7">
        <v>45133</v>
      </c>
      <c r="S2496" s="210">
        <v>4</v>
      </c>
      <c r="T2496" s="8">
        <v>1.0001111111111112</v>
      </c>
      <c r="U2496" s="98">
        <v>3.8348396147545261</v>
      </c>
      <c r="V2496" s="106">
        <v>31787.057345012752</v>
      </c>
      <c r="W2496" s="10">
        <v>0.93442169649335938</v>
      </c>
      <c r="X2496" s="420"/>
      <c r="Y2496" s="420"/>
      <c r="Z2496" s="1"/>
      <c r="AA2496" s="1"/>
      <c r="AB2496" s="1"/>
      <c r="AC2496" s="1"/>
      <c r="AD2496" s="1"/>
    </row>
    <row r="2497" spans="17:30">
      <c r="Q2497" s="6">
        <v>2467</v>
      </c>
      <c r="R2497" s="7">
        <v>45134</v>
      </c>
      <c r="S2497" s="210">
        <v>4</v>
      </c>
      <c r="T2497" s="8">
        <v>1.0001111111111112</v>
      </c>
      <c r="U2497" s="98">
        <v>3.8349625975541368</v>
      </c>
      <c r="V2497" s="106">
        <v>31789.614982855459</v>
      </c>
      <c r="W2497" s="10">
        <v>0.9344988258962017</v>
      </c>
      <c r="X2497" s="420"/>
      <c r="Y2497" s="420"/>
      <c r="Z2497" s="1"/>
      <c r="AA2497" s="1"/>
      <c r="AB2497" s="1"/>
      <c r="AC2497" s="1"/>
      <c r="AD2497" s="1"/>
    </row>
    <row r="2498" spans="17:30">
      <c r="Q2498" s="6">
        <v>2468</v>
      </c>
      <c r="R2498" s="7">
        <v>45135</v>
      </c>
      <c r="S2498" s="210">
        <v>4</v>
      </c>
      <c r="T2498" s="8">
        <v>1.0001111111111112</v>
      </c>
      <c r="U2498" s="98">
        <v>3.8350854808373303</v>
      </c>
      <c r="V2498" s="106">
        <v>31792.172826489827</v>
      </c>
      <c r="W2498" s="10">
        <v>0.93457589285435017</v>
      </c>
      <c r="X2498" s="420"/>
      <c r="Y2498" s="420"/>
      <c r="Z2498" s="1"/>
      <c r="AA2498" s="1"/>
      <c r="AB2498" s="1"/>
      <c r="AC2498" s="1"/>
      <c r="AD2498" s="1"/>
    </row>
    <row r="2499" spans="17:30">
      <c r="Q2499" s="6">
        <v>2469</v>
      </c>
      <c r="R2499" s="7">
        <v>45136</v>
      </c>
      <c r="S2499" s="210">
        <v>4</v>
      </c>
      <c r="T2499" s="8">
        <v>1.0001111111111112</v>
      </c>
      <c r="U2499" s="98">
        <v>3.835208264724832</v>
      </c>
      <c r="V2499" s="106">
        <v>31794.730875932411</v>
      </c>
      <c r="W2499" s="10">
        <v>0.93465289744358859</v>
      </c>
      <c r="X2499" s="420"/>
      <c r="Y2499" s="420"/>
      <c r="Z2499" s="1"/>
      <c r="AA2499" s="1"/>
      <c r="AB2499" s="1"/>
      <c r="AC2499" s="1"/>
      <c r="AD2499" s="1"/>
    </row>
    <row r="2500" spans="17:30">
      <c r="Q2500" s="6">
        <v>2470</v>
      </c>
      <c r="R2500" s="7">
        <v>45137</v>
      </c>
      <c r="S2500" s="210">
        <v>4</v>
      </c>
      <c r="T2500" s="8">
        <v>1.0001111111111112</v>
      </c>
      <c r="U2500" s="98">
        <v>3.8353309493371901</v>
      </c>
      <c r="V2500" s="106">
        <v>31797.289131199781</v>
      </c>
      <c r="W2500" s="10">
        <v>0.93472983973961199</v>
      </c>
      <c r="X2500" s="420"/>
      <c r="Y2500" s="420"/>
      <c r="Z2500" s="1"/>
      <c r="AA2500" s="1"/>
      <c r="AB2500" s="1"/>
      <c r="AC2500" s="1"/>
      <c r="AD2500" s="1"/>
    </row>
    <row r="2501" spans="17:30">
      <c r="Q2501" s="6">
        <v>2471</v>
      </c>
      <c r="R2501" s="7">
        <v>45138</v>
      </c>
      <c r="S2501" s="210">
        <v>4</v>
      </c>
      <c r="T2501" s="8">
        <v>1.0001111111111112</v>
      </c>
      <c r="U2501" s="98">
        <v>3.8354535347947749</v>
      </c>
      <c r="V2501" s="106">
        <v>31799.847592308481</v>
      </c>
      <c r="W2501" s="10">
        <v>0.93480671981798213</v>
      </c>
      <c r="X2501" s="420"/>
      <c r="Y2501" s="420"/>
      <c r="Z2501" s="1"/>
      <c r="AA2501" s="1"/>
      <c r="AB2501" s="1"/>
      <c r="AC2501" s="1"/>
      <c r="AD2501" s="1"/>
    </row>
    <row r="2502" spans="17:30">
      <c r="Q2502" s="6">
        <v>2472</v>
      </c>
      <c r="R2502" s="7">
        <v>45139</v>
      </c>
      <c r="S2502" s="210">
        <v>4</v>
      </c>
      <c r="T2502" s="8">
        <v>1.0001111111111112</v>
      </c>
      <c r="U2502" s="98">
        <v>3.8355760212177348</v>
      </c>
      <c r="V2502" s="106">
        <v>31802.406259275092</v>
      </c>
      <c r="W2502" s="10">
        <v>0.93488353775414978</v>
      </c>
      <c r="X2502" s="420"/>
      <c r="Y2502" s="420"/>
      <c r="Z2502" s="1"/>
      <c r="AA2502" s="1"/>
      <c r="AB2502" s="1"/>
      <c r="AC2502" s="1"/>
      <c r="AD2502" s="1"/>
    </row>
    <row r="2503" spans="17:30">
      <c r="Q2503" s="6">
        <v>2473</v>
      </c>
      <c r="R2503" s="7">
        <v>45140</v>
      </c>
      <c r="S2503" s="210">
        <v>4</v>
      </c>
      <c r="T2503" s="8">
        <v>1.0001111111111112</v>
      </c>
      <c r="U2503" s="98">
        <v>3.8356984087260182</v>
      </c>
      <c r="V2503" s="106">
        <v>31804.965132116165</v>
      </c>
      <c r="W2503" s="10">
        <v>0.93496029362336586</v>
      </c>
      <c r="X2503" s="420"/>
      <c r="Y2503" s="420"/>
      <c r="Z2503" s="1"/>
      <c r="AA2503" s="1"/>
      <c r="AB2503" s="1"/>
      <c r="AC2503" s="1"/>
      <c r="AD2503" s="1"/>
    </row>
    <row r="2504" spans="17:30">
      <c r="Q2504" s="6">
        <v>2474</v>
      </c>
      <c r="R2504" s="7">
        <v>45141</v>
      </c>
      <c r="S2504" s="210">
        <v>4</v>
      </c>
      <c r="T2504" s="8">
        <v>1.0001111111111112</v>
      </c>
      <c r="U2504" s="98">
        <v>3.8358206974394182</v>
      </c>
      <c r="V2504" s="106">
        <v>31807.524210848274</v>
      </c>
      <c r="W2504" s="10">
        <v>0.93503698750090347</v>
      </c>
      <c r="X2504" s="420"/>
      <c r="Y2504" s="420"/>
      <c r="Z2504" s="1"/>
      <c r="AA2504" s="1"/>
      <c r="AB2504" s="1"/>
      <c r="AC2504" s="1"/>
      <c r="AD2504" s="1"/>
    </row>
    <row r="2505" spans="17:30">
      <c r="Q2505" s="6">
        <v>2475</v>
      </c>
      <c r="R2505" s="7">
        <v>45142</v>
      </c>
      <c r="S2505" s="210">
        <v>4</v>
      </c>
      <c r="T2505" s="8">
        <v>1.0001111111111112</v>
      </c>
      <c r="U2505" s="98">
        <v>3.8359428874775059</v>
      </c>
      <c r="V2505" s="106">
        <v>31810.083495487976</v>
      </c>
      <c r="W2505" s="10">
        <v>0.9351136194617693</v>
      </c>
      <c r="X2505" s="420"/>
      <c r="Y2505" s="420"/>
      <c r="Z2505" s="1"/>
      <c r="AA2505" s="1"/>
      <c r="AB2505" s="1"/>
      <c r="AC2505" s="1"/>
      <c r="AD2505" s="1"/>
    </row>
    <row r="2506" spans="17:30">
      <c r="Q2506" s="6">
        <v>2476</v>
      </c>
      <c r="R2506" s="7">
        <v>45143</v>
      </c>
      <c r="S2506" s="210">
        <v>4</v>
      </c>
      <c r="T2506" s="8">
        <v>1.0001111111111112</v>
      </c>
      <c r="U2506" s="98">
        <v>3.8360649789596524</v>
      </c>
      <c r="V2506" s="106">
        <v>31812.64298605184</v>
      </c>
      <c r="W2506" s="10">
        <v>0.93519018958094779</v>
      </c>
      <c r="X2506" s="420"/>
      <c r="Y2506" s="420"/>
      <c r="Z2506" s="1"/>
      <c r="AA2506" s="1"/>
      <c r="AB2506" s="1"/>
      <c r="AC2506" s="1"/>
      <c r="AD2506" s="1"/>
    </row>
    <row r="2507" spans="17:30">
      <c r="Q2507" s="6">
        <v>2477</v>
      </c>
      <c r="R2507" s="7">
        <v>45144</v>
      </c>
      <c r="S2507" s="210">
        <v>4</v>
      </c>
      <c r="T2507" s="8">
        <v>1.0001111111111112</v>
      </c>
      <c r="U2507" s="98">
        <v>3.8361869720050512</v>
      </c>
      <c r="V2507" s="106">
        <v>31815.202682556443</v>
      </c>
      <c r="W2507" s="10">
        <v>0.93526669793324579</v>
      </c>
      <c r="X2507" s="420"/>
      <c r="Y2507" s="420"/>
      <c r="Z2507" s="1"/>
      <c r="AA2507" s="1"/>
      <c r="AB2507" s="1"/>
      <c r="AC2507" s="1"/>
      <c r="AD2507" s="1"/>
    </row>
    <row r="2508" spans="17:30">
      <c r="Q2508" s="6">
        <v>2478</v>
      </c>
      <c r="R2508" s="7">
        <v>45145</v>
      </c>
      <c r="S2508" s="210">
        <v>4</v>
      </c>
      <c r="T2508" s="8">
        <v>1.0001111111111112</v>
      </c>
      <c r="U2508" s="98">
        <v>3.8363088667327183</v>
      </c>
      <c r="V2508" s="106">
        <v>31817.762585018347</v>
      </c>
      <c r="W2508" s="10">
        <v>0.9353431445933813</v>
      </c>
      <c r="X2508" s="420"/>
      <c r="Y2508" s="420"/>
      <c r="Z2508" s="1"/>
      <c r="AA2508" s="1"/>
      <c r="AB2508" s="1"/>
      <c r="AC2508" s="1"/>
      <c r="AD2508" s="1"/>
    </row>
    <row r="2509" spans="17:30">
      <c r="Q2509" s="6">
        <v>2479</v>
      </c>
      <c r="R2509" s="7">
        <v>45146</v>
      </c>
      <c r="S2509" s="210">
        <v>4</v>
      </c>
      <c r="T2509" s="8">
        <v>1.0001111111111112</v>
      </c>
      <c r="U2509" s="98">
        <v>3.8364306632614475</v>
      </c>
      <c r="V2509" s="106">
        <v>31820.322693454134</v>
      </c>
      <c r="W2509" s="10">
        <v>0.93541952963596131</v>
      </c>
      <c r="X2509" s="420"/>
      <c r="Y2509" s="420"/>
      <c r="Z2509" s="1"/>
      <c r="AA2509" s="1"/>
      <c r="AB2509" s="1"/>
      <c r="AC2509" s="1"/>
      <c r="AD2509" s="1"/>
    </row>
    <row r="2510" spans="17:30">
      <c r="Q2510" s="6">
        <v>2480</v>
      </c>
      <c r="R2510" s="7">
        <v>45147</v>
      </c>
      <c r="S2510" s="210">
        <v>4</v>
      </c>
      <c r="T2510" s="8">
        <v>1.0001111111111112</v>
      </c>
      <c r="U2510" s="98">
        <v>3.8365523617098773</v>
      </c>
      <c r="V2510" s="106">
        <v>31822.883007880362</v>
      </c>
      <c r="W2510" s="10">
        <v>0.93549585313543737</v>
      </c>
      <c r="X2510" s="420"/>
      <c r="Y2510" s="420"/>
      <c r="Z2510" s="1"/>
      <c r="AA2510" s="1"/>
      <c r="AB2510" s="1"/>
      <c r="AC2510" s="1"/>
      <c r="AD2510" s="1"/>
    </row>
    <row r="2511" spans="17:30">
      <c r="Q2511" s="6">
        <v>2481</v>
      </c>
      <c r="R2511" s="7">
        <v>45148</v>
      </c>
      <c r="S2511" s="210">
        <v>4</v>
      </c>
      <c r="T2511" s="8">
        <v>1.0001111111111112</v>
      </c>
      <c r="U2511" s="98">
        <v>3.8366739621964019</v>
      </c>
      <c r="V2511" s="106">
        <v>31825.443528313623</v>
      </c>
      <c r="W2511" s="10">
        <v>0.93557211516615002</v>
      </c>
      <c r="X2511" s="420"/>
      <c r="Y2511" s="420"/>
      <c r="Z2511" s="1"/>
      <c r="AA2511" s="1"/>
      <c r="AB2511" s="1"/>
      <c r="AC2511" s="1"/>
      <c r="AD2511" s="1"/>
    </row>
    <row r="2512" spans="17:30">
      <c r="Q2512" s="6">
        <v>2482</v>
      </c>
      <c r="R2512" s="7">
        <v>45149</v>
      </c>
      <c r="S2512" s="210">
        <v>4</v>
      </c>
      <c r="T2512" s="8">
        <v>1.0001111111111112</v>
      </c>
      <c r="U2512" s="98">
        <v>3.8367954648392821</v>
      </c>
      <c r="V2512" s="106">
        <v>31828.004254770469</v>
      </c>
      <c r="W2512" s="10">
        <v>0.93564831580235097</v>
      </c>
      <c r="X2512" s="420"/>
      <c r="Y2512" s="420"/>
      <c r="Z2512" s="1"/>
      <c r="AA2512" s="1"/>
      <c r="AB2512" s="1"/>
      <c r="AC2512" s="1"/>
      <c r="AD2512" s="1"/>
    </row>
    <row r="2513" spans="17:30">
      <c r="Q2513" s="6">
        <v>2483</v>
      </c>
      <c r="R2513" s="7">
        <v>45150</v>
      </c>
      <c r="S2513" s="210">
        <v>4</v>
      </c>
      <c r="T2513" s="8">
        <v>1.0001111111111112</v>
      </c>
      <c r="U2513" s="98">
        <v>3.8369168697565348</v>
      </c>
      <c r="V2513" s="106">
        <v>31830.565187267504</v>
      </c>
      <c r="W2513" s="10">
        <v>0.9357244551180921</v>
      </c>
      <c r="X2513" s="420"/>
      <c r="Y2513" s="420"/>
      <c r="Z2513" s="1"/>
      <c r="AA2513" s="1"/>
      <c r="AB2513" s="1"/>
      <c r="AC2513" s="1"/>
      <c r="AD2513" s="1"/>
    </row>
    <row r="2514" spans="17:30">
      <c r="Q2514" s="6">
        <v>2484</v>
      </c>
      <c r="R2514" s="7">
        <v>45151</v>
      </c>
      <c r="S2514" s="210">
        <v>4</v>
      </c>
      <c r="T2514" s="8">
        <v>1.0001111111111112</v>
      </c>
      <c r="U2514" s="98">
        <v>3.8370381770660433</v>
      </c>
      <c r="V2514" s="106">
        <v>31833.126325821286</v>
      </c>
      <c r="W2514" s="10">
        <v>0.93580053318742529</v>
      </c>
      <c r="X2514" s="420"/>
      <c r="Y2514" s="420"/>
      <c r="Z2514" s="1"/>
      <c r="AA2514" s="1"/>
      <c r="AB2514" s="1"/>
      <c r="AC2514" s="1"/>
      <c r="AD2514" s="1"/>
    </row>
    <row r="2515" spans="17:30">
      <c r="Q2515" s="6">
        <v>2485</v>
      </c>
      <c r="R2515" s="7">
        <v>45152</v>
      </c>
      <c r="S2515" s="210">
        <v>4</v>
      </c>
      <c r="T2515" s="8">
        <v>1.0001111111111112</v>
      </c>
      <c r="U2515" s="98">
        <v>3.837159386885447</v>
      </c>
      <c r="V2515" s="106">
        <v>31835.687670448406</v>
      </c>
      <c r="W2515" s="10">
        <v>0.93587655008420256</v>
      </c>
      <c r="X2515" s="420"/>
      <c r="Y2515" s="420"/>
      <c r="Z2515" s="1"/>
      <c r="AA2515" s="1"/>
      <c r="AB2515" s="1"/>
      <c r="AC2515" s="1"/>
      <c r="AD2515" s="1"/>
    </row>
    <row r="2516" spans="17:30">
      <c r="Q2516" s="6">
        <v>2486</v>
      </c>
      <c r="R2516" s="7">
        <v>45153</v>
      </c>
      <c r="S2516" s="210">
        <v>4</v>
      </c>
      <c r="T2516" s="8">
        <v>1.0001111111111112</v>
      </c>
      <c r="U2516" s="98">
        <v>3.8372804993322518</v>
      </c>
      <c r="V2516" s="106">
        <v>31838.249221165439</v>
      </c>
      <c r="W2516" s="10">
        <v>0.93595250588216494</v>
      </c>
      <c r="X2516" s="420"/>
      <c r="Y2516" s="420"/>
      <c r="Z2516" s="1"/>
      <c r="AA2516" s="1"/>
      <c r="AB2516" s="1"/>
      <c r="AC2516" s="1"/>
      <c r="AD2516" s="1"/>
    </row>
    <row r="2517" spans="17:30">
      <c r="Q2517" s="6">
        <v>2487</v>
      </c>
      <c r="R2517" s="7">
        <v>45154</v>
      </c>
      <c r="S2517" s="210">
        <v>4</v>
      </c>
      <c r="T2517" s="8">
        <v>1.0001111111111112</v>
      </c>
      <c r="U2517" s="98">
        <v>3.8374015145237195</v>
      </c>
      <c r="V2517" s="106">
        <v>31840.810977988971</v>
      </c>
      <c r="W2517" s="10">
        <v>0.93602840065494242</v>
      </c>
      <c r="X2517" s="420"/>
      <c r="Y2517" s="420"/>
      <c r="Z2517" s="1"/>
      <c r="AA2517" s="1"/>
      <c r="AB2517" s="1"/>
      <c r="AC2517" s="1"/>
      <c r="AD2517" s="1"/>
    </row>
    <row r="2518" spans="17:30">
      <c r="Q2518" s="6">
        <v>2488</v>
      </c>
      <c r="R2518" s="7">
        <v>45155</v>
      </c>
      <c r="S2518" s="210">
        <v>4</v>
      </c>
      <c r="T2518" s="8">
        <v>1.0001111111111112</v>
      </c>
      <c r="U2518" s="98">
        <v>3.8375224325769564</v>
      </c>
      <c r="V2518" s="106">
        <v>31843.37294093558</v>
      </c>
      <c r="W2518" s="10">
        <v>0.93610423447605395</v>
      </c>
      <c r="X2518" s="420"/>
      <c r="Y2518" s="420"/>
      <c r="Z2518" s="1"/>
      <c r="AA2518" s="1"/>
      <c r="AB2518" s="1"/>
      <c r="AC2518" s="1"/>
      <c r="AD2518" s="1"/>
    </row>
    <row r="2519" spans="17:30">
      <c r="Q2519" s="6">
        <v>2489</v>
      </c>
      <c r="R2519" s="7">
        <v>45156</v>
      </c>
      <c r="S2519" s="210">
        <v>4</v>
      </c>
      <c r="T2519" s="8">
        <v>1.0001111111111112</v>
      </c>
      <c r="U2519" s="98">
        <v>3.8376432536088911</v>
      </c>
      <c r="V2519" s="106">
        <v>31845.935110021856</v>
      </c>
      <c r="W2519" s="10">
        <v>0.9361800074189297</v>
      </c>
      <c r="X2519" s="420"/>
      <c r="Y2519" s="420"/>
      <c r="Z2519" s="1"/>
      <c r="AA2519" s="1"/>
      <c r="AB2519" s="1"/>
      <c r="AC2519" s="1"/>
      <c r="AD2519" s="1"/>
    </row>
    <row r="2520" spans="17:30">
      <c r="Q2520" s="6">
        <v>2490</v>
      </c>
      <c r="R2520" s="7">
        <v>45157</v>
      </c>
      <c r="S2520" s="210">
        <v>4</v>
      </c>
      <c r="T2520" s="8">
        <v>1.0001111111111112</v>
      </c>
      <c r="U2520" s="98">
        <v>3.8377639777362305</v>
      </c>
      <c r="V2520" s="106">
        <v>31848.497485264386</v>
      </c>
      <c r="W2520" s="10">
        <v>0.93625571955679998</v>
      </c>
      <c r="X2520" s="420"/>
      <c r="Y2520" s="420"/>
      <c r="Z2520" s="1"/>
      <c r="AA2520" s="1"/>
      <c r="AB2520" s="1"/>
      <c r="AC2520" s="1"/>
      <c r="AD2520" s="1"/>
    </row>
    <row r="2521" spans="17:30">
      <c r="Q2521" s="6">
        <v>2491</v>
      </c>
      <c r="R2521" s="7">
        <v>45158</v>
      </c>
      <c r="S2521" s="210">
        <v>4</v>
      </c>
      <c r="T2521" s="8">
        <v>1.0001111111111112</v>
      </c>
      <c r="U2521" s="98">
        <v>3.8378846050755033</v>
      </c>
      <c r="V2521" s="106">
        <v>31851.060066679758</v>
      </c>
      <c r="W2521" s="10">
        <v>0.93633137096282848</v>
      </c>
      <c r="X2521" s="420"/>
      <c r="Y2521" s="420"/>
      <c r="Z2521" s="1"/>
      <c r="AA2521" s="1"/>
      <c r="AB2521" s="1"/>
      <c r="AC2521" s="1"/>
      <c r="AD2521" s="1"/>
    </row>
    <row r="2522" spans="17:30">
      <c r="Q2522" s="6">
        <v>2492</v>
      </c>
      <c r="R2522" s="7">
        <v>45159</v>
      </c>
      <c r="S2522" s="210">
        <v>4</v>
      </c>
      <c r="T2522" s="8">
        <v>1.0001111111111112</v>
      </c>
      <c r="U2522" s="98">
        <v>3.8380051357430833</v>
      </c>
      <c r="V2522" s="106">
        <v>31853.622854284557</v>
      </c>
      <c r="W2522" s="10">
        <v>0.93640696171011228</v>
      </c>
      <c r="X2522" s="420"/>
      <c r="Y2522" s="420"/>
      <c r="Z2522" s="1"/>
      <c r="AA2522" s="1"/>
      <c r="AB2522" s="1"/>
      <c r="AC2522" s="1"/>
      <c r="AD2522" s="1"/>
    </row>
    <row r="2523" spans="17:30">
      <c r="Q2523" s="6">
        <v>2493</v>
      </c>
      <c r="R2523" s="7">
        <v>45160</v>
      </c>
      <c r="S2523" s="210">
        <v>4</v>
      </c>
      <c r="T2523" s="8">
        <v>1.0001111111111112</v>
      </c>
      <c r="U2523" s="98">
        <v>3.838125569855122</v>
      </c>
      <c r="V2523" s="106">
        <v>31856.185848095378</v>
      </c>
      <c r="W2523" s="10">
        <v>0.93648249187150423</v>
      </c>
      <c r="X2523" s="420"/>
      <c r="Y2523" s="420"/>
      <c r="Z2523" s="1"/>
      <c r="AA2523" s="1"/>
      <c r="AB2523" s="1"/>
      <c r="AC2523" s="1"/>
      <c r="AD2523" s="1"/>
    </row>
    <row r="2524" spans="17:30">
      <c r="Q2524" s="6">
        <v>2494</v>
      </c>
      <c r="R2524" s="7">
        <v>45161</v>
      </c>
      <c r="S2524" s="210">
        <v>4</v>
      </c>
      <c r="T2524" s="8">
        <v>1.0001111111111112</v>
      </c>
      <c r="U2524" s="98">
        <v>3.8382459075275932</v>
      </c>
      <c r="V2524" s="106">
        <v>31858.749048128808</v>
      </c>
      <c r="W2524" s="10">
        <v>0.93655796151987936</v>
      </c>
      <c r="X2524" s="420"/>
      <c r="Y2524" s="420"/>
      <c r="Z2524" s="1"/>
      <c r="AA2524" s="1"/>
      <c r="AB2524" s="1"/>
      <c r="AC2524" s="1"/>
      <c r="AD2524" s="1"/>
    </row>
    <row r="2525" spans="17:30">
      <c r="Q2525" s="6">
        <v>2495</v>
      </c>
      <c r="R2525" s="7">
        <v>45162</v>
      </c>
      <c r="S2525" s="210">
        <v>4</v>
      </c>
      <c r="T2525" s="8">
        <v>1.0001111111111112</v>
      </c>
      <c r="U2525" s="98">
        <v>3.8383661488762932</v>
      </c>
      <c r="V2525" s="106">
        <v>31861.312454401439</v>
      </c>
      <c r="W2525" s="10">
        <v>0.93663337072791286</v>
      </c>
      <c r="X2525" s="420"/>
      <c r="Y2525" s="420"/>
      <c r="Z2525" s="1"/>
      <c r="AA2525" s="1"/>
      <c r="AB2525" s="1"/>
      <c r="AC2525" s="1"/>
      <c r="AD2525" s="1"/>
    </row>
    <row r="2526" spans="17:30">
      <c r="Q2526" s="6">
        <v>2496</v>
      </c>
      <c r="R2526" s="7">
        <v>45163</v>
      </c>
      <c r="S2526" s="210">
        <v>4</v>
      </c>
      <c r="T2526" s="8">
        <v>1.0001111111111112</v>
      </c>
      <c r="U2526" s="98">
        <v>3.8384862940168185</v>
      </c>
      <c r="V2526" s="106">
        <v>31863.876066929872</v>
      </c>
      <c r="W2526" s="10">
        <v>0.93670871956812451</v>
      </c>
      <c r="X2526" s="420"/>
      <c r="Y2526" s="420"/>
      <c r="Z2526" s="1"/>
      <c r="AA2526" s="1"/>
      <c r="AB2526" s="1"/>
      <c r="AC2526" s="1"/>
      <c r="AD2526" s="1"/>
    </row>
    <row r="2527" spans="17:30">
      <c r="Q2527" s="6">
        <v>2497</v>
      </c>
      <c r="R2527" s="7">
        <v>45164</v>
      </c>
      <c r="S2527" s="210">
        <v>4</v>
      </c>
      <c r="T2527" s="8">
        <v>1.0001111111111112</v>
      </c>
      <c r="U2527" s="98">
        <v>3.83860634306461</v>
      </c>
      <c r="V2527" s="106">
        <v>31866.439885730695</v>
      </c>
      <c r="W2527" s="10">
        <v>0.93678400811305629</v>
      </c>
      <c r="X2527" s="420"/>
      <c r="Y2527" s="420"/>
      <c r="Z2527" s="1"/>
      <c r="AA2527" s="1"/>
      <c r="AB2527" s="1"/>
      <c r="AC2527" s="1"/>
      <c r="AD2527" s="1"/>
    </row>
    <row r="2528" spans="17:30">
      <c r="Q2528" s="6">
        <v>2498</v>
      </c>
      <c r="R2528" s="7">
        <v>45165</v>
      </c>
      <c r="S2528" s="210">
        <v>4</v>
      </c>
      <c r="T2528" s="8">
        <v>1.0001111111111112</v>
      </c>
      <c r="U2528" s="98">
        <v>3.8387262961348867</v>
      </c>
      <c r="V2528" s="106">
        <v>31869.003910820509</v>
      </c>
      <c r="W2528" s="10">
        <v>0.93685923643502811</v>
      </c>
      <c r="X2528" s="420"/>
      <c r="Y2528" s="420"/>
      <c r="Z2528" s="1"/>
      <c r="AA2528" s="1"/>
      <c r="AB2528" s="1"/>
      <c r="AC2528" s="1"/>
      <c r="AD2528" s="1"/>
    </row>
    <row r="2529" spans="17:30">
      <c r="Q2529" s="6">
        <v>2499</v>
      </c>
      <c r="R2529" s="7">
        <v>45166</v>
      </c>
      <c r="S2529" s="210">
        <v>4</v>
      </c>
      <c r="T2529" s="8">
        <v>1.0001111111111112</v>
      </c>
      <c r="U2529" s="98">
        <v>3.8388461533427121</v>
      </c>
      <c r="V2529" s="106">
        <v>31871.568142215918</v>
      </c>
      <c r="W2529" s="10">
        <v>0.93693440460622668</v>
      </c>
      <c r="X2529" s="420"/>
      <c r="Y2529" s="420"/>
      <c r="Z2529" s="1"/>
      <c r="AA2529" s="1"/>
      <c r="AB2529" s="1"/>
      <c r="AC2529" s="1"/>
      <c r="AD2529" s="1"/>
    </row>
    <row r="2530" spans="17:30">
      <c r="Q2530" s="6">
        <v>2500</v>
      </c>
      <c r="R2530" s="7">
        <v>45167</v>
      </c>
      <c r="S2530" s="210">
        <v>4</v>
      </c>
      <c r="T2530" s="8">
        <v>1.0001111111111112</v>
      </c>
      <c r="U2530" s="98">
        <v>3.8389659148029498</v>
      </c>
      <c r="V2530" s="106">
        <v>31874.132579933514</v>
      </c>
      <c r="W2530" s="10">
        <v>0.93700951269881649</v>
      </c>
      <c r="X2530" s="420"/>
      <c r="Y2530" s="420"/>
      <c r="Z2530" s="1"/>
      <c r="AA2530" s="1"/>
      <c r="AB2530" s="1"/>
      <c r="AC2530" s="1"/>
      <c r="AD2530" s="1"/>
    </row>
    <row r="2531" spans="17:30">
      <c r="Q2531" s="6">
        <v>2501</v>
      </c>
      <c r="R2531" s="7">
        <v>45168</v>
      </c>
      <c r="S2531" s="210">
        <v>4</v>
      </c>
      <c r="T2531" s="8">
        <v>1.0001111111111112</v>
      </c>
      <c r="U2531" s="98">
        <v>3.8390855806302859</v>
      </c>
      <c r="V2531" s="106">
        <v>31876.697223989901</v>
      </c>
      <c r="W2531" s="10">
        <v>0.93708456078478441</v>
      </c>
      <c r="X2531" s="420"/>
      <c r="Y2531" s="420"/>
      <c r="Z2531" s="1"/>
      <c r="AA2531" s="1"/>
      <c r="AB2531" s="1"/>
      <c r="AC2531" s="1"/>
      <c r="AD2531" s="1"/>
    </row>
    <row r="2532" spans="17:30">
      <c r="Q2532" s="6">
        <v>2502</v>
      </c>
      <c r="R2532" s="7">
        <v>45169</v>
      </c>
      <c r="S2532" s="210">
        <v>4</v>
      </c>
      <c r="T2532" s="8">
        <v>1.0001111111111112</v>
      </c>
      <c r="U2532" s="98">
        <v>3.8392051509392289</v>
      </c>
      <c r="V2532" s="106">
        <v>31879.262074401675</v>
      </c>
      <c r="W2532" s="10">
        <v>0.93715954893600628</v>
      </c>
      <c r="X2532" s="420"/>
      <c r="Y2532" s="420"/>
      <c r="Z2532" s="1"/>
      <c r="AA2532" s="1"/>
      <c r="AB2532" s="1"/>
      <c r="AC2532" s="1"/>
      <c r="AD2532" s="1"/>
    </row>
    <row r="2533" spans="17:30">
      <c r="Q2533" s="6">
        <v>2503</v>
      </c>
      <c r="R2533" s="7">
        <v>45170</v>
      </c>
      <c r="S2533" s="210">
        <v>4</v>
      </c>
      <c r="T2533" s="8">
        <v>1.0001111111111112</v>
      </c>
      <c r="U2533" s="98">
        <v>3.8393246258440872</v>
      </c>
      <c r="V2533" s="106">
        <v>31881.827131185451</v>
      </c>
      <c r="W2533" s="10">
        <v>0.93723447722424691</v>
      </c>
      <c r="X2533" s="420"/>
      <c r="Y2533" s="420"/>
      <c r="Z2533" s="1"/>
      <c r="AA2533" s="1"/>
      <c r="AB2533" s="1"/>
      <c r="AC2533" s="1"/>
      <c r="AD2533" s="1"/>
    </row>
    <row r="2534" spans="17:30">
      <c r="Q2534" s="6">
        <v>2504</v>
      </c>
      <c r="R2534" s="7">
        <v>45171</v>
      </c>
      <c r="S2534" s="210">
        <v>4</v>
      </c>
      <c r="T2534" s="8">
        <v>1.0001111111111112</v>
      </c>
      <c r="U2534" s="98">
        <v>3.839444005459014</v>
      </c>
      <c r="V2534" s="106">
        <v>31884.392394357827</v>
      </c>
      <c r="W2534" s="10">
        <v>0.93730934572116009</v>
      </c>
      <c r="X2534" s="420"/>
      <c r="Y2534" s="420"/>
      <c r="Z2534" s="1"/>
      <c r="AA2534" s="1"/>
      <c r="AB2534" s="1"/>
      <c r="AC2534" s="1"/>
      <c r="AD2534" s="1"/>
    </row>
    <row r="2535" spans="17:30">
      <c r="Q2535" s="6">
        <v>2505</v>
      </c>
      <c r="R2535" s="7">
        <v>45172</v>
      </c>
      <c r="S2535" s="210">
        <v>4</v>
      </c>
      <c r="T2535" s="8">
        <v>1.0001111111111112</v>
      </c>
      <c r="U2535" s="98">
        <v>3.8395632898979404</v>
      </c>
      <c r="V2535" s="106">
        <v>31886.957863935408</v>
      </c>
      <c r="W2535" s="10">
        <v>0.9373841544982886</v>
      </c>
      <c r="X2535" s="420"/>
      <c r="Y2535" s="420"/>
      <c r="Z2535" s="1"/>
      <c r="AA2535" s="1"/>
      <c r="AB2535" s="1"/>
      <c r="AC2535" s="1"/>
      <c r="AD2535" s="1"/>
    </row>
    <row r="2536" spans="17:30">
      <c r="Q2536" s="6">
        <v>2506</v>
      </c>
      <c r="R2536" s="7">
        <v>45173</v>
      </c>
      <c r="S2536" s="210">
        <v>4</v>
      </c>
      <c r="T2536" s="8">
        <v>1.0001111111111112</v>
      </c>
      <c r="U2536" s="98">
        <v>3.8396824792746642</v>
      </c>
      <c r="V2536" s="106">
        <v>31889.523539934806</v>
      </c>
      <c r="W2536" s="10">
        <v>0.93745890362706419</v>
      </c>
      <c r="X2536" s="420"/>
      <c r="Y2536" s="420"/>
      <c r="Z2536" s="1"/>
      <c r="AA2536" s="1"/>
      <c r="AB2536" s="1"/>
      <c r="AC2536" s="1"/>
      <c r="AD2536" s="1"/>
    </row>
    <row r="2537" spans="17:30">
      <c r="Q2537" s="6">
        <v>2507</v>
      </c>
      <c r="R2537" s="7">
        <v>45174</v>
      </c>
      <c r="S2537" s="210">
        <v>4</v>
      </c>
      <c r="T2537" s="8">
        <v>1.0001111111111112</v>
      </c>
      <c r="U2537" s="98">
        <v>3.8398015737027613</v>
      </c>
      <c r="V2537" s="106">
        <v>31892.089422372628</v>
      </c>
      <c r="W2537" s="10">
        <v>0.93753359317880758</v>
      </c>
      <c r="X2537" s="420"/>
      <c r="Y2537" s="420"/>
      <c r="Z2537" s="1"/>
      <c r="AA2537" s="1"/>
      <c r="AB2537" s="1"/>
      <c r="AC2537" s="1"/>
      <c r="AD2537" s="1"/>
    </row>
    <row r="2538" spans="17:30">
      <c r="Q2538" s="6">
        <v>2508</v>
      </c>
      <c r="R2538" s="7">
        <v>45175</v>
      </c>
      <c r="S2538" s="210">
        <v>4</v>
      </c>
      <c r="T2538" s="8">
        <v>1.0001111111111112</v>
      </c>
      <c r="U2538" s="98">
        <v>3.8399205732956521</v>
      </c>
      <c r="V2538" s="106">
        <v>31894.655511265479</v>
      </c>
      <c r="W2538" s="10">
        <v>0.93760822322468407</v>
      </c>
      <c r="X2538" s="420"/>
      <c r="Y2538" s="420"/>
      <c r="Z2538" s="1"/>
      <c r="AA2538" s="1"/>
      <c r="AB2538" s="1"/>
      <c r="AC2538" s="1"/>
      <c r="AD2538" s="1"/>
    </row>
    <row r="2539" spans="17:30">
      <c r="Q2539" s="6">
        <v>2509</v>
      </c>
      <c r="R2539" s="7">
        <v>45176</v>
      </c>
      <c r="S2539" s="210">
        <v>4</v>
      </c>
      <c r="T2539" s="8">
        <v>1.0001111111111112</v>
      </c>
      <c r="U2539" s="98">
        <v>3.8400394781665792</v>
      </c>
      <c r="V2539" s="106">
        <v>31897.221806629979</v>
      </c>
      <c r="W2539" s="10">
        <v>0.93768279383583675</v>
      </c>
      <c r="X2539" s="420"/>
      <c r="Y2539" s="420"/>
      <c r="Z2539" s="1"/>
      <c r="AA2539" s="1"/>
      <c r="AB2539" s="1"/>
      <c r="AC2539" s="1"/>
      <c r="AD2539" s="1"/>
    </row>
    <row r="2540" spans="17:30">
      <c r="Q2540" s="6">
        <v>2510</v>
      </c>
      <c r="R2540" s="7">
        <v>45177</v>
      </c>
      <c r="S2540" s="210">
        <v>4</v>
      </c>
      <c r="T2540" s="8">
        <v>1.0001111111111112</v>
      </c>
      <c r="U2540" s="98">
        <v>3.8401582884285856</v>
      </c>
      <c r="V2540" s="106">
        <v>31899.788308482744</v>
      </c>
      <c r="W2540" s="10">
        <v>0.93775730508318667</v>
      </c>
      <c r="X2540" s="420"/>
      <c r="Y2540" s="420"/>
      <c r="Z2540" s="1"/>
      <c r="AA2540" s="1"/>
      <c r="AB2540" s="1"/>
      <c r="AC2540" s="1"/>
      <c r="AD2540" s="1"/>
    </row>
    <row r="2541" spans="17:30">
      <c r="Q2541" s="6">
        <v>2511</v>
      </c>
      <c r="R2541" s="7">
        <v>45178</v>
      </c>
      <c r="S2541" s="210">
        <v>4</v>
      </c>
      <c r="T2541" s="8">
        <v>1.0001111111111112</v>
      </c>
      <c r="U2541" s="98">
        <v>3.8402770041945367</v>
      </c>
      <c r="V2541" s="106">
        <v>31902.355016840382</v>
      </c>
      <c r="W2541" s="10">
        <v>0.93783175703758825</v>
      </c>
      <c r="X2541" s="420"/>
      <c r="Y2541" s="420"/>
      <c r="Z2541" s="1"/>
      <c r="AA2541" s="1"/>
      <c r="AB2541" s="1"/>
      <c r="AC2541" s="1"/>
      <c r="AD2541" s="1"/>
    </row>
    <row r="2542" spans="17:30">
      <c r="Q2542" s="6">
        <v>2512</v>
      </c>
      <c r="R2542" s="7">
        <v>45179</v>
      </c>
      <c r="S2542" s="210">
        <v>4</v>
      </c>
      <c r="T2542" s="8">
        <v>1.0001111111111112</v>
      </c>
      <c r="U2542" s="98">
        <v>3.8403956255771199</v>
      </c>
      <c r="V2542" s="106">
        <v>31904.921931719506</v>
      </c>
      <c r="W2542" s="10">
        <v>0.93790614976982933</v>
      </c>
      <c r="X2542" s="420"/>
      <c r="Y2542" s="420"/>
      <c r="Z2542" s="1"/>
      <c r="AA2542" s="1"/>
      <c r="AB2542" s="1"/>
      <c r="AC2542" s="1"/>
      <c r="AD2542" s="1"/>
    </row>
    <row r="2543" spans="17:30">
      <c r="Q2543" s="6">
        <v>2513</v>
      </c>
      <c r="R2543" s="7">
        <v>45180</v>
      </c>
      <c r="S2543" s="210">
        <v>4</v>
      </c>
      <c r="T2543" s="8">
        <v>1.0001111111111112</v>
      </c>
      <c r="U2543" s="98">
        <v>3.8405141526888675</v>
      </c>
      <c r="V2543" s="106">
        <v>31907.489053136738</v>
      </c>
      <c r="W2543" s="10">
        <v>0.93798048335052009</v>
      </c>
      <c r="X2543" s="420"/>
      <c r="Y2543" s="420"/>
      <c r="Z2543" s="1"/>
      <c r="AA2543" s="1"/>
      <c r="AB2543" s="1"/>
      <c r="AC2543" s="1"/>
      <c r="AD2543" s="1"/>
    </row>
    <row r="2544" spans="17:30">
      <c r="Q2544" s="6">
        <v>2514</v>
      </c>
      <c r="R2544" s="7">
        <v>45181</v>
      </c>
      <c r="S2544" s="210">
        <v>4</v>
      </c>
      <c r="T2544" s="8">
        <v>1.0001111111111112</v>
      </c>
      <c r="U2544" s="98">
        <v>3.8406325856420898</v>
      </c>
      <c r="V2544" s="106">
        <v>31910.05638110869</v>
      </c>
      <c r="W2544" s="10">
        <v>0.93805475785015968</v>
      </c>
      <c r="X2544" s="420"/>
      <c r="Y2544" s="420"/>
      <c r="Z2544" s="1"/>
      <c r="AA2544" s="1"/>
      <c r="AB2544" s="1"/>
      <c r="AC2544" s="1"/>
      <c r="AD2544" s="1"/>
    </row>
    <row r="2545" spans="17:30">
      <c r="Q2545" s="6">
        <v>2515</v>
      </c>
      <c r="R2545" s="7">
        <v>45182</v>
      </c>
      <c r="S2545" s="210">
        <v>4</v>
      </c>
      <c r="T2545" s="8">
        <v>1.0001111111111112</v>
      </c>
      <c r="U2545" s="98">
        <v>3.8407509245489413</v>
      </c>
      <c r="V2545" s="106">
        <v>31912.623915651991</v>
      </c>
      <c r="W2545" s="10">
        <v>0.93812897333920287</v>
      </c>
      <c r="X2545" s="420"/>
      <c r="Y2545" s="420"/>
      <c r="Z2545" s="1"/>
      <c r="AA2545" s="1"/>
      <c r="AB2545" s="1"/>
      <c r="AC2545" s="1"/>
      <c r="AD2545" s="1"/>
    </row>
    <row r="2546" spans="17:30">
      <c r="Q2546" s="6">
        <v>2516</v>
      </c>
      <c r="R2546" s="7">
        <v>45183</v>
      </c>
      <c r="S2546" s="210">
        <v>4</v>
      </c>
      <c r="T2546" s="8">
        <v>1.0001111111111112</v>
      </c>
      <c r="U2546" s="98">
        <v>3.8408691695214214</v>
      </c>
      <c r="V2546" s="106">
        <v>31915.19165678326</v>
      </c>
      <c r="W2546" s="10">
        <v>0.93820312988790455</v>
      </c>
      <c r="X2546" s="420"/>
      <c r="Y2546" s="420"/>
      <c r="Z2546" s="1"/>
      <c r="AA2546" s="1"/>
      <c r="AB2546" s="1"/>
      <c r="AC2546" s="1"/>
      <c r="AD2546" s="1"/>
    </row>
    <row r="2547" spans="17:30">
      <c r="Q2547" s="6">
        <v>2517</v>
      </c>
      <c r="R2547" s="7">
        <v>45184</v>
      </c>
      <c r="S2547" s="210">
        <v>4</v>
      </c>
      <c r="T2547" s="8">
        <v>1.0001111111111112</v>
      </c>
      <c r="U2547" s="98">
        <v>3.8409873206713074</v>
      </c>
      <c r="V2547" s="106">
        <v>31917.759604519109</v>
      </c>
      <c r="W2547" s="10">
        <v>0.93827722756647525</v>
      </c>
      <c r="X2547" s="420"/>
      <c r="Y2547" s="420"/>
      <c r="Z2547" s="1"/>
      <c r="AA2547" s="1"/>
      <c r="AB2547" s="1"/>
      <c r="AC2547" s="1"/>
      <c r="AD2547" s="1"/>
    </row>
    <row r="2548" spans="17:30">
      <c r="Q2548" s="6">
        <v>2518</v>
      </c>
      <c r="R2548" s="7">
        <v>45185</v>
      </c>
      <c r="S2548" s="210">
        <v>4</v>
      </c>
      <c r="T2548" s="8">
        <v>1.0001111111111112</v>
      </c>
      <c r="U2548" s="98">
        <v>3.8411053781102433</v>
      </c>
      <c r="V2548" s="106">
        <v>31920.327758876178</v>
      </c>
      <c r="W2548" s="10">
        <v>0.93835126644499223</v>
      </c>
      <c r="X2548" s="420"/>
      <c r="Y2548" s="420"/>
      <c r="Z2548" s="1"/>
      <c r="AA2548" s="1"/>
      <c r="AB2548" s="1"/>
      <c r="AC2548" s="1"/>
      <c r="AD2548" s="1"/>
    </row>
    <row r="2549" spans="17:30">
      <c r="Q2549" s="6">
        <v>2519</v>
      </c>
      <c r="R2549" s="7">
        <v>45186</v>
      </c>
      <c r="S2549" s="210">
        <v>4</v>
      </c>
      <c r="T2549" s="8">
        <v>1.0001111111111112</v>
      </c>
      <c r="U2549" s="98">
        <v>3.8412233419496733</v>
      </c>
      <c r="V2549" s="106">
        <v>31922.896119871079</v>
      </c>
      <c r="W2549" s="10">
        <v>0.93842524659342175</v>
      </c>
      <c r="X2549" s="420"/>
      <c r="Y2549" s="420"/>
      <c r="Z2549" s="1"/>
      <c r="AA2549" s="1"/>
      <c r="AB2549" s="1"/>
      <c r="AC2549" s="1"/>
      <c r="AD2549" s="1"/>
    </row>
    <row r="2550" spans="17:30">
      <c r="Q2550" s="6">
        <v>2520</v>
      </c>
      <c r="R2550" s="7">
        <v>45187</v>
      </c>
      <c r="S2550" s="210">
        <v>4</v>
      </c>
      <c r="T2550" s="8">
        <v>1.0001111111111112</v>
      </c>
      <c r="U2550" s="98">
        <v>3.8413412123008417</v>
      </c>
      <c r="V2550" s="106">
        <v>31925.464687520442</v>
      </c>
      <c r="W2550" s="10">
        <v>0.93849916808159684</v>
      </c>
      <c r="X2550" s="420"/>
      <c r="Y2550" s="420"/>
      <c r="Z2550" s="1"/>
      <c r="AA2550" s="1"/>
      <c r="AB2550" s="1"/>
      <c r="AC2550" s="1"/>
      <c r="AD2550" s="1"/>
    </row>
    <row r="2551" spans="17:30">
      <c r="Q2551" s="6">
        <v>2521</v>
      </c>
      <c r="R2551" s="7">
        <v>45188</v>
      </c>
      <c r="S2551" s="210">
        <v>4</v>
      </c>
      <c r="T2551" s="8">
        <v>1.0001111111111112</v>
      </c>
      <c r="U2551" s="98">
        <v>3.8414589892748596</v>
      </c>
      <c r="V2551" s="106">
        <v>31928.033461840907</v>
      </c>
      <c r="W2551" s="10">
        <v>0.9385730309792617</v>
      </c>
      <c r="X2551" s="420"/>
      <c r="Y2551" s="420"/>
      <c r="Z2551" s="1"/>
      <c r="AA2551" s="1"/>
      <c r="AB2551" s="1"/>
      <c r="AC2551" s="1"/>
      <c r="AD2551" s="1"/>
    </row>
    <row r="2552" spans="17:30">
      <c r="Q2552" s="6">
        <v>2522</v>
      </c>
      <c r="R2552" s="7">
        <v>45189</v>
      </c>
      <c r="S2552" s="210">
        <v>4</v>
      </c>
      <c r="T2552" s="8">
        <v>1.0001111111111112</v>
      </c>
      <c r="U2552" s="98">
        <v>3.8415766729826384</v>
      </c>
      <c r="V2552" s="106">
        <v>31930.602442849082</v>
      </c>
      <c r="W2552" s="10">
        <v>0.93864683535604954</v>
      </c>
      <c r="X2552" s="420"/>
      <c r="Y2552" s="420"/>
      <c r="Z2552" s="1"/>
      <c r="AA2552" s="1"/>
      <c r="AB2552" s="1"/>
      <c r="AC2552" s="1"/>
      <c r="AD2552" s="1"/>
    </row>
    <row r="2553" spans="17:30">
      <c r="Q2553" s="6">
        <v>2523</v>
      </c>
      <c r="R2553" s="7">
        <v>45190</v>
      </c>
      <c r="S2553" s="210">
        <v>4</v>
      </c>
      <c r="T2553" s="8">
        <v>1.0001111111111112</v>
      </c>
      <c r="U2553" s="98">
        <v>3.8416942635349116</v>
      </c>
      <c r="V2553" s="106">
        <v>31933.171630561606</v>
      </c>
      <c r="W2553" s="10">
        <v>0.9387205812814825</v>
      </c>
      <c r="X2553" s="420"/>
      <c r="Y2553" s="420"/>
      <c r="Z2553" s="1"/>
      <c r="AA2553" s="1"/>
      <c r="AB2553" s="1"/>
      <c r="AC2553" s="1"/>
      <c r="AD2553" s="1"/>
    </row>
    <row r="2554" spans="17:30">
      <c r="Q2554" s="6">
        <v>2524</v>
      </c>
      <c r="R2554" s="7">
        <v>45191</v>
      </c>
      <c r="S2554" s="210">
        <v>4</v>
      </c>
      <c r="T2554" s="8">
        <v>1.0001111111111112</v>
      </c>
      <c r="U2554" s="98">
        <v>3.8418117610422575</v>
      </c>
      <c r="V2554" s="106">
        <v>31935.741024995121</v>
      </c>
      <c r="W2554" s="10">
        <v>0.93879426882497174</v>
      </c>
      <c r="X2554" s="420"/>
      <c r="Y2554" s="420"/>
      <c r="Z2554" s="1"/>
      <c r="AA2554" s="1"/>
      <c r="AB2554" s="1"/>
      <c r="AC2554" s="1"/>
      <c r="AD2554" s="1"/>
    </row>
    <row r="2555" spans="17:30">
      <c r="Q2555" s="6">
        <v>2525</v>
      </c>
      <c r="R2555" s="7">
        <v>45192</v>
      </c>
      <c r="S2555" s="210">
        <v>4</v>
      </c>
      <c r="T2555" s="8">
        <v>1.0001111111111112</v>
      </c>
      <c r="U2555" s="98">
        <v>3.8419291656150545</v>
      </c>
      <c r="V2555" s="106">
        <v>31938.310626166247</v>
      </c>
      <c r="W2555" s="10">
        <v>0.93886789805581738</v>
      </c>
      <c r="X2555" s="420"/>
      <c r="Y2555" s="420"/>
      <c r="Z2555" s="1"/>
      <c r="AA2555" s="1"/>
      <c r="AB2555" s="1"/>
      <c r="AC2555" s="1"/>
      <c r="AD2555" s="1"/>
    </row>
    <row r="2556" spans="17:30">
      <c r="Q2556" s="6">
        <v>2526</v>
      </c>
      <c r="R2556" s="7">
        <v>45193</v>
      </c>
      <c r="S2556" s="210">
        <v>4</v>
      </c>
      <c r="T2556" s="8">
        <v>1.0001111111111112</v>
      </c>
      <c r="U2556" s="98">
        <v>3.8420464773635254</v>
      </c>
      <c r="V2556" s="106">
        <v>31940.880434091621</v>
      </c>
      <c r="W2556" s="10">
        <v>0.93894146904320852</v>
      </c>
      <c r="X2556" s="420"/>
      <c r="Y2556" s="420"/>
      <c r="Z2556" s="1"/>
      <c r="AA2556" s="1"/>
      <c r="AB2556" s="1"/>
      <c r="AC2556" s="1"/>
      <c r="AD2556" s="1"/>
    </row>
    <row r="2557" spans="17:30">
      <c r="Q2557" s="6">
        <v>2527</v>
      </c>
      <c r="R2557" s="7">
        <v>45194</v>
      </c>
      <c r="S2557" s="210">
        <v>4</v>
      </c>
      <c r="T2557" s="8">
        <v>1.0001111111111112</v>
      </c>
      <c r="U2557" s="98">
        <v>3.8421636963977157</v>
      </c>
      <c r="V2557" s="106">
        <v>31943.45044878788</v>
      </c>
      <c r="W2557" s="10">
        <v>0.93901498185624543</v>
      </c>
      <c r="X2557" s="420"/>
      <c r="Y2557" s="420"/>
      <c r="Z2557" s="1"/>
      <c r="AA2557" s="1"/>
      <c r="AB2557" s="1"/>
      <c r="AC2557" s="1"/>
      <c r="AD2557" s="1"/>
    </row>
    <row r="2558" spans="17:30">
      <c r="Q2558" s="6">
        <v>2528</v>
      </c>
      <c r="R2558" s="7">
        <v>45195</v>
      </c>
      <c r="S2558" s="210">
        <v>4</v>
      </c>
      <c r="T2558" s="8">
        <v>1.0001111111111112</v>
      </c>
      <c r="U2558" s="98">
        <v>3.8422808228274929</v>
      </c>
      <c r="V2558" s="106">
        <v>31946.020670271664</v>
      </c>
      <c r="W2558" s="10">
        <v>0.93908843656387297</v>
      </c>
      <c r="X2558" s="420"/>
      <c r="Y2558" s="420"/>
      <c r="Z2558" s="1"/>
      <c r="AA2558" s="1"/>
      <c r="AB2558" s="1"/>
      <c r="AC2558" s="1"/>
      <c r="AD2558" s="1"/>
    </row>
    <row r="2559" spans="17:30">
      <c r="Q2559" s="6">
        <v>2529</v>
      </c>
      <c r="R2559" s="7">
        <v>45196</v>
      </c>
      <c r="S2559" s="210">
        <v>4</v>
      </c>
      <c r="T2559" s="8">
        <v>1.0001111111111112</v>
      </c>
      <c r="U2559" s="98">
        <v>3.8423978567625472</v>
      </c>
      <c r="V2559" s="106">
        <v>31948.591098559609</v>
      </c>
      <c r="W2559" s="10">
        <v>0.93916183323496938</v>
      </c>
      <c r="X2559" s="420"/>
      <c r="Y2559" s="420"/>
      <c r="Z2559" s="1"/>
      <c r="AA2559" s="1"/>
      <c r="AB2559" s="1"/>
      <c r="AC2559" s="1"/>
      <c r="AD2559" s="1"/>
    </row>
    <row r="2560" spans="17:30">
      <c r="Q2560" s="6">
        <v>2530</v>
      </c>
      <c r="R2560" s="7">
        <v>45197</v>
      </c>
      <c r="S2560" s="210">
        <v>4</v>
      </c>
      <c r="T2560" s="8">
        <v>1.0001111111111112</v>
      </c>
      <c r="U2560" s="98">
        <v>3.842514798312413</v>
      </c>
      <c r="V2560" s="106">
        <v>31951.161733668356</v>
      </c>
      <c r="W2560" s="10">
        <v>0.93923517193830186</v>
      </c>
      <c r="X2560" s="420"/>
      <c r="Y2560" s="420"/>
      <c r="Z2560" s="1"/>
      <c r="AA2560" s="1"/>
      <c r="AB2560" s="1"/>
      <c r="AC2560" s="1"/>
      <c r="AD2560" s="1"/>
    </row>
    <row r="2561" spans="17:30">
      <c r="Q2561" s="6">
        <v>2531</v>
      </c>
      <c r="R2561" s="7">
        <v>45198</v>
      </c>
      <c r="S2561" s="210">
        <v>4</v>
      </c>
      <c r="T2561" s="8">
        <v>1.0001111111111112</v>
      </c>
      <c r="U2561" s="98">
        <v>3.8426316475864253</v>
      </c>
      <c r="V2561" s="106">
        <v>31953.73257561454</v>
      </c>
      <c r="W2561" s="10">
        <v>0.93930845274250441</v>
      </c>
      <c r="X2561" s="420"/>
      <c r="Y2561" s="420"/>
      <c r="Z2561" s="1"/>
      <c r="AA2561" s="1"/>
      <c r="AB2561" s="1"/>
      <c r="AC2561" s="1"/>
      <c r="AD2561" s="1"/>
    </row>
    <row r="2562" spans="17:30">
      <c r="Q2562" s="6">
        <v>2532</v>
      </c>
      <c r="R2562" s="7">
        <v>45199</v>
      </c>
      <c r="S2562" s="210">
        <v>4</v>
      </c>
      <c r="T2562" s="8">
        <v>1.0001111111111112</v>
      </c>
      <c r="U2562" s="98">
        <v>3.8427484046937632</v>
      </c>
      <c r="V2562" s="106">
        <v>31956.303624414813</v>
      </c>
      <c r="W2562" s="10">
        <v>0.93938167571612219</v>
      </c>
      <c r="X2562" s="420"/>
      <c r="Y2562" s="420"/>
      <c r="Z2562" s="1"/>
      <c r="AA2562" s="1"/>
      <c r="AB2562" s="1"/>
      <c r="AC2562" s="1"/>
      <c r="AD2562" s="1"/>
    </row>
    <row r="2563" spans="17:30">
      <c r="Q2563" s="6">
        <v>2533</v>
      </c>
      <c r="R2563" s="7">
        <v>45200</v>
      </c>
      <c r="S2563" s="210">
        <v>4</v>
      </c>
      <c r="T2563" s="8">
        <v>1.0001111111111112</v>
      </c>
      <c r="U2563" s="98">
        <v>3.8428650697434286</v>
      </c>
      <c r="V2563" s="106">
        <v>31958.874880085812</v>
      </c>
      <c r="W2563" s="10">
        <v>0.93945484092754494</v>
      </c>
      <c r="X2563" s="420"/>
      <c r="Y2563" s="420"/>
      <c r="Z2563" s="1"/>
      <c r="AA2563" s="1"/>
      <c r="AB2563" s="1"/>
      <c r="AC2563" s="1"/>
      <c r="AD2563" s="1"/>
    </row>
    <row r="2564" spans="17:30">
      <c r="Q2564" s="6">
        <v>2534</v>
      </c>
      <c r="R2564" s="7">
        <v>45201</v>
      </c>
      <c r="S2564" s="210">
        <v>4</v>
      </c>
      <c r="T2564" s="8">
        <v>1.0001111111111112</v>
      </c>
      <c r="U2564" s="98">
        <v>3.8429816428442454</v>
      </c>
      <c r="V2564" s="106">
        <v>31961.446342644191</v>
      </c>
      <c r="W2564" s="10">
        <v>0.9395279484451402</v>
      </c>
      <c r="X2564" s="420"/>
      <c r="Y2564" s="420"/>
      <c r="Z2564" s="1"/>
      <c r="AA2564" s="1"/>
      <c r="AB2564" s="1"/>
      <c r="AC2564" s="1"/>
      <c r="AD2564" s="1"/>
    </row>
    <row r="2565" spans="17:30">
      <c r="Q2565" s="6">
        <v>2535</v>
      </c>
      <c r="R2565" s="7">
        <v>45202</v>
      </c>
      <c r="S2565" s="210">
        <v>4</v>
      </c>
      <c r="T2565" s="8">
        <v>1.0001111111111112</v>
      </c>
      <c r="U2565" s="98">
        <v>3.8430981241048823</v>
      </c>
      <c r="V2565" s="106">
        <v>31964.018012106582</v>
      </c>
      <c r="W2565" s="10">
        <v>0.93960099833709787</v>
      </c>
      <c r="X2565" s="420"/>
      <c r="Y2565" s="420"/>
      <c r="Z2565" s="1"/>
      <c r="AA2565" s="1"/>
      <c r="AB2565" s="1"/>
      <c r="AC2565" s="1"/>
      <c r="AD2565" s="1"/>
    </row>
    <row r="2566" spans="17:30">
      <c r="Q2566" s="6">
        <v>2536</v>
      </c>
      <c r="R2566" s="7">
        <v>45203</v>
      </c>
      <c r="S2566" s="210">
        <v>4</v>
      </c>
      <c r="T2566" s="8">
        <v>1.0001111111111112</v>
      </c>
      <c r="U2566" s="98">
        <v>3.8432145136338303</v>
      </c>
      <c r="V2566" s="106">
        <v>31966.589888489649</v>
      </c>
      <c r="W2566" s="10">
        <v>0.93967399067154123</v>
      </c>
      <c r="X2566" s="420"/>
      <c r="Y2566" s="420"/>
      <c r="Z2566" s="1"/>
      <c r="AA2566" s="1"/>
      <c r="AB2566" s="1"/>
      <c r="AC2566" s="1"/>
      <c r="AD2566" s="1"/>
    </row>
    <row r="2567" spans="17:30">
      <c r="Q2567" s="6">
        <v>2537</v>
      </c>
      <c r="R2567" s="7">
        <v>45204</v>
      </c>
      <c r="S2567" s="210">
        <v>4</v>
      </c>
      <c r="T2567" s="8">
        <v>1.0001111111111112</v>
      </c>
      <c r="U2567" s="98">
        <v>3.8433308115394249</v>
      </c>
      <c r="V2567" s="106">
        <v>31969.161971810026</v>
      </c>
      <c r="W2567" s="10">
        <v>0.93974692551648253</v>
      </c>
      <c r="X2567" s="420"/>
      <c r="Y2567" s="420"/>
      <c r="Z2567" s="1"/>
      <c r="AA2567" s="1"/>
      <c r="AB2567" s="1"/>
      <c r="AC2567" s="1"/>
      <c r="AD2567" s="1"/>
    </row>
    <row r="2568" spans="17:30">
      <c r="Q2568" s="6">
        <v>2538</v>
      </c>
      <c r="R2568" s="7">
        <v>45205</v>
      </c>
      <c r="S2568" s="210">
        <v>4</v>
      </c>
      <c r="T2568" s="8">
        <v>1.0001111111111112</v>
      </c>
      <c r="U2568" s="98">
        <v>3.8434470179297797</v>
      </c>
      <c r="V2568" s="106">
        <v>31971.734262084374</v>
      </c>
      <c r="W2568" s="10">
        <v>0.93981980293977863</v>
      </c>
      <c r="X2568" s="420"/>
      <c r="Y2568" s="420"/>
      <c r="Z2568" s="1"/>
      <c r="AA2568" s="1"/>
      <c r="AB2568" s="1"/>
      <c r="AC2568" s="1"/>
      <c r="AD2568" s="1"/>
    </row>
    <row r="2569" spans="17:30">
      <c r="Q2569" s="6">
        <v>2539</v>
      </c>
      <c r="R2569" s="7">
        <v>45206</v>
      </c>
      <c r="S2569" s="210">
        <v>4</v>
      </c>
      <c r="T2569" s="8">
        <v>1.0001111111111112</v>
      </c>
      <c r="U2569" s="98">
        <v>3.8435631329128972</v>
      </c>
      <c r="V2569" s="106">
        <v>31974.306759329345</v>
      </c>
      <c r="W2569" s="10">
        <v>0.93989262300924192</v>
      </c>
      <c r="X2569" s="420"/>
      <c r="Y2569" s="420"/>
      <c r="Z2569" s="1"/>
      <c r="AA2569" s="1"/>
      <c r="AB2569" s="1"/>
      <c r="AC2569" s="1"/>
      <c r="AD2569" s="1"/>
    </row>
    <row r="2570" spans="17:30">
      <c r="Q2570" s="6">
        <v>2540</v>
      </c>
      <c r="R2570" s="7">
        <v>45207</v>
      </c>
      <c r="S2570" s="210">
        <v>4</v>
      </c>
      <c r="T2570" s="8">
        <v>1.0001111111111112</v>
      </c>
      <c r="U2570" s="98">
        <v>3.84367915659658</v>
      </c>
      <c r="V2570" s="106">
        <v>31976.879463561578</v>
      </c>
      <c r="W2570" s="10">
        <v>0.93996538579252942</v>
      </c>
      <c r="X2570" s="420"/>
      <c r="Y2570" s="420"/>
      <c r="Z2570" s="1"/>
      <c r="AA2570" s="1"/>
      <c r="AB2570" s="1"/>
      <c r="AC2570" s="1"/>
      <c r="AD2570" s="1"/>
    </row>
    <row r="2571" spans="17:30">
      <c r="Q2571" s="6">
        <v>2541</v>
      </c>
      <c r="R2571" s="7">
        <v>45208</v>
      </c>
      <c r="S2571" s="210">
        <v>4</v>
      </c>
      <c r="T2571" s="8">
        <v>1.0001111111111112</v>
      </c>
      <c r="U2571" s="98">
        <v>3.8437950890884531</v>
      </c>
      <c r="V2571" s="106">
        <v>31979.452374797747</v>
      </c>
      <c r="W2571" s="10">
        <v>0.94003809135720928</v>
      </c>
      <c r="X2571" s="420"/>
      <c r="Y2571" s="420"/>
      <c r="Z2571" s="1"/>
      <c r="AA2571" s="1"/>
      <c r="AB2571" s="1"/>
      <c r="AC2571" s="1"/>
      <c r="AD2571" s="1"/>
    </row>
    <row r="2572" spans="17:30">
      <c r="Q2572" s="6">
        <v>2542</v>
      </c>
      <c r="R2572" s="7">
        <v>45209</v>
      </c>
      <c r="S2572" s="210">
        <v>4</v>
      </c>
      <c r="T2572" s="8">
        <v>1.0001111111111112</v>
      </c>
      <c r="U2572" s="98">
        <v>3.8439109304960084</v>
      </c>
      <c r="V2572" s="106">
        <v>31982.025493054494</v>
      </c>
      <c r="W2572" s="10">
        <v>0.94011073977078308</v>
      </c>
      <c r="X2572" s="420"/>
      <c r="Y2572" s="420"/>
      <c r="Z2572" s="1"/>
      <c r="AA2572" s="1"/>
      <c r="AB2572" s="1"/>
      <c r="AC2572" s="1"/>
      <c r="AD2572" s="1"/>
    </row>
    <row r="2573" spans="17:30">
      <c r="Q2573" s="6">
        <v>2543</v>
      </c>
      <c r="R2573" s="7">
        <v>45210</v>
      </c>
      <c r="S2573" s="210">
        <v>4</v>
      </c>
      <c r="T2573" s="8">
        <v>1.0001111111111112</v>
      </c>
      <c r="U2573" s="98">
        <v>3.8440266809265378</v>
      </c>
      <c r="V2573" s="106">
        <v>31984.598818348484</v>
      </c>
      <c r="W2573" s="10">
        <v>0.94018333110059693</v>
      </c>
      <c r="X2573" s="420"/>
      <c r="Y2573" s="420"/>
      <c r="Z2573" s="1"/>
      <c r="AA2573" s="1"/>
      <c r="AB2573" s="1"/>
      <c r="AC2573" s="1"/>
      <c r="AD2573" s="1"/>
    </row>
    <row r="2574" spans="17:30">
      <c r="Q2574" s="6">
        <v>2544</v>
      </c>
      <c r="R2574" s="7">
        <v>45211</v>
      </c>
      <c r="S2574" s="210">
        <v>4</v>
      </c>
      <c r="T2574" s="8">
        <v>1.0001111111111112</v>
      </c>
      <c r="U2574" s="98">
        <v>3.8441423404871555</v>
      </c>
      <c r="V2574" s="106">
        <v>31987.172350696375</v>
      </c>
      <c r="W2574" s="10">
        <v>0.94025586541386375</v>
      </c>
      <c r="X2574" s="420"/>
      <c r="Y2574" s="420"/>
      <c r="Z2574" s="1"/>
      <c r="AA2574" s="1"/>
      <c r="AB2574" s="1"/>
      <c r="AC2574" s="1"/>
      <c r="AD2574" s="1"/>
    </row>
    <row r="2575" spans="17:30">
      <c r="Q2575" s="6">
        <v>2545</v>
      </c>
      <c r="R2575" s="7">
        <v>45212</v>
      </c>
      <c r="S2575" s="210">
        <v>4</v>
      </c>
      <c r="T2575" s="8">
        <v>1.0001111111111112</v>
      </c>
      <c r="U2575" s="98">
        <v>3.8442579092848428</v>
      </c>
      <c r="V2575" s="106">
        <v>31989.746090114822</v>
      </c>
      <c r="W2575" s="10">
        <v>0.94032834277779642</v>
      </c>
      <c r="X2575" s="420"/>
      <c r="Y2575" s="420"/>
      <c r="Z2575" s="1"/>
      <c r="AA2575" s="1"/>
      <c r="AB2575" s="1"/>
      <c r="AC2575" s="1"/>
      <c r="AD2575" s="1"/>
    </row>
    <row r="2576" spans="17:30">
      <c r="Q2576" s="6">
        <v>2546</v>
      </c>
      <c r="R2576" s="7">
        <v>45213</v>
      </c>
      <c r="S2576" s="210">
        <v>4</v>
      </c>
      <c r="T2576" s="8">
        <v>1.0001111111111112</v>
      </c>
      <c r="U2576" s="98">
        <v>3.844373387426403</v>
      </c>
      <c r="V2576" s="106">
        <v>31992.320036620487</v>
      </c>
      <c r="W2576" s="10">
        <v>0.94040076325938582</v>
      </c>
      <c r="X2576" s="420"/>
      <c r="Y2576" s="420"/>
      <c r="Z2576" s="1"/>
      <c r="AA2576" s="1"/>
      <c r="AB2576" s="1"/>
      <c r="AC2576" s="1"/>
      <c r="AD2576" s="1"/>
    </row>
    <row r="2577" spans="17:30">
      <c r="Q2577" s="6">
        <v>2547</v>
      </c>
      <c r="R2577" s="7">
        <v>45214</v>
      </c>
      <c r="S2577" s="210">
        <v>4</v>
      </c>
      <c r="T2577" s="8">
        <v>1.0001111111111112</v>
      </c>
      <c r="U2577" s="98">
        <v>3.844488775018462</v>
      </c>
      <c r="V2577" s="106">
        <v>31994.894190230032</v>
      </c>
      <c r="W2577" s="10">
        <v>0.94047312692562279</v>
      </c>
      <c r="X2577" s="420"/>
      <c r="Y2577" s="420"/>
      <c r="Z2577" s="1"/>
      <c r="AA2577" s="1"/>
      <c r="AB2577" s="1"/>
      <c r="AC2577" s="1"/>
      <c r="AD2577" s="1"/>
    </row>
    <row r="2578" spans="17:30">
      <c r="Q2578" s="6">
        <v>2548</v>
      </c>
      <c r="R2578" s="7">
        <v>45215</v>
      </c>
      <c r="S2578" s="210">
        <v>4</v>
      </c>
      <c r="T2578" s="8">
        <v>1.0001111111111112</v>
      </c>
      <c r="U2578" s="98">
        <v>3.8446040721674679</v>
      </c>
      <c r="V2578" s="106">
        <v>31997.468550960133</v>
      </c>
      <c r="W2578" s="10">
        <v>0.94054543384329836</v>
      </c>
      <c r="X2578" s="420"/>
      <c r="Y2578" s="420"/>
      <c r="Z2578" s="1"/>
      <c r="AA2578" s="1"/>
      <c r="AB2578" s="1"/>
      <c r="AC2578" s="1"/>
      <c r="AD2578" s="1"/>
    </row>
    <row r="2579" spans="17:30">
      <c r="Q2579" s="6">
        <v>2549</v>
      </c>
      <c r="R2579" s="7">
        <v>45216</v>
      </c>
      <c r="S2579" s="210">
        <v>4</v>
      </c>
      <c r="T2579" s="8">
        <v>1.0001111111111112</v>
      </c>
      <c r="U2579" s="98">
        <v>3.8447192789797358</v>
      </c>
      <c r="V2579" s="106">
        <v>32000.043118827438</v>
      </c>
      <c r="W2579" s="10">
        <v>0.94061768407913693</v>
      </c>
      <c r="X2579" s="420"/>
      <c r="Y2579" s="420"/>
      <c r="Z2579" s="1"/>
      <c r="AA2579" s="1"/>
      <c r="AB2579" s="1"/>
      <c r="AC2579" s="1"/>
      <c r="AD2579" s="1"/>
    </row>
    <row r="2580" spans="17:30">
      <c r="Q2580" s="6">
        <v>2550</v>
      </c>
      <c r="R2580" s="7">
        <v>45217</v>
      </c>
      <c r="S2580" s="210">
        <v>4</v>
      </c>
      <c r="T2580" s="8">
        <v>1.0001111111111112</v>
      </c>
      <c r="U2580" s="98">
        <v>3.8448343955613584</v>
      </c>
      <c r="V2580" s="106">
        <v>32002.617893848626</v>
      </c>
      <c r="W2580" s="10">
        <v>0.94068987769979628</v>
      </c>
      <c r="X2580" s="420"/>
      <c r="Y2580" s="420"/>
      <c r="Z2580" s="1"/>
      <c r="AA2580" s="1"/>
      <c r="AB2580" s="1"/>
      <c r="AC2580" s="1"/>
      <c r="AD2580" s="1"/>
    </row>
    <row r="2581" spans="17:30">
      <c r="Q2581" s="6">
        <v>2551</v>
      </c>
      <c r="R2581" s="7">
        <v>45218</v>
      </c>
      <c r="S2581" s="210">
        <v>4</v>
      </c>
      <c r="T2581" s="8">
        <v>1.0001111111111112</v>
      </c>
      <c r="U2581" s="98">
        <v>3.84494942201834</v>
      </c>
      <c r="V2581" s="106">
        <v>32005.192876040353</v>
      </c>
      <c r="W2581" s="10">
        <v>0.94076201477177879</v>
      </c>
      <c r="X2581" s="420"/>
      <c r="Y2581" s="420"/>
      <c r="Z2581" s="1"/>
      <c r="AA2581" s="1"/>
      <c r="AB2581" s="1"/>
      <c r="AC2581" s="1"/>
      <c r="AD2581" s="1"/>
    </row>
    <row r="2582" spans="17:30">
      <c r="Q2582" s="6">
        <v>2552</v>
      </c>
      <c r="R2582" s="7">
        <v>45219</v>
      </c>
      <c r="S2582" s="210">
        <v>4</v>
      </c>
      <c r="T2582" s="8">
        <v>1.0001111111111112</v>
      </c>
      <c r="U2582" s="98">
        <v>3.8450643584564625</v>
      </c>
      <c r="V2582" s="106">
        <v>32007.768065419299</v>
      </c>
      <c r="W2582" s="10">
        <v>0.94083409536149798</v>
      </c>
      <c r="X2582" s="420"/>
      <c r="Y2582" s="420"/>
      <c r="Z2582" s="1"/>
      <c r="AA2582" s="1"/>
      <c r="AB2582" s="1"/>
      <c r="AC2582" s="1"/>
      <c r="AD2582" s="1"/>
    </row>
    <row r="2583" spans="17:30">
      <c r="Q2583" s="6">
        <v>2553</v>
      </c>
      <c r="R2583" s="7">
        <v>45220</v>
      </c>
      <c r="S2583" s="210">
        <v>4</v>
      </c>
      <c r="T2583" s="8">
        <v>1.0001111111111112</v>
      </c>
      <c r="U2583" s="98">
        <v>3.8451792049813305</v>
      </c>
      <c r="V2583" s="106">
        <v>32010.343462002136</v>
      </c>
      <c r="W2583" s="10">
        <v>0.94090611953523418</v>
      </c>
      <c r="X2583" s="420"/>
      <c r="Y2583" s="420"/>
      <c r="Z2583" s="1"/>
      <c r="AA2583" s="1"/>
      <c r="AB2583" s="1"/>
      <c r="AC2583" s="1"/>
      <c r="AD2583" s="1"/>
    </row>
    <row r="2584" spans="17:30">
      <c r="Q2584" s="6">
        <v>2554</v>
      </c>
      <c r="R2584" s="7">
        <v>45221</v>
      </c>
      <c r="S2584" s="210">
        <v>4</v>
      </c>
      <c r="T2584" s="8">
        <v>1.0001111111111112</v>
      </c>
      <c r="U2584" s="98">
        <v>3.8452939616984372</v>
      </c>
      <c r="V2584" s="106">
        <v>32012.919065805527</v>
      </c>
      <c r="W2584" s="10">
        <v>0.94097808735924549</v>
      </c>
      <c r="X2584" s="420"/>
      <c r="Y2584" s="420"/>
      <c r="Z2584" s="1"/>
      <c r="AA2584" s="1"/>
      <c r="AB2584" s="1"/>
      <c r="AC2584" s="1"/>
      <c r="AD2584" s="1"/>
    </row>
    <row r="2585" spans="17:30">
      <c r="Q2585" s="6">
        <v>2555</v>
      </c>
      <c r="R2585" s="7">
        <v>45222</v>
      </c>
      <c r="S2585" s="210">
        <v>4</v>
      </c>
      <c r="T2585" s="8">
        <v>1.0001111111111112</v>
      </c>
      <c r="U2585" s="98">
        <v>3.8454086287130762</v>
      </c>
      <c r="V2585" s="106">
        <v>32015.494876846151</v>
      </c>
      <c r="W2585" s="10">
        <v>0.94104999889961238</v>
      </c>
      <c r="X2585" s="420"/>
      <c r="Y2585" s="420"/>
      <c r="Z2585" s="1"/>
      <c r="AA2585" s="1"/>
      <c r="AB2585" s="1"/>
      <c r="AC2585" s="1"/>
      <c r="AD2585" s="1"/>
    </row>
    <row r="2586" spans="17:30">
      <c r="Q2586" s="6">
        <v>2556</v>
      </c>
      <c r="R2586" s="7">
        <v>45223</v>
      </c>
      <c r="S2586" s="210">
        <v>4</v>
      </c>
      <c r="T2586" s="8">
        <v>1.0001111111111112</v>
      </c>
      <c r="U2586" s="98">
        <v>3.8455232061303857</v>
      </c>
      <c r="V2586" s="106">
        <v>32018.070895140678</v>
      </c>
      <c r="W2586" s="10">
        <v>0.94112185422234873</v>
      </c>
      <c r="X2586" s="420"/>
      <c r="Y2586" s="420"/>
      <c r="Z2586" s="1"/>
      <c r="AA2586" s="1"/>
      <c r="AB2586" s="1"/>
      <c r="AC2586" s="1"/>
      <c r="AD2586" s="1"/>
    </row>
    <row r="2587" spans="17:30">
      <c r="Q2587" s="6">
        <v>2557</v>
      </c>
      <c r="R2587" s="7">
        <v>45224</v>
      </c>
      <c r="S2587" s="210">
        <v>4</v>
      </c>
      <c r="T2587" s="8">
        <v>1.0001111111111112</v>
      </c>
      <c r="U2587" s="98">
        <v>3.8456376940553483</v>
      </c>
      <c r="V2587" s="106">
        <v>32020.647120705784</v>
      </c>
      <c r="W2587" s="10">
        <v>0.94119365339333516</v>
      </c>
      <c r="X2587" s="420"/>
      <c r="Y2587" s="420"/>
      <c r="Z2587" s="1"/>
      <c r="AA2587" s="1"/>
      <c r="AB2587" s="1"/>
      <c r="AC2587" s="1"/>
      <c r="AD2587" s="1"/>
    </row>
    <row r="2588" spans="17:30">
      <c r="Q2588" s="6">
        <v>2558</v>
      </c>
      <c r="R2588" s="7">
        <v>45225</v>
      </c>
      <c r="S2588" s="210">
        <v>4</v>
      </c>
      <c r="T2588" s="8">
        <v>1.0001111111111112</v>
      </c>
      <c r="U2588" s="98">
        <v>3.8457520925927469</v>
      </c>
      <c r="V2588" s="106">
        <v>32023.223553558153</v>
      </c>
      <c r="W2588" s="10">
        <v>0.94126539647836349</v>
      </c>
      <c r="X2588" s="420"/>
      <c r="Y2588" s="420"/>
      <c r="Z2588" s="1"/>
      <c r="AA2588" s="1"/>
      <c r="AB2588" s="1"/>
      <c r="AC2588" s="1"/>
      <c r="AD2588" s="1"/>
    </row>
    <row r="2589" spans="17:30">
      <c r="Q2589" s="6">
        <v>2559</v>
      </c>
      <c r="R2589" s="7">
        <v>45226</v>
      </c>
      <c r="S2589" s="210">
        <v>4</v>
      </c>
      <c r="T2589" s="8">
        <v>1.0001111111111112</v>
      </c>
      <c r="U2589" s="98">
        <v>3.8458664018472533</v>
      </c>
      <c r="V2589" s="106">
        <v>32025.800193714465</v>
      </c>
      <c r="W2589" s="10">
        <v>0.94133708354315893</v>
      </c>
      <c r="X2589" s="420"/>
      <c r="Y2589" s="420"/>
      <c r="Z2589" s="1"/>
      <c r="AA2589" s="1"/>
      <c r="AB2589" s="1"/>
      <c r="AC2589" s="1"/>
      <c r="AD2589" s="1"/>
    </row>
    <row r="2590" spans="17:30">
      <c r="Q2590" s="6">
        <v>2560</v>
      </c>
      <c r="R2590" s="7">
        <v>45227</v>
      </c>
      <c r="S2590" s="210">
        <v>4</v>
      </c>
      <c r="T2590" s="8">
        <v>1.0001111111111112</v>
      </c>
      <c r="U2590" s="98">
        <v>3.8459806219233172</v>
      </c>
      <c r="V2590" s="106">
        <v>32028.37704119139</v>
      </c>
      <c r="W2590" s="10">
        <v>0.94140871465326903</v>
      </c>
      <c r="X2590" s="420"/>
      <c r="Y2590" s="420"/>
      <c r="Z2590" s="1"/>
      <c r="AA2590" s="1"/>
      <c r="AB2590" s="1"/>
      <c r="AC2590" s="1"/>
      <c r="AD2590" s="1"/>
    </row>
    <row r="2591" spans="17:30">
      <c r="Q2591" s="6">
        <v>2561</v>
      </c>
      <c r="R2591" s="7">
        <v>45228</v>
      </c>
      <c r="S2591" s="210">
        <v>4</v>
      </c>
      <c r="T2591" s="8">
        <v>1.0001111111111112</v>
      </c>
      <c r="U2591" s="98">
        <v>3.8460947529252776</v>
      </c>
      <c r="V2591" s="106">
        <v>32030.954096005615</v>
      </c>
      <c r="W2591" s="10">
        <v>0.94148028987419696</v>
      </c>
      <c r="X2591" s="420"/>
      <c r="Y2591" s="420"/>
      <c r="Z2591" s="1"/>
      <c r="AA2591" s="1"/>
      <c r="AB2591" s="1"/>
      <c r="AC2591" s="1"/>
      <c r="AD2591" s="1"/>
    </row>
    <row r="2592" spans="17:30">
      <c r="Q2592" s="6">
        <v>2562</v>
      </c>
      <c r="R2592" s="7">
        <v>45229</v>
      </c>
      <c r="S2592" s="210">
        <v>4</v>
      </c>
      <c r="T2592" s="8">
        <v>1.0001111111111112</v>
      </c>
      <c r="U2592" s="98">
        <v>3.8462087949572954</v>
      </c>
      <c r="V2592" s="106">
        <v>32033.531358173819</v>
      </c>
      <c r="W2592" s="10">
        <v>0.94155180927135707</v>
      </c>
      <c r="X2592" s="420"/>
      <c r="Y2592" s="420"/>
      <c r="Z2592" s="1"/>
      <c r="AA2592" s="1"/>
      <c r="AB2592" s="1"/>
      <c r="AC2592" s="1"/>
      <c r="AD2592" s="1"/>
    </row>
    <row r="2593" spans="17:30">
      <c r="Q2593" s="6">
        <v>2563</v>
      </c>
      <c r="R2593" s="7">
        <v>45230</v>
      </c>
      <c r="S2593" s="210">
        <v>4</v>
      </c>
      <c r="T2593" s="8">
        <v>1.0001111111111112</v>
      </c>
      <c r="U2593" s="98">
        <v>3.8463227481233542</v>
      </c>
      <c r="V2593" s="106">
        <v>32036.108827712687</v>
      </c>
      <c r="W2593" s="10">
        <v>0.94162327290998604</v>
      </c>
      <c r="X2593" s="420"/>
      <c r="Y2593" s="420"/>
      <c r="Z2593" s="1"/>
      <c r="AA2593" s="1"/>
      <c r="AB2593" s="1"/>
      <c r="AC2593" s="1"/>
      <c r="AD2593" s="1"/>
    </row>
    <row r="2594" spans="17:30">
      <c r="Q2594" s="6">
        <v>2564</v>
      </c>
      <c r="R2594" s="7">
        <v>45231</v>
      </c>
      <c r="S2594" s="210">
        <v>4</v>
      </c>
      <c r="T2594" s="8">
        <v>1.0001111111111112</v>
      </c>
      <c r="U2594" s="98">
        <v>3.846436612527282</v>
      </c>
      <c r="V2594" s="106">
        <v>32038.686504638914</v>
      </c>
      <c r="W2594" s="10">
        <v>0.94169468085527619</v>
      </c>
      <c r="X2594" s="420"/>
      <c r="Y2594" s="420"/>
      <c r="Z2594" s="1"/>
      <c r="AA2594" s="1"/>
      <c r="AB2594" s="1"/>
      <c r="AC2594" s="1"/>
      <c r="AD2594" s="1"/>
    </row>
    <row r="2595" spans="17:30">
      <c r="Q2595" s="6">
        <v>2565</v>
      </c>
      <c r="R2595" s="7">
        <v>45232</v>
      </c>
      <c r="S2595" s="210">
        <v>4</v>
      </c>
      <c r="T2595" s="8">
        <v>1.0001111111111112</v>
      </c>
      <c r="U2595" s="98">
        <v>3.8465503882727514</v>
      </c>
      <c r="V2595" s="106">
        <v>32041.264388969179</v>
      </c>
      <c r="W2595" s="10">
        <v>0.94176603317230878</v>
      </c>
      <c r="X2595" s="420"/>
      <c r="Y2595" s="420"/>
      <c r="Z2595" s="1"/>
      <c r="AA2595" s="1"/>
      <c r="AB2595" s="1"/>
      <c r="AC2595" s="1"/>
      <c r="AD2595" s="1"/>
    </row>
    <row r="2596" spans="17:30">
      <c r="Q2596" s="6">
        <v>2566</v>
      </c>
      <c r="R2596" s="7">
        <v>45233</v>
      </c>
      <c r="S2596" s="210">
        <v>4</v>
      </c>
      <c r="T2596" s="8">
        <v>1.0001111111111112</v>
      </c>
      <c r="U2596" s="98">
        <v>3.8466640754632797</v>
      </c>
      <c r="V2596" s="106">
        <v>32043.84248072017</v>
      </c>
      <c r="W2596" s="10">
        <v>0.94183732992607627</v>
      </c>
      <c r="X2596" s="420"/>
      <c r="Y2596" s="420"/>
      <c r="Z2596" s="1"/>
      <c r="AA2596" s="1"/>
      <c r="AB2596" s="1"/>
      <c r="AC2596" s="1"/>
      <c r="AD2596" s="1"/>
    </row>
    <row r="2597" spans="17:30">
      <c r="Q2597" s="6">
        <v>2567</v>
      </c>
      <c r="R2597" s="7">
        <v>45234</v>
      </c>
      <c r="S2597" s="210">
        <v>4</v>
      </c>
      <c r="T2597" s="8">
        <v>1.0001111111111112</v>
      </c>
      <c r="U2597" s="98">
        <v>3.8467776742021842</v>
      </c>
      <c r="V2597" s="106">
        <v>32046.420779908571</v>
      </c>
      <c r="W2597" s="10">
        <v>0.94190857118143789</v>
      </c>
      <c r="X2597" s="420"/>
      <c r="Y2597" s="420"/>
      <c r="Z2597" s="1"/>
      <c r="AA2597" s="1"/>
      <c r="AB2597" s="1"/>
      <c r="AC2597" s="1"/>
      <c r="AD2597" s="1"/>
    </row>
    <row r="2598" spans="17:30">
      <c r="Q2598" s="6">
        <v>2568</v>
      </c>
      <c r="R2598" s="7">
        <v>45235</v>
      </c>
      <c r="S2598" s="210">
        <v>4</v>
      </c>
      <c r="T2598" s="8">
        <v>1.0001111111111112</v>
      </c>
      <c r="U2598" s="98">
        <v>3.8468911845926934</v>
      </c>
      <c r="V2598" s="106">
        <v>32048.999286551079</v>
      </c>
      <c r="W2598" s="10">
        <v>0.94197975700318626</v>
      </c>
      <c r="X2598" s="420"/>
      <c r="Y2598" s="420"/>
      <c r="Z2598" s="1"/>
      <c r="AA2598" s="1"/>
      <c r="AB2598" s="1"/>
      <c r="AC2598" s="1"/>
      <c r="AD2598" s="1"/>
    </row>
    <row r="2599" spans="17:30">
      <c r="Q2599" s="6">
        <v>2569</v>
      </c>
      <c r="R2599" s="7">
        <v>45236</v>
      </c>
      <c r="S2599" s="210">
        <v>4</v>
      </c>
      <c r="T2599" s="8">
        <v>1.0001111111111112</v>
      </c>
      <c r="U2599" s="98">
        <v>3.8470046067377917</v>
      </c>
      <c r="V2599" s="106">
        <v>32051.578000664384</v>
      </c>
      <c r="W2599" s="10">
        <v>0.94205088745595855</v>
      </c>
      <c r="X2599" s="420"/>
      <c r="Y2599" s="420"/>
      <c r="Z2599" s="1"/>
      <c r="AA2599" s="1"/>
      <c r="AB2599" s="1"/>
      <c r="AC2599" s="1"/>
      <c r="AD2599" s="1"/>
    </row>
    <row r="2600" spans="17:30">
      <c r="Q2600" s="6">
        <v>2570</v>
      </c>
      <c r="R2600" s="7">
        <v>45237</v>
      </c>
      <c r="S2600" s="210">
        <v>4</v>
      </c>
      <c r="T2600" s="8">
        <v>1.0001111111111112</v>
      </c>
      <c r="U2600" s="98">
        <v>3.8471179407403744</v>
      </c>
      <c r="V2600" s="106">
        <v>32054.156922265185</v>
      </c>
      <c r="W2600" s="10">
        <v>0.94212196260439196</v>
      </c>
      <c r="X2600" s="420"/>
      <c r="Y2600" s="420"/>
      <c r="Z2600" s="1"/>
      <c r="AA2600" s="1"/>
      <c r="AB2600" s="1"/>
      <c r="AC2600" s="1"/>
      <c r="AD2600" s="1"/>
    </row>
    <row r="2601" spans="17:30">
      <c r="Q2601" s="6">
        <v>2571</v>
      </c>
      <c r="R2601" s="7">
        <v>45238</v>
      </c>
      <c r="S2601" s="210">
        <v>4</v>
      </c>
      <c r="T2601" s="8">
        <v>1.0001111111111112</v>
      </c>
      <c r="U2601" s="98">
        <v>3.8472311867031372</v>
      </c>
      <c r="V2601" s="106">
        <v>32056.736051370175</v>
      </c>
      <c r="W2601" s="10">
        <v>0.94219298251290162</v>
      </c>
      <c r="X2601" s="420"/>
      <c r="Y2601" s="420"/>
      <c r="Z2601" s="1"/>
      <c r="AA2601" s="1"/>
      <c r="AB2601" s="1"/>
      <c r="AC2601" s="1"/>
      <c r="AD2601" s="1"/>
    </row>
    <row r="2602" spans="17:30">
      <c r="Q2602" s="6">
        <v>2572</v>
      </c>
      <c r="R2602" s="7">
        <v>45239</v>
      </c>
      <c r="S2602" s="210">
        <v>4</v>
      </c>
      <c r="T2602" s="8">
        <v>1.0001111111111112</v>
      </c>
      <c r="U2602" s="98">
        <v>3.8473443447286204</v>
      </c>
      <c r="V2602" s="106">
        <v>32059.315387996045</v>
      </c>
      <c r="W2602" s="10">
        <v>0.94226394724588047</v>
      </c>
      <c r="X2602" s="420"/>
      <c r="Y2602" s="420"/>
      <c r="Z2602" s="1"/>
      <c r="AA2602" s="1"/>
      <c r="AB2602" s="1"/>
      <c r="AC2602" s="1"/>
      <c r="AD2602" s="1"/>
    </row>
    <row r="2603" spans="17:30">
      <c r="Q2603" s="6">
        <v>2573</v>
      </c>
      <c r="R2603" s="7">
        <v>45240</v>
      </c>
      <c r="S2603" s="210">
        <v>4</v>
      </c>
      <c r="T2603" s="8">
        <v>1.0001111111111112</v>
      </c>
      <c r="U2603" s="98">
        <v>3.8474574149192309</v>
      </c>
      <c r="V2603" s="106">
        <v>32061.894932159496</v>
      </c>
      <c r="W2603" s="10">
        <v>0.94233485686763263</v>
      </c>
      <c r="X2603" s="420"/>
      <c r="Y2603" s="420"/>
      <c r="Z2603" s="1"/>
      <c r="AA2603" s="1"/>
      <c r="AB2603" s="1"/>
      <c r="AC2603" s="1"/>
      <c r="AD2603" s="1"/>
    </row>
    <row r="2604" spans="17:30">
      <c r="Q2604" s="6">
        <v>2574</v>
      </c>
      <c r="R2604" s="7">
        <v>45241</v>
      </c>
      <c r="S2604" s="210">
        <v>4</v>
      </c>
      <c r="T2604" s="8">
        <v>1.0001111111111112</v>
      </c>
      <c r="U2604" s="98">
        <v>3.8475703973771758</v>
      </c>
      <c r="V2604" s="106">
        <v>32064.474683877226</v>
      </c>
      <c r="W2604" s="10">
        <v>0.94240571144230678</v>
      </c>
      <c r="X2604" s="420"/>
      <c r="Y2604" s="420"/>
      <c r="Z2604" s="1"/>
      <c r="AA2604" s="1"/>
      <c r="AB2604" s="1"/>
      <c r="AC2604" s="1"/>
      <c r="AD2604" s="1"/>
    </row>
    <row r="2605" spans="17:30">
      <c r="Q2605" s="6">
        <v>2575</v>
      </c>
      <c r="R2605" s="7">
        <v>45242</v>
      </c>
      <c r="S2605" s="210">
        <v>4</v>
      </c>
      <c r="T2605" s="8">
        <v>1.0001111111111112</v>
      </c>
      <c r="U2605" s="98">
        <v>3.847683292204529</v>
      </c>
      <c r="V2605" s="106">
        <v>32067.054643165931</v>
      </c>
      <c r="W2605" s="10">
        <v>0.94247651103396279</v>
      </c>
      <c r="X2605" s="420"/>
      <c r="Y2605" s="420"/>
      <c r="Z2605" s="1"/>
      <c r="AA2605" s="1"/>
      <c r="AB2605" s="1"/>
      <c r="AC2605" s="1"/>
      <c r="AD2605" s="1"/>
    </row>
    <row r="2606" spans="17:30">
      <c r="Q2606" s="6">
        <v>2576</v>
      </c>
      <c r="R2606" s="7">
        <v>45243</v>
      </c>
      <c r="S2606" s="210">
        <v>4</v>
      </c>
      <c r="T2606" s="8">
        <v>1.0001111111111112</v>
      </c>
      <c r="U2606" s="98">
        <v>3.847796099503209</v>
      </c>
      <c r="V2606" s="106">
        <v>32069.63481004232</v>
      </c>
      <c r="W2606" s="10">
        <v>0.94254725570659392</v>
      </c>
      <c r="X2606" s="420"/>
      <c r="Y2606" s="420"/>
      <c r="Z2606" s="1"/>
      <c r="AA2606" s="1"/>
      <c r="AB2606" s="1"/>
      <c r="AC2606" s="1"/>
      <c r="AD2606" s="1"/>
    </row>
    <row r="2607" spans="17:30">
      <c r="Q2607" s="6">
        <v>2577</v>
      </c>
      <c r="R2607" s="7">
        <v>45244</v>
      </c>
      <c r="S2607" s="210">
        <v>4</v>
      </c>
      <c r="T2607" s="8">
        <v>1.0001111111111112</v>
      </c>
      <c r="U2607" s="98">
        <v>3.8479088193749789</v>
      </c>
      <c r="V2607" s="106">
        <v>32072.215184523091</v>
      </c>
      <c r="W2607" s="10">
        <v>0.9426179455240824</v>
      </c>
      <c r="X2607" s="420"/>
      <c r="Y2607" s="420"/>
      <c r="Z2607" s="1"/>
      <c r="AA2607" s="1"/>
      <c r="AB2607" s="1"/>
      <c r="AC2607" s="1"/>
      <c r="AD2607" s="1"/>
    </row>
    <row r="2608" spans="17:30">
      <c r="Q2608" s="6">
        <v>2578</v>
      </c>
      <c r="R2608" s="7">
        <v>45245</v>
      </c>
      <c r="S2608" s="210">
        <v>4</v>
      </c>
      <c r="T2608" s="8">
        <v>1.0001111111111112</v>
      </c>
      <c r="U2608" s="98">
        <v>3.848021451921424</v>
      </c>
      <c r="V2608" s="106">
        <v>32074.795766624953</v>
      </c>
      <c r="W2608" s="10">
        <v>0.94268858055019944</v>
      </c>
      <c r="X2608" s="420"/>
      <c r="Y2608" s="420"/>
      <c r="Z2608" s="1"/>
      <c r="AA2608" s="1"/>
      <c r="AB2608" s="1"/>
      <c r="AC2608" s="1"/>
      <c r="AD2608" s="1"/>
    </row>
    <row r="2609" spans="17:30">
      <c r="Q2609" s="6">
        <v>2579</v>
      </c>
      <c r="R2609" s="7">
        <v>45246</v>
      </c>
      <c r="S2609" s="210">
        <v>4</v>
      </c>
      <c r="T2609" s="8">
        <v>1.0001111111111112</v>
      </c>
      <c r="U2609" s="98">
        <v>3.8481339972439743</v>
      </c>
      <c r="V2609" s="106">
        <v>32077.376556364608</v>
      </c>
      <c r="W2609" s="10">
        <v>0.94275916084862743</v>
      </c>
      <c r="X2609" s="420"/>
      <c r="Y2609" s="420"/>
      <c r="Z2609" s="1"/>
      <c r="AA2609" s="1"/>
      <c r="AB2609" s="1"/>
      <c r="AC2609" s="1"/>
      <c r="AD2609" s="1"/>
    </row>
    <row r="2610" spans="17:30">
      <c r="Q2610" s="6">
        <v>2580</v>
      </c>
      <c r="R2610" s="7">
        <v>45247</v>
      </c>
      <c r="S2610" s="210">
        <v>4</v>
      </c>
      <c r="T2610" s="8">
        <v>1.0001111111111112</v>
      </c>
      <c r="U2610" s="98">
        <v>3.8482464554439044</v>
      </c>
      <c r="V2610" s="106">
        <v>32079.957553758759</v>
      </c>
      <c r="W2610" s="10">
        <v>0.94282968648291554</v>
      </c>
      <c r="X2610" s="420"/>
      <c r="Y2610" s="420"/>
      <c r="Z2610" s="1"/>
      <c r="AA2610" s="1"/>
      <c r="AB2610" s="1"/>
      <c r="AC2610" s="1"/>
      <c r="AD2610" s="1"/>
    </row>
    <row r="2611" spans="17:30">
      <c r="Q2611" s="6">
        <v>2581</v>
      </c>
      <c r="R2611" s="7">
        <v>45248</v>
      </c>
      <c r="S2611" s="210">
        <v>4</v>
      </c>
      <c r="T2611" s="8">
        <v>1.0001111111111112</v>
      </c>
      <c r="U2611" s="98">
        <v>3.8483588266223556</v>
      </c>
      <c r="V2611" s="106">
        <v>32082.538758824117</v>
      </c>
      <c r="W2611" s="10">
        <v>0.94290015751656853</v>
      </c>
      <c r="X2611" s="420"/>
      <c r="Y2611" s="420"/>
      <c r="Z2611" s="1"/>
      <c r="AA2611" s="1"/>
      <c r="AB2611" s="1"/>
      <c r="AC2611" s="1"/>
      <c r="AD2611" s="1"/>
    </row>
    <row r="2612" spans="17:30">
      <c r="Q2612" s="6">
        <v>2582</v>
      </c>
      <c r="R2612" s="7">
        <v>45249</v>
      </c>
      <c r="S2612" s="210">
        <v>4</v>
      </c>
      <c r="T2612" s="8">
        <v>1.0001111111111112</v>
      </c>
      <c r="U2612" s="98">
        <v>3.8484711108802916</v>
      </c>
      <c r="V2612" s="106">
        <v>32085.120171577404</v>
      </c>
      <c r="W2612" s="10">
        <v>0.94297057401298012</v>
      </c>
      <c r="X2612" s="420"/>
      <c r="Y2612" s="420"/>
      <c r="Z2612" s="1"/>
      <c r="AA2612" s="1"/>
      <c r="AB2612" s="1"/>
      <c r="AC2612" s="1"/>
      <c r="AD2612" s="1"/>
    </row>
    <row r="2613" spans="17:30">
      <c r="Q2613" s="6">
        <v>2583</v>
      </c>
      <c r="R2613" s="7">
        <v>45250</v>
      </c>
      <c r="S2613" s="210">
        <v>4</v>
      </c>
      <c r="T2613" s="8">
        <v>1.0001111111111112</v>
      </c>
      <c r="U2613" s="98">
        <v>3.8485833083185428</v>
      </c>
      <c r="V2613" s="106">
        <v>32087.701792035314</v>
      </c>
      <c r="W2613" s="10">
        <v>0.94304093603543304</v>
      </c>
      <c r="X2613" s="420"/>
      <c r="Y2613" s="420"/>
      <c r="Z2613" s="1"/>
      <c r="AA2613" s="1"/>
      <c r="AB2613" s="1"/>
      <c r="AC2613" s="1"/>
      <c r="AD2613" s="1"/>
    </row>
    <row r="2614" spans="17:30">
      <c r="Q2614" s="6">
        <v>2584</v>
      </c>
      <c r="R2614" s="7">
        <v>45251</v>
      </c>
      <c r="S2614" s="210">
        <v>4</v>
      </c>
      <c r="T2614" s="8">
        <v>1.0001111111111112</v>
      </c>
      <c r="U2614" s="98">
        <v>3.8486954190377398</v>
      </c>
      <c r="V2614" s="106">
        <v>32090.283620214559</v>
      </c>
      <c r="W2614" s="10">
        <v>0.94311124364709897</v>
      </c>
      <c r="X2614" s="420"/>
      <c r="Y2614" s="420"/>
      <c r="Z2614" s="1"/>
      <c r="AA2614" s="1"/>
      <c r="AB2614" s="1"/>
      <c r="AC2614" s="1"/>
      <c r="AD2614" s="1"/>
    </row>
    <row r="2615" spans="17:30">
      <c r="Q2615" s="6">
        <v>2585</v>
      </c>
      <c r="R2615" s="7">
        <v>45252</v>
      </c>
      <c r="S2615" s="210">
        <v>4</v>
      </c>
      <c r="T2615" s="8">
        <v>1.0001111111111112</v>
      </c>
      <c r="U2615" s="98">
        <v>3.8488074431383801</v>
      </c>
      <c r="V2615" s="106">
        <v>32092.865656131864</v>
      </c>
      <c r="W2615" s="10">
        <v>0.94318149691106079</v>
      </c>
      <c r="X2615" s="420"/>
      <c r="Y2615" s="420"/>
      <c r="Z2615" s="1"/>
      <c r="AA2615" s="1"/>
      <c r="AB2615" s="1"/>
      <c r="AC2615" s="1"/>
      <c r="AD2615" s="1"/>
    </row>
    <row r="2616" spans="17:30">
      <c r="Q2616" s="6">
        <v>2586</v>
      </c>
      <c r="R2616" s="7">
        <v>45253</v>
      </c>
      <c r="S2616" s="210">
        <v>4</v>
      </c>
      <c r="T2616" s="8">
        <v>1.0001111111111112</v>
      </c>
      <c r="U2616" s="98">
        <v>3.8489193807208277</v>
      </c>
      <c r="V2616" s="106">
        <v>32095.447899803934</v>
      </c>
      <c r="W2616" s="10">
        <v>0.94325169589033475</v>
      </c>
      <c r="X2616" s="420"/>
      <c r="Y2616" s="420"/>
      <c r="Z2616" s="1"/>
      <c r="AA2616" s="1"/>
      <c r="AB2616" s="1"/>
      <c r="AC2616" s="1"/>
      <c r="AD2616" s="1"/>
    </row>
    <row r="2617" spans="17:30">
      <c r="Q2617" s="6">
        <v>2587</v>
      </c>
      <c r="R2617" s="7">
        <v>45254</v>
      </c>
      <c r="S2617" s="210">
        <v>4</v>
      </c>
      <c r="T2617" s="8">
        <v>1.0001111111111112</v>
      </c>
      <c r="U2617" s="98">
        <v>3.8490312318852693</v>
      </c>
      <c r="V2617" s="106">
        <v>32098.030351247497</v>
      </c>
      <c r="W2617" s="10">
        <v>0.94332184064778168</v>
      </c>
      <c r="X2617" s="420"/>
      <c r="Y2617" s="420"/>
      <c r="Z2617" s="1"/>
      <c r="AA2617" s="1"/>
      <c r="AB2617" s="1"/>
      <c r="AC2617" s="1"/>
      <c r="AD2617" s="1"/>
    </row>
    <row r="2618" spans="17:30">
      <c r="Q2618" s="6">
        <v>2588</v>
      </c>
      <c r="R2618" s="7">
        <v>45255</v>
      </c>
      <c r="S2618" s="210">
        <v>4</v>
      </c>
      <c r="T2618" s="8">
        <v>1.0001111111111112</v>
      </c>
      <c r="U2618" s="98">
        <v>3.8491429967317359</v>
      </c>
      <c r="V2618" s="106">
        <v>32100.613010479257</v>
      </c>
      <c r="W2618" s="10">
        <v>0.94339193124624021</v>
      </c>
      <c r="X2618" s="420"/>
      <c r="Y2618" s="420"/>
      <c r="Z2618" s="1"/>
      <c r="AA2618" s="1"/>
      <c r="AB2618" s="1"/>
      <c r="AC2618" s="1"/>
      <c r="AD2618" s="1"/>
    </row>
    <row r="2619" spans="17:30">
      <c r="Q2619" s="6">
        <v>2589</v>
      </c>
      <c r="R2619" s="7">
        <v>45256</v>
      </c>
      <c r="S2619" s="210">
        <v>4</v>
      </c>
      <c r="T2619" s="8">
        <v>1.0001111111111112</v>
      </c>
      <c r="U2619" s="98">
        <v>3.8492546753601253</v>
      </c>
      <c r="V2619" s="106">
        <v>32103.195877515944</v>
      </c>
      <c r="W2619" s="10">
        <v>0.94346196774839353</v>
      </c>
      <c r="X2619" s="420"/>
      <c r="Y2619" s="420"/>
      <c r="Z2619" s="1"/>
      <c r="AA2619" s="1"/>
      <c r="AB2619" s="1"/>
      <c r="AC2619" s="1"/>
      <c r="AD2619" s="1"/>
    </row>
    <row r="2620" spans="17:30">
      <c r="Q2620" s="6">
        <v>2590</v>
      </c>
      <c r="R2620" s="7">
        <v>45257</v>
      </c>
      <c r="S2620" s="210">
        <v>4</v>
      </c>
      <c r="T2620" s="8">
        <v>1.0001111111111112</v>
      </c>
      <c r="U2620" s="98">
        <v>3.8493662678701357</v>
      </c>
      <c r="V2620" s="106">
        <v>32105.778952374269</v>
      </c>
      <c r="W2620" s="10">
        <v>0.943531950216836</v>
      </c>
      <c r="X2620" s="420"/>
      <c r="Y2620" s="420"/>
      <c r="Z2620" s="1"/>
      <c r="AA2620" s="1"/>
      <c r="AB2620" s="1"/>
      <c r="AC2620" s="1"/>
      <c r="AD2620" s="1"/>
    </row>
    <row r="2621" spans="17:30">
      <c r="Q2621" s="6">
        <v>2591</v>
      </c>
      <c r="R2621" s="7">
        <v>45258</v>
      </c>
      <c r="S2621" s="210">
        <v>4</v>
      </c>
      <c r="T2621" s="8">
        <v>1.0001111111111112</v>
      </c>
      <c r="U2621" s="98">
        <v>3.849477774361354</v>
      </c>
      <c r="V2621" s="106">
        <v>32108.362235070959</v>
      </c>
      <c r="W2621" s="10">
        <v>0.94360187871407319</v>
      </c>
      <c r="X2621" s="420"/>
      <c r="Y2621" s="420"/>
      <c r="Z2621" s="1"/>
      <c r="AA2621" s="1"/>
      <c r="AB2621" s="1"/>
      <c r="AC2621" s="1"/>
      <c r="AD2621" s="1"/>
    </row>
    <row r="2622" spans="17:30">
      <c r="Q2622" s="6">
        <v>2592</v>
      </c>
      <c r="R2622" s="7">
        <v>45259</v>
      </c>
      <c r="S2622" s="210">
        <v>4</v>
      </c>
      <c r="T2622" s="8">
        <v>1.0001111111111112</v>
      </c>
      <c r="U2622" s="98">
        <v>3.8495891949332117</v>
      </c>
      <c r="V2622" s="106">
        <v>32110.94572562274</v>
      </c>
      <c r="W2622" s="10">
        <v>0.94367175330254405</v>
      </c>
      <c r="X2622" s="420"/>
      <c r="Y2622" s="420"/>
      <c r="Z2622" s="1"/>
      <c r="AA2622" s="1"/>
      <c r="AB2622" s="1"/>
      <c r="AC2622" s="1"/>
      <c r="AD2622" s="1"/>
    </row>
    <row r="2623" spans="17:30">
      <c r="Q2623" s="6">
        <v>2593</v>
      </c>
      <c r="R2623" s="7">
        <v>45260</v>
      </c>
      <c r="S2623" s="210">
        <v>4</v>
      </c>
      <c r="T2623" s="8">
        <v>1.0001111111111112</v>
      </c>
      <c r="U2623" s="98">
        <v>3.8497005296849629</v>
      </c>
      <c r="V2623" s="106">
        <v>32113.529424046334</v>
      </c>
      <c r="W2623" s="10">
        <v>0.94374157404453207</v>
      </c>
      <c r="X2623" s="420"/>
      <c r="Y2623" s="420"/>
      <c r="Z2623" s="1"/>
      <c r="AA2623" s="1"/>
      <c r="AB2623" s="1"/>
      <c r="AC2623" s="1"/>
      <c r="AD2623" s="1"/>
    </row>
    <row r="2624" spans="17:30">
      <c r="Q2624" s="6">
        <v>2594</v>
      </c>
      <c r="R2624" s="7">
        <v>45261</v>
      </c>
      <c r="S2624" s="210">
        <v>4</v>
      </c>
      <c r="T2624" s="8">
        <v>1.0001111111111112</v>
      </c>
      <c r="U2624" s="98">
        <v>3.8498117787157282</v>
      </c>
      <c r="V2624" s="106">
        <v>32116.113330358461</v>
      </c>
      <c r="W2624" s="10">
        <v>0.94381134100225417</v>
      </c>
      <c r="X2624" s="420"/>
      <c r="Y2624" s="420"/>
      <c r="Z2624" s="1"/>
      <c r="AA2624" s="1"/>
      <c r="AB2624" s="1"/>
      <c r="AC2624" s="1"/>
      <c r="AD2624" s="1"/>
    </row>
    <row r="2625" spans="17:30">
      <c r="Q2625" s="6">
        <v>2595</v>
      </c>
      <c r="R2625" s="7">
        <v>45262</v>
      </c>
      <c r="S2625" s="210">
        <v>4</v>
      </c>
      <c r="T2625" s="8">
        <v>1.0001111111111112</v>
      </c>
      <c r="U2625" s="98">
        <v>3.8499229421244729</v>
      </c>
      <c r="V2625" s="106">
        <v>32118.697444575853</v>
      </c>
      <c r="W2625" s="10">
        <v>0.94388105423786062</v>
      </c>
      <c r="X2625" s="420"/>
      <c r="Y2625" s="420"/>
      <c r="Z2625" s="1"/>
      <c r="AA2625" s="1"/>
      <c r="AB2625" s="1"/>
      <c r="AC2625" s="1"/>
      <c r="AD2625" s="1"/>
    </row>
    <row r="2626" spans="17:30">
      <c r="Q2626" s="6">
        <v>2596</v>
      </c>
      <c r="R2626" s="7">
        <v>45263</v>
      </c>
      <c r="S2626" s="210">
        <v>4</v>
      </c>
      <c r="T2626" s="8">
        <v>1.0001111111111112</v>
      </c>
      <c r="U2626" s="98">
        <v>3.8500340200100069</v>
      </c>
      <c r="V2626" s="106">
        <v>32121.281766715241</v>
      </c>
      <c r="W2626" s="10">
        <v>0.94395071381336848</v>
      </c>
      <c r="X2626" s="420"/>
      <c r="Y2626" s="420"/>
      <c r="Z2626" s="1"/>
      <c r="AA2626" s="1"/>
      <c r="AB2626" s="1"/>
      <c r="AC2626" s="1"/>
      <c r="AD2626" s="1"/>
    </row>
    <row r="2627" spans="17:30">
      <c r="Q2627" s="6">
        <v>2597</v>
      </c>
      <c r="R2627" s="7">
        <v>45264</v>
      </c>
      <c r="S2627" s="210">
        <v>4</v>
      </c>
      <c r="T2627" s="8">
        <v>1.0001111111111112</v>
      </c>
      <c r="U2627" s="98">
        <v>3.8501450124709624</v>
      </c>
      <c r="V2627" s="106">
        <v>32123.866296793349</v>
      </c>
      <c r="W2627" s="10">
        <v>0.944020319790706</v>
      </c>
      <c r="X2627" s="420"/>
      <c r="Y2627" s="420"/>
      <c r="Z2627" s="1"/>
      <c r="AA2627" s="1"/>
      <c r="AB2627" s="1"/>
      <c r="AC2627" s="1"/>
      <c r="AD2627" s="1"/>
    </row>
    <row r="2628" spans="17:30">
      <c r="Q2628" s="6">
        <v>2598</v>
      </c>
      <c r="R2628" s="7">
        <v>45265</v>
      </c>
      <c r="S2628" s="210">
        <v>4</v>
      </c>
      <c r="T2628" s="8">
        <v>1.0001111111111112</v>
      </c>
      <c r="U2628" s="98">
        <v>3.8502559196058828</v>
      </c>
      <c r="V2628" s="106">
        <v>32126.45103482691</v>
      </c>
      <c r="W2628" s="10">
        <v>0.94408987223169039</v>
      </c>
      <c r="X2628" s="420"/>
      <c r="Y2628" s="420"/>
      <c r="Z2628" s="1"/>
      <c r="AA2628" s="1"/>
      <c r="AB2628" s="1"/>
      <c r="AC2628" s="1"/>
      <c r="AD2628" s="1"/>
    </row>
    <row r="2629" spans="17:30">
      <c r="Q2629" s="6">
        <v>2599</v>
      </c>
      <c r="R2629" s="7">
        <v>45266</v>
      </c>
      <c r="S2629" s="210">
        <v>4</v>
      </c>
      <c r="T2629" s="8">
        <v>1.0001111111111112</v>
      </c>
      <c r="U2629" s="98">
        <v>3.8503667415130893</v>
      </c>
      <c r="V2629" s="106">
        <v>32129.035980832665</v>
      </c>
      <c r="W2629" s="10">
        <v>0.94415937119807225</v>
      </c>
      <c r="X2629" s="420"/>
      <c r="Y2629" s="420"/>
      <c r="Z2629" s="1"/>
      <c r="AA2629" s="1"/>
      <c r="AB2629" s="1"/>
      <c r="AC2629" s="1"/>
      <c r="AD2629" s="1"/>
    </row>
    <row r="2630" spans="17:30">
      <c r="Q2630" s="6">
        <v>2600</v>
      </c>
      <c r="R2630" s="7">
        <v>45267</v>
      </c>
      <c r="S2630" s="210">
        <v>4</v>
      </c>
      <c r="T2630" s="8">
        <v>1.0001111111111112</v>
      </c>
      <c r="U2630" s="98">
        <v>3.8504774782908147</v>
      </c>
      <c r="V2630" s="106">
        <v>32131.621134827332</v>
      </c>
      <c r="W2630" s="10">
        <v>0.94422881675153558</v>
      </c>
      <c r="X2630" s="420"/>
      <c r="Y2630" s="420"/>
      <c r="Z2630" s="1"/>
      <c r="AA2630" s="1"/>
      <c r="AB2630" s="1"/>
      <c r="AC2630" s="1"/>
      <c r="AD2630" s="1"/>
    </row>
    <row r="2631" spans="17:30">
      <c r="Q2631" s="6">
        <v>2601</v>
      </c>
      <c r="R2631" s="7">
        <v>45268</v>
      </c>
      <c r="S2631" s="210">
        <v>4</v>
      </c>
      <c r="T2631" s="8">
        <v>1.0001111111111112</v>
      </c>
      <c r="U2631" s="98">
        <v>3.8505881300370914</v>
      </c>
      <c r="V2631" s="106">
        <v>32134.206496827657</v>
      </c>
      <c r="W2631" s="10">
        <v>0.94429820895358674</v>
      </c>
      <c r="X2631" s="420"/>
      <c r="Y2631" s="420"/>
      <c r="Z2631" s="1"/>
      <c r="AA2631" s="1"/>
      <c r="AB2631" s="1"/>
      <c r="AC2631" s="1"/>
      <c r="AD2631" s="1"/>
    </row>
    <row r="2632" spans="17:30">
      <c r="Q2632" s="6">
        <v>2602</v>
      </c>
      <c r="R2632" s="7">
        <v>45269</v>
      </c>
      <c r="S2632" s="210">
        <v>4</v>
      </c>
      <c r="T2632" s="8">
        <v>1.0001111111111112</v>
      </c>
      <c r="U2632" s="98">
        <v>3.8506986968498191</v>
      </c>
      <c r="V2632" s="106">
        <v>32136.792066850372</v>
      </c>
      <c r="W2632" s="10">
        <v>0.94436754786568766</v>
      </c>
      <c r="X2632" s="420"/>
      <c r="Y2632" s="420"/>
      <c r="Z2632" s="1"/>
      <c r="AA2632" s="1"/>
      <c r="AB2632" s="1"/>
      <c r="AC2632" s="1"/>
      <c r="AD2632" s="1"/>
    </row>
    <row r="2633" spans="17:30">
      <c r="Q2633" s="6">
        <v>2603</v>
      </c>
      <c r="R2633" s="7">
        <v>45270</v>
      </c>
      <c r="S2633" s="210">
        <v>4</v>
      </c>
      <c r="T2633" s="8">
        <v>1.0001111111111112</v>
      </c>
      <c r="U2633" s="98">
        <v>3.850809178826764</v>
      </c>
      <c r="V2633" s="106">
        <v>32139.377844912218</v>
      </c>
      <c r="W2633" s="10">
        <v>0.94443683354921149</v>
      </c>
      <c r="X2633" s="420"/>
      <c r="Y2633" s="420"/>
      <c r="Z2633" s="1"/>
      <c r="AA2633" s="1"/>
      <c r="AB2633" s="1"/>
      <c r="AC2633" s="1"/>
      <c r="AD2633" s="1"/>
    </row>
    <row r="2634" spans="17:30">
      <c r="Q2634" s="6">
        <v>2604</v>
      </c>
      <c r="R2634" s="7">
        <v>45271</v>
      </c>
      <c r="S2634" s="210">
        <v>4</v>
      </c>
      <c r="T2634" s="8">
        <v>1.0001111111111112</v>
      </c>
      <c r="U2634" s="98">
        <v>3.8509195760655146</v>
      </c>
      <c r="V2634" s="106">
        <v>32141.963831029931</v>
      </c>
      <c r="W2634" s="10">
        <v>0.94450606606544252</v>
      </c>
      <c r="X2634" s="420"/>
      <c r="Y2634" s="420"/>
      <c r="Z2634" s="1"/>
      <c r="AA2634" s="1"/>
      <c r="AB2634" s="1"/>
      <c r="AC2634" s="1"/>
      <c r="AD2634" s="1"/>
    </row>
    <row r="2635" spans="17:30">
      <c r="Q2635" s="6">
        <v>2605</v>
      </c>
      <c r="R2635" s="7">
        <v>45272</v>
      </c>
      <c r="S2635" s="210">
        <v>4</v>
      </c>
      <c r="T2635" s="8">
        <v>1.0001111111111112</v>
      </c>
      <c r="U2635" s="98">
        <v>3.8510298886635264</v>
      </c>
      <c r="V2635" s="106">
        <v>32144.550025220247</v>
      </c>
      <c r="W2635" s="10">
        <v>0.94457524547550964</v>
      </c>
      <c r="X2635" s="420"/>
      <c r="Y2635" s="420"/>
      <c r="Z2635" s="1"/>
      <c r="AA2635" s="1"/>
      <c r="AB2635" s="1"/>
      <c r="AC2635" s="1"/>
      <c r="AD2635" s="1"/>
    </row>
    <row r="2636" spans="17:30">
      <c r="Q2636" s="6">
        <v>2606</v>
      </c>
      <c r="R2636" s="7">
        <v>45273</v>
      </c>
      <c r="S2636" s="210">
        <v>4</v>
      </c>
      <c r="T2636" s="8">
        <v>1.0001111111111112</v>
      </c>
      <c r="U2636" s="98">
        <v>3.8511401167181214</v>
      </c>
      <c r="V2636" s="106">
        <v>32147.136427499925</v>
      </c>
      <c r="W2636" s="10">
        <v>0.94464437184054173</v>
      </c>
      <c r="X2636" s="420"/>
      <c r="Y2636" s="420"/>
      <c r="Z2636" s="1"/>
      <c r="AA2636" s="1"/>
      <c r="AB2636" s="1"/>
      <c r="AC2636" s="1"/>
      <c r="AD2636" s="1"/>
    </row>
    <row r="2637" spans="17:30">
      <c r="Q2637" s="6">
        <v>2607</v>
      </c>
      <c r="R2637" s="7">
        <v>45274</v>
      </c>
      <c r="S2637" s="210">
        <v>4</v>
      </c>
      <c r="T2637" s="8">
        <v>1.0001111111111112</v>
      </c>
      <c r="U2637" s="98">
        <v>3.851250260326422</v>
      </c>
      <c r="V2637" s="106">
        <v>32149.723037885691</v>
      </c>
      <c r="W2637" s="10">
        <v>0.94471344522151224</v>
      </c>
      <c r="X2637" s="420"/>
      <c r="Y2637" s="420"/>
      <c r="Z2637" s="1"/>
      <c r="AA2637" s="1"/>
      <c r="AB2637" s="1"/>
      <c r="AC2637" s="1"/>
      <c r="AD2637" s="1"/>
    </row>
    <row r="2638" spans="17:30">
      <c r="Q2638" s="6">
        <v>2608</v>
      </c>
      <c r="R2638" s="7">
        <v>45275</v>
      </c>
      <c r="S2638" s="210">
        <v>4</v>
      </c>
      <c r="T2638" s="8">
        <v>1.0001111111111112</v>
      </c>
      <c r="U2638" s="98">
        <v>3.8513603195854618</v>
      </c>
      <c r="V2638" s="106">
        <v>32152.309856394299</v>
      </c>
      <c r="W2638" s="10">
        <v>0.94478246567930579</v>
      </c>
      <c r="X2638" s="420"/>
      <c r="Y2638" s="420"/>
      <c r="Z2638" s="1"/>
      <c r="AA2638" s="1"/>
      <c r="AB2638" s="1"/>
      <c r="AC2638" s="1"/>
      <c r="AD2638" s="1"/>
    </row>
    <row r="2639" spans="17:30">
      <c r="Q2639" s="6">
        <v>2609</v>
      </c>
      <c r="R2639" s="7">
        <v>45276</v>
      </c>
      <c r="S2639" s="210">
        <v>4</v>
      </c>
      <c r="T2639" s="8">
        <v>1.0001111111111112</v>
      </c>
      <c r="U2639" s="98">
        <v>3.8514702945920742</v>
      </c>
      <c r="V2639" s="106">
        <v>32154.896883042489</v>
      </c>
      <c r="W2639" s="10">
        <v>0.94485143327471821</v>
      </c>
      <c r="X2639" s="420"/>
      <c r="Y2639" s="420"/>
      <c r="Z2639" s="1"/>
      <c r="AA2639" s="1"/>
      <c r="AB2639" s="1"/>
      <c r="AC2639" s="1"/>
      <c r="AD2639" s="1"/>
    </row>
    <row r="2640" spans="17:30">
      <c r="Q2640" s="6">
        <v>2610</v>
      </c>
      <c r="R2640" s="7">
        <v>45277</v>
      </c>
      <c r="S2640" s="210">
        <v>4</v>
      </c>
      <c r="T2640" s="8">
        <v>1.0001111111111112</v>
      </c>
      <c r="U2640" s="98">
        <v>3.8515801854429821</v>
      </c>
      <c r="V2640" s="106">
        <v>32157.484117847012</v>
      </c>
      <c r="W2640" s="10">
        <v>0.94492034806845648</v>
      </c>
      <c r="X2640" s="420"/>
      <c r="Y2640" s="420"/>
      <c r="Z2640" s="1"/>
      <c r="AA2640" s="1"/>
      <c r="AB2640" s="1"/>
      <c r="AC2640" s="1"/>
      <c r="AD2640" s="1"/>
    </row>
    <row r="2641" spans="17:30">
      <c r="Q2641" s="6">
        <v>2611</v>
      </c>
      <c r="R2641" s="7">
        <v>45278</v>
      </c>
      <c r="S2641" s="210">
        <v>4</v>
      </c>
      <c r="T2641" s="8">
        <v>1.0001111111111112</v>
      </c>
      <c r="U2641" s="98">
        <v>3.8516899922347303</v>
      </c>
      <c r="V2641" s="106">
        <v>32160.071560824617</v>
      </c>
      <c r="W2641" s="10">
        <v>0.94498921012113879</v>
      </c>
      <c r="X2641" s="420"/>
      <c r="Y2641" s="420"/>
      <c r="Z2641" s="1"/>
      <c r="AA2641" s="1"/>
      <c r="AB2641" s="1"/>
      <c r="AC2641" s="1"/>
      <c r="AD2641" s="1"/>
    </row>
    <row r="2642" spans="17:30">
      <c r="Q2642" s="6">
        <v>2612</v>
      </c>
      <c r="R2642" s="7">
        <v>45279</v>
      </c>
      <c r="S2642" s="210">
        <v>4</v>
      </c>
      <c r="T2642" s="8">
        <v>1.0001111111111112</v>
      </c>
      <c r="U2642" s="98">
        <v>3.8517997150637528</v>
      </c>
      <c r="V2642" s="106">
        <v>32162.65921199205</v>
      </c>
      <c r="W2642" s="10">
        <v>0.94505801949331669</v>
      </c>
      <c r="X2642" s="420"/>
      <c r="Y2642" s="420"/>
      <c r="Z2642" s="1"/>
      <c r="AA2642" s="1"/>
      <c r="AB2642" s="1"/>
      <c r="AC2642" s="1"/>
      <c r="AD2642" s="1"/>
    </row>
    <row r="2643" spans="17:30">
      <c r="Q2643" s="6">
        <v>2613</v>
      </c>
      <c r="R2643" s="7">
        <v>45280</v>
      </c>
      <c r="S2643" s="210">
        <v>4</v>
      </c>
      <c r="T2643" s="8">
        <v>1.0001111111111112</v>
      </c>
      <c r="U2643" s="98">
        <v>3.8519093540263061</v>
      </c>
      <c r="V2643" s="106">
        <v>32165.247071366062</v>
      </c>
      <c r="W2643" s="10">
        <v>0.94512677624538632</v>
      </c>
      <c r="X2643" s="420"/>
      <c r="Y2643" s="420"/>
      <c r="Z2643" s="1"/>
      <c r="AA2643" s="1"/>
      <c r="AB2643" s="1"/>
      <c r="AC2643" s="1"/>
      <c r="AD2643" s="1"/>
    </row>
    <row r="2644" spans="17:30">
      <c r="Q2644" s="6">
        <v>2614</v>
      </c>
      <c r="R2644" s="7">
        <v>45281</v>
      </c>
      <c r="S2644" s="210">
        <v>4</v>
      </c>
      <c r="T2644" s="8">
        <v>1.0001111111111112</v>
      </c>
      <c r="U2644" s="98">
        <v>3.8520189092184909</v>
      </c>
      <c r="V2644" s="106">
        <v>32167.835138963408</v>
      </c>
      <c r="W2644" s="10">
        <v>0.94519548043769941</v>
      </c>
      <c r="X2644" s="420"/>
      <c r="Y2644" s="420"/>
      <c r="Z2644" s="1"/>
      <c r="AA2644" s="1"/>
      <c r="AB2644" s="1"/>
      <c r="AC2644" s="1"/>
      <c r="AD2644" s="1"/>
    </row>
    <row r="2645" spans="17:30">
      <c r="Q2645" s="6">
        <v>2615</v>
      </c>
      <c r="R2645" s="7">
        <v>45282</v>
      </c>
      <c r="S2645" s="210">
        <v>4</v>
      </c>
      <c r="T2645" s="8">
        <v>1.0001111111111112</v>
      </c>
      <c r="U2645" s="98">
        <v>3.8521283807362972</v>
      </c>
      <c r="V2645" s="106">
        <v>32170.423414800851</v>
      </c>
      <c r="W2645" s="10">
        <v>0.94526413213045224</v>
      </c>
      <c r="X2645" s="420"/>
      <c r="Y2645" s="420"/>
      <c r="Z2645" s="1"/>
      <c r="AA2645" s="1"/>
      <c r="AB2645" s="1"/>
      <c r="AC2645" s="1"/>
      <c r="AD2645" s="1"/>
    </row>
    <row r="2646" spans="17:30">
      <c r="Q2646" s="6">
        <v>2616</v>
      </c>
      <c r="R2646" s="7">
        <v>45283</v>
      </c>
      <c r="S2646" s="210">
        <v>4</v>
      </c>
      <c r="T2646" s="8">
        <v>1.0001111111111112</v>
      </c>
      <c r="U2646" s="98">
        <v>3.8522377686755371</v>
      </c>
      <c r="V2646" s="106">
        <v>32173.011898895133</v>
      </c>
      <c r="W2646" s="10">
        <v>0.94533273138386331</v>
      </c>
      <c r="X2646" s="420"/>
      <c r="Y2646" s="420"/>
      <c r="Z2646" s="1"/>
      <c r="AA2646" s="1"/>
      <c r="AB2646" s="1"/>
      <c r="AC2646" s="1"/>
      <c r="AD2646" s="1"/>
    </row>
    <row r="2647" spans="17:30">
      <c r="Q2647" s="6">
        <v>2617</v>
      </c>
      <c r="R2647" s="7">
        <v>45284</v>
      </c>
      <c r="S2647" s="210">
        <v>4</v>
      </c>
      <c r="T2647" s="8">
        <v>1.0001111111111112</v>
      </c>
      <c r="U2647" s="98">
        <v>3.852347073131912</v>
      </c>
      <c r="V2647" s="106">
        <v>32175.60059126301</v>
      </c>
      <c r="W2647" s="10">
        <v>0.94540127825797349</v>
      </c>
      <c r="X2647" s="420"/>
      <c r="Y2647" s="420"/>
      <c r="Z2647" s="1"/>
      <c r="AA2647" s="1"/>
      <c r="AB2647" s="1"/>
      <c r="AC2647" s="1"/>
      <c r="AD2647" s="1"/>
    </row>
    <row r="2648" spans="17:30">
      <c r="Q2648" s="6">
        <v>2618</v>
      </c>
      <c r="R2648" s="7">
        <v>45285</v>
      </c>
      <c r="S2648" s="210">
        <v>4</v>
      </c>
      <c r="T2648" s="8">
        <v>1.0001111111111112</v>
      </c>
      <c r="U2648" s="98">
        <v>3.8524562942009455</v>
      </c>
      <c r="V2648" s="106">
        <v>32178.18949192125</v>
      </c>
      <c r="W2648" s="10">
        <v>0.94546977281275701</v>
      </c>
      <c r="X2648" s="420"/>
      <c r="Y2648" s="420"/>
      <c r="Z2648" s="1"/>
      <c r="AA2648" s="1"/>
      <c r="AB2648" s="1"/>
      <c r="AC2648" s="1"/>
      <c r="AD2648" s="1"/>
    </row>
    <row r="2649" spans="17:30">
      <c r="Q2649" s="6">
        <v>2619</v>
      </c>
      <c r="R2649" s="7">
        <v>45286</v>
      </c>
      <c r="S2649" s="210">
        <v>4</v>
      </c>
      <c r="T2649" s="8">
        <v>1.0001111111111112</v>
      </c>
      <c r="U2649" s="98">
        <v>3.8525654319780056</v>
      </c>
      <c r="V2649" s="106">
        <v>32180.778600886606</v>
      </c>
      <c r="W2649" s="10">
        <v>0.94553821510805491</v>
      </c>
      <c r="X2649" s="420"/>
      <c r="Y2649" s="420"/>
      <c r="Z2649" s="1"/>
      <c r="AA2649" s="1"/>
      <c r="AB2649" s="1"/>
      <c r="AC2649" s="1"/>
      <c r="AD2649" s="1"/>
    </row>
    <row r="2650" spans="17:30">
      <c r="Q2650" s="6">
        <v>2620</v>
      </c>
      <c r="R2650" s="7">
        <v>45287</v>
      </c>
      <c r="S2650" s="210">
        <v>4</v>
      </c>
      <c r="T2650" s="8">
        <v>1.0001111111111112</v>
      </c>
      <c r="U2650" s="98">
        <v>3.8526744865583495</v>
      </c>
      <c r="V2650" s="106">
        <v>32183.367918175842</v>
      </c>
      <c r="W2650" s="10">
        <v>0.945606605203686</v>
      </c>
      <c r="X2650" s="420"/>
      <c r="Y2650" s="420"/>
      <c r="Z2650" s="1"/>
      <c r="AA2650" s="1"/>
      <c r="AB2650" s="1"/>
      <c r="AC2650" s="1"/>
      <c r="AD2650" s="1"/>
    </row>
    <row r="2651" spans="17:30">
      <c r="Q2651" s="6">
        <v>2621</v>
      </c>
      <c r="R2651" s="7">
        <v>45288</v>
      </c>
      <c r="S2651" s="210">
        <v>4</v>
      </c>
      <c r="T2651" s="8">
        <v>1.0001111111111112</v>
      </c>
      <c r="U2651" s="98">
        <v>3.8527834580370568</v>
      </c>
      <c r="V2651" s="106">
        <v>32185.957443805721</v>
      </c>
      <c r="W2651" s="10">
        <v>0.94567494315931366</v>
      </c>
      <c r="X2651" s="420"/>
      <c r="Y2651" s="420"/>
      <c r="Z2651" s="1"/>
      <c r="AA2651" s="1"/>
      <c r="AB2651" s="1"/>
      <c r="AC2651" s="1"/>
      <c r="AD2651" s="1"/>
    </row>
    <row r="2652" spans="17:30">
      <c r="Q2652" s="6">
        <v>2622</v>
      </c>
      <c r="R2652" s="7">
        <v>45289</v>
      </c>
      <c r="S2652" s="210">
        <v>4</v>
      </c>
      <c r="T2652" s="8">
        <v>1.0001111111111112</v>
      </c>
      <c r="U2652" s="98">
        <v>3.8528923465090958</v>
      </c>
      <c r="V2652" s="106">
        <v>32188.547177793003</v>
      </c>
      <c r="W2652" s="10">
        <v>0.94574322903457908</v>
      </c>
      <c r="X2652" s="420"/>
      <c r="Y2652" s="420"/>
      <c r="Z2652" s="1"/>
      <c r="AA2652" s="1"/>
      <c r="AB2652" s="1"/>
      <c r="AC2652" s="1"/>
      <c r="AD2652" s="1"/>
    </row>
    <row r="2653" spans="17:30">
      <c r="Q2653" s="6">
        <v>2623</v>
      </c>
      <c r="R2653" s="7">
        <v>45290</v>
      </c>
      <c r="S2653" s="210">
        <v>4</v>
      </c>
      <c r="T2653" s="8">
        <v>1.0001111111111112</v>
      </c>
      <c r="U2653" s="98">
        <v>3.8530011520692797</v>
      </c>
      <c r="V2653" s="106">
        <v>32191.137120154446</v>
      </c>
      <c r="W2653" s="10">
        <v>0.94581146288899021</v>
      </c>
      <c r="X2653" s="420"/>
      <c r="Y2653" s="420"/>
      <c r="Z2653" s="1"/>
      <c r="AA2653" s="1"/>
      <c r="AB2653" s="1"/>
      <c r="AC2653" s="1"/>
      <c r="AD2653" s="1"/>
    </row>
    <row r="2654" spans="17:30">
      <c r="Q2654" s="6">
        <v>2624</v>
      </c>
      <c r="R2654" s="7">
        <v>45291</v>
      </c>
      <c r="S2654" s="210">
        <v>4</v>
      </c>
      <c r="T2654" s="8">
        <v>1.0001111111111112</v>
      </c>
      <c r="U2654" s="98">
        <v>3.8531098748122661</v>
      </c>
      <c r="V2654" s="106">
        <v>32193.727270906831</v>
      </c>
      <c r="W2654" s="10">
        <v>0.94587964478196618</v>
      </c>
      <c r="X2654" s="420"/>
      <c r="Y2654" s="420"/>
      <c r="Z2654" s="1"/>
      <c r="AA2654" s="1"/>
      <c r="AB2654" s="1"/>
      <c r="AC2654" s="1"/>
      <c r="AD2654" s="1"/>
    </row>
    <row r="2655" spans="17:30">
      <c r="Q2655" s="6">
        <v>2625</v>
      </c>
      <c r="R2655" s="7">
        <v>45292</v>
      </c>
      <c r="S2655" s="210">
        <v>4</v>
      </c>
      <c r="T2655" s="8">
        <v>1.0001111111111112</v>
      </c>
      <c r="U2655" s="98">
        <v>3.8532185148325571</v>
      </c>
      <c r="V2655" s="106">
        <v>32196.317630066915</v>
      </c>
      <c r="W2655" s="10">
        <v>0.94594777477281511</v>
      </c>
      <c r="X2655" s="420"/>
      <c r="Y2655" s="420"/>
      <c r="Z2655" s="1"/>
      <c r="AA2655" s="1"/>
      <c r="AB2655" s="1"/>
      <c r="AC2655" s="1"/>
      <c r="AD2655" s="1"/>
    </row>
    <row r="2656" spans="17:30">
      <c r="Q2656" s="6">
        <v>2626</v>
      </c>
      <c r="R2656" s="7">
        <v>45293</v>
      </c>
      <c r="S2656" s="210">
        <v>4</v>
      </c>
      <c r="T2656" s="8">
        <v>1.0001111111111112</v>
      </c>
      <c r="U2656" s="98">
        <v>3.8533270722245438</v>
      </c>
      <c r="V2656" s="106">
        <v>32198.908197651472</v>
      </c>
      <c r="W2656" s="10">
        <v>0.9460158529208007</v>
      </c>
      <c r="X2656" s="420"/>
      <c r="Y2656" s="420"/>
      <c r="Z2656" s="1"/>
      <c r="AA2656" s="1"/>
      <c r="AB2656" s="1"/>
      <c r="AC2656" s="1"/>
      <c r="AD2656" s="1"/>
    </row>
    <row r="2657" spans="17:30">
      <c r="Q2657" s="6">
        <v>2627</v>
      </c>
      <c r="R2657" s="7">
        <v>45294</v>
      </c>
      <c r="S2657" s="210">
        <v>4</v>
      </c>
      <c r="T2657" s="8">
        <v>1.0001111111111112</v>
      </c>
      <c r="U2657" s="98">
        <v>3.85343554708244</v>
      </c>
      <c r="V2657" s="106">
        <v>32201.49897367727</v>
      </c>
      <c r="W2657" s="10">
        <v>0.94608387928507565</v>
      </c>
      <c r="X2657" s="420"/>
      <c r="Y2657" s="420"/>
      <c r="Z2657" s="1"/>
      <c r="AA2657" s="1"/>
      <c r="AB2657" s="1"/>
      <c r="AC2657" s="1"/>
      <c r="AD2657" s="1"/>
    </row>
    <row r="2658" spans="17:30">
      <c r="Q2658" s="6">
        <v>2628</v>
      </c>
      <c r="R2658" s="7">
        <v>45295</v>
      </c>
      <c r="S2658" s="210">
        <v>4</v>
      </c>
      <c r="T2658" s="8">
        <v>1.0001111111111112</v>
      </c>
      <c r="U2658" s="98">
        <v>3.8535439395003479</v>
      </c>
      <c r="V2658" s="106">
        <v>32204.089958161083</v>
      </c>
      <c r="W2658" s="10">
        <v>0.9461518539246816</v>
      </c>
      <c r="X2658" s="420"/>
      <c r="Y2658" s="420"/>
      <c r="Z2658" s="1"/>
      <c r="AA2658" s="1"/>
      <c r="AB2658" s="1"/>
      <c r="AC2658" s="1"/>
      <c r="AD2658" s="1"/>
    </row>
    <row r="2659" spans="17:30">
      <c r="Q2659" s="6">
        <v>2629</v>
      </c>
      <c r="R2659" s="7">
        <v>45296</v>
      </c>
      <c r="S2659" s="210">
        <v>4</v>
      </c>
      <c r="T2659" s="8">
        <v>1.0001111111111112</v>
      </c>
      <c r="U2659" s="98">
        <v>3.8536522495722147</v>
      </c>
      <c r="V2659" s="106">
        <v>32206.681151119676</v>
      </c>
      <c r="W2659" s="10">
        <v>0.94621977689861581</v>
      </c>
      <c r="X2659" s="420"/>
      <c r="Y2659" s="420"/>
      <c r="Z2659" s="1"/>
      <c r="AA2659" s="1"/>
      <c r="AB2659" s="1"/>
      <c r="AC2659" s="1"/>
      <c r="AD2659" s="1"/>
    </row>
    <row r="2660" spans="17:30">
      <c r="Q2660" s="6">
        <v>2630</v>
      </c>
      <c r="R2660" s="7">
        <v>45297</v>
      </c>
      <c r="S2660" s="210">
        <v>4</v>
      </c>
      <c r="T2660" s="8">
        <v>1.0001111111111112</v>
      </c>
      <c r="U2660" s="98">
        <v>3.8537604773918321</v>
      </c>
      <c r="V2660" s="106">
        <v>32209.27255256983</v>
      </c>
      <c r="W2660" s="10">
        <v>0.9462876482657645</v>
      </c>
      <c r="X2660" s="420"/>
      <c r="Y2660" s="420"/>
      <c r="Z2660" s="1"/>
      <c r="AA2660" s="1"/>
      <c r="AB2660" s="1"/>
      <c r="AC2660" s="1"/>
      <c r="AD2660" s="1"/>
    </row>
    <row r="2661" spans="17:30">
      <c r="Q2661" s="6">
        <v>2631</v>
      </c>
      <c r="R2661" s="7">
        <v>45298</v>
      </c>
      <c r="S2661" s="210">
        <v>4</v>
      </c>
      <c r="T2661" s="8">
        <v>1.0001111111111112</v>
      </c>
      <c r="U2661" s="98">
        <v>3.8538686230528585</v>
      </c>
      <c r="V2661" s="106">
        <v>32211.864162528327</v>
      </c>
      <c r="W2661" s="10">
        <v>0.94635546808488069</v>
      </c>
      <c r="X2661" s="420"/>
      <c r="Y2661" s="420"/>
      <c r="Z2661" s="1"/>
      <c r="AA2661" s="1"/>
      <c r="AB2661" s="1"/>
      <c r="AC2661" s="1"/>
      <c r="AD2661" s="1"/>
    </row>
    <row r="2662" spans="17:30">
      <c r="Q2662" s="6">
        <v>2632</v>
      </c>
      <c r="R2662" s="7">
        <v>45299</v>
      </c>
      <c r="S2662" s="210">
        <v>4</v>
      </c>
      <c r="T2662" s="8">
        <v>1.0001111111111112</v>
      </c>
      <c r="U2662" s="98">
        <v>3.853976686648819</v>
      </c>
      <c r="V2662" s="106">
        <v>32214.455981011928</v>
      </c>
      <c r="W2662" s="10">
        <v>0.94642323641467296</v>
      </c>
      <c r="X2662" s="420"/>
      <c r="Y2662" s="420"/>
      <c r="Z2662" s="1"/>
      <c r="AA2662" s="1"/>
      <c r="AB2662" s="1"/>
      <c r="AC2662" s="1"/>
      <c r="AD2662" s="1"/>
    </row>
    <row r="2663" spans="17:30">
      <c r="Q2663" s="6">
        <v>2633</v>
      </c>
      <c r="R2663" s="7">
        <v>45300</v>
      </c>
      <c r="S2663" s="210">
        <v>4</v>
      </c>
      <c r="T2663" s="8">
        <v>1.0001111111111112</v>
      </c>
      <c r="U2663" s="98">
        <v>3.8540846682731056</v>
      </c>
      <c r="V2663" s="106">
        <v>32217.048008037425</v>
      </c>
      <c r="W2663" s="10">
        <v>0.94649095331382771</v>
      </c>
      <c r="X2663" s="420"/>
      <c r="Y2663" s="420"/>
      <c r="Z2663" s="1"/>
      <c r="AA2663" s="1"/>
      <c r="AB2663" s="1"/>
      <c r="AC2663" s="1"/>
      <c r="AD2663" s="1"/>
    </row>
    <row r="2664" spans="17:30">
      <c r="Q2664" s="6">
        <v>2634</v>
      </c>
      <c r="R2664" s="7">
        <v>45301</v>
      </c>
      <c r="S2664" s="210">
        <v>4</v>
      </c>
      <c r="T2664" s="8">
        <v>1.0001111111111112</v>
      </c>
      <c r="U2664" s="98">
        <v>3.8541925680189326</v>
      </c>
      <c r="V2664" s="106">
        <v>32219.640243621587</v>
      </c>
      <c r="W2664" s="10">
        <v>0.94655861884078707</v>
      </c>
      <c r="X2664" s="420"/>
      <c r="Y2664" s="420"/>
      <c r="Z2664" s="1"/>
      <c r="AA2664" s="1"/>
      <c r="AB2664" s="1"/>
      <c r="AC2664" s="1"/>
      <c r="AD2664" s="1"/>
    </row>
    <row r="2665" spans="17:30">
      <c r="Q2665" s="6">
        <v>2635</v>
      </c>
      <c r="R2665" s="7">
        <v>45302</v>
      </c>
      <c r="S2665" s="210">
        <v>4</v>
      </c>
      <c r="T2665" s="8">
        <v>1.0001111111111112</v>
      </c>
      <c r="U2665" s="98">
        <v>3.8543003859793812</v>
      </c>
      <c r="V2665" s="106">
        <v>32222.232687781205</v>
      </c>
      <c r="W2665" s="10">
        <v>0.94662623305403759</v>
      </c>
      <c r="X2665" s="420"/>
      <c r="Y2665" s="420"/>
      <c r="Z2665" s="1"/>
      <c r="AA2665" s="1"/>
      <c r="AB2665" s="1"/>
      <c r="AC2665" s="1"/>
      <c r="AD2665" s="1"/>
    </row>
    <row r="2666" spans="17:30">
      <c r="Q2666" s="6">
        <v>2636</v>
      </c>
      <c r="R2666" s="7">
        <v>45303</v>
      </c>
      <c r="S2666" s="210">
        <v>4</v>
      </c>
      <c r="T2666" s="8">
        <v>1.0001111111111112</v>
      </c>
      <c r="U2666" s="98">
        <v>3.8544081222474214</v>
      </c>
      <c r="V2666" s="106">
        <v>32224.825340533051</v>
      </c>
      <c r="W2666" s="10">
        <v>0.94669379601188819</v>
      </c>
      <c r="X2666" s="420"/>
      <c r="Y2666" s="420"/>
      <c r="Z2666" s="1"/>
      <c r="AA2666" s="1"/>
      <c r="AB2666" s="1"/>
      <c r="AC2666" s="1"/>
      <c r="AD2666" s="1"/>
    </row>
    <row r="2667" spans="17:30">
      <c r="Q2667" s="6">
        <v>2637</v>
      </c>
      <c r="R2667" s="7">
        <v>45304</v>
      </c>
      <c r="S2667" s="210">
        <v>4</v>
      </c>
      <c r="T2667" s="8">
        <v>1.0001111111111112</v>
      </c>
      <c r="U2667" s="98">
        <v>3.8545157769158678</v>
      </c>
      <c r="V2667" s="106">
        <v>32227.418201893917</v>
      </c>
      <c r="W2667" s="10">
        <v>0.94676130777262557</v>
      </c>
      <c r="X2667" s="420"/>
      <c r="Y2667" s="420"/>
      <c r="Z2667" s="1"/>
      <c r="AA2667" s="1"/>
      <c r="AB2667" s="1"/>
      <c r="AC2667" s="1"/>
      <c r="AD2667" s="1"/>
    </row>
    <row r="2668" spans="17:30">
      <c r="Q2668" s="6">
        <v>2638</v>
      </c>
      <c r="R2668" s="7">
        <v>45305</v>
      </c>
      <c r="S2668" s="210">
        <v>4</v>
      </c>
      <c r="T2668" s="8">
        <v>1.0001111111111112</v>
      </c>
      <c r="U2668" s="98">
        <v>3.8546233500773797</v>
      </c>
      <c r="V2668" s="106">
        <v>32230.011271880583</v>
      </c>
      <c r="W2668" s="10">
        <v>0.94682876839442542</v>
      </c>
      <c r="X2668" s="420"/>
      <c r="Y2668" s="420"/>
      <c r="Z2668" s="1"/>
      <c r="AA2668" s="1"/>
      <c r="AB2668" s="1"/>
      <c r="AC2668" s="1"/>
      <c r="AD2668" s="1"/>
    </row>
    <row r="2669" spans="17:30">
      <c r="Q2669" s="6">
        <v>2639</v>
      </c>
      <c r="R2669" s="7">
        <v>45306</v>
      </c>
      <c r="S2669" s="210">
        <v>4</v>
      </c>
      <c r="T2669" s="8">
        <v>1.0001111111111112</v>
      </c>
      <c r="U2669" s="98">
        <v>3.854730841824483</v>
      </c>
      <c r="V2669" s="106">
        <v>32232.604550509845</v>
      </c>
      <c r="W2669" s="10">
        <v>0.94689617793533021</v>
      </c>
      <c r="X2669" s="420"/>
      <c r="Y2669" s="420"/>
      <c r="Z2669" s="1"/>
      <c r="AA2669" s="1"/>
      <c r="AB2669" s="1"/>
      <c r="AC2669" s="1"/>
      <c r="AD2669" s="1"/>
    </row>
    <row r="2670" spans="17:30">
      <c r="Q2670" s="6">
        <v>2640</v>
      </c>
      <c r="R2670" s="7">
        <v>45307</v>
      </c>
      <c r="S2670" s="210">
        <v>4</v>
      </c>
      <c r="T2670" s="8">
        <v>1.0001111111111112</v>
      </c>
      <c r="U2670" s="98">
        <v>3.8548382522495706</v>
      </c>
      <c r="V2670" s="106">
        <v>32235.198037798476</v>
      </c>
      <c r="W2670" s="10">
        <v>0.94696353645338238</v>
      </c>
      <c r="X2670" s="420"/>
      <c r="Y2670" s="420"/>
      <c r="Z2670" s="1"/>
      <c r="AA2670" s="1"/>
      <c r="AB2670" s="1"/>
      <c r="AC2670" s="1"/>
      <c r="AD2670" s="1"/>
    </row>
    <row r="2671" spans="17:30">
      <c r="Q2671" s="6">
        <v>2641</v>
      </c>
      <c r="R2671" s="7">
        <v>45308</v>
      </c>
      <c r="S2671" s="210">
        <v>4</v>
      </c>
      <c r="T2671" s="8">
        <v>1.0001111111111112</v>
      </c>
      <c r="U2671" s="98">
        <v>3.8549455814449018</v>
      </c>
      <c r="V2671" s="106">
        <v>32237.791733763279</v>
      </c>
      <c r="W2671" s="10">
        <v>0.94703084400646897</v>
      </c>
      <c r="X2671" s="420"/>
      <c r="Y2671" s="420"/>
      <c r="Z2671" s="1"/>
      <c r="AA2671" s="1"/>
      <c r="AB2671" s="1"/>
      <c r="AC2671" s="1"/>
      <c r="AD2671" s="1"/>
    </row>
    <row r="2672" spans="17:30">
      <c r="Q2672" s="6">
        <v>2642</v>
      </c>
      <c r="R2672" s="7">
        <v>45309</v>
      </c>
      <c r="S2672" s="210">
        <v>4</v>
      </c>
      <c r="T2672" s="8">
        <v>1.0001111111111112</v>
      </c>
      <c r="U2672" s="98">
        <v>3.855052829502581</v>
      </c>
      <c r="V2672" s="106">
        <v>32240.38563842103</v>
      </c>
      <c r="W2672" s="10">
        <v>0.9470981006524104</v>
      </c>
      <c r="X2672" s="420"/>
      <c r="Y2672" s="420"/>
      <c r="Z2672" s="1"/>
      <c r="AA2672" s="1"/>
      <c r="AB2672" s="1"/>
      <c r="AC2672" s="1"/>
      <c r="AD2672" s="1"/>
    </row>
    <row r="2673" spans="17:30">
      <c r="Q2673" s="6">
        <v>2643</v>
      </c>
      <c r="R2673" s="7">
        <v>45310</v>
      </c>
      <c r="S2673" s="210">
        <v>4</v>
      </c>
      <c r="T2673" s="8">
        <v>1.0001111111111112</v>
      </c>
      <c r="U2673" s="98">
        <v>3.8551599965145789</v>
      </c>
      <c r="V2673" s="106">
        <v>32242.979751788534</v>
      </c>
      <c r="W2673" s="10">
        <v>0.94716530644893826</v>
      </c>
      <c r="X2673" s="420"/>
      <c r="Y2673" s="420"/>
      <c r="Z2673" s="1"/>
      <c r="AA2673" s="1"/>
      <c r="AB2673" s="1"/>
      <c r="AC2673" s="1"/>
      <c r="AD2673" s="1"/>
    </row>
    <row r="2674" spans="17:30">
      <c r="Q2674" s="6">
        <v>2644</v>
      </c>
      <c r="R2674" s="7">
        <v>45311</v>
      </c>
      <c r="S2674" s="210">
        <v>4</v>
      </c>
      <c r="T2674" s="8">
        <v>1.0001111111111112</v>
      </c>
      <c r="U2674" s="98">
        <v>3.8552670825727331</v>
      </c>
      <c r="V2674" s="106">
        <v>32245.574073882577</v>
      </c>
      <c r="W2674" s="10">
        <v>0.94723246145369533</v>
      </c>
      <c r="X2674" s="420"/>
      <c r="Y2674" s="420"/>
      <c r="Z2674" s="1"/>
      <c r="AA2674" s="1"/>
      <c r="AB2674" s="1"/>
      <c r="AC2674" s="1"/>
      <c r="AD2674" s="1"/>
    </row>
    <row r="2675" spans="17:30">
      <c r="Q2675" s="6">
        <v>2645</v>
      </c>
      <c r="R2675" s="7">
        <v>45312</v>
      </c>
      <c r="S2675" s="210">
        <v>4</v>
      </c>
      <c r="T2675" s="8">
        <v>1.0001111111111112</v>
      </c>
      <c r="U2675" s="98">
        <v>3.8553740877687259</v>
      </c>
      <c r="V2675" s="106">
        <v>32248.168604719955</v>
      </c>
      <c r="W2675" s="10">
        <v>0.94729956572423557</v>
      </c>
      <c r="X2675" s="420"/>
      <c r="Y2675" s="420"/>
      <c r="Z2675" s="1"/>
      <c r="AA2675" s="1"/>
      <c r="AB2675" s="1"/>
      <c r="AC2675" s="1"/>
      <c r="AD2675" s="1"/>
    </row>
    <row r="2676" spans="17:30">
      <c r="Q2676" s="6">
        <v>2646</v>
      </c>
      <c r="R2676" s="7">
        <v>45313</v>
      </c>
      <c r="S2676" s="210">
        <v>4</v>
      </c>
      <c r="T2676" s="8">
        <v>1.0001111111111112</v>
      </c>
      <c r="U2676" s="98">
        <v>3.8554810121941285</v>
      </c>
      <c r="V2676" s="106">
        <v>32250.76334431746</v>
      </c>
      <c r="W2676" s="10">
        <v>0.94736661931806854</v>
      </c>
      <c r="X2676" s="420"/>
      <c r="Y2676" s="420"/>
      <c r="Z2676" s="1"/>
      <c r="AA2676" s="1"/>
      <c r="AB2676" s="1"/>
      <c r="AC2676" s="1"/>
      <c r="AD2676" s="1"/>
    </row>
    <row r="2677" spans="17:30">
      <c r="Q2677" s="6">
        <v>2647</v>
      </c>
      <c r="R2677" s="7">
        <v>45314</v>
      </c>
      <c r="S2677" s="210">
        <v>4</v>
      </c>
      <c r="T2677" s="8">
        <v>1.0001111111111112</v>
      </c>
      <c r="U2677" s="98">
        <v>3.8555878559403567</v>
      </c>
      <c r="V2677" s="106">
        <v>32253.358292691897</v>
      </c>
      <c r="W2677" s="10">
        <v>0.94743362229252615</v>
      </c>
      <c r="X2677" s="420"/>
      <c r="Y2677" s="420"/>
      <c r="Z2677" s="1"/>
      <c r="AA2677" s="1"/>
      <c r="AB2677" s="1"/>
      <c r="AC2677" s="1"/>
      <c r="AD2677" s="1"/>
    </row>
    <row r="2678" spans="17:30">
      <c r="Q2678" s="6">
        <v>2648</v>
      </c>
      <c r="R2678" s="7">
        <v>45315</v>
      </c>
      <c r="S2678" s="210">
        <v>4</v>
      </c>
      <c r="T2678" s="8">
        <v>1.0001111111111112</v>
      </c>
      <c r="U2678" s="98">
        <v>3.8556946190986929</v>
      </c>
      <c r="V2678" s="106">
        <v>32255.953449860066</v>
      </c>
      <c r="W2678" s="10">
        <v>0.94750057470496252</v>
      </c>
      <c r="X2678" s="420"/>
      <c r="Y2678" s="420"/>
      <c r="Z2678" s="1"/>
      <c r="AA2678" s="1"/>
      <c r="AB2678" s="1"/>
      <c r="AC2678" s="1"/>
      <c r="AD2678" s="1"/>
    </row>
    <row r="2679" spans="17:30">
      <c r="Q2679" s="6">
        <v>2649</v>
      </c>
      <c r="R2679" s="7">
        <v>45316</v>
      </c>
      <c r="S2679" s="210">
        <v>4</v>
      </c>
      <c r="T2679" s="8">
        <v>1.0001111111111112</v>
      </c>
      <c r="U2679" s="98">
        <v>3.8558013017602644</v>
      </c>
      <c r="V2679" s="106">
        <v>32258.548815838752</v>
      </c>
      <c r="W2679" s="10">
        <v>0.94756747661253193</v>
      </c>
      <c r="X2679" s="420"/>
      <c r="Y2679" s="420"/>
      <c r="Z2679" s="1"/>
      <c r="AA2679" s="1"/>
      <c r="AB2679" s="1"/>
      <c r="AC2679" s="1"/>
      <c r="AD2679" s="1"/>
    </row>
    <row r="2680" spans="17:30">
      <c r="Q2680" s="6">
        <v>2650</v>
      </c>
      <c r="R2680" s="7">
        <v>45317</v>
      </c>
      <c r="S2680" s="210">
        <v>4</v>
      </c>
      <c r="T2680" s="8">
        <v>1.0001111111111112</v>
      </c>
      <c r="U2680" s="98">
        <v>3.8559079040160871</v>
      </c>
      <c r="V2680" s="106">
        <v>32261.144390644768</v>
      </c>
      <c r="W2680" s="10">
        <v>0.94763432807241088</v>
      </c>
      <c r="X2680" s="420"/>
      <c r="Y2680" s="420"/>
      <c r="Z2680" s="1"/>
      <c r="AA2680" s="1"/>
      <c r="AB2680" s="1"/>
      <c r="AC2680" s="1"/>
      <c r="AD2680" s="1"/>
    </row>
    <row r="2681" spans="17:30">
      <c r="Q2681" s="6">
        <v>2651</v>
      </c>
      <c r="R2681" s="7">
        <v>45318</v>
      </c>
      <c r="S2681" s="210">
        <v>4</v>
      </c>
      <c r="T2681" s="8">
        <v>1.0001111111111112</v>
      </c>
      <c r="U2681" s="98">
        <v>3.8560144259570217</v>
      </c>
      <c r="V2681" s="106">
        <v>32263.740174294919</v>
      </c>
      <c r="W2681" s="10">
        <v>0.947701129141576</v>
      </c>
      <c r="X2681" s="420"/>
      <c r="Y2681" s="420"/>
      <c r="Z2681" s="1"/>
      <c r="AA2681" s="1"/>
      <c r="AB2681" s="1"/>
      <c r="AC2681" s="1"/>
      <c r="AD2681" s="1"/>
    </row>
    <row r="2682" spans="17:30">
      <c r="Q2682" s="6">
        <v>2652</v>
      </c>
      <c r="R2682" s="7">
        <v>45319</v>
      </c>
      <c r="S2682" s="210">
        <v>4</v>
      </c>
      <c r="T2682" s="8">
        <v>1.0001111111111112</v>
      </c>
      <c r="U2682" s="98">
        <v>3.8561208676737957</v>
      </c>
      <c r="V2682" s="106">
        <v>32266.336166806002</v>
      </c>
      <c r="W2682" s="10">
        <v>0.94776787987704836</v>
      </c>
      <c r="X2682" s="420"/>
      <c r="Y2682" s="420"/>
      <c r="Z2682" s="1"/>
      <c r="AA2682" s="1"/>
      <c r="AB2682" s="1"/>
      <c r="AC2682" s="1"/>
      <c r="AD2682" s="1"/>
    </row>
    <row r="2683" spans="17:30">
      <c r="Q2683" s="6">
        <v>2653</v>
      </c>
      <c r="R2683" s="7">
        <v>45320</v>
      </c>
      <c r="S2683" s="210">
        <v>4</v>
      </c>
      <c r="T2683" s="8">
        <v>1.0001111111111112</v>
      </c>
      <c r="U2683" s="98">
        <v>3.8562272292570032</v>
      </c>
      <c r="V2683" s="106">
        <v>32268.932368194819</v>
      </c>
      <c r="W2683" s="10">
        <v>0.94783458033562695</v>
      </c>
      <c r="X2683" s="420"/>
      <c r="Y2683" s="420"/>
      <c r="Z2683" s="1"/>
      <c r="AA2683" s="1"/>
      <c r="AB2683" s="1"/>
      <c r="AC2683" s="1"/>
      <c r="AD2683" s="1"/>
    </row>
    <row r="2684" spans="17:30">
      <c r="Q2684" s="6">
        <v>2654</v>
      </c>
      <c r="R2684" s="7">
        <v>45321</v>
      </c>
      <c r="S2684" s="210">
        <v>4</v>
      </c>
      <c r="T2684" s="8">
        <v>1.0001111111111112</v>
      </c>
      <c r="U2684" s="98">
        <v>3.8563335107971053</v>
      </c>
      <c r="V2684" s="106">
        <v>32271.528778478194</v>
      </c>
      <c r="W2684" s="10">
        <v>0.94790123057415521</v>
      </c>
      <c r="X2684" s="420"/>
      <c r="Y2684" s="420"/>
      <c r="Z2684" s="1"/>
      <c r="AA2684" s="1"/>
      <c r="AB2684" s="1"/>
      <c r="AC2684" s="1"/>
      <c r="AD2684" s="1"/>
    </row>
    <row r="2685" spans="17:30">
      <c r="Q2685" s="6">
        <v>2655</v>
      </c>
      <c r="R2685" s="7">
        <v>45322</v>
      </c>
      <c r="S2685" s="210">
        <v>4</v>
      </c>
      <c r="T2685" s="8">
        <v>1.0001111111111112</v>
      </c>
      <c r="U2685" s="98">
        <v>3.8564397123844296</v>
      </c>
      <c r="V2685" s="106">
        <v>32274.125397672917</v>
      </c>
      <c r="W2685" s="10">
        <v>0.9479678306492767</v>
      </c>
      <c r="X2685" s="420"/>
      <c r="Y2685" s="420"/>
      <c r="Z2685" s="1"/>
      <c r="AA2685" s="1"/>
      <c r="AB2685" s="1"/>
      <c r="AC2685" s="1"/>
      <c r="AD2685" s="1"/>
    </row>
    <row r="2686" spans="17:30">
      <c r="Q2686" s="6">
        <v>2656</v>
      </c>
      <c r="R2686" s="7">
        <v>45323</v>
      </c>
      <c r="S2686" s="210">
        <v>4</v>
      </c>
      <c r="T2686" s="8">
        <v>1.0001111111111112</v>
      </c>
      <c r="U2686" s="98">
        <v>3.8565458341091485</v>
      </c>
      <c r="V2686" s="106">
        <v>32276.722225795798</v>
      </c>
      <c r="W2686" s="10">
        <v>0.94803438061765721</v>
      </c>
      <c r="X2686" s="420"/>
      <c r="Y2686" s="420"/>
      <c r="Z2686" s="1"/>
      <c r="AA2686" s="1"/>
      <c r="AB2686" s="1"/>
      <c r="AC2686" s="1"/>
      <c r="AD2686" s="1"/>
    </row>
    <row r="2687" spans="17:30">
      <c r="Q2687" s="6">
        <v>2657</v>
      </c>
      <c r="R2687" s="7">
        <v>45324</v>
      </c>
      <c r="S2687" s="210">
        <v>4</v>
      </c>
      <c r="T2687" s="8">
        <v>1.0001111111111112</v>
      </c>
      <c r="U2687" s="98">
        <v>3.8566518760613233</v>
      </c>
      <c r="V2687" s="106">
        <v>32279.319262863661</v>
      </c>
      <c r="W2687" s="10">
        <v>0.9481008805357849</v>
      </c>
      <c r="X2687" s="420"/>
      <c r="Y2687" s="420"/>
      <c r="Z2687" s="1"/>
      <c r="AA2687" s="1"/>
      <c r="AB2687" s="1"/>
      <c r="AC2687" s="1"/>
      <c r="AD2687" s="1"/>
    </row>
    <row r="2688" spans="17:30">
      <c r="Q2688" s="6">
        <v>2658</v>
      </c>
      <c r="R2688" s="7">
        <v>45325</v>
      </c>
      <c r="S2688" s="210">
        <v>4</v>
      </c>
      <c r="T2688" s="8">
        <v>1.0001111111111112</v>
      </c>
      <c r="U2688" s="98">
        <v>3.8567578383308598</v>
      </c>
      <c r="V2688" s="106">
        <v>32281.916508893308</v>
      </c>
      <c r="W2688" s="10">
        <v>0.94816733046008128</v>
      </c>
      <c r="X2688" s="420"/>
      <c r="Y2688" s="420"/>
      <c r="Z2688" s="1"/>
      <c r="AA2688" s="1"/>
      <c r="AB2688" s="1"/>
      <c r="AC2688" s="1"/>
      <c r="AD2688" s="1"/>
    </row>
    <row r="2689" spans="17:30">
      <c r="Q2689" s="6">
        <v>2659</v>
      </c>
      <c r="R2689" s="7">
        <v>45326</v>
      </c>
      <c r="S2689" s="210">
        <v>4</v>
      </c>
      <c r="T2689" s="8">
        <v>1.0001111111111112</v>
      </c>
      <c r="U2689" s="98">
        <v>3.8568637210075529</v>
      </c>
      <c r="V2689" s="106">
        <v>32284.513963901547</v>
      </c>
      <c r="W2689" s="10">
        <v>0.9482337304469679</v>
      </c>
      <c r="X2689" s="420"/>
      <c r="Y2689" s="420"/>
      <c r="Z2689" s="1"/>
      <c r="AA2689" s="1"/>
      <c r="AB2689" s="1"/>
      <c r="AC2689" s="1"/>
      <c r="AD2689" s="1"/>
    </row>
    <row r="2690" spans="17:30">
      <c r="Q2690" s="6">
        <v>2660</v>
      </c>
      <c r="R2690" s="7">
        <v>45327</v>
      </c>
      <c r="S2690" s="210">
        <v>4</v>
      </c>
      <c r="T2690" s="8">
        <v>1.0001111111111112</v>
      </c>
      <c r="U2690" s="98">
        <v>3.856969524181042</v>
      </c>
      <c r="V2690" s="106">
        <v>32287.111627905215</v>
      </c>
      <c r="W2690" s="10">
        <v>0.94830008055266646</v>
      </c>
      <c r="X2690" s="420"/>
      <c r="Y2690" s="420"/>
      <c r="Z2690" s="1"/>
      <c r="AA2690" s="1"/>
      <c r="AB2690" s="1"/>
      <c r="AC2690" s="1"/>
      <c r="AD2690" s="1"/>
    </row>
    <row r="2691" spans="17:30">
      <c r="Q2691" s="6">
        <v>2661</v>
      </c>
      <c r="R2691" s="7">
        <v>45328</v>
      </c>
      <c r="S2691" s="210">
        <v>4</v>
      </c>
      <c r="T2691" s="8">
        <v>1.0001111111111112</v>
      </c>
      <c r="U2691" s="98">
        <v>3.8570752479408332</v>
      </c>
      <c r="V2691" s="106">
        <v>32289.709500921104</v>
      </c>
      <c r="W2691" s="10">
        <v>0.94836638083339864</v>
      </c>
      <c r="X2691" s="420"/>
      <c r="Y2691" s="420"/>
      <c r="Z2691" s="1"/>
      <c r="AA2691" s="1"/>
      <c r="AB2691" s="1"/>
      <c r="AC2691" s="1"/>
      <c r="AD2691" s="1"/>
    </row>
    <row r="2692" spans="17:30">
      <c r="Q2692" s="6">
        <v>2662</v>
      </c>
      <c r="R2692" s="7">
        <v>45329</v>
      </c>
      <c r="S2692" s="210">
        <v>4</v>
      </c>
      <c r="T2692" s="8">
        <v>1.0001111111111112</v>
      </c>
      <c r="U2692" s="98">
        <v>3.8571808923762996</v>
      </c>
      <c r="V2692" s="106">
        <v>32292.307582966041</v>
      </c>
      <c r="W2692" s="10">
        <v>0.9484326313452307</v>
      </c>
      <c r="X2692" s="420"/>
      <c r="Y2692" s="420"/>
      <c r="Z2692" s="1"/>
      <c r="AA2692" s="1"/>
      <c r="AB2692" s="1"/>
      <c r="AC2692" s="1"/>
      <c r="AD2692" s="1"/>
    </row>
    <row r="2693" spans="17:30">
      <c r="Q2693" s="6">
        <v>2663</v>
      </c>
      <c r="R2693" s="7">
        <v>45330</v>
      </c>
      <c r="S2693" s="210">
        <v>4</v>
      </c>
      <c r="T2693" s="8">
        <v>1.0001111111111112</v>
      </c>
      <c r="U2693" s="98">
        <v>3.8572864575766808</v>
      </c>
      <c r="V2693" s="106">
        <v>32294.905874056851</v>
      </c>
      <c r="W2693" s="10">
        <v>0.94849883214418451</v>
      </c>
      <c r="X2693" s="420"/>
      <c r="Y2693" s="420"/>
      <c r="Z2693" s="1"/>
      <c r="AA2693" s="1"/>
      <c r="AB2693" s="1"/>
      <c r="AC2693" s="1"/>
      <c r="AD2693" s="1"/>
    </row>
    <row r="2694" spans="17:30">
      <c r="Q2694" s="6">
        <v>2664</v>
      </c>
      <c r="R2694" s="7">
        <v>45331</v>
      </c>
      <c r="S2694" s="210">
        <v>4</v>
      </c>
      <c r="T2694" s="8">
        <v>1.0001111111111112</v>
      </c>
      <c r="U2694" s="98">
        <v>3.8573919436310833</v>
      </c>
      <c r="V2694" s="106">
        <v>32297.504374210341</v>
      </c>
      <c r="W2694" s="10">
        <v>0.9485649832861931</v>
      </c>
      <c r="X2694" s="420"/>
      <c r="Y2694" s="420"/>
      <c r="Z2694" s="1"/>
      <c r="AA2694" s="1"/>
      <c r="AB2694" s="1"/>
      <c r="AC2694" s="1"/>
      <c r="AD2694" s="1"/>
    </row>
    <row r="2695" spans="17:30">
      <c r="Q2695" s="6">
        <v>2665</v>
      </c>
      <c r="R2695" s="7">
        <v>45332</v>
      </c>
      <c r="S2695" s="210">
        <v>4</v>
      </c>
      <c r="T2695" s="8">
        <v>1.0001111111111112</v>
      </c>
      <c r="U2695" s="98">
        <v>3.8574973506284804</v>
      </c>
      <c r="V2695" s="106">
        <v>32300.103083443344</v>
      </c>
      <c r="W2695" s="10">
        <v>0.94863108482712288</v>
      </c>
      <c r="X2695" s="420"/>
      <c r="Y2695" s="420"/>
      <c r="Z2695" s="1"/>
      <c r="AA2695" s="1"/>
      <c r="AB2695" s="1"/>
      <c r="AC2695" s="1"/>
      <c r="AD2695" s="1"/>
    </row>
    <row r="2696" spans="17:30">
      <c r="Q2696" s="6">
        <v>2666</v>
      </c>
      <c r="R2696" s="7">
        <v>45333</v>
      </c>
      <c r="S2696" s="210">
        <v>4</v>
      </c>
      <c r="T2696" s="8">
        <v>1.0001111111111112</v>
      </c>
      <c r="U2696" s="98">
        <v>3.8576026786577344</v>
      </c>
      <c r="V2696" s="106">
        <v>32302.702001772679</v>
      </c>
      <c r="W2696" s="10">
        <v>0.94869713682272927</v>
      </c>
      <c r="X2696" s="420"/>
      <c r="Y2696" s="420"/>
      <c r="Z2696" s="1"/>
      <c r="AA2696" s="1"/>
      <c r="AB2696" s="1"/>
      <c r="AC2696" s="1"/>
      <c r="AD2696" s="1"/>
    </row>
    <row r="2697" spans="17:30">
      <c r="Q2697" s="6">
        <v>2667</v>
      </c>
      <c r="R2697" s="7">
        <v>45334</v>
      </c>
      <c r="S2697" s="210">
        <v>4</v>
      </c>
      <c r="T2697" s="8">
        <v>1.0001111111111112</v>
      </c>
      <c r="U2697" s="98">
        <v>3.8577079278075299</v>
      </c>
      <c r="V2697" s="106">
        <v>32305.301129215168</v>
      </c>
      <c r="W2697" s="10">
        <v>0.94876313932870104</v>
      </c>
      <c r="X2697" s="420"/>
      <c r="Y2697" s="420"/>
      <c r="Z2697" s="1"/>
      <c r="AA2697" s="1"/>
      <c r="AB2697" s="1"/>
      <c r="AC2697" s="1"/>
      <c r="AD2697" s="1"/>
    </row>
    <row r="2698" spans="17:30">
      <c r="Q2698" s="6">
        <v>2668</v>
      </c>
      <c r="R2698" s="7">
        <v>45335</v>
      </c>
      <c r="S2698" s="210">
        <v>4</v>
      </c>
      <c r="T2698" s="8">
        <v>1.0001111111111112</v>
      </c>
      <c r="U2698" s="98">
        <v>3.8578130981664627</v>
      </c>
      <c r="V2698" s="106">
        <v>32307.900465787632</v>
      </c>
      <c r="W2698" s="10">
        <v>0.94882909240066038</v>
      </c>
      <c r="X2698" s="420"/>
      <c r="Y2698" s="420"/>
      <c r="Z2698" s="1"/>
      <c r="AA2698" s="1"/>
      <c r="AB2698" s="1"/>
      <c r="AC2698" s="1"/>
      <c r="AD2698" s="1"/>
    </row>
    <row r="2699" spans="17:30">
      <c r="Q2699" s="6">
        <v>2669</v>
      </c>
      <c r="R2699" s="7">
        <v>45336</v>
      </c>
      <c r="S2699" s="210">
        <v>4</v>
      </c>
      <c r="T2699" s="8">
        <v>1.0001111111111112</v>
      </c>
      <c r="U2699" s="98">
        <v>3.8579181898229509</v>
      </c>
      <c r="V2699" s="106">
        <v>32310.500011506912</v>
      </c>
      <c r="W2699" s="10">
        <v>0.94889499609407402</v>
      </c>
      <c r="X2699" s="420"/>
      <c r="Y2699" s="420"/>
      <c r="Z2699" s="1"/>
      <c r="AA2699" s="1"/>
      <c r="AB2699" s="1"/>
      <c r="AC2699" s="1"/>
      <c r="AD2699" s="1"/>
    </row>
    <row r="2700" spans="17:30">
      <c r="Q2700" s="6">
        <v>2670</v>
      </c>
      <c r="R2700" s="7">
        <v>45337</v>
      </c>
      <c r="S2700" s="210">
        <v>4</v>
      </c>
      <c r="T2700" s="8">
        <v>1.0001111111111112</v>
      </c>
      <c r="U2700" s="98">
        <v>3.8580232028653239</v>
      </c>
      <c r="V2700" s="106">
        <v>32313.099766389827</v>
      </c>
      <c r="W2700" s="10">
        <v>0.94896085046443091</v>
      </c>
      <c r="X2700" s="420"/>
      <c r="Y2700" s="420"/>
      <c r="Z2700" s="1"/>
      <c r="AA2700" s="1"/>
      <c r="AB2700" s="1"/>
      <c r="AC2700" s="1"/>
      <c r="AD2700" s="1"/>
    </row>
    <row r="2701" spans="17:30">
      <c r="Q2701" s="6">
        <v>2671</v>
      </c>
      <c r="R2701" s="7">
        <v>45338</v>
      </c>
      <c r="S2701" s="210">
        <v>4</v>
      </c>
      <c r="T2701" s="8">
        <v>1.0001111111111112</v>
      </c>
      <c r="U2701" s="98">
        <v>3.8581281373817555</v>
      </c>
      <c r="V2701" s="106">
        <v>32315.699730453209</v>
      </c>
      <c r="W2701" s="10">
        <v>0.94902665556702015</v>
      </c>
      <c r="X2701" s="420"/>
      <c r="Y2701" s="420"/>
      <c r="Z2701" s="1"/>
      <c r="AA2701" s="1"/>
      <c r="AB2701" s="1"/>
      <c r="AC2701" s="1"/>
      <c r="AD2701" s="1"/>
    </row>
    <row r="2702" spans="17:30">
      <c r="Q2702" s="6">
        <v>2672</v>
      </c>
      <c r="R2702" s="7">
        <v>45339</v>
      </c>
      <c r="S2702" s="210">
        <v>4</v>
      </c>
      <c r="T2702" s="8">
        <v>1.0001111111111112</v>
      </c>
      <c r="U2702" s="98">
        <v>3.8582329934602866</v>
      </c>
      <c r="V2702" s="106">
        <v>32318.299903713883</v>
      </c>
      <c r="W2702" s="10">
        <v>0.94909241145715306</v>
      </c>
      <c r="X2702" s="420"/>
      <c r="Y2702" s="420"/>
      <c r="Z2702" s="1"/>
      <c r="AA2702" s="1"/>
      <c r="AB2702" s="1"/>
      <c r="AC2702" s="1"/>
      <c r="AD2702" s="1"/>
    </row>
    <row r="2703" spans="17:30">
      <c r="Q2703" s="6">
        <v>2673</v>
      </c>
      <c r="R2703" s="7">
        <v>45340</v>
      </c>
      <c r="S2703" s="210">
        <v>4</v>
      </c>
      <c r="T2703" s="8">
        <v>1.0001111111111112</v>
      </c>
      <c r="U2703" s="98">
        <v>3.8583377711888467</v>
      </c>
      <c r="V2703" s="106">
        <v>32320.900286188691</v>
      </c>
      <c r="W2703" s="10">
        <v>0.94915811819002993</v>
      </c>
      <c r="X2703" s="420"/>
      <c r="Y2703" s="420"/>
      <c r="Z2703" s="1"/>
      <c r="AA2703" s="1"/>
      <c r="AB2703" s="1"/>
      <c r="AC2703" s="1"/>
      <c r="AD2703" s="1"/>
    </row>
    <row r="2704" spans="17:30">
      <c r="Q2704" s="6">
        <v>2674</v>
      </c>
      <c r="R2704" s="7">
        <v>45341</v>
      </c>
      <c r="S2704" s="210">
        <v>4</v>
      </c>
      <c r="T2704" s="8">
        <v>1.0001111111111112</v>
      </c>
      <c r="U2704" s="98">
        <v>3.8584424706552101</v>
      </c>
      <c r="V2704" s="106">
        <v>32323.500877894461</v>
      </c>
      <c r="W2704" s="10">
        <v>0.94922377582069561</v>
      </c>
      <c r="X2704" s="420"/>
      <c r="Y2704" s="420"/>
      <c r="Z2704" s="1"/>
      <c r="AA2704" s="1"/>
      <c r="AB2704" s="1"/>
      <c r="AC2704" s="1"/>
      <c r="AD2704" s="1"/>
    </row>
    <row r="2705" spans="17:30">
      <c r="Q2705" s="6">
        <v>2675</v>
      </c>
      <c r="R2705" s="7">
        <v>45342</v>
      </c>
      <c r="S2705" s="210">
        <v>4</v>
      </c>
      <c r="T2705" s="8">
        <v>1.0001111111111112</v>
      </c>
      <c r="U2705" s="98">
        <v>3.8585470919470177</v>
      </c>
      <c r="V2705" s="106">
        <v>32326.10167884803</v>
      </c>
      <c r="W2705" s="10">
        <v>0.94928938440421717</v>
      </c>
      <c r="X2705" s="420"/>
      <c r="Y2705" s="420"/>
      <c r="Z2705" s="1"/>
      <c r="AA2705" s="1"/>
      <c r="AB2705" s="1"/>
      <c r="AC2705" s="1"/>
      <c r="AD2705" s="1"/>
    </row>
    <row r="2706" spans="17:30">
      <c r="Q2706" s="6">
        <v>2676</v>
      </c>
      <c r="R2706" s="7">
        <v>45343</v>
      </c>
      <c r="S2706" s="210">
        <v>4</v>
      </c>
      <c r="T2706" s="8">
        <v>1.0001111111111112</v>
      </c>
      <c r="U2706" s="98">
        <v>3.8586516351517997</v>
      </c>
      <c r="V2706" s="106">
        <v>32328.702689066231</v>
      </c>
      <c r="W2706" s="10">
        <v>0.94935494399550624</v>
      </c>
      <c r="X2706" s="420"/>
      <c r="Y2706" s="420"/>
      <c r="Z2706" s="1"/>
      <c r="AA2706" s="1"/>
      <c r="AB2706" s="1"/>
      <c r="AC2706" s="1"/>
      <c r="AD2706" s="1"/>
    </row>
    <row r="2707" spans="17:30">
      <c r="Q2707" s="6">
        <v>2677</v>
      </c>
      <c r="R2707" s="7">
        <v>45344</v>
      </c>
      <c r="S2707" s="210">
        <v>4</v>
      </c>
      <c r="T2707" s="8">
        <v>1.0001111111111112</v>
      </c>
      <c r="U2707" s="98">
        <v>3.8587561003569526</v>
      </c>
      <c r="V2707" s="106">
        <v>32331.303908565904</v>
      </c>
      <c r="W2707" s="10">
        <v>0.94942045464943003</v>
      </c>
      <c r="X2707" s="420"/>
      <c r="Y2707" s="420"/>
      <c r="Z2707" s="1"/>
      <c r="AA2707" s="1"/>
      <c r="AB2707" s="1"/>
      <c r="AC2707" s="1"/>
      <c r="AD2707" s="1"/>
    </row>
    <row r="2708" spans="17:30">
      <c r="Q2708" s="6">
        <v>2678</v>
      </c>
      <c r="R2708" s="7">
        <v>45345</v>
      </c>
      <c r="S2708" s="210">
        <v>4</v>
      </c>
      <c r="T2708" s="8">
        <v>1.0001111111111112</v>
      </c>
      <c r="U2708" s="98">
        <v>3.8588604876497401</v>
      </c>
      <c r="V2708" s="106">
        <v>32333.905337363893</v>
      </c>
      <c r="W2708" s="10">
        <v>0.94948591642074476</v>
      </c>
      <c r="X2708" s="420"/>
      <c r="Y2708" s="420"/>
      <c r="Z2708" s="1"/>
      <c r="AA2708" s="1"/>
      <c r="AB2708" s="1"/>
      <c r="AC2708" s="1"/>
      <c r="AD2708" s="1"/>
    </row>
    <row r="2709" spans="17:30">
      <c r="Q2709" s="6">
        <v>2679</v>
      </c>
      <c r="R2709" s="7">
        <v>45346</v>
      </c>
      <c r="S2709" s="210">
        <v>4</v>
      </c>
      <c r="T2709" s="8">
        <v>1.0001111111111112</v>
      </c>
      <c r="U2709" s="98">
        <v>3.8589647971172703</v>
      </c>
      <c r="V2709" s="106">
        <v>32336.50697547703</v>
      </c>
      <c r="W2709" s="10">
        <v>0.9495513293641622</v>
      </c>
      <c r="X2709" s="420"/>
      <c r="Y2709" s="420"/>
      <c r="Z2709" s="1"/>
      <c r="AA2709" s="1"/>
      <c r="AB2709" s="1"/>
      <c r="AC2709" s="1"/>
      <c r="AD2709" s="1"/>
    </row>
    <row r="2710" spans="17:30">
      <c r="Q2710" s="6">
        <v>2680</v>
      </c>
      <c r="R2710" s="7">
        <v>45347</v>
      </c>
      <c r="S2710" s="210">
        <v>4</v>
      </c>
      <c r="T2710" s="8">
        <v>1.0001111111111112</v>
      </c>
      <c r="U2710" s="98">
        <v>3.8590690288465623</v>
      </c>
      <c r="V2710" s="106">
        <v>32339.108822922164</v>
      </c>
      <c r="W2710" s="10">
        <v>0.94961669353430533</v>
      </c>
      <c r="X2710" s="420"/>
      <c r="Y2710" s="420"/>
      <c r="Z2710" s="1"/>
      <c r="AA2710" s="1"/>
      <c r="AB2710" s="1"/>
      <c r="AC2710" s="1"/>
      <c r="AD2710" s="1"/>
    </row>
    <row r="2711" spans="17:30">
      <c r="Q2711" s="6">
        <v>2681</v>
      </c>
      <c r="R2711" s="7">
        <v>45348</v>
      </c>
      <c r="S2711" s="210">
        <v>4</v>
      </c>
      <c r="T2711" s="8">
        <v>1.0001111111111112</v>
      </c>
      <c r="U2711" s="98">
        <v>3.8591731829244802</v>
      </c>
      <c r="V2711" s="106">
        <v>32341.710879716138</v>
      </c>
      <c r="W2711" s="10">
        <v>0.94968200898566391</v>
      </c>
      <c r="X2711" s="420"/>
      <c r="Y2711" s="420"/>
      <c r="Z2711" s="1"/>
      <c r="AA2711" s="1"/>
      <c r="AB2711" s="1"/>
      <c r="AC2711" s="1"/>
      <c r="AD2711" s="1"/>
    </row>
    <row r="2712" spans="17:30">
      <c r="Q2712" s="6">
        <v>2682</v>
      </c>
      <c r="R2712" s="7">
        <v>45349</v>
      </c>
      <c r="S2712" s="210">
        <v>4</v>
      </c>
      <c r="T2712" s="8">
        <v>1.0001111111111112</v>
      </c>
      <c r="U2712" s="98">
        <v>3.8592772594377767</v>
      </c>
      <c r="V2712" s="106">
        <v>32344.313145875785</v>
      </c>
      <c r="W2712" s="10">
        <v>0.94974727577272766</v>
      </c>
      <c r="X2712" s="420"/>
      <c r="Y2712" s="420"/>
      <c r="Z2712" s="1"/>
      <c r="AA2712" s="1"/>
      <c r="AB2712" s="1"/>
      <c r="AC2712" s="1"/>
      <c r="AD2712" s="1"/>
    </row>
    <row r="2713" spans="17:30">
      <c r="Q2713" s="6">
        <v>2683</v>
      </c>
      <c r="R2713" s="7">
        <v>45350</v>
      </c>
      <c r="S2713" s="210">
        <v>4</v>
      </c>
      <c r="T2713" s="8">
        <v>1.0001111111111112</v>
      </c>
      <c r="U2713" s="98">
        <v>3.8593812584730491</v>
      </c>
      <c r="V2713" s="106">
        <v>32346.91562141796</v>
      </c>
      <c r="W2713" s="10">
        <v>0.94981249394983092</v>
      </c>
      <c r="X2713" s="420"/>
      <c r="Y2713" s="420"/>
      <c r="Z2713" s="1"/>
      <c r="AA2713" s="1"/>
      <c r="AB2713" s="1"/>
      <c r="AC2713" s="1"/>
      <c r="AD2713" s="1"/>
    </row>
    <row r="2714" spans="17:30">
      <c r="Q2714" s="6">
        <v>2684</v>
      </c>
      <c r="R2714" s="7">
        <v>45351</v>
      </c>
      <c r="S2714" s="210">
        <v>4</v>
      </c>
      <c r="T2714" s="8">
        <v>1.0001111111111112</v>
      </c>
      <c r="U2714" s="98">
        <v>3.8594851801168062</v>
      </c>
      <c r="V2714" s="106">
        <v>32349.518306359518</v>
      </c>
      <c r="W2714" s="10">
        <v>0.94987766357128578</v>
      </c>
      <c r="X2714" s="420"/>
      <c r="Y2714" s="420"/>
      <c r="Z2714" s="1"/>
      <c r="AA2714" s="1"/>
      <c r="AB2714" s="1"/>
      <c r="AC2714" s="1"/>
      <c r="AD2714" s="1"/>
    </row>
    <row r="2715" spans="17:30">
      <c r="Q2715" s="6">
        <v>2685</v>
      </c>
      <c r="R2715" s="7">
        <v>45352</v>
      </c>
      <c r="S2715" s="210">
        <v>4</v>
      </c>
      <c r="T2715" s="8">
        <v>1.0001111111111112</v>
      </c>
      <c r="U2715" s="98">
        <v>3.8595890244553788</v>
      </c>
      <c r="V2715" s="106">
        <v>32352.121200717294</v>
      </c>
      <c r="W2715" s="10">
        <v>0.94994278469129334</v>
      </c>
      <c r="X2715" s="420"/>
      <c r="Y2715" s="420"/>
      <c r="Z2715" s="1"/>
      <c r="AA2715" s="1"/>
      <c r="AB2715" s="1"/>
      <c r="AC2715" s="1"/>
      <c r="AD2715" s="1"/>
    </row>
    <row r="2716" spans="17:30">
      <c r="Q2716" s="6">
        <v>2686</v>
      </c>
      <c r="R2716" s="7">
        <v>45353</v>
      </c>
      <c r="S2716" s="210">
        <v>4</v>
      </c>
      <c r="T2716" s="8">
        <v>1.0001111111111112</v>
      </c>
      <c r="U2716" s="98">
        <v>3.8596927915749868</v>
      </c>
      <c r="V2716" s="106">
        <v>32354.724304508141</v>
      </c>
      <c r="W2716" s="10">
        <v>0.95000785736394366</v>
      </c>
      <c r="X2716" s="420"/>
      <c r="Y2716" s="420"/>
      <c r="Z2716" s="1"/>
      <c r="AA2716" s="1"/>
      <c r="AB2716" s="1"/>
      <c r="AC2716" s="1"/>
      <c r="AD2716" s="1"/>
    </row>
    <row r="2717" spans="17:30">
      <c r="Q2717" s="6">
        <v>2687</v>
      </c>
      <c r="R2717" s="7">
        <v>45354</v>
      </c>
      <c r="S2717" s="210">
        <v>4</v>
      </c>
      <c r="T2717" s="8">
        <v>1.0001111111111112</v>
      </c>
      <c r="U2717" s="98">
        <v>3.8597964815617614</v>
      </c>
      <c r="V2717" s="106">
        <v>32357.327617748917</v>
      </c>
      <c r="W2717" s="10">
        <v>0.95007288164332682</v>
      </c>
      <c r="X2717" s="420"/>
      <c r="Y2717" s="420"/>
      <c r="Z2717" s="1"/>
      <c r="AA2717" s="1"/>
      <c r="AB2717" s="1"/>
      <c r="AC2717" s="1"/>
      <c r="AD2717" s="1"/>
    </row>
    <row r="2718" spans="17:30">
      <c r="Q2718" s="6">
        <v>2688</v>
      </c>
      <c r="R2718" s="7">
        <v>45355</v>
      </c>
      <c r="S2718" s="210">
        <v>4</v>
      </c>
      <c r="T2718" s="8">
        <v>1.0001111111111112</v>
      </c>
      <c r="U2718" s="98">
        <v>3.8599000945016337</v>
      </c>
      <c r="V2718" s="106">
        <v>32359.931140456465</v>
      </c>
      <c r="W2718" s="10">
        <v>0.95013785758337743</v>
      </c>
      <c r="X2718" s="420"/>
      <c r="Y2718" s="420"/>
      <c r="Z2718" s="1"/>
      <c r="AA2718" s="1"/>
      <c r="AB2718" s="1"/>
      <c r="AC2718" s="1"/>
      <c r="AD2718" s="1"/>
    </row>
    <row r="2719" spans="17:30">
      <c r="Q2719" s="6">
        <v>2689</v>
      </c>
      <c r="R2719" s="7">
        <v>45356</v>
      </c>
      <c r="S2719" s="210">
        <v>4</v>
      </c>
      <c r="T2719" s="8">
        <v>1.0001111111111112</v>
      </c>
      <c r="U2719" s="98">
        <v>3.8600036304804686</v>
      </c>
      <c r="V2719" s="106">
        <v>32362.534872647651</v>
      </c>
      <c r="W2719" s="10">
        <v>0.95020278523798574</v>
      </c>
      <c r="X2719" s="420"/>
      <c r="Y2719" s="420"/>
      <c r="Z2719" s="1"/>
      <c r="AA2719" s="1"/>
      <c r="AB2719" s="1"/>
      <c r="AC2719" s="1"/>
      <c r="AD2719" s="1"/>
    </row>
    <row r="2720" spans="17:30">
      <c r="Q2720" s="6">
        <v>2690</v>
      </c>
      <c r="R2720" s="7">
        <v>45357</v>
      </c>
      <c r="S2720" s="210">
        <v>4</v>
      </c>
      <c r="T2720" s="8">
        <v>1.0001111111111112</v>
      </c>
      <c r="U2720" s="98">
        <v>3.8601070895839751</v>
      </c>
      <c r="V2720" s="106">
        <v>32365.13881433932</v>
      </c>
      <c r="W2720" s="10">
        <v>0.95026766466095314</v>
      </c>
      <c r="X2720" s="420"/>
      <c r="Y2720" s="420"/>
      <c r="Z2720" s="1"/>
      <c r="AA2720" s="1"/>
      <c r="AB2720" s="1"/>
      <c r="AC2720" s="1"/>
      <c r="AD2720" s="1"/>
    </row>
    <row r="2721" spans="17:30">
      <c r="Q2721" s="6">
        <v>2691</v>
      </c>
      <c r="R2721" s="7">
        <v>45358</v>
      </c>
      <c r="S2721" s="210">
        <v>4</v>
      </c>
      <c r="T2721" s="8">
        <v>1.0001111111111112</v>
      </c>
      <c r="U2721" s="98">
        <v>3.8602104718977515</v>
      </c>
      <c r="V2721" s="106">
        <v>32367.742965548336</v>
      </c>
      <c r="W2721" s="10">
        <v>0.95033249590601443</v>
      </c>
      <c r="X2721" s="420"/>
      <c r="Y2721" s="420"/>
      <c r="Z2721" s="1"/>
      <c r="AA2721" s="1"/>
      <c r="AB2721" s="1"/>
      <c r="AC2721" s="1"/>
      <c r="AD2721" s="1"/>
    </row>
    <row r="2722" spans="17:30">
      <c r="Q2722" s="6">
        <v>2692</v>
      </c>
      <c r="R2722" s="7">
        <v>45359</v>
      </c>
      <c r="S2722" s="210">
        <v>4</v>
      </c>
      <c r="T2722" s="8">
        <v>1.0001111111111112</v>
      </c>
      <c r="U2722" s="98">
        <v>3.8603137775072627</v>
      </c>
      <c r="V2722" s="106">
        <v>32370.34732629155</v>
      </c>
      <c r="W2722" s="10">
        <v>0.95039727902681559</v>
      </c>
      <c r="X2722" s="420"/>
      <c r="Y2722" s="420"/>
      <c r="Z2722" s="1"/>
      <c r="AA2722" s="1"/>
      <c r="AB2722" s="1"/>
      <c r="AC2722" s="1"/>
      <c r="AD2722" s="1"/>
    </row>
    <row r="2723" spans="17:30">
      <c r="Q2723" s="6">
        <v>2693</v>
      </c>
      <c r="R2723" s="7">
        <v>45360</v>
      </c>
      <c r="S2723" s="210">
        <v>4</v>
      </c>
      <c r="T2723" s="8">
        <v>1.0001111111111112</v>
      </c>
      <c r="U2723" s="98">
        <v>3.8604170064978183</v>
      </c>
      <c r="V2723" s="106">
        <v>32372.951896585822</v>
      </c>
      <c r="W2723" s="10">
        <v>0.95046201407689157</v>
      </c>
      <c r="X2723" s="420"/>
      <c r="Y2723" s="420"/>
      <c r="Z2723" s="1"/>
      <c r="AA2723" s="1"/>
      <c r="AB2723" s="1"/>
      <c r="AC2723" s="1"/>
      <c r="AD2723" s="1"/>
    </row>
    <row r="2724" spans="17:30">
      <c r="Q2724" s="6">
        <v>2694</v>
      </c>
      <c r="R2724" s="7">
        <v>45361</v>
      </c>
      <c r="S2724" s="210">
        <v>4</v>
      </c>
      <c r="T2724" s="8">
        <v>1.0001111111111112</v>
      </c>
      <c r="U2724" s="98">
        <v>3.860520158954639</v>
      </c>
      <c r="V2724" s="106">
        <v>32375.556676448021</v>
      </c>
      <c r="W2724" s="10">
        <v>0.95052670110975512</v>
      </c>
      <c r="X2724" s="420"/>
      <c r="Y2724" s="420"/>
      <c r="Z2724" s="1"/>
      <c r="AA2724" s="1"/>
      <c r="AB2724" s="1"/>
      <c r="AC2724" s="1"/>
      <c r="AD2724" s="1"/>
    </row>
    <row r="2725" spans="17:30">
      <c r="Q2725" s="6">
        <v>2695</v>
      </c>
      <c r="R2725" s="7">
        <v>45362</v>
      </c>
      <c r="S2725" s="210">
        <v>4</v>
      </c>
      <c r="T2725" s="8">
        <v>1.0001111111111112</v>
      </c>
      <c r="U2725" s="98">
        <v>3.8606232349628122</v>
      </c>
      <c r="V2725" s="106">
        <v>32378.161665894997</v>
      </c>
      <c r="W2725" s="10">
        <v>0.95059134017883018</v>
      </c>
      <c r="X2725" s="420"/>
      <c r="Y2725" s="420"/>
      <c r="Z2725" s="1"/>
      <c r="AA2725" s="1"/>
      <c r="AB2725" s="1"/>
      <c r="AC2725" s="1"/>
      <c r="AD2725" s="1"/>
    </row>
    <row r="2726" spans="17:30">
      <c r="Q2726" s="6">
        <v>2696</v>
      </c>
      <c r="R2726" s="7">
        <v>45363</v>
      </c>
      <c r="S2726" s="210">
        <v>4</v>
      </c>
      <c r="T2726" s="8">
        <v>1.0001111111111112</v>
      </c>
      <c r="U2726" s="98">
        <v>3.8607262346072924</v>
      </c>
      <c r="V2726" s="106">
        <v>32380.766864943627</v>
      </c>
      <c r="W2726" s="10">
        <v>0.95065593133738524</v>
      </c>
      <c r="X2726" s="420"/>
      <c r="Y2726" s="420"/>
      <c r="Z2726" s="1"/>
      <c r="AA2726" s="1"/>
      <c r="AB2726" s="1"/>
      <c r="AC2726" s="1"/>
      <c r="AD2726" s="1"/>
    </row>
    <row r="2727" spans="17:30">
      <c r="Q2727" s="6">
        <v>2697</v>
      </c>
      <c r="R2727" s="7">
        <v>45364</v>
      </c>
      <c r="S2727" s="210">
        <v>4</v>
      </c>
      <c r="T2727" s="8">
        <v>1.0001111111111112</v>
      </c>
      <c r="U2727" s="98">
        <v>3.8608291579729004</v>
      </c>
      <c r="V2727" s="106">
        <v>32383.372273610767</v>
      </c>
      <c r="W2727" s="10">
        <v>0.95072047463871101</v>
      </c>
      <c r="X2727" s="420"/>
      <c r="Y2727" s="420"/>
      <c r="Z2727" s="1"/>
      <c r="AA2727" s="1"/>
      <c r="AB2727" s="1"/>
      <c r="AC2727" s="1"/>
      <c r="AD2727" s="1"/>
    </row>
    <row r="2728" spans="17:30">
      <c r="Q2728" s="6">
        <v>2698</v>
      </c>
      <c r="R2728" s="7">
        <v>45365</v>
      </c>
      <c r="S2728" s="210">
        <v>4</v>
      </c>
      <c r="T2728" s="8">
        <v>1.0001111111111112</v>
      </c>
      <c r="U2728" s="98">
        <v>3.8609320051443463</v>
      </c>
      <c r="V2728" s="106">
        <v>32385.977891913295</v>
      </c>
      <c r="W2728" s="10">
        <v>0.95078497013596497</v>
      </c>
      <c r="X2728" s="420"/>
      <c r="Y2728" s="420"/>
      <c r="Z2728" s="1"/>
      <c r="AA2728" s="1"/>
      <c r="AB2728" s="1"/>
      <c r="AC2728" s="1"/>
      <c r="AD2728" s="1"/>
    </row>
    <row r="2729" spans="17:30">
      <c r="Q2729" s="6">
        <v>2699</v>
      </c>
      <c r="R2729" s="7">
        <v>45366</v>
      </c>
      <c r="S2729" s="210">
        <v>4</v>
      </c>
      <c r="T2729" s="8">
        <v>1.0001111111111112</v>
      </c>
      <c r="U2729" s="98">
        <v>3.8610347762062069</v>
      </c>
      <c r="V2729" s="106">
        <v>32388.58371986806</v>
      </c>
      <c r="W2729" s="10">
        <v>0.95084941788223798</v>
      </c>
      <c r="X2729" s="420"/>
      <c r="Y2729" s="420"/>
      <c r="Z2729" s="1"/>
      <c r="AA2729" s="1"/>
      <c r="AB2729" s="1"/>
      <c r="AC2729" s="1"/>
      <c r="AD2729" s="1"/>
    </row>
    <row r="2730" spans="17:30">
      <c r="Q2730" s="6">
        <v>2700</v>
      </c>
      <c r="R2730" s="7">
        <v>45367</v>
      </c>
      <c r="S2730" s="210">
        <v>4</v>
      </c>
      <c r="T2730" s="8">
        <v>1.0001111111111112</v>
      </c>
      <c r="U2730" s="98">
        <v>3.8611374712429258</v>
      </c>
      <c r="V2730" s="106">
        <v>32391.189757491935</v>
      </c>
      <c r="W2730" s="10">
        <v>0.95091381793050989</v>
      </c>
      <c r="X2730" s="420"/>
      <c r="Y2730" s="420"/>
      <c r="Z2730" s="1"/>
      <c r="AA2730" s="1"/>
      <c r="AB2730" s="1"/>
      <c r="AC2730" s="1"/>
      <c r="AD2730" s="1"/>
    </row>
    <row r="2731" spans="17:30">
      <c r="Q2731" s="6">
        <v>2701</v>
      </c>
      <c r="R2731" s="7">
        <v>45368</v>
      </c>
      <c r="S2731" s="210">
        <v>4</v>
      </c>
      <c r="T2731" s="8">
        <v>1.0001111111111112</v>
      </c>
      <c r="U2731" s="98">
        <v>3.8612400903388577</v>
      </c>
      <c r="V2731" s="106">
        <v>32393.796004801807</v>
      </c>
      <c r="W2731" s="10">
        <v>0.95097817033378274</v>
      </c>
      <c r="X2731" s="420"/>
      <c r="Y2731" s="420"/>
      <c r="Z2731" s="1"/>
      <c r="AA2731" s="1"/>
      <c r="AB2731" s="1"/>
      <c r="AC2731" s="1"/>
      <c r="AD2731" s="1"/>
    </row>
    <row r="2732" spans="17:30">
      <c r="Q2732" s="6">
        <v>2702</v>
      </c>
      <c r="R2732" s="7">
        <v>45369</v>
      </c>
      <c r="S2732" s="210">
        <v>4</v>
      </c>
      <c r="T2732" s="8">
        <v>1.0001111111111112</v>
      </c>
      <c r="U2732" s="98">
        <v>3.8613426335781798</v>
      </c>
      <c r="V2732" s="106">
        <v>32396.402461814527</v>
      </c>
      <c r="W2732" s="10">
        <v>0.95104247514485873</v>
      </c>
      <c r="X2732" s="420"/>
      <c r="Y2732" s="420"/>
      <c r="Z2732" s="1"/>
      <c r="AA2732" s="1"/>
      <c r="AB2732" s="1"/>
      <c r="AC2732" s="1"/>
      <c r="AD2732" s="1"/>
    </row>
    <row r="2733" spans="17:30">
      <c r="Q2733" s="6">
        <v>2703</v>
      </c>
      <c r="R2733" s="7">
        <v>45370</v>
      </c>
      <c r="S2733" s="210">
        <v>4</v>
      </c>
      <c r="T2733" s="8">
        <v>1.0001111111111112</v>
      </c>
      <c r="U2733" s="98">
        <v>3.8614451010449802</v>
      </c>
      <c r="V2733" s="106">
        <v>32399.009128546983</v>
      </c>
      <c r="W2733" s="10">
        <v>0.95110673241651789</v>
      </c>
      <c r="X2733" s="420"/>
      <c r="Y2733" s="420"/>
      <c r="Z2733" s="1"/>
      <c r="AA2733" s="1"/>
      <c r="AB2733" s="1"/>
      <c r="AC2733" s="1"/>
      <c r="AD2733" s="1"/>
    </row>
    <row r="2734" spans="17:30">
      <c r="Q2734" s="6">
        <v>2704</v>
      </c>
      <c r="R2734" s="7">
        <v>45371</v>
      </c>
      <c r="S2734" s="210">
        <v>4</v>
      </c>
      <c r="T2734" s="8">
        <v>1.0001111111111112</v>
      </c>
      <c r="U2734" s="98">
        <v>3.8615474928232141</v>
      </c>
      <c r="V2734" s="106">
        <v>32401.616005016043</v>
      </c>
      <c r="W2734" s="10">
        <v>0.95117094220145137</v>
      </c>
      <c r="X2734" s="420"/>
      <c r="Y2734" s="420"/>
      <c r="Z2734" s="1"/>
      <c r="AA2734" s="1"/>
      <c r="AB2734" s="1"/>
      <c r="AC2734" s="1"/>
      <c r="AD2734" s="1"/>
    </row>
    <row r="2735" spans="17:30">
      <c r="Q2735" s="6">
        <v>2705</v>
      </c>
      <c r="R2735" s="7">
        <v>45372</v>
      </c>
      <c r="S2735" s="210">
        <v>4</v>
      </c>
      <c r="T2735" s="8">
        <v>1.0001111111111112</v>
      </c>
      <c r="U2735" s="98">
        <v>3.8616498089967033</v>
      </c>
      <c r="V2735" s="106">
        <v>32404.223091238578</v>
      </c>
      <c r="W2735" s="10">
        <v>0.95123510455230598</v>
      </c>
      <c r="X2735" s="420"/>
      <c r="Y2735" s="420"/>
      <c r="Z2735" s="1"/>
      <c r="AA2735" s="1"/>
      <c r="AB2735" s="1"/>
      <c r="AC2735" s="1"/>
      <c r="AD2735" s="1"/>
    </row>
    <row r="2736" spans="17:30">
      <c r="Q2736" s="6">
        <v>2706</v>
      </c>
      <c r="R2736" s="7">
        <v>45373</v>
      </c>
      <c r="S2736" s="210">
        <v>4</v>
      </c>
      <c r="T2736" s="8">
        <v>1.0001111111111112</v>
      </c>
      <c r="U2736" s="98">
        <v>3.8617520496491808</v>
      </c>
      <c r="V2736" s="106">
        <v>32406.830387231475</v>
      </c>
      <c r="W2736" s="10">
        <v>0.95129921952161745</v>
      </c>
      <c r="X2736" s="420"/>
      <c r="Y2736" s="420"/>
      <c r="Z2736" s="1"/>
      <c r="AA2736" s="1"/>
      <c r="AB2736" s="1"/>
      <c r="AC2736" s="1"/>
      <c r="AD2736" s="1"/>
    </row>
    <row r="2737" spans="17:30">
      <c r="Q2737" s="6">
        <v>2707</v>
      </c>
      <c r="R2737" s="7">
        <v>45374</v>
      </c>
      <c r="S2737" s="210">
        <v>4</v>
      </c>
      <c r="T2737" s="8">
        <v>1.0001111111111112</v>
      </c>
      <c r="U2737" s="98">
        <v>3.8618542148642021</v>
      </c>
      <c r="V2737" s="106">
        <v>32409.437893011611</v>
      </c>
      <c r="W2737" s="10">
        <v>0.95136328716183272</v>
      </c>
      <c r="X2737" s="420"/>
      <c r="Y2737" s="420"/>
      <c r="Z2737" s="1"/>
      <c r="AA2737" s="1"/>
      <c r="AB2737" s="1"/>
      <c r="AC2737" s="1"/>
      <c r="AD2737" s="1"/>
    </row>
    <row r="2738" spans="17:30">
      <c r="Q2738" s="6">
        <v>2708</v>
      </c>
      <c r="R2738" s="7">
        <v>45375</v>
      </c>
      <c r="S2738" s="210">
        <v>4</v>
      </c>
      <c r="T2738" s="8">
        <v>1.0001111111111112</v>
      </c>
      <c r="U2738" s="98">
        <v>3.8619563047252337</v>
      </c>
      <c r="V2738" s="106">
        <v>32412.045608595854</v>
      </c>
      <c r="W2738" s="10">
        <v>0.95142730752533211</v>
      </c>
      <c r="X2738" s="420"/>
      <c r="Y2738" s="420"/>
      <c r="Z2738" s="1"/>
      <c r="AA2738" s="1"/>
      <c r="AB2738" s="1"/>
      <c r="AC2738" s="1"/>
      <c r="AD2738" s="1"/>
    </row>
    <row r="2739" spans="17:30">
      <c r="Q2739" s="6">
        <v>2709</v>
      </c>
      <c r="R2739" s="7">
        <v>45376</v>
      </c>
      <c r="S2739" s="210">
        <v>4</v>
      </c>
      <c r="T2739" s="8">
        <v>1.0001111111111112</v>
      </c>
      <c r="U2739" s="98">
        <v>3.862058319315631</v>
      </c>
      <c r="V2739" s="106">
        <v>32414.653534001103</v>
      </c>
      <c r="W2739" s="10">
        <v>0.95149128066447375</v>
      </c>
      <c r="X2739" s="420"/>
      <c r="Y2739" s="420"/>
      <c r="Z2739" s="1"/>
      <c r="AA2739" s="1"/>
      <c r="AB2739" s="1"/>
      <c r="AC2739" s="1"/>
      <c r="AD2739" s="1"/>
    </row>
    <row r="2740" spans="17:30">
      <c r="Q2740" s="6">
        <v>2710</v>
      </c>
      <c r="R2740" s="7">
        <v>45377</v>
      </c>
      <c r="S2740" s="210">
        <v>4</v>
      </c>
      <c r="T2740" s="8">
        <v>1.0001111111111112</v>
      </c>
      <c r="U2740" s="98">
        <v>3.8621602587185944</v>
      </c>
      <c r="V2740" s="106">
        <v>32417.261669244232</v>
      </c>
      <c r="W2740" s="10">
        <v>0.95155520663146032</v>
      </c>
      <c r="X2740" s="420"/>
      <c r="Y2740" s="420"/>
      <c r="Z2740" s="1"/>
      <c r="AA2740" s="1"/>
      <c r="AB2740" s="1"/>
      <c r="AC2740" s="1"/>
      <c r="AD2740" s="1"/>
    </row>
    <row r="2741" spans="17:30">
      <c r="Q2741" s="6">
        <v>2711</v>
      </c>
      <c r="R2741" s="7">
        <v>45378</v>
      </c>
      <c r="S2741" s="210">
        <v>4</v>
      </c>
      <c r="T2741" s="8">
        <v>1.0001111111111112</v>
      </c>
      <c r="U2741" s="98">
        <v>3.8622621230172127</v>
      </c>
      <c r="V2741" s="106">
        <v>32419.870014342116</v>
      </c>
      <c r="W2741" s="10">
        <v>0.95161908547842788</v>
      </c>
      <c r="X2741" s="420"/>
      <c r="Y2741" s="420"/>
      <c r="Z2741" s="1"/>
      <c r="AA2741" s="1"/>
      <c r="AB2741" s="1"/>
      <c r="AC2741" s="1"/>
      <c r="AD2741" s="1"/>
    </row>
    <row r="2742" spans="17:30">
      <c r="Q2742" s="6">
        <v>2712</v>
      </c>
      <c r="R2742" s="7">
        <v>45379</v>
      </c>
      <c r="S2742" s="210">
        <v>4</v>
      </c>
      <c r="T2742" s="8">
        <v>1.0001111111111112</v>
      </c>
      <c r="U2742" s="98">
        <v>3.8623639122944642</v>
      </c>
      <c r="V2742" s="106">
        <v>32422.478569311654</v>
      </c>
      <c r="W2742" s="10">
        <v>0.95168291725749032</v>
      </c>
      <c r="X2742" s="420"/>
      <c r="Y2742" s="420"/>
      <c r="Z2742" s="1"/>
      <c r="AA2742" s="1"/>
      <c r="AB2742" s="1"/>
      <c r="AC2742" s="1"/>
      <c r="AD2742" s="1"/>
    </row>
    <row r="2743" spans="17:30">
      <c r="Q2743" s="6">
        <v>2713</v>
      </c>
      <c r="R2743" s="7">
        <v>45380</v>
      </c>
      <c r="S2743" s="210">
        <v>4</v>
      </c>
      <c r="T2743" s="8">
        <v>1.0001111111111112</v>
      </c>
      <c r="U2743" s="98">
        <v>3.8624656266331936</v>
      </c>
      <c r="V2743" s="106">
        <v>32425.087334169722</v>
      </c>
      <c r="W2743" s="10">
        <v>0.95174670202062828</v>
      </c>
      <c r="X2743" s="420"/>
      <c r="Y2743" s="420"/>
      <c r="Z2743" s="1"/>
      <c r="AA2743" s="1"/>
      <c r="AB2743" s="1"/>
      <c r="AC2743" s="1"/>
      <c r="AD2743" s="1"/>
    </row>
    <row r="2744" spans="17:30">
      <c r="Q2744" s="6">
        <v>2714</v>
      </c>
      <c r="R2744" s="7">
        <v>45381</v>
      </c>
      <c r="S2744" s="210">
        <v>4</v>
      </c>
      <c r="T2744" s="8">
        <v>1.0001111111111112</v>
      </c>
      <c r="U2744" s="98">
        <v>3.8625672661161348</v>
      </c>
      <c r="V2744" s="106">
        <v>32427.696308933224</v>
      </c>
      <c r="W2744" s="10">
        <v>0.95181043981980018</v>
      </c>
      <c r="X2744" s="420"/>
      <c r="Y2744" s="420"/>
      <c r="Z2744" s="1"/>
      <c r="AA2744" s="1"/>
      <c r="AB2744" s="1"/>
      <c r="AC2744" s="1"/>
      <c r="AD2744" s="1"/>
    </row>
    <row r="2745" spans="17:30">
      <c r="Q2745" s="6">
        <v>2715</v>
      </c>
      <c r="R2745" s="7">
        <v>45382</v>
      </c>
      <c r="S2745" s="210">
        <v>4</v>
      </c>
      <c r="T2745" s="8">
        <v>1.0001111111111112</v>
      </c>
      <c r="U2745" s="98">
        <v>3.8626688308258661</v>
      </c>
      <c r="V2745" s="106">
        <v>32430.305493619031</v>
      </c>
      <c r="W2745" s="10">
        <v>0.95187413070680904</v>
      </c>
      <c r="X2745" s="420"/>
      <c r="Y2745" s="420"/>
      <c r="Z2745" s="1"/>
      <c r="AA2745" s="1"/>
      <c r="AB2745" s="1"/>
      <c r="AC2745" s="1"/>
      <c r="AD2745" s="1"/>
    </row>
    <row r="2746" spans="17:30">
      <c r="Q2746" s="6">
        <v>2716</v>
      </c>
      <c r="R2746" s="7">
        <v>45383</v>
      </c>
      <c r="S2746" s="210">
        <v>4</v>
      </c>
      <c r="T2746" s="8">
        <v>1.0001111111111112</v>
      </c>
      <c r="U2746" s="98">
        <v>3.8627703208448994</v>
      </c>
      <c r="V2746" s="106">
        <v>32432.914888244039</v>
      </c>
      <c r="W2746" s="10">
        <v>0.95193777473345786</v>
      </c>
      <c r="X2746" s="420"/>
      <c r="Y2746" s="420"/>
      <c r="Z2746" s="1"/>
      <c r="AA2746" s="1"/>
      <c r="AB2746" s="1"/>
      <c r="AC2746" s="1"/>
      <c r="AD2746" s="1"/>
    </row>
    <row r="2747" spans="17:30">
      <c r="Q2747" s="6">
        <v>2717</v>
      </c>
      <c r="R2747" s="7">
        <v>45384</v>
      </c>
      <c r="S2747" s="210">
        <v>4</v>
      </c>
      <c r="T2747" s="8">
        <v>1.0001111111111112</v>
      </c>
      <c r="U2747" s="98">
        <v>3.8628717362555909</v>
      </c>
      <c r="V2747" s="106">
        <v>32435.524492825145</v>
      </c>
      <c r="W2747" s="10">
        <v>0.95200137195143864</v>
      </c>
      <c r="X2747" s="420"/>
      <c r="Y2747" s="420"/>
      <c r="Z2747" s="1"/>
      <c r="AA2747" s="1"/>
      <c r="AB2747" s="1"/>
      <c r="AC2747" s="1"/>
      <c r="AD2747" s="1"/>
    </row>
    <row r="2748" spans="17:30">
      <c r="Q2748" s="6">
        <v>2718</v>
      </c>
      <c r="R2748" s="7">
        <v>45385</v>
      </c>
      <c r="S2748" s="210">
        <v>4</v>
      </c>
      <c r="T2748" s="8">
        <v>1.0001111111111112</v>
      </c>
      <c r="U2748" s="98">
        <v>3.8629730771401638</v>
      </c>
      <c r="V2748" s="106">
        <v>32438.134307379238</v>
      </c>
      <c r="W2748" s="10">
        <v>0.95206492241237672</v>
      </c>
      <c r="X2748" s="420"/>
      <c r="Y2748" s="420"/>
      <c r="Z2748" s="1"/>
      <c r="AA2748" s="1"/>
      <c r="AB2748" s="1"/>
      <c r="AC2748" s="1"/>
      <c r="AD2748" s="1"/>
    </row>
    <row r="2749" spans="17:30">
      <c r="Q2749" s="6">
        <v>2719</v>
      </c>
      <c r="R2749" s="7">
        <v>45386</v>
      </c>
      <c r="S2749" s="210">
        <v>4</v>
      </c>
      <c r="T2749" s="8">
        <v>1.0001111111111112</v>
      </c>
      <c r="U2749" s="98">
        <v>3.8630743435807524</v>
      </c>
      <c r="V2749" s="106">
        <v>32440.744331923219</v>
      </c>
      <c r="W2749" s="10">
        <v>0.95212842616780868</v>
      </c>
      <c r="X2749" s="420"/>
      <c r="Y2749" s="420"/>
      <c r="Z2749" s="1"/>
      <c r="AA2749" s="1"/>
      <c r="AB2749" s="1"/>
      <c r="AC2749" s="1"/>
      <c r="AD2749" s="1"/>
    </row>
    <row r="2750" spans="17:30">
      <c r="Q2750" s="6">
        <v>2720</v>
      </c>
      <c r="R2750" s="7">
        <v>45387</v>
      </c>
      <c r="S2750" s="210">
        <v>4</v>
      </c>
      <c r="T2750" s="8">
        <v>1.0001111111111112</v>
      </c>
      <c r="U2750" s="98">
        <v>3.8631755356593356</v>
      </c>
      <c r="V2750" s="106">
        <v>32443.354566473972</v>
      </c>
      <c r="W2750" s="10">
        <v>0.95219188326920445</v>
      </c>
      <c r="X2750" s="420"/>
      <c r="Y2750" s="420"/>
      <c r="Z2750" s="1"/>
      <c r="AA2750" s="1"/>
      <c r="AB2750" s="1"/>
      <c r="AC2750" s="1"/>
      <c r="AD2750" s="1"/>
    </row>
    <row r="2751" spans="17:30">
      <c r="Q2751" s="6">
        <v>2721</v>
      </c>
      <c r="R2751" s="7">
        <v>45388</v>
      </c>
      <c r="S2751" s="210">
        <v>4</v>
      </c>
      <c r="T2751" s="8">
        <v>1.0001111111111112</v>
      </c>
      <c r="U2751" s="98">
        <v>3.8632766534578034</v>
      </c>
      <c r="V2751" s="106">
        <v>32445.965011048411</v>
      </c>
      <c r="W2751" s="10">
        <v>0.95225529376794515</v>
      </c>
      <c r="X2751" s="420"/>
      <c r="Y2751" s="420"/>
      <c r="Z2751" s="1"/>
      <c r="AA2751" s="1"/>
      <c r="AB2751" s="1"/>
      <c r="AC2751" s="1"/>
      <c r="AD2751" s="1"/>
    </row>
    <row r="2752" spans="17:30">
      <c r="Q2752" s="6">
        <v>2722</v>
      </c>
      <c r="R2752" s="7">
        <v>45389</v>
      </c>
      <c r="S2752" s="210">
        <v>4</v>
      </c>
      <c r="T2752" s="8">
        <v>1.0001111111111112</v>
      </c>
      <c r="U2752" s="98">
        <v>3.8633776970579126</v>
      </c>
      <c r="V2752" s="106">
        <v>32448.575665663418</v>
      </c>
      <c r="W2752" s="10">
        <v>0.9523186577153453</v>
      </c>
      <c r="X2752" s="420"/>
      <c r="Y2752" s="420"/>
      <c r="Z2752" s="1"/>
      <c r="AA2752" s="1"/>
      <c r="AB2752" s="1"/>
      <c r="AC2752" s="1"/>
      <c r="AD2752" s="1"/>
    </row>
    <row r="2753" spans="17:30">
      <c r="Q2753" s="6">
        <v>2723</v>
      </c>
      <c r="R2753" s="7">
        <v>45390</v>
      </c>
      <c r="S2753" s="210">
        <v>4</v>
      </c>
      <c r="T2753" s="8">
        <v>1.0001111111111112</v>
      </c>
      <c r="U2753" s="98">
        <v>3.863478666541309</v>
      </c>
      <c r="V2753" s="106">
        <v>32451.186530335905</v>
      </c>
      <c r="W2753" s="10">
        <v>0.95238197516269718</v>
      </c>
      <c r="X2753" s="420"/>
      <c r="Y2753" s="420"/>
      <c r="Z2753" s="1"/>
      <c r="AA2753" s="1"/>
      <c r="AB2753" s="1"/>
      <c r="AC2753" s="1"/>
      <c r="AD2753" s="1"/>
    </row>
    <row r="2754" spans="17:30">
      <c r="Q2754" s="6">
        <v>2724</v>
      </c>
      <c r="R2754" s="7">
        <v>45391</v>
      </c>
      <c r="S2754" s="210">
        <v>4</v>
      </c>
      <c r="T2754" s="8">
        <v>1.0001111111111112</v>
      </c>
      <c r="U2754" s="98">
        <v>3.8635795619895053</v>
      </c>
      <c r="V2754" s="106">
        <v>32453.797605082767</v>
      </c>
      <c r="W2754" s="10">
        <v>0.95244524616113768</v>
      </c>
      <c r="X2754" s="420"/>
      <c r="Y2754" s="420"/>
      <c r="Z2754" s="1"/>
      <c r="AA2754" s="1"/>
      <c r="AB2754" s="1"/>
      <c r="AC2754" s="1"/>
      <c r="AD2754" s="1"/>
    </row>
    <row r="2755" spans="17:30">
      <c r="Q2755" s="6">
        <v>2725</v>
      </c>
      <c r="R2755" s="7">
        <v>45392</v>
      </c>
      <c r="S2755" s="210">
        <v>4</v>
      </c>
      <c r="T2755" s="8">
        <v>1.0001111111111112</v>
      </c>
      <c r="U2755" s="98">
        <v>3.8636803834839029</v>
      </c>
      <c r="V2755" s="106">
        <v>32456.408889920916</v>
      </c>
      <c r="W2755" s="10">
        <v>0.95250847076173706</v>
      </c>
      <c r="X2755" s="420"/>
      <c r="Y2755" s="420"/>
      <c r="Z2755" s="1"/>
      <c r="AA2755" s="1"/>
      <c r="AB2755" s="1"/>
      <c r="AC2755" s="1"/>
      <c r="AD2755" s="1"/>
    </row>
    <row r="2756" spans="17:30">
      <c r="Q2756" s="6">
        <v>2726</v>
      </c>
      <c r="R2756" s="7">
        <v>45393</v>
      </c>
      <c r="S2756" s="210">
        <v>4</v>
      </c>
      <c r="T2756" s="8">
        <v>1.0001111111111112</v>
      </c>
      <c r="U2756" s="98">
        <v>3.8637811311057924</v>
      </c>
      <c r="V2756" s="106">
        <v>32459.020384867243</v>
      </c>
      <c r="W2756" s="10">
        <v>0.95257164901556557</v>
      </c>
      <c r="X2756" s="420"/>
      <c r="Y2756" s="420"/>
      <c r="Z2756" s="1"/>
      <c r="AA2756" s="1"/>
      <c r="AB2756" s="1"/>
      <c r="AC2756" s="1"/>
      <c r="AD2756" s="1"/>
    </row>
    <row r="2757" spans="17:30">
      <c r="Q2757" s="6">
        <v>2727</v>
      </c>
      <c r="R2757" s="7">
        <v>45394</v>
      </c>
      <c r="S2757" s="210">
        <v>4</v>
      </c>
      <c r="T2757" s="8">
        <v>1.0001111111111112</v>
      </c>
      <c r="U2757" s="98">
        <v>3.8638818049363088</v>
      </c>
      <c r="V2757" s="106">
        <v>32461.632089938663</v>
      </c>
      <c r="W2757" s="10">
        <v>0.95263478097351584</v>
      </c>
      <c r="X2757" s="420"/>
      <c r="Y2757" s="420"/>
      <c r="Z2757" s="1"/>
      <c r="AA2757" s="1"/>
      <c r="AB2757" s="1"/>
      <c r="AC2757" s="1"/>
      <c r="AD2757" s="1"/>
    </row>
    <row r="2758" spans="17:30">
      <c r="Q2758" s="6">
        <v>2728</v>
      </c>
      <c r="R2758" s="7">
        <v>45395</v>
      </c>
      <c r="S2758" s="210">
        <v>4</v>
      </c>
      <c r="T2758" s="8">
        <v>1.0001111111111112</v>
      </c>
      <c r="U2758" s="98">
        <v>3.8639824050564986</v>
      </c>
      <c r="V2758" s="106">
        <v>32464.244005152079</v>
      </c>
      <c r="W2758" s="10">
        <v>0.95269786668648049</v>
      </c>
      <c r="X2758" s="420"/>
      <c r="Y2758" s="420"/>
      <c r="Z2758" s="1"/>
      <c r="AA2758" s="1"/>
      <c r="AB2758" s="1"/>
      <c r="AC2758" s="1"/>
      <c r="AD2758" s="1"/>
    </row>
    <row r="2759" spans="17:30">
      <c r="Q2759" s="6">
        <v>2729</v>
      </c>
      <c r="R2759" s="7">
        <v>45396</v>
      </c>
      <c r="S2759" s="210">
        <v>4</v>
      </c>
      <c r="T2759" s="8">
        <v>1.0001111111111112</v>
      </c>
      <c r="U2759" s="98">
        <v>3.8640829315472969</v>
      </c>
      <c r="V2759" s="106">
        <v>32466.856130524404</v>
      </c>
      <c r="W2759" s="10">
        <v>0.95276090620524112</v>
      </c>
      <c r="X2759" s="420"/>
      <c r="Y2759" s="420"/>
      <c r="Z2759" s="1"/>
      <c r="AA2759" s="1"/>
      <c r="AB2759" s="1"/>
      <c r="AC2759" s="1"/>
      <c r="AD2759" s="1"/>
    </row>
    <row r="2760" spans="17:30">
      <c r="Q2760" s="6">
        <v>2730</v>
      </c>
      <c r="R2760" s="7">
        <v>45397</v>
      </c>
      <c r="S2760" s="210">
        <v>4</v>
      </c>
      <c r="T2760" s="8">
        <v>1.0001111111111112</v>
      </c>
      <c r="U2760" s="98">
        <v>3.8641833844895057</v>
      </c>
      <c r="V2760" s="106">
        <v>32469.468466072543</v>
      </c>
      <c r="W2760" s="10">
        <v>0.95282389958053493</v>
      </c>
      <c r="X2760" s="420"/>
      <c r="Y2760" s="420"/>
      <c r="Z2760" s="1"/>
      <c r="AA2760" s="1"/>
      <c r="AB2760" s="1"/>
      <c r="AC2760" s="1"/>
      <c r="AD2760" s="1"/>
    </row>
    <row r="2761" spans="17:30">
      <c r="Q2761" s="6">
        <v>2731</v>
      </c>
      <c r="R2761" s="7">
        <v>45398</v>
      </c>
      <c r="S2761" s="210">
        <v>4</v>
      </c>
      <c r="T2761" s="8">
        <v>1.0001111111111112</v>
      </c>
      <c r="U2761" s="98">
        <v>3.8642837639638161</v>
      </c>
      <c r="V2761" s="106">
        <v>32472.081011813414</v>
      </c>
      <c r="W2761" s="10">
        <v>0.95288684686298808</v>
      </c>
      <c r="X2761" s="420"/>
      <c r="Y2761" s="420"/>
      <c r="Z2761" s="1"/>
      <c r="AA2761" s="1"/>
      <c r="AB2761" s="1"/>
      <c r="AC2761" s="1"/>
      <c r="AD2761" s="1"/>
    </row>
    <row r="2762" spans="17:30">
      <c r="Q2762" s="6">
        <v>2732</v>
      </c>
      <c r="R2762" s="7">
        <v>45399</v>
      </c>
      <c r="S2762" s="210">
        <v>4</v>
      </c>
      <c r="T2762" s="8">
        <v>1.0001111111111112</v>
      </c>
      <c r="U2762" s="98">
        <v>3.8643840700507859</v>
      </c>
      <c r="V2762" s="106">
        <v>32474.693767763918</v>
      </c>
      <c r="W2762" s="10">
        <v>0.95294974810320454</v>
      </c>
      <c r="X2762" s="420"/>
      <c r="Y2762" s="420"/>
      <c r="Z2762" s="1"/>
      <c r="AA2762" s="1"/>
      <c r="AB2762" s="1"/>
      <c r="AC2762" s="1"/>
      <c r="AD2762" s="1"/>
    </row>
    <row r="2763" spans="17:30">
      <c r="Q2763" s="6">
        <v>2733</v>
      </c>
      <c r="R2763" s="7">
        <v>45400</v>
      </c>
      <c r="S2763" s="210">
        <v>4</v>
      </c>
      <c r="T2763" s="8">
        <v>1.0001111111111112</v>
      </c>
      <c r="U2763" s="98">
        <v>3.8644843028308618</v>
      </c>
      <c r="V2763" s="106">
        <v>32477.306733940972</v>
      </c>
      <c r="W2763" s="10">
        <v>0.95301260335163285</v>
      </c>
      <c r="X2763" s="420"/>
      <c r="Y2763" s="420"/>
      <c r="Z2763" s="1"/>
      <c r="AA2763" s="1"/>
      <c r="AB2763" s="1"/>
      <c r="AC2763" s="1"/>
      <c r="AD2763" s="1"/>
    </row>
    <row r="2764" spans="17:30">
      <c r="Q2764" s="6">
        <v>2734</v>
      </c>
      <c r="R2764" s="7">
        <v>45401</v>
      </c>
      <c r="S2764" s="210">
        <v>4</v>
      </c>
      <c r="T2764" s="8">
        <v>1.0001111111111112</v>
      </c>
      <c r="U2764" s="98">
        <v>3.8645844623844017</v>
      </c>
      <c r="V2764" s="106">
        <v>32479.919910361499</v>
      </c>
      <c r="W2764" s="10">
        <v>0.95307541265874374</v>
      </c>
      <c r="X2764" s="420"/>
      <c r="Y2764" s="420"/>
      <c r="Z2764" s="1"/>
      <c r="AA2764" s="1"/>
      <c r="AB2764" s="1"/>
      <c r="AC2764" s="1"/>
      <c r="AD2764" s="1"/>
    </row>
    <row r="2765" spans="17:30">
      <c r="Q2765" s="6">
        <v>2735</v>
      </c>
      <c r="R2765" s="7">
        <v>45402</v>
      </c>
      <c r="S2765" s="210">
        <v>4</v>
      </c>
      <c r="T2765" s="8">
        <v>1.0001111111111112</v>
      </c>
      <c r="U2765" s="98">
        <v>3.8646845487916082</v>
      </c>
      <c r="V2765" s="106">
        <v>32482.533297042413</v>
      </c>
      <c r="W2765" s="10">
        <v>0.95313817607487472</v>
      </c>
      <c r="X2765" s="420"/>
      <c r="Y2765" s="420"/>
      <c r="Z2765" s="1"/>
      <c r="AA2765" s="1"/>
      <c r="AB2765" s="1"/>
      <c r="AC2765" s="1"/>
      <c r="AD2765" s="1"/>
    </row>
    <row r="2766" spans="17:30">
      <c r="Q2766" s="6">
        <v>2736</v>
      </c>
      <c r="R2766" s="7">
        <v>45403</v>
      </c>
      <c r="S2766" s="210">
        <v>4</v>
      </c>
      <c r="T2766" s="8">
        <v>1.0001111111111112</v>
      </c>
      <c r="U2766" s="98">
        <v>3.8647845621325727</v>
      </c>
      <c r="V2766" s="106">
        <v>32485.14689400062</v>
      </c>
      <c r="W2766" s="10">
        <v>0.9532008936502967</v>
      </c>
      <c r="X2766" s="420"/>
      <c r="Y2766" s="420"/>
      <c r="Z2766" s="1"/>
      <c r="AA2766" s="1"/>
      <c r="AB2766" s="1"/>
      <c r="AC2766" s="1"/>
      <c r="AD2766" s="1"/>
    </row>
    <row r="2767" spans="17:30">
      <c r="Q2767" s="6">
        <v>2737</v>
      </c>
      <c r="R2767" s="7">
        <v>45404</v>
      </c>
      <c r="S2767" s="210">
        <v>4</v>
      </c>
      <c r="T2767" s="8">
        <v>1.0001111111111112</v>
      </c>
      <c r="U2767" s="98">
        <v>3.8648845024872758</v>
      </c>
      <c r="V2767" s="106">
        <v>32487.760701253061</v>
      </c>
      <c r="W2767" s="10">
        <v>0.95326356543519175</v>
      </c>
      <c r="X2767" s="420"/>
      <c r="Y2767" s="420"/>
      <c r="Z2767" s="1"/>
      <c r="AA2767" s="1"/>
      <c r="AB2767" s="1"/>
      <c r="AC2767" s="1"/>
      <c r="AD2767" s="1"/>
    </row>
    <row r="2768" spans="17:30">
      <c r="Q2768" s="6">
        <v>2738</v>
      </c>
      <c r="R2768" s="7">
        <v>45405</v>
      </c>
      <c r="S2768" s="210">
        <v>4</v>
      </c>
      <c r="T2768" s="8">
        <v>1.0001111111111112</v>
      </c>
      <c r="U2768" s="98">
        <v>3.8649843699355868</v>
      </c>
      <c r="V2768" s="106">
        <v>32490.374718816631</v>
      </c>
      <c r="W2768" s="10">
        <v>0.95332619147969755</v>
      </c>
      <c r="X2768" s="420"/>
      <c r="Y2768" s="420"/>
      <c r="Z2768" s="1"/>
      <c r="AA2768" s="1"/>
      <c r="AB2768" s="1"/>
      <c r="AC2768" s="1"/>
      <c r="AD2768" s="1"/>
    </row>
    <row r="2769" spans="17:30">
      <c r="Q2769" s="6">
        <v>2739</v>
      </c>
      <c r="R2769" s="7">
        <v>45406</v>
      </c>
      <c r="S2769" s="210">
        <v>4</v>
      </c>
      <c r="T2769" s="8">
        <v>1.0001111111111112</v>
      </c>
      <c r="U2769" s="98">
        <v>3.865084164557242</v>
      </c>
      <c r="V2769" s="106">
        <v>32492.988946708276</v>
      </c>
      <c r="W2769" s="10">
        <v>0.95338877183388515</v>
      </c>
      <c r="X2769" s="420"/>
      <c r="Y2769" s="420"/>
      <c r="Z2769" s="1"/>
      <c r="AA2769" s="1"/>
      <c r="AB2769" s="1"/>
      <c r="AC2769" s="1"/>
      <c r="AD2769" s="1"/>
    </row>
    <row r="2770" spans="17:30">
      <c r="Q2770" s="6">
        <v>2740</v>
      </c>
      <c r="R2770" s="7">
        <v>45407</v>
      </c>
      <c r="S2770" s="210">
        <v>4</v>
      </c>
      <c r="T2770" s="8">
        <v>1.0001111111111112</v>
      </c>
      <c r="U2770" s="98">
        <v>3.8651838864318888</v>
      </c>
      <c r="V2770" s="106">
        <v>32495.603384944905</v>
      </c>
      <c r="W2770" s="10">
        <v>0.9534513065477368</v>
      </c>
      <c r="X2770" s="420"/>
      <c r="Y2770" s="420"/>
      <c r="Z2770" s="1"/>
      <c r="AA2770" s="1"/>
      <c r="AB2770" s="1"/>
      <c r="AC2770" s="1"/>
      <c r="AD2770" s="1"/>
    </row>
    <row r="2771" spans="17:30">
      <c r="Q2771" s="6">
        <v>2741</v>
      </c>
      <c r="R2771" s="7">
        <v>45408</v>
      </c>
      <c r="S2771" s="210">
        <v>4</v>
      </c>
      <c r="T2771" s="8">
        <v>1.0001111111111112</v>
      </c>
      <c r="U2771" s="98">
        <v>3.8652835356390414</v>
      </c>
      <c r="V2771" s="106">
        <v>32498.218033543446</v>
      </c>
      <c r="W2771" s="10">
        <v>0.95351379567114591</v>
      </c>
      <c r="X2771" s="420"/>
      <c r="Y2771" s="420"/>
      <c r="Z2771" s="1"/>
      <c r="AA2771" s="1"/>
      <c r="AB2771" s="1"/>
      <c r="AC2771" s="1"/>
      <c r="AD2771" s="1"/>
    </row>
    <row r="2772" spans="17:30">
      <c r="Q2772" s="6">
        <v>2742</v>
      </c>
      <c r="R2772" s="7">
        <v>45409</v>
      </c>
      <c r="S2772" s="210">
        <v>4</v>
      </c>
      <c r="T2772" s="8">
        <v>1.0001111111111112</v>
      </c>
      <c r="U2772" s="98">
        <v>3.8653831122581028</v>
      </c>
      <c r="V2772" s="106">
        <v>32500.832892520822</v>
      </c>
      <c r="W2772" s="10">
        <v>0.95357623925396151</v>
      </c>
      <c r="X2772" s="420"/>
      <c r="Y2772" s="420"/>
      <c r="Z2772" s="1"/>
      <c r="AA2772" s="1"/>
      <c r="AB2772" s="1"/>
      <c r="AC2772" s="1"/>
      <c r="AD2772" s="1"/>
    </row>
    <row r="2773" spans="17:30">
      <c r="Q2773" s="6">
        <v>2743</v>
      </c>
      <c r="R2773" s="7">
        <v>45410</v>
      </c>
      <c r="S2773" s="210">
        <v>4</v>
      </c>
      <c r="T2773" s="8">
        <v>1.0001111111111112</v>
      </c>
      <c r="U2773" s="98">
        <v>3.8654826163683653</v>
      </c>
      <c r="V2773" s="106">
        <v>32503.447961893973</v>
      </c>
      <c r="W2773" s="10">
        <v>0.95363863734596599</v>
      </c>
      <c r="X2773" s="420"/>
      <c r="Y2773" s="420"/>
      <c r="Z2773" s="1"/>
      <c r="AA2773" s="1"/>
      <c r="AB2773" s="1"/>
      <c r="AC2773" s="1"/>
      <c r="AD2773" s="1"/>
    </row>
    <row r="2774" spans="17:30">
      <c r="Q2774" s="6">
        <v>2744</v>
      </c>
      <c r="R2774" s="7">
        <v>45411</v>
      </c>
      <c r="S2774" s="210">
        <v>4</v>
      </c>
      <c r="T2774" s="8">
        <v>1.0001111111111112</v>
      </c>
      <c r="U2774" s="98">
        <v>3.8655820480489878</v>
      </c>
      <c r="V2774" s="106">
        <v>32506.063241679811</v>
      </c>
      <c r="W2774" s="10">
        <v>0.95370098999685293</v>
      </c>
      <c r="X2774" s="420"/>
      <c r="Y2774" s="420"/>
      <c r="Z2774" s="1"/>
      <c r="AA2774" s="1"/>
      <c r="AB2774" s="1"/>
      <c r="AC2774" s="1"/>
      <c r="AD2774" s="1"/>
    </row>
    <row r="2775" spans="17:30">
      <c r="Q2775" s="6">
        <v>2745</v>
      </c>
      <c r="R2775" s="7">
        <v>45412</v>
      </c>
      <c r="S2775" s="210">
        <v>4</v>
      </c>
      <c r="T2775" s="8">
        <v>1.0001111111111112</v>
      </c>
      <c r="U2775" s="98">
        <v>3.865681407379018</v>
      </c>
      <c r="V2775" s="106">
        <v>32508.678731895274</v>
      </c>
      <c r="W2775" s="10">
        <v>0.9537632972562049</v>
      </c>
      <c r="X2775" s="420"/>
      <c r="Y2775" s="420"/>
      <c r="Z2775" s="1"/>
      <c r="AA2775" s="1"/>
      <c r="AB2775" s="1"/>
      <c r="AC2775" s="1"/>
      <c r="AD2775" s="1"/>
    </row>
    <row r="2776" spans="17:30">
      <c r="Q2776" s="6">
        <v>2746</v>
      </c>
      <c r="R2776" s="7">
        <v>45413</v>
      </c>
      <c r="S2776" s="210">
        <v>4</v>
      </c>
      <c r="T2776" s="8">
        <v>1.0001111111111112</v>
      </c>
      <c r="U2776" s="98">
        <v>3.8657806944373929</v>
      </c>
      <c r="V2776" s="106">
        <v>32511.294432557293</v>
      </c>
      <c r="W2776" s="10">
        <v>0.95382555917358225</v>
      </c>
      <c r="X2776" s="420"/>
      <c r="Y2776" s="420"/>
      <c r="Z2776" s="1"/>
      <c r="AA2776" s="1"/>
      <c r="AB2776" s="1"/>
      <c r="AC2776" s="1"/>
      <c r="AD2776" s="1"/>
    </row>
    <row r="2777" spans="17:30">
      <c r="Q2777" s="6">
        <v>2747</v>
      </c>
      <c r="R2777" s="7">
        <v>45414</v>
      </c>
      <c r="S2777" s="210">
        <v>4</v>
      </c>
      <c r="T2777" s="8">
        <v>1.0001111111111112</v>
      </c>
      <c r="U2777" s="98">
        <v>3.8658799093029605</v>
      </c>
      <c r="V2777" s="106">
        <v>32513.910343682808</v>
      </c>
      <c r="W2777" s="10">
        <v>0.95388777579850093</v>
      </c>
      <c r="X2777" s="420"/>
      <c r="Y2777" s="420"/>
      <c r="Z2777" s="1"/>
      <c r="AA2777" s="1"/>
      <c r="AB2777" s="1"/>
      <c r="AC2777" s="1"/>
      <c r="AD2777" s="1"/>
    </row>
    <row r="2778" spans="17:30">
      <c r="Q2778" s="6">
        <v>2748</v>
      </c>
      <c r="R2778" s="7">
        <v>45415</v>
      </c>
      <c r="S2778" s="210">
        <v>4</v>
      </c>
      <c r="T2778" s="8">
        <v>1.0001111111111112</v>
      </c>
      <c r="U2778" s="98">
        <v>3.8659790520544135</v>
      </c>
      <c r="V2778" s="106">
        <v>32516.526465288742</v>
      </c>
      <c r="W2778" s="10">
        <v>0.95394994718032144</v>
      </c>
      <c r="X2778" s="420"/>
      <c r="Y2778" s="420"/>
      <c r="Z2778" s="1"/>
      <c r="AA2778" s="1"/>
      <c r="AB2778" s="1"/>
      <c r="AC2778" s="1"/>
      <c r="AD2778" s="1"/>
    </row>
    <row r="2779" spans="17:30">
      <c r="Q2779" s="6">
        <v>2749</v>
      </c>
      <c r="R2779" s="7">
        <v>45416</v>
      </c>
      <c r="S2779" s="210">
        <v>4</v>
      </c>
      <c r="T2779" s="8">
        <v>1.0001111111111112</v>
      </c>
      <c r="U2779" s="98">
        <v>3.8660781227703556</v>
      </c>
      <c r="V2779" s="106">
        <v>32519.142797392033</v>
      </c>
      <c r="W2779" s="10">
        <v>0.95401207336838212</v>
      </c>
      <c r="X2779" s="420"/>
      <c r="Y2779" s="420"/>
      <c r="Z2779" s="1"/>
      <c r="AA2779" s="1"/>
      <c r="AB2779" s="1"/>
      <c r="AC2779" s="1"/>
      <c r="AD2779" s="1"/>
    </row>
    <row r="2780" spans="17:30">
      <c r="Q2780" s="6">
        <v>2750</v>
      </c>
      <c r="R2780" s="7">
        <v>45417</v>
      </c>
      <c r="S2780" s="210">
        <v>4</v>
      </c>
      <c r="T2780" s="8">
        <v>1.0001111111111112</v>
      </c>
      <c r="U2780" s="98">
        <v>3.8661771215292573</v>
      </c>
      <c r="V2780" s="106">
        <v>32521.759340009627</v>
      </c>
      <c r="W2780" s="10">
        <v>0.95407415441197685</v>
      </c>
      <c r="X2780" s="420"/>
      <c r="Y2780" s="420"/>
      <c r="Z2780" s="1"/>
      <c r="AA2780" s="1"/>
      <c r="AB2780" s="1"/>
      <c r="AC2780" s="1"/>
      <c r="AD2780" s="1"/>
    </row>
    <row r="2781" spans="17:30">
      <c r="Q2781" s="6">
        <v>2751</v>
      </c>
      <c r="R2781" s="7">
        <v>45418</v>
      </c>
      <c r="S2781" s="210">
        <v>4</v>
      </c>
      <c r="T2781" s="8">
        <v>1.0001111111111112</v>
      </c>
      <c r="U2781" s="98">
        <v>3.8662760484094782</v>
      </c>
      <c r="V2781" s="106">
        <v>32524.376093158444</v>
      </c>
      <c r="W2781" s="10">
        <v>0.95413619036024411</v>
      </c>
      <c r="X2781" s="420"/>
      <c r="Y2781" s="420"/>
      <c r="Z2781" s="1"/>
      <c r="AA2781" s="1"/>
      <c r="AB2781" s="1"/>
      <c r="AC2781" s="1"/>
      <c r="AD2781" s="1"/>
    </row>
    <row r="2782" spans="17:30">
      <c r="Q2782" s="6">
        <v>2752</v>
      </c>
      <c r="R2782" s="7">
        <v>45419</v>
      </c>
      <c r="S2782" s="210">
        <v>4</v>
      </c>
      <c r="T2782" s="8">
        <v>1.0001111111111112</v>
      </c>
      <c r="U2782" s="98">
        <v>3.8663749034892891</v>
      </c>
      <c r="V2782" s="106">
        <v>32526.993056855445</v>
      </c>
      <c r="W2782" s="10">
        <v>0.95419818126232236</v>
      </c>
      <c r="X2782" s="420"/>
      <c r="Y2782" s="420"/>
      <c r="Z2782" s="1"/>
      <c r="AA2782" s="1"/>
      <c r="AB2782" s="1"/>
      <c r="AC2782" s="1"/>
      <c r="AD2782" s="1"/>
    </row>
    <row r="2783" spans="17:30">
      <c r="Q2783" s="6">
        <v>2753</v>
      </c>
      <c r="R2783" s="7">
        <v>45420</v>
      </c>
      <c r="S2783" s="210">
        <v>4</v>
      </c>
      <c r="T2783" s="8">
        <v>1.0001111111111112</v>
      </c>
      <c r="U2783" s="98">
        <v>3.8664736868468275</v>
      </c>
      <c r="V2783" s="106">
        <v>32529.610231117556</v>
      </c>
      <c r="W2783" s="10">
        <v>0.95426012716726127</v>
      </c>
      <c r="X2783" s="420"/>
      <c r="Y2783" s="420"/>
      <c r="Z2783" s="1"/>
      <c r="AA2783" s="1"/>
      <c r="AB2783" s="1"/>
      <c r="AC2783" s="1"/>
      <c r="AD2783" s="1"/>
    </row>
    <row r="2784" spans="17:30">
      <c r="Q2784" s="6">
        <v>2754</v>
      </c>
      <c r="R2784" s="7">
        <v>45421</v>
      </c>
      <c r="S2784" s="210">
        <v>4</v>
      </c>
      <c r="T2784" s="8">
        <v>1.0001111111111112</v>
      </c>
      <c r="U2784" s="98">
        <v>3.8665723985601197</v>
      </c>
      <c r="V2784" s="106">
        <v>32532.227615961721</v>
      </c>
      <c r="W2784" s="10">
        <v>0.95432202812404388</v>
      </c>
      <c r="X2784" s="420"/>
      <c r="Y2784" s="420"/>
      <c r="Z2784" s="1"/>
      <c r="AA2784" s="1"/>
      <c r="AB2784" s="1"/>
      <c r="AC2784" s="1"/>
      <c r="AD2784" s="1"/>
    </row>
    <row r="2785" spans="17:30">
      <c r="Q2785" s="6">
        <v>2755</v>
      </c>
      <c r="R2785" s="7">
        <v>45422</v>
      </c>
      <c r="S2785" s="210">
        <v>4</v>
      </c>
      <c r="T2785" s="8">
        <v>1.0001111111111112</v>
      </c>
      <c r="U2785" s="98">
        <v>3.8666710387070813</v>
      </c>
      <c r="V2785" s="106">
        <v>32534.845211404896</v>
      </c>
      <c r="W2785" s="10">
        <v>0.95438388418158659</v>
      </c>
      <c r="X2785" s="420"/>
      <c r="Y2785" s="420"/>
      <c r="Z2785" s="1"/>
      <c r="AA2785" s="1"/>
      <c r="AB2785" s="1"/>
      <c r="AC2785" s="1"/>
      <c r="AD2785" s="1"/>
    </row>
    <row r="2786" spans="17:30">
      <c r="Q2786" s="6">
        <v>2756</v>
      </c>
      <c r="R2786" s="7">
        <v>45423</v>
      </c>
      <c r="S2786" s="210">
        <v>4</v>
      </c>
      <c r="T2786" s="8">
        <v>1.0001111111111112</v>
      </c>
      <c r="U2786" s="98">
        <v>3.8667696073654945</v>
      </c>
      <c r="V2786" s="106">
        <v>32537.463017464008</v>
      </c>
      <c r="W2786" s="10">
        <v>0.95444569538867263</v>
      </c>
      <c r="X2786" s="420"/>
      <c r="Y2786" s="420"/>
      <c r="Z2786" s="1"/>
      <c r="AA2786" s="1"/>
      <c r="AB2786" s="1"/>
      <c r="AC2786" s="1"/>
      <c r="AD2786" s="1"/>
    </row>
    <row r="2787" spans="17:30">
      <c r="Q2787" s="6">
        <v>2757</v>
      </c>
      <c r="R2787" s="7">
        <v>45424</v>
      </c>
      <c r="S2787" s="210">
        <v>4</v>
      </c>
      <c r="T2787" s="8">
        <v>1.0001111111111112</v>
      </c>
      <c r="U2787" s="98">
        <v>3.8668681046130748</v>
      </c>
      <c r="V2787" s="106">
        <v>32540.081034156021</v>
      </c>
      <c r="W2787" s="10">
        <v>0.95450746179410739</v>
      </c>
      <c r="X2787" s="420"/>
      <c r="Y2787" s="420"/>
      <c r="Z2787" s="1"/>
      <c r="AA2787" s="1"/>
      <c r="AB2787" s="1"/>
      <c r="AC2787" s="1"/>
      <c r="AD2787" s="1"/>
    </row>
    <row r="2788" spans="17:30">
      <c r="Q2788" s="6">
        <v>2758</v>
      </c>
      <c r="R2788" s="7">
        <v>45425</v>
      </c>
      <c r="S2788" s="210">
        <v>4</v>
      </c>
      <c r="T2788" s="8">
        <v>1.0001111111111112</v>
      </c>
      <c r="U2788" s="98">
        <v>3.8669665305273826</v>
      </c>
      <c r="V2788" s="106">
        <v>32542.699261497874</v>
      </c>
      <c r="W2788" s="10">
        <v>0.95456918344656305</v>
      </c>
      <c r="X2788" s="420"/>
      <c r="Y2788" s="420"/>
      <c r="Z2788" s="1"/>
      <c r="AA2788" s="1"/>
      <c r="AB2788" s="1"/>
      <c r="AC2788" s="1"/>
      <c r="AD2788" s="1"/>
    </row>
    <row r="2789" spans="17:30">
      <c r="Q2789" s="6">
        <v>2759</v>
      </c>
      <c r="R2789" s="7">
        <v>45426</v>
      </c>
      <c r="S2789" s="210">
        <v>4</v>
      </c>
      <c r="T2789" s="8">
        <v>1.0001111111111112</v>
      </c>
      <c r="U2789" s="98">
        <v>3.8670648851858669</v>
      </c>
      <c r="V2789" s="106">
        <v>32545.317699506511</v>
      </c>
      <c r="W2789" s="10">
        <v>0.95463086039466738</v>
      </c>
      <c r="X2789" s="420"/>
      <c r="Y2789" s="420"/>
      <c r="Z2789" s="1"/>
      <c r="AA2789" s="1"/>
      <c r="AB2789" s="1"/>
      <c r="AC2789" s="1"/>
      <c r="AD2789" s="1"/>
    </row>
    <row r="2790" spans="17:30">
      <c r="Q2790" s="6">
        <v>2760</v>
      </c>
      <c r="R2790" s="7">
        <v>45427</v>
      </c>
      <c r="S2790" s="210">
        <v>4</v>
      </c>
      <c r="T2790" s="8">
        <v>1.0001111111111112</v>
      </c>
      <c r="U2790" s="98">
        <v>3.8671631686658881</v>
      </c>
      <c r="V2790" s="106">
        <v>32547.936348198888</v>
      </c>
      <c r="W2790" s="10">
        <v>0.95469249268698153</v>
      </c>
      <c r="X2790" s="420"/>
      <c r="Y2790" s="420"/>
      <c r="Z2790" s="1"/>
      <c r="AA2790" s="1"/>
      <c r="AB2790" s="1"/>
      <c r="AC2790" s="1"/>
      <c r="AD2790" s="1"/>
    </row>
    <row r="2791" spans="17:30">
      <c r="Q2791" s="6">
        <v>2761</v>
      </c>
      <c r="R2791" s="7">
        <v>45428</v>
      </c>
      <c r="S2791" s="210">
        <v>4</v>
      </c>
      <c r="T2791" s="8">
        <v>1.0001111111111112</v>
      </c>
      <c r="U2791" s="98">
        <v>3.8672613810446954</v>
      </c>
      <c r="V2791" s="106">
        <v>32550.555207591966</v>
      </c>
      <c r="W2791" s="10">
        <v>0.95475408037195564</v>
      </c>
      <c r="X2791" s="420"/>
      <c r="Y2791" s="420"/>
      <c r="Z2791" s="1"/>
      <c r="AA2791" s="1"/>
      <c r="AB2791" s="1"/>
      <c r="AC2791" s="1"/>
      <c r="AD2791" s="1"/>
    </row>
    <row r="2792" spans="17:30">
      <c r="Q2792" s="6">
        <v>2762</v>
      </c>
      <c r="R2792" s="7">
        <v>45429</v>
      </c>
      <c r="S2792" s="210">
        <v>4</v>
      </c>
      <c r="T2792" s="8">
        <v>1.0001111111111112</v>
      </c>
      <c r="U2792" s="98">
        <v>3.8673595223994273</v>
      </c>
      <c r="V2792" s="106">
        <v>32553.174277702681</v>
      </c>
      <c r="W2792" s="10">
        <v>0.95481562349803983</v>
      </c>
      <c r="X2792" s="420"/>
      <c r="Y2792" s="420"/>
      <c r="Z2792" s="1"/>
      <c r="AA2792" s="1"/>
      <c r="AB2792" s="1"/>
      <c r="AC2792" s="1"/>
      <c r="AD2792" s="1"/>
    </row>
    <row r="2793" spans="17:30">
      <c r="Q2793" s="6">
        <v>2763</v>
      </c>
      <c r="R2793" s="7">
        <v>45430</v>
      </c>
      <c r="S2793" s="210">
        <v>4</v>
      </c>
      <c r="T2793" s="8">
        <v>1.0001111111111112</v>
      </c>
      <c r="U2793" s="98">
        <v>3.8674575928070665</v>
      </c>
      <c r="V2793" s="106">
        <v>32555.793558548001</v>
      </c>
      <c r="W2793" s="10">
        <v>0.95487712211352882</v>
      </c>
      <c r="X2793" s="420"/>
      <c r="Y2793" s="420"/>
      <c r="Z2793" s="1"/>
      <c r="AA2793" s="1"/>
      <c r="AB2793" s="1"/>
      <c r="AC2793" s="1"/>
      <c r="AD2793" s="1"/>
    </row>
    <row r="2794" spans="17:30">
      <c r="Q2794" s="6">
        <v>2764</v>
      </c>
      <c r="R2794" s="7">
        <v>45431</v>
      </c>
      <c r="S2794" s="210">
        <v>4</v>
      </c>
      <c r="T2794" s="8">
        <v>1.0001111111111112</v>
      </c>
      <c r="U2794" s="98">
        <v>3.8675555923445515</v>
      </c>
      <c r="V2794" s="106">
        <v>32558.413050144878</v>
      </c>
      <c r="W2794" s="10">
        <v>0.9549385762667395</v>
      </c>
      <c r="X2794" s="420"/>
      <c r="Y2794" s="420"/>
      <c r="Z2794" s="1"/>
      <c r="AA2794" s="1"/>
      <c r="AB2794" s="1"/>
      <c r="AC2794" s="1"/>
      <c r="AD2794" s="1"/>
    </row>
    <row r="2795" spans="17:30">
      <c r="Q2795" s="6">
        <v>2765</v>
      </c>
      <c r="R2795" s="7">
        <v>45432</v>
      </c>
      <c r="S2795" s="210">
        <v>4</v>
      </c>
      <c r="T2795" s="8">
        <v>1.0001111111111112</v>
      </c>
      <c r="U2795" s="98">
        <v>3.8676535210886431</v>
      </c>
      <c r="V2795" s="106">
        <v>32561.032752510262</v>
      </c>
      <c r="W2795" s="10">
        <v>0.95499998600585556</v>
      </c>
      <c r="X2795" s="420"/>
      <c r="Y2795" s="420"/>
      <c r="Z2795" s="1"/>
      <c r="AA2795" s="1"/>
      <c r="AB2795" s="1"/>
      <c r="AC2795" s="1"/>
      <c r="AD2795" s="1"/>
    </row>
    <row r="2796" spans="17:30">
      <c r="Q2796" s="6">
        <v>2766</v>
      </c>
      <c r="R2796" s="7">
        <v>45433</v>
      </c>
      <c r="S2796" s="210">
        <v>4</v>
      </c>
      <c r="T2796" s="8">
        <v>1.0001111111111112</v>
      </c>
      <c r="U2796" s="98">
        <v>3.8677513791160356</v>
      </c>
      <c r="V2796" s="106">
        <v>32563.652665661124</v>
      </c>
      <c r="W2796" s="10">
        <v>0.95506135137899406</v>
      </c>
      <c r="X2796" s="420"/>
      <c r="Y2796" s="420"/>
      <c r="Z2796" s="1"/>
      <c r="AA2796" s="1"/>
      <c r="AB2796" s="1"/>
      <c r="AC2796" s="1"/>
      <c r="AD2796" s="1"/>
    </row>
    <row r="2797" spans="17:30">
      <c r="Q2797" s="6">
        <v>2767</v>
      </c>
      <c r="R2797" s="7">
        <v>45434</v>
      </c>
      <c r="S2797" s="210">
        <v>4</v>
      </c>
      <c r="T2797" s="8">
        <v>1.0001111111111112</v>
      </c>
      <c r="U2797" s="98">
        <v>3.8678491665033121</v>
      </c>
      <c r="V2797" s="106">
        <v>32566.272789614421</v>
      </c>
      <c r="W2797" s="10">
        <v>0.95512267243422766</v>
      </c>
      <c r="X2797" s="420"/>
      <c r="Y2797" s="420"/>
      <c r="Z2797" s="1"/>
      <c r="AA2797" s="1"/>
      <c r="AB2797" s="1"/>
      <c r="AC2797" s="1"/>
      <c r="AD2797" s="1"/>
    </row>
    <row r="2798" spans="17:30">
      <c r="Q2798" s="6">
        <v>2768</v>
      </c>
      <c r="R2798" s="7">
        <v>45435</v>
      </c>
      <c r="S2798" s="210">
        <v>4</v>
      </c>
      <c r="T2798" s="8">
        <v>1.0001111111111112</v>
      </c>
      <c r="U2798" s="98">
        <v>3.8679468833269226</v>
      </c>
      <c r="V2798" s="106">
        <v>32568.893124387108</v>
      </c>
      <c r="W2798" s="10">
        <v>0.9551839492195402</v>
      </c>
      <c r="X2798" s="420"/>
      <c r="Y2798" s="420"/>
      <c r="Z2798" s="1"/>
      <c r="AA2798" s="1"/>
      <c r="AB2798" s="1"/>
      <c r="AC2798" s="1"/>
      <c r="AD2798" s="1"/>
    </row>
    <row r="2799" spans="17:30">
      <c r="Q2799" s="6">
        <v>2769</v>
      </c>
      <c r="R2799" s="7">
        <v>45436</v>
      </c>
      <c r="S2799" s="210">
        <v>4</v>
      </c>
      <c r="T2799" s="8">
        <v>1.0001111111111112</v>
      </c>
      <c r="U2799" s="98">
        <v>3.8680445296632282</v>
      </c>
      <c r="V2799" s="106">
        <v>32571.513669996155</v>
      </c>
      <c r="W2799" s="10">
        <v>0.9552451817828711</v>
      </c>
      <c r="X2799" s="420"/>
      <c r="Y2799" s="420"/>
      <c r="Z2799" s="1"/>
      <c r="AA2799" s="1"/>
      <c r="AB2799" s="1"/>
      <c r="AC2799" s="1"/>
      <c r="AD2799" s="1"/>
    </row>
    <row r="2800" spans="17:30">
      <c r="Q2800" s="6">
        <v>2770</v>
      </c>
      <c r="R2800" s="7">
        <v>45437</v>
      </c>
      <c r="S2800" s="210">
        <v>4</v>
      </c>
      <c r="T2800" s="8">
        <v>1.0001111111111112</v>
      </c>
      <c r="U2800" s="98">
        <v>3.8681421055884568</v>
      </c>
      <c r="V2800" s="106">
        <v>32574.13442645852</v>
      </c>
      <c r="W2800" s="10">
        <v>0.95530637017207098</v>
      </c>
      <c r="X2800" s="420"/>
      <c r="Y2800" s="420"/>
      <c r="Z2800" s="1"/>
      <c r="AA2800" s="1"/>
      <c r="AB2800" s="1"/>
      <c r="AC2800" s="1"/>
      <c r="AD2800" s="1"/>
    </row>
    <row r="2801" spans="17:30">
      <c r="Q2801" s="6">
        <v>2771</v>
      </c>
      <c r="R2801" s="7">
        <v>45438</v>
      </c>
      <c r="S2801" s="210">
        <v>4</v>
      </c>
      <c r="T2801" s="8">
        <v>1.0001111111111112</v>
      </c>
      <c r="U2801" s="98">
        <v>3.8682396111787476</v>
      </c>
      <c r="V2801" s="106">
        <v>32576.75539379118</v>
      </c>
      <c r="W2801" s="10">
        <v>0.95536751443490164</v>
      </c>
      <c r="X2801" s="420"/>
      <c r="Y2801" s="420"/>
      <c r="Z2801" s="1"/>
      <c r="AA2801" s="1"/>
      <c r="AB2801" s="1"/>
      <c r="AC2801" s="1"/>
      <c r="AD2801" s="1"/>
    </row>
    <row r="2802" spans="17:30">
      <c r="Q2802" s="6">
        <v>2772</v>
      </c>
      <c r="R2802" s="7">
        <v>45439</v>
      </c>
      <c r="S2802" s="210">
        <v>4</v>
      </c>
      <c r="T2802" s="8">
        <v>1.0001111111111112</v>
      </c>
      <c r="U2802" s="98">
        <v>3.8683370465101063</v>
      </c>
      <c r="V2802" s="106">
        <v>32579.376572011086</v>
      </c>
      <c r="W2802" s="10">
        <v>0.95542861461910267</v>
      </c>
      <c r="X2802" s="420"/>
      <c r="Y2802" s="420"/>
      <c r="Z2802" s="1"/>
      <c r="AA2802" s="1"/>
      <c r="AB2802" s="1"/>
      <c r="AC2802" s="1"/>
      <c r="AD2802" s="1"/>
    </row>
    <row r="2803" spans="17:30">
      <c r="Q2803" s="6">
        <v>2773</v>
      </c>
      <c r="R2803" s="7">
        <v>45440</v>
      </c>
      <c r="S2803" s="210">
        <v>4</v>
      </c>
      <c r="T2803" s="8">
        <v>1.0001111111111112</v>
      </c>
      <c r="U2803" s="98">
        <v>3.8684344116584723</v>
      </c>
      <c r="V2803" s="106">
        <v>32581.997961135214</v>
      </c>
      <c r="W2803" s="10">
        <v>0.95548967077232483</v>
      </c>
      <c r="X2803" s="420"/>
      <c r="Y2803" s="420"/>
      <c r="Z2803" s="1"/>
      <c r="AA2803" s="1"/>
      <c r="AB2803" s="1"/>
      <c r="AC2803" s="1"/>
      <c r="AD2803" s="1"/>
    </row>
    <row r="2804" spans="17:30">
      <c r="Q2804" s="6">
        <v>2774</v>
      </c>
      <c r="R2804" s="7">
        <v>45441</v>
      </c>
      <c r="S2804" s="210">
        <v>4</v>
      </c>
      <c r="T2804" s="8">
        <v>1.0001111111111112</v>
      </c>
      <c r="U2804" s="98">
        <v>3.8685317066996294</v>
      </c>
      <c r="V2804" s="106">
        <v>32584.619561180541</v>
      </c>
      <c r="W2804" s="10">
        <v>0.95555068294213008</v>
      </c>
      <c r="X2804" s="420"/>
      <c r="Y2804" s="420"/>
      <c r="Z2804" s="1"/>
      <c r="AA2804" s="1"/>
      <c r="AB2804" s="1"/>
      <c r="AC2804" s="1"/>
      <c r="AD2804" s="1"/>
    </row>
    <row r="2805" spans="17:30">
      <c r="Q2805" s="6">
        <v>2775</v>
      </c>
      <c r="R2805" s="7">
        <v>45442</v>
      </c>
      <c r="S2805" s="210">
        <v>4</v>
      </c>
      <c r="T2805" s="8">
        <v>1.0001111111111112</v>
      </c>
      <c r="U2805" s="98">
        <v>3.8686289317092726</v>
      </c>
      <c r="V2805" s="106">
        <v>32587.241372164022</v>
      </c>
      <c r="W2805" s="10">
        <v>0.95561165117603597</v>
      </c>
      <c r="X2805" s="420"/>
      <c r="Y2805" s="420"/>
      <c r="Z2805" s="1"/>
      <c r="AA2805" s="1"/>
      <c r="AB2805" s="1"/>
      <c r="AC2805" s="1"/>
      <c r="AD2805" s="1"/>
    </row>
    <row r="2806" spans="17:30">
      <c r="Q2806" s="6">
        <v>2776</v>
      </c>
      <c r="R2806" s="7">
        <v>45443</v>
      </c>
      <c r="S2806" s="210">
        <v>4</v>
      </c>
      <c r="T2806" s="8">
        <v>1.0001111111111112</v>
      </c>
      <c r="U2806" s="98">
        <v>3.8687260867629858</v>
      </c>
      <c r="V2806" s="106">
        <v>32589.863394102646</v>
      </c>
      <c r="W2806" s="10">
        <v>0.95567257552147122</v>
      </c>
      <c r="X2806" s="420"/>
      <c r="Y2806" s="420"/>
      <c r="Z2806" s="1"/>
      <c r="AA2806" s="1"/>
      <c r="AB2806" s="1"/>
      <c r="AC2806" s="1"/>
      <c r="AD2806" s="1"/>
    </row>
    <row r="2807" spans="17:30">
      <c r="Q2807" s="6">
        <v>2777</v>
      </c>
      <c r="R2807" s="7">
        <v>45444</v>
      </c>
      <c r="S2807" s="210">
        <v>4</v>
      </c>
      <c r="T2807" s="8">
        <v>1.0001111111111112</v>
      </c>
      <c r="U2807" s="98">
        <v>3.868823171936242</v>
      </c>
      <c r="V2807" s="106">
        <v>32592.485627013379</v>
      </c>
      <c r="W2807" s="10">
        <v>0.95573345602582016</v>
      </c>
      <c r="X2807" s="420"/>
      <c r="Y2807" s="420"/>
      <c r="Z2807" s="1"/>
      <c r="AA2807" s="1"/>
      <c r="AB2807" s="1"/>
      <c r="AC2807" s="1"/>
      <c r="AD2807" s="1"/>
    </row>
    <row r="2808" spans="17:30">
      <c r="Q2808" s="6">
        <v>2778</v>
      </c>
      <c r="R2808" s="7">
        <v>45445</v>
      </c>
      <c r="S2808" s="210">
        <v>4</v>
      </c>
      <c r="T2808" s="8">
        <v>1.0001111111111112</v>
      </c>
      <c r="U2808" s="98">
        <v>3.8689201873044032</v>
      </c>
      <c r="V2808" s="106">
        <v>32595.108070913189</v>
      </c>
      <c r="W2808" s="10">
        <v>0.95579429273637828</v>
      </c>
      <c r="X2808" s="420"/>
      <c r="Y2808" s="420"/>
      <c r="Z2808" s="1"/>
      <c r="AA2808" s="1"/>
      <c r="AB2808" s="1"/>
      <c r="AC2808" s="1"/>
      <c r="AD2808" s="1"/>
    </row>
    <row r="2809" spans="17:30">
      <c r="Q2809" s="6">
        <v>2779</v>
      </c>
      <c r="R2809" s="7">
        <v>45446</v>
      </c>
      <c r="S2809" s="210">
        <v>4</v>
      </c>
      <c r="T2809" s="8">
        <v>1.0001111111111112</v>
      </c>
      <c r="U2809" s="98">
        <v>3.8690171329427425</v>
      </c>
      <c r="V2809" s="106">
        <v>32597.730725819067</v>
      </c>
      <c r="W2809" s="10">
        <v>0.95585508570037447</v>
      </c>
      <c r="X2809" s="420"/>
      <c r="Y2809" s="420"/>
      <c r="Z2809" s="1"/>
      <c r="AA2809" s="1"/>
      <c r="AB2809" s="1"/>
      <c r="AC2809" s="1"/>
      <c r="AD2809" s="1"/>
    </row>
    <row r="2810" spans="17:30">
      <c r="Q2810" s="6">
        <v>2780</v>
      </c>
      <c r="R2810" s="7">
        <v>45447</v>
      </c>
      <c r="S2810" s="210">
        <v>4</v>
      </c>
      <c r="T2810" s="8">
        <v>1.0001111111111112</v>
      </c>
      <c r="U2810" s="98">
        <v>3.8691140089263998</v>
      </c>
      <c r="V2810" s="106">
        <v>32600.353591747982</v>
      </c>
      <c r="W2810" s="10">
        <v>0.95591583496501542</v>
      </c>
      <c r="X2810" s="420"/>
      <c r="Y2810" s="420"/>
      <c r="Z2810" s="1"/>
      <c r="AA2810" s="1"/>
      <c r="AB2810" s="1"/>
      <c r="AC2810" s="1"/>
      <c r="AD2810" s="1"/>
    </row>
    <row r="2811" spans="17:30">
      <c r="Q2811" s="6">
        <v>2781</v>
      </c>
      <c r="R2811" s="7">
        <v>45448</v>
      </c>
      <c r="S2811" s="210">
        <v>4</v>
      </c>
      <c r="T2811" s="8">
        <v>1.0001111111111112</v>
      </c>
      <c r="U2811" s="98">
        <v>3.8692108153304261</v>
      </c>
      <c r="V2811" s="106">
        <v>32602.976668716914</v>
      </c>
      <c r="W2811" s="10">
        <v>0.95597654057737458</v>
      </c>
      <c r="X2811" s="420"/>
      <c r="Y2811" s="420"/>
      <c r="Z2811" s="1"/>
      <c r="AA2811" s="1"/>
      <c r="AB2811" s="1"/>
      <c r="AC2811" s="1"/>
      <c r="AD2811" s="1"/>
    </row>
    <row r="2812" spans="17:30">
      <c r="Q2812" s="6">
        <v>2782</v>
      </c>
      <c r="R2812" s="7">
        <v>45449</v>
      </c>
      <c r="S2812" s="210">
        <v>4</v>
      </c>
      <c r="T2812" s="8">
        <v>1.0001111111111112</v>
      </c>
      <c r="U2812" s="98">
        <v>3.8693075522297615</v>
      </c>
      <c r="V2812" s="106">
        <v>32605.599956742848</v>
      </c>
      <c r="W2812" s="10">
        <v>0.9560372025845032</v>
      </c>
      <c r="X2812" s="420"/>
      <c r="Y2812" s="420"/>
      <c r="Z2812" s="1"/>
      <c r="AA2812" s="1"/>
      <c r="AB2812" s="1"/>
      <c r="AC2812" s="1"/>
      <c r="AD2812" s="1"/>
    </row>
    <row r="2813" spans="17:30">
      <c r="Q2813" s="6">
        <v>2783</v>
      </c>
      <c r="R2813" s="7">
        <v>45450</v>
      </c>
      <c r="S2813" s="210">
        <v>4</v>
      </c>
      <c r="T2813" s="8">
        <v>1.0001111111111112</v>
      </c>
      <c r="U2813" s="98">
        <v>3.8694042196992129</v>
      </c>
      <c r="V2813" s="106">
        <v>32608.223455842755</v>
      </c>
      <c r="W2813" s="10">
        <v>0.95609782103334151</v>
      </c>
      <c r="X2813" s="420"/>
      <c r="Y2813" s="420"/>
      <c r="Z2813" s="1"/>
      <c r="AA2813" s="1"/>
      <c r="AB2813" s="1"/>
      <c r="AC2813" s="1"/>
      <c r="AD2813" s="1"/>
    </row>
    <row r="2814" spans="17:30">
      <c r="Q2814" s="6">
        <v>2784</v>
      </c>
      <c r="R2814" s="7">
        <v>45451</v>
      </c>
      <c r="S2814" s="210">
        <v>4</v>
      </c>
      <c r="T2814" s="8">
        <v>1.0001111111111112</v>
      </c>
      <c r="U2814" s="98">
        <v>3.8695008178135204</v>
      </c>
      <c r="V2814" s="106">
        <v>32610.847166033636</v>
      </c>
      <c r="W2814" s="10">
        <v>0.95615839597082974</v>
      </c>
      <c r="X2814" s="420"/>
      <c r="Y2814" s="420"/>
      <c r="Z2814" s="1"/>
      <c r="AA2814" s="1"/>
      <c r="AB2814" s="1"/>
      <c r="AC2814" s="1"/>
      <c r="AD2814" s="1"/>
    </row>
    <row r="2815" spans="17:30">
      <c r="Q2815" s="6">
        <v>2785</v>
      </c>
      <c r="R2815" s="7">
        <v>45452</v>
      </c>
      <c r="S2815" s="210">
        <v>4</v>
      </c>
      <c r="T2815" s="8">
        <v>1.0001111111111112</v>
      </c>
      <c r="U2815" s="98">
        <v>3.869597346647291</v>
      </c>
      <c r="V2815" s="106">
        <v>32613.471087332458</v>
      </c>
      <c r="W2815" s="10">
        <v>0.9562189274437527</v>
      </c>
      <c r="X2815" s="420"/>
      <c r="Y2815" s="420"/>
      <c r="Z2815" s="1"/>
      <c r="AA2815" s="1"/>
      <c r="AB2815" s="1"/>
      <c r="AC2815" s="1"/>
      <c r="AD2815" s="1"/>
    </row>
    <row r="2816" spans="17:30">
      <c r="Q2816" s="6">
        <v>2786</v>
      </c>
      <c r="R2816" s="7">
        <v>45453</v>
      </c>
      <c r="S2816" s="210">
        <v>4</v>
      </c>
      <c r="T2816" s="8">
        <v>1.0001111111111112</v>
      </c>
      <c r="U2816" s="98">
        <v>3.8696938062750208</v>
      </c>
      <c r="V2816" s="106">
        <v>32616.095219756218</v>
      </c>
      <c r="W2816" s="10">
        <v>0.95627941549889517</v>
      </c>
      <c r="X2816" s="420"/>
      <c r="Y2816" s="420"/>
      <c r="Z2816" s="1"/>
      <c r="AA2816" s="1"/>
      <c r="AB2816" s="1"/>
      <c r="AC2816" s="1"/>
      <c r="AD2816" s="1"/>
    </row>
    <row r="2817" spans="17:30">
      <c r="Q2817" s="6">
        <v>2787</v>
      </c>
      <c r="R2817" s="7">
        <v>45454</v>
      </c>
      <c r="S2817" s="210">
        <v>4</v>
      </c>
      <c r="T2817" s="8">
        <v>1.0001111111111112</v>
      </c>
      <c r="U2817" s="98">
        <v>3.8697901967711168</v>
      </c>
      <c r="V2817" s="106">
        <v>32618.719563321898</v>
      </c>
      <c r="W2817" s="10">
        <v>0.95633986018295314</v>
      </c>
      <c r="X2817" s="420"/>
      <c r="Y2817" s="420"/>
      <c r="Z2817" s="1"/>
      <c r="AA2817" s="1"/>
      <c r="AB2817" s="1"/>
      <c r="AC2817" s="1"/>
      <c r="AD2817" s="1"/>
    </row>
    <row r="2818" spans="17:30">
      <c r="Q2818" s="6">
        <v>2788</v>
      </c>
      <c r="R2818" s="7">
        <v>45455</v>
      </c>
      <c r="S2818" s="210">
        <v>4</v>
      </c>
      <c r="T2818" s="8">
        <v>1.0001111111111112</v>
      </c>
      <c r="U2818" s="98">
        <v>3.8698865182098752</v>
      </c>
      <c r="V2818" s="106">
        <v>32621.344118046494</v>
      </c>
      <c r="W2818" s="10">
        <v>0.95640026154255597</v>
      </c>
      <c r="X2818" s="420"/>
      <c r="Y2818" s="420"/>
      <c r="Z2818" s="1"/>
      <c r="AA2818" s="1"/>
      <c r="AB2818" s="1"/>
      <c r="AC2818" s="1"/>
      <c r="AD2818" s="1"/>
    </row>
    <row r="2819" spans="17:30">
      <c r="Q2819" s="6">
        <v>2789</v>
      </c>
      <c r="R2819" s="7">
        <v>45456</v>
      </c>
      <c r="S2819" s="210">
        <v>4</v>
      </c>
      <c r="T2819" s="8">
        <v>1.0001111111111112</v>
      </c>
      <c r="U2819" s="98">
        <v>3.8699827706654588</v>
      </c>
      <c r="V2819" s="106">
        <v>32623.968883946982</v>
      </c>
      <c r="W2819" s="10">
        <v>0.95646061962426643</v>
      </c>
      <c r="X2819" s="420"/>
      <c r="Y2819" s="420"/>
      <c r="Z2819" s="1"/>
      <c r="AA2819" s="1"/>
      <c r="AB2819" s="1"/>
      <c r="AC2819" s="1"/>
      <c r="AD2819" s="1"/>
    </row>
    <row r="2820" spans="17:30">
      <c r="Q2820" s="6">
        <v>2790</v>
      </c>
      <c r="R2820" s="7">
        <v>45457</v>
      </c>
      <c r="S2820" s="210">
        <v>4</v>
      </c>
      <c r="T2820" s="8">
        <v>1.0001111111111112</v>
      </c>
      <c r="U2820" s="98">
        <v>3.870078954211964</v>
      </c>
      <c r="V2820" s="106">
        <v>32626.593861040372</v>
      </c>
      <c r="W2820" s="10">
        <v>0.95652093447458064</v>
      </c>
      <c r="X2820" s="420"/>
      <c r="Y2820" s="420"/>
      <c r="Z2820" s="1"/>
      <c r="AA2820" s="1"/>
      <c r="AB2820" s="1"/>
      <c r="AC2820" s="1"/>
      <c r="AD2820" s="1"/>
    </row>
    <row r="2821" spans="17:30">
      <c r="Q2821" s="6">
        <v>2791</v>
      </c>
      <c r="R2821" s="7">
        <v>45458</v>
      </c>
      <c r="S2821" s="210">
        <v>4</v>
      </c>
      <c r="T2821" s="8">
        <v>1.0001111111111112</v>
      </c>
      <c r="U2821" s="98">
        <v>3.870175068923376</v>
      </c>
      <c r="V2821" s="106">
        <v>32629.219049343643</v>
      </c>
      <c r="W2821" s="10">
        <v>0.95658120613992814</v>
      </c>
      <c r="X2821" s="420"/>
      <c r="Y2821" s="420"/>
      <c r="Z2821" s="1"/>
      <c r="AA2821" s="1"/>
      <c r="AB2821" s="1"/>
      <c r="AC2821" s="1"/>
      <c r="AD2821" s="1"/>
    </row>
    <row r="2822" spans="17:30">
      <c r="Q2822" s="6">
        <v>2792</v>
      </c>
      <c r="R2822" s="7">
        <v>45459</v>
      </c>
      <c r="S2822" s="210">
        <v>4</v>
      </c>
      <c r="T2822" s="8">
        <v>1.0001111111111112</v>
      </c>
      <c r="U2822" s="98">
        <v>3.8702711148735469</v>
      </c>
      <c r="V2822" s="106">
        <v>32631.844448873795</v>
      </c>
      <c r="W2822" s="10">
        <v>0.95664143466667184</v>
      </c>
      <c r="X2822" s="420"/>
      <c r="Y2822" s="420"/>
      <c r="Z2822" s="1"/>
      <c r="AA2822" s="1"/>
      <c r="AB2822" s="1"/>
      <c r="AC2822" s="1"/>
      <c r="AD2822" s="1"/>
    </row>
    <row r="2823" spans="17:30">
      <c r="Q2823" s="6">
        <v>2793</v>
      </c>
      <c r="R2823" s="7">
        <v>45460</v>
      </c>
      <c r="S2823" s="210">
        <v>4</v>
      </c>
      <c r="T2823" s="8">
        <v>1.0001111111111112</v>
      </c>
      <c r="U2823" s="98">
        <v>3.8703670921362399</v>
      </c>
      <c r="V2823" s="106">
        <v>32634.470059647825</v>
      </c>
      <c r="W2823" s="10">
        <v>0.95670162010113025</v>
      </c>
      <c r="X2823" s="420"/>
      <c r="Y2823" s="420"/>
      <c r="Z2823" s="1"/>
      <c r="AA2823" s="1"/>
      <c r="AB2823" s="1"/>
      <c r="AC2823" s="1"/>
      <c r="AD2823" s="1"/>
    </row>
    <row r="2824" spans="17:30">
      <c r="Q2824" s="6">
        <v>2794</v>
      </c>
      <c r="R2824" s="7">
        <v>45461</v>
      </c>
      <c r="S2824" s="210">
        <v>4</v>
      </c>
      <c r="T2824" s="8">
        <v>1.0001111111111112</v>
      </c>
      <c r="U2824" s="98">
        <v>3.8704630007851071</v>
      </c>
      <c r="V2824" s="106">
        <v>32637.095881682726</v>
      </c>
      <c r="W2824" s="10">
        <v>0.95676176248948863</v>
      </c>
      <c r="X2824" s="420"/>
      <c r="Y2824" s="420"/>
      <c r="Z2824" s="1"/>
      <c r="AA2824" s="1"/>
      <c r="AB2824" s="1"/>
      <c r="AC2824" s="1"/>
      <c r="AD2824" s="1"/>
    </row>
    <row r="2825" spans="17:30">
      <c r="Q2825" s="6">
        <v>2795</v>
      </c>
      <c r="R2825" s="7">
        <v>45462</v>
      </c>
      <c r="S2825" s="210">
        <v>4</v>
      </c>
      <c r="T2825" s="8">
        <v>1.0001111111111112</v>
      </c>
      <c r="U2825" s="98">
        <v>3.8705588408937119</v>
      </c>
      <c r="V2825" s="106">
        <v>32639.721914995498</v>
      </c>
      <c r="W2825" s="10">
        <v>0.95682186187793228</v>
      </c>
      <c r="X2825" s="420"/>
      <c r="Y2825" s="420"/>
      <c r="Z2825" s="1"/>
      <c r="AA2825" s="1"/>
      <c r="AB2825" s="1"/>
      <c r="AC2825" s="1"/>
      <c r="AD2825" s="1"/>
    </row>
    <row r="2826" spans="17:30">
      <c r="Q2826" s="6">
        <v>2796</v>
      </c>
      <c r="R2826" s="7">
        <v>45463</v>
      </c>
      <c r="S2826" s="210">
        <v>4</v>
      </c>
      <c r="T2826" s="8">
        <v>1.0001111111111112</v>
      </c>
      <c r="U2826" s="98">
        <v>3.8706546125355068</v>
      </c>
      <c r="V2826" s="106">
        <v>32642.348159603145</v>
      </c>
      <c r="W2826" s="10">
        <v>0.95688191831260205</v>
      </c>
      <c r="X2826" s="420"/>
      <c r="Y2826" s="420"/>
      <c r="Z2826" s="1"/>
      <c r="AA2826" s="1"/>
      <c r="AB2826" s="1"/>
      <c r="AC2826" s="1"/>
      <c r="AD2826" s="1"/>
    </row>
    <row r="2827" spans="17:30">
      <c r="Q2827" s="6">
        <v>2797</v>
      </c>
      <c r="R2827" s="7">
        <v>45464</v>
      </c>
      <c r="S2827" s="210">
        <v>4</v>
      </c>
      <c r="T2827" s="8">
        <v>1.0001111111111112</v>
      </c>
      <c r="U2827" s="98">
        <v>3.8707503157838108</v>
      </c>
      <c r="V2827" s="106">
        <v>32644.974615522657</v>
      </c>
      <c r="W2827" s="10">
        <v>0.95694193183946119</v>
      </c>
      <c r="X2827" s="420"/>
      <c r="Y2827" s="420"/>
      <c r="Z2827" s="1"/>
      <c r="AA2827" s="1"/>
      <c r="AB2827" s="1"/>
      <c r="AC2827" s="1"/>
      <c r="AD2827" s="1"/>
    </row>
    <row r="2828" spans="17:30">
      <c r="Q2828" s="6">
        <v>2798</v>
      </c>
      <c r="R2828" s="7">
        <v>45465</v>
      </c>
      <c r="S2828" s="210">
        <v>4</v>
      </c>
      <c r="T2828" s="8">
        <v>1.0001111111111112</v>
      </c>
      <c r="U2828" s="98">
        <v>3.8708459507118764</v>
      </c>
      <c r="V2828" s="106">
        <v>32647.601282771044</v>
      </c>
      <c r="W2828" s="10">
        <v>0.95700190250453954</v>
      </c>
      <c r="X2828" s="420"/>
      <c r="Y2828" s="420"/>
      <c r="Z2828" s="1"/>
      <c r="AA2828" s="1"/>
      <c r="AB2828" s="1"/>
      <c r="AC2828" s="1"/>
      <c r="AD2828" s="1"/>
    </row>
    <row r="2829" spans="17:30">
      <c r="Q2829" s="6">
        <v>2799</v>
      </c>
      <c r="R2829" s="7">
        <v>45466</v>
      </c>
      <c r="S2829" s="210">
        <v>4</v>
      </c>
      <c r="T2829" s="8">
        <v>1.0001111111111112</v>
      </c>
      <c r="U2829" s="98">
        <v>3.870941517392823</v>
      </c>
      <c r="V2829" s="106">
        <v>32650.228161365314</v>
      </c>
      <c r="W2829" s="10">
        <v>0.9570618303536893</v>
      </c>
      <c r="X2829" s="420"/>
      <c r="Y2829" s="420"/>
      <c r="Z2829" s="1"/>
      <c r="AA2829" s="1"/>
      <c r="AB2829" s="1"/>
      <c r="AC2829" s="1"/>
      <c r="AD2829" s="1"/>
    </row>
    <row r="2830" spans="17:30">
      <c r="Q2830" s="6">
        <v>2800</v>
      </c>
      <c r="R2830" s="7">
        <v>45467</v>
      </c>
      <c r="S2830" s="210">
        <v>4</v>
      </c>
      <c r="T2830" s="8">
        <v>1.0001111111111112</v>
      </c>
      <c r="U2830" s="98">
        <v>3.8710370158997032</v>
      </c>
      <c r="V2830" s="106">
        <v>32652.855251322464</v>
      </c>
      <c r="W2830" s="10">
        <v>0.9571217154327627</v>
      </c>
      <c r="X2830" s="420"/>
      <c r="Y2830" s="420"/>
      <c r="Z2830" s="1"/>
      <c r="AA2830" s="1"/>
      <c r="AB2830" s="1"/>
      <c r="AC2830" s="1"/>
      <c r="AD2830" s="1"/>
    </row>
    <row r="2831" spans="17:30">
      <c r="Q2831" s="6">
        <v>2801</v>
      </c>
      <c r="R2831" s="7">
        <v>45468</v>
      </c>
      <c r="S2831" s="210">
        <v>4</v>
      </c>
      <c r="T2831" s="8">
        <v>1.0001111111111112</v>
      </c>
      <c r="U2831" s="98">
        <v>3.8711324463054142</v>
      </c>
      <c r="V2831" s="106">
        <v>32655.482552659509</v>
      </c>
      <c r="W2831" s="10">
        <v>0.95718155778754532</v>
      </c>
      <c r="X2831" s="420"/>
      <c r="Y2831" s="420"/>
      <c r="Z2831" s="1"/>
      <c r="AA2831" s="1"/>
      <c r="AB2831" s="1"/>
      <c r="AC2831" s="1"/>
      <c r="AD2831" s="1"/>
    </row>
    <row r="2832" spans="17:30">
      <c r="Q2832" s="6">
        <v>2802</v>
      </c>
      <c r="R2832" s="7">
        <v>45469</v>
      </c>
      <c r="S2832" s="210">
        <v>4</v>
      </c>
      <c r="T2832" s="8">
        <v>1.0001111111111112</v>
      </c>
      <c r="U2832" s="98">
        <v>3.8712278086827867</v>
      </c>
      <c r="V2832" s="106">
        <v>32658.110065393445</v>
      </c>
      <c r="W2832" s="10">
        <v>0.95724135746373396</v>
      </c>
      <c r="X2832" s="420"/>
      <c r="Y2832" s="420"/>
      <c r="Z2832" s="1"/>
      <c r="AA2832" s="1"/>
      <c r="AB2832" s="1"/>
      <c r="AC2832" s="1"/>
      <c r="AD2832" s="1"/>
    </row>
    <row r="2833" spans="17:30">
      <c r="Q2833" s="6">
        <v>2803</v>
      </c>
      <c r="R2833" s="7">
        <v>45470</v>
      </c>
      <c r="S2833" s="210">
        <v>4</v>
      </c>
      <c r="T2833" s="8">
        <v>1.0001111111111112</v>
      </c>
      <c r="U2833" s="98">
        <v>3.8713231031045403</v>
      </c>
      <c r="V2833" s="106">
        <v>32660.737789541294</v>
      </c>
      <c r="W2833" s="10">
        <v>0.95730111450698097</v>
      </c>
      <c r="X2833" s="420"/>
      <c r="Y2833" s="420"/>
      <c r="Z2833" s="1"/>
      <c r="AA2833" s="1"/>
      <c r="AB2833" s="1"/>
      <c r="AC2833" s="1"/>
      <c r="AD2833" s="1"/>
    </row>
    <row r="2834" spans="17:30">
      <c r="Q2834" s="6">
        <v>2804</v>
      </c>
      <c r="R2834" s="7">
        <v>45471</v>
      </c>
      <c r="S2834" s="210">
        <v>4</v>
      </c>
      <c r="T2834" s="8">
        <v>1.0001111111111112</v>
      </c>
      <c r="U2834" s="98">
        <v>3.8714183296432836</v>
      </c>
      <c r="V2834" s="106">
        <v>32663.36572512006</v>
      </c>
      <c r="W2834" s="10">
        <v>0.9573608289628277</v>
      </c>
      <c r="X2834" s="420"/>
      <c r="Y2834" s="420"/>
      <c r="Z2834" s="1"/>
      <c r="AA2834" s="1"/>
      <c r="AB2834" s="1"/>
      <c r="AC2834" s="1"/>
      <c r="AD2834" s="1"/>
    </row>
    <row r="2835" spans="17:30">
      <c r="Q2835" s="6">
        <v>2805</v>
      </c>
      <c r="R2835" s="7">
        <v>45472</v>
      </c>
      <c r="S2835" s="210">
        <v>4</v>
      </c>
      <c r="T2835" s="8">
        <v>1.0001111111111112</v>
      </c>
      <c r="U2835" s="98">
        <v>3.8715134883715141</v>
      </c>
      <c r="V2835" s="106">
        <v>32665.993872146759</v>
      </c>
      <c r="W2835" s="10">
        <v>0.95742050087681552</v>
      </c>
      <c r="X2835" s="420"/>
      <c r="Y2835" s="420"/>
      <c r="Z2835" s="1"/>
      <c r="AA2835" s="1"/>
      <c r="AB2835" s="1"/>
      <c r="AC2835" s="1"/>
      <c r="AD2835" s="1"/>
    </row>
    <row r="2836" spans="17:30">
      <c r="Q2836" s="6">
        <v>2806</v>
      </c>
      <c r="R2836" s="7">
        <v>45473</v>
      </c>
      <c r="S2836" s="210">
        <v>4</v>
      </c>
      <c r="T2836" s="8">
        <v>1.0001111111111112</v>
      </c>
      <c r="U2836" s="98">
        <v>3.8716085793616628</v>
      </c>
      <c r="V2836" s="106">
        <v>32668.622230638393</v>
      </c>
      <c r="W2836" s="10">
        <v>0.95748013029437473</v>
      </c>
      <c r="X2836" s="420"/>
      <c r="Y2836" s="420"/>
      <c r="Z2836" s="1"/>
      <c r="AA2836" s="1"/>
      <c r="AB2836" s="1"/>
      <c r="AC2836" s="1"/>
      <c r="AD2836" s="1"/>
    </row>
    <row r="2837" spans="17:30">
      <c r="Q2837" s="6">
        <v>2807</v>
      </c>
      <c r="R2837" s="7">
        <v>45474</v>
      </c>
      <c r="S2837" s="210">
        <v>4</v>
      </c>
      <c r="T2837" s="8">
        <v>1.0001111111111112</v>
      </c>
      <c r="U2837" s="98">
        <v>3.8717036026860052</v>
      </c>
      <c r="V2837" s="106">
        <v>32671.250800611993</v>
      </c>
      <c r="W2837" s="10">
        <v>0.95753971726089127</v>
      </c>
      <c r="X2837" s="420"/>
      <c r="Y2837" s="420"/>
      <c r="Z2837" s="1"/>
      <c r="AA2837" s="1"/>
      <c r="AB2837" s="1"/>
      <c r="AC2837" s="1"/>
      <c r="AD2837" s="1"/>
    </row>
    <row r="2838" spans="17:30">
      <c r="Q2838" s="6">
        <v>2808</v>
      </c>
      <c r="R2838" s="7">
        <v>45475</v>
      </c>
      <c r="S2838" s="210">
        <v>4</v>
      </c>
      <c r="T2838" s="8">
        <v>1.0001111111111112</v>
      </c>
      <c r="U2838" s="98">
        <v>3.8717985584167502</v>
      </c>
      <c r="V2838" s="106">
        <v>32673.879582084566</v>
      </c>
      <c r="W2838" s="10">
        <v>0.95759926182168442</v>
      </c>
      <c r="X2838" s="420"/>
      <c r="Y2838" s="420"/>
      <c r="Z2838" s="1"/>
      <c r="AA2838" s="1"/>
      <c r="AB2838" s="1"/>
      <c r="AC2838" s="1"/>
      <c r="AD2838" s="1"/>
    </row>
    <row r="2839" spans="17:30">
      <c r="Q2839" s="6">
        <v>2809</v>
      </c>
      <c r="R2839" s="7">
        <v>45476</v>
      </c>
      <c r="S2839" s="210">
        <v>4</v>
      </c>
      <c r="T2839" s="8">
        <v>1.0001111111111112</v>
      </c>
      <c r="U2839" s="98">
        <v>3.8718934466259958</v>
      </c>
      <c r="V2839" s="106">
        <v>32676.50857507313</v>
      </c>
      <c r="W2839" s="10">
        <v>0.95765876402198469</v>
      </c>
      <c r="X2839" s="420"/>
      <c r="Y2839" s="420"/>
      <c r="Z2839" s="1"/>
      <c r="AA2839" s="1"/>
      <c r="AB2839" s="1"/>
      <c r="AC2839" s="1"/>
      <c r="AD2839" s="1"/>
    </row>
    <row r="2840" spans="17:30">
      <c r="Q2840" s="6">
        <v>2810</v>
      </c>
      <c r="R2840" s="7">
        <v>45477</v>
      </c>
      <c r="S2840" s="210">
        <v>4</v>
      </c>
      <c r="T2840" s="8">
        <v>1.0001111111111112</v>
      </c>
      <c r="U2840" s="98">
        <v>3.8719882673857509</v>
      </c>
      <c r="V2840" s="106">
        <v>32679.137779594712</v>
      </c>
      <c r="W2840" s="10">
        <v>0.95771822390700034</v>
      </c>
      <c r="X2840" s="420"/>
      <c r="Y2840" s="420"/>
      <c r="Z2840" s="1"/>
      <c r="AA2840" s="1"/>
      <c r="AB2840" s="1"/>
      <c r="AC2840" s="1"/>
      <c r="AD2840" s="1"/>
    </row>
    <row r="2841" spans="17:30">
      <c r="Q2841" s="6">
        <v>2811</v>
      </c>
      <c r="R2841" s="7">
        <v>45478</v>
      </c>
      <c r="S2841" s="210">
        <v>4</v>
      </c>
      <c r="T2841" s="8">
        <v>1.0001111111111112</v>
      </c>
      <c r="U2841" s="98">
        <v>3.8720830207678913</v>
      </c>
      <c r="V2841" s="106">
        <v>32681.767195666318</v>
      </c>
      <c r="W2841" s="10">
        <v>0.95777764152187306</v>
      </c>
      <c r="X2841" s="420"/>
      <c r="Y2841" s="420"/>
      <c r="Z2841" s="1"/>
      <c r="AA2841" s="1"/>
      <c r="AB2841" s="1"/>
      <c r="AC2841" s="1"/>
      <c r="AD2841" s="1"/>
    </row>
    <row r="2842" spans="17:30">
      <c r="Q2842" s="6">
        <v>2812</v>
      </c>
      <c r="R2842" s="7">
        <v>45479</v>
      </c>
      <c r="S2842" s="210">
        <v>4</v>
      </c>
      <c r="T2842" s="8">
        <v>1.0001111111111112</v>
      </c>
      <c r="U2842" s="98">
        <v>3.8721777068442043</v>
      </c>
      <c r="V2842" s="106">
        <v>32684.396823304975</v>
      </c>
      <c r="W2842" s="10">
        <v>0.95783701691161127</v>
      </c>
      <c r="X2842" s="420"/>
      <c r="Y2842" s="420"/>
      <c r="Z2842" s="1"/>
      <c r="AA2842" s="1"/>
      <c r="AB2842" s="1"/>
      <c r="AC2842" s="1"/>
      <c r="AD2842" s="1"/>
    </row>
    <row r="2843" spans="17:30">
      <c r="Q2843" s="6">
        <v>2813</v>
      </c>
      <c r="R2843" s="7">
        <v>45480</v>
      </c>
      <c r="S2843" s="210">
        <v>4</v>
      </c>
      <c r="T2843" s="8">
        <v>1.0001111111111112</v>
      </c>
      <c r="U2843" s="98">
        <v>3.8722723256863878</v>
      </c>
      <c r="V2843" s="106">
        <v>32687.026662527711</v>
      </c>
      <c r="W2843" s="10">
        <v>0.95789635012124563</v>
      </c>
      <c r="X2843" s="420"/>
      <c r="Y2843" s="420"/>
      <c r="Z2843" s="1"/>
      <c r="AA2843" s="1"/>
      <c r="AB2843" s="1"/>
      <c r="AC2843" s="1"/>
      <c r="AD2843" s="1"/>
    </row>
    <row r="2844" spans="17:30">
      <c r="Q2844" s="6">
        <v>2814</v>
      </c>
      <c r="R2844" s="7">
        <v>45481</v>
      </c>
      <c r="S2844" s="210">
        <v>4</v>
      </c>
      <c r="T2844" s="8">
        <v>1.0001111111111112</v>
      </c>
      <c r="U2844" s="98">
        <v>3.8723668773660291</v>
      </c>
      <c r="V2844" s="106">
        <v>32689.656713351549</v>
      </c>
      <c r="W2844" s="10">
        <v>0.95795564119569576</v>
      </c>
      <c r="X2844" s="420"/>
      <c r="Y2844" s="420"/>
      <c r="Z2844" s="1"/>
      <c r="AA2844" s="1"/>
      <c r="AB2844" s="1"/>
      <c r="AC2844" s="1"/>
      <c r="AD2844" s="1"/>
    </row>
    <row r="2845" spans="17:30">
      <c r="Q2845" s="6">
        <v>2815</v>
      </c>
      <c r="R2845" s="7">
        <v>45482</v>
      </c>
      <c r="S2845" s="210">
        <v>4</v>
      </c>
      <c r="T2845" s="8">
        <v>1.0001111111111112</v>
      </c>
      <c r="U2845" s="98">
        <v>3.8724613619546044</v>
      </c>
      <c r="V2845" s="106">
        <v>32692.286975793515</v>
      </c>
      <c r="W2845" s="10">
        <v>0.95801489017983688</v>
      </c>
      <c r="X2845" s="420"/>
      <c r="Y2845" s="420"/>
      <c r="Z2845" s="1"/>
      <c r="AA2845" s="1"/>
      <c r="AB2845" s="1"/>
      <c r="AC2845" s="1"/>
      <c r="AD2845" s="1"/>
    </row>
    <row r="2846" spans="17:30">
      <c r="Q2846" s="6">
        <v>2816</v>
      </c>
      <c r="R2846" s="7">
        <v>45483</v>
      </c>
      <c r="S2846" s="210">
        <v>4</v>
      </c>
      <c r="T2846" s="8">
        <v>1.0001111111111112</v>
      </c>
      <c r="U2846" s="98">
        <v>3.8725557795235011</v>
      </c>
      <c r="V2846" s="106">
        <v>32694.917449870631</v>
      </c>
      <c r="W2846" s="10">
        <v>0.95807409711847757</v>
      </c>
      <c r="X2846" s="420"/>
      <c r="Y2846" s="420"/>
      <c r="Z2846" s="1"/>
      <c r="AA2846" s="1"/>
      <c r="AB2846" s="1"/>
      <c r="AC2846" s="1"/>
      <c r="AD2846" s="1"/>
    </row>
    <row r="2847" spans="17:30">
      <c r="Q2847" s="6">
        <v>2817</v>
      </c>
      <c r="R2847" s="7">
        <v>45484</v>
      </c>
      <c r="S2847" s="210">
        <v>4</v>
      </c>
      <c r="T2847" s="8">
        <v>1.0001111111111112</v>
      </c>
      <c r="U2847" s="98">
        <v>3.8726501301440175</v>
      </c>
      <c r="V2847" s="106">
        <v>32697.548135599925</v>
      </c>
      <c r="W2847" s="10">
        <v>0.95813326205635985</v>
      </c>
      <c r="X2847" s="420"/>
      <c r="Y2847" s="420"/>
      <c r="Z2847" s="1"/>
      <c r="AA2847" s="1"/>
      <c r="AB2847" s="1"/>
      <c r="AC2847" s="1"/>
      <c r="AD2847" s="1"/>
    </row>
    <row r="2848" spans="17:30">
      <c r="Q2848" s="6">
        <v>2818</v>
      </c>
      <c r="R2848" s="7">
        <v>45485</v>
      </c>
      <c r="S2848" s="210">
        <v>4</v>
      </c>
      <c r="T2848" s="8">
        <v>1.0001111111111112</v>
      </c>
      <c r="U2848" s="98">
        <v>3.872744413887319</v>
      </c>
      <c r="V2848" s="106">
        <v>32700.179032998443</v>
      </c>
      <c r="W2848" s="10">
        <v>0.95819238503813686</v>
      </c>
      <c r="X2848" s="420"/>
      <c r="Y2848" s="420"/>
      <c r="Z2848" s="1"/>
      <c r="AA2848" s="1"/>
      <c r="AB2848" s="1"/>
      <c r="AC2848" s="1"/>
      <c r="AD2848" s="1"/>
    </row>
    <row r="2849" spans="17:30">
      <c r="Q2849" s="6">
        <v>2819</v>
      </c>
      <c r="R2849" s="7">
        <v>45486</v>
      </c>
      <c r="S2849" s="210">
        <v>4</v>
      </c>
      <c r="T2849" s="8">
        <v>1.0001111111111112</v>
      </c>
      <c r="U2849" s="98">
        <v>3.8728386308244822</v>
      </c>
      <c r="V2849" s="106">
        <v>32702.810142083188</v>
      </c>
      <c r="W2849" s="10">
        <v>0.95825146610843959</v>
      </c>
      <c r="X2849" s="420"/>
      <c r="Y2849" s="420"/>
      <c r="Z2849" s="1"/>
      <c r="AA2849" s="1"/>
      <c r="AB2849" s="1"/>
      <c r="AC2849" s="1"/>
      <c r="AD2849" s="1"/>
    </row>
    <row r="2850" spans="17:30">
      <c r="Q2850" s="6">
        <v>2820</v>
      </c>
      <c r="R2850" s="7">
        <v>45487</v>
      </c>
      <c r="S2850" s="210">
        <v>4</v>
      </c>
      <c r="T2850" s="8">
        <v>1.0001111111111112</v>
      </c>
      <c r="U2850" s="98">
        <v>3.8729327810264946</v>
      </c>
      <c r="V2850" s="106">
        <v>32705.441462871222</v>
      </c>
      <c r="W2850" s="10">
        <v>0.95831050531178796</v>
      </c>
      <c r="X2850" s="420"/>
      <c r="Y2850" s="420"/>
      <c r="Z2850" s="1"/>
      <c r="AA2850" s="1"/>
      <c r="AB2850" s="1"/>
      <c r="AC2850" s="1"/>
      <c r="AD2850" s="1"/>
    </row>
    <row r="2851" spans="17:30">
      <c r="Q2851" s="6">
        <v>2821</v>
      </c>
      <c r="R2851" s="7">
        <v>45488</v>
      </c>
      <c r="S2851" s="210">
        <v>4</v>
      </c>
      <c r="T2851" s="8">
        <v>1.0001111111111112</v>
      </c>
      <c r="U2851" s="98">
        <v>3.873026864564233</v>
      </c>
      <c r="V2851" s="106">
        <v>32708.072995379564</v>
      </c>
      <c r="W2851" s="10">
        <v>0.95836950269272414</v>
      </c>
      <c r="X2851" s="420"/>
      <c r="Y2851" s="420"/>
      <c r="Z2851" s="1"/>
      <c r="AA2851" s="1"/>
      <c r="AB2851" s="1"/>
      <c r="AC2851" s="1"/>
      <c r="AD2851" s="1"/>
    </row>
    <row r="2852" spans="17:30">
      <c r="Q2852" s="6">
        <v>2822</v>
      </c>
      <c r="R2852" s="7">
        <v>45489</v>
      </c>
      <c r="S2852" s="210">
        <v>4</v>
      </c>
      <c r="T2852" s="8">
        <v>1.0001111111111112</v>
      </c>
      <c r="U2852" s="98">
        <v>3.8731208815084628</v>
      </c>
      <c r="V2852" s="106">
        <v>32710.704739625242</v>
      </c>
      <c r="W2852" s="10">
        <v>0.95842845829561263</v>
      </c>
      <c r="X2852" s="420"/>
      <c r="Y2852" s="420"/>
      <c r="Z2852" s="1"/>
      <c r="AA2852" s="1"/>
      <c r="AB2852" s="1"/>
      <c r="AC2852" s="1"/>
      <c r="AD2852" s="1"/>
    </row>
    <row r="2853" spans="17:30">
      <c r="Q2853" s="6">
        <v>2823</v>
      </c>
      <c r="R2853" s="7">
        <v>45490</v>
      </c>
      <c r="S2853" s="210">
        <v>4</v>
      </c>
      <c r="T2853" s="8">
        <v>1.0001111111111112</v>
      </c>
      <c r="U2853" s="98">
        <v>3.8732148319298831</v>
      </c>
      <c r="V2853" s="106">
        <v>32713.336695625312</v>
      </c>
      <c r="W2853" s="10">
        <v>0.95848737216486235</v>
      </c>
      <c r="X2853" s="420"/>
      <c r="Y2853" s="420"/>
      <c r="Z2853" s="1"/>
      <c r="AA2853" s="1"/>
      <c r="AB2853" s="1"/>
      <c r="AC2853" s="1"/>
      <c r="AD2853" s="1"/>
    </row>
    <row r="2854" spans="17:30">
      <c r="Q2854" s="6">
        <v>2824</v>
      </c>
      <c r="R2854" s="7">
        <v>45491</v>
      </c>
      <c r="S2854" s="210">
        <v>4</v>
      </c>
      <c r="T2854" s="8">
        <v>1.0001111111111112</v>
      </c>
      <c r="U2854" s="98">
        <v>3.8733087158990598</v>
      </c>
      <c r="V2854" s="106">
        <v>32715.968863396796</v>
      </c>
      <c r="W2854" s="10">
        <v>0.958546244344749</v>
      </c>
      <c r="X2854" s="420"/>
      <c r="Y2854" s="420"/>
      <c r="Z2854" s="1"/>
      <c r="AA2854" s="1"/>
      <c r="AB2854" s="1"/>
      <c r="AC2854" s="1"/>
      <c r="AD2854" s="1"/>
    </row>
    <row r="2855" spans="17:30">
      <c r="Q2855" s="6">
        <v>2825</v>
      </c>
      <c r="R2855" s="7">
        <v>45492</v>
      </c>
      <c r="S2855" s="210">
        <v>4</v>
      </c>
      <c r="T2855" s="8">
        <v>1.0001111111111112</v>
      </c>
      <c r="U2855" s="98">
        <v>3.8734025334864697</v>
      </c>
      <c r="V2855" s="106">
        <v>32718.601242956742</v>
      </c>
      <c r="W2855" s="10">
        <v>0.95860507487950386</v>
      </c>
      <c r="X2855" s="420"/>
      <c r="Y2855" s="420"/>
      <c r="Z2855" s="1"/>
      <c r="AA2855" s="1"/>
      <c r="AB2855" s="1"/>
      <c r="AC2855" s="1"/>
      <c r="AD2855" s="1"/>
    </row>
    <row r="2856" spans="17:30">
      <c r="Q2856" s="6">
        <v>2826</v>
      </c>
      <c r="R2856" s="7">
        <v>45493</v>
      </c>
      <c r="S2856" s="210">
        <v>4</v>
      </c>
      <c r="T2856" s="8">
        <v>1.0001111111111112</v>
      </c>
      <c r="U2856" s="98">
        <v>3.873496284762501</v>
      </c>
      <c r="V2856" s="106">
        <v>32721.233834322182</v>
      </c>
      <c r="W2856" s="10">
        <v>0.95866386381331381</v>
      </c>
      <c r="X2856" s="420"/>
      <c r="Y2856" s="420"/>
      <c r="Z2856" s="1"/>
      <c r="AA2856" s="1"/>
      <c r="AB2856" s="1"/>
      <c r="AC2856" s="1"/>
      <c r="AD2856" s="1"/>
    </row>
    <row r="2857" spans="17:30">
      <c r="Q2857" s="6">
        <v>2827</v>
      </c>
      <c r="R2857" s="7">
        <v>45494</v>
      </c>
      <c r="S2857" s="210">
        <v>4</v>
      </c>
      <c r="T2857" s="8">
        <v>1.0001111111111112</v>
      </c>
      <c r="U2857" s="98">
        <v>3.8735899697974308</v>
      </c>
      <c r="V2857" s="106">
        <v>32723.866637510171</v>
      </c>
      <c r="W2857" s="10">
        <v>0.95872261119027691</v>
      </c>
      <c r="X2857" s="420"/>
      <c r="Y2857" s="420"/>
      <c r="Z2857" s="1"/>
      <c r="AA2857" s="1"/>
      <c r="AB2857" s="1"/>
      <c r="AC2857" s="1"/>
      <c r="AD2857" s="1"/>
    </row>
    <row r="2858" spans="17:30">
      <c r="Q2858" s="6">
        <v>2828</v>
      </c>
      <c r="R2858" s="7">
        <v>45495</v>
      </c>
      <c r="S2858" s="210">
        <v>4</v>
      </c>
      <c r="T2858" s="8">
        <v>1.0001111111111112</v>
      </c>
      <c r="U2858" s="98">
        <v>3.8736835886614251</v>
      </c>
      <c r="V2858" s="106">
        <v>32726.499652537746</v>
      </c>
      <c r="W2858" s="10">
        <v>0.9587813170544246</v>
      </c>
      <c r="X2858" s="420"/>
      <c r="Y2858" s="420"/>
      <c r="Z2858" s="1"/>
      <c r="AA2858" s="1"/>
      <c r="AB2858" s="1"/>
      <c r="AC2858" s="1"/>
      <c r="AD2858" s="1"/>
    </row>
    <row r="2859" spans="17:30">
      <c r="Q2859" s="6">
        <v>2829</v>
      </c>
      <c r="R2859" s="7">
        <v>45496</v>
      </c>
      <c r="S2859" s="210">
        <v>4</v>
      </c>
      <c r="T2859" s="8">
        <v>1.0001111111111112</v>
      </c>
      <c r="U2859" s="98">
        <v>3.8737771414245836</v>
      </c>
      <c r="V2859" s="106">
        <v>32729.132879421948</v>
      </c>
      <c r="W2859" s="10">
        <v>0.95883998144978833</v>
      </c>
      <c r="X2859" s="420"/>
      <c r="Y2859" s="420"/>
      <c r="Z2859" s="1"/>
      <c r="AA2859" s="1"/>
      <c r="AB2859" s="1"/>
      <c r="AC2859" s="1"/>
      <c r="AD2859" s="1"/>
    </row>
    <row r="2860" spans="17:30">
      <c r="Q2860" s="6">
        <v>2830</v>
      </c>
      <c r="R2860" s="7">
        <v>45497</v>
      </c>
      <c r="S2860" s="210">
        <v>4</v>
      </c>
      <c r="T2860" s="8">
        <v>1.0001111111111112</v>
      </c>
      <c r="U2860" s="98">
        <v>3.8738706281568946</v>
      </c>
      <c r="V2860" s="106">
        <v>32731.766318179831</v>
      </c>
      <c r="W2860" s="10">
        <v>0.95889860442026631</v>
      </c>
      <c r="X2860" s="420"/>
      <c r="Y2860" s="420"/>
      <c r="Z2860" s="1"/>
      <c r="AA2860" s="1"/>
      <c r="AB2860" s="1"/>
      <c r="AC2860" s="1"/>
      <c r="AD2860" s="1"/>
    </row>
    <row r="2861" spans="17:30">
      <c r="Q2861" s="6">
        <v>2831</v>
      </c>
      <c r="R2861" s="7">
        <v>45498</v>
      </c>
      <c r="S2861" s="210">
        <v>4</v>
      </c>
      <c r="T2861" s="8">
        <v>1.0001111111111112</v>
      </c>
      <c r="U2861" s="98">
        <v>3.8739640489282134</v>
      </c>
      <c r="V2861" s="106">
        <v>32734.399968828435</v>
      </c>
      <c r="W2861" s="10">
        <v>0.95895718600969015</v>
      </c>
      <c r="X2861" s="420"/>
      <c r="Y2861" s="420"/>
      <c r="Z2861" s="1"/>
      <c r="AA2861" s="1"/>
      <c r="AB2861" s="1"/>
      <c r="AC2861" s="1"/>
      <c r="AD2861" s="1"/>
    </row>
    <row r="2862" spans="17:30">
      <c r="Q2862" s="6">
        <v>2832</v>
      </c>
      <c r="R2862" s="7">
        <v>45499</v>
      </c>
      <c r="S2862" s="210">
        <v>4</v>
      </c>
      <c r="T2862" s="8">
        <v>1.0001111111111112</v>
      </c>
      <c r="U2862" s="98">
        <v>3.8740574038083508</v>
      </c>
      <c r="V2862" s="106">
        <v>32737.033831384819</v>
      </c>
      <c r="W2862" s="10">
        <v>0.95901572626191367</v>
      </c>
      <c r="X2862" s="420"/>
      <c r="Y2862" s="420"/>
      <c r="Z2862" s="1"/>
      <c r="AA2862" s="1"/>
      <c r="AB2862" s="1"/>
      <c r="AC2862" s="1"/>
      <c r="AD2862" s="1"/>
    </row>
    <row r="2863" spans="17:30">
      <c r="Q2863" s="6">
        <v>2833</v>
      </c>
      <c r="R2863" s="7">
        <v>45500</v>
      </c>
      <c r="S2863" s="210">
        <v>4</v>
      </c>
      <c r="T2863" s="8">
        <v>1.0001111111111112</v>
      </c>
      <c r="U2863" s="98">
        <v>3.8741506928669844</v>
      </c>
      <c r="V2863" s="106">
        <v>32739.667905866019</v>
      </c>
      <c r="W2863" s="10">
        <v>0.95907422522065744</v>
      </c>
      <c r="X2863" s="420"/>
      <c r="Y2863" s="420"/>
      <c r="Z2863" s="1"/>
      <c r="AA2863" s="1"/>
      <c r="AB2863" s="1"/>
      <c r="AC2863" s="1"/>
      <c r="AD2863" s="1"/>
    </row>
    <row r="2864" spans="17:30">
      <c r="Q2864" s="6">
        <v>2834</v>
      </c>
      <c r="R2864" s="7">
        <v>45501</v>
      </c>
      <c r="S2864" s="210">
        <v>4</v>
      </c>
      <c r="T2864" s="8">
        <v>1.0001111111111112</v>
      </c>
      <c r="U2864" s="98">
        <v>3.874243916173703</v>
      </c>
      <c r="V2864" s="106">
        <v>32742.302192289102</v>
      </c>
      <c r="W2864" s="10">
        <v>0.95913268292959764</v>
      </c>
      <c r="X2864" s="420"/>
      <c r="Y2864" s="420"/>
      <c r="Z2864" s="1"/>
      <c r="AA2864" s="1"/>
      <c r="AB2864" s="1"/>
      <c r="AC2864" s="1"/>
      <c r="AD2864" s="1"/>
    </row>
    <row r="2865" spans="17:30">
      <c r="Q2865" s="6">
        <v>2835</v>
      </c>
      <c r="R2865" s="7">
        <v>45502</v>
      </c>
      <c r="S2865" s="210">
        <v>4</v>
      </c>
      <c r="T2865" s="8">
        <v>1.0001111111111112</v>
      </c>
      <c r="U2865" s="98">
        <v>3.8743370737979843</v>
      </c>
      <c r="V2865" s="106">
        <v>32744.936690671115</v>
      </c>
      <c r="W2865" s="10">
        <v>0.95919109943232161</v>
      </c>
      <c r="X2865" s="420"/>
      <c r="Y2865" s="420"/>
      <c r="Z2865" s="1"/>
      <c r="AA2865" s="1"/>
      <c r="AB2865" s="1"/>
      <c r="AC2865" s="1"/>
      <c r="AD2865" s="1"/>
    </row>
    <row r="2866" spans="17:30">
      <c r="Q2866" s="6">
        <v>2836</v>
      </c>
      <c r="R2866" s="7">
        <v>45503</v>
      </c>
      <c r="S2866" s="210">
        <v>4</v>
      </c>
      <c r="T2866" s="8">
        <v>1.0001111111111112</v>
      </c>
      <c r="U2866" s="98">
        <v>3.8744301658092395</v>
      </c>
      <c r="V2866" s="106">
        <v>32747.571401029112</v>
      </c>
      <c r="W2866" s="10">
        <v>0.95924947477241673</v>
      </c>
      <c r="X2866" s="420"/>
      <c r="Y2866" s="420"/>
      <c r="Z2866" s="1"/>
      <c r="AA2866" s="1"/>
      <c r="AB2866" s="1"/>
      <c r="AC2866" s="1"/>
      <c r="AD2866" s="1"/>
    </row>
    <row r="2867" spans="17:30">
      <c r="Q2867" s="6">
        <v>2837</v>
      </c>
      <c r="R2867" s="7">
        <v>45504</v>
      </c>
      <c r="S2867" s="210">
        <v>4</v>
      </c>
      <c r="T2867" s="8">
        <v>1.0001111111111112</v>
      </c>
      <c r="U2867" s="98">
        <v>3.8745231922767687</v>
      </c>
      <c r="V2867" s="106">
        <v>32750.206323380145</v>
      </c>
      <c r="W2867" s="10">
        <v>0.95930780899338153</v>
      </c>
      <c r="X2867" s="420"/>
      <c r="Y2867" s="420"/>
      <c r="Z2867" s="1"/>
      <c r="AA2867" s="1"/>
      <c r="AB2867" s="1"/>
      <c r="AC2867" s="1"/>
      <c r="AD2867" s="1"/>
    </row>
    <row r="2868" spans="17:30">
      <c r="Q2868" s="6">
        <v>2838</v>
      </c>
      <c r="R2868" s="7">
        <v>45505</v>
      </c>
      <c r="S2868" s="210">
        <v>4</v>
      </c>
      <c r="T2868" s="8">
        <v>1.0001111111111112</v>
      </c>
      <c r="U2868" s="98">
        <v>3.8746161532697387</v>
      </c>
      <c r="V2868" s="106">
        <v>32752.841457741273</v>
      </c>
      <c r="W2868" s="10">
        <v>0.95936610213860352</v>
      </c>
      <c r="X2868" s="420"/>
      <c r="Y2868" s="420"/>
      <c r="Z2868" s="1"/>
      <c r="AA2868" s="1"/>
      <c r="AB2868" s="1"/>
      <c r="AC2868" s="1"/>
      <c r="AD2868" s="1"/>
    </row>
    <row r="2869" spans="17:30">
      <c r="Q2869" s="6">
        <v>2839</v>
      </c>
      <c r="R2869" s="7">
        <v>45506</v>
      </c>
      <c r="S2869" s="210">
        <v>4</v>
      </c>
      <c r="T2869" s="8">
        <v>1.0001111111111112</v>
      </c>
      <c r="U2869" s="98">
        <v>3.8747090488572722</v>
      </c>
      <c r="V2869" s="106">
        <v>32755.476804129561</v>
      </c>
      <c r="W2869" s="10">
        <v>0.95942435425147021</v>
      </c>
      <c r="X2869" s="420"/>
      <c r="Y2869" s="420"/>
      <c r="Z2869" s="1"/>
      <c r="AA2869" s="1"/>
      <c r="AB2869" s="1"/>
      <c r="AC2869" s="1"/>
      <c r="AD2869" s="1"/>
    </row>
    <row r="2870" spans="17:30">
      <c r="Q2870" s="6">
        <v>2840</v>
      </c>
      <c r="R2870" s="7">
        <v>45507</v>
      </c>
      <c r="S2870" s="210">
        <v>4</v>
      </c>
      <c r="T2870" s="8">
        <v>1.0001111111111112</v>
      </c>
      <c r="U2870" s="98">
        <v>3.8748018791083805</v>
      </c>
      <c r="V2870" s="106">
        <v>32758.11236256206</v>
      </c>
      <c r="W2870" s="10">
        <v>0.95948256537532473</v>
      </c>
      <c r="X2870" s="420"/>
      <c r="Y2870" s="420"/>
      <c r="Z2870" s="1"/>
      <c r="AA2870" s="1"/>
      <c r="AB2870" s="1"/>
      <c r="AC2870" s="1"/>
      <c r="AD2870" s="1"/>
    </row>
    <row r="2871" spans="17:30">
      <c r="Q2871" s="6">
        <v>2841</v>
      </c>
      <c r="R2871" s="7">
        <v>45508</v>
      </c>
      <c r="S2871" s="210">
        <v>4</v>
      </c>
      <c r="T2871" s="8">
        <v>1.0001111111111112</v>
      </c>
      <c r="U2871" s="98">
        <v>3.8748946440919418</v>
      </c>
      <c r="V2871" s="106">
        <v>32760.748133055844</v>
      </c>
      <c r="W2871" s="10">
        <v>0.95954073555337693</v>
      </c>
      <c r="X2871" s="420"/>
      <c r="Y2871" s="420"/>
      <c r="Z2871" s="1"/>
      <c r="AA2871" s="1"/>
      <c r="AB2871" s="1"/>
      <c r="AC2871" s="1"/>
      <c r="AD2871" s="1"/>
    </row>
    <row r="2872" spans="17:30">
      <c r="Q2872" s="6">
        <v>2842</v>
      </c>
      <c r="R2872" s="7">
        <v>45509</v>
      </c>
      <c r="S2872" s="210">
        <v>4</v>
      </c>
      <c r="T2872" s="8">
        <v>1.0001111111111112</v>
      </c>
      <c r="U2872" s="98">
        <v>3.8749873438767901</v>
      </c>
      <c r="V2872" s="106">
        <v>32763.384115627967</v>
      </c>
      <c r="W2872" s="10">
        <v>0.95959886482883672</v>
      </c>
      <c r="X2872" s="420"/>
      <c r="Y2872" s="420"/>
      <c r="Z2872" s="1"/>
      <c r="AA2872" s="1"/>
      <c r="AB2872" s="1"/>
      <c r="AC2872" s="1"/>
      <c r="AD2872" s="1"/>
    </row>
    <row r="2873" spans="17:30">
      <c r="Q2873" s="6">
        <v>2843</v>
      </c>
      <c r="R2873" s="7">
        <v>45510</v>
      </c>
      <c r="S2873" s="210">
        <v>4</v>
      </c>
      <c r="T2873" s="8">
        <v>1.0001111111111112</v>
      </c>
      <c r="U2873" s="98">
        <v>3.8750799785316259</v>
      </c>
      <c r="V2873" s="106">
        <v>32766.020310295491</v>
      </c>
      <c r="W2873" s="10">
        <v>0.95965695324480293</v>
      </c>
      <c r="X2873" s="420"/>
      <c r="Y2873" s="420"/>
      <c r="Z2873" s="1"/>
      <c r="AA2873" s="1"/>
      <c r="AB2873" s="1"/>
      <c r="AC2873" s="1"/>
      <c r="AD2873" s="1"/>
    </row>
    <row r="2874" spans="17:30">
      <c r="Q2874" s="6">
        <v>2844</v>
      </c>
      <c r="R2874" s="7">
        <v>45511</v>
      </c>
      <c r="S2874" s="210">
        <v>4</v>
      </c>
      <c r="T2874" s="8">
        <v>1.0001111111111112</v>
      </c>
      <c r="U2874" s="98">
        <v>3.875172548125061</v>
      </c>
      <c r="V2874" s="106">
        <v>32768.656717075486</v>
      </c>
      <c r="W2874" s="10">
        <v>0.95971500084435224</v>
      </c>
      <c r="X2874" s="420"/>
      <c r="Y2874" s="420"/>
      <c r="Z2874" s="1"/>
      <c r="AA2874" s="1"/>
      <c r="AB2874" s="1"/>
      <c r="AC2874" s="1"/>
      <c r="AD2874" s="1"/>
    </row>
    <row r="2875" spans="17:30">
      <c r="Q2875" s="6">
        <v>2845</v>
      </c>
      <c r="R2875" s="7">
        <v>45512</v>
      </c>
      <c r="S2875" s="210">
        <v>4</v>
      </c>
      <c r="T2875" s="8">
        <v>1.0001111111111112</v>
      </c>
      <c r="U2875" s="98">
        <v>3.8752650527256183</v>
      </c>
      <c r="V2875" s="106">
        <v>32771.293335985014</v>
      </c>
      <c r="W2875" s="10">
        <v>0.95977300767051688</v>
      </c>
      <c r="X2875" s="420"/>
      <c r="Y2875" s="420"/>
      <c r="Z2875" s="1"/>
      <c r="AA2875" s="1"/>
      <c r="AB2875" s="1"/>
      <c r="AC2875" s="1"/>
      <c r="AD2875" s="1"/>
    </row>
    <row r="2876" spans="17:30">
      <c r="Q2876" s="6">
        <v>2846</v>
      </c>
      <c r="R2876" s="7">
        <v>45513</v>
      </c>
      <c r="S2876" s="210">
        <v>4</v>
      </c>
      <c r="T2876" s="8">
        <v>1.0001111111111112</v>
      </c>
      <c r="U2876" s="98">
        <v>3.8753574924017098</v>
      </c>
      <c r="V2876" s="106">
        <v>32773.930167041151</v>
      </c>
      <c r="W2876" s="10">
        <v>0.95983097376617366</v>
      </c>
      <c r="X2876" s="420"/>
      <c r="Y2876" s="420"/>
      <c r="Z2876" s="1"/>
      <c r="AA2876" s="1"/>
      <c r="AB2876" s="1"/>
      <c r="AC2876" s="1"/>
      <c r="AD2876" s="1"/>
    </row>
    <row r="2877" spans="17:30">
      <c r="Q2877" s="6">
        <v>2847</v>
      </c>
      <c r="R2877" s="7">
        <v>45514</v>
      </c>
      <c r="S2877" s="210">
        <v>4</v>
      </c>
      <c r="T2877" s="8">
        <v>1.0001111111111112</v>
      </c>
      <c r="U2877" s="98">
        <v>3.8754498672216808</v>
      </c>
      <c r="V2877" s="106">
        <v>32776.567210260968</v>
      </c>
      <c r="W2877" s="10">
        <v>0.95988889917426601</v>
      </c>
      <c r="X2877" s="420"/>
      <c r="Y2877" s="420"/>
      <c r="Z2877" s="1"/>
      <c r="AA2877" s="1"/>
      <c r="AB2877" s="1"/>
      <c r="AC2877" s="1"/>
      <c r="AD2877" s="1"/>
    </row>
    <row r="2878" spans="17:30">
      <c r="Q2878" s="6">
        <v>2848</v>
      </c>
      <c r="R2878" s="7">
        <v>45515</v>
      </c>
      <c r="S2878" s="210">
        <v>4</v>
      </c>
      <c r="T2878" s="8">
        <v>1.0001111111111112</v>
      </c>
      <c r="U2878" s="98">
        <v>3.8755421772537657</v>
      </c>
      <c r="V2878" s="106">
        <v>32779.204465661518</v>
      </c>
      <c r="W2878" s="10">
        <v>0.95994678393762634</v>
      </c>
      <c r="X2878" s="420"/>
      <c r="Y2878" s="420"/>
      <c r="Z2878" s="1"/>
      <c r="AA2878" s="1"/>
      <c r="AB2878" s="1"/>
      <c r="AC2878" s="1"/>
      <c r="AD2878" s="1"/>
    </row>
    <row r="2879" spans="17:30">
      <c r="Q2879" s="6">
        <v>2849</v>
      </c>
      <c r="R2879" s="7">
        <v>45516</v>
      </c>
      <c r="S2879" s="210">
        <v>4</v>
      </c>
      <c r="T2879" s="8">
        <v>1.0001111111111112</v>
      </c>
      <c r="U2879" s="98">
        <v>3.8756344225660877</v>
      </c>
      <c r="V2879" s="106">
        <v>32781.841933259901</v>
      </c>
      <c r="W2879" s="10">
        <v>0.96000462809899823</v>
      </c>
      <c r="X2879" s="420"/>
      <c r="Y2879" s="420"/>
      <c r="Z2879" s="1"/>
      <c r="AA2879" s="1"/>
      <c r="AB2879" s="1"/>
      <c r="AC2879" s="1"/>
      <c r="AD2879" s="1"/>
    </row>
    <row r="2880" spans="17:30">
      <c r="Q2880" s="6">
        <v>2850</v>
      </c>
      <c r="R2880" s="7">
        <v>45517</v>
      </c>
      <c r="S2880" s="210">
        <v>4</v>
      </c>
      <c r="T2880" s="8">
        <v>1.0001111111111112</v>
      </c>
      <c r="U2880" s="98">
        <v>3.8757266032266813</v>
      </c>
      <c r="V2880" s="106">
        <v>32784.479613073163</v>
      </c>
      <c r="W2880" s="10">
        <v>0.96006243170105865</v>
      </c>
      <c r="X2880" s="420"/>
      <c r="Y2880" s="420"/>
      <c r="Z2880" s="1"/>
      <c r="AA2880" s="1"/>
      <c r="AB2880" s="1"/>
      <c r="AC2880" s="1"/>
      <c r="AD2880" s="1"/>
    </row>
    <row r="2881" spans="17:30">
      <c r="Q2881" s="6">
        <v>2851</v>
      </c>
      <c r="R2881" s="7">
        <v>45518</v>
      </c>
      <c r="S2881" s="210">
        <v>4</v>
      </c>
      <c r="T2881" s="8">
        <v>1.0001111111111112</v>
      </c>
      <c r="U2881" s="98">
        <v>3.8758187193034921</v>
      </c>
      <c r="V2881" s="106">
        <v>32787.117505118396</v>
      </c>
      <c r="W2881" s="10">
        <v>0.96012019478648458</v>
      </c>
      <c r="X2881" s="420"/>
      <c r="Y2881" s="420"/>
      <c r="Z2881" s="1"/>
      <c r="AA2881" s="1"/>
      <c r="AB2881" s="1"/>
      <c r="AC2881" s="1"/>
      <c r="AD2881" s="1"/>
    </row>
    <row r="2882" spans="17:30">
      <c r="Q2882" s="6">
        <v>2852</v>
      </c>
      <c r="R2882" s="7">
        <v>45519</v>
      </c>
      <c r="S2882" s="210">
        <v>4</v>
      </c>
      <c r="T2882" s="8">
        <v>1.0001111111111112</v>
      </c>
      <c r="U2882" s="98">
        <v>3.875910770864377</v>
      </c>
      <c r="V2882" s="106">
        <v>32789.75560941267</v>
      </c>
      <c r="W2882" s="10">
        <v>0.96017791739784197</v>
      </c>
      <c r="X2882" s="420"/>
      <c r="Y2882" s="420"/>
      <c r="Z2882" s="1"/>
      <c r="AA2882" s="1"/>
      <c r="AB2882" s="1"/>
      <c r="AC2882" s="1"/>
      <c r="AD2882" s="1"/>
    </row>
    <row r="2883" spans="17:30">
      <c r="Q2883" s="6">
        <v>2853</v>
      </c>
      <c r="R2883" s="7">
        <v>45520</v>
      </c>
      <c r="S2883" s="210">
        <v>4</v>
      </c>
      <c r="T2883" s="8">
        <v>1.0001111111111112</v>
      </c>
      <c r="U2883" s="98">
        <v>3.8760027579770817</v>
      </c>
      <c r="V2883" s="106">
        <v>32792.393925973069</v>
      </c>
      <c r="W2883" s="10">
        <v>0.96023559957765237</v>
      </c>
      <c r="X2883" s="420"/>
      <c r="Y2883" s="420"/>
      <c r="Z2883" s="1"/>
      <c r="AA2883" s="1"/>
      <c r="AB2883" s="1"/>
      <c r="AC2883" s="1"/>
      <c r="AD2883" s="1"/>
    </row>
    <row r="2884" spans="17:30">
      <c r="Q2884" s="6">
        <v>2854</v>
      </c>
      <c r="R2884" s="7">
        <v>45521</v>
      </c>
      <c r="S2884" s="210">
        <v>4</v>
      </c>
      <c r="T2884" s="8">
        <v>1.0001111111111112</v>
      </c>
      <c r="U2884" s="98">
        <v>3.8760946807092855</v>
      </c>
      <c r="V2884" s="106">
        <v>32795.032454816668</v>
      </c>
      <c r="W2884" s="10">
        <v>0.9602932413684151</v>
      </c>
      <c r="X2884" s="420"/>
      <c r="Y2884" s="420"/>
      <c r="Z2884" s="1"/>
      <c r="AA2884" s="1"/>
      <c r="AB2884" s="1"/>
      <c r="AC2884" s="1"/>
      <c r="AD2884" s="1"/>
    </row>
    <row r="2885" spans="17:30">
      <c r="Q2885" s="6">
        <v>2855</v>
      </c>
      <c r="R2885" s="7">
        <v>45522</v>
      </c>
      <c r="S2885" s="210">
        <v>4</v>
      </c>
      <c r="T2885" s="8">
        <v>1.0001111111111112</v>
      </c>
      <c r="U2885" s="98">
        <v>3.8761865391285344</v>
      </c>
      <c r="V2885" s="106">
        <v>32797.671195960553</v>
      </c>
      <c r="W2885" s="10">
        <v>0.96035084281251848</v>
      </c>
      <c r="X2885" s="420"/>
      <c r="Y2885" s="420"/>
      <c r="Z2885" s="1"/>
      <c r="AA2885" s="1"/>
      <c r="AB2885" s="1"/>
      <c r="AC2885" s="1"/>
      <c r="AD2885" s="1"/>
    </row>
    <row r="2886" spans="17:30">
      <c r="Q2886" s="6">
        <v>2856</v>
      </c>
      <c r="R2886" s="7">
        <v>45523</v>
      </c>
      <c r="S2886" s="210">
        <v>4</v>
      </c>
      <c r="T2886" s="8">
        <v>1.0001111111111112</v>
      </c>
      <c r="U2886" s="98">
        <v>3.8762783333023076</v>
      </c>
      <c r="V2886" s="106">
        <v>32800.310149421799</v>
      </c>
      <c r="W2886" s="10">
        <v>0.96040840395230642</v>
      </c>
      <c r="X2886" s="420"/>
      <c r="Y2886" s="420"/>
      <c r="Z2886" s="1"/>
      <c r="AA2886" s="1"/>
      <c r="AB2886" s="1"/>
      <c r="AC2886" s="1"/>
      <c r="AD2886" s="1"/>
    </row>
    <row r="2887" spans="17:30">
      <c r="Q2887" s="6">
        <v>2857</v>
      </c>
      <c r="R2887" s="7">
        <v>45524</v>
      </c>
      <c r="S2887" s="210">
        <v>4</v>
      </c>
      <c r="T2887" s="8">
        <v>1.0001111111111112</v>
      </c>
      <c r="U2887" s="98">
        <v>3.8763700632979736</v>
      </c>
      <c r="V2887" s="106">
        <v>32802.949315217491</v>
      </c>
      <c r="W2887" s="10">
        <v>0.96046592483005622</v>
      </c>
      <c r="X2887" s="420"/>
      <c r="Y2887" s="420"/>
      <c r="Z2887" s="1"/>
      <c r="AA2887" s="1"/>
      <c r="AB2887" s="1"/>
      <c r="AC2887" s="1"/>
      <c r="AD2887" s="1"/>
    </row>
    <row r="2888" spans="17:30">
      <c r="Q2888" s="6">
        <v>2858</v>
      </c>
      <c r="R2888" s="7">
        <v>45525</v>
      </c>
      <c r="S2888" s="210">
        <v>4</v>
      </c>
      <c r="T2888" s="8">
        <v>1.0001111111111112</v>
      </c>
      <c r="U2888" s="98">
        <v>3.876461729182834</v>
      </c>
      <c r="V2888" s="106">
        <v>32805.58869336472</v>
      </c>
      <c r="W2888" s="10">
        <v>0.96052340548800075</v>
      </c>
      <c r="X2888" s="420"/>
      <c r="Y2888" s="420"/>
      <c r="Z2888" s="1"/>
      <c r="AA2888" s="1"/>
      <c r="AB2888" s="1"/>
      <c r="AC2888" s="1"/>
      <c r="AD2888" s="1"/>
    </row>
    <row r="2889" spans="17:30">
      <c r="Q2889" s="6">
        <v>2859</v>
      </c>
      <c r="R2889" s="7">
        <v>45526</v>
      </c>
      <c r="S2889" s="210">
        <v>4</v>
      </c>
      <c r="T2889" s="8">
        <v>1.0001111111111112</v>
      </c>
      <c r="U2889" s="98">
        <v>3.8765533310240574</v>
      </c>
      <c r="V2889" s="106">
        <v>32808.228283880555</v>
      </c>
      <c r="W2889" s="10">
        <v>0.96058084596832849</v>
      </c>
      <c r="X2889" s="420"/>
      <c r="Y2889" s="420"/>
      <c r="Z2889" s="1"/>
      <c r="AA2889" s="1"/>
      <c r="AB2889" s="1"/>
      <c r="AC2889" s="1"/>
      <c r="AD2889" s="1"/>
    </row>
    <row r="2890" spans="17:30">
      <c r="Q2890" s="6">
        <v>2860</v>
      </c>
      <c r="R2890" s="7">
        <v>45527</v>
      </c>
      <c r="S2890" s="210">
        <v>4</v>
      </c>
      <c r="T2890" s="8">
        <v>1.0001111111111112</v>
      </c>
      <c r="U2890" s="98">
        <v>3.8766448688887456</v>
      </c>
      <c r="V2890" s="106">
        <v>32810.868086782102</v>
      </c>
      <c r="W2890" s="10">
        <v>0.9606382463131391</v>
      </c>
      <c r="X2890" s="420"/>
      <c r="Y2890" s="420"/>
      <c r="Z2890" s="1"/>
      <c r="AA2890" s="1"/>
      <c r="AB2890" s="1"/>
      <c r="AC2890" s="1"/>
      <c r="AD2890" s="1"/>
    </row>
    <row r="2891" spans="17:30">
      <c r="Q2891" s="6">
        <v>2861</v>
      </c>
      <c r="R2891" s="7">
        <v>45528</v>
      </c>
      <c r="S2891" s="210">
        <v>4</v>
      </c>
      <c r="T2891" s="8">
        <v>1.0001111111111112</v>
      </c>
      <c r="U2891" s="98">
        <v>3.8767363428438895</v>
      </c>
      <c r="V2891" s="106">
        <v>32813.508102086445</v>
      </c>
      <c r="W2891" s="10">
        <v>0.96069560656446562</v>
      </c>
      <c r="X2891" s="420"/>
      <c r="Y2891" s="420"/>
      <c r="Z2891" s="1"/>
      <c r="AA2891" s="1"/>
      <c r="AB2891" s="1"/>
      <c r="AC2891" s="1"/>
      <c r="AD2891" s="1"/>
    </row>
    <row r="2892" spans="17:30">
      <c r="Q2892" s="6">
        <v>2862</v>
      </c>
      <c r="R2892" s="7">
        <v>45529</v>
      </c>
      <c r="S2892" s="210">
        <v>4</v>
      </c>
      <c r="T2892" s="8">
        <v>1.0001111111111112</v>
      </c>
      <c r="U2892" s="98">
        <v>3.876827752956391</v>
      </c>
      <c r="V2892" s="106">
        <v>32816.148329810669</v>
      </c>
      <c r="W2892" s="10">
        <v>0.96075292676429669</v>
      </c>
      <c r="X2892" s="420"/>
      <c r="Y2892" s="420"/>
      <c r="Z2892" s="1"/>
      <c r="AA2892" s="1"/>
      <c r="AB2892" s="1"/>
      <c r="AC2892" s="1"/>
      <c r="AD2892" s="1"/>
    </row>
    <row r="2893" spans="17:30">
      <c r="Q2893" s="6">
        <v>2863</v>
      </c>
      <c r="R2893" s="7">
        <v>45530</v>
      </c>
      <c r="S2893" s="210">
        <v>4</v>
      </c>
      <c r="T2893" s="8">
        <v>1.0001111111111112</v>
      </c>
      <c r="U2893" s="98">
        <v>3.8769190992930858</v>
      </c>
      <c r="V2893" s="106">
        <v>32818.78876997187</v>
      </c>
      <c r="W2893" s="10">
        <v>0.96081020695459873</v>
      </c>
      <c r="X2893" s="420"/>
      <c r="Y2893" s="420"/>
      <c r="Z2893" s="1"/>
      <c r="AA2893" s="1"/>
      <c r="AB2893" s="1"/>
      <c r="AC2893" s="1"/>
      <c r="AD2893" s="1"/>
    </row>
    <row r="2894" spans="17:30">
      <c r="Q2894" s="6">
        <v>2864</v>
      </c>
      <c r="R2894" s="7">
        <v>45531</v>
      </c>
      <c r="S2894" s="210">
        <v>4</v>
      </c>
      <c r="T2894" s="8">
        <v>1.0001111111111112</v>
      </c>
      <c r="U2894" s="98">
        <v>3.8770103819206758</v>
      </c>
      <c r="V2894" s="106">
        <v>32821.429422587142</v>
      </c>
      <c r="W2894" s="10">
        <v>0.96086744717722716</v>
      </c>
      <c r="X2894" s="420"/>
      <c r="Y2894" s="420"/>
      <c r="Z2894" s="1"/>
      <c r="AA2894" s="1"/>
      <c r="AB2894" s="1"/>
      <c r="AC2894" s="1"/>
      <c r="AD2894" s="1"/>
    </row>
    <row r="2895" spans="17:30">
      <c r="Q2895" s="6">
        <v>2865</v>
      </c>
      <c r="R2895" s="7">
        <v>45532</v>
      </c>
      <c r="S2895" s="210">
        <v>4</v>
      </c>
      <c r="T2895" s="8">
        <v>1.0001111111111112</v>
      </c>
      <c r="U2895" s="98">
        <v>3.8771016009057968</v>
      </c>
      <c r="V2895" s="106">
        <v>32824.070287673567</v>
      </c>
      <c r="W2895" s="10">
        <v>0.96092464747401518</v>
      </c>
      <c r="X2895" s="420"/>
      <c r="Y2895" s="420"/>
      <c r="Z2895" s="1"/>
      <c r="AA2895" s="1"/>
      <c r="AB2895" s="1"/>
      <c r="AC2895" s="1"/>
      <c r="AD2895" s="1"/>
    </row>
    <row r="2896" spans="17:30">
      <c r="Q2896" s="6">
        <v>2866</v>
      </c>
      <c r="R2896" s="7">
        <v>45533</v>
      </c>
      <c r="S2896" s="210">
        <v>4</v>
      </c>
      <c r="T2896" s="8">
        <v>1.0001111111111112</v>
      </c>
      <c r="U2896" s="98">
        <v>3.8771927563149733</v>
      </c>
      <c r="V2896" s="106">
        <v>32826.711365248259</v>
      </c>
      <c r="W2896" s="10">
        <v>0.96098180788668497</v>
      </c>
      <c r="X2896" s="420"/>
      <c r="Y2896" s="420"/>
      <c r="Z2896" s="1"/>
      <c r="AA2896" s="1"/>
      <c r="AB2896" s="1"/>
      <c r="AC2896" s="1"/>
      <c r="AD2896" s="1"/>
    </row>
    <row r="2897" spans="17:30">
      <c r="Q2897" s="6">
        <v>2867</v>
      </c>
      <c r="R2897" s="7">
        <v>45534</v>
      </c>
      <c r="S2897" s="210">
        <v>4</v>
      </c>
      <c r="T2897" s="8">
        <v>1.0001111111111112</v>
      </c>
      <c r="U2897" s="98">
        <v>3.8772838482146632</v>
      </c>
      <c r="V2897" s="106">
        <v>32829.352655328315</v>
      </c>
      <c r="W2897" s="10">
        <v>0.96103892845698091</v>
      </c>
      <c r="X2897" s="420"/>
      <c r="Y2897" s="420"/>
      <c r="Z2897" s="1"/>
      <c r="AA2897" s="1"/>
      <c r="AB2897" s="1"/>
      <c r="AC2897" s="1"/>
      <c r="AD2897" s="1"/>
    </row>
    <row r="2898" spans="17:30">
      <c r="Q2898" s="6">
        <v>2868</v>
      </c>
      <c r="R2898" s="7">
        <v>45535</v>
      </c>
      <c r="S2898" s="210">
        <v>4</v>
      </c>
      <c r="T2898" s="8">
        <v>1.0001111111111112</v>
      </c>
      <c r="U2898" s="98">
        <v>3.8773748766712135</v>
      </c>
      <c r="V2898" s="106">
        <v>32831.994157930822</v>
      </c>
      <c r="W2898" s="10">
        <v>0.96109600922653637</v>
      </c>
      <c r="X2898" s="420"/>
      <c r="Y2898" s="420"/>
      <c r="Z2898" s="1"/>
      <c r="AA2898" s="1"/>
      <c r="AB2898" s="1"/>
      <c r="AC2898" s="1"/>
      <c r="AD2898" s="1"/>
    </row>
    <row r="2899" spans="17:30">
      <c r="Q2899" s="6">
        <v>2869</v>
      </c>
      <c r="R2899" s="7">
        <v>45536</v>
      </c>
      <c r="S2899" s="210">
        <v>4</v>
      </c>
      <c r="T2899" s="8">
        <v>1.0001111111111112</v>
      </c>
      <c r="U2899" s="98">
        <v>3.8774658417508601</v>
      </c>
      <c r="V2899" s="106">
        <v>32834.635873072883</v>
      </c>
      <c r="W2899" s="10">
        <v>0.9611530502368959</v>
      </c>
      <c r="X2899" s="420"/>
      <c r="Y2899" s="420"/>
      <c r="Z2899" s="1"/>
      <c r="AA2899" s="1"/>
      <c r="AB2899" s="1"/>
      <c r="AC2899" s="1"/>
      <c r="AD2899" s="1"/>
    </row>
    <row r="2900" spans="17:30">
      <c r="Q2900" s="6">
        <v>2870</v>
      </c>
      <c r="R2900" s="7">
        <v>45537</v>
      </c>
      <c r="S2900" s="210">
        <v>4</v>
      </c>
      <c r="T2900" s="8">
        <v>1.0001111111111112</v>
      </c>
      <c r="U2900" s="98">
        <v>3.8775567435197944</v>
      </c>
      <c r="V2900" s="106">
        <v>32837.27780077159</v>
      </c>
      <c r="W2900" s="10">
        <v>0.96121005152964845</v>
      </c>
      <c r="X2900" s="420"/>
      <c r="Y2900" s="420"/>
      <c r="Z2900" s="1"/>
      <c r="AA2900" s="1"/>
      <c r="AB2900" s="1"/>
      <c r="AC2900" s="1"/>
      <c r="AD2900" s="1"/>
    </row>
    <row r="2901" spans="17:30">
      <c r="Q2901" s="6">
        <v>2871</v>
      </c>
      <c r="R2901" s="7">
        <v>45538</v>
      </c>
      <c r="S2901" s="210">
        <v>4</v>
      </c>
      <c r="T2901" s="8">
        <v>1.0001111111111112</v>
      </c>
      <c r="U2901" s="98">
        <v>3.8776475820440748</v>
      </c>
      <c r="V2901" s="106">
        <v>32839.919941044063</v>
      </c>
      <c r="W2901" s="10">
        <v>0.96126701314622753</v>
      </c>
      <c r="X2901" s="420"/>
      <c r="Y2901" s="420"/>
      <c r="Z2901" s="1"/>
      <c r="AA2901" s="1"/>
      <c r="AB2901" s="1"/>
      <c r="AC2901" s="1"/>
      <c r="AD2901" s="1"/>
    </row>
    <row r="2902" spans="17:30">
      <c r="Q2902" s="6">
        <v>2872</v>
      </c>
      <c r="R2902" s="7">
        <v>45539</v>
      </c>
      <c r="S2902" s="210">
        <v>4</v>
      </c>
      <c r="T2902" s="8">
        <v>1.0001111111111112</v>
      </c>
      <c r="U2902" s="98">
        <v>3.8777383573896929</v>
      </c>
      <c r="V2902" s="106">
        <v>32842.562293907402</v>
      </c>
      <c r="W2902" s="10">
        <v>0.96132393512804448</v>
      </c>
      <c r="X2902" s="420"/>
      <c r="Y2902" s="420"/>
      <c r="Z2902" s="1"/>
      <c r="AA2902" s="1"/>
      <c r="AB2902" s="1"/>
      <c r="AC2902" s="1"/>
      <c r="AD2902" s="1"/>
    </row>
    <row r="2903" spans="17:30">
      <c r="Q2903" s="6">
        <v>2873</v>
      </c>
      <c r="R2903" s="7">
        <v>45540</v>
      </c>
      <c r="S2903" s="210">
        <v>4</v>
      </c>
      <c r="T2903" s="8">
        <v>1.0001111111111112</v>
      </c>
      <c r="U2903" s="98">
        <v>3.8778290696225071</v>
      </c>
      <c r="V2903" s="106">
        <v>32845.204859378704</v>
      </c>
      <c r="W2903" s="10">
        <v>0.96138081751642179</v>
      </c>
      <c r="X2903" s="420"/>
      <c r="Y2903" s="420"/>
      <c r="Z2903" s="1"/>
      <c r="AA2903" s="1"/>
      <c r="AB2903" s="1"/>
      <c r="AC2903" s="1"/>
      <c r="AD2903" s="1"/>
    </row>
    <row r="2904" spans="17:30">
      <c r="Q2904" s="6">
        <v>2874</v>
      </c>
      <c r="R2904" s="7">
        <v>45541</v>
      </c>
      <c r="S2904" s="210">
        <v>4</v>
      </c>
      <c r="T2904" s="8">
        <v>1.0001111111111112</v>
      </c>
      <c r="U2904" s="98">
        <v>3.8779197188083536</v>
      </c>
      <c r="V2904" s="106">
        <v>32847.847637475083</v>
      </c>
      <c r="W2904" s="10">
        <v>0.96143766035272638</v>
      </c>
      <c r="X2904" s="420"/>
      <c r="Y2904" s="420"/>
      <c r="Z2904" s="1"/>
      <c r="AA2904" s="1"/>
      <c r="AB2904" s="1"/>
      <c r="AC2904" s="1"/>
      <c r="AD2904" s="1"/>
    </row>
    <row r="2905" spans="17:30">
      <c r="Q2905" s="6">
        <v>2875</v>
      </c>
      <c r="R2905" s="7">
        <v>45542</v>
      </c>
      <c r="S2905" s="210">
        <v>4</v>
      </c>
      <c r="T2905" s="8">
        <v>1.0001111111111112</v>
      </c>
      <c r="U2905" s="98">
        <v>3.8780103050129133</v>
      </c>
      <c r="V2905" s="106">
        <v>32850.490628213651</v>
      </c>
      <c r="W2905" s="10">
        <v>0.9614944636781475</v>
      </c>
      <c r="X2905" s="420"/>
      <c r="Y2905" s="420"/>
      <c r="Z2905" s="1"/>
      <c r="AA2905" s="1"/>
      <c r="AB2905" s="1"/>
      <c r="AC2905" s="1"/>
      <c r="AD2905" s="1"/>
    </row>
    <row r="2906" spans="17:30">
      <c r="Q2906" s="6">
        <v>2876</v>
      </c>
      <c r="R2906" s="7">
        <v>45543</v>
      </c>
      <c r="S2906" s="210">
        <v>4</v>
      </c>
      <c r="T2906" s="8">
        <v>1.0001111111111112</v>
      </c>
      <c r="U2906" s="98">
        <v>3.8781008283018004</v>
      </c>
      <c r="V2906" s="106">
        <v>32853.133831611507</v>
      </c>
      <c r="W2906" s="10">
        <v>0.96155122753387445</v>
      </c>
      <c r="X2906" s="420"/>
      <c r="Y2906" s="420"/>
      <c r="Z2906" s="1"/>
      <c r="AA2906" s="1"/>
      <c r="AB2906" s="1"/>
      <c r="AC2906" s="1"/>
      <c r="AD2906" s="1"/>
    </row>
    <row r="2907" spans="17:30">
      <c r="Q2907" s="6">
        <v>2877</v>
      </c>
      <c r="R2907" s="7">
        <v>45544</v>
      </c>
      <c r="S2907" s="210">
        <v>4</v>
      </c>
      <c r="T2907" s="8">
        <v>1.0001111111111112</v>
      </c>
      <c r="U2907" s="98">
        <v>3.8781912887405401</v>
      </c>
      <c r="V2907" s="106">
        <v>32855.777247685764</v>
      </c>
      <c r="W2907" s="10">
        <v>0.96160795196102988</v>
      </c>
      <c r="X2907" s="420"/>
      <c r="Y2907" s="420"/>
      <c r="Z2907" s="1"/>
      <c r="AA2907" s="1"/>
      <c r="AB2907" s="1"/>
      <c r="AC2907" s="1"/>
      <c r="AD2907" s="1"/>
    </row>
    <row r="2908" spans="17:30">
      <c r="Q2908" s="6">
        <v>2878</v>
      </c>
      <c r="R2908" s="7">
        <v>45545</v>
      </c>
      <c r="S2908" s="210">
        <v>4</v>
      </c>
      <c r="T2908" s="8">
        <v>1.0001111111111112</v>
      </c>
      <c r="U2908" s="98">
        <v>3.878281686394569</v>
      </c>
      <c r="V2908" s="106">
        <v>32858.420876453543</v>
      </c>
      <c r="W2908" s="10">
        <v>0.96166463700066984</v>
      </c>
      <c r="X2908" s="420"/>
      <c r="Y2908" s="420"/>
      <c r="Z2908" s="1"/>
      <c r="AA2908" s="1"/>
      <c r="AB2908" s="1"/>
      <c r="AC2908" s="1"/>
      <c r="AD2908" s="1"/>
    </row>
    <row r="2909" spans="17:30">
      <c r="Q2909" s="6">
        <v>2879</v>
      </c>
      <c r="R2909" s="7">
        <v>45546</v>
      </c>
      <c r="S2909" s="210">
        <v>4</v>
      </c>
      <c r="T2909" s="8">
        <v>1.0001111111111112</v>
      </c>
      <c r="U2909" s="98">
        <v>3.878372021329235</v>
      </c>
      <c r="V2909" s="106">
        <v>32861.064717931942</v>
      </c>
      <c r="W2909" s="10">
        <v>0.96172128269385038</v>
      </c>
      <c r="X2909" s="420"/>
      <c r="Y2909" s="420"/>
      <c r="Z2909" s="1"/>
      <c r="AA2909" s="1"/>
      <c r="AB2909" s="1"/>
      <c r="AC2909" s="1"/>
      <c r="AD2909" s="1"/>
    </row>
    <row r="2910" spans="17:30">
      <c r="Q2910" s="6">
        <v>2880</v>
      </c>
      <c r="R2910" s="7">
        <v>45547</v>
      </c>
      <c r="S2910" s="210">
        <v>4</v>
      </c>
      <c r="T2910" s="8">
        <v>1.0001111111111112</v>
      </c>
      <c r="U2910" s="98">
        <v>3.8784622936097968</v>
      </c>
      <c r="V2910" s="106">
        <v>32863.708772138089</v>
      </c>
      <c r="W2910" s="10">
        <v>0.9617778890814721</v>
      </c>
      <c r="X2910" s="420"/>
      <c r="Y2910" s="420"/>
      <c r="Z2910" s="1"/>
      <c r="AA2910" s="1"/>
      <c r="AB2910" s="1"/>
      <c r="AC2910" s="1"/>
      <c r="AD2910" s="1"/>
    </row>
    <row r="2911" spans="17:30">
      <c r="Q2911" s="6">
        <v>2881</v>
      </c>
      <c r="R2911" s="7">
        <v>45548</v>
      </c>
      <c r="S2911" s="210">
        <v>4</v>
      </c>
      <c r="T2911" s="8">
        <v>1.0001111111111112</v>
      </c>
      <c r="U2911" s="98">
        <v>3.8785525033013801</v>
      </c>
      <c r="V2911" s="106">
        <v>32866.353039089103</v>
      </c>
      <c r="W2911" s="10">
        <v>0.96183445620445784</v>
      </c>
      <c r="X2911" s="420"/>
      <c r="Y2911" s="420"/>
      <c r="Z2911" s="1"/>
      <c r="AA2911" s="1"/>
      <c r="AB2911" s="1"/>
      <c r="AC2911" s="1"/>
      <c r="AD2911" s="1"/>
    </row>
    <row r="2912" spans="17:30">
      <c r="Q2912" s="6">
        <v>2882</v>
      </c>
      <c r="R2912" s="7">
        <v>45549</v>
      </c>
      <c r="S2912" s="210">
        <v>4</v>
      </c>
      <c r="T2912" s="8">
        <v>1.0001111111111112</v>
      </c>
      <c r="U2912" s="98">
        <v>3.8786426504690885</v>
      </c>
      <c r="V2912" s="106">
        <v>32868.997518802091</v>
      </c>
      <c r="W2912" s="10">
        <v>0.9618909841036416</v>
      </c>
      <c r="X2912" s="420"/>
      <c r="Y2912" s="420"/>
      <c r="Z2912" s="1"/>
      <c r="AA2912" s="1"/>
      <c r="AB2912" s="1"/>
      <c r="AC2912" s="1"/>
      <c r="AD2912" s="1"/>
    </row>
    <row r="2913" spans="17:30">
      <c r="Q2913" s="6">
        <v>2883</v>
      </c>
      <c r="R2913" s="7">
        <v>45550</v>
      </c>
      <c r="S2913" s="210">
        <v>4</v>
      </c>
      <c r="T2913" s="8">
        <v>1.0001111111111112</v>
      </c>
      <c r="U2913" s="98">
        <v>3.8787327351778922</v>
      </c>
      <c r="V2913" s="106">
        <v>32871.64221129418</v>
      </c>
      <c r="W2913" s="10">
        <v>0.96194747281981297</v>
      </c>
      <c r="X2913" s="420"/>
      <c r="Y2913" s="420"/>
      <c r="Z2913" s="1"/>
      <c r="AA2913" s="1"/>
      <c r="AB2913" s="1"/>
      <c r="AC2913" s="1"/>
      <c r="AD2913" s="1"/>
    </row>
    <row r="2914" spans="17:30">
      <c r="Q2914" s="6">
        <v>2884</v>
      </c>
      <c r="R2914" s="7">
        <v>45551</v>
      </c>
      <c r="S2914" s="210">
        <v>4</v>
      </c>
      <c r="T2914" s="8">
        <v>1.0001111111111112</v>
      </c>
      <c r="U2914" s="98">
        <v>3.8788227574926726</v>
      </c>
      <c r="V2914" s="106">
        <v>32874.287116582484</v>
      </c>
      <c r="W2914" s="10">
        <v>0.96200392239367272</v>
      </c>
      <c r="X2914" s="420"/>
      <c r="Y2914" s="420"/>
      <c r="Z2914" s="1"/>
      <c r="AA2914" s="1"/>
      <c r="AB2914" s="1"/>
      <c r="AC2914" s="1"/>
      <c r="AD2914" s="1"/>
    </row>
    <row r="2915" spans="17:30">
      <c r="Q2915" s="6">
        <v>2885</v>
      </c>
      <c r="R2915" s="7">
        <v>45552</v>
      </c>
      <c r="S2915" s="210">
        <v>4</v>
      </c>
      <c r="T2915" s="8">
        <v>1.0001111111111112</v>
      </c>
      <c r="U2915" s="98">
        <v>3.8789127174782445</v>
      </c>
      <c r="V2915" s="106">
        <v>32876.932234684129</v>
      </c>
      <c r="W2915" s="10">
        <v>0.96206033286594383</v>
      </c>
      <c r="X2915" s="420"/>
      <c r="Y2915" s="420"/>
      <c r="Z2915" s="1"/>
      <c r="AA2915" s="1"/>
      <c r="AB2915" s="1"/>
      <c r="AC2915" s="1"/>
      <c r="AD2915" s="1"/>
    </row>
    <row r="2916" spans="17:30">
      <c r="Q2916" s="6">
        <v>2886</v>
      </c>
      <c r="R2916" s="7">
        <v>45553</v>
      </c>
      <c r="S2916" s="210">
        <v>4</v>
      </c>
      <c r="T2916" s="8">
        <v>1.0001111111111112</v>
      </c>
      <c r="U2916" s="98">
        <v>3.8790026151993118</v>
      </c>
      <c r="V2916" s="106">
        <v>32879.577565616237</v>
      </c>
      <c r="W2916" s="10">
        <v>0.96211670427719387</v>
      </c>
      <c r="X2916" s="420"/>
      <c r="Y2916" s="420"/>
      <c r="Z2916" s="1"/>
      <c r="AA2916" s="1"/>
      <c r="AB2916" s="1"/>
      <c r="AC2916" s="1"/>
      <c r="AD2916" s="1"/>
    </row>
    <row r="2917" spans="17:30">
      <c r="Q2917" s="6">
        <v>2887</v>
      </c>
      <c r="R2917" s="7">
        <v>45554</v>
      </c>
      <c r="S2917" s="210">
        <v>4</v>
      </c>
      <c r="T2917" s="8">
        <v>1.0001111111111112</v>
      </c>
      <c r="U2917" s="98">
        <v>3.8790924507204894</v>
      </c>
      <c r="V2917" s="106">
        <v>32882.223109395934</v>
      </c>
      <c r="W2917" s="10">
        <v>0.96217303666796816</v>
      </c>
      <c r="X2917" s="420"/>
      <c r="Y2917" s="420"/>
      <c r="Z2917" s="1"/>
      <c r="AA2917" s="1"/>
      <c r="AB2917" s="1"/>
      <c r="AC2917" s="1"/>
      <c r="AD2917" s="1"/>
    </row>
    <row r="2918" spans="17:30">
      <c r="Q2918" s="6">
        <v>2888</v>
      </c>
      <c r="R2918" s="7">
        <v>45555</v>
      </c>
      <c r="S2918" s="210">
        <v>4</v>
      </c>
      <c r="T2918" s="8">
        <v>1.0001111111111112</v>
      </c>
      <c r="U2918" s="98">
        <v>3.8791822241063034</v>
      </c>
      <c r="V2918" s="106">
        <v>32884.86886604035</v>
      </c>
      <c r="W2918" s="10">
        <v>0.96222933007878986</v>
      </c>
      <c r="X2918" s="420"/>
      <c r="Y2918" s="420"/>
      <c r="Z2918" s="1"/>
      <c r="AA2918" s="1"/>
      <c r="AB2918" s="1"/>
      <c r="AC2918" s="1"/>
      <c r="AD2918" s="1"/>
    </row>
    <row r="2919" spans="17:30">
      <c r="Q2919" s="6">
        <v>2889</v>
      </c>
      <c r="R2919" s="7">
        <v>45556</v>
      </c>
      <c r="S2919" s="210">
        <v>4</v>
      </c>
      <c r="T2919" s="8">
        <v>1.0001111111111112</v>
      </c>
      <c r="U2919" s="98">
        <v>3.8792719354212135</v>
      </c>
      <c r="V2919" s="106">
        <v>32887.514835566602</v>
      </c>
      <c r="W2919" s="10">
        <v>0.96228558455011548</v>
      </c>
      <c r="X2919" s="420"/>
      <c r="Y2919" s="420"/>
      <c r="Z2919" s="1"/>
      <c r="AA2919" s="1"/>
      <c r="AB2919" s="1"/>
      <c r="AC2919" s="1"/>
      <c r="AD2919" s="1"/>
    </row>
    <row r="2920" spans="17:30">
      <c r="Q2920" s="6">
        <v>2890</v>
      </c>
      <c r="R2920" s="7">
        <v>45557</v>
      </c>
      <c r="S2920" s="210">
        <v>4</v>
      </c>
      <c r="T2920" s="8">
        <v>1.0001111111111112</v>
      </c>
      <c r="U2920" s="98">
        <v>3.879361584729546</v>
      </c>
      <c r="V2920" s="106">
        <v>32890.161017991828</v>
      </c>
      <c r="W2920" s="10">
        <v>0.96234180012231274</v>
      </c>
      <c r="X2920" s="420"/>
      <c r="Y2920" s="420"/>
      <c r="Z2920" s="1"/>
      <c r="AA2920" s="1"/>
      <c r="AB2920" s="1"/>
      <c r="AC2920" s="1"/>
      <c r="AD2920" s="1"/>
    </row>
    <row r="2921" spans="17:30">
      <c r="Q2921" s="6">
        <v>2891</v>
      </c>
      <c r="R2921" s="7">
        <v>45558</v>
      </c>
      <c r="S2921" s="210">
        <v>4</v>
      </c>
      <c r="T2921" s="8">
        <v>1.0001111111111112</v>
      </c>
      <c r="U2921" s="98">
        <v>3.8794511720956049</v>
      </c>
      <c r="V2921" s="106">
        <v>32892.807413333154</v>
      </c>
      <c r="W2921" s="10">
        <v>0.96239797683574935</v>
      </c>
      <c r="X2921" s="420"/>
      <c r="Y2921" s="420"/>
      <c r="Z2921" s="1"/>
      <c r="AA2921" s="1"/>
      <c r="AB2921" s="1"/>
      <c r="AC2921" s="1"/>
      <c r="AD2921" s="1"/>
    </row>
    <row r="2922" spans="17:30">
      <c r="Q2922" s="6">
        <v>2892</v>
      </c>
      <c r="R2922" s="7">
        <v>45559</v>
      </c>
      <c r="S2922" s="210">
        <v>4</v>
      </c>
      <c r="T2922" s="8">
        <v>1.0001111111111112</v>
      </c>
      <c r="U2922" s="98">
        <v>3.8795406975835389</v>
      </c>
      <c r="V2922" s="106">
        <v>32895.454021607708</v>
      </c>
      <c r="W2922" s="10">
        <v>0.96245411473065978</v>
      </c>
      <c r="X2922" s="420"/>
      <c r="Y2922" s="420"/>
      <c r="Z2922" s="1"/>
      <c r="AA2922" s="1"/>
      <c r="AB2922" s="1"/>
      <c r="AC2922" s="1"/>
      <c r="AD2922" s="1"/>
    </row>
    <row r="2923" spans="17:30">
      <c r="Q2923" s="6">
        <v>2893</v>
      </c>
      <c r="R2923" s="7">
        <v>45560</v>
      </c>
      <c r="S2923" s="210">
        <v>4</v>
      </c>
      <c r="T2923" s="8">
        <v>1.0001111111111112</v>
      </c>
      <c r="U2923" s="98">
        <v>3.8796301612574302</v>
      </c>
      <c r="V2923" s="106">
        <v>32898.100842832639</v>
      </c>
      <c r="W2923" s="10">
        <v>0.96251021384727853</v>
      </c>
      <c r="X2923" s="420"/>
      <c r="Y2923" s="420"/>
      <c r="Z2923" s="1"/>
      <c r="AA2923" s="1"/>
      <c r="AB2923" s="1"/>
      <c r="AC2923" s="1"/>
      <c r="AD2923" s="1"/>
    </row>
    <row r="2924" spans="17:30">
      <c r="Q2924" s="6">
        <v>2894</v>
      </c>
      <c r="R2924" s="7">
        <v>45561</v>
      </c>
      <c r="S2924" s="210">
        <v>4</v>
      </c>
      <c r="T2924" s="8">
        <v>1.0001111111111112</v>
      </c>
      <c r="U2924" s="98">
        <v>3.8797195631812942</v>
      </c>
      <c r="V2924" s="106">
        <v>32900.74787702506</v>
      </c>
      <c r="W2924" s="10">
        <v>0.96256627422579566</v>
      </c>
      <c r="X2924" s="420"/>
      <c r="Y2924" s="420"/>
      <c r="Z2924" s="1"/>
      <c r="AA2924" s="1"/>
      <c r="AB2924" s="1"/>
      <c r="AC2924" s="1"/>
      <c r="AD2924" s="1"/>
    </row>
    <row r="2925" spans="17:30">
      <c r="Q2925" s="6">
        <v>2895</v>
      </c>
      <c r="R2925" s="7">
        <v>45562</v>
      </c>
      <c r="S2925" s="210">
        <v>4</v>
      </c>
      <c r="T2925" s="8">
        <v>1.0001111111111112</v>
      </c>
      <c r="U2925" s="98">
        <v>3.8798089034190353</v>
      </c>
      <c r="V2925" s="106">
        <v>32903.395124202114</v>
      </c>
      <c r="W2925" s="10">
        <v>0.96262229590629023</v>
      </c>
      <c r="X2925" s="420"/>
      <c r="Y2925" s="420"/>
      <c r="Z2925" s="1"/>
      <c r="AA2925" s="1"/>
      <c r="AB2925" s="1"/>
      <c r="AC2925" s="1"/>
      <c r="AD2925" s="1"/>
    </row>
    <row r="2926" spans="17:30">
      <c r="Q2926" s="6">
        <v>2896</v>
      </c>
      <c r="R2926" s="7">
        <v>45563</v>
      </c>
      <c r="S2926" s="210">
        <v>4</v>
      </c>
      <c r="T2926" s="8">
        <v>1.0001111111111112</v>
      </c>
      <c r="U2926" s="98">
        <v>3.8798981820344691</v>
      </c>
      <c r="V2926" s="106">
        <v>32906.04258438095</v>
      </c>
      <c r="W2926" s="10">
        <v>0.96267827892884128</v>
      </c>
      <c r="X2926" s="420"/>
      <c r="Y2926" s="420"/>
      <c r="Z2926" s="1"/>
      <c r="AA2926" s="1"/>
      <c r="AB2926" s="1"/>
      <c r="AC2926" s="1"/>
      <c r="AD2926" s="1"/>
    </row>
    <row r="2927" spans="17:30">
      <c r="Q2927" s="6">
        <v>2897</v>
      </c>
      <c r="R2927" s="7">
        <v>45564</v>
      </c>
      <c r="S2927" s="210">
        <v>4</v>
      </c>
      <c r="T2927" s="8">
        <v>1.0001111111111112</v>
      </c>
      <c r="U2927" s="98">
        <v>3.8799873990913225</v>
      </c>
      <c r="V2927" s="106">
        <v>32908.690257578695</v>
      </c>
      <c r="W2927" s="10">
        <v>0.96273422333341685</v>
      </c>
      <c r="X2927" s="420"/>
      <c r="Y2927" s="420"/>
      <c r="Z2927" s="1"/>
      <c r="AA2927" s="1"/>
      <c r="AB2927" s="1"/>
      <c r="AC2927" s="1"/>
      <c r="AD2927" s="1"/>
    </row>
    <row r="2928" spans="17:30">
      <c r="Q2928" s="6">
        <v>2898</v>
      </c>
      <c r="R2928" s="7">
        <v>45565</v>
      </c>
      <c r="S2928" s="210">
        <v>4</v>
      </c>
      <c r="T2928" s="8">
        <v>1.0001111111111112</v>
      </c>
      <c r="U2928" s="98">
        <v>3.8800765546532556</v>
      </c>
      <c r="V2928" s="106">
        <v>32911.338143812485</v>
      </c>
      <c r="W2928" s="10">
        <v>0.96279012915998496</v>
      </c>
      <c r="X2928" s="420"/>
      <c r="Y2928" s="420"/>
      <c r="Z2928" s="1"/>
      <c r="AA2928" s="1"/>
      <c r="AB2928" s="1"/>
      <c r="AC2928" s="1"/>
      <c r="AD2928" s="1"/>
    </row>
    <row r="2929" spans="17:30">
      <c r="Q2929" s="6">
        <v>2899</v>
      </c>
      <c r="R2929" s="7">
        <v>45566</v>
      </c>
      <c r="S2929" s="210">
        <v>4</v>
      </c>
      <c r="T2929" s="8">
        <v>1.0001111111111112</v>
      </c>
      <c r="U2929" s="98">
        <v>3.8801656487838398</v>
      </c>
      <c r="V2929" s="106">
        <v>32913.986243099469</v>
      </c>
      <c r="W2929" s="10">
        <v>0.96284599644846924</v>
      </c>
      <c r="X2929" s="420"/>
      <c r="Y2929" s="420"/>
      <c r="Z2929" s="1"/>
      <c r="AA2929" s="1"/>
      <c r="AB2929" s="1"/>
      <c r="AC2929" s="1"/>
      <c r="AD2929" s="1"/>
    </row>
    <row r="2930" spans="17:30">
      <c r="Q2930" s="6">
        <v>2900</v>
      </c>
      <c r="R2930" s="7">
        <v>45567</v>
      </c>
      <c r="S2930" s="210">
        <v>4</v>
      </c>
      <c r="T2930" s="8">
        <v>1.0001111111111112</v>
      </c>
      <c r="U2930" s="98">
        <v>3.8802546815465133</v>
      </c>
      <c r="V2930" s="106">
        <v>32916.634555456796</v>
      </c>
      <c r="W2930" s="10">
        <v>0.96290182523863788</v>
      </c>
      <c r="X2930" s="420"/>
      <c r="Y2930" s="420"/>
      <c r="Z2930" s="1"/>
      <c r="AA2930" s="1"/>
      <c r="AB2930" s="1"/>
      <c r="AC2930" s="1"/>
      <c r="AD2930" s="1"/>
    </row>
    <row r="2931" spans="17:30">
      <c r="Q2931" s="6">
        <v>2901</v>
      </c>
      <c r="R2931" s="7">
        <v>45568</v>
      </c>
      <c r="S2931" s="210">
        <v>4</v>
      </c>
      <c r="T2931" s="8">
        <v>1.0001111111111112</v>
      </c>
      <c r="U2931" s="98">
        <v>3.880343653004692</v>
      </c>
      <c r="V2931" s="106">
        <v>32919.283080901594</v>
      </c>
      <c r="W2931" s="10">
        <v>0.96295761557032566</v>
      </c>
      <c r="X2931" s="420"/>
      <c r="Y2931" s="420"/>
      <c r="Z2931" s="1"/>
      <c r="AA2931" s="1"/>
      <c r="AB2931" s="1"/>
      <c r="AC2931" s="1"/>
      <c r="AD2931" s="1"/>
    </row>
    <row r="2932" spans="17:30">
      <c r="Q2932" s="6">
        <v>2902</v>
      </c>
      <c r="R2932" s="7">
        <v>45569</v>
      </c>
      <c r="S2932" s="210">
        <v>4</v>
      </c>
      <c r="T2932" s="8">
        <v>1.0001111111111112</v>
      </c>
      <c r="U2932" s="98">
        <v>3.8804325632216363</v>
      </c>
      <c r="V2932" s="106">
        <v>32921.931819451012</v>
      </c>
      <c r="W2932" s="10">
        <v>0.96301336748323418</v>
      </c>
      <c r="X2932" s="420"/>
      <c r="Y2932" s="420"/>
      <c r="Z2932" s="1"/>
      <c r="AA2932" s="1"/>
      <c r="AB2932" s="1"/>
      <c r="AC2932" s="1"/>
      <c r="AD2932" s="1"/>
    </row>
    <row r="2933" spans="17:30">
      <c r="Q2933" s="6">
        <v>2903</v>
      </c>
      <c r="R2933" s="7">
        <v>45570</v>
      </c>
      <c r="S2933" s="210">
        <v>4</v>
      </c>
      <c r="T2933" s="8">
        <v>1.0001111111111112</v>
      </c>
      <c r="U2933" s="98">
        <v>3.8805214122605847</v>
      </c>
      <c r="V2933" s="106">
        <v>32924.580771122208</v>
      </c>
      <c r="W2933" s="10">
        <v>0.9630690810170206</v>
      </c>
      <c r="X2933" s="420"/>
      <c r="Y2933" s="420"/>
      <c r="Z2933" s="1"/>
      <c r="AA2933" s="1"/>
      <c r="AB2933" s="1"/>
      <c r="AC2933" s="1"/>
      <c r="AD2933" s="1"/>
    </row>
    <row r="2934" spans="17:30">
      <c r="Q2934" s="6">
        <v>2904</v>
      </c>
      <c r="R2934" s="7">
        <v>45571</v>
      </c>
      <c r="S2934" s="210">
        <v>4</v>
      </c>
      <c r="T2934" s="8">
        <v>1.0001111111111112</v>
      </c>
      <c r="U2934" s="98">
        <v>3.8806102001846421</v>
      </c>
      <c r="V2934" s="106">
        <v>32927.229935932315</v>
      </c>
      <c r="W2934" s="10">
        <v>0.96312475621131988</v>
      </c>
      <c r="X2934" s="420"/>
      <c r="Y2934" s="420"/>
      <c r="Z2934" s="1"/>
      <c r="AA2934" s="1"/>
      <c r="AB2934" s="1"/>
      <c r="AC2934" s="1"/>
      <c r="AD2934" s="1"/>
    </row>
    <row r="2935" spans="17:30">
      <c r="Q2935" s="6">
        <v>2905</v>
      </c>
      <c r="R2935" s="7">
        <v>45572</v>
      </c>
      <c r="S2935" s="210">
        <v>4</v>
      </c>
      <c r="T2935" s="8">
        <v>1.0001111111111112</v>
      </c>
      <c r="U2935" s="98">
        <v>3.880698927056847</v>
      </c>
      <c r="V2935" s="106">
        <v>32929.879313898498</v>
      </c>
      <c r="W2935" s="10">
        <v>0.96318039310567816</v>
      </c>
      <c r="X2935" s="420"/>
      <c r="Y2935" s="420"/>
      <c r="Z2935" s="1"/>
      <c r="AA2935" s="1"/>
      <c r="AB2935" s="1"/>
      <c r="AC2935" s="1"/>
      <c r="AD2935" s="1"/>
    </row>
    <row r="2936" spans="17:30">
      <c r="Q2936" s="6">
        <v>2906</v>
      </c>
      <c r="R2936" s="7">
        <v>45573</v>
      </c>
      <c r="S2936" s="210">
        <v>4</v>
      </c>
      <c r="T2936" s="8">
        <v>1.0001111111111112</v>
      </c>
      <c r="U2936" s="98">
        <v>3.8807875929401714</v>
      </c>
      <c r="V2936" s="106">
        <v>32932.528905037907</v>
      </c>
      <c r="W2936" s="10">
        <v>0.96323599173964158</v>
      </c>
      <c r="X2936" s="420"/>
      <c r="Y2936" s="420"/>
      <c r="Z2936" s="1"/>
      <c r="AA2936" s="1"/>
      <c r="AB2936" s="1"/>
      <c r="AC2936" s="1"/>
      <c r="AD2936" s="1"/>
    </row>
    <row r="2937" spans="17:30">
      <c r="Q2937" s="6">
        <v>2907</v>
      </c>
      <c r="R2937" s="7">
        <v>45574</v>
      </c>
      <c r="S2937" s="210">
        <v>4</v>
      </c>
      <c r="T2937" s="8">
        <v>1.0001111111111112</v>
      </c>
      <c r="U2937" s="98">
        <v>3.8808761978974537</v>
      </c>
      <c r="V2937" s="106">
        <v>32935.178709367676</v>
      </c>
      <c r="W2937" s="10">
        <v>0.96329155215264528</v>
      </c>
      <c r="X2937" s="420"/>
      <c r="Y2937" s="420"/>
      <c r="Z2937" s="1"/>
      <c r="AA2937" s="1"/>
      <c r="AB2937" s="1"/>
      <c r="AC2937" s="1"/>
      <c r="AD2937" s="1"/>
    </row>
    <row r="2938" spans="17:30">
      <c r="Q2938" s="6">
        <v>2908</v>
      </c>
      <c r="R2938" s="7">
        <v>45575</v>
      </c>
      <c r="S2938" s="210">
        <v>4</v>
      </c>
      <c r="T2938" s="8">
        <v>1.0001111111111112</v>
      </c>
      <c r="U2938" s="98">
        <v>3.8809647419914661</v>
      </c>
      <c r="V2938" s="106">
        <v>32937.828726904969</v>
      </c>
      <c r="W2938" s="10">
        <v>0.96334707438405776</v>
      </c>
      <c r="X2938" s="420"/>
      <c r="Y2938" s="420"/>
      <c r="Z2938" s="1"/>
      <c r="AA2938" s="1"/>
      <c r="AB2938" s="1"/>
      <c r="AC2938" s="1"/>
      <c r="AD2938" s="1"/>
    </row>
    <row r="2939" spans="17:30">
      <c r="Q2939" s="6">
        <v>2909</v>
      </c>
      <c r="R2939" s="7">
        <v>45576</v>
      </c>
      <c r="S2939" s="210">
        <v>4</v>
      </c>
      <c r="T2939" s="8">
        <v>1.0001111111111112</v>
      </c>
      <c r="U2939" s="98">
        <v>3.8810532252849139</v>
      </c>
      <c r="V2939" s="106">
        <v>32940.478957666943</v>
      </c>
      <c r="W2939" s="10">
        <v>0.96340255847326972</v>
      </c>
      <c r="X2939" s="420"/>
      <c r="Y2939" s="420"/>
      <c r="Z2939" s="1"/>
      <c r="AA2939" s="1"/>
      <c r="AB2939" s="1"/>
      <c r="AC2939" s="1"/>
      <c r="AD2939" s="1"/>
    </row>
    <row r="2940" spans="17:30">
      <c r="Q2940" s="6">
        <v>2910</v>
      </c>
      <c r="R2940" s="7">
        <v>45577</v>
      </c>
      <c r="S2940" s="210">
        <v>4</v>
      </c>
      <c r="T2940" s="8">
        <v>1.0001111111111112</v>
      </c>
      <c r="U2940" s="98">
        <v>3.8811416478403915</v>
      </c>
      <c r="V2940" s="106">
        <v>32943.129401670762</v>
      </c>
      <c r="W2940" s="10">
        <v>0.96345800445951646</v>
      </c>
      <c r="X2940" s="420"/>
      <c r="Y2940" s="420"/>
      <c r="Z2940" s="1"/>
      <c r="AA2940" s="1"/>
      <c r="AB2940" s="1"/>
      <c r="AC2940" s="1"/>
      <c r="AD2940" s="1"/>
    </row>
    <row r="2941" spans="17:30">
      <c r="Q2941" s="6">
        <v>2911</v>
      </c>
      <c r="R2941" s="7">
        <v>45578</v>
      </c>
      <c r="S2941" s="210">
        <v>4</v>
      </c>
      <c r="T2941" s="8">
        <v>1.0001111111111112</v>
      </c>
      <c r="U2941" s="98">
        <v>3.8812300097204044</v>
      </c>
      <c r="V2941" s="106">
        <v>32945.780058933575</v>
      </c>
      <c r="W2941" s="10">
        <v>0.96351341238207766</v>
      </c>
      <c r="X2941" s="420"/>
      <c r="Y2941" s="420"/>
      <c r="Z2941" s="1"/>
      <c r="AA2941" s="1"/>
      <c r="AB2941" s="1"/>
      <c r="AC2941" s="1"/>
      <c r="AD2941" s="1"/>
    </row>
    <row r="2942" spans="17:30">
      <c r="Q2942" s="6">
        <v>2912</v>
      </c>
      <c r="R2942" s="7">
        <v>45579</v>
      </c>
      <c r="S2942" s="210">
        <v>4</v>
      </c>
      <c r="T2942" s="8">
        <v>1.0001111111111112</v>
      </c>
      <c r="U2942" s="98">
        <v>3.8813183109874139</v>
      </c>
      <c r="V2942" s="106">
        <v>32948.430929472532</v>
      </c>
      <c r="W2942" s="10">
        <v>0.96356878228012199</v>
      </c>
      <c r="X2942" s="420"/>
      <c r="Y2942" s="420"/>
      <c r="Z2942" s="1"/>
      <c r="AA2942" s="1"/>
      <c r="AB2942" s="1"/>
      <c r="AC2942" s="1"/>
      <c r="AD2942" s="1"/>
    </row>
    <row r="2943" spans="17:30">
      <c r="Q2943" s="6">
        <v>2913</v>
      </c>
      <c r="R2943" s="7">
        <v>45580</v>
      </c>
      <c r="S2943" s="210">
        <v>4</v>
      </c>
      <c r="T2943" s="8">
        <v>1.0001111111111112</v>
      </c>
      <c r="U2943" s="98">
        <v>3.8814065517037255</v>
      </c>
      <c r="V2943" s="106">
        <v>32951.082013304804</v>
      </c>
      <c r="W2943" s="10">
        <v>0.96362411419277372</v>
      </c>
      <c r="X2943" s="420"/>
      <c r="Y2943" s="420"/>
      <c r="Z2943" s="1"/>
      <c r="AA2943" s="1"/>
      <c r="AB2943" s="1"/>
      <c r="AC2943" s="1"/>
      <c r="AD2943" s="1"/>
    </row>
    <row r="2944" spans="17:30">
      <c r="Q2944" s="6">
        <v>2914</v>
      </c>
      <c r="R2944" s="7">
        <v>45581</v>
      </c>
      <c r="S2944" s="210">
        <v>4</v>
      </c>
      <c r="T2944" s="8">
        <v>1.0001111111111112</v>
      </c>
      <c r="U2944" s="98">
        <v>3.8814947319316451</v>
      </c>
      <c r="V2944" s="106">
        <v>32953.733310447562</v>
      </c>
      <c r="W2944" s="10">
        <v>0.96367940815913489</v>
      </c>
      <c r="X2944" s="420"/>
      <c r="Y2944" s="420"/>
      <c r="Z2944" s="1"/>
      <c r="AA2944" s="1"/>
      <c r="AB2944" s="1"/>
      <c r="AC2944" s="1"/>
      <c r="AD2944" s="1"/>
    </row>
    <row r="2945" spans="17:30">
      <c r="Q2945" s="6">
        <v>2915</v>
      </c>
      <c r="R2945" s="7">
        <v>45582</v>
      </c>
      <c r="S2945" s="210">
        <v>4</v>
      </c>
      <c r="T2945" s="8">
        <v>1.0001111111111112</v>
      </c>
      <c r="U2945" s="98">
        <v>3.8815828517333228</v>
      </c>
      <c r="V2945" s="106">
        <v>32956.384820917956</v>
      </c>
      <c r="W2945" s="10">
        <v>0.96373466421819654</v>
      </c>
      <c r="X2945" s="420"/>
      <c r="Y2945" s="420"/>
      <c r="Z2945" s="1"/>
      <c r="AA2945" s="1"/>
      <c r="AB2945" s="1"/>
      <c r="AC2945" s="1"/>
      <c r="AD2945" s="1"/>
    </row>
    <row r="2946" spans="17:30">
      <c r="Q2946" s="6">
        <v>2916</v>
      </c>
      <c r="R2946" s="7">
        <v>45583</v>
      </c>
      <c r="S2946" s="210">
        <v>4</v>
      </c>
      <c r="T2946" s="8">
        <v>1.0001111111111112</v>
      </c>
      <c r="U2946" s="98">
        <v>3.8816709111708425</v>
      </c>
      <c r="V2946" s="106">
        <v>32959.03654473315</v>
      </c>
      <c r="W2946" s="10">
        <v>0.96378988240892749</v>
      </c>
      <c r="X2946" s="420"/>
      <c r="Y2946" s="420"/>
      <c r="Z2946" s="1"/>
      <c r="AA2946" s="1"/>
      <c r="AB2946" s="1"/>
      <c r="AC2946" s="1"/>
      <c r="AD2946" s="1"/>
    </row>
    <row r="2947" spans="17:30">
      <c r="Q2947" s="6">
        <v>2917</v>
      </c>
      <c r="R2947" s="7">
        <v>45584</v>
      </c>
      <c r="S2947" s="210">
        <v>4</v>
      </c>
      <c r="T2947" s="8">
        <v>1.0001111111111112</v>
      </c>
      <c r="U2947" s="98">
        <v>3.8817589103062211</v>
      </c>
      <c r="V2947" s="106">
        <v>32961.688481910307</v>
      </c>
      <c r="W2947" s="10">
        <v>0.96384506277025217</v>
      </c>
      <c r="X2947" s="420"/>
      <c r="Y2947" s="420"/>
      <c r="Z2947" s="1"/>
      <c r="AA2947" s="1"/>
      <c r="AB2947" s="1"/>
      <c r="AC2947" s="1"/>
      <c r="AD2947" s="1"/>
    </row>
    <row r="2948" spans="17:30">
      <c r="Q2948" s="6">
        <v>2918</v>
      </c>
      <c r="R2948" s="7">
        <v>45585</v>
      </c>
      <c r="S2948" s="210">
        <v>4</v>
      </c>
      <c r="T2948" s="8">
        <v>1.0001111111111112</v>
      </c>
      <c r="U2948" s="98">
        <v>3.8818468492013647</v>
      </c>
      <c r="V2948" s="106">
        <v>32964.340632466614</v>
      </c>
      <c r="W2948" s="10">
        <v>0.96390020534102838</v>
      </c>
      <c r="X2948" s="420"/>
      <c r="Y2948" s="420"/>
      <c r="Z2948" s="1"/>
      <c r="AA2948" s="1"/>
      <c r="AB2948" s="1"/>
      <c r="AC2948" s="1"/>
      <c r="AD2948" s="1"/>
    </row>
    <row r="2949" spans="17:30">
      <c r="Q2949" s="6">
        <v>2919</v>
      </c>
      <c r="R2949" s="7">
        <v>45586</v>
      </c>
      <c r="S2949" s="210">
        <v>4</v>
      </c>
      <c r="T2949" s="8">
        <v>1.0001111111111112</v>
      </c>
      <c r="U2949" s="98">
        <v>3.8819347279181349</v>
      </c>
      <c r="V2949" s="106">
        <v>32966.992996419227</v>
      </c>
      <c r="W2949" s="10">
        <v>0.96395531016006952</v>
      </c>
      <c r="X2949" s="420"/>
      <c r="Y2949" s="420"/>
      <c r="Z2949" s="1"/>
      <c r="AA2949" s="1"/>
      <c r="AB2949" s="1"/>
      <c r="AC2949" s="1"/>
      <c r="AD2949" s="1"/>
    </row>
    <row r="2950" spans="17:30">
      <c r="Q2950" s="6">
        <v>2920</v>
      </c>
      <c r="R2950" s="7">
        <v>45587</v>
      </c>
      <c r="S2950" s="210">
        <v>4</v>
      </c>
      <c r="T2950" s="8">
        <v>1.0001111111111112</v>
      </c>
      <c r="U2950" s="98">
        <v>3.8820225465182601</v>
      </c>
      <c r="V2950" s="106">
        <v>32969.64557378531</v>
      </c>
      <c r="W2950" s="10">
        <v>0.96401037726612238</v>
      </c>
      <c r="X2950" s="420"/>
      <c r="Y2950" s="420"/>
      <c r="Z2950" s="1"/>
      <c r="AA2950" s="1"/>
      <c r="AB2950" s="1"/>
      <c r="AC2950" s="1"/>
      <c r="AD2950" s="1"/>
    </row>
    <row r="2951" spans="17:30">
      <c r="Q2951" s="6">
        <v>2921</v>
      </c>
      <c r="R2951" s="7">
        <v>45588</v>
      </c>
      <c r="S2951" s="210">
        <v>4</v>
      </c>
      <c r="T2951" s="8">
        <v>1.0001111111111112</v>
      </c>
      <c r="U2951" s="98">
        <v>3.8821103050634242</v>
      </c>
      <c r="V2951" s="106">
        <v>32972.298364582042</v>
      </c>
      <c r="W2951" s="10">
        <v>0.96406540669791152</v>
      </c>
      <c r="X2951" s="420"/>
      <c r="Y2951" s="420"/>
      <c r="Z2951" s="1"/>
      <c r="AA2951" s="1"/>
      <c r="AB2951" s="1"/>
      <c r="AC2951" s="1"/>
      <c r="AD2951" s="1"/>
    </row>
    <row r="2952" spans="17:30">
      <c r="Q2952" s="6">
        <v>2922</v>
      </c>
      <c r="R2952" s="7">
        <v>45589</v>
      </c>
      <c r="S2952" s="210">
        <v>4</v>
      </c>
      <c r="T2952" s="8">
        <v>1.0001111111111112</v>
      </c>
      <c r="U2952" s="98">
        <v>3.8821980036152004</v>
      </c>
      <c r="V2952" s="106">
        <v>32974.951368826594</v>
      </c>
      <c r="W2952" s="10">
        <v>0.96412039849407272</v>
      </c>
      <c r="X2952" s="420"/>
      <c r="Y2952" s="420"/>
      <c r="Z2952" s="1"/>
      <c r="AA2952" s="1"/>
      <c r="AB2952" s="1"/>
      <c r="AC2952" s="1"/>
      <c r="AD2952" s="1"/>
    </row>
    <row r="2953" spans="17:30">
      <c r="Q2953" s="6">
        <v>2923</v>
      </c>
      <c r="R2953" s="7">
        <v>45590</v>
      </c>
      <c r="S2953" s="210">
        <v>4</v>
      </c>
      <c r="T2953" s="8">
        <v>1.0001111111111112</v>
      </c>
      <c r="U2953" s="98">
        <v>3.8822856422350727</v>
      </c>
      <c r="V2953" s="106">
        <v>32977.604586536152</v>
      </c>
      <c r="W2953" s="10">
        <v>0.96417535269317511</v>
      </c>
      <c r="X2953" s="420"/>
      <c r="Y2953" s="420"/>
      <c r="Z2953" s="1"/>
      <c r="AA2953" s="1"/>
      <c r="AB2953" s="1"/>
      <c r="AC2953" s="1"/>
      <c r="AD2953" s="1"/>
    </row>
    <row r="2954" spans="17:30">
      <c r="Q2954" s="6">
        <v>2924</v>
      </c>
      <c r="R2954" s="7">
        <v>45591</v>
      </c>
      <c r="S2954" s="210">
        <v>4</v>
      </c>
      <c r="T2954" s="8">
        <v>1.0001111111111112</v>
      </c>
      <c r="U2954" s="98">
        <v>3.8823732209844808</v>
      </c>
      <c r="V2954" s="106">
        <v>32980.258017727865</v>
      </c>
      <c r="W2954" s="10">
        <v>0.96423026933381006</v>
      </c>
      <c r="X2954" s="420"/>
      <c r="Y2954" s="420"/>
      <c r="Z2954" s="1"/>
      <c r="AA2954" s="1"/>
      <c r="AB2954" s="1"/>
      <c r="AC2954" s="1"/>
      <c r="AD2954" s="1"/>
    </row>
    <row r="2955" spans="17:30">
      <c r="Q2955" s="6">
        <v>2925</v>
      </c>
      <c r="R2955" s="7">
        <v>45592</v>
      </c>
      <c r="S2955" s="210">
        <v>4</v>
      </c>
      <c r="T2955" s="8">
        <v>1.0001111111111112</v>
      </c>
      <c r="U2955" s="98">
        <v>3.8824607399247313</v>
      </c>
      <c r="V2955" s="106">
        <v>32982.911662418941</v>
      </c>
      <c r="W2955" s="10">
        <v>0.96428514845443569</v>
      </c>
      <c r="X2955" s="420"/>
      <c r="Y2955" s="420"/>
      <c r="Z2955" s="1"/>
      <c r="AA2955" s="1"/>
      <c r="AB2955" s="1"/>
      <c r="AC2955" s="1"/>
      <c r="AD2955" s="1"/>
    </row>
    <row r="2956" spans="17:30">
      <c r="Q2956" s="6">
        <v>2926</v>
      </c>
      <c r="R2956" s="7">
        <v>45593</v>
      </c>
      <c r="S2956" s="210">
        <v>4</v>
      </c>
      <c r="T2956" s="8">
        <v>1.0001111111111112</v>
      </c>
      <c r="U2956" s="98">
        <v>3.8825481991170863</v>
      </c>
      <c r="V2956" s="106">
        <v>32985.565520626536</v>
      </c>
      <c r="W2956" s="10">
        <v>0.96433999009351012</v>
      </c>
      <c r="X2956" s="420"/>
      <c r="Y2956" s="420"/>
      <c r="Z2956" s="1"/>
      <c r="AA2956" s="1"/>
      <c r="AB2956" s="1"/>
      <c r="AC2956" s="1"/>
      <c r="AD2956" s="1"/>
    </row>
    <row r="2957" spans="17:30">
      <c r="Q2957" s="6">
        <v>2927</v>
      </c>
      <c r="R2957" s="7">
        <v>45594</v>
      </c>
      <c r="S2957" s="210">
        <v>4</v>
      </c>
      <c r="T2957" s="8">
        <v>1.0001111111111112</v>
      </c>
      <c r="U2957" s="98">
        <v>3.8826355986226968</v>
      </c>
      <c r="V2957" s="106">
        <v>32988.219592367845</v>
      </c>
      <c r="W2957" s="10">
        <v>0.96439479428938046</v>
      </c>
      <c r="X2957" s="420"/>
      <c r="Y2957" s="420"/>
      <c r="Z2957" s="1"/>
      <c r="AA2957" s="1"/>
      <c r="AB2957" s="1"/>
      <c r="AC2957" s="1"/>
      <c r="AD2957" s="1"/>
    </row>
    <row r="2958" spans="17:30">
      <c r="Q2958" s="6">
        <v>2928</v>
      </c>
      <c r="R2958" s="7">
        <v>45595</v>
      </c>
      <c r="S2958" s="210">
        <v>4</v>
      </c>
      <c r="T2958" s="8">
        <v>1.0001111111111112</v>
      </c>
      <c r="U2958" s="98">
        <v>3.8827229385026474</v>
      </c>
      <c r="V2958" s="106">
        <v>32990.873877660037</v>
      </c>
      <c r="W2958" s="10">
        <v>0.96444956108043822</v>
      </c>
      <c r="X2958" s="420"/>
      <c r="Y2958" s="420"/>
      <c r="Z2958" s="1"/>
      <c r="AA2958" s="1"/>
      <c r="AB2958" s="1"/>
      <c r="AC2958" s="1"/>
      <c r="AD2958" s="1"/>
    </row>
    <row r="2959" spans="17:30">
      <c r="Q2959" s="6">
        <v>2929</v>
      </c>
      <c r="R2959" s="7">
        <v>45596</v>
      </c>
      <c r="S2959" s="210">
        <v>4</v>
      </c>
      <c r="T2959" s="8">
        <v>1.0001111111111112</v>
      </c>
      <c r="U2959" s="98">
        <v>3.8828102188179336</v>
      </c>
      <c r="V2959" s="106">
        <v>32993.528376520291</v>
      </c>
      <c r="W2959" s="10">
        <v>0.96450429050491948</v>
      </c>
      <c r="X2959" s="420"/>
      <c r="Y2959" s="420"/>
      <c r="Z2959" s="1"/>
      <c r="AA2959" s="1"/>
      <c r="AB2959" s="1"/>
      <c r="AC2959" s="1"/>
      <c r="AD2959" s="1"/>
    </row>
    <row r="2960" spans="17:30">
      <c r="Q2960" s="6">
        <v>2930</v>
      </c>
      <c r="R2960" s="7">
        <v>45597</v>
      </c>
      <c r="S2960" s="210">
        <v>4</v>
      </c>
      <c r="T2960" s="8">
        <v>1.0001111111111112</v>
      </c>
      <c r="U2960" s="98">
        <v>3.8828974396294624</v>
      </c>
      <c r="V2960" s="106">
        <v>32996.183088965816</v>
      </c>
      <c r="W2960" s="10">
        <v>0.96455898260103812</v>
      </c>
      <c r="X2960" s="420"/>
      <c r="Y2960" s="420"/>
      <c r="Z2960" s="1"/>
      <c r="AA2960" s="1"/>
      <c r="AB2960" s="1"/>
      <c r="AC2960" s="1"/>
      <c r="AD2960" s="1"/>
    </row>
    <row r="2961" spans="17:30">
      <c r="Q2961" s="6">
        <v>2931</v>
      </c>
      <c r="R2961" s="7">
        <v>45598</v>
      </c>
      <c r="S2961" s="210">
        <v>4</v>
      </c>
      <c r="T2961" s="8">
        <v>1.0001111111111112</v>
      </c>
      <c r="U2961" s="98">
        <v>3.882984600998074</v>
      </c>
      <c r="V2961" s="106">
        <v>32998.838015013775</v>
      </c>
      <c r="W2961" s="10">
        <v>0.96461363740703021</v>
      </c>
      <c r="X2961" s="420"/>
      <c r="Y2961" s="420"/>
      <c r="Z2961" s="1"/>
      <c r="AA2961" s="1"/>
      <c r="AB2961" s="1"/>
      <c r="AC2961" s="1"/>
      <c r="AD2961" s="1"/>
    </row>
    <row r="2962" spans="17:30">
      <c r="Q2962" s="6">
        <v>2932</v>
      </c>
      <c r="R2962" s="7">
        <v>45599</v>
      </c>
      <c r="S2962" s="210">
        <v>4</v>
      </c>
      <c r="T2962" s="8">
        <v>1.0001111111111112</v>
      </c>
      <c r="U2962" s="98">
        <v>3.8830717029845196</v>
      </c>
      <c r="V2962" s="106">
        <v>33001.493154681353</v>
      </c>
      <c r="W2962" s="10">
        <v>0.96466825496099862</v>
      </c>
      <c r="X2962" s="420"/>
      <c r="Y2962" s="420"/>
      <c r="Z2962" s="1"/>
      <c r="AA2962" s="1"/>
      <c r="AB2962" s="1"/>
      <c r="AC2962" s="1"/>
      <c r="AD2962" s="1"/>
    </row>
    <row r="2963" spans="17:30">
      <c r="Q2963" s="6">
        <v>2933</v>
      </c>
      <c r="R2963" s="7">
        <v>45600</v>
      </c>
      <c r="S2963" s="210">
        <v>4</v>
      </c>
      <c r="T2963" s="8">
        <v>1.0001111111111112</v>
      </c>
      <c r="U2963" s="98">
        <v>3.8831587456494621</v>
      </c>
      <c r="V2963" s="106">
        <v>33004.148507985752</v>
      </c>
      <c r="W2963" s="10">
        <v>0.96472283530102398</v>
      </c>
      <c r="X2963" s="420"/>
      <c r="Y2963" s="420"/>
      <c r="Z2963" s="1"/>
      <c r="AA2963" s="1"/>
      <c r="AB2963" s="1"/>
      <c r="AC2963" s="1"/>
      <c r="AD2963" s="1"/>
    </row>
    <row r="2964" spans="17:30">
      <c r="Q2964" s="6">
        <v>2934</v>
      </c>
      <c r="R2964" s="7">
        <v>45601</v>
      </c>
      <c r="S2964" s="210">
        <v>4</v>
      </c>
      <c r="T2964" s="8">
        <v>1.0001111111111112</v>
      </c>
      <c r="U2964" s="98">
        <v>3.883245729053475</v>
      </c>
      <c r="V2964" s="106">
        <v>33006.804074944157</v>
      </c>
      <c r="W2964" s="10">
        <v>0.96477737846509815</v>
      </c>
      <c r="X2964" s="420"/>
      <c r="Y2964" s="420"/>
      <c r="Z2964" s="1"/>
      <c r="AA2964" s="1"/>
      <c r="AB2964" s="1"/>
      <c r="AC2964" s="1"/>
      <c r="AD2964" s="1"/>
    </row>
    <row r="2965" spans="17:30">
      <c r="Q2965" s="6">
        <v>2935</v>
      </c>
      <c r="R2965" s="7">
        <v>45602</v>
      </c>
      <c r="S2965" s="210">
        <v>4</v>
      </c>
      <c r="T2965" s="8">
        <v>1.0001111111111112</v>
      </c>
      <c r="U2965" s="98">
        <v>3.8833326532570434</v>
      </c>
      <c r="V2965" s="106">
        <v>33009.459855573754</v>
      </c>
      <c r="W2965" s="10">
        <v>0.96483188449119073</v>
      </c>
      <c r="X2965" s="420"/>
      <c r="Y2965" s="420"/>
      <c r="Z2965" s="1"/>
      <c r="AA2965" s="1"/>
      <c r="AB2965" s="1"/>
      <c r="AC2965" s="1"/>
      <c r="AD2965" s="1"/>
    </row>
    <row r="2966" spans="17:30">
      <c r="Q2966" s="6">
        <v>2936</v>
      </c>
      <c r="R2966" s="7">
        <v>45603</v>
      </c>
      <c r="S2966" s="210">
        <v>4</v>
      </c>
      <c r="T2966" s="8">
        <v>1.0001111111111112</v>
      </c>
      <c r="U2966" s="98">
        <v>3.8834195183206077</v>
      </c>
      <c r="V2966" s="106">
        <v>33012.115849891743</v>
      </c>
      <c r="W2966" s="10">
        <v>0.96488635341724915</v>
      </c>
      <c r="X2966" s="420"/>
      <c r="Y2966" s="420"/>
      <c r="Z2966" s="1"/>
      <c r="AA2966" s="1"/>
      <c r="AB2966" s="1"/>
      <c r="AC2966" s="1"/>
      <c r="AD2966" s="1"/>
    </row>
    <row r="2967" spans="17:30">
      <c r="Q2967" s="6">
        <v>2937</v>
      </c>
      <c r="R2967" s="7">
        <v>45604</v>
      </c>
      <c r="S2967" s="210">
        <v>4</v>
      </c>
      <c r="T2967" s="8">
        <v>1.0001111111111112</v>
      </c>
      <c r="U2967" s="98">
        <v>3.8835063243044976</v>
      </c>
      <c r="V2967" s="106">
        <v>33014.772057915317</v>
      </c>
      <c r="W2967" s="10">
        <v>0.96494078528110983</v>
      </c>
      <c r="X2967" s="420"/>
      <c r="Y2967" s="420"/>
      <c r="Z2967" s="1"/>
      <c r="AA2967" s="1"/>
      <c r="AB2967" s="1"/>
      <c r="AC2967" s="1"/>
      <c r="AD2967" s="1"/>
    </row>
    <row r="2968" spans="17:30">
      <c r="Q2968" s="6">
        <v>2938</v>
      </c>
      <c r="R2968" s="7">
        <v>45605</v>
      </c>
      <c r="S2968" s="210">
        <v>4</v>
      </c>
      <c r="T2968" s="8">
        <v>1.0001111111111112</v>
      </c>
      <c r="U2968" s="98">
        <v>3.8835930712689537</v>
      </c>
      <c r="V2968" s="106">
        <v>33017.428479661656</v>
      </c>
      <c r="W2968" s="10">
        <v>0.96499518012063135</v>
      </c>
      <c r="X2968" s="420"/>
      <c r="Y2968" s="420"/>
      <c r="Z2968" s="1"/>
      <c r="AA2968" s="1"/>
      <c r="AB2968" s="1"/>
      <c r="AC2968" s="1"/>
      <c r="AD2968" s="1"/>
    </row>
    <row r="2969" spans="17:30">
      <c r="Q2969" s="6">
        <v>2939</v>
      </c>
      <c r="R2969" s="7">
        <v>45606</v>
      </c>
      <c r="S2969" s="210">
        <v>4</v>
      </c>
      <c r="T2969" s="8">
        <v>1.0001111111111112</v>
      </c>
      <c r="U2969" s="98">
        <v>3.8836797592741501</v>
      </c>
      <c r="V2969" s="106">
        <v>33020.08511514798</v>
      </c>
      <c r="W2969" s="10">
        <v>0.96504953797349469</v>
      </c>
      <c r="X2969" s="420"/>
      <c r="Y2969" s="420"/>
      <c r="Z2969" s="1"/>
      <c r="AA2969" s="1"/>
      <c r="AB2969" s="1"/>
      <c r="AC2969" s="1"/>
      <c r="AD2969" s="1"/>
    </row>
    <row r="2970" spans="17:30">
      <c r="Q2970" s="6">
        <v>2940</v>
      </c>
      <c r="R2970" s="7">
        <v>45607</v>
      </c>
      <c r="S2970" s="210">
        <v>4</v>
      </c>
      <c r="T2970" s="8">
        <v>1.0001111111111112</v>
      </c>
      <c r="U2970" s="98">
        <v>3.8837663883801721</v>
      </c>
      <c r="V2970" s="106">
        <v>33022.741964391469</v>
      </c>
      <c r="W2970" s="10">
        <v>0.96510385887749184</v>
      </c>
      <c r="X2970" s="420"/>
      <c r="Y2970" s="420"/>
      <c r="Z2970" s="1"/>
      <c r="AA2970" s="1"/>
      <c r="AB2970" s="1"/>
      <c r="AC2970" s="1"/>
      <c r="AD2970" s="1"/>
    </row>
    <row r="2971" spans="17:30">
      <c r="Q2971" s="6">
        <v>2941</v>
      </c>
      <c r="R2971" s="7">
        <v>45608</v>
      </c>
      <c r="S2971" s="210">
        <v>4</v>
      </c>
      <c r="T2971" s="8">
        <v>1.0001111111111112</v>
      </c>
      <c r="U2971" s="98">
        <v>3.8838529586470383</v>
      </c>
      <c r="V2971" s="106">
        <v>33025.39902740933</v>
      </c>
      <c r="W2971" s="10">
        <v>0.96515814287023716</v>
      </c>
      <c r="X2971" s="420"/>
      <c r="Y2971" s="420"/>
      <c r="Z2971" s="1"/>
      <c r="AA2971" s="1"/>
      <c r="AB2971" s="1"/>
      <c r="AC2971" s="1"/>
      <c r="AD2971" s="1"/>
    </row>
    <row r="2972" spans="17:30">
      <c r="Q2972" s="6">
        <v>2942</v>
      </c>
      <c r="R2972" s="7">
        <v>45609</v>
      </c>
      <c r="S2972" s="210">
        <v>4</v>
      </c>
      <c r="T2972" s="8">
        <v>1.0001111111111112</v>
      </c>
      <c r="U2972" s="98">
        <v>3.8839394701346786</v>
      </c>
      <c r="V2972" s="106">
        <v>33028.056304218757</v>
      </c>
      <c r="W2972" s="10">
        <v>0.9652123899893672</v>
      </c>
      <c r="X2972" s="420"/>
      <c r="Y2972" s="420"/>
      <c r="Z2972" s="1"/>
      <c r="AA2972" s="1"/>
      <c r="AB2972" s="1"/>
      <c r="AC2972" s="1"/>
      <c r="AD2972" s="1"/>
    </row>
    <row r="2973" spans="17:30">
      <c r="Q2973" s="6">
        <v>2943</v>
      </c>
      <c r="R2973" s="7">
        <v>45610</v>
      </c>
      <c r="S2973" s="210">
        <v>4</v>
      </c>
      <c r="T2973" s="8">
        <v>1.0001111111111112</v>
      </c>
      <c r="U2973" s="98">
        <v>3.8840259229029339</v>
      </c>
      <c r="V2973" s="106">
        <v>33030.713794836964</v>
      </c>
      <c r="W2973" s="10">
        <v>0.96526660027242972</v>
      </c>
      <c r="X2973" s="420"/>
      <c r="Y2973" s="420"/>
      <c r="Z2973" s="1"/>
      <c r="AA2973" s="1"/>
      <c r="AB2973" s="1"/>
      <c r="AC2973" s="1"/>
      <c r="AD2973" s="1"/>
    </row>
    <row r="2974" spans="17:30">
      <c r="Q2974" s="6">
        <v>2944</v>
      </c>
      <c r="R2974" s="7">
        <v>45611</v>
      </c>
      <c r="S2974" s="210">
        <v>4</v>
      </c>
      <c r="T2974" s="8">
        <v>1.0001111111111112</v>
      </c>
      <c r="U2974" s="98">
        <v>3.8841123170115566</v>
      </c>
      <c r="V2974" s="106">
        <v>33033.371499281136</v>
      </c>
      <c r="W2974" s="10">
        <v>0.96532077375695025</v>
      </c>
      <c r="X2974" s="420"/>
      <c r="Y2974" s="420"/>
      <c r="Z2974" s="1"/>
      <c r="AA2974" s="1"/>
      <c r="AB2974" s="1"/>
      <c r="AC2974" s="1"/>
      <c r="AD2974" s="1"/>
    </row>
    <row r="2975" spans="17:30">
      <c r="Q2975" s="6">
        <v>2945</v>
      </c>
      <c r="R2975" s="7">
        <v>45612</v>
      </c>
      <c r="S2975" s="210">
        <v>4</v>
      </c>
      <c r="T2975" s="8">
        <v>1.0001111111111112</v>
      </c>
      <c r="U2975" s="98">
        <v>3.8841986525202321</v>
      </c>
      <c r="V2975" s="106">
        <v>33036.029417568505</v>
      </c>
      <c r="W2975" s="10">
        <v>0.9653749104803433</v>
      </c>
      <c r="X2975" s="420"/>
      <c r="Y2975" s="420"/>
      <c r="Z2975" s="1"/>
      <c r="AA2975" s="1"/>
      <c r="AB2975" s="1"/>
      <c r="AC2975" s="1"/>
      <c r="AD2975" s="1"/>
    </row>
    <row r="2976" spans="17:30">
      <c r="Q2976" s="6">
        <v>2946</v>
      </c>
      <c r="R2976" s="7">
        <v>45613</v>
      </c>
      <c r="S2976" s="210">
        <v>4</v>
      </c>
      <c r="T2976" s="8">
        <v>1.0001111111111112</v>
      </c>
      <c r="U2976" s="98">
        <v>3.8842849294885573</v>
      </c>
      <c r="V2976" s="106">
        <v>33038.687549716255</v>
      </c>
      <c r="W2976" s="10">
        <v>0.96542901048002339</v>
      </c>
      <c r="X2976" s="420"/>
      <c r="Y2976" s="420"/>
      <c r="Z2976" s="1"/>
      <c r="AA2976" s="1"/>
      <c r="AB2976" s="1"/>
      <c r="AC2976" s="1"/>
      <c r="AD2976" s="1"/>
    </row>
    <row r="2977" spans="17:30">
      <c r="Q2977" s="6">
        <v>2947</v>
      </c>
      <c r="R2977" s="7">
        <v>45614</v>
      </c>
      <c r="S2977" s="210">
        <v>4</v>
      </c>
      <c r="T2977" s="8">
        <v>1.0001111111111112</v>
      </c>
      <c r="U2977" s="98">
        <v>3.8843711479760623</v>
      </c>
      <c r="V2977" s="106">
        <v>33041.345895741601</v>
      </c>
      <c r="W2977" s="10">
        <v>0.96548307379338283</v>
      </c>
      <c r="X2977" s="420"/>
      <c r="Y2977" s="420"/>
      <c r="Z2977" s="1"/>
      <c r="AA2977" s="1"/>
      <c r="AB2977" s="1"/>
      <c r="AC2977" s="1"/>
      <c r="AD2977" s="1"/>
    </row>
    <row r="2978" spans="17:30">
      <c r="Q2978" s="6">
        <v>2948</v>
      </c>
      <c r="R2978" s="7">
        <v>45615</v>
      </c>
      <c r="S2978" s="210">
        <v>4</v>
      </c>
      <c r="T2978" s="8">
        <v>1.0001111111111112</v>
      </c>
      <c r="U2978" s="98">
        <v>3.8844573080421885</v>
      </c>
      <c r="V2978" s="106">
        <v>33044.004455661743</v>
      </c>
      <c r="W2978" s="10">
        <v>0.96553710045770291</v>
      </c>
      <c r="X2978" s="420"/>
      <c r="Y2978" s="420"/>
      <c r="Z2978" s="1"/>
      <c r="AA2978" s="1"/>
      <c r="AB2978" s="1"/>
      <c r="AC2978" s="1"/>
      <c r="AD2978" s="1"/>
    </row>
    <row r="2979" spans="17:30">
      <c r="Q2979" s="6">
        <v>2949</v>
      </c>
      <c r="R2979" s="7">
        <v>45616</v>
      </c>
      <c r="S2979" s="210">
        <v>4</v>
      </c>
      <c r="T2979" s="8">
        <v>1.0001111111111112</v>
      </c>
      <c r="U2979" s="98">
        <v>3.8845434097462883</v>
      </c>
      <c r="V2979" s="106">
        <v>33046.663229493905</v>
      </c>
      <c r="W2979" s="10">
        <v>0.96559109051022052</v>
      </c>
      <c r="X2979" s="420"/>
      <c r="Y2979" s="420"/>
      <c r="Z2979" s="1"/>
      <c r="AA2979" s="1"/>
      <c r="AB2979" s="1"/>
      <c r="AC2979" s="1"/>
      <c r="AD2979" s="1"/>
    </row>
    <row r="2980" spans="17:30">
      <c r="Q2980" s="6">
        <v>2950</v>
      </c>
      <c r="R2980" s="7">
        <v>45617</v>
      </c>
      <c r="S2980" s="210">
        <v>4</v>
      </c>
      <c r="T2980" s="8">
        <v>1.0001111111111112</v>
      </c>
      <c r="U2980" s="98">
        <v>3.8846294531476477</v>
      </c>
      <c r="V2980" s="106">
        <v>33049.322217255292</v>
      </c>
      <c r="W2980" s="10">
        <v>0.96564504398817252</v>
      </c>
      <c r="X2980" s="420"/>
      <c r="Y2980" s="420"/>
      <c r="Z2980" s="1"/>
      <c r="AA2980" s="1"/>
      <c r="AB2980" s="1"/>
      <c r="AC2980" s="1"/>
      <c r="AD2980" s="1"/>
    </row>
    <row r="2981" spans="17:30">
      <c r="Q2981" s="6">
        <v>2951</v>
      </c>
      <c r="R2981" s="7">
        <v>45618</v>
      </c>
      <c r="S2981" s="210">
        <v>4</v>
      </c>
      <c r="T2981" s="8">
        <v>1.0001111111111112</v>
      </c>
      <c r="U2981" s="98">
        <v>3.8847154383054638</v>
      </c>
      <c r="V2981" s="106">
        <v>33051.981418963114</v>
      </c>
      <c r="W2981" s="10">
        <v>0.96569896092868479</v>
      </c>
      <c r="X2981" s="420"/>
      <c r="Y2981" s="420"/>
      <c r="Z2981" s="1"/>
      <c r="AA2981" s="1"/>
      <c r="AB2981" s="1"/>
      <c r="AC2981" s="1"/>
      <c r="AD2981" s="1"/>
    </row>
    <row r="2982" spans="17:30">
      <c r="Q2982" s="6">
        <v>2952</v>
      </c>
      <c r="R2982" s="7">
        <v>45619</v>
      </c>
      <c r="S2982" s="210">
        <v>4</v>
      </c>
      <c r="T2982" s="8">
        <v>1.0001111111111112</v>
      </c>
      <c r="U2982" s="98">
        <v>3.8848013652788449</v>
      </c>
      <c r="V2982" s="106">
        <v>33054.6408346346</v>
      </c>
      <c r="W2982" s="10">
        <v>0.96575284136888317</v>
      </c>
      <c r="X2982" s="420"/>
      <c r="Y2982" s="420"/>
      <c r="Z2982" s="1"/>
      <c r="AA2982" s="1"/>
      <c r="AB2982" s="1"/>
      <c r="AC2982" s="1"/>
      <c r="AD2982" s="1"/>
    </row>
    <row r="2983" spans="17:30">
      <c r="Q2983" s="6">
        <v>2953</v>
      </c>
      <c r="R2983" s="7">
        <v>45620</v>
      </c>
      <c r="S2983" s="210">
        <v>4</v>
      </c>
      <c r="T2983" s="8">
        <v>1.0001111111111112</v>
      </c>
      <c r="U2983" s="98">
        <v>3.8848872341268326</v>
      </c>
      <c r="V2983" s="106">
        <v>33057.300464286949</v>
      </c>
      <c r="W2983" s="10">
        <v>0.96580668534578251</v>
      </c>
      <c r="X2983" s="420"/>
      <c r="Y2983" s="420"/>
      <c r="Z2983" s="1"/>
      <c r="AA2983" s="1"/>
      <c r="AB2983" s="1"/>
      <c r="AC2983" s="1"/>
      <c r="AD2983" s="1"/>
    </row>
    <row r="2984" spans="17:30">
      <c r="Q2984" s="6">
        <v>2954</v>
      </c>
      <c r="R2984" s="7">
        <v>45621</v>
      </c>
      <c r="S2984" s="210">
        <v>4</v>
      </c>
      <c r="T2984" s="8">
        <v>1.0001111111111112</v>
      </c>
      <c r="U2984" s="98">
        <v>3.8849730449083797</v>
      </c>
      <c r="V2984" s="106">
        <v>33059.960307937377</v>
      </c>
      <c r="W2984" s="10">
        <v>0.96586049289639764</v>
      </c>
      <c r="X2984" s="420"/>
      <c r="Y2984" s="420"/>
      <c r="Z2984" s="1"/>
      <c r="AA2984" s="1"/>
      <c r="AB2984" s="1"/>
      <c r="AC2984" s="1"/>
      <c r="AD2984" s="1"/>
    </row>
    <row r="2985" spans="17:30">
      <c r="Q2985" s="6">
        <v>2955</v>
      </c>
      <c r="R2985" s="7">
        <v>45622</v>
      </c>
      <c r="S2985" s="210">
        <v>4</v>
      </c>
      <c r="T2985" s="8">
        <v>1.0001111111111112</v>
      </c>
      <c r="U2985" s="98">
        <v>3.8850587976823725</v>
      </c>
      <c r="V2985" s="106">
        <v>33062.620365603121</v>
      </c>
      <c r="W2985" s="10">
        <v>0.96591426405769898</v>
      </c>
      <c r="X2985" s="420"/>
      <c r="Y2985" s="420"/>
      <c r="Z2985" s="1"/>
      <c r="AA2985" s="1"/>
      <c r="AB2985" s="1"/>
      <c r="AC2985" s="1"/>
      <c r="AD2985" s="1"/>
    </row>
    <row r="2986" spans="17:30">
      <c r="Q2986" s="6">
        <v>2956</v>
      </c>
      <c r="R2986" s="7">
        <v>45623</v>
      </c>
      <c r="S2986" s="210">
        <v>4</v>
      </c>
      <c r="T2986" s="8">
        <v>1.0001111111111112</v>
      </c>
      <c r="U2986" s="98">
        <v>3.8851444925076084</v>
      </c>
      <c r="V2986" s="106">
        <v>33065.280637301388</v>
      </c>
      <c r="W2986" s="10">
        <v>0.96596799886659035</v>
      </c>
      <c r="X2986" s="420"/>
      <c r="Y2986" s="420"/>
      <c r="Z2986" s="1"/>
      <c r="AA2986" s="1"/>
      <c r="AB2986" s="1"/>
      <c r="AC2986" s="1"/>
      <c r="AD2986" s="1"/>
    </row>
    <row r="2987" spans="17:30">
      <c r="Q2987" s="6">
        <v>2957</v>
      </c>
      <c r="R2987" s="7">
        <v>45624</v>
      </c>
      <c r="S2987" s="210">
        <v>4</v>
      </c>
      <c r="T2987" s="8">
        <v>1.0001111111111112</v>
      </c>
      <c r="U2987" s="98">
        <v>3.8852301294428182</v>
      </c>
      <c r="V2987" s="106">
        <v>33067.941123049401</v>
      </c>
      <c r="W2987" s="10">
        <v>0.96602169735988674</v>
      </c>
      <c r="X2987" s="420"/>
      <c r="Y2987" s="420"/>
      <c r="Z2987" s="1"/>
      <c r="AA2987" s="1"/>
      <c r="AB2987" s="1"/>
      <c r="AC2987" s="1"/>
      <c r="AD2987" s="1"/>
    </row>
    <row r="2988" spans="17:30">
      <c r="Q2988" s="6">
        <v>2958</v>
      </c>
      <c r="R2988" s="7">
        <v>45625</v>
      </c>
      <c r="S2988" s="210">
        <v>4</v>
      </c>
      <c r="T2988" s="8">
        <v>1.0001111111111112</v>
      </c>
      <c r="U2988" s="98">
        <v>3.8853157085466439</v>
      </c>
      <c r="V2988" s="106">
        <v>33070.601822864381</v>
      </c>
      <c r="W2988" s="10">
        <v>0.96607535957444757</v>
      </c>
      <c r="X2988" s="420"/>
      <c r="Y2988" s="420"/>
      <c r="Z2988" s="1"/>
      <c r="AA2988" s="1"/>
      <c r="AB2988" s="1"/>
      <c r="AC2988" s="1"/>
      <c r="AD2988" s="1"/>
    </row>
    <row r="2989" spans="17:30">
      <c r="Q2989" s="6">
        <v>2959</v>
      </c>
      <c r="R2989" s="7">
        <v>45626</v>
      </c>
      <c r="S2989" s="210">
        <v>4</v>
      </c>
      <c r="T2989" s="8">
        <v>1.0001111111111112</v>
      </c>
      <c r="U2989" s="98">
        <v>3.8854012298776164</v>
      </c>
      <c r="V2989" s="106">
        <v>33073.262736763558</v>
      </c>
      <c r="W2989" s="10">
        <v>0.96612898554697679</v>
      </c>
      <c r="X2989" s="420"/>
      <c r="Y2989" s="420"/>
      <c r="Z2989" s="1"/>
      <c r="AA2989" s="1"/>
      <c r="AB2989" s="1"/>
      <c r="AC2989" s="1"/>
      <c r="AD2989" s="1"/>
    </row>
    <row r="2990" spans="17:30">
      <c r="Q2990" s="6">
        <v>2960</v>
      </c>
      <c r="R2990" s="7">
        <v>45627</v>
      </c>
      <c r="S2990" s="210">
        <v>4</v>
      </c>
      <c r="T2990" s="8">
        <v>1.0001111111111112</v>
      </c>
      <c r="U2990" s="98">
        <v>3.8854866934942445</v>
      </c>
      <c r="V2990" s="106">
        <v>33075.923864764147</v>
      </c>
      <c r="W2990" s="10">
        <v>0.96618257531417839</v>
      </c>
      <c r="X2990" s="420"/>
      <c r="Y2990" s="420"/>
      <c r="Z2990" s="1"/>
      <c r="AA2990" s="1"/>
      <c r="AB2990" s="1"/>
      <c r="AC2990" s="1"/>
      <c r="AD2990" s="1"/>
    </row>
    <row r="2991" spans="17:30">
      <c r="Q2991" s="6">
        <v>2961</v>
      </c>
      <c r="R2991" s="7">
        <v>45628</v>
      </c>
      <c r="S2991" s="210">
        <v>4</v>
      </c>
      <c r="T2991" s="8">
        <v>1.0001111111111112</v>
      </c>
      <c r="U2991" s="98">
        <v>3.8855720994549259</v>
      </c>
      <c r="V2991" s="106">
        <v>33078.585206883385</v>
      </c>
      <c r="W2991" s="10">
        <v>0.96623612891273414</v>
      </c>
      <c r="X2991" s="420"/>
      <c r="Y2991" s="420"/>
      <c r="Z2991" s="1"/>
      <c r="AA2991" s="1"/>
      <c r="AB2991" s="1"/>
      <c r="AC2991" s="1"/>
      <c r="AD2991" s="1"/>
    </row>
    <row r="2992" spans="17:30">
      <c r="Q2992" s="6">
        <v>2962</v>
      </c>
      <c r="R2992" s="7">
        <v>45629</v>
      </c>
      <c r="S2992" s="210">
        <v>4</v>
      </c>
      <c r="T2992" s="8">
        <v>1.0001111111111112</v>
      </c>
      <c r="U2992" s="98">
        <v>3.8856574478179917</v>
      </c>
      <c r="V2992" s="106">
        <v>33081.246763138501</v>
      </c>
      <c r="W2992" s="10">
        <v>0.96628964637925918</v>
      </c>
      <c r="X2992" s="420"/>
      <c r="Y2992" s="420"/>
      <c r="Z2992" s="1"/>
      <c r="AA2992" s="1"/>
      <c r="AB2992" s="1"/>
      <c r="AC2992" s="1"/>
      <c r="AD2992" s="1"/>
    </row>
    <row r="2993" spans="17:30">
      <c r="Q2993" s="6">
        <v>2963</v>
      </c>
      <c r="R2993" s="7">
        <v>45630</v>
      </c>
      <c r="S2993" s="210">
        <v>4</v>
      </c>
      <c r="T2993" s="8">
        <v>1.0001111111111112</v>
      </c>
      <c r="U2993" s="98">
        <v>3.8857427386416843</v>
      </c>
      <c r="V2993" s="106">
        <v>33083.908533546724</v>
      </c>
      <c r="W2993" s="10">
        <v>0.96634312775027986</v>
      </c>
      <c r="X2993" s="420"/>
      <c r="Y2993" s="420"/>
      <c r="Z2993" s="1"/>
      <c r="AA2993" s="1"/>
      <c r="AB2993" s="1"/>
      <c r="AC2993" s="1"/>
      <c r="AD2993" s="1"/>
    </row>
    <row r="2994" spans="17:30">
      <c r="Q2994" s="6">
        <v>2964</v>
      </c>
      <c r="R2994" s="7">
        <v>45631</v>
      </c>
      <c r="S2994" s="210">
        <v>4</v>
      </c>
      <c r="T2994" s="8">
        <v>1.0001111111111112</v>
      </c>
      <c r="U2994" s="98">
        <v>3.8858279719841571</v>
      </c>
      <c r="V2994" s="106">
        <v>33086.570518125271</v>
      </c>
      <c r="W2994" s="10">
        <v>0.96639657306227811</v>
      </c>
      <c r="X2994" s="420"/>
      <c r="Y2994" s="420"/>
      <c r="Z2994" s="1"/>
      <c r="AA2994" s="1"/>
      <c r="AB2994" s="1"/>
      <c r="AC2994" s="1"/>
      <c r="AD2994" s="1"/>
    </row>
    <row r="2995" spans="17:30">
      <c r="Q2995" s="6">
        <v>2965</v>
      </c>
      <c r="R2995" s="7">
        <v>45632</v>
      </c>
      <c r="S2995" s="210">
        <v>4</v>
      </c>
      <c r="T2995" s="8">
        <v>1.0001111111111112</v>
      </c>
      <c r="U2995" s="98">
        <v>3.8859131479035192</v>
      </c>
      <c r="V2995" s="106">
        <v>33089.232716891398</v>
      </c>
      <c r="W2995" s="10">
        <v>0.96644998235175805</v>
      </c>
      <c r="X2995" s="420"/>
      <c r="Y2995" s="420"/>
      <c r="Z2995" s="1"/>
      <c r="AA2995" s="1"/>
      <c r="AB2995" s="1"/>
      <c r="AC2995" s="1"/>
      <c r="AD2995" s="1"/>
    </row>
    <row r="2996" spans="17:30">
      <c r="Q2996" s="6">
        <v>2966</v>
      </c>
      <c r="R2996" s="7">
        <v>45633</v>
      </c>
      <c r="S2996" s="210">
        <v>4</v>
      </c>
      <c r="T2996" s="8">
        <v>1.0001111111111112</v>
      </c>
      <c r="U2996" s="98">
        <v>3.8859982664577686</v>
      </c>
      <c r="V2996" s="106">
        <v>33091.895129862321</v>
      </c>
      <c r="W2996" s="10">
        <v>0.96650335565511281</v>
      </c>
      <c r="X2996" s="420"/>
      <c r="Y2996" s="420"/>
      <c r="Z2996" s="1"/>
      <c r="AA2996" s="1"/>
      <c r="AB2996" s="1"/>
      <c r="AC2996" s="1"/>
      <c r="AD2996" s="1"/>
    </row>
    <row r="2997" spans="17:30">
      <c r="Q2997" s="6">
        <v>2967</v>
      </c>
      <c r="R2997" s="7">
        <v>45634</v>
      </c>
      <c r="S2997" s="210">
        <v>4</v>
      </c>
      <c r="T2997" s="8">
        <v>1.0001111111111112</v>
      </c>
      <c r="U2997" s="98">
        <v>3.8860833277048368</v>
      </c>
      <c r="V2997" s="106">
        <v>33094.557757055278</v>
      </c>
      <c r="W2997" s="10">
        <v>0.96655669300866887</v>
      </c>
      <c r="X2997" s="420"/>
      <c r="Y2997" s="420"/>
      <c r="Z2997" s="1"/>
      <c r="AA2997" s="1"/>
      <c r="AB2997" s="1"/>
      <c r="AC2997" s="1"/>
      <c r="AD2997" s="1"/>
    </row>
    <row r="2998" spans="17:30">
      <c r="Q2998" s="6">
        <v>2968</v>
      </c>
      <c r="R2998" s="7">
        <v>45635</v>
      </c>
      <c r="S2998" s="210">
        <v>4</v>
      </c>
      <c r="T2998" s="8">
        <v>1.0001111111111112</v>
      </c>
      <c r="U2998" s="98">
        <v>3.8861683317025886</v>
      </c>
      <c r="V2998" s="106">
        <v>33097.220598487511</v>
      </c>
      <c r="W2998" s="10">
        <v>0.96660999444879714</v>
      </c>
      <c r="X2998" s="420"/>
      <c r="Y2998" s="420"/>
      <c r="Z2998" s="1"/>
      <c r="AA2998" s="1"/>
      <c r="AB2998" s="1"/>
      <c r="AC2998" s="1"/>
      <c r="AD2998" s="1"/>
    </row>
    <row r="2999" spans="17:30">
      <c r="Q2999" s="6">
        <v>2969</v>
      </c>
      <c r="R2999" s="7">
        <v>45636</v>
      </c>
      <c r="S2999" s="210">
        <v>4</v>
      </c>
      <c r="T2999" s="8">
        <v>1.0001111111111112</v>
      </c>
      <c r="U2999" s="98">
        <v>3.8862532785087778</v>
      </c>
      <c r="V2999" s="106">
        <v>33099.883654176258</v>
      </c>
      <c r="W2999" s="10">
        <v>0.96666326001166869</v>
      </c>
      <c r="X2999" s="420"/>
      <c r="Y2999" s="420"/>
      <c r="Z2999" s="1"/>
      <c r="AA2999" s="1"/>
      <c r="AB2999" s="1"/>
      <c r="AC2999" s="1"/>
      <c r="AD2999" s="1"/>
    </row>
    <row r="3000" spans="17:30">
      <c r="Q3000" s="6">
        <v>2970</v>
      </c>
      <c r="R3000" s="7">
        <v>45637</v>
      </c>
      <c r="S3000" s="210">
        <v>4</v>
      </c>
      <c r="T3000" s="8">
        <v>1.0001111111111112</v>
      </c>
      <c r="U3000" s="98">
        <v>3.886338168181136</v>
      </c>
      <c r="V3000" s="106">
        <v>33102.546924138747</v>
      </c>
      <c r="W3000" s="10">
        <v>0.96671648973358781</v>
      </c>
      <c r="X3000" s="420"/>
      <c r="Y3000" s="420"/>
      <c r="Z3000" s="1"/>
      <c r="AA3000" s="1"/>
      <c r="AB3000" s="1"/>
      <c r="AC3000" s="1"/>
      <c r="AD3000" s="1"/>
    </row>
    <row r="3001" spans="17:30">
      <c r="Q3001" s="6">
        <v>2971</v>
      </c>
      <c r="R3001" s="7">
        <v>45638</v>
      </c>
      <c r="S3001" s="210">
        <v>4</v>
      </c>
      <c r="T3001" s="8">
        <v>1.0001111111111112</v>
      </c>
      <c r="U3001" s="98">
        <v>3.8864230007772615</v>
      </c>
      <c r="V3001" s="106">
        <v>33105.210408392239</v>
      </c>
      <c r="W3001" s="10">
        <v>0.96676968365065896</v>
      </c>
      <c r="X3001" s="420"/>
      <c r="Y3001" s="420"/>
      <c r="Z3001" s="1"/>
      <c r="AA3001" s="1"/>
      <c r="AB3001" s="1"/>
      <c r="AC3001" s="1"/>
      <c r="AD3001" s="1"/>
    </row>
    <row r="3002" spans="17:30">
      <c r="Q3002" s="6">
        <v>2972</v>
      </c>
      <c r="R3002" s="7">
        <v>45639</v>
      </c>
      <c r="S3002" s="210">
        <v>4</v>
      </c>
      <c r="T3002" s="8">
        <v>1.0001111111111112</v>
      </c>
      <c r="U3002" s="98">
        <v>3.8865077763547085</v>
      </c>
      <c r="V3002" s="106">
        <v>33107.874106953961</v>
      </c>
      <c r="W3002" s="10">
        <v>0.96682284179900879</v>
      </c>
      <c r="X3002" s="420"/>
      <c r="Y3002" s="420"/>
      <c r="Z3002" s="1"/>
      <c r="AA3002" s="1"/>
      <c r="AB3002" s="1"/>
      <c r="AC3002" s="1"/>
      <c r="AD3002" s="1"/>
    </row>
    <row r="3003" spans="17:30">
      <c r="Q3003" s="6">
        <v>2973</v>
      </c>
      <c r="R3003" s="7">
        <v>45640</v>
      </c>
      <c r="S3003" s="210">
        <v>4</v>
      </c>
      <c r="T3003" s="8">
        <v>1.0001111111111112</v>
      </c>
      <c r="U3003" s="98">
        <v>3.8865924949709418</v>
      </c>
      <c r="V3003" s="106">
        <v>33110.538019841159</v>
      </c>
      <c r="W3003" s="10">
        <v>0.96687596421471955</v>
      </c>
      <c r="X3003" s="420"/>
      <c r="Y3003" s="420"/>
      <c r="Z3003" s="1"/>
      <c r="AA3003" s="1"/>
      <c r="AB3003" s="1"/>
      <c r="AC3003" s="1"/>
      <c r="AD3003" s="1"/>
    </row>
    <row r="3004" spans="17:30">
      <c r="Q3004" s="6">
        <v>2974</v>
      </c>
      <c r="R3004" s="7">
        <v>45641</v>
      </c>
      <c r="S3004" s="210">
        <v>4</v>
      </c>
      <c r="T3004" s="8">
        <v>1.0001111111111112</v>
      </c>
      <c r="U3004" s="98">
        <v>3.8866771566833602</v>
      </c>
      <c r="V3004" s="106">
        <v>33113.202147071075</v>
      </c>
      <c r="W3004" s="10">
        <v>0.96692905093378467</v>
      </c>
      <c r="X3004" s="420"/>
      <c r="Y3004" s="420"/>
      <c r="Z3004" s="1"/>
      <c r="AA3004" s="1"/>
      <c r="AB3004" s="1"/>
      <c r="AC3004" s="1"/>
      <c r="AD3004" s="1"/>
    </row>
    <row r="3005" spans="17:30">
      <c r="Q3005" s="6">
        <v>2975</v>
      </c>
      <c r="R3005" s="7">
        <v>45642</v>
      </c>
      <c r="S3005" s="210">
        <v>4</v>
      </c>
      <c r="T3005" s="8">
        <v>1.0001111111111112</v>
      </c>
      <c r="U3005" s="98">
        <v>3.8867617615492511</v>
      </c>
      <c r="V3005" s="106">
        <v>33115.866488660962</v>
      </c>
      <c r="W3005" s="10">
        <v>0.96698210199219758</v>
      </c>
      <c r="X3005" s="420"/>
      <c r="Y3005" s="420"/>
      <c r="Z3005" s="1"/>
      <c r="AA3005" s="1"/>
      <c r="AB3005" s="1"/>
      <c r="AC3005" s="1"/>
      <c r="AD3005" s="1"/>
    </row>
    <row r="3006" spans="17:30">
      <c r="Q3006" s="6">
        <v>2976</v>
      </c>
      <c r="R3006" s="7">
        <v>45643</v>
      </c>
      <c r="S3006" s="210">
        <v>4</v>
      </c>
      <c r="T3006" s="8">
        <v>1.0001111111111112</v>
      </c>
      <c r="U3006" s="98">
        <v>3.8868463096258798</v>
      </c>
      <c r="V3006" s="106">
        <v>33118.531044628071</v>
      </c>
      <c r="W3006" s="10">
        <v>0.9670351174258629</v>
      </c>
      <c r="X3006" s="420"/>
      <c r="Y3006" s="420"/>
      <c r="Z3006" s="1"/>
      <c r="AA3006" s="1"/>
      <c r="AB3006" s="1"/>
      <c r="AC3006" s="1"/>
      <c r="AD3006" s="1"/>
    </row>
    <row r="3007" spans="17:30">
      <c r="Q3007" s="6">
        <v>2977</v>
      </c>
      <c r="R3007" s="7">
        <v>45644</v>
      </c>
      <c r="S3007" s="210">
        <v>4</v>
      </c>
      <c r="T3007" s="8">
        <v>1.0001111111111112</v>
      </c>
      <c r="U3007" s="98">
        <v>3.8869308009703785</v>
      </c>
      <c r="V3007" s="106">
        <v>33121.195814989645</v>
      </c>
      <c r="W3007" s="10">
        <v>0.96708809727064082</v>
      </c>
      <c r="X3007" s="420"/>
      <c r="Y3007" s="420"/>
      <c r="Z3007" s="1"/>
      <c r="AA3007" s="1"/>
      <c r="AB3007" s="1"/>
      <c r="AC3007" s="1"/>
      <c r="AD3007" s="1"/>
    </row>
    <row r="3008" spans="17:30">
      <c r="Q3008" s="6">
        <v>2978</v>
      </c>
      <c r="R3008" s="7">
        <v>45645</v>
      </c>
      <c r="S3008" s="210">
        <v>4</v>
      </c>
      <c r="T3008" s="8">
        <v>1.0001111111111112</v>
      </c>
      <c r="U3008" s="98">
        <v>3.8870152356398568</v>
      </c>
      <c r="V3008" s="106">
        <v>33123.86079976293</v>
      </c>
      <c r="W3008" s="10">
        <v>0.96714104156236935</v>
      </c>
      <c r="X3008" s="420"/>
      <c r="Y3008" s="420"/>
      <c r="Z3008" s="1"/>
      <c r="AA3008" s="1"/>
      <c r="AB3008" s="1"/>
      <c r="AC3008" s="1"/>
      <c r="AD3008" s="1"/>
    </row>
    <row r="3009" spans="17:30">
      <c r="Q3009" s="6">
        <v>2979</v>
      </c>
      <c r="R3009" s="7">
        <v>45646</v>
      </c>
      <c r="S3009" s="210">
        <v>4</v>
      </c>
      <c r="T3009" s="8">
        <v>1.0001111111111112</v>
      </c>
      <c r="U3009" s="98">
        <v>3.8870996136912916</v>
      </c>
      <c r="V3009" s="106">
        <v>33126.52599896519</v>
      </c>
      <c r="W3009" s="10">
        <v>0.96719395033681987</v>
      </c>
      <c r="X3009" s="420"/>
      <c r="Y3009" s="420"/>
      <c r="Z3009" s="1"/>
      <c r="AA3009" s="1"/>
      <c r="AB3009" s="1"/>
      <c r="AC3009" s="1"/>
      <c r="AD3009" s="1"/>
    </row>
    <row r="3010" spans="17:30">
      <c r="Q3010" s="6">
        <v>2980</v>
      </c>
      <c r="R3010" s="7">
        <v>45647</v>
      </c>
      <c r="S3010" s="210">
        <v>4</v>
      </c>
      <c r="T3010" s="8">
        <v>1.0001111111111112</v>
      </c>
      <c r="U3010" s="98">
        <v>3.8871839351816373</v>
      </c>
      <c r="V3010" s="106">
        <v>33129.191412613662</v>
      </c>
      <c r="W3010" s="10">
        <v>0.96724682362974157</v>
      </c>
      <c r="X3010" s="420"/>
      <c r="Y3010" s="420"/>
      <c r="Z3010" s="1"/>
      <c r="AA3010" s="1"/>
      <c r="AB3010" s="1"/>
      <c r="AC3010" s="1"/>
      <c r="AD3010" s="1"/>
    </row>
    <row r="3011" spans="17:30">
      <c r="Q3011" s="6">
        <v>2981</v>
      </c>
      <c r="R3011" s="7">
        <v>45648</v>
      </c>
      <c r="S3011" s="210">
        <v>4</v>
      </c>
      <c r="T3011" s="8">
        <v>1.0001111111111112</v>
      </c>
      <c r="U3011" s="98">
        <v>3.887268200167715</v>
      </c>
      <c r="V3011" s="106">
        <v>33131.857040725619</v>
      </c>
      <c r="W3011" s="10">
        <v>0.9672996614767726</v>
      </c>
      <c r="X3011" s="420"/>
      <c r="Y3011" s="420"/>
      <c r="Z3011" s="1"/>
      <c r="AA3011" s="1"/>
      <c r="AB3011" s="1"/>
      <c r="AC3011" s="1"/>
      <c r="AD3011" s="1"/>
    </row>
    <row r="3012" spans="17:30">
      <c r="Q3012" s="6">
        <v>2982</v>
      </c>
      <c r="R3012" s="7">
        <v>45649</v>
      </c>
      <c r="S3012" s="210">
        <v>4</v>
      </c>
      <c r="T3012" s="8">
        <v>1.0001111111111112</v>
      </c>
      <c r="U3012" s="98">
        <v>3.8873524087063238</v>
      </c>
      <c r="V3012" s="106">
        <v>33134.522883318299</v>
      </c>
      <c r="W3012" s="10">
        <v>0.96735246391357332</v>
      </c>
      <c r="X3012" s="420"/>
      <c r="Y3012" s="420"/>
      <c r="Z3012" s="1"/>
      <c r="AA3012" s="1"/>
      <c r="AB3012" s="1"/>
      <c r="AC3012" s="1"/>
      <c r="AD3012" s="1"/>
    </row>
    <row r="3013" spans="17:30">
      <c r="Q3013" s="6">
        <v>2983</v>
      </c>
      <c r="R3013" s="7">
        <v>45650</v>
      </c>
      <c r="S3013" s="210">
        <v>4</v>
      </c>
      <c r="T3013" s="8">
        <v>1.0001111111111112</v>
      </c>
      <c r="U3013" s="98">
        <v>3.8874365608541739</v>
      </c>
      <c r="V3013" s="106">
        <v>33137.188940408974</v>
      </c>
      <c r="W3013" s="10">
        <v>0.9674052309757375</v>
      </c>
      <c r="X3013" s="420"/>
      <c r="Y3013" s="420"/>
      <c r="Z3013" s="1"/>
      <c r="AA3013" s="1"/>
      <c r="AB3013" s="1"/>
      <c r="AC3013" s="1"/>
      <c r="AD3013" s="1"/>
    </row>
    <row r="3014" spans="17:30">
      <c r="Q3014" s="6">
        <v>2984</v>
      </c>
      <c r="R3014" s="7">
        <v>45651</v>
      </c>
      <c r="S3014" s="210">
        <v>4</v>
      </c>
      <c r="T3014" s="8">
        <v>1.0001111111111112</v>
      </c>
      <c r="U3014" s="98">
        <v>3.8875206566678644</v>
      </c>
      <c r="V3014" s="106">
        <v>33139.855212014903</v>
      </c>
      <c r="W3014" s="10">
        <v>0.96745796269877005</v>
      </c>
      <c r="X3014" s="420"/>
      <c r="Y3014" s="420"/>
      <c r="Z3014" s="1"/>
      <c r="AA3014" s="1"/>
      <c r="AB3014" s="1"/>
      <c r="AC3014" s="1"/>
      <c r="AD3014" s="1"/>
    </row>
    <row r="3015" spans="17:30">
      <c r="Q3015" s="6">
        <v>2985</v>
      </c>
      <c r="R3015" s="7">
        <v>45652</v>
      </c>
      <c r="S3015" s="210">
        <v>4</v>
      </c>
      <c r="T3015" s="8">
        <v>1.0001111111111112</v>
      </c>
      <c r="U3015" s="98">
        <v>3.8876046962039723</v>
      </c>
      <c r="V3015" s="106">
        <v>33142.52169815333</v>
      </c>
      <c r="W3015" s="10">
        <v>0.96751065911817591</v>
      </c>
      <c r="X3015" s="420"/>
      <c r="Y3015" s="420"/>
      <c r="Z3015" s="1"/>
      <c r="AA3015" s="1"/>
      <c r="AB3015" s="1"/>
      <c r="AC3015" s="1"/>
      <c r="AD3015" s="1"/>
    </row>
    <row r="3016" spans="17:30">
      <c r="Q3016" s="6">
        <v>2986</v>
      </c>
      <c r="R3016" s="7">
        <v>45653</v>
      </c>
      <c r="S3016" s="210">
        <v>4</v>
      </c>
      <c r="T3016" s="8">
        <v>1.0001111111111112</v>
      </c>
      <c r="U3016" s="98">
        <v>3.8876886795189414</v>
      </c>
      <c r="V3016" s="106">
        <v>33145.188398841536</v>
      </c>
      <c r="W3016" s="10">
        <v>0.96756332026941561</v>
      </c>
      <c r="X3016" s="420"/>
      <c r="Y3016" s="420"/>
      <c r="Z3016" s="1"/>
      <c r="AA3016" s="1"/>
      <c r="AB3016" s="1"/>
      <c r="AC3016" s="1"/>
      <c r="AD3016" s="1"/>
    </row>
    <row r="3017" spans="17:30">
      <c r="Q3017" s="6">
        <v>2987</v>
      </c>
      <c r="R3017" s="7">
        <v>45654</v>
      </c>
      <c r="S3017" s="210">
        <v>4</v>
      </c>
      <c r="T3017" s="8">
        <v>1.0001111111111112</v>
      </c>
      <c r="U3017" s="98">
        <v>3.8877726066691931</v>
      </c>
      <c r="V3017" s="106">
        <v>33147.855314096771</v>
      </c>
      <c r="W3017" s="10">
        <v>0.96761594618783864</v>
      </c>
      <c r="X3017" s="420"/>
      <c r="Y3017" s="420"/>
      <c r="Z3017" s="1"/>
      <c r="AA3017" s="1"/>
      <c r="AB3017" s="1"/>
      <c r="AC3017" s="1"/>
      <c r="AD3017" s="1"/>
    </row>
    <row r="3018" spans="17:30">
      <c r="Q3018" s="6">
        <v>2988</v>
      </c>
      <c r="R3018" s="7">
        <v>45655</v>
      </c>
      <c r="S3018" s="210">
        <v>4</v>
      </c>
      <c r="T3018" s="8">
        <v>1.0001111111111112</v>
      </c>
      <c r="U3018" s="98">
        <v>3.887856477711038</v>
      </c>
      <c r="V3018" s="106">
        <v>33150.522443936301</v>
      </c>
      <c r="W3018" s="10">
        <v>0.96766853690883892</v>
      </c>
      <c r="X3018" s="420"/>
      <c r="Y3018" s="420"/>
      <c r="Z3018" s="1"/>
      <c r="AA3018" s="1"/>
      <c r="AB3018" s="1"/>
      <c r="AC3018" s="1"/>
      <c r="AD3018" s="1"/>
    </row>
    <row r="3019" spans="17:30">
      <c r="Q3019" s="6">
        <v>2989</v>
      </c>
      <c r="R3019" s="7">
        <v>45656</v>
      </c>
      <c r="S3019" s="210">
        <v>4</v>
      </c>
      <c r="T3019" s="8">
        <v>1.0001111111111112</v>
      </c>
      <c r="U3019" s="98">
        <v>3.8879402927007201</v>
      </c>
      <c r="V3019" s="106">
        <v>33153.1897883774</v>
      </c>
      <c r="W3019" s="10">
        <v>0.96772109246769933</v>
      </c>
      <c r="X3019" s="420"/>
      <c r="Y3019" s="420"/>
      <c r="Z3019" s="1"/>
      <c r="AA3019" s="1"/>
      <c r="AB3019" s="1"/>
      <c r="AC3019" s="1"/>
      <c r="AD3019" s="1"/>
    </row>
    <row r="3020" spans="17:30">
      <c r="Q3020" s="6">
        <v>2990</v>
      </c>
      <c r="R3020" s="7">
        <v>45657</v>
      </c>
      <c r="S3020" s="210">
        <v>4</v>
      </c>
      <c r="T3020" s="8">
        <v>1.0001111111111112</v>
      </c>
      <c r="U3020" s="98">
        <v>3.8880240516944164</v>
      </c>
      <c r="V3020" s="106">
        <v>33155.857347437333</v>
      </c>
      <c r="W3020" s="10">
        <v>0.96777361289965835</v>
      </c>
      <c r="X3020" s="420"/>
      <c r="Y3020" s="420"/>
      <c r="Z3020" s="1"/>
      <c r="AA3020" s="1"/>
      <c r="AB3020" s="1"/>
      <c r="AC3020" s="1"/>
      <c r="AD3020" s="1"/>
    </row>
    <row r="3021" spans="17:30">
      <c r="Q3021" s="6">
        <v>2991</v>
      </c>
      <c r="R3021" s="7">
        <v>45658</v>
      </c>
      <c r="S3021" s="210">
        <v>4</v>
      </c>
      <c r="T3021" s="8">
        <v>1.0001111111111112</v>
      </c>
      <c r="U3021" s="98">
        <v>3.8881077547482379</v>
      </c>
      <c r="V3021" s="106">
        <v>33158.52512113336</v>
      </c>
      <c r="W3021" s="10">
        <v>0.96782609823993226</v>
      </c>
      <c r="X3021" s="420"/>
      <c r="Y3021" s="420"/>
      <c r="Z3021" s="1"/>
      <c r="AA3021" s="1"/>
      <c r="AB3021" s="1"/>
      <c r="AC3021" s="1"/>
      <c r="AD3021" s="1"/>
    </row>
    <row r="3022" spans="17:30">
      <c r="Q3022" s="6">
        <v>2992</v>
      </c>
      <c r="R3022" s="7">
        <v>45659</v>
      </c>
      <c r="S3022" s="210">
        <v>4</v>
      </c>
      <c r="T3022" s="8">
        <v>1.0001111111111112</v>
      </c>
      <c r="U3022" s="98">
        <v>3.888191401918184</v>
      </c>
      <c r="V3022" s="106">
        <v>33161.193109482752</v>
      </c>
      <c r="W3022" s="10">
        <v>0.96787854852369293</v>
      </c>
      <c r="X3022" s="420"/>
      <c r="Y3022" s="420"/>
      <c r="Z3022" s="1"/>
      <c r="AA3022" s="1"/>
      <c r="AB3022" s="1"/>
      <c r="AC3022" s="1"/>
      <c r="AD3022" s="1"/>
    </row>
    <row r="3023" spans="17:30">
      <c r="Q3023" s="6">
        <v>2993</v>
      </c>
      <c r="R3023" s="7">
        <v>45660</v>
      </c>
      <c r="S3023" s="210">
        <v>4</v>
      </c>
      <c r="T3023" s="8">
        <v>1.0001111111111112</v>
      </c>
      <c r="U3023" s="98">
        <v>3.8882749932602101</v>
      </c>
      <c r="V3023" s="106">
        <v>33163.861312502799</v>
      </c>
      <c r="W3023" s="10">
        <v>0.96793096378600119</v>
      </c>
      <c r="X3023" s="420"/>
      <c r="Y3023" s="420"/>
      <c r="Z3023" s="1"/>
      <c r="AA3023" s="1"/>
      <c r="AB3023" s="1"/>
      <c r="AC3023" s="1"/>
      <c r="AD3023" s="1"/>
    </row>
    <row r="3024" spans="17:30">
      <c r="Q3024" s="6">
        <v>2994</v>
      </c>
      <c r="R3024" s="7">
        <v>45661</v>
      </c>
      <c r="S3024" s="210">
        <v>4</v>
      </c>
      <c r="T3024" s="8">
        <v>1.0001111111111112</v>
      </c>
      <c r="U3024" s="98">
        <v>3.8883585288301825</v>
      </c>
      <c r="V3024" s="106">
        <v>33166.52973021075</v>
      </c>
      <c r="W3024" s="10">
        <v>0.9679833440619845</v>
      </c>
      <c r="X3024" s="420"/>
      <c r="Y3024" s="420"/>
      <c r="Z3024" s="1"/>
      <c r="AA3024" s="1"/>
      <c r="AB3024" s="1"/>
      <c r="AC3024" s="1"/>
      <c r="AD3024" s="1"/>
    </row>
    <row r="3025" spans="17:30">
      <c r="Q3025" s="6">
        <v>2995</v>
      </c>
      <c r="R3025" s="7">
        <v>45662</v>
      </c>
      <c r="S3025" s="210">
        <v>4</v>
      </c>
      <c r="T3025" s="8">
        <v>1.0001111111111112</v>
      </c>
      <c r="U3025" s="98">
        <v>3.8884420086839233</v>
      </c>
      <c r="V3025" s="106">
        <v>33169.198362623887</v>
      </c>
      <c r="W3025" s="10">
        <v>0.96803568938663709</v>
      </c>
      <c r="X3025" s="420"/>
      <c r="Y3025" s="420"/>
      <c r="Z3025" s="1"/>
      <c r="AA3025" s="1"/>
      <c r="AB3025" s="1"/>
      <c r="AC3025" s="1"/>
      <c r="AD3025" s="1"/>
    </row>
    <row r="3026" spans="17:30">
      <c r="Q3026" s="6">
        <v>2996</v>
      </c>
      <c r="R3026" s="7">
        <v>45663</v>
      </c>
      <c r="S3026" s="210">
        <v>4</v>
      </c>
      <c r="T3026" s="8">
        <v>1.0001111111111112</v>
      </c>
      <c r="U3026" s="98">
        <v>3.8885254328771213</v>
      </c>
      <c r="V3026" s="106">
        <v>33171.867209759483</v>
      </c>
      <c r="W3026" s="10">
        <v>0.96808799979490878</v>
      </c>
      <c r="X3026" s="420"/>
      <c r="Y3026" s="420"/>
      <c r="Z3026" s="1"/>
      <c r="AA3026" s="1"/>
      <c r="AB3026" s="1"/>
      <c r="AC3026" s="1"/>
      <c r="AD3026" s="1"/>
    </row>
    <row r="3027" spans="17:30">
      <c r="Q3027" s="6">
        <v>2997</v>
      </c>
      <c r="R3027" s="7">
        <v>45664</v>
      </c>
      <c r="S3027" s="210">
        <v>4</v>
      </c>
      <c r="T3027" s="8">
        <v>1.0001111111111112</v>
      </c>
      <c r="U3027" s="98">
        <v>3.888608801465443</v>
      </c>
      <c r="V3027" s="106">
        <v>33174.536271634832</v>
      </c>
      <c r="W3027" s="10">
        <v>0.9681402753217494</v>
      </c>
      <c r="X3027" s="420"/>
      <c r="Y3027" s="420"/>
      <c r="Z3027" s="1"/>
      <c r="AA3027" s="1"/>
      <c r="AB3027" s="1"/>
      <c r="AC3027" s="1"/>
      <c r="AD3027" s="1"/>
    </row>
    <row r="3028" spans="17:30">
      <c r="Q3028" s="6">
        <v>2998</v>
      </c>
      <c r="R3028" s="7">
        <v>45665</v>
      </c>
      <c r="S3028" s="210">
        <v>4</v>
      </c>
      <c r="T3028" s="8">
        <v>1.0001111111111112</v>
      </c>
      <c r="U3028" s="98">
        <v>3.8886921145044662</v>
      </c>
      <c r="V3028" s="106">
        <v>33177.205548267193</v>
      </c>
      <c r="W3028" s="10">
        <v>0.96819251600201994</v>
      </c>
      <c r="X3028" s="420"/>
      <c r="Y3028" s="420"/>
      <c r="Z3028" s="1"/>
      <c r="AA3028" s="1"/>
      <c r="AB3028" s="1"/>
      <c r="AC3028" s="1"/>
      <c r="AD3028" s="1"/>
    </row>
    <row r="3029" spans="17:30">
      <c r="Q3029" s="6">
        <v>2999</v>
      </c>
      <c r="R3029" s="7">
        <v>45666</v>
      </c>
      <c r="S3029" s="210">
        <v>4</v>
      </c>
      <c r="T3029" s="8">
        <v>1.0001111111111112</v>
      </c>
      <c r="U3029" s="98">
        <v>3.888775372049702</v>
      </c>
      <c r="V3029" s="106">
        <v>33179.875039673847</v>
      </c>
      <c r="W3029" s="10">
        <v>0.96824472187058142</v>
      </c>
      <c r="X3029" s="420"/>
      <c r="Y3029" s="420"/>
      <c r="Z3029" s="1"/>
      <c r="AA3029" s="1"/>
      <c r="AB3029" s="1"/>
      <c r="AC3029" s="1"/>
      <c r="AD3029" s="1"/>
    </row>
    <row r="3030" spans="17:30">
      <c r="Q3030" s="6">
        <v>3000</v>
      </c>
      <c r="R3030" s="7">
        <v>45667</v>
      </c>
      <c r="S3030" s="210">
        <v>4</v>
      </c>
      <c r="T3030" s="8">
        <v>1.0001111111111112</v>
      </c>
      <c r="U3030" s="98">
        <v>3.8888585741565507</v>
      </c>
      <c r="V3030" s="106">
        <v>33182.544745872088</v>
      </c>
      <c r="W3030" s="10">
        <v>0.9682968929621838</v>
      </c>
      <c r="X3030" s="420"/>
      <c r="Y3030" s="420"/>
      <c r="Z3030" s="1"/>
      <c r="AA3030" s="1"/>
      <c r="AB3030" s="1"/>
      <c r="AC3030" s="1"/>
      <c r="AD3030" s="1"/>
    </row>
    <row r="3031" spans="17:30">
      <c r="Q3031" s="6">
        <v>3001</v>
      </c>
      <c r="R3031" s="7">
        <v>45668</v>
      </c>
      <c r="S3031" s="210">
        <v>4</v>
      </c>
      <c r="T3031" s="8">
        <v>1.0001111111111112</v>
      </c>
      <c r="U3031" s="98">
        <v>3.88894172088039</v>
      </c>
      <c r="V3031" s="106">
        <v>33185.214666879183</v>
      </c>
      <c r="W3031" s="10">
        <v>0.96834902931157707</v>
      </c>
      <c r="X3031" s="420"/>
      <c r="Y3031" s="420"/>
      <c r="Z3031" s="1"/>
      <c r="AA3031" s="1"/>
      <c r="AB3031" s="1"/>
      <c r="AC3031" s="1"/>
      <c r="AD3031" s="1"/>
    </row>
    <row r="3032" spans="17:30">
      <c r="Q3032" s="6">
        <v>3002</v>
      </c>
      <c r="R3032" s="7">
        <v>45669</v>
      </c>
      <c r="S3032" s="210">
        <v>4</v>
      </c>
      <c r="T3032" s="8">
        <v>1.0001111111111112</v>
      </c>
      <c r="U3032" s="98">
        <v>3.889024812276487</v>
      </c>
      <c r="V3032" s="106">
        <v>33187.884802712433</v>
      </c>
      <c r="W3032" s="10">
        <v>0.9684011309534668</v>
      </c>
      <c r="X3032" s="420"/>
      <c r="Y3032" s="420"/>
      <c r="Z3032" s="1"/>
      <c r="AA3032" s="1"/>
      <c r="AB3032" s="1"/>
      <c r="AC3032" s="1"/>
      <c r="AD3032" s="1"/>
    </row>
    <row r="3033" spans="17:30">
      <c r="Q3033" s="6">
        <v>3003</v>
      </c>
      <c r="R3033" s="7">
        <v>45670</v>
      </c>
      <c r="S3033" s="210">
        <v>4</v>
      </c>
      <c r="T3033" s="8">
        <v>1.0001111111111112</v>
      </c>
      <c r="U3033" s="98">
        <v>3.8891078484000419</v>
      </c>
      <c r="V3033" s="106">
        <v>33190.555153389105</v>
      </c>
      <c r="W3033" s="10">
        <v>0.96845319792246976</v>
      </c>
      <c r="X3033" s="420"/>
      <c r="Y3033" s="420"/>
      <c r="Z3033" s="1"/>
      <c r="AA3033" s="1"/>
      <c r="AB3033" s="1"/>
      <c r="AC3033" s="1"/>
      <c r="AD3033" s="1"/>
    </row>
    <row r="3034" spans="17:30">
      <c r="Q3034" s="6">
        <v>3004</v>
      </c>
      <c r="R3034" s="7">
        <v>45671</v>
      </c>
      <c r="S3034" s="210">
        <v>4</v>
      </c>
      <c r="T3034" s="8">
        <v>1.0001111111111112</v>
      </c>
      <c r="U3034" s="98">
        <v>3.8891908293061883</v>
      </c>
      <c r="V3034" s="106">
        <v>33193.2257189265</v>
      </c>
      <c r="W3034" s="10">
        <v>0.96850523025318047</v>
      </c>
      <c r="X3034" s="420"/>
      <c r="Y3034" s="420"/>
      <c r="Z3034" s="1"/>
      <c r="AA3034" s="1"/>
      <c r="AB3034" s="1"/>
      <c r="AC3034" s="1"/>
      <c r="AD3034" s="1"/>
    </row>
    <row r="3035" spans="17:30">
      <c r="Q3035" s="6">
        <v>3005</v>
      </c>
      <c r="R3035" s="7">
        <v>45672</v>
      </c>
      <c r="S3035" s="210">
        <v>4</v>
      </c>
      <c r="T3035" s="8">
        <v>1.0001111111111112</v>
      </c>
      <c r="U3035" s="98">
        <v>3.8892737550500156</v>
      </c>
      <c r="V3035" s="106">
        <v>33195.896499341899</v>
      </c>
      <c r="W3035" s="10">
        <v>0.96855722798021571</v>
      </c>
      <c r="X3035" s="420"/>
      <c r="Y3035" s="420"/>
      <c r="Z3035" s="1"/>
      <c r="AA3035" s="1"/>
      <c r="AB3035" s="1"/>
      <c r="AC3035" s="1"/>
      <c r="AD3035" s="1"/>
    </row>
    <row r="3036" spans="17:30">
      <c r="Q3036" s="6">
        <v>3006</v>
      </c>
      <c r="R3036" s="7">
        <v>45673</v>
      </c>
      <c r="S3036" s="210">
        <v>4</v>
      </c>
      <c r="T3036" s="8">
        <v>1.0001111111111112</v>
      </c>
      <c r="U3036" s="98">
        <v>3.8893566256864798</v>
      </c>
      <c r="V3036" s="106">
        <v>33198.567494652591</v>
      </c>
      <c r="W3036" s="10">
        <v>0.96860919113803678</v>
      </c>
      <c r="X3036" s="420"/>
      <c r="Y3036" s="420"/>
      <c r="Z3036" s="1"/>
      <c r="AA3036" s="1"/>
      <c r="AB3036" s="1"/>
      <c r="AC3036" s="1"/>
      <c r="AD3036" s="1"/>
    </row>
    <row r="3037" spans="17:30">
      <c r="Q3037" s="6">
        <v>3007</v>
      </c>
      <c r="R3037" s="7">
        <v>45674</v>
      </c>
      <c r="S3037" s="210">
        <v>4</v>
      </c>
      <c r="T3037" s="8">
        <v>1.0001111111111112</v>
      </c>
      <c r="U3037" s="98">
        <v>3.8894394412704925</v>
      </c>
      <c r="V3037" s="106">
        <v>33201.238704875868</v>
      </c>
      <c r="W3037" s="10">
        <v>0.96866111976110503</v>
      </c>
      <c r="X3037" s="420"/>
      <c r="Y3037" s="420"/>
      <c r="Z3037" s="1"/>
      <c r="AA3037" s="1"/>
      <c r="AB3037" s="1"/>
      <c r="AC3037" s="1"/>
      <c r="AD3037" s="1"/>
    </row>
    <row r="3038" spans="17:30">
      <c r="Q3038" s="6">
        <v>3008</v>
      </c>
      <c r="R3038" s="7">
        <v>45675</v>
      </c>
      <c r="S3038" s="210">
        <v>4</v>
      </c>
      <c r="T3038" s="8">
        <v>1.0001111111111112</v>
      </c>
      <c r="U3038" s="98">
        <v>3.8895222018568987</v>
      </c>
      <c r="V3038" s="106">
        <v>33203.910130029028</v>
      </c>
      <c r="W3038" s="10">
        <v>0.96871301388383735</v>
      </c>
      <c r="X3038" s="420"/>
      <c r="Y3038" s="420"/>
      <c r="Z3038" s="1"/>
      <c r="AA3038" s="1"/>
      <c r="AB3038" s="1"/>
      <c r="AC3038" s="1"/>
      <c r="AD3038" s="1"/>
    </row>
    <row r="3039" spans="17:30">
      <c r="Q3039" s="6">
        <v>3009</v>
      </c>
      <c r="R3039" s="7">
        <v>45676</v>
      </c>
      <c r="S3039" s="210">
        <v>4</v>
      </c>
      <c r="T3039" s="8">
        <v>1.0001111111111112</v>
      </c>
      <c r="U3039" s="98">
        <v>3.8896049075004768</v>
      </c>
      <c r="V3039" s="106">
        <v>33206.581770129349</v>
      </c>
      <c r="W3039" s="10">
        <v>0.96876487354062846</v>
      </c>
      <c r="X3039" s="420"/>
      <c r="Y3039" s="420"/>
      <c r="Z3039" s="1"/>
      <c r="AA3039" s="1"/>
      <c r="AB3039" s="1"/>
      <c r="AC3039" s="1"/>
      <c r="AD3039" s="1"/>
    </row>
    <row r="3040" spans="17:30">
      <c r="Q3040" s="6">
        <v>3010</v>
      </c>
      <c r="R3040" s="7">
        <v>45677</v>
      </c>
      <c r="S3040" s="210">
        <v>4</v>
      </c>
      <c r="T3040" s="8">
        <v>1.0001111111111112</v>
      </c>
      <c r="U3040" s="98">
        <v>3.8896875582559165</v>
      </c>
      <c r="V3040" s="106">
        <v>33209.253625194149</v>
      </c>
      <c r="W3040" s="10">
        <v>0.96881669876578425</v>
      </c>
      <c r="X3040" s="420"/>
      <c r="Y3040" s="420"/>
      <c r="Z3040" s="1"/>
      <c r="AA3040" s="1"/>
      <c r="AB3040" s="1"/>
      <c r="AC3040" s="1"/>
      <c r="AD3040" s="1"/>
    </row>
    <row r="3041" spans="17:30">
      <c r="Q3041" s="6">
        <v>3011</v>
      </c>
      <c r="R3041" s="7">
        <v>45678</v>
      </c>
      <c r="S3041" s="210">
        <v>4</v>
      </c>
      <c r="T3041" s="8">
        <v>1.0001111111111112</v>
      </c>
      <c r="U3041" s="98">
        <v>3.8897701541778407</v>
      </c>
      <c r="V3041" s="106">
        <v>33211.925695240701</v>
      </c>
      <c r="W3041" s="10">
        <v>0.9688684895935662</v>
      </c>
      <c r="X3041" s="420"/>
      <c r="Y3041" s="420"/>
      <c r="Z3041" s="1"/>
      <c r="AA3041" s="1"/>
      <c r="AB3041" s="1"/>
      <c r="AC3041" s="1"/>
      <c r="AD3041" s="1"/>
    </row>
    <row r="3042" spans="17:30">
      <c r="Q3042" s="6">
        <v>3012</v>
      </c>
      <c r="R3042" s="7">
        <v>45679</v>
      </c>
      <c r="S3042" s="210">
        <v>4</v>
      </c>
      <c r="T3042" s="8">
        <v>1.0001111111111112</v>
      </c>
      <c r="U3042" s="98">
        <v>3.8898526953207835</v>
      </c>
      <c r="V3042" s="106">
        <v>33214.597980286322</v>
      </c>
      <c r="W3042" s="10">
        <v>0.96892024605823579</v>
      </c>
      <c r="X3042" s="420"/>
      <c r="Y3042" s="420"/>
      <c r="Z3042" s="1"/>
      <c r="AA3042" s="1"/>
      <c r="AB3042" s="1"/>
      <c r="AC3042" s="1"/>
      <c r="AD3042" s="1"/>
    </row>
    <row r="3043" spans="17:30">
      <c r="Q3043" s="6">
        <v>3013</v>
      </c>
      <c r="R3043" s="7">
        <v>45680</v>
      </c>
      <c r="S3043" s="210">
        <v>4</v>
      </c>
      <c r="T3043" s="8">
        <v>1.0001111111111112</v>
      </c>
      <c r="U3043" s="98">
        <v>3.8899351817392347</v>
      </c>
      <c r="V3043" s="106">
        <v>33217.270480348299</v>
      </c>
      <c r="W3043" s="10">
        <v>0.96897196819396569</v>
      </c>
      <c r="X3043" s="420"/>
      <c r="Y3043" s="420"/>
      <c r="Z3043" s="1"/>
      <c r="AA3043" s="1"/>
      <c r="AB3043" s="1"/>
      <c r="AC3043" s="1"/>
      <c r="AD3043" s="1"/>
    </row>
    <row r="3044" spans="17:30">
      <c r="Q3044" s="6">
        <v>3014</v>
      </c>
      <c r="R3044" s="7">
        <v>45681</v>
      </c>
      <c r="S3044" s="210">
        <v>4</v>
      </c>
      <c r="T3044" s="8">
        <v>1.0001111111111112</v>
      </c>
      <c r="U3044" s="98">
        <v>3.8900176134876174</v>
      </c>
      <c r="V3044" s="106">
        <v>33219.943195443935</v>
      </c>
      <c r="W3044" s="10">
        <v>0.96902365603492857</v>
      </c>
      <c r="X3044" s="420"/>
      <c r="Y3044" s="420"/>
      <c r="Z3044" s="1"/>
      <c r="AA3044" s="1"/>
      <c r="AB3044" s="1"/>
      <c r="AC3044" s="1"/>
      <c r="AD3044" s="1"/>
    </row>
    <row r="3045" spans="17:30">
      <c r="Q3045" s="6">
        <v>3015</v>
      </c>
      <c r="R3045" s="7">
        <v>45682</v>
      </c>
      <c r="S3045" s="210">
        <v>4</v>
      </c>
      <c r="T3045" s="8">
        <v>1.0001111111111112</v>
      </c>
      <c r="U3045" s="98">
        <v>3.8900999906202438</v>
      </c>
      <c r="V3045" s="106">
        <v>33222.616125590539</v>
      </c>
      <c r="W3045" s="10">
        <v>0.96907530961518606</v>
      </c>
      <c r="X3045" s="420"/>
      <c r="Y3045" s="420"/>
      <c r="Z3045" s="1"/>
      <c r="AA3045" s="1"/>
      <c r="AB3045" s="1"/>
      <c r="AC3045" s="1"/>
      <c r="AD3045" s="1"/>
    </row>
    <row r="3046" spans="17:30">
      <c r="Q3046" s="6">
        <v>3016</v>
      </c>
      <c r="R3046" s="7">
        <v>45683</v>
      </c>
      <c r="S3046" s="210">
        <v>4</v>
      </c>
      <c r="T3046" s="8">
        <v>1.0001111111111112</v>
      </c>
      <c r="U3046" s="98">
        <v>3.8901823131913815</v>
      </c>
      <c r="V3046" s="106">
        <v>33225.289270805406</v>
      </c>
      <c r="W3046" s="10">
        <v>0.96912692896882202</v>
      </c>
      <c r="X3046" s="420"/>
      <c r="Y3046" s="420"/>
      <c r="Z3046" s="1"/>
      <c r="AA3046" s="1"/>
      <c r="AB3046" s="1"/>
      <c r="AC3046" s="1"/>
      <c r="AD3046" s="1"/>
    </row>
    <row r="3047" spans="17:30">
      <c r="Q3047" s="6">
        <v>3017</v>
      </c>
      <c r="R3047" s="7">
        <v>45684</v>
      </c>
      <c r="S3047" s="210">
        <v>4</v>
      </c>
      <c r="T3047" s="8">
        <v>1.0001111111111112</v>
      </c>
      <c r="U3047" s="98">
        <v>3.8902645812552095</v>
      </c>
      <c r="V3047" s="106">
        <v>33227.962631105846</v>
      </c>
      <c r="W3047" s="10">
        <v>0.96917851412980927</v>
      </c>
      <c r="X3047" s="420"/>
      <c r="Y3047" s="420"/>
      <c r="Z3047" s="1"/>
      <c r="AA3047" s="1"/>
      <c r="AB3047" s="1"/>
      <c r="AC3047" s="1"/>
      <c r="AD3047" s="1"/>
    </row>
    <row r="3048" spans="17:30">
      <c r="Q3048" s="6">
        <v>3018</v>
      </c>
      <c r="R3048" s="7">
        <v>45685</v>
      </c>
      <c r="S3048" s="210">
        <v>4</v>
      </c>
      <c r="T3048" s="8">
        <v>1.0001111111111112</v>
      </c>
      <c r="U3048" s="98">
        <v>3.8903467948658621</v>
      </c>
      <c r="V3048" s="106">
        <v>33230.636206509153</v>
      </c>
      <c r="W3048" s="10">
        <v>0.96923006513212062</v>
      </c>
      <c r="X3048" s="420"/>
      <c r="Y3048" s="420"/>
      <c r="Z3048" s="1"/>
      <c r="AA3048" s="1"/>
      <c r="AB3048" s="1"/>
      <c r="AC3048" s="1"/>
      <c r="AD3048" s="1"/>
    </row>
    <row r="3049" spans="17:30">
      <c r="Q3049" s="6">
        <v>3019</v>
      </c>
      <c r="R3049" s="7">
        <v>45686</v>
      </c>
      <c r="S3049" s="210">
        <v>4</v>
      </c>
      <c r="T3049" s="8">
        <v>1.0001111111111112</v>
      </c>
      <c r="U3049" s="98">
        <v>3.8904289540773629</v>
      </c>
      <c r="V3049" s="106">
        <v>33233.309997032651</v>
      </c>
      <c r="W3049" s="10">
        <v>0.96928158200968451</v>
      </c>
      <c r="X3049" s="420"/>
      <c r="Y3049" s="420"/>
      <c r="Z3049" s="1"/>
      <c r="AA3049" s="1"/>
      <c r="AB3049" s="1"/>
      <c r="AC3049" s="1"/>
      <c r="AD3049" s="1"/>
    </row>
    <row r="3050" spans="17:30">
      <c r="Q3050" s="6">
        <v>3020</v>
      </c>
      <c r="R3050" s="7">
        <v>45687</v>
      </c>
      <c r="S3050" s="210">
        <v>4</v>
      </c>
      <c r="T3050" s="8">
        <v>1.0001111111111112</v>
      </c>
      <c r="U3050" s="98">
        <v>3.8905110589437131</v>
      </c>
      <c r="V3050" s="106">
        <v>33235.984002693644</v>
      </c>
      <c r="W3050" s="10">
        <v>0.96933306479638492</v>
      </c>
      <c r="X3050" s="420"/>
      <c r="Y3050" s="420"/>
      <c r="Z3050" s="1"/>
      <c r="AA3050" s="1"/>
      <c r="AB3050" s="1"/>
      <c r="AC3050" s="1"/>
      <c r="AD3050" s="1"/>
    </row>
    <row r="3051" spans="17:30">
      <c r="Q3051" s="6">
        <v>3021</v>
      </c>
      <c r="R3051" s="7">
        <v>45688</v>
      </c>
      <c r="S3051" s="210">
        <v>4</v>
      </c>
      <c r="T3051" s="8">
        <v>1.0001111111111112</v>
      </c>
      <c r="U3051" s="98">
        <v>3.8905931095187807</v>
      </c>
      <c r="V3051" s="106">
        <v>33238.658223509439</v>
      </c>
      <c r="W3051" s="10">
        <v>0.96938451352601707</v>
      </c>
      <c r="X3051" s="420"/>
      <c r="Y3051" s="420"/>
      <c r="Z3051" s="1"/>
      <c r="AA3051" s="1"/>
      <c r="AB3051" s="1"/>
      <c r="AC3051" s="1"/>
      <c r="AD3051" s="1"/>
    </row>
    <row r="3052" spans="17:30">
      <c r="Q3052" s="6">
        <v>3022</v>
      </c>
      <c r="R3052" s="7">
        <v>45689</v>
      </c>
      <c r="S3052" s="210">
        <v>4</v>
      </c>
      <c r="T3052" s="8">
        <v>1.0001111111111112</v>
      </c>
      <c r="U3052" s="98">
        <v>3.8906751058564337</v>
      </c>
      <c r="V3052" s="106">
        <v>33241.332659497341</v>
      </c>
      <c r="W3052" s="10">
        <v>0.96943592823239833</v>
      </c>
      <c r="X3052" s="420"/>
      <c r="Y3052" s="420"/>
      <c r="Z3052" s="1"/>
      <c r="AA3052" s="1"/>
      <c r="AB3052" s="1"/>
      <c r="AC3052" s="1"/>
      <c r="AD3052" s="1"/>
    </row>
    <row r="3053" spans="17:30">
      <c r="Q3053" s="6">
        <v>3023</v>
      </c>
      <c r="R3053" s="7">
        <v>45690</v>
      </c>
      <c r="S3053" s="210">
        <v>4</v>
      </c>
      <c r="T3053" s="8">
        <v>1.0001111111111112</v>
      </c>
      <c r="U3053" s="98">
        <v>3.890757048010407</v>
      </c>
      <c r="V3053" s="106">
        <v>33244.007310674686</v>
      </c>
      <c r="W3053" s="10">
        <v>0.96948730894923507</v>
      </c>
      <c r="X3053" s="420"/>
      <c r="Y3053" s="420"/>
      <c r="Z3053" s="1"/>
      <c r="AA3053" s="1"/>
      <c r="AB3053" s="1"/>
      <c r="AC3053" s="1"/>
      <c r="AD3053" s="1"/>
    </row>
    <row r="3054" spans="17:30">
      <c r="Q3054" s="6">
        <v>3024</v>
      </c>
      <c r="R3054" s="7">
        <v>45691</v>
      </c>
      <c r="S3054" s="210">
        <v>4</v>
      </c>
      <c r="T3054" s="8">
        <v>1.0001111111111112</v>
      </c>
      <c r="U3054" s="98">
        <v>3.8908389360344131</v>
      </c>
      <c r="V3054" s="106">
        <v>33246.682177058756</v>
      </c>
      <c r="W3054" s="10">
        <v>0.96953865571025588</v>
      </c>
      <c r="X3054" s="420"/>
      <c r="Y3054" s="420"/>
      <c r="Z3054" s="1"/>
      <c r="AA3054" s="1"/>
      <c r="AB3054" s="1"/>
      <c r="AC3054" s="1"/>
      <c r="AD3054" s="1"/>
    </row>
    <row r="3055" spans="17:30">
      <c r="Q3055" s="6">
        <v>3025</v>
      </c>
      <c r="R3055" s="7">
        <v>45692</v>
      </c>
      <c r="S3055" s="210">
        <v>4</v>
      </c>
      <c r="T3055" s="8">
        <v>1.0001111111111112</v>
      </c>
      <c r="U3055" s="98">
        <v>3.8909207699820536</v>
      </c>
      <c r="V3055" s="106">
        <v>33249.357258666896</v>
      </c>
      <c r="W3055" s="10">
        <v>0.96958996854907831</v>
      </c>
      <c r="X3055" s="420"/>
      <c r="Y3055" s="420"/>
      <c r="Z3055" s="1"/>
      <c r="AA3055" s="1"/>
      <c r="AB3055" s="1"/>
      <c r="AC3055" s="1"/>
      <c r="AD3055" s="1"/>
    </row>
    <row r="3056" spans="17:30">
      <c r="Q3056" s="6">
        <v>3026</v>
      </c>
      <c r="R3056" s="7">
        <v>45693</v>
      </c>
      <c r="S3056" s="210">
        <v>4</v>
      </c>
      <c r="T3056" s="8">
        <v>1.0001111111111112</v>
      </c>
      <c r="U3056" s="98">
        <v>3.8910025499068857</v>
      </c>
      <c r="V3056" s="106">
        <v>33252.032555516409</v>
      </c>
      <c r="W3056" s="10">
        <v>0.9696412474993199</v>
      </c>
      <c r="X3056" s="420"/>
      <c r="Y3056" s="420"/>
      <c r="Z3056" s="1"/>
      <c r="AA3056" s="1"/>
      <c r="AB3056" s="1"/>
      <c r="AC3056" s="1"/>
      <c r="AD3056" s="1"/>
    </row>
    <row r="3057" spans="17:30">
      <c r="Q3057" s="6">
        <v>3027</v>
      </c>
      <c r="R3057" s="7">
        <v>45694</v>
      </c>
      <c r="S3057" s="210">
        <v>4</v>
      </c>
      <c r="T3057" s="8">
        <v>1.0001111111111112</v>
      </c>
      <c r="U3057" s="98">
        <v>3.8910842758623776</v>
      </c>
      <c r="V3057" s="106">
        <v>33254.708067624619</v>
      </c>
      <c r="W3057" s="10">
        <v>0.96969249259455381</v>
      </c>
      <c r="X3057" s="420"/>
      <c r="Y3057" s="420"/>
      <c r="Z3057" s="1"/>
      <c r="AA3057" s="1"/>
      <c r="AB3057" s="1"/>
      <c r="AC3057" s="1"/>
      <c r="AD3057" s="1"/>
    </row>
    <row r="3058" spans="17:30">
      <c r="Q3058" s="6">
        <v>3028</v>
      </c>
      <c r="R3058" s="7">
        <v>45695</v>
      </c>
      <c r="S3058" s="210">
        <v>4</v>
      </c>
      <c r="T3058" s="8">
        <v>1.0001111111111112</v>
      </c>
      <c r="U3058" s="98">
        <v>3.8911659479019312</v>
      </c>
      <c r="V3058" s="106">
        <v>33257.383795008842</v>
      </c>
      <c r="W3058" s="10">
        <v>0.96974370386826436</v>
      </c>
      <c r="X3058" s="420"/>
      <c r="Y3058" s="420"/>
      <c r="Z3058" s="1"/>
      <c r="AA3058" s="1"/>
      <c r="AB3058" s="1"/>
      <c r="AC3058" s="1"/>
      <c r="AD3058" s="1"/>
    </row>
    <row r="3059" spans="17:30">
      <c r="Q3059" s="6">
        <v>3029</v>
      </c>
      <c r="R3059" s="7">
        <v>45696</v>
      </c>
      <c r="S3059" s="210">
        <v>4</v>
      </c>
      <c r="T3059" s="8">
        <v>1.0001111111111112</v>
      </c>
      <c r="U3059" s="98">
        <v>3.8912475660789037</v>
      </c>
      <c r="V3059" s="106">
        <v>33260.059737686395</v>
      </c>
      <c r="W3059" s="10">
        <v>0.96979488135395808</v>
      </c>
      <c r="X3059" s="420"/>
      <c r="Y3059" s="420"/>
      <c r="Z3059" s="1"/>
      <c r="AA3059" s="1"/>
      <c r="AB3059" s="1"/>
      <c r="AC3059" s="1"/>
      <c r="AD3059" s="1"/>
    </row>
    <row r="3060" spans="17:30">
      <c r="Q3060" s="6">
        <v>3030</v>
      </c>
      <c r="R3060" s="7">
        <v>45697</v>
      </c>
      <c r="S3060" s="210">
        <v>4</v>
      </c>
      <c r="T3060" s="8">
        <v>1.0001111111111112</v>
      </c>
      <c r="U3060" s="98">
        <v>3.8913291304465414</v>
      </c>
      <c r="V3060" s="106">
        <v>33262.735895674617</v>
      </c>
      <c r="W3060" s="10">
        <v>0.96984602508503048</v>
      </c>
      <c r="X3060" s="420"/>
      <c r="Y3060" s="420"/>
      <c r="Z3060" s="1"/>
      <c r="AA3060" s="1"/>
      <c r="AB3060" s="1"/>
      <c r="AC3060" s="1"/>
      <c r="AD3060" s="1"/>
    </row>
    <row r="3061" spans="17:30">
      <c r="Q3061" s="6">
        <v>3031</v>
      </c>
      <c r="R3061" s="7">
        <v>45698</v>
      </c>
      <c r="S3061" s="210">
        <v>4</v>
      </c>
      <c r="T3061" s="8">
        <v>1.0001111111111112</v>
      </c>
      <c r="U3061" s="98">
        <v>3.8914106410580462</v>
      </c>
      <c r="V3061" s="106">
        <v>33265.412268990811</v>
      </c>
      <c r="W3061" s="10">
        <v>0.96989713509489928</v>
      </c>
      <c r="X3061" s="420"/>
      <c r="Y3061" s="420"/>
      <c r="Z3061" s="1"/>
      <c r="AA3061" s="1"/>
      <c r="AB3061" s="1"/>
      <c r="AC3061" s="1"/>
      <c r="AD3061" s="1"/>
    </row>
    <row r="3062" spans="17:30">
      <c r="Q3062" s="6">
        <v>3032</v>
      </c>
      <c r="R3062" s="7">
        <v>45699</v>
      </c>
      <c r="S3062" s="210">
        <v>4</v>
      </c>
      <c r="T3062" s="8">
        <v>1.0001111111111112</v>
      </c>
      <c r="U3062" s="98">
        <v>3.8914920979665535</v>
      </c>
      <c r="V3062" s="106">
        <v>33268.088857652321</v>
      </c>
      <c r="W3062" s="10">
        <v>0.96994821141687115</v>
      </c>
      <c r="X3062" s="420"/>
      <c r="Y3062" s="420"/>
      <c r="Z3062" s="1"/>
      <c r="AA3062" s="1"/>
      <c r="AB3062" s="1"/>
      <c r="AC3062" s="1"/>
      <c r="AD3062" s="1"/>
    </row>
    <row r="3063" spans="17:30">
      <c r="Q3063" s="6">
        <v>3033</v>
      </c>
      <c r="R3063" s="7">
        <v>45700</v>
      </c>
      <c r="S3063" s="210">
        <v>4</v>
      </c>
      <c r="T3063" s="8">
        <v>1.0001111111111112</v>
      </c>
      <c r="U3063" s="98">
        <v>3.8915735012251096</v>
      </c>
      <c r="V3063" s="106">
        <v>33270.765661676465</v>
      </c>
      <c r="W3063" s="10">
        <v>0.96999925408427501</v>
      </c>
      <c r="X3063" s="420"/>
      <c r="Y3063" s="420"/>
      <c r="Z3063" s="1"/>
      <c r="AA3063" s="1"/>
      <c r="AB3063" s="1"/>
      <c r="AC3063" s="1"/>
      <c r="AD3063" s="1"/>
    </row>
    <row r="3064" spans="17:30">
      <c r="Q3064" s="6">
        <v>3034</v>
      </c>
      <c r="R3064" s="7">
        <v>45701</v>
      </c>
      <c r="S3064" s="210">
        <v>4</v>
      </c>
      <c r="T3064" s="8">
        <v>1.0001111111111112</v>
      </c>
      <c r="U3064" s="98">
        <v>3.8916548508866944</v>
      </c>
      <c r="V3064" s="106">
        <v>33273.442681080574</v>
      </c>
      <c r="W3064" s="10">
        <v>0.97005026313035092</v>
      </c>
      <c r="X3064" s="420"/>
      <c r="Y3064" s="420"/>
      <c r="Z3064" s="1"/>
      <c r="AA3064" s="1"/>
      <c r="AB3064" s="1"/>
      <c r="AC3064" s="1"/>
      <c r="AD3064" s="1"/>
    </row>
    <row r="3065" spans="17:30">
      <c r="Q3065" s="6">
        <v>3035</v>
      </c>
      <c r="R3065" s="7">
        <v>45702</v>
      </c>
      <c r="S3065" s="210">
        <v>4</v>
      </c>
      <c r="T3065" s="8">
        <v>1.0001111111111112</v>
      </c>
      <c r="U3065" s="98">
        <v>3.8917361470042211</v>
      </c>
      <c r="V3065" s="106">
        <v>33276.119915881973</v>
      </c>
      <c r="W3065" s="10">
        <v>0.97010123858827235</v>
      </c>
      <c r="X3065" s="420"/>
      <c r="Y3065" s="420"/>
      <c r="Z3065" s="1"/>
      <c r="AA3065" s="1"/>
      <c r="AB3065" s="1"/>
      <c r="AC3065" s="1"/>
      <c r="AD3065" s="1"/>
    </row>
    <row r="3066" spans="17:30">
      <c r="Q3066" s="6">
        <v>3036</v>
      </c>
      <c r="R3066" s="7">
        <v>45703</v>
      </c>
      <c r="S3066" s="210">
        <v>4</v>
      </c>
      <c r="T3066" s="8">
        <v>1.0001111111111112</v>
      </c>
      <c r="U3066" s="98">
        <v>3.8918173896305586</v>
      </c>
      <c r="V3066" s="106">
        <v>33278.797366098006</v>
      </c>
      <c r="W3066" s="10">
        <v>0.97015218049123497</v>
      </c>
      <c r="X3066" s="420"/>
      <c r="Y3066" s="420"/>
      <c r="Z3066" s="1"/>
      <c r="AA3066" s="1"/>
      <c r="AB3066" s="1"/>
      <c r="AC3066" s="1"/>
      <c r="AD3066" s="1"/>
    </row>
    <row r="3067" spans="17:30">
      <c r="Q3067" s="6">
        <v>3037</v>
      </c>
      <c r="R3067" s="7">
        <v>45704</v>
      </c>
      <c r="S3067" s="210">
        <v>4</v>
      </c>
      <c r="T3067" s="8">
        <v>1.0001111111111112</v>
      </c>
      <c r="U3067" s="98">
        <v>3.8918985788184646</v>
      </c>
      <c r="V3067" s="106">
        <v>33281.475031745984</v>
      </c>
      <c r="W3067" s="10">
        <v>0.97020308887239004</v>
      </c>
      <c r="X3067" s="420"/>
      <c r="Y3067" s="420"/>
      <c r="Z3067" s="1"/>
      <c r="AA3067" s="1"/>
      <c r="AB3067" s="1"/>
      <c r="AC3067" s="1"/>
      <c r="AD3067" s="1"/>
    </row>
    <row r="3068" spans="17:30">
      <c r="Q3068" s="6">
        <v>3038</v>
      </c>
      <c r="R3068" s="7">
        <v>45705</v>
      </c>
      <c r="S3068" s="210">
        <v>4</v>
      </c>
      <c r="T3068" s="8">
        <v>1.0001111111111112</v>
      </c>
      <c r="U3068" s="98">
        <v>3.8919797146206525</v>
      </c>
      <c r="V3068" s="106">
        <v>33284.152912843267</v>
      </c>
      <c r="W3068" s="10">
        <v>0.97025396376475559</v>
      </c>
      <c r="X3068" s="420"/>
      <c r="Y3068" s="420"/>
      <c r="Z3068" s="1"/>
      <c r="AA3068" s="1"/>
      <c r="AB3068" s="1"/>
      <c r="AC3068" s="1"/>
      <c r="AD3068" s="1"/>
    </row>
    <row r="3069" spans="17:30">
      <c r="Q3069" s="6">
        <v>3039</v>
      </c>
      <c r="R3069" s="7">
        <v>45706</v>
      </c>
      <c r="S3069" s="210">
        <v>4</v>
      </c>
      <c r="T3069" s="8">
        <v>1.0001111111111112</v>
      </c>
      <c r="U3069" s="98">
        <v>3.8920607970897692</v>
      </c>
      <c r="V3069" s="106">
        <v>33286.831009407171</v>
      </c>
      <c r="W3069" s="10">
        <v>0.97030480520139406</v>
      </c>
      <c r="X3069" s="420"/>
      <c r="Y3069" s="420"/>
      <c r="Z3069" s="1"/>
      <c r="AA3069" s="1"/>
      <c r="AB3069" s="1"/>
      <c r="AC3069" s="1"/>
      <c r="AD3069" s="1"/>
    </row>
    <row r="3070" spans="17:30">
      <c r="Q3070" s="6">
        <v>3040</v>
      </c>
      <c r="R3070" s="7">
        <v>45707</v>
      </c>
      <c r="S3070" s="210">
        <v>4</v>
      </c>
      <c r="T3070" s="8">
        <v>1.0001111111111112</v>
      </c>
      <c r="U3070" s="98">
        <v>3.8921418262783725</v>
      </c>
      <c r="V3070" s="106">
        <v>33289.509321455036</v>
      </c>
      <c r="W3070" s="10">
        <v>0.97035561321530128</v>
      </c>
      <c r="X3070" s="420"/>
      <c r="Y3070" s="420"/>
      <c r="Z3070" s="1"/>
      <c r="AA3070" s="1"/>
      <c r="AB3070" s="1"/>
      <c r="AC3070" s="1"/>
      <c r="AD3070" s="1"/>
    </row>
    <row r="3071" spans="17:30">
      <c r="Q3071" s="6">
        <v>3041</v>
      </c>
      <c r="R3071" s="7">
        <v>45708</v>
      </c>
      <c r="S3071" s="210">
        <v>4</v>
      </c>
      <c r="T3071" s="8">
        <v>1.0001111111111112</v>
      </c>
      <c r="U3071" s="98">
        <v>3.8922228022389538</v>
      </c>
      <c r="V3071" s="106">
        <v>33292.1878490042</v>
      </c>
      <c r="W3071" s="10">
        <v>0.97040638783940647</v>
      </c>
      <c r="X3071" s="420"/>
      <c r="Y3071" s="420"/>
      <c r="Z3071" s="1"/>
      <c r="AA3071" s="1"/>
      <c r="AB3071" s="1"/>
      <c r="AC3071" s="1"/>
      <c r="AD3071" s="1"/>
    </row>
    <row r="3072" spans="17:30">
      <c r="Q3072" s="6">
        <v>3042</v>
      </c>
      <c r="R3072" s="7">
        <v>45709</v>
      </c>
      <c r="S3072" s="210">
        <v>4</v>
      </c>
      <c r="T3072" s="8">
        <v>1.0001111111111112</v>
      </c>
      <c r="U3072" s="98">
        <v>3.89230372502396</v>
      </c>
      <c r="V3072" s="106">
        <v>33294.866592072016</v>
      </c>
      <c r="W3072" s="10">
        <v>0.97045712910663884</v>
      </c>
      <c r="X3072" s="420"/>
      <c r="Y3072" s="420"/>
      <c r="Z3072" s="1"/>
      <c r="AA3072" s="1"/>
      <c r="AB3072" s="1"/>
      <c r="AC3072" s="1"/>
      <c r="AD3072" s="1"/>
    </row>
    <row r="3073" spans="17:30">
      <c r="Q3073" s="6">
        <v>3043</v>
      </c>
      <c r="R3073" s="7">
        <v>45710</v>
      </c>
      <c r="S3073" s="210">
        <v>4</v>
      </c>
      <c r="T3073" s="8">
        <v>1.0001111111111112</v>
      </c>
      <c r="U3073" s="98">
        <v>3.8923845946857494</v>
      </c>
      <c r="V3073" s="106">
        <v>33297.545550675815</v>
      </c>
      <c r="W3073" s="10">
        <v>0.97050783704983878</v>
      </c>
      <c r="X3073" s="420"/>
      <c r="Y3073" s="420"/>
      <c r="Z3073" s="1"/>
      <c r="AA3073" s="1"/>
      <c r="AB3073" s="1"/>
      <c r="AC3073" s="1"/>
      <c r="AD3073" s="1"/>
    </row>
    <row r="3074" spans="17:30">
      <c r="Q3074" s="6">
        <v>3044</v>
      </c>
      <c r="R3074" s="7">
        <v>45711</v>
      </c>
      <c r="S3074" s="210">
        <v>4</v>
      </c>
      <c r="T3074" s="8">
        <v>1.0001111111111112</v>
      </c>
      <c r="U3074" s="98">
        <v>3.8924654112766133</v>
      </c>
      <c r="V3074" s="106">
        <v>33300.224724832929</v>
      </c>
      <c r="W3074" s="10">
        <v>0.9705585117018245</v>
      </c>
      <c r="X3074" s="420"/>
      <c r="Y3074" s="420"/>
      <c r="Z3074" s="1"/>
      <c r="AA3074" s="1"/>
      <c r="AB3074" s="1"/>
      <c r="AC3074" s="1"/>
      <c r="AD3074" s="1"/>
    </row>
    <row r="3075" spans="17:30">
      <c r="Q3075" s="6">
        <v>3045</v>
      </c>
      <c r="R3075" s="7">
        <v>45712</v>
      </c>
      <c r="S3075" s="210">
        <v>4</v>
      </c>
      <c r="T3075" s="8">
        <v>1.0001111111111112</v>
      </c>
      <c r="U3075" s="98">
        <v>3.8925461748487766</v>
      </c>
      <c r="V3075" s="106">
        <v>33302.904114560719</v>
      </c>
      <c r="W3075" s="10">
        <v>0.97060915309536977</v>
      </c>
      <c r="X3075" s="420"/>
      <c r="Y3075" s="420"/>
      <c r="Z3075" s="1"/>
      <c r="AA3075" s="1"/>
      <c r="AB3075" s="1"/>
      <c r="AC3075" s="1"/>
      <c r="AD3075" s="1"/>
    </row>
    <row r="3076" spans="17:30">
      <c r="Q3076" s="6">
        <v>3046</v>
      </c>
      <c r="R3076" s="7">
        <v>45713</v>
      </c>
      <c r="S3076" s="210">
        <v>4</v>
      </c>
      <c r="T3076" s="8">
        <v>1.0001111111111112</v>
      </c>
      <c r="U3076" s="98">
        <v>3.8926268854543977</v>
      </c>
      <c r="V3076" s="106">
        <v>33305.583719876522</v>
      </c>
      <c r="W3076" s="10">
        <v>0.97065976126322617</v>
      </c>
      <c r="X3076" s="420"/>
      <c r="Y3076" s="420"/>
      <c r="Z3076" s="1"/>
      <c r="AA3076" s="1"/>
      <c r="AB3076" s="1"/>
      <c r="AC3076" s="1"/>
      <c r="AD3076" s="1"/>
    </row>
    <row r="3077" spans="17:30">
      <c r="Q3077" s="6">
        <v>3047</v>
      </c>
      <c r="R3077" s="7">
        <v>45714</v>
      </c>
      <c r="S3077" s="210">
        <v>4</v>
      </c>
      <c r="T3077" s="8">
        <v>1.0001111111111112</v>
      </c>
      <c r="U3077" s="98">
        <v>3.8927075431455682</v>
      </c>
      <c r="V3077" s="106">
        <v>33308.263540797685</v>
      </c>
      <c r="W3077" s="10">
        <v>0.97071033623805647</v>
      </c>
      <c r="X3077" s="420"/>
      <c r="Y3077" s="420"/>
      <c r="Z3077" s="1"/>
      <c r="AA3077" s="1"/>
      <c r="AB3077" s="1"/>
      <c r="AC3077" s="1"/>
      <c r="AD3077" s="1"/>
    </row>
    <row r="3078" spans="17:30">
      <c r="Q3078" s="6">
        <v>3048</v>
      </c>
      <c r="R3078" s="7">
        <v>45715</v>
      </c>
      <c r="S3078" s="210">
        <v>4</v>
      </c>
      <c r="T3078" s="8">
        <v>1.0001111111111112</v>
      </c>
      <c r="U3078" s="98">
        <v>3.892788147974291</v>
      </c>
      <c r="V3078" s="106">
        <v>33310.943577341553</v>
      </c>
      <c r="W3078" s="10">
        <v>0.97076087805250122</v>
      </c>
      <c r="X3078" s="420"/>
      <c r="Y3078" s="420"/>
      <c r="Z3078" s="1"/>
      <c r="AA3078" s="1"/>
      <c r="AB3078" s="1"/>
      <c r="AC3078" s="1"/>
      <c r="AD3078" s="1"/>
    </row>
    <row r="3079" spans="17:30">
      <c r="Q3079" s="6">
        <v>3049</v>
      </c>
      <c r="R3079" s="7">
        <v>45716</v>
      </c>
      <c r="S3079" s="210">
        <v>4</v>
      </c>
      <c r="T3079" s="8">
        <v>1.0001111111111112</v>
      </c>
      <c r="U3079" s="98">
        <v>3.8928686999925244</v>
      </c>
      <c r="V3079" s="106">
        <v>33313.623829525481</v>
      </c>
      <c r="W3079" s="10">
        <v>0.97081138673920098</v>
      </c>
      <c r="X3079" s="420"/>
      <c r="Y3079" s="420"/>
      <c r="Z3079" s="1"/>
      <c r="AA3079" s="1"/>
      <c r="AB3079" s="1"/>
      <c r="AC3079" s="1"/>
      <c r="AD3079" s="1"/>
    </row>
    <row r="3080" spans="17:30">
      <c r="Q3080" s="6">
        <v>3050</v>
      </c>
      <c r="R3080" s="7">
        <v>45717</v>
      </c>
      <c r="S3080" s="210">
        <v>4</v>
      </c>
      <c r="T3080" s="8">
        <v>1.0001111111111112</v>
      </c>
      <c r="U3080" s="98">
        <v>3.8929491992521603</v>
      </c>
      <c r="V3080" s="106">
        <v>33316.30429736682</v>
      </c>
      <c r="W3080" s="10">
        <v>0.97086186233066307</v>
      </c>
      <c r="X3080" s="420"/>
      <c r="Y3080" s="420"/>
      <c r="Z3080" s="1"/>
      <c r="AA3080" s="1"/>
      <c r="AB3080" s="1"/>
      <c r="AC3080" s="1"/>
      <c r="AD3080" s="1"/>
    </row>
    <row r="3081" spans="17:30">
      <c r="Q3081" s="6">
        <v>3051</v>
      </c>
      <c r="R3081" s="7">
        <v>45718</v>
      </c>
      <c r="S3081" s="210">
        <v>4</v>
      </c>
      <c r="T3081" s="8">
        <v>1.0001111111111112</v>
      </c>
      <c r="U3081" s="98">
        <v>3.8930296458050018</v>
      </c>
      <c r="V3081" s="106">
        <v>33318.984980882917</v>
      </c>
      <c r="W3081" s="10">
        <v>0.97091230485943925</v>
      </c>
      <c r="X3081" s="420"/>
      <c r="Y3081" s="420"/>
      <c r="Z3081" s="1"/>
      <c r="AA3081" s="1"/>
      <c r="AB3081" s="1"/>
      <c r="AC3081" s="1"/>
      <c r="AD3081" s="1"/>
    </row>
    <row r="3082" spans="17:30">
      <c r="Q3082" s="6">
        <v>3052</v>
      </c>
      <c r="R3082" s="7">
        <v>45719</v>
      </c>
      <c r="S3082" s="210">
        <v>4</v>
      </c>
      <c r="T3082" s="8">
        <v>1.0001111111111112</v>
      </c>
      <c r="U3082" s="98">
        <v>3.8931100397028073</v>
      </c>
      <c r="V3082" s="106">
        <v>33321.665880091132</v>
      </c>
      <c r="W3082" s="10">
        <v>0.97096271435801462</v>
      </c>
      <c r="X3082" s="420"/>
      <c r="Y3082" s="420"/>
      <c r="Z3082" s="1"/>
      <c r="AA3082" s="1"/>
      <c r="AB3082" s="1"/>
      <c r="AC3082" s="1"/>
      <c r="AD3082" s="1"/>
    </row>
    <row r="3083" spans="17:30">
      <c r="Q3083" s="6">
        <v>3053</v>
      </c>
      <c r="R3083" s="7">
        <v>45720</v>
      </c>
      <c r="S3083" s="210">
        <v>4</v>
      </c>
      <c r="T3083" s="8">
        <v>1.0001111111111112</v>
      </c>
      <c r="U3083" s="98">
        <v>3.893190380997269</v>
      </c>
      <c r="V3083" s="106">
        <v>33324.346995008811</v>
      </c>
      <c r="W3083" s="10">
        <v>0.97101309085880771</v>
      </c>
      <c r="X3083" s="420"/>
      <c r="Y3083" s="420"/>
      <c r="Z3083" s="1"/>
      <c r="AA3083" s="1"/>
      <c r="AB3083" s="1"/>
      <c r="AC3083" s="1"/>
      <c r="AD3083" s="1"/>
    </row>
    <row r="3084" spans="17:30">
      <c r="Q3084" s="6">
        <v>3054</v>
      </c>
      <c r="R3084" s="7">
        <v>45721</v>
      </c>
      <c r="S3084" s="210">
        <v>4</v>
      </c>
      <c r="T3084" s="8">
        <v>1.0001111111111112</v>
      </c>
      <c r="U3084" s="98">
        <v>3.8932706697399677</v>
      </c>
      <c r="V3084" s="106">
        <v>33327.028325653315</v>
      </c>
      <c r="W3084" s="10">
        <v>0.97106343439417042</v>
      </c>
      <c r="X3084" s="420"/>
      <c r="Y3084" s="420"/>
      <c r="Z3084" s="1"/>
      <c r="AA3084" s="1"/>
      <c r="AB3084" s="1"/>
      <c r="AC3084" s="1"/>
      <c r="AD3084" s="1"/>
    </row>
    <row r="3085" spans="17:30">
      <c r="Q3085" s="6">
        <v>3055</v>
      </c>
      <c r="R3085" s="7">
        <v>45722</v>
      </c>
      <c r="S3085" s="210">
        <v>4</v>
      </c>
      <c r="T3085" s="8">
        <v>1.0001111111111112</v>
      </c>
      <c r="U3085" s="98">
        <v>3.8933509059824623</v>
      </c>
      <c r="V3085" s="106">
        <v>33329.709872042011</v>
      </c>
      <c r="W3085" s="10">
        <v>0.97111374499649905</v>
      </c>
      <c r="X3085" s="420"/>
      <c r="Y3085" s="420"/>
      <c r="Z3085" s="1"/>
      <c r="AA3085" s="1"/>
      <c r="AB3085" s="1"/>
      <c r="AC3085" s="1"/>
      <c r="AD3085" s="1"/>
    </row>
    <row r="3086" spans="17:30">
      <c r="Q3086" s="6">
        <v>3056</v>
      </c>
      <c r="R3086" s="7">
        <v>45723</v>
      </c>
      <c r="S3086" s="210">
        <v>4</v>
      </c>
      <c r="T3086" s="8">
        <v>1.0001111111111112</v>
      </c>
      <c r="U3086" s="98">
        <v>3.8934310897762447</v>
      </c>
      <c r="V3086" s="106">
        <v>33332.391634192245</v>
      </c>
      <c r="W3086" s="10">
        <v>0.97116402269810109</v>
      </c>
      <c r="X3086" s="420"/>
      <c r="Y3086" s="420"/>
      <c r="Z3086" s="1"/>
      <c r="AA3086" s="1"/>
      <c r="AB3086" s="1"/>
      <c r="AC3086" s="1"/>
      <c r="AD3086" s="1"/>
    </row>
    <row r="3087" spans="17:30">
      <c r="Q3087" s="6">
        <v>3057</v>
      </c>
      <c r="R3087" s="7">
        <v>45724</v>
      </c>
      <c r="S3087" s="210">
        <v>4</v>
      </c>
      <c r="T3087" s="8">
        <v>1.0001111111111112</v>
      </c>
      <c r="U3087" s="98">
        <v>3.8935112211727185</v>
      </c>
      <c r="V3087" s="106">
        <v>33335.073612121378</v>
      </c>
      <c r="W3087" s="10">
        <v>0.97121426753123963</v>
      </c>
      <c r="X3087" s="420"/>
      <c r="Y3087" s="420"/>
      <c r="Z3087" s="1"/>
      <c r="AA3087" s="1"/>
      <c r="AB3087" s="1"/>
      <c r="AC3087" s="1"/>
      <c r="AD3087" s="1"/>
    </row>
    <row r="3088" spans="17:30">
      <c r="Q3088" s="6">
        <v>3058</v>
      </c>
      <c r="R3088" s="7">
        <v>45725</v>
      </c>
      <c r="S3088" s="210">
        <v>4</v>
      </c>
      <c r="T3088" s="8">
        <v>1.0001111111111112</v>
      </c>
      <c r="U3088" s="98">
        <v>3.8935913002232203</v>
      </c>
      <c r="V3088" s="106">
        <v>33337.755805846777</v>
      </c>
      <c r="W3088" s="10">
        <v>0.97126447952808892</v>
      </c>
      <c r="X3088" s="420"/>
      <c r="Y3088" s="420"/>
      <c r="Z3088" s="1"/>
      <c r="AA3088" s="1"/>
      <c r="AB3088" s="1"/>
      <c r="AC3088" s="1"/>
      <c r="AD3088" s="1"/>
    </row>
    <row r="3089" spans="17:30">
      <c r="Q3089" s="6">
        <v>3059</v>
      </c>
      <c r="R3089" s="7">
        <v>45726</v>
      </c>
      <c r="S3089" s="210">
        <v>4</v>
      </c>
      <c r="T3089" s="8">
        <v>1.0001111111111112</v>
      </c>
      <c r="U3089" s="98">
        <v>3.8936713269790202</v>
      </c>
      <c r="V3089" s="106">
        <v>33340.43821538581</v>
      </c>
      <c r="W3089" s="10">
        <v>0.97131465872086764</v>
      </c>
      <c r="X3089" s="420"/>
      <c r="Y3089" s="420"/>
      <c r="Z3089" s="1"/>
      <c r="AA3089" s="1"/>
      <c r="AB3089" s="1"/>
      <c r="AC3089" s="1"/>
      <c r="AD3089" s="1"/>
    </row>
    <row r="3090" spans="17:30">
      <c r="Q3090" s="6">
        <v>3060</v>
      </c>
      <c r="R3090" s="7">
        <v>45727</v>
      </c>
      <c r="S3090" s="210">
        <v>4</v>
      </c>
      <c r="T3090" s="8">
        <v>1.0001111111111112</v>
      </c>
      <c r="U3090" s="98">
        <v>3.8937513014913216</v>
      </c>
      <c r="V3090" s="106">
        <v>33343.12084075583</v>
      </c>
      <c r="W3090" s="10">
        <v>0.97136480514168344</v>
      </c>
      <c r="X3090" s="420"/>
      <c r="Y3090" s="420"/>
      <c r="Z3090" s="1"/>
      <c r="AA3090" s="1"/>
      <c r="AB3090" s="1"/>
      <c r="AC3090" s="1"/>
      <c r="AD3090" s="1"/>
    </row>
    <row r="3091" spans="17:30">
      <c r="Q3091" s="6">
        <v>3061</v>
      </c>
      <c r="R3091" s="7">
        <v>45728</v>
      </c>
      <c r="S3091" s="210">
        <v>4</v>
      </c>
      <c r="T3091" s="8">
        <v>1.0001111111111112</v>
      </c>
      <c r="U3091" s="98">
        <v>3.8938312238112838</v>
      </c>
      <c r="V3091" s="106">
        <v>33345.803681974212</v>
      </c>
      <c r="W3091" s="10">
        <v>0.97141491882266617</v>
      </c>
      <c r="X3091" s="420"/>
      <c r="Y3091" s="420"/>
      <c r="Z3091" s="1"/>
      <c r="AA3091" s="1"/>
      <c r="AB3091" s="1"/>
      <c r="AC3091" s="1"/>
      <c r="AD3091" s="1"/>
    </row>
    <row r="3092" spans="17:30">
      <c r="Q3092" s="6">
        <v>3062</v>
      </c>
      <c r="R3092" s="7">
        <v>45729</v>
      </c>
      <c r="S3092" s="210">
        <v>4</v>
      </c>
      <c r="T3092" s="8">
        <v>1.0001111111111112</v>
      </c>
      <c r="U3092" s="98">
        <v>3.8939110939899768</v>
      </c>
      <c r="V3092" s="106">
        <v>33348.486739058317</v>
      </c>
      <c r="W3092" s="10">
        <v>0.97146499979583467</v>
      </c>
      <c r="X3092" s="420"/>
      <c r="Y3092" s="420"/>
      <c r="Z3092" s="1"/>
      <c r="AA3092" s="1"/>
      <c r="AB3092" s="1"/>
      <c r="AC3092" s="1"/>
      <c r="AD3092" s="1"/>
    </row>
    <row r="3093" spans="17:30">
      <c r="Q3093" s="6">
        <v>3063</v>
      </c>
      <c r="R3093" s="7">
        <v>45730</v>
      </c>
      <c r="S3093" s="210">
        <v>4</v>
      </c>
      <c r="T3093" s="8">
        <v>1.0001111111111112</v>
      </c>
      <c r="U3093" s="98">
        <v>3.8939909120784044</v>
      </c>
      <c r="V3093" s="106">
        <v>33351.170012025519</v>
      </c>
      <c r="W3093" s="10">
        <v>0.97151504809322997</v>
      </c>
      <c r="X3093" s="420"/>
      <c r="Y3093" s="420"/>
      <c r="Z3093" s="1"/>
      <c r="AA3093" s="1"/>
      <c r="AB3093" s="1"/>
      <c r="AC3093" s="1"/>
      <c r="AD3093" s="1"/>
    </row>
    <row r="3094" spans="17:30">
      <c r="Q3094" s="6">
        <v>3064</v>
      </c>
      <c r="R3094" s="7">
        <v>45731</v>
      </c>
      <c r="S3094" s="210">
        <v>4</v>
      </c>
      <c r="T3094" s="8">
        <v>1.0001111111111112</v>
      </c>
      <c r="U3094" s="98">
        <v>3.8940706781275258</v>
      </c>
      <c r="V3094" s="106">
        <v>33353.853500893187</v>
      </c>
      <c r="W3094" s="10">
        <v>0.97156506374680429</v>
      </c>
      <c r="X3094" s="420"/>
      <c r="Y3094" s="420"/>
      <c r="Z3094" s="1"/>
      <c r="AA3094" s="1"/>
      <c r="AB3094" s="1"/>
      <c r="AC3094" s="1"/>
      <c r="AD3094" s="1"/>
    </row>
    <row r="3095" spans="17:30">
      <c r="Q3095" s="6">
        <v>3065</v>
      </c>
      <c r="R3095" s="7">
        <v>45732</v>
      </c>
      <c r="S3095" s="210">
        <v>4</v>
      </c>
      <c r="T3095" s="8">
        <v>1.0001111111111112</v>
      </c>
      <c r="U3095" s="98">
        <v>3.8941503921881893</v>
      </c>
      <c r="V3095" s="106">
        <v>33356.537205678687</v>
      </c>
      <c r="W3095" s="10">
        <v>0.97161504678846544</v>
      </c>
      <c r="X3095" s="420"/>
      <c r="Y3095" s="420"/>
      <c r="Z3095" s="1"/>
      <c r="AA3095" s="1"/>
      <c r="AB3095" s="1"/>
      <c r="AC3095" s="1"/>
      <c r="AD3095" s="1"/>
    </row>
    <row r="3096" spans="17:30">
      <c r="Q3096" s="6">
        <v>3066</v>
      </c>
      <c r="R3096" s="7">
        <v>45733</v>
      </c>
      <c r="S3096" s="210">
        <v>4</v>
      </c>
      <c r="T3096" s="8">
        <v>1.0001111111111112</v>
      </c>
      <c r="U3096" s="98">
        <v>3.8942300543112207</v>
      </c>
      <c r="V3096" s="106">
        <v>33359.22112639941</v>
      </c>
      <c r="W3096" s="10">
        <v>0.97166499725014344</v>
      </c>
      <c r="X3096" s="420"/>
      <c r="Y3096" s="420"/>
      <c r="Z3096" s="1"/>
      <c r="AA3096" s="1"/>
      <c r="AB3096" s="1"/>
      <c r="AC3096" s="1"/>
      <c r="AD3096" s="1"/>
    </row>
    <row r="3097" spans="17:30">
      <c r="Q3097" s="6">
        <v>3067</v>
      </c>
      <c r="R3097" s="7">
        <v>45734</v>
      </c>
      <c r="S3097" s="210">
        <v>4</v>
      </c>
      <c r="T3097" s="8">
        <v>1.0001111111111112</v>
      </c>
      <c r="U3097" s="98">
        <v>3.8943096645473796</v>
      </c>
      <c r="V3097" s="106">
        <v>33361.905263072709</v>
      </c>
      <c r="W3097" s="10">
        <v>0.97171491516365727</v>
      </c>
      <c r="X3097" s="420"/>
      <c r="Y3097" s="420"/>
      <c r="Z3097" s="1"/>
      <c r="AA3097" s="1"/>
      <c r="AB3097" s="1"/>
      <c r="AC3097" s="1"/>
      <c r="AD3097" s="1"/>
    </row>
    <row r="3098" spans="17:30">
      <c r="Q3098" s="6">
        <v>3068</v>
      </c>
      <c r="R3098" s="7">
        <v>45735</v>
      </c>
      <c r="S3098" s="210">
        <v>4</v>
      </c>
      <c r="T3098" s="8">
        <v>1.0001111111111112</v>
      </c>
      <c r="U3098" s="98">
        <v>3.8943892229473143</v>
      </c>
      <c r="V3098" s="106">
        <v>33364.589615715973</v>
      </c>
      <c r="W3098" s="10">
        <v>0.97176480056082593</v>
      </c>
      <c r="X3098" s="420"/>
      <c r="Y3098" s="420"/>
      <c r="Z3098" s="1"/>
      <c r="AA3098" s="1"/>
      <c r="AB3098" s="1"/>
      <c r="AC3098" s="1"/>
      <c r="AD3098" s="1"/>
    </row>
    <row r="3099" spans="17:30">
      <c r="Q3099" s="6">
        <v>3069</v>
      </c>
      <c r="R3099" s="7">
        <v>45736</v>
      </c>
      <c r="S3099" s="210">
        <v>4</v>
      </c>
      <c r="T3099" s="8">
        <v>1.0001111111111112</v>
      </c>
      <c r="U3099" s="98">
        <v>3.8944687295616509</v>
      </c>
      <c r="V3099" s="106">
        <v>33367.27418434657</v>
      </c>
      <c r="W3099" s="10">
        <v>0.97181465347337959</v>
      </c>
      <c r="X3099" s="420"/>
      <c r="Y3099" s="420"/>
      <c r="Z3099" s="1"/>
      <c r="AA3099" s="1"/>
      <c r="AB3099" s="1"/>
      <c r="AC3099" s="1"/>
      <c r="AD3099" s="1"/>
    </row>
    <row r="3100" spans="17:30">
      <c r="Q3100" s="6">
        <v>3070</v>
      </c>
      <c r="R3100" s="7">
        <v>45737</v>
      </c>
      <c r="S3100" s="210">
        <v>4</v>
      </c>
      <c r="T3100" s="8">
        <v>1.0001111111111112</v>
      </c>
      <c r="U3100" s="98">
        <v>3.8945481844409269</v>
      </c>
      <c r="V3100" s="106">
        <v>33369.958968981889</v>
      </c>
      <c r="W3100" s="10">
        <v>0.97186447393304842</v>
      </c>
      <c r="X3100" s="420"/>
      <c r="Y3100" s="420"/>
      <c r="Z3100" s="1"/>
      <c r="AA3100" s="1"/>
      <c r="AB3100" s="1"/>
      <c r="AC3100" s="1"/>
      <c r="AD3100" s="1"/>
    </row>
    <row r="3101" spans="17:30">
      <c r="Q3101" s="6">
        <v>3071</v>
      </c>
      <c r="R3101" s="7">
        <v>45738</v>
      </c>
      <c r="S3101" s="210">
        <v>4</v>
      </c>
      <c r="T3101" s="8">
        <v>1.0001111111111112</v>
      </c>
      <c r="U3101" s="98">
        <v>3.8946275876356351</v>
      </c>
      <c r="V3101" s="106">
        <v>33372.643969639299</v>
      </c>
      <c r="W3101" s="10">
        <v>0.97191426197154041</v>
      </c>
      <c r="X3101" s="420"/>
      <c r="Y3101" s="420"/>
      <c r="Z3101" s="1"/>
      <c r="AA3101" s="1"/>
      <c r="AB3101" s="1"/>
      <c r="AC3101" s="1"/>
      <c r="AD3101" s="1"/>
    </row>
    <row r="3102" spans="17:30">
      <c r="Q3102" s="6">
        <v>3072</v>
      </c>
      <c r="R3102" s="7">
        <v>45739</v>
      </c>
      <c r="S3102" s="210">
        <v>4</v>
      </c>
      <c r="T3102" s="8">
        <v>1.0001111111111112</v>
      </c>
      <c r="U3102" s="98">
        <v>3.8947069391961797</v>
      </c>
      <c r="V3102" s="106">
        <v>33375.329186336196</v>
      </c>
      <c r="W3102" s="10">
        <v>0.97196401762045248</v>
      </c>
      <c r="X3102" s="420"/>
      <c r="Y3102" s="420"/>
      <c r="Z3102" s="1"/>
      <c r="AA3102" s="1"/>
      <c r="AB3102" s="1"/>
      <c r="AC3102" s="1"/>
      <c r="AD3102" s="1"/>
    </row>
    <row r="3103" spans="17:30">
      <c r="Q3103" s="6">
        <v>3073</v>
      </c>
      <c r="R3103" s="7">
        <v>45740</v>
      </c>
      <c r="S3103" s="210">
        <v>4</v>
      </c>
      <c r="T3103" s="8">
        <v>1.0001111111111112</v>
      </c>
      <c r="U3103" s="98">
        <v>3.8947862391728982</v>
      </c>
      <c r="V3103" s="106">
        <v>33378.014619089947</v>
      </c>
      <c r="W3103" s="10">
        <v>0.9720137409114038</v>
      </c>
      <c r="X3103" s="420"/>
      <c r="Y3103" s="420"/>
      <c r="Z3103" s="1"/>
      <c r="AA3103" s="1"/>
      <c r="AB3103" s="1"/>
      <c r="AC3103" s="1"/>
      <c r="AD3103" s="1"/>
    </row>
    <row r="3104" spans="17:30">
      <c r="Q3104" s="6">
        <v>3074</v>
      </c>
      <c r="R3104" s="7">
        <v>45741</v>
      </c>
      <c r="S3104" s="210">
        <v>4</v>
      </c>
      <c r="T3104" s="8">
        <v>1.0001111111111112</v>
      </c>
      <c r="U3104" s="98">
        <v>3.894865487616106</v>
      </c>
      <c r="V3104" s="106">
        <v>33380.700267917942</v>
      </c>
      <c r="W3104" s="10">
        <v>0.97206343187596911</v>
      </c>
      <c r="X3104" s="420"/>
      <c r="Y3104" s="420"/>
      <c r="Z3104" s="1"/>
      <c r="AA3104" s="1"/>
      <c r="AB3104" s="1"/>
      <c r="AC3104" s="1"/>
      <c r="AD3104" s="1"/>
    </row>
    <row r="3105" spans="17:30">
      <c r="Q3105" s="6">
        <v>3075</v>
      </c>
      <c r="R3105" s="7">
        <v>45742</v>
      </c>
      <c r="S3105" s="210">
        <v>4</v>
      </c>
      <c r="T3105" s="8">
        <v>1.0001111111111112</v>
      </c>
      <c r="U3105" s="98">
        <v>3.894944684575985</v>
      </c>
      <c r="V3105" s="106">
        <v>33383.386132837579</v>
      </c>
      <c r="W3105" s="10">
        <v>0.97211309054561212</v>
      </c>
      <c r="X3105" s="420"/>
      <c r="Y3105" s="420"/>
      <c r="Z3105" s="1"/>
      <c r="AA3105" s="1"/>
      <c r="AB3105" s="1"/>
      <c r="AC3105" s="1"/>
      <c r="AD3105" s="1"/>
    </row>
    <row r="3106" spans="17:30">
      <c r="Q3106" s="6">
        <v>3076</v>
      </c>
      <c r="R3106" s="7">
        <v>45743</v>
      </c>
      <c r="S3106" s="210">
        <v>4</v>
      </c>
      <c r="T3106" s="8">
        <v>1.0001111111111112</v>
      </c>
      <c r="U3106" s="98">
        <v>3.8950238301027174</v>
      </c>
      <c r="V3106" s="106">
        <v>33386.072213866224</v>
      </c>
      <c r="W3106" s="10">
        <v>0.97216271695184098</v>
      </c>
      <c r="X3106" s="420"/>
      <c r="Y3106" s="420"/>
      <c r="Z3106" s="1"/>
      <c r="AA3106" s="1"/>
      <c r="AB3106" s="1"/>
      <c r="AC3106" s="1"/>
      <c r="AD3106" s="1"/>
    </row>
    <row r="3107" spans="17:30">
      <c r="Q3107" s="6">
        <v>3077</v>
      </c>
      <c r="R3107" s="7">
        <v>45744</v>
      </c>
      <c r="S3107" s="210">
        <v>4</v>
      </c>
      <c r="T3107" s="8">
        <v>1.0001111111111112</v>
      </c>
      <c r="U3107" s="98">
        <v>3.8951029242463742</v>
      </c>
      <c r="V3107" s="106">
        <v>33388.758511021282</v>
      </c>
      <c r="W3107" s="10">
        <v>0.97221231112607498</v>
      </c>
      <c r="X3107" s="420"/>
      <c r="Y3107" s="420"/>
      <c r="Z3107" s="1"/>
      <c r="AA3107" s="1"/>
      <c r="AB3107" s="1"/>
      <c r="AC3107" s="1"/>
      <c r="AD3107" s="1"/>
    </row>
    <row r="3108" spans="17:30">
      <c r="Q3108" s="6">
        <v>3078</v>
      </c>
      <c r="R3108" s="7">
        <v>45745</v>
      </c>
      <c r="S3108" s="210">
        <v>4</v>
      </c>
      <c r="T3108" s="8">
        <v>1.0001111111111112</v>
      </c>
      <c r="U3108" s="98">
        <v>3.8951819670569821</v>
      </c>
      <c r="V3108" s="106">
        <v>33391.445024320135</v>
      </c>
      <c r="W3108" s="10">
        <v>0.97226187309971124</v>
      </c>
      <c r="X3108" s="420"/>
      <c r="Y3108" s="420"/>
      <c r="Z3108" s="1"/>
      <c r="AA3108" s="1"/>
      <c r="AB3108" s="1"/>
      <c r="AC3108" s="1"/>
      <c r="AD3108" s="1"/>
    </row>
    <row r="3109" spans="17:30">
      <c r="Q3109" s="6">
        <v>3079</v>
      </c>
      <c r="R3109" s="7">
        <v>45746</v>
      </c>
      <c r="S3109" s="210">
        <v>4</v>
      </c>
      <c r="T3109" s="8">
        <v>1.0001111111111112</v>
      </c>
      <c r="U3109" s="98">
        <v>3.8952609585844788</v>
      </c>
      <c r="V3109" s="106">
        <v>33394.131753780173</v>
      </c>
      <c r="W3109" s="10">
        <v>0.97231140290410245</v>
      </c>
      <c r="X3109" s="420"/>
      <c r="Y3109" s="420"/>
      <c r="Z3109" s="1"/>
      <c r="AA3109" s="1"/>
      <c r="AB3109" s="1"/>
      <c r="AC3109" s="1"/>
      <c r="AD3109" s="1"/>
    </row>
    <row r="3110" spans="17:30">
      <c r="Q3110" s="6">
        <v>3080</v>
      </c>
      <c r="R3110" s="7">
        <v>45747</v>
      </c>
      <c r="S3110" s="210">
        <v>4</v>
      </c>
      <c r="T3110" s="8">
        <v>1.0001111111111112</v>
      </c>
      <c r="U3110" s="98">
        <v>3.8953398988787802</v>
      </c>
      <c r="V3110" s="106">
        <v>33396.818699418793</v>
      </c>
      <c r="W3110" s="10">
        <v>0.9723609005705347</v>
      </c>
      <c r="X3110" s="420"/>
      <c r="Y3110" s="420"/>
      <c r="Z3110" s="1"/>
      <c r="AA3110" s="1"/>
      <c r="AB3110" s="1"/>
      <c r="AC3110" s="1"/>
      <c r="AD3110" s="1"/>
    </row>
    <row r="3111" spans="17:30">
      <c r="Q3111" s="6">
        <v>3081</v>
      </c>
      <c r="R3111" s="7">
        <v>45748</v>
      </c>
      <c r="S3111" s="210">
        <v>4</v>
      </c>
      <c r="T3111" s="8">
        <v>1.0001111111111112</v>
      </c>
      <c r="U3111" s="98">
        <v>3.8954187879897129</v>
      </c>
      <c r="V3111" s="106">
        <v>33399.50586125339</v>
      </c>
      <c r="W3111" s="10">
        <v>0.97241036613031628</v>
      </c>
      <c r="X3111" s="420"/>
      <c r="Y3111" s="420"/>
      <c r="Z3111" s="1"/>
      <c r="AA3111" s="1"/>
      <c r="AB3111" s="1"/>
      <c r="AC3111" s="1"/>
      <c r="AD3111" s="1"/>
    </row>
    <row r="3112" spans="17:30">
      <c r="Q3112" s="6">
        <v>3082</v>
      </c>
      <c r="R3112" s="7">
        <v>45749</v>
      </c>
      <c r="S3112" s="210">
        <v>4</v>
      </c>
      <c r="T3112" s="8">
        <v>1.0001111111111112</v>
      </c>
      <c r="U3112" s="98">
        <v>3.8954976259670371</v>
      </c>
      <c r="V3112" s="106">
        <v>33402.193239301356</v>
      </c>
      <c r="W3112" s="10">
        <v>0.97245979961466666</v>
      </c>
      <c r="X3112" s="420"/>
      <c r="Y3112" s="420"/>
      <c r="Z3112" s="1"/>
      <c r="AA3112" s="1"/>
      <c r="AB3112" s="1"/>
      <c r="AC3112" s="1"/>
      <c r="AD3112" s="1"/>
    </row>
    <row r="3113" spans="17:30">
      <c r="Q3113" s="6">
        <v>3083</v>
      </c>
      <c r="R3113" s="7">
        <v>45750</v>
      </c>
      <c r="S3113" s="210">
        <v>4</v>
      </c>
      <c r="T3113" s="8">
        <v>1.0001111111111112</v>
      </c>
      <c r="U3113" s="98">
        <v>3.8955764128604464</v>
      </c>
      <c r="V3113" s="106">
        <v>33404.880833580086</v>
      </c>
      <c r="W3113" s="10">
        <v>0.97250920105476091</v>
      </c>
      <c r="X3113" s="420"/>
      <c r="Y3113" s="420"/>
      <c r="Z3113" s="1"/>
      <c r="AA3113" s="1"/>
      <c r="AB3113" s="1"/>
      <c r="AC3113" s="1"/>
      <c r="AD3113" s="1"/>
    </row>
    <row r="3114" spans="17:30">
      <c r="Q3114" s="6">
        <v>3084</v>
      </c>
      <c r="R3114" s="7">
        <v>45751</v>
      </c>
      <c r="S3114" s="210">
        <v>4</v>
      </c>
      <c r="T3114" s="8">
        <v>1.0001111111111112</v>
      </c>
      <c r="U3114" s="98">
        <v>3.8956551487195901</v>
      </c>
      <c r="V3114" s="106">
        <v>33407.568644106985</v>
      </c>
      <c r="W3114" s="10">
        <v>0.97255857048175187</v>
      </c>
      <c r="X3114" s="420"/>
      <c r="Y3114" s="420"/>
      <c r="Z3114" s="1"/>
      <c r="AA3114" s="1"/>
      <c r="AB3114" s="1"/>
      <c r="AC3114" s="1"/>
      <c r="AD3114" s="1"/>
    </row>
    <row r="3115" spans="17:30">
      <c r="Q3115" s="6">
        <v>3085</v>
      </c>
      <c r="R3115" s="7">
        <v>45752</v>
      </c>
      <c r="S3115" s="210">
        <v>4</v>
      </c>
      <c r="T3115" s="8">
        <v>1.0001111111111112</v>
      </c>
      <c r="U3115" s="98">
        <v>3.8957338335940284</v>
      </c>
      <c r="V3115" s="106">
        <v>33410.256670899449</v>
      </c>
      <c r="W3115" s="10">
        <v>0.97260790792674801</v>
      </c>
      <c r="X3115" s="420"/>
      <c r="Y3115" s="420"/>
      <c r="Z3115" s="1"/>
      <c r="AA3115" s="1"/>
      <c r="AB3115" s="1"/>
      <c r="AC3115" s="1"/>
      <c r="AD3115" s="1"/>
    </row>
    <row r="3116" spans="17:30">
      <c r="Q3116" s="6">
        <v>3086</v>
      </c>
      <c r="R3116" s="7">
        <v>45753</v>
      </c>
      <c r="S3116" s="210">
        <v>4</v>
      </c>
      <c r="T3116" s="8">
        <v>1.0001111111111112</v>
      </c>
      <c r="U3116" s="98">
        <v>3.8958124675332551</v>
      </c>
      <c r="V3116" s="106">
        <v>33412.944913974876</v>
      </c>
      <c r="W3116" s="10">
        <v>0.97265721342079114</v>
      </c>
      <c r="X3116" s="420"/>
      <c r="Y3116" s="420"/>
      <c r="Z3116" s="1"/>
      <c r="AA3116" s="1"/>
      <c r="AB3116" s="1"/>
      <c r="AC3116" s="1"/>
      <c r="AD3116" s="1"/>
    </row>
    <row r="3117" spans="17:30">
      <c r="Q3117" s="6">
        <v>3087</v>
      </c>
      <c r="R3117" s="7">
        <v>45754</v>
      </c>
      <c r="S3117" s="210">
        <v>4</v>
      </c>
      <c r="T3117" s="8">
        <v>1.0001111111111112</v>
      </c>
      <c r="U3117" s="98">
        <v>3.8958910505867195</v>
      </c>
      <c r="V3117" s="106">
        <v>33415.633373350676</v>
      </c>
      <c r="W3117" s="10">
        <v>0.97270648699494533</v>
      </c>
      <c r="X3117" s="420"/>
      <c r="Y3117" s="420"/>
      <c r="Z3117" s="1"/>
      <c r="AA3117" s="1"/>
      <c r="AB3117" s="1"/>
      <c r="AC3117" s="1"/>
      <c r="AD3117" s="1"/>
    </row>
    <row r="3118" spans="17:30">
      <c r="Q3118" s="6">
        <v>3088</v>
      </c>
      <c r="R3118" s="7">
        <v>45755</v>
      </c>
      <c r="S3118" s="210">
        <v>4</v>
      </c>
      <c r="T3118" s="8">
        <v>1.0001111111111112</v>
      </c>
      <c r="U3118" s="98">
        <v>3.8959695828038043</v>
      </c>
      <c r="V3118" s="106">
        <v>33418.322049044247</v>
      </c>
      <c r="W3118" s="10">
        <v>0.97275572868018578</v>
      </c>
      <c r="X3118" s="420"/>
      <c r="Y3118" s="420"/>
      <c r="Z3118" s="1"/>
      <c r="AA3118" s="1"/>
      <c r="AB3118" s="1"/>
      <c r="AC3118" s="1"/>
      <c r="AD3118" s="1"/>
    </row>
    <row r="3119" spans="17:30">
      <c r="Q3119" s="6">
        <v>3089</v>
      </c>
      <c r="R3119" s="7">
        <v>45756</v>
      </c>
      <c r="S3119" s="210">
        <v>4</v>
      </c>
      <c r="T3119" s="8">
        <v>1.0001111111111112</v>
      </c>
      <c r="U3119" s="98">
        <v>3.8960480642338258</v>
      </c>
      <c r="V3119" s="106">
        <v>33421.010941072993</v>
      </c>
      <c r="W3119" s="10">
        <v>0.97280493850744332</v>
      </c>
      <c r="X3119" s="420"/>
      <c r="Y3119" s="420"/>
      <c r="Z3119" s="1"/>
      <c r="AA3119" s="1"/>
      <c r="AB3119" s="1"/>
      <c r="AC3119" s="1"/>
      <c r="AD3119" s="1"/>
    </row>
    <row r="3120" spans="17:30">
      <c r="Q3120" s="6">
        <v>3090</v>
      </c>
      <c r="R3120" s="7">
        <v>45757</v>
      </c>
      <c r="S3120" s="210">
        <v>4</v>
      </c>
      <c r="T3120" s="8">
        <v>1.0001111111111112</v>
      </c>
      <c r="U3120" s="98">
        <v>3.8961264949260332</v>
      </c>
      <c r="V3120" s="106">
        <v>33423.700049454324</v>
      </c>
      <c r="W3120" s="10">
        <v>0.97285411650767095</v>
      </c>
      <c r="X3120" s="420"/>
      <c r="Y3120" s="420"/>
      <c r="Z3120" s="1"/>
      <c r="AA3120" s="1"/>
      <c r="AB3120" s="1"/>
      <c r="AC3120" s="1"/>
      <c r="AD3120" s="1"/>
    </row>
    <row r="3121" spans="17:30">
      <c r="Q3121" s="6">
        <v>3091</v>
      </c>
      <c r="R3121" s="7">
        <v>45758</v>
      </c>
      <c r="S3121" s="210">
        <v>4</v>
      </c>
      <c r="T3121" s="8">
        <v>1.0001111111111112</v>
      </c>
      <c r="U3121" s="98">
        <v>3.8962048749296097</v>
      </c>
      <c r="V3121" s="106">
        <v>33426.389374205646</v>
      </c>
      <c r="W3121" s="10">
        <v>0.97290326271168848</v>
      </c>
      <c r="X3121" s="420"/>
      <c r="Y3121" s="420"/>
      <c r="Z3121" s="1"/>
      <c r="AA3121" s="1"/>
      <c r="AB3121" s="1"/>
      <c r="AC3121" s="1"/>
      <c r="AD3121" s="1"/>
    </row>
    <row r="3122" spans="17:30">
      <c r="Q3122" s="6">
        <v>3092</v>
      </c>
      <c r="R3122" s="7">
        <v>45759</v>
      </c>
      <c r="S3122" s="210">
        <v>4</v>
      </c>
      <c r="T3122" s="8">
        <v>1.0001111111111112</v>
      </c>
      <c r="U3122" s="98">
        <v>3.8962832042936935</v>
      </c>
      <c r="V3122" s="106">
        <v>33429.078915344377</v>
      </c>
      <c r="W3122" s="10">
        <v>0.97295237715033789</v>
      </c>
      <c r="X3122" s="420"/>
      <c r="Y3122" s="420"/>
      <c r="Z3122" s="1"/>
      <c r="AA3122" s="1"/>
      <c r="AB3122" s="1"/>
      <c r="AC3122" s="1"/>
      <c r="AD3122" s="1"/>
    </row>
    <row r="3123" spans="17:30">
      <c r="Q3123" s="6">
        <v>3093</v>
      </c>
      <c r="R3123" s="7">
        <v>45760</v>
      </c>
      <c r="S3123" s="210">
        <v>4</v>
      </c>
      <c r="T3123" s="8">
        <v>1.0001111111111112</v>
      </c>
      <c r="U3123" s="98">
        <v>3.8963614830673121</v>
      </c>
      <c r="V3123" s="106">
        <v>33431.768672887913</v>
      </c>
      <c r="W3123" s="10">
        <v>0.97300145985439457</v>
      </c>
      <c r="X3123" s="420"/>
      <c r="Y3123" s="420"/>
      <c r="Z3123" s="1"/>
      <c r="AA3123" s="1"/>
      <c r="AB3123" s="1"/>
      <c r="AC3123" s="1"/>
      <c r="AD3123" s="1"/>
    </row>
    <row r="3124" spans="17:30">
      <c r="Q3124" s="6">
        <v>3094</v>
      </c>
      <c r="R3124" s="7">
        <v>45761</v>
      </c>
      <c r="S3124" s="210">
        <v>4</v>
      </c>
      <c r="T3124" s="8">
        <v>1.0001111111111112</v>
      </c>
      <c r="U3124" s="98">
        <v>3.8964397112994931</v>
      </c>
      <c r="V3124" s="106">
        <v>33434.45864685368</v>
      </c>
      <c r="W3124" s="10">
        <v>0.9730505108546339</v>
      </c>
      <c r="X3124" s="420"/>
      <c r="Y3124" s="420"/>
      <c r="Z3124" s="1"/>
      <c r="AA3124" s="1"/>
      <c r="AB3124" s="1"/>
      <c r="AC3124" s="1"/>
      <c r="AD3124" s="1"/>
    </row>
    <row r="3125" spans="17:30">
      <c r="Q3125" s="6">
        <v>3095</v>
      </c>
      <c r="R3125" s="7">
        <v>45762</v>
      </c>
      <c r="S3125" s="210">
        <v>4</v>
      </c>
      <c r="T3125" s="8">
        <v>1.0001111111111112</v>
      </c>
      <c r="U3125" s="98">
        <v>3.8965178890391527</v>
      </c>
      <c r="V3125" s="106">
        <v>33437.148837259083</v>
      </c>
      <c r="W3125" s="10">
        <v>0.97309953018174244</v>
      </c>
      <c r="X3125" s="420"/>
      <c r="Y3125" s="420"/>
      <c r="Z3125" s="1"/>
      <c r="AA3125" s="1"/>
      <c r="AB3125" s="1"/>
      <c r="AC3125" s="1"/>
      <c r="AD3125" s="1"/>
    </row>
    <row r="3126" spans="17:30">
      <c r="Q3126" s="6">
        <v>3096</v>
      </c>
      <c r="R3126" s="7">
        <v>45763</v>
      </c>
      <c r="S3126" s="210">
        <v>4</v>
      </c>
      <c r="T3126" s="8">
        <v>1.0001111111111112</v>
      </c>
      <c r="U3126" s="98">
        <v>3.8965960163351632</v>
      </c>
      <c r="V3126" s="106">
        <v>33439.83924412154</v>
      </c>
      <c r="W3126" s="10">
        <v>0.97314851786640677</v>
      </c>
      <c r="X3126" s="420"/>
      <c r="Y3126" s="420"/>
      <c r="Z3126" s="1"/>
      <c r="AA3126" s="1"/>
      <c r="AB3126" s="1"/>
      <c r="AC3126" s="1"/>
      <c r="AD3126" s="1"/>
    </row>
    <row r="3127" spans="17:30">
      <c r="Q3127" s="6">
        <v>3097</v>
      </c>
      <c r="R3127" s="7">
        <v>45764</v>
      </c>
      <c r="S3127" s="210">
        <v>4</v>
      </c>
      <c r="T3127" s="8">
        <v>1.0001111111111112</v>
      </c>
      <c r="U3127" s="98">
        <v>3.8966740932363297</v>
      </c>
      <c r="V3127" s="106">
        <v>33442.52986745847</v>
      </c>
      <c r="W3127" s="10">
        <v>0.97319747393922462</v>
      </c>
      <c r="X3127" s="420"/>
      <c r="Y3127" s="420"/>
      <c r="Z3127" s="1"/>
      <c r="AA3127" s="1"/>
      <c r="AB3127" s="1"/>
      <c r="AC3127" s="1"/>
      <c r="AD3127" s="1"/>
    </row>
    <row r="3128" spans="17:30">
      <c r="Q3128" s="6">
        <v>3098</v>
      </c>
      <c r="R3128" s="7">
        <v>45765</v>
      </c>
      <c r="S3128" s="210">
        <v>4</v>
      </c>
      <c r="T3128" s="8">
        <v>1.0001111111111112</v>
      </c>
      <c r="U3128" s="98">
        <v>3.8967521197914134</v>
      </c>
      <c r="V3128" s="106">
        <v>33445.220707287284</v>
      </c>
      <c r="W3128" s="10">
        <v>0.97324639843081595</v>
      </c>
      <c r="X3128" s="420"/>
      <c r="Y3128" s="420"/>
      <c r="Z3128" s="1"/>
      <c r="AA3128" s="1"/>
      <c r="AB3128" s="1"/>
      <c r="AC3128" s="1"/>
      <c r="AD3128" s="1"/>
    </row>
    <row r="3129" spans="17:30">
      <c r="Q3129" s="6">
        <v>3099</v>
      </c>
      <c r="R3129" s="7">
        <v>45766</v>
      </c>
      <c r="S3129" s="210">
        <v>4</v>
      </c>
      <c r="T3129" s="8">
        <v>1.0001111111111112</v>
      </c>
      <c r="U3129" s="98">
        <v>3.8968300960490643</v>
      </c>
      <c r="V3129" s="106">
        <v>33447.911763625409</v>
      </c>
      <c r="W3129" s="10">
        <v>0.97329529137168969</v>
      </c>
      <c r="X3129" s="420"/>
      <c r="Y3129" s="420"/>
      <c r="Z3129" s="1"/>
      <c r="AA3129" s="1"/>
      <c r="AB3129" s="1"/>
      <c r="AC3129" s="1"/>
      <c r="AD3129" s="1"/>
    </row>
    <row r="3130" spans="17:30">
      <c r="Q3130" s="6">
        <v>3100</v>
      </c>
      <c r="R3130" s="7">
        <v>45767</v>
      </c>
      <c r="S3130" s="210">
        <v>4</v>
      </c>
      <c r="T3130" s="8">
        <v>1.0001111111111112</v>
      </c>
      <c r="U3130" s="98">
        <v>3.8969080220579322</v>
      </c>
      <c r="V3130" s="106">
        <v>33450.603036490269</v>
      </c>
      <c r="W3130" s="10">
        <v>0.97334415279239916</v>
      </c>
      <c r="X3130" s="420"/>
      <c r="Y3130" s="420"/>
      <c r="Z3130" s="1"/>
      <c r="AA3130" s="1"/>
      <c r="AB3130" s="1"/>
      <c r="AC3130" s="1"/>
      <c r="AD3130" s="1"/>
    </row>
    <row r="3131" spans="17:30">
      <c r="Q3131" s="6">
        <v>3101</v>
      </c>
      <c r="R3131" s="7">
        <v>45768</v>
      </c>
      <c r="S3131" s="210">
        <v>4</v>
      </c>
      <c r="T3131" s="8">
        <v>1.0001111111111112</v>
      </c>
      <c r="U3131" s="98">
        <v>3.8969858978665561</v>
      </c>
      <c r="V3131" s="106">
        <v>33453.29452589927</v>
      </c>
      <c r="W3131" s="10">
        <v>0.97339298272340891</v>
      </c>
      <c r="X3131" s="420"/>
      <c r="Y3131" s="420"/>
      <c r="Z3131" s="1"/>
      <c r="AA3131" s="1"/>
      <c r="AB3131" s="1"/>
      <c r="AC3131" s="1"/>
      <c r="AD3131" s="1"/>
    </row>
    <row r="3132" spans="17:30">
      <c r="Q3132" s="6">
        <v>3102</v>
      </c>
      <c r="R3132" s="7">
        <v>45769</v>
      </c>
      <c r="S3132" s="210">
        <v>4</v>
      </c>
      <c r="T3132" s="8">
        <v>1.0001111111111112</v>
      </c>
      <c r="U3132" s="98">
        <v>3.8970637235234307</v>
      </c>
      <c r="V3132" s="106">
        <v>33455.986231869843</v>
      </c>
      <c r="W3132" s="10">
        <v>0.97344178119513902</v>
      </c>
      <c r="X3132" s="420"/>
      <c r="Y3132" s="420"/>
      <c r="Z3132" s="1"/>
      <c r="AA3132" s="1"/>
      <c r="AB3132" s="1"/>
      <c r="AC3132" s="1"/>
      <c r="AD3132" s="1"/>
    </row>
    <row r="3133" spans="17:30">
      <c r="Q3133" s="6">
        <v>3103</v>
      </c>
      <c r="R3133" s="7">
        <v>45770</v>
      </c>
      <c r="S3133" s="210">
        <v>4</v>
      </c>
      <c r="T3133" s="8">
        <v>1.0001111111111112</v>
      </c>
      <c r="U3133" s="98">
        <v>3.8971414990769837</v>
      </c>
      <c r="V3133" s="106">
        <v>33458.678154419416</v>
      </c>
      <c r="W3133" s="10">
        <v>0.97349054823796521</v>
      </c>
      <c r="X3133" s="420"/>
      <c r="Y3133" s="420"/>
      <c r="Z3133" s="1"/>
      <c r="AA3133" s="1"/>
      <c r="AB3133" s="1"/>
      <c r="AC3133" s="1"/>
      <c r="AD3133" s="1"/>
    </row>
    <row r="3134" spans="17:30">
      <c r="Q3134" s="6">
        <v>3104</v>
      </c>
      <c r="R3134" s="7">
        <v>45771</v>
      </c>
      <c r="S3134" s="210">
        <v>4</v>
      </c>
      <c r="T3134" s="8">
        <v>1.0001111111111112</v>
      </c>
      <c r="U3134" s="98">
        <v>3.8972192245755988</v>
      </c>
      <c r="V3134" s="106">
        <v>33461.370293565415</v>
      </c>
      <c r="W3134" s="10">
        <v>0.97353928388228539</v>
      </c>
      <c r="X3134" s="420"/>
      <c r="Y3134" s="420"/>
      <c r="Z3134" s="1"/>
      <c r="AA3134" s="1"/>
      <c r="AB3134" s="1"/>
      <c r="AC3134" s="1"/>
      <c r="AD3134" s="1"/>
    </row>
    <row r="3135" spans="17:30">
      <c r="Q3135" s="6">
        <v>3105</v>
      </c>
      <c r="R3135" s="7">
        <v>45772</v>
      </c>
      <c r="S3135" s="210">
        <v>4</v>
      </c>
      <c r="T3135" s="8">
        <v>1.0001111111111112</v>
      </c>
      <c r="U3135" s="98">
        <v>3.8972969000675706</v>
      </c>
      <c r="V3135" s="106">
        <v>33464.062649325271</v>
      </c>
      <c r="W3135" s="10">
        <v>0.97358798815838643</v>
      </c>
      <c r="X3135" s="420"/>
      <c r="Y3135" s="420"/>
      <c r="Z3135" s="1"/>
      <c r="AA3135" s="1"/>
      <c r="AB3135" s="1"/>
      <c r="AC3135" s="1"/>
      <c r="AD3135" s="1"/>
    </row>
    <row r="3136" spans="17:30">
      <c r="Q3136" s="6">
        <v>3106</v>
      </c>
      <c r="R3136" s="7">
        <v>45773</v>
      </c>
      <c r="S3136" s="210">
        <v>4</v>
      </c>
      <c r="T3136" s="8">
        <v>1.0001111111111112</v>
      </c>
      <c r="U3136" s="98">
        <v>3.8973745256011272</v>
      </c>
      <c r="V3136" s="106">
        <v>33466.755221716405</v>
      </c>
      <c r="W3136" s="10">
        <v>0.97363666109651081</v>
      </c>
      <c r="X3136" s="420"/>
      <c r="Y3136" s="420"/>
      <c r="Z3136" s="1"/>
      <c r="AA3136" s="1"/>
      <c r="AB3136" s="1"/>
      <c r="AC3136" s="1"/>
      <c r="AD3136" s="1"/>
    </row>
    <row r="3137" spans="17:30">
      <c r="Q3137" s="6">
        <v>3107</v>
      </c>
      <c r="R3137" s="7">
        <v>45774</v>
      </c>
      <c r="S3137" s="210">
        <v>4</v>
      </c>
      <c r="T3137" s="8">
        <v>1.0001111111111112</v>
      </c>
      <c r="U3137" s="98">
        <v>3.8974521012244745</v>
      </c>
      <c r="V3137" s="106">
        <v>33469.448010756249</v>
      </c>
      <c r="W3137" s="10">
        <v>0.97368530272694542</v>
      </c>
      <c r="X3137" s="420"/>
      <c r="Y3137" s="420"/>
      <c r="Z3137" s="1"/>
      <c r="AA3137" s="1"/>
      <c r="AB3137" s="1"/>
      <c r="AC3137" s="1"/>
      <c r="AD3137" s="1"/>
    </row>
    <row r="3138" spans="17:30">
      <c r="Q3138" s="6">
        <v>3108</v>
      </c>
      <c r="R3138" s="7">
        <v>45775</v>
      </c>
      <c r="S3138" s="210">
        <v>4</v>
      </c>
      <c r="T3138" s="8">
        <v>1.0001111111111112</v>
      </c>
      <c r="U3138" s="98">
        <v>3.8975296269857296</v>
      </c>
      <c r="V3138" s="106">
        <v>33472.141016462243</v>
      </c>
      <c r="W3138" s="10">
        <v>0.97373391307986612</v>
      </c>
      <c r="X3138" s="420"/>
      <c r="Y3138" s="420"/>
      <c r="Z3138" s="1"/>
      <c r="AA3138" s="1"/>
      <c r="AB3138" s="1"/>
      <c r="AC3138" s="1"/>
      <c r="AD3138" s="1"/>
    </row>
    <row r="3139" spans="17:30">
      <c r="Q3139" s="6">
        <v>3109</v>
      </c>
      <c r="R3139" s="7">
        <v>45776</v>
      </c>
      <c r="S3139" s="210">
        <v>4</v>
      </c>
      <c r="T3139" s="8">
        <v>1.0001111111111112</v>
      </c>
      <c r="U3139" s="98">
        <v>3.8976071029329429</v>
      </c>
      <c r="V3139" s="106">
        <v>33474.834238851814</v>
      </c>
      <c r="W3139" s="10">
        <v>0.97378249218542656</v>
      </c>
      <c r="X3139" s="420"/>
      <c r="Y3139" s="420"/>
      <c r="Z3139" s="1"/>
      <c r="AA3139" s="1"/>
      <c r="AB3139" s="1"/>
      <c r="AC3139" s="1"/>
      <c r="AD3139" s="1"/>
    </row>
    <row r="3140" spans="17:30">
      <c r="Q3140" s="6">
        <v>3110</v>
      </c>
      <c r="R3140" s="7">
        <v>45777</v>
      </c>
      <c r="S3140" s="210">
        <v>4</v>
      </c>
      <c r="T3140" s="8">
        <v>1.0001111111111112</v>
      </c>
      <c r="U3140" s="98">
        <v>3.8976845291141204</v>
      </c>
      <c r="V3140" s="106">
        <v>33477.527677942395</v>
      </c>
      <c r="W3140" s="10">
        <v>0.97383104007378041</v>
      </c>
      <c r="X3140" s="420"/>
      <c r="Y3140" s="420"/>
      <c r="Z3140" s="1"/>
      <c r="AA3140" s="1"/>
      <c r="AB3140" s="1"/>
      <c r="AC3140" s="1"/>
      <c r="AD3140" s="1"/>
    </row>
    <row r="3141" spans="17:30">
      <c r="Q3141" s="6">
        <v>3111</v>
      </c>
      <c r="R3141" s="7">
        <v>45778</v>
      </c>
      <c r="S3141" s="210">
        <v>4</v>
      </c>
      <c r="T3141" s="8">
        <v>1.0001111111111112</v>
      </c>
      <c r="U3141" s="98">
        <v>3.8977619055771795</v>
      </c>
      <c r="V3141" s="106">
        <v>33480.221333751419</v>
      </c>
      <c r="W3141" s="10">
        <v>0.97387955677494809</v>
      </c>
      <c r="X3141" s="420"/>
      <c r="Y3141" s="420"/>
      <c r="Z3141" s="1"/>
      <c r="AA3141" s="1"/>
      <c r="AB3141" s="1"/>
      <c r="AC3141" s="1"/>
      <c r="AD3141" s="1"/>
    </row>
    <row r="3142" spans="17:30">
      <c r="Q3142" s="6">
        <v>3112</v>
      </c>
      <c r="R3142" s="7">
        <v>45779</v>
      </c>
      <c r="S3142" s="210">
        <v>4</v>
      </c>
      <c r="T3142" s="8">
        <v>1.0001111111111112</v>
      </c>
      <c r="U3142" s="98">
        <v>3.8978392323700151</v>
      </c>
      <c r="V3142" s="106">
        <v>33482.915206296333</v>
      </c>
      <c r="W3142" s="10">
        <v>0.97392804231903884</v>
      </c>
      <c r="X3142" s="420"/>
      <c r="Y3142" s="420"/>
      <c r="Z3142" s="1"/>
      <c r="AA3142" s="1"/>
      <c r="AB3142" s="1"/>
      <c r="AC3142" s="1"/>
      <c r="AD3142" s="1"/>
    </row>
    <row r="3143" spans="17:30">
      <c r="Q3143" s="6">
        <v>3113</v>
      </c>
      <c r="R3143" s="7">
        <v>45780</v>
      </c>
      <c r="S3143" s="210">
        <v>4</v>
      </c>
      <c r="T3143" s="8">
        <v>1.0001111111111112</v>
      </c>
      <c r="U3143" s="98">
        <v>3.8979165095404111</v>
      </c>
      <c r="V3143" s="106">
        <v>33485.609295594571</v>
      </c>
      <c r="W3143" s="10">
        <v>0.9739764967360065</v>
      </c>
      <c r="X3143" s="420"/>
      <c r="Y3143" s="420"/>
      <c r="Z3143" s="1"/>
      <c r="AA3143" s="1"/>
      <c r="AB3143" s="1"/>
      <c r="AC3143" s="1"/>
      <c r="AD3143" s="1"/>
    </row>
    <row r="3144" spans="17:30">
      <c r="Q3144" s="6">
        <v>3114</v>
      </c>
      <c r="R3144" s="7">
        <v>45781</v>
      </c>
      <c r="S3144" s="210">
        <v>4</v>
      </c>
      <c r="T3144" s="8">
        <v>1.0001111111111112</v>
      </c>
      <c r="U3144" s="98">
        <v>3.8979937371361517</v>
      </c>
      <c r="V3144" s="106">
        <v>33488.303601663582</v>
      </c>
      <c r="W3144" s="10">
        <v>0.97402492005582708</v>
      </c>
      <c r="X3144" s="420"/>
      <c r="Y3144" s="420"/>
      <c r="Z3144" s="1"/>
      <c r="AA3144" s="1"/>
      <c r="AB3144" s="1"/>
      <c r="AC3144" s="1"/>
      <c r="AD3144" s="1"/>
    </row>
    <row r="3145" spans="17:30">
      <c r="Q3145" s="6">
        <v>3115</v>
      </c>
      <c r="R3145" s="7">
        <v>45782</v>
      </c>
      <c r="S3145" s="210">
        <v>4</v>
      </c>
      <c r="T3145" s="8">
        <v>1.0001111111111112</v>
      </c>
      <c r="U3145" s="98">
        <v>3.8980709152049098</v>
      </c>
      <c r="V3145" s="106">
        <v>33490.998124520789</v>
      </c>
      <c r="W3145" s="10">
        <v>0.9740733123084544</v>
      </c>
      <c r="X3145" s="420"/>
      <c r="Y3145" s="420"/>
      <c r="Z3145" s="1"/>
      <c r="AA3145" s="1"/>
      <c r="AB3145" s="1"/>
      <c r="AC3145" s="1"/>
      <c r="AD3145" s="1"/>
    </row>
    <row r="3146" spans="17:30">
      <c r="Q3146" s="6">
        <v>3116</v>
      </c>
      <c r="R3146" s="7">
        <v>45783</v>
      </c>
      <c r="S3146" s="210">
        <v>4</v>
      </c>
      <c r="T3146" s="8">
        <v>1.0001111111111112</v>
      </c>
      <c r="U3146" s="98">
        <v>3.8981480437943139</v>
      </c>
      <c r="V3146" s="106">
        <v>33493.692864183657</v>
      </c>
      <c r="W3146" s="10">
        <v>0.97412167352373125</v>
      </c>
      <c r="X3146" s="420"/>
      <c r="Y3146" s="420"/>
      <c r="Z3146" s="1"/>
      <c r="AA3146" s="1"/>
      <c r="AB3146" s="1"/>
      <c r="AC3146" s="1"/>
      <c r="AD3146" s="1"/>
    </row>
    <row r="3147" spans="17:30">
      <c r="Q3147" s="6">
        <v>3117</v>
      </c>
      <c r="R3147" s="7">
        <v>45784</v>
      </c>
      <c r="S3147" s="210">
        <v>4</v>
      </c>
      <c r="T3147" s="8">
        <v>1.0001111111111112</v>
      </c>
      <c r="U3147" s="98">
        <v>3.898225122951926</v>
      </c>
      <c r="V3147" s="106">
        <v>33496.387820669603</v>
      </c>
      <c r="W3147" s="10">
        <v>0.97417000373154483</v>
      </c>
      <c r="X3147" s="420"/>
      <c r="Y3147" s="420"/>
      <c r="Z3147" s="1"/>
      <c r="AA3147" s="1"/>
      <c r="AB3147" s="1"/>
      <c r="AC3147" s="1"/>
      <c r="AD3147" s="1"/>
    </row>
    <row r="3148" spans="17:30">
      <c r="Q3148" s="6">
        <v>3118</v>
      </c>
      <c r="R3148" s="7">
        <v>45785</v>
      </c>
      <c r="S3148" s="210">
        <v>4</v>
      </c>
      <c r="T3148" s="8">
        <v>1.0001111111111112</v>
      </c>
      <c r="U3148" s="98">
        <v>3.8983021527252415</v>
      </c>
      <c r="V3148" s="106">
        <v>33499.082993996104</v>
      </c>
      <c r="W3148" s="10">
        <v>0.97421830296169354</v>
      </c>
      <c r="X3148" s="420"/>
      <c r="Y3148" s="420"/>
      <c r="Z3148" s="1"/>
      <c r="AA3148" s="1"/>
      <c r="AB3148" s="1"/>
      <c r="AC3148" s="1"/>
      <c r="AD3148" s="1"/>
    </row>
    <row r="3149" spans="17:30">
      <c r="Q3149" s="6">
        <v>3119</v>
      </c>
      <c r="R3149" s="7">
        <v>45786</v>
      </c>
      <c r="S3149" s="210">
        <v>4</v>
      </c>
      <c r="T3149" s="8">
        <v>1.0001111111111112</v>
      </c>
      <c r="U3149" s="98">
        <v>3.8983791331617335</v>
      </c>
      <c r="V3149" s="106">
        <v>33501.778384180587</v>
      </c>
      <c r="W3149" s="10">
        <v>0.97426657124393135</v>
      </c>
      <c r="X3149" s="420"/>
      <c r="Y3149" s="420"/>
      <c r="Z3149" s="1"/>
      <c r="AA3149" s="1"/>
      <c r="AB3149" s="1"/>
      <c r="AC3149" s="1"/>
      <c r="AD3149" s="1"/>
    </row>
    <row r="3150" spans="17:30">
      <c r="Q3150" s="6">
        <v>3120</v>
      </c>
      <c r="R3150" s="7">
        <v>45787</v>
      </c>
      <c r="S3150" s="210">
        <v>4</v>
      </c>
      <c r="T3150" s="8">
        <v>1.0001111111111112</v>
      </c>
      <c r="U3150" s="98">
        <v>3.898456064308764</v>
      </c>
      <c r="V3150" s="106">
        <v>33504.473991240513</v>
      </c>
      <c r="W3150" s="10">
        <v>0.97431480860803443</v>
      </c>
      <c r="X3150" s="420"/>
      <c r="Y3150" s="420"/>
      <c r="Z3150" s="1"/>
      <c r="AA3150" s="1"/>
      <c r="AB3150" s="1"/>
      <c r="AC3150" s="1"/>
      <c r="AD3150" s="1"/>
    </row>
    <row r="3151" spans="17:30">
      <c r="Q3151" s="6">
        <v>3121</v>
      </c>
      <c r="R3151" s="7">
        <v>45788</v>
      </c>
      <c r="S3151" s="210">
        <v>4</v>
      </c>
      <c r="T3151" s="8">
        <v>1.0001111111111112</v>
      </c>
      <c r="U3151" s="98">
        <v>3.8985329462136731</v>
      </c>
      <c r="V3151" s="106">
        <v>33507.169815193316</v>
      </c>
      <c r="W3151" s="10">
        <v>0.97436301508366796</v>
      </c>
      <c r="X3151" s="420"/>
      <c r="Y3151" s="420"/>
      <c r="Z3151" s="1"/>
      <c r="AA3151" s="1"/>
      <c r="AB3151" s="1"/>
      <c r="AC3151" s="1"/>
      <c r="AD3151" s="1"/>
    </row>
    <row r="3152" spans="17:30">
      <c r="Q3152" s="6">
        <v>3122</v>
      </c>
      <c r="R3152" s="7">
        <v>45789</v>
      </c>
      <c r="S3152" s="210">
        <v>4</v>
      </c>
      <c r="T3152" s="8">
        <v>1.0001111111111112</v>
      </c>
      <c r="U3152" s="98">
        <v>3.8986097789237117</v>
      </c>
      <c r="V3152" s="106">
        <v>33509.865856056458</v>
      </c>
      <c r="W3152" s="10">
        <v>0.97441119070051929</v>
      </c>
      <c r="X3152" s="420"/>
      <c r="Y3152" s="420"/>
      <c r="Z3152" s="1"/>
      <c r="AA3152" s="1"/>
      <c r="AB3152" s="1"/>
      <c r="AC3152" s="1"/>
      <c r="AD3152" s="1"/>
    </row>
    <row r="3153" spans="17:30">
      <c r="Q3153" s="6">
        <v>3123</v>
      </c>
      <c r="R3153" s="7">
        <v>45790</v>
      </c>
      <c r="S3153" s="210">
        <v>4</v>
      </c>
      <c r="T3153" s="8">
        <v>1.0001111111111112</v>
      </c>
      <c r="U3153" s="98">
        <v>3.8986865624860867</v>
      </c>
      <c r="V3153" s="106">
        <v>33512.562113847394</v>
      </c>
      <c r="W3153" s="10">
        <v>0.97445933548816477</v>
      </c>
      <c r="X3153" s="420"/>
      <c r="Y3153" s="420"/>
      <c r="Z3153" s="1"/>
      <c r="AA3153" s="1"/>
      <c r="AB3153" s="1"/>
      <c r="AC3153" s="1"/>
      <c r="AD3153" s="1"/>
    </row>
    <row r="3154" spans="17:30">
      <c r="Q3154" s="6">
        <v>3124</v>
      </c>
      <c r="R3154" s="7">
        <v>45791</v>
      </c>
      <c r="S3154" s="210">
        <v>4</v>
      </c>
      <c r="T3154" s="8">
        <v>1.0001111111111112</v>
      </c>
      <c r="U3154" s="98">
        <v>3.898763296947938</v>
      </c>
      <c r="V3154" s="106">
        <v>33515.25858858358</v>
      </c>
      <c r="W3154" s="10">
        <v>0.97450744947622514</v>
      </c>
      <c r="X3154" s="420"/>
      <c r="Y3154" s="420"/>
      <c r="Z3154" s="1"/>
      <c r="AA3154" s="1"/>
      <c r="AB3154" s="1"/>
      <c r="AC3154" s="1"/>
      <c r="AD3154" s="1"/>
    </row>
    <row r="3155" spans="17:30">
      <c r="Q3155" s="6">
        <v>3125</v>
      </c>
      <c r="R3155" s="7">
        <v>45792</v>
      </c>
      <c r="S3155" s="210">
        <v>4</v>
      </c>
      <c r="T3155" s="8">
        <v>1.0001111111111112</v>
      </c>
      <c r="U3155" s="98">
        <v>3.8988399823563613</v>
      </c>
      <c r="V3155" s="106">
        <v>33517.955280282462</v>
      </c>
      <c r="W3155" s="10">
        <v>0.97455553269425454</v>
      </c>
      <c r="X3155" s="420"/>
      <c r="Y3155" s="420"/>
      <c r="Z3155" s="1"/>
      <c r="AA3155" s="1"/>
      <c r="AB3155" s="1"/>
      <c r="AC3155" s="1"/>
      <c r="AD3155" s="1"/>
    </row>
    <row r="3156" spans="17:30">
      <c r="Q3156" s="6">
        <v>3126</v>
      </c>
      <c r="R3156" s="7">
        <v>45793</v>
      </c>
      <c r="S3156" s="210">
        <v>4</v>
      </c>
      <c r="T3156" s="8">
        <v>1.0001111111111112</v>
      </c>
      <c r="U3156" s="98">
        <v>3.8989166187583635</v>
      </c>
      <c r="V3156" s="106">
        <v>33520.652188961503</v>
      </c>
      <c r="W3156" s="10">
        <v>0.9746035851717183</v>
      </c>
      <c r="X3156" s="420"/>
      <c r="Y3156" s="420"/>
      <c r="Z3156" s="1"/>
      <c r="AA3156" s="1"/>
      <c r="AB3156" s="1"/>
      <c r="AC3156" s="1"/>
      <c r="AD3156" s="1"/>
    </row>
    <row r="3157" spans="17:30">
      <c r="Q3157" s="6">
        <v>3127</v>
      </c>
      <c r="R3157" s="7">
        <v>45794</v>
      </c>
      <c r="S3157" s="210">
        <v>4</v>
      </c>
      <c r="T3157" s="8">
        <v>1.0001111111111112</v>
      </c>
      <c r="U3157" s="98">
        <v>3.8989932062009069</v>
      </c>
      <c r="V3157" s="106">
        <v>33523.349314638159</v>
      </c>
      <c r="W3157" s="10">
        <v>0.97465160693812614</v>
      </c>
      <c r="X3157" s="420"/>
      <c r="Y3157" s="420"/>
      <c r="Z3157" s="1"/>
      <c r="AA3157" s="1"/>
      <c r="AB3157" s="1"/>
      <c r="AC3157" s="1"/>
      <c r="AD3157" s="1"/>
    </row>
    <row r="3158" spans="17:30">
      <c r="Q3158" s="6">
        <v>3128</v>
      </c>
      <c r="R3158" s="7">
        <v>45795</v>
      </c>
      <c r="S3158" s="210">
        <v>4</v>
      </c>
      <c r="T3158" s="8">
        <v>1.0001111111111112</v>
      </c>
      <c r="U3158" s="98">
        <v>3.8990697447309097</v>
      </c>
      <c r="V3158" s="106">
        <v>33526.046657329898</v>
      </c>
      <c r="W3158" s="10">
        <v>0.97469959802289896</v>
      </c>
      <c r="X3158" s="420"/>
      <c r="Y3158" s="420"/>
      <c r="Z3158" s="1"/>
      <c r="AA3158" s="1"/>
      <c r="AB3158" s="1"/>
      <c r="AC3158" s="1"/>
      <c r="AD3158" s="1"/>
    </row>
    <row r="3159" spans="17:30">
      <c r="Q3159" s="6">
        <v>3129</v>
      </c>
      <c r="R3159" s="7">
        <v>45796</v>
      </c>
      <c r="S3159" s="210">
        <v>4</v>
      </c>
      <c r="T3159" s="8">
        <v>1.0001111111111112</v>
      </c>
      <c r="U3159" s="98">
        <v>3.899146234395201</v>
      </c>
      <c r="V3159" s="106">
        <v>33528.744217054169</v>
      </c>
      <c r="W3159" s="10">
        <v>0.97474755845543548</v>
      </c>
      <c r="X3159" s="420"/>
      <c r="Y3159" s="420"/>
      <c r="Z3159" s="1"/>
      <c r="AA3159" s="1"/>
      <c r="AB3159" s="1"/>
      <c r="AC3159" s="1"/>
      <c r="AD3159" s="1"/>
    </row>
    <row r="3160" spans="17:30">
      <c r="Q3160" s="6">
        <v>3130</v>
      </c>
      <c r="R3160" s="7">
        <v>45797</v>
      </c>
      <c r="S3160" s="210">
        <v>4</v>
      </c>
      <c r="T3160" s="8">
        <v>1.0001111111111112</v>
      </c>
      <c r="U3160" s="98">
        <v>3.8992226752405656</v>
      </c>
      <c r="V3160" s="106">
        <v>33531.441993828448</v>
      </c>
      <c r="W3160" s="10">
        <v>0.97479548826508999</v>
      </c>
      <c r="X3160" s="420"/>
      <c r="Y3160" s="420"/>
      <c r="Z3160" s="1"/>
      <c r="AA3160" s="1"/>
      <c r="AB3160" s="1"/>
      <c r="AC3160" s="1"/>
      <c r="AD3160" s="1"/>
    </row>
    <row r="3161" spans="17:30">
      <c r="Q3161" s="6">
        <v>3131</v>
      </c>
      <c r="R3161" s="7">
        <v>45798</v>
      </c>
      <c r="S3161" s="210">
        <v>4</v>
      </c>
      <c r="T3161" s="8">
        <v>1.0001111111111112</v>
      </c>
      <c r="U3161" s="98">
        <v>3.8992990673137218</v>
      </c>
      <c r="V3161" s="106">
        <v>33534.139987670191</v>
      </c>
      <c r="W3161" s="10">
        <v>0.97484338748115018</v>
      </c>
      <c r="X3161" s="420"/>
      <c r="Y3161" s="420"/>
      <c r="Z3161" s="1"/>
      <c r="AA3161" s="1"/>
      <c r="AB3161" s="1"/>
      <c r="AC3161" s="1"/>
      <c r="AD3161" s="1"/>
    </row>
    <row r="3162" spans="17:30">
      <c r="Q3162" s="6">
        <v>3132</v>
      </c>
      <c r="R3162" s="7">
        <v>45799</v>
      </c>
      <c r="S3162" s="210">
        <v>4</v>
      </c>
      <c r="T3162" s="8">
        <v>1.0001111111111112</v>
      </c>
      <c r="U3162" s="98">
        <v>3.8993754106613432</v>
      </c>
      <c r="V3162" s="106">
        <v>33536.838198596859</v>
      </c>
      <c r="W3162" s="10">
        <v>0.97489125613294814</v>
      </c>
      <c r="X3162" s="420"/>
      <c r="Y3162" s="420"/>
      <c r="Z3162" s="1"/>
      <c r="AA3162" s="1"/>
      <c r="AB3162" s="1"/>
      <c r="AC3162" s="1"/>
      <c r="AD3162" s="1"/>
    </row>
    <row r="3163" spans="17:30">
      <c r="Q3163" s="6">
        <v>3133</v>
      </c>
      <c r="R3163" s="7">
        <v>45800</v>
      </c>
      <c r="S3163" s="210">
        <v>4</v>
      </c>
      <c r="T3163" s="8">
        <v>1.0001111111111112</v>
      </c>
      <c r="U3163" s="98">
        <v>3.8994517053300148</v>
      </c>
      <c r="V3163" s="106">
        <v>33539.536626625937</v>
      </c>
      <c r="W3163" s="10">
        <v>0.97493909424970493</v>
      </c>
      <c r="X3163" s="420"/>
      <c r="Y3163" s="420"/>
      <c r="Z3163" s="1"/>
      <c r="AA3163" s="1"/>
      <c r="AB3163" s="1"/>
      <c r="AC3163" s="1"/>
      <c r="AD3163" s="1"/>
    </row>
    <row r="3164" spans="17:30">
      <c r="Q3164" s="6">
        <v>3134</v>
      </c>
      <c r="R3164" s="7">
        <v>45801</v>
      </c>
      <c r="S3164" s="210">
        <v>4</v>
      </c>
      <c r="T3164" s="8">
        <v>1.0001111111111112</v>
      </c>
      <c r="U3164" s="98">
        <v>3.8995279513662995</v>
      </c>
      <c r="V3164" s="106">
        <v>33542.235271774865</v>
      </c>
      <c r="W3164" s="10">
        <v>0.97498690186064163</v>
      </c>
      <c r="X3164" s="420"/>
      <c r="Y3164" s="420"/>
      <c r="Z3164" s="1"/>
      <c r="AA3164" s="1"/>
      <c r="AB3164" s="1"/>
      <c r="AC3164" s="1"/>
      <c r="AD3164" s="1"/>
    </row>
    <row r="3165" spans="17:30">
      <c r="Q3165" s="6">
        <v>3135</v>
      </c>
      <c r="R3165" s="7">
        <v>45802</v>
      </c>
      <c r="S3165" s="210">
        <v>4</v>
      </c>
      <c r="T3165" s="8">
        <v>1.0001111111111112</v>
      </c>
      <c r="U3165" s="98">
        <v>3.8996041488166711</v>
      </c>
      <c r="V3165" s="106">
        <v>33544.934134061143</v>
      </c>
      <c r="W3165" s="10">
        <v>0.9750346789949127</v>
      </c>
      <c r="X3165" s="420"/>
      <c r="Y3165" s="420"/>
      <c r="Z3165" s="1"/>
      <c r="AA3165" s="1"/>
      <c r="AB3165" s="1"/>
      <c r="AC3165" s="1"/>
      <c r="AD3165" s="1"/>
    </row>
    <row r="3166" spans="17:30">
      <c r="Q3166" s="6">
        <v>3136</v>
      </c>
      <c r="R3166" s="7">
        <v>45803</v>
      </c>
      <c r="S3166" s="210">
        <v>4</v>
      </c>
      <c r="T3166" s="8">
        <v>1.0001111111111112</v>
      </c>
      <c r="U3166" s="98">
        <v>3.8996802977275591</v>
      </c>
      <c r="V3166" s="106">
        <v>33547.633213502224</v>
      </c>
      <c r="W3166" s="10">
        <v>0.97508242568165038</v>
      </c>
      <c r="X3166" s="420"/>
      <c r="Y3166" s="420"/>
      <c r="Z3166" s="1"/>
      <c r="AA3166" s="1"/>
      <c r="AB3166" s="1"/>
      <c r="AC3166" s="1"/>
      <c r="AD3166" s="1"/>
    </row>
    <row r="3167" spans="17:30">
      <c r="Q3167" s="6">
        <v>3137</v>
      </c>
      <c r="R3167" s="7">
        <v>45804</v>
      </c>
      <c r="S3167" s="210">
        <v>4</v>
      </c>
      <c r="T3167" s="8">
        <v>1.0001111111111112</v>
      </c>
      <c r="U3167" s="98">
        <v>3.8997563981453265</v>
      </c>
      <c r="V3167" s="106">
        <v>33550.332510115579</v>
      </c>
      <c r="W3167" s="10">
        <v>0.97513014194996472</v>
      </c>
      <c r="X3167" s="420"/>
      <c r="Y3167" s="420"/>
      <c r="Z3167" s="1"/>
      <c r="AA3167" s="1"/>
      <c r="AB3167" s="1"/>
      <c r="AC3167" s="1"/>
      <c r="AD3167" s="1"/>
    </row>
    <row r="3168" spans="17:30">
      <c r="Q3168" s="6">
        <v>3138</v>
      </c>
      <c r="R3168" s="7">
        <v>45805</v>
      </c>
      <c r="S3168" s="210">
        <v>4</v>
      </c>
      <c r="T3168" s="8">
        <v>1.0001111111111112</v>
      </c>
      <c r="U3168" s="98">
        <v>3.8998324501162918</v>
      </c>
      <c r="V3168" s="106">
        <v>33553.032023918691</v>
      </c>
      <c r="W3168" s="10">
        <v>0.97517782782889917</v>
      </c>
      <c r="X3168" s="420"/>
      <c r="Y3168" s="420"/>
      <c r="Z3168" s="1"/>
      <c r="AA3168" s="1"/>
      <c r="AB3168" s="1"/>
      <c r="AC3168" s="1"/>
      <c r="AD3168" s="1"/>
    </row>
    <row r="3169" spans="17:30">
      <c r="Q3169" s="6">
        <v>3139</v>
      </c>
      <c r="R3169" s="7">
        <v>45806</v>
      </c>
      <c r="S3169" s="210">
        <v>4</v>
      </c>
      <c r="T3169" s="8">
        <v>1.0001111111111112</v>
      </c>
      <c r="U3169" s="98">
        <v>3.8999084536866846</v>
      </c>
      <c r="V3169" s="106">
        <v>33555.731754929038</v>
      </c>
      <c r="W3169" s="10">
        <v>0.97522548334749715</v>
      </c>
      <c r="X3169" s="420"/>
      <c r="Y3169" s="420"/>
      <c r="Z3169" s="1"/>
      <c r="AA3169" s="1"/>
      <c r="AB3169" s="1"/>
      <c r="AC3169" s="1"/>
      <c r="AD3169" s="1"/>
    </row>
    <row r="3170" spans="17:30">
      <c r="Q3170" s="6">
        <v>3140</v>
      </c>
      <c r="R3170" s="7">
        <v>45807</v>
      </c>
      <c r="S3170" s="210">
        <v>4</v>
      </c>
      <c r="T3170" s="8">
        <v>1.0001111111111112</v>
      </c>
      <c r="U3170" s="98">
        <v>3.8999844089027125</v>
      </c>
      <c r="V3170" s="106">
        <v>33558.431703164082</v>
      </c>
      <c r="W3170" s="10">
        <v>0.97527310853471327</v>
      </c>
      <c r="X3170" s="420"/>
      <c r="Y3170" s="420"/>
      <c r="Z3170" s="1"/>
      <c r="AA3170" s="1"/>
      <c r="AB3170" s="1"/>
      <c r="AC3170" s="1"/>
      <c r="AD3170" s="1"/>
    </row>
    <row r="3171" spans="17:30">
      <c r="Q3171" s="6">
        <v>3141</v>
      </c>
      <c r="R3171" s="7">
        <v>45808</v>
      </c>
      <c r="S3171" s="210">
        <v>4</v>
      </c>
      <c r="T3171" s="8">
        <v>1.0001111111111112</v>
      </c>
      <c r="U3171" s="98">
        <v>3.9000603158104941</v>
      </c>
      <c r="V3171" s="106">
        <v>33561.131868641314</v>
      </c>
      <c r="W3171" s="10">
        <v>0.97532070341952437</v>
      </c>
      <c r="X3171" s="420"/>
      <c r="Y3171" s="420"/>
      <c r="Z3171" s="1"/>
      <c r="AA3171" s="1"/>
      <c r="AB3171" s="1"/>
      <c r="AC3171" s="1"/>
      <c r="AD3171" s="1"/>
    </row>
    <row r="3172" spans="17:30">
      <c r="Q3172" s="6">
        <v>3142</v>
      </c>
      <c r="R3172" s="7">
        <v>45809</v>
      </c>
      <c r="S3172" s="210">
        <v>4</v>
      </c>
      <c r="T3172" s="8">
        <v>1.0001111111111112</v>
      </c>
      <c r="U3172" s="98">
        <v>3.9001361744561036</v>
      </c>
      <c r="V3172" s="106">
        <v>33563.832251378219</v>
      </c>
      <c r="W3172" s="10">
        <v>0.97536826803084065</v>
      </c>
      <c r="X3172" s="420"/>
      <c r="Y3172" s="420"/>
      <c r="Z3172" s="1"/>
      <c r="AA3172" s="1"/>
      <c r="AB3172" s="1"/>
      <c r="AC3172" s="1"/>
      <c r="AD3172" s="1"/>
    </row>
    <row r="3173" spans="17:30">
      <c r="Q3173" s="6">
        <v>3143</v>
      </c>
      <c r="R3173" s="7">
        <v>45810</v>
      </c>
      <c r="S3173" s="210">
        <v>4</v>
      </c>
      <c r="T3173" s="8">
        <v>1.0001111111111112</v>
      </c>
      <c r="U3173" s="98">
        <v>3.9002119848855488</v>
      </c>
      <c r="V3173" s="106">
        <v>33566.532851392265</v>
      </c>
      <c r="W3173" s="10">
        <v>0.97541580239750569</v>
      </c>
      <c r="X3173" s="420"/>
      <c r="Y3173" s="420"/>
      <c r="Z3173" s="1"/>
      <c r="AA3173" s="1"/>
      <c r="AB3173" s="1"/>
      <c r="AC3173" s="1"/>
      <c r="AD3173" s="1"/>
    </row>
    <row r="3174" spans="17:30">
      <c r="Q3174" s="6">
        <v>3144</v>
      </c>
      <c r="R3174" s="7">
        <v>45811</v>
      </c>
      <c r="S3174" s="210">
        <v>4</v>
      </c>
      <c r="T3174" s="8">
        <v>1.0001111111111112</v>
      </c>
      <c r="U3174" s="98">
        <v>3.9002877471447928</v>
      </c>
      <c r="V3174" s="106">
        <v>33569.233668700937</v>
      </c>
      <c r="W3174" s="10">
        <v>0.97546330654838531</v>
      </c>
      <c r="X3174" s="420"/>
      <c r="Y3174" s="420"/>
      <c r="Z3174" s="1"/>
      <c r="AA3174" s="1"/>
      <c r="AB3174" s="1"/>
      <c r="AC3174" s="1"/>
      <c r="AD3174" s="1"/>
    </row>
    <row r="3175" spans="17:30">
      <c r="Q3175" s="6">
        <v>3145</v>
      </c>
      <c r="R3175" s="7">
        <v>45812</v>
      </c>
      <c r="S3175" s="210">
        <v>4</v>
      </c>
      <c r="T3175" s="8">
        <v>1.0001111111111112</v>
      </c>
      <c r="U3175" s="98">
        <v>3.9003634612797322</v>
      </c>
      <c r="V3175" s="106">
        <v>33571.93470332172</v>
      </c>
      <c r="W3175" s="10">
        <v>0.97551078051227869</v>
      </c>
      <c r="X3175" s="420"/>
      <c r="Y3175" s="420"/>
      <c r="Z3175" s="1"/>
      <c r="AA3175" s="1"/>
      <c r="AB3175" s="1"/>
      <c r="AC3175" s="1"/>
      <c r="AD3175" s="1"/>
    </row>
    <row r="3176" spans="17:30">
      <c r="Q3176" s="6">
        <v>3146</v>
      </c>
      <c r="R3176" s="7">
        <v>45813</v>
      </c>
      <c r="S3176" s="210">
        <v>4</v>
      </c>
      <c r="T3176" s="8">
        <v>1.0001111111111112</v>
      </c>
      <c r="U3176" s="98">
        <v>3.9004391273361971</v>
      </c>
      <c r="V3176" s="106">
        <v>33574.635955272097</v>
      </c>
      <c r="W3176" s="10">
        <v>0.97555822431794059</v>
      </c>
      <c r="X3176" s="420"/>
      <c r="Y3176" s="420"/>
      <c r="Z3176" s="1"/>
      <c r="AA3176" s="1"/>
      <c r="AB3176" s="1"/>
      <c r="AC3176" s="1"/>
      <c r="AD3176" s="1"/>
    </row>
    <row r="3177" spans="17:30">
      <c r="Q3177" s="6">
        <v>3147</v>
      </c>
      <c r="R3177" s="7">
        <v>45814</v>
      </c>
      <c r="S3177" s="210">
        <v>4</v>
      </c>
      <c r="T3177" s="8">
        <v>1.0001111111111112</v>
      </c>
      <c r="U3177" s="98">
        <v>3.9005147453599953</v>
      </c>
      <c r="V3177" s="106">
        <v>33577.33742456956</v>
      </c>
      <c r="W3177" s="10">
        <v>0.97560563799412581</v>
      </c>
      <c r="X3177" s="420"/>
      <c r="Y3177" s="420"/>
      <c r="Z3177" s="1"/>
      <c r="AA3177" s="1"/>
      <c r="AB3177" s="1"/>
      <c r="AC3177" s="1"/>
      <c r="AD3177" s="1"/>
    </row>
    <row r="3178" spans="17:30">
      <c r="Q3178" s="6">
        <v>3148</v>
      </c>
      <c r="R3178" s="7">
        <v>45815</v>
      </c>
      <c r="S3178" s="210">
        <v>4</v>
      </c>
      <c r="T3178" s="8">
        <v>1.0001111111111112</v>
      </c>
      <c r="U3178" s="98">
        <v>3.9005903153968235</v>
      </c>
      <c r="V3178" s="106">
        <v>33580.039111231599</v>
      </c>
      <c r="W3178" s="10">
        <v>0.97565302156950029</v>
      </c>
      <c r="X3178" s="420"/>
      <c r="Y3178" s="420"/>
      <c r="Z3178" s="1"/>
      <c r="AA3178" s="1"/>
      <c r="AB3178" s="1"/>
      <c r="AC3178" s="1"/>
      <c r="AD3178" s="1"/>
    </row>
    <row r="3179" spans="17:30">
      <c r="Q3179" s="6">
        <v>3149</v>
      </c>
      <c r="R3179" s="7">
        <v>45816</v>
      </c>
      <c r="S3179" s="210">
        <v>4</v>
      </c>
      <c r="T3179" s="8">
        <v>1.0001111111111112</v>
      </c>
      <c r="U3179" s="98">
        <v>3.9006658374923564</v>
      </c>
      <c r="V3179" s="106">
        <v>33582.741015275693</v>
      </c>
      <c r="W3179" s="10">
        <v>0.97570037507270779</v>
      </c>
      <c r="X3179" s="420"/>
      <c r="Y3179" s="420"/>
      <c r="Z3179" s="1"/>
      <c r="AA3179" s="1"/>
      <c r="AB3179" s="1"/>
      <c r="AC3179" s="1"/>
      <c r="AD3179" s="1"/>
    </row>
    <row r="3180" spans="17:30">
      <c r="Q3180" s="6">
        <v>3150</v>
      </c>
      <c r="R3180" s="7">
        <v>45817</v>
      </c>
      <c r="S3180" s="210">
        <v>4</v>
      </c>
      <c r="T3180" s="8">
        <v>1.0001111111111112</v>
      </c>
      <c r="U3180" s="98">
        <v>3.9007413116921796</v>
      </c>
      <c r="V3180" s="106">
        <v>33585.443136719339</v>
      </c>
      <c r="W3180" s="10">
        <v>0.97574769853239207</v>
      </c>
      <c r="X3180" s="420"/>
      <c r="Y3180" s="420"/>
      <c r="Z3180" s="1"/>
      <c r="AA3180" s="1"/>
      <c r="AB3180" s="1"/>
      <c r="AC3180" s="1"/>
      <c r="AD3180" s="1"/>
    </row>
    <row r="3181" spans="17:30">
      <c r="Q3181" s="6">
        <v>3151</v>
      </c>
      <c r="R3181" s="7">
        <v>45818</v>
      </c>
      <c r="S3181" s="210">
        <v>4</v>
      </c>
      <c r="T3181" s="8">
        <v>1.0001111111111112</v>
      </c>
      <c r="U3181" s="98">
        <v>3.9008167380418568</v>
      </c>
      <c r="V3181" s="106">
        <v>33588.14547558003</v>
      </c>
      <c r="W3181" s="10">
        <v>0.97579499197713027</v>
      </c>
      <c r="X3181" s="420"/>
      <c r="Y3181" s="420"/>
      <c r="Z3181" s="1"/>
      <c r="AA3181" s="1"/>
      <c r="AB3181" s="1"/>
      <c r="AC3181" s="1"/>
      <c r="AD3181" s="1"/>
    </row>
    <row r="3182" spans="17:30">
      <c r="Q3182" s="6">
        <v>3152</v>
      </c>
      <c r="R3182" s="7">
        <v>45819</v>
      </c>
      <c r="S3182" s="210">
        <v>4</v>
      </c>
      <c r="T3182" s="8">
        <v>1.0001111111111112</v>
      </c>
      <c r="U3182" s="98">
        <v>3.9008921165868848</v>
      </c>
      <c r="V3182" s="106">
        <v>33590.84803187527</v>
      </c>
      <c r="W3182" s="10">
        <v>0.97584225543547731</v>
      </c>
      <c r="X3182" s="420"/>
      <c r="Y3182" s="420"/>
      <c r="Z3182" s="1"/>
      <c r="AA3182" s="1"/>
      <c r="AB3182" s="1"/>
      <c r="AC3182" s="1"/>
      <c r="AD3182" s="1"/>
    </row>
    <row r="3183" spans="17:30">
      <c r="Q3183" s="6">
        <v>3153</v>
      </c>
      <c r="R3183" s="7">
        <v>45820</v>
      </c>
      <c r="S3183" s="210">
        <v>4</v>
      </c>
      <c r="T3183" s="8">
        <v>1.0001111111111112</v>
      </c>
      <c r="U3183" s="98">
        <v>3.9009674473726941</v>
      </c>
      <c r="V3183" s="106">
        <v>33593.550805622537</v>
      </c>
      <c r="W3183" s="10">
        <v>0.97588948893592153</v>
      </c>
      <c r="X3183" s="420"/>
      <c r="Y3183" s="420"/>
      <c r="Z3183" s="1"/>
      <c r="AA3183" s="1"/>
      <c r="AB3183" s="1"/>
      <c r="AC3183" s="1"/>
      <c r="AD3183" s="1"/>
    </row>
    <row r="3184" spans="17:30">
      <c r="Q3184" s="6">
        <v>3154</v>
      </c>
      <c r="R3184" s="7">
        <v>45821</v>
      </c>
      <c r="S3184" s="210">
        <v>4</v>
      </c>
      <c r="T3184" s="8">
        <v>1.0001111111111112</v>
      </c>
      <c r="U3184" s="98">
        <v>3.9010427304446482</v>
      </c>
      <c r="V3184" s="106">
        <v>33596.253796839323</v>
      </c>
      <c r="W3184" s="10">
        <v>0.97593669250695125</v>
      </c>
      <c r="X3184" s="420"/>
      <c r="Y3184" s="420"/>
      <c r="Z3184" s="1"/>
      <c r="AA3184" s="1"/>
      <c r="AB3184" s="1"/>
      <c r="AC3184" s="1"/>
      <c r="AD3184" s="1"/>
    </row>
    <row r="3185" spans="17:30">
      <c r="Q3185" s="6">
        <v>3155</v>
      </c>
      <c r="R3185" s="7">
        <v>45822</v>
      </c>
      <c r="S3185" s="210">
        <v>4</v>
      </c>
      <c r="T3185" s="8">
        <v>1.0001111111111112</v>
      </c>
      <c r="U3185" s="98">
        <v>3.9011179658480888</v>
      </c>
      <c r="V3185" s="106">
        <v>33598.957005543147</v>
      </c>
      <c r="W3185" s="10">
        <v>0.97598386617701038</v>
      </c>
      <c r="X3185" s="420"/>
      <c r="Y3185" s="420"/>
      <c r="Z3185" s="1"/>
      <c r="AA3185" s="1"/>
      <c r="AB3185" s="1"/>
      <c r="AC3185" s="1"/>
      <c r="AD3185" s="1"/>
    </row>
    <row r="3186" spans="17:30">
      <c r="Q3186" s="6">
        <v>3156</v>
      </c>
      <c r="R3186" s="7">
        <v>45823</v>
      </c>
      <c r="S3186" s="210">
        <v>4</v>
      </c>
      <c r="T3186" s="8">
        <v>1.0001111111111112</v>
      </c>
      <c r="U3186" s="98">
        <v>3.9011931536282463</v>
      </c>
      <c r="V3186" s="106">
        <v>33601.660431751501</v>
      </c>
      <c r="W3186" s="10">
        <v>0.97603100997447623</v>
      </c>
      <c r="X3186" s="420"/>
      <c r="Y3186" s="420"/>
      <c r="Z3186" s="1"/>
      <c r="AA3186" s="1"/>
      <c r="AB3186" s="1"/>
      <c r="AC3186" s="1"/>
      <c r="AD3186" s="1"/>
    </row>
    <row r="3187" spans="17:30">
      <c r="Q3187" s="6">
        <v>3157</v>
      </c>
      <c r="R3187" s="7">
        <v>45824</v>
      </c>
      <c r="S3187" s="210">
        <v>4</v>
      </c>
      <c r="T3187" s="8">
        <v>1.0001111111111112</v>
      </c>
      <c r="U3187" s="98">
        <v>3.9012682938303511</v>
      </c>
      <c r="V3187" s="106">
        <v>33604.364075481877</v>
      </c>
      <c r="W3187" s="10">
        <v>0.97607812392774829</v>
      </c>
      <c r="X3187" s="420"/>
      <c r="Y3187" s="420"/>
      <c r="Z3187" s="1"/>
      <c r="AA3187" s="1"/>
      <c r="AB3187" s="1"/>
      <c r="AC3187" s="1"/>
      <c r="AD3187" s="1"/>
    </row>
    <row r="3188" spans="17:30">
      <c r="Q3188" s="6">
        <v>3158</v>
      </c>
      <c r="R3188" s="7">
        <v>45825</v>
      </c>
      <c r="S3188" s="210">
        <v>4</v>
      </c>
      <c r="T3188" s="8">
        <v>1.0001111111111112</v>
      </c>
      <c r="U3188" s="98">
        <v>3.9013433864995228</v>
      </c>
      <c r="V3188" s="106">
        <v>33607.067936751781</v>
      </c>
      <c r="W3188" s="10">
        <v>0.97612520806513725</v>
      </c>
      <c r="X3188" s="420"/>
      <c r="Y3188" s="420"/>
      <c r="Z3188" s="1"/>
      <c r="AA3188" s="1"/>
      <c r="AB3188" s="1"/>
      <c r="AC3188" s="1"/>
      <c r="AD3188" s="1"/>
    </row>
    <row r="3189" spans="17:30">
      <c r="Q3189" s="6">
        <v>3159</v>
      </c>
      <c r="R3189" s="7">
        <v>45826</v>
      </c>
      <c r="S3189" s="210">
        <v>4</v>
      </c>
      <c r="T3189" s="8">
        <v>1.0001111111111112</v>
      </c>
      <c r="U3189" s="98">
        <v>3.9014184316808587</v>
      </c>
      <c r="V3189" s="106">
        <v>33609.772015578725</v>
      </c>
      <c r="W3189" s="10">
        <v>0.9761722624149316</v>
      </c>
      <c r="X3189" s="420"/>
      <c r="Y3189" s="420"/>
      <c r="Z3189" s="1"/>
      <c r="AA3189" s="1"/>
      <c r="AB3189" s="1"/>
      <c r="AC3189" s="1"/>
      <c r="AD3189" s="1"/>
    </row>
    <row r="3190" spans="17:30">
      <c r="Q3190" s="6">
        <v>3160</v>
      </c>
      <c r="R3190" s="7">
        <v>45827</v>
      </c>
      <c r="S3190" s="210">
        <v>4</v>
      </c>
      <c r="T3190" s="8">
        <v>1.0001111111111112</v>
      </c>
      <c r="U3190" s="98">
        <v>3.9014934294194115</v>
      </c>
      <c r="V3190" s="106">
        <v>33612.476311980208</v>
      </c>
      <c r="W3190" s="10">
        <v>0.97621928700539762</v>
      </c>
      <c r="X3190" s="420"/>
      <c r="Y3190" s="420"/>
      <c r="Z3190" s="1"/>
      <c r="AA3190" s="1"/>
      <c r="AB3190" s="1"/>
      <c r="AC3190" s="1"/>
      <c r="AD3190" s="1"/>
    </row>
    <row r="3191" spans="17:30">
      <c r="Q3191" s="6">
        <v>3161</v>
      </c>
      <c r="R3191" s="7">
        <v>45828</v>
      </c>
      <c r="S3191" s="210">
        <v>4</v>
      </c>
      <c r="T3191" s="8">
        <v>1.0001111111111112</v>
      </c>
      <c r="U3191" s="98">
        <v>3.9015683797601453</v>
      </c>
      <c r="V3191" s="106">
        <v>33615.18082597373</v>
      </c>
      <c r="W3191" s="10">
        <v>0.97626628186477937</v>
      </c>
      <c r="X3191" s="420"/>
      <c r="Y3191" s="420"/>
      <c r="Z3191" s="1"/>
      <c r="AA3191" s="1"/>
      <c r="AB3191" s="1"/>
      <c r="AC3191" s="1"/>
      <c r="AD3191" s="1"/>
    </row>
    <row r="3192" spans="17:30">
      <c r="Q3192" s="6">
        <v>3162</v>
      </c>
      <c r="R3192" s="7">
        <v>45829</v>
      </c>
      <c r="S3192" s="210">
        <v>4</v>
      </c>
      <c r="T3192" s="8">
        <v>1.0001111111111112</v>
      </c>
      <c r="U3192" s="98">
        <v>3.9016432827479575</v>
      </c>
      <c r="V3192" s="106">
        <v>33617.88555757681</v>
      </c>
      <c r="W3192" s="10">
        <v>0.97631324702120992</v>
      </c>
      <c r="X3192" s="420"/>
      <c r="Y3192" s="420"/>
      <c r="Z3192" s="1"/>
      <c r="AA3192" s="1"/>
      <c r="AB3192" s="1"/>
      <c r="AC3192" s="1"/>
      <c r="AD3192" s="1"/>
    </row>
    <row r="3193" spans="17:30">
      <c r="Q3193" s="6">
        <v>3163</v>
      </c>
      <c r="R3193" s="7">
        <v>45830</v>
      </c>
      <c r="S3193" s="210">
        <v>4</v>
      </c>
      <c r="T3193" s="8">
        <v>1.0001111111111112</v>
      </c>
      <c r="U3193" s="98">
        <v>3.9017181384277233</v>
      </c>
      <c r="V3193" s="106">
        <v>33620.590506806948</v>
      </c>
      <c r="W3193" s="10">
        <v>0.97636018250288892</v>
      </c>
      <c r="X3193" s="420"/>
      <c r="Y3193" s="420"/>
      <c r="Z3193" s="1"/>
      <c r="AA3193" s="1"/>
      <c r="AB3193" s="1"/>
      <c r="AC3193" s="1"/>
      <c r="AD3193" s="1"/>
    </row>
    <row r="3194" spans="17:30">
      <c r="Q3194" s="6">
        <v>3164</v>
      </c>
      <c r="R3194" s="7">
        <v>45831</v>
      </c>
      <c r="S3194" s="210">
        <v>4</v>
      </c>
      <c r="T3194" s="8">
        <v>1.0001111111111112</v>
      </c>
      <c r="U3194" s="98">
        <v>3.9017929468442514</v>
      </c>
      <c r="V3194" s="106">
        <v>33623.295673681656</v>
      </c>
      <c r="W3194" s="10">
        <v>0.97640708833790502</v>
      </c>
      <c r="X3194" s="420"/>
      <c r="Y3194" s="420"/>
      <c r="Z3194" s="1"/>
      <c r="AA3194" s="1"/>
      <c r="AB3194" s="1"/>
      <c r="AC3194" s="1"/>
      <c r="AD3194" s="1"/>
    </row>
    <row r="3195" spans="17:30">
      <c r="Q3195" s="6">
        <v>3165</v>
      </c>
      <c r="R3195" s="7">
        <v>45832</v>
      </c>
      <c r="S3195" s="210">
        <v>4</v>
      </c>
      <c r="T3195" s="8">
        <v>1.0001111111111112</v>
      </c>
      <c r="U3195" s="98">
        <v>3.9018677080423059</v>
      </c>
      <c r="V3195" s="106">
        <v>33626.001058218455</v>
      </c>
      <c r="W3195" s="10">
        <v>0.97645396455436906</v>
      </c>
      <c r="X3195" s="420"/>
      <c r="Y3195" s="420"/>
      <c r="Z3195" s="1"/>
      <c r="AA3195" s="1"/>
      <c r="AB3195" s="1"/>
      <c r="AC3195" s="1"/>
      <c r="AD3195" s="1"/>
    </row>
    <row r="3196" spans="17:30">
      <c r="Q3196" s="6">
        <v>3166</v>
      </c>
      <c r="R3196" s="7">
        <v>45833</v>
      </c>
      <c r="S3196" s="210">
        <v>4</v>
      </c>
      <c r="T3196" s="8">
        <v>1.0001111111111112</v>
      </c>
      <c r="U3196" s="98">
        <v>3.90194242206654</v>
      </c>
      <c r="V3196" s="106">
        <v>33628.706660434851</v>
      </c>
      <c r="W3196" s="10">
        <v>0.97650081118030307</v>
      </c>
      <c r="X3196" s="420"/>
      <c r="Y3196" s="420"/>
      <c r="Z3196" s="1"/>
      <c r="AA3196" s="1"/>
      <c r="AB3196" s="1"/>
      <c r="AC3196" s="1"/>
      <c r="AD3196" s="1"/>
    </row>
    <row r="3197" spans="17:30">
      <c r="Q3197" s="6">
        <v>3167</v>
      </c>
      <c r="R3197" s="7">
        <v>45834</v>
      </c>
      <c r="S3197" s="210">
        <v>4</v>
      </c>
      <c r="T3197" s="8">
        <v>1.0001111111111112</v>
      </c>
      <c r="U3197" s="98">
        <v>3.902017088961629</v>
      </c>
      <c r="V3197" s="106">
        <v>33631.412480348357</v>
      </c>
      <c r="W3197" s="10">
        <v>0.97654762824372909</v>
      </c>
      <c r="X3197" s="420"/>
      <c r="Y3197" s="420"/>
      <c r="Z3197" s="1"/>
      <c r="AA3197" s="1"/>
      <c r="AB3197" s="1"/>
      <c r="AC3197" s="1"/>
      <c r="AD3197" s="1"/>
    </row>
    <row r="3198" spans="17:30">
      <c r="Q3198" s="6">
        <v>3168</v>
      </c>
      <c r="R3198" s="7">
        <v>45835</v>
      </c>
      <c r="S3198" s="210">
        <v>4</v>
      </c>
      <c r="T3198" s="8">
        <v>1.0001111111111112</v>
      </c>
      <c r="U3198" s="98">
        <v>3.9020917087721374</v>
      </c>
      <c r="V3198" s="106">
        <v>33634.118517976502</v>
      </c>
      <c r="W3198" s="10">
        <v>0.97659441577262474</v>
      </c>
      <c r="X3198" s="420"/>
      <c r="Y3198" s="420"/>
      <c r="Z3198" s="1"/>
      <c r="AA3198" s="1"/>
      <c r="AB3198" s="1"/>
      <c r="AC3198" s="1"/>
      <c r="AD3198" s="1"/>
    </row>
    <row r="3199" spans="17:30">
      <c r="Q3199" s="6">
        <v>3169</v>
      </c>
      <c r="R3199" s="7">
        <v>45836</v>
      </c>
      <c r="S3199" s="210">
        <v>4</v>
      </c>
      <c r="T3199" s="8">
        <v>1.0001111111111112</v>
      </c>
      <c r="U3199" s="98">
        <v>3.902166281542585</v>
      </c>
      <c r="V3199" s="106">
        <v>33636.82477333679</v>
      </c>
      <c r="W3199" s="10">
        <v>0.97664117379490101</v>
      </c>
      <c r="X3199" s="420"/>
      <c r="Y3199" s="420"/>
      <c r="Z3199" s="1"/>
      <c r="AA3199" s="1"/>
      <c r="AB3199" s="1"/>
      <c r="AC3199" s="1"/>
      <c r="AD3199" s="1"/>
    </row>
    <row r="3200" spans="17:30">
      <c r="Q3200" s="6">
        <v>3170</v>
      </c>
      <c r="R3200" s="7">
        <v>45837</v>
      </c>
      <c r="S3200" s="210">
        <v>4</v>
      </c>
      <c r="T3200" s="8">
        <v>1.0001111111111112</v>
      </c>
      <c r="U3200" s="98">
        <v>3.9022408073174253</v>
      </c>
      <c r="V3200" s="106">
        <v>33639.531246446735</v>
      </c>
      <c r="W3200" s="10">
        <v>0.97668790233849112</v>
      </c>
      <c r="X3200" s="420"/>
      <c r="Y3200" s="420"/>
      <c r="Z3200" s="1"/>
      <c r="AA3200" s="1"/>
      <c r="AB3200" s="1"/>
      <c r="AC3200" s="1"/>
      <c r="AD3200" s="1"/>
    </row>
    <row r="3201" spans="17:30">
      <c r="Q3201" s="6">
        <v>3171</v>
      </c>
      <c r="R3201" s="7">
        <v>45838</v>
      </c>
      <c r="S3201" s="210">
        <v>4</v>
      </c>
      <c r="T3201" s="8">
        <v>1.0001111111111112</v>
      </c>
      <c r="U3201" s="98">
        <v>3.9023152861410892</v>
      </c>
      <c r="V3201" s="106">
        <v>33642.237937323873</v>
      </c>
      <c r="W3201" s="10">
        <v>0.97673460143123947</v>
      </c>
      <c r="X3201" s="420"/>
      <c r="Y3201" s="420"/>
      <c r="Z3201" s="1"/>
      <c r="AA3201" s="1"/>
      <c r="AB3201" s="1"/>
      <c r="AC3201" s="1"/>
      <c r="AD3201" s="1"/>
    </row>
    <row r="3202" spans="17:30">
      <c r="Q3202" s="6">
        <v>3172</v>
      </c>
      <c r="R3202" s="7">
        <v>45839</v>
      </c>
      <c r="S3202" s="210">
        <v>4</v>
      </c>
      <c r="T3202" s="8">
        <v>1.0001111111111112</v>
      </c>
      <c r="U3202" s="98">
        <v>3.9023897180579192</v>
      </c>
      <c r="V3202" s="106">
        <v>33644.944845985716</v>
      </c>
      <c r="W3202" s="10">
        <v>0.97678127110099044</v>
      </c>
      <c r="X3202" s="420"/>
      <c r="Y3202" s="420"/>
      <c r="Z3202" s="1"/>
      <c r="AA3202" s="1"/>
      <c r="AB3202" s="1"/>
      <c r="AC3202" s="1"/>
      <c r="AD3202" s="1"/>
    </row>
    <row r="3203" spans="17:30">
      <c r="Q3203" s="6">
        <v>3173</v>
      </c>
      <c r="R3203" s="7">
        <v>45840</v>
      </c>
      <c r="S3203" s="210">
        <v>4</v>
      </c>
      <c r="T3203" s="8">
        <v>1.0001111111111112</v>
      </c>
      <c r="U3203" s="98">
        <v>3.9024641031122131</v>
      </c>
      <c r="V3203" s="106">
        <v>33647.651972449799</v>
      </c>
      <c r="W3203" s="10">
        <v>0.97682791137554403</v>
      </c>
      <c r="X3203" s="420"/>
      <c r="Y3203" s="420"/>
      <c r="Z3203" s="1"/>
      <c r="AA3203" s="1"/>
      <c r="AB3203" s="1"/>
      <c r="AC3203" s="1"/>
      <c r="AD3203" s="1"/>
    </row>
    <row r="3204" spans="17:30">
      <c r="Q3204" s="6">
        <v>3174</v>
      </c>
      <c r="R3204" s="7">
        <v>45841</v>
      </c>
      <c r="S3204" s="210">
        <v>4</v>
      </c>
      <c r="T3204" s="8">
        <v>1.0001111111111112</v>
      </c>
      <c r="U3204" s="98">
        <v>3.9025384413482245</v>
      </c>
      <c r="V3204" s="106">
        <v>33650.359316733629</v>
      </c>
      <c r="W3204" s="10">
        <v>0.97687452228265581</v>
      </c>
      <c r="X3204" s="420"/>
      <c r="Y3204" s="420"/>
      <c r="Z3204" s="1"/>
      <c r="AA3204" s="1"/>
      <c r="AB3204" s="1"/>
      <c r="AC3204" s="1"/>
      <c r="AD3204" s="1"/>
    </row>
    <row r="3205" spans="17:30">
      <c r="Q3205" s="6">
        <v>3175</v>
      </c>
      <c r="R3205" s="7">
        <v>45842</v>
      </c>
      <c r="S3205" s="210">
        <v>4</v>
      </c>
      <c r="T3205" s="8">
        <v>1.0001111111111112</v>
      </c>
      <c r="U3205" s="98">
        <v>3.9026127328101401</v>
      </c>
      <c r="V3205" s="106">
        <v>33653.066878854748</v>
      </c>
      <c r="W3205" s="10">
        <v>0.97692110385008135</v>
      </c>
      <c r="X3205" s="420"/>
      <c r="Y3205" s="420"/>
      <c r="Z3205" s="1"/>
      <c r="AA3205" s="1"/>
      <c r="AB3205" s="1"/>
      <c r="AC3205" s="1"/>
      <c r="AD3205" s="1"/>
    </row>
    <row r="3206" spans="17:30">
      <c r="Q3206" s="6">
        <v>3176</v>
      </c>
      <c r="R3206" s="7">
        <v>45843</v>
      </c>
      <c r="S3206" s="210">
        <v>4</v>
      </c>
      <c r="T3206" s="8">
        <v>1.0001111111111112</v>
      </c>
      <c r="U3206" s="98">
        <v>3.9026869775420803</v>
      </c>
      <c r="V3206" s="106">
        <v>33655.774658830669</v>
      </c>
      <c r="W3206" s="10">
        <v>0.97696765610548741</v>
      </c>
      <c r="X3206" s="420"/>
      <c r="Y3206" s="420"/>
      <c r="Z3206" s="1"/>
      <c r="AA3206" s="1"/>
      <c r="AB3206" s="1"/>
      <c r="AC3206" s="1"/>
      <c r="AD3206" s="1"/>
    </row>
    <row r="3207" spans="17:30">
      <c r="Q3207" s="6">
        <v>3177</v>
      </c>
      <c r="R3207" s="7">
        <v>45844</v>
      </c>
      <c r="S3207" s="210">
        <v>4</v>
      </c>
      <c r="T3207" s="8">
        <v>1.0001111111111112</v>
      </c>
      <c r="U3207" s="98">
        <v>3.9027611755881431</v>
      </c>
      <c r="V3207" s="106">
        <v>33658.482656678934</v>
      </c>
      <c r="W3207" s="10">
        <v>0.97701417907654076</v>
      </c>
      <c r="X3207" s="420"/>
      <c r="Y3207" s="420"/>
      <c r="Z3207" s="1"/>
      <c r="AA3207" s="1"/>
      <c r="AB3207" s="1"/>
      <c r="AC3207" s="1"/>
      <c r="AD3207" s="1"/>
    </row>
    <row r="3208" spans="17:30">
      <c r="Q3208" s="6">
        <v>3178</v>
      </c>
      <c r="R3208" s="7">
        <v>45845</v>
      </c>
      <c r="S3208" s="210">
        <v>4</v>
      </c>
      <c r="T3208" s="8">
        <v>1.0001111111111112</v>
      </c>
      <c r="U3208" s="98">
        <v>3.9028353269923155</v>
      </c>
      <c r="V3208" s="106">
        <v>33661.190872417072</v>
      </c>
      <c r="W3208" s="10">
        <v>0.97706067279084152</v>
      </c>
      <c r="X3208" s="420"/>
      <c r="Y3208" s="420"/>
      <c r="Z3208" s="1"/>
      <c r="AA3208" s="1"/>
      <c r="AB3208" s="1"/>
      <c r="AC3208" s="1"/>
      <c r="AD3208" s="1"/>
    </row>
    <row r="3209" spans="17:30">
      <c r="Q3209" s="6">
        <v>3179</v>
      </c>
      <c r="R3209" s="7">
        <v>45846</v>
      </c>
      <c r="S3209" s="210">
        <v>4</v>
      </c>
      <c r="T3209" s="8">
        <v>1.0001111111111112</v>
      </c>
      <c r="U3209" s="98">
        <v>3.9029094317985846</v>
      </c>
      <c r="V3209" s="106">
        <v>33663.899306062609</v>
      </c>
      <c r="W3209" s="10">
        <v>0.97710713727601206</v>
      </c>
      <c r="X3209" s="420"/>
      <c r="Y3209" s="420"/>
      <c r="Z3209" s="1"/>
      <c r="AA3209" s="1"/>
      <c r="AB3209" s="1"/>
      <c r="AC3209" s="1"/>
      <c r="AD3209" s="1"/>
    </row>
    <row r="3210" spans="17:30">
      <c r="Q3210" s="6">
        <v>3180</v>
      </c>
      <c r="R3210" s="7">
        <v>45847</v>
      </c>
      <c r="S3210" s="210">
        <v>4</v>
      </c>
      <c r="T3210" s="8">
        <v>1.0001111111111112</v>
      </c>
      <c r="U3210" s="98">
        <v>3.9029834900508709</v>
      </c>
      <c r="V3210" s="106">
        <v>33666.607957633081</v>
      </c>
      <c r="W3210" s="10">
        <v>0.97715357255960811</v>
      </c>
      <c r="X3210" s="420"/>
      <c r="Y3210" s="420"/>
      <c r="Z3210" s="1"/>
      <c r="AA3210" s="1"/>
      <c r="AB3210" s="1"/>
      <c r="AC3210" s="1"/>
      <c r="AD3210" s="1"/>
    </row>
    <row r="3211" spans="17:30">
      <c r="Q3211" s="6">
        <v>3181</v>
      </c>
      <c r="R3211" s="7">
        <v>45848</v>
      </c>
      <c r="S3211" s="210">
        <v>4</v>
      </c>
      <c r="T3211" s="8">
        <v>1.0001111111111112</v>
      </c>
      <c r="U3211" s="98">
        <v>3.903057501793028</v>
      </c>
      <c r="V3211" s="106">
        <v>33669.316827146024</v>
      </c>
      <c r="W3211" s="10">
        <v>0.97719997866914099</v>
      </c>
      <c r="X3211" s="420"/>
      <c r="Y3211" s="420"/>
      <c r="Z3211" s="1"/>
      <c r="AA3211" s="1"/>
      <c r="AB3211" s="1"/>
      <c r="AC3211" s="1"/>
      <c r="AD3211" s="1"/>
    </row>
    <row r="3212" spans="17:30">
      <c r="Q3212" s="6">
        <v>3182</v>
      </c>
      <c r="R3212" s="7">
        <v>45849</v>
      </c>
      <c r="S3212" s="210">
        <v>4</v>
      </c>
      <c r="T3212" s="8">
        <v>1.0001111111111112</v>
      </c>
      <c r="U3212" s="98">
        <v>3.9031314670688433</v>
      </c>
      <c r="V3212" s="106">
        <v>33672.025914618971</v>
      </c>
      <c r="W3212" s="10">
        <v>0.97724635563207762</v>
      </c>
      <c r="X3212" s="420"/>
      <c r="Y3212" s="420"/>
      <c r="Z3212" s="1"/>
      <c r="AA3212" s="1"/>
      <c r="AB3212" s="1"/>
      <c r="AC3212" s="1"/>
      <c r="AD3212" s="1"/>
    </row>
    <row r="3213" spans="17:30">
      <c r="Q3213" s="6">
        <v>3183</v>
      </c>
      <c r="R3213" s="7">
        <v>45850</v>
      </c>
      <c r="S3213" s="210">
        <v>4</v>
      </c>
      <c r="T3213" s="8">
        <v>1.0001111111111112</v>
      </c>
      <c r="U3213" s="98">
        <v>3.9032053859220595</v>
      </c>
      <c r="V3213" s="106">
        <v>33674.735220069459</v>
      </c>
      <c r="W3213" s="10">
        <v>0.97729270347588493</v>
      </c>
      <c r="X3213" s="420"/>
      <c r="Y3213" s="420"/>
      <c r="Z3213" s="1"/>
      <c r="AA3213" s="1"/>
      <c r="AB3213" s="1"/>
      <c r="AC3213" s="1"/>
      <c r="AD3213" s="1"/>
    </row>
    <row r="3214" spans="17:30">
      <c r="Q3214" s="6">
        <v>3184</v>
      </c>
      <c r="R3214" s="7">
        <v>45851</v>
      </c>
      <c r="S3214" s="210">
        <v>4</v>
      </c>
      <c r="T3214" s="8">
        <v>1.0001111111111112</v>
      </c>
      <c r="U3214" s="98">
        <v>3.9032792583963749</v>
      </c>
      <c r="V3214" s="106">
        <v>33677.444743515021</v>
      </c>
      <c r="W3214" s="10">
        <v>0.97733902222800761</v>
      </c>
      <c r="X3214" s="420"/>
      <c r="Y3214" s="420"/>
      <c r="Z3214" s="1"/>
      <c r="AA3214" s="1"/>
      <c r="AB3214" s="1"/>
      <c r="AC3214" s="1"/>
      <c r="AD3214" s="1"/>
    </row>
    <row r="3215" spans="17:30">
      <c r="Q3215" s="6">
        <v>3185</v>
      </c>
      <c r="R3215" s="7">
        <v>45852</v>
      </c>
      <c r="S3215" s="210">
        <v>4</v>
      </c>
      <c r="T3215" s="8">
        <v>1.0001111111111112</v>
      </c>
      <c r="U3215" s="98">
        <v>3.9033530845354214</v>
      </c>
      <c r="V3215" s="106">
        <v>33680.154484973216</v>
      </c>
      <c r="W3215" s="10">
        <v>0.97738531191575717</v>
      </c>
      <c r="X3215" s="420"/>
      <c r="Y3215" s="420"/>
      <c r="Z3215" s="1"/>
      <c r="AA3215" s="1"/>
      <c r="AB3215" s="1"/>
      <c r="AC3215" s="1"/>
      <c r="AD3215" s="1"/>
    </row>
    <row r="3216" spans="17:30">
      <c r="Q3216" s="6">
        <v>3186</v>
      </c>
      <c r="R3216" s="7">
        <v>45853</v>
      </c>
      <c r="S3216" s="210">
        <v>4</v>
      </c>
      <c r="T3216" s="8">
        <v>1.0001111111111112</v>
      </c>
      <c r="U3216" s="98">
        <v>3.9034268643827863</v>
      </c>
      <c r="V3216" s="106">
        <v>33682.864444461564</v>
      </c>
      <c r="W3216" s="10">
        <v>0.97743157256655611</v>
      </c>
      <c r="X3216" s="420"/>
      <c r="Y3216" s="420"/>
      <c r="Z3216" s="1"/>
      <c r="AA3216" s="1"/>
      <c r="AB3216" s="1"/>
      <c r="AC3216" s="1"/>
      <c r="AD3216" s="1"/>
    </row>
    <row r="3217" spans="17:30">
      <c r="Q3217" s="6">
        <v>3187</v>
      </c>
      <c r="R3217" s="7">
        <v>45854</v>
      </c>
      <c r="S3217" s="210">
        <v>4</v>
      </c>
      <c r="T3217" s="8">
        <v>1.0001111111111112</v>
      </c>
      <c r="U3217" s="98">
        <v>3.9035005979819903</v>
      </c>
      <c r="V3217" s="106">
        <v>33685.574621997628</v>
      </c>
      <c r="W3217" s="10">
        <v>0.9774778042076715</v>
      </c>
      <c r="X3217" s="420"/>
      <c r="Y3217" s="420"/>
      <c r="Z3217" s="1"/>
      <c r="AA3217" s="1"/>
      <c r="AB3217" s="1"/>
      <c r="AC3217" s="1"/>
      <c r="AD3217" s="1"/>
    </row>
    <row r="3218" spans="17:30">
      <c r="Q3218" s="6">
        <v>3188</v>
      </c>
      <c r="R3218" s="7">
        <v>45855</v>
      </c>
      <c r="S3218" s="210">
        <v>4</v>
      </c>
      <c r="T3218" s="8">
        <v>1.0001111111111112</v>
      </c>
      <c r="U3218" s="98">
        <v>3.9035742853765099</v>
      </c>
      <c r="V3218" s="106">
        <v>33688.285017598937</v>
      </c>
      <c r="W3218" s="10">
        <v>0.97752400686639263</v>
      </c>
      <c r="X3218" s="420"/>
      <c r="Y3218" s="420"/>
      <c r="Z3218" s="1"/>
      <c r="AA3218" s="1"/>
      <c r="AB3218" s="1"/>
      <c r="AC3218" s="1"/>
      <c r="AD3218" s="1"/>
    </row>
    <row r="3219" spans="17:30">
      <c r="Q3219" s="6">
        <v>3189</v>
      </c>
      <c r="R3219" s="7">
        <v>45856</v>
      </c>
      <c r="S3219" s="210">
        <v>4</v>
      </c>
      <c r="T3219" s="8">
        <v>1.0001111111111112</v>
      </c>
      <c r="U3219" s="98">
        <v>3.9036479266097546</v>
      </c>
      <c r="V3219" s="106">
        <v>33690.99563128304</v>
      </c>
      <c r="W3219" s="10">
        <v>0.97757018056996436</v>
      </c>
      <c r="X3219" s="420"/>
      <c r="Y3219" s="420"/>
      <c r="Z3219" s="1"/>
      <c r="AA3219" s="1"/>
      <c r="AB3219" s="1"/>
      <c r="AC3219" s="1"/>
      <c r="AD3219" s="1"/>
    </row>
    <row r="3220" spans="17:30">
      <c r="Q3220" s="6">
        <v>3190</v>
      </c>
      <c r="R3220" s="7">
        <v>45857</v>
      </c>
      <c r="S3220" s="210">
        <v>4</v>
      </c>
      <c r="T3220" s="8">
        <v>1.0001111111111112</v>
      </c>
      <c r="U3220" s="98">
        <v>3.9037215217250898</v>
      </c>
      <c r="V3220" s="106">
        <v>33693.706463067487</v>
      </c>
      <c r="W3220" s="10">
        <v>0.97761632534560938</v>
      </c>
      <c r="X3220" s="420"/>
      <c r="Y3220" s="420"/>
      <c r="Z3220" s="1"/>
      <c r="AA3220" s="1"/>
      <c r="AB3220" s="1"/>
      <c r="AC3220" s="1"/>
      <c r="AD3220" s="1"/>
    </row>
    <row r="3221" spans="17:30">
      <c r="Q3221" s="6">
        <v>3191</v>
      </c>
      <c r="R3221" s="7">
        <v>45858</v>
      </c>
      <c r="S3221" s="210">
        <v>4</v>
      </c>
      <c r="T3221" s="8">
        <v>1.0001111111111112</v>
      </c>
      <c r="U3221" s="98">
        <v>3.9037950707658142</v>
      </c>
      <c r="V3221" s="106">
        <v>33696.417512969834</v>
      </c>
      <c r="W3221" s="10">
        <v>0.97766244122046153</v>
      </c>
      <c r="X3221" s="420"/>
      <c r="Y3221" s="420"/>
      <c r="Z3221" s="1"/>
      <c r="AA3221" s="1"/>
      <c r="AB3221" s="1"/>
      <c r="AC3221" s="1"/>
      <c r="AD3221" s="1"/>
    </row>
    <row r="3222" spans="17:30">
      <c r="Q3222" s="6">
        <v>3192</v>
      </c>
      <c r="R3222" s="7">
        <v>45859</v>
      </c>
      <c r="S3222" s="210">
        <v>4</v>
      </c>
      <c r="T3222" s="8">
        <v>1.0001111111111112</v>
      </c>
      <c r="U3222" s="98">
        <v>3.9038685737752044</v>
      </c>
      <c r="V3222" s="106">
        <v>33699.128781007617</v>
      </c>
      <c r="W3222" s="10">
        <v>0.97770852822174348</v>
      </c>
      <c r="X3222" s="420"/>
      <c r="Y3222" s="420"/>
      <c r="Z3222" s="1"/>
      <c r="AA3222" s="1"/>
      <c r="AB3222" s="1"/>
      <c r="AC3222" s="1"/>
      <c r="AD3222" s="1"/>
    </row>
    <row r="3223" spans="17:30">
      <c r="Q3223" s="6">
        <v>3193</v>
      </c>
      <c r="R3223" s="7">
        <v>45860</v>
      </c>
      <c r="S3223" s="210">
        <v>4</v>
      </c>
      <c r="T3223" s="8">
        <v>1.0001111111111112</v>
      </c>
      <c r="U3223" s="98">
        <v>3.9039420307964479</v>
      </c>
      <c r="V3223" s="106">
        <v>33701.8402671984</v>
      </c>
      <c r="W3223" s="10">
        <v>0.97775458637647805</v>
      </c>
      <c r="X3223" s="420"/>
      <c r="Y3223" s="420"/>
      <c r="Z3223" s="1"/>
      <c r="AA3223" s="1"/>
      <c r="AB3223" s="1"/>
      <c r="AC3223" s="1"/>
      <c r="AD3223" s="1"/>
    </row>
    <row r="3224" spans="17:30">
      <c r="Q3224" s="6">
        <v>3194</v>
      </c>
      <c r="R3224" s="7">
        <v>45861</v>
      </c>
      <c r="S3224" s="210">
        <v>4</v>
      </c>
      <c r="T3224" s="8">
        <v>1.0001111111111112</v>
      </c>
      <c r="U3224" s="98">
        <v>3.904015441872688</v>
      </c>
      <c r="V3224" s="106">
        <v>33704.551971559726</v>
      </c>
      <c r="W3224" s="10">
        <v>0.9778006157117991</v>
      </c>
      <c r="X3224" s="420"/>
      <c r="Y3224" s="420"/>
      <c r="Z3224" s="1"/>
      <c r="AA3224" s="1"/>
      <c r="AB3224" s="1"/>
      <c r="AC3224" s="1"/>
      <c r="AD3224" s="1"/>
    </row>
    <row r="3225" spans="17:30">
      <c r="Q3225" s="6">
        <v>3195</v>
      </c>
      <c r="R3225" s="7">
        <v>45862</v>
      </c>
      <c r="S3225" s="210">
        <v>4</v>
      </c>
      <c r="T3225" s="8">
        <v>1.0001111111111112</v>
      </c>
      <c r="U3225" s="98">
        <v>3.9040888070470237</v>
      </c>
      <c r="V3225" s="106">
        <v>33707.26389410915</v>
      </c>
      <c r="W3225" s="10">
        <v>0.97784661625472946</v>
      </c>
      <c r="X3225" s="420"/>
      <c r="Y3225" s="420"/>
      <c r="Z3225" s="1"/>
      <c r="AA3225" s="1"/>
      <c r="AB3225" s="1"/>
      <c r="AC3225" s="1"/>
      <c r="AD3225" s="1"/>
    </row>
    <row r="3226" spans="17:30">
      <c r="Q3226" s="6">
        <v>3196</v>
      </c>
      <c r="R3226" s="7">
        <v>45863</v>
      </c>
      <c r="S3226" s="210">
        <v>4</v>
      </c>
      <c r="T3226" s="8">
        <v>1.0001111111111112</v>
      </c>
      <c r="U3226" s="98">
        <v>3.9041621263624871</v>
      </c>
      <c r="V3226" s="106">
        <v>33709.976034864238</v>
      </c>
      <c r="W3226" s="10">
        <v>0.97789258803224755</v>
      </c>
      <c r="X3226" s="420"/>
      <c r="Y3226" s="420"/>
      <c r="Z3226" s="1"/>
      <c r="AA3226" s="1"/>
      <c r="AB3226" s="1"/>
      <c r="AC3226" s="1"/>
      <c r="AD3226" s="1"/>
    </row>
    <row r="3227" spans="17:30">
      <c r="Q3227" s="6">
        <v>3197</v>
      </c>
      <c r="R3227" s="7">
        <v>45864</v>
      </c>
      <c r="S3227" s="210">
        <v>4</v>
      </c>
      <c r="T3227" s="8">
        <v>1.0001111111111112</v>
      </c>
      <c r="U3227" s="98">
        <v>3.904235399862066</v>
      </c>
      <c r="V3227" s="106">
        <v>33712.688393842538</v>
      </c>
      <c r="W3227" s="10">
        <v>0.97793853107137618</v>
      </c>
      <c r="X3227" s="420"/>
      <c r="Y3227" s="420"/>
      <c r="Z3227" s="1"/>
      <c r="AA3227" s="1"/>
      <c r="AB3227" s="1"/>
      <c r="AC3227" s="1"/>
      <c r="AD3227" s="1"/>
    </row>
    <row r="3228" spans="17:30">
      <c r="Q3228" s="6">
        <v>3198</v>
      </c>
      <c r="R3228" s="7">
        <v>45865</v>
      </c>
      <c r="S3228" s="210">
        <v>4</v>
      </c>
      <c r="T3228" s="8">
        <v>1.0001111111111112</v>
      </c>
      <c r="U3228" s="98">
        <v>3.904308627588704</v>
      </c>
      <c r="V3228" s="106">
        <v>33715.400971061616</v>
      </c>
      <c r="W3228" s="10">
        <v>0.97798444539902718</v>
      </c>
      <c r="X3228" s="420"/>
      <c r="Y3228" s="420"/>
      <c r="Z3228" s="1"/>
      <c r="AA3228" s="1"/>
      <c r="AB3228" s="1"/>
      <c r="AC3228" s="1"/>
      <c r="AD3228" s="1"/>
    </row>
    <row r="3229" spans="17:30">
      <c r="Q3229" s="6">
        <v>3199</v>
      </c>
      <c r="R3229" s="7">
        <v>45866</v>
      </c>
      <c r="S3229" s="210">
        <v>4</v>
      </c>
      <c r="T3229" s="8">
        <v>1.0001111111111112</v>
      </c>
      <c r="U3229" s="98">
        <v>3.9043818095852556</v>
      </c>
      <c r="V3229" s="106">
        <v>33718.113766539012</v>
      </c>
      <c r="W3229" s="10">
        <v>0.97803033104211234</v>
      </c>
      <c r="X3229" s="420"/>
      <c r="Y3229" s="420"/>
      <c r="Z3229" s="1"/>
      <c r="AA3229" s="1"/>
      <c r="AB3229" s="1"/>
      <c r="AC3229" s="1"/>
      <c r="AD3229" s="1"/>
    </row>
    <row r="3230" spans="17:30">
      <c r="Q3230" s="6">
        <v>3200</v>
      </c>
      <c r="R3230" s="7">
        <v>45867</v>
      </c>
      <c r="S3230" s="210">
        <v>4</v>
      </c>
      <c r="T3230" s="8">
        <v>1.0001111111111112</v>
      </c>
      <c r="U3230" s="98">
        <v>3.9044549458945532</v>
      </c>
      <c r="V3230" s="106">
        <v>33720.826780292315</v>
      </c>
      <c r="W3230" s="10">
        <v>0.97807618802749907</v>
      </c>
      <c r="X3230" s="420"/>
      <c r="Y3230" s="420"/>
      <c r="Z3230" s="1"/>
      <c r="AA3230" s="1"/>
      <c r="AB3230" s="1"/>
      <c r="AC3230" s="1"/>
      <c r="AD3230" s="1"/>
    </row>
    <row r="3231" spans="17:30">
      <c r="Q3231" s="6">
        <v>3201</v>
      </c>
      <c r="R3231" s="7">
        <v>45868</v>
      </c>
      <c r="S3231" s="210">
        <v>4</v>
      </c>
      <c r="T3231" s="8">
        <v>1.0001111111111112</v>
      </c>
      <c r="U3231" s="98">
        <v>3.9045280365593626</v>
      </c>
      <c r="V3231" s="106">
        <v>33723.540012339072</v>
      </c>
      <c r="W3231" s="10">
        <v>0.97812201638201035</v>
      </c>
      <c r="X3231" s="420"/>
      <c r="Y3231" s="420"/>
      <c r="Z3231" s="1"/>
      <c r="AA3231" s="1"/>
      <c r="AB3231" s="1"/>
      <c r="AC3231" s="1"/>
      <c r="AD3231" s="1"/>
    </row>
    <row r="3232" spans="17:30">
      <c r="Q3232" s="6">
        <v>3202</v>
      </c>
      <c r="R3232" s="7">
        <v>45869</v>
      </c>
      <c r="S3232" s="210">
        <v>4</v>
      </c>
      <c r="T3232" s="8">
        <v>1.0001111111111112</v>
      </c>
      <c r="U3232" s="98">
        <v>3.9046010816224053</v>
      </c>
      <c r="V3232" s="106">
        <v>33726.253462696848</v>
      </c>
      <c r="W3232" s="10">
        <v>0.97816781613246917</v>
      </c>
      <c r="X3232" s="420"/>
      <c r="Y3232" s="420"/>
      <c r="Z3232" s="1"/>
      <c r="AA3232" s="1"/>
      <c r="AB3232" s="1"/>
      <c r="AC3232" s="1"/>
      <c r="AD3232" s="1"/>
    </row>
    <row r="3233" spans="17:30">
      <c r="Q3233" s="6">
        <v>3203</v>
      </c>
      <c r="R3233" s="7">
        <v>45870</v>
      </c>
      <c r="S3233" s="210">
        <v>4</v>
      </c>
      <c r="T3233" s="8">
        <v>1.0001111111111112</v>
      </c>
      <c r="U3233" s="98">
        <v>3.9046740811263581</v>
      </c>
      <c r="V3233" s="106">
        <v>33728.967131383215</v>
      </c>
      <c r="W3233" s="10">
        <v>0.97821358730567631</v>
      </c>
      <c r="X3233" s="420"/>
      <c r="Y3233" s="420"/>
      <c r="Z3233" s="1"/>
      <c r="AA3233" s="1"/>
      <c r="AB3233" s="1"/>
      <c r="AC3233" s="1"/>
      <c r="AD3233" s="1"/>
    </row>
    <row r="3234" spans="17:30">
      <c r="Q3234" s="6">
        <v>3204</v>
      </c>
      <c r="R3234" s="7">
        <v>45871</v>
      </c>
      <c r="S3234" s="210">
        <v>4</v>
      </c>
      <c r="T3234" s="8">
        <v>1.0001111111111112</v>
      </c>
      <c r="U3234" s="98">
        <v>3.9047470351138092</v>
      </c>
      <c r="V3234" s="106">
        <v>33731.681018415737</v>
      </c>
      <c r="W3234" s="10">
        <v>0.97825932992832154</v>
      </c>
      <c r="X3234" s="420"/>
      <c r="Y3234" s="420"/>
      <c r="Z3234" s="1"/>
      <c r="AA3234" s="1"/>
      <c r="AB3234" s="1"/>
      <c r="AC3234" s="1"/>
      <c r="AD3234" s="1"/>
    </row>
    <row r="3235" spans="17:30">
      <c r="Q3235" s="6">
        <v>3205</v>
      </c>
      <c r="R3235" s="7">
        <v>45872</v>
      </c>
      <c r="S3235" s="210">
        <v>4</v>
      </c>
      <c r="T3235" s="8">
        <v>1.0001111111111112</v>
      </c>
      <c r="U3235" s="98">
        <v>3.9048199436273245</v>
      </c>
      <c r="V3235" s="106">
        <v>33734.395123811977</v>
      </c>
      <c r="W3235" s="10">
        <v>0.97830504402713903</v>
      </c>
      <c r="X3235" s="420"/>
      <c r="Y3235" s="420"/>
      <c r="Z3235" s="1"/>
      <c r="AA3235" s="1"/>
      <c r="AB3235" s="1"/>
      <c r="AC3235" s="1"/>
      <c r="AD3235" s="1"/>
    </row>
    <row r="3236" spans="17:30">
      <c r="Q3236" s="6">
        <v>3206</v>
      </c>
      <c r="R3236" s="7">
        <v>45873</v>
      </c>
      <c r="S3236" s="210">
        <v>4</v>
      </c>
      <c r="T3236" s="8">
        <v>1.0001111111111112</v>
      </c>
      <c r="U3236" s="98">
        <v>3.9048928067094257</v>
      </c>
      <c r="V3236" s="106">
        <v>33737.109447589515</v>
      </c>
      <c r="W3236" s="10">
        <v>0.97835072962879632</v>
      </c>
      <c r="X3236" s="420"/>
      <c r="Y3236" s="420"/>
      <c r="Z3236" s="1"/>
      <c r="AA3236" s="1"/>
      <c r="AB3236" s="1"/>
      <c r="AC3236" s="1"/>
      <c r="AD3236" s="1"/>
    </row>
    <row r="3237" spans="17:30">
      <c r="Q3237" s="6">
        <v>3207</v>
      </c>
      <c r="R3237" s="7">
        <v>45874</v>
      </c>
      <c r="S3237" s="210">
        <v>4</v>
      </c>
      <c r="T3237" s="8">
        <v>1.0001111111111112</v>
      </c>
      <c r="U3237" s="98">
        <v>3.9049656244025455</v>
      </c>
      <c r="V3237" s="106">
        <v>33739.823989765915</v>
      </c>
      <c r="W3237" s="10">
        <v>0.97839638675993879</v>
      </c>
      <c r="X3237" s="420"/>
      <c r="Y3237" s="420"/>
      <c r="Z3237" s="1"/>
      <c r="AA3237" s="1"/>
      <c r="AB3237" s="1"/>
      <c r="AC3237" s="1"/>
      <c r="AD3237" s="1"/>
    </row>
    <row r="3238" spans="17:30">
      <c r="Q3238" s="6">
        <v>3208</v>
      </c>
      <c r="R3238" s="7">
        <v>45875</v>
      </c>
      <c r="S3238" s="210">
        <v>4</v>
      </c>
      <c r="T3238" s="8">
        <v>1.0001111111111112</v>
      </c>
      <c r="U3238" s="98">
        <v>3.905038396749072</v>
      </c>
      <c r="V3238" s="106">
        <v>33742.538750358755</v>
      </c>
      <c r="W3238" s="10">
        <v>0.97844201544712295</v>
      </c>
      <c r="X3238" s="420"/>
      <c r="Y3238" s="420"/>
      <c r="Z3238" s="1"/>
      <c r="AA3238" s="1"/>
      <c r="AB3238" s="1"/>
      <c r="AC3238" s="1"/>
      <c r="AD3238" s="1"/>
    </row>
    <row r="3239" spans="17:30">
      <c r="Q3239" s="6">
        <v>3209</v>
      </c>
      <c r="R3239" s="7">
        <v>45876</v>
      </c>
      <c r="S3239" s="210">
        <v>4</v>
      </c>
      <c r="T3239" s="8">
        <v>1.0001111111111112</v>
      </c>
      <c r="U3239" s="98">
        <v>3.9051111237913716</v>
      </c>
      <c r="V3239" s="106">
        <v>33745.2537293856</v>
      </c>
      <c r="W3239" s="10">
        <v>0.97848761571699416</v>
      </c>
      <c r="X3239" s="420"/>
      <c r="Y3239" s="420"/>
      <c r="Z3239" s="1"/>
      <c r="AA3239" s="1"/>
      <c r="AB3239" s="1"/>
      <c r="AC3239" s="1"/>
      <c r="AD3239" s="1"/>
    </row>
    <row r="3240" spans="17:30">
      <c r="Q3240" s="6">
        <v>3210</v>
      </c>
      <c r="R3240" s="7">
        <v>45877</v>
      </c>
      <c r="S3240" s="210">
        <v>4</v>
      </c>
      <c r="T3240" s="8">
        <v>1.0001111111111112</v>
      </c>
      <c r="U3240" s="98">
        <v>3.9051838055717214</v>
      </c>
      <c r="V3240" s="106">
        <v>33747.968926864036</v>
      </c>
      <c r="W3240" s="10">
        <v>0.97853318759602015</v>
      </c>
      <c r="X3240" s="420"/>
      <c r="Y3240" s="420"/>
      <c r="Z3240" s="1"/>
      <c r="AA3240" s="1"/>
      <c r="AB3240" s="1"/>
      <c r="AC3240" s="1"/>
      <c r="AD3240" s="1"/>
    </row>
    <row r="3241" spans="17:30">
      <c r="Q3241" s="6">
        <v>3211</v>
      </c>
      <c r="R3241" s="7">
        <v>45878</v>
      </c>
      <c r="S3241" s="210">
        <v>4</v>
      </c>
      <c r="T3241" s="8">
        <v>1.0001111111111112</v>
      </c>
      <c r="U3241" s="98">
        <v>3.9052564421323765</v>
      </c>
      <c r="V3241" s="106">
        <v>33750.684342811626</v>
      </c>
      <c r="W3241" s="10">
        <v>0.97857873111075744</v>
      </c>
      <c r="X3241" s="420"/>
      <c r="Y3241" s="420"/>
      <c r="Z3241" s="1"/>
      <c r="AA3241" s="1"/>
      <c r="AB3241" s="1"/>
      <c r="AC3241" s="1"/>
      <c r="AD3241" s="1"/>
    </row>
    <row r="3242" spans="17:30">
      <c r="Q3242" s="6">
        <v>3212</v>
      </c>
      <c r="R3242" s="7">
        <v>45879</v>
      </c>
      <c r="S3242" s="210">
        <v>4</v>
      </c>
      <c r="T3242" s="8">
        <v>1.0001111111111112</v>
      </c>
      <c r="U3242" s="98">
        <v>3.9053290335155255</v>
      </c>
      <c r="V3242" s="106">
        <v>33753.399977245965</v>
      </c>
      <c r="W3242" s="10">
        <v>0.97862424628769595</v>
      </c>
      <c r="X3242" s="420"/>
      <c r="Y3242" s="420"/>
      <c r="Z3242" s="1"/>
      <c r="AA3242" s="1"/>
      <c r="AB3242" s="1"/>
      <c r="AC3242" s="1"/>
      <c r="AD3242" s="1"/>
    </row>
    <row r="3243" spans="17:30">
      <c r="Q3243" s="6">
        <v>3213</v>
      </c>
      <c r="R3243" s="7">
        <v>45880</v>
      </c>
      <c r="S3243" s="210">
        <v>4</v>
      </c>
      <c r="T3243" s="8">
        <v>1.0001111111111112</v>
      </c>
      <c r="U3243" s="98">
        <v>3.9054015797632902</v>
      </c>
      <c r="V3243" s="106">
        <v>33756.115830184623</v>
      </c>
      <c r="W3243" s="10">
        <v>0.97866973315321459</v>
      </c>
      <c r="X3243" s="420"/>
      <c r="Y3243" s="420"/>
      <c r="Z3243" s="1"/>
      <c r="AA3243" s="1"/>
      <c r="AB3243" s="1"/>
      <c r="AC3243" s="1"/>
      <c r="AD3243" s="1"/>
    </row>
    <row r="3244" spans="17:30">
      <c r="Q3244" s="6">
        <v>3214</v>
      </c>
      <c r="R3244" s="7">
        <v>45881</v>
      </c>
      <c r="S3244" s="210">
        <v>4</v>
      </c>
      <c r="T3244" s="8">
        <v>1.0001111111111112</v>
      </c>
      <c r="U3244" s="98">
        <v>3.9054740809177479</v>
      </c>
      <c r="V3244" s="106">
        <v>33758.831901645186</v>
      </c>
      <c r="W3244" s="10">
        <v>0.97871519173373667</v>
      </c>
      <c r="X3244" s="420"/>
      <c r="Y3244" s="420"/>
      <c r="Z3244" s="1"/>
      <c r="AA3244" s="1"/>
      <c r="AB3244" s="1"/>
      <c r="AC3244" s="1"/>
      <c r="AD3244" s="1"/>
    </row>
    <row r="3245" spans="17:30">
      <c r="Q3245" s="6">
        <v>3215</v>
      </c>
      <c r="R3245" s="7">
        <v>45882</v>
      </c>
      <c r="S3245" s="210">
        <v>4</v>
      </c>
      <c r="T3245" s="8">
        <v>1.0001111111111112</v>
      </c>
      <c r="U3245" s="98">
        <v>3.9055465370209541</v>
      </c>
      <c r="V3245" s="106">
        <v>33761.548191645234</v>
      </c>
      <c r="W3245" s="10">
        <v>0.97876062205568548</v>
      </c>
      <c r="X3245" s="420"/>
      <c r="Y3245" s="420"/>
      <c r="Z3245" s="1"/>
      <c r="AA3245" s="1"/>
      <c r="AB3245" s="1"/>
      <c r="AC3245" s="1"/>
      <c r="AD3245" s="1"/>
    </row>
    <row r="3246" spans="17:30">
      <c r="Q3246" s="6">
        <v>3216</v>
      </c>
      <c r="R3246" s="7">
        <v>45883</v>
      </c>
      <c r="S3246" s="210">
        <v>4</v>
      </c>
      <c r="T3246" s="8">
        <v>1.0001111111111112</v>
      </c>
      <c r="U3246" s="98">
        <v>3.9056189481148751</v>
      </c>
      <c r="V3246" s="106">
        <v>33764.264700202351</v>
      </c>
      <c r="W3246" s="10">
        <v>0.97880602414535112</v>
      </c>
      <c r="X3246" s="420"/>
      <c r="Y3246" s="420"/>
      <c r="Z3246" s="1"/>
      <c r="AA3246" s="1"/>
      <c r="AB3246" s="1"/>
      <c r="AC3246" s="1"/>
      <c r="AD3246" s="1"/>
    </row>
    <row r="3247" spans="17:30">
      <c r="Q3247" s="6">
        <v>3217</v>
      </c>
      <c r="R3247" s="7">
        <v>45884</v>
      </c>
      <c r="S3247" s="210">
        <v>4</v>
      </c>
      <c r="T3247" s="8">
        <v>1.0001111111111112</v>
      </c>
      <c r="U3247" s="98">
        <v>3.9056913142414329</v>
      </c>
      <c r="V3247" s="106">
        <v>33766.981427334125</v>
      </c>
      <c r="W3247" s="10">
        <v>0.97885139802904586</v>
      </c>
      <c r="X3247" s="420"/>
      <c r="Y3247" s="420"/>
      <c r="Z3247" s="1"/>
      <c r="AA3247" s="1"/>
      <c r="AB3247" s="1"/>
      <c r="AC3247" s="1"/>
      <c r="AD3247" s="1"/>
    </row>
    <row r="3248" spans="17:30">
      <c r="Q3248" s="6">
        <v>3218</v>
      </c>
      <c r="R3248" s="7">
        <v>45885</v>
      </c>
      <c r="S3248" s="210">
        <v>4</v>
      </c>
      <c r="T3248" s="8">
        <v>1.0001111111111112</v>
      </c>
      <c r="U3248" s="98">
        <v>3.9057636354425052</v>
      </c>
      <c r="V3248" s="106">
        <v>33769.698373058134</v>
      </c>
      <c r="W3248" s="10">
        <v>0.978896743733082</v>
      </c>
      <c r="X3248" s="420"/>
      <c r="Y3248" s="420"/>
      <c r="Z3248" s="1"/>
      <c r="AA3248" s="1"/>
      <c r="AB3248" s="1"/>
      <c r="AC3248" s="1"/>
      <c r="AD3248" s="1"/>
    </row>
    <row r="3249" spans="17:30">
      <c r="Q3249" s="6">
        <v>3219</v>
      </c>
      <c r="R3249" s="7">
        <v>45886</v>
      </c>
      <c r="S3249" s="210">
        <v>4</v>
      </c>
      <c r="T3249" s="8">
        <v>1.0001111111111112</v>
      </c>
      <c r="U3249" s="98">
        <v>3.9058359117599029</v>
      </c>
      <c r="V3249" s="106">
        <v>33772.415537391978</v>
      </c>
      <c r="W3249" s="10">
        <v>0.97894206128366079</v>
      </c>
      <c r="X3249" s="420"/>
      <c r="Y3249" s="420"/>
      <c r="Z3249" s="1"/>
      <c r="AA3249" s="1"/>
      <c r="AB3249" s="1"/>
      <c r="AC3249" s="1"/>
      <c r="AD3249" s="1"/>
    </row>
    <row r="3250" spans="17:30">
      <c r="Q3250" s="6">
        <v>3220</v>
      </c>
      <c r="R3250" s="7">
        <v>45887</v>
      </c>
      <c r="S3250" s="210">
        <v>4</v>
      </c>
      <c r="T3250" s="8">
        <v>1.0001111111111112</v>
      </c>
      <c r="U3250" s="98">
        <v>3.9059081432354148</v>
      </c>
      <c r="V3250" s="106">
        <v>33775.132920353237</v>
      </c>
      <c r="W3250" s="10">
        <v>0.97898735070700571</v>
      </c>
      <c r="X3250" s="420"/>
      <c r="Y3250" s="420"/>
      <c r="Z3250" s="1"/>
      <c r="AA3250" s="1"/>
      <c r="AB3250" s="1"/>
      <c r="AC3250" s="1"/>
      <c r="AD3250" s="1"/>
    </row>
    <row r="3251" spans="17:30">
      <c r="Q3251" s="6">
        <v>3221</v>
      </c>
      <c r="R3251" s="7">
        <v>45888</v>
      </c>
      <c r="S3251" s="210">
        <v>4</v>
      </c>
      <c r="T3251" s="8">
        <v>1.0001111111111112</v>
      </c>
      <c r="U3251" s="98">
        <v>3.905980329910741</v>
      </c>
      <c r="V3251" s="106">
        <v>33777.85052195951</v>
      </c>
      <c r="W3251" s="10">
        <v>0.97903261202931802</v>
      </c>
      <c r="X3251" s="420"/>
      <c r="Y3251" s="420"/>
      <c r="Z3251" s="1"/>
      <c r="AA3251" s="1"/>
      <c r="AB3251" s="1"/>
      <c r="AC3251" s="1"/>
      <c r="AD3251" s="1"/>
    </row>
    <row r="3252" spans="17:30">
      <c r="Q3252" s="6">
        <v>3222</v>
      </c>
      <c r="R3252" s="7">
        <v>45889</v>
      </c>
      <c r="S3252" s="210">
        <v>4</v>
      </c>
      <c r="T3252" s="8">
        <v>1.0001111111111112</v>
      </c>
      <c r="U3252" s="98">
        <v>3.9060524718275591</v>
      </c>
      <c r="V3252" s="106">
        <v>33780.568342228391</v>
      </c>
      <c r="W3252" s="10">
        <v>0.97907784527671016</v>
      </c>
      <c r="X3252" s="420"/>
      <c r="Y3252" s="420"/>
      <c r="Z3252" s="1"/>
      <c r="AA3252" s="1"/>
      <c r="AB3252" s="1"/>
      <c r="AC3252" s="1"/>
      <c r="AD3252" s="1"/>
    </row>
    <row r="3253" spans="17:30">
      <c r="Q3253" s="6">
        <v>3223</v>
      </c>
      <c r="R3253" s="7">
        <v>45890</v>
      </c>
      <c r="S3253" s="210">
        <v>4</v>
      </c>
      <c r="T3253" s="8">
        <v>1.0001111111111112</v>
      </c>
      <c r="U3253" s="98">
        <v>3.9061245690274804</v>
      </c>
      <c r="V3253" s="106">
        <v>33783.286381177466</v>
      </c>
      <c r="W3253" s="10">
        <v>0.97912305047531678</v>
      </c>
      <c r="X3253" s="420"/>
      <c r="Y3253" s="420"/>
      <c r="Z3253" s="1"/>
      <c r="AA3253" s="1"/>
      <c r="AB3253" s="1"/>
      <c r="AC3253" s="1"/>
      <c r="AD3253" s="1"/>
    </row>
    <row r="3254" spans="17:30">
      <c r="Q3254" s="6">
        <v>3224</v>
      </c>
      <c r="R3254" s="7">
        <v>45891</v>
      </c>
      <c r="S3254" s="210">
        <v>4</v>
      </c>
      <c r="T3254" s="8">
        <v>1.0001111111111112</v>
      </c>
      <c r="U3254" s="98">
        <v>3.9061966215520716</v>
      </c>
      <c r="V3254" s="106">
        <v>33786.004638824328</v>
      </c>
      <c r="W3254" s="10">
        <v>0.97916822765120592</v>
      </c>
      <c r="X3254" s="420"/>
      <c r="Y3254" s="420"/>
      <c r="Z3254" s="1"/>
      <c r="AA3254" s="1"/>
      <c r="AB3254" s="1"/>
      <c r="AC3254" s="1"/>
      <c r="AD3254" s="1"/>
    </row>
    <row r="3255" spans="17:30">
      <c r="Q3255" s="6">
        <v>3225</v>
      </c>
      <c r="R3255" s="7">
        <v>45892</v>
      </c>
      <c r="S3255" s="210">
        <v>4</v>
      </c>
      <c r="T3255" s="8">
        <v>1.0001111111111112</v>
      </c>
      <c r="U3255" s="98">
        <v>3.906268629442855</v>
      </c>
      <c r="V3255" s="106">
        <v>33788.723115186585</v>
      </c>
      <c r="W3255" s="10">
        <v>0.97921337683044563</v>
      </c>
      <c r="X3255" s="420"/>
      <c r="Y3255" s="420"/>
      <c r="Z3255" s="1"/>
      <c r="AA3255" s="1"/>
      <c r="AB3255" s="1"/>
      <c r="AC3255" s="1"/>
      <c r="AD3255" s="1"/>
    </row>
    <row r="3256" spans="17:30">
      <c r="Q3256" s="6">
        <v>3226</v>
      </c>
      <c r="R3256" s="7">
        <v>45893</v>
      </c>
      <c r="S3256" s="210">
        <v>4</v>
      </c>
      <c r="T3256" s="8">
        <v>1.0001111111111112</v>
      </c>
      <c r="U3256" s="98">
        <v>3.9063405927412864</v>
      </c>
      <c r="V3256" s="106">
        <v>33791.441810281824</v>
      </c>
      <c r="W3256" s="10">
        <v>0.97925849803905951</v>
      </c>
      <c r="X3256" s="420"/>
      <c r="Y3256" s="420"/>
      <c r="Z3256" s="1"/>
      <c r="AA3256" s="1"/>
      <c r="AB3256" s="1"/>
      <c r="AC3256" s="1"/>
      <c r="AD3256" s="1"/>
    </row>
    <row r="3257" spans="17:30">
      <c r="Q3257" s="6">
        <v>3227</v>
      </c>
      <c r="R3257" s="7">
        <v>45894</v>
      </c>
      <c r="S3257" s="210">
        <v>4</v>
      </c>
      <c r="T3257" s="8">
        <v>1.0001111111111112</v>
      </c>
      <c r="U3257" s="98">
        <v>3.9064125114887549</v>
      </c>
      <c r="V3257" s="106">
        <v>33794.160724127658</v>
      </c>
      <c r="W3257" s="10">
        <v>0.97930359130298239</v>
      </c>
      <c r="X3257" s="420"/>
      <c r="Y3257" s="420"/>
      <c r="Z3257" s="1"/>
      <c r="AA3257" s="1"/>
      <c r="AB3257" s="1"/>
      <c r="AC3257" s="1"/>
      <c r="AD3257" s="1"/>
    </row>
    <row r="3258" spans="17:30">
      <c r="Q3258" s="6">
        <v>3228</v>
      </c>
      <c r="R3258" s="7">
        <v>45895</v>
      </c>
      <c r="S3258" s="210">
        <v>4</v>
      </c>
      <c r="T3258" s="8">
        <v>1.0001111111111112</v>
      </c>
      <c r="U3258" s="98">
        <v>3.9064843857266274</v>
      </c>
      <c r="V3258" s="106">
        <v>33796.879856741674</v>
      </c>
      <c r="W3258" s="10">
        <v>0.97934865664821569</v>
      </c>
      <c r="X3258" s="420"/>
      <c r="Y3258" s="420"/>
      <c r="Z3258" s="1"/>
      <c r="AA3258" s="1"/>
      <c r="AB3258" s="1"/>
      <c r="AC3258" s="1"/>
      <c r="AD3258" s="1"/>
    </row>
    <row r="3259" spans="17:30">
      <c r="Q3259" s="6">
        <v>3229</v>
      </c>
      <c r="R3259" s="7">
        <v>45896</v>
      </c>
      <c r="S3259" s="210">
        <v>4</v>
      </c>
      <c r="T3259" s="8">
        <v>1.0001111111111112</v>
      </c>
      <c r="U3259" s="98">
        <v>3.9065562154962263</v>
      </c>
      <c r="V3259" s="106">
        <v>33799.599208141488</v>
      </c>
      <c r="W3259" s="10">
        <v>0.9793936941006498</v>
      </c>
      <c r="X3259" s="420"/>
      <c r="Y3259" s="420"/>
      <c r="Z3259" s="1"/>
      <c r="AA3259" s="1"/>
      <c r="AB3259" s="1"/>
      <c r="AC3259" s="1"/>
      <c r="AD3259" s="1"/>
    </row>
    <row r="3260" spans="17:30">
      <c r="Q3260" s="6">
        <v>3230</v>
      </c>
      <c r="R3260" s="7">
        <v>45897</v>
      </c>
      <c r="S3260" s="210">
        <v>4</v>
      </c>
      <c r="T3260" s="8">
        <v>1.0001111111111112</v>
      </c>
      <c r="U3260" s="98">
        <v>3.9066280008387855</v>
      </c>
      <c r="V3260" s="106">
        <v>33802.318778344692</v>
      </c>
      <c r="W3260" s="10">
        <v>0.97943870368617514</v>
      </c>
      <c r="X3260" s="420"/>
      <c r="Y3260" s="420"/>
      <c r="Z3260" s="1"/>
      <c r="AA3260" s="1"/>
      <c r="AB3260" s="1"/>
      <c r="AC3260" s="1"/>
      <c r="AD3260" s="1"/>
    </row>
    <row r="3261" spans="17:30">
      <c r="Q3261" s="6">
        <v>3231</v>
      </c>
      <c r="R3261" s="7">
        <v>45898</v>
      </c>
      <c r="S3261" s="210">
        <v>4</v>
      </c>
      <c r="T3261" s="8">
        <v>1.0001111111111112</v>
      </c>
      <c r="U3261" s="98">
        <v>3.9066997417955385</v>
      </c>
      <c r="V3261" s="106">
        <v>33805.038567368894</v>
      </c>
      <c r="W3261" s="10">
        <v>0.9794836854307043</v>
      </c>
      <c r="X3261" s="420"/>
      <c r="Y3261" s="420"/>
      <c r="Z3261" s="1"/>
      <c r="AA3261" s="1"/>
      <c r="AB3261" s="1"/>
      <c r="AC3261" s="1"/>
      <c r="AD3261" s="1"/>
    </row>
    <row r="3262" spans="17:30">
      <c r="Q3262" s="6">
        <v>3232</v>
      </c>
      <c r="R3262" s="7">
        <v>45899</v>
      </c>
      <c r="S3262" s="210">
        <v>4</v>
      </c>
      <c r="T3262" s="8">
        <v>1.0001111111111112</v>
      </c>
      <c r="U3262" s="98">
        <v>3.906771438407608</v>
      </c>
      <c r="V3262" s="106">
        <v>33807.75857523171</v>
      </c>
      <c r="W3262" s="10">
        <v>0.97952863935997225</v>
      </c>
      <c r="X3262" s="420"/>
      <c r="Y3262" s="420"/>
      <c r="Z3262" s="1"/>
      <c r="AA3262" s="1"/>
      <c r="AB3262" s="1"/>
      <c r="AC3262" s="1"/>
      <c r="AD3262" s="1"/>
    </row>
    <row r="3263" spans="17:30">
      <c r="Q3263" s="6">
        <v>3233</v>
      </c>
      <c r="R3263" s="7">
        <v>45900</v>
      </c>
      <c r="S3263" s="210">
        <v>4</v>
      </c>
      <c r="T3263" s="8">
        <v>1.0001111111111112</v>
      </c>
      <c r="U3263" s="98">
        <v>3.9068430907161167</v>
      </c>
      <c r="V3263" s="106">
        <v>33810.478801950732</v>
      </c>
      <c r="W3263" s="10">
        <v>0.97957356549982499</v>
      </c>
      <c r="X3263" s="420"/>
      <c r="Y3263" s="420"/>
      <c r="Z3263" s="1"/>
      <c r="AA3263" s="1"/>
      <c r="AB3263" s="1"/>
      <c r="AC3263" s="1"/>
      <c r="AD3263" s="1"/>
    </row>
    <row r="3264" spans="17:30">
      <c r="Q3264" s="6">
        <v>3234</v>
      </c>
      <c r="R3264" s="7">
        <v>45901</v>
      </c>
      <c r="S3264" s="210">
        <v>4</v>
      </c>
      <c r="T3264" s="8">
        <v>1.0001111111111112</v>
      </c>
      <c r="U3264" s="98">
        <v>3.9069146987621206</v>
      </c>
      <c r="V3264" s="106">
        <v>33813.199247543584</v>
      </c>
      <c r="W3264" s="10">
        <v>0.9796184638760197</v>
      </c>
      <c r="X3264" s="420"/>
      <c r="Y3264" s="420"/>
      <c r="Z3264" s="1"/>
      <c r="AA3264" s="1"/>
      <c r="AB3264" s="1"/>
      <c r="AC3264" s="1"/>
      <c r="AD3264" s="1"/>
    </row>
    <row r="3265" spans="17:30">
      <c r="Q3265" s="6">
        <v>3235</v>
      </c>
      <c r="R3265" s="7">
        <v>45902</v>
      </c>
      <c r="S3265" s="210">
        <v>4</v>
      </c>
      <c r="T3265" s="8">
        <v>1.0001111111111112</v>
      </c>
      <c r="U3265" s="98">
        <v>3.9069862625866092</v>
      </c>
      <c r="V3265" s="106">
        <v>33815.919912027864</v>
      </c>
      <c r="W3265" s="10">
        <v>0.97966333451426912</v>
      </c>
      <c r="X3265" s="420"/>
      <c r="Y3265" s="420"/>
      <c r="Z3265" s="1"/>
      <c r="AA3265" s="1"/>
      <c r="AB3265" s="1"/>
      <c r="AC3265" s="1"/>
      <c r="AD3265" s="1"/>
    </row>
    <row r="3266" spans="17:30">
      <c r="Q3266" s="6">
        <v>3236</v>
      </c>
      <c r="R3266" s="7">
        <v>45903</v>
      </c>
      <c r="S3266" s="210">
        <v>4</v>
      </c>
      <c r="T3266" s="8">
        <v>1.0001111111111112</v>
      </c>
      <c r="U3266" s="98">
        <v>3.9070577822305275</v>
      </c>
      <c r="V3266" s="106">
        <v>33818.64079542119</v>
      </c>
      <c r="W3266" s="10">
        <v>0.97970817744028604</v>
      </c>
      <c r="X3266" s="420"/>
      <c r="Y3266" s="420"/>
      <c r="Z3266" s="1"/>
      <c r="AA3266" s="1"/>
      <c r="AB3266" s="1"/>
      <c r="AC3266" s="1"/>
      <c r="AD3266" s="1"/>
    </row>
    <row r="3267" spans="17:30">
      <c r="Q3267" s="6">
        <v>3237</v>
      </c>
      <c r="R3267" s="7">
        <v>45904</v>
      </c>
      <c r="S3267" s="210">
        <v>4</v>
      </c>
      <c r="T3267" s="8">
        <v>1.0001111111111112</v>
      </c>
      <c r="U3267" s="98">
        <v>3.907129257734776</v>
      </c>
      <c r="V3267" s="106">
        <v>33821.361897741182</v>
      </c>
      <c r="W3267" s="10">
        <v>0.9797529926796944</v>
      </c>
      <c r="X3267" s="420"/>
      <c r="Y3267" s="420"/>
      <c r="Z3267" s="1"/>
      <c r="AA3267" s="1"/>
      <c r="AB3267" s="1"/>
      <c r="AC3267" s="1"/>
      <c r="AD3267" s="1"/>
    </row>
    <row r="3268" spans="17:30">
      <c r="Q3268" s="6">
        <v>3238</v>
      </c>
      <c r="R3268" s="7">
        <v>45905</v>
      </c>
      <c r="S3268" s="210">
        <v>4</v>
      </c>
      <c r="T3268" s="8">
        <v>1.0001111111111112</v>
      </c>
      <c r="U3268" s="98">
        <v>3.9072006891402111</v>
      </c>
      <c r="V3268" s="106">
        <v>33824.083219005457</v>
      </c>
      <c r="W3268" s="10">
        <v>0.97979778025818476</v>
      </c>
      <c r="X3268" s="420"/>
      <c r="Y3268" s="420"/>
      <c r="Z3268" s="1"/>
      <c r="AA3268" s="1"/>
      <c r="AB3268" s="1"/>
      <c r="AC3268" s="1"/>
      <c r="AD3268" s="1"/>
    </row>
    <row r="3269" spans="17:30">
      <c r="Q3269" s="6">
        <v>3239</v>
      </c>
      <c r="R3269" s="7">
        <v>45906</v>
      </c>
      <c r="S3269" s="210">
        <v>4</v>
      </c>
      <c r="T3269" s="8">
        <v>1.0001111111111112</v>
      </c>
      <c r="U3269" s="98">
        <v>3.9072720764876445</v>
      </c>
      <c r="V3269" s="106">
        <v>33826.804759231614</v>
      </c>
      <c r="W3269" s="10">
        <v>0.97984254020131445</v>
      </c>
      <c r="X3269" s="420"/>
      <c r="Y3269" s="420"/>
      <c r="Z3269" s="1"/>
      <c r="AA3269" s="1"/>
      <c r="AB3269" s="1"/>
      <c r="AC3269" s="1"/>
      <c r="AD3269" s="1"/>
    </row>
    <row r="3270" spans="17:30">
      <c r="Q3270" s="6">
        <v>3240</v>
      </c>
      <c r="R3270" s="7">
        <v>45907</v>
      </c>
      <c r="S3270" s="210">
        <v>4</v>
      </c>
      <c r="T3270" s="8">
        <v>1.0001111111111112</v>
      </c>
      <c r="U3270" s="98">
        <v>3.9073434198178214</v>
      </c>
      <c r="V3270" s="106">
        <v>33829.526518437291</v>
      </c>
      <c r="W3270" s="10">
        <v>0.97988727253470742</v>
      </c>
      <c r="X3270" s="420"/>
      <c r="Y3270" s="420"/>
      <c r="Z3270" s="1"/>
      <c r="AA3270" s="1"/>
      <c r="AB3270" s="1"/>
      <c r="AC3270" s="1"/>
      <c r="AD3270" s="1"/>
    </row>
    <row r="3271" spans="17:30">
      <c r="Q3271" s="6">
        <v>3241</v>
      </c>
      <c r="R3271" s="7">
        <v>45908</v>
      </c>
      <c r="S3271" s="210">
        <v>4</v>
      </c>
      <c r="T3271" s="8">
        <v>1.0001111111111112</v>
      </c>
      <c r="U3271" s="98">
        <v>3.9074147191714204</v>
      </c>
      <c r="V3271" s="106">
        <v>33832.248496640088</v>
      </c>
      <c r="W3271" s="10">
        <v>0.97993197728383219</v>
      </c>
      <c r="X3271" s="420"/>
      <c r="Y3271" s="420"/>
      <c r="Z3271" s="1"/>
      <c r="AA3271" s="1"/>
      <c r="AB3271" s="1"/>
      <c r="AC3271" s="1"/>
      <c r="AD3271" s="1"/>
    </row>
    <row r="3272" spans="17:30">
      <c r="Q3272" s="6">
        <v>3242</v>
      </c>
      <c r="R3272" s="7">
        <v>45909</v>
      </c>
      <c r="S3272" s="210">
        <v>4</v>
      </c>
      <c r="T3272" s="8">
        <v>1.0001111111111112</v>
      </c>
      <c r="U3272" s="98">
        <v>3.9074859745890977</v>
      </c>
      <c r="V3272" s="106">
        <v>33834.970693857642</v>
      </c>
      <c r="W3272" s="10">
        <v>0.97997665447424609</v>
      </c>
      <c r="X3272" s="420"/>
      <c r="Y3272" s="420"/>
      <c r="Z3272" s="1"/>
      <c r="AA3272" s="1"/>
      <c r="AB3272" s="1"/>
      <c r="AC3272" s="1"/>
      <c r="AD3272" s="1"/>
    </row>
    <row r="3273" spans="17:30">
      <c r="Q3273" s="6">
        <v>3243</v>
      </c>
      <c r="R3273" s="7">
        <v>45910</v>
      </c>
      <c r="S3273" s="210">
        <v>4</v>
      </c>
      <c r="T3273" s="8">
        <v>1.0001111111111112</v>
      </c>
      <c r="U3273" s="98">
        <v>3.9075571861114655</v>
      </c>
      <c r="V3273" s="106">
        <v>33837.693110107575</v>
      </c>
      <c r="W3273" s="10">
        <v>0.98002130413139543</v>
      </c>
      <c r="X3273" s="420"/>
      <c r="Y3273" s="420"/>
      <c r="Z3273" s="1"/>
      <c r="AA3273" s="1"/>
      <c r="AB3273" s="1"/>
      <c r="AC3273" s="1"/>
      <c r="AD3273" s="1"/>
    </row>
    <row r="3274" spans="17:30">
      <c r="Q3274" s="6">
        <v>3244</v>
      </c>
      <c r="R3274" s="7">
        <v>45911</v>
      </c>
      <c r="S3274" s="210">
        <v>4</v>
      </c>
      <c r="T3274" s="8">
        <v>1.0001111111111112</v>
      </c>
      <c r="U3274" s="98">
        <v>3.907628353779069</v>
      </c>
      <c r="V3274" s="106">
        <v>33840.415745407496</v>
      </c>
      <c r="W3274" s="10">
        <v>0.98006592628074873</v>
      </c>
      <c r="X3274" s="420"/>
      <c r="Y3274" s="420"/>
      <c r="Z3274" s="1"/>
      <c r="AA3274" s="1"/>
      <c r="AB3274" s="1"/>
      <c r="AC3274" s="1"/>
      <c r="AD3274" s="1"/>
    </row>
    <row r="3275" spans="17:30">
      <c r="Q3275" s="6">
        <v>3245</v>
      </c>
      <c r="R3275" s="7">
        <v>45912</v>
      </c>
      <c r="S3275" s="210">
        <v>4</v>
      </c>
      <c r="T3275" s="8">
        <v>1.0001111111111112</v>
      </c>
      <c r="U3275" s="98">
        <v>3.907699477632387</v>
      </c>
      <c r="V3275" s="106">
        <v>33843.138599775048</v>
      </c>
      <c r="W3275" s="10">
        <v>0.98011052094768569</v>
      </c>
      <c r="X3275" s="420"/>
      <c r="Y3275" s="420"/>
      <c r="Z3275" s="1"/>
      <c r="AA3275" s="1"/>
      <c r="AB3275" s="1"/>
      <c r="AC3275" s="1"/>
      <c r="AD3275" s="1"/>
    </row>
    <row r="3276" spans="17:30">
      <c r="Q3276" s="6">
        <v>3246</v>
      </c>
      <c r="R3276" s="7">
        <v>45913</v>
      </c>
      <c r="S3276" s="210">
        <v>4</v>
      </c>
      <c r="T3276" s="8">
        <v>1.0001111111111112</v>
      </c>
      <c r="U3276" s="98">
        <v>3.9077705577118982</v>
      </c>
      <c r="V3276" s="106">
        <v>33845.861673227839</v>
      </c>
      <c r="W3276" s="10">
        <v>0.98015508815763042</v>
      </c>
      <c r="X3276" s="420"/>
      <c r="Y3276" s="420"/>
      <c r="Z3276" s="1"/>
      <c r="AA3276" s="1"/>
      <c r="AB3276" s="1"/>
      <c r="AC3276" s="1"/>
      <c r="AD3276" s="1"/>
    </row>
    <row r="3277" spans="17:30">
      <c r="Q3277" s="6">
        <v>3247</v>
      </c>
      <c r="R3277" s="7">
        <v>45914</v>
      </c>
      <c r="S3277" s="210">
        <v>4</v>
      </c>
      <c r="T3277" s="8">
        <v>1.0001111111111112</v>
      </c>
      <c r="U3277" s="98">
        <v>3.9078415940579703</v>
      </c>
      <c r="V3277" s="106">
        <v>33848.584965783513</v>
      </c>
      <c r="W3277" s="10">
        <v>0.98019962793589599</v>
      </c>
      <c r="X3277" s="420"/>
      <c r="Y3277" s="420"/>
      <c r="Z3277" s="1"/>
      <c r="AA3277" s="1"/>
      <c r="AB3277" s="1"/>
      <c r="AC3277" s="1"/>
      <c r="AD3277" s="1"/>
    </row>
    <row r="3278" spans="17:30">
      <c r="Q3278" s="6">
        <v>3248</v>
      </c>
      <c r="R3278" s="7">
        <v>45915</v>
      </c>
      <c r="S3278" s="210">
        <v>4</v>
      </c>
      <c r="T3278" s="8">
        <v>1.0001111111111112</v>
      </c>
      <c r="U3278" s="98">
        <v>3.907912586710971</v>
      </c>
      <c r="V3278" s="106">
        <v>33851.308477459694</v>
      </c>
      <c r="W3278" s="10">
        <v>0.9802441403078177</v>
      </c>
      <c r="X3278" s="420"/>
      <c r="Y3278" s="420"/>
      <c r="Z3278" s="1"/>
      <c r="AA3278" s="1"/>
      <c r="AB3278" s="1"/>
      <c r="AC3278" s="1"/>
      <c r="AD3278" s="1"/>
    </row>
    <row r="3279" spans="17:30">
      <c r="Q3279" s="6">
        <v>3249</v>
      </c>
      <c r="R3279" s="7">
        <v>45916</v>
      </c>
      <c r="S3279" s="210">
        <v>4</v>
      </c>
      <c r="T3279" s="8">
        <v>1.0001111111111112</v>
      </c>
      <c r="U3279" s="98">
        <v>3.9079835357112014</v>
      </c>
      <c r="V3279" s="106">
        <v>33854.032208274009</v>
      </c>
      <c r="W3279" s="10">
        <v>0.98028862529868643</v>
      </c>
      <c r="X3279" s="420"/>
      <c r="Y3279" s="420"/>
      <c r="Z3279" s="1"/>
      <c r="AA3279" s="1"/>
      <c r="AB3279" s="1"/>
      <c r="AC3279" s="1"/>
      <c r="AD3279" s="1"/>
    </row>
    <row r="3280" spans="17:30">
      <c r="Q3280" s="6">
        <v>3250</v>
      </c>
      <c r="R3280" s="7">
        <v>45917</v>
      </c>
      <c r="S3280" s="210">
        <v>4</v>
      </c>
      <c r="T3280" s="8">
        <v>1.0001111111111112</v>
      </c>
      <c r="U3280" s="98">
        <v>3.9080544410989182</v>
      </c>
      <c r="V3280" s="106">
        <v>33856.756158244098</v>
      </c>
      <c r="W3280" s="10">
        <v>0.98033308293377086</v>
      </c>
      <c r="X3280" s="420"/>
      <c r="Y3280" s="420"/>
      <c r="Z3280" s="1"/>
      <c r="AA3280" s="1"/>
      <c r="AB3280" s="1"/>
      <c r="AC3280" s="1"/>
      <c r="AD3280" s="1"/>
    </row>
    <row r="3281" spans="17:30">
      <c r="Q3281" s="6">
        <v>3251</v>
      </c>
      <c r="R3281" s="7">
        <v>45918</v>
      </c>
      <c r="S3281" s="210">
        <v>4</v>
      </c>
      <c r="T3281" s="8">
        <v>1.0001111111111112</v>
      </c>
      <c r="U3281" s="98">
        <v>3.9081253029143115</v>
      </c>
      <c r="V3281" s="106">
        <v>33859.48032738758</v>
      </c>
      <c r="W3281" s="10">
        <v>0.98037751323827305</v>
      </c>
      <c r="X3281" s="420"/>
      <c r="Y3281" s="420"/>
      <c r="Z3281" s="1"/>
      <c r="AA3281" s="1"/>
      <c r="AB3281" s="1"/>
      <c r="AC3281" s="1"/>
      <c r="AD3281" s="1"/>
    </row>
    <row r="3282" spans="17:30">
      <c r="Q3282" s="6">
        <v>3252</v>
      </c>
      <c r="R3282" s="7">
        <v>45919</v>
      </c>
      <c r="S3282" s="210">
        <v>4</v>
      </c>
      <c r="T3282" s="8">
        <v>1.0001111111111112</v>
      </c>
      <c r="U3282" s="98">
        <v>3.9081961211975269</v>
      </c>
      <c r="V3282" s="106">
        <v>33862.20471572211</v>
      </c>
      <c r="W3282" s="10">
        <v>0.98042191623739505</v>
      </c>
      <c r="X3282" s="420"/>
      <c r="Y3282" s="420"/>
      <c r="Z3282" s="1"/>
      <c r="AA3282" s="1"/>
      <c r="AB3282" s="1"/>
      <c r="AC3282" s="1"/>
      <c r="AD3282" s="1"/>
    </row>
    <row r="3283" spans="17:30">
      <c r="Q3283" s="6">
        <v>3253</v>
      </c>
      <c r="R3283" s="7">
        <v>45920</v>
      </c>
      <c r="S3283" s="210">
        <v>4</v>
      </c>
      <c r="T3283" s="8">
        <v>1.0001111111111112</v>
      </c>
      <c r="U3283" s="98">
        <v>3.9082668959886657</v>
      </c>
      <c r="V3283" s="106">
        <v>33864.929323265307</v>
      </c>
      <c r="W3283" s="10">
        <v>0.98046629195629453</v>
      </c>
      <c r="X3283" s="420"/>
      <c r="Y3283" s="420"/>
      <c r="Z3283" s="1"/>
      <c r="AA3283" s="1"/>
      <c r="AB3283" s="1"/>
      <c r="AC3283" s="1"/>
      <c r="AD3283" s="1"/>
    </row>
    <row r="3284" spans="17:30">
      <c r="Q3284" s="6">
        <v>3254</v>
      </c>
      <c r="R3284" s="7">
        <v>45921</v>
      </c>
      <c r="S3284" s="210">
        <v>4</v>
      </c>
      <c r="T3284" s="8">
        <v>1.0001111111111112</v>
      </c>
      <c r="U3284" s="98">
        <v>3.908337627327807</v>
      </c>
      <c r="V3284" s="106">
        <v>33867.654150034825</v>
      </c>
      <c r="W3284" s="10">
        <v>0.98051064042010694</v>
      </c>
      <c r="X3284" s="420"/>
      <c r="Y3284" s="420"/>
      <c r="Z3284" s="1"/>
      <c r="AA3284" s="1"/>
      <c r="AB3284" s="1"/>
      <c r="AC3284" s="1"/>
      <c r="AD3284" s="1"/>
    </row>
    <row r="3285" spans="17:30">
      <c r="Q3285" s="6">
        <v>3255</v>
      </c>
      <c r="R3285" s="7">
        <v>45922</v>
      </c>
      <c r="S3285" s="210">
        <v>4</v>
      </c>
      <c r="T3285" s="8">
        <v>1.0001111111111112</v>
      </c>
      <c r="U3285" s="98">
        <v>3.9084083152549187</v>
      </c>
      <c r="V3285" s="106">
        <v>33870.379196048285</v>
      </c>
      <c r="W3285" s="10">
        <v>0.98055496165394551</v>
      </c>
      <c r="X3285" s="420"/>
      <c r="Y3285" s="420"/>
      <c r="Z3285" s="1"/>
      <c r="AA3285" s="1"/>
      <c r="AB3285" s="1"/>
      <c r="AC3285" s="1"/>
      <c r="AD3285" s="1"/>
    </row>
    <row r="3286" spans="17:30">
      <c r="Q3286" s="6">
        <v>3256</v>
      </c>
      <c r="R3286" s="7">
        <v>45923</v>
      </c>
      <c r="S3286" s="210">
        <v>4</v>
      </c>
      <c r="T3286" s="8">
        <v>1.0001111111111112</v>
      </c>
      <c r="U3286" s="98">
        <v>3.908478959809969</v>
      </c>
      <c r="V3286" s="106">
        <v>33873.104461323346</v>
      </c>
      <c r="W3286" s="10">
        <v>0.98059925568285689</v>
      </c>
      <c r="X3286" s="420"/>
      <c r="Y3286" s="420"/>
      <c r="Z3286" s="1"/>
      <c r="AA3286" s="1"/>
      <c r="AB3286" s="1"/>
      <c r="AC3286" s="1"/>
      <c r="AD3286" s="1"/>
    </row>
    <row r="3287" spans="17:30">
      <c r="Q3287" s="6">
        <v>3257</v>
      </c>
      <c r="R3287" s="7">
        <v>45924</v>
      </c>
      <c r="S3287" s="210">
        <v>4</v>
      </c>
      <c r="T3287" s="8">
        <v>1.0001111111111112</v>
      </c>
      <c r="U3287" s="98">
        <v>3.9085495610328813</v>
      </c>
      <c r="V3287" s="106">
        <v>33875.829945877638</v>
      </c>
      <c r="W3287" s="10">
        <v>0.9806435225319321</v>
      </c>
      <c r="X3287" s="420"/>
      <c r="Y3287" s="420"/>
      <c r="Z3287" s="1"/>
      <c r="AA3287" s="1"/>
      <c r="AB3287" s="1"/>
      <c r="AC3287" s="1"/>
      <c r="AD3287" s="1"/>
    </row>
    <row r="3288" spans="17:30">
      <c r="Q3288" s="6">
        <v>3258</v>
      </c>
      <c r="R3288" s="7">
        <v>45925</v>
      </c>
      <c r="S3288" s="210">
        <v>4</v>
      </c>
      <c r="T3288" s="8">
        <v>1.0001111111111112</v>
      </c>
      <c r="U3288" s="98">
        <v>3.9086201189634906</v>
      </c>
      <c r="V3288" s="106">
        <v>33878.555649728805</v>
      </c>
      <c r="W3288" s="10">
        <v>0.98068776222612897</v>
      </c>
      <c r="X3288" s="420"/>
      <c r="Y3288" s="420"/>
      <c r="Z3288" s="1"/>
      <c r="AA3288" s="1"/>
      <c r="AB3288" s="1"/>
      <c r="AC3288" s="1"/>
      <c r="AD3288" s="1"/>
    </row>
    <row r="3289" spans="17:30">
      <c r="Q3289" s="6">
        <v>3259</v>
      </c>
      <c r="R3289" s="7">
        <v>45926</v>
      </c>
      <c r="S3289" s="210">
        <v>4</v>
      </c>
      <c r="T3289" s="8">
        <v>1.0001111111111112</v>
      </c>
      <c r="U3289" s="98">
        <v>3.9086906336416094</v>
      </c>
      <c r="V3289" s="106">
        <v>33881.281572894499</v>
      </c>
      <c r="W3289" s="10">
        <v>0.98073197479044971</v>
      </c>
      <c r="X3289" s="420"/>
      <c r="Y3289" s="420"/>
      <c r="Z3289" s="1"/>
      <c r="AA3289" s="1"/>
      <c r="AB3289" s="1"/>
      <c r="AC3289" s="1"/>
      <c r="AD3289" s="1"/>
    </row>
    <row r="3290" spans="17:30">
      <c r="Q3290" s="6">
        <v>3260</v>
      </c>
      <c r="R3290" s="7">
        <v>45927</v>
      </c>
      <c r="S3290" s="210">
        <v>4</v>
      </c>
      <c r="T3290" s="8">
        <v>1.0001111111111112</v>
      </c>
      <c r="U3290" s="98">
        <v>3.9087611051070059</v>
      </c>
      <c r="V3290" s="106">
        <v>33884.007715392363</v>
      </c>
      <c r="W3290" s="10">
        <v>0.98077616024982994</v>
      </c>
      <c r="X3290" s="420"/>
      <c r="Y3290" s="420"/>
      <c r="Z3290" s="1"/>
      <c r="AA3290" s="1"/>
      <c r="AB3290" s="1"/>
      <c r="AC3290" s="1"/>
      <c r="AD3290" s="1"/>
    </row>
    <row r="3291" spans="17:30">
      <c r="Q3291" s="6">
        <v>3261</v>
      </c>
      <c r="R3291" s="7">
        <v>45928</v>
      </c>
      <c r="S3291" s="210">
        <v>4</v>
      </c>
      <c r="T3291" s="8">
        <v>1.0001111111111112</v>
      </c>
      <c r="U3291" s="98">
        <v>3.9088315333993817</v>
      </c>
      <c r="V3291" s="106">
        <v>33886.734077240035</v>
      </c>
      <c r="W3291" s="10">
        <v>0.98082031862920527</v>
      </c>
      <c r="X3291" s="420"/>
      <c r="Y3291" s="420"/>
      <c r="Z3291" s="1"/>
      <c r="AA3291" s="1"/>
      <c r="AB3291" s="1"/>
      <c r="AC3291" s="1"/>
      <c r="AD3291" s="1"/>
    </row>
    <row r="3292" spans="17:30">
      <c r="Q3292" s="6">
        <v>3262</v>
      </c>
      <c r="R3292" s="7">
        <v>45929</v>
      </c>
      <c r="S3292" s="210">
        <v>4</v>
      </c>
      <c r="T3292" s="8">
        <v>1.0001111111111112</v>
      </c>
      <c r="U3292" s="98">
        <v>3.908901918558394</v>
      </c>
      <c r="V3292" s="106">
        <v>33889.46065845518</v>
      </c>
      <c r="W3292" s="10">
        <v>0.98086444995344468</v>
      </c>
      <c r="X3292" s="420"/>
      <c r="Y3292" s="420"/>
      <c r="Z3292" s="1"/>
      <c r="AA3292" s="1"/>
      <c r="AB3292" s="1"/>
      <c r="AC3292" s="1"/>
      <c r="AD3292" s="1"/>
    </row>
    <row r="3293" spans="17:30">
      <c r="Q3293" s="6">
        <v>3263</v>
      </c>
      <c r="R3293" s="7">
        <v>45930</v>
      </c>
      <c r="S3293" s="210">
        <v>4</v>
      </c>
      <c r="T3293" s="8">
        <v>1.0001111111111112</v>
      </c>
      <c r="U3293" s="98">
        <v>3.9089722606236554</v>
      </c>
      <c r="V3293" s="106">
        <v>33892.187459055451</v>
      </c>
      <c r="W3293" s="10">
        <v>0.98090855424741719</v>
      </c>
      <c r="X3293" s="420"/>
      <c r="Y3293" s="420"/>
      <c r="Z3293" s="1"/>
      <c r="AA3293" s="1"/>
      <c r="AB3293" s="1"/>
      <c r="AC3293" s="1"/>
      <c r="AD3293" s="1"/>
    </row>
    <row r="3294" spans="17:30">
      <c r="Q3294" s="6">
        <v>3264</v>
      </c>
      <c r="R3294" s="7">
        <v>45931</v>
      </c>
      <c r="S3294" s="210">
        <v>4</v>
      </c>
      <c r="T3294" s="8">
        <v>1.0001111111111112</v>
      </c>
      <c r="U3294" s="98">
        <v>3.9090425596347345</v>
      </c>
      <c r="V3294" s="106">
        <v>33894.914479058476</v>
      </c>
      <c r="W3294" s="10">
        <v>0.98095263153594736</v>
      </c>
      <c r="X3294" s="420"/>
      <c r="Y3294" s="420"/>
      <c r="Z3294" s="1"/>
      <c r="AA3294" s="1"/>
      <c r="AB3294" s="1"/>
      <c r="AC3294" s="1"/>
      <c r="AD3294" s="1"/>
    </row>
    <row r="3295" spans="17:30">
      <c r="Q3295" s="6">
        <v>3265</v>
      </c>
      <c r="R3295" s="7">
        <v>45932</v>
      </c>
      <c r="S3295" s="210">
        <v>4</v>
      </c>
      <c r="T3295" s="8">
        <v>1.0001111111111112</v>
      </c>
      <c r="U3295" s="98">
        <v>3.909112815631155</v>
      </c>
      <c r="V3295" s="106">
        <v>33897.641718481929</v>
      </c>
      <c r="W3295" s="10">
        <v>0.98099668184381539</v>
      </c>
      <c r="X3295" s="420"/>
      <c r="Y3295" s="420"/>
      <c r="Z3295" s="1"/>
      <c r="AA3295" s="1"/>
      <c r="AB3295" s="1"/>
      <c r="AC3295" s="1"/>
      <c r="AD3295" s="1"/>
    </row>
    <row r="3296" spans="17:30">
      <c r="Q3296" s="6">
        <v>3266</v>
      </c>
      <c r="R3296" s="7">
        <v>45933</v>
      </c>
      <c r="S3296" s="210">
        <v>4</v>
      </c>
      <c r="T3296" s="8">
        <v>1.0001111111111112</v>
      </c>
      <c r="U3296" s="98">
        <v>3.9091830286523743</v>
      </c>
      <c r="V3296" s="106">
        <v>33900.369177343462</v>
      </c>
      <c r="W3296" s="10">
        <v>0.98104070519580144</v>
      </c>
      <c r="X3296" s="420"/>
      <c r="Y3296" s="420"/>
      <c r="Z3296" s="1"/>
      <c r="AA3296" s="1"/>
      <c r="AB3296" s="1"/>
      <c r="AC3296" s="1"/>
      <c r="AD3296" s="1"/>
    </row>
    <row r="3297" spans="17:30">
      <c r="Q3297" s="6">
        <v>3267</v>
      </c>
      <c r="R3297" s="7">
        <v>45934</v>
      </c>
      <c r="S3297" s="210">
        <v>4</v>
      </c>
      <c r="T3297" s="8">
        <v>1.0001111111111112</v>
      </c>
      <c r="U3297" s="98">
        <v>3.9092531987378276</v>
      </c>
      <c r="V3297" s="106">
        <v>33903.096855660733</v>
      </c>
      <c r="W3297" s="10">
        <v>0.9810847016166635</v>
      </c>
      <c r="X3297" s="420"/>
      <c r="Y3297" s="420"/>
      <c r="Z3297" s="1"/>
      <c r="AA3297" s="1"/>
      <c r="AB3297" s="1"/>
      <c r="AC3297" s="1"/>
      <c r="AD3297" s="1"/>
    </row>
    <row r="3298" spans="17:30">
      <c r="Q3298" s="6">
        <v>3268</v>
      </c>
      <c r="R3298" s="7">
        <v>45935</v>
      </c>
      <c r="S3298" s="210">
        <v>4</v>
      </c>
      <c r="T3298" s="8">
        <v>1.0001111111111112</v>
      </c>
      <c r="U3298" s="98">
        <v>3.9093233259268612</v>
      </c>
      <c r="V3298" s="106">
        <v>33905.824753451387</v>
      </c>
      <c r="W3298" s="10">
        <v>0.98112867113104851</v>
      </c>
      <c r="X3298" s="420"/>
      <c r="Y3298" s="420"/>
      <c r="Z3298" s="1"/>
      <c r="AA3298" s="1"/>
      <c r="AB3298" s="1"/>
      <c r="AC3298" s="1"/>
      <c r="AD3298" s="1"/>
    </row>
    <row r="3299" spans="17:30">
      <c r="Q3299" s="6">
        <v>3269</v>
      </c>
      <c r="R3299" s="7">
        <v>45936</v>
      </c>
      <c r="S3299" s="210">
        <v>4</v>
      </c>
      <c r="T3299" s="8">
        <v>1.0001111111111112</v>
      </c>
      <c r="U3299" s="98">
        <v>3.9093934102588213</v>
      </c>
      <c r="V3299" s="106">
        <v>33908.552870733089</v>
      </c>
      <c r="W3299" s="10">
        <v>0.98117261376369225</v>
      </c>
      <c r="X3299" s="420"/>
      <c r="Y3299" s="420"/>
      <c r="Z3299" s="1"/>
      <c r="AA3299" s="1"/>
      <c r="AB3299" s="1"/>
      <c r="AC3299" s="1"/>
      <c r="AD3299" s="1"/>
    </row>
    <row r="3300" spans="17:30">
      <c r="Q3300" s="6">
        <v>3270</v>
      </c>
      <c r="R3300" s="7">
        <v>45937</v>
      </c>
      <c r="S3300" s="210">
        <v>4</v>
      </c>
      <c r="T3300" s="8">
        <v>1.0001111111111112</v>
      </c>
      <c r="U3300" s="98">
        <v>3.9094634517729654</v>
      </c>
      <c r="V3300" s="106">
        <v>33911.281207523512</v>
      </c>
      <c r="W3300" s="10">
        <v>0.98121652953919725</v>
      </c>
      <c r="X3300" s="420"/>
      <c r="Y3300" s="420"/>
      <c r="Z3300" s="1"/>
      <c r="AA3300" s="1"/>
      <c r="AB3300" s="1"/>
      <c r="AC3300" s="1"/>
      <c r="AD3300" s="1"/>
    </row>
    <row r="3301" spans="17:30">
      <c r="Q3301" s="6">
        <v>3271</v>
      </c>
      <c r="R3301" s="7">
        <v>45938</v>
      </c>
      <c r="S3301" s="210">
        <v>4</v>
      </c>
      <c r="T3301" s="8">
        <v>1.0001111111111112</v>
      </c>
      <c r="U3301" s="98">
        <v>3.9095334505085289</v>
      </c>
      <c r="V3301" s="106">
        <v>33914.009763840309</v>
      </c>
      <c r="W3301" s="10">
        <v>0.98126041848218826</v>
      </c>
      <c r="X3301" s="420"/>
      <c r="Y3301" s="420"/>
      <c r="Z3301" s="1"/>
      <c r="AA3301" s="1"/>
      <c r="AB3301" s="1"/>
      <c r="AC3301" s="1"/>
      <c r="AD3301" s="1"/>
    </row>
    <row r="3302" spans="17:30">
      <c r="Q3302" s="6">
        <v>3272</v>
      </c>
      <c r="R3302" s="7">
        <v>45939</v>
      </c>
      <c r="S3302" s="210">
        <v>4</v>
      </c>
      <c r="T3302" s="8">
        <v>1.0001111111111112</v>
      </c>
      <c r="U3302" s="98">
        <v>3.9096034065047025</v>
      </c>
      <c r="V3302" s="106">
        <v>33916.738539701131</v>
      </c>
      <c r="W3302" s="10">
        <v>0.98130428061726782</v>
      </c>
      <c r="X3302" s="420"/>
      <c r="Y3302" s="420"/>
      <c r="Z3302" s="1"/>
      <c r="AA3302" s="1"/>
      <c r="AB3302" s="1"/>
      <c r="AC3302" s="1"/>
      <c r="AD3302" s="1"/>
    </row>
    <row r="3303" spans="17:30">
      <c r="Q3303" s="6">
        <v>3273</v>
      </c>
      <c r="R3303" s="7">
        <v>45940</v>
      </c>
      <c r="S3303" s="210">
        <v>4</v>
      </c>
      <c r="T3303" s="8">
        <v>1.0001111111111112</v>
      </c>
      <c r="U3303" s="98">
        <v>3.9096733198006106</v>
      </c>
      <c r="V3303" s="106">
        <v>33919.467535123673</v>
      </c>
      <c r="W3303" s="10">
        <v>0.98134811596899407</v>
      </c>
      <c r="X3303" s="420"/>
      <c r="Y3303" s="420"/>
      <c r="Z3303" s="1"/>
      <c r="AA3303" s="1"/>
      <c r="AB3303" s="1"/>
      <c r="AC3303" s="1"/>
      <c r="AD3303" s="1"/>
    </row>
    <row r="3304" spans="17:30">
      <c r="Q3304" s="6">
        <v>3274</v>
      </c>
      <c r="R3304" s="7">
        <v>45941</v>
      </c>
      <c r="S3304" s="210">
        <v>4</v>
      </c>
      <c r="T3304" s="8">
        <v>1.0001111111111112</v>
      </c>
      <c r="U3304" s="98">
        <v>3.909743190435333</v>
      </c>
      <c r="V3304" s="106">
        <v>33922.196750125564</v>
      </c>
      <c r="W3304" s="10">
        <v>0.98139192456185853</v>
      </c>
      <c r="X3304" s="420"/>
      <c r="Y3304" s="420"/>
      <c r="Z3304" s="1"/>
      <c r="AA3304" s="1"/>
      <c r="AB3304" s="1"/>
      <c r="AC3304" s="1"/>
      <c r="AD3304" s="1"/>
    </row>
    <row r="3305" spans="17:30">
      <c r="Q3305" s="6">
        <v>3275</v>
      </c>
      <c r="R3305" s="7">
        <v>45942</v>
      </c>
      <c r="S3305" s="210">
        <v>4</v>
      </c>
      <c r="T3305" s="8">
        <v>1.0001111111111112</v>
      </c>
      <c r="U3305" s="98">
        <v>3.9098130184479052</v>
      </c>
      <c r="V3305" s="106">
        <v>33924.926184724507</v>
      </c>
      <c r="W3305" s="10">
        <v>0.98143570642039712</v>
      </c>
      <c r="X3305" s="420"/>
      <c r="Y3305" s="420"/>
      <c r="Z3305" s="1"/>
      <c r="AA3305" s="1"/>
      <c r="AB3305" s="1"/>
      <c r="AC3305" s="1"/>
      <c r="AD3305" s="1"/>
    </row>
    <row r="3306" spans="17:30">
      <c r="Q3306" s="6">
        <v>3276</v>
      </c>
      <c r="R3306" s="7">
        <v>45943</v>
      </c>
      <c r="S3306" s="210">
        <v>4</v>
      </c>
      <c r="T3306" s="8">
        <v>1.0001111111111112</v>
      </c>
      <c r="U3306" s="98">
        <v>3.9098828038772959</v>
      </c>
      <c r="V3306" s="106">
        <v>33927.655838938146</v>
      </c>
      <c r="W3306" s="10">
        <v>0.98147946156901256</v>
      </c>
      <c r="X3306" s="420"/>
      <c r="Y3306" s="420"/>
      <c r="Z3306" s="1"/>
      <c r="AA3306" s="1"/>
      <c r="AB3306" s="1"/>
      <c r="AC3306" s="1"/>
      <c r="AD3306" s="1"/>
    </row>
    <row r="3307" spans="17:30">
      <c r="Q3307" s="6">
        <v>3277</v>
      </c>
      <c r="R3307" s="7">
        <v>45944</v>
      </c>
      <c r="S3307" s="210">
        <v>4</v>
      </c>
      <c r="T3307" s="8">
        <v>1.0001111111111112</v>
      </c>
      <c r="U3307" s="98">
        <v>3.9099525467624741</v>
      </c>
      <c r="V3307" s="106">
        <v>33930.385712784162</v>
      </c>
      <c r="W3307" s="10">
        <v>0.98152319003217414</v>
      </c>
      <c r="X3307" s="420"/>
      <c r="Y3307" s="420"/>
      <c r="Z3307" s="1"/>
      <c r="AA3307" s="1"/>
      <c r="AB3307" s="1"/>
      <c r="AC3307" s="1"/>
      <c r="AD3307" s="1"/>
    </row>
    <row r="3308" spans="17:30">
      <c r="Q3308" s="6">
        <v>3278</v>
      </c>
      <c r="R3308" s="7">
        <v>45945</v>
      </c>
      <c r="S3308" s="210">
        <v>4</v>
      </c>
      <c r="T3308" s="8">
        <v>1.0001111111111112</v>
      </c>
      <c r="U3308" s="98">
        <v>3.9100222471423196</v>
      </c>
      <c r="V3308" s="106">
        <v>33933.115806280228</v>
      </c>
      <c r="W3308" s="10">
        <v>0.98156689183430679</v>
      </c>
      <c r="X3308" s="420"/>
      <c r="Y3308" s="420"/>
      <c r="Z3308" s="1"/>
      <c r="AA3308" s="1"/>
      <c r="AB3308" s="1"/>
      <c r="AC3308" s="1"/>
      <c r="AD3308" s="1"/>
    </row>
    <row r="3309" spans="17:30">
      <c r="Q3309" s="6">
        <v>3279</v>
      </c>
      <c r="R3309" s="7">
        <v>45946</v>
      </c>
      <c r="S3309" s="210">
        <v>4</v>
      </c>
      <c r="T3309" s="8">
        <v>1.0001111111111112</v>
      </c>
      <c r="U3309" s="98">
        <v>3.9100919050556904</v>
      </c>
      <c r="V3309" s="106">
        <v>33935.84611944401</v>
      </c>
      <c r="W3309" s="10">
        <v>0.98161056699976879</v>
      </c>
      <c r="X3309" s="420"/>
      <c r="Y3309" s="420"/>
      <c r="Z3309" s="1"/>
      <c r="AA3309" s="1"/>
      <c r="AB3309" s="1"/>
      <c r="AC3309" s="1"/>
      <c r="AD3309" s="1"/>
    </row>
    <row r="3310" spans="17:30">
      <c r="Q3310" s="6">
        <v>3280</v>
      </c>
      <c r="R3310" s="7">
        <v>45947</v>
      </c>
      <c r="S3310" s="210">
        <v>4</v>
      </c>
      <c r="T3310" s="8">
        <v>1.0001111111111112</v>
      </c>
      <c r="U3310" s="98">
        <v>3.9101615205413776</v>
      </c>
      <c r="V3310" s="106">
        <v>33938.576652293188</v>
      </c>
      <c r="W3310" s="10">
        <v>0.98165421555289623</v>
      </c>
      <c r="X3310" s="420"/>
      <c r="Y3310" s="420"/>
      <c r="Z3310" s="1"/>
      <c r="AA3310" s="1"/>
      <c r="AB3310" s="1"/>
      <c r="AC3310" s="1"/>
      <c r="AD3310" s="1"/>
    </row>
    <row r="3311" spans="17:30">
      <c r="Q3311" s="6">
        <v>3281</v>
      </c>
      <c r="R3311" s="7">
        <v>45948</v>
      </c>
      <c r="S3311" s="210">
        <v>4</v>
      </c>
      <c r="T3311" s="8">
        <v>1.0001111111111112</v>
      </c>
      <c r="U3311" s="98">
        <v>3.9102310936381279</v>
      </c>
      <c r="V3311" s="106">
        <v>33941.307404845444</v>
      </c>
      <c r="W3311" s="10">
        <v>0.9816978375180252</v>
      </c>
      <c r="X3311" s="420"/>
      <c r="Y3311" s="420"/>
      <c r="Z3311" s="1"/>
      <c r="AA3311" s="1"/>
      <c r="AB3311" s="1"/>
      <c r="AC3311" s="1"/>
      <c r="AD3311" s="1"/>
    </row>
    <row r="3312" spans="17:30">
      <c r="Q3312" s="6">
        <v>3282</v>
      </c>
      <c r="R3312" s="7">
        <v>45949</v>
      </c>
      <c r="S3312" s="210">
        <v>4</v>
      </c>
      <c r="T3312" s="8">
        <v>1.0001111111111112</v>
      </c>
      <c r="U3312" s="98">
        <v>3.9103006243846439</v>
      </c>
      <c r="V3312" s="106">
        <v>33944.038377118442</v>
      </c>
      <c r="W3312" s="10">
        <v>0.98174143291940297</v>
      </c>
      <c r="X3312" s="420"/>
      <c r="Y3312" s="420"/>
      <c r="Z3312" s="1"/>
      <c r="AA3312" s="1"/>
      <c r="AB3312" s="1"/>
      <c r="AC3312" s="1"/>
      <c r="AD3312" s="1"/>
    </row>
    <row r="3313" spans="17:30">
      <c r="Q3313" s="6">
        <v>3283</v>
      </c>
      <c r="R3313" s="7">
        <v>45950</v>
      </c>
      <c r="S3313" s="210">
        <v>4</v>
      </c>
      <c r="T3313" s="8">
        <v>1.0001111111111112</v>
      </c>
      <c r="U3313" s="98">
        <v>3.9103701128196056</v>
      </c>
      <c r="V3313" s="106">
        <v>33946.769569129872</v>
      </c>
      <c r="W3313" s="10">
        <v>0.98178500178134342</v>
      </c>
      <c r="X3313" s="420"/>
      <c r="Y3313" s="420"/>
      <c r="Z3313" s="1"/>
      <c r="AA3313" s="1"/>
      <c r="AB3313" s="1"/>
      <c r="AC3313" s="1"/>
      <c r="AD3313" s="1"/>
    </row>
    <row r="3314" spans="17:30">
      <c r="Q3314" s="6">
        <v>3284</v>
      </c>
      <c r="R3314" s="7">
        <v>45951</v>
      </c>
      <c r="S3314" s="210">
        <v>4</v>
      </c>
      <c r="T3314" s="8">
        <v>1.0001111111111112</v>
      </c>
      <c r="U3314" s="98">
        <v>3.9104395589816043</v>
      </c>
      <c r="V3314" s="106">
        <v>33949.500980897414</v>
      </c>
      <c r="W3314" s="10">
        <v>0.98182854412804943</v>
      </c>
      <c r="X3314" s="420"/>
      <c r="Y3314" s="420"/>
      <c r="Z3314" s="1"/>
      <c r="AA3314" s="1"/>
      <c r="AB3314" s="1"/>
      <c r="AC3314" s="1"/>
      <c r="AD3314" s="1"/>
    </row>
    <row r="3315" spans="17:30">
      <c r="Q3315" s="6">
        <v>3285</v>
      </c>
      <c r="R3315" s="7">
        <v>45952</v>
      </c>
      <c r="S3315" s="210">
        <v>4</v>
      </c>
      <c r="T3315" s="8">
        <v>1.0001111111111112</v>
      </c>
      <c r="U3315" s="98">
        <v>3.9105089629091871</v>
      </c>
      <c r="V3315" s="106">
        <v>33952.23261243874</v>
      </c>
      <c r="W3315" s="10">
        <v>0.98187205998367943</v>
      </c>
      <c r="X3315" s="420"/>
      <c r="Y3315" s="420"/>
      <c r="Z3315" s="1"/>
      <c r="AA3315" s="1"/>
      <c r="AB3315" s="1"/>
      <c r="AC3315" s="1"/>
      <c r="AD3315" s="1"/>
    </row>
    <row r="3316" spans="17:30">
      <c r="Q3316" s="6">
        <v>3286</v>
      </c>
      <c r="R3316" s="7">
        <v>45953</v>
      </c>
      <c r="S3316" s="210">
        <v>4</v>
      </c>
      <c r="T3316" s="8">
        <v>1.0001111111111112</v>
      </c>
      <c r="U3316" s="98">
        <v>3.9105783246409009</v>
      </c>
      <c r="V3316" s="106">
        <v>33954.964463771546</v>
      </c>
      <c r="W3316" s="10">
        <v>0.98191554937245851</v>
      </c>
      <c r="X3316" s="420"/>
      <c r="Y3316" s="420"/>
      <c r="Z3316" s="1"/>
      <c r="AA3316" s="1"/>
      <c r="AB3316" s="1"/>
      <c r="AC3316" s="1"/>
      <c r="AD3316" s="1"/>
    </row>
    <row r="3317" spans="17:30">
      <c r="Q3317" s="6">
        <v>3287</v>
      </c>
      <c r="R3317" s="7">
        <v>45954</v>
      </c>
      <c r="S3317" s="210">
        <v>4</v>
      </c>
      <c r="T3317" s="8">
        <v>1.0001111111111112</v>
      </c>
      <c r="U3317" s="98">
        <v>3.9106476442152038</v>
      </c>
      <c r="V3317" s="106">
        <v>33957.696534913513</v>
      </c>
      <c r="W3317" s="10">
        <v>0.98195901231850069</v>
      </c>
      <c r="X3317" s="420"/>
      <c r="Y3317" s="420"/>
      <c r="Z3317" s="1"/>
      <c r="AA3317" s="1"/>
      <c r="AB3317" s="1"/>
      <c r="AC3317" s="1"/>
      <c r="AD3317" s="1"/>
    </row>
    <row r="3318" spans="17:30">
      <c r="Q3318" s="6">
        <v>3288</v>
      </c>
      <c r="R3318" s="7">
        <v>45955</v>
      </c>
      <c r="S3318" s="210">
        <v>4</v>
      </c>
      <c r="T3318" s="8">
        <v>1.0001111111111112</v>
      </c>
      <c r="U3318" s="98">
        <v>3.9107169216705095</v>
      </c>
      <c r="V3318" s="106">
        <v>33960.428825882322</v>
      </c>
      <c r="W3318" s="10">
        <v>0.98200244884592003</v>
      </c>
      <c r="X3318" s="420"/>
      <c r="Y3318" s="420"/>
      <c r="Z3318" s="1"/>
      <c r="AA3318" s="1"/>
      <c r="AB3318" s="1"/>
      <c r="AC3318" s="1"/>
      <c r="AD3318" s="1"/>
    </row>
    <row r="3319" spans="17:30">
      <c r="Q3319" s="6">
        <v>3289</v>
      </c>
      <c r="R3319" s="7">
        <v>45956</v>
      </c>
      <c r="S3319" s="210">
        <v>4</v>
      </c>
      <c r="T3319" s="8">
        <v>1.0001111111111112</v>
      </c>
      <c r="U3319" s="98">
        <v>3.9107861570452096</v>
      </c>
      <c r="V3319" s="106">
        <v>33963.161336695666</v>
      </c>
      <c r="W3319" s="10">
        <v>0.98204585897878616</v>
      </c>
      <c r="X3319" s="420"/>
      <c r="Y3319" s="420"/>
      <c r="Z3319" s="1"/>
      <c r="AA3319" s="1"/>
      <c r="AB3319" s="1"/>
      <c r="AC3319" s="1"/>
      <c r="AD3319" s="1"/>
    </row>
    <row r="3320" spans="17:30">
      <c r="Q3320" s="6">
        <v>3290</v>
      </c>
      <c r="R3320" s="7">
        <v>45957</v>
      </c>
      <c r="S3320" s="210">
        <v>4</v>
      </c>
      <c r="T3320" s="8">
        <v>1.0001111111111112</v>
      </c>
      <c r="U3320" s="98">
        <v>3.9108553503776289</v>
      </c>
      <c r="V3320" s="106">
        <v>33965.894067371228</v>
      </c>
      <c r="W3320" s="10">
        <v>0.98208924274116871</v>
      </c>
      <c r="X3320" s="420"/>
      <c r="Y3320" s="420"/>
      <c r="Z3320" s="1"/>
      <c r="AA3320" s="1"/>
      <c r="AB3320" s="1"/>
      <c r="AC3320" s="1"/>
      <c r="AD3320" s="1"/>
    </row>
    <row r="3321" spans="17:30">
      <c r="Q3321" s="6">
        <v>3291</v>
      </c>
      <c r="R3321" s="7">
        <v>45958</v>
      </c>
      <c r="S3321" s="210">
        <v>4</v>
      </c>
      <c r="T3321" s="8">
        <v>1.0001111111111112</v>
      </c>
      <c r="U3321" s="98">
        <v>3.9109245017060479</v>
      </c>
      <c r="V3321" s="106">
        <v>33968.627017926701</v>
      </c>
      <c r="W3321" s="10">
        <v>0.98213260015707071</v>
      </c>
      <c r="X3321" s="420"/>
      <c r="Y3321" s="420"/>
      <c r="Z3321" s="1"/>
      <c r="AA3321" s="1"/>
      <c r="AB3321" s="1"/>
      <c r="AC3321" s="1"/>
      <c r="AD3321" s="1"/>
    </row>
    <row r="3322" spans="17:30">
      <c r="Q3322" s="6">
        <v>3292</v>
      </c>
      <c r="R3322" s="7">
        <v>45959</v>
      </c>
      <c r="S3322" s="210">
        <v>4</v>
      </c>
      <c r="T3322" s="8">
        <v>1.0001111111111112</v>
      </c>
      <c r="U3322" s="98">
        <v>3.9109936110687027</v>
      </c>
      <c r="V3322" s="106">
        <v>33971.360188379789</v>
      </c>
      <c r="W3322" s="10">
        <v>0.98217593125051739</v>
      </c>
      <c r="X3322" s="420"/>
      <c r="Y3322" s="420"/>
      <c r="Z3322" s="1"/>
      <c r="AA3322" s="1"/>
      <c r="AB3322" s="1"/>
      <c r="AC3322" s="1"/>
      <c r="AD3322" s="1"/>
    </row>
    <row r="3323" spans="17:30">
      <c r="Q3323" s="6">
        <v>3293</v>
      </c>
      <c r="R3323" s="7">
        <v>45960</v>
      </c>
      <c r="S3323" s="210">
        <v>4</v>
      </c>
      <c r="T3323" s="8">
        <v>1.0001111111111112</v>
      </c>
      <c r="U3323" s="98">
        <v>3.9110626785037628</v>
      </c>
      <c r="V3323" s="106">
        <v>33974.093578748165</v>
      </c>
      <c r="W3323" s="10">
        <v>0.98221923604540073</v>
      </c>
      <c r="X3323" s="420"/>
      <c r="Y3323" s="420"/>
      <c r="Z3323" s="1"/>
      <c r="AA3323" s="1"/>
      <c r="AB3323" s="1"/>
      <c r="AC3323" s="1"/>
      <c r="AD3323" s="1"/>
    </row>
    <row r="3324" spans="17:30">
      <c r="Q3324" s="6">
        <v>3294</v>
      </c>
      <c r="R3324" s="7">
        <v>45961</v>
      </c>
      <c r="S3324" s="210">
        <v>4</v>
      </c>
      <c r="T3324" s="8">
        <v>1.0001111111111112</v>
      </c>
      <c r="U3324" s="98">
        <v>3.9111317040493976</v>
      </c>
      <c r="V3324" s="106">
        <v>33976.827189049538</v>
      </c>
      <c r="W3324" s="10">
        <v>0.98226251456572378</v>
      </c>
      <c r="X3324" s="420"/>
      <c r="Y3324" s="420"/>
      <c r="Z3324" s="1"/>
      <c r="AA3324" s="1"/>
      <c r="AB3324" s="1"/>
      <c r="AC3324" s="1"/>
      <c r="AD3324" s="1"/>
    </row>
    <row r="3325" spans="17:30">
      <c r="Q3325" s="6">
        <v>3295</v>
      </c>
      <c r="R3325" s="7">
        <v>45962</v>
      </c>
      <c r="S3325" s="210">
        <v>4</v>
      </c>
      <c r="T3325" s="8">
        <v>1.0001111111111112</v>
      </c>
      <c r="U3325" s="98">
        <v>3.91120068774371</v>
      </c>
      <c r="V3325" s="106">
        <v>33979.561019301604</v>
      </c>
      <c r="W3325" s="10">
        <v>0.98230576683537851</v>
      </c>
      <c r="X3325" s="420"/>
      <c r="Y3325" s="420"/>
      <c r="Z3325" s="1"/>
      <c r="AA3325" s="1"/>
      <c r="AB3325" s="1"/>
      <c r="AC3325" s="1"/>
      <c r="AD3325" s="1"/>
    </row>
    <row r="3326" spans="17:30">
      <c r="Q3326" s="6">
        <v>3296</v>
      </c>
      <c r="R3326" s="7">
        <v>45963</v>
      </c>
      <c r="S3326" s="210">
        <v>4</v>
      </c>
      <c r="T3326" s="8">
        <v>1.0001111111111112</v>
      </c>
      <c r="U3326" s="98">
        <v>3.9112696296247362</v>
      </c>
      <c r="V3326" s="106">
        <v>33982.29506952205</v>
      </c>
      <c r="W3326" s="10">
        <v>0.98234899287823474</v>
      </c>
      <c r="X3326" s="420"/>
      <c r="Y3326" s="420"/>
      <c r="Z3326" s="1"/>
      <c r="AA3326" s="1"/>
      <c r="AB3326" s="1"/>
      <c r="AC3326" s="1"/>
      <c r="AD3326" s="1"/>
    </row>
    <row r="3327" spans="17:30">
      <c r="Q3327" s="6">
        <v>3297</v>
      </c>
      <c r="R3327" s="7">
        <v>45964</v>
      </c>
      <c r="S3327" s="210">
        <v>4</v>
      </c>
      <c r="T3327" s="8">
        <v>1.0001111111111112</v>
      </c>
      <c r="U3327" s="98">
        <v>3.9113385297304681</v>
      </c>
      <c r="V3327" s="106">
        <v>33985.029339728579</v>
      </c>
      <c r="W3327" s="10">
        <v>0.98239219271811784</v>
      </c>
      <c r="X3327" s="420"/>
      <c r="Y3327" s="420"/>
      <c r="Z3327" s="1"/>
      <c r="AA3327" s="1"/>
      <c r="AB3327" s="1"/>
      <c r="AC3327" s="1"/>
      <c r="AD3327" s="1"/>
    </row>
    <row r="3328" spans="17:30">
      <c r="Q3328" s="6">
        <v>3298</v>
      </c>
      <c r="R3328" s="7">
        <v>45965</v>
      </c>
      <c r="S3328" s="210">
        <v>4</v>
      </c>
      <c r="T3328" s="8">
        <v>1.0001111111111112</v>
      </c>
      <c r="U3328" s="98">
        <v>3.9114073880988975</v>
      </c>
      <c r="V3328" s="106">
        <v>33987.7638299389</v>
      </c>
      <c r="W3328" s="10">
        <v>0.98243536637887541</v>
      </c>
      <c r="X3328" s="420"/>
      <c r="Y3328" s="420"/>
      <c r="Z3328" s="1"/>
      <c r="AA3328" s="1"/>
      <c r="AB3328" s="1"/>
      <c r="AC3328" s="1"/>
      <c r="AD3328" s="1"/>
    </row>
    <row r="3329" spans="17:30">
      <c r="Q3329" s="6">
        <v>3299</v>
      </c>
      <c r="R3329" s="7">
        <v>45966</v>
      </c>
      <c r="S3329" s="210">
        <v>4</v>
      </c>
      <c r="T3329" s="8">
        <v>1.0001111111111112</v>
      </c>
      <c r="U3329" s="98">
        <v>3.9114762047679053</v>
      </c>
      <c r="V3329" s="106">
        <v>33990.498540170702</v>
      </c>
      <c r="W3329" s="10">
        <v>0.98247851388428842</v>
      </c>
      <c r="X3329" s="420"/>
      <c r="Y3329" s="420"/>
      <c r="Z3329" s="1"/>
      <c r="AA3329" s="1"/>
      <c r="AB3329" s="1"/>
      <c r="AC3329" s="1"/>
      <c r="AD3329" s="1"/>
    </row>
    <row r="3330" spans="17:30">
      <c r="Q3330" s="6">
        <v>3300</v>
      </c>
      <c r="R3330" s="7">
        <v>45967</v>
      </c>
      <c r="S3330" s="210">
        <v>4</v>
      </c>
      <c r="T3330" s="8">
        <v>1.0001111111111112</v>
      </c>
      <c r="U3330" s="98">
        <v>3.9115449797753943</v>
      </c>
      <c r="V3330" s="106">
        <v>33993.233470441701</v>
      </c>
      <c r="W3330" s="10">
        <v>0.98252163525811564</v>
      </c>
      <c r="X3330" s="420"/>
      <c r="Y3330" s="420"/>
      <c r="Z3330" s="1"/>
      <c r="AA3330" s="1"/>
      <c r="AB3330" s="1"/>
      <c r="AC3330" s="1"/>
      <c r="AD3330" s="1"/>
    </row>
    <row r="3331" spans="17:30">
      <c r="Q3331" s="6">
        <v>3301</v>
      </c>
      <c r="R3331" s="7">
        <v>45968</v>
      </c>
      <c r="S3331" s="210">
        <v>4</v>
      </c>
      <c r="T3331" s="8">
        <v>1.0001111111111112</v>
      </c>
      <c r="U3331" s="98">
        <v>3.9116137131591566</v>
      </c>
      <c r="V3331" s="106">
        <v>33995.968620769592</v>
      </c>
      <c r="W3331" s="10">
        <v>0.98256473052409365</v>
      </c>
      <c r="X3331" s="420"/>
      <c r="Y3331" s="420"/>
      <c r="Z3331" s="1"/>
      <c r="AA3331" s="1"/>
      <c r="AB3331" s="1"/>
      <c r="AC3331" s="1"/>
      <c r="AD3331" s="1"/>
    </row>
    <row r="3332" spans="17:30">
      <c r="Q3332" s="6">
        <v>3302</v>
      </c>
      <c r="R3332" s="7">
        <v>45969</v>
      </c>
      <c r="S3332" s="210">
        <v>4</v>
      </c>
      <c r="T3332" s="8">
        <v>1.0001111111111112</v>
      </c>
      <c r="U3332" s="98">
        <v>3.9116824049569843</v>
      </c>
      <c r="V3332" s="106">
        <v>33998.703991172086</v>
      </c>
      <c r="W3332" s="10">
        <v>0.98260779970593681</v>
      </c>
      <c r="X3332" s="420"/>
      <c r="Y3332" s="420"/>
      <c r="Z3332" s="1"/>
      <c r="AA3332" s="1"/>
      <c r="AB3332" s="1"/>
      <c r="AC3332" s="1"/>
      <c r="AD3332" s="1"/>
    </row>
    <row r="3333" spans="17:30">
      <c r="Q3333" s="6">
        <v>3303</v>
      </c>
      <c r="R3333" s="7">
        <v>45970</v>
      </c>
      <c r="S3333" s="210">
        <v>4</v>
      </c>
      <c r="T3333" s="8">
        <v>1.0001111111111112</v>
      </c>
      <c r="U3333" s="98">
        <v>3.9117510552065804</v>
      </c>
      <c r="V3333" s="106">
        <v>34001.439581666891</v>
      </c>
      <c r="W3333" s="10">
        <v>0.98265084282727067</v>
      </c>
      <c r="X3333" s="420"/>
      <c r="Y3333" s="420"/>
      <c r="Z3333" s="1"/>
      <c r="AA3333" s="1"/>
      <c r="AB3333" s="1"/>
      <c r="AC3333" s="1"/>
      <c r="AD3333" s="1"/>
    </row>
    <row r="3334" spans="17:30">
      <c r="Q3334" s="6">
        <v>3304</v>
      </c>
      <c r="R3334" s="7">
        <v>45971</v>
      </c>
      <c r="S3334" s="210">
        <v>4</v>
      </c>
      <c r="T3334" s="8">
        <v>1.0001111111111112</v>
      </c>
      <c r="U3334" s="98">
        <v>3.9118196639456482</v>
      </c>
      <c r="V3334" s="106">
        <v>34004.175392271711</v>
      </c>
      <c r="W3334" s="10">
        <v>0.98269385991178737</v>
      </c>
      <c r="X3334" s="420"/>
      <c r="Y3334" s="420"/>
      <c r="Z3334" s="1"/>
      <c r="AA3334" s="1"/>
      <c r="AB3334" s="1"/>
      <c r="AC3334" s="1"/>
      <c r="AD3334" s="1"/>
    </row>
    <row r="3335" spans="17:30">
      <c r="Q3335" s="6">
        <v>3305</v>
      </c>
      <c r="R3335" s="7">
        <v>45972</v>
      </c>
      <c r="S3335" s="210">
        <v>4</v>
      </c>
      <c r="T3335" s="8">
        <v>1.0001111111111112</v>
      </c>
      <c r="U3335" s="98">
        <v>3.9118882312118464</v>
      </c>
      <c r="V3335" s="106">
        <v>34006.911423004254</v>
      </c>
      <c r="W3335" s="10">
        <v>0.98273685098311248</v>
      </c>
      <c r="X3335" s="420"/>
      <c r="Y3335" s="420"/>
      <c r="Z3335" s="1"/>
      <c r="AA3335" s="1"/>
      <c r="AB3335" s="1"/>
      <c r="AC3335" s="1"/>
      <c r="AD3335" s="1"/>
    </row>
    <row r="3336" spans="17:30">
      <c r="Q3336" s="6">
        <v>3306</v>
      </c>
      <c r="R3336" s="7">
        <v>45973</v>
      </c>
      <c r="S3336" s="210">
        <v>4</v>
      </c>
      <c r="T3336" s="8">
        <v>1.0001111111111112</v>
      </c>
      <c r="U3336" s="98">
        <v>3.9119567570427449</v>
      </c>
      <c r="V3336" s="106">
        <v>34009.647673882246</v>
      </c>
      <c r="W3336" s="10">
        <v>0.98277981606480491</v>
      </c>
      <c r="X3336" s="420"/>
      <c r="Y3336" s="420"/>
      <c r="Z3336" s="1"/>
      <c r="AA3336" s="1"/>
      <c r="AB3336" s="1"/>
      <c r="AC3336" s="1"/>
      <c r="AD3336" s="1"/>
    </row>
    <row r="3337" spans="17:30">
      <c r="Q3337" s="6">
        <v>3307</v>
      </c>
      <c r="R3337" s="7">
        <v>45974</v>
      </c>
      <c r="S3337" s="210">
        <v>4</v>
      </c>
      <c r="T3337" s="8">
        <v>1.0001111111111112</v>
      </c>
      <c r="U3337" s="98">
        <v>3.9120252414758916</v>
      </c>
      <c r="V3337" s="106">
        <v>34012.384144923388</v>
      </c>
      <c r="W3337" s="10">
        <v>0.98282275518044582</v>
      </c>
      <c r="X3337" s="420"/>
      <c r="Y3337" s="420"/>
      <c r="Z3337" s="1"/>
      <c r="AA3337" s="1"/>
      <c r="AB3337" s="1"/>
      <c r="AC3337" s="1"/>
      <c r="AD3337" s="1"/>
    </row>
    <row r="3338" spans="17:30">
      <c r="Q3338" s="6">
        <v>3308</v>
      </c>
      <c r="R3338" s="7">
        <v>45975</v>
      </c>
      <c r="S3338" s="210">
        <v>4</v>
      </c>
      <c r="T3338" s="8">
        <v>1.0001111111111112</v>
      </c>
      <c r="U3338" s="98">
        <v>3.9120936845487897</v>
      </c>
      <c r="V3338" s="106">
        <v>34015.120836145405</v>
      </c>
      <c r="W3338" s="10">
        <v>0.98286566835354972</v>
      </c>
      <c r="X3338" s="420"/>
      <c r="Y3338" s="420"/>
      <c r="Z3338" s="1"/>
      <c r="AA3338" s="1"/>
      <c r="AB3338" s="1"/>
      <c r="AC3338" s="1"/>
      <c r="AD3338" s="1"/>
    </row>
    <row r="3339" spans="17:30">
      <c r="Q3339" s="6">
        <v>3309</v>
      </c>
      <c r="R3339" s="7">
        <v>45976</v>
      </c>
      <c r="S3339" s="210">
        <v>4</v>
      </c>
      <c r="T3339" s="8">
        <v>1.0001111111111112</v>
      </c>
      <c r="U3339" s="98">
        <v>3.9121620862988982</v>
      </c>
      <c r="V3339" s="106">
        <v>34017.857747565999</v>
      </c>
      <c r="W3339" s="10">
        <v>0.98290855560760892</v>
      </c>
      <c r="X3339" s="420"/>
      <c r="Y3339" s="420"/>
      <c r="Z3339" s="1"/>
      <c r="AA3339" s="1"/>
      <c r="AB3339" s="1"/>
      <c r="AC3339" s="1"/>
      <c r="AD3339" s="1"/>
    </row>
    <row r="3340" spans="17:30">
      <c r="Q3340" s="6">
        <v>3310</v>
      </c>
      <c r="R3340" s="7">
        <v>45977</v>
      </c>
      <c r="S3340" s="210">
        <v>4</v>
      </c>
      <c r="T3340" s="8">
        <v>1.0001111111111112</v>
      </c>
      <c r="U3340" s="98">
        <v>3.9122304467636315</v>
      </c>
      <c r="V3340" s="106">
        <v>34020.594879202901</v>
      </c>
      <c r="W3340" s="10">
        <v>0.98295141696613797</v>
      </c>
      <c r="X3340" s="420"/>
      <c r="Y3340" s="420"/>
      <c r="Z3340" s="1"/>
      <c r="AA3340" s="1"/>
      <c r="AB3340" s="1"/>
      <c r="AC3340" s="1"/>
      <c r="AD3340" s="1"/>
    </row>
    <row r="3341" spans="17:30">
      <c r="Q3341" s="6">
        <v>3311</v>
      </c>
      <c r="R3341" s="7">
        <v>45978</v>
      </c>
      <c r="S3341" s="210">
        <v>4</v>
      </c>
      <c r="T3341" s="8">
        <v>1.0001111111111112</v>
      </c>
      <c r="U3341" s="98">
        <v>3.9122987659803599</v>
      </c>
      <c r="V3341" s="106">
        <v>34023.332231073815</v>
      </c>
      <c r="W3341" s="10">
        <v>0.98299425245256256</v>
      </c>
      <c r="X3341" s="420"/>
      <c r="Y3341" s="420"/>
      <c r="Z3341" s="1"/>
      <c r="AA3341" s="1"/>
      <c r="AB3341" s="1"/>
      <c r="AC3341" s="1"/>
      <c r="AD3341" s="1"/>
    </row>
    <row r="3342" spans="17:30">
      <c r="Q3342" s="6">
        <v>3312</v>
      </c>
      <c r="R3342" s="7">
        <v>45979</v>
      </c>
      <c r="S3342" s="210">
        <v>4</v>
      </c>
      <c r="T3342" s="8">
        <v>1.0001111111111112</v>
      </c>
      <c r="U3342" s="98">
        <v>3.9123670439863867</v>
      </c>
      <c r="V3342" s="106">
        <v>34026.069803196478</v>
      </c>
      <c r="W3342" s="10">
        <v>0.98303706209028618</v>
      </c>
      <c r="X3342" s="420"/>
      <c r="Y3342" s="420"/>
      <c r="Z3342" s="1"/>
      <c r="AA3342" s="1"/>
      <c r="AB3342" s="1"/>
      <c r="AC3342" s="1"/>
      <c r="AD3342" s="1"/>
    </row>
    <row r="3343" spans="17:30">
      <c r="Q3343" s="6">
        <v>3313</v>
      </c>
      <c r="R3343" s="7">
        <v>45980</v>
      </c>
      <c r="S3343" s="210">
        <v>4</v>
      </c>
      <c r="T3343" s="8">
        <v>1.0001111111111112</v>
      </c>
      <c r="U3343" s="98">
        <v>3.9124352808190155</v>
      </c>
      <c r="V3343" s="106">
        <v>34028.807595588602</v>
      </c>
      <c r="W3343" s="10">
        <v>0.98307984590273456</v>
      </c>
      <c r="X3343" s="420"/>
      <c r="Y3343" s="420"/>
      <c r="Z3343" s="1"/>
      <c r="AA3343" s="1"/>
      <c r="AB3343" s="1"/>
      <c r="AC3343" s="1"/>
      <c r="AD3343" s="1"/>
    </row>
    <row r="3344" spans="17:30">
      <c r="Q3344" s="6">
        <v>3314</v>
      </c>
      <c r="R3344" s="7">
        <v>45981</v>
      </c>
      <c r="S3344" s="210">
        <v>4</v>
      </c>
      <c r="T3344" s="8">
        <v>1.0001111111111112</v>
      </c>
      <c r="U3344" s="98">
        <v>3.9125034765154609</v>
      </c>
      <c r="V3344" s="106">
        <v>34031.545608267916</v>
      </c>
      <c r="W3344" s="10">
        <v>0.98312260391324457</v>
      </c>
      <c r="X3344" s="420"/>
      <c r="Y3344" s="420"/>
      <c r="Z3344" s="1"/>
      <c r="AA3344" s="1"/>
      <c r="AB3344" s="1"/>
      <c r="AC3344" s="1"/>
      <c r="AD3344" s="1"/>
    </row>
    <row r="3345" spans="17:30">
      <c r="Q3345" s="6">
        <v>3315</v>
      </c>
      <c r="R3345" s="7">
        <v>45982</v>
      </c>
      <c r="S3345" s="210">
        <v>4</v>
      </c>
      <c r="T3345" s="8">
        <v>1.0001111111111112</v>
      </c>
      <c r="U3345" s="98">
        <v>3.9125716311129155</v>
      </c>
      <c r="V3345" s="106">
        <v>34034.283841252138</v>
      </c>
      <c r="W3345" s="10">
        <v>0.98316533614515311</v>
      </c>
      <c r="X3345" s="420"/>
      <c r="Y3345" s="420"/>
      <c r="Z3345" s="1"/>
      <c r="AA3345" s="1"/>
      <c r="AB3345" s="1"/>
      <c r="AC3345" s="1"/>
      <c r="AD3345" s="1"/>
    </row>
    <row r="3346" spans="17:30">
      <c r="Q3346" s="6">
        <v>3316</v>
      </c>
      <c r="R3346" s="7">
        <v>45983</v>
      </c>
      <c r="S3346" s="210">
        <v>4</v>
      </c>
      <c r="T3346" s="8">
        <v>1.0001111111111112</v>
      </c>
      <c r="U3346" s="98">
        <v>3.9126397446485051</v>
      </c>
      <c r="V3346" s="106">
        <v>34037.022294558999</v>
      </c>
      <c r="W3346" s="10">
        <v>0.98320804262175265</v>
      </c>
      <c r="X3346" s="420"/>
      <c r="Y3346" s="420"/>
      <c r="Z3346" s="1"/>
      <c r="AA3346" s="1"/>
      <c r="AB3346" s="1"/>
      <c r="AC3346" s="1"/>
      <c r="AD3346" s="1"/>
    </row>
    <row r="3347" spans="17:30">
      <c r="Q3347" s="6">
        <v>3317</v>
      </c>
      <c r="R3347" s="7">
        <v>45984</v>
      </c>
      <c r="S3347" s="210">
        <v>4</v>
      </c>
      <c r="T3347" s="8">
        <v>1.0001111111111112</v>
      </c>
      <c r="U3347" s="98">
        <v>3.9127078171593555</v>
      </c>
      <c r="V3347" s="106">
        <v>34039.760968206225</v>
      </c>
      <c r="W3347" s="10">
        <v>0.98325072336635788</v>
      </c>
      <c r="X3347" s="420"/>
      <c r="Y3347" s="420"/>
      <c r="Z3347" s="1"/>
      <c r="AA3347" s="1"/>
      <c r="AB3347" s="1"/>
      <c r="AC3347" s="1"/>
      <c r="AD3347" s="1"/>
    </row>
    <row r="3348" spans="17:30">
      <c r="Q3348" s="6">
        <v>3318</v>
      </c>
      <c r="R3348" s="7">
        <v>45985</v>
      </c>
      <c r="S3348" s="210">
        <v>4</v>
      </c>
      <c r="T3348" s="8">
        <v>1.0001111111111112</v>
      </c>
      <c r="U3348" s="98">
        <v>3.9127758486825037</v>
      </c>
      <c r="V3348" s="106">
        <v>34042.499862211538</v>
      </c>
      <c r="W3348" s="10">
        <v>0.98329337840219466</v>
      </c>
      <c r="X3348" s="420"/>
      <c r="Y3348" s="420"/>
      <c r="Z3348" s="1"/>
      <c r="AA3348" s="1"/>
      <c r="AB3348" s="1"/>
      <c r="AC3348" s="1"/>
      <c r="AD3348" s="1"/>
    </row>
    <row r="3349" spans="17:30">
      <c r="Q3349" s="6">
        <v>3319</v>
      </c>
      <c r="R3349" s="7">
        <v>45986</v>
      </c>
      <c r="S3349" s="210">
        <v>4</v>
      </c>
      <c r="T3349" s="8">
        <v>1.0001111111111112</v>
      </c>
      <c r="U3349" s="98">
        <v>3.9128438392549425</v>
      </c>
      <c r="V3349" s="106">
        <v>34045.238976592678</v>
      </c>
      <c r="W3349" s="10">
        <v>0.98333600775246666</v>
      </c>
      <c r="X3349" s="420"/>
      <c r="Y3349" s="420"/>
      <c r="Z3349" s="1"/>
      <c r="AA3349" s="1"/>
      <c r="AB3349" s="1"/>
      <c r="AC3349" s="1"/>
      <c r="AD3349" s="1"/>
    </row>
    <row r="3350" spans="17:30">
      <c r="Q3350" s="6">
        <v>3320</v>
      </c>
      <c r="R3350" s="7">
        <v>45987</v>
      </c>
      <c r="S3350" s="210">
        <v>4</v>
      </c>
      <c r="T3350" s="8">
        <v>1.0001111111111112</v>
      </c>
      <c r="U3350" s="98">
        <v>3.9129117889136644</v>
      </c>
      <c r="V3350" s="106">
        <v>34047.978311367384</v>
      </c>
      <c r="W3350" s="10">
        <v>0.98337861144039973</v>
      </c>
      <c r="X3350" s="420"/>
      <c r="Y3350" s="420"/>
      <c r="Z3350" s="1"/>
      <c r="AA3350" s="1"/>
      <c r="AB3350" s="1"/>
      <c r="AC3350" s="1"/>
      <c r="AD3350" s="1"/>
    </row>
    <row r="3351" spans="17:30">
      <c r="Q3351" s="6">
        <v>3321</v>
      </c>
      <c r="R3351" s="7">
        <v>45988</v>
      </c>
      <c r="S3351" s="210">
        <v>4</v>
      </c>
      <c r="T3351" s="8">
        <v>1.0001111111111112</v>
      </c>
      <c r="U3351" s="98">
        <v>3.9129796976955733</v>
      </c>
      <c r="V3351" s="106">
        <v>34050.717866553357</v>
      </c>
      <c r="W3351" s="10">
        <v>0.98342118948913093</v>
      </c>
      <c r="X3351" s="420"/>
      <c r="Y3351" s="420"/>
      <c r="Z3351" s="1"/>
      <c r="AA3351" s="1"/>
      <c r="AB3351" s="1"/>
      <c r="AC3351" s="1"/>
      <c r="AD3351" s="1"/>
    </row>
    <row r="3352" spans="17:30">
      <c r="Q3352" s="6">
        <v>3322</v>
      </c>
      <c r="R3352" s="7">
        <v>45989</v>
      </c>
      <c r="S3352" s="210">
        <v>4</v>
      </c>
      <c r="T3352" s="8">
        <v>1.0001111111111112</v>
      </c>
      <c r="U3352" s="98">
        <v>3.9130475656375507</v>
      </c>
      <c r="V3352" s="106">
        <v>34053.457642168374</v>
      </c>
      <c r="W3352" s="10">
        <v>0.98346374192184172</v>
      </c>
      <c r="X3352" s="420"/>
      <c r="Y3352" s="420"/>
      <c r="Z3352" s="1"/>
      <c r="AA3352" s="1"/>
      <c r="AB3352" s="1"/>
      <c r="AC3352" s="1"/>
      <c r="AD3352" s="1"/>
    </row>
    <row r="3353" spans="17:30">
      <c r="Q3353" s="6">
        <v>3323</v>
      </c>
      <c r="R3353" s="7">
        <v>45990</v>
      </c>
      <c r="S3353" s="210">
        <v>4</v>
      </c>
      <c r="T3353" s="8">
        <v>1.0001111111111112</v>
      </c>
      <c r="U3353" s="98">
        <v>3.9131153927764117</v>
      </c>
      <c r="V3353" s="106">
        <v>34056.197638230144</v>
      </c>
      <c r="W3353" s="10">
        <v>0.98350626876158032</v>
      </c>
      <c r="X3353" s="420"/>
      <c r="Y3353" s="420"/>
      <c r="Z3353" s="1"/>
      <c r="AA3353" s="1"/>
      <c r="AB3353" s="1"/>
      <c r="AC3353" s="1"/>
      <c r="AD3353" s="1"/>
    </row>
    <row r="3354" spans="17:30">
      <c r="Q3354" s="6">
        <v>3324</v>
      </c>
      <c r="R3354" s="7">
        <v>45991</v>
      </c>
      <c r="S3354" s="210">
        <v>4</v>
      </c>
      <c r="T3354" s="8">
        <v>1.0001111111111112</v>
      </c>
      <c r="U3354" s="98">
        <v>3.9131831791489491</v>
      </c>
      <c r="V3354" s="106">
        <v>34058.937854756405</v>
      </c>
      <c r="W3354" s="10">
        <v>0.98354877003148378</v>
      </c>
      <c r="X3354" s="420"/>
      <c r="Y3354" s="420"/>
      <c r="Z3354" s="1"/>
      <c r="AA3354" s="1"/>
      <c r="AB3354" s="1"/>
      <c r="AC3354" s="1"/>
      <c r="AD3354" s="1"/>
    </row>
    <row r="3355" spans="17:30">
      <c r="Q3355" s="6">
        <v>3325</v>
      </c>
      <c r="R3355" s="7">
        <v>45992</v>
      </c>
      <c r="S3355" s="210">
        <v>4</v>
      </c>
      <c r="T3355" s="8">
        <v>1.0001111111111112</v>
      </c>
      <c r="U3355" s="98">
        <v>3.9132509247919112</v>
      </c>
      <c r="V3355" s="106">
        <v>34061.678291764911</v>
      </c>
      <c r="W3355" s="10">
        <v>0.98359124575455592</v>
      </c>
      <c r="X3355" s="420"/>
      <c r="Y3355" s="420"/>
      <c r="Z3355" s="1"/>
      <c r="AA3355" s="1"/>
      <c r="AB3355" s="1"/>
      <c r="AC3355" s="1"/>
      <c r="AD3355" s="1"/>
    </row>
    <row r="3356" spans="17:30">
      <c r="Q3356" s="6">
        <v>3326</v>
      </c>
      <c r="R3356" s="7">
        <v>45993</v>
      </c>
      <c r="S3356" s="210">
        <v>4</v>
      </c>
      <c r="T3356" s="8">
        <v>1.0001111111111112</v>
      </c>
      <c r="U3356" s="98">
        <v>3.913318629742002</v>
      </c>
      <c r="V3356" s="106">
        <v>34064.418949273393</v>
      </c>
      <c r="W3356" s="10">
        <v>0.98363369595388939</v>
      </c>
      <c r="X3356" s="420"/>
      <c r="Y3356" s="420"/>
      <c r="Z3356" s="1"/>
      <c r="AA3356" s="1"/>
      <c r="AB3356" s="1"/>
      <c r="AC3356" s="1"/>
      <c r="AD3356" s="1"/>
    </row>
    <row r="3357" spans="17:30">
      <c r="Q3357" s="6">
        <v>3327</v>
      </c>
      <c r="R3357" s="7">
        <v>45994</v>
      </c>
      <c r="S3357" s="210">
        <v>4</v>
      </c>
      <c r="T3357" s="8">
        <v>1.0001111111111112</v>
      </c>
      <c r="U3357" s="98">
        <v>3.9133862940358588</v>
      </c>
      <c r="V3357" s="106">
        <v>34067.159827299591</v>
      </c>
      <c r="W3357" s="10">
        <v>0.98367612065242138</v>
      </c>
      <c r="X3357" s="420"/>
      <c r="Y3357" s="420"/>
      <c r="Z3357" s="1"/>
      <c r="AA3357" s="1"/>
      <c r="AB3357" s="1"/>
      <c r="AC3357" s="1"/>
      <c r="AD3357" s="1"/>
    </row>
    <row r="3358" spans="17:30">
      <c r="Q3358" s="6">
        <v>3328</v>
      </c>
      <c r="R3358" s="7">
        <v>45995</v>
      </c>
      <c r="S3358" s="210">
        <v>4</v>
      </c>
      <c r="T3358" s="8">
        <v>1.0001111111111112</v>
      </c>
      <c r="U3358" s="98">
        <v>3.9134539177100969</v>
      </c>
      <c r="V3358" s="106">
        <v>34069.90092586125</v>
      </c>
      <c r="W3358" s="10">
        <v>0.98371851987315573</v>
      </c>
      <c r="X3358" s="420"/>
      <c r="Y3358" s="420"/>
      <c r="Z3358" s="1"/>
      <c r="AA3358" s="1"/>
      <c r="AB3358" s="1"/>
      <c r="AC3358" s="1"/>
      <c r="AD3358" s="1"/>
    </row>
    <row r="3359" spans="17:30">
      <c r="Q3359" s="6">
        <v>3329</v>
      </c>
      <c r="R3359" s="7">
        <v>45996</v>
      </c>
      <c r="S3359" s="210">
        <v>4</v>
      </c>
      <c r="T3359" s="8">
        <v>1.0001111111111112</v>
      </c>
      <c r="U3359" s="98">
        <v>3.9135215008012869</v>
      </c>
      <c r="V3359" s="106">
        <v>34072.642244976116</v>
      </c>
      <c r="W3359" s="10">
        <v>0.98376089363902963</v>
      </c>
      <c r="X3359" s="420"/>
      <c r="Y3359" s="420"/>
      <c r="Z3359" s="1"/>
      <c r="AA3359" s="1"/>
      <c r="AB3359" s="1"/>
      <c r="AC3359" s="1"/>
      <c r="AD3359" s="1"/>
    </row>
    <row r="3360" spans="17:30">
      <c r="Q3360" s="6">
        <v>3330</v>
      </c>
      <c r="R3360" s="7">
        <v>45997</v>
      </c>
      <c r="S3360" s="210">
        <v>4</v>
      </c>
      <c r="T3360" s="8">
        <v>1.0001111111111112</v>
      </c>
      <c r="U3360" s="98">
        <v>3.9135890433459553</v>
      </c>
      <c r="V3360" s="106">
        <v>34075.383784661935</v>
      </c>
      <c r="W3360" s="10">
        <v>0.9838032419729803</v>
      </c>
      <c r="X3360" s="420"/>
      <c r="Y3360" s="420"/>
      <c r="Z3360" s="1"/>
      <c r="AA3360" s="1"/>
      <c r="AB3360" s="1"/>
      <c r="AC3360" s="1"/>
      <c r="AD3360" s="1"/>
    </row>
    <row r="3361" spans="17:30">
      <c r="Q3361" s="6">
        <v>3331</v>
      </c>
      <c r="R3361" s="7">
        <v>45998</v>
      </c>
      <c r="S3361" s="210">
        <v>4</v>
      </c>
      <c r="T3361" s="8">
        <v>1.0001111111111112</v>
      </c>
      <c r="U3361" s="98">
        <v>3.9136565453805616</v>
      </c>
      <c r="V3361" s="106">
        <v>34078.125544936454</v>
      </c>
      <c r="W3361" s="10">
        <v>0.98384556489785613</v>
      </c>
      <c r="X3361" s="420"/>
      <c r="Y3361" s="420"/>
      <c r="Z3361" s="1"/>
      <c r="AA3361" s="1"/>
      <c r="AB3361" s="1"/>
      <c r="AC3361" s="1"/>
      <c r="AD3361" s="1"/>
    </row>
    <row r="3362" spans="17:30">
      <c r="Q3362" s="6">
        <v>3332</v>
      </c>
      <c r="R3362" s="7">
        <v>45999</v>
      </c>
      <c r="S3362" s="210">
        <v>4</v>
      </c>
      <c r="T3362" s="8">
        <v>1.0001111111111112</v>
      </c>
      <c r="U3362" s="98">
        <v>3.9137240069415435</v>
      </c>
      <c r="V3362" s="106">
        <v>34080.867525817419</v>
      </c>
      <c r="W3362" s="10">
        <v>0.9838878624365277</v>
      </c>
      <c r="X3362" s="420"/>
      <c r="Y3362" s="420"/>
      <c r="Z3362" s="1"/>
      <c r="AA3362" s="1"/>
      <c r="AB3362" s="1"/>
      <c r="AC3362" s="1"/>
      <c r="AD3362" s="1"/>
    </row>
    <row r="3363" spans="17:30">
      <c r="Q3363" s="6">
        <v>3333</v>
      </c>
      <c r="R3363" s="7">
        <v>46000</v>
      </c>
      <c r="S3363" s="210">
        <v>4</v>
      </c>
      <c r="T3363" s="8">
        <v>1.0001111111111112</v>
      </c>
      <c r="U3363" s="98">
        <v>3.9137914280653163</v>
      </c>
      <c r="V3363" s="106">
        <v>34083.609727322582</v>
      </c>
      <c r="W3363" s="10">
        <v>0.98393013461186563</v>
      </c>
      <c r="X3363" s="420"/>
      <c r="Y3363" s="420"/>
      <c r="Z3363" s="1"/>
      <c r="AA3363" s="1"/>
      <c r="AB3363" s="1"/>
      <c r="AC3363" s="1"/>
      <c r="AD3363" s="1"/>
    </row>
    <row r="3364" spans="17:30">
      <c r="Q3364" s="6">
        <v>3334</v>
      </c>
      <c r="R3364" s="7">
        <v>46001</v>
      </c>
      <c r="S3364" s="210">
        <v>4</v>
      </c>
      <c r="T3364" s="8">
        <v>1.0001111111111112</v>
      </c>
      <c r="U3364" s="98">
        <v>3.9138588087882065</v>
      </c>
      <c r="V3364" s="106">
        <v>34086.352149469705</v>
      </c>
      <c r="W3364" s="10">
        <v>0.98397238144662946</v>
      </c>
      <c r="X3364" s="420"/>
      <c r="Y3364" s="420"/>
      <c r="Z3364" s="1"/>
      <c r="AA3364" s="1"/>
      <c r="AB3364" s="1"/>
      <c r="AC3364" s="1"/>
      <c r="AD3364" s="1"/>
    </row>
    <row r="3365" spans="17:30">
      <c r="Q3365" s="6">
        <v>3335</v>
      </c>
      <c r="R3365" s="7">
        <v>46002</v>
      </c>
      <c r="S3365" s="210">
        <v>4</v>
      </c>
      <c r="T3365" s="8">
        <v>1.0001111111111112</v>
      </c>
      <c r="U3365" s="98">
        <v>3.9139261491465183</v>
      </c>
      <c r="V3365" s="106">
        <v>34089.094792276519</v>
      </c>
      <c r="W3365" s="10">
        <v>0.9840146029636454</v>
      </c>
      <c r="X3365" s="420"/>
      <c r="Y3365" s="420"/>
      <c r="Z3365" s="1"/>
      <c r="AA3365" s="1"/>
      <c r="AB3365" s="1"/>
      <c r="AC3365" s="1"/>
      <c r="AD3365" s="1"/>
    </row>
    <row r="3366" spans="17:30">
      <c r="Q3366" s="6">
        <v>3336</v>
      </c>
      <c r="R3366" s="7">
        <v>46003</v>
      </c>
      <c r="S3366" s="210">
        <v>4</v>
      </c>
      <c r="T3366" s="8">
        <v>1.0001111111111112</v>
      </c>
      <c r="U3366" s="98">
        <v>3.9139934491765116</v>
      </c>
      <c r="V3366" s="106">
        <v>34091.837655760799</v>
      </c>
      <c r="W3366" s="10">
        <v>0.9840567991856064</v>
      </c>
      <c r="X3366" s="420"/>
      <c r="Y3366" s="420"/>
      <c r="Z3366" s="1"/>
      <c r="AA3366" s="1"/>
      <c r="AB3366" s="1"/>
      <c r="AC3366" s="1"/>
      <c r="AD3366" s="1"/>
    </row>
    <row r="3367" spans="17:30">
      <c r="Q3367" s="6">
        <v>3337</v>
      </c>
      <c r="R3367" s="7">
        <v>46004</v>
      </c>
      <c r="S3367" s="210">
        <v>4</v>
      </c>
      <c r="T3367" s="8">
        <v>1.0001111111111112</v>
      </c>
      <c r="U3367" s="98">
        <v>3.9140607089144019</v>
      </c>
      <c r="V3367" s="106">
        <v>34094.580739940291</v>
      </c>
      <c r="W3367" s="10">
        <v>0.98409897013529424</v>
      </c>
      <c r="X3367" s="420"/>
      <c r="Y3367" s="420"/>
      <c r="Z3367" s="1"/>
      <c r="AA3367" s="1"/>
      <c r="AB3367" s="1"/>
      <c r="AC3367" s="1"/>
      <c r="AD3367" s="1"/>
    </row>
    <row r="3368" spans="17:30">
      <c r="Q3368" s="6">
        <v>3338</v>
      </c>
      <c r="R3368" s="7">
        <v>46005</v>
      </c>
      <c r="S3368" s="210">
        <v>4</v>
      </c>
      <c r="T3368" s="8">
        <v>1.0001111111111112</v>
      </c>
      <c r="U3368" s="98">
        <v>3.9141279283963604</v>
      </c>
      <c r="V3368" s="106">
        <v>34097.324044832756</v>
      </c>
      <c r="W3368" s="10">
        <v>0.98414111583535746</v>
      </c>
      <c r="X3368" s="420"/>
      <c r="Y3368" s="420"/>
      <c r="Z3368" s="1"/>
      <c r="AA3368" s="1"/>
      <c r="AB3368" s="1"/>
      <c r="AC3368" s="1"/>
      <c r="AD3368" s="1"/>
    </row>
    <row r="3369" spans="17:30">
      <c r="Q3369" s="6">
        <v>3339</v>
      </c>
      <c r="R3369" s="7">
        <v>46006</v>
      </c>
      <c r="S3369" s="210">
        <v>4</v>
      </c>
      <c r="T3369" s="8">
        <v>1.0001111111111112</v>
      </c>
      <c r="U3369" s="98">
        <v>3.9141951076585135</v>
      </c>
      <c r="V3369" s="106">
        <v>34100.067570455954</v>
      </c>
      <c r="W3369" s="10">
        <v>0.98418323630848903</v>
      </c>
      <c r="X3369" s="420"/>
      <c r="Y3369" s="420"/>
      <c r="Z3369" s="1"/>
      <c r="AA3369" s="1"/>
      <c r="AB3369" s="1"/>
      <c r="AC3369" s="1"/>
      <c r="AD3369" s="1"/>
    </row>
    <row r="3370" spans="17:30">
      <c r="Q3370" s="6">
        <v>3340</v>
      </c>
      <c r="R3370" s="7">
        <v>46007</v>
      </c>
      <c r="S3370" s="210">
        <v>4</v>
      </c>
      <c r="T3370" s="8">
        <v>1.0001111111111112</v>
      </c>
      <c r="U3370" s="98">
        <v>3.9142622467369659</v>
      </c>
      <c r="V3370" s="106">
        <v>34102.81131682764</v>
      </c>
      <c r="W3370" s="10">
        <v>0.98422533157733749</v>
      </c>
      <c r="X3370" s="420"/>
      <c r="Y3370" s="420"/>
      <c r="Z3370" s="1"/>
      <c r="AA3370" s="1"/>
      <c r="AB3370" s="1"/>
      <c r="AC3370" s="1"/>
      <c r="AD3370" s="1"/>
    </row>
    <row r="3371" spans="17:30">
      <c r="Q3371" s="6">
        <v>3341</v>
      </c>
      <c r="R3371" s="7">
        <v>46008</v>
      </c>
      <c r="S3371" s="210">
        <v>4</v>
      </c>
      <c r="T3371" s="8">
        <v>1.0001111111111112</v>
      </c>
      <c r="U3371" s="98">
        <v>3.9143293456677553</v>
      </c>
      <c r="V3371" s="106">
        <v>34105.555283965579</v>
      </c>
      <c r="W3371" s="10">
        <v>0.9842674016645292</v>
      </c>
      <c r="X3371" s="420"/>
      <c r="Y3371" s="420"/>
      <c r="Z3371" s="1"/>
      <c r="AA3371" s="1"/>
      <c r="AB3371" s="1"/>
      <c r="AC3371" s="1"/>
      <c r="AD3371" s="1"/>
    </row>
    <row r="3372" spans="17:30">
      <c r="Q3372" s="6">
        <v>3342</v>
      </c>
      <c r="R3372" s="7">
        <v>46009</v>
      </c>
      <c r="S3372" s="210">
        <v>4</v>
      </c>
      <c r="T3372" s="8">
        <v>1.0001111111111112</v>
      </c>
      <c r="U3372" s="98">
        <v>3.9143964044868751</v>
      </c>
      <c r="V3372" s="106">
        <v>34108.299471887542</v>
      </c>
      <c r="W3372" s="10">
        <v>0.98430944659264608</v>
      </c>
      <c r="X3372" s="420"/>
      <c r="Y3372" s="420"/>
      <c r="Z3372" s="1"/>
      <c r="AA3372" s="1"/>
      <c r="AB3372" s="1"/>
      <c r="AC3372" s="1"/>
      <c r="AD3372" s="1"/>
    </row>
    <row r="3373" spans="17:30">
      <c r="Q3373" s="6">
        <v>3343</v>
      </c>
      <c r="R3373" s="7">
        <v>46010</v>
      </c>
      <c r="S3373" s="210">
        <v>4</v>
      </c>
      <c r="T3373" s="8">
        <v>1.0001111111111112</v>
      </c>
      <c r="U3373" s="98">
        <v>3.9144634232302744</v>
      </c>
      <c r="V3373" s="106">
        <v>34111.04388061128</v>
      </c>
      <c r="W3373" s="10">
        <v>0.98435146638422566</v>
      </c>
      <c r="X3373" s="420"/>
      <c r="Y3373" s="420"/>
      <c r="Z3373" s="1"/>
      <c r="AA3373" s="1"/>
      <c r="AB3373" s="1"/>
      <c r="AC3373" s="1"/>
      <c r="AD3373" s="1"/>
    </row>
    <row r="3374" spans="17:30">
      <c r="Q3374" s="6">
        <v>3344</v>
      </c>
      <c r="R3374" s="7">
        <v>46011</v>
      </c>
      <c r="S3374" s="210">
        <v>4</v>
      </c>
      <c r="T3374" s="8">
        <v>1.0001111111111112</v>
      </c>
      <c r="U3374" s="98">
        <v>3.91453040193388</v>
      </c>
      <c r="V3374" s="106">
        <v>34113.788510154562</v>
      </c>
      <c r="W3374" s="10">
        <v>0.98439346106180547</v>
      </c>
      <c r="X3374" s="420"/>
      <c r="Y3374" s="420"/>
      <c r="Z3374" s="1"/>
      <c r="AA3374" s="1"/>
      <c r="AB3374" s="1"/>
      <c r="AC3374" s="1"/>
      <c r="AD3374" s="1"/>
    </row>
    <row r="3375" spans="17:30">
      <c r="Q3375" s="6">
        <v>3345</v>
      </c>
      <c r="R3375" s="7">
        <v>46012</v>
      </c>
      <c r="S3375" s="210">
        <v>4</v>
      </c>
      <c r="T3375" s="8">
        <v>1.0001111111111112</v>
      </c>
      <c r="U3375" s="98">
        <v>3.9145973406335521</v>
      </c>
      <c r="V3375" s="106">
        <v>34116.533360535163</v>
      </c>
      <c r="W3375" s="10">
        <v>0.98443543064792305</v>
      </c>
      <c r="X3375" s="420"/>
      <c r="Y3375" s="420"/>
      <c r="Z3375" s="1"/>
      <c r="AA3375" s="1"/>
      <c r="AB3375" s="1"/>
      <c r="AC3375" s="1"/>
      <c r="AD3375" s="1"/>
    </row>
    <row r="3376" spans="17:30">
      <c r="Q3376" s="6">
        <v>3346</v>
      </c>
      <c r="R3376" s="7">
        <v>46013</v>
      </c>
      <c r="S3376" s="210">
        <v>4</v>
      </c>
      <c r="T3376" s="8">
        <v>1.0001111111111112</v>
      </c>
      <c r="U3376" s="98">
        <v>3.9146642393651288</v>
      </c>
      <c r="V3376" s="106">
        <v>34119.27843177085</v>
      </c>
      <c r="W3376" s="10">
        <v>0.98447737516502709</v>
      </c>
      <c r="X3376" s="420"/>
      <c r="Y3376" s="420"/>
      <c r="Z3376" s="1"/>
      <c r="AA3376" s="1"/>
      <c r="AB3376" s="1"/>
      <c r="AC3376" s="1"/>
      <c r="AD3376" s="1"/>
    </row>
    <row r="3377" spans="17:30">
      <c r="Q3377" s="6">
        <v>3347</v>
      </c>
      <c r="R3377" s="7">
        <v>46014</v>
      </c>
      <c r="S3377" s="210">
        <v>4</v>
      </c>
      <c r="T3377" s="8">
        <v>1.0001111111111112</v>
      </c>
      <c r="U3377" s="98">
        <v>3.9147310981644035</v>
      </c>
      <c r="V3377" s="106">
        <v>34122.023723879392</v>
      </c>
      <c r="W3377" s="10">
        <v>0.98451929463558852</v>
      </c>
      <c r="X3377" s="420"/>
      <c r="Y3377" s="420"/>
      <c r="Z3377" s="1"/>
      <c r="AA3377" s="1"/>
      <c r="AB3377" s="1"/>
      <c r="AC3377" s="1"/>
      <c r="AD3377" s="1"/>
    </row>
    <row r="3378" spans="17:30">
      <c r="Q3378" s="6">
        <v>3348</v>
      </c>
      <c r="R3378" s="7">
        <v>46015</v>
      </c>
      <c r="S3378" s="210">
        <v>4</v>
      </c>
      <c r="T3378" s="8">
        <v>1.0001111111111112</v>
      </c>
      <c r="U3378" s="98">
        <v>3.9147979170671032</v>
      </c>
      <c r="V3378" s="106">
        <v>34124.76923687855</v>
      </c>
      <c r="W3378" s="10">
        <v>0.98456118908205603</v>
      </c>
      <c r="X3378" s="420"/>
      <c r="Y3378" s="420"/>
      <c r="Z3378" s="1"/>
      <c r="AA3378" s="1"/>
      <c r="AB3378" s="1"/>
      <c r="AC3378" s="1"/>
      <c r="AD3378" s="1"/>
    </row>
    <row r="3379" spans="17:30">
      <c r="Q3379" s="6">
        <v>3349</v>
      </c>
      <c r="R3379" s="7">
        <v>46016</v>
      </c>
      <c r="S3379" s="210">
        <v>4</v>
      </c>
      <c r="T3379" s="8">
        <v>1.0001111111111112</v>
      </c>
      <c r="U3379" s="98">
        <v>3.914864696108955</v>
      </c>
      <c r="V3379" s="106">
        <v>34127.514970786113</v>
      </c>
      <c r="W3379" s="10">
        <v>0.98460305852681174</v>
      </c>
      <c r="X3379" s="420"/>
      <c r="Y3379" s="420"/>
      <c r="Z3379" s="1"/>
      <c r="AA3379" s="1"/>
      <c r="AB3379" s="1"/>
      <c r="AC3379" s="1"/>
      <c r="AD3379" s="1"/>
    </row>
    <row r="3380" spans="17:30">
      <c r="Q3380" s="6">
        <v>3350</v>
      </c>
      <c r="R3380" s="7">
        <v>46017</v>
      </c>
      <c r="S3380" s="210">
        <v>4</v>
      </c>
      <c r="T3380" s="8">
        <v>1.0001111111111112</v>
      </c>
      <c r="U3380" s="98">
        <v>3.9149314353255971</v>
      </c>
      <c r="V3380" s="106">
        <v>34130.260925619848</v>
      </c>
      <c r="W3380" s="10">
        <v>0.98464490299223772</v>
      </c>
      <c r="X3380" s="420"/>
      <c r="Y3380" s="420"/>
      <c r="Z3380" s="1"/>
      <c r="AA3380" s="1"/>
      <c r="AB3380" s="1"/>
      <c r="AC3380" s="1"/>
      <c r="AD3380" s="1"/>
    </row>
    <row r="3381" spans="17:30">
      <c r="Q3381" s="6">
        <v>3351</v>
      </c>
      <c r="R3381" s="7">
        <v>46018</v>
      </c>
      <c r="S3381" s="210">
        <v>4</v>
      </c>
      <c r="T3381" s="8">
        <v>1.0001111111111112</v>
      </c>
      <c r="U3381" s="98">
        <v>3.9149981347526452</v>
      </c>
      <c r="V3381" s="106">
        <v>34133.007101397539</v>
      </c>
      <c r="W3381" s="10">
        <v>0.98468672250064948</v>
      </c>
      <c r="X3381" s="420"/>
      <c r="Y3381" s="420"/>
      <c r="Z3381" s="1"/>
      <c r="AA3381" s="1"/>
      <c r="AB3381" s="1"/>
      <c r="AC3381" s="1"/>
      <c r="AD3381" s="1"/>
    </row>
    <row r="3382" spans="17:30">
      <c r="Q3382" s="6">
        <v>3352</v>
      </c>
      <c r="R3382" s="7">
        <v>46019</v>
      </c>
      <c r="S3382" s="210">
        <v>4</v>
      </c>
      <c r="T3382" s="8">
        <v>1.0001111111111112</v>
      </c>
      <c r="U3382" s="98">
        <v>3.9150647944256711</v>
      </c>
      <c r="V3382" s="106">
        <v>34135.753498136946</v>
      </c>
      <c r="W3382" s="10">
        <v>0.98472851707440689</v>
      </c>
      <c r="X3382" s="420"/>
      <c r="Y3382" s="420"/>
      <c r="Z3382" s="1"/>
      <c r="AA3382" s="1"/>
      <c r="AB3382" s="1"/>
      <c r="AC3382" s="1"/>
      <c r="AD3382" s="1"/>
    </row>
    <row r="3383" spans="17:30">
      <c r="Q3383" s="6">
        <v>3353</v>
      </c>
      <c r="R3383" s="7">
        <v>46020</v>
      </c>
      <c r="S3383" s="210">
        <v>4</v>
      </c>
      <c r="T3383" s="8">
        <v>1.0001111111111112</v>
      </c>
      <c r="U3383" s="98">
        <v>3.9151314143802018</v>
      </c>
      <c r="V3383" s="106">
        <v>34138.500115855866</v>
      </c>
      <c r="W3383" s="10">
        <v>0.98477028673578104</v>
      </c>
      <c r="X3383" s="420"/>
      <c r="Y3383" s="420"/>
      <c r="Z3383" s="1"/>
      <c r="AA3383" s="1"/>
      <c r="AB3383" s="1"/>
      <c r="AC3383" s="1"/>
      <c r="AD3383" s="1"/>
    </row>
    <row r="3384" spans="17:30">
      <c r="Q3384" s="6">
        <v>3354</v>
      </c>
      <c r="R3384" s="7">
        <v>46021</v>
      </c>
      <c r="S3384" s="210">
        <v>4</v>
      </c>
      <c r="T3384" s="8">
        <v>1.0001111111111112</v>
      </c>
      <c r="U3384" s="98">
        <v>3.9151979946517201</v>
      </c>
      <c r="V3384" s="106">
        <v>34141.246954572074</v>
      </c>
      <c r="W3384" s="10">
        <v>0.98481203150702079</v>
      </c>
      <c r="X3384" s="420"/>
      <c r="Y3384" s="420"/>
      <c r="Z3384" s="1"/>
      <c r="AA3384" s="1"/>
      <c r="AB3384" s="1"/>
      <c r="AC3384" s="1"/>
      <c r="AD3384" s="1"/>
    </row>
    <row r="3385" spans="17:30">
      <c r="Q3385" s="6">
        <v>3355</v>
      </c>
      <c r="R3385" s="7">
        <v>46022</v>
      </c>
      <c r="S3385" s="210">
        <v>4</v>
      </c>
      <c r="T3385" s="8">
        <v>1.0001111111111112</v>
      </c>
      <c r="U3385" s="98">
        <v>3.9152645352756865</v>
      </c>
      <c r="V3385" s="106">
        <v>34143.994014303345</v>
      </c>
      <c r="W3385" s="10">
        <v>0.98485375141041942</v>
      </c>
      <c r="X3385" s="420"/>
      <c r="Y3385" s="420"/>
      <c r="Z3385" s="1"/>
      <c r="AA3385" s="1"/>
      <c r="AB3385" s="1"/>
      <c r="AC3385" s="1"/>
      <c r="AD3385" s="1"/>
    </row>
    <row r="3386" spans="17:30">
      <c r="Q3386" s="6">
        <v>3356</v>
      </c>
      <c r="R3386" s="7">
        <v>46023</v>
      </c>
      <c r="S3386" s="210">
        <v>4</v>
      </c>
      <c r="T3386" s="8">
        <v>1.0001111111111112</v>
      </c>
      <c r="U3386" s="98">
        <v>3.9153310362875171</v>
      </c>
      <c r="V3386" s="106">
        <v>34146.741295067477</v>
      </c>
      <c r="W3386" s="10">
        <v>0.98489544646815919</v>
      </c>
      <c r="X3386" s="420"/>
      <c r="Y3386" s="420"/>
      <c r="Z3386" s="1"/>
      <c r="AA3386" s="1"/>
      <c r="AB3386" s="1"/>
      <c r="AC3386" s="1"/>
      <c r="AD3386" s="1"/>
    </row>
    <row r="3387" spans="17:30">
      <c r="Q3387" s="6">
        <v>3357</v>
      </c>
      <c r="R3387" s="7">
        <v>46024</v>
      </c>
      <c r="S3387" s="210">
        <v>4</v>
      </c>
      <c r="T3387" s="8">
        <v>1.0001111111111112</v>
      </c>
      <c r="U3387" s="98">
        <v>3.9153974977225392</v>
      </c>
      <c r="V3387" s="106">
        <v>34149.488796882237</v>
      </c>
      <c r="W3387" s="10">
        <v>0.98493711670242234</v>
      </c>
      <c r="X3387" s="420"/>
      <c r="Y3387" s="420"/>
      <c r="Z3387" s="1"/>
      <c r="AA3387" s="1"/>
      <c r="AB3387" s="1"/>
      <c r="AC3387" s="1"/>
      <c r="AD3387" s="1"/>
    </row>
    <row r="3388" spans="17:30">
      <c r="Q3388" s="6">
        <v>3358</v>
      </c>
      <c r="R3388" s="7">
        <v>46025</v>
      </c>
      <c r="S3388" s="210">
        <v>4</v>
      </c>
      <c r="T3388" s="8">
        <v>1.0001111111111112</v>
      </c>
      <c r="U3388" s="98">
        <v>3.9154639196161023</v>
      </c>
      <c r="V3388" s="106">
        <v>34152.236519765422</v>
      </c>
      <c r="W3388" s="10">
        <v>0.98497876213539115</v>
      </c>
      <c r="X3388" s="420"/>
      <c r="Y3388" s="420"/>
      <c r="Z3388" s="1"/>
      <c r="AA3388" s="1"/>
      <c r="AB3388" s="1"/>
      <c r="AC3388" s="1"/>
      <c r="AD3388" s="1"/>
    </row>
    <row r="3389" spans="17:30">
      <c r="Q3389" s="6">
        <v>3359</v>
      </c>
      <c r="R3389" s="7">
        <v>46026</v>
      </c>
      <c r="S3389" s="210">
        <v>4</v>
      </c>
      <c r="T3389" s="8">
        <v>1.0001111111111112</v>
      </c>
      <c r="U3389" s="98">
        <v>3.9155303020034671</v>
      </c>
      <c r="V3389" s="106">
        <v>34154.984463734814</v>
      </c>
      <c r="W3389" s="10">
        <v>0.98502038278918125</v>
      </c>
      <c r="X3389" s="420"/>
      <c r="Y3389" s="420"/>
      <c r="Z3389" s="1"/>
      <c r="AA3389" s="1"/>
      <c r="AB3389" s="1"/>
      <c r="AC3389" s="1"/>
      <c r="AD3389" s="1"/>
    </row>
    <row r="3390" spans="17:30">
      <c r="Q3390" s="6">
        <v>3360</v>
      </c>
      <c r="R3390" s="7">
        <v>46027</v>
      </c>
      <c r="S3390" s="210">
        <v>4</v>
      </c>
      <c r="T3390" s="8">
        <v>1.0001111111111112</v>
      </c>
      <c r="U3390" s="98">
        <v>3.915596644919872</v>
      </c>
      <c r="V3390" s="106">
        <v>34157.732628808204</v>
      </c>
      <c r="W3390" s="10">
        <v>0.98506197868593048</v>
      </c>
      <c r="X3390" s="420"/>
      <c r="Y3390" s="420"/>
      <c r="Z3390" s="1"/>
      <c r="AA3390" s="1"/>
      <c r="AB3390" s="1"/>
      <c r="AC3390" s="1"/>
      <c r="AD3390" s="1"/>
    </row>
    <row r="3391" spans="17:30">
      <c r="Q3391" s="6">
        <v>3361</v>
      </c>
      <c r="R3391" s="7">
        <v>46028</v>
      </c>
      <c r="S3391" s="210">
        <v>4</v>
      </c>
      <c r="T3391" s="8">
        <v>1.0001111111111112</v>
      </c>
      <c r="U3391" s="98">
        <v>3.9156629484005112</v>
      </c>
      <c r="V3391" s="106">
        <v>34160.481015003388</v>
      </c>
      <c r="W3391" s="10">
        <v>0.98510354984766568</v>
      </c>
      <c r="X3391" s="420"/>
      <c r="Y3391" s="420"/>
      <c r="Z3391" s="1"/>
      <c r="AA3391" s="1"/>
      <c r="AB3391" s="1"/>
      <c r="AC3391" s="1"/>
      <c r="AD3391" s="1"/>
    </row>
    <row r="3392" spans="17:30">
      <c r="Q3392" s="6">
        <v>3362</v>
      </c>
      <c r="R3392" s="7">
        <v>46029</v>
      </c>
      <c r="S3392" s="210">
        <v>4</v>
      </c>
      <c r="T3392" s="8">
        <v>1.0001111111111112</v>
      </c>
      <c r="U3392" s="98">
        <v>3.9157292124805343</v>
      </c>
      <c r="V3392" s="106">
        <v>34163.229622338149</v>
      </c>
      <c r="W3392" s="10">
        <v>0.98514509629650249</v>
      </c>
      <c r="X3392" s="420"/>
      <c r="Y3392" s="420"/>
      <c r="Z3392" s="1"/>
      <c r="AA3392" s="1"/>
      <c r="AB3392" s="1"/>
      <c r="AC3392" s="1"/>
      <c r="AD3392" s="1"/>
    </row>
    <row r="3393" spans="17:30">
      <c r="Q3393" s="6">
        <v>3363</v>
      </c>
      <c r="R3393" s="7">
        <v>46030</v>
      </c>
      <c r="S3393" s="210">
        <v>4</v>
      </c>
      <c r="T3393" s="8">
        <v>1.0001111111111112</v>
      </c>
      <c r="U3393" s="98">
        <v>3.9157954371950687</v>
      </c>
      <c r="V3393" s="106">
        <v>34165.978450830284</v>
      </c>
      <c r="W3393" s="10">
        <v>0.98518661805446772</v>
      </c>
      <c r="X3393" s="420"/>
      <c r="Y3393" s="420"/>
      <c r="Z3393" s="1"/>
      <c r="AA3393" s="1"/>
      <c r="AB3393" s="1"/>
      <c r="AC3393" s="1"/>
      <c r="AD3393" s="1"/>
    </row>
    <row r="3394" spans="17:30">
      <c r="Q3394" s="6">
        <v>3364</v>
      </c>
      <c r="R3394" s="7">
        <v>46031</v>
      </c>
      <c r="S3394" s="210">
        <v>4</v>
      </c>
      <c r="T3394" s="8">
        <v>1.0001111111111112</v>
      </c>
      <c r="U3394" s="98">
        <v>3.9158616225791532</v>
      </c>
      <c r="V3394" s="106">
        <v>34168.727500497582</v>
      </c>
      <c r="W3394" s="10">
        <v>0.9852281151435216</v>
      </c>
      <c r="X3394" s="420"/>
      <c r="Y3394" s="420"/>
      <c r="Z3394" s="1"/>
      <c r="AA3394" s="1"/>
      <c r="AB3394" s="1"/>
      <c r="AC3394" s="1"/>
      <c r="AD3394" s="1"/>
    </row>
    <row r="3395" spans="17:30">
      <c r="Q3395" s="6">
        <v>3365</v>
      </c>
      <c r="R3395" s="7">
        <v>46032</v>
      </c>
      <c r="S3395" s="210">
        <v>4</v>
      </c>
      <c r="T3395" s="8">
        <v>1.0001111111111112</v>
      </c>
      <c r="U3395" s="98">
        <v>3.9159277686678484</v>
      </c>
      <c r="V3395" s="106">
        <v>34171.476771357855</v>
      </c>
      <c r="W3395" s="10">
        <v>0.98526958758566874</v>
      </c>
      <c r="X3395" s="420"/>
      <c r="Y3395" s="420"/>
      <c r="Z3395" s="1"/>
      <c r="AA3395" s="1"/>
      <c r="AB3395" s="1"/>
      <c r="AC3395" s="1"/>
      <c r="AD3395" s="1"/>
    </row>
    <row r="3396" spans="17:30">
      <c r="Q3396" s="6">
        <v>3366</v>
      </c>
      <c r="R3396" s="7">
        <v>46033</v>
      </c>
      <c r="S3396" s="210">
        <v>4</v>
      </c>
      <c r="T3396" s="8">
        <v>1.0001111111111112</v>
      </c>
      <c r="U3396" s="98">
        <v>3.9159938754961043</v>
      </c>
      <c r="V3396" s="106">
        <v>34174.226263428885</v>
      </c>
      <c r="W3396" s="10">
        <v>0.98531103540284715</v>
      </c>
      <c r="X3396" s="420"/>
      <c r="Y3396" s="420"/>
      <c r="Z3396" s="1"/>
      <c r="AA3396" s="1"/>
      <c r="AB3396" s="1"/>
      <c r="AC3396" s="1"/>
      <c r="AD3396" s="1"/>
    </row>
    <row r="3397" spans="17:30">
      <c r="Q3397" s="6">
        <v>3367</v>
      </c>
      <c r="R3397" s="7">
        <v>46034</v>
      </c>
      <c r="S3397" s="210">
        <v>4</v>
      </c>
      <c r="T3397" s="8">
        <v>1.0001111111111112</v>
      </c>
      <c r="U3397" s="98">
        <v>3.9160599430988929</v>
      </c>
      <c r="V3397" s="106">
        <v>34176.975976728485</v>
      </c>
      <c r="W3397" s="10">
        <v>0.98535245861701704</v>
      </c>
      <c r="X3397" s="420"/>
      <c r="Y3397" s="420"/>
      <c r="Z3397" s="1"/>
      <c r="AA3397" s="1"/>
      <c r="AB3397" s="1"/>
      <c r="AC3397" s="1"/>
      <c r="AD3397" s="1"/>
    </row>
    <row r="3398" spans="17:30">
      <c r="Q3398" s="6">
        <v>3368</v>
      </c>
      <c r="R3398" s="7">
        <v>46035</v>
      </c>
      <c r="S3398" s="210">
        <v>4</v>
      </c>
      <c r="T3398" s="8">
        <v>1.0001111111111112</v>
      </c>
      <c r="U3398" s="98">
        <v>3.9161259715110974</v>
      </c>
      <c r="V3398" s="106">
        <v>34179.725911274436</v>
      </c>
      <c r="W3398" s="10">
        <v>0.9853938572500498</v>
      </c>
      <c r="X3398" s="420"/>
      <c r="Y3398" s="420"/>
      <c r="Z3398" s="1"/>
      <c r="AA3398" s="1"/>
      <c r="AB3398" s="1"/>
      <c r="AC3398" s="1"/>
      <c r="AD3398" s="1"/>
    </row>
    <row r="3399" spans="17:30">
      <c r="Q3399" s="6">
        <v>3369</v>
      </c>
      <c r="R3399" s="7">
        <v>46036</v>
      </c>
      <c r="S3399" s="210">
        <v>4</v>
      </c>
      <c r="T3399" s="8">
        <v>1.0001111111111112</v>
      </c>
      <c r="U3399" s="98">
        <v>3.916191960767601</v>
      </c>
      <c r="V3399" s="106">
        <v>34182.476067084557</v>
      </c>
      <c r="W3399" s="10">
        <v>0.98543523132381683</v>
      </c>
      <c r="X3399" s="420"/>
      <c r="Y3399" s="420"/>
      <c r="Z3399" s="1"/>
      <c r="AA3399" s="1"/>
      <c r="AB3399" s="1"/>
      <c r="AC3399" s="1"/>
      <c r="AD3399" s="1"/>
    </row>
    <row r="3400" spans="17:30">
      <c r="Q3400" s="6">
        <v>3370</v>
      </c>
      <c r="R3400" s="7">
        <v>46037</v>
      </c>
      <c r="S3400" s="210">
        <v>4</v>
      </c>
      <c r="T3400" s="8">
        <v>1.0001111111111112</v>
      </c>
      <c r="U3400" s="98">
        <v>3.9162579109031981</v>
      </c>
      <c r="V3400" s="106">
        <v>34185.226444176638</v>
      </c>
      <c r="W3400" s="10">
        <v>0.98547658086018952</v>
      </c>
      <c r="X3400" s="420"/>
      <c r="Y3400" s="420"/>
      <c r="Z3400" s="1"/>
      <c r="AA3400" s="1"/>
      <c r="AB3400" s="1"/>
      <c r="AC3400" s="1"/>
      <c r="AD3400" s="1"/>
    </row>
    <row r="3401" spans="17:30">
      <c r="Q3401" s="6">
        <v>3371</v>
      </c>
      <c r="R3401" s="7">
        <v>46038</v>
      </c>
      <c r="S3401" s="210">
        <v>4</v>
      </c>
      <c r="T3401" s="8">
        <v>1.0001111111111112</v>
      </c>
      <c r="U3401" s="98">
        <v>3.916323821952683</v>
      </c>
      <c r="V3401" s="106">
        <v>34187.977042568498</v>
      </c>
      <c r="W3401" s="10">
        <v>0.98551790588095045</v>
      </c>
      <c r="X3401" s="420"/>
      <c r="Y3401" s="420"/>
      <c r="Z3401" s="1"/>
      <c r="AA3401" s="1"/>
      <c r="AB3401" s="1"/>
      <c r="AC3401" s="1"/>
      <c r="AD3401" s="1"/>
    </row>
    <row r="3402" spans="17:30">
      <c r="Q3402" s="6">
        <v>3372</v>
      </c>
      <c r="R3402" s="7">
        <v>46039</v>
      </c>
      <c r="S3402" s="210">
        <v>4</v>
      </c>
      <c r="T3402" s="8">
        <v>1.0001111111111112</v>
      </c>
      <c r="U3402" s="98">
        <v>3.9163896939507836</v>
      </c>
      <c r="V3402" s="106">
        <v>34190.727862277934</v>
      </c>
      <c r="W3402" s="10">
        <v>0.98555920640794881</v>
      </c>
      <c r="X3402" s="420"/>
      <c r="Y3402" s="420"/>
      <c r="Z3402" s="1"/>
      <c r="AA3402" s="1"/>
      <c r="AB3402" s="1"/>
      <c r="AC3402" s="1"/>
      <c r="AD3402" s="1"/>
    </row>
    <row r="3403" spans="17:30">
      <c r="Q3403" s="6">
        <v>3373</v>
      </c>
      <c r="R3403" s="7">
        <v>46040</v>
      </c>
      <c r="S3403" s="210">
        <v>4</v>
      </c>
      <c r="T3403" s="8">
        <v>1.0001111111111112</v>
      </c>
      <c r="U3403" s="98">
        <v>3.9164555269322054</v>
      </c>
      <c r="V3403" s="106">
        <v>34193.478903322757</v>
      </c>
      <c r="W3403" s="10">
        <v>0.98560048246290055</v>
      </c>
      <c r="X3403" s="420"/>
      <c r="Y3403" s="420"/>
      <c r="Z3403" s="1"/>
      <c r="AA3403" s="1"/>
      <c r="AB3403" s="1"/>
      <c r="AC3403" s="1"/>
      <c r="AD3403" s="1"/>
    </row>
    <row r="3404" spans="17:30">
      <c r="Q3404" s="6">
        <v>3374</v>
      </c>
      <c r="R3404" s="7">
        <v>46041</v>
      </c>
      <c r="S3404" s="210">
        <v>4</v>
      </c>
      <c r="T3404" s="8">
        <v>1.0001111111111112</v>
      </c>
      <c r="U3404" s="98">
        <v>3.9165213209315874</v>
      </c>
      <c r="V3404" s="106">
        <v>34196.230165720772</v>
      </c>
      <c r="W3404" s="10">
        <v>0.98564173406758826</v>
      </c>
      <c r="X3404" s="420"/>
      <c r="Y3404" s="420"/>
      <c r="Z3404" s="1"/>
      <c r="AA3404" s="1"/>
      <c r="AB3404" s="1"/>
      <c r="AC3404" s="1"/>
      <c r="AD3404" s="1"/>
    </row>
    <row r="3405" spans="17:30">
      <c r="Q3405" s="6">
        <v>3375</v>
      </c>
      <c r="R3405" s="7">
        <v>46042</v>
      </c>
      <c r="S3405" s="210">
        <v>4</v>
      </c>
      <c r="T3405" s="8">
        <v>1.0001111111111112</v>
      </c>
      <c r="U3405" s="98">
        <v>3.9165870759835464</v>
      </c>
      <c r="V3405" s="106">
        <v>34198.98164948979</v>
      </c>
      <c r="W3405" s="10">
        <v>0.98568296124368349</v>
      </c>
      <c r="X3405" s="420"/>
      <c r="Y3405" s="420"/>
      <c r="Z3405" s="1"/>
      <c r="AA3405" s="1"/>
      <c r="AB3405" s="1"/>
      <c r="AC3405" s="1"/>
      <c r="AD3405" s="1"/>
    </row>
    <row r="3406" spans="17:30">
      <c r="Q3406" s="6">
        <v>3376</v>
      </c>
      <c r="R3406" s="7">
        <v>46043</v>
      </c>
      <c r="S3406" s="210">
        <v>4</v>
      </c>
      <c r="T3406" s="8">
        <v>1.0001111111111112</v>
      </c>
      <c r="U3406" s="98">
        <v>3.9166527921226768</v>
      </c>
      <c r="V3406" s="106">
        <v>34201.733354647629</v>
      </c>
      <c r="W3406" s="10">
        <v>0.9857241640129466</v>
      </c>
      <c r="X3406" s="420"/>
      <c r="Y3406" s="420"/>
      <c r="Z3406" s="1"/>
      <c r="AA3406" s="1"/>
      <c r="AB3406" s="1"/>
      <c r="AC3406" s="1"/>
      <c r="AD3406" s="1"/>
    </row>
    <row r="3407" spans="17:30">
      <c r="Q3407" s="6">
        <v>3377</v>
      </c>
      <c r="R3407" s="7">
        <v>46044</v>
      </c>
      <c r="S3407" s="210">
        <v>4</v>
      </c>
      <c r="T3407" s="8">
        <v>1.0001111111111112</v>
      </c>
      <c r="U3407" s="98">
        <v>3.9167184693834844</v>
      </c>
      <c r="V3407" s="106">
        <v>34204.485281212095</v>
      </c>
      <c r="W3407" s="10">
        <v>0.98576534239700475</v>
      </c>
      <c r="X3407" s="420"/>
      <c r="Y3407" s="420"/>
      <c r="Z3407" s="1"/>
      <c r="AA3407" s="1"/>
      <c r="AB3407" s="1"/>
      <c r="AC3407" s="1"/>
      <c r="AD3407" s="1"/>
    </row>
    <row r="3408" spans="17:30">
      <c r="Q3408" s="6">
        <v>3378</v>
      </c>
      <c r="R3408" s="7">
        <v>46045</v>
      </c>
      <c r="S3408" s="210">
        <v>4</v>
      </c>
      <c r="T3408" s="8">
        <v>1.0001111111111112</v>
      </c>
      <c r="U3408" s="98">
        <v>3.916784107800475</v>
      </c>
      <c r="V3408" s="106">
        <v>34207.237429201006</v>
      </c>
      <c r="W3408" s="10">
        <v>0.98580649641750728</v>
      </c>
      <c r="X3408" s="420"/>
      <c r="Y3408" s="420"/>
      <c r="Z3408" s="1"/>
      <c r="AA3408" s="1"/>
      <c r="AB3408" s="1"/>
      <c r="AC3408" s="1"/>
      <c r="AD3408" s="1"/>
    </row>
    <row r="3409" spans="17:30">
      <c r="Q3409" s="6">
        <v>3379</v>
      </c>
      <c r="R3409" s="7">
        <v>46046</v>
      </c>
      <c r="S3409" s="210">
        <v>4</v>
      </c>
      <c r="T3409" s="8">
        <v>1.0001111111111112</v>
      </c>
      <c r="U3409" s="98">
        <v>3.9168497074080877</v>
      </c>
      <c r="V3409" s="106">
        <v>34209.989798632181</v>
      </c>
      <c r="W3409" s="10">
        <v>0.98584762609603693</v>
      </c>
      <c r="X3409" s="420"/>
      <c r="Y3409" s="420"/>
      <c r="Z3409" s="1"/>
      <c r="AA3409" s="1"/>
      <c r="AB3409" s="1"/>
      <c r="AC3409" s="1"/>
      <c r="AD3409" s="1"/>
    </row>
    <row r="3410" spans="17:30">
      <c r="Q3410" s="6">
        <v>3380</v>
      </c>
      <c r="R3410" s="7">
        <v>46047</v>
      </c>
      <c r="S3410" s="210">
        <v>4</v>
      </c>
      <c r="T3410" s="8">
        <v>1.0001111111111112</v>
      </c>
      <c r="U3410" s="98">
        <v>3.9169152682407393</v>
      </c>
      <c r="V3410" s="106">
        <v>34212.742389523431</v>
      </c>
      <c r="W3410" s="10">
        <v>0.98588873145424305</v>
      </c>
      <c r="X3410" s="420"/>
      <c r="Y3410" s="420"/>
      <c r="Z3410" s="1"/>
      <c r="AA3410" s="1"/>
      <c r="AB3410" s="1"/>
      <c r="AC3410" s="1"/>
      <c r="AD3410" s="1"/>
    </row>
    <row r="3411" spans="17:30">
      <c r="Q3411" s="6">
        <v>3381</v>
      </c>
      <c r="R3411" s="7">
        <v>46048</v>
      </c>
      <c r="S3411" s="210">
        <v>4</v>
      </c>
      <c r="T3411" s="8">
        <v>1.0001111111111112</v>
      </c>
      <c r="U3411" s="98">
        <v>3.9169807903328024</v>
      </c>
      <c r="V3411" s="106">
        <v>34215.495201892583</v>
      </c>
      <c r="W3411" s="10">
        <v>0.98592981251366396</v>
      </c>
      <c r="X3411" s="420"/>
      <c r="Y3411" s="420"/>
      <c r="Z3411" s="1"/>
      <c r="AA3411" s="1"/>
      <c r="AB3411" s="1"/>
      <c r="AC3411" s="1"/>
      <c r="AD3411" s="1"/>
    </row>
    <row r="3412" spans="17:30">
      <c r="Q3412" s="6">
        <v>3382</v>
      </c>
      <c r="R3412" s="7">
        <v>46049</v>
      </c>
      <c r="S3412" s="210">
        <v>4</v>
      </c>
      <c r="T3412" s="8">
        <v>1.0001111111111112</v>
      </c>
      <c r="U3412" s="98">
        <v>3.9170462737186051</v>
      </c>
      <c r="V3412" s="106">
        <v>34218.248235757448</v>
      </c>
      <c r="W3412" s="10">
        <v>0.98597086929583799</v>
      </c>
      <c r="X3412" s="420"/>
      <c r="Y3412" s="420"/>
      <c r="Z3412" s="1"/>
      <c r="AA3412" s="1"/>
      <c r="AB3412" s="1"/>
      <c r="AC3412" s="1"/>
      <c r="AD3412" s="1"/>
    </row>
    <row r="3413" spans="17:30">
      <c r="Q3413" s="6">
        <v>3383</v>
      </c>
      <c r="R3413" s="7">
        <v>46050</v>
      </c>
      <c r="S3413" s="210">
        <v>4</v>
      </c>
      <c r="T3413" s="8">
        <v>1.0001111111111112</v>
      </c>
      <c r="U3413" s="98">
        <v>3.9171117184324311</v>
      </c>
      <c r="V3413" s="106">
        <v>34221.001491135852</v>
      </c>
      <c r="W3413" s="10">
        <v>0.98601190182225906</v>
      </c>
      <c r="X3413" s="420"/>
      <c r="Y3413" s="420"/>
      <c r="Z3413" s="1"/>
      <c r="AA3413" s="1"/>
      <c r="AB3413" s="1"/>
      <c r="AC3413" s="1"/>
      <c r="AD3413" s="1"/>
    </row>
    <row r="3414" spans="17:30">
      <c r="Q3414" s="6">
        <v>3384</v>
      </c>
      <c r="R3414" s="7">
        <v>46051</v>
      </c>
      <c r="S3414" s="210">
        <v>4</v>
      </c>
      <c r="T3414" s="8">
        <v>1.0001111111111112</v>
      </c>
      <c r="U3414" s="98">
        <v>3.9171771245085196</v>
      </c>
      <c r="V3414" s="106">
        <v>34223.754968045629</v>
      </c>
      <c r="W3414" s="10">
        <v>0.98605291011444329</v>
      </c>
      <c r="X3414" s="420"/>
      <c r="Y3414" s="420"/>
      <c r="Z3414" s="1"/>
      <c r="AA3414" s="1"/>
      <c r="AB3414" s="1"/>
      <c r="AC3414" s="1"/>
      <c r="AD3414" s="1"/>
    </row>
    <row r="3415" spans="17:30">
      <c r="Q3415" s="6">
        <v>3385</v>
      </c>
      <c r="R3415" s="7">
        <v>46052</v>
      </c>
      <c r="S3415" s="210">
        <v>4</v>
      </c>
      <c r="T3415" s="8">
        <v>1.0001111111111112</v>
      </c>
      <c r="U3415" s="98">
        <v>3.9172424919810878</v>
      </c>
      <c r="V3415" s="106">
        <v>34226.508666504582</v>
      </c>
      <c r="W3415" s="10">
        <v>0.9860938941938624</v>
      </c>
      <c r="X3415" s="420"/>
      <c r="Y3415" s="420"/>
      <c r="Z3415" s="1"/>
      <c r="AA3415" s="1"/>
      <c r="AB3415" s="1"/>
      <c r="AC3415" s="1"/>
      <c r="AD3415" s="1"/>
    </row>
    <row r="3416" spans="17:30">
      <c r="Q3416" s="6">
        <v>3386</v>
      </c>
      <c r="R3416" s="7">
        <v>46053</v>
      </c>
      <c r="S3416" s="210">
        <v>4</v>
      </c>
      <c r="T3416" s="8">
        <v>1.0001111111111112</v>
      </c>
      <c r="U3416" s="98">
        <v>3.9173078208843082</v>
      </c>
      <c r="V3416" s="106">
        <v>34229.262586530553</v>
      </c>
      <c r="W3416" s="10">
        <v>0.98613485408192147</v>
      </c>
      <c r="X3416" s="420"/>
      <c r="Y3416" s="420"/>
      <c r="Z3416" s="1"/>
      <c r="AA3416" s="1"/>
      <c r="AB3416" s="1"/>
      <c r="AC3416" s="1"/>
      <c r="AD3416" s="1"/>
    </row>
    <row r="3417" spans="17:30">
      <c r="Q3417" s="6">
        <v>3387</v>
      </c>
      <c r="R3417" s="7">
        <v>46054</v>
      </c>
      <c r="S3417" s="210">
        <v>4</v>
      </c>
      <c r="T3417" s="8">
        <v>1.0001111111111112</v>
      </c>
      <c r="U3417" s="98">
        <v>3.9173731112522869</v>
      </c>
      <c r="V3417" s="106">
        <v>34232.016728141374</v>
      </c>
      <c r="W3417" s="10">
        <v>0.98617578980007004</v>
      </c>
      <c r="X3417" s="420"/>
      <c r="Y3417" s="420"/>
      <c r="Z3417" s="1"/>
      <c r="AA3417" s="1"/>
      <c r="AB3417" s="1"/>
      <c r="AC3417" s="1"/>
      <c r="AD3417" s="1"/>
    </row>
    <row r="3418" spans="17:30">
      <c r="Q3418" s="6">
        <v>3388</v>
      </c>
      <c r="R3418" s="7">
        <v>46055</v>
      </c>
      <c r="S3418" s="210">
        <v>4</v>
      </c>
      <c r="T3418" s="8">
        <v>1.0001111111111112</v>
      </c>
      <c r="U3418" s="98">
        <v>3.9174383631191301</v>
      </c>
      <c r="V3418" s="106">
        <v>34234.771091354851</v>
      </c>
      <c r="W3418" s="10">
        <v>0.98621670136966877</v>
      </c>
      <c r="X3418" s="420"/>
      <c r="Y3418" s="420"/>
      <c r="Z3418" s="1"/>
      <c r="AA3418" s="1"/>
      <c r="AB3418" s="1"/>
      <c r="AC3418" s="1"/>
      <c r="AD3418" s="1"/>
    </row>
    <row r="3419" spans="17:30">
      <c r="Q3419" s="6">
        <v>3389</v>
      </c>
      <c r="R3419" s="7">
        <v>46056</v>
      </c>
      <c r="S3419" s="210">
        <v>4</v>
      </c>
      <c r="T3419" s="8">
        <v>1.0001111111111112</v>
      </c>
      <c r="U3419" s="98">
        <v>3.917503576518877</v>
      </c>
      <c r="V3419" s="106">
        <v>34237.525676188838</v>
      </c>
      <c r="W3419" s="10">
        <v>0.98625758881207837</v>
      </c>
      <c r="X3419" s="420"/>
      <c r="Y3419" s="420"/>
      <c r="Z3419" s="1"/>
      <c r="AA3419" s="1"/>
      <c r="AB3419" s="1"/>
      <c r="AC3419" s="1"/>
      <c r="AD3419" s="1"/>
    </row>
    <row r="3420" spans="17:30">
      <c r="Q3420" s="6">
        <v>3390</v>
      </c>
      <c r="R3420" s="7">
        <v>46057</v>
      </c>
      <c r="S3420" s="210">
        <v>4</v>
      </c>
      <c r="T3420" s="8">
        <v>1.0001111111111112</v>
      </c>
      <c r="U3420" s="98">
        <v>3.9175687514855229</v>
      </c>
      <c r="V3420" s="106">
        <v>34240.280482661154</v>
      </c>
      <c r="W3420" s="10">
        <v>0.98629845214863732</v>
      </c>
      <c r="X3420" s="420"/>
      <c r="Y3420" s="420"/>
      <c r="Z3420" s="1"/>
      <c r="AA3420" s="1"/>
      <c r="AB3420" s="1"/>
      <c r="AC3420" s="1"/>
      <c r="AD3420" s="1"/>
    </row>
    <row r="3421" spans="17:30">
      <c r="Q3421" s="6">
        <v>3391</v>
      </c>
      <c r="R3421" s="7">
        <v>46058</v>
      </c>
      <c r="S3421" s="210">
        <v>4</v>
      </c>
      <c r="T3421" s="8">
        <v>1.0001111111111112</v>
      </c>
      <c r="U3421" s="98">
        <v>3.9176338880530404</v>
      </c>
      <c r="V3421" s="106">
        <v>34243.035510789647</v>
      </c>
      <c r="W3421" s="10">
        <v>0.9863392914006619</v>
      </c>
      <c r="X3421" s="420"/>
      <c r="Y3421" s="420"/>
      <c r="Z3421" s="1"/>
      <c r="AA3421" s="1"/>
      <c r="AB3421" s="1"/>
      <c r="AC3421" s="1"/>
      <c r="AD3421" s="1"/>
    </row>
    <row r="3422" spans="17:30">
      <c r="Q3422" s="6">
        <v>3392</v>
      </c>
      <c r="R3422" s="7">
        <v>46059</v>
      </c>
      <c r="S3422" s="210">
        <v>4</v>
      </c>
      <c r="T3422" s="8">
        <v>1.0001111111111112</v>
      </c>
      <c r="U3422" s="98">
        <v>3.917698986255358</v>
      </c>
      <c r="V3422" s="106">
        <v>34245.790760592128</v>
      </c>
      <c r="W3422" s="10">
        <v>0.98638010658944619</v>
      </c>
      <c r="X3422" s="420"/>
      <c r="Y3422" s="420"/>
      <c r="Z3422" s="1"/>
      <c r="AA3422" s="1"/>
      <c r="AB3422" s="1"/>
      <c r="AC3422" s="1"/>
      <c r="AD3422" s="1"/>
    </row>
    <row r="3423" spans="17:30">
      <c r="Q3423" s="6">
        <v>3393</v>
      </c>
      <c r="R3423" s="7">
        <v>46060</v>
      </c>
      <c r="S3423" s="210">
        <v>4</v>
      </c>
      <c r="T3423" s="8">
        <v>1.0001111111111112</v>
      </c>
      <c r="U3423" s="98">
        <v>3.9177640461263596</v>
      </c>
      <c r="V3423" s="106">
        <v>34248.546232086461</v>
      </c>
      <c r="W3423" s="10">
        <v>0.98642089773626207</v>
      </c>
      <c r="X3423" s="420"/>
      <c r="Y3423" s="420"/>
      <c r="Z3423" s="1"/>
      <c r="AA3423" s="1"/>
      <c r="AB3423" s="1"/>
      <c r="AC3423" s="1"/>
      <c r="AD3423" s="1"/>
    </row>
    <row r="3424" spans="17:30">
      <c r="Q3424" s="6">
        <v>3394</v>
      </c>
      <c r="R3424" s="7">
        <v>46061</v>
      </c>
      <c r="S3424" s="210">
        <v>4</v>
      </c>
      <c r="T3424" s="8">
        <v>1.0001111111111112</v>
      </c>
      <c r="U3424" s="98">
        <v>3.917829067699885</v>
      </c>
      <c r="V3424" s="106">
        <v>34251.301925290456</v>
      </c>
      <c r="W3424" s="10">
        <v>0.98646166486231479</v>
      </c>
      <c r="X3424" s="420"/>
      <c r="Y3424" s="420"/>
      <c r="Z3424" s="1"/>
      <c r="AA3424" s="1"/>
      <c r="AB3424" s="1"/>
      <c r="AC3424" s="1"/>
      <c r="AD3424" s="1"/>
    </row>
    <row r="3425" spans="17:30">
      <c r="Q3425" s="6">
        <v>3395</v>
      </c>
      <c r="R3425" s="7">
        <v>46062</v>
      </c>
      <c r="S3425" s="210">
        <v>4</v>
      </c>
      <c r="T3425" s="8">
        <v>1.0001111111111112</v>
      </c>
      <c r="U3425" s="98">
        <v>3.9178940510097515</v>
      </c>
      <c r="V3425" s="106">
        <v>34254.057840221976</v>
      </c>
      <c r="W3425" s="10">
        <v>0.98650240798883182</v>
      </c>
      <c r="X3425" s="420"/>
      <c r="Y3425" s="420"/>
      <c r="Z3425" s="1"/>
      <c r="AA3425" s="1"/>
      <c r="AB3425" s="1"/>
      <c r="AC3425" s="1"/>
      <c r="AD3425" s="1"/>
    </row>
    <row r="3426" spans="17:30">
      <c r="Q3426" s="6">
        <v>3396</v>
      </c>
      <c r="R3426" s="7">
        <v>46063</v>
      </c>
      <c r="S3426" s="210">
        <v>4</v>
      </c>
      <c r="T3426" s="8">
        <v>1.0001111111111112</v>
      </c>
      <c r="U3426" s="98">
        <v>3.9179589960897099</v>
      </c>
      <c r="V3426" s="106">
        <v>34256.813976898848</v>
      </c>
      <c r="W3426" s="10">
        <v>0.98654312713699621</v>
      </c>
      <c r="X3426" s="420"/>
      <c r="Y3426" s="420"/>
      <c r="Z3426" s="1"/>
      <c r="AA3426" s="1"/>
      <c r="AB3426" s="1"/>
      <c r="AC3426" s="1"/>
      <c r="AD3426" s="1"/>
    </row>
    <row r="3427" spans="17:30">
      <c r="Q3427" s="6">
        <v>3397</v>
      </c>
      <c r="R3427" s="7">
        <v>46064</v>
      </c>
      <c r="S3427" s="210">
        <v>4</v>
      </c>
      <c r="T3427" s="8">
        <v>1.0001111111111112</v>
      </c>
      <c r="U3427" s="98">
        <v>3.9180239029734887</v>
      </c>
      <c r="V3427" s="106">
        <v>34259.570335338911</v>
      </c>
      <c r="W3427" s="10">
        <v>0.98658382232796882</v>
      </c>
      <c r="X3427" s="420"/>
      <c r="Y3427" s="420"/>
      <c r="Z3427" s="1"/>
      <c r="AA3427" s="1"/>
      <c r="AB3427" s="1"/>
      <c r="AC3427" s="1"/>
      <c r="AD3427" s="1"/>
    </row>
    <row r="3428" spans="17:30">
      <c r="Q3428" s="6">
        <v>3398</v>
      </c>
      <c r="R3428" s="7">
        <v>46065</v>
      </c>
      <c r="S3428" s="210">
        <v>4</v>
      </c>
      <c r="T3428" s="8">
        <v>1.0001111111111112</v>
      </c>
      <c r="U3428" s="98">
        <v>3.9180887716947943</v>
      </c>
      <c r="V3428" s="106">
        <v>34262.326915560021</v>
      </c>
      <c r="W3428" s="10">
        <v>0.98662449358288828</v>
      </c>
      <c r="X3428" s="420"/>
      <c r="Y3428" s="420"/>
      <c r="Z3428" s="1"/>
      <c r="AA3428" s="1"/>
      <c r="AB3428" s="1"/>
      <c r="AC3428" s="1"/>
      <c r="AD3428" s="1"/>
    </row>
    <row r="3429" spans="17:30">
      <c r="Q3429" s="6">
        <v>3399</v>
      </c>
      <c r="R3429" s="7">
        <v>46066</v>
      </c>
      <c r="S3429" s="210">
        <v>4</v>
      </c>
      <c r="T3429" s="8">
        <v>1.0001111111111112</v>
      </c>
      <c r="U3429" s="98">
        <v>3.9181536022872443</v>
      </c>
      <c r="V3429" s="106">
        <v>34265.083717580019</v>
      </c>
      <c r="W3429" s="10">
        <v>0.98666514092284885</v>
      </c>
      <c r="X3429" s="420"/>
      <c r="Y3429" s="420"/>
      <c r="Z3429" s="1"/>
      <c r="AA3429" s="1"/>
      <c r="AB3429" s="1"/>
      <c r="AC3429" s="1"/>
      <c r="AD3429" s="1"/>
    </row>
    <row r="3430" spans="17:30">
      <c r="Q3430" s="6">
        <v>3400</v>
      </c>
      <c r="R3430" s="7">
        <v>46067</v>
      </c>
      <c r="S3430" s="210">
        <v>4</v>
      </c>
      <c r="T3430" s="8">
        <v>1.0001111111111112</v>
      </c>
      <c r="U3430" s="98">
        <v>3.9182183947844784</v>
      </c>
      <c r="V3430" s="106">
        <v>34267.840741416738</v>
      </c>
      <c r="W3430" s="10">
        <v>0.98670576436898916</v>
      </c>
      <c r="X3430" s="420"/>
      <c r="Y3430" s="420"/>
      <c r="Z3430" s="1"/>
      <c r="AA3430" s="1"/>
      <c r="AB3430" s="1"/>
      <c r="AC3430" s="1"/>
      <c r="AD3430" s="1"/>
    </row>
    <row r="3431" spans="17:30">
      <c r="Q3431" s="6">
        <v>3401</v>
      </c>
      <c r="R3431" s="7">
        <v>46068</v>
      </c>
      <c r="S3431" s="210">
        <v>4</v>
      </c>
      <c r="T3431" s="8">
        <v>1.0001111111111112</v>
      </c>
      <c r="U3431" s="98">
        <v>3.9182831492200476</v>
      </c>
      <c r="V3431" s="106">
        <v>34270.59798708804</v>
      </c>
      <c r="W3431" s="10">
        <v>0.98674636394233683</v>
      </c>
      <c r="X3431" s="420"/>
      <c r="Y3431" s="420"/>
      <c r="Z3431" s="1"/>
      <c r="AA3431" s="1"/>
      <c r="AB3431" s="1"/>
      <c r="AC3431" s="1"/>
      <c r="AD3431" s="1"/>
    </row>
    <row r="3432" spans="17:30">
      <c r="Q3432" s="6">
        <v>3402</v>
      </c>
      <c r="R3432" s="7">
        <v>46069</v>
      </c>
      <c r="S3432" s="210">
        <v>4</v>
      </c>
      <c r="T3432" s="8">
        <v>1.0001111111111112</v>
      </c>
      <c r="U3432" s="98">
        <v>3.9183478656274806</v>
      </c>
      <c r="V3432" s="106">
        <v>34273.355454611774</v>
      </c>
      <c r="W3432" s="10">
        <v>0.9867869396639195</v>
      </c>
      <c r="X3432" s="420"/>
      <c r="Y3432" s="420"/>
      <c r="Z3432" s="1"/>
      <c r="AA3432" s="1"/>
      <c r="AB3432" s="1"/>
      <c r="AC3432" s="1"/>
      <c r="AD3432" s="1"/>
    </row>
    <row r="3433" spans="17:30">
      <c r="Q3433" s="6">
        <v>3403</v>
      </c>
      <c r="R3433" s="7">
        <v>46070</v>
      </c>
      <c r="S3433" s="210">
        <v>4</v>
      </c>
      <c r="T3433" s="8">
        <v>1.0001111111111112</v>
      </c>
      <c r="U3433" s="98">
        <v>3.9184125440402617</v>
      </c>
      <c r="V3433" s="106">
        <v>34276.113144005787</v>
      </c>
      <c r="W3433" s="10">
        <v>0.98682749155476479</v>
      </c>
      <c r="X3433" s="420"/>
      <c r="Y3433" s="420"/>
      <c r="Z3433" s="1"/>
      <c r="AA3433" s="1"/>
      <c r="AB3433" s="1"/>
      <c r="AC3433" s="1"/>
      <c r="AD3433" s="1"/>
    </row>
    <row r="3434" spans="17:30">
      <c r="Q3434" s="6">
        <v>3404</v>
      </c>
      <c r="R3434" s="7">
        <v>46071</v>
      </c>
      <c r="S3434" s="210">
        <v>4</v>
      </c>
      <c r="T3434" s="8">
        <v>1.0001111111111112</v>
      </c>
      <c r="U3434" s="98">
        <v>3.9184771844918309</v>
      </c>
      <c r="V3434" s="106">
        <v>34278.871055287935</v>
      </c>
      <c r="W3434" s="10">
        <v>0.98686801963585591</v>
      </c>
      <c r="X3434" s="420"/>
      <c r="Y3434" s="420"/>
      <c r="Z3434" s="1"/>
      <c r="AA3434" s="1"/>
      <c r="AB3434" s="1"/>
      <c r="AC3434" s="1"/>
      <c r="AD3434" s="1"/>
    </row>
    <row r="3435" spans="17:30">
      <c r="Q3435" s="6">
        <v>3405</v>
      </c>
      <c r="R3435" s="7">
        <v>46072</v>
      </c>
      <c r="S3435" s="210">
        <v>4</v>
      </c>
      <c r="T3435" s="8">
        <v>1.0001111111111112</v>
      </c>
      <c r="U3435" s="98">
        <v>3.9185417870156281</v>
      </c>
      <c r="V3435" s="106">
        <v>34281.629188476065</v>
      </c>
      <c r="W3435" s="10">
        <v>0.98690852392815387</v>
      </c>
      <c r="X3435" s="420"/>
      <c r="Y3435" s="420"/>
      <c r="Z3435" s="1"/>
      <c r="AA3435" s="1"/>
      <c r="AB3435" s="1"/>
      <c r="AC3435" s="1"/>
      <c r="AD3435" s="1"/>
    </row>
    <row r="3436" spans="17:30">
      <c r="Q3436" s="6">
        <v>3406</v>
      </c>
      <c r="R3436" s="7">
        <v>46073</v>
      </c>
      <c r="S3436" s="210">
        <v>4</v>
      </c>
      <c r="T3436" s="8">
        <v>1.0001111111111112</v>
      </c>
      <c r="U3436" s="98">
        <v>3.9186063516450043</v>
      </c>
      <c r="V3436" s="106">
        <v>34284.387543588033</v>
      </c>
      <c r="W3436" s="10">
        <v>0.98694900445259748</v>
      </c>
      <c r="X3436" s="420"/>
      <c r="Y3436" s="420"/>
      <c r="Z3436" s="1"/>
      <c r="AA3436" s="1"/>
      <c r="AB3436" s="1"/>
      <c r="AC3436" s="1"/>
      <c r="AD3436" s="1"/>
    </row>
    <row r="3437" spans="17:30">
      <c r="Q3437" s="6">
        <v>3407</v>
      </c>
      <c r="R3437" s="7">
        <v>46074</v>
      </c>
      <c r="S3437" s="210">
        <v>4</v>
      </c>
      <c r="T3437" s="8">
        <v>1.0001111111111112</v>
      </c>
      <c r="U3437" s="98">
        <v>3.9186708784133106</v>
      </c>
      <c r="V3437" s="106">
        <v>34287.146120641701</v>
      </c>
      <c r="W3437" s="10">
        <v>0.98698946123010334</v>
      </c>
      <c r="X3437" s="420"/>
      <c r="Y3437" s="420"/>
      <c r="Z3437" s="1"/>
      <c r="AA3437" s="1"/>
      <c r="AB3437" s="1"/>
      <c r="AC3437" s="1"/>
      <c r="AD3437" s="1"/>
    </row>
    <row r="3438" spans="17:30">
      <c r="Q3438" s="6">
        <v>3408</v>
      </c>
      <c r="R3438" s="7">
        <v>46075</v>
      </c>
      <c r="S3438" s="210">
        <v>4</v>
      </c>
      <c r="T3438" s="8">
        <v>1.0001111111111112</v>
      </c>
      <c r="U3438" s="98">
        <v>3.9187353673538095</v>
      </c>
      <c r="V3438" s="106">
        <v>34289.904919654917</v>
      </c>
      <c r="W3438" s="10">
        <v>0.98702989428156584</v>
      </c>
      <c r="X3438" s="420"/>
      <c r="Y3438" s="420"/>
      <c r="Z3438" s="1"/>
      <c r="AA3438" s="1"/>
      <c r="AB3438" s="1"/>
      <c r="AC3438" s="1"/>
      <c r="AD3438" s="1"/>
    </row>
    <row r="3439" spans="17:30">
      <c r="Q3439" s="6">
        <v>3409</v>
      </c>
      <c r="R3439" s="7">
        <v>46076</v>
      </c>
      <c r="S3439" s="210">
        <v>4</v>
      </c>
      <c r="T3439" s="8">
        <v>1.0001111111111112</v>
      </c>
      <c r="U3439" s="98">
        <v>3.9187998184997852</v>
      </c>
      <c r="V3439" s="106">
        <v>34292.663940645543</v>
      </c>
      <c r="W3439" s="10">
        <v>0.98707030362785719</v>
      </c>
      <c r="X3439" s="420"/>
      <c r="Y3439" s="420"/>
      <c r="Z3439" s="1"/>
      <c r="AA3439" s="1"/>
      <c r="AB3439" s="1"/>
      <c r="AC3439" s="1"/>
      <c r="AD3439" s="1"/>
    </row>
    <row r="3440" spans="17:30">
      <c r="Q3440" s="6">
        <v>3410</v>
      </c>
      <c r="R3440" s="7">
        <v>46077</v>
      </c>
      <c r="S3440" s="210">
        <v>4</v>
      </c>
      <c r="T3440" s="8">
        <v>1.0001111111111112</v>
      </c>
      <c r="U3440" s="98">
        <v>3.9188642318844336</v>
      </c>
      <c r="V3440" s="106">
        <v>34295.42318363145</v>
      </c>
      <c r="W3440" s="10">
        <v>0.98711068928980517</v>
      </c>
      <c r="X3440" s="420"/>
      <c r="Y3440" s="420"/>
      <c r="Z3440" s="1"/>
      <c r="AA3440" s="1"/>
      <c r="AB3440" s="1"/>
      <c r="AC3440" s="1"/>
      <c r="AD3440" s="1"/>
    </row>
    <row r="3441" spans="17:30">
      <c r="Q3441" s="6">
        <v>3411</v>
      </c>
      <c r="R3441" s="7">
        <v>46078</v>
      </c>
      <c r="S3441" s="210">
        <v>4</v>
      </c>
      <c r="T3441" s="8">
        <v>1.0001111111111112</v>
      </c>
      <c r="U3441" s="98">
        <v>3.918928607540928</v>
      </c>
      <c r="V3441" s="106">
        <v>34298.182648630493</v>
      </c>
      <c r="W3441" s="10">
        <v>0.98715105128819314</v>
      </c>
      <c r="X3441" s="420"/>
      <c r="Y3441" s="420"/>
      <c r="Z3441" s="1"/>
      <c r="AA3441" s="1"/>
      <c r="AB3441" s="1"/>
      <c r="AC3441" s="1"/>
      <c r="AD3441" s="1"/>
    </row>
    <row r="3442" spans="17:30">
      <c r="Q3442" s="6">
        <v>3412</v>
      </c>
      <c r="R3442" s="7">
        <v>46079</v>
      </c>
      <c r="S3442" s="210">
        <v>4</v>
      </c>
      <c r="T3442" s="8">
        <v>1.0001111111111112</v>
      </c>
      <c r="U3442" s="98">
        <v>3.9189929455024197</v>
      </c>
      <c r="V3442" s="106">
        <v>34300.942335660533</v>
      </c>
      <c r="W3442" s="10">
        <v>0.9871913896438711</v>
      </c>
      <c r="X3442" s="420"/>
      <c r="Y3442" s="420"/>
      <c r="Z3442" s="1"/>
      <c r="AA3442" s="1"/>
      <c r="AB3442" s="1"/>
      <c r="AC3442" s="1"/>
      <c r="AD3442" s="1"/>
    </row>
    <row r="3443" spans="17:30">
      <c r="Q3443" s="6">
        <v>3413</v>
      </c>
      <c r="R3443" s="7">
        <v>46080</v>
      </c>
      <c r="S3443" s="210">
        <v>4</v>
      </c>
      <c r="T3443" s="8">
        <v>1.0001111111111112</v>
      </c>
      <c r="U3443" s="98">
        <v>3.9190572458020156</v>
      </c>
      <c r="V3443" s="106">
        <v>34303.702244739441</v>
      </c>
      <c r="W3443" s="10">
        <v>0.98723170437760022</v>
      </c>
      <c r="X3443" s="420"/>
      <c r="Y3443" s="420"/>
      <c r="Z3443" s="1"/>
      <c r="AA3443" s="1"/>
      <c r="AB3443" s="1"/>
      <c r="AC3443" s="1"/>
      <c r="AD3443" s="1"/>
    </row>
    <row r="3444" spans="17:30">
      <c r="Q3444" s="6">
        <v>3414</v>
      </c>
      <c r="R3444" s="7">
        <v>46081</v>
      </c>
      <c r="S3444" s="210">
        <v>4</v>
      </c>
      <c r="T3444" s="8">
        <v>1.0001111111111112</v>
      </c>
      <c r="U3444" s="98">
        <v>3.919121508472756</v>
      </c>
      <c r="V3444" s="106">
        <v>34306.462375885072</v>
      </c>
      <c r="W3444" s="10">
        <v>0.98727199551009726</v>
      </c>
      <c r="X3444" s="420"/>
      <c r="Y3444" s="420"/>
      <c r="Z3444" s="1"/>
      <c r="AA3444" s="1"/>
      <c r="AB3444" s="1"/>
      <c r="AC3444" s="1"/>
      <c r="AD3444" s="1"/>
    </row>
    <row r="3445" spans="17:30">
      <c r="Q3445" s="6">
        <v>3415</v>
      </c>
      <c r="R3445" s="7">
        <v>46082</v>
      </c>
      <c r="S3445" s="210">
        <v>4</v>
      </c>
      <c r="T3445" s="8">
        <v>1.0001111111111112</v>
      </c>
      <c r="U3445" s="98">
        <v>3.9191857335476588</v>
      </c>
      <c r="V3445" s="106">
        <v>34309.222729115303</v>
      </c>
      <c r="W3445" s="10">
        <v>0.98731226306207898</v>
      </c>
      <c r="X3445" s="420"/>
      <c r="Y3445" s="420"/>
      <c r="Z3445" s="1"/>
      <c r="AA3445" s="1"/>
      <c r="AB3445" s="1"/>
      <c r="AC3445" s="1"/>
      <c r="AD3445" s="1"/>
    </row>
    <row r="3446" spans="17:30">
      <c r="Q3446" s="6">
        <v>3416</v>
      </c>
      <c r="R3446" s="7">
        <v>46083</v>
      </c>
      <c r="S3446" s="210">
        <v>4</v>
      </c>
      <c r="T3446" s="8">
        <v>1.0001111111111112</v>
      </c>
      <c r="U3446" s="98">
        <v>3.9192499210597198</v>
      </c>
      <c r="V3446" s="106">
        <v>34311.983304448004</v>
      </c>
      <c r="W3446" s="10">
        <v>0.98735250705426214</v>
      </c>
      <c r="X3446" s="420"/>
      <c r="Y3446" s="420"/>
      <c r="Z3446" s="1"/>
      <c r="AA3446" s="1"/>
      <c r="AB3446" s="1"/>
      <c r="AC3446" s="1"/>
      <c r="AD3446" s="1"/>
    </row>
    <row r="3447" spans="17:30">
      <c r="Q3447" s="6">
        <v>3417</v>
      </c>
      <c r="R3447" s="7">
        <v>46084</v>
      </c>
      <c r="S3447" s="210">
        <v>4</v>
      </c>
      <c r="T3447" s="8">
        <v>1.0001111111111112</v>
      </c>
      <c r="U3447" s="98">
        <v>3.9193140710418906</v>
      </c>
      <c r="V3447" s="106">
        <v>34314.744101901051</v>
      </c>
      <c r="W3447" s="10">
        <v>0.9873927275073191</v>
      </c>
      <c r="X3447" s="420"/>
      <c r="Y3447" s="420"/>
      <c r="Z3447" s="1"/>
      <c r="AA3447" s="1"/>
      <c r="AB3447" s="1"/>
      <c r="AC3447" s="1"/>
      <c r="AD3447" s="1"/>
    </row>
    <row r="3448" spans="17:30">
      <c r="Q3448" s="6">
        <v>3418</v>
      </c>
      <c r="R3448" s="7">
        <v>46085</v>
      </c>
      <c r="S3448" s="210">
        <v>4</v>
      </c>
      <c r="T3448" s="8">
        <v>1.0001111111111112</v>
      </c>
      <c r="U3448" s="98">
        <v>3.9193781835270558</v>
      </c>
      <c r="V3448" s="106">
        <v>34317.505121492293</v>
      </c>
      <c r="W3448" s="10">
        <v>0.9874329244418556</v>
      </c>
      <c r="X3448" s="420"/>
      <c r="Y3448" s="420"/>
      <c r="Z3448" s="1"/>
      <c r="AA3448" s="1"/>
      <c r="AB3448" s="1"/>
      <c r="AC3448" s="1"/>
      <c r="AD3448" s="1"/>
    </row>
    <row r="3449" spans="17:30">
      <c r="Q3449" s="6">
        <v>3419</v>
      </c>
      <c r="R3449" s="7">
        <v>46086</v>
      </c>
      <c r="S3449" s="210">
        <v>4</v>
      </c>
      <c r="T3449" s="8">
        <v>1.0001111111111112</v>
      </c>
      <c r="U3449" s="98">
        <v>3.9194422585481004</v>
      </c>
      <c r="V3449" s="106">
        <v>34320.266363239629</v>
      </c>
      <c r="W3449" s="10">
        <v>0.98747309787854398</v>
      </c>
      <c r="X3449" s="420"/>
      <c r="Y3449" s="420"/>
      <c r="Z3449" s="1"/>
      <c r="AA3449" s="1"/>
      <c r="AB3449" s="1"/>
      <c r="AC3449" s="1"/>
      <c r="AD3449" s="1"/>
    </row>
    <row r="3450" spans="17:30">
      <c r="Q3450" s="6">
        <v>3420</v>
      </c>
      <c r="R3450" s="7">
        <v>46087</v>
      </c>
      <c r="S3450" s="210">
        <v>4</v>
      </c>
      <c r="T3450" s="8">
        <v>1.0001111111111112</v>
      </c>
      <c r="U3450" s="98">
        <v>3.9195062961378424</v>
      </c>
      <c r="V3450" s="106">
        <v>34323.027827160928</v>
      </c>
      <c r="W3450" s="10">
        <v>0.98751324783796779</v>
      </c>
      <c r="X3450" s="420"/>
      <c r="Y3450" s="420"/>
      <c r="Z3450" s="1"/>
      <c r="AA3450" s="1"/>
      <c r="AB3450" s="1"/>
      <c r="AC3450" s="1"/>
      <c r="AD3450" s="1"/>
    </row>
    <row r="3451" spans="17:30">
      <c r="Q3451" s="6">
        <v>3421</v>
      </c>
      <c r="R3451" s="7">
        <v>46088</v>
      </c>
      <c r="S3451" s="210">
        <v>4</v>
      </c>
      <c r="T3451" s="8">
        <v>1.0001111111111112</v>
      </c>
      <c r="U3451" s="98">
        <v>3.9195702963290779</v>
      </c>
      <c r="V3451" s="106">
        <v>34325.789513274052</v>
      </c>
      <c r="W3451" s="10">
        <v>0.98755337434068835</v>
      </c>
      <c r="X3451" s="420"/>
      <c r="Y3451" s="420"/>
      <c r="Z3451" s="1"/>
      <c r="AA3451" s="1"/>
      <c r="AB3451" s="1"/>
      <c r="AC3451" s="1"/>
      <c r="AD3451" s="1"/>
    </row>
    <row r="3452" spans="17:30">
      <c r="Q3452" s="6">
        <v>3422</v>
      </c>
      <c r="R3452" s="7">
        <v>46089</v>
      </c>
      <c r="S3452" s="210">
        <v>4</v>
      </c>
      <c r="T3452" s="8">
        <v>1.0001111111111112</v>
      </c>
      <c r="U3452" s="98">
        <v>3.9196342591545585</v>
      </c>
      <c r="V3452" s="106">
        <v>34328.551421596901</v>
      </c>
      <c r="W3452" s="10">
        <v>0.987593477407267</v>
      </c>
      <c r="X3452" s="420"/>
      <c r="Y3452" s="420"/>
      <c r="Z3452" s="1"/>
      <c r="AA3452" s="1"/>
      <c r="AB3452" s="1"/>
      <c r="AC3452" s="1"/>
      <c r="AD3452" s="1"/>
    </row>
    <row r="3453" spans="17:30">
      <c r="Q3453" s="6">
        <v>3423</v>
      </c>
      <c r="R3453" s="7">
        <v>46090</v>
      </c>
      <c r="S3453" s="210">
        <v>4</v>
      </c>
      <c r="T3453" s="8">
        <v>1.0001111111111112</v>
      </c>
      <c r="U3453" s="98">
        <v>3.9196981846469914</v>
      </c>
      <c r="V3453" s="106">
        <v>34331.31355214733</v>
      </c>
      <c r="W3453" s="10">
        <v>0.98763355705822065</v>
      </c>
      <c r="X3453" s="420"/>
      <c r="Y3453" s="420"/>
      <c r="Z3453" s="1"/>
      <c r="AA3453" s="1"/>
      <c r="AB3453" s="1"/>
      <c r="AC3453" s="1"/>
      <c r="AD3453" s="1"/>
    </row>
    <row r="3454" spans="17:30">
      <c r="Q3454" s="6">
        <v>3424</v>
      </c>
      <c r="R3454" s="7">
        <v>46091</v>
      </c>
      <c r="S3454" s="210">
        <v>4</v>
      </c>
      <c r="T3454" s="8">
        <v>1.0001111111111112</v>
      </c>
      <c r="U3454" s="98">
        <v>3.9197620728390614</v>
      </c>
      <c r="V3454" s="106">
        <v>34334.075904943245</v>
      </c>
      <c r="W3454" s="10">
        <v>0.98767361331406622</v>
      </c>
      <c r="X3454" s="420"/>
      <c r="Y3454" s="420"/>
      <c r="Z3454" s="1"/>
      <c r="AA3454" s="1"/>
      <c r="AB3454" s="1"/>
      <c r="AC3454" s="1"/>
      <c r="AD3454" s="1"/>
    </row>
    <row r="3455" spans="17:30">
      <c r="Q3455" s="6">
        <v>3425</v>
      </c>
      <c r="R3455" s="7">
        <v>46092</v>
      </c>
      <c r="S3455" s="210">
        <v>4</v>
      </c>
      <c r="T3455" s="8">
        <v>1.0001111111111112</v>
      </c>
      <c r="U3455" s="98">
        <v>3.9198259237634092</v>
      </c>
      <c r="V3455" s="106">
        <v>34336.838480002516</v>
      </c>
      <c r="W3455" s="10">
        <v>0.98771364619525404</v>
      </c>
      <c r="X3455" s="420"/>
      <c r="Y3455" s="420"/>
      <c r="Z3455" s="1"/>
      <c r="AA3455" s="1"/>
      <c r="AB3455" s="1"/>
      <c r="AC3455" s="1"/>
      <c r="AD3455" s="1"/>
    </row>
    <row r="3456" spans="17:30">
      <c r="Q3456" s="6">
        <v>3426</v>
      </c>
      <c r="R3456" s="7">
        <v>46093</v>
      </c>
      <c r="S3456" s="210">
        <v>4</v>
      </c>
      <c r="T3456" s="8">
        <v>1.0001111111111112</v>
      </c>
      <c r="U3456" s="98">
        <v>3.9198897374526087</v>
      </c>
      <c r="V3456" s="106">
        <v>34339.601277343019</v>
      </c>
      <c r="W3456" s="10">
        <v>0.9877536557222788</v>
      </c>
      <c r="X3456" s="420"/>
      <c r="Y3456" s="420"/>
      <c r="Z3456" s="1"/>
      <c r="AA3456" s="1"/>
      <c r="AB3456" s="1"/>
      <c r="AC3456" s="1"/>
      <c r="AD3456" s="1"/>
    </row>
    <row r="3457" spans="17:30">
      <c r="Q3457" s="6">
        <v>3427</v>
      </c>
      <c r="R3457" s="7">
        <v>46094</v>
      </c>
      <c r="S3457" s="210">
        <v>4</v>
      </c>
      <c r="T3457" s="8">
        <v>1.0001111111111112</v>
      </c>
      <c r="U3457" s="98">
        <v>3.9199535139392339</v>
      </c>
      <c r="V3457" s="106">
        <v>34342.364296982647</v>
      </c>
      <c r="W3457" s="10">
        <v>0.98779364191552421</v>
      </c>
      <c r="X3457" s="420"/>
      <c r="Y3457" s="420"/>
      <c r="Z3457" s="1"/>
      <c r="AA3457" s="1"/>
      <c r="AB3457" s="1"/>
      <c r="AC3457" s="1"/>
      <c r="AD3457" s="1"/>
    </row>
    <row r="3458" spans="17:30">
      <c r="Q3458" s="6">
        <v>3428</v>
      </c>
      <c r="R3458" s="7">
        <v>46095</v>
      </c>
      <c r="S3458" s="210">
        <v>4</v>
      </c>
      <c r="T3458" s="8">
        <v>1.0001111111111112</v>
      </c>
      <c r="U3458" s="98">
        <v>3.9200172532558142</v>
      </c>
      <c r="V3458" s="106">
        <v>34345.127538939298</v>
      </c>
      <c r="W3458" s="10">
        <v>0.98783360479541837</v>
      </c>
      <c r="X3458" s="420"/>
      <c r="Y3458" s="420"/>
      <c r="Z3458" s="1"/>
      <c r="AA3458" s="1"/>
      <c r="AB3458" s="1"/>
      <c r="AC3458" s="1"/>
      <c r="AD3458" s="1"/>
    </row>
    <row r="3459" spans="17:30">
      <c r="Q3459" s="6">
        <v>3429</v>
      </c>
      <c r="R3459" s="7">
        <v>46096</v>
      </c>
      <c r="S3459" s="210">
        <v>4</v>
      </c>
      <c r="T3459" s="8">
        <v>1.0001111111111112</v>
      </c>
      <c r="U3459" s="98">
        <v>3.9200809554348348</v>
      </c>
      <c r="V3459" s="106">
        <v>34347.891003230834</v>
      </c>
      <c r="W3459" s="10">
        <v>0.98787354438234498</v>
      </c>
      <c r="X3459" s="420"/>
      <c r="Y3459" s="420"/>
      <c r="Z3459" s="1"/>
      <c r="AA3459" s="1"/>
      <c r="AB3459" s="1"/>
      <c r="AC3459" s="1"/>
      <c r="AD3459" s="1"/>
    </row>
    <row r="3460" spans="17:30">
      <c r="Q3460" s="6">
        <v>3430</v>
      </c>
      <c r="R3460" s="7">
        <v>46097</v>
      </c>
      <c r="S3460" s="210">
        <v>4</v>
      </c>
      <c r="T3460" s="8">
        <v>1.0001111111111112</v>
      </c>
      <c r="U3460" s="98">
        <v>3.9201446205087587</v>
      </c>
      <c r="V3460" s="106">
        <v>34350.654689875169</v>
      </c>
      <c r="W3460" s="10">
        <v>0.98791346069668773</v>
      </c>
      <c r="X3460" s="420"/>
      <c r="Y3460" s="420"/>
      <c r="Z3460" s="1"/>
      <c r="AA3460" s="1"/>
      <c r="AB3460" s="1"/>
      <c r="AC3460" s="1"/>
      <c r="AD3460" s="1"/>
    </row>
    <row r="3461" spans="17:30">
      <c r="Q3461" s="6">
        <v>3431</v>
      </c>
      <c r="R3461" s="7">
        <v>46098</v>
      </c>
      <c r="S3461" s="210">
        <v>4</v>
      </c>
      <c r="T3461" s="8">
        <v>1.0001111111111112</v>
      </c>
      <c r="U3461" s="98">
        <v>3.9202082485099599</v>
      </c>
      <c r="V3461" s="106">
        <v>34353.418598890181</v>
      </c>
      <c r="W3461" s="10">
        <v>0.98795335375874149</v>
      </c>
      <c r="X3461" s="420"/>
      <c r="Y3461" s="420"/>
      <c r="Z3461" s="1"/>
      <c r="AA3461" s="1"/>
      <c r="AB3461" s="1"/>
      <c r="AC3461" s="1"/>
      <c r="AD3461" s="1"/>
    </row>
    <row r="3462" spans="17:30">
      <c r="Q3462" s="6">
        <v>3432</v>
      </c>
      <c r="R3462" s="7">
        <v>46099</v>
      </c>
      <c r="S3462" s="210">
        <v>4</v>
      </c>
      <c r="T3462" s="8">
        <v>1.0001111111111112</v>
      </c>
      <c r="U3462" s="98">
        <v>3.9202718394708347</v>
      </c>
      <c r="V3462" s="106">
        <v>34356.18273029376</v>
      </c>
      <c r="W3462" s="10">
        <v>0.98799322358882335</v>
      </c>
      <c r="X3462" s="420"/>
      <c r="Y3462" s="420"/>
      <c r="Z3462" s="1"/>
      <c r="AA3462" s="1"/>
      <c r="AB3462" s="1"/>
      <c r="AC3462" s="1"/>
      <c r="AD3462" s="1"/>
    </row>
    <row r="3463" spans="17:30">
      <c r="Q3463" s="6">
        <v>3433</v>
      </c>
      <c r="R3463" s="7">
        <v>46100</v>
      </c>
      <c r="S3463" s="210">
        <v>4</v>
      </c>
      <c r="T3463" s="8">
        <v>1.0001111111111112</v>
      </c>
      <c r="U3463" s="98">
        <v>3.9203353934237128</v>
      </c>
      <c r="V3463" s="106">
        <v>34358.947084103813</v>
      </c>
      <c r="W3463" s="10">
        <v>0.9880330702072504</v>
      </c>
      <c r="X3463" s="420"/>
      <c r="Y3463" s="420"/>
      <c r="Z3463" s="1"/>
      <c r="AA3463" s="1"/>
      <c r="AB3463" s="1"/>
      <c r="AC3463" s="1"/>
      <c r="AD3463" s="1"/>
    </row>
    <row r="3464" spans="17:30">
      <c r="Q3464" s="6">
        <v>3434</v>
      </c>
      <c r="R3464" s="7">
        <v>46101</v>
      </c>
      <c r="S3464" s="210">
        <v>4</v>
      </c>
      <c r="T3464" s="8">
        <v>1.0001111111111112</v>
      </c>
      <c r="U3464" s="98">
        <v>3.9203989104009018</v>
      </c>
      <c r="V3464" s="106">
        <v>34361.711660338216</v>
      </c>
      <c r="W3464" s="10">
        <v>0.98807289363427309</v>
      </c>
      <c r="X3464" s="420"/>
      <c r="Y3464" s="420"/>
      <c r="Z3464" s="1"/>
      <c r="AA3464" s="1"/>
      <c r="AB3464" s="1"/>
      <c r="AC3464" s="1"/>
      <c r="AD3464" s="1"/>
    </row>
    <row r="3465" spans="17:30">
      <c r="Q3465" s="6">
        <v>3435</v>
      </c>
      <c r="R3465" s="7">
        <v>46102</v>
      </c>
      <c r="S3465" s="210">
        <v>4</v>
      </c>
      <c r="T3465" s="8">
        <v>1.0001111111111112</v>
      </c>
      <c r="U3465" s="98">
        <v>3.9204623904346425</v>
      </c>
      <c r="V3465" s="106">
        <v>34364.476459014884</v>
      </c>
      <c r="W3465" s="10">
        <v>0.98811269389011969</v>
      </c>
      <c r="X3465" s="420"/>
      <c r="Y3465" s="420"/>
      <c r="Z3465" s="1"/>
      <c r="AA3465" s="1"/>
      <c r="AB3465" s="1"/>
      <c r="AC3465" s="1"/>
      <c r="AD3465" s="1"/>
    </row>
    <row r="3466" spans="17:30">
      <c r="Q3466" s="6">
        <v>3436</v>
      </c>
      <c r="R3466" s="7">
        <v>46103</v>
      </c>
      <c r="S3466" s="210">
        <v>4</v>
      </c>
      <c r="T3466" s="8">
        <v>1.0001111111111112</v>
      </c>
      <c r="U3466" s="98">
        <v>3.9205258335571758</v>
      </c>
      <c r="V3466" s="106">
        <v>34367.241480151708</v>
      </c>
      <c r="W3466" s="10">
        <v>0.98815247099504067</v>
      </c>
      <c r="X3466" s="420"/>
      <c r="Y3466" s="420"/>
      <c r="Z3466" s="1"/>
      <c r="AA3466" s="1"/>
      <c r="AB3466" s="1"/>
      <c r="AC3466" s="1"/>
      <c r="AD3466" s="1"/>
    </row>
    <row r="3467" spans="17:30">
      <c r="Q3467" s="6">
        <v>3437</v>
      </c>
      <c r="R3467" s="7">
        <v>46104</v>
      </c>
      <c r="S3467" s="210">
        <v>4</v>
      </c>
      <c r="T3467" s="8">
        <v>1.0001111111111112</v>
      </c>
      <c r="U3467" s="98">
        <v>3.9205892398006759</v>
      </c>
      <c r="V3467" s="106">
        <v>34370.006723766579</v>
      </c>
      <c r="W3467" s="10">
        <v>0.98819222496919767</v>
      </c>
      <c r="X3467" s="420"/>
      <c r="Y3467" s="420"/>
      <c r="Z3467" s="1"/>
      <c r="AA3467" s="1"/>
      <c r="AB3467" s="1"/>
      <c r="AC3467" s="1"/>
      <c r="AD3467" s="1"/>
    </row>
    <row r="3468" spans="17:30">
      <c r="Q3468" s="6">
        <v>3438</v>
      </c>
      <c r="R3468" s="7">
        <v>46105</v>
      </c>
      <c r="S3468" s="210">
        <v>4</v>
      </c>
      <c r="T3468" s="8">
        <v>1.0001111111111112</v>
      </c>
      <c r="U3468" s="98">
        <v>3.9206526091972727</v>
      </c>
      <c r="V3468" s="106">
        <v>34372.772189877418</v>
      </c>
      <c r="W3468" s="10">
        <v>0.98823195583273016</v>
      </c>
      <c r="X3468" s="420"/>
      <c r="Y3468" s="420"/>
      <c r="Z3468" s="1"/>
      <c r="AA3468" s="1"/>
      <c r="AB3468" s="1"/>
      <c r="AC3468" s="1"/>
      <c r="AD3468" s="1"/>
    </row>
    <row r="3469" spans="17:30">
      <c r="Q3469" s="6">
        <v>3439</v>
      </c>
      <c r="R3469" s="7">
        <v>46106</v>
      </c>
      <c r="S3469" s="210">
        <v>4</v>
      </c>
      <c r="T3469" s="8">
        <v>1.0001111111111112</v>
      </c>
      <c r="U3469" s="98">
        <v>3.920715941779096</v>
      </c>
      <c r="V3469" s="106">
        <v>34375.537878502109</v>
      </c>
      <c r="W3469" s="10">
        <v>0.98827166360586638</v>
      </c>
      <c r="X3469" s="420"/>
      <c r="Y3469" s="420"/>
      <c r="Z3469" s="1"/>
      <c r="AA3469" s="1"/>
      <c r="AB3469" s="1"/>
      <c r="AC3469" s="1"/>
      <c r="AD3469" s="1"/>
    </row>
    <row r="3470" spans="17:30">
      <c r="Q3470" s="6">
        <v>3440</v>
      </c>
      <c r="R3470" s="7">
        <v>46107</v>
      </c>
      <c r="S3470" s="210">
        <v>4</v>
      </c>
      <c r="T3470" s="8">
        <v>1.0001111111111112</v>
      </c>
      <c r="U3470" s="98">
        <v>3.9207792375782091</v>
      </c>
      <c r="V3470" s="106">
        <v>34378.303789658567</v>
      </c>
      <c r="W3470" s="10">
        <v>0.98831134830865697</v>
      </c>
      <c r="X3470" s="420"/>
      <c r="Y3470" s="420"/>
      <c r="Z3470" s="1"/>
      <c r="AA3470" s="1"/>
      <c r="AB3470" s="1"/>
      <c r="AC3470" s="1"/>
      <c r="AD3470" s="1"/>
    </row>
    <row r="3471" spans="17:30">
      <c r="Q3471" s="6">
        <v>3441</v>
      </c>
      <c r="R3471" s="7">
        <v>46108</v>
      </c>
      <c r="S3471" s="210">
        <v>4</v>
      </c>
      <c r="T3471" s="8">
        <v>1.0001111111111112</v>
      </c>
      <c r="U3471" s="98">
        <v>3.9208424966266531</v>
      </c>
      <c r="V3471" s="106">
        <v>34381.069923364681</v>
      </c>
      <c r="W3471" s="10">
        <v>0.98835100996124137</v>
      </c>
      <c r="X3471" s="420"/>
      <c r="Y3471" s="420"/>
      <c r="Z3471" s="1"/>
      <c r="AA3471" s="1"/>
      <c r="AB3471" s="1"/>
      <c r="AC3471" s="1"/>
      <c r="AD3471" s="1"/>
    </row>
    <row r="3472" spans="17:30">
      <c r="Q3472" s="6">
        <v>3442</v>
      </c>
      <c r="R3472" s="7">
        <v>46109</v>
      </c>
      <c r="S3472" s="210">
        <v>4</v>
      </c>
      <c r="T3472" s="8">
        <v>1.0001111111111112</v>
      </c>
      <c r="U3472" s="98">
        <v>3.9209057189564245</v>
      </c>
      <c r="V3472" s="106">
        <v>34383.836279638381</v>
      </c>
      <c r="W3472" s="10">
        <v>0.98839064858369241</v>
      </c>
      <c r="X3472" s="420"/>
      <c r="Y3472" s="420"/>
      <c r="Z3472" s="1"/>
      <c r="AA3472" s="1"/>
      <c r="AB3472" s="1"/>
      <c r="AC3472" s="1"/>
      <c r="AD3472" s="1"/>
    </row>
    <row r="3473" spans="17:30">
      <c r="Q3473" s="6">
        <v>3443</v>
      </c>
      <c r="R3473" s="7">
        <v>46110</v>
      </c>
      <c r="S3473" s="210">
        <v>4</v>
      </c>
      <c r="T3473" s="8">
        <v>1.0001111111111112</v>
      </c>
      <c r="U3473" s="98">
        <v>3.9209689045994978</v>
      </c>
      <c r="V3473" s="106">
        <v>34386.602858497557</v>
      </c>
      <c r="W3473" s="10">
        <v>0.98843026419606073</v>
      </c>
      <c r="X3473" s="420"/>
      <c r="Y3473" s="420"/>
      <c r="Z3473" s="1"/>
      <c r="AA3473" s="1"/>
      <c r="AB3473" s="1"/>
      <c r="AC3473" s="1"/>
      <c r="AD3473" s="1"/>
    </row>
    <row r="3474" spans="17:30">
      <c r="Q3474" s="6">
        <v>3444</v>
      </c>
      <c r="R3474" s="7">
        <v>46111</v>
      </c>
      <c r="S3474" s="210">
        <v>4</v>
      </c>
      <c r="T3474" s="8">
        <v>1.0001111111111112</v>
      </c>
      <c r="U3474" s="98">
        <v>3.9210320535877807</v>
      </c>
      <c r="V3474" s="106">
        <v>34389.369659960132</v>
      </c>
      <c r="W3474" s="10">
        <v>0.98846985681837474</v>
      </c>
      <c r="X3474" s="420"/>
      <c r="Y3474" s="420"/>
      <c r="Z3474" s="1"/>
      <c r="AA3474" s="1"/>
      <c r="AB3474" s="1"/>
      <c r="AC3474" s="1"/>
      <c r="AD3474" s="1"/>
    </row>
    <row r="3475" spans="17:30">
      <c r="Q3475" s="6">
        <v>3445</v>
      </c>
      <c r="R3475" s="7">
        <v>46112</v>
      </c>
      <c r="S3475" s="210">
        <v>4</v>
      </c>
      <c r="T3475" s="8">
        <v>1.0001111111111112</v>
      </c>
      <c r="U3475" s="98">
        <v>3.921095165953159</v>
      </c>
      <c r="V3475" s="106">
        <v>34392.136684044002</v>
      </c>
      <c r="W3475" s="10">
        <v>0.98850942647064066</v>
      </c>
      <c r="X3475" s="420"/>
      <c r="Y3475" s="420"/>
      <c r="Z3475" s="1"/>
      <c r="AA3475" s="1"/>
      <c r="AB3475" s="1"/>
      <c r="AC3475" s="1"/>
      <c r="AD3475" s="1"/>
    </row>
    <row r="3476" spans="17:30">
      <c r="Q3476" s="6">
        <v>3446</v>
      </c>
      <c r="R3476" s="7">
        <v>46113</v>
      </c>
      <c r="S3476" s="210">
        <v>4</v>
      </c>
      <c r="T3476" s="8">
        <v>1.0001111111111112</v>
      </c>
      <c r="U3476" s="98">
        <v>3.9211582417274959</v>
      </c>
      <c r="V3476" s="106">
        <v>34394.90393076709</v>
      </c>
      <c r="W3476" s="10">
        <v>0.98854897317284252</v>
      </c>
      <c r="X3476" s="420"/>
      <c r="Y3476" s="420"/>
      <c r="Z3476" s="1"/>
      <c r="AA3476" s="1"/>
      <c r="AB3476" s="1"/>
      <c r="AC3476" s="1"/>
      <c r="AD3476" s="1"/>
    </row>
    <row r="3477" spans="17:30">
      <c r="Q3477" s="6">
        <v>3447</v>
      </c>
      <c r="R3477" s="7">
        <v>46114</v>
      </c>
      <c r="S3477" s="210">
        <v>4</v>
      </c>
      <c r="T3477" s="8">
        <v>1.0001111111111112</v>
      </c>
      <c r="U3477" s="98">
        <v>3.9212212809425884</v>
      </c>
      <c r="V3477" s="106">
        <v>34397.671400147308</v>
      </c>
      <c r="W3477" s="10">
        <v>0.98858849694494211</v>
      </c>
      <c r="X3477" s="420"/>
      <c r="Y3477" s="420"/>
      <c r="Z3477" s="1"/>
      <c r="AA3477" s="1"/>
      <c r="AB3477" s="1"/>
      <c r="AC3477" s="1"/>
      <c r="AD3477" s="1"/>
    </row>
    <row r="3478" spans="17:30">
      <c r="Q3478" s="6">
        <v>3448</v>
      </c>
      <c r="R3478" s="7">
        <v>46115</v>
      </c>
      <c r="S3478" s="210">
        <v>4</v>
      </c>
      <c r="T3478" s="8">
        <v>1.0001111111111112</v>
      </c>
      <c r="U3478" s="98">
        <v>3.9212842836302109</v>
      </c>
      <c r="V3478" s="106">
        <v>34400.43909220257</v>
      </c>
      <c r="W3478" s="10">
        <v>0.98862799780687904</v>
      </c>
      <c r="X3478" s="420"/>
      <c r="Y3478" s="420"/>
      <c r="Z3478" s="1"/>
      <c r="AA3478" s="1"/>
      <c r="AB3478" s="1"/>
      <c r="AC3478" s="1"/>
      <c r="AD3478" s="1"/>
    </row>
    <row r="3479" spans="17:30">
      <c r="Q3479" s="6">
        <v>3449</v>
      </c>
      <c r="R3479" s="7">
        <v>46116</v>
      </c>
      <c r="S3479" s="210">
        <v>4</v>
      </c>
      <c r="T3479" s="8">
        <v>1.0001111111111112</v>
      </c>
      <c r="U3479" s="98">
        <v>3.9213472498221158</v>
      </c>
      <c r="V3479" s="106">
        <v>34403.207006950797</v>
      </c>
      <c r="W3479" s="10">
        <v>0.98866747577854852</v>
      </c>
      <c r="X3479" s="420"/>
      <c r="Y3479" s="420"/>
      <c r="Z3479" s="1"/>
      <c r="AA3479" s="1"/>
      <c r="AB3479" s="1"/>
      <c r="AC3479" s="1"/>
      <c r="AD3479" s="1"/>
    </row>
    <row r="3480" spans="17:30">
      <c r="Q3480" s="6">
        <v>3450</v>
      </c>
      <c r="R3480" s="7">
        <v>46117</v>
      </c>
      <c r="S3480" s="210">
        <v>4</v>
      </c>
      <c r="T3480" s="8">
        <v>1.0001111111111112</v>
      </c>
      <c r="U3480" s="98">
        <v>3.9214101795499889</v>
      </c>
      <c r="V3480" s="106">
        <v>34405.975144409902</v>
      </c>
      <c r="W3480" s="10">
        <v>0.98870693087986794</v>
      </c>
      <c r="X3480" s="420"/>
      <c r="Y3480" s="420"/>
      <c r="Z3480" s="1"/>
      <c r="AA3480" s="1"/>
      <c r="AB3480" s="1"/>
      <c r="AC3480" s="1"/>
      <c r="AD3480" s="1"/>
    </row>
    <row r="3481" spans="17:30">
      <c r="Q3481" s="6">
        <v>3451</v>
      </c>
      <c r="R3481" s="7">
        <v>46118</v>
      </c>
      <c r="S3481" s="210">
        <v>4</v>
      </c>
      <c r="T3481" s="8">
        <v>1.0001111111111112</v>
      </c>
      <c r="U3481" s="98">
        <v>3.9214730728455161</v>
      </c>
      <c r="V3481" s="106">
        <v>34408.743504597805</v>
      </c>
      <c r="W3481" s="10">
        <v>0.98874636313068809</v>
      </c>
      <c r="X3481" s="420"/>
      <c r="Y3481" s="420"/>
      <c r="Z3481" s="1"/>
      <c r="AA3481" s="1"/>
      <c r="AB3481" s="1"/>
      <c r="AC3481" s="1"/>
      <c r="AD3481" s="1"/>
    </row>
    <row r="3482" spans="17:30">
      <c r="Q3482" s="6">
        <v>3452</v>
      </c>
      <c r="R3482" s="7">
        <v>46119</v>
      </c>
      <c r="S3482" s="210">
        <v>4</v>
      </c>
      <c r="T3482" s="8">
        <v>1.0001111111111112</v>
      </c>
      <c r="U3482" s="98">
        <v>3.9215359297403163</v>
      </c>
      <c r="V3482" s="106">
        <v>34411.512087532421</v>
      </c>
      <c r="W3482" s="10">
        <v>0.98878577255085975</v>
      </c>
      <c r="X3482" s="420"/>
      <c r="Y3482" s="420"/>
      <c r="Z3482" s="1"/>
      <c r="AA3482" s="1"/>
      <c r="AB3482" s="1"/>
      <c r="AC3482" s="1"/>
      <c r="AD3482" s="1"/>
    </row>
    <row r="3483" spans="17:30">
      <c r="Q3483" s="6">
        <v>3453</v>
      </c>
      <c r="R3483" s="7">
        <v>46120</v>
      </c>
      <c r="S3483" s="210">
        <v>4</v>
      </c>
      <c r="T3483" s="8">
        <v>1.0001111111111112</v>
      </c>
      <c r="U3483" s="98">
        <v>3.9215987502659644</v>
      </c>
      <c r="V3483" s="106">
        <v>34414.280893231691</v>
      </c>
      <c r="W3483" s="10">
        <v>0.98882515916018932</v>
      </c>
      <c r="X3483" s="420"/>
      <c r="Y3483" s="420"/>
      <c r="Z3483" s="1"/>
      <c r="AA3483" s="1"/>
      <c r="AB3483" s="1"/>
      <c r="AC3483" s="1"/>
      <c r="AD3483" s="1"/>
    </row>
    <row r="3484" spans="17:30">
      <c r="Q3484" s="6">
        <v>3454</v>
      </c>
      <c r="R3484" s="7">
        <v>46121</v>
      </c>
      <c r="S3484" s="210">
        <v>4</v>
      </c>
      <c r="T3484" s="8">
        <v>1.0001111111111112</v>
      </c>
      <c r="U3484" s="98">
        <v>3.9216615344540351</v>
      </c>
      <c r="V3484" s="106">
        <v>34417.049921713529</v>
      </c>
      <c r="W3484" s="10">
        <v>0.98886452297850536</v>
      </c>
      <c r="X3484" s="420"/>
      <c r="Y3484" s="420"/>
      <c r="Z3484" s="1"/>
      <c r="AA3484" s="1"/>
      <c r="AB3484" s="1"/>
      <c r="AC3484" s="1"/>
      <c r="AD3484" s="1"/>
    </row>
    <row r="3485" spans="17:30">
      <c r="Q3485" s="6">
        <v>3455</v>
      </c>
      <c r="R3485" s="7">
        <v>46122</v>
      </c>
      <c r="S3485" s="210">
        <v>4</v>
      </c>
      <c r="T3485" s="8">
        <v>1.0001111111111112</v>
      </c>
      <c r="U3485" s="98">
        <v>3.9217242823360587</v>
      </c>
      <c r="V3485" s="106">
        <v>34419.819172995856</v>
      </c>
      <c r="W3485" s="10">
        <v>0.98890386402556985</v>
      </c>
      <c r="X3485" s="420"/>
      <c r="Y3485" s="420"/>
      <c r="Z3485" s="1"/>
      <c r="AA3485" s="1"/>
      <c r="AB3485" s="1"/>
      <c r="AC3485" s="1"/>
      <c r="AD3485" s="1"/>
    </row>
    <row r="3486" spans="17:30">
      <c r="Q3486" s="6">
        <v>3456</v>
      </c>
      <c r="R3486" s="7">
        <v>46123</v>
      </c>
      <c r="S3486" s="210">
        <v>4</v>
      </c>
      <c r="T3486" s="8">
        <v>1.0001111111111112</v>
      </c>
      <c r="U3486" s="98">
        <v>3.9217869939434991</v>
      </c>
      <c r="V3486" s="106">
        <v>34422.5886470966</v>
      </c>
      <c r="W3486" s="10">
        <v>0.98894318232114475</v>
      </c>
      <c r="X3486" s="420"/>
      <c r="Y3486" s="420"/>
      <c r="Z3486" s="1"/>
      <c r="AA3486" s="1"/>
      <c r="AB3486" s="1"/>
      <c r="AC3486" s="1"/>
      <c r="AD3486" s="1"/>
    </row>
    <row r="3487" spans="17:30">
      <c r="Q3487" s="6">
        <v>3457</v>
      </c>
      <c r="R3487" s="7">
        <v>46124</v>
      </c>
      <c r="S3487" s="210">
        <v>4</v>
      </c>
      <c r="T3487" s="8">
        <v>1.0001111111111112</v>
      </c>
      <c r="U3487" s="98">
        <v>3.9218496693078198</v>
      </c>
      <c r="V3487" s="106">
        <v>34425.358344033688</v>
      </c>
      <c r="W3487" s="10">
        <v>0.98898247788496985</v>
      </c>
      <c r="X3487" s="420"/>
      <c r="Y3487" s="420"/>
      <c r="Z3487" s="1"/>
      <c r="AA3487" s="1"/>
      <c r="AB3487" s="1"/>
      <c r="AC3487" s="1"/>
      <c r="AD3487" s="1"/>
    </row>
    <row r="3488" spans="17:30">
      <c r="Q3488" s="6">
        <v>3458</v>
      </c>
      <c r="R3488" s="7">
        <v>46125</v>
      </c>
      <c r="S3488" s="210">
        <v>4</v>
      </c>
      <c r="T3488" s="8">
        <v>1.0001111111111112</v>
      </c>
      <c r="U3488" s="98">
        <v>3.9219123084604179</v>
      </c>
      <c r="V3488" s="106">
        <v>34428.12826382507</v>
      </c>
      <c r="W3488" s="10">
        <v>0.98902175073671827</v>
      </c>
      <c r="X3488" s="420"/>
      <c r="Y3488" s="420"/>
      <c r="Z3488" s="1"/>
      <c r="AA3488" s="1"/>
      <c r="AB3488" s="1"/>
      <c r="AC3488" s="1"/>
      <c r="AD3488" s="1"/>
    </row>
    <row r="3489" spans="17:30">
      <c r="Q3489" s="6">
        <v>3459</v>
      </c>
      <c r="R3489" s="7">
        <v>46126</v>
      </c>
      <c r="S3489" s="210">
        <v>4</v>
      </c>
      <c r="T3489" s="8">
        <v>1.0001111111111112</v>
      </c>
      <c r="U3489" s="98">
        <v>3.9219749114326685</v>
      </c>
      <c r="V3489" s="106">
        <v>34430.898406488646</v>
      </c>
      <c r="W3489" s="10">
        <v>0.9890610008960854</v>
      </c>
      <c r="X3489" s="420"/>
      <c r="Y3489" s="420"/>
      <c r="Z3489" s="1"/>
      <c r="AA3489" s="1"/>
      <c r="AB3489" s="1"/>
      <c r="AC3489" s="1"/>
      <c r="AD3489" s="1"/>
    </row>
    <row r="3490" spans="17:30">
      <c r="Q3490" s="6">
        <v>3460</v>
      </c>
      <c r="R3490" s="7">
        <v>46127</v>
      </c>
      <c r="S3490" s="210">
        <v>4</v>
      </c>
      <c r="T3490" s="8">
        <v>1.0001111111111112</v>
      </c>
      <c r="U3490" s="98">
        <v>3.922037478255902</v>
      </c>
      <c r="V3490" s="106">
        <v>34433.668772042365</v>
      </c>
      <c r="W3490" s="10">
        <v>0.98910022838276657</v>
      </c>
      <c r="X3490" s="420"/>
      <c r="Y3490" s="420"/>
      <c r="Z3490" s="1"/>
      <c r="AA3490" s="1"/>
      <c r="AB3490" s="1"/>
      <c r="AC3490" s="1"/>
      <c r="AD3490" s="1"/>
    </row>
    <row r="3491" spans="17:30">
      <c r="Q3491" s="6">
        <v>3461</v>
      </c>
      <c r="R3491" s="7">
        <v>46128</v>
      </c>
      <c r="S3491" s="210">
        <v>4</v>
      </c>
      <c r="T3491" s="8">
        <v>1.0001111111111112</v>
      </c>
      <c r="U3491" s="98">
        <v>3.9221000089614266</v>
      </c>
      <c r="V3491" s="106">
        <v>34436.439360504162</v>
      </c>
      <c r="W3491" s="10">
        <v>0.98913943321634612</v>
      </c>
      <c r="X3491" s="420"/>
      <c r="Y3491" s="420"/>
      <c r="Z3491" s="1"/>
      <c r="AA3491" s="1"/>
      <c r="AB3491" s="1"/>
      <c r="AC3491" s="1"/>
      <c r="AD3491" s="1"/>
    </row>
    <row r="3492" spans="17:30">
      <c r="Q3492" s="6">
        <v>3462</v>
      </c>
      <c r="R3492" s="7">
        <v>46129</v>
      </c>
      <c r="S3492" s="210">
        <v>4</v>
      </c>
      <c r="T3492" s="8">
        <v>1.0001111111111112</v>
      </c>
      <c r="U3492" s="98">
        <v>3.9221625035805063</v>
      </c>
      <c r="V3492" s="106">
        <v>34439.210171891973</v>
      </c>
      <c r="W3492" s="10">
        <v>0.989178615416475</v>
      </c>
      <c r="X3492" s="420"/>
      <c r="Y3492" s="420"/>
      <c r="Z3492" s="1"/>
      <c r="AA3492" s="1"/>
      <c r="AB3492" s="1"/>
      <c r="AC3492" s="1"/>
      <c r="AD3492" s="1"/>
    </row>
    <row r="3493" spans="17:30">
      <c r="Q3493" s="6">
        <v>3463</v>
      </c>
      <c r="R3493" s="7">
        <v>46130</v>
      </c>
      <c r="S3493" s="210">
        <v>4</v>
      </c>
      <c r="T3493" s="8">
        <v>1.0001111111111112</v>
      </c>
      <c r="U3493" s="98">
        <v>3.9222249621443828</v>
      </c>
      <c r="V3493" s="106">
        <v>34441.981206223732</v>
      </c>
      <c r="W3493" s="10">
        <v>0.98921777500275976</v>
      </c>
      <c r="X3493" s="420"/>
      <c r="Y3493" s="420"/>
      <c r="Z3493" s="1"/>
      <c r="AA3493" s="1"/>
      <c r="AB3493" s="1"/>
      <c r="AC3493" s="1"/>
      <c r="AD3493" s="1"/>
    </row>
    <row r="3494" spans="17:30">
      <c r="Q3494" s="6">
        <v>3464</v>
      </c>
      <c r="R3494" s="7">
        <v>46131</v>
      </c>
      <c r="S3494" s="210">
        <v>4</v>
      </c>
      <c r="T3494" s="8">
        <v>1.0001111111111112</v>
      </c>
      <c r="U3494" s="98">
        <v>3.922287384684231</v>
      </c>
      <c r="V3494" s="106">
        <v>34444.752463517369</v>
      </c>
      <c r="W3494" s="10">
        <v>0.98925691199474031</v>
      </c>
      <c r="X3494" s="420"/>
      <c r="Y3494" s="420"/>
      <c r="Z3494" s="1"/>
      <c r="AA3494" s="1"/>
      <c r="AB3494" s="1"/>
      <c r="AC3494" s="1"/>
      <c r="AD3494" s="1"/>
    </row>
    <row r="3495" spans="17:30">
      <c r="Q3495" s="6">
        <v>3465</v>
      </c>
      <c r="R3495" s="7">
        <v>46132</v>
      </c>
      <c r="S3495" s="210">
        <v>4</v>
      </c>
      <c r="T3495" s="8">
        <v>1.0001111111111112</v>
      </c>
      <c r="U3495" s="98">
        <v>3.9223497712312261</v>
      </c>
      <c r="V3495" s="106">
        <v>34447.523943790839</v>
      </c>
      <c r="W3495" s="10">
        <v>0.98929602641197878</v>
      </c>
      <c r="X3495" s="420"/>
      <c r="Y3495" s="420"/>
      <c r="Z3495" s="1"/>
      <c r="AA3495" s="1"/>
      <c r="AB3495" s="1"/>
      <c r="AC3495" s="1"/>
      <c r="AD3495" s="1"/>
    </row>
    <row r="3496" spans="17:30">
      <c r="Q3496" s="6">
        <v>3466</v>
      </c>
      <c r="R3496" s="7">
        <v>46133</v>
      </c>
      <c r="S3496" s="210">
        <v>4</v>
      </c>
      <c r="T3496" s="8">
        <v>1.0001111111111112</v>
      </c>
      <c r="U3496" s="98">
        <v>3.9224121218164765</v>
      </c>
      <c r="V3496" s="106">
        <v>34450.29564706207</v>
      </c>
      <c r="W3496" s="10">
        <v>0.9893351182740151</v>
      </c>
      <c r="X3496" s="420"/>
      <c r="Y3496" s="420"/>
      <c r="Z3496" s="1"/>
      <c r="AA3496" s="1"/>
      <c r="AB3496" s="1"/>
      <c r="AC3496" s="1"/>
      <c r="AD3496" s="1"/>
    </row>
    <row r="3497" spans="17:30">
      <c r="Q3497" s="6">
        <v>3467</v>
      </c>
      <c r="R3497" s="7">
        <v>46134</v>
      </c>
      <c r="S3497" s="210">
        <v>4</v>
      </c>
      <c r="T3497" s="8">
        <v>1.0001111111111112</v>
      </c>
      <c r="U3497" s="98">
        <v>3.9224744364710684</v>
      </c>
      <c r="V3497" s="106">
        <v>34453.067573349021</v>
      </c>
      <c r="W3497" s="10">
        <v>0.98937418760034479</v>
      </c>
      <c r="X3497" s="420"/>
      <c r="Y3497" s="420"/>
      <c r="Z3497" s="1"/>
      <c r="AA3497" s="1"/>
      <c r="AB3497" s="1"/>
      <c r="AC3497" s="1"/>
      <c r="AD3497" s="1"/>
    </row>
    <row r="3498" spans="17:30">
      <c r="Q3498" s="6">
        <v>3468</v>
      </c>
      <c r="R3498" s="7">
        <v>46135</v>
      </c>
      <c r="S3498" s="210">
        <v>4</v>
      </c>
      <c r="T3498" s="8">
        <v>1.0001111111111112</v>
      </c>
      <c r="U3498" s="98">
        <v>3.9225367152260437</v>
      </c>
      <c r="V3498" s="106">
        <v>34455.839722669618</v>
      </c>
      <c r="W3498" s="10">
        <v>0.98941323441041895</v>
      </c>
      <c r="X3498" s="420"/>
      <c r="Y3498" s="420"/>
      <c r="Z3498" s="1"/>
      <c r="AA3498" s="1"/>
      <c r="AB3498" s="1"/>
      <c r="AC3498" s="1"/>
      <c r="AD3498" s="1"/>
    </row>
    <row r="3499" spans="17:30">
      <c r="Q3499" s="6">
        <v>3469</v>
      </c>
      <c r="R3499" s="7">
        <v>46136</v>
      </c>
      <c r="S3499" s="210">
        <v>4</v>
      </c>
      <c r="T3499" s="8">
        <v>1.0001111111111112</v>
      </c>
      <c r="U3499" s="98">
        <v>3.9225989581124221</v>
      </c>
      <c r="V3499" s="106">
        <v>34458.612095041826</v>
      </c>
      <c r="W3499" s="10">
        <v>0.9894522587237331</v>
      </c>
      <c r="X3499" s="420"/>
      <c r="Y3499" s="420"/>
      <c r="Z3499" s="1"/>
      <c r="AA3499" s="1"/>
      <c r="AB3499" s="1"/>
      <c r="AC3499" s="1"/>
      <c r="AD3499" s="1"/>
    </row>
    <row r="3500" spans="17:30">
      <c r="Q3500" s="6">
        <v>3470</v>
      </c>
      <c r="R3500" s="7">
        <v>46137</v>
      </c>
      <c r="S3500" s="210">
        <v>4</v>
      </c>
      <c r="T3500" s="8">
        <v>1.0001111111111112</v>
      </c>
      <c r="U3500" s="98">
        <v>3.9226611651612009</v>
      </c>
      <c r="V3500" s="106">
        <v>34461.384690483574</v>
      </c>
      <c r="W3500" s="10">
        <v>0.98949126055973835</v>
      </c>
      <c r="X3500" s="420"/>
      <c r="Y3500" s="420"/>
      <c r="Z3500" s="1"/>
      <c r="AA3500" s="1"/>
      <c r="AB3500" s="1"/>
      <c r="AC3500" s="1"/>
      <c r="AD3500" s="1"/>
    </row>
    <row r="3501" spans="17:30">
      <c r="Q3501" s="6">
        <v>3471</v>
      </c>
      <c r="R3501" s="7">
        <v>46138</v>
      </c>
      <c r="S3501" s="210">
        <v>4</v>
      </c>
      <c r="T3501" s="8">
        <v>1.0001111111111112</v>
      </c>
      <c r="U3501" s="98">
        <v>3.9227233364032887</v>
      </c>
      <c r="V3501" s="106">
        <v>34464.157509012817</v>
      </c>
      <c r="W3501" s="10">
        <v>0.98953023993779698</v>
      </c>
      <c r="X3501" s="420"/>
      <c r="Y3501" s="420"/>
      <c r="Z3501" s="1"/>
      <c r="AA3501" s="1"/>
      <c r="AB3501" s="1"/>
      <c r="AC3501" s="1"/>
      <c r="AD3501" s="1"/>
    </row>
    <row r="3502" spans="17:30">
      <c r="Q3502" s="6">
        <v>3472</v>
      </c>
      <c r="R3502" s="7">
        <v>46139</v>
      </c>
      <c r="S3502" s="210">
        <v>4</v>
      </c>
      <c r="T3502" s="8">
        <v>1.0001111111111112</v>
      </c>
      <c r="U3502" s="98">
        <v>3.9227854718696165</v>
      </c>
      <c r="V3502" s="106">
        <v>34466.930550647507</v>
      </c>
      <c r="W3502" s="10">
        <v>0.98956919687733791</v>
      </c>
      <c r="X3502" s="420"/>
      <c r="Y3502" s="420"/>
      <c r="Z3502" s="1"/>
      <c r="AA3502" s="1"/>
      <c r="AB3502" s="1"/>
      <c r="AC3502" s="1"/>
      <c r="AD3502" s="1"/>
    </row>
    <row r="3503" spans="17:30">
      <c r="Q3503" s="6">
        <v>3473</v>
      </c>
      <c r="R3503" s="7">
        <v>46140</v>
      </c>
      <c r="S3503" s="210">
        <v>4</v>
      </c>
      <c r="T3503" s="8">
        <v>1.0001111111111112</v>
      </c>
      <c r="U3503" s="98">
        <v>3.9228475715910482</v>
      </c>
      <c r="V3503" s="106">
        <v>34469.703815405592</v>
      </c>
      <c r="W3503" s="10">
        <v>0.98960813139770121</v>
      </c>
      <c r="X3503" s="420"/>
      <c r="Y3503" s="420"/>
      <c r="Z3503" s="1"/>
      <c r="AA3503" s="1"/>
      <c r="AB3503" s="1"/>
      <c r="AC3503" s="1"/>
      <c r="AD3503" s="1"/>
    </row>
    <row r="3504" spans="17:30">
      <c r="Q3504" s="6">
        <v>3474</v>
      </c>
      <c r="R3504" s="7">
        <v>46141</v>
      </c>
      <c r="S3504" s="210">
        <v>4</v>
      </c>
      <c r="T3504" s="8">
        <v>1.0001111111111112</v>
      </c>
      <c r="U3504" s="98">
        <v>3.9229096355984261</v>
      </c>
      <c r="V3504" s="106">
        <v>34472.477303305037</v>
      </c>
      <c r="W3504" s="10">
        <v>0.98964704351827137</v>
      </c>
      <c r="X3504" s="420"/>
      <c r="Y3504" s="420"/>
      <c r="Z3504" s="1"/>
      <c r="AA3504" s="1"/>
      <c r="AB3504" s="1"/>
      <c r="AC3504" s="1"/>
      <c r="AD3504" s="1"/>
    </row>
    <row r="3505" spans="17:30">
      <c r="Q3505" s="6">
        <v>3475</v>
      </c>
      <c r="R3505" s="7">
        <v>46142</v>
      </c>
      <c r="S3505" s="210">
        <v>4</v>
      </c>
      <c r="T3505" s="8">
        <v>1.0001111111111112</v>
      </c>
      <c r="U3505" s="98">
        <v>3.9229716639225476</v>
      </c>
      <c r="V3505" s="106">
        <v>34475.251014363777</v>
      </c>
      <c r="W3505" s="10">
        <v>0.98968593325836629</v>
      </c>
      <c r="X3505" s="420"/>
      <c r="Y3505" s="420"/>
      <c r="Z3505" s="1"/>
      <c r="AA3505" s="1"/>
      <c r="AB3505" s="1"/>
      <c r="AC3505" s="1"/>
      <c r="AD3505" s="1"/>
    </row>
    <row r="3506" spans="17:30">
      <c r="Q3506" s="6">
        <v>3476</v>
      </c>
      <c r="R3506" s="7">
        <v>46143</v>
      </c>
      <c r="S3506" s="210">
        <v>4</v>
      </c>
      <c r="T3506" s="8">
        <v>1.0001111111111112</v>
      </c>
      <c r="U3506" s="98">
        <v>3.9230336565941659</v>
      </c>
      <c r="V3506" s="106">
        <v>34478.024948599777</v>
      </c>
      <c r="W3506" s="10">
        <v>0.98972480063728163</v>
      </c>
      <c r="X3506" s="420"/>
      <c r="Y3506" s="420"/>
      <c r="Z3506" s="1"/>
      <c r="AA3506" s="1"/>
      <c r="AB3506" s="1"/>
      <c r="AC3506" s="1"/>
      <c r="AD3506" s="1"/>
    </row>
    <row r="3507" spans="17:30">
      <c r="Q3507" s="6">
        <v>3477</v>
      </c>
      <c r="R3507" s="7">
        <v>46144</v>
      </c>
      <c r="S3507" s="210">
        <v>4</v>
      </c>
      <c r="T3507" s="8">
        <v>1.0001111111111112</v>
      </c>
      <c r="U3507" s="98">
        <v>3.9230956136440343</v>
      </c>
      <c r="V3507" s="106">
        <v>34480.799106031001</v>
      </c>
      <c r="W3507" s="10">
        <v>0.98976364567429087</v>
      </c>
      <c r="X3507" s="420"/>
      <c r="Y3507" s="420"/>
      <c r="Z3507" s="1"/>
      <c r="AA3507" s="1"/>
      <c r="AB3507" s="1"/>
      <c r="AC3507" s="1"/>
      <c r="AD3507" s="1"/>
    </row>
    <row r="3508" spans="17:30">
      <c r="Q3508" s="6">
        <v>3478</v>
      </c>
      <c r="R3508" s="7">
        <v>46145</v>
      </c>
      <c r="S3508" s="210">
        <v>4</v>
      </c>
      <c r="T3508" s="8">
        <v>1.0001111111111112</v>
      </c>
      <c r="U3508" s="98">
        <v>3.923157535102817</v>
      </c>
      <c r="V3508" s="106">
        <v>34483.573486675392</v>
      </c>
      <c r="W3508" s="10">
        <v>0.98980246838864527</v>
      </c>
      <c r="X3508" s="420"/>
      <c r="Y3508" s="420"/>
      <c r="Z3508" s="1"/>
      <c r="AA3508" s="1"/>
      <c r="AB3508" s="1"/>
      <c r="AC3508" s="1"/>
      <c r="AD3508" s="1"/>
    </row>
    <row r="3509" spans="17:30">
      <c r="Q3509" s="6">
        <v>3479</v>
      </c>
      <c r="R3509" s="7">
        <v>46146</v>
      </c>
      <c r="S3509" s="210">
        <v>4</v>
      </c>
      <c r="T3509" s="8">
        <v>1.0001111111111112</v>
      </c>
      <c r="U3509" s="98">
        <v>3.9232194210012006</v>
      </c>
      <c r="V3509" s="106">
        <v>34486.348090550928</v>
      </c>
      <c r="W3509" s="10">
        <v>0.98984126879959611</v>
      </c>
      <c r="X3509" s="420"/>
      <c r="Y3509" s="420"/>
      <c r="Z3509" s="1"/>
      <c r="AA3509" s="1"/>
      <c r="AB3509" s="1"/>
      <c r="AC3509" s="1"/>
      <c r="AD3509" s="1"/>
    </row>
    <row r="3510" spans="17:30">
      <c r="Q3510" s="6">
        <v>3480</v>
      </c>
      <c r="R3510" s="7">
        <v>46147</v>
      </c>
      <c r="S3510" s="210">
        <v>4</v>
      </c>
      <c r="T3510" s="8">
        <v>1.0001111111111112</v>
      </c>
      <c r="U3510" s="98">
        <v>3.9232812713697829</v>
      </c>
      <c r="V3510" s="106">
        <v>34489.122917675559</v>
      </c>
      <c r="W3510" s="10">
        <v>0.98988004692635023</v>
      </c>
      <c r="X3510" s="420"/>
      <c r="Y3510" s="420"/>
      <c r="Z3510" s="1"/>
      <c r="AA3510" s="1"/>
      <c r="AB3510" s="1"/>
      <c r="AC3510" s="1"/>
      <c r="AD3510" s="1"/>
    </row>
    <row r="3511" spans="17:30">
      <c r="Q3511" s="6">
        <v>3481</v>
      </c>
      <c r="R3511" s="7">
        <v>46148</v>
      </c>
      <c r="S3511" s="210">
        <v>4</v>
      </c>
      <c r="T3511" s="8">
        <v>1.0001111111111112</v>
      </c>
      <c r="U3511" s="98">
        <v>3.9233430862391838</v>
      </c>
      <c r="V3511" s="106">
        <v>34491.897968067249</v>
      </c>
      <c r="W3511" s="10">
        <v>0.9899188027881145</v>
      </c>
      <c r="X3511" s="420"/>
      <c r="Y3511" s="420"/>
      <c r="Z3511" s="1"/>
      <c r="AA3511" s="1"/>
      <c r="AB3511" s="1"/>
      <c r="AC3511" s="1"/>
      <c r="AD3511" s="1"/>
    </row>
    <row r="3512" spans="17:30">
      <c r="Q3512" s="6">
        <v>3482</v>
      </c>
      <c r="R3512" s="7">
        <v>46149</v>
      </c>
      <c r="S3512" s="210">
        <v>4</v>
      </c>
      <c r="T3512" s="8">
        <v>1.0001111111111112</v>
      </c>
      <c r="U3512" s="98">
        <v>3.9234048656399345</v>
      </c>
      <c r="V3512" s="106">
        <v>34494.673241743963</v>
      </c>
      <c r="W3512" s="10">
        <v>0.98995753640405137</v>
      </c>
      <c r="X3512" s="420"/>
      <c r="Y3512" s="420"/>
      <c r="Z3512" s="1"/>
      <c r="AA3512" s="1"/>
      <c r="AB3512" s="1"/>
      <c r="AC3512" s="1"/>
      <c r="AD3512" s="1"/>
    </row>
    <row r="3513" spans="17:30">
      <c r="Q3513" s="6">
        <v>3483</v>
      </c>
      <c r="R3513" s="7">
        <v>46150</v>
      </c>
      <c r="S3513" s="210">
        <v>4</v>
      </c>
      <c r="T3513" s="8">
        <v>1.0001111111111112</v>
      </c>
      <c r="U3513" s="98">
        <v>3.9234666096025661</v>
      </c>
      <c r="V3513" s="106">
        <v>34497.448738723673</v>
      </c>
      <c r="W3513" s="10">
        <v>0.98999624779332329</v>
      </c>
      <c r="X3513" s="420"/>
      <c r="Y3513" s="420"/>
      <c r="Z3513" s="1"/>
      <c r="AA3513" s="1"/>
      <c r="AB3513" s="1"/>
      <c r="AC3513" s="1"/>
      <c r="AD3513" s="1"/>
    </row>
    <row r="3514" spans="17:30">
      <c r="Q3514" s="6">
        <v>3484</v>
      </c>
      <c r="R3514" s="7">
        <v>46151</v>
      </c>
      <c r="S3514" s="210">
        <v>4</v>
      </c>
      <c r="T3514" s="8">
        <v>1.0001111111111112</v>
      </c>
      <c r="U3514" s="98">
        <v>3.9235283181575431</v>
      </c>
      <c r="V3514" s="106">
        <v>34500.224459024335</v>
      </c>
      <c r="W3514" s="10">
        <v>0.99003493697500389</v>
      </c>
      <c r="X3514" s="420"/>
      <c r="Y3514" s="420"/>
      <c r="Z3514" s="1"/>
      <c r="AA3514" s="1"/>
      <c r="AB3514" s="1"/>
      <c r="AC3514" s="1"/>
      <c r="AD3514" s="1"/>
    </row>
    <row r="3515" spans="17:30">
      <c r="Q3515" s="6">
        <v>3485</v>
      </c>
      <c r="R3515" s="7">
        <v>46152</v>
      </c>
      <c r="S3515" s="210">
        <v>4</v>
      </c>
      <c r="T3515" s="8">
        <v>1.0001111111111112</v>
      </c>
      <c r="U3515" s="98">
        <v>3.92358999133533</v>
      </c>
      <c r="V3515" s="106">
        <v>34503.000402663929</v>
      </c>
      <c r="W3515" s="10">
        <v>0.99007360396825561</v>
      </c>
      <c r="X3515" s="420"/>
      <c r="Y3515" s="420"/>
      <c r="Z3515" s="1"/>
      <c r="AA3515" s="1"/>
      <c r="AB3515" s="1"/>
      <c r="AC3515" s="1"/>
      <c r="AD3515" s="1"/>
    </row>
    <row r="3516" spans="17:30">
      <c r="Q3516" s="6">
        <v>3486</v>
      </c>
      <c r="R3516" s="7">
        <v>46153</v>
      </c>
      <c r="S3516" s="210">
        <v>4</v>
      </c>
      <c r="T3516" s="8">
        <v>1.0001111111111112</v>
      </c>
      <c r="U3516" s="98">
        <v>3.9236516291663248</v>
      </c>
      <c r="V3516" s="106">
        <v>34505.776569660418</v>
      </c>
      <c r="W3516" s="10">
        <v>0.99011224879210769</v>
      </c>
      <c r="X3516" s="420"/>
      <c r="Y3516" s="420"/>
      <c r="Z3516" s="1"/>
      <c r="AA3516" s="1"/>
      <c r="AB3516" s="1"/>
      <c r="AC3516" s="1"/>
      <c r="AD3516" s="1"/>
    </row>
    <row r="3517" spans="17:30">
      <c r="Q3517" s="6">
        <v>3487</v>
      </c>
      <c r="R3517" s="7">
        <v>46154</v>
      </c>
      <c r="S3517" s="210">
        <v>4</v>
      </c>
      <c r="T3517" s="8">
        <v>1.0001111111111112</v>
      </c>
      <c r="U3517" s="98">
        <v>3.9237132316809253</v>
      </c>
      <c r="V3517" s="106">
        <v>34508.552960031782</v>
      </c>
      <c r="W3517" s="10">
        <v>0.99015087146567815</v>
      </c>
      <c r="X3517" s="420"/>
      <c r="Y3517" s="420"/>
      <c r="Z3517" s="1"/>
      <c r="AA3517" s="1"/>
      <c r="AB3517" s="1"/>
      <c r="AC3517" s="1"/>
      <c r="AD3517" s="1"/>
    </row>
    <row r="3518" spans="17:30">
      <c r="Q3518" s="6">
        <v>3488</v>
      </c>
      <c r="R3518" s="7">
        <v>46155</v>
      </c>
      <c r="S3518" s="210">
        <v>4</v>
      </c>
      <c r="T3518" s="8">
        <v>1.0001111111111112</v>
      </c>
      <c r="U3518" s="98">
        <v>3.9237747989094629</v>
      </c>
      <c r="V3518" s="106">
        <v>34511.329573795978</v>
      </c>
      <c r="W3518" s="10">
        <v>0.99018947200797403</v>
      </c>
      <c r="X3518" s="420"/>
      <c r="Y3518" s="420"/>
      <c r="Z3518" s="1"/>
      <c r="AA3518" s="1"/>
      <c r="AB3518" s="1"/>
      <c r="AC3518" s="1"/>
      <c r="AD3518" s="1"/>
    </row>
    <row r="3519" spans="17:30">
      <c r="Q3519" s="6">
        <v>3489</v>
      </c>
      <c r="R3519" s="7">
        <v>46156</v>
      </c>
      <c r="S3519" s="210">
        <v>4</v>
      </c>
      <c r="T3519" s="8">
        <v>1.0001111111111112</v>
      </c>
      <c r="U3519" s="98">
        <v>3.9238363308822466</v>
      </c>
      <c r="V3519" s="106">
        <v>34514.106410970991</v>
      </c>
      <c r="W3519" s="10">
        <v>0.99022805043800233</v>
      </c>
      <c r="X3519" s="420"/>
      <c r="Y3519" s="420"/>
      <c r="Z3519" s="1"/>
      <c r="AA3519" s="1"/>
      <c r="AB3519" s="1"/>
      <c r="AC3519" s="1"/>
      <c r="AD3519" s="1"/>
    </row>
    <row r="3520" spans="17:30">
      <c r="Q3520" s="6">
        <v>3490</v>
      </c>
      <c r="R3520" s="7">
        <v>46157</v>
      </c>
      <c r="S3520" s="210">
        <v>4</v>
      </c>
      <c r="T3520" s="8">
        <v>1.0001111111111112</v>
      </c>
      <c r="U3520" s="98">
        <v>3.9238978276295633</v>
      </c>
      <c r="V3520" s="106">
        <v>34516.883471574802</v>
      </c>
      <c r="W3520" s="10">
        <v>0.99026660677477008</v>
      </c>
      <c r="X3520" s="420"/>
      <c r="Y3520" s="420"/>
      <c r="Z3520" s="1"/>
      <c r="AA3520" s="1"/>
      <c r="AB3520" s="1"/>
      <c r="AC3520" s="1"/>
      <c r="AD3520" s="1"/>
    </row>
    <row r="3521" spans="17:30">
      <c r="Q3521" s="6">
        <v>3491</v>
      </c>
      <c r="R3521" s="7">
        <v>46158</v>
      </c>
      <c r="S3521" s="210">
        <v>4</v>
      </c>
      <c r="T3521" s="8">
        <v>1.0001111111111112</v>
      </c>
      <c r="U3521" s="98">
        <v>3.9239592891816555</v>
      </c>
      <c r="V3521" s="106">
        <v>34519.660755625388</v>
      </c>
      <c r="W3521" s="10">
        <v>0.99030514103728429</v>
      </c>
      <c r="X3521" s="420"/>
      <c r="Y3521" s="420"/>
      <c r="Z3521" s="1"/>
      <c r="AA3521" s="1"/>
      <c r="AB3521" s="1"/>
      <c r="AC3521" s="1"/>
      <c r="AD3521" s="1"/>
    </row>
    <row r="3522" spans="17:30">
      <c r="Q3522" s="6">
        <v>3492</v>
      </c>
      <c r="R3522" s="7">
        <v>46159</v>
      </c>
      <c r="S3522" s="210">
        <v>4</v>
      </c>
      <c r="T3522" s="8">
        <v>1.0001111111111112</v>
      </c>
      <c r="U3522" s="98">
        <v>3.9240207155687212</v>
      </c>
      <c r="V3522" s="106">
        <v>34522.438263140713</v>
      </c>
      <c r="W3522" s="10">
        <v>0.99034365324446316</v>
      </c>
      <c r="X3522" s="420"/>
      <c r="Y3522" s="420"/>
      <c r="Z3522" s="1"/>
      <c r="AA3522" s="1"/>
      <c r="AB3522" s="1"/>
      <c r="AC3522" s="1"/>
      <c r="AD3522" s="1"/>
    </row>
    <row r="3523" spans="17:30">
      <c r="Q3523" s="6">
        <v>3493</v>
      </c>
      <c r="R3523" s="7">
        <v>46160</v>
      </c>
      <c r="S3523" s="210">
        <v>4</v>
      </c>
      <c r="T3523" s="8">
        <v>1.0001111111111112</v>
      </c>
      <c r="U3523" s="98">
        <v>3.9240821068209142</v>
      </c>
      <c r="V3523" s="106">
        <v>34525.215994138765</v>
      </c>
      <c r="W3523" s="10">
        <v>0.9903821434152027</v>
      </c>
      <c r="X3523" s="420"/>
      <c r="Y3523" s="420"/>
      <c r="Z3523" s="1"/>
      <c r="AA3523" s="1"/>
      <c r="AB3523" s="1"/>
      <c r="AC3523" s="1"/>
      <c r="AD3523" s="1"/>
    </row>
    <row r="3524" spans="17:30">
      <c r="Q3524" s="6">
        <v>3494</v>
      </c>
      <c r="R3524" s="7">
        <v>46161</v>
      </c>
      <c r="S3524" s="210">
        <v>4</v>
      </c>
      <c r="T3524" s="8">
        <v>1.0001111111111112</v>
      </c>
      <c r="U3524" s="98">
        <v>3.924143462968388</v>
      </c>
      <c r="V3524" s="106">
        <v>34527.993948637537</v>
      </c>
      <c r="W3524" s="10">
        <v>0.9904206115684655</v>
      </c>
      <c r="X3524" s="420"/>
      <c r="Y3524" s="420"/>
      <c r="Z3524" s="1"/>
      <c r="AA3524" s="1"/>
      <c r="AB3524" s="1"/>
      <c r="AC3524" s="1"/>
      <c r="AD3524" s="1"/>
    </row>
    <row r="3525" spans="17:30">
      <c r="Q3525" s="6">
        <v>3495</v>
      </c>
      <c r="R3525" s="7">
        <v>46162</v>
      </c>
      <c r="S3525" s="210">
        <v>4</v>
      </c>
      <c r="T3525" s="8">
        <v>1.0001111111111112</v>
      </c>
      <c r="U3525" s="98">
        <v>3.9242047840412519</v>
      </c>
      <c r="V3525" s="106">
        <v>34530.772126655007</v>
      </c>
      <c r="W3525" s="10">
        <v>0.99045905772314757</v>
      </c>
      <c r="X3525" s="420"/>
      <c r="Y3525" s="420"/>
      <c r="Z3525" s="1"/>
      <c r="AA3525" s="1"/>
      <c r="AB3525" s="1"/>
      <c r="AC3525" s="1"/>
      <c r="AD3525" s="1"/>
    </row>
    <row r="3526" spans="17:30">
      <c r="Q3526" s="6">
        <v>3496</v>
      </c>
      <c r="R3526" s="7">
        <v>46163</v>
      </c>
      <c r="S3526" s="210">
        <v>4</v>
      </c>
      <c r="T3526" s="8">
        <v>1.0001111111111112</v>
      </c>
      <c r="U3526" s="98">
        <v>3.9242660700695486</v>
      </c>
      <c r="V3526" s="106">
        <v>34533.55052820914</v>
      </c>
      <c r="W3526" s="10">
        <v>0.99049748189805609</v>
      </c>
      <c r="X3526" s="420"/>
      <c r="Y3526" s="420"/>
      <c r="Z3526" s="1"/>
      <c r="AA3526" s="1"/>
      <c r="AB3526" s="1"/>
      <c r="AC3526" s="1"/>
      <c r="AD3526" s="1"/>
    </row>
    <row r="3527" spans="17:30">
      <c r="Q3527" s="6">
        <v>3497</v>
      </c>
      <c r="R3527" s="7">
        <v>46164</v>
      </c>
      <c r="S3527" s="210">
        <v>4</v>
      </c>
      <c r="T3527" s="8">
        <v>1.0001111111111112</v>
      </c>
      <c r="U3527" s="98">
        <v>3.9243273210833207</v>
      </c>
      <c r="V3527" s="106">
        <v>34536.329153317951</v>
      </c>
      <c r="W3527" s="10">
        <v>0.99053588411204263</v>
      </c>
      <c r="X3527" s="420"/>
      <c r="Y3527" s="420"/>
      <c r="Z3527" s="1"/>
      <c r="AA3527" s="1"/>
      <c r="AB3527" s="1"/>
      <c r="AC3527" s="1"/>
      <c r="AD3527" s="1"/>
    </row>
    <row r="3528" spans="17:30">
      <c r="Q3528" s="6">
        <v>3498</v>
      </c>
      <c r="R3528" s="7">
        <v>46165</v>
      </c>
      <c r="S3528" s="210">
        <v>4</v>
      </c>
      <c r="T3528" s="8">
        <v>1.0001111111111112</v>
      </c>
      <c r="U3528" s="98">
        <v>3.9243885371125886</v>
      </c>
      <c r="V3528" s="106">
        <v>34539.108001999411</v>
      </c>
      <c r="W3528" s="10">
        <v>0.990574264383981</v>
      </c>
      <c r="X3528" s="420"/>
      <c r="Y3528" s="420"/>
      <c r="Z3528" s="1"/>
      <c r="AA3528" s="1"/>
      <c r="AB3528" s="1"/>
      <c r="AC3528" s="1"/>
      <c r="AD3528" s="1"/>
    </row>
    <row r="3529" spans="17:30">
      <c r="Q3529" s="6">
        <v>3499</v>
      </c>
      <c r="R3529" s="7">
        <v>46166</v>
      </c>
      <c r="S3529" s="210">
        <v>4</v>
      </c>
      <c r="T3529" s="8">
        <v>1.0001111111111112</v>
      </c>
      <c r="U3529" s="98">
        <v>3.9244497181872839</v>
      </c>
      <c r="V3529" s="106">
        <v>34541.887074271515</v>
      </c>
      <c r="W3529" s="10">
        <v>0.99061262273263395</v>
      </c>
      <c r="X3529" s="420"/>
      <c r="Y3529" s="420"/>
      <c r="Z3529" s="1"/>
      <c r="AA3529" s="1"/>
      <c r="AB3529" s="1"/>
      <c r="AC3529" s="1"/>
      <c r="AD3529" s="1"/>
    </row>
    <row r="3530" spans="17:30">
      <c r="Q3530" s="6">
        <v>3500</v>
      </c>
      <c r="R3530" s="7">
        <v>46167</v>
      </c>
      <c r="S3530" s="210">
        <v>4</v>
      </c>
      <c r="T3530" s="8">
        <v>1.0001111111111112</v>
      </c>
      <c r="U3530" s="98">
        <v>3.9245108643373605</v>
      </c>
      <c r="V3530" s="106">
        <v>34544.666370152241</v>
      </c>
      <c r="W3530" s="10">
        <v>0.99065095917678647</v>
      </c>
      <c r="X3530" s="420"/>
      <c r="Y3530" s="420"/>
      <c r="Z3530" s="1"/>
      <c r="AA3530" s="1"/>
      <c r="AB3530" s="1"/>
      <c r="AC3530" s="1"/>
      <c r="AD3530" s="1"/>
    </row>
    <row r="3531" spans="17:30">
      <c r="Q3531" s="6">
        <v>3501</v>
      </c>
      <c r="R3531" s="7">
        <v>46168</v>
      </c>
      <c r="S3531" s="210">
        <v>4</v>
      </c>
      <c r="T3531" s="8">
        <v>1.0001111111111112</v>
      </c>
      <c r="U3531" s="98">
        <v>3.9245719755927055</v>
      </c>
      <c r="V3531" s="106">
        <v>34547.445889659604</v>
      </c>
      <c r="W3531" s="10">
        <v>0.99068927373520133</v>
      </c>
      <c r="X3531" s="420"/>
      <c r="Y3531" s="420"/>
      <c r="Z3531" s="1"/>
      <c r="AA3531" s="1"/>
      <c r="AB3531" s="1"/>
      <c r="AC3531" s="1"/>
      <c r="AD3531" s="1"/>
    </row>
    <row r="3532" spans="17:30">
      <c r="Q3532" s="6">
        <v>3502</v>
      </c>
      <c r="R3532" s="7">
        <v>46169</v>
      </c>
      <c r="S3532" s="210">
        <v>4</v>
      </c>
      <c r="T3532" s="8">
        <v>1.0001111111111112</v>
      </c>
      <c r="U3532" s="98">
        <v>3.924633051983184</v>
      </c>
      <c r="V3532" s="106">
        <v>34550.225632811576</v>
      </c>
      <c r="W3532" s="10">
        <v>0.99072756642661908</v>
      </c>
      <c r="X3532" s="420"/>
      <c r="Y3532" s="420"/>
      <c r="Z3532" s="1"/>
      <c r="AA3532" s="1"/>
      <c r="AB3532" s="1"/>
      <c r="AC3532" s="1"/>
      <c r="AD3532" s="1"/>
    </row>
    <row r="3533" spans="17:30">
      <c r="Q3533" s="6">
        <v>3503</v>
      </c>
      <c r="R3533" s="7">
        <v>46170</v>
      </c>
      <c r="S3533" s="210">
        <v>4</v>
      </c>
      <c r="T3533" s="8">
        <v>1.0001111111111112</v>
      </c>
      <c r="U3533" s="98">
        <v>3.9246940935386165</v>
      </c>
      <c r="V3533" s="106">
        <v>34553.005599626158</v>
      </c>
      <c r="W3533" s="10">
        <v>0.99076583726973588</v>
      </c>
      <c r="X3533" s="420"/>
      <c r="Y3533" s="420"/>
      <c r="Z3533" s="1"/>
      <c r="AA3533" s="1"/>
      <c r="AB3533" s="1"/>
      <c r="AC3533" s="1"/>
      <c r="AD3533" s="1"/>
    </row>
    <row r="3534" spans="17:30">
      <c r="Q3534" s="6">
        <v>3504</v>
      </c>
      <c r="R3534" s="7">
        <v>46171</v>
      </c>
      <c r="S3534" s="210">
        <v>4</v>
      </c>
      <c r="T3534" s="8">
        <v>1.0001111111111112</v>
      </c>
      <c r="U3534" s="98">
        <v>3.9247551002888015</v>
      </c>
      <c r="V3534" s="106">
        <v>34555.785790121357</v>
      </c>
      <c r="W3534" s="10">
        <v>0.9908040862832479</v>
      </c>
      <c r="X3534" s="420"/>
      <c r="Y3534" s="420"/>
      <c r="Z3534" s="1"/>
      <c r="AA3534" s="1"/>
      <c r="AB3534" s="1"/>
      <c r="AC3534" s="1"/>
      <c r="AD3534" s="1"/>
    </row>
    <row r="3535" spans="17:30">
      <c r="Q3535" s="6">
        <v>3505</v>
      </c>
      <c r="R3535" s="7">
        <v>46172</v>
      </c>
      <c r="S3535" s="210">
        <v>4</v>
      </c>
      <c r="T3535" s="8">
        <v>1.0001111111111112</v>
      </c>
      <c r="U3535" s="98">
        <v>3.9248160722634928</v>
      </c>
      <c r="V3535" s="106">
        <v>34558.566204315161</v>
      </c>
      <c r="W3535" s="10">
        <v>0.99084231348582907</v>
      </c>
      <c r="X3535" s="420"/>
      <c r="Y3535" s="420"/>
      <c r="Z3535" s="1"/>
      <c r="AA3535" s="1"/>
      <c r="AB3535" s="1"/>
      <c r="AC3535" s="1"/>
      <c r="AD3535" s="1"/>
    </row>
    <row r="3536" spans="17:30">
      <c r="Q3536" s="6">
        <v>3506</v>
      </c>
      <c r="R3536" s="7">
        <v>46173</v>
      </c>
      <c r="S3536" s="210">
        <v>4</v>
      </c>
      <c r="T3536" s="8">
        <v>1.0001111111111112</v>
      </c>
      <c r="U3536" s="98">
        <v>3.9248770094924224</v>
      </c>
      <c r="V3536" s="106">
        <v>34561.346842225561</v>
      </c>
      <c r="W3536" s="10">
        <v>0.99088051889615336</v>
      </c>
      <c r="X3536" s="420"/>
      <c r="Y3536" s="420"/>
      <c r="Z3536" s="1"/>
      <c r="AA3536" s="1"/>
      <c r="AB3536" s="1"/>
      <c r="AC3536" s="1"/>
      <c r="AD3536" s="1"/>
    </row>
    <row r="3537" spans="17:30">
      <c r="Q3537" s="6">
        <v>3507</v>
      </c>
      <c r="R3537" s="7">
        <v>46174</v>
      </c>
      <c r="S3537" s="210">
        <v>4</v>
      </c>
      <c r="T3537" s="8">
        <v>1.0001111111111112</v>
      </c>
      <c r="U3537" s="98">
        <v>3.9249379120052774</v>
      </c>
      <c r="V3537" s="106">
        <v>34564.127703870581</v>
      </c>
      <c r="W3537" s="10">
        <v>0.9909187025328059</v>
      </c>
      <c r="X3537" s="420"/>
      <c r="Y3537" s="420"/>
      <c r="Z3537" s="1"/>
      <c r="AA3537" s="1"/>
      <c r="AB3537" s="1"/>
      <c r="AC3537" s="1"/>
      <c r="AD3537" s="1"/>
    </row>
    <row r="3538" spans="17:30">
      <c r="Q3538" s="6">
        <v>3508</v>
      </c>
      <c r="R3538" s="7">
        <v>46175</v>
      </c>
      <c r="S3538" s="210">
        <v>4</v>
      </c>
      <c r="T3538" s="8">
        <v>1.0001111111111112</v>
      </c>
      <c r="U3538" s="98">
        <v>3.9249987798317232</v>
      </c>
      <c r="V3538" s="106">
        <v>34566.908789268193</v>
      </c>
      <c r="W3538" s="10">
        <v>0.99095686441443842</v>
      </c>
      <c r="X3538" s="420"/>
      <c r="Y3538" s="420"/>
      <c r="Z3538" s="1"/>
      <c r="AA3538" s="1"/>
      <c r="AB3538" s="1"/>
      <c r="AC3538" s="1"/>
      <c r="AD3538" s="1"/>
    </row>
    <row r="3539" spans="17:30">
      <c r="Q3539" s="6">
        <v>3509</v>
      </c>
      <c r="R3539" s="7">
        <v>46176</v>
      </c>
      <c r="S3539" s="210">
        <v>4</v>
      </c>
      <c r="T3539" s="8">
        <v>1.0001111111111112</v>
      </c>
      <c r="U3539" s="98">
        <v>3.9250596130013804</v>
      </c>
      <c r="V3539" s="106">
        <v>34569.690098436433</v>
      </c>
      <c r="W3539" s="10">
        <v>0.99099500455959166</v>
      </c>
      <c r="X3539" s="420"/>
      <c r="Y3539" s="420"/>
      <c r="Z3539" s="1"/>
      <c r="AA3539" s="1"/>
      <c r="AB3539" s="1"/>
      <c r="AC3539" s="1"/>
      <c r="AD3539" s="1"/>
    </row>
    <row r="3540" spans="17:30">
      <c r="Q3540" s="6">
        <v>3510</v>
      </c>
      <c r="R3540" s="7">
        <v>46177</v>
      </c>
      <c r="S3540" s="210">
        <v>4</v>
      </c>
      <c r="T3540" s="8">
        <v>1.0001111111111112</v>
      </c>
      <c r="U3540" s="98">
        <v>3.9251204115438476</v>
      </c>
      <c r="V3540" s="106">
        <v>34572.471631393273</v>
      </c>
      <c r="W3540" s="10">
        <v>0.99103312298689517</v>
      </c>
      <c r="X3540" s="420"/>
      <c r="Y3540" s="420"/>
      <c r="Z3540" s="1"/>
      <c r="AA3540" s="1"/>
      <c r="AB3540" s="1"/>
      <c r="AC3540" s="1"/>
      <c r="AD3540" s="1"/>
    </row>
    <row r="3541" spans="17:30">
      <c r="Q3541" s="6">
        <v>3511</v>
      </c>
      <c r="R3541" s="7">
        <v>46178</v>
      </c>
      <c r="S3541" s="210">
        <v>4</v>
      </c>
      <c r="T3541" s="8">
        <v>1.0001111111111112</v>
      </c>
      <c r="U3541" s="98">
        <v>3.925181175488679</v>
      </c>
      <c r="V3541" s="106">
        <v>34575.253388156743</v>
      </c>
      <c r="W3541" s="10">
        <v>0.99107121971484524</v>
      </c>
      <c r="X3541" s="420"/>
      <c r="Y3541" s="420"/>
      <c r="Z3541" s="1"/>
      <c r="AA3541" s="1"/>
      <c r="AB3541" s="1"/>
      <c r="AC3541" s="1"/>
      <c r="AD3541" s="1"/>
    </row>
    <row r="3542" spans="17:30">
      <c r="Q3542" s="6">
        <v>3512</v>
      </c>
      <c r="R3542" s="7">
        <v>46179</v>
      </c>
      <c r="S3542" s="210">
        <v>4</v>
      </c>
      <c r="T3542" s="8">
        <v>1.0001111111111112</v>
      </c>
      <c r="U3542" s="98">
        <v>3.9252419048653842</v>
      </c>
      <c r="V3542" s="106">
        <v>34578.035368744851</v>
      </c>
      <c r="W3542" s="10">
        <v>0.99110929476198262</v>
      </c>
      <c r="X3542" s="420"/>
      <c r="Y3542" s="420"/>
      <c r="Z3542" s="1"/>
      <c r="AA3542" s="1"/>
      <c r="AB3542" s="1"/>
      <c r="AC3542" s="1"/>
      <c r="AD3542" s="1"/>
    </row>
    <row r="3543" spans="17:30">
      <c r="Q3543" s="6">
        <v>3513</v>
      </c>
      <c r="R3543" s="7">
        <v>46180</v>
      </c>
      <c r="S3543" s="210">
        <v>4</v>
      </c>
      <c r="T3543" s="8">
        <v>1.0001111111111112</v>
      </c>
      <c r="U3543" s="98">
        <v>3.9253025997034729</v>
      </c>
      <c r="V3543" s="106">
        <v>34580.817573175591</v>
      </c>
      <c r="W3543" s="10">
        <v>0.99114734814680361</v>
      </c>
      <c r="X3543" s="420"/>
      <c r="Y3543" s="420"/>
      <c r="Z3543" s="1"/>
      <c r="AA3543" s="1"/>
      <c r="AB3543" s="1"/>
      <c r="AC3543" s="1"/>
      <c r="AD3543" s="1"/>
    </row>
    <row r="3544" spans="17:30">
      <c r="Q3544" s="6">
        <v>3514</v>
      </c>
      <c r="R3544" s="7">
        <v>46181</v>
      </c>
      <c r="S3544" s="210">
        <v>4</v>
      </c>
      <c r="T3544" s="8">
        <v>1.0001111111111112</v>
      </c>
      <c r="U3544" s="98">
        <v>3.9253632600323884</v>
      </c>
      <c r="V3544" s="106">
        <v>34583.600001466984</v>
      </c>
      <c r="W3544" s="10">
        <v>0.99118537988778233</v>
      </c>
      <c r="X3544" s="420"/>
      <c r="Y3544" s="420"/>
      <c r="Z3544" s="1"/>
      <c r="AA3544" s="1"/>
      <c r="AB3544" s="1"/>
      <c r="AC3544" s="1"/>
      <c r="AD3544" s="1"/>
    </row>
    <row r="3545" spans="17:30">
      <c r="Q3545" s="6">
        <v>3515</v>
      </c>
      <c r="R3545" s="7">
        <v>46182</v>
      </c>
      <c r="S3545" s="210">
        <v>4</v>
      </c>
      <c r="T3545" s="8">
        <v>1.0001111111111112</v>
      </c>
      <c r="U3545" s="98">
        <v>3.9254238858815516</v>
      </c>
      <c r="V3545" s="106">
        <v>34586.382653637032</v>
      </c>
      <c r="W3545" s="10">
        <v>0.99122339000339288</v>
      </c>
      <c r="X3545" s="420"/>
      <c r="Y3545" s="420"/>
      <c r="Z3545" s="1"/>
      <c r="AA3545" s="1"/>
      <c r="AB3545" s="1"/>
      <c r="AC3545" s="1"/>
      <c r="AD3545" s="1"/>
    </row>
    <row r="3546" spans="17:30">
      <c r="Q3546" s="6">
        <v>3516</v>
      </c>
      <c r="R3546" s="7">
        <v>46183</v>
      </c>
      <c r="S3546" s="210">
        <v>4</v>
      </c>
      <c r="T3546" s="8">
        <v>1.0001111111111112</v>
      </c>
      <c r="U3546" s="98">
        <v>3.925484477280361</v>
      </c>
      <c r="V3546" s="106">
        <v>34589.165529703765</v>
      </c>
      <c r="W3546" s="10">
        <v>0.99126137851206497</v>
      </c>
      <c r="X3546" s="420"/>
      <c r="Y3546" s="420"/>
      <c r="Z3546" s="1"/>
      <c r="AA3546" s="1"/>
      <c r="AB3546" s="1"/>
      <c r="AC3546" s="1"/>
      <c r="AD3546" s="1"/>
    </row>
    <row r="3547" spans="17:30">
      <c r="Q3547" s="6">
        <v>3517</v>
      </c>
      <c r="R3547" s="7">
        <v>46184</v>
      </c>
      <c r="S3547" s="210">
        <v>4</v>
      </c>
      <c r="T3547" s="8">
        <v>1.0001111111111112</v>
      </c>
      <c r="U3547" s="98">
        <v>3.925545034258171</v>
      </c>
      <c r="V3547" s="106">
        <v>34591.94862968519</v>
      </c>
      <c r="W3547" s="10">
        <v>0.99129934543225051</v>
      </c>
      <c r="X3547" s="420"/>
      <c r="Y3547" s="420"/>
      <c r="Z3547" s="1"/>
      <c r="AA3547" s="1"/>
      <c r="AB3547" s="1"/>
      <c r="AC3547" s="1"/>
      <c r="AD3547" s="1"/>
    </row>
    <row r="3548" spans="17:30">
      <c r="Q3548" s="6">
        <v>3518</v>
      </c>
      <c r="R3548" s="7">
        <v>46185</v>
      </c>
      <c r="S3548" s="210">
        <v>4</v>
      </c>
      <c r="T3548" s="8">
        <v>1.0001111111111112</v>
      </c>
      <c r="U3548" s="98">
        <v>3.9256055568443138</v>
      </c>
      <c r="V3548" s="106">
        <v>34594.731953599323</v>
      </c>
      <c r="W3548" s="10">
        <v>0.99133729078229038</v>
      </c>
      <c r="X3548" s="420"/>
      <c r="Y3548" s="420"/>
      <c r="Z3548" s="1"/>
      <c r="AA3548" s="1"/>
      <c r="AB3548" s="1"/>
      <c r="AC3548" s="1"/>
      <c r="AD3548" s="1"/>
    </row>
    <row r="3549" spans="17:30">
      <c r="Q3549" s="6">
        <v>3519</v>
      </c>
      <c r="R3549" s="7">
        <v>46186</v>
      </c>
      <c r="S3549" s="210">
        <v>4</v>
      </c>
      <c r="T3549" s="8">
        <v>1.0001111111111112</v>
      </c>
      <c r="U3549" s="98">
        <v>3.9256660450680547</v>
      </c>
      <c r="V3549" s="106">
        <v>34597.515501464179</v>
      </c>
      <c r="W3549" s="10">
        <v>0.99137521458061428</v>
      </c>
      <c r="X3549" s="420"/>
      <c r="Y3549" s="420"/>
      <c r="Z3549" s="1"/>
      <c r="AA3549" s="1"/>
      <c r="AB3549" s="1"/>
      <c r="AC3549" s="1"/>
      <c r="AD3549" s="1"/>
    </row>
    <row r="3550" spans="17:30">
      <c r="Q3550" s="6">
        <v>3520</v>
      </c>
      <c r="R3550" s="7">
        <v>46187</v>
      </c>
      <c r="S3550" s="210">
        <v>4</v>
      </c>
      <c r="T3550" s="8">
        <v>1.0001111111111112</v>
      </c>
      <c r="U3550" s="98">
        <v>3.9257264989586815</v>
      </c>
      <c r="V3550" s="106">
        <v>34600.29927329778</v>
      </c>
      <c r="W3550" s="10">
        <v>0.9914131168455631</v>
      </c>
      <c r="X3550" s="420"/>
      <c r="Y3550" s="420"/>
      <c r="Z3550" s="1"/>
      <c r="AA3550" s="1"/>
      <c r="AB3550" s="1"/>
      <c r="AC3550" s="1"/>
      <c r="AD3550" s="1"/>
    </row>
    <row r="3551" spans="17:30">
      <c r="Q3551" s="6">
        <v>3521</v>
      </c>
      <c r="R3551" s="7">
        <v>46188</v>
      </c>
      <c r="S3551" s="210">
        <v>4</v>
      </c>
      <c r="T3551" s="8">
        <v>1.0001111111111112</v>
      </c>
      <c r="U3551" s="98">
        <v>3.9257869185453931</v>
      </c>
      <c r="V3551" s="106">
        <v>34603.083269118142</v>
      </c>
      <c r="W3551" s="10">
        <v>0.99145099759545552</v>
      </c>
      <c r="X3551" s="420"/>
      <c r="Y3551" s="420"/>
      <c r="Z3551" s="1"/>
      <c r="AA3551" s="1"/>
      <c r="AB3551" s="1"/>
      <c r="AC3551" s="1"/>
      <c r="AD3551" s="1"/>
    </row>
    <row r="3552" spans="17:30">
      <c r="Q3552" s="6">
        <v>3522</v>
      </c>
      <c r="R3552" s="7">
        <v>46189</v>
      </c>
      <c r="S3552" s="210">
        <v>4</v>
      </c>
      <c r="T3552" s="8">
        <v>1.0001111111111112</v>
      </c>
      <c r="U3552" s="98">
        <v>3.9258473038573882</v>
      </c>
      <c r="V3552" s="106">
        <v>34605.86748894331</v>
      </c>
      <c r="W3552" s="10">
        <v>0.99148885684861021</v>
      </c>
      <c r="X3552" s="420"/>
      <c r="Y3552" s="420"/>
      <c r="Z3552" s="1"/>
      <c r="AA3552" s="1"/>
      <c r="AB3552" s="1"/>
      <c r="AC3552" s="1"/>
      <c r="AD3552" s="1"/>
    </row>
    <row r="3553" spans="17:30">
      <c r="Q3553" s="6">
        <v>3523</v>
      </c>
      <c r="R3553" s="7">
        <v>46190</v>
      </c>
      <c r="S3553" s="210">
        <v>4</v>
      </c>
      <c r="T3553" s="8">
        <v>1.0001111111111112</v>
      </c>
      <c r="U3553" s="98">
        <v>3.9259076549238214</v>
      </c>
      <c r="V3553" s="106">
        <v>34608.651932791268</v>
      </c>
      <c r="W3553" s="10">
        <v>0.99152669462332366</v>
      </c>
      <c r="X3553" s="420"/>
      <c r="Y3553" s="420"/>
      <c r="Z3553" s="1"/>
      <c r="AA3553" s="1"/>
      <c r="AB3553" s="1"/>
      <c r="AC3553" s="1"/>
      <c r="AD3553" s="1"/>
    </row>
    <row r="3554" spans="17:30">
      <c r="Q3554" s="6">
        <v>3524</v>
      </c>
      <c r="R3554" s="7">
        <v>46191</v>
      </c>
      <c r="S3554" s="210">
        <v>4</v>
      </c>
      <c r="T3554" s="8">
        <v>1.0001111111111112</v>
      </c>
      <c r="U3554" s="98">
        <v>3.9259679717738027</v>
      </c>
      <c r="V3554" s="106">
        <v>34611.436600680077</v>
      </c>
      <c r="W3554" s="10">
        <v>0.99156451093787012</v>
      </c>
      <c r="X3554" s="420"/>
      <c r="Y3554" s="420"/>
      <c r="Z3554" s="1"/>
      <c r="AA3554" s="1"/>
      <c r="AB3554" s="1"/>
      <c r="AC3554" s="1"/>
      <c r="AD3554" s="1"/>
    </row>
    <row r="3555" spans="17:30">
      <c r="Q3555" s="6">
        <v>3525</v>
      </c>
      <c r="R3555" s="7">
        <v>46192</v>
      </c>
      <c r="S3555" s="210">
        <v>4</v>
      </c>
      <c r="T3555" s="8">
        <v>1.0001111111111112</v>
      </c>
      <c r="U3555" s="98">
        <v>3.9260282544364422</v>
      </c>
      <c r="V3555" s="106">
        <v>34614.221492627752</v>
      </c>
      <c r="W3555" s="10">
        <v>0.99160230581050168</v>
      </c>
      <c r="X3555" s="420"/>
      <c r="Y3555" s="420"/>
      <c r="Z3555" s="1"/>
      <c r="AA3555" s="1"/>
      <c r="AB3555" s="1"/>
      <c r="AC3555" s="1"/>
      <c r="AD3555" s="1"/>
    </row>
    <row r="3556" spans="17:30">
      <c r="Q3556" s="6">
        <v>3526</v>
      </c>
      <c r="R3556" s="7">
        <v>46193</v>
      </c>
      <c r="S3556" s="210">
        <v>4</v>
      </c>
      <c r="T3556" s="8">
        <v>1.0001111111111112</v>
      </c>
      <c r="U3556" s="98">
        <v>3.9260885029407833</v>
      </c>
      <c r="V3556" s="106">
        <v>34617.006608652322</v>
      </c>
      <c r="W3556" s="10">
        <v>0.99164007925942599</v>
      </c>
      <c r="X3556" s="420"/>
      <c r="Y3556" s="420"/>
      <c r="Z3556" s="1"/>
      <c r="AA3556" s="1"/>
      <c r="AB3556" s="1"/>
      <c r="AC3556" s="1"/>
      <c r="AD3556" s="1"/>
    </row>
    <row r="3557" spans="17:30">
      <c r="Q3557" s="6">
        <v>3527</v>
      </c>
      <c r="R3557" s="7">
        <v>46194</v>
      </c>
      <c r="S3557" s="210">
        <v>4</v>
      </c>
      <c r="T3557" s="8">
        <v>1.0001111111111112</v>
      </c>
      <c r="U3557" s="98">
        <v>3.9261487173158693</v>
      </c>
      <c r="V3557" s="106">
        <v>34619.791948771803</v>
      </c>
      <c r="W3557" s="10">
        <v>0.99167783130289511</v>
      </c>
      <c r="X3557" s="420"/>
      <c r="Y3557" s="420"/>
    </row>
    <row r="3558" spans="17:30">
      <c r="Q3558" s="6">
        <v>3528</v>
      </c>
      <c r="R3558" s="7">
        <v>46195</v>
      </c>
      <c r="S3558" s="210">
        <v>4</v>
      </c>
      <c r="T3558" s="8">
        <v>1.0001111111111112</v>
      </c>
      <c r="U3558" s="98">
        <v>3.9262088975906773</v>
      </c>
      <c r="V3558" s="106">
        <v>34622.577513004238</v>
      </c>
      <c r="W3558" s="10">
        <v>0.99171556195909449</v>
      </c>
      <c r="X3558" s="420"/>
      <c r="Y3558" s="420"/>
    </row>
    <row r="3559" spans="17:30">
      <c r="Q3559" s="6">
        <v>3529</v>
      </c>
      <c r="R3559" s="7">
        <v>46196</v>
      </c>
      <c r="S3559" s="210">
        <v>4</v>
      </c>
      <c r="T3559" s="8">
        <v>1.0001111111111112</v>
      </c>
      <c r="U3559" s="98">
        <v>3.9262690437941616</v>
      </c>
      <c r="V3559" s="106">
        <v>34625.363301367666</v>
      </c>
      <c r="W3559" s="10">
        <v>0.99175327124614299</v>
      </c>
      <c r="X3559" s="420"/>
      <c r="Y3559" s="420"/>
    </row>
    <row r="3560" spans="17:30">
      <c r="Q3560" s="6">
        <v>3530</v>
      </c>
      <c r="R3560" s="7">
        <v>46197</v>
      </c>
      <c r="S3560" s="210">
        <v>4</v>
      </c>
      <c r="T3560" s="8">
        <v>1.0001111111111112</v>
      </c>
      <c r="U3560" s="98">
        <v>3.9263291559552549</v>
      </c>
      <c r="V3560" s="106">
        <v>34628.149313880116</v>
      </c>
      <c r="W3560" s="10">
        <v>0.99179095918222604</v>
      </c>
      <c r="X3560" s="420"/>
      <c r="Y3560" s="420"/>
    </row>
    <row r="3561" spans="17:30">
      <c r="Q3561" s="6">
        <v>3531</v>
      </c>
      <c r="R3561" s="7">
        <v>46198</v>
      </c>
      <c r="S3561" s="210">
        <v>4</v>
      </c>
      <c r="T3561" s="8">
        <v>1.0001111111111112</v>
      </c>
      <c r="U3561" s="98">
        <v>3.926389234102845</v>
      </c>
      <c r="V3561" s="106">
        <v>34630.935550559618</v>
      </c>
      <c r="W3561" s="10">
        <v>0.9918286257854847</v>
      </c>
      <c r="X3561" s="420"/>
      <c r="Y3561" s="420"/>
    </row>
    <row r="3562" spans="17:30">
      <c r="Q3562" s="6">
        <v>3532</v>
      </c>
      <c r="R3562" s="7">
        <v>46199</v>
      </c>
      <c r="S3562" s="210">
        <v>4</v>
      </c>
      <c r="T3562" s="8">
        <v>1.0001111111111112</v>
      </c>
      <c r="U3562" s="98">
        <v>3.92644927826582</v>
      </c>
      <c r="V3562" s="106">
        <v>34633.722011424201</v>
      </c>
      <c r="W3562" s="10">
        <v>0.99186627107401559</v>
      </c>
      <c r="X3562" s="420"/>
      <c r="Y3562" s="420"/>
    </row>
    <row r="3563" spans="17:30">
      <c r="Q3563" s="6">
        <v>3533</v>
      </c>
      <c r="R3563" s="7">
        <v>46200</v>
      </c>
      <c r="S3563" s="210">
        <v>4</v>
      </c>
      <c r="T3563" s="8">
        <v>1.0001111111111112</v>
      </c>
      <c r="U3563" s="98">
        <v>3.9265092884729791</v>
      </c>
      <c r="V3563" s="106">
        <v>34636.508696491932</v>
      </c>
      <c r="W3563" s="10">
        <v>0.99190389506591536</v>
      </c>
      <c r="X3563" s="420"/>
      <c r="Y3563" s="420"/>
    </row>
    <row r="3564" spans="17:30">
      <c r="Q3564" s="6">
        <v>3534</v>
      </c>
      <c r="R3564" s="7">
        <v>46201</v>
      </c>
      <c r="S3564" s="210">
        <v>4</v>
      </c>
      <c r="T3564" s="8">
        <v>1.0001111111111112</v>
      </c>
      <c r="U3564" s="98">
        <v>3.9265692647531214</v>
      </c>
      <c r="V3564" s="106">
        <v>34639.295605780819</v>
      </c>
      <c r="W3564" s="10">
        <v>0.99194149777921403</v>
      </c>
      <c r="X3564" s="420"/>
      <c r="Y3564" s="420"/>
    </row>
    <row r="3565" spans="17:30">
      <c r="Q3565" s="6">
        <v>3535</v>
      </c>
      <c r="R3565" s="7">
        <v>46202</v>
      </c>
      <c r="S3565" s="210">
        <v>4</v>
      </c>
      <c r="T3565" s="8">
        <v>1.0001111111111112</v>
      </c>
      <c r="U3565" s="98">
        <v>3.9266292071350239</v>
      </c>
      <c r="V3565" s="106">
        <v>34642.082739308928</v>
      </c>
      <c r="W3565" s="10">
        <v>0.99197907923198603</v>
      </c>
      <c r="X3565" s="420"/>
      <c r="Y3565" s="420"/>
    </row>
    <row r="3566" spans="17:30">
      <c r="Q3566" s="6">
        <v>3536</v>
      </c>
      <c r="R3566" s="7">
        <v>46203</v>
      </c>
      <c r="S3566" s="210">
        <v>4</v>
      </c>
      <c r="T3566" s="8">
        <v>1.0001111111111112</v>
      </c>
      <c r="U3566" s="98">
        <v>3.9266891156473971</v>
      </c>
      <c r="V3566" s="106">
        <v>34644.870097094281</v>
      </c>
      <c r="W3566" s="10">
        <v>0.99201663944226137</v>
      </c>
      <c r="X3566" s="420"/>
      <c r="Y3566" s="420"/>
    </row>
    <row r="3567" spans="17:30">
      <c r="Q3567" s="6">
        <v>3537</v>
      </c>
      <c r="R3567" s="7">
        <v>46204</v>
      </c>
      <c r="S3567" s="210">
        <v>4</v>
      </c>
      <c r="T3567" s="8">
        <v>1.0001111111111112</v>
      </c>
      <c r="U3567" s="98">
        <v>3.9267489903189512</v>
      </c>
      <c r="V3567" s="106">
        <v>34647.657679154931</v>
      </c>
      <c r="W3567" s="10">
        <v>0.99205417842802568</v>
      </c>
      <c r="X3567" s="420"/>
      <c r="Y3567" s="420"/>
    </row>
    <row r="3568" spans="17:30">
      <c r="Q3568" s="6">
        <v>3538</v>
      </c>
      <c r="R3568" s="7">
        <v>46205</v>
      </c>
      <c r="S3568" s="210">
        <v>4</v>
      </c>
      <c r="T3568" s="8">
        <v>1.0001111111111112</v>
      </c>
      <c r="U3568" s="98">
        <v>3.9268088311783522</v>
      </c>
      <c r="V3568" s="106">
        <v>34650.445485508935</v>
      </c>
      <c r="W3568" s="10">
        <v>0.99209169620728677</v>
      </c>
      <c r="X3568" s="420"/>
      <c r="Y3568" s="420"/>
    </row>
    <row r="3569" spans="17:25">
      <c r="Q3569" s="6">
        <v>3539</v>
      </c>
      <c r="R3569" s="7">
        <v>46206</v>
      </c>
      <c r="S3569" s="210">
        <v>4</v>
      </c>
      <c r="T3569" s="8">
        <v>1.0001111111111112</v>
      </c>
      <c r="U3569" s="98">
        <v>3.9268686382542439</v>
      </c>
      <c r="V3569" s="106">
        <v>34653.233516174325</v>
      </c>
      <c r="W3569" s="10">
        <v>0.99212919279798584</v>
      </c>
      <c r="X3569" s="420"/>
      <c r="Y3569" s="420"/>
    </row>
    <row r="3570" spans="17:25">
      <c r="Q3570" s="6">
        <v>3540</v>
      </c>
      <c r="R3570" s="7">
        <v>46207</v>
      </c>
      <c r="S3570" s="210">
        <v>4</v>
      </c>
      <c r="T3570" s="8">
        <v>1.0001111111111112</v>
      </c>
      <c r="U3570" s="98">
        <v>3.9269284115752034</v>
      </c>
      <c r="V3570" s="106">
        <v>34656.021771169151</v>
      </c>
      <c r="W3570" s="10">
        <v>0.9921666682180863</v>
      </c>
      <c r="X3570" s="420"/>
      <c r="Y3570" s="420"/>
    </row>
    <row r="3571" spans="17:25">
      <c r="Q3571" s="6">
        <v>3541</v>
      </c>
      <c r="R3571" s="7">
        <v>46208</v>
      </c>
      <c r="S3571" s="210">
        <v>4</v>
      </c>
      <c r="T3571" s="8">
        <v>1.0001111111111112</v>
      </c>
      <c r="U3571" s="98">
        <v>3.9269881511698079</v>
      </c>
      <c r="V3571" s="106">
        <v>34658.810250511458</v>
      </c>
      <c r="W3571" s="10">
        <v>0.99220412248550716</v>
      </c>
      <c r="X3571" s="420"/>
      <c r="Y3571" s="420"/>
    </row>
    <row r="3572" spans="17:25">
      <c r="Q3572" s="6">
        <v>3542</v>
      </c>
      <c r="R3572" s="7">
        <v>46209</v>
      </c>
      <c r="S3572" s="210">
        <v>4</v>
      </c>
      <c r="T3572" s="8">
        <v>1.0001111111111112</v>
      </c>
      <c r="U3572" s="98">
        <v>3.9270478570666123</v>
      </c>
      <c r="V3572" s="106">
        <v>34661.59895421932</v>
      </c>
      <c r="W3572" s="10">
        <v>0.9922415556181674</v>
      </c>
      <c r="X3572" s="420"/>
      <c r="Y3572" s="420"/>
    </row>
    <row r="3573" spans="17:25">
      <c r="Q3573" s="6">
        <v>3543</v>
      </c>
      <c r="R3573" s="7">
        <v>46210</v>
      </c>
      <c r="S3573" s="210">
        <v>4</v>
      </c>
      <c r="T3573" s="8">
        <v>1.0001111111111112</v>
      </c>
      <c r="U3573" s="98">
        <v>3.9271075292941049</v>
      </c>
      <c r="V3573" s="106">
        <v>34664.387882310766</v>
      </c>
      <c r="W3573" s="10">
        <v>0.99227896763394163</v>
      </c>
      <c r="X3573" s="420"/>
      <c r="Y3573" s="420"/>
    </row>
    <row r="3574" spans="17:25">
      <c r="Q3574" s="6">
        <v>3544</v>
      </c>
      <c r="R3574" s="7">
        <v>46211</v>
      </c>
      <c r="S3574" s="210">
        <v>4</v>
      </c>
      <c r="T3574" s="8">
        <v>1.0001111111111112</v>
      </c>
      <c r="U3574" s="98">
        <v>3.9271671678807518</v>
      </c>
      <c r="V3574" s="106">
        <v>34667.177034803863</v>
      </c>
      <c r="W3574" s="10">
        <v>0.99231635855066003</v>
      </c>
      <c r="X3574" s="420"/>
      <c r="Y3574" s="420"/>
    </row>
    <row r="3575" spans="17:25">
      <c r="Q3575" s="6">
        <v>3545</v>
      </c>
      <c r="R3575" s="7">
        <v>46212</v>
      </c>
      <c r="S3575" s="210">
        <v>4</v>
      </c>
      <c r="T3575" s="8">
        <v>1.0001111111111112</v>
      </c>
      <c r="U3575" s="98">
        <v>3.927226772854997</v>
      </c>
      <c r="V3575" s="106">
        <v>34669.966411716661</v>
      </c>
      <c r="W3575" s="10">
        <v>0.99235372838619718</v>
      </c>
      <c r="X3575" s="420"/>
      <c r="Y3575" s="420"/>
    </row>
    <row r="3576" spans="17:25">
      <c r="Q3576" s="6">
        <v>3546</v>
      </c>
      <c r="R3576" s="7">
        <v>46213</v>
      </c>
      <c r="S3576" s="210">
        <v>4</v>
      </c>
      <c r="T3576" s="8">
        <v>1.0001111111111112</v>
      </c>
      <c r="U3576" s="98">
        <v>3.9272863442452621</v>
      </c>
      <c r="V3576" s="106">
        <v>34672.756013067221</v>
      </c>
      <c r="W3576" s="10">
        <v>0.99239107715838326</v>
      </c>
      <c r="X3576" s="420"/>
      <c r="Y3576" s="420"/>
    </row>
    <row r="3577" spans="17:25">
      <c r="Q3577" s="6">
        <v>3547</v>
      </c>
      <c r="R3577" s="7">
        <v>46214</v>
      </c>
      <c r="S3577" s="210">
        <v>4</v>
      </c>
      <c r="T3577" s="8">
        <v>1.0001111111111112</v>
      </c>
      <c r="U3577" s="98">
        <v>3.9273458820799023</v>
      </c>
      <c r="V3577" s="106">
        <v>34675.545838873601</v>
      </c>
      <c r="W3577" s="10">
        <v>0.99242840488500406</v>
      </c>
      <c r="X3577" s="420"/>
      <c r="Y3577" s="420"/>
    </row>
    <row r="3578" spans="17:25">
      <c r="Q3578" s="6">
        <v>3548</v>
      </c>
      <c r="R3578" s="7">
        <v>46215</v>
      </c>
      <c r="S3578" s="210">
        <v>4</v>
      </c>
      <c r="T3578" s="8">
        <v>1.0001111111111112</v>
      </c>
      <c r="U3578" s="98">
        <v>3.9274053863872727</v>
      </c>
      <c r="V3578" s="106">
        <v>34678.335889153852</v>
      </c>
      <c r="W3578" s="10">
        <v>0.99246571158384533</v>
      </c>
      <c r="X3578" s="420"/>
      <c r="Y3578" s="420"/>
    </row>
    <row r="3579" spans="17:25">
      <c r="Q3579" s="6">
        <v>3549</v>
      </c>
      <c r="R3579" s="7">
        <v>46216</v>
      </c>
      <c r="S3579" s="210">
        <v>4</v>
      </c>
      <c r="T3579" s="8">
        <v>1.0001111111111112</v>
      </c>
      <c r="U3579" s="98">
        <v>3.9274648571956838</v>
      </c>
      <c r="V3579" s="106">
        <v>34681.126163926048</v>
      </c>
      <c r="W3579" s="10">
        <v>0.99250299727269287</v>
      </c>
      <c r="X3579" s="420"/>
      <c r="Y3579" s="420"/>
    </row>
    <row r="3580" spans="17:25">
      <c r="Q3580" s="6">
        <v>3550</v>
      </c>
      <c r="R3580" s="7">
        <v>46217</v>
      </c>
      <c r="S3580" s="210">
        <v>4</v>
      </c>
      <c r="T3580" s="8">
        <v>1.0001111111111112</v>
      </c>
      <c r="U3580" s="98">
        <v>3.9275242945334243</v>
      </c>
      <c r="V3580" s="106">
        <v>34683.916663208249</v>
      </c>
      <c r="W3580" s="10">
        <v>0.99254026196926581</v>
      </c>
      <c r="X3580" s="420"/>
      <c r="Y3580" s="420"/>
    </row>
    <row r="3581" spans="17:25">
      <c r="Q3581" s="6">
        <v>3551</v>
      </c>
      <c r="R3581" s="7">
        <v>46218</v>
      </c>
      <c r="S3581" s="210">
        <v>4</v>
      </c>
      <c r="T3581" s="8">
        <v>1.0001111111111112</v>
      </c>
      <c r="U3581" s="98">
        <v>3.9275836984287382</v>
      </c>
      <c r="V3581" s="106">
        <v>34686.70738701852</v>
      </c>
      <c r="W3581" s="10">
        <v>0.99257750569130554</v>
      </c>
      <c r="X3581" s="420"/>
      <c r="Y3581" s="420"/>
    </row>
    <row r="3582" spans="17:25">
      <c r="Q3582" s="6">
        <v>3552</v>
      </c>
      <c r="R3582" s="7">
        <v>46219</v>
      </c>
      <c r="S3582" s="210">
        <v>4</v>
      </c>
      <c r="T3582" s="8">
        <v>1.0001111111111112</v>
      </c>
      <c r="U3582" s="98">
        <v>3.9276430689098252</v>
      </c>
      <c r="V3582" s="106">
        <v>34689.498335374919</v>
      </c>
      <c r="W3582" s="10">
        <v>0.99261472845648679</v>
      </c>
      <c r="X3582" s="420"/>
      <c r="Y3582" s="420"/>
    </row>
    <row r="3583" spans="17:25">
      <c r="Q3583" s="6">
        <v>3553</v>
      </c>
      <c r="R3583" s="7">
        <v>46220</v>
      </c>
      <c r="S3583" s="210">
        <v>4</v>
      </c>
      <c r="T3583" s="8">
        <v>1.0001111111111112</v>
      </c>
      <c r="U3583" s="98">
        <v>3.9277024060048848</v>
      </c>
      <c r="V3583" s="106">
        <v>34692.289508295522</v>
      </c>
      <c r="W3583" s="10">
        <v>0.99265193028250653</v>
      </c>
      <c r="X3583" s="420"/>
      <c r="Y3583" s="420"/>
    </row>
    <row r="3584" spans="17:25">
      <c r="Q3584" s="6">
        <v>3554</v>
      </c>
      <c r="R3584" s="7">
        <v>46221</v>
      </c>
      <c r="S3584" s="210">
        <v>4</v>
      </c>
      <c r="T3584" s="8">
        <v>1.0001111111111112</v>
      </c>
      <c r="U3584" s="98">
        <v>3.9277617097420725</v>
      </c>
      <c r="V3584" s="106">
        <v>34695.080905798393</v>
      </c>
      <c r="W3584" s="10">
        <v>0.99268911118703951</v>
      </c>
      <c r="X3584" s="420"/>
      <c r="Y3584" s="420"/>
    </row>
    <row r="3585" spans="17:25">
      <c r="Q3585" s="6">
        <v>3555</v>
      </c>
      <c r="R3585" s="7">
        <v>46222</v>
      </c>
      <c r="S3585" s="210">
        <v>4</v>
      </c>
      <c r="T3585" s="8">
        <v>1.0001111111111112</v>
      </c>
      <c r="U3585" s="98">
        <v>3.927820980149499</v>
      </c>
      <c r="V3585" s="106">
        <v>34697.872527901607</v>
      </c>
      <c r="W3585" s="10">
        <v>0.99272627118771606</v>
      </c>
      <c r="X3585" s="420"/>
      <c r="Y3585" s="420"/>
    </row>
    <row r="3586" spans="17:25">
      <c r="Q3586" s="6">
        <v>3556</v>
      </c>
      <c r="R3586" s="7">
        <v>46223</v>
      </c>
      <c r="S3586" s="210">
        <v>4</v>
      </c>
      <c r="T3586" s="8">
        <v>1.0001111111111112</v>
      </c>
      <c r="U3586" s="98">
        <v>3.9278802172552751</v>
      </c>
      <c r="V3586" s="106">
        <v>34700.664374623237</v>
      </c>
      <c r="W3586" s="10">
        <v>0.99276341030216653</v>
      </c>
      <c r="X3586" s="420"/>
      <c r="Y3586" s="420"/>
    </row>
    <row r="3587" spans="17:25">
      <c r="Q3587" s="6">
        <v>3557</v>
      </c>
      <c r="R3587" s="7">
        <v>46224</v>
      </c>
      <c r="S3587" s="210">
        <v>4</v>
      </c>
      <c r="T3587" s="8">
        <v>1.0001111111111112</v>
      </c>
      <c r="U3587" s="98">
        <v>3.9279394210874452</v>
      </c>
      <c r="V3587" s="106">
        <v>34703.456445981334</v>
      </c>
      <c r="W3587" s="10">
        <v>0.99280052854799905</v>
      </c>
      <c r="X3587" s="420"/>
      <c r="Y3587" s="420"/>
    </row>
    <row r="3588" spans="17:25">
      <c r="Q3588" s="6">
        <v>3558</v>
      </c>
      <c r="R3588" s="7">
        <v>46225</v>
      </c>
      <c r="S3588" s="210">
        <v>4</v>
      </c>
      <c r="T3588" s="8">
        <v>1.0001111111111112</v>
      </c>
      <c r="U3588" s="98">
        <v>3.9279985916740312</v>
      </c>
      <c r="V3588" s="106">
        <v>34706.248741994008</v>
      </c>
      <c r="W3588" s="10">
        <v>0.99283762594279956</v>
      </c>
      <c r="X3588" s="420"/>
      <c r="Y3588" s="420"/>
    </row>
    <row r="3589" spans="17:25">
      <c r="Q3589" s="6">
        <v>3559</v>
      </c>
      <c r="R3589" s="7">
        <v>46226</v>
      </c>
      <c r="S3589" s="210">
        <v>4</v>
      </c>
      <c r="T3589" s="8">
        <v>1.0001111111111112</v>
      </c>
      <c r="U3589" s="98">
        <v>3.928057729043033</v>
      </c>
      <c r="V3589" s="106">
        <v>34709.041262679311</v>
      </c>
      <c r="W3589" s="10">
        <v>0.99287470250410959</v>
      </c>
      <c r="X3589" s="420"/>
      <c r="Y3589" s="420"/>
    </row>
    <row r="3590" spans="17:25">
      <c r="Q3590" s="6">
        <v>3560</v>
      </c>
      <c r="R3590" s="7">
        <v>46227</v>
      </c>
      <c r="S3590" s="210">
        <v>4</v>
      </c>
      <c r="T3590" s="8">
        <v>1.0001111111111112</v>
      </c>
      <c r="U3590" s="98">
        <v>3.9281168332224281</v>
      </c>
      <c r="V3590" s="106">
        <v>34711.834008055324</v>
      </c>
      <c r="W3590" s="10">
        <v>0.99291175824951505</v>
      </c>
      <c r="X3590" s="420"/>
      <c r="Y3590" s="420"/>
    </row>
    <row r="3591" spans="17:25">
      <c r="Q3591" s="6">
        <v>3561</v>
      </c>
      <c r="R3591" s="7">
        <v>46228</v>
      </c>
      <c r="S3591" s="210">
        <v>4</v>
      </c>
      <c r="T3591" s="8">
        <v>1.0001111111111112</v>
      </c>
      <c r="U3591" s="98">
        <v>3.9281759042401276</v>
      </c>
      <c r="V3591" s="106">
        <v>34714.626978140135</v>
      </c>
      <c r="W3591" s="10">
        <v>0.99294879319651308</v>
      </c>
      <c r="X3591" s="420"/>
      <c r="Y3591" s="420"/>
    </row>
    <row r="3592" spans="17:25">
      <c r="Q3592" s="6">
        <v>3562</v>
      </c>
      <c r="R3592" s="7">
        <v>46229</v>
      </c>
      <c r="S3592" s="210">
        <v>4</v>
      </c>
      <c r="T3592" s="8">
        <v>1.0001111111111112</v>
      </c>
      <c r="U3592" s="98">
        <v>3.9282349421240426</v>
      </c>
      <c r="V3592" s="106">
        <v>34717.420172951817</v>
      </c>
      <c r="W3592" s="10">
        <v>0.99298580736260078</v>
      </c>
      <c r="X3592" s="420"/>
      <c r="Y3592" s="420"/>
    </row>
    <row r="3593" spans="17:25">
      <c r="Q3593" s="6">
        <v>3563</v>
      </c>
      <c r="R3593" s="7">
        <v>46230</v>
      </c>
      <c r="S3593" s="210">
        <v>4</v>
      </c>
      <c r="T3593" s="8">
        <v>1.0001111111111112</v>
      </c>
      <c r="U3593" s="98">
        <v>3.9282939469020395</v>
      </c>
      <c r="V3593" s="106">
        <v>34720.213592508451</v>
      </c>
      <c r="W3593" s="10">
        <v>0.99302280076527527</v>
      </c>
      <c r="X3593" s="420"/>
      <c r="Y3593" s="420"/>
    </row>
    <row r="3594" spans="17:25">
      <c r="Q3594" s="6">
        <v>3564</v>
      </c>
      <c r="R3594" s="7">
        <v>46231</v>
      </c>
      <c r="S3594" s="210">
        <v>4</v>
      </c>
      <c r="T3594" s="8">
        <v>1.0001111111111112</v>
      </c>
      <c r="U3594" s="98">
        <v>3.9283529186019628</v>
      </c>
      <c r="V3594" s="106">
        <v>34723.007236828125</v>
      </c>
      <c r="W3594" s="10">
        <v>0.99305977342201146</v>
      </c>
      <c r="X3594" s="420"/>
      <c r="Y3594" s="420"/>
    </row>
    <row r="3595" spans="17:25">
      <c r="Q3595" s="6">
        <v>3565</v>
      </c>
      <c r="R3595" s="7">
        <v>46232</v>
      </c>
      <c r="S3595" s="210">
        <v>4</v>
      </c>
      <c r="T3595" s="8">
        <v>1.0001111111111112</v>
      </c>
      <c r="U3595" s="98">
        <v>3.9284118572516125</v>
      </c>
      <c r="V3595" s="106">
        <v>34725.80110592892</v>
      </c>
      <c r="W3595" s="10">
        <v>0.99309672535023985</v>
      </c>
      <c r="X3595" s="420"/>
      <c r="Y3595" s="420"/>
    </row>
    <row r="3596" spans="17:25">
      <c r="Q3596" s="6">
        <v>3566</v>
      </c>
      <c r="R3596" s="7">
        <v>46233</v>
      </c>
      <c r="S3596" s="210">
        <v>4</v>
      </c>
      <c r="T3596" s="8">
        <v>1.0001111111111112</v>
      </c>
      <c r="U3596" s="98">
        <v>3.9284707628787663</v>
      </c>
      <c r="V3596" s="106">
        <v>34728.595199828924</v>
      </c>
      <c r="W3596" s="10">
        <v>0.99313365656739094</v>
      </c>
      <c r="X3596" s="420"/>
      <c r="Y3596" s="420"/>
    </row>
    <row r="3597" spans="17:25">
      <c r="Q3597" s="6">
        <v>3567</v>
      </c>
      <c r="R3597" s="7">
        <v>46234</v>
      </c>
      <c r="S3597" s="210">
        <v>4</v>
      </c>
      <c r="T3597" s="8">
        <v>1.0001111111111112</v>
      </c>
      <c r="U3597" s="98">
        <v>3.9285296355111798</v>
      </c>
      <c r="V3597" s="106">
        <v>34731.389518546224</v>
      </c>
      <c r="W3597" s="10">
        <v>0.99317056709087304</v>
      </c>
      <c r="X3597" s="420"/>
      <c r="Y3597" s="420"/>
    </row>
    <row r="3598" spans="17:25">
      <c r="Q3598" s="6">
        <v>3568</v>
      </c>
      <c r="R3598" s="7">
        <v>46235</v>
      </c>
      <c r="S3598" s="210">
        <v>4</v>
      </c>
      <c r="T3598" s="8">
        <v>1.0001111111111112</v>
      </c>
      <c r="U3598" s="98">
        <v>3.9285884751765643</v>
      </c>
      <c r="V3598" s="106">
        <v>34734.18406209891</v>
      </c>
      <c r="W3598" s="10">
        <v>0.99320745693809442</v>
      </c>
      <c r="X3598" s="420"/>
      <c r="Y3598" s="420"/>
    </row>
    <row r="3599" spans="17:25">
      <c r="Q3599" s="6">
        <v>3569</v>
      </c>
      <c r="R3599" s="7">
        <v>46236</v>
      </c>
      <c r="S3599" s="210">
        <v>4</v>
      </c>
      <c r="T3599" s="8">
        <v>1.0001111111111112</v>
      </c>
      <c r="U3599" s="98">
        <v>3.9286472819026086</v>
      </c>
      <c r="V3599" s="106">
        <v>34736.978830505082</v>
      </c>
      <c r="W3599" s="10">
        <v>0.993244326126419</v>
      </c>
      <c r="X3599" s="420"/>
      <c r="Y3599" s="420"/>
    </row>
    <row r="3600" spans="17:25">
      <c r="Q3600" s="6">
        <v>3570</v>
      </c>
      <c r="R3600" s="7">
        <v>46237</v>
      </c>
      <c r="S3600" s="210">
        <v>4</v>
      </c>
      <c r="T3600" s="8">
        <v>1.0001111111111112</v>
      </c>
      <c r="U3600" s="98">
        <v>3.9287060557169351</v>
      </c>
      <c r="V3600" s="106">
        <v>34739.773823782809</v>
      </c>
      <c r="W3600" s="10">
        <v>0.99328117467316623</v>
      </c>
      <c r="X3600" s="420"/>
      <c r="Y3600" s="420"/>
    </row>
    <row r="3601" spans="17:25">
      <c r="Q3601" s="6">
        <v>3571</v>
      </c>
      <c r="R3601" s="7">
        <v>46238</v>
      </c>
      <c r="S3601" s="210">
        <v>4</v>
      </c>
      <c r="T3601" s="8">
        <v>1.0001111111111112</v>
      </c>
      <c r="U3601" s="98">
        <v>3.9287647966471884</v>
      </c>
      <c r="V3601" s="106">
        <v>34742.569041950199</v>
      </c>
      <c r="W3601" s="10">
        <v>0.99331800259567782</v>
      </c>
      <c r="X3601" s="420"/>
      <c r="Y3601" s="420"/>
    </row>
    <row r="3602" spans="17:25">
      <c r="Q3602" s="6">
        <v>3572</v>
      </c>
      <c r="R3602" s="7">
        <v>46239</v>
      </c>
      <c r="S3602" s="210">
        <v>4</v>
      </c>
      <c r="T3602" s="8">
        <v>1.0001111111111112</v>
      </c>
      <c r="U3602" s="98">
        <v>3.9288235047209685</v>
      </c>
      <c r="V3602" s="106">
        <v>34745.364485025348</v>
      </c>
      <c r="W3602" s="10">
        <v>0.99335480991129543</v>
      </c>
      <c r="X3602" s="420"/>
      <c r="Y3602" s="420"/>
    </row>
    <row r="3603" spans="17:25">
      <c r="Q3603" s="6">
        <v>3573</v>
      </c>
      <c r="R3603" s="7">
        <v>46240</v>
      </c>
      <c r="S3603" s="210">
        <v>4</v>
      </c>
      <c r="T3603" s="8">
        <v>1.0001111111111112</v>
      </c>
      <c r="U3603" s="98">
        <v>3.9288821799658091</v>
      </c>
      <c r="V3603" s="106">
        <v>34748.160153026358</v>
      </c>
      <c r="W3603" s="10">
        <v>0.99339159663724974</v>
      </c>
      <c r="X3603" s="420"/>
      <c r="Y3603" s="420"/>
    </row>
    <row r="3604" spans="17:25">
      <c r="Q3604" s="6">
        <v>3574</v>
      </c>
      <c r="R3604" s="7">
        <v>46241</v>
      </c>
      <c r="S3604" s="210">
        <v>4</v>
      </c>
      <c r="T3604" s="8">
        <v>1.0001111111111112</v>
      </c>
      <c r="U3604" s="98">
        <v>3.9289408224092659</v>
      </c>
      <c r="V3604" s="106">
        <v>34750.95604597131</v>
      </c>
      <c r="W3604" s="10">
        <v>0.99342836279088242</v>
      </c>
      <c r="X3604" s="420"/>
      <c r="Y3604" s="420"/>
    </row>
    <row r="3605" spans="17:25">
      <c r="Q3605" s="6">
        <v>3575</v>
      </c>
      <c r="R3605" s="7">
        <v>46242</v>
      </c>
      <c r="S3605" s="210">
        <v>4</v>
      </c>
      <c r="T3605" s="8">
        <v>1.0001111111111112</v>
      </c>
      <c r="U3605" s="98">
        <v>3.9289994320788058</v>
      </c>
      <c r="V3605" s="106">
        <v>34753.752163878307</v>
      </c>
      <c r="W3605" s="10">
        <v>0.99346510838937974</v>
      </c>
      <c r="X3605" s="420"/>
      <c r="Y3605" s="420"/>
    </row>
    <row r="3606" spans="17:25">
      <c r="Q3606" s="6">
        <v>3576</v>
      </c>
      <c r="R3606" s="7">
        <v>46243</v>
      </c>
      <c r="S3606" s="210">
        <v>4</v>
      </c>
      <c r="T3606" s="8">
        <v>1.0001111111111112</v>
      </c>
      <c r="U3606" s="98">
        <v>3.9290580090019178</v>
      </c>
      <c r="V3606" s="106">
        <v>34756.548506765466</v>
      </c>
      <c r="W3606" s="10">
        <v>0.99350183345001675</v>
      </c>
      <c r="X3606" s="420"/>
      <c r="Y3606" s="420"/>
    </row>
    <row r="3607" spans="17:25">
      <c r="Q3607" s="6">
        <v>3577</v>
      </c>
      <c r="R3607" s="7">
        <v>46244</v>
      </c>
      <c r="S3607" s="210">
        <v>4</v>
      </c>
      <c r="T3607" s="8">
        <v>1.0001111111111112</v>
      </c>
      <c r="U3607" s="98">
        <v>3.9291165532060468</v>
      </c>
      <c r="V3607" s="106">
        <v>34759.345074650882</v>
      </c>
      <c r="W3607" s="10">
        <v>0.99353853799000191</v>
      </c>
      <c r="X3607" s="420"/>
      <c r="Y3607" s="420"/>
    </row>
    <row r="3608" spans="17:25">
      <c r="Q3608" s="6">
        <v>3578</v>
      </c>
      <c r="R3608" s="7">
        <v>46245</v>
      </c>
      <c r="S3608" s="210">
        <v>4</v>
      </c>
      <c r="T3608" s="8">
        <v>1.0001111111111112</v>
      </c>
      <c r="U3608" s="98">
        <v>3.9291750647185708</v>
      </c>
      <c r="V3608" s="106">
        <v>34762.141867552644</v>
      </c>
      <c r="W3608" s="10">
        <v>0.99357522202652149</v>
      </c>
      <c r="X3608" s="420"/>
      <c r="Y3608" s="420"/>
    </row>
    <row r="3609" spans="17:25">
      <c r="Q3609" s="6">
        <v>3579</v>
      </c>
      <c r="R3609" s="7">
        <v>46246</v>
      </c>
      <c r="S3609" s="210">
        <v>4</v>
      </c>
      <c r="T3609" s="8">
        <v>1.0001111111111112</v>
      </c>
      <c r="U3609" s="98">
        <v>3.9292335435668901</v>
      </c>
      <c r="V3609" s="106">
        <v>34764.938885488875</v>
      </c>
      <c r="W3609" s="10">
        <v>0.99361188557676172</v>
      </c>
      <c r="X3609" s="420"/>
      <c r="Y3609" s="420"/>
    </row>
    <row r="3610" spans="17:25">
      <c r="Q3610" s="6">
        <v>3580</v>
      </c>
      <c r="R3610" s="7">
        <v>46247</v>
      </c>
      <c r="S3610" s="210">
        <v>4</v>
      </c>
      <c r="T3610" s="8">
        <v>1.0001111111111112</v>
      </c>
      <c r="U3610" s="98">
        <v>3.9292919897783385</v>
      </c>
      <c r="V3610" s="106">
        <v>34767.736128477671</v>
      </c>
      <c r="W3610" s="10">
        <v>0.99364852865788666</v>
      </c>
      <c r="X3610" s="420"/>
      <c r="Y3610" s="420"/>
    </row>
    <row r="3611" spans="17:25">
      <c r="Q3611" s="6">
        <v>3581</v>
      </c>
      <c r="R3611" s="7">
        <v>46248</v>
      </c>
      <c r="S3611" s="210">
        <v>4</v>
      </c>
      <c r="T3611" s="8">
        <v>1.0001111111111112</v>
      </c>
      <c r="U3611" s="98">
        <v>3.9293504033802273</v>
      </c>
      <c r="V3611" s="106">
        <v>34770.533596537149</v>
      </c>
      <c r="W3611" s="10">
        <v>0.99368515128697155</v>
      </c>
      <c r="X3611" s="420"/>
      <c r="Y3611" s="420"/>
    </row>
    <row r="3612" spans="17:25">
      <c r="Q3612" s="6">
        <v>3582</v>
      </c>
      <c r="R3612" s="7">
        <v>46249</v>
      </c>
      <c r="S3612" s="210">
        <v>4</v>
      </c>
      <c r="T3612" s="8">
        <v>1.0001111111111112</v>
      </c>
      <c r="U3612" s="98">
        <v>3.929408784399846</v>
      </c>
      <c r="V3612" s="106">
        <v>34773.331289685411</v>
      </c>
      <c r="W3612" s="10">
        <v>0.99372175348122482</v>
      </c>
      <c r="X3612" s="420"/>
      <c r="Y3612" s="420"/>
    </row>
    <row r="3613" spans="17:25">
      <c r="Q3613" s="6">
        <v>3583</v>
      </c>
      <c r="R3613" s="7">
        <v>46250</v>
      </c>
      <c r="S3613" s="210">
        <v>4</v>
      </c>
      <c r="T3613" s="8">
        <v>1.0001111111111112</v>
      </c>
      <c r="U3613" s="98">
        <v>3.9294671328644393</v>
      </c>
      <c r="V3613" s="106">
        <v>34776.129207940568</v>
      </c>
      <c r="W3613" s="10">
        <v>0.99375833525767732</v>
      </c>
      <c r="X3613" s="420"/>
      <c r="Y3613" s="420"/>
    </row>
    <row r="3614" spans="17:25">
      <c r="Q3614" s="6">
        <v>3584</v>
      </c>
      <c r="R3614" s="7">
        <v>46251</v>
      </c>
      <c r="S3614" s="210">
        <v>4</v>
      </c>
      <c r="T3614" s="8">
        <v>1.0001111111111112</v>
      </c>
      <c r="U3614" s="98">
        <v>3.9295254488012299</v>
      </c>
      <c r="V3614" s="106">
        <v>34778.927351320744</v>
      </c>
      <c r="W3614" s="10">
        <v>0.99379489663340426</v>
      </c>
      <c r="X3614" s="420"/>
      <c r="Y3614" s="420"/>
    </row>
    <row r="3615" spans="17:25">
      <c r="Q3615" s="6">
        <v>3585</v>
      </c>
      <c r="R3615" s="7">
        <v>46252</v>
      </c>
      <c r="S3615" s="210">
        <v>4</v>
      </c>
      <c r="T3615" s="8">
        <v>1.0001111111111112</v>
      </c>
      <c r="U3615" s="98">
        <v>3.9295837322374183</v>
      </c>
      <c r="V3615" s="106">
        <v>34781.725719844035</v>
      </c>
      <c r="W3615" s="10">
        <v>0.99383143762552528</v>
      </c>
      <c r="X3615" s="420"/>
      <c r="Y3615" s="420"/>
    </row>
    <row r="3616" spans="17:25">
      <c r="Q3616" s="6">
        <v>3586</v>
      </c>
      <c r="R3616" s="7">
        <v>46253</v>
      </c>
      <c r="S3616" s="210">
        <v>4</v>
      </c>
      <c r="T3616" s="8">
        <v>1.0001111111111112</v>
      </c>
      <c r="U3616" s="98">
        <v>3.9296419832001828</v>
      </c>
      <c r="V3616" s="106">
        <v>34784.524313528571</v>
      </c>
      <c r="W3616" s="10">
        <v>0.99386795825104901</v>
      </c>
      <c r="X3616" s="420"/>
      <c r="Y3616" s="420"/>
    </row>
    <row r="3617" spans="17:25">
      <c r="Q3617" s="6">
        <v>3587</v>
      </c>
      <c r="R3617" s="7">
        <v>46254</v>
      </c>
      <c r="S3617" s="210">
        <v>4</v>
      </c>
      <c r="T3617" s="8">
        <v>1.0001111111111112</v>
      </c>
      <c r="U3617" s="98">
        <v>3.9297002017166349</v>
      </c>
      <c r="V3617" s="106">
        <v>34787.323132392463</v>
      </c>
      <c r="W3617" s="10">
        <v>0.99390445852700626</v>
      </c>
      <c r="X3617" s="420"/>
      <c r="Y3617" s="420"/>
    </row>
    <row r="3618" spans="17:25">
      <c r="Q3618" s="6">
        <v>3588</v>
      </c>
      <c r="R3618" s="7">
        <v>46255</v>
      </c>
      <c r="S3618" s="210">
        <v>4</v>
      </c>
      <c r="T3618" s="8">
        <v>1.0001111111111112</v>
      </c>
      <c r="U3618" s="98">
        <v>3.9297583878138642</v>
      </c>
      <c r="V3618" s="106">
        <v>34790.122176453828</v>
      </c>
      <c r="W3618" s="10">
        <v>0.99394093847038345</v>
      </c>
      <c r="X3618" s="420"/>
      <c r="Y3618" s="420"/>
    </row>
    <row r="3619" spans="17:25">
      <c r="Q3619" s="6">
        <v>3589</v>
      </c>
      <c r="R3619" s="7">
        <v>46256</v>
      </c>
      <c r="S3619" s="210">
        <v>4</v>
      </c>
      <c r="T3619" s="8">
        <v>1.0001111111111112</v>
      </c>
      <c r="U3619" s="98">
        <v>3.9298165415189601</v>
      </c>
      <c r="V3619" s="106">
        <v>34792.921445730783</v>
      </c>
      <c r="W3619" s="10">
        <v>0.99397739809816699</v>
      </c>
      <c r="X3619" s="420"/>
      <c r="Y3619" s="420"/>
    </row>
    <row r="3620" spans="17:25">
      <c r="Q3620" s="6">
        <v>3590</v>
      </c>
      <c r="R3620" s="7">
        <v>46257</v>
      </c>
      <c r="S3620" s="210">
        <v>4</v>
      </c>
      <c r="T3620" s="8">
        <v>1.0001111111111112</v>
      </c>
      <c r="U3620" s="98">
        <v>3.9298746628589676</v>
      </c>
      <c r="V3620" s="106">
        <v>34795.720940241459</v>
      </c>
      <c r="W3620" s="10">
        <v>0.99401383742734328</v>
      </c>
      <c r="X3620" s="420"/>
      <c r="Y3620" s="420"/>
    </row>
    <row r="3621" spans="17:25">
      <c r="Q3621" s="6">
        <v>3591</v>
      </c>
      <c r="R3621" s="7">
        <v>46258</v>
      </c>
      <c r="S3621" s="210">
        <v>4</v>
      </c>
      <c r="T3621" s="8">
        <v>1.0001111111111112</v>
      </c>
      <c r="U3621" s="98">
        <v>3.9299327518608873</v>
      </c>
      <c r="V3621" s="106">
        <v>34798.520660003975</v>
      </c>
      <c r="W3621" s="10">
        <v>0.99405025647483214</v>
      </c>
      <c r="X3621" s="420"/>
      <c r="Y3621" s="420"/>
    </row>
    <row r="3622" spans="17:25">
      <c r="Q3622" s="6">
        <v>3592</v>
      </c>
      <c r="R3622" s="7">
        <v>46259</v>
      </c>
      <c r="S3622" s="210">
        <v>4</v>
      </c>
      <c r="T3622" s="8">
        <v>1.0001111111111112</v>
      </c>
      <c r="U3622" s="98">
        <v>3.9299908085517199</v>
      </c>
      <c r="V3622" s="106">
        <v>34801.320605036453</v>
      </c>
      <c r="W3622" s="10">
        <v>0.99408665525759776</v>
      </c>
      <c r="X3622" s="420"/>
      <c r="Y3622" s="420"/>
    </row>
    <row r="3623" spans="17:25">
      <c r="Q3623" s="6">
        <v>3593</v>
      </c>
      <c r="R3623" s="7">
        <v>46260</v>
      </c>
      <c r="S3623" s="210">
        <v>4</v>
      </c>
      <c r="T3623" s="8">
        <v>1.0001111111111112</v>
      </c>
      <c r="U3623" s="98">
        <v>3.9300488329583994</v>
      </c>
      <c r="V3623" s="106">
        <v>34804.12077535702</v>
      </c>
      <c r="W3623" s="10">
        <v>0.99412303379253775</v>
      </c>
      <c r="X3623" s="420"/>
      <c r="Y3623" s="420"/>
    </row>
    <row r="3624" spans="17:25">
      <c r="Q3624" s="6">
        <v>3594</v>
      </c>
      <c r="R3624" s="7">
        <v>46261</v>
      </c>
      <c r="S3624" s="210">
        <v>4</v>
      </c>
      <c r="T3624" s="8">
        <v>1.0001111111111112</v>
      </c>
      <c r="U3624" s="98">
        <v>3.9301068251078375</v>
      </c>
      <c r="V3624" s="106">
        <v>34806.921170983798</v>
      </c>
      <c r="W3624" s="10">
        <v>0.99415939209650528</v>
      </c>
      <c r="X3624" s="420"/>
      <c r="Y3624" s="420"/>
    </row>
    <row r="3625" spans="17:25">
      <c r="Q3625" s="6">
        <v>3595</v>
      </c>
      <c r="R3625" s="7">
        <v>46262</v>
      </c>
      <c r="S3625" s="210">
        <v>4</v>
      </c>
      <c r="T3625" s="8">
        <v>1.0001111111111112</v>
      </c>
      <c r="U3625" s="98">
        <v>3.9301647850269461</v>
      </c>
      <c r="V3625" s="106">
        <v>34809.72179193492</v>
      </c>
      <c r="W3625" s="10">
        <v>0.99419573018642016</v>
      </c>
      <c r="X3625" s="420"/>
      <c r="Y3625" s="420"/>
    </row>
    <row r="3626" spans="17:25">
      <c r="Q3626" s="6">
        <v>3596</v>
      </c>
      <c r="R3626" s="7">
        <v>46263</v>
      </c>
      <c r="S3626" s="210">
        <v>4</v>
      </c>
      <c r="T3626" s="8">
        <v>1.0001111111111112</v>
      </c>
      <c r="U3626" s="98">
        <v>3.9302227127425704</v>
      </c>
      <c r="V3626" s="106">
        <v>34812.522638228511</v>
      </c>
      <c r="W3626" s="10">
        <v>0.99423204807911336</v>
      </c>
      <c r="X3626" s="420"/>
      <c r="Y3626" s="420"/>
    </row>
    <row r="3627" spans="17:25">
      <c r="Q3627" s="6">
        <v>3597</v>
      </c>
      <c r="R3627" s="7">
        <v>46264</v>
      </c>
      <c r="S3627" s="210">
        <v>4</v>
      </c>
      <c r="T3627" s="8">
        <v>1.0001111111111112</v>
      </c>
      <c r="U3627" s="98">
        <v>3.9302806082815556</v>
      </c>
      <c r="V3627" s="106">
        <v>34815.323709882716</v>
      </c>
      <c r="W3627" s="10">
        <v>0.99426834579141588</v>
      </c>
      <c r="X3627" s="420"/>
      <c r="Y3627" s="420"/>
    </row>
    <row r="3628" spans="17:25">
      <c r="Q3628" s="6">
        <v>3598</v>
      </c>
      <c r="R3628" s="7">
        <v>46265</v>
      </c>
      <c r="S3628" s="210">
        <v>4</v>
      </c>
      <c r="T3628" s="8">
        <v>1.0001111111111112</v>
      </c>
      <c r="U3628" s="98">
        <v>3.9303384716707024</v>
      </c>
      <c r="V3628" s="106">
        <v>34818.125006915659</v>
      </c>
      <c r="W3628" s="10">
        <v>0.99430462334013647</v>
      </c>
      <c r="X3628" s="420"/>
      <c r="Y3628" s="420"/>
    </row>
    <row r="3629" spans="17:25">
      <c r="Q3629" s="6">
        <v>3599</v>
      </c>
      <c r="R3629" s="7">
        <v>46266</v>
      </c>
      <c r="S3629" s="210">
        <v>4</v>
      </c>
      <c r="T3629" s="8">
        <v>1.0001111111111112</v>
      </c>
      <c r="U3629" s="98">
        <v>3.9303963029367672</v>
      </c>
      <c r="V3629" s="106">
        <v>34820.926529345459</v>
      </c>
      <c r="W3629" s="10">
        <v>0.99434088074210614</v>
      </c>
      <c r="X3629" s="420"/>
      <c r="Y3629" s="420"/>
    </row>
    <row r="3630" spans="17:25">
      <c r="Q3630" s="6">
        <v>3600</v>
      </c>
      <c r="R3630" s="7">
        <v>46267</v>
      </c>
      <c r="S3630" s="210">
        <v>4</v>
      </c>
      <c r="T3630" s="8">
        <v>1.0001111111111112</v>
      </c>
      <c r="U3630" s="98">
        <v>3.9304541021065065</v>
      </c>
      <c r="V3630" s="106">
        <v>34823.728277190283</v>
      </c>
      <c r="W3630" s="10">
        <v>0.99437711801406703</v>
      </c>
      <c r="X3630" s="420"/>
      <c r="Y3630" s="420"/>
    </row>
    <row r="3631" spans="17:25">
      <c r="Q3631" s="6">
        <v>3601</v>
      </c>
      <c r="R3631" s="7">
        <v>46268</v>
      </c>
      <c r="S3631" s="210">
        <v>4</v>
      </c>
      <c r="T3631" s="8">
        <v>1.0001111111111112</v>
      </c>
      <c r="U3631" s="98">
        <v>3.9305118692066321</v>
      </c>
      <c r="V3631" s="106">
        <v>34826.530250468248</v>
      </c>
      <c r="W3631" s="10">
        <v>0.99441333517278352</v>
      </c>
      <c r="X3631" s="420"/>
      <c r="Y3631" s="420"/>
    </row>
    <row r="3632" spans="17:25">
      <c r="Q3632" s="6">
        <v>3602</v>
      </c>
      <c r="R3632" s="7">
        <v>46269</v>
      </c>
      <c r="S3632" s="210">
        <v>4</v>
      </c>
      <c r="T3632" s="8">
        <v>1.0001111111111112</v>
      </c>
      <c r="U3632" s="98">
        <v>3.9305696042638338</v>
      </c>
      <c r="V3632" s="106">
        <v>34829.3324491975</v>
      </c>
      <c r="W3632" s="10">
        <v>0.99444953223501997</v>
      </c>
      <c r="X3632" s="420"/>
      <c r="Y3632" s="420"/>
    </row>
    <row r="3633" spans="17:25">
      <c r="Q3633" s="6">
        <v>3603</v>
      </c>
      <c r="R3633" s="7">
        <v>46270</v>
      </c>
      <c r="S3633" s="210">
        <v>4</v>
      </c>
      <c r="T3633" s="8">
        <v>1.0001111111111112</v>
      </c>
      <c r="U3633" s="98">
        <v>3.9306273073047571</v>
      </c>
      <c r="V3633" s="106">
        <v>34832.134873396171</v>
      </c>
      <c r="W3633" s="10">
        <v>0.99448570921749635</v>
      </c>
      <c r="X3633" s="420"/>
      <c r="Y3633" s="420"/>
    </row>
    <row r="3634" spans="17:25">
      <c r="Q3634" s="6">
        <v>3604</v>
      </c>
      <c r="R3634" s="7">
        <v>46271</v>
      </c>
      <c r="S3634" s="210">
        <v>4</v>
      </c>
      <c r="T3634" s="8">
        <v>1.0001111111111112</v>
      </c>
      <c r="U3634" s="98">
        <v>3.9306849783560249</v>
      </c>
      <c r="V3634" s="106">
        <v>34834.937523082408</v>
      </c>
      <c r="W3634" s="10">
        <v>0.9945218661368882</v>
      </c>
      <c r="X3634" s="420"/>
      <c r="Y3634" s="420"/>
    </row>
    <row r="3635" spans="17:25">
      <c r="Q3635" s="6">
        <v>3605</v>
      </c>
      <c r="R3635" s="7">
        <v>46272</v>
      </c>
      <c r="S3635" s="210">
        <v>4</v>
      </c>
      <c r="T3635" s="8">
        <v>1.0001111111111112</v>
      </c>
      <c r="U3635" s="98">
        <v>3.9307426174442162</v>
      </c>
      <c r="V3635" s="106">
        <v>34837.740398274349</v>
      </c>
      <c r="W3635" s="10">
        <v>0.99455800300989328</v>
      </c>
      <c r="X3635" s="420"/>
      <c r="Y3635" s="420"/>
    </row>
    <row r="3636" spans="17:25">
      <c r="Q3636" s="6">
        <v>3606</v>
      </c>
      <c r="R3636" s="7">
        <v>46273</v>
      </c>
      <c r="S3636" s="210">
        <v>4</v>
      </c>
      <c r="T3636" s="8">
        <v>1.0001111111111112</v>
      </c>
      <c r="U3636" s="98">
        <v>3.9308002245959317</v>
      </c>
      <c r="V3636" s="106">
        <v>34840.543498990155</v>
      </c>
      <c r="W3636" s="10">
        <v>0.99459411985318713</v>
      </c>
      <c r="X3636" s="420"/>
      <c r="Y3636" s="420"/>
    </row>
    <row r="3637" spans="17:25">
      <c r="Q3637" s="6">
        <v>3607</v>
      </c>
      <c r="R3637" s="7">
        <v>46274</v>
      </c>
      <c r="S3637" s="210">
        <v>4</v>
      </c>
      <c r="T3637" s="8">
        <v>1.0001111111111112</v>
      </c>
      <c r="U3637" s="98">
        <v>3.9308577998376837</v>
      </c>
      <c r="V3637" s="106">
        <v>34843.346825247951</v>
      </c>
      <c r="W3637" s="10">
        <v>0.9946302166834009</v>
      </c>
      <c r="X3637" s="420"/>
      <c r="Y3637" s="420"/>
    </row>
    <row r="3638" spans="17:25">
      <c r="Q3638" s="6">
        <v>3608</v>
      </c>
      <c r="R3638" s="7">
        <v>46275</v>
      </c>
      <c r="S3638" s="210">
        <v>4</v>
      </c>
      <c r="T3638" s="8">
        <v>1.0001111111111112</v>
      </c>
      <c r="U3638" s="98">
        <v>3.9309153431959842</v>
      </c>
      <c r="V3638" s="106">
        <v>34846.150377065904</v>
      </c>
      <c r="W3638" s="10">
        <v>0.99466629351721014</v>
      </c>
      <c r="X3638" s="420"/>
      <c r="Y3638" s="420"/>
    </row>
    <row r="3639" spans="17:25">
      <c r="Q3639" s="6">
        <v>3609</v>
      </c>
      <c r="R3639" s="7">
        <v>46276</v>
      </c>
      <c r="S3639" s="210">
        <v>4</v>
      </c>
      <c r="T3639" s="8">
        <v>1.0001111111111112</v>
      </c>
      <c r="U3639" s="98">
        <v>3.9309728546973011</v>
      </c>
      <c r="V3639" s="106">
        <v>34848.954154462146</v>
      </c>
      <c r="W3639" s="10">
        <v>0.99470235037115717</v>
      </c>
      <c r="X3639" s="420"/>
      <c r="Y3639" s="420"/>
    </row>
    <row r="3640" spans="17:25">
      <c r="Q3640" s="6">
        <v>3610</v>
      </c>
      <c r="R3640" s="7">
        <v>46277</v>
      </c>
      <c r="S3640" s="210">
        <v>4</v>
      </c>
      <c r="T3640" s="8">
        <v>1.0001111111111112</v>
      </c>
      <c r="U3640" s="98">
        <v>3.9310303343680797</v>
      </c>
      <c r="V3640" s="106">
        <v>34851.758157454831</v>
      </c>
      <c r="W3640" s="10">
        <v>0.99473838726187314</v>
      </c>
      <c r="X3640" s="420"/>
      <c r="Y3640" s="420"/>
    </row>
    <row r="3641" spans="17:25">
      <c r="Q3641" s="6">
        <v>3611</v>
      </c>
      <c r="R3641" s="7">
        <v>46278</v>
      </c>
      <c r="S3641" s="210">
        <v>4</v>
      </c>
      <c r="T3641" s="8">
        <v>1.0001111111111112</v>
      </c>
      <c r="U3641" s="98">
        <v>3.9310877822347434</v>
      </c>
      <c r="V3641" s="106">
        <v>34854.56238606212</v>
      </c>
      <c r="W3641" s="10">
        <v>0.99477440420592256</v>
      </c>
      <c r="X3641" s="420"/>
      <c r="Y3641" s="420"/>
    </row>
    <row r="3642" spans="17:25">
      <c r="Q3642" s="6">
        <v>3612</v>
      </c>
      <c r="R3642" s="7">
        <v>46279</v>
      </c>
      <c r="S3642" s="210">
        <v>4</v>
      </c>
      <c r="T3642" s="8">
        <v>1.0001111111111112</v>
      </c>
      <c r="U3642" s="98">
        <v>3.9311451983236934</v>
      </c>
      <c r="V3642" s="106">
        <v>34857.366840302151</v>
      </c>
      <c r="W3642" s="10">
        <v>0.99481040121986997</v>
      </c>
      <c r="X3642" s="420"/>
      <c r="Y3642" s="420"/>
    </row>
    <row r="3643" spans="17:25">
      <c r="Q3643" s="6">
        <v>3613</v>
      </c>
      <c r="R3643" s="7">
        <v>46280</v>
      </c>
      <c r="S3643" s="210">
        <v>4</v>
      </c>
      <c r="T3643" s="8">
        <v>1.0001111111111112</v>
      </c>
      <c r="U3643" s="98">
        <v>3.9312025826612862</v>
      </c>
      <c r="V3643" s="106">
        <v>34860.1715201931</v>
      </c>
      <c r="W3643" s="10">
        <v>0.99484637832027989</v>
      </c>
      <c r="X3643" s="420"/>
      <c r="Y3643" s="420"/>
    </row>
    <row r="3644" spans="17:25">
      <c r="Q3644" s="6">
        <v>3614</v>
      </c>
      <c r="R3644" s="7">
        <v>46281</v>
      </c>
      <c r="S3644" s="210">
        <v>4</v>
      </c>
      <c r="T3644" s="8">
        <v>1.0001111111111112</v>
      </c>
      <c r="U3644" s="98">
        <v>3.9312599352738342</v>
      </c>
      <c r="V3644" s="106">
        <v>34862.976425753099</v>
      </c>
      <c r="W3644" s="10">
        <v>0.99488233552360583</v>
      </c>
      <c r="X3644" s="420"/>
      <c r="Y3644" s="420"/>
    </row>
    <row r="3645" spans="17:25">
      <c r="Q3645" s="6">
        <v>3615</v>
      </c>
      <c r="R3645" s="7">
        <v>46282</v>
      </c>
      <c r="S3645" s="210">
        <v>4</v>
      </c>
      <c r="T3645" s="8">
        <v>1.0001111111111112</v>
      </c>
      <c r="U3645" s="98">
        <v>3.9313172561876719</v>
      </c>
      <c r="V3645" s="106">
        <v>34865.781557000329</v>
      </c>
      <c r="W3645" s="10">
        <v>0.99491827284643453</v>
      </c>
      <c r="X3645" s="420"/>
      <c r="Y3645" s="420"/>
    </row>
    <row r="3646" spans="17:25">
      <c r="Q3646" s="6">
        <v>3616</v>
      </c>
      <c r="R3646" s="7">
        <v>46283</v>
      </c>
      <c r="S3646" s="210">
        <v>4</v>
      </c>
      <c r="T3646" s="8">
        <v>1.0001111111111112</v>
      </c>
      <c r="U3646" s="98">
        <v>3.931374545429045</v>
      </c>
      <c r="V3646" s="106">
        <v>34868.586913952939</v>
      </c>
      <c r="W3646" s="10">
        <v>0.99495419030517507</v>
      </c>
      <c r="X3646" s="420"/>
      <c r="Y3646" s="420"/>
    </row>
    <row r="3647" spans="17:25">
      <c r="Q3647" s="6">
        <v>3617</v>
      </c>
      <c r="R3647" s="7">
        <v>46284</v>
      </c>
      <c r="S3647" s="210">
        <v>4</v>
      </c>
      <c r="T3647" s="8">
        <v>1.0001111111111112</v>
      </c>
      <c r="U3647" s="98">
        <v>3.931431803024199</v>
      </c>
      <c r="V3647" s="106">
        <v>34871.39249662908</v>
      </c>
      <c r="W3647" s="10">
        <v>0.99499008791632537</v>
      </c>
      <c r="X3647" s="420"/>
      <c r="Y3647" s="420"/>
    </row>
    <row r="3648" spans="17:25">
      <c r="Q3648" s="6">
        <v>3618</v>
      </c>
      <c r="R3648" s="7">
        <v>46285</v>
      </c>
      <c r="S3648" s="210">
        <v>4</v>
      </c>
      <c r="T3648" s="8">
        <v>1.0001111111111112</v>
      </c>
      <c r="U3648" s="98">
        <v>3.9314890289993576</v>
      </c>
      <c r="V3648" s="106">
        <v>34874.198305046928</v>
      </c>
      <c r="W3648" s="10">
        <v>0.99502596569631674</v>
      </c>
      <c r="X3648" s="420"/>
      <c r="Y3648" s="420"/>
    </row>
    <row r="3649" spans="17:25">
      <c r="Q3649" s="6">
        <v>3619</v>
      </c>
      <c r="R3649" s="7">
        <v>46286</v>
      </c>
      <c r="S3649" s="210">
        <v>4</v>
      </c>
      <c r="T3649" s="8">
        <v>1.0001111111111112</v>
      </c>
      <c r="U3649" s="98">
        <v>3.9315462233806997</v>
      </c>
      <c r="V3649" s="106">
        <v>34877.004339224637</v>
      </c>
      <c r="W3649" s="10">
        <v>0.99506182366160267</v>
      </c>
      <c r="X3649" s="420"/>
      <c r="Y3649" s="420"/>
    </row>
    <row r="3650" spans="17:25">
      <c r="Q3650" s="6">
        <v>3620</v>
      </c>
      <c r="R3650" s="7">
        <v>46287</v>
      </c>
      <c r="S3650" s="210">
        <v>4</v>
      </c>
      <c r="T3650" s="8">
        <v>1.0001111111111112</v>
      </c>
      <c r="U3650" s="98">
        <v>3.9316033861943822</v>
      </c>
      <c r="V3650" s="106">
        <v>34879.810599180382</v>
      </c>
      <c r="W3650" s="10">
        <v>0.99509766182854786</v>
      </c>
      <c r="X3650" s="420"/>
      <c r="Y3650" s="420"/>
    </row>
    <row r="3651" spans="17:25">
      <c r="Q3651" s="6">
        <v>3621</v>
      </c>
      <c r="R3651" s="7">
        <v>46288</v>
      </c>
      <c r="S3651" s="210">
        <v>4</v>
      </c>
      <c r="T3651" s="8">
        <v>1.0001111111111112</v>
      </c>
      <c r="U3651" s="98">
        <v>3.9316605174665398</v>
      </c>
      <c r="V3651" s="106">
        <v>34882.617084932324</v>
      </c>
      <c r="W3651" s="10">
        <v>0.99513348021360581</v>
      </c>
      <c r="X3651" s="420"/>
      <c r="Y3651" s="420"/>
    </row>
    <row r="3652" spans="17:25">
      <c r="Q3652" s="6">
        <v>3622</v>
      </c>
      <c r="R3652" s="7">
        <v>46289</v>
      </c>
      <c r="S3652" s="210">
        <v>4</v>
      </c>
      <c r="T3652" s="8">
        <v>1.0001111111111112</v>
      </c>
      <c r="U3652" s="98">
        <v>3.9317176172232626</v>
      </c>
      <c r="V3652" s="106">
        <v>34885.423796498631</v>
      </c>
      <c r="W3652" s="10">
        <v>0.99516927883311901</v>
      </c>
      <c r="X3652" s="420"/>
      <c r="Y3652" s="420"/>
    </row>
    <row r="3653" spans="17:25">
      <c r="Q3653" s="6">
        <v>3623</v>
      </c>
      <c r="R3653" s="7">
        <v>46290</v>
      </c>
      <c r="S3653" s="210">
        <v>4</v>
      </c>
      <c r="T3653" s="8">
        <v>1.0001111111111112</v>
      </c>
      <c r="U3653" s="98">
        <v>3.931774685490641</v>
      </c>
      <c r="V3653" s="106">
        <v>34888.230733897464</v>
      </c>
      <c r="W3653" s="10">
        <v>0.99520505770345213</v>
      </c>
      <c r="X3653" s="420"/>
      <c r="Y3653" s="420"/>
    </row>
    <row r="3654" spans="17:25">
      <c r="Q3654" s="6">
        <v>3624</v>
      </c>
      <c r="R3654" s="7">
        <v>46291</v>
      </c>
      <c r="S3654" s="210">
        <v>4</v>
      </c>
      <c r="T3654" s="8">
        <v>1.0001111111111112</v>
      </c>
      <c r="U3654" s="98">
        <v>3.9318317222946986</v>
      </c>
      <c r="V3654" s="106">
        <v>34891.037897147005</v>
      </c>
      <c r="W3654" s="10">
        <v>0.99524081684092547</v>
      </c>
      <c r="X3654" s="420"/>
      <c r="Y3654" s="420"/>
    </row>
    <row r="3655" spans="17:25">
      <c r="Q3655" s="6">
        <v>3625</v>
      </c>
      <c r="R3655" s="7">
        <v>46292</v>
      </c>
      <c r="S3655" s="210">
        <v>4</v>
      </c>
      <c r="T3655" s="8">
        <v>1.0001111111111112</v>
      </c>
      <c r="U3655" s="98">
        <v>3.9318887276614367</v>
      </c>
      <c r="V3655" s="106">
        <v>34893.84528626543</v>
      </c>
      <c r="W3655" s="10">
        <v>0.99527655626185929</v>
      </c>
      <c r="X3655" s="420"/>
      <c r="Y3655" s="420"/>
    </row>
    <row r="3656" spans="17:25">
      <c r="Q3656" s="6">
        <v>3626</v>
      </c>
      <c r="R3656" s="7">
        <v>46293</v>
      </c>
      <c r="S3656" s="210">
        <v>4</v>
      </c>
      <c r="T3656" s="8">
        <v>1.0001111111111112</v>
      </c>
      <c r="U3656" s="98">
        <v>3.9319457016168569</v>
      </c>
      <c r="V3656" s="106">
        <v>34896.652901270907</v>
      </c>
      <c r="W3656" s="10">
        <v>0.99531227598257388</v>
      </c>
      <c r="X3656" s="420"/>
      <c r="Y3656" s="420"/>
    </row>
    <row r="3657" spans="17:25">
      <c r="Q3657" s="6">
        <v>3627</v>
      </c>
      <c r="R3657" s="7">
        <v>46294</v>
      </c>
      <c r="S3657" s="210">
        <v>4</v>
      </c>
      <c r="T3657" s="8">
        <v>1.0001111111111112</v>
      </c>
      <c r="U3657" s="98">
        <v>3.932002644186916</v>
      </c>
      <c r="V3657" s="106">
        <v>34899.460742181596</v>
      </c>
      <c r="W3657" s="10">
        <v>0.99534797601936731</v>
      </c>
      <c r="X3657" s="420"/>
      <c r="Y3657" s="420"/>
    </row>
    <row r="3658" spans="17:25">
      <c r="Q3658" s="6">
        <v>3628</v>
      </c>
      <c r="R3658" s="7">
        <v>46295</v>
      </c>
      <c r="S3658" s="210">
        <v>4</v>
      </c>
      <c r="T3658" s="8">
        <v>1.0001111111111112</v>
      </c>
      <c r="U3658" s="98">
        <v>3.9320595553975268</v>
      </c>
      <c r="V3658" s="106">
        <v>34902.268809015703</v>
      </c>
      <c r="W3658" s="10">
        <v>0.99538365638844883</v>
      </c>
      <c r="X3658" s="420"/>
      <c r="Y3658" s="420"/>
    </row>
    <row r="3659" spans="17:25">
      <c r="Q3659" s="6">
        <v>3629</v>
      </c>
      <c r="R3659" s="7">
        <v>46296</v>
      </c>
      <c r="S3659" s="210">
        <v>4</v>
      </c>
      <c r="T3659" s="8">
        <v>1.0001111111111112</v>
      </c>
      <c r="U3659" s="98">
        <v>3.9321164352746019</v>
      </c>
      <c r="V3659" s="106">
        <v>34905.077101791387</v>
      </c>
      <c r="W3659" s="10">
        <v>0.99541931710613873</v>
      </c>
      <c r="X3659" s="420"/>
      <c r="Y3659" s="420"/>
    </row>
    <row r="3660" spans="17:25">
      <c r="Q3660" s="6">
        <v>3630</v>
      </c>
      <c r="R3660" s="7">
        <v>46297</v>
      </c>
      <c r="S3660" s="210">
        <v>4</v>
      </c>
      <c r="T3660" s="8">
        <v>1.0001111111111112</v>
      </c>
      <c r="U3660" s="98">
        <v>3.9321732838440093</v>
      </c>
      <c r="V3660" s="106">
        <v>34907.885620526824</v>
      </c>
      <c r="W3660" s="10">
        <v>0.99545495818862406</v>
      </c>
      <c r="X3660" s="420"/>
      <c r="Y3660" s="420"/>
    </row>
    <row r="3661" spans="17:25">
      <c r="Q3661" s="6">
        <v>3631</v>
      </c>
      <c r="R3661" s="7">
        <v>46298</v>
      </c>
      <c r="S3661" s="210">
        <v>4</v>
      </c>
      <c r="T3661" s="8">
        <v>1.0001111111111112</v>
      </c>
      <c r="U3661" s="98">
        <v>3.932230101131573</v>
      </c>
      <c r="V3661" s="106">
        <v>34910.694365240211</v>
      </c>
      <c r="W3661" s="10">
        <v>0.99549057965211407</v>
      </c>
      <c r="X3661" s="420"/>
      <c r="Y3661" s="420"/>
    </row>
    <row r="3662" spans="17:25">
      <c r="Q3662" s="6">
        <v>3632</v>
      </c>
      <c r="R3662" s="7">
        <v>46299</v>
      </c>
      <c r="S3662" s="210">
        <v>4</v>
      </c>
      <c r="T3662" s="8">
        <v>1.0001111111111112</v>
      </c>
      <c r="U3662" s="98">
        <v>3.9322868871631167</v>
      </c>
      <c r="V3662" s="106">
        <v>34913.503335949725</v>
      </c>
      <c r="W3662" s="10">
        <v>0.99552618151279582</v>
      </c>
      <c r="X3662" s="420"/>
      <c r="Y3662" s="420"/>
    </row>
    <row r="3663" spans="17:25">
      <c r="Q3663" s="6">
        <v>3633</v>
      </c>
      <c r="R3663" s="7">
        <v>46300</v>
      </c>
      <c r="S3663" s="210">
        <v>4</v>
      </c>
      <c r="T3663" s="8">
        <v>1.0001111111111112</v>
      </c>
      <c r="U3663" s="98">
        <v>3.932343641964442</v>
      </c>
      <c r="V3663" s="106">
        <v>34916.312532673546</v>
      </c>
      <c r="W3663" s="10">
        <v>0.99556176378687855</v>
      </c>
      <c r="X3663" s="420"/>
      <c r="Y3663" s="420"/>
    </row>
    <row r="3664" spans="17:25">
      <c r="Q3664" s="6">
        <v>3634</v>
      </c>
      <c r="R3664" s="7">
        <v>46301</v>
      </c>
      <c r="S3664" s="210">
        <v>4</v>
      </c>
      <c r="T3664" s="8">
        <v>1.0001111111111112</v>
      </c>
      <c r="U3664" s="98">
        <v>3.9324003655612838</v>
      </c>
      <c r="V3664" s="106">
        <v>34919.121955429859</v>
      </c>
      <c r="W3664" s="10">
        <v>0.99559732649052712</v>
      </c>
      <c r="X3664" s="420"/>
      <c r="Y3664" s="420"/>
    </row>
    <row r="3665" spans="17:25">
      <c r="Q3665" s="6">
        <v>3635</v>
      </c>
      <c r="R3665" s="7">
        <v>46302</v>
      </c>
      <c r="S3665" s="210">
        <v>4</v>
      </c>
      <c r="T3665" s="8">
        <v>1.0001111111111112</v>
      </c>
      <c r="U3665" s="98">
        <v>3.9324570579793772</v>
      </c>
      <c r="V3665" s="106">
        <v>34921.931604236852</v>
      </c>
      <c r="W3665" s="10">
        <v>0.99563286963983977</v>
      </c>
      <c r="X3665" s="420"/>
      <c r="Y3665" s="420"/>
    </row>
    <row r="3666" spans="17:25">
      <c r="Q3666" s="6">
        <v>3636</v>
      </c>
      <c r="R3666" s="7">
        <v>46303</v>
      </c>
      <c r="S3666" s="210">
        <v>4</v>
      </c>
      <c r="T3666" s="8">
        <v>1.0001111111111112</v>
      </c>
      <c r="U3666" s="98">
        <v>3.9325137192444126</v>
      </c>
      <c r="V3666" s="106">
        <v>34924.741479112716</v>
      </c>
      <c r="W3666" s="10">
        <v>0.99566839325095913</v>
      </c>
      <c r="X3666" s="420"/>
      <c r="Y3666" s="420"/>
    </row>
    <row r="3667" spans="17:25">
      <c r="Q3667" s="6">
        <v>3637</v>
      </c>
      <c r="R3667" s="7">
        <v>46304</v>
      </c>
      <c r="S3667" s="210">
        <v>4</v>
      </c>
      <c r="T3667" s="8">
        <v>1.0001111111111112</v>
      </c>
      <c r="U3667" s="98">
        <v>3.9325703493820807</v>
      </c>
      <c r="V3667" s="106">
        <v>34927.55158007564</v>
      </c>
      <c r="W3667" s="10">
        <v>0.99570389734002784</v>
      </c>
      <c r="X3667" s="420"/>
      <c r="Y3667" s="420"/>
    </row>
    <row r="3668" spans="17:25">
      <c r="Q3668" s="6">
        <v>3638</v>
      </c>
      <c r="R3668" s="7">
        <v>46305</v>
      </c>
      <c r="S3668" s="210">
        <v>4</v>
      </c>
      <c r="T3668" s="8">
        <v>1.0001111111111112</v>
      </c>
      <c r="U3668" s="98">
        <v>3.9326269484180054</v>
      </c>
      <c r="V3668" s="106">
        <v>34930.361907143808</v>
      </c>
      <c r="W3668" s="10">
        <v>0.99573938192307754</v>
      </c>
      <c r="X3668" s="420"/>
      <c r="Y3668" s="420"/>
    </row>
    <row r="3669" spans="17:25">
      <c r="Q3669" s="6">
        <v>3639</v>
      </c>
      <c r="R3669" s="7">
        <v>46306</v>
      </c>
      <c r="S3669" s="210">
        <v>4</v>
      </c>
      <c r="T3669" s="8">
        <v>1.0001111111111112</v>
      </c>
      <c r="U3669" s="98">
        <v>3.9326835163778107</v>
      </c>
      <c r="V3669" s="106">
        <v>34933.172460335431</v>
      </c>
      <c r="W3669" s="10">
        <v>0.99577484701618424</v>
      </c>
      <c r="X3669" s="420"/>
      <c r="Y3669" s="420"/>
    </row>
    <row r="3670" spans="17:25">
      <c r="Q3670" s="6">
        <v>3640</v>
      </c>
      <c r="R3670" s="7">
        <v>46307</v>
      </c>
      <c r="S3670" s="210">
        <v>4</v>
      </c>
      <c r="T3670" s="8">
        <v>1.0001111111111112</v>
      </c>
      <c r="U3670" s="98">
        <v>3.932740053287076</v>
      </c>
      <c r="V3670" s="106">
        <v>34935.983239668683</v>
      </c>
      <c r="W3670" s="10">
        <v>0.99581029263544618</v>
      </c>
      <c r="X3670" s="420"/>
      <c r="Y3670" s="420"/>
    </row>
    <row r="3671" spans="17:25">
      <c r="Q3671" s="6">
        <v>3641</v>
      </c>
      <c r="R3671" s="7">
        <v>46308</v>
      </c>
      <c r="S3671" s="210">
        <v>4</v>
      </c>
      <c r="T3671" s="8">
        <v>1.0001111111111112</v>
      </c>
      <c r="U3671" s="98">
        <v>3.9327965591713809</v>
      </c>
      <c r="V3671" s="106">
        <v>34938.794245161764</v>
      </c>
      <c r="W3671" s="10">
        <v>0.99584571879687278</v>
      </c>
      <c r="X3671" s="420"/>
      <c r="Y3671" s="420"/>
    </row>
    <row r="3672" spans="17:25">
      <c r="Q3672" s="6">
        <v>3642</v>
      </c>
      <c r="R3672" s="7">
        <v>46309</v>
      </c>
      <c r="S3672" s="210">
        <v>4</v>
      </c>
      <c r="T3672" s="8">
        <v>1.0001111111111112</v>
      </c>
      <c r="U3672" s="98">
        <v>3.9328530340562384</v>
      </c>
      <c r="V3672" s="106">
        <v>34941.60547683289</v>
      </c>
      <c r="W3672" s="10">
        <v>0.99588112551647345</v>
      </c>
      <c r="X3672" s="420"/>
      <c r="Y3672" s="420"/>
    </row>
    <row r="3673" spans="17:25">
      <c r="Q3673" s="6">
        <v>3643</v>
      </c>
      <c r="R3673" s="7">
        <v>46310</v>
      </c>
      <c r="S3673" s="210">
        <v>4</v>
      </c>
      <c r="T3673" s="8">
        <v>1.0001111111111112</v>
      </c>
      <c r="U3673" s="98">
        <v>3.9329094779671614</v>
      </c>
      <c r="V3673" s="106">
        <v>34944.416934700232</v>
      </c>
      <c r="W3673" s="10">
        <v>0.99591651281025761</v>
      </c>
      <c r="X3673" s="420"/>
      <c r="Y3673" s="420"/>
    </row>
    <row r="3674" spans="17:25">
      <c r="Q3674" s="6">
        <v>3644</v>
      </c>
      <c r="R3674" s="7">
        <v>46311</v>
      </c>
      <c r="S3674" s="210">
        <v>4</v>
      </c>
      <c r="T3674" s="8">
        <v>1.0001111111111112</v>
      </c>
      <c r="U3674" s="98">
        <v>3.9329658909296183</v>
      </c>
      <c r="V3674" s="106">
        <v>34947.228618782006</v>
      </c>
      <c r="W3674" s="10">
        <v>0.99595188069421248</v>
      </c>
      <c r="X3674" s="420"/>
      <c r="Y3674" s="420"/>
    </row>
    <row r="3675" spans="17:25">
      <c r="Q3675" s="6">
        <v>3645</v>
      </c>
      <c r="R3675" s="7">
        <v>46312</v>
      </c>
      <c r="S3675" s="210">
        <v>4</v>
      </c>
      <c r="T3675" s="8">
        <v>1.0001111111111112</v>
      </c>
      <c r="U3675" s="98">
        <v>3.9330222729690556</v>
      </c>
      <c r="V3675" s="106">
        <v>34950.040529096412</v>
      </c>
      <c r="W3675" s="10">
        <v>0.99598722918430305</v>
      </c>
      <c r="X3675" s="420"/>
      <c r="Y3675" s="420"/>
    </row>
    <row r="3676" spans="17:25">
      <c r="Q3676" s="6">
        <v>3646</v>
      </c>
      <c r="R3676" s="7">
        <v>46313</v>
      </c>
      <c r="S3676" s="210">
        <v>4</v>
      </c>
      <c r="T3676" s="8">
        <v>1.0001111111111112</v>
      </c>
      <c r="U3676" s="98">
        <v>3.9330786241108751</v>
      </c>
      <c r="V3676" s="106">
        <v>34952.852665661652</v>
      </c>
      <c r="W3676" s="10">
        <v>0.99602255829644992</v>
      </c>
      <c r="X3676" s="420"/>
      <c r="Y3676" s="420"/>
    </row>
    <row r="3677" spans="17:25">
      <c r="Q3677" s="6">
        <v>3647</v>
      </c>
      <c r="R3677" s="7">
        <v>46314</v>
      </c>
      <c r="S3677" s="210">
        <v>4</v>
      </c>
      <c r="T3677" s="8">
        <v>1.0001111111111112</v>
      </c>
      <c r="U3677" s="98">
        <v>3.9331349443805008</v>
      </c>
      <c r="V3677" s="106">
        <v>34955.665028495932</v>
      </c>
      <c r="W3677" s="10">
        <v>0.99605786804661811</v>
      </c>
      <c r="X3677" s="420"/>
      <c r="Y3677" s="420"/>
    </row>
    <row r="3678" spans="17:25">
      <c r="Q3678" s="6">
        <v>3648</v>
      </c>
      <c r="R3678" s="7">
        <v>46315</v>
      </c>
      <c r="S3678" s="210">
        <v>4</v>
      </c>
      <c r="T3678" s="8">
        <v>1.0001111111111112</v>
      </c>
      <c r="U3678" s="98">
        <v>3.9331912338032682</v>
      </c>
      <c r="V3678" s="106">
        <v>34958.477617617456</v>
      </c>
      <c r="W3678" s="10">
        <v>0.9960931584506838</v>
      </c>
      <c r="X3678" s="420"/>
      <c r="Y3678" s="420"/>
    </row>
    <row r="3679" spans="17:25">
      <c r="Q3679" s="6">
        <v>3649</v>
      </c>
      <c r="R3679" s="7">
        <v>46316</v>
      </c>
      <c r="S3679" s="210">
        <v>4</v>
      </c>
      <c r="T3679" s="8">
        <v>1.0001111111111112</v>
      </c>
      <c r="U3679" s="98">
        <v>3.9332474924045346</v>
      </c>
      <c r="V3679" s="106">
        <v>34961.290433044429</v>
      </c>
      <c r="W3679" s="10">
        <v>0.9961284295245898</v>
      </c>
      <c r="X3679" s="420"/>
      <c r="Y3679" s="420"/>
    </row>
    <row r="3680" spans="17:25">
      <c r="Q3680" s="6">
        <v>3650</v>
      </c>
      <c r="R3680" s="7">
        <v>46317</v>
      </c>
      <c r="S3680" s="210">
        <v>4</v>
      </c>
      <c r="T3680" s="8">
        <v>1.0001111111111112</v>
      </c>
      <c r="U3680" s="98">
        <v>3.9333037202095911</v>
      </c>
      <c r="V3680" s="106">
        <v>34964.103474795069</v>
      </c>
      <c r="W3680" s="10">
        <v>0.99616368128416788</v>
      </c>
      <c r="X3680" s="420"/>
      <c r="Y3680" s="420"/>
    </row>
    <row r="3681" spans="17:25">
      <c r="Q3681" s="6">
        <v>3651</v>
      </c>
      <c r="R3681" s="7">
        <v>46318</v>
      </c>
      <c r="S3681" s="210">
        <v>4</v>
      </c>
      <c r="T3681" s="8">
        <v>1.0001111111111112</v>
      </c>
      <c r="U3681" s="98">
        <v>3.9333599172437284</v>
      </c>
      <c r="V3681" s="106">
        <v>34966.916742887581</v>
      </c>
      <c r="W3681" s="10">
        <v>0.99619891374531644</v>
      </c>
      <c r="X3681" s="420"/>
      <c r="Y3681" s="420"/>
    </row>
    <row r="3682" spans="17:25">
      <c r="Q3682" s="6">
        <v>3652</v>
      </c>
      <c r="R3682" s="7">
        <v>46319</v>
      </c>
      <c r="S3682" s="210">
        <v>4</v>
      </c>
      <c r="T3682" s="8">
        <v>1.0001111111111112</v>
      </c>
      <c r="U3682" s="98">
        <v>3.933416083532193</v>
      </c>
      <c r="V3682" s="106">
        <v>34969.730237340169</v>
      </c>
      <c r="W3682" s="10">
        <v>0.99623412692384505</v>
      </c>
      <c r="X3682" s="420"/>
      <c r="Y3682" s="420"/>
    </row>
    <row r="3683" spans="17:25">
      <c r="Q3683" s="6">
        <v>3653</v>
      </c>
      <c r="R3683" s="7">
        <v>46320</v>
      </c>
      <c r="S3683" s="210">
        <v>4</v>
      </c>
      <c r="T3683" s="8">
        <v>1.0001111111111112</v>
      </c>
      <c r="U3683" s="98">
        <v>3.9334722191002092</v>
      </c>
      <c r="V3683" s="106">
        <v>34972.543958171053</v>
      </c>
      <c r="W3683" s="10">
        <v>0.99626932083560771</v>
      </c>
      <c r="X3683" s="420"/>
      <c r="Y3683" s="420"/>
    </row>
    <row r="3684" spans="17:25">
      <c r="Q3684" s="6">
        <v>3654</v>
      </c>
      <c r="R3684" s="7">
        <v>46321</v>
      </c>
      <c r="S3684" s="210">
        <v>4</v>
      </c>
      <c r="T3684" s="8">
        <v>1.0001111111111112</v>
      </c>
      <c r="U3684" s="98">
        <v>3.933528323972979</v>
      </c>
      <c r="V3684" s="106">
        <v>34975.35790539845</v>
      </c>
      <c r="W3684" s="10">
        <v>0.99630449549639177</v>
      </c>
      <c r="X3684" s="420"/>
      <c r="Y3684" s="420"/>
    </row>
    <row r="3685" spans="17:25">
      <c r="Q3685" s="6">
        <v>3655</v>
      </c>
      <c r="R3685" s="7">
        <v>46322</v>
      </c>
      <c r="S3685" s="210">
        <v>4</v>
      </c>
      <c r="T3685" s="8">
        <v>1.0001111111111112</v>
      </c>
      <c r="U3685" s="98">
        <v>3.9335843981756602</v>
      </c>
      <c r="V3685" s="106">
        <v>34978.172079040574</v>
      </c>
      <c r="W3685" s="10">
        <v>0.99633965092198462</v>
      </c>
      <c r="X3685" s="420"/>
      <c r="Y3685" s="420"/>
    </row>
    <row r="3686" spans="17:25">
      <c r="Q3686" s="6">
        <v>3656</v>
      </c>
      <c r="R3686" s="7">
        <v>46323</v>
      </c>
      <c r="S3686" s="210">
        <v>4</v>
      </c>
      <c r="T3686" s="8">
        <v>1.0001111111111112</v>
      </c>
      <c r="U3686" s="98">
        <v>3.9336404417334103</v>
      </c>
      <c r="V3686" s="106">
        <v>34980.986479115643</v>
      </c>
      <c r="W3686" s="10">
        <v>0.99637478712817362</v>
      </c>
      <c r="X3686" s="420"/>
      <c r="Y3686" s="420"/>
    </row>
    <row r="3687" spans="17:25">
      <c r="Q3687" s="6">
        <v>3657</v>
      </c>
      <c r="R3687" s="7">
        <v>46324</v>
      </c>
      <c r="S3687" s="210">
        <v>4</v>
      </c>
      <c r="T3687" s="8">
        <v>1.0001111111111112</v>
      </c>
      <c r="U3687" s="98">
        <v>3.9336964546713427</v>
      </c>
      <c r="V3687" s="106">
        <v>34983.801105641876</v>
      </c>
      <c r="W3687" s="10">
        <v>0.99640990413072394</v>
      </c>
      <c r="X3687" s="420"/>
      <c r="Y3687" s="420"/>
    </row>
    <row r="3688" spans="17:25">
      <c r="Q3688" s="6">
        <v>3658</v>
      </c>
      <c r="R3688" s="7">
        <v>46325</v>
      </c>
      <c r="S3688" s="210">
        <v>4</v>
      </c>
      <c r="T3688" s="8">
        <v>1.0001111111111112</v>
      </c>
      <c r="U3688" s="98">
        <v>3.933752437014526</v>
      </c>
      <c r="V3688" s="106">
        <v>34986.615958637492</v>
      </c>
      <c r="W3688" s="10">
        <v>0.99644500194535635</v>
      </c>
      <c r="X3688" s="420"/>
      <c r="Y3688" s="420"/>
    </row>
    <row r="3689" spans="17:25">
      <c r="Q3689" s="6">
        <v>3659</v>
      </c>
      <c r="R3689" s="7">
        <v>46326</v>
      </c>
      <c r="S3689" s="210">
        <v>4</v>
      </c>
      <c r="T3689" s="8">
        <v>1.0001111111111112</v>
      </c>
      <c r="U3689" s="98">
        <v>3.9338083887880515</v>
      </c>
      <c r="V3689" s="106">
        <v>34989.431038120718</v>
      </c>
      <c r="W3689" s="10">
        <v>0.99648008058779158</v>
      </c>
      <c r="X3689" s="420"/>
      <c r="Y3689" s="420"/>
    </row>
    <row r="3690" spans="17:25">
      <c r="Q3690" s="6">
        <v>3660</v>
      </c>
      <c r="R3690" s="7">
        <v>46327</v>
      </c>
      <c r="S3690" s="210">
        <v>4</v>
      </c>
      <c r="T3690" s="8">
        <v>1.0001111111111112</v>
      </c>
      <c r="U3690" s="98">
        <v>3.9338643100169213</v>
      </c>
      <c r="V3690" s="106">
        <v>34992.246344109772</v>
      </c>
      <c r="W3690" s="10">
        <v>0.99651514007377262</v>
      </c>
      <c r="X3690" s="420"/>
      <c r="Y3690" s="420"/>
    </row>
    <row r="3691" spans="17:25">
      <c r="Q3691" s="6">
        <v>3661</v>
      </c>
      <c r="R3691" s="7">
        <v>46328</v>
      </c>
      <c r="S3691" s="210">
        <v>4</v>
      </c>
      <c r="T3691" s="8">
        <v>1.0001111111111112</v>
      </c>
      <c r="U3691" s="98">
        <v>3.9339202007261598</v>
      </c>
      <c r="V3691" s="106">
        <v>34995.06187662288</v>
      </c>
      <c r="W3691" s="10">
        <v>0.9965501804189314</v>
      </c>
      <c r="X3691" s="420"/>
      <c r="Y3691" s="420"/>
    </row>
    <row r="3692" spans="17:25">
      <c r="Q3692" s="6">
        <v>3662</v>
      </c>
      <c r="R3692" s="7">
        <v>46329</v>
      </c>
      <c r="S3692" s="210">
        <v>4</v>
      </c>
      <c r="T3692" s="8">
        <v>1.0001111111111112</v>
      </c>
      <c r="U3692" s="98">
        <v>3.9339760609407248</v>
      </c>
      <c r="V3692" s="106">
        <v>34997.877635678276</v>
      </c>
      <c r="W3692" s="10">
        <v>0.99658520163896647</v>
      </c>
      <c r="X3692" s="420"/>
      <c r="Y3692" s="420"/>
    </row>
    <row r="3693" spans="17:25">
      <c r="Q3693" s="6">
        <v>3663</v>
      </c>
      <c r="R3693" s="7">
        <v>46330</v>
      </c>
      <c r="S3693" s="210">
        <v>4</v>
      </c>
      <c r="T3693" s="8">
        <v>1.0001111111111112</v>
      </c>
      <c r="U3693" s="98">
        <v>3.9340318906855964</v>
      </c>
      <c r="V3693" s="106">
        <v>35000.693621294173</v>
      </c>
      <c r="W3693" s="10">
        <v>0.99662020374955418</v>
      </c>
      <c r="X3693" s="420"/>
      <c r="Y3693" s="420"/>
    </row>
    <row r="3694" spans="17:25">
      <c r="Q3694" s="6">
        <v>3664</v>
      </c>
      <c r="R3694" s="7">
        <v>46331</v>
      </c>
      <c r="S3694" s="210">
        <v>4</v>
      </c>
      <c r="T3694" s="8">
        <v>1.0001111111111112</v>
      </c>
      <c r="U3694" s="98">
        <v>3.934087689985688</v>
      </c>
      <c r="V3694" s="106">
        <v>35003.509833488817</v>
      </c>
      <c r="W3694" s="10">
        <v>0.99665518676628206</v>
      </c>
      <c r="X3694" s="420"/>
      <c r="Y3694" s="420"/>
    </row>
    <row r="3695" spans="17:25">
      <c r="Q3695" s="6">
        <v>3665</v>
      </c>
      <c r="R3695" s="7">
        <v>46332</v>
      </c>
      <c r="S3695" s="210">
        <v>4</v>
      </c>
      <c r="T3695" s="8">
        <v>1.0001111111111112</v>
      </c>
      <c r="U3695" s="98">
        <v>3.9341434588658686</v>
      </c>
      <c r="V3695" s="106">
        <v>35006.326272280428</v>
      </c>
      <c r="W3695" s="10">
        <v>0.99669015070480427</v>
      </c>
      <c r="X3695" s="420"/>
      <c r="Y3695" s="420"/>
    </row>
    <row r="3696" spans="17:25">
      <c r="Q3696" s="6">
        <v>3666</v>
      </c>
      <c r="R3696" s="7">
        <v>46333</v>
      </c>
      <c r="S3696" s="210">
        <v>4</v>
      </c>
      <c r="T3696" s="8">
        <v>1.0001111111111112</v>
      </c>
      <c r="U3696" s="98">
        <v>3.9341991973510293</v>
      </c>
      <c r="V3696" s="106">
        <v>35009.14293768724</v>
      </c>
      <c r="W3696" s="10">
        <v>0.99672509558070832</v>
      </c>
      <c r="X3696" s="420"/>
      <c r="Y3696" s="420"/>
    </row>
    <row r="3697" spans="17:25">
      <c r="Q3697" s="6">
        <v>3667</v>
      </c>
      <c r="R3697" s="7">
        <v>46334</v>
      </c>
      <c r="S3697" s="210">
        <v>4</v>
      </c>
      <c r="T3697" s="8">
        <v>1.0001111111111112</v>
      </c>
      <c r="U3697" s="98">
        <v>3.934254905466017</v>
      </c>
      <c r="V3697" s="106">
        <v>35011.959829727493</v>
      </c>
      <c r="W3697" s="10">
        <v>0.99676002140958175</v>
      </c>
      <c r="X3697" s="420"/>
      <c r="Y3697" s="420"/>
    </row>
    <row r="3698" spans="17:25">
      <c r="Q3698" s="6">
        <v>3668</v>
      </c>
      <c r="R3698" s="7">
        <v>46335</v>
      </c>
      <c r="S3698" s="210">
        <v>4</v>
      </c>
      <c r="T3698" s="8">
        <v>1.0001111111111112</v>
      </c>
      <c r="U3698" s="98">
        <v>3.934310583235634</v>
      </c>
      <c r="V3698" s="106">
        <v>35014.776948419407</v>
      </c>
      <c r="W3698" s="10">
        <v>0.99679492820698989</v>
      </c>
      <c r="X3698" s="420"/>
      <c r="Y3698" s="420"/>
    </row>
    <row r="3699" spans="17:25">
      <c r="Q3699" s="6">
        <v>3669</v>
      </c>
      <c r="R3699" s="7">
        <v>46336</v>
      </c>
      <c r="S3699" s="210">
        <v>4</v>
      </c>
      <c r="T3699" s="8">
        <v>1.0001111111111112</v>
      </c>
      <c r="U3699" s="98">
        <v>3.9343662306846827</v>
      </c>
      <c r="V3699" s="106">
        <v>35017.594293781243</v>
      </c>
      <c r="W3699" s="10">
        <v>0.99682981598852027</v>
      </c>
      <c r="X3699" s="420"/>
      <c r="Y3699" s="420"/>
    </row>
    <row r="3700" spans="17:25">
      <c r="Q3700" s="6">
        <v>3670</v>
      </c>
      <c r="R3700" s="7">
        <v>46337</v>
      </c>
      <c r="S3700" s="210">
        <v>4</v>
      </c>
      <c r="T3700" s="8">
        <v>1.0001111111111112</v>
      </c>
      <c r="U3700" s="98">
        <v>3.9344218478379211</v>
      </c>
      <c r="V3700" s="106">
        <v>35020.411865831215</v>
      </c>
      <c r="W3700" s="10">
        <v>0.9968646847696494</v>
      </c>
      <c r="X3700" s="420"/>
      <c r="Y3700" s="420"/>
    </row>
    <row r="3701" spans="17:25">
      <c r="Q3701" s="6">
        <v>3671</v>
      </c>
      <c r="R3701" s="7">
        <v>46338</v>
      </c>
      <c r="S3701" s="210">
        <v>4</v>
      </c>
      <c r="T3701" s="8">
        <v>1.0001111111111112</v>
      </c>
      <c r="U3701" s="98">
        <v>3.934477434720085</v>
      </c>
      <c r="V3701" s="106">
        <v>35023.229664587576</v>
      </c>
      <c r="W3701" s="10">
        <v>0.9968995345659426</v>
      </c>
      <c r="X3701" s="420"/>
      <c r="Y3701" s="420"/>
    </row>
    <row r="3702" spans="17:25">
      <c r="Q3702" s="6">
        <v>3672</v>
      </c>
      <c r="R3702" s="7">
        <v>46339</v>
      </c>
      <c r="S3702" s="210">
        <v>4</v>
      </c>
      <c r="T3702" s="8">
        <v>1.0001111111111112</v>
      </c>
      <c r="U3702" s="98">
        <v>3.9345329913558658</v>
      </c>
      <c r="V3702" s="106">
        <v>35026.047690068568</v>
      </c>
      <c r="W3702" s="10">
        <v>0.99693436539287639</v>
      </c>
      <c r="X3702" s="420"/>
      <c r="Y3702" s="420"/>
    </row>
    <row r="3703" spans="17:25">
      <c r="Q3703" s="6">
        <v>3673</v>
      </c>
      <c r="R3703" s="7">
        <v>46340</v>
      </c>
      <c r="S3703" s="210">
        <v>4</v>
      </c>
      <c r="T3703" s="8">
        <v>1.0001111111111112</v>
      </c>
      <c r="U3703" s="98">
        <v>3.9345885177699547</v>
      </c>
      <c r="V3703" s="106">
        <v>35028.865942292425</v>
      </c>
      <c r="W3703" s="10">
        <v>0.99696917726594947</v>
      </c>
      <c r="X3703" s="420"/>
      <c r="Y3703" s="420"/>
    </row>
    <row r="3704" spans="17:25">
      <c r="Q3704" s="6">
        <v>3674</v>
      </c>
      <c r="R3704" s="7">
        <v>46341</v>
      </c>
      <c r="S3704" s="210">
        <v>4</v>
      </c>
      <c r="T3704" s="8">
        <v>1.0001111111111112</v>
      </c>
      <c r="U3704" s="98">
        <v>3.9346440139869987</v>
      </c>
      <c r="V3704" s="106">
        <v>35031.684421277401</v>
      </c>
      <c r="W3704" s="10">
        <v>0.99700397020059395</v>
      </c>
      <c r="X3704" s="420"/>
      <c r="Y3704" s="420"/>
    </row>
    <row r="3705" spans="17:25">
      <c r="Q3705" s="6">
        <v>3675</v>
      </c>
      <c r="R3705" s="7">
        <v>46342</v>
      </c>
      <c r="S3705" s="210">
        <v>4</v>
      </c>
      <c r="T3705" s="8">
        <v>1.0001111111111112</v>
      </c>
      <c r="U3705" s="98">
        <v>3.9346994800316226</v>
      </c>
      <c r="V3705" s="106">
        <v>35034.503127041731</v>
      </c>
      <c r="W3705" s="10">
        <v>0.99703874421230854</v>
      </c>
      <c r="X3705" s="420"/>
      <c r="Y3705" s="420"/>
    </row>
    <row r="3706" spans="17:25">
      <c r="Q3706" s="6">
        <v>3676</v>
      </c>
      <c r="R3706" s="7">
        <v>46343</v>
      </c>
      <c r="S3706" s="210">
        <v>4</v>
      </c>
      <c r="T3706" s="8">
        <v>1.0001111111111112</v>
      </c>
      <c r="U3706" s="98">
        <v>3.934754915928429</v>
      </c>
      <c r="V3706" s="106">
        <v>35037.32205960367</v>
      </c>
      <c r="W3706" s="10">
        <v>0.99707349931648093</v>
      </c>
      <c r="X3706" s="420"/>
      <c r="Y3706" s="420"/>
    </row>
    <row r="3707" spans="17:25">
      <c r="Q3707" s="6">
        <v>3677</v>
      </c>
      <c r="R3707" s="7">
        <v>46344</v>
      </c>
      <c r="S3707" s="210">
        <v>4</v>
      </c>
      <c r="T3707" s="8">
        <v>1.0001111111111112</v>
      </c>
      <c r="U3707" s="98">
        <v>3.9348103217019981</v>
      </c>
      <c r="V3707" s="106">
        <v>35040.141218981473</v>
      </c>
      <c r="W3707" s="10">
        <v>0.99710823552854322</v>
      </c>
      <c r="X3707" s="420"/>
      <c r="Y3707" s="420"/>
    </row>
    <row r="3708" spans="17:25">
      <c r="Q3708" s="6">
        <v>3678</v>
      </c>
      <c r="R3708" s="7">
        <v>46345</v>
      </c>
      <c r="S3708" s="210">
        <v>4</v>
      </c>
      <c r="T3708" s="8">
        <v>1.0001111111111112</v>
      </c>
      <c r="U3708" s="98">
        <v>3.9348656973768659</v>
      </c>
      <c r="V3708" s="106">
        <v>35042.960605193366</v>
      </c>
      <c r="W3708" s="10">
        <v>0.99714295286390531</v>
      </c>
      <c r="X3708" s="420"/>
      <c r="Y3708" s="420"/>
    </row>
    <row r="3709" spans="17:25">
      <c r="Q3709" s="6">
        <v>3679</v>
      </c>
      <c r="R3709" s="7">
        <v>46346</v>
      </c>
      <c r="S3709" s="210">
        <v>4</v>
      </c>
      <c r="T3709" s="8">
        <v>1.0001111111111112</v>
      </c>
      <c r="U3709" s="98">
        <v>3.9349210429775683</v>
      </c>
      <c r="V3709" s="106">
        <v>35045.780218257634</v>
      </c>
      <c r="W3709" s="10">
        <v>0.99717765133795488</v>
      </c>
      <c r="X3709" s="420"/>
      <c r="Y3709" s="420"/>
    </row>
    <row r="3710" spans="17:25">
      <c r="Q3710" s="6">
        <v>3680</v>
      </c>
      <c r="R3710" s="7">
        <v>46347</v>
      </c>
      <c r="S3710" s="210">
        <v>4</v>
      </c>
      <c r="T3710" s="8">
        <v>1.0001111111111112</v>
      </c>
      <c r="U3710" s="98">
        <v>3.9349763585285746</v>
      </c>
      <c r="V3710" s="106">
        <v>35048.600058192496</v>
      </c>
      <c r="W3710" s="10">
        <v>0.99721233096603523</v>
      </c>
      <c r="X3710" s="420"/>
      <c r="Y3710" s="420"/>
    </row>
    <row r="3711" spans="17:25">
      <c r="Q3711" s="6">
        <v>3681</v>
      </c>
      <c r="R3711" s="7">
        <v>46348</v>
      </c>
      <c r="S3711" s="210">
        <v>4</v>
      </c>
      <c r="T3711" s="8">
        <v>1.0001111111111112</v>
      </c>
      <c r="U3711" s="98">
        <v>3.9350316440543764</v>
      </c>
      <c r="V3711" s="106">
        <v>35051.42012501623</v>
      </c>
      <c r="W3711" s="10">
        <v>0.99724699176353404</v>
      </c>
      <c r="X3711" s="420"/>
      <c r="Y3711" s="420"/>
    </row>
    <row r="3712" spans="17:25">
      <c r="Q3712" s="6">
        <v>3682</v>
      </c>
      <c r="R3712" s="7">
        <v>46349</v>
      </c>
      <c r="S3712" s="210">
        <v>4</v>
      </c>
      <c r="T3712" s="8">
        <v>1.0001111111111112</v>
      </c>
      <c r="U3712" s="98">
        <v>3.9350868995793986</v>
      </c>
      <c r="V3712" s="106">
        <v>35054.240418747075</v>
      </c>
      <c r="W3712" s="10">
        <v>0.99728163374575018</v>
      </c>
      <c r="X3712" s="420"/>
      <c r="Y3712" s="420"/>
    </row>
    <row r="3713" spans="17:25">
      <c r="Q3713" s="6">
        <v>3683</v>
      </c>
      <c r="R3713" s="7">
        <v>46350</v>
      </c>
      <c r="S3713" s="210">
        <v>4</v>
      </c>
      <c r="T3713" s="8">
        <v>1.0001111111111112</v>
      </c>
      <c r="U3713" s="98">
        <v>3.935142125128066</v>
      </c>
      <c r="V3713" s="106">
        <v>35057.060939403309</v>
      </c>
      <c r="W3713" s="10">
        <v>0.99731625692802695</v>
      </c>
      <c r="X3713" s="420"/>
      <c r="Y3713" s="420"/>
    </row>
    <row r="3714" spans="17:25">
      <c r="Q3714" s="6">
        <v>3684</v>
      </c>
      <c r="R3714" s="7">
        <v>46351</v>
      </c>
      <c r="S3714" s="210">
        <v>4</v>
      </c>
      <c r="T3714" s="8">
        <v>1.0001111111111112</v>
      </c>
      <c r="U3714" s="98">
        <v>3.9351973207247593</v>
      </c>
      <c r="V3714" s="106">
        <v>35059.881687003166</v>
      </c>
      <c r="W3714" s="10">
        <v>0.99735086132564099</v>
      </c>
      <c r="X3714" s="420"/>
      <c r="Y3714" s="420"/>
    </row>
    <row r="3715" spans="17:25">
      <c r="Q3715" s="6">
        <v>3685</v>
      </c>
      <c r="R3715" s="7">
        <v>46352</v>
      </c>
      <c r="S3715" s="210">
        <v>4</v>
      </c>
      <c r="T3715" s="8">
        <v>1.0001111111111112</v>
      </c>
      <c r="U3715" s="98">
        <v>3.9352524863938143</v>
      </c>
      <c r="V3715" s="106">
        <v>35062.702661564923</v>
      </c>
      <c r="W3715" s="10">
        <v>0.99738544695384679</v>
      </c>
      <c r="X3715" s="420"/>
      <c r="Y3715" s="420"/>
    </row>
    <row r="3716" spans="17:25">
      <c r="Q3716" s="6">
        <v>3686</v>
      </c>
      <c r="R3716" s="7">
        <v>46353</v>
      </c>
      <c r="S3716" s="210">
        <v>4</v>
      </c>
      <c r="T3716" s="8">
        <v>1.0001111111111112</v>
      </c>
      <c r="U3716" s="98">
        <v>3.9353076221595895</v>
      </c>
      <c r="V3716" s="106">
        <v>35065.523863106842</v>
      </c>
      <c r="W3716" s="10">
        <v>0.99742001382796541</v>
      </c>
      <c r="X3716" s="420"/>
      <c r="Y3716" s="420"/>
    </row>
    <row r="3717" spans="17:25">
      <c r="Q3717" s="6">
        <v>3687</v>
      </c>
      <c r="R3717" s="7">
        <v>46354</v>
      </c>
      <c r="S3717" s="210">
        <v>4</v>
      </c>
      <c r="T3717" s="8">
        <v>1.0001111111111112</v>
      </c>
      <c r="U3717" s="98">
        <v>3.9353627280463988</v>
      </c>
      <c r="V3717" s="106">
        <v>35068.34529164718</v>
      </c>
      <c r="W3717" s="10">
        <v>0.99745456196325133</v>
      </c>
      <c r="X3717" s="420"/>
      <c r="Y3717" s="420"/>
    </row>
    <row r="3718" spans="17:25">
      <c r="Q3718" s="6">
        <v>3688</v>
      </c>
      <c r="R3718" s="7">
        <v>46355</v>
      </c>
      <c r="S3718" s="210">
        <v>4</v>
      </c>
      <c r="T3718" s="8">
        <v>1.0001111111111112</v>
      </c>
      <c r="U3718" s="98">
        <v>3.9354178040785115</v>
      </c>
      <c r="V3718" s="106">
        <v>35071.166947204198</v>
      </c>
      <c r="W3718" s="10">
        <v>0.99748909137489239</v>
      </c>
      <c r="X3718" s="420"/>
      <c r="Y3718" s="420"/>
    </row>
    <row r="3719" spans="17:25">
      <c r="Q3719" s="6">
        <v>3689</v>
      </c>
      <c r="R3719" s="7">
        <v>46356</v>
      </c>
      <c r="S3719" s="210">
        <v>4</v>
      </c>
      <c r="T3719" s="8">
        <v>1.0001111111111112</v>
      </c>
      <c r="U3719" s="98">
        <v>3.9354728502801972</v>
      </c>
      <c r="V3719" s="106">
        <v>35073.988829796173</v>
      </c>
      <c r="W3719" s="10">
        <v>0.99752360207814306</v>
      </c>
      <c r="X3719" s="420"/>
      <c r="Y3719" s="420"/>
    </row>
    <row r="3720" spans="17:25">
      <c r="Q3720" s="6">
        <v>3690</v>
      </c>
      <c r="R3720" s="7">
        <v>46357</v>
      </c>
      <c r="S3720" s="210">
        <v>4</v>
      </c>
      <c r="T3720" s="8">
        <v>1.0001111111111112</v>
      </c>
      <c r="U3720" s="98">
        <v>3.9355278666756588</v>
      </c>
      <c r="V3720" s="106">
        <v>35076.810939441377</v>
      </c>
      <c r="W3720" s="10">
        <v>0.99755809408816898</v>
      </c>
      <c r="X3720" s="420"/>
      <c r="Y3720" s="420"/>
    </row>
    <row r="3721" spans="17:25">
      <c r="Q3721" s="6">
        <v>3691</v>
      </c>
      <c r="R3721" s="7">
        <v>46358</v>
      </c>
      <c r="S3721" s="210">
        <v>4</v>
      </c>
      <c r="T3721" s="8">
        <v>1.0001111111111112</v>
      </c>
      <c r="U3721" s="98">
        <v>3.9355828532891213</v>
      </c>
      <c r="V3721" s="106">
        <v>35079.633276158056</v>
      </c>
      <c r="W3721" s="10">
        <v>0.99759256742018021</v>
      </c>
      <c r="X3721" s="420"/>
      <c r="Y3721" s="420"/>
    </row>
    <row r="3722" spans="17:25">
      <c r="Q3722" s="6">
        <v>3692</v>
      </c>
      <c r="R3722" s="7">
        <v>46359</v>
      </c>
      <c r="S3722" s="210">
        <v>4</v>
      </c>
      <c r="T3722" s="8">
        <v>1.0001111111111112</v>
      </c>
      <c r="U3722" s="98">
        <v>3.9356378101447431</v>
      </c>
      <c r="V3722" s="106">
        <v>35082.455839964503</v>
      </c>
      <c r="W3722" s="10">
        <v>0.99762702208932019</v>
      </c>
      <c r="X3722" s="420"/>
      <c r="Y3722" s="420"/>
    </row>
    <row r="3723" spans="17:25">
      <c r="Q3723" s="6">
        <v>3693</v>
      </c>
      <c r="R3723" s="7">
        <v>46360</v>
      </c>
      <c r="S3723" s="210">
        <v>4</v>
      </c>
      <c r="T3723" s="8">
        <v>1.0001111111111112</v>
      </c>
      <c r="U3723" s="98">
        <v>3.9356927372666828</v>
      </c>
      <c r="V3723" s="106">
        <v>35085.278630878973</v>
      </c>
      <c r="W3723" s="10">
        <v>0.99766145811077678</v>
      </c>
      <c r="X3723" s="420"/>
      <c r="Y3723" s="420"/>
    </row>
    <row r="3724" spans="17:25">
      <c r="Q3724" s="6">
        <v>3694</v>
      </c>
      <c r="R3724" s="7">
        <v>46361</v>
      </c>
      <c r="S3724" s="210">
        <v>4</v>
      </c>
      <c r="T3724" s="8">
        <v>1.0001111111111112</v>
      </c>
      <c r="U3724" s="98">
        <v>3.9357476346790765</v>
      </c>
      <c r="V3724" s="106">
        <v>35088.10164891975</v>
      </c>
      <c r="W3724" s="10">
        <v>0.9976958754996712</v>
      </c>
      <c r="X3724" s="420"/>
      <c r="Y3724" s="420"/>
    </row>
    <row r="3725" spans="17:25">
      <c r="Q3725" s="6">
        <v>3695</v>
      </c>
      <c r="R3725" s="7">
        <v>46362</v>
      </c>
      <c r="S3725" s="210">
        <v>4</v>
      </c>
      <c r="T3725" s="8">
        <v>1.0001111111111112</v>
      </c>
      <c r="U3725" s="98">
        <v>3.9358025024060161</v>
      </c>
      <c r="V3725" s="106">
        <v>35090.924894105112</v>
      </c>
      <c r="W3725" s="10">
        <v>0.9977302742711025</v>
      </c>
      <c r="X3725" s="420"/>
      <c r="Y3725" s="420"/>
    </row>
    <row r="3726" spans="17:25">
      <c r="Q3726" s="6">
        <v>3696</v>
      </c>
      <c r="R3726" s="7">
        <v>46363</v>
      </c>
      <c r="S3726" s="210">
        <v>4</v>
      </c>
      <c r="T3726" s="8">
        <v>1.0001111111111112</v>
      </c>
      <c r="U3726" s="98">
        <v>3.9358573404715491</v>
      </c>
      <c r="V3726" s="106">
        <v>35093.748366453321</v>
      </c>
      <c r="W3726" s="10">
        <v>0.99776465444019191</v>
      </c>
      <c r="X3726" s="420"/>
      <c r="Y3726" s="420"/>
    </row>
    <row r="3727" spans="17:25">
      <c r="Q3727" s="6">
        <v>3697</v>
      </c>
      <c r="R3727" s="7">
        <v>46364</v>
      </c>
      <c r="S3727" s="210">
        <v>4</v>
      </c>
      <c r="T3727" s="8">
        <v>1.0001111111111112</v>
      </c>
      <c r="U3727" s="98">
        <v>3.9359121488997451</v>
      </c>
      <c r="V3727" s="106">
        <v>35096.572065982669</v>
      </c>
      <c r="W3727" s="10">
        <v>0.99779901602201626</v>
      </c>
      <c r="X3727" s="420"/>
      <c r="Y3727" s="420"/>
    </row>
    <row r="3728" spans="17:25">
      <c r="Q3728" s="6">
        <v>3698</v>
      </c>
      <c r="R3728" s="7">
        <v>46365</v>
      </c>
      <c r="S3728" s="210">
        <v>4</v>
      </c>
      <c r="T3728" s="8">
        <v>1.0001111111111112</v>
      </c>
      <c r="U3728" s="98">
        <v>3.9359669277146292</v>
      </c>
      <c r="V3728" s="106">
        <v>35099.395992711427</v>
      </c>
      <c r="W3728" s="10">
        <v>0.99783335903165238</v>
      </c>
      <c r="X3728" s="420"/>
      <c r="Y3728" s="420"/>
    </row>
    <row r="3729" spans="17:25">
      <c r="Q3729" s="6">
        <v>3699</v>
      </c>
      <c r="R3729" s="7">
        <v>46366</v>
      </c>
      <c r="S3729" s="210">
        <v>4</v>
      </c>
      <c r="T3729" s="8">
        <v>1.0001111111111112</v>
      </c>
      <c r="U3729" s="98">
        <v>3.9360216769401823</v>
      </c>
      <c r="V3729" s="106">
        <v>35102.220146657884</v>
      </c>
      <c r="W3729" s="10">
        <v>0.99786768348415489</v>
      </c>
      <c r="X3729" s="420"/>
      <c r="Y3729" s="420"/>
    </row>
    <row r="3730" spans="17:25">
      <c r="Q3730" s="6">
        <v>3700</v>
      </c>
      <c r="R3730" s="7">
        <v>46367</v>
      </c>
      <c r="S3730" s="210">
        <v>4</v>
      </c>
      <c r="T3730" s="8">
        <v>1.0001111111111112</v>
      </c>
      <c r="U3730" s="98">
        <v>3.9360763966003853</v>
      </c>
      <c r="V3730" s="106">
        <v>35105.044527840306</v>
      </c>
      <c r="W3730" s="10">
        <v>0.99790198939455621</v>
      </c>
      <c r="X3730" s="420"/>
      <c r="Y3730" s="420"/>
    </row>
    <row r="3731" spans="17:25">
      <c r="Q3731" s="6">
        <v>3701</v>
      </c>
      <c r="R3731" s="7">
        <v>46368</v>
      </c>
      <c r="S3731" s="210">
        <v>4</v>
      </c>
      <c r="T3731" s="8">
        <v>1.0001111111111112</v>
      </c>
      <c r="U3731" s="98">
        <v>3.9361310867191523</v>
      </c>
      <c r="V3731" s="106">
        <v>35107.869136276997</v>
      </c>
      <c r="W3731" s="10">
        <v>0.99793627677786656</v>
      </c>
      <c r="X3731" s="420"/>
      <c r="Y3731" s="420"/>
    </row>
    <row r="3732" spans="17:25">
      <c r="Q3732" s="6">
        <v>3702</v>
      </c>
      <c r="R3732" s="7">
        <v>46369</v>
      </c>
      <c r="S3732" s="210">
        <v>4</v>
      </c>
      <c r="T3732" s="8">
        <v>1.0001111111111112</v>
      </c>
      <c r="U3732" s="98">
        <v>3.9361857473204198</v>
      </c>
      <c r="V3732" s="106">
        <v>35110.693971986242</v>
      </c>
      <c r="W3732" s="10">
        <v>0.99797054564907395</v>
      </c>
      <c r="X3732" s="420"/>
      <c r="Y3732" s="420"/>
    </row>
    <row r="3733" spans="17:25">
      <c r="Q3733" s="6">
        <v>3703</v>
      </c>
      <c r="R3733" s="7">
        <v>46370</v>
      </c>
      <c r="S3733" s="210">
        <v>4</v>
      </c>
      <c r="T3733" s="8">
        <v>1.0001111111111112</v>
      </c>
      <c r="U3733" s="98">
        <v>3.9362403784280797</v>
      </c>
      <c r="V3733" s="106">
        <v>35113.519034986304</v>
      </c>
      <c r="W3733" s="10">
        <v>0.998004796023233</v>
      </c>
      <c r="X3733" s="420"/>
      <c r="Y3733" s="420"/>
    </row>
    <row r="3734" spans="17:25">
      <c r="Q3734" s="6">
        <v>3704</v>
      </c>
      <c r="R3734" s="7">
        <v>46371</v>
      </c>
      <c r="S3734" s="210">
        <v>4</v>
      </c>
      <c r="T3734" s="8">
        <v>1.0001111111111112</v>
      </c>
      <c r="U3734" s="98">
        <v>3.9362949800660019</v>
      </c>
      <c r="V3734" s="106">
        <v>35116.344325295497</v>
      </c>
      <c r="W3734" s="10">
        <v>0.99803902791526511</v>
      </c>
      <c r="X3734" s="420"/>
      <c r="Y3734" s="420"/>
    </row>
    <row r="3735" spans="17:25">
      <c r="Q3735" s="6">
        <v>3705</v>
      </c>
      <c r="R3735" s="7">
        <v>46372</v>
      </c>
      <c r="S3735" s="210">
        <v>4</v>
      </c>
      <c r="T3735" s="8">
        <v>1.0001111111111112</v>
      </c>
      <c r="U3735" s="98">
        <v>3.9363495522580116</v>
      </c>
      <c r="V3735" s="106">
        <v>35119.16984293209</v>
      </c>
      <c r="W3735" s="10">
        <v>0.99807324134013609</v>
      </c>
      <c r="X3735" s="420"/>
      <c r="Y3735" s="420"/>
    </row>
    <row r="3736" spans="17:25">
      <c r="Q3736" s="6">
        <v>3706</v>
      </c>
      <c r="R3736" s="7">
        <v>46373</v>
      </c>
      <c r="S3736" s="210">
        <v>4</v>
      </c>
      <c r="T3736" s="8">
        <v>1.0001111111111112</v>
      </c>
      <c r="U3736" s="98">
        <v>3.9364040950279344</v>
      </c>
      <c r="V3736" s="106">
        <v>35121.995587914389</v>
      </c>
      <c r="W3736" s="10">
        <v>0.99810743631278953</v>
      </c>
      <c r="X3736" s="420"/>
      <c r="Y3736" s="420"/>
    </row>
    <row r="3737" spans="17:25">
      <c r="Q3737" s="6">
        <v>3707</v>
      </c>
      <c r="R3737" s="7">
        <v>46374</v>
      </c>
      <c r="S3737" s="210">
        <v>4</v>
      </c>
      <c r="T3737" s="8">
        <v>1.0001111111111112</v>
      </c>
      <c r="U3737" s="98">
        <v>3.9364586083995512</v>
      </c>
      <c r="V3737" s="106">
        <v>35124.821560260672</v>
      </c>
      <c r="W3737" s="10">
        <v>0.99814161284814684</v>
      </c>
      <c r="X3737" s="420"/>
      <c r="Y3737" s="420"/>
    </row>
    <row r="3738" spans="17:25">
      <c r="Q3738" s="6">
        <v>3708</v>
      </c>
      <c r="R3738" s="7">
        <v>46375</v>
      </c>
      <c r="S3738" s="210">
        <v>4</v>
      </c>
      <c r="T3738" s="8">
        <v>1.0001111111111112</v>
      </c>
      <c r="U3738" s="98">
        <v>3.9365130923966207</v>
      </c>
      <c r="V3738" s="106">
        <v>35127.647759989253</v>
      </c>
      <c r="W3738" s="10">
        <v>0.99817577096110721</v>
      </c>
      <c r="X3738" s="420"/>
      <c r="Y3738" s="420"/>
    </row>
    <row r="3739" spans="17:25">
      <c r="Q3739" s="6">
        <v>3709</v>
      </c>
      <c r="R3739" s="7">
        <v>46376</v>
      </c>
      <c r="S3739" s="210">
        <v>4</v>
      </c>
      <c r="T3739" s="8">
        <v>1.0001111111111112</v>
      </c>
      <c r="U3739" s="98">
        <v>3.9365675470428796</v>
      </c>
      <c r="V3739" s="106">
        <v>35130.474187118416</v>
      </c>
      <c r="W3739" s="10">
        <v>0.99820991066656983</v>
      </c>
      <c r="X3739" s="420"/>
      <c r="Y3739" s="420"/>
    </row>
    <row r="3740" spans="17:25">
      <c r="Q3740" s="6">
        <v>3710</v>
      </c>
      <c r="R3740" s="7">
        <v>46377</v>
      </c>
      <c r="S3740" s="210">
        <v>4</v>
      </c>
      <c r="T3740" s="8">
        <v>1.0001111111111112</v>
      </c>
      <c r="U3740" s="98">
        <v>3.9366219723620421</v>
      </c>
      <c r="V3740" s="106">
        <v>35133.30084166646</v>
      </c>
      <c r="W3740" s="10">
        <v>0.99824403197941169</v>
      </c>
      <c r="X3740" s="420"/>
      <c r="Y3740" s="420"/>
    </row>
    <row r="3741" spans="17:25">
      <c r="Q3741" s="6">
        <v>3711</v>
      </c>
      <c r="R3741" s="7">
        <v>46378</v>
      </c>
      <c r="S3741" s="210">
        <v>4</v>
      </c>
      <c r="T3741" s="8">
        <v>1.0001111111111112</v>
      </c>
      <c r="U3741" s="98">
        <v>3.9366763683777783</v>
      </c>
      <c r="V3741" s="106">
        <v>35136.127723651683</v>
      </c>
      <c r="W3741" s="10">
        <v>0.99827813491446538</v>
      </c>
      <c r="X3741" s="420"/>
      <c r="Y3741" s="420"/>
    </row>
    <row r="3742" spans="17:25">
      <c r="Q3742" s="6">
        <v>3712</v>
      </c>
      <c r="R3742" s="7">
        <v>46379</v>
      </c>
      <c r="S3742" s="210">
        <v>4</v>
      </c>
      <c r="T3742" s="8">
        <v>1.0001111111111112</v>
      </c>
      <c r="U3742" s="98">
        <v>3.9367307351137804</v>
      </c>
      <c r="V3742" s="106">
        <v>35138.954833092379</v>
      </c>
      <c r="W3742" s="10">
        <v>0.99831221948663007</v>
      </c>
      <c r="X3742" s="420"/>
      <c r="Y3742" s="420"/>
    </row>
    <row r="3743" spans="17:25">
      <c r="Q3743" s="6">
        <v>3713</v>
      </c>
      <c r="R3743" s="7">
        <v>46380</v>
      </c>
      <c r="S3743" s="210">
        <v>4</v>
      </c>
      <c r="T3743" s="8">
        <v>1.0001111111111112</v>
      </c>
      <c r="U3743" s="98">
        <v>3.9367850725936515</v>
      </c>
      <c r="V3743" s="106">
        <v>35141.78217000686</v>
      </c>
      <c r="W3743" s="10">
        <v>0.99834628571069395</v>
      </c>
      <c r="X3743" s="420"/>
      <c r="Y3743" s="420"/>
    </row>
    <row r="3744" spans="17:25">
      <c r="Q3744" s="6">
        <v>3714</v>
      </c>
      <c r="R3744" s="7">
        <v>46381</v>
      </c>
      <c r="S3744" s="210">
        <v>4</v>
      </c>
      <c r="T3744" s="8">
        <v>1.0001111111111112</v>
      </c>
      <c r="U3744" s="98">
        <v>3.9368393808410174</v>
      </c>
      <c r="V3744" s="106">
        <v>35144.609734413425</v>
      </c>
      <c r="W3744" s="10">
        <v>0.99838033360146738</v>
      </c>
      <c r="X3744" s="420"/>
      <c r="Y3744" s="420"/>
    </row>
    <row r="3745" spans="17:25">
      <c r="Q3745" s="6">
        <v>3715</v>
      </c>
      <c r="R3745" s="7">
        <v>46382</v>
      </c>
      <c r="S3745" s="210">
        <v>4</v>
      </c>
      <c r="T3745" s="8">
        <v>1.0001111111111112</v>
      </c>
      <c r="U3745" s="98">
        <v>3.9368936598794591</v>
      </c>
      <c r="V3745" s="106">
        <v>35147.437526330374</v>
      </c>
      <c r="W3745" s="10">
        <v>0.99841436317376075</v>
      </c>
      <c r="X3745" s="420"/>
      <c r="Y3745" s="420"/>
    </row>
    <row r="3746" spans="17:25">
      <c r="Q3746" s="6">
        <v>3716</v>
      </c>
      <c r="R3746" s="7">
        <v>46383</v>
      </c>
      <c r="S3746" s="210">
        <v>4</v>
      </c>
      <c r="T3746" s="8">
        <v>1.0001111111111112</v>
      </c>
      <c r="U3746" s="98">
        <v>3.9369479097325355</v>
      </c>
      <c r="V3746" s="106">
        <v>35150.265545776019</v>
      </c>
      <c r="W3746" s="10">
        <v>0.99844837444236223</v>
      </c>
      <c r="X3746" s="420"/>
      <c r="Y3746" s="420"/>
    </row>
    <row r="3747" spans="17:25">
      <c r="Q3747" s="6">
        <v>3717</v>
      </c>
      <c r="R3747" s="7">
        <v>46384</v>
      </c>
      <c r="S3747" s="210">
        <v>4</v>
      </c>
      <c r="T3747" s="8">
        <v>1.0001111111111112</v>
      </c>
      <c r="U3747" s="98">
        <v>3.9370021304237834</v>
      </c>
      <c r="V3747" s="106">
        <v>35153.093792768661</v>
      </c>
      <c r="W3747" s="10">
        <v>0.99848236742201557</v>
      </c>
      <c r="X3747" s="420"/>
      <c r="Y3747" s="420"/>
    </row>
    <row r="3748" spans="17:25">
      <c r="Q3748" s="6">
        <v>3718</v>
      </c>
      <c r="R3748" s="7">
        <v>46385</v>
      </c>
      <c r="S3748" s="210">
        <v>4</v>
      </c>
      <c r="T3748" s="8">
        <v>1.0001111111111112</v>
      </c>
      <c r="U3748" s="98">
        <v>3.9370563219766952</v>
      </c>
      <c r="V3748" s="106">
        <v>35155.922267326612</v>
      </c>
      <c r="W3748" s="10">
        <v>0.99851634212746454</v>
      </c>
      <c r="X3748" s="420"/>
      <c r="Y3748" s="420"/>
    </row>
    <row r="3749" spans="17:25">
      <c r="Q3749" s="6">
        <v>3719</v>
      </c>
      <c r="R3749" s="7">
        <v>46386</v>
      </c>
      <c r="S3749" s="210">
        <v>4</v>
      </c>
      <c r="T3749" s="8">
        <v>1.0001111111111112</v>
      </c>
      <c r="U3749" s="98">
        <v>3.9371104844147631</v>
      </c>
      <c r="V3749" s="106">
        <v>35158.750969468187</v>
      </c>
      <c r="W3749" s="10">
        <v>0.9985502985734529</v>
      </c>
      <c r="X3749" s="420"/>
      <c r="Y3749" s="420"/>
    </row>
    <row r="3750" spans="17:25">
      <c r="Q3750" s="6">
        <v>3720</v>
      </c>
      <c r="R3750" s="7">
        <v>46387</v>
      </c>
      <c r="S3750" s="210">
        <v>4</v>
      </c>
      <c r="T3750" s="8">
        <v>1.0001111111111112</v>
      </c>
      <c r="U3750" s="98">
        <v>3.937164617761435</v>
      </c>
      <c r="V3750" s="106">
        <v>35161.579899211691</v>
      </c>
      <c r="W3750" s="10">
        <v>0.99858423677468</v>
      </c>
      <c r="X3750" s="420"/>
      <c r="Y3750" s="420"/>
    </row>
    <row r="3751" spans="17:25">
      <c r="Q3751" s="6">
        <v>3721</v>
      </c>
      <c r="R3751" s="7">
        <v>46388</v>
      </c>
      <c r="S3751" s="210">
        <v>4</v>
      </c>
      <c r="T3751" s="8">
        <v>1.0001111111111112</v>
      </c>
      <c r="U3751" s="98">
        <v>3.9372187220401589</v>
      </c>
      <c r="V3751" s="106">
        <v>35164.409056575445</v>
      </c>
      <c r="W3751" s="10">
        <v>0.99861815674588961</v>
      </c>
      <c r="X3751" s="420"/>
      <c r="Y3751" s="420"/>
    </row>
    <row r="3752" spans="17:25">
      <c r="Q3752" s="6">
        <v>3722</v>
      </c>
      <c r="R3752" s="7">
        <v>46389</v>
      </c>
      <c r="S3752" s="210">
        <v>4</v>
      </c>
      <c r="T3752" s="8">
        <v>1.0001111111111112</v>
      </c>
      <c r="U3752" s="98">
        <v>3.9372727972743382</v>
      </c>
      <c r="V3752" s="106">
        <v>35167.238441577749</v>
      </c>
      <c r="W3752" s="10">
        <v>0.99865205850173666</v>
      </c>
      <c r="X3752" s="420"/>
      <c r="Y3752" s="420"/>
    </row>
    <row r="3753" spans="17:25">
      <c r="Q3753" s="6">
        <v>3723</v>
      </c>
      <c r="R3753" s="7">
        <v>46390</v>
      </c>
      <c r="S3753" s="210">
        <v>4</v>
      </c>
      <c r="T3753" s="8">
        <v>1.0001111111111112</v>
      </c>
      <c r="U3753" s="98">
        <v>3.9373268434873321</v>
      </c>
      <c r="V3753" s="106">
        <v>35170.06805423693</v>
      </c>
      <c r="W3753" s="10">
        <v>0.9986859420568539</v>
      </c>
      <c r="X3753" s="420"/>
      <c r="Y3753" s="420"/>
    </row>
    <row r="3754" spans="17:25">
      <c r="Q3754" s="6">
        <v>3724</v>
      </c>
      <c r="R3754" s="7">
        <v>46391</v>
      </c>
      <c r="S3754" s="210">
        <v>4</v>
      </c>
      <c r="T3754" s="8">
        <v>1.0001111111111112</v>
      </c>
      <c r="U3754" s="98">
        <v>3.9373808607025218</v>
      </c>
      <c r="V3754" s="106">
        <v>35172.89789457131</v>
      </c>
      <c r="W3754" s="10">
        <v>0.99871980742596289</v>
      </c>
      <c r="X3754" s="420"/>
      <c r="Y3754" s="420"/>
    </row>
    <row r="3755" spans="17:25">
      <c r="Q3755" s="6">
        <v>3725</v>
      </c>
      <c r="R3755" s="7">
        <v>46392</v>
      </c>
      <c r="S3755" s="210">
        <v>4</v>
      </c>
      <c r="T3755" s="8">
        <v>1.0001111111111112</v>
      </c>
      <c r="U3755" s="98">
        <v>3.937434848943222</v>
      </c>
      <c r="V3755" s="106">
        <v>35175.727962599201</v>
      </c>
      <c r="W3755" s="10">
        <v>0.99875365462365195</v>
      </c>
      <c r="X3755" s="420"/>
      <c r="Y3755" s="420"/>
    </row>
    <row r="3756" spans="17:25">
      <c r="Q3756" s="6">
        <v>3726</v>
      </c>
      <c r="R3756" s="7">
        <v>46393</v>
      </c>
      <c r="S3756" s="210">
        <v>4</v>
      </c>
      <c r="T3756" s="8">
        <v>1.0001111111111112</v>
      </c>
      <c r="U3756" s="98">
        <v>3.9374888082327475</v>
      </c>
      <c r="V3756" s="106">
        <v>35178.558258338919</v>
      </c>
      <c r="W3756" s="10">
        <v>0.99878748366457604</v>
      </c>
      <c r="X3756" s="420"/>
      <c r="Y3756" s="420"/>
    </row>
    <row r="3757" spans="17:25">
      <c r="Q3757" s="6">
        <v>3727</v>
      </c>
      <c r="R3757" s="7">
        <v>46394</v>
      </c>
      <c r="S3757" s="210">
        <v>4</v>
      </c>
      <c r="T3757" s="8">
        <v>1.0001111111111112</v>
      </c>
      <c r="U3757" s="98">
        <v>3.9375427385943906</v>
      </c>
      <c r="V3757" s="106">
        <v>35181.38878180879</v>
      </c>
      <c r="W3757" s="10">
        <v>0.99882129456332347</v>
      </c>
      <c r="X3757" s="420"/>
      <c r="Y3757" s="420"/>
    </row>
    <row r="3758" spans="17:25">
      <c r="Q3758" s="6">
        <v>3728</v>
      </c>
      <c r="R3758" s="7">
        <v>46395</v>
      </c>
      <c r="S3758" s="210">
        <v>4</v>
      </c>
      <c r="T3758" s="8">
        <v>1.0001111111111112</v>
      </c>
      <c r="U3758" s="98">
        <v>3.9375966400513995</v>
      </c>
      <c r="V3758" s="106">
        <v>35184.21953302715</v>
      </c>
      <c r="W3758" s="10">
        <v>0.99885508733448258</v>
      </c>
      <c r="X3758" s="420"/>
      <c r="Y3758" s="420"/>
    </row>
    <row r="3759" spans="17:25">
      <c r="Q3759" s="6">
        <v>3729</v>
      </c>
      <c r="R3759" s="7">
        <v>46396</v>
      </c>
      <c r="S3759" s="210">
        <v>4</v>
      </c>
      <c r="T3759" s="8">
        <v>1.0001111111111112</v>
      </c>
      <c r="U3759" s="98">
        <v>3.9376505126270001</v>
      </c>
      <c r="V3759" s="106">
        <v>35187.050512012305</v>
      </c>
      <c r="W3759" s="10">
        <v>0.9988888619926195</v>
      </c>
      <c r="X3759" s="420"/>
      <c r="Y3759" s="420"/>
    </row>
    <row r="3760" spans="17:25">
      <c r="Q3760" s="6">
        <v>3730</v>
      </c>
      <c r="R3760" s="7">
        <v>46397</v>
      </c>
      <c r="S3760" s="210">
        <v>4</v>
      </c>
      <c r="T3760" s="8">
        <v>1.0001111111111112</v>
      </c>
      <c r="U3760" s="98">
        <v>3.9377043563443959</v>
      </c>
      <c r="V3760" s="106">
        <v>35189.881718782599</v>
      </c>
      <c r="W3760" s="10">
        <v>0.99892261855232256</v>
      </c>
      <c r="X3760" s="420"/>
      <c r="Y3760" s="420"/>
    </row>
    <row r="3761" spans="14:25">
      <c r="Q3761" s="6">
        <v>3731</v>
      </c>
      <c r="R3761" s="7">
        <v>46398</v>
      </c>
      <c r="S3761" s="210">
        <v>4</v>
      </c>
      <c r="T3761" s="8">
        <v>1.0001111111111112</v>
      </c>
      <c r="U3761" s="98">
        <v>3.9377581712267684</v>
      </c>
      <c r="V3761" s="106">
        <v>35192.713153356337</v>
      </c>
      <c r="W3761" s="10">
        <v>0.99895635702811347</v>
      </c>
      <c r="X3761" s="420"/>
      <c r="Y3761" s="420"/>
    </row>
    <row r="3762" spans="14:25">
      <c r="Q3762" s="6">
        <v>3732</v>
      </c>
      <c r="R3762" s="7">
        <v>46399</v>
      </c>
      <c r="S3762" s="210">
        <v>4</v>
      </c>
      <c r="T3762" s="8">
        <v>1.0001111111111112</v>
      </c>
      <c r="U3762" s="98">
        <v>3.9378119572972992</v>
      </c>
      <c r="V3762" s="106">
        <v>35195.544815751877</v>
      </c>
      <c r="W3762" s="10">
        <v>0.99899007743453616</v>
      </c>
      <c r="X3762" s="420"/>
      <c r="Y3762" s="420"/>
    </row>
    <row r="3763" spans="14:25">
      <c r="Q3763" s="6">
        <v>3733</v>
      </c>
      <c r="R3763" s="7">
        <v>46400</v>
      </c>
      <c r="S3763" s="210">
        <v>4</v>
      </c>
      <c r="T3763" s="8">
        <v>1.0001111111111112</v>
      </c>
      <c r="U3763" s="98">
        <v>3.9378657145790807</v>
      </c>
      <c r="V3763" s="106">
        <v>35198.376705987524</v>
      </c>
      <c r="W3763" s="10">
        <v>0.99902377978606793</v>
      </c>
      <c r="X3763" s="420"/>
      <c r="Y3763" s="420"/>
    </row>
    <row r="3764" spans="14:25">
      <c r="Q3764" s="6">
        <v>3734</v>
      </c>
      <c r="R3764" s="7">
        <v>46401</v>
      </c>
      <c r="S3764" s="210">
        <v>4</v>
      </c>
      <c r="T3764" s="8">
        <v>1.0001111111111112</v>
      </c>
      <c r="U3764" s="98">
        <v>3.9379194430952502</v>
      </c>
      <c r="V3764" s="106">
        <v>35201.208824081623</v>
      </c>
      <c r="W3764" s="10">
        <v>0.99905746409723051</v>
      </c>
      <c r="X3764" s="420"/>
      <c r="Y3764" s="420"/>
    </row>
    <row r="3765" spans="14:25">
      <c r="Q3765" s="6">
        <v>3735</v>
      </c>
      <c r="R3765" s="7">
        <v>46402</v>
      </c>
      <c r="S3765" s="210">
        <v>4</v>
      </c>
      <c r="T3765" s="8">
        <v>1.0001111111111112</v>
      </c>
      <c r="U3765" s="98">
        <v>3.937973142868878</v>
      </c>
      <c r="V3765" s="106">
        <v>35204.041170052515</v>
      </c>
      <c r="W3765" s="10">
        <v>0.99909113038250119</v>
      </c>
      <c r="X3765" s="420"/>
      <c r="Y3765" s="420"/>
    </row>
    <row r="3766" spans="14:25">
      <c r="Q3766" s="6">
        <v>3736</v>
      </c>
      <c r="R3766" s="7">
        <v>46403</v>
      </c>
      <c r="S3766" s="210">
        <v>4</v>
      </c>
      <c r="T3766" s="8">
        <v>1.0001111111111112</v>
      </c>
      <c r="U3766" s="98">
        <v>3.9380268139230346</v>
      </c>
      <c r="V3766" s="106">
        <v>35206.873743918521</v>
      </c>
      <c r="W3766" s="10">
        <v>0.9991247786563795</v>
      </c>
      <c r="X3766" s="420"/>
      <c r="Y3766" s="420"/>
    </row>
    <row r="3767" spans="14:25">
      <c r="N3767" s="23">
        <v>10950</v>
      </c>
      <c r="Q3767" s="6">
        <v>3737</v>
      </c>
      <c r="R3767" s="7">
        <v>46404</v>
      </c>
      <c r="S3767" s="210">
        <v>4</v>
      </c>
      <c r="T3767" s="8">
        <v>1.0001111111111112</v>
      </c>
      <c r="U3767" s="98">
        <v>3.9380804562807459</v>
      </c>
      <c r="V3767" s="106">
        <v>35209.706545697976</v>
      </c>
      <c r="W3767" s="10">
        <v>0.99915840893327612</v>
      </c>
      <c r="X3767" s="420"/>
      <c r="Y3767" s="420"/>
    </row>
    <row r="3768" spans="14:25">
      <c r="Q3768" s="6">
        <v>3738</v>
      </c>
      <c r="R3768" s="7">
        <v>46405</v>
      </c>
      <c r="S3768" s="210">
        <v>4</v>
      </c>
      <c r="T3768" s="8">
        <v>1.0001111111111112</v>
      </c>
      <c r="U3768" s="98">
        <v>3.9381340699650158</v>
      </c>
      <c r="V3768" s="106">
        <v>35212.539575409231</v>
      </c>
      <c r="W3768" s="10">
        <v>0.99919202122762396</v>
      </c>
      <c r="X3768" s="420"/>
      <c r="Y3768" s="420"/>
    </row>
    <row r="3769" spans="14:25">
      <c r="Q3769" s="6">
        <v>3739</v>
      </c>
      <c r="R3769" s="7">
        <v>46406</v>
      </c>
      <c r="S3769" s="210">
        <v>4</v>
      </c>
      <c r="T3769" s="8">
        <v>1.0001111111111112</v>
      </c>
      <c r="U3769" s="98">
        <v>3.9381876549988259</v>
      </c>
      <c r="V3769" s="106">
        <v>35215.372833070629</v>
      </c>
      <c r="W3769" s="10">
        <v>0.99922561555383371</v>
      </c>
      <c r="X3769" s="420"/>
      <c r="Y3769" s="420"/>
    </row>
    <row r="3770" spans="14:25">
      <c r="Q3770" s="6">
        <v>3740</v>
      </c>
      <c r="R3770" s="7">
        <v>46407</v>
      </c>
      <c r="S3770" s="210">
        <v>4</v>
      </c>
      <c r="T3770" s="8">
        <v>1.0001111111111112</v>
      </c>
      <c r="U3770" s="98">
        <v>3.9382412114051357</v>
      </c>
      <c r="V3770" s="106">
        <v>35218.20631870049</v>
      </c>
      <c r="W3770" s="10">
        <v>0.99925919192633827</v>
      </c>
      <c r="X3770" s="420"/>
      <c r="Y3770" s="420"/>
    </row>
    <row r="3771" spans="14:25">
      <c r="Q3771" s="6">
        <v>3741</v>
      </c>
      <c r="R3771" s="7">
        <v>46408</v>
      </c>
      <c r="S3771" s="210">
        <v>4</v>
      </c>
      <c r="T3771" s="8">
        <v>1.0001111111111112</v>
      </c>
      <c r="U3771" s="98">
        <v>3.9382947392068823</v>
      </c>
      <c r="V3771" s="106">
        <v>35221.040032317171</v>
      </c>
      <c r="W3771" s="10">
        <v>0.99929275035952614</v>
      </c>
      <c r="X3771" s="420"/>
      <c r="Y3771" s="420"/>
    </row>
    <row r="3772" spans="14:25">
      <c r="Q3772" s="6">
        <v>3742</v>
      </c>
      <c r="R3772" s="7">
        <v>46409</v>
      </c>
      <c r="S3772" s="210">
        <v>4</v>
      </c>
      <c r="T3772" s="8">
        <v>1.0001111111111112</v>
      </c>
      <c r="U3772" s="98">
        <v>3.9383482384269808</v>
      </c>
      <c r="V3772" s="106">
        <v>35223.873973939022</v>
      </c>
      <c r="W3772" s="10">
        <v>0.99932629086774138</v>
      </c>
      <c r="X3772" s="420"/>
      <c r="Y3772" s="420"/>
    </row>
    <row r="3773" spans="14:25">
      <c r="Q3773" s="6">
        <v>3743</v>
      </c>
      <c r="R3773" s="7">
        <v>46410</v>
      </c>
      <c r="S3773" s="210">
        <v>4</v>
      </c>
      <c r="T3773" s="8">
        <v>1.0001111111111112</v>
      </c>
      <c r="U3773" s="98">
        <v>3.9384017090883239</v>
      </c>
      <c r="V3773" s="106">
        <v>35226.708143584387</v>
      </c>
      <c r="W3773" s="10">
        <v>0.9993598134653725</v>
      </c>
      <c r="X3773" s="420"/>
      <c r="Y3773" s="420"/>
    </row>
    <row r="3774" spans="14:25">
      <c r="Q3774" s="6">
        <v>3744</v>
      </c>
      <c r="R3774" s="7">
        <v>46411</v>
      </c>
      <c r="S3774" s="210">
        <v>4</v>
      </c>
      <c r="T3774" s="8">
        <v>1.0001111111111112</v>
      </c>
      <c r="U3774" s="98">
        <v>3.93845515121376</v>
      </c>
      <c r="V3774" s="106">
        <v>35229.542541271592</v>
      </c>
      <c r="W3774" s="10">
        <v>0.99939331816676358</v>
      </c>
      <c r="X3774" s="420"/>
      <c r="Y3774" s="420"/>
    </row>
    <row r="3775" spans="14:25">
      <c r="Q3775" s="6">
        <v>3745</v>
      </c>
      <c r="R3775" s="7">
        <v>46412</v>
      </c>
      <c r="S3775" s="210">
        <v>4</v>
      </c>
      <c r="T3775" s="8">
        <v>1.0001111111111112</v>
      </c>
      <c r="U3775" s="98">
        <v>3.9385085648261375</v>
      </c>
      <c r="V3775" s="106">
        <v>35232.377167019011</v>
      </c>
      <c r="W3775" s="10">
        <v>0.99942680498621428</v>
      </c>
      <c r="X3775" s="420"/>
      <c r="Y3775" s="420"/>
    </row>
    <row r="3776" spans="14:25">
      <c r="Q3776" s="6">
        <v>3746</v>
      </c>
      <c r="R3776" s="7">
        <v>46413</v>
      </c>
      <c r="S3776" s="210">
        <v>4</v>
      </c>
      <c r="T3776" s="8">
        <v>1.0001111111111112</v>
      </c>
      <c r="U3776" s="98">
        <v>3.9385619499482605</v>
      </c>
      <c r="V3776" s="106">
        <v>35235.212020844978</v>
      </c>
      <c r="W3776" s="10">
        <v>0.99946027393806869</v>
      </c>
      <c r="X3776" s="420"/>
      <c r="Y3776" s="420"/>
    </row>
    <row r="3777" spans="17:25">
      <c r="Q3777" s="6">
        <v>3747</v>
      </c>
      <c r="R3777" s="7">
        <v>46414</v>
      </c>
      <c r="S3777" s="210">
        <v>4</v>
      </c>
      <c r="T3777" s="8">
        <v>1.0001111111111112</v>
      </c>
      <c r="U3777" s="98">
        <v>3.9386153066029328</v>
      </c>
      <c r="V3777" s="106">
        <v>35238.047102767858</v>
      </c>
      <c r="W3777" s="10">
        <v>0.99949372503660427</v>
      </c>
      <c r="X3777" s="420"/>
      <c r="Y3777" s="420"/>
    </row>
    <row r="3778" spans="17:25">
      <c r="Q3778" s="6">
        <v>3748</v>
      </c>
      <c r="R3778" s="7">
        <v>46415</v>
      </c>
      <c r="S3778" s="210">
        <v>4</v>
      </c>
      <c r="T3778" s="8">
        <v>1.0001111111111112</v>
      </c>
      <c r="U3778" s="98">
        <v>3.9386686348128919</v>
      </c>
      <c r="V3778" s="106">
        <v>35240.882412805993</v>
      </c>
      <c r="W3778" s="10">
        <v>0.9995271582960763</v>
      </c>
      <c r="X3778" s="420"/>
      <c r="Y3778" s="420"/>
    </row>
    <row r="3779" spans="17:25">
      <c r="Q3779" s="6">
        <v>3749</v>
      </c>
      <c r="R3779" s="7">
        <v>46416</v>
      </c>
      <c r="S3779" s="210">
        <v>4</v>
      </c>
      <c r="T3779" s="8">
        <v>1.0001111111111112</v>
      </c>
      <c r="U3779" s="98">
        <v>3.9387219346008973</v>
      </c>
      <c r="V3779" s="106">
        <v>35243.717950977742</v>
      </c>
      <c r="W3779" s="10">
        <v>0.99956057373080665</v>
      </c>
      <c r="X3779" s="420"/>
      <c r="Y3779" s="420"/>
    </row>
    <row r="3780" spans="17:25">
      <c r="Q3780" s="6">
        <v>3750</v>
      </c>
      <c r="R3780" s="7">
        <v>46417</v>
      </c>
      <c r="S3780" s="210">
        <v>4</v>
      </c>
      <c r="T3780" s="8">
        <v>1.0001111111111112</v>
      </c>
      <c r="U3780" s="98">
        <v>3.9387752059896641</v>
      </c>
      <c r="V3780" s="106">
        <v>35246.55371730146</v>
      </c>
      <c r="W3780" s="10">
        <v>0.99959397135500616</v>
      </c>
      <c r="X3780" s="420"/>
      <c r="Y3780" s="420"/>
    </row>
    <row r="3781" spans="17:25">
      <c r="Q3781" s="6">
        <v>3751</v>
      </c>
      <c r="R3781" s="7">
        <v>46418</v>
      </c>
      <c r="S3781" s="210">
        <v>4</v>
      </c>
      <c r="T3781" s="8">
        <v>1.0001111111111112</v>
      </c>
      <c r="U3781" s="98">
        <v>3.9388284490018854</v>
      </c>
      <c r="V3781" s="106">
        <v>35249.389711795506</v>
      </c>
      <c r="W3781" s="10">
        <v>0.99962735118293011</v>
      </c>
      <c r="X3781" s="420"/>
      <c r="Y3781" s="420"/>
    </row>
    <row r="3782" spans="17:25">
      <c r="Q3782" s="6">
        <v>3752</v>
      </c>
      <c r="R3782" s="7">
        <v>46419</v>
      </c>
      <c r="S3782" s="210">
        <v>4</v>
      </c>
      <c r="T3782" s="8">
        <v>1.0001111111111112</v>
      </c>
      <c r="U3782" s="98">
        <v>3.9388816636602098</v>
      </c>
      <c r="V3782" s="106">
        <v>35252.225934478229</v>
      </c>
      <c r="W3782" s="10">
        <v>0.99966071322878935</v>
      </c>
      <c r="X3782" s="420"/>
      <c r="Y3782" s="420"/>
    </row>
    <row r="3783" spans="17:25">
      <c r="Q3783" s="6">
        <v>3753</v>
      </c>
      <c r="R3783" s="7">
        <v>46420</v>
      </c>
      <c r="S3783" s="210">
        <v>4</v>
      </c>
      <c r="T3783" s="8">
        <v>1.0001111111111112</v>
      </c>
      <c r="U3783" s="98">
        <v>3.9389348499872856</v>
      </c>
      <c r="V3783" s="106">
        <v>35255.062385368008</v>
      </c>
      <c r="W3783" s="10">
        <v>0.99969405750679474</v>
      </c>
      <c r="X3783" s="420"/>
      <c r="Y3783" s="420"/>
    </row>
    <row r="3784" spans="17:25">
      <c r="Q3784" s="6">
        <v>3754</v>
      </c>
      <c r="R3784" s="7">
        <v>46421</v>
      </c>
      <c r="S3784" s="210">
        <v>4</v>
      </c>
      <c r="T3784" s="8">
        <v>1.0001111111111112</v>
      </c>
      <c r="U3784" s="98">
        <v>3.9389880080057393</v>
      </c>
      <c r="V3784" s="106">
        <v>35257.899064483194</v>
      </c>
      <c r="W3784" s="10">
        <v>0.99972738403111272</v>
      </c>
      <c r="X3784" s="420"/>
      <c r="Y3784" s="420"/>
    </row>
    <row r="3785" spans="17:25">
      <c r="Q3785" s="6">
        <v>3755</v>
      </c>
      <c r="R3785" s="7">
        <v>46422</v>
      </c>
      <c r="S3785" s="210">
        <v>4</v>
      </c>
      <c r="T3785" s="8">
        <v>1.0001111111111112</v>
      </c>
      <c r="U3785" s="98">
        <v>3.9390411377381751</v>
      </c>
      <c r="V3785" s="106">
        <v>35260.73597184215</v>
      </c>
      <c r="W3785" s="10">
        <v>0.99976069281595414</v>
      </c>
      <c r="X3785" s="420"/>
      <c r="Y3785" s="420"/>
    </row>
    <row r="3786" spans="17:25">
      <c r="Q3786" s="6">
        <v>3756</v>
      </c>
      <c r="R3786" s="7">
        <v>46423</v>
      </c>
      <c r="S3786" s="210">
        <v>4</v>
      </c>
      <c r="T3786" s="8">
        <v>1.0001111111111112</v>
      </c>
      <c r="U3786" s="98">
        <v>3.9390942392071526</v>
      </c>
      <c r="V3786" s="106">
        <v>35263.573107463242</v>
      </c>
      <c r="W3786" s="10">
        <v>0.99979398387546325</v>
      </c>
      <c r="X3786" s="420"/>
      <c r="Y3786" s="420"/>
    </row>
    <row r="3787" spans="17:25">
      <c r="Q3787" s="6">
        <v>3757</v>
      </c>
      <c r="R3787" s="7">
        <v>46424</v>
      </c>
      <c r="S3787" s="210">
        <v>4</v>
      </c>
      <c r="T3787" s="8">
        <v>1.0001111111111112</v>
      </c>
      <c r="U3787" s="98">
        <v>3.9391473124352316</v>
      </c>
      <c r="V3787" s="106">
        <v>35266.410471364834</v>
      </c>
      <c r="W3787" s="10">
        <v>0.9998272572238065</v>
      </c>
      <c r="X3787" s="420"/>
      <c r="Y3787" s="420"/>
    </row>
    <row r="3788" spans="17:25">
      <c r="Q3788" s="6">
        <v>3758</v>
      </c>
      <c r="R3788" s="7">
        <v>46425</v>
      </c>
      <c r="S3788" s="210">
        <v>4</v>
      </c>
      <c r="T3788" s="8">
        <v>1.0001111111111112</v>
      </c>
      <c r="U3788" s="98">
        <v>3.9392003574449053</v>
      </c>
      <c r="V3788" s="106">
        <v>35269.248063565297</v>
      </c>
      <c r="W3788" s="10">
        <v>0.9998605128750615</v>
      </c>
      <c r="X3788" s="420"/>
      <c r="Y3788" s="420"/>
    </row>
    <row r="3789" spans="17:25">
      <c r="Q3789" s="6">
        <v>3759</v>
      </c>
      <c r="R3789" s="7">
        <v>46426</v>
      </c>
      <c r="S3789" s="210">
        <v>4</v>
      </c>
      <c r="T3789" s="8">
        <v>1.0001111111111112</v>
      </c>
      <c r="U3789" s="98">
        <v>3.939253374258711</v>
      </c>
      <c r="V3789" s="106">
        <v>35272.085884083004</v>
      </c>
      <c r="W3789" s="10">
        <v>0.99989375084341692</v>
      </c>
      <c r="X3789" s="420"/>
      <c r="Y3789" s="420"/>
    </row>
    <row r="3790" spans="17:25">
      <c r="Q3790" s="6">
        <v>3760</v>
      </c>
      <c r="R3790" s="7">
        <v>46427</v>
      </c>
      <c r="S3790" s="210">
        <v>4</v>
      </c>
      <c r="T3790" s="8">
        <v>1.0001111111111112</v>
      </c>
      <c r="U3790" s="98">
        <v>3.9393063628990976</v>
      </c>
      <c r="V3790" s="106">
        <v>35274.923932936319</v>
      </c>
      <c r="W3790" s="10">
        <v>0.99992697114290596</v>
      </c>
      <c r="X3790" s="420"/>
      <c r="Y3790" s="420"/>
    </row>
    <row r="3791" spans="17:25">
      <c r="Q3791" s="6">
        <v>3761</v>
      </c>
      <c r="R3791" s="7">
        <v>46428</v>
      </c>
      <c r="S3791" s="210">
        <v>4</v>
      </c>
      <c r="T3791" s="8">
        <v>1.0001111111111112</v>
      </c>
      <c r="U3791" s="98">
        <v>3.9393593233885138</v>
      </c>
      <c r="V3791" s="106">
        <v>35277.762210143621</v>
      </c>
      <c r="W3791" s="10">
        <v>0.99996017378762847</v>
      </c>
      <c r="X3791" s="420"/>
      <c r="Y3791" s="420"/>
    </row>
    <row r="3792" spans="17:25">
      <c r="Q3792" s="6">
        <v>3762</v>
      </c>
      <c r="R3792" s="7">
        <v>46429</v>
      </c>
      <c r="S3792" s="210">
        <v>4</v>
      </c>
      <c r="T3792" s="8">
        <v>1.0001111111111112</v>
      </c>
      <c r="U3792" s="98">
        <v>3.9394122557494082</v>
      </c>
      <c r="V3792" s="106">
        <v>35280.600715723274</v>
      </c>
      <c r="W3792" s="10">
        <v>0.99999335879168427</v>
      </c>
      <c r="X3792" s="420"/>
      <c r="Y3792" s="420"/>
    </row>
    <row r="3793" spans="17:25">
      <c r="Q3793" s="6">
        <v>3763</v>
      </c>
      <c r="R3793" s="7">
        <v>46430</v>
      </c>
      <c r="S3793" s="210">
        <v>4</v>
      </c>
      <c r="T3793" s="8">
        <v>1.0001111111111112</v>
      </c>
      <c r="U3793" s="98">
        <v>3.939465160004163</v>
      </c>
      <c r="V3793" s="106">
        <v>35283.439449693658</v>
      </c>
      <c r="W3793" s="10">
        <v>1.0000265261690844</v>
      </c>
      <c r="X3793" s="420"/>
      <c r="Y3793" s="420"/>
    </row>
    <row r="3794" spans="17:25">
      <c r="Q3794" s="6">
        <v>3764</v>
      </c>
      <c r="R3794" s="7">
        <v>46431</v>
      </c>
      <c r="S3794" s="210">
        <v>4</v>
      </c>
      <c r="T3794" s="8">
        <v>1.0001111111111112</v>
      </c>
      <c r="U3794" s="98">
        <v>3.9395180361751825</v>
      </c>
      <c r="V3794" s="106">
        <v>35286.278412073152</v>
      </c>
      <c r="W3794" s="10">
        <v>1.0000596759339286</v>
      </c>
      <c r="X3794" s="420"/>
      <c r="Y3794" s="420"/>
    </row>
    <row r="3795" spans="17:25">
      <c r="Q3795" s="6">
        <v>3765</v>
      </c>
      <c r="R3795" s="7">
        <v>46432</v>
      </c>
      <c r="S3795" s="210">
        <v>4</v>
      </c>
      <c r="T3795" s="8">
        <v>1.0001111111111112</v>
      </c>
      <c r="U3795" s="98">
        <v>3.9395708842848043</v>
      </c>
      <c r="V3795" s="106">
        <v>35289.117602880135</v>
      </c>
      <c r="W3795" s="10">
        <v>1.0000928081001836</v>
      </c>
      <c r="X3795" s="420"/>
      <c r="Y3795" s="420"/>
    </row>
    <row r="3796" spans="17:25">
      <c r="Q3796" s="6">
        <v>3766</v>
      </c>
      <c r="R3796" s="7">
        <v>46433</v>
      </c>
      <c r="S3796" s="210">
        <v>4</v>
      </c>
      <c r="T3796" s="8">
        <v>1.0001111111111112</v>
      </c>
      <c r="U3796" s="98">
        <v>3.9396237043553661</v>
      </c>
      <c r="V3796" s="106">
        <v>35291.957022132985</v>
      </c>
      <c r="W3796" s="10">
        <v>1.0001259226819048</v>
      </c>
      <c r="X3796" s="420"/>
      <c r="Y3796" s="420"/>
    </row>
    <row r="3797" spans="17:25">
      <c r="Q3797" s="6">
        <v>3767</v>
      </c>
      <c r="R3797" s="7">
        <v>46434</v>
      </c>
      <c r="S3797" s="210">
        <v>4</v>
      </c>
      <c r="T3797" s="8">
        <v>1.0001111111111112</v>
      </c>
      <c r="U3797" s="98">
        <v>3.9396764964091613</v>
      </c>
      <c r="V3797" s="106">
        <v>35294.796669850082</v>
      </c>
      <c r="W3797" s="10">
        <v>1.0001590196930366</v>
      </c>
      <c r="X3797" s="420"/>
      <c r="Y3797" s="420"/>
    </row>
    <row r="3798" spans="17:25">
      <c r="Q3798" s="6">
        <v>3768</v>
      </c>
      <c r="R3798" s="7">
        <v>46435</v>
      </c>
      <c r="S3798" s="210">
        <v>4</v>
      </c>
      <c r="T3798" s="8">
        <v>1.0001111111111112</v>
      </c>
      <c r="U3798" s="98">
        <v>3.9397292604685052</v>
      </c>
      <c r="V3798" s="106">
        <v>35297.636546049813</v>
      </c>
      <c r="W3798" s="10">
        <v>1.0001920991476121</v>
      </c>
      <c r="X3798" s="420"/>
      <c r="Y3798" s="420"/>
    </row>
    <row r="3799" spans="17:25">
      <c r="Q3799" s="6">
        <v>3769</v>
      </c>
      <c r="R3799" s="7">
        <v>46436</v>
      </c>
      <c r="S3799" s="210">
        <v>4</v>
      </c>
      <c r="T3799" s="8">
        <v>1.0001111111111112</v>
      </c>
      <c r="U3799" s="98">
        <v>3.9397819965556247</v>
      </c>
      <c r="V3799" s="106">
        <v>35300.476650750548</v>
      </c>
      <c r="W3799" s="10">
        <v>1.0002251610595536</v>
      </c>
      <c r="X3799" s="420"/>
      <c r="Y3799" s="420"/>
    </row>
    <row r="3800" spans="17:25">
      <c r="Q3800" s="6">
        <v>3770</v>
      </c>
      <c r="R3800" s="7">
        <v>46437</v>
      </c>
      <c r="S3800" s="210">
        <v>4</v>
      </c>
      <c r="T3800" s="8">
        <v>1.0001111111111112</v>
      </c>
      <c r="U3800" s="98">
        <v>3.9398347046927906</v>
      </c>
      <c r="V3800" s="106">
        <v>35303.31698397069</v>
      </c>
      <c r="W3800" s="10">
        <v>1.0002582054428499</v>
      </c>
      <c r="X3800" s="420"/>
      <c r="Y3800" s="420"/>
    </row>
    <row r="3801" spans="17:25">
      <c r="Q3801" s="6">
        <v>3771</v>
      </c>
      <c r="R3801" s="7">
        <v>46438</v>
      </c>
      <c r="S3801" s="210">
        <v>4</v>
      </c>
      <c r="T3801" s="8">
        <v>1.0001111111111112</v>
      </c>
      <c r="U3801" s="98">
        <v>3.9398873849022076</v>
      </c>
      <c r="V3801" s="106">
        <v>35306.157545728609</v>
      </c>
      <c r="W3801" s="10">
        <v>1.0002912323114233</v>
      </c>
      <c r="X3801" s="420"/>
      <c r="Y3801" s="420"/>
    </row>
    <row r="3802" spans="17:25">
      <c r="Q3802" s="6">
        <v>3772</v>
      </c>
      <c r="R3802" s="7">
        <v>46439</v>
      </c>
      <c r="S3802" s="210">
        <v>4</v>
      </c>
      <c r="T3802" s="8">
        <v>1.0001111111111112</v>
      </c>
      <c r="U3802" s="98">
        <v>3.9399400372060578</v>
      </c>
      <c r="V3802" s="106">
        <v>35308.998336042714</v>
      </c>
      <c r="W3802" s="10">
        <v>1.0003242416791958</v>
      </c>
      <c r="X3802" s="420"/>
      <c r="Y3802" s="420"/>
    </row>
    <row r="3803" spans="17:25">
      <c r="Q3803" s="6">
        <v>3773</v>
      </c>
      <c r="R3803" s="7">
        <v>46440</v>
      </c>
      <c r="S3803" s="210">
        <v>4</v>
      </c>
      <c r="T3803" s="8">
        <v>1.0001111111111112</v>
      </c>
      <c r="U3803" s="98">
        <v>3.9399926616265013</v>
      </c>
      <c r="V3803" s="106">
        <v>35311.839354931384</v>
      </c>
      <c r="W3803" s="10">
        <v>1.0003572335600674</v>
      </c>
      <c r="X3803" s="420"/>
      <c r="Y3803" s="420"/>
    </row>
    <row r="3804" spans="17:25">
      <c r="Q3804" s="6">
        <v>3774</v>
      </c>
      <c r="R3804" s="7">
        <v>46441</v>
      </c>
      <c r="S3804" s="210">
        <v>4</v>
      </c>
      <c r="T3804" s="8">
        <v>1.0001111111111112</v>
      </c>
      <c r="U3804" s="98">
        <v>3.9400452581856982</v>
      </c>
      <c r="V3804" s="106">
        <v>35314.680602412998</v>
      </c>
      <c r="W3804" s="10">
        <v>1.0003902079679383</v>
      </c>
      <c r="X3804" s="420"/>
      <c r="Y3804" s="420"/>
    </row>
    <row r="3805" spans="17:25">
      <c r="Q3805" s="6">
        <v>3775</v>
      </c>
      <c r="R3805" s="7">
        <v>46442</v>
      </c>
      <c r="S3805" s="210">
        <v>4</v>
      </c>
      <c r="T3805" s="8">
        <v>1.0001111111111112</v>
      </c>
      <c r="U3805" s="98">
        <v>3.940097826905764</v>
      </c>
      <c r="V3805" s="106">
        <v>35317.522078505972</v>
      </c>
      <c r="W3805" s="10">
        <v>1.0004231649166639</v>
      </c>
      <c r="X3805" s="420"/>
      <c r="Y3805" s="420"/>
    </row>
    <row r="3806" spans="17:25">
      <c r="Q3806" s="6">
        <v>3776</v>
      </c>
      <c r="R3806" s="7">
        <v>46443</v>
      </c>
      <c r="S3806" s="210">
        <v>4</v>
      </c>
      <c r="T3806" s="8">
        <v>1.0001111111111112</v>
      </c>
      <c r="U3806" s="98">
        <v>3.9401503678087924</v>
      </c>
      <c r="V3806" s="106">
        <v>35320.363783228691</v>
      </c>
      <c r="W3806" s="10">
        <v>1.0004561044201443</v>
      </c>
      <c r="X3806" s="420"/>
      <c r="Y3806" s="420"/>
    </row>
    <row r="3807" spans="17:25">
      <c r="Q3807" s="6">
        <v>3777</v>
      </c>
      <c r="R3807" s="7">
        <v>46444</v>
      </c>
      <c r="S3807" s="210">
        <v>4</v>
      </c>
      <c r="T3807" s="8">
        <v>1.0001111111111112</v>
      </c>
      <c r="U3807" s="98">
        <v>3.9402028809168543</v>
      </c>
      <c r="V3807" s="106">
        <v>35323.20571659955</v>
      </c>
      <c r="W3807" s="10">
        <v>1.0004890264921906</v>
      </c>
      <c r="X3807" s="420"/>
      <c r="Y3807" s="420"/>
    </row>
    <row r="3808" spans="17:25">
      <c r="Q3808" s="6">
        <v>3778</v>
      </c>
      <c r="R3808" s="7">
        <v>46445</v>
      </c>
      <c r="S3808" s="210">
        <v>4</v>
      </c>
      <c r="T3808" s="8">
        <v>1.0001111111111112</v>
      </c>
      <c r="U3808" s="98">
        <v>3.940255366251999</v>
      </c>
      <c r="V3808" s="106">
        <v>35326.047878636942</v>
      </c>
      <c r="W3808" s="10">
        <v>1.0005219311466362</v>
      </c>
      <c r="X3808" s="420"/>
      <c r="Y3808" s="420"/>
    </row>
    <row r="3809" spans="17:25">
      <c r="Q3809" s="6">
        <v>3779</v>
      </c>
      <c r="R3809" s="7">
        <v>46446</v>
      </c>
      <c r="S3809" s="210">
        <v>4</v>
      </c>
      <c r="T3809" s="8">
        <v>1.0001111111111112</v>
      </c>
      <c r="U3809" s="98">
        <v>3.9403078238362754</v>
      </c>
      <c r="V3809" s="106">
        <v>35328.890269359268</v>
      </c>
      <c r="W3809" s="10">
        <v>1.0005548183973589</v>
      </c>
      <c r="X3809" s="420"/>
      <c r="Y3809" s="420"/>
    </row>
    <row r="3810" spans="17:25">
      <c r="Q3810" s="6">
        <v>3780</v>
      </c>
      <c r="R3810" s="7">
        <v>46447</v>
      </c>
      <c r="S3810" s="210">
        <v>4</v>
      </c>
      <c r="T3810" s="8">
        <v>1.0001111111111112</v>
      </c>
      <c r="U3810" s="98">
        <v>3.940360253691666</v>
      </c>
      <c r="V3810" s="106">
        <v>35331.732888784936</v>
      </c>
      <c r="W3810" s="10">
        <v>1.0005876882581033</v>
      </c>
      <c r="X3810" s="420"/>
      <c r="Y3810" s="420"/>
    </row>
    <row r="3811" spans="17:25">
      <c r="Q3811" s="6">
        <v>3781</v>
      </c>
      <c r="R3811" s="7">
        <v>46448</v>
      </c>
      <c r="S3811" s="210">
        <v>4</v>
      </c>
      <c r="T3811" s="8">
        <v>1.0001111111111112</v>
      </c>
      <c r="U3811" s="98">
        <v>3.9404126558401531</v>
      </c>
      <c r="V3811" s="106">
        <v>35334.57573693234</v>
      </c>
      <c r="W3811" s="10">
        <v>1.0006205407426583</v>
      </c>
      <c r="X3811" s="420"/>
      <c r="Y3811" s="420"/>
    </row>
    <row r="3812" spans="17:25">
      <c r="Q3812" s="6">
        <v>3782</v>
      </c>
      <c r="R3812" s="7">
        <v>46449</v>
      </c>
      <c r="S3812" s="210">
        <v>4</v>
      </c>
      <c r="T3812" s="8">
        <v>1.0001111111111112</v>
      </c>
      <c r="U3812" s="98">
        <v>3.940465030303697</v>
      </c>
      <c r="V3812" s="106">
        <v>35337.418813819895</v>
      </c>
      <c r="W3812" s="10">
        <v>1.000653375864835</v>
      </c>
      <c r="X3812" s="420"/>
      <c r="Y3812" s="420"/>
    </row>
    <row r="3813" spans="17:25">
      <c r="Q3813" s="6">
        <v>3783</v>
      </c>
      <c r="R3813" s="7">
        <v>46450</v>
      </c>
      <c r="S3813" s="210">
        <v>4</v>
      </c>
      <c r="T3813" s="8">
        <v>1.0001111111111112</v>
      </c>
      <c r="U3813" s="98">
        <v>3.9405173771042135</v>
      </c>
      <c r="V3813" s="106">
        <v>35340.262119465981</v>
      </c>
      <c r="W3813" s="10">
        <v>1.000686193638356</v>
      </c>
      <c r="X3813" s="420"/>
      <c r="Y3813" s="420"/>
    </row>
    <row r="3814" spans="17:25">
      <c r="Q3814" s="6">
        <v>3784</v>
      </c>
      <c r="R3814" s="7">
        <v>46451</v>
      </c>
      <c r="S3814" s="210">
        <v>4</v>
      </c>
      <c r="T3814" s="8">
        <v>1.0001111111111112</v>
      </c>
      <c r="U3814" s="98">
        <v>3.9405696962636405</v>
      </c>
      <c r="V3814" s="106">
        <v>35343.105653889026</v>
      </c>
      <c r="W3814" s="10">
        <v>1.0007189940769878</v>
      </c>
      <c r="X3814" s="420"/>
      <c r="Y3814" s="420"/>
    </row>
    <row r="3815" spans="17:25">
      <c r="Q3815" s="6">
        <v>3785</v>
      </c>
      <c r="R3815" s="7">
        <v>46452</v>
      </c>
      <c r="S3815" s="210">
        <v>4</v>
      </c>
      <c r="T3815" s="8">
        <v>1.0001111111111112</v>
      </c>
      <c r="U3815" s="98">
        <v>3.9406219878038495</v>
      </c>
      <c r="V3815" s="106">
        <v>35345.94941710744</v>
      </c>
      <c r="W3815" s="10">
        <v>1.0007517771944752</v>
      </c>
      <c r="X3815" s="420"/>
      <c r="Y3815" s="420"/>
    </row>
    <row r="3816" spans="17:25">
      <c r="Q3816" s="6">
        <v>3786</v>
      </c>
      <c r="R3816" s="7">
        <v>46453</v>
      </c>
      <c r="S3816" s="210">
        <v>4</v>
      </c>
      <c r="T3816" s="8">
        <v>1.0001111111111112</v>
      </c>
      <c r="U3816" s="98">
        <v>3.9406742517467119</v>
      </c>
      <c r="V3816" s="106">
        <v>35348.793409139609</v>
      </c>
      <c r="W3816" s="10">
        <v>1.0007845430044959</v>
      </c>
      <c r="X3816" s="420"/>
      <c r="Y3816" s="420"/>
    </row>
    <row r="3817" spans="17:25">
      <c r="Q3817" s="6">
        <v>3787</v>
      </c>
      <c r="R3817" s="7">
        <v>46454</v>
      </c>
      <c r="S3817" s="210">
        <v>4</v>
      </c>
      <c r="T3817" s="8">
        <v>1.0001111111111112</v>
      </c>
      <c r="U3817" s="98">
        <v>3.9407264881140769</v>
      </c>
      <c r="V3817" s="106">
        <v>35351.63763000397</v>
      </c>
      <c r="W3817" s="10">
        <v>1.0008172915207947</v>
      </c>
      <c r="X3817" s="420"/>
      <c r="Y3817" s="420"/>
    </row>
    <row r="3818" spans="17:25">
      <c r="Q3818" s="6">
        <v>3788</v>
      </c>
      <c r="R3818" s="7">
        <v>46455</v>
      </c>
      <c r="S3818" s="210">
        <v>4</v>
      </c>
      <c r="T3818" s="8">
        <v>1.0001111111111112</v>
      </c>
      <c r="U3818" s="98">
        <v>3.9407786969277492</v>
      </c>
      <c r="V3818" s="106">
        <v>35354.482079718917</v>
      </c>
      <c r="W3818" s="10">
        <v>1.0008500227570494</v>
      </c>
      <c r="X3818" s="420"/>
      <c r="Y3818" s="420"/>
    </row>
    <row r="3819" spans="17:25">
      <c r="Q3819" s="6">
        <v>3789</v>
      </c>
      <c r="R3819" s="7">
        <v>46456</v>
      </c>
      <c r="S3819" s="210">
        <v>4</v>
      </c>
      <c r="T3819" s="8">
        <v>1.0001111111111112</v>
      </c>
      <c r="U3819" s="98">
        <v>3.9408308782095336</v>
      </c>
      <c r="V3819" s="106">
        <v>35357.326758302879</v>
      </c>
      <c r="W3819" s="10">
        <v>1.0008827367269157</v>
      </c>
      <c r="X3819" s="420"/>
      <c r="Y3819" s="420"/>
    </row>
    <row r="3820" spans="17:25">
      <c r="Q3820" s="6">
        <v>3790</v>
      </c>
      <c r="R3820" s="7">
        <v>46457</v>
      </c>
      <c r="S3820" s="210">
        <v>4</v>
      </c>
      <c r="T3820" s="8">
        <v>1.0001111111111112</v>
      </c>
      <c r="U3820" s="98">
        <v>3.9408830319811905</v>
      </c>
      <c r="V3820" s="106">
        <v>35360.171665774251</v>
      </c>
      <c r="W3820" s="10">
        <v>1.0009154334440495</v>
      </c>
      <c r="X3820" s="420"/>
      <c r="Y3820" s="420"/>
    </row>
    <row r="3821" spans="17:25">
      <c r="Q3821" s="6">
        <v>3791</v>
      </c>
      <c r="R3821" s="7">
        <v>46458</v>
      </c>
      <c r="S3821" s="210">
        <v>4</v>
      </c>
      <c r="T3821" s="8">
        <v>1.0001111111111112</v>
      </c>
      <c r="U3821" s="98">
        <v>3.9409351582644803</v>
      </c>
      <c r="V3821" s="106">
        <v>35363.016802151469</v>
      </c>
      <c r="W3821" s="10">
        <v>1.0009481129221287</v>
      </c>
      <c r="X3821" s="420"/>
      <c r="Y3821" s="420"/>
    </row>
    <row r="3822" spans="17:25">
      <c r="Q3822" s="6">
        <v>3792</v>
      </c>
      <c r="R3822" s="7">
        <v>46459</v>
      </c>
      <c r="S3822" s="210">
        <v>4</v>
      </c>
      <c r="T3822" s="8">
        <v>1.0001111111111112</v>
      </c>
      <c r="U3822" s="98">
        <v>3.9409872570811189</v>
      </c>
      <c r="V3822" s="106">
        <v>35365.862167452942</v>
      </c>
      <c r="W3822" s="10">
        <v>1.0009807751747424</v>
      </c>
      <c r="X3822" s="420"/>
      <c r="Y3822" s="420"/>
    </row>
    <row r="3823" spans="17:25">
      <c r="Q3823" s="6">
        <v>3793</v>
      </c>
      <c r="R3823" s="7">
        <v>46460</v>
      </c>
      <c r="S3823" s="210">
        <v>4</v>
      </c>
      <c r="T3823" s="8">
        <v>1.0001111111111112</v>
      </c>
      <c r="U3823" s="98">
        <v>3.9410393284528222</v>
      </c>
      <c r="V3823" s="106">
        <v>35368.707761697086</v>
      </c>
      <c r="W3823" s="10">
        <v>1.0010134202155241</v>
      </c>
      <c r="X3823" s="420"/>
      <c r="Y3823" s="420"/>
    </row>
    <row r="3824" spans="17:25">
      <c r="Q3824" s="6">
        <v>3794</v>
      </c>
      <c r="R3824" s="7">
        <v>46461</v>
      </c>
      <c r="S3824" s="210">
        <v>4</v>
      </c>
      <c r="T3824" s="8">
        <v>1.0001111111111112</v>
      </c>
      <c r="U3824" s="98">
        <v>3.9410913724012619</v>
      </c>
      <c r="V3824" s="106">
        <v>35371.553584902336</v>
      </c>
      <c r="W3824" s="10">
        <v>1.0010460480580852</v>
      </c>
      <c r="X3824" s="420"/>
      <c r="Y3824" s="420"/>
    </row>
    <row r="3825" spans="17:25">
      <c r="Q3825" s="6">
        <v>3795</v>
      </c>
      <c r="R3825" s="7">
        <v>46462</v>
      </c>
      <c r="S3825" s="210">
        <v>4</v>
      </c>
      <c r="T3825" s="8">
        <v>1.0001111111111112</v>
      </c>
      <c r="U3825" s="98">
        <v>3.9411433889481096</v>
      </c>
      <c r="V3825" s="106">
        <v>35374.399637087103</v>
      </c>
      <c r="W3825" s="10">
        <v>1.0010786587160148</v>
      </c>
      <c r="X3825" s="420"/>
      <c r="Y3825" s="420"/>
    </row>
    <row r="3826" spans="17:25">
      <c r="Q3826" s="6">
        <v>3796</v>
      </c>
      <c r="R3826" s="7">
        <v>46463</v>
      </c>
      <c r="S3826" s="210">
        <v>4</v>
      </c>
      <c r="T3826" s="8">
        <v>1.0001111111111112</v>
      </c>
      <c r="U3826" s="98">
        <v>3.94119537811497</v>
      </c>
      <c r="V3826" s="106">
        <v>35377.245918269815</v>
      </c>
      <c r="W3826" s="10">
        <v>1.0011112522028354</v>
      </c>
      <c r="X3826" s="420"/>
      <c r="Y3826" s="420"/>
    </row>
    <row r="3827" spans="17:25">
      <c r="Q3827" s="6">
        <v>3797</v>
      </c>
      <c r="R3827" s="7">
        <v>46464</v>
      </c>
      <c r="S3827" s="210">
        <v>4</v>
      </c>
      <c r="T3827" s="8">
        <v>1.0001111111111112</v>
      </c>
      <c r="U3827" s="98">
        <v>3.9412473399234926</v>
      </c>
      <c r="V3827" s="106">
        <v>35380.092428468888</v>
      </c>
      <c r="W3827" s="10">
        <v>1.0011438285321805</v>
      </c>
      <c r="X3827" s="420"/>
      <c r="Y3827" s="420"/>
    </row>
    <row r="3828" spans="17:25">
      <c r="Q3828" s="6">
        <v>3798</v>
      </c>
      <c r="R3828" s="7">
        <v>46465</v>
      </c>
      <c r="S3828" s="210">
        <v>4</v>
      </c>
      <c r="T3828" s="8">
        <v>1.0001111111111112</v>
      </c>
      <c r="U3828" s="98">
        <v>3.941299274395238</v>
      </c>
      <c r="V3828" s="106">
        <v>35382.93916770276</v>
      </c>
      <c r="W3828" s="10">
        <v>1.0011763877175506</v>
      </c>
      <c r="X3828" s="420"/>
      <c r="Y3828" s="420"/>
    </row>
    <row r="3829" spans="17:25">
      <c r="Q3829" s="6">
        <v>3799</v>
      </c>
      <c r="R3829" s="7">
        <v>46466</v>
      </c>
      <c r="S3829" s="210">
        <v>4</v>
      </c>
      <c r="T3829" s="8">
        <v>1.0001111111111112</v>
      </c>
      <c r="U3829" s="98">
        <v>3.9413511815517888</v>
      </c>
      <c r="V3829" s="106">
        <v>35385.78613598986</v>
      </c>
      <c r="W3829" s="10">
        <v>1.0012089297724902</v>
      </c>
      <c r="X3829" s="420"/>
      <c r="Y3829" s="420"/>
    </row>
    <row r="3830" spans="17:25">
      <c r="Q3830" s="6">
        <v>3800</v>
      </c>
      <c r="R3830" s="7">
        <v>46467</v>
      </c>
      <c r="S3830" s="210">
        <v>4</v>
      </c>
      <c r="T3830" s="8">
        <v>1.0001111111111112</v>
      </c>
      <c r="U3830" s="98">
        <v>3.9414030614146833</v>
      </c>
      <c r="V3830" s="106">
        <v>35388.633333348618</v>
      </c>
      <c r="W3830" s="10">
        <v>1.0012414547104997</v>
      </c>
      <c r="X3830" s="420"/>
      <c r="Y3830" s="420"/>
    </row>
    <row r="3831" spans="17:25">
      <c r="Q3831" s="6">
        <v>3801</v>
      </c>
      <c r="R3831" s="7">
        <v>46468</v>
      </c>
      <c r="S3831" s="210">
        <v>4</v>
      </c>
      <c r="T3831" s="8">
        <v>1.0001111111111112</v>
      </c>
      <c r="U3831" s="98">
        <v>3.9414549140054378</v>
      </c>
      <c r="V3831" s="106">
        <v>35391.480759797458</v>
      </c>
      <c r="W3831" s="10">
        <v>1.0012739625450795</v>
      </c>
      <c r="X3831" s="420"/>
      <c r="Y3831" s="420"/>
    </row>
    <row r="3832" spans="17:25">
      <c r="Q3832" s="6">
        <v>3802</v>
      </c>
      <c r="R3832" s="7">
        <v>46469</v>
      </c>
      <c r="S3832" s="210">
        <v>4</v>
      </c>
      <c r="T3832" s="8">
        <v>1.0001111111111112</v>
      </c>
      <c r="U3832" s="98">
        <v>3.9415067393455683</v>
      </c>
      <c r="V3832" s="106">
        <v>35394.328415354823</v>
      </c>
      <c r="W3832" s="10">
        <v>1.001306453289752</v>
      </c>
      <c r="X3832" s="420"/>
      <c r="Y3832" s="420"/>
    </row>
    <row r="3833" spans="17:25">
      <c r="Q3833" s="6">
        <v>3803</v>
      </c>
      <c r="R3833" s="7">
        <v>46470</v>
      </c>
      <c r="S3833" s="210">
        <v>4</v>
      </c>
      <c r="T3833" s="8">
        <v>1.0001111111111112</v>
      </c>
      <c r="U3833" s="98">
        <v>3.9415585374565465</v>
      </c>
      <c r="V3833" s="106">
        <v>35397.176300039137</v>
      </c>
      <c r="W3833" s="10">
        <v>1.0013389269579509</v>
      </c>
      <c r="X3833" s="420"/>
      <c r="Y3833" s="420"/>
    </row>
    <row r="3834" spans="17:25">
      <c r="Q3834" s="6">
        <v>3804</v>
      </c>
      <c r="R3834" s="7">
        <v>46471</v>
      </c>
      <c r="S3834" s="210">
        <v>4</v>
      </c>
      <c r="T3834" s="8">
        <v>1.0001111111111112</v>
      </c>
      <c r="U3834" s="98">
        <v>3.941610308359822</v>
      </c>
      <c r="V3834" s="106">
        <v>35400.024413868836</v>
      </c>
      <c r="W3834" s="10">
        <v>1.0013713835631766</v>
      </c>
      <c r="X3834" s="420"/>
      <c r="Y3834" s="420"/>
    </row>
    <row r="3835" spans="17:25">
      <c r="Q3835" s="6">
        <v>3805</v>
      </c>
      <c r="R3835" s="7">
        <v>46472</v>
      </c>
      <c r="S3835" s="210">
        <v>4</v>
      </c>
      <c r="T3835" s="8">
        <v>1.0001111111111112</v>
      </c>
      <c r="U3835" s="98">
        <v>3.941662052076822</v>
      </c>
      <c r="V3835" s="106">
        <v>35402.872756862365</v>
      </c>
      <c r="W3835" s="10">
        <v>1.0014038231188183</v>
      </c>
      <c r="X3835" s="420"/>
      <c r="Y3835" s="420"/>
    </row>
    <row r="3836" spans="17:25">
      <c r="Q3836" s="6">
        <v>3806</v>
      </c>
      <c r="R3836" s="7">
        <v>46473</v>
      </c>
      <c r="S3836" s="210">
        <v>4</v>
      </c>
      <c r="T3836" s="8">
        <v>1.0001111111111112</v>
      </c>
      <c r="U3836" s="98">
        <v>3.9417137686289516</v>
      </c>
      <c r="V3836" s="106">
        <v>35405.721329038162</v>
      </c>
      <c r="W3836" s="10">
        <v>1.0014362456383541</v>
      </c>
      <c r="X3836" s="420"/>
      <c r="Y3836" s="420"/>
    </row>
    <row r="3837" spans="17:25">
      <c r="Q3837" s="6">
        <v>3807</v>
      </c>
      <c r="R3837" s="7">
        <v>46474</v>
      </c>
      <c r="S3837" s="210">
        <v>4</v>
      </c>
      <c r="T3837" s="8">
        <v>1.0001111111111112</v>
      </c>
      <c r="U3837" s="98">
        <v>3.9417654580375938</v>
      </c>
      <c r="V3837" s="106">
        <v>35408.570130414664</v>
      </c>
      <c r="W3837" s="10">
        <v>1.0014686511351512</v>
      </c>
      <c r="X3837" s="420"/>
      <c r="Y3837" s="420"/>
    </row>
    <row r="3838" spans="17:25">
      <c r="Q3838" s="6">
        <v>3808</v>
      </c>
      <c r="R3838" s="7">
        <v>46475</v>
      </c>
      <c r="S3838" s="210">
        <v>4</v>
      </c>
      <c r="T3838" s="8">
        <v>1.0001111111111112</v>
      </c>
      <c r="U3838" s="98">
        <v>3.9418171203241315</v>
      </c>
      <c r="V3838" s="106">
        <v>35411.419161010315</v>
      </c>
      <c r="W3838" s="10">
        <v>1.0015010396226653</v>
      </c>
      <c r="X3838" s="420"/>
      <c r="Y3838" s="420"/>
    </row>
    <row r="3839" spans="17:25">
      <c r="Q3839" s="6">
        <v>3809</v>
      </c>
      <c r="R3839" s="7">
        <v>46476</v>
      </c>
      <c r="S3839" s="210">
        <v>4</v>
      </c>
      <c r="T3839" s="8">
        <v>1.0001111111111112</v>
      </c>
      <c r="U3839" s="98">
        <v>3.941868755509903</v>
      </c>
      <c r="V3839" s="106">
        <v>35414.26842084356</v>
      </c>
      <c r="W3839" s="10">
        <v>1.001533411114286</v>
      </c>
      <c r="X3839" s="420"/>
      <c r="Y3839" s="420"/>
    </row>
    <row r="3840" spans="17:25">
      <c r="Q3840" s="6">
        <v>3810</v>
      </c>
      <c r="R3840" s="7">
        <v>46477</v>
      </c>
      <c r="S3840" s="210">
        <v>4</v>
      </c>
      <c r="T3840" s="8">
        <v>1.0001111111111112</v>
      </c>
      <c r="U3840" s="98">
        <v>3.9419203636162248</v>
      </c>
      <c r="V3840" s="106">
        <v>35417.117909932836</v>
      </c>
      <c r="W3840" s="10">
        <v>1.0015657656233357</v>
      </c>
      <c r="X3840" s="420"/>
      <c r="Y3840" s="420"/>
    </row>
    <row r="3841" spans="17:25">
      <c r="Q3841" s="6">
        <v>3811</v>
      </c>
      <c r="R3841" s="7">
        <v>46478</v>
      </c>
      <c r="S3841" s="210">
        <v>4</v>
      </c>
      <c r="T3841" s="8">
        <v>1.0001111111111112</v>
      </c>
      <c r="U3841" s="98">
        <v>3.9419719446643686</v>
      </c>
      <c r="V3841" s="106">
        <v>35419.967628296603</v>
      </c>
      <c r="W3841" s="10">
        <v>1.0015981031632037</v>
      </c>
      <c r="X3841" s="420"/>
      <c r="Y3841" s="420"/>
    </row>
    <row r="3842" spans="17:25">
      <c r="Q3842" s="6">
        <v>3812</v>
      </c>
      <c r="R3842" s="7">
        <v>46479</v>
      </c>
      <c r="S3842" s="210">
        <v>4</v>
      </c>
      <c r="T3842" s="8">
        <v>1.0001111111111112</v>
      </c>
      <c r="U3842" s="98">
        <v>3.9420234986756286</v>
      </c>
      <c r="V3842" s="106">
        <v>35422.81757595329</v>
      </c>
      <c r="W3842" s="10">
        <v>1.0016304237472351</v>
      </c>
      <c r="X3842" s="420"/>
      <c r="Y3842" s="420"/>
    </row>
    <row r="3843" spans="17:25">
      <c r="Q3843" s="6">
        <v>3813</v>
      </c>
      <c r="R3843" s="7">
        <v>46480</v>
      </c>
      <c r="S3843" s="210">
        <v>4</v>
      </c>
      <c r="T3843" s="8">
        <v>1.0001111111111112</v>
      </c>
      <c r="U3843" s="98">
        <v>3.9420750256712767</v>
      </c>
      <c r="V3843" s="106">
        <v>35425.667752921356</v>
      </c>
      <c r="W3843" s="10">
        <v>1.0016627273887746</v>
      </c>
      <c r="X3843" s="420"/>
      <c r="Y3843" s="420"/>
    </row>
    <row r="3844" spans="17:25">
      <c r="Q3844" s="6">
        <v>3814</v>
      </c>
      <c r="R3844" s="7">
        <v>46481</v>
      </c>
      <c r="S3844" s="210">
        <v>4</v>
      </c>
      <c r="T3844" s="8">
        <v>1.0001111111111112</v>
      </c>
      <c r="U3844" s="98">
        <v>3.942126525672518</v>
      </c>
      <c r="V3844" s="106">
        <v>35428.51815921926</v>
      </c>
      <c r="W3844" s="10">
        <v>1.0016950141011227</v>
      </c>
      <c r="X3844" s="420"/>
      <c r="Y3844" s="420"/>
    </row>
    <row r="3845" spans="17:25">
      <c r="Q3845" s="6">
        <v>3815</v>
      </c>
      <c r="R3845" s="7">
        <v>46482</v>
      </c>
      <c r="S3845" s="210">
        <v>4</v>
      </c>
      <c r="T3845" s="8">
        <v>1.0001111111111112</v>
      </c>
      <c r="U3845" s="98">
        <v>3.9421779987005579</v>
      </c>
      <c r="V3845" s="106">
        <v>35431.368794865448</v>
      </c>
      <c r="W3845" s="10">
        <v>1.0017272838976021</v>
      </c>
      <c r="X3845" s="420"/>
      <c r="Y3845" s="420"/>
    </row>
    <row r="3846" spans="17:25">
      <c r="Q3846" s="6">
        <v>3816</v>
      </c>
      <c r="R3846" s="7">
        <v>46483</v>
      </c>
      <c r="S3846" s="210">
        <v>4</v>
      </c>
      <c r="T3846" s="8">
        <v>1.0001111111111112</v>
      </c>
      <c r="U3846" s="98">
        <v>3.9422294447766015</v>
      </c>
      <c r="V3846" s="106">
        <v>35434.21965987837</v>
      </c>
      <c r="W3846" s="10">
        <v>1.0017595367914911</v>
      </c>
      <c r="X3846" s="420"/>
      <c r="Y3846" s="420"/>
    </row>
    <row r="3847" spans="17:25">
      <c r="Q3847" s="6">
        <v>3817</v>
      </c>
      <c r="R3847" s="7">
        <v>46484</v>
      </c>
      <c r="S3847" s="210">
        <v>4</v>
      </c>
      <c r="T3847" s="8">
        <v>1.0001111111111112</v>
      </c>
      <c r="U3847" s="98">
        <v>3.9422808639217877</v>
      </c>
      <c r="V3847" s="106">
        <v>35437.070754276479</v>
      </c>
      <c r="W3847" s="10">
        <v>1.0017917727960457</v>
      </c>
      <c r="X3847" s="420"/>
      <c r="Y3847" s="420"/>
    </row>
    <row r="3848" spans="17:25">
      <c r="Q3848" s="6">
        <v>3818</v>
      </c>
      <c r="R3848" s="7">
        <v>46485</v>
      </c>
      <c r="S3848" s="210">
        <v>4</v>
      </c>
      <c r="T3848" s="8">
        <v>1.0001111111111112</v>
      </c>
      <c r="U3848" s="98">
        <v>3.9423322561572771</v>
      </c>
      <c r="V3848" s="106">
        <v>35439.922078078242</v>
      </c>
      <c r="W3848" s="10">
        <v>1.0018239919245664</v>
      </c>
      <c r="X3848" s="420"/>
      <c r="Y3848" s="420"/>
    </row>
    <row r="3849" spans="17:25">
      <c r="Q3849" s="6">
        <v>3819</v>
      </c>
      <c r="R3849" s="7">
        <v>46486</v>
      </c>
      <c r="S3849" s="210">
        <v>4</v>
      </c>
      <c r="T3849" s="8">
        <v>1.0001111111111112</v>
      </c>
      <c r="U3849" s="98">
        <v>3.9423836215041863</v>
      </c>
      <c r="V3849" s="106">
        <v>35442.773631302109</v>
      </c>
      <c r="W3849" s="10">
        <v>1.001856194190287</v>
      </c>
      <c r="X3849" s="420"/>
      <c r="Y3849" s="420"/>
    </row>
    <row r="3850" spans="17:25">
      <c r="Q3850" s="6">
        <v>3820</v>
      </c>
      <c r="R3850" s="7">
        <v>46487</v>
      </c>
      <c r="S3850" s="210">
        <v>4</v>
      </c>
      <c r="T3850" s="8">
        <v>1.0001111111111112</v>
      </c>
      <c r="U3850" s="98">
        <v>3.9424349599836095</v>
      </c>
      <c r="V3850" s="106">
        <v>35445.62541396654</v>
      </c>
      <c r="W3850" s="10">
        <v>1.0018883796064415</v>
      </c>
      <c r="X3850" s="420"/>
      <c r="Y3850" s="420"/>
    </row>
    <row r="3851" spans="17:25">
      <c r="Q3851" s="6">
        <v>3821</v>
      </c>
      <c r="R3851" s="7">
        <v>46488</v>
      </c>
      <c r="S3851" s="210">
        <v>4</v>
      </c>
      <c r="T3851" s="8">
        <v>1.0001111111111112</v>
      </c>
      <c r="U3851" s="98">
        <v>3.9424862716166187</v>
      </c>
      <c r="V3851" s="106">
        <v>35448.477426090001</v>
      </c>
      <c r="W3851" s="10">
        <v>1.0019205481862636</v>
      </c>
      <c r="X3851" s="420"/>
      <c r="Y3851" s="420"/>
    </row>
    <row r="3852" spans="17:25">
      <c r="Q3852" s="6">
        <v>3822</v>
      </c>
      <c r="R3852" s="7">
        <v>46489</v>
      </c>
      <c r="S3852" s="210">
        <v>4</v>
      </c>
      <c r="T3852" s="8">
        <v>1.0001111111111112</v>
      </c>
      <c r="U3852" s="98">
        <v>3.9425375564242637</v>
      </c>
      <c r="V3852" s="106">
        <v>35451.329667690952</v>
      </c>
      <c r="W3852" s="10">
        <v>1.0019526999429429</v>
      </c>
      <c r="X3852" s="420"/>
      <c r="Y3852" s="420"/>
    </row>
    <row r="3853" spans="17:25">
      <c r="Q3853" s="6">
        <v>3823</v>
      </c>
      <c r="R3853" s="7">
        <v>46490</v>
      </c>
      <c r="S3853" s="210">
        <v>4</v>
      </c>
      <c r="T3853" s="8">
        <v>1.0001111111111112</v>
      </c>
      <c r="U3853" s="98">
        <v>3.9425888144275723</v>
      </c>
      <c r="V3853" s="106">
        <v>35454.182138787859</v>
      </c>
      <c r="W3853" s="10">
        <v>1.0019848348896687</v>
      </c>
      <c r="X3853" s="420"/>
      <c r="Y3853" s="420"/>
    </row>
    <row r="3854" spans="17:25">
      <c r="Q3854" s="6">
        <v>3824</v>
      </c>
      <c r="R3854" s="7">
        <v>46491</v>
      </c>
      <c r="S3854" s="210">
        <v>4</v>
      </c>
      <c r="T3854" s="8">
        <v>1.0001111111111112</v>
      </c>
      <c r="U3854" s="98">
        <v>3.9426400456475497</v>
      </c>
      <c r="V3854" s="106">
        <v>35457.034839399181</v>
      </c>
      <c r="W3854" s="10">
        <v>1.0020169530396084</v>
      </c>
      <c r="X3854" s="420"/>
      <c r="Y3854" s="420"/>
    </row>
    <row r="3855" spans="17:25">
      <c r="Q3855" s="6">
        <v>3825</v>
      </c>
      <c r="R3855" s="7">
        <v>46492</v>
      </c>
      <c r="S3855" s="210">
        <v>4</v>
      </c>
      <c r="T3855" s="8">
        <v>1.0001111111111112</v>
      </c>
      <c r="U3855" s="98">
        <v>3.9426912501052014</v>
      </c>
      <c r="V3855" s="106">
        <v>35459.887769543398</v>
      </c>
      <c r="W3855" s="10">
        <v>1.0020490544059735</v>
      </c>
      <c r="X3855" s="420"/>
      <c r="Y3855" s="420"/>
    </row>
    <row r="3856" spans="17:25">
      <c r="Q3856" s="6">
        <v>3826</v>
      </c>
      <c r="R3856" s="7">
        <v>46493</v>
      </c>
      <c r="S3856" s="210">
        <v>4</v>
      </c>
      <c r="T3856" s="8">
        <v>1.0001111111111112</v>
      </c>
      <c r="U3856" s="98">
        <v>3.9427424278214884</v>
      </c>
      <c r="V3856" s="106">
        <v>35462.740929238964</v>
      </c>
      <c r="W3856" s="10">
        <v>1.0020811390018869</v>
      </c>
      <c r="X3856" s="420"/>
      <c r="Y3856" s="420"/>
    </row>
    <row r="3857" spans="17:25">
      <c r="Q3857" s="6">
        <v>3827</v>
      </c>
      <c r="R3857" s="7">
        <v>46494</v>
      </c>
      <c r="S3857" s="210">
        <v>4</v>
      </c>
      <c r="T3857" s="8">
        <v>1.0001111111111112</v>
      </c>
      <c r="U3857" s="98">
        <v>3.9427935788173496</v>
      </c>
      <c r="V3857" s="106">
        <v>35465.594318504358</v>
      </c>
      <c r="W3857" s="10">
        <v>1.0021132068405159</v>
      </c>
      <c r="X3857" s="420"/>
      <c r="Y3857" s="420"/>
    </row>
    <row r="3858" spans="17:25">
      <c r="Q3858" s="6">
        <v>3828</v>
      </c>
      <c r="R3858" s="7">
        <v>46495</v>
      </c>
      <c r="S3858" s="210">
        <v>4</v>
      </c>
      <c r="T3858" s="8">
        <v>1.0001111111111112</v>
      </c>
      <c r="U3858" s="98">
        <v>3.9428447031137015</v>
      </c>
      <c r="V3858" s="106">
        <v>35468.447937358047</v>
      </c>
      <c r="W3858" s="10">
        <v>1.0021452579349388</v>
      </c>
      <c r="X3858" s="420"/>
      <c r="Y3858" s="420"/>
    </row>
    <row r="3859" spans="17:25">
      <c r="Q3859" s="6">
        <v>3829</v>
      </c>
      <c r="R3859" s="7">
        <v>46496</v>
      </c>
      <c r="S3859" s="210">
        <v>4</v>
      </c>
      <c r="T3859" s="8">
        <v>1.0001111111111112</v>
      </c>
      <c r="U3859" s="98">
        <v>3.9428958007314385</v>
      </c>
      <c r="V3859" s="106">
        <v>35471.301785818512</v>
      </c>
      <c r="W3859" s="10">
        <v>1.0021772922982786</v>
      </c>
      <c r="X3859" s="420"/>
      <c r="Y3859" s="420"/>
    </row>
    <row r="3860" spans="17:25">
      <c r="Q3860" s="6">
        <v>3830</v>
      </c>
      <c r="R3860" s="7">
        <v>46497</v>
      </c>
      <c r="S3860" s="210">
        <v>4</v>
      </c>
      <c r="T3860" s="8">
        <v>1.0001111111111112</v>
      </c>
      <c r="U3860" s="98">
        <v>3.9429468716914551</v>
      </c>
      <c r="V3860" s="106">
        <v>35474.155863904212</v>
      </c>
      <c r="W3860" s="10">
        <v>1.002209309943658</v>
      </c>
      <c r="X3860" s="420"/>
      <c r="Y3860" s="420"/>
    </row>
    <row r="3861" spans="17:25">
      <c r="Q3861" s="6">
        <v>3831</v>
      </c>
      <c r="R3861" s="7">
        <v>46498</v>
      </c>
      <c r="S3861" s="210">
        <v>4</v>
      </c>
      <c r="T3861" s="8">
        <v>1.0001111111111112</v>
      </c>
      <c r="U3861" s="98">
        <v>3.9429979160146011</v>
      </c>
      <c r="V3861" s="106">
        <v>35477.010171633643</v>
      </c>
      <c r="W3861" s="10">
        <v>1.0022413108841555</v>
      </c>
      <c r="X3861" s="420"/>
      <c r="Y3861" s="420"/>
    </row>
    <row r="3862" spans="17:25">
      <c r="Q3862" s="6">
        <v>3832</v>
      </c>
      <c r="R3862" s="7">
        <v>46499</v>
      </c>
      <c r="S3862" s="210">
        <v>4</v>
      </c>
      <c r="T3862" s="8">
        <v>1.0001111111111112</v>
      </c>
      <c r="U3862" s="98">
        <v>3.9430489337217045</v>
      </c>
      <c r="V3862" s="106">
        <v>35479.864709025263</v>
      </c>
      <c r="W3862" s="10">
        <v>1.0022732951328273</v>
      </c>
      <c r="X3862" s="420"/>
      <c r="Y3862" s="420"/>
    </row>
    <row r="3863" spans="17:25">
      <c r="Q3863" s="6">
        <v>3833</v>
      </c>
      <c r="R3863" s="7">
        <v>46500</v>
      </c>
      <c r="S3863" s="210">
        <v>4</v>
      </c>
      <c r="T3863" s="8">
        <v>1.0001111111111112</v>
      </c>
      <c r="U3863" s="98">
        <v>3.9430999248335707</v>
      </c>
      <c r="V3863" s="106">
        <v>35482.719476097569</v>
      </c>
      <c r="W3863" s="10">
        <v>1.0023052627027296</v>
      </c>
      <c r="X3863" s="420"/>
      <c r="Y3863" s="420"/>
    </row>
    <row r="3864" spans="17:25">
      <c r="Q3864" s="6">
        <v>3834</v>
      </c>
      <c r="R3864" s="7">
        <v>46501</v>
      </c>
      <c r="S3864" s="210">
        <v>4</v>
      </c>
      <c r="T3864" s="8">
        <v>1.0001111111111112</v>
      </c>
      <c r="U3864" s="98">
        <v>3.9431508893710054</v>
      </c>
      <c r="V3864" s="106">
        <v>35485.574472869026</v>
      </c>
      <c r="W3864" s="10">
        <v>1.0023372136068964</v>
      </c>
      <c r="X3864" s="420"/>
      <c r="Y3864" s="420"/>
    </row>
    <row r="3865" spans="17:25">
      <c r="Q3865" s="6">
        <v>3835</v>
      </c>
      <c r="R3865" s="7">
        <v>46502</v>
      </c>
      <c r="S3865" s="210">
        <v>4</v>
      </c>
      <c r="T3865" s="8">
        <v>1.0001111111111112</v>
      </c>
      <c r="U3865" s="98">
        <v>3.9432018273547698</v>
      </c>
      <c r="V3865" s="106">
        <v>35488.429699358116</v>
      </c>
      <c r="W3865" s="10">
        <v>1.002369147858384</v>
      </c>
      <c r="X3865" s="420"/>
      <c r="Y3865" s="420"/>
    </row>
    <row r="3866" spans="17:25">
      <c r="Q3866" s="6">
        <v>3836</v>
      </c>
      <c r="R3866" s="7">
        <v>46503</v>
      </c>
      <c r="S3866" s="210">
        <v>4</v>
      </c>
      <c r="T3866" s="8">
        <v>1.0001111111111112</v>
      </c>
      <c r="U3866" s="98">
        <v>3.9432527388056027</v>
      </c>
      <c r="V3866" s="106">
        <v>35491.28515558334</v>
      </c>
      <c r="W3866" s="10">
        <v>1.002401065470182</v>
      </c>
      <c r="X3866" s="420"/>
      <c r="Y3866" s="420"/>
    </row>
    <row r="3867" spans="17:25">
      <c r="Q3867" s="6">
        <v>3837</v>
      </c>
      <c r="R3867" s="7">
        <v>46504</v>
      </c>
      <c r="S3867" s="210">
        <v>4</v>
      </c>
      <c r="T3867" s="8">
        <v>1.0001111111111112</v>
      </c>
      <c r="U3867" s="98">
        <v>3.9433036237442431</v>
      </c>
      <c r="V3867" s="106">
        <v>35494.140841563167</v>
      </c>
      <c r="W3867" s="10">
        <v>1.0024329664553244</v>
      </c>
      <c r="X3867" s="420"/>
      <c r="Y3867" s="420"/>
    </row>
    <row r="3868" spans="17:25">
      <c r="Q3868" s="6">
        <v>3838</v>
      </c>
      <c r="R3868" s="7">
        <v>46505</v>
      </c>
      <c r="S3868" s="210">
        <v>4</v>
      </c>
      <c r="T3868" s="8">
        <v>1.0001111111111112</v>
      </c>
      <c r="U3868" s="98">
        <v>3.9433544821914079</v>
      </c>
      <c r="V3868" s="106">
        <v>35496.996757316098</v>
      </c>
      <c r="W3868" s="10">
        <v>1.0024648508267786</v>
      </c>
      <c r="X3868" s="420"/>
      <c r="Y3868" s="420"/>
    </row>
    <row r="3869" spans="17:25">
      <c r="Q3869" s="6">
        <v>3839</v>
      </c>
      <c r="R3869" s="7">
        <v>46506</v>
      </c>
      <c r="S3869" s="210">
        <v>4</v>
      </c>
      <c r="T3869" s="8">
        <v>1.0001111111111112</v>
      </c>
      <c r="U3869" s="98">
        <v>3.9434053141677472</v>
      </c>
      <c r="V3869" s="106">
        <v>35499.852902860599</v>
      </c>
      <c r="W3869" s="10">
        <v>1.002496718597512</v>
      </c>
      <c r="X3869" s="420"/>
      <c r="Y3869" s="420"/>
    </row>
    <row r="3870" spans="17:25">
      <c r="Q3870" s="6">
        <v>3840</v>
      </c>
      <c r="R3870" s="7">
        <v>46507</v>
      </c>
      <c r="S3870" s="210">
        <v>4</v>
      </c>
      <c r="T3870" s="8">
        <v>1.0001111111111112</v>
      </c>
      <c r="U3870" s="98">
        <v>3.9434561196939555</v>
      </c>
      <c r="V3870" s="106">
        <v>35502.709278215174</v>
      </c>
      <c r="W3870" s="10">
        <v>1.002528569780492</v>
      </c>
      <c r="X3870" s="420"/>
      <c r="Y3870" s="420"/>
    </row>
    <row r="3871" spans="17:25">
      <c r="Q3871" s="6">
        <v>3841</v>
      </c>
      <c r="R3871" s="7">
        <v>46508</v>
      </c>
      <c r="S3871" s="210">
        <v>4</v>
      </c>
      <c r="T3871" s="8">
        <v>1.0001111111111112</v>
      </c>
      <c r="U3871" s="98">
        <v>3.9435068987906385</v>
      </c>
      <c r="V3871" s="106">
        <v>35505.565883398318</v>
      </c>
      <c r="W3871" s="10">
        <v>1.0025604043886638</v>
      </c>
      <c r="X3871" s="420"/>
      <c r="Y3871" s="420"/>
    </row>
    <row r="3872" spans="17:25">
      <c r="Q3872" s="6">
        <v>3842</v>
      </c>
      <c r="R3872" s="7">
        <v>46509</v>
      </c>
      <c r="S3872" s="210">
        <v>4</v>
      </c>
      <c r="T3872" s="8">
        <v>1.0001111111111112</v>
      </c>
      <c r="U3872" s="98">
        <v>3.9435576514784465</v>
      </c>
      <c r="V3872" s="106">
        <v>35508.422718428512</v>
      </c>
      <c r="W3872" s="10">
        <v>1.0025922224349948</v>
      </c>
      <c r="X3872" s="420"/>
      <c r="Y3872" s="420"/>
    </row>
    <row r="3873" spans="17:25">
      <c r="Q3873" s="6">
        <v>3843</v>
      </c>
      <c r="R3873" s="7">
        <v>46510</v>
      </c>
      <c r="S3873" s="210">
        <v>4</v>
      </c>
      <c r="T3873" s="8">
        <v>1.0001111111111112</v>
      </c>
      <c r="U3873" s="98">
        <v>3.9436083777779407</v>
      </c>
      <c r="V3873" s="106">
        <v>35511.279783324251</v>
      </c>
      <c r="W3873" s="10">
        <v>1.0026240239323414</v>
      </c>
      <c r="X3873" s="420"/>
      <c r="Y3873" s="420"/>
    </row>
    <row r="3874" spans="17:25">
      <c r="Q3874" s="6">
        <v>3844</v>
      </c>
      <c r="R3874" s="7">
        <v>46511</v>
      </c>
      <c r="S3874" s="210">
        <v>4</v>
      </c>
      <c r="T3874" s="8">
        <v>1.0001111111111112</v>
      </c>
      <c r="U3874" s="98">
        <v>3.9436590777097269</v>
      </c>
      <c r="V3874" s="106">
        <v>35514.137078104046</v>
      </c>
      <c r="W3874" s="10">
        <v>1.002655808893671</v>
      </c>
      <c r="X3874" s="420"/>
      <c r="Y3874" s="420"/>
    </row>
    <row r="3875" spans="17:25">
      <c r="Q3875" s="6">
        <v>3845</v>
      </c>
      <c r="R3875" s="7">
        <v>46512</v>
      </c>
      <c r="S3875" s="210">
        <v>4</v>
      </c>
      <c r="T3875" s="8">
        <v>1.0001111111111112</v>
      </c>
      <c r="U3875" s="98">
        <v>3.9437097512943442</v>
      </c>
      <c r="V3875" s="106">
        <v>35516.99460278637</v>
      </c>
      <c r="W3875" s="10">
        <v>1.0026875773318622</v>
      </c>
      <c r="X3875" s="420"/>
      <c r="Y3875" s="420"/>
    </row>
    <row r="3876" spans="17:25">
      <c r="Q3876" s="6">
        <v>3846</v>
      </c>
      <c r="R3876" s="7">
        <v>46513</v>
      </c>
      <c r="S3876" s="210">
        <v>4</v>
      </c>
      <c r="T3876" s="8">
        <v>1.0001111111111112</v>
      </c>
      <c r="U3876" s="98">
        <v>3.9437603985523317</v>
      </c>
      <c r="V3876" s="106">
        <v>35519.85235738974</v>
      </c>
      <c r="W3876" s="10">
        <v>1.0027193292597936</v>
      </c>
      <c r="X3876" s="420"/>
      <c r="Y3876" s="420"/>
    </row>
    <row r="3877" spans="17:25">
      <c r="Q3877" s="6">
        <v>3847</v>
      </c>
      <c r="R3877" s="7">
        <v>46514</v>
      </c>
      <c r="S3877" s="210">
        <v>4</v>
      </c>
      <c r="T3877" s="8">
        <v>1.0001111111111112</v>
      </c>
      <c r="U3877" s="98">
        <v>3.9438110195041842</v>
      </c>
      <c r="V3877" s="106">
        <v>35522.710341932652</v>
      </c>
      <c r="W3877" s="10">
        <v>1.0027510646902993</v>
      </c>
      <c r="X3877" s="420"/>
      <c r="Y3877" s="420"/>
    </row>
    <row r="3878" spans="17:25">
      <c r="Q3878" s="6">
        <v>3848</v>
      </c>
      <c r="R3878" s="7">
        <v>46515</v>
      </c>
      <c r="S3878" s="210">
        <v>4</v>
      </c>
      <c r="T3878" s="8">
        <v>1.0001111111111112</v>
      </c>
      <c r="U3878" s="98">
        <v>3.9438616141704186</v>
      </c>
      <c r="V3878" s="106">
        <v>35525.568556433594</v>
      </c>
      <c r="W3878" s="10">
        <v>1.0027827836362802</v>
      </c>
      <c r="X3878" s="420"/>
      <c r="Y3878" s="420"/>
    </row>
    <row r="3879" spans="17:25">
      <c r="Q3879" s="6">
        <v>3849</v>
      </c>
      <c r="R3879" s="7">
        <v>46516</v>
      </c>
      <c r="S3879" s="210">
        <v>4</v>
      </c>
      <c r="T3879" s="8">
        <v>1.0001111111111112</v>
      </c>
      <c r="U3879" s="98">
        <v>3.9439121825714851</v>
      </c>
      <c r="V3879" s="106">
        <v>35528.427000911091</v>
      </c>
      <c r="W3879" s="10">
        <v>1.0028144861105481</v>
      </c>
      <c r="X3879" s="420"/>
      <c r="Y3879" s="420"/>
    </row>
    <row r="3880" spans="17:25">
      <c r="Q3880" s="6">
        <v>3850</v>
      </c>
      <c r="R3880" s="7">
        <v>46517</v>
      </c>
      <c r="S3880" s="210">
        <v>4</v>
      </c>
      <c r="T3880" s="8">
        <v>1.0001111111111112</v>
      </c>
      <c r="U3880" s="98">
        <v>3.9439627247278342</v>
      </c>
      <c r="V3880" s="106">
        <v>35531.285675383631</v>
      </c>
      <c r="W3880" s="10">
        <v>1.0028461721259596</v>
      </c>
      <c r="X3880" s="420"/>
      <c r="Y3880" s="420"/>
    </row>
    <row r="3881" spans="17:25">
      <c r="Q3881" s="6">
        <v>3851</v>
      </c>
      <c r="R3881" s="7">
        <v>46518</v>
      </c>
      <c r="S3881" s="210">
        <v>4</v>
      </c>
      <c r="T3881" s="8">
        <v>1.0001111111111112</v>
      </c>
      <c r="U3881" s="98">
        <v>3.9440132406598938</v>
      </c>
      <c r="V3881" s="106">
        <v>35534.144579869724</v>
      </c>
      <c r="W3881" s="10">
        <v>1.0028778416953044</v>
      </c>
      <c r="X3881" s="420"/>
      <c r="Y3881" s="420"/>
    </row>
    <row r="3882" spans="17:25">
      <c r="Q3882" s="6">
        <v>3852</v>
      </c>
      <c r="R3882" s="7">
        <v>46519</v>
      </c>
      <c r="S3882" s="210">
        <v>4</v>
      </c>
      <c r="T3882" s="8">
        <v>1.0001111111111112</v>
      </c>
      <c r="U3882" s="98">
        <v>3.9440637303880699</v>
      </c>
      <c r="V3882" s="106">
        <v>35537.00371438788</v>
      </c>
      <c r="W3882" s="10">
        <v>1.0029094948313944</v>
      </c>
      <c r="X3882" s="420"/>
      <c r="Y3882" s="420"/>
    </row>
    <row r="3883" spans="17:25">
      <c r="Q3883" s="6">
        <v>3853</v>
      </c>
      <c r="R3883" s="7">
        <v>46520</v>
      </c>
      <c r="S3883" s="210">
        <v>4</v>
      </c>
      <c r="T3883" s="8">
        <v>1.0001111111111112</v>
      </c>
      <c r="U3883" s="98">
        <v>3.9441141939327462</v>
      </c>
      <c r="V3883" s="106">
        <v>35539.863078956601</v>
      </c>
      <c r="W3883" s="10">
        <v>1.0029411315469972</v>
      </c>
      <c r="X3883" s="420"/>
      <c r="Y3883" s="420"/>
    </row>
    <row r="3884" spans="17:25">
      <c r="Q3884" s="6">
        <v>3854</v>
      </c>
      <c r="R3884" s="7">
        <v>46521</v>
      </c>
      <c r="S3884" s="210">
        <v>4</v>
      </c>
      <c r="T3884" s="8">
        <v>1.0001111111111112</v>
      </c>
      <c r="U3884" s="98">
        <v>3.9441646313142842</v>
      </c>
      <c r="V3884" s="106">
        <v>35542.722673594399</v>
      </c>
      <c r="W3884" s="10">
        <v>1.0029727518549247</v>
      </c>
      <c r="X3884" s="420"/>
      <c r="Y3884" s="420"/>
    </row>
    <row r="3885" spans="17:25">
      <c r="Q3885" s="6">
        <v>3855</v>
      </c>
      <c r="R3885" s="7">
        <v>46522</v>
      </c>
      <c r="S3885" s="210">
        <v>4</v>
      </c>
      <c r="T3885" s="8">
        <v>1.0001111111111112</v>
      </c>
      <c r="U3885" s="98">
        <v>3.9442150425530231</v>
      </c>
      <c r="V3885" s="106">
        <v>35545.582498319796</v>
      </c>
      <c r="W3885" s="10">
        <v>1.0030043557679003</v>
      </c>
      <c r="X3885" s="420"/>
      <c r="Y3885" s="420"/>
    </row>
    <row r="3886" spans="17:25">
      <c r="Q3886" s="6">
        <v>3856</v>
      </c>
      <c r="R3886" s="7">
        <v>46523</v>
      </c>
      <c r="S3886" s="210">
        <v>4</v>
      </c>
      <c r="T3886" s="8">
        <v>1.0001111111111112</v>
      </c>
      <c r="U3886" s="98">
        <v>3.9442654276692801</v>
      </c>
      <c r="V3886" s="106">
        <v>35548.442553151297</v>
      </c>
      <c r="W3886" s="10">
        <v>1.0030359432986913</v>
      </c>
      <c r="X3886" s="420"/>
      <c r="Y3886" s="420"/>
    </row>
    <row r="3887" spans="17:25">
      <c r="Q3887" s="6">
        <v>3857</v>
      </c>
      <c r="R3887" s="7">
        <v>46524</v>
      </c>
      <c r="S3887" s="210">
        <v>4</v>
      </c>
      <c r="T3887" s="8">
        <v>1.0001111111111112</v>
      </c>
      <c r="U3887" s="98">
        <v>3.94431578668335</v>
      </c>
      <c r="V3887" s="106">
        <v>35551.302838107411</v>
      </c>
      <c r="W3887" s="10">
        <v>1.003067514460021</v>
      </c>
      <c r="X3887" s="420"/>
      <c r="Y3887" s="420"/>
    </row>
    <row r="3888" spans="17:25">
      <c r="Q3888" s="6">
        <v>3858</v>
      </c>
      <c r="R3888" s="7">
        <v>46525</v>
      </c>
      <c r="S3888" s="210">
        <v>4</v>
      </c>
      <c r="T3888" s="8">
        <v>1.0001111111111112</v>
      </c>
      <c r="U3888" s="98">
        <v>3.9443661196155277</v>
      </c>
      <c r="V3888" s="106">
        <v>35554.163353206663</v>
      </c>
      <c r="W3888" s="10">
        <v>1.0030990692646125</v>
      </c>
      <c r="X3888" s="420"/>
      <c r="Y3888" s="420"/>
    </row>
    <row r="3889" spans="17:25">
      <c r="Q3889" s="6">
        <v>3859</v>
      </c>
      <c r="R3889" s="7">
        <v>46526</v>
      </c>
      <c r="S3889" s="210">
        <v>4</v>
      </c>
      <c r="T3889" s="8">
        <v>1.0001111111111112</v>
      </c>
      <c r="U3889" s="98">
        <v>3.9444164264860637</v>
      </c>
      <c r="V3889" s="106">
        <v>35557.024098467577</v>
      </c>
      <c r="W3889" s="10">
        <v>1.0031306077251889</v>
      </c>
      <c r="X3889" s="420"/>
      <c r="Y3889" s="420"/>
    </row>
    <row r="3890" spans="17:25">
      <c r="Q3890" s="6">
        <v>3860</v>
      </c>
      <c r="R3890" s="7">
        <v>46527</v>
      </c>
      <c r="S3890" s="210">
        <v>4</v>
      </c>
      <c r="T3890" s="8">
        <v>1.0001111111111112</v>
      </c>
      <c r="U3890" s="98">
        <v>3.9444667073151862</v>
      </c>
      <c r="V3890" s="106">
        <v>35559.885073908648</v>
      </c>
      <c r="W3890" s="10">
        <v>1.0031621298544291</v>
      </c>
      <c r="X3890" s="420"/>
      <c r="Y3890" s="420"/>
    </row>
    <row r="3891" spans="17:25">
      <c r="Q3891" s="6">
        <v>3861</v>
      </c>
      <c r="R3891" s="7">
        <v>46528</v>
      </c>
      <c r="S3891" s="210">
        <v>4</v>
      </c>
      <c r="T3891" s="8">
        <v>1.0001111111111112</v>
      </c>
      <c r="U3891" s="98">
        <v>3.9445169621231235</v>
      </c>
      <c r="V3891" s="106">
        <v>35562.746279548424</v>
      </c>
      <c r="W3891" s="10">
        <v>1.0031936356650339</v>
      </c>
      <c r="X3891" s="420"/>
      <c r="Y3891" s="420"/>
    </row>
    <row r="3892" spans="17:25">
      <c r="Q3892" s="6">
        <v>3862</v>
      </c>
      <c r="R3892" s="7">
        <v>46529</v>
      </c>
      <c r="S3892" s="210">
        <v>4</v>
      </c>
      <c r="T3892" s="8">
        <v>1.0001111111111112</v>
      </c>
      <c r="U3892" s="98">
        <v>3.9445671909300595</v>
      </c>
      <c r="V3892" s="106">
        <v>35565.607715405407</v>
      </c>
      <c r="W3892" s="10">
        <v>1.0032251251696378</v>
      </c>
      <c r="X3892" s="420"/>
      <c r="Y3892" s="420"/>
    </row>
    <row r="3893" spans="17:25">
      <c r="Q3893" s="6">
        <v>3863</v>
      </c>
      <c r="R3893" s="7">
        <v>46530</v>
      </c>
      <c r="S3893" s="210">
        <v>4</v>
      </c>
      <c r="T3893" s="8">
        <v>1.0001111111111112</v>
      </c>
      <c r="U3893" s="98">
        <v>3.9446173937561557</v>
      </c>
      <c r="V3893" s="106">
        <v>35568.469381498136</v>
      </c>
      <c r="W3893" s="10">
        <v>1.0032565983809194</v>
      </c>
      <c r="X3893" s="420"/>
      <c r="Y3893" s="420"/>
    </row>
    <row r="3894" spans="17:25">
      <c r="Q3894" s="6">
        <v>3864</v>
      </c>
      <c r="R3894" s="7">
        <v>46531</v>
      </c>
      <c r="S3894" s="210">
        <v>4</v>
      </c>
      <c r="T3894" s="8">
        <v>1.0001111111111112</v>
      </c>
      <c r="U3894" s="98">
        <v>3.9446675706215961</v>
      </c>
      <c r="V3894" s="106">
        <v>35571.331277845122</v>
      </c>
      <c r="W3894" s="10">
        <v>1.0032880553115131</v>
      </c>
      <c r="X3894" s="420"/>
      <c r="Y3894" s="420"/>
    </row>
    <row r="3895" spans="17:25">
      <c r="Q3895" s="6">
        <v>3865</v>
      </c>
      <c r="R3895" s="7">
        <v>46532</v>
      </c>
      <c r="S3895" s="210">
        <v>4</v>
      </c>
      <c r="T3895" s="8">
        <v>1.0001111111111112</v>
      </c>
      <c r="U3895" s="98">
        <v>3.9447177215464979</v>
      </c>
      <c r="V3895" s="106">
        <v>35574.193404464902</v>
      </c>
      <c r="W3895" s="10">
        <v>1.0033194959740754</v>
      </c>
      <c r="X3895" s="420"/>
      <c r="Y3895" s="420"/>
    </row>
    <row r="3896" spans="17:25">
      <c r="Q3896" s="6">
        <v>3866</v>
      </c>
      <c r="R3896" s="7">
        <v>46533</v>
      </c>
      <c r="S3896" s="210">
        <v>4</v>
      </c>
      <c r="T3896" s="8">
        <v>1.0001111111111112</v>
      </c>
      <c r="U3896" s="98">
        <v>3.9447678465509561</v>
      </c>
      <c r="V3896" s="106">
        <v>35577.055761376003</v>
      </c>
      <c r="W3896" s="10">
        <v>1.0033509203811741</v>
      </c>
      <c r="X3896" s="420"/>
      <c r="Y3896" s="420"/>
    </row>
    <row r="3897" spans="17:25">
      <c r="Q3897" s="6">
        <v>3867</v>
      </c>
      <c r="R3897" s="7">
        <v>46534</v>
      </c>
      <c r="S3897" s="210">
        <v>4</v>
      </c>
      <c r="T3897" s="8">
        <v>1.0001111111111112</v>
      </c>
      <c r="U3897" s="98">
        <v>3.944817945655088</v>
      </c>
      <c r="V3897" s="106">
        <v>35579.918348596948</v>
      </c>
      <c r="W3897" s="10">
        <v>1.0033823285454435</v>
      </c>
      <c r="X3897" s="420"/>
      <c r="Y3897" s="420"/>
    </row>
    <row r="3898" spans="17:25">
      <c r="Q3898" s="6">
        <v>3868</v>
      </c>
      <c r="R3898" s="7">
        <v>46535</v>
      </c>
      <c r="S3898" s="210">
        <v>4</v>
      </c>
      <c r="T3898" s="8">
        <v>1.0001111111111112</v>
      </c>
      <c r="U3898" s="98">
        <v>3.9448680188789442</v>
      </c>
      <c r="V3898" s="106">
        <v>35582.781166146277</v>
      </c>
      <c r="W3898" s="10">
        <v>1.0034137204794735</v>
      </c>
      <c r="X3898" s="420"/>
      <c r="Y3898" s="420"/>
    </row>
    <row r="3899" spans="17:25">
      <c r="Q3899" s="6">
        <v>3869</v>
      </c>
      <c r="R3899" s="7">
        <v>46536</v>
      </c>
      <c r="S3899" s="210">
        <v>4</v>
      </c>
      <c r="T3899" s="8">
        <v>1.0001111111111112</v>
      </c>
      <c r="U3899" s="98">
        <v>3.9449180662425753</v>
      </c>
      <c r="V3899" s="106">
        <v>35585.644214042513</v>
      </c>
      <c r="W3899" s="10">
        <v>1.0034450961958541</v>
      </c>
      <c r="X3899" s="420"/>
      <c r="Y3899" s="420"/>
    </row>
    <row r="3900" spans="17:25">
      <c r="Q3900" s="6">
        <v>3870</v>
      </c>
      <c r="R3900" s="7">
        <v>46537</v>
      </c>
      <c r="S3900" s="210">
        <v>4</v>
      </c>
      <c r="T3900" s="8">
        <v>1.0001111111111112</v>
      </c>
      <c r="U3900" s="98">
        <v>3.9449680877660098</v>
      </c>
      <c r="V3900" s="106">
        <v>35588.507492304198</v>
      </c>
      <c r="W3900" s="10">
        <v>1.0034764557071085</v>
      </c>
      <c r="X3900" s="420"/>
      <c r="Y3900" s="420"/>
    </row>
    <row r="3901" spans="17:25">
      <c r="Q3901" s="6">
        <v>3871</v>
      </c>
      <c r="R3901" s="7">
        <v>46538</v>
      </c>
      <c r="S3901" s="210">
        <v>4</v>
      </c>
      <c r="T3901" s="8">
        <v>1.0001111111111112</v>
      </c>
      <c r="U3901" s="98">
        <v>3.9450180834692761</v>
      </c>
      <c r="V3901" s="106">
        <v>35591.371000949868</v>
      </c>
      <c r="W3901" s="10">
        <v>1.0035077990258268</v>
      </c>
      <c r="X3901" s="420"/>
      <c r="Y3901" s="420"/>
    </row>
    <row r="3902" spans="17:25">
      <c r="Q3902" s="6">
        <v>3872</v>
      </c>
      <c r="R3902" s="7">
        <v>46539</v>
      </c>
      <c r="S3902" s="210">
        <v>4</v>
      </c>
      <c r="T3902" s="8">
        <v>1.0001111111111112</v>
      </c>
      <c r="U3902" s="98">
        <v>3.9450680533723359</v>
      </c>
      <c r="V3902" s="106">
        <v>35594.23473999805</v>
      </c>
      <c r="W3902" s="10">
        <v>1.0035391261645321</v>
      </c>
      <c r="X3902" s="420"/>
      <c r="Y3902" s="420"/>
    </row>
    <row r="3903" spans="17:25">
      <c r="Q3903" s="6">
        <v>3873</v>
      </c>
      <c r="R3903" s="7">
        <v>46540</v>
      </c>
      <c r="S3903" s="210">
        <v>4</v>
      </c>
      <c r="T3903" s="8">
        <v>1.0001111111111112</v>
      </c>
      <c r="U3903" s="98">
        <v>3.9451179974951733</v>
      </c>
      <c r="V3903" s="106">
        <v>35597.098709467289</v>
      </c>
      <c r="W3903" s="10">
        <v>1.0035704371357479</v>
      </c>
      <c r="X3903" s="420"/>
      <c r="Y3903" s="420"/>
    </row>
    <row r="3904" spans="17:25">
      <c r="Q3904" s="6">
        <v>3874</v>
      </c>
      <c r="R3904" s="7">
        <v>46541</v>
      </c>
      <c r="S3904" s="210">
        <v>4</v>
      </c>
      <c r="T3904" s="8">
        <v>1.0001111111111112</v>
      </c>
      <c r="U3904" s="98">
        <v>3.9451679158577058</v>
      </c>
      <c r="V3904" s="106">
        <v>35599.962909376132</v>
      </c>
      <c r="W3904" s="10">
        <v>1.0036017319519974</v>
      </c>
      <c r="X3904" s="420"/>
      <c r="Y3904" s="420"/>
    </row>
    <row r="3905" spans="17:25">
      <c r="Q3905" s="6">
        <v>3875</v>
      </c>
      <c r="R3905" s="7">
        <v>46542</v>
      </c>
      <c r="S3905" s="210">
        <v>4</v>
      </c>
      <c r="T3905" s="8">
        <v>1.0001111111111112</v>
      </c>
      <c r="U3905" s="98">
        <v>3.945217808479895</v>
      </c>
      <c r="V3905" s="106">
        <v>35602.827339743111</v>
      </c>
      <c r="W3905" s="10">
        <v>1.0036330106257596</v>
      </c>
      <c r="X3905" s="420"/>
      <c r="Y3905" s="420"/>
    </row>
    <row r="3906" spans="17:25">
      <c r="Q3906" s="6">
        <v>3876</v>
      </c>
      <c r="R3906" s="7">
        <v>46543</v>
      </c>
      <c r="S3906" s="210">
        <v>4</v>
      </c>
      <c r="T3906" s="8">
        <v>1.0001111111111112</v>
      </c>
      <c r="U3906" s="98">
        <v>3.945267675381614</v>
      </c>
      <c r="V3906" s="106">
        <v>35605.692000586772</v>
      </c>
      <c r="W3906" s="10">
        <v>1.0036642731695355</v>
      </c>
      <c r="X3906" s="420"/>
      <c r="Y3906" s="420"/>
    </row>
    <row r="3907" spans="17:25">
      <c r="Q3907" s="6">
        <v>3877</v>
      </c>
      <c r="R3907" s="7">
        <v>46544</v>
      </c>
      <c r="S3907" s="210">
        <v>4</v>
      </c>
      <c r="T3907" s="8">
        <v>1.0001111111111112</v>
      </c>
      <c r="U3907" s="98">
        <v>3.9453175165827581</v>
      </c>
      <c r="V3907" s="106">
        <v>35608.556891925662</v>
      </c>
      <c r="W3907" s="10">
        <v>1.0036955195958042</v>
      </c>
      <c r="X3907" s="420"/>
      <c r="Y3907" s="420"/>
    </row>
    <row r="3908" spans="17:25">
      <c r="Q3908" s="6">
        <v>3878</v>
      </c>
      <c r="R3908" s="7">
        <v>46545</v>
      </c>
      <c r="S3908" s="210">
        <v>4</v>
      </c>
      <c r="T3908" s="8">
        <v>1.0001111111111112</v>
      </c>
      <c r="U3908" s="98">
        <v>3.9453673321032001</v>
      </c>
      <c r="V3908" s="106">
        <v>35611.422013778312</v>
      </c>
      <c r="W3908" s="10">
        <v>1.0037267499170222</v>
      </c>
      <c r="X3908" s="420"/>
      <c r="Y3908" s="420"/>
    </row>
    <row r="3909" spans="17:25">
      <c r="Q3909" s="6">
        <v>3879</v>
      </c>
      <c r="R3909" s="7">
        <v>46546</v>
      </c>
      <c r="S3909" s="210">
        <v>4</v>
      </c>
      <c r="T3909" s="8">
        <v>1.0001111111111112</v>
      </c>
      <c r="U3909" s="98">
        <v>3.9454171219627687</v>
      </c>
      <c r="V3909" s="106">
        <v>35614.287366163298</v>
      </c>
      <c r="W3909" s="10">
        <v>1.0037579641456462</v>
      </c>
      <c r="X3909" s="420"/>
      <c r="Y3909" s="420"/>
    </row>
    <row r="3910" spans="17:25">
      <c r="Q3910" s="6">
        <v>3880</v>
      </c>
      <c r="R3910" s="7">
        <v>46547</v>
      </c>
      <c r="S3910" s="210">
        <v>4</v>
      </c>
      <c r="T3910" s="8">
        <v>1.0001111111111112</v>
      </c>
      <c r="U3910" s="98">
        <v>3.9454668861812925</v>
      </c>
      <c r="V3910" s="106">
        <v>35617.152949099145</v>
      </c>
      <c r="W3910" s="10">
        <v>1.0037891622940665</v>
      </c>
      <c r="X3910" s="420"/>
      <c r="Y3910" s="420"/>
    </row>
    <row r="3911" spans="17:25">
      <c r="Q3911" s="6">
        <v>3881</v>
      </c>
      <c r="R3911" s="7">
        <v>46548</v>
      </c>
      <c r="S3911" s="210">
        <v>4</v>
      </c>
      <c r="T3911" s="8">
        <v>1.0001111111111112</v>
      </c>
      <c r="U3911" s="98">
        <v>3.9455166247785778</v>
      </c>
      <c r="V3911" s="106">
        <v>35620.018762604413</v>
      </c>
      <c r="W3911" s="10">
        <v>1.0038203443747618</v>
      </c>
      <c r="X3911" s="420"/>
      <c r="Y3911" s="420"/>
    </row>
    <row r="3912" spans="17:25">
      <c r="Q3912" s="6">
        <v>3882</v>
      </c>
      <c r="R3912" s="7">
        <v>46549</v>
      </c>
      <c r="S3912" s="210">
        <v>4</v>
      </c>
      <c r="T3912" s="8">
        <v>1.0001111111111112</v>
      </c>
      <c r="U3912" s="98">
        <v>3.9455663377744088</v>
      </c>
      <c r="V3912" s="106">
        <v>35622.884806697657</v>
      </c>
      <c r="W3912" s="10">
        <v>1.0038515104001444</v>
      </c>
      <c r="X3912" s="420"/>
      <c r="Y3912" s="420"/>
    </row>
    <row r="3913" spans="17:25">
      <c r="Q3913" s="6">
        <v>3883</v>
      </c>
      <c r="R3913" s="7">
        <v>46550</v>
      </c>
      <c r="S3913" s="210">
        <v>4</v>
      </c>
      <c r="T3913" s="8">
        <v>1.0001111111111112</v>
      </c>
      <c r="U3913" s="98">
        <v>3.9456160251885253</v>
      </c>
      <c r="V3913" s="106">
        <v>35625.751081397415</v>
      </c>
      <c r="W3913" s="10">
        <v>1.0038826603825601</v>
      </c>
      <c r="X3913" s="420"/>
      <c r="Y3913" s="420"/>
    </row>
    <row r="3914" spans="17:25">
      <c r="Q3914" s="6">
        <v>3884</v>
      </c>
      <c r="R3914" s="7">
        <v>46551</v>
      </c>
      <c r="S3914" s="210">
        <v>4</v>
      </c>
      <c r="T3914" s="8">
        <v>1.0001111111111112</v>
      </c>
      <c r="U3914" s="98">
        <v>3.9456656870406892</v>
      </c>
      <c r="V3914" s="106">
        <v>35628.617586722256</v>
      </c>
      <c r="W3914" s="10">
        <v>1.0039137943344212</v>
      </c>
      <c r="X3914" s="420"/>
      <c r="Y3914" s="420"/>
    </row>
    <row r="3915" spans="17:25">
      <c r="Q3915" s="6">
        <v>3885</v>
      </c>
      <c r="R3915" s="7">
        <v>46552</v>
      </c>
      <c r="S3915" s="210">
        <v>4</v>
      </c>
      <c r="T3915" s="8">
        <v>1.0001111111111112</v>
      </c>
      <c r="U3915" s="98">
        <v>3.9457153233506181</v>
      </c>
      <c r="V3915" s="106">
        <v>35631.484322690732</v>
      </c>
      <c r="W3915" s="10">
        <v>1.0039449122680955</v>
      </c>
      <c r="X3915" s="420"/>
      <c r="Y3915" s="420"/>
    </row>
    <row r="3916" spans="17:25">
      <c r="Q3916" s="6">
        <v>3886</v>
      </c>
      <c r="R3916" s="7">
        <v>46553</v>
      </c>
      <c r="S3916" s="210">
        <v>4</v>
      </c>
      <c r="T3916" s="8">
        <v>1.0001111111111112</v>
      </c>
      <c r="U3916" s="98">
        <v>3.9457649341380074</v>
      </c>
      <c r="V3916" s="106">
        <v>35634.351289321414</v>
      </c>
      <c r="W3916" s="10">
        <v>1.0039760141959508</v>
      </c>
      <c r="X3916" s="420"/>
      <c r="Y3916" s="420"/>
    </row>
    <row r="3917" spans="17:25">
      <c r="Q3917" s="6">
        <v>3887</v>
      </c>
      <c r="R3917" s="7">
        <v>46554</v>
      </c>
      <c r="S3917" s="210">
        <v>4</v>
      </c>
      <c r="T3917" s="8">
        <v>1.0001111111111112</v>
      </c>
      <c r="U3917" s="98">
        <v>3.9458145194225303</v>
      </c>
      <c r="V3917" s="106">
        <v>35637.218486632839</v>
      </c>
      <c r="W3917" s="10">
        <v>1.0040071001303108</v>
      </c>
      <c r="X3917" s="420"/>
      <c r="Y3917" s="420"/>
    </row>
    <row r="3918" spans="17:25">
      <c r="Q3918" s="6">
        <v>3888</v>
      </c>
      <c r="R3918" s="7">
        <v>46555</v>
      </c>
      <c r="S3918" s="210">
        <v>4</v>
      </c>
      <c r="T3918" s="8">
        <v>1.0001111111111112</v>
      </c>
      <c r="U3918" s="98">
        <v>3.9458640792238597</v>
      </c>
      <c r="V3918" s="106">
        <v>35640.085914643583</v>
      </c>
      <c r="W3918" s="10">
        <v>1.004038170083521</v>
      </c>
      <c r="X3918" s="420"/>
      <c r="Y3918" s="420"/>
    </row>
    <row r="3919" spans="17:25">
      <c r="Q3919" s="6">
        <v>3889</v>
      </c>
      <c r="R3919" s="7">
        <v>46556</v>
      </c>
      <c r="S3919" s="210">
        <v>4</v>
      </c>
      <c r="T3919" s="8">
        <v>1.0001111111111112</v>
      </c>
      <c r="U3919" s="98">
        <v>3.9459136135616246</v>
      </c>
      <c r="V3919" s="106">
        <v>35642.953573372208</v>
      </c>
      <c r="W3919" s="10">
        <v>1.0040692240679272</v>
      </c>
      <c r="X3919" s="420"/>
      <c r="Y3919" s="420"/>
    </row>
    <row r="3920" spans="17:25">
      <c r="Q3920" s="6">
        <v>3890</v>
      </c>
      <c r="R3920" s="7">
        <v>46557</v>
      </c>
      <c r="S3920" s="210">
        <v>4</v>
      </c>
      <c r="T3920" s="8">
        <v>1.0001111111111112</v>
      </c>
      <c r="U3920" s="98">
        <v>3.9459631224554537</v>
      </c>
      <c r="V3920" s="106">
        <v>35645.821462837266</v>
      </c>
      <c r="W3920" s="10">
        <v>1.0041002620957862</v>
      </c>
      <c r="X3920" s="420"/>
      <c r="Y3920" s="420"/>
    </row>
    <row r="3921" spans="17:25">
      <c r="Q3921" s="6">
        <v>3891</v>
      </c>
      <c r="R3921" s="7">
        <v>46558</v>
      </c>
      <c r="S3921" s="210">
        <v>4</v>
      </c>
      <c r="T3921" s="8">
        <v>1.0001111111111112</v>
      </c>
      <c r="U3921" s="98">
        <v>3.9460126059249534</v>
      </c>
      <c r="V3921" s="106">
        <v>35648.689583057334</v>
      </c>
      <c r="W3921" s="10">
        <v>1.0041312841794436</v>
      </c>
      <c r="X3921" s="420"/>
      <c r="Y3921" s="420"/>
    </row>
    <row r="3922" spans="17:25">
      <c r="Q3922" s="6">
        <v>3892</v>
      </c>
      <c r="R3922" s="7">
        <v>46559</v>
      </c>
      <c r="S3922" s="210">
        <v>4</v>
      </c>
      <c r="T3922" s="8">
        <v>1.0001111111111112</v>
      </c>
      <c r="U3922" s="98">
        <v>3.946062063989686</v>
      </c>
      <c r="V3922" s="106">
        <v>35651.557934050972</v>
      </c>
      <c r="W3922" s="10">
        <v>1.0041622903311564</v>
      </c>
      <c r="X3922" s="420"/>
      <c r="Y3922" s="420"/>
    </row>
    <row r="3923" spans="17:25">
      <c r="Q3923" s="6">
        <v>3893</v>
      </c>
      <c r="R3923" s="7">
        <v>46560</v>
      </c>
      <c r="S3923" s="210">
        <v>4</v>
      </c>
      <c r="T3923" s="8">
        <v>1.0001111111111112</v>
      </c>
      <c r="U3923" s="98">
        <v>3.9461114966692135</v>
      </c>
      <c r="V3923" s="106">
        <v>35654.426515836756</v>
      </c>
      <c r="W3923" s="10">
        <v>1.0041932805632037</v>
      </c>
      <c r="X3923" s="420"/>
      <c r="Y3923" s="420"/>
    </row>
    <row r="3924" spans="17:25">
      <c r="Q3924" s="6">
        <v>3894</v>
      </c>
      <c r="R3924" s="7">
        <v>46561</v>
      </c>
      <c r="S3924" s="210">
        <v>4</v>
      </c>
      <c r="T3924" s="8">
        <v>1.0001111111111112</v>
      </c>
      <c r="U3924" s="98">
        <v>3.9461609039830758</v>
      </c>
      <c r="V3924" s="106">
        <v>35657.295328433254</v>
      </c>
      <c r="W3924" s="10">
        <v>1.00422425488782</v>
      </c>
      <c r="X3924" s="420"/>
      <c r="Y3924" s="420"/>
    </row>
    <row r="3925" spans="17:25">
      <c r="Q3925" s="6">
        <v>3895</v>
      </c>
      <c r="R3925" s="7">
        <v>46562</v>
      </c>
      <c r="S3925" s="210">
        <v>4</v>
      </c>
      <c r="T3925" s="8">
        <v>1.0001111111111112</v>
      </c>
      <c r="U3925" s="98">
        <v>3.9462102859507908</v>
      </c>
      <c r="V3925" s="106">
        <v>35660.164371859028</v>
      </c>
      <c r="W3925" s="10">
        <v>1.0042552133172844</v>
      </c>
      <c r="X3925" s="420"/>
      <c r="Y3925" s="420"/>
    </row>
    <row r="3926" spans="17:25">
      <c r="Q3926" s="6">
        <v>3896</v>
      </c>
      <c r="R3926" s="7">
        <v>46563</v>
      </c>
      <c r="S3926" s="210">
        <v>4</v>
      </c>
      <c r="T3926" s="8">
        <v>1.0001111111111112</v>
      </c>
      <c r="U3926" s="98">
        <v>3.9462596425918761</v>
      </c>
      <c r="V3926" s="106">
        <v>35663.033646132659</v>
      </c>
      <c r="W3926" s="10">
        <v>1.0042861558638094</v>
      </c>
      <c r="X3926" s="420"/>
      <c r="Y3926" s="420"/>
    </row>
    <row r="3927" spans="17:25">
      <c r="Q3927" s="6">
        <v>3897</v>
      </c>
      <c r="R3927" s="7">
        <v>46564</v>
      </c>
      <c r="S3927" s="210">
        <v>4</v>
      </c>
      <c r="T3927" s="8">
        <v>1.0001111111111112</v>
      </c>
      <c r="U3927" s="98">
        <v>3.9463089739257828</v>
      </c>
      <c r="V3927" s="106">
        <v>35665.903151272731</v>
      </c>
      <c r="W3927" s="10">
        <v>1.0043170825396075</v>
      </c>
      <c r="X3927" s="420"/>
      <c r="Y3927" s="420"/>
    </row>
    <row r="3928" spans="17:25">
      <c r="Q3928" s="6">
        <v>3898</v>
      </c>
      <c r="R3928" s="7">
        <v>46565</v>
      </c>
      <c r="S3928" s="210">
        <v>4</v>
      </c>
      <c r="T3928" s="8">
        <v>1.0001111111111112</v>
      </c>
      <c r="U3928" s="98">
        <v>3.9463582799719843</v>
      </c>
      <c r="V3928" s="106">
        <v>35668.772887297797</v>
      </c>
      <c r="W3928" s="10">
        <v>1.0043479933568911</v>
      </c>
      <c r="X3928" s="420"/>
      <c r="Y3928" s="420"/>
    </row>
    <row r="3929" spans="17:25">
      <c r="Q3929" s="6">
        <v>3899</v>
      </c>
      <c r="R3929" s="7">
        <v>46566</v>
      </c>
      <c r="S3929" s="210">
        <v>4</v>
      </c>
      <c r="T3929" s="8">
        <v>1.0001111111111112</v>
      </c>
      <c r="U3929" s="98">
        <v>3.9464075607499316</v>
      </c>
      <c r="V3929" s="106">
        <v>35671.642854226448</v>
      </c>
      <c r="W3929" s="10">
        <v>1.0043788883278948</v>
      </c>
      <c r="X3929" s="420"/>
      <c r="Y3929" s="420"/>
    </row>
    <row r="3930" spans="17:25">
      <c r="Q3930" s="6">
        <v>3900</v>
      </c>
      <c r="R3930" s="7">
        <v>46567</v>
      </c>
      <c r="S3930" s="210">
        <v>4</v>
      </c>
      <c r="T3930" s="8">
        <v>1.0001111111111112</v>
      </c>
      <c r="U3930" s="98">
        <v>3.9464568162790314</v>
      </c>
      <c r="V3930" s="106">
        <v>35674.513052077265</v>
      </c>
      <c r="W3930" s="10">
        <v>1.0044097674647423</v>
      </c>
      <c r="X3930" s="420"/>
      <c r="Y3930" s="420"/>
    </row>
    <row r="3931" spans="17:25">
      <c r="Q3931" s="6">
        <v>3901</v>
      </c>
      <c r="R3931" s="7">
        <v>46568</v>
      </c>
      <c r="S3931" s="210">
        <v>4</v>
      </c>
      <c r="T3931" s="8">
        <v>1.0001111111111112</v>
      </c>
      <c r="U3931" s="98">
        <v>3.9465060465786683</v>
      </c>
      <c r="V3931" s="106">
        <v>35677.383480868833</v>
      </c>
      <c r="W3931" s="10">
        <v>1.0044406307796239</v>
      </c>
      <c r="X3931" s="420"/>
      <c r="Y3931" s="420"/>
    </row>
    <row r="3932" spans="17:25">
      <c r="Q3932" s="6">
        <v>3902</v>
      </c>
      <c r="R3932" s="7">
        <v>46569</v>
      </c>
      <c r="S3932" s="210">
        <v>4</v>
      </c>
      <c r="T3932" s="8">
        <v>1.0001111111111112</v>
      </c>
      <c r="U3932" s="98">
        <v>3.9465552516682489</v>
      </c>
      <c r="V3932" s="106">
        <v>35680.25414061972</v>
      </c>
      <c r="W3932" s="10">
        <v>1.0044714782847075</v>
      </c>
      <c r="X3932" s="420"/>
      <c r="Y3932" s="420"/>
    </row>
    <row r="3933" spans="17:25">
      <c r="Q3933" s="6">
        <v>3903</v>
      </c>
      <c r="R3933" s="7">
        <v>46570</v>
      </c>
      <c r="S3933" s="210">
        <v>4</v>
      </c>
      <c r="T3933" s="8">
        <v>1.0001111111111112</v>
      </c>
      <c r="U3933" s="98">
        <v>3.9466044315671134</v>
      </c>
      <c r="V3933" s="106">
        <v>35683.125031348507</v>
      </c>
      <c r="W3933" s="10">
        <v>1.0045023099921391</v>
      </c>
      <c r="X3933" s="420"/>
      <c r="Y3933" s="420"/>
    </row>
    <row r="3934" spans="17:25">
      <c r="Q3934" s="6">
        <v>3904</v>
      </c>
      <c r="R3934" s="7">
        <v>46571</v>
      </c>
      <c r="S3934" s="210">
        <v>4</v>
      </c>
      <c r="T3934" s="8">
        <v>1.0001111111111112</v>
      </c>
      <c r="U3934" s="98">
        <v>3.9466535862946017</v>
      </c>
      <c r="V3934" s="106">
        <v>35685.996153073793</v>
      </c>
      <c r="W3934" s="10">
        <v>1.00453312591402</v>
      </c>
      <c r="X3934" s="420"/>
      <c r="Y3934" s="420"/>
    </row>
    <row r="3935" spans="17:25">
      <c r="Q3935" s="6">
        <v>3905</v>
      </c>
      <c r="R3935" s="7">
        <v>46572</v>
      </c>
      <c r="S3935" s="210">
        <v>4</v>
      </c>
      <c r="T3935" s="8">
        <v>1.0001111111111112</v>
      </c>
      <c r="U3935" s="98">
        <v>3.9467027158700541</v>
      </c>
      <c r="V3935" s="106">
        <v>35688.86750581416</v>
      </c>
      <c r="W3935" s="10">
        <v>1.0045639260625183</v>
      </c>
      <c r="X3935" s="420"/>
      <c r="Y3935" s="420"/>
    </row>
    <row r="3936" spans="17:25">
      <c r="Q3936" s="6">
        <v>3906</v>
      </c>
      <c r="R3936" s="7">
        <v>46573</v>
      </c>
      <c r="S3936" s="210">
        <v>4</v>
      </c>
      <c r="T3936" s="8">
        <v>1.0001111111111112</v>
      </c>
      <c r="U3936" s="98">
        <v>3.9467518203127439</v>
      </c>
      <c r="V3936" s="106">
        <v>35691.739089588191</v>
      </c>
      <c r="W3936" s="10">
        <v>1.0045947104497133</v>
      </c>
      <c r="X3936" s="420"/>
      <c r="Y3936" s="420"/>
    </row>
    <row r="3937" spans="17:25">
      <c r="Q3937" s="6">
        <v>3907</v>
      </c>
      <c r="R3937" s="7">
        <v>46574</v>
      </c>
      <c r="S3937" s="210">
        <v>4</v>
      </c>
      <c r="T3937" s="8">
        <v>1.0001111111111112</v>
      </c>
      <c r="U3937" s="98">
        <v>3.9468008996419668</v>
      </c>
      <c r="V3937" s="106">
        <v>35694.610904414483</v>
      </c>
      <c r="W3937" s="10">
        <v>1.0046254790876841</v>
      </c>
      <c r="X3937" s="420"/>
      <c r="Y3937" s="420"/>
    </row>
    <row r="3938" spans="17:25">
      <c r="Q3938" s="6">
        <v>3908</v>
      </c>
      <c r="R3938" s="7">
        <v>46575</v>
      </c>
      <c r="S3938" s="210">
        <v>4</v>
      </c>
      <c r="T3938" s="8">
        <v>1.0001111111111112</v>
      </c>
      <c r="U3938" s="98">
        <v>3.9468499538769963</v>
      </c>
      <c r="V3938" s="106">
        <v>35697.482950311613</v>
      </c>
      <c r="W3938" s="10">
        <v>1.0046562319885544</v>
      </c>
      <c r="X3938" s="420"/>
      <c r="Y3938" s="420"/>
    </row>
    <row r="3939" spans="17:25">
      <c r="Q3939" s="6">
        <v>3909</v>
      </c>
      <c r="R3939" s="7">
        <v>46576</v>
      </c>
      <c r="S3939" s="210">
        <v>4</v>
      </c>
      <c r="T3939" s="8">
        <v>1.0001111111111112</v>
      </c>
      <c r="U3939" s="98">
        <v>3.9468989830370393</v>
      </c>
      <c r="V3939" s="106">
        <v>35700.355227298198</v>
      </c>
      <c r="W3939" s="10">
        <v>1.004686969164359</v>
      </c>
      <c r="X3939" s="420"/>
      <c r="Y3939" s="420"/>
    </row>
    <row r="3940" spans="17:25">
      <c r="Q3940" s="6">
        <v>3910</v>
      </c>
      <c r="R3940" s="7">
        <v>46577</v>
      </c>
      <c r="S3940" s="210">
        <v>4</v>
      </c>
      <c r="T3940" s="8">
        <v>1.0001111111111112</v>
      </c>
      <c r="U3940" s="98">
        <v>3.9469479871413471</v>
      </c>
      <c r="V3940" s="106">
        <v>35703.2277353928</v>
      </c>
      <c r="W3940" s="10">
        <v>1.0047176906271771</v>
      </c>
      <c r="X3940" s="420"/>
      <c r="Y3940" s="420"/>
    </row>
    <row r="3941" spans="17:25">
      <c r="Q3941" s="6">
        <v>3911</v>
      </c>
      <c r="R3941" s="7">
        <v>46578</v>
      </c>
      <c r="S3941" s="210">
        <v>4</v>
      </c>
      <c r="T3941" s="8">
        <v>1.0001111111111112</v>
      </c>
      <c r="U3941" s="98">
        <v>3.9469969662091042</v>
      </c>
      <c r="V3941" s="106">
        <v>35706.100474614039</v>
      </c>
      <c r="W3941" s="10">
        <v>1.0047483963890214</v>
      </c>
      <c r="X3941" s="420"/>
      <c r="Y3941" s="420"/>
    </row>
    <row r="3942" spans="17:25">
      <c r="Q3942" s="6">
        <v>3912</v>
      </c>
      <c r="R3942" s="7">
        <v>46579</v>
      </c>
      <c r="S3942" s="210">
        <v>4</v>
      </c>
      <c r="T3942" s="8">
        <v>1.0001111111111112</v>
      </c>
      <c r="U3942" s="98">
        <v>3.9470459202594954</v>
      </c>
      <c r="V3942" s="106">
        <v>35708.973444980511</v>
      </c>
      <c r="W3942" s="10">
        <v>1.004779086461971</v>
      </c>
      <c r="X3942" s="420"/>
      <c r="Y3942" s="420"/>
    </row>
    <row r="3943" spans="17:25">
      <c r="Q3943" s="6">
        <v>3913</v>
      </c>
      <c r="R3943" s="7">
        <v>46580</v>
      </c>
      <c r="S3943" s="210">
        <v>4</v>
      </c>
      <c r="T3943" s="8">
        <v>1.0001111111111112</v>
      </c>
      <c r="U3943" s="98">
        <v>3.9470948493116831</v>
      </c>
      <c r="V3943" s="106">
        <v>35711.846646510799</v>
      </c>
      <c r="W3943" s="10">
        <v>1.0048097608580164</v>
      </c>
      <c r="X3943" s="420"/>
      <c r="Y3943" s="420"/>
    </row>
    <row r="3944" spans="17:25">
      <c r="Q3944" s="6">
        <v>3914</v>
      </c>
      <c r="R3944" s="7">
        <v>46581</v>
      </c>
      <c r="S3944" s="210">
        <v>4</v>
      </c>
      <c r="T3944" s="8">
        <v>1.0001111111111112</v>
      </c>
      <c r="U3944" s="98">
        <v>3.9471437533848297</v>
      </c>
      <c r="V3944" s="106">
        <v>35714.720079223509</v>
      </c>
      <c r="W3944" s="10">
        <v>1.0048404195891925</v>
      </c>
      <c r="X3944" s="420"/>
      <c r="Y3944" s="420"/>
    </row>
    <row r="3945" spans="17:25">
      <c r="Q3945" s="6">
        <v>3915</v>
      </c>
      <c r="R3945" s="7">
        <v>46582</v>
      </c>
      <c r="S3945" s="210">
        <v>4</v>
      </c>
      <c r="T3945" s="8">
        <v>1.0001111111111112</v>
      </c>
      <c r="U3945" s="98">
        <v>3.9471926324980311</v>
      </c>
      <c r="V3945" s="106">
        <v>35717.593743137244</v>
      </c>
      <c r="W3945" s="10">
        <v>1.0048710626674673</v>
      </c>
      <c r="X3945" s="420"/>
      <c r="Y3945" s="420"/>
    </row>
    <row r="3946" spans="17:25">
      <c r="Q3946" s="6">
        <v>3916</v>
      </c>
      <c r="R3946" s="7">
        <v>46583</v>
      </c>
      <c r="S3946" s="210">
        <v>4</v>
      </c>
      <c r="T3946" s="8">
        <v>1.0001111111111112</v>
      </c>
      <c r="U3946" s="98">
        <v>3.9472414866704053</v>
      </c>
      <c r="V3946" s="106">
        <v>35720.467638270609</v>
      </c>
      <c r="W3946" s="10">
        <v>1.0049016901048535</v>
      </c>
      <c r="X3946" s="420"/>
      <c r="Y3946" s="420"/>
    </row>
    <row r="3947" spans="17:25">
      <c r="Q3947" s="6">
        <v>3917</v>
      </c>
      <c r="R3947" s="7">
        <v>46584</v>
      </c>
      <c r="S3947" s="210">
        <v>4</v>
      </c>
      <c r="T3947" s="8">
        <v>1.0001111111111112</v>
      </c>
      <c r="U3947" s="98">
        <v>3.9472903159210482</v>
      </c>
      <c r="V3947" s="106">
        <v>35723.341764642209</v>
      </c>
      <c r="W3947" s="10">
        <v>1.0049323019133194</v>
      </c>
      <c r="X3947" s="420"/>
      <c r="Y3947" s="420"/>
    </row>
    <row r="3948" spans="17:25">
      <c r="Q3948" s="6">
        <v>3918</v>
      </c>
      <c r="R3948" s="7">
        <v>46585</v>
      </c>
      <c r="S3948" s="210">
        <v>4</v>
      </c>
      <c r="T3948" s="8">
        <v>1.0001111111111112</v>
      </c>
      <c r="U3948" s="98">
        <v>3.9473391202690111</v>
      </c>
      <c r="V3948" s="106">
        <v>35726.216122270642</v>
      </c>
      <c r="W3948" s="10">
        <v>1.0049628981047887</v>
      </c>
      <c r="X3948" s="420"/>
      <c r="Y3948" s="420"/>
    </row>
    <row r="3949" spans="17:25">
      <c r="Q3949" s="6">
        <v>3919</v>
      </c>
      <c r="R3949" s="7">
        <v>46586</v>
      </c>
      <c r="S3949" s="210">
        <v>4</v>
      </c>
      <c r="T3949" s="8">
        <v>1.0001111111111112</v>
      </c>
      <c r="U3949" s="98">
        <v>3.9473878997333234</v>
      </c>
      <c r="V3949" s="106">
        <v>35729.090711174518</v>
      </c>
      <c r="W3949" s="10">
        <v>1.0049934786912518</v>
      </c>
      <c r="X3949" s="420"/>
      <c r="Y3949" s="420"/>
    </row>
    <row r="3950" spans="17:25">
      <c r="Q3950" s="6">
        <v>3920</v>
      </c>
      <c r="R3950" s="7">
        <v>46587</v>
      </c>
      <c r="S3950" s="210">
        <v>4</v>
      </c>
      <c r="T3950" s="8">
        <v>1.0001111111111112</v>
      </c>
      <c r="U3950" s="98">
        <v>3.9474366543330364</v>
      </c>
      <c r="V3950" s="106">
        <v>35731.965531372458</v>
      </c>
      <c r="W3950" s="10">
        <v>1.0050240436846103</v>
      </c>
      <c r="X3950" s="420"/>
      <c r="Y3950" s="420"/>
    </row>
    <row r="3951" spans="17:25">
      <c r="Q3951" s="6">
        <v>3921</v>
      </c>
      <c r="R3951" s="7">
        <v>46588</v>
      </c>
      <c r="S3951" s="210">
        <v>4</v>
      </c>
      <c r="T3951" s="8">
        <v>1.0001111111111112</v>
      </c>
      <c r="U3951" s="98">
        <v>3.9474853840871349</v>
      </c>
      <c r="V3951" s="106">
        <v>35734.840582883058</v>
      </c>
      <c r="W3951" s="10">
        <v>1.0050545930968102</v>
      </c>
      <c r="X3951" s="420"/>
      <c r="Y3951" s="420"/>
    </row>
    <row r="3952" spans="17:25">
      <c r="Q3952" s="6">
        <v>3922</v>
      </c>
      <c r="R3952" s="7">
        <v>46589</v>
      </c>
      <c r="S3952" s="210">
        <v>4</v>
      </c>
      <c r="T3952" s="8">
        <v>1.0001111111111112</v>
      </c>
      <c r="U3952" s="98">
        <v>3.947534089014626</v>
      </c>
      <c r="V3952" s="106">
        <v>35737.715865724931</v>
      </c>
      <c r="W3952" s="10">
        <v>1.0050851269397532</v>
      </c>
      <c r="X3952" s="420"/>
      <c r="Y3952" s="420"/>
    </row>
    <row r="3953" spans="17:25">
      <c r="Q3953" s="6">
        <v>3923</v>
      </c>
      <c r="R3953" s="7">
        <v>46590</v>
      </c>
      <c r="S3953" s="210">
        <v>4</v>
      </c>
      <c r="T3953" s="8">
        <v>1.0001111111111112</v>
      </c>
      <c r="U3953" s="98">
        <v>3.9475827691344723</v>
      </c>
      <c r="V3953" s="106">
        <v>35740.591379916703</v>
      </c>
      <c r="W3953" s="10">
        <v>1.0051156452253407</v>
      </c>
      <c r="X3953" s="420"/>
      <c r="Y3953" s="420"/>
    </row>
    <row r="3954" spans="17:25">
      <c r="Q3954" s="6">
        <v>3924</v>
      </c>
      <c r="R3954" s="7">
        <v>46591</v>
      </c>
      <c r="S3954" s="210">
        <v>4</v>
      </c>
      <c r="T3954" s="8">
        <v>1.0001111111111112</v>
      </c>
      <c r="U3954" s="98">
        <v>3.9476314244656141</v>
      </c>
      <c r="V3954" s="106">
        <v>35743.467125476971</v>
      </c>
      <c r="W3954" s="10">
        <v>1.0051461479654522</v>
      </c>
      <c r="X3954" s="420"/>
      <c r="Y3954" s="420"/>
    </row>
    <row r="3955" spans="17:25">
      <c r="Q3955" s="6">
        <v>3925</v>
      </c>
      <c r="R3955" s="7">
        <v>46592</v>
      </c>
      <c r="S3955" s="210">
        <v>4</v>
      </c>
      <c r="T3955" s="8">
        <v>1.0001111111111112</v>
      </c>
      <c r="U3955" s="98">
        <v>3.9476800550269919</v>
      </c>
      <c r="V3955" s="106">
        <v>35746.343102424355</v>
      </c>
      <c r="W3955" s="10">
        <v>1.0051766351719893</v>
      </c>
      <c r="X3955" s="420"/>
      <c r="Y3955" s="420"/>
    </row>
    <row r="3956" spans="17:25">
      <c r="Q3956" s="6">
        <v>3926</v>
      </c>
      <c r="R3956" s="7">
        <v>46593</v>
      </c>
      <c r="S3956" s="210">
        <v>4</v>
      </c>
      <c r="T3956" s="8">
        <v>1.0001111111111112</v>
      </c>
      <c r="U3956" s="98">
        <v>3.9477286608375239</v>
      </c>
      <c r="V3956" s="106">
        <v>35749.219310777487</v>
      </c>
      <c r="W3956" s="10">
        <v>1.0052071068567869</v>
      </c>
      <c r="X3956" s="420"/>
      <c r="Y3956" s="420"/>
    </row>
    <row r="3957" spans="17:25">
      <c r="Q3957" s="6">
        <v>3927</v>
      </c>
      <c r="R3957" s="7">
        <v>46594</v>
      </c>
      <c r="S3957" s="210">
        <v>4</v>
      </c>
      <c r="T3957" s="8">
        <v>1.0001111111111112</v>
      </c>
      <c r="U3957" s="98">
        <v>3.9477772419160839</v>
      </c>
      <c r="V3957" s="106">
        <v>35752.095750554974</v>
      </c>
      <c r="W3957" s="10">
        <v>1.0052375630317245</v>
      </c>
      <c r="X3957" s="420"/>
      <c r="Y3957" s="420"/>
    </row>
    <row r="3958" spans="17:25">
      <c r="Q3958" s="6">
        <v>3928</v>
      </c>
      <c r="R3958" s="7">
        <v>46595</v>
      </c>
      <c r="S3958" s="210">
        <v>4</v>
      </c>
      <c r="T3958" s="8">
        <v>1.0001111111111112</v>
      </c>
      <c r="U3958" s="98">
        <v>3.9478257982815457</v>
      </c>
      <c r="V3958" s="106">
        <v>35754.972421775441</v>
      </c>
      <c r="W3958" s="10">
        <v>1.0052680037085926</v>
      </c>
      <c r="X3958" s="420"/>
      <c r="Y3958" s="420"/>
    </row>
    <row r="3959" spans="17:25">
      <c r="Q3959" s="6">
        <v>3929</v>
      </c>
      <c r="R3959" s="7">
        <v>46596</v>
      </c>
      <c r="S3959" s="210">
        <v>4</v>
      </c>
      <c r="T3959" s="8">
        <v>1.0001111111111112</v>
      </c>
      <c r="U3959" s="98">
        <v>3.9478743299527608</v>
      </c>
      <c r="V3959" s="106">
        <v>35757.8493244575</v>
      </c>
      <c r="W3959" s="10">
        <v>1.0052984288992484</v>
      </c>
      <c r="X3959" s="420"/>
      <c r="Y3959" s="420"/>
    </row>
    <row r="3960" spans="17:25">
      <c r="Q3960" s="6">
        <v>3930</v>
      </c>
      <c r="R3960" s="7">
        <v>46597</v>
      </c>
      <c r="S3960" s="210">
        <v>4</v>
      </c>
      <c r="T3960" s="8">
        <v>1.0001111111111112</v>
      </c>
      <c r="U3960" s="98">
        <v>3.9479228369485586</v>
      </c>
      <c r="V3960" s="106">
        <v>35760.726458619793</v>
      </c>
      <c r="W3960" s="10">
        <v>1.0053288386155268</v>
      </c>
      <c r="X3960" s="420"/>
      <c r="Y3960" s="420"/>
    </row>
    <row r="3961" spans="17:25">
      <c r="Q3961" s="6">
        <v>3931</v>
      </c>
      <c r="R3961" s="7">
        <v>46598</v>
      </c>
      <c r="S3961" s="210">
        <v>4</v>
      </c>
      <c r="T3961" s="8">
        <v>1.0001111111111112</v>
      </c>
      <c r="U3961" s="98">
        <v>3.9479713192877686</v>
      </c>
      <c r="V3961" s="106">
        <v>35763.603824280937</v>
      </c>
      <c r="W3961" s="10">
        <v>1.0053592328691741</v>
      </c>
      <c r="X3961" s="420"/>
      <c r="Y3961" s="420"/>
    </row>
    <row r="3962" spans="17:25">
      <c r="Q3962" s="6">
        <v>3932</v>
      </c>
      <c r="R3962" s="7">
        <v>46599</v>
      </c>
      <c r="S3962" s="210">
        <v>4</v>
      </c>
      <c r="T3962" s="8">
        <v>1.0001111111111112</v>
      </c>
      <c r="U3962" s="98">
        <v>3.9480197769891756</v>
      </c>
      <c r="V3962" s="106">
        <v>35766.481421459546</v>
      </c>
      <c r="W3962" s="10">
        <v>1.0053896116720473</v>
      </c>
      <c r="X3962" s="420"/>
      <c r="Y3962" s="420"/>
    </row>
    <row r="3963" spans="17:25">
      <c r="Q3963" s="6">
        <v>3933</v>
      </c>
      <c r="R3963" s="7">
        <v>46600</v>
      </c>
      <c r="S3963" s="210">
        <v>4</v>
      </c>
      <c r="T3963" s="8">
        <v>1.0001111111111112</v>
      </c>
      <c r="U3963" s="98">
        <v>3.9480682100715647</v>
      </c>
      <c r="V3963" s="106">
        <v>35769.359250174268</v>
      </c>
      <c r="W3963" s="10">
        <v>1.0054199750358928</v>
      </c>
      <c r="X3963" s="420"/>
      <c r="Y3963" s="420"/>
    </row>
    <row r="3964" spans="17:25">
      <c r="Q3964" s="6">
        <v>3934</v>
      </c>
      <c r="R3964" s="7">
        <v>46601</v>
      </c>
      <c r="S3964" s="210">
        <v>4</v>
      </c>
      <c r="T3964" s="8">
        <v>1.0001111111111112</v>
      </c>
      <c r="U3964" s="98">
        <v>3.9481166185536765</v>
      </c>
      <c r="V3964" s="106">
        <v>35772.237310443721</v>
      </c>
      <c r="W3964" s="10">
        <v>1.0054503229724565</v>
      </c>
      <c r="X3964" s="420"/>
      <c r="Y3964" s="420"/>
    </row>
    <row r="3965" spans="17:25">
      <c r="Q3965" s="6">
        <v>3935</v>
      </c>
      <c r="R3965" s="7">
        <v>46602</v>
      </c>
      <c r="S3965" s="210">
        <v>4</v>
      </c>
      <c r="T3965" s="8">
        <v>1.0001111111111112</v>
      </c>
      <c r="U3965" s="98">
        <v>3.9481650024542514</v>
      </c>
      <c r="V3965" s="106">
        <v>35775.115602286547</v>
      </c>
      <c r="W3965" s="10">
        <v>1.005480655493507</v>
      </c>
      <c r="X3965" s="420"/>
      <c r="Y3965" s="420"/>
    </row>
    <row r="3966" spans="17:25">
      <c r="Q3966" s="6">
        <v>3936</v>
      </c>
      <c r="R3966" s="7">
        <v>46603</v>
      </c>
      <c r="S3966" s="210">
        <v>4</v>
      </c>
      <c r="T3966" s="8">
        <v>1.0001111111111112</v>
      </c>
      <c r="U3966" s="98">
        <v>3.9482133617920301</v>
      </c>
      <c r="V3966" s="106">
        <v>35777.994125721365</v>
      </c>
      <c r="W3966" s="10">
        <v>1.0055109726108125</v>
      </c>
      <c r="X3966" s="420"/>
      <c r="Y3966" s="420"/>
    </row>
    <row r="3967" spans="17:25">
      <c r="Q3967" s="6">
        <v>3937</v>
      </c>
      <c r="R3967" s="7">
        <v>46604</v>
      </c>
      <c r="S3967" s="210">
        <v>4</v>
      </c>
      <c r="T3967" s="8">
        <v>1.0001111111111112</v>
      </c>
      <c r="U3967" s="98">
        <v>3.9482616965856865</v>
      </c>
      <c r="V3967" s="106">
        <v>35780.872880766816</v>
      </c>
      <c r="W3967" s="10">
        <v>1.0055412743360748</v>
      </c>
      <c r="X3967" s="420"/>
      <c r="Y3967" s="420"/>
    </row>
    <row r="3968" spans="17:25">
      <c r="Q3968" s="6">
        <v>3938</v>
      </c>
      <c r="R3968" s="7">
        <v>46605</v>
      </c>
      <c r="S3968" s="210">
        <v>4</v>
      </c>
      <c r="T3968" s="8">
        <v>1.0001111111111112</v>
      </c>
      <c r="U3968" s="98">
        <v>3.9483100068539168</v>
      </c>
      <c r="V3968" s="106">
        <v>35783.751867441541</v>
      </c>
      <c r="W3968" s="10">
        <v>1.0055715606810178</v>
      </c>
      <c r="X3968" s="420"/>
      <c r="Y3968" s="420"/>
    </row>
    <row r="3969" spans="17:25">
      <c r="Q3969" s="6">
        <v>3939</v>
      </c>
      <c r="R3969" s="7">
        <v>46606</v>
      </c>
      <c r="S3969" s="210">
        <v>4</v>
      </c>
      <c r="T3969" s="8">
        <v>1.0001111111111112</v>
      </c>
      <c r="U3969" s="98">
        <v>3.9483582926153726</v>
      </c>
      <c r="V3969" s="106">
        <v>35786.631085764173</v>
      </c>
      <c r="W3969" s="10">
        <v>1.0056018316573656</v>
      </c>
      <c r="X3969" s="420"/>
      <c r="Y3969" s="420"/>
    </row>
    <row r="3970" spans="17:25">
      <c r="Q3970" s="6">
        <v>3940</v>
      </c>
      <c r="R3970" s="7">
        <v>46607</v>
      </c>
      <c r="S3970" s="210">
        <v>4</v>
      </c>
      <c r="T3970" s="8">
        <v>1.0001111111111112</v>
      </c>
      <c r="U3970" s="98">
        <v>3.9484065538887059</v>
      </c>
      <c r="V3970" s="106">
        <v>35789.510535753339</v>
      </c>
      <c r="W3970" s="10">
        <v>1.0056320872767976</v>
      </c>
      <c r="X3970" s="420"/>
      <c r="Y3970" s="420"/>
    </row>
    <row r="3971" spans="17:25">
      <c r="Q3971" s="6">
        <v>3941</v>
      </c>
      <c r="R3971" s="7">
        <v>46608</v>
      </c>
      <c r="S3971" s="210">
        <v>4</v>
      </c>
      <c r="T3971" s="8">
        <v>1.0001111111111112</v>
      </c>
      <c r="U3971" s="98">
        <v>3.948454790692546</v>
      </c>
      <c r="V3971" s="106">
        <v>35792.390217427695</v>
      </c>
      <c r="W3971" s="10">
        <v>1.0056623275509935</v>
      </c>
      <c r="X3971" s="420"/>
      <c r="Y3971" s="420"/>
    </row>
    <row r="3972" spans="17:25">
      <c r="Q3972" s="6">
        <v>3942</v>
      </c>
      <c r="R3972" s="7">
        <v>46609</v>
      </c>
      <c r="S3972" s="210">
        <v>4</v>
      </c>
      <c r="T3972" s="8">
        <v>1.0001111111111112</v>
      </c>
      <c r="U3972" s="98">
        <v>3.9485030030454782</v>
      </c>
      <c r="V3972" s="106">
        <v>35795.270130805882</v>
      </c>
      <c r="W3972" s="10">
        <v>1.0056925524916327</v>
      </c>
      <c r="X3972" s="420"/>
      <c r="Y3972" s="420"/>
    </row>
    <row r="3973" spans="17:25">
      <c r="Q3973" s="6">
        <v>3943</v>
      </c>
      <c r="R3973" s="7">
        <v>46610</v>
      </c>
      <c r="S3973" s="210">
        <v>4</v>
      </c>
      <c r="T3973" s="8">
        <v>1.0001111111111112</v>
      </c>
      <c r="U3973" s="98">
        <v>3.9485511909661097</v>
      </c>
      <c r="V3973" s="106">
        <v>35798.150275906526</v>
      </c>
      <c r="W3973" s="10">
        <v>1.0057227621103948</v>
      </c>
      <c r="X3973" s="420"/>
      <c r="Y3973" s="420"/>
    </row>
    <row r="3974" spans="17:25">
      <c r="Q3974" s="6">
        <v>3944</v>
      </c>
      <c r="R3974" s="7">
        <v>46611</v>
      </c>
      <c r="S3974" s="210">
        <v>4</v>
      </c>
      <c r="T3974" s="8">
        <v>1.0001111111111112</v>
      </c>
      <c r="U3974" s="98">
        <v>3.9485993544729814</v>
      </c>
      <c r="V3974" s="106">
        <v>35801.030652748297</v>
      </c>
      <c r="W3974" s="10">
        <v>1.0057529564188705</v>
      </c>
      <c r="X3974" s="420"/>
      <c r="Y3974" s="420"/>
    </row>
    <row r="3975" spans="17:25">
      <c r="Q3975" s="6">
        <v>3945</v>
      </c>
      <c r="R3975" s="7">
        <v>46612</v>
      </c>
      <c r="S3975" s="210">
        <v>4</v>
      </c>
      <c r="T3975" s="8">
        <v>1.0001111111111112</v>
      </c>
      <c r="U3975" s="98">
        <v>3.9486474935846783</v>
      </c>
      <c r="V3975" s="106">
        <v>35803.911261349829</v>
      </c>
      <c r="W3975" s="10">
        <v>1.0057831354287616</v>
      </c>
      <c r="X3975" s="420"/>
      <c r="Y3975" s="420"/>
    </row>
    <row r="3976" spans="17:25">
      <c r="Q3976" s="6">
        <v>3946</v>
      </c>
      <c r="R3976" s="7">
        <v>46613</v>
      </c>
      <c r="S3976" s="210">
        <v>4</v>
      </c>
      <c r="T3976" s="8">
        <v>1.0001111111111112</v>
      </c>
      <c r="U3976" s="98">
        <v>3.9486956083196967</v>
      </c>
      <c r="V3976" s="106">
        <v>35806.792101729763</v>
      </c>
      <c r="W3976" s="10">
        <v>1.0058132991516588</v>
      </c>
      <c r="X3976" s="420"/>
      <c r="Y3976" s="420"/>
    </row>
    <row r="3977" spans="17:25">
      <c r="Q3977" s="6">
        <v>3947</v>
      </c>
      <c r="R3977" s="7">
        <v>46614</v>
      </c>
      <c r="S3977" s="210">
        <v>4</v>
      </c>
      <c r="T3977" s="8">
        <v>1.0001111111111112</v>
      </c>
      <c r="U3977" s="98">
        <v>3.9487436986965552</v>
      </c>
      <c r="V3977" s="106">
        <v>35809.673173906755</v>
      </c>
      <c r="W3977" s="10">
        <v>1.0058434475991529</v>
      </c>
      <c r="X3977" s="420"/>
      <c r="Y3977" s="420"/>
    </row>
    <row r="3978" spans="17:25">
      <c r="Q3978" s="6">
        <v>3948</v>
      </c>
      <c r="R3978" s="7">
        <v>46615</v>
      </c>
      <c r="S3978" s="210">
        <v>4</v>
      </c>
      <c r="T3978" s="8">
        <v>1.0001111111111112</v>
      </c>
      <c r="U3978" s="98">
        <v>3.94879176473375</v>
      </c>
      <c r="V3978" s="106">
        <v>35812.554477899466</v>
      </c>
      <c r="W3978" s="10">
        <v>1.0058735807828789</v>
      </c>
      <c r="X3978" s="420"/>
      <c r="Y3978" s="420"/>
    </row>
    <row r="3979" spans="17:25">
      <c r="Q3979" s="6">
        <v>3949</v>
      </c>
      <c r="R3979" s="7">
        <v>46616</v>
      </c>
      <c r="S3979" s="210">
        <v>4</v>
      </c>
      <c r="T3979" s="8">
        <v>1.0001111111111112</v>
      </c>
      <c r="U3979" s="98">
        <v>3.9488398064497776</v>
      </c>
      <c r="V3979" s="106">
        <v>35815.436013726532</v>
      </c>
      <c r="W3979" s="10">
        <v>1.0059036987144276</v>
      </c>
      <c r="X3979" s="420"/>
      <c r="Y3979" s="420"/>
    </row>
    <row r="3980" spans="17:25">
      <c r="Q3980" s="6">
        <v>3950</v>
      </c>
      <c r="R3980" s="7">
        <v>46617</v>
      </c>
      <c r="S3980" s="210">
        <v>4</v>
      </c>
      <c r="T3980" s="8">
        <v>1.0001111111111112</v>
      </c>
      <c r="U3980" s="98">
        <v>3.9488878238630676</v>
      </c>
      <c r="V3980" s="106">
        <v>35818.317781406615</v>
      </c>
      <c r="W3980" s="10">
        <v>1.0059338014053676</v>
      </c>
      <c r="X3980" s="420"/>
      <c r="Y3980" s="420"/>
    </row>
    <row r="3981" spans="17:25">
      <c r="Q3981" s="6">
        <v>3951</v>
      </c>
      <c r="R3981" s="7">
        <v>46618</v>
      </c>
      <c r="S3981" s="210">
        <v>4</v>
      </c>
      <c r="T3981" s="8">
        <v>1.0001111111111112</v>
      </c>
      <c r="U3981" s="98">
        <v>3.9489358169920497</v>
      </c>
      <c r="V3981" s="106">
        <v>35821.199780958363</v>
      </c>
      <c r="W3981" s="10">
        <v>1.0059638888672451</v>
      </c>
      <c r="X3981" s="420"/>
      <c r="Y3981" s="420"/>
    </row>
    <row r="3982" spans="17:25">
      <c r="Q3982" s="6">
        <v>3952</v>
      </c>
      <c r="R3982" s="7">
        <v>46619</v>
      </c>
      <c r="S3982" s="210">
        <v>4</v>
      </c>
      <c r="T3982" s="8">
        <v>1.0001111111111112</v>
      </c>
      <c r="U3982" s="98">
        <v>3.9489837858551535</v>
      </c>
      <c r="V3982" s="106">
        <v>35824.082012400439</v>
      </c>
      <c r="W3982" s="10">
        <v>1.0059939611116286</v>
      </c>
      <c r="X3982" s="420"/>
      <c r="Y3982" s="420"/>
    </row>
    <row r="3983" spans="17:25">
      <c r="Q3983" s="6">
        <v>3953</v>
      </c>
      <c r="R3983" s="7">
        <v>46620</v>
      </c>
      <c r="S3983" s="210">
        <v>4</v>
      </c>
      <c r="T3983" s="8">
        <v>1.0001111111111112</v>
      </c>
      <c r="U3983" s="98">
        <v>3.9490317304707867</v>
      </c>
      <c r="V3983" s="106">
        <v>35826.964475751505</v>
      </c>
      <c r="W3983" s="10">
        <v>1.0060240181500868</v>
      </c>
      <c r="X3983" s="420"/>
      <c r="Y3983" s="420"/>
    </row>
    <row r="3984" spans="17:25">
      <c r="Q3984" s="6">
        <v>3954</v>
      </c>
      <c r="R3984" s="7">
        <v>46621</v>
      </c>
      <c r="S3984" s="210">
        <v>4</v>
      </c>
      <c r="T3984" s="8">
        <v>1.0001111111111112</v>
      </c>
      <c r="U3984" s="98">
        <v>3.9490796508573123</v>
      </c>
      <c r="V3984" s="106">
        <v>35829.847171030204</v>
      </c>
      <c r="W3984" s="10">
        <v>1.0060540599940992</v>
      </c>
      <c r="X3984" s="420"/>
      <c r="Y3984" s="420"/>
    </row>
    <row r="3985" spans="17:25">
      <c r="Q3985" s="6">
        <v>3955</v>
      </c>
      <c r="R3985" s="7">
        <v>46622</v>
      </c>
      <c r="S3985" s="210">
        <v>4</v>
      </c>
      <c r="T3985" s="8">
        <v>1.0001111111111112</v>
      </c>
      <c r="U3985" s="98">
        <v>3.9491275470330933</v>
      </c>
      <c r="V3985" s="106">
        <v>35832.730098255219</v>
      </c>
      <c r="W3985" s="10">
        <v>1.0060840866552123</v>
      </c>
      <c r="X3985" s="420"/>
      <c r="Y3985" s="420"/>
    </row>
    <row r="3986" spans="17:25">
      <c r="Q3986" s="6">
        <v>3956</v>
      </c>
      <c r="R3986" s="7">
        <v>46623</v>
      </c>
      <c r="S3986" s="210">
        <v>4</v>
      </c>
      <c r="T3986" s="8">
        <v>1.0001111111111112</v>
      </c>
      <c r="U3986" s="98">
        <v>3.9491754190164929</v>
      </c>
      <c r="V3986" s="106">
        <v>35835.613257445206</v>
      </c>
      <c r="W3986" s="10">
        <v>1.0061140981449501</v>
      </c>
      <c r="X3986" s="420"/>
      <c r="Y3986" s="420"/>
    </row>
    <row r="3987" spans="17:25">
      <c r="Q3987" s="6">
        <v>3957</v>
      </c>
      <c r="R3987" s="7">
        <v>46624</v>
      </c>
      <c r="S3987" s="210">
        <v>4</v>
      </c>
      <c r="T3987" s="8">
        <v>1.0001111111111112</v>
      </c>
      <c r="U3987" s="98">
        <v>3.9492232668258298</v>
      </c>
      <c r="V3987" s="106">
        <v>35838.49664861882</v>
      </c>
      <c r="W3987" s="10">
        <v>1.0061440944747702</v>
      </c>
      <c r="X3987" s="420"/>
      <c r="Y3987" s="420"/>
    </row>
    <row r="3988" spans="17:25">
      <c r="Q3988" s="6">
        <v>3958</v>
      </c>
      <c r="R3988" s="7">
        <v>46625</v>
      </c>
      <c r="S3988" s="210">
        <v>4</v>
      </c>
      <c r="T3988" s="8">
        <v>1.0001111111111112</v>
      </c>
      <c r="U3988" s="98">
        <v>3.9492710904794004</v>
      </c>
      <c r="V3988" s="106">
        <v>35841.380271794733</v>
      </c>
      <c r="W3988" s="10">
        <v>1.0061740756561965</v>
      </c>
      <c r="X3988" s="420"/>
      <c r="Y3988" s="420"/>
    </row>
    <row r="3989" spans="17:25">
      <c r="Q3989" s="6">
        <v>3959</v>
      </c>
      <c r="R3989" s="7">
        <v>46626</v>
      </c>
      <c r="S3989" s="210">
        <v>4</v>
      </c>
      <c r="T3989" s="8">
        <v>1.0001111111111112</v>
      </c>
      <c r="U3989" s="98">
        <v>3.949318889995479</v>
      </c>
      <c r="V3989" s="106">
        <v>35844.264126991613</v>
      </c>
      <c r="W3989" s="10">
        <v>1.0062040417006646</v>
      </c>
      <c r="X3989" s="420"/>
      <c r="Y3989" s="420"/>
    </row>
    <row r="3990" spans="17:25">
      <c r="Q3990" s="6">
        <v>3960</v>
      </c>
      <c r="R3990" s="7">
        <v>46627</v>
      </c>
      <c r="S3990" s="210">
        <v>4</v>
      </c>
      <c r="T3990" s="8">
        <v>1.0001111111111112</v>
      </c>
      <c r="U3990" s="98">
        <v>3.949366665392362</v>
      </c>
      <c r="V3990" s="106">
        <v>35847.148214228124</v>
      </c>
      <c r="W3990" s="10">
        <v>1.006233992619654</v>
      </c>
      <c r="X3990" s="420"/>
      <c r="Y3990" s="420"/>
    </row>
    <row r="3991" spans="17:25">
      <c r="Q3991" s="6">
        <v>3961</v>
      </c>
      <c r="R3991" s="7">
        <v>46628</v>
      </c>
      <c r="S3991" s="210">
        <v>4</v>
      </c>
      <c r="T3991" s="8">
        <v>1.0001111111111112</v>
      </c>
      <c r="U3991" s="98">
        <v>3.9494144166882794</v>
      </c>
      <c r="V3991" s="106">
        <v>35850.032533522943</v>
      </c>
      <c r="W3991" s="10">
        <v>1.0062639284246</v>
      </c>
      <c r="X3991" s="420"/>
      <c r="Y3991" s="420"/>
    </row>
    <row r="3992" spans="17:25">
      <c r="Q3992" s="6">
        <v>3962</v>
      </c>
      <c r="R3992" s="7">
        <v>46629</v>
      </c>
      <c r="S3992" s="210">
        <v>4</v>
      </c>
      <c r="T3992" s="8">
        <v>1.0001111111111112</v>
      </c>
      <c r="U3992" s="98">
        <v>3.9494621439014832</v>
      </c>
      <c r="V3992" s="106">
        <v>35852.91708489474</v>
      </c>
      <c r="W3992" s="10">
        <v>1.0062938491269602</v>
      </c>
      <c r="X3992" s="420"/>
      <c r="Y3992" s="420"/>
    </row>
    <row r="3993" spans="17:25">
      <c r="Q3993" s="6">
        <v>3963</v>
      </c>
      <c r="R3993" s="7">
        <v>46630</v>
      </c>
      <c r="S3993" s="210">
        <v>4</v>
      </c>
      <c r="T3993" s="8">
        <v>1.0001111111111112</v>
      </c>
      <c r="U3993" s="98">
        <v>3.949509847050181</v>
      </c>
      <c r="V3993" s="106">
        <v>35855.801868362192</v>
      </c>
      <c r="W3993" s="10">
        <v>1.0063237547381476</v>
      </c>
      <c r="X3993" s="420"/>
      <c r="Y3993" s="420"/>
    </row>
    <row r="3994" spans="17:25">
      <c r="Q3994" s="6">
        <v>3964</v>
      </c>
      <c r="R3994" s="7">
        <v>46631</v>
      </c>
      <c r="S3994" s="210">
        <v>4</v>
      </c>
      <c r="T3994" s="8">
        <v>1.0001111111111112</v>
      </c>
      <c r="U3994" s="98">
        <v>3.9495575261525584</v>
      </c>
      <c r="V3994" s="106">
        <v>35858.686883943963</v>
      </c>
      <c r="W3994" s="10">
        <v>1.0063536452695754</v>
      </c>
      <c r="X3994" s="420"/>
      <c r="Y3994" s="420"/>
    </row>
    <row r="3995" spans="17:25">
      <c r="Q3995" s="6">
        <v>3965</v>
      </c>
      <c r="R3995" s="7">
        <v>46632</v>
      </c>
      <c r="S3995" s="210">
        <v>4</v>
      </c>
      <c r="T3995" s="8">
        <v>1.0001111111111112</v>
      </c>
      <c r="U3995" s="98">
        <v>3.9496051812268007</v>
      </c>
      <c r="V3995" s="106">
        <v>35861.572131658744</v>
      </c>
      <c r="W3995" s="10">
        <v>1.0063835207326566</v>
      </c>
      <c r="X3995" s="420"/>
      <c r="Y3995" s="420"/>
    </row>
    <row r="3996" spans="17:25">
      <c r="Q3996" s="6">
        <v>3966</v>
      </c>
      <c r="R3996" s="7">
        <v>46633</v>
      </c>
      <c r="S3996" s="210">
        <v>4</v>
      </c>
      <c r="T3996" s="8">
        <v>1.0001111111111112</v>
      </c>
      <c r="U3996" s="98">
        <v>3.9496528122910712</v>
      </c>
      <c r="V3996" s="106">
        <v>35864.457611525198</v>
      </c>
      <c r="W3996" s="10">
        <v>1.0064133811387599</v>
      </c>
      <c r="X3996" s="420"/>
      <c r="Y3996" s="420"/>
    </row>
    <row r="3997" spans="17:25">
      <c r="Q3997" s="6">
        <v>3967</v>
      </c>
      <c r="R3997" s="7">
        <v>46634</v>
      </c>
      <c r="S3997" s="210">
        <v>4</v>
      </c>
      <c r="T3997" s="8">
        <v>1.0001111111111112</v>
      </c>
      <c r="U3997" s="98">
        <v>3.949700419363511</v>
      </c>
      <c r="V3997" s="106">
        <v>35867.343323562003</v>
      </c>
      <c r="W3997" s="10">
        <v>1.0064432264993206</v>
      </c>
      <c r="X3997" s="420"/>
      <c r="Y3997" s="420"/>
    </row>
    <row r="3998" spans="17:25">
      <c r="Q3998" s="6">
        <v>3968</v>
      </c>
      <c r="R3998" s="7">
        <v>46635</v>
      </c>
      <c r="S3998" s="210">
        <v>4</v>
      </c>
      <c r="T3998" s="8">
        <v>1.0001111111111112</v>
      </c>
      <c r="U3998" s="98">
        <v>3.9497480024622389</v>
      </c>
      <c r="V3998" s="106">
        <v>35870.229267787858</v>
      </c>
      <c r="W3998" s="10">
        <v>1.0064730568256408</v>
      </c>
      <c r="X3998" s="420"/>
      <c r="Y3998" s="420"/>
    </row>
    <row r="3999" spans="17:25">
      <c r="Q3999" s="6">
        <v>3969</v>
      </c>
      <c r="R3999" s="7">
        <v>46636</v>
      </c>
      <c r="S3999" s="210">
        <v>4</v>
      </c>
      <c r="T3999" s="8">
        <v>1.0001111111111112</v>
      </c>
      <c r="U3999" s="98">
        <v>3.9497955616053515</v>
      </c>
      <c r="V3999" s="106">
        <v>35873.115444221432</v>
      </c>
      <c r="W3999" s="10">
        <v>1.0065028721291336</v>
      </c>
      <c r="X3999" s="420"/>
      <c r="Y3999" s="420"/>
    </row>
    <row r="4000" spans="17:25">
      <c r="Q4000" s="6">
        <v>3970</v>
      </c>
      <c r="R4000" s="7">
        <v>46637</v>
      </c>
      <c r="S4000" s="210">
        <v>4</v>
      </c>
      <c r="T4000" s="8">
        <v>1.0001111111111112</v>
      </c>
      <c r="U4000" s="98">
        <v>3.9498430968109455</v>
      </c>
      <c r="V4000" s="106">
        <v>35876.001852881411</v>
      </c>
      <c r="W4000" s="10">
        <v>1.006532672421101</v>
      </c>
      <c r="X4000" s="420"/>
      <c r="Y4000" s="420"/>
    </row>
    <row r="4001" spans="17:25">
      <c r="Q4001" s="6">
        <v>3971</v>
      </c>
      <c r="R4001" s="7">
        <v>46638</v>
      </c>
      <c r="S4001" s="210">
        <v>4</v>
      </c>
      <c r="T4001" s="8">
        <v>1.0001111111111112</v>
      </c>
      <c r="U4001" s="98">
        <v>3.949890608097073</v>
      </c>
      <c r="V4001" s="106">
        <v>35878.888493786479</v>
      </c>
      <c r="W4001" s="10">
        <v>1.0065624577128673</v>
      </c>
      <c r="X4001" s="420"/>
      <c r="Y4001" s="420"/>
    </row>
    <row r="4002" spans="17:25">
      <c r="Q4002" s="6">
        <v>3972</v>
      </c>
      <c r="R4002" s="7">
        <v>46639</v>
      </c>
      <c r="S4002" s="210">
        <v>4</v>
      </c>
      <c r="T4002" s="8">
        <v>1.0001111111111112</v>
      </c>
      <c r="U4002" s="98">
        <v>3.9499380954817864</v>
      </c>
      <c r="V4002" s="106">
        <v>35881.775366955328</v>
      </c>
      <c r="W4002" s="10">
        <v>1.0065922280158013</v>
      </c>
      <c r="X4002" s="420"/>
      <c r="Y4002" s="420"/>
    </row>
    <row r="4003" spans="17:25">
      <c r="Q4003" s="6">
        <v>3973</v>
      </c>
      <c r="R4003" s="7">
        <v>46640</v>
      </c>
      <c r="S4003" s="210">
        <v>4</v>
      </c>
      <c r="T4003" s="8">
        <v>1.0001111111111112</v>
      </c>
      <c r="U4003" s="98">
        <v>3.9499855589831379</v>
      </c>
      <c r="V4003" s="106">
        <v>35884.662472406642</v>
      </c>
      <c r="W4003" s="10">
        <v>1.0066219833411827</v>
      </c>
      <c r="X4003" s="420"/>
      <c r="Y4003" s="420"/>
    </row>
    <row r="4004" spans="17:25">
      <c r="Q4004" s="6">
        <v>3974</v>
      </c>
      <c r="R4004" s="7">
        <v>46641</v>
      </c>
      <c r="S4004" s="210">
        <v>4</v>
      </c>
      <c r="T4004" s="8">
        <v>1.0001111111111112</v>
      </c>
      <c r="U4004" s="98">
        <v>3.9500329986191351</v>
      </c>
      <c r="V4004" s="106">
        <v>35887.549810159107</v>
      </c>
      <c r="W4004" s="10">
        <v>1.0066517237003358</v>
      </c>
      <c r="X4004" s="420"/>
      <c r="Y4004" s="420"/>
    </row>
    <row r="4005" spans="17:25">
      <c r="Q4005" s="6">
        <v>3975</v>
      </c>
      <c r="R4005" s="7">
        <v>46642</v>
      </c>
      <c r="S4005" s="210">
        <v>4</v>
      </c>
      <c r="T4005" s="8">
        <v>1.0001111111111112</v>
      </c>
      <c r="U4005" s="98">
        <v>3.9500804144077639</v>
      </c>
      <c r="V4005" s="106">
        <v>35890.437380231422</v>
      </c>
      <c r="W4005" s="10">
        <v>1.0066814491045406</v>
      </c>
      <c r="X4005" s="420"/>
      <c r="Y4005" s="420"/>
    </row>
    <row r="4006" spans="17:25">
      <c r="Q4006" s="6">
        <v>3976</v>
      </c>
      <c r="R4006" s="7">
        <v>46643</v>
      </c>
      <c r="S4006" s="210">
        <v>4</v>
      </c>
      <c r="T4006" s="8">
        <v>1.0001111111111112</v>
      </c>
      <c r="U4006" s="98">
        <v>3.9501278063670098</v>
      </c>
      <c r="V4006" s="106">
        <v>35893.325182642278</v>
      </c>
      <c r="W4006" s="10">
        <v>1.0067111595650768</v>
      </c>
      <c r="X4006" s="420"/>
      <c r="Y4006" s="420"/>
    </row>
    <row r="4007" spans="17:25">
      <c r="Q4007" s="6">
        <v>3977</v>
      </c>
      <c r="R4007" s="7">
        <v>46644</v>
      </c>
      <c r="S4007" s="210">
        <v>4</v>
      </c>
      <c r="T4007" s="8">
        <v>1.0001111111111112</v>
      </c>
      <c r="U4007" s="98">
        <v>3.9501751745148139</v>
      </c>
      <c r="V4007" s="106">
        <v>35896.213217410375</v>
      </c>
      <c r="W4007" s="10">
        <v>1.00674085509318</v>
      </c>
      <c r="X4007" s="420"/>
      <c r="Y4007" s="420"/>
    </row>
    <row r="4008" spans="17:25">
      <c r="Q4008" s="6">
        <v>3978</v>
      </c>
      <c r="R4008" s="7">
        <v>46645</v>
      </c>
      <c r="S4008" s="210">
        <v>4</v>
      </c>
      <c r="T4008" s="8">
        <v>1.0001111111111112</v>
      </c>
      <c r="U4008" s="98">
        <v>3.9502225188691398</v>
      </c>
      <c r="V4008" s="106">
        <v>35899.10148455439</v>
      </c>
      <c r="W4008" s="10">
        <v>1.0067705357001522</v>
      </c>
      <c r="X4008" s="420"/>
      <c r="Y4008" s="420"/>
    </row>
    <row r="4009" spans="17:25">
      <c r="Q4009" s="6">
        <v>3979</v>
      </c>
      <c r="R4009" s="7">
        <v>46646</v>
      </c>
      <c r="S4009" s="210">
        <v>4</v>
      </c>
      <c r="T4009" s="8">
        <v>1.0001111111111112</v>
      </c>
      <c r="U4009" s="98">
        <v>3.9502698394478841</v>
      </c>
      <c r="V4009" s="106">
        <v>35901.989984093037</v>
      </c>
      <c r="W4009" s="10">
        <v>1.0068002013971844</v>
      </c>
      <c r="X4009" s="420"/>
      <c r="Y4009" s="420"/>
    </row>
    <row r="4010" spans="17:25">
      <c r="Q4010" s="6">
        <v>3980</v>
      </c>
      <c r="R4010" s="7">
        <v>46647</v>
      </c>
      <c r="S4010" s="210">
        <v>4</v>
      </c>
      <c r="T4010" s="8">
        <v>1.0001111111111112</v>
      </c>
      <c r="U4010" s="98">
        <v>3.950317136268966</v>
      </c>
      <c r="V4010" s="106">
        <v>35904.878716045016</v>
      </c>
      <c r="W4010" s="10">
        <v>1.0068298521955565</v>
      </c>
      <c r="X4010" s="420"/>
      <c r="Y4010" s="420"/>
    </row>
    <row r="4011" spans="17:25">
      <c r="Q4011" s="6">
        <v>3981</v>
      </c>
      <c r="R4011" s="7">
        <v>46648</v>
      </c>
      <c r="S4011" s="210">
        <v>4</v>
      </c>
      <c r="T4011" s="8">
        <v>1.0001111111111112</v>
      </c>
      <c r="U4011" s="98">
        <v>3.9503644093502821</v>
      </c>
      <c r="V4011" s="106">
        <v>35907.767680429009</v>
      </c>
      <c r="W4011" s="10">
        <v>1.0068594881064596</v>
      </c>
      <c r="X4011" s="420"/>
      <c r="Y4011" s="420"/>
    </row>
    <row r="4012" spans="17:25">
      <c r="Q4012" s="6">
        <v>3982</v>
      </c>
      <c r="R4012" s="7">
        <v>46649</v>
      </c>
      <c r="S4012" s="210">
        <v>4</v>
      </c>
      <c r="T4012" s="8">
        <v>1.0001111111111112</v>
      </c>
      <c r="U4012" s="98">
        <v>3.9504116587097071</v>
      </c>
      <c r="V4012" s="106">
        <v>35910.65687726374</v>
      </c>
      <c r="W4012" s="10">
        <v>1.0068891091411292</v>
      </c>
      <c r="X4012" s="420"/>
      <c r="Y4012" s="420"/>
    </row>
    <row r="4013" spans="17:25">
      <c r="Q4013" s="6">
        <v>3983</v>
      </c>
      <c r="R4013" s="7">
        <v>46650</v>
      </c>
      <c r="S4013" s="210">
        <v>4</v>
      </c>
      <c r="T4013" s="8">
        <v>1.0001111111111112</v>
      </c>
      <c r="U4013" s="98">
        <v>3.9504588843650712</v>
      </c>
      <c r="V4013" s="106">
        <v>35913.5463065679</v>
      </c>
      <c r="W4013" s="10">
        <v>1.006918715310734</v>
      </c>
      <c r="X4013" s="420"/>
      <c r="Y4013" s="420"/>
    </row>
    <row r="4014" spans="17:25">
      <c r="Q4014" s="6">
        <v>3984</v>
      </c>
      <c r="R4014" s="7">
        <v>46651</v>
      </c>
      <c r="S4014" s="210">
        <v>4</v>
      </c>
      <c r="T4014" s="8">
        <v>1.0001111111111112</v>
      </c>
      <c r="U4014" s="98">
        <v>3.9505060863342045</v>
      </c>
      <c r="V4014" s="106">
        <v>35916.435968360202</v>
      </c>
      <c r="W4014" s="10">
        <v>1.0069483066264651</v>
      </c>
      <c r="X4014" s="420"/>
      <c r="Y4014" s="420"/>
    </row>
    <row r="4015" spans="17:25">
      <c r="Q4015" s="6">
        <v>3985</v>
      </c>
      <c r="R4015" s="7">
        <v>46652</v>
      </c>
      <c r="S4015" s="210">
        <v>4</v>
      </c>
      <c r="T4015" s="8">
        <v>1.0001111111111112</v>
      </c>
      <c r="U4015" s="98">
        <v>3.9505532646349373</v>
      </c>
      <c r="V4015" s="106">
        <v>35919.325862659345</v>
      </c>
      <c r="W4015" s="10">
        <v>1.0069778830995135</v>
      </c>
      <c r="X4015" s="420"/>
      <c r="Y4015" s="420"/>
    </row>
    <row r="4016" spans="17:25">
      <c r="Q4016" s="6">
        <v>3986</v>
      </c>
      <c r="R4016" s="7">
        <v>46653</v>
      </c>
      <c r="S4016" s="210">
        <v>4</v>
      </c>
      <c r="T4016" s="8">
        <v>1.0001111111111112</v>
      </c>
      <c r="U4016" s="98">
        <v>3.9506004192850774</v>
      </c>
      <c r="V4016" s="106">
        <v>35922.21598948403</v>
      </c>
      <c r="W4016" s="10">
        <v>1.0070074447410704</v>
      </c>
      <c r="X4016" s="420"/>
      <c r="Y4016" s="420"/>
    </row>
    <row r="4017" spans="17:25">
      <c r="Q4017" s="6">
        <v>3987</v>
      </c>
      <c r="R4017" s="7">
        <v>46654</v>
      </c>
      <c r="S4017" s="210">
        <v>4</v>
      </c>
      <c r="T4017" s="8">
        <v>1.0001111111111112</v>
      </c>
      <c r="U4017" s="98">
        <v>3.9506475503023886</v>
      </c>
      <c r="V4017" s="106">
        <v>35925.106348852984</v>
      </c>
      <c r="W4017" s="10">
        <v>1.0070369915622379</v>
      </c>
      <c r="X4017" s="420"/>
      <c r="Y4017" s="420"/>
    </row>
    <row r="4018" spans="17:25">
      <c r="Q4018" s="6">
        <v>3988</v>
      </c>
      <c r="R4018" s="7">
        <v>46655</v>
      </c>
      <c r="S4018" s="210">
        <v>4</v>
      </c>
      <c r="T4018" s="8">
        <v>1.0001111111111112</v>
      </c>
      <c r="U4018" s="98">
        <v>3.9506946577046342</v>
      </c>
      <c r="V4018" s="106">
        <v>35927.996940784898</v>
      </c>
      <c r="W4018" s="10">
        <v>1.0070665235741627</v>
      </c>
      <c r="X4018" s="420"/>
      <c r="Y4018" s="420"/>
    </row>
    <row r="4019" spans="17:25">
      <c r="Q4019" s="6">
        <v>3989</v>
      </c>
      <c r="R4019" s="7">
        <v>46656</v>
      </c>
      <c r="S4019" s="210">
        <v>4</v>
      </c>
      <c r="T4019" s="8">
        <v>1.0001111111111112</v>
      </c>
      <c r="U4019" s="98">
        <v>3.9507417415095558</v>
      </c>
      <c r="V4019" s="106">
        <v>35930.88776529851</v>
      </c>
      <c r="W4019" s="10">
        <v>1.0070960407880136</v>
      </c>
      <c r="X4019" s="420"/>
      <c r="Y4019" s="420"/>
    </row>
    <row r="4020" spans="17:25">
      <c r="Q4020" s="6">
        <v>3990</v>
      </c>
      <c r="R4020" s="7">
        <v>46657</v>
      </c>
      <c r="S4020" s="210">
        <v>4</v>
      </c>
      <c r="T4020" s="8">
        <v>1.0001111111111112</v>
      </c>
      <c r="U4020" s="98">
        <v>3.9507888017348725</v>
      </c>
      <c r="V4020" s="106">
        <v>35933.778822412511</v>
      </c>
      <c r="W4020" s="10">
        <v>1.0071255432148707</v>
      </c>
      <c r="X4020" s="420"/>
      <c r="Y4020" s="420"/>
    </row>
    <row r="4021" spans="17:25">
      <c r="Q4021" s="6">
        <v>3991</v>
      </c>
      <c r="R4021" s="7">
        <v>46658</v>
      </c>
      <c r="S4021" s="210">
        <v>4</v>
      </c>
      <c r="T4021" s="8">
        <v>1.0001111111111112</v>
      </c>
      <c r="U4021" s="98">
        <v>3.9508358383983033</v>
      </c>
      <c r="V4021" s="106">
        <v>35936.670112145628</v>
      </c>
      <c r="W4021" s="10">
        <v>1.0071550308658583</v>
      </c>
      <c r="X4021" s="420"/>
      <c r="Y4021" s="420"/>
    </row>
    <row r="4022" spans="17:25">
      <c r="Q4022" s="6">
        <v>3992</v>
      </c>
      <c r="R4022" s="7">
        <v>46659</v>
      </c>
      <c r="S4022" s="210">
        <v>4</v>
      </c>
      <c r="T4022" s="8">
        <v>1.0001111111111112</v>
      </c>
      <c r="U4022" s="98">
        <v>3.9508828515175454</v>
      </c>
      <c r="V4022" s="106">
        <v>35939.561634516569</v>
      </c>
      <c r="W4022" s="10">
        <v>1.0071845037520788</v>
      </c>
      <c r="X4022" s="420"/>
      <c r="Y4022" s="420"/>
    </row>
    <row r="4023" spans="17:25">
      <c r="Q4023" s="6">
        <v>3993</v>
      </c>
      <c r="R4023" s="7">
        <v>46660</v>
      </c>
      <c r="S4023" s="210">
        <v>4</v>
      </c>
      <c r="T4023" s="8">
        <v>1.0001111111111112</v>
      </c>
      <c r="U4023" s="98">
        <v>3.9509298411102733</v>
      </c>
      <c r="V4023" s="106">
        <v>35942.453389544069</v>
      </c>
      <c r="W4023" s="10">
        <v>1.0072139618846343</v>
      </c>
      <c r="X4023" s="420"/>
      <c r="Y4023" s="420"/>
    </row>
    <row r="4024" spans="17:25">
      <c r="Q4024" s="6">
        <v>3994</v>
      </c>
      <c r="R4024" s="7">
        <v>46661</v>
      </c>
      <c r="S4024" s="210">
        <v>4</v>
      </c>
      <c r="T4024" s="8">
        <v>1.0001111111111112</v>
      </c>
      <c r="U4024" s="98">
        <v>3.9509768071941398</v>
      </c>
      <c r="V4024" s="106">
        <v>35945.345377246835</v>
      </c>
      <c r="W4024" s="10">
        <v>1.0072434052745605</v>
      </c>
      <c r="X4024" s="420"/>
      <c r="Y4024" s="420"/>
    </row>
    <row r="4025" spans="17:25">
      <c r="Q4025" s="6">
        <v>3995</v>
      </c>
      <c r="R4025" s="7">
        <v>46662</v>
      </c>
      <c r="S4025" s="210">
        <v>4</v>
      </c>
      <c r="T4025" s="8">
        <v>1.0001111111111112</v>
      </c>
      <c r="U4025" s="98">
        <v>3.9510237497867751</v>
      </c>
      <c r="V4025" s="106">
        <v>35948.237597643587</v>
      </c>
      <c r="W4025" s="10">
        <v>1.0072728339329595</v>
      </c>
      <c r="X4025" s="420"/>
      <c r="Y4025" s="420"/>
    </row>
    <row r="4026" spans="17:25">
      <c r="Q4026" s="6">
        <v>3996</v>
      </c>
      <c r="R4026" s="7">
        <v>46663</v>
      </c>
      <c r="S4026" s="210">
        <v>4</v>
      </c>
      <c r="T4026" s="8">
        <v>1.0001111111111112</v>
      </c>
      <c r="U4026" s="98">
        <v>3.9510706689057873</v>
      </c>
      <c r="V4026" s="106">
        <v>35951.130050753054</v>
      </c>
      <c r="W4026" s="10">
        <v>1.0073022478708671</v>
      </c>
      <c r="X4026" s="420"/>
      <c r="Y4026" s="420"/>
    </row>
    <row r="4027" spans="17:25">
      <c r="Q4027" s="6">
        <v>3997</v>
      </c>
      <c r="R4027" s="7">
        <v>46664</v>
      </c>
      <c r="S4027" s="210">
        <v>4</v>
      </c>
      <c r="T4027" s="8">
        <v>1.0001111111111112</v>
      </c>
      <c r="U4027" s="98">
        <v>3.9511175645688068</v>
      </c>
      <c r="V4027" s="106">
        <v>35954.02273659395</v>
      </c>
      <c r="W4027" s="10">
        <v>1.0073316470993188</v>
      </c>
      <c r="X4027" s="420"/>
      <c r="Y4027" s="420"/>
    </row>
    <row r="4028" spans="17:25">
      <c r="Q4028" s="6">
        <v>3998</v>
      </c>
      <c r="R4028" s="7">
        <v>46665</v>
      </c>
      <c r="S4028" s="210">
        <v>4</v>
      </c>
      <c r="T4028" s="8">
        <v>1.0001111111111112</v>
      </c>
      <c r="U4028" s="98">
        <v>3.9511644367933973</v>
      </c>
      <c r="V4028" s="106">
        <v>35956.91565518501</v>
      </c>
      <c r="W4028" s="10">
        <v>1.0073610316293502</v>
      </c>
      <c r="X4028" s="420"/>
      <c r="Y4028" s="420"/>
    </row>
    <row r="4029" spans="17:25">
      <c r="Q4029" s="6">
        <v>3999</v>
      </c>
      <c r="R4029" s="7">
        <v>46666</v>
      </c>
      <c r="S4029" s="210">
        <v>4</v>
      </c>
      <c r="T4029" s="8">
        <v>1.0001111111111112</v>
      </c>
      <c r="U4029" s="98">
        <v>3.9512112855971449</v>
      </c>
      <c r="V4029" s="106">
        <v>35959.80880654497</v>
      </c>
      <c r="W4029" s="10">
        <v>1.007390401471997</v>
      </c>
      <c r="X4029" s="420"/>
      <c r="Y4029" s="420"/>
    </row>
    <row r="4030" spans="17:25">
      <c r="Q4030" s="6">
        <v>4000</v>
      </c>
      <c r="R4030" s="7">
        <v>46667</v>
      </c>
      <c r="S4030" s="210">
        <v>4</v>
      </c>
      <c r="T4030" s="8">
        <v>1.0001111111111112</v>
      </c>
      <c r="U4030" s="98">
        <v>3.9512581109975908</v>
      </c>
      <c r="V4030" s="106">
        <v>35962.702190692544</v>
      </c>
      <c r="W4030" s="10">
        <v>1.0074197566382503</v>
      </c>
      <c r="X4030" s="420"/>
      <c r="Y4030" s="420"/>
    </row>
    <row r="4031" spans="17:25">
      <c r="Q4031" s="6">
        <v>4001</v>
      </c>
      <c r="R4031" s="7">
        <v>46668</v>
      </c>
      <c r="S4031" s="210">
        <v>4</v>
      </c>
      <c r="T4031" s="8">
        <v>1.0001111111111112</v>
      </c>
      <c r="U4031" s="98">
        <v>3.9513049130122546</v>
      </c>
      <c r="V4031" s="106">
        <v>35965.595807646467</v>
      </c>
      <c r="W4031" s="10">
        <v>1.0074490971391015</v>
      </c>
      <c r="X4031" s="420"/>
      <c r="Y4031" s="420"/>
    </row>
    <row r="4032" spans="17:25">
      <c r="Q4032" s="6">
        <v>4002</v>
      </c>
      <c r="R4032" s="7">
        <v>46669</v>
      </c>
      <c r="S4032" s="210">
        <v>4</v>
      </c>
      <c r="T4032" s="8">
        <v>1.0001111111111112</v>
      </c>
      <c r="U4032" s="98">
        <v>3.9513516916586555</v>
      </c>
      <c r="V4032" s="106">
        <v>35968.489657425467</v>
      </c>
      <c r="W4032" s="10">
        <v>1.0074784229855638</v>
      </c>
      <c r="X4032" s="420"/>
      <c r="Y4032" s="420"/>
    </row>
    <row r="4033" spans="17:25">
      <c r="Q4033" s="6">
        <v>4003</v>
      </c>
      <c r="R4033" s="7">
        <v>46670</v>
      </c>
      <c r="S4033" s="210">
        <v>4</v>
      </c>
      <c r="T4033" s="8">
        <v>1.0001111111111112</v>
      </c>
      <c r="U4033" s="98">
        <v>3.9513984469543129</v>
      </c>
      <c r="V4033" s="106">
        <v>35971.383740048295</v>
      </c>
      <c r="W4033" s="10">
        <v>1.0075077341886063</v>
      </c>
      <c r="X4033" s="420"/>
      <c r="Y4033" s="420"/>
    </row>
    <row r="4034" spans="17:25">
      <c r="Q4034" s="6">
        <v>4004</v>
      </c>
      <c r="R4034" s="7">
        <v>46671</v>
      </c>
      <c r="S4034" s="210">
        <v>4</v>
      </c>
      <c r="T4034" s="8">
        <v>1.0001111111111112</v>
      </c>
      <c r="U4034" s="98">
        <v>3.9514451789166793</v>
      </c>
      <c r="V4034" s="106">
        <v>35974.278055533665</v>
      </c>
      <c r="W4034" s="10">
        <v>1.0075370307591758</v>
      </c>
      <c r="X4034" s="420"/>
      <c r="Y4034" s="420"/>
    </row>
    <row r="4035" spans="17:25">
      <c r="Q4035" s="6">
        <v>4005</v>
      </c>
      <c r="R4035" s="7">
        <v>46672</v>
      </c>
      <c r="S4035" s="210">
        <v>4</v>
      </c>
      <c r="T4035" s="8">
        <v>1.0001111111111112</v>
      </c>
      <c r="U4035" s="98">
        <v>3.9514918875632299</v>
      </c>
      <c r="V4035" s="106">
        <v>35977.172603900326</v>
      </c>
      <c r="W4035" s="10">
        <v>1.0075663127082191</v>
      </c>
      <c r="X4035" s="420"/>
      <c r="Y4035" s="420"/>
    </row>
    <row r="4036" spans="17:25">
      <c r="Q4036" s="6">
        <v>4006</v>
      </c>
      <c r="R4036" s="7">
        <v>46673</v>
      </c>
      <c r="S4036" s="210">
        <v>4</v>
      </c>
      <c r="T4036" s="8">
        <v>1.0001111111111112</v>
      </c>
      <c r="U4036" s="98">
        <v>3.9515385729114172</v>
      </c>
      <c r="V4036" s="106">
        <v>35980.067385167</v>
      </c>
      <c r="W4036" s="10">
        <v>1.0075955800467495</v>
      </c>
      <c r="X4036" s="420"/>
      <c r="Y4036" s="420"/>
    </row>
    <row r="4037" spans="17:25">
      <c r="Q4037" s="6">
        <v>4007</v>
      </c>
      <c r="R4037" s="7">
        <v>46674</v>
      </c>
      <c r="S4037" s="210">
        <v>4</v>
      </c>
      <c r="T4037" s="8">
        <v>1.0001111111111112</v>
      </c>
      <c r="U4037" s="98">
        <v>3.9515852349786496</v>
      </c>
      <c r="V4037" s="106">
        <v>35982.962399352444</v>
      </c>
      <c r="W4037" s="10">
        <v>1.007624832785603</v>
      </c>
      <c r="X4037" s="420"/>
      <c r="Y4037" s="420"/>
    </row>
    <row r="4038" spans="17:25">
      <c r="Q4038" s="6">
        <v>4008</v>
      </c>
      <c r="R4038" s="7">
        <v>46675</v>
      </c>
      <c r="S4038" s="210">
        <v>4</v>
      </c>
      <c r="T4038" s="8">
        <v>1.0001111111111112</v>
      </c>
      <c r="U4038" s="98">
        <v>3.9516318737823575</v>
      </c>
      <c r="V4038" s="106">
        <v>35985.857646475401</v>
      </c>
      <c r="W4038" s="10">
        <v>1.0076540709357706</v>
      </c>
      <c r="X4038" s="420"/>
      <c r="Y4038" s="420"/>
    </row>
    <row r="4039" spans="17:25">
      <c r="Q4039" s="6">
        <v>4009</v>
      </c>
      <c r="R4039" s="7">
        <v>46676</v>
      </c>
      <c r="S4039" s="210">
        <v>4</v>
      </c>
      <c r="T4039" s="8">
        <v>1.0001111111111112</v>
      </c>
      <c r="U4039" s="98">
        <v>3.9516784893399048</v>
      </c>
      <c r="V4039" s="106">
        <v>35988.753126554599</v>
      </c>
      <c r="W4039" s="10">
        <v>1.0076832945081327</v>
      </c>
      <c r="X4039" s="420"/>
      <c r="Y4039" s="420"/>
    </row>
    <row r="4040" spans="17:25">
      <c r="Q4040" s="6">
        <v>4010</v>
      </c>
      <c r="R4040" s="7">
        <v>46677</v>
      </c>
      <c r="S4040" s="210">
        <v>4</v>
      </c>
      <c r="T4040" s="8">
        <v>1.0001111111111112</v>
      </c>
      <c r="U4040" s="98">
        <v>3.9517250816687</v>
      </c>
      <c r="V4040" s="106">
        <v>35991.648839608788</v>
      </c>
      <c r="W4040" s="10">
        <v>1.0077125035135914</v>
      </c>
      <c r="X4040" s="420"/>
      <c r="Y4040" s="420"/>
    </row>
    <row r="4041" spans="17:25">
      <c r="Q4041" s="6">
        <v>4011</v>
      </c>
      <c r="R4041" s="7">
        <v>46678</v>
      </c>
      <c r="S4041" s="210">
        <v>4</v>
      </c>
      <c r="T4041" s="8">
        <v>1.0001111111111112</v>
      </c>
      <c r="U4041" s="98">
        <v>3.9517716507860845</v>
      </c>
      <c r="V4041" s="106">
        <v>35994.544785656719</v>
      </c>
      <c r="W4041" s="10">
        <v>1.0077416979630271</v>
      </c>
      <c r="X4041" s="420"/>
      <c r="Y4041" s="420"/>
    </row>
    <row r="4042" spans="17:25">
      <c r="Q4042" s="6">
        <v>4012</v>
      </c>
      <c r="R4042" s="7">
        <v>46679</v>
      </c>
      <c r="S4042" s="210">
        <v>4</v>
      </c>
      <c r="T4042" s="8">
        <v>1.0001111111111112</v>
      </c>
      <c r="U4042" s="98">
        <v>3.9518181967094002</v>
      </c>
      <c r="V4042" s="106">
        <v>35997.440964717134</v>
      </c>
      <c r="W4042" s="10">
        <v>1.0077708778673644</v>
      </c>
      <c r="X4042" s="420"/>
      <c r="Y4042" s="420"/>
    </row>
    <row r="4043" spans="17:25">
      <c r="Q4043" s="6">
        <v>4013</v>
      </c>
      <c r="R4043" s="7">
        <v>46680</v>
      </c>
      <c r="S4043" s="210">
        <v>4</v>
      </c>
      <c r="T4043" s="8">
        <v>1.0001111111111112</v>
      </c>
      <c r="U4043" s="98">
        <v>3.9518647194559664</v>
      </c>
      <c r="V4043" s="106">
        <v>36000.337376808777</v>
      </c>
      <c r="W4043" s="10">
        <v>1.0078000432373946</v>
      </c>
      <c r="X4043" s="420"/>
      <c r="Y4043" s="420"/>
    </row>
    <row r="4044" spans="17:25">
      <c r="Q4044" s="6">
        <v>4014</v>
      </c>
      <c r="R4044" s="7">
        <v>46681</v>
      </c>
      <c r="S4044" s="210">
        <v>4</v>
      </c>
      <c r="T4044" s="8">
        <v>1.0001111111111112</v>
      </c>
      <c r="U4044" s="98">
        <v>3.9519112190431027</v>
      </c>
      <c r="V4044" s="106">
        <v>36003.234021950404</v>
      </c>
      <c r="W4044" s="10">
        <v>1.0078291940840423</v>
      </c>
      <c r="X4044" s="420"/>
      <c r="Y4044" s="420"/>
    </row>
    <row r="4045" spans="17:25">
      <c r="Q4045" s="6">
        <v>4015</v>
      </c>
      <c r="R4045" s="7">
        <v>46682</v>
      </c>
      <c r="S4045" s="210">
        <v>4</v>
      </c>
      <c r="T4045" s="8">
        <v>1.0001111111111112</v>
      </c>
      <c r="U4045" s="98">
        <v>3.9519576954880842</v>
      </c>
      <c r="V4045" s="106">
        <v>36006.130900160766</v>
      </c>
      <c r="W4045" s="10">
        <v>1.007858330418121</v>
      </c>
      <c r="X4045" s="420"/>
      <c r="Y4045" s="420"/>
    </row>
    <row r="4046" spans="17:25">
      <c r="Q4046" s="6">
        <v>4016</v>
      </c>
      <c r="R4046" s="7">
        <v>46683</v>
      </c>
      <c r="S4046" s="210">
        <v>4</v>
      </c>
      <c r="T4046" s="8">
        <v>1.0001111111111112</v>
      </c>
      <c r="U4046" s="98">
        <v>3.9520041488081858</v>
      </c>
      <c r="V4046" s="106">
        <v>36009.02801145862</v>
      </c>
      <c r="W4046" s="10">
        <v>1.0078874522504666</v>
      </c>
      <c r="X4046" s="420"/>
      <c r="Y4046" s="420"/>
    </row>
    <row r="4047" spans="17:25">
      <c r="Q4047" s="6">
        <v>4017</v>
      </c>
      <c r="R4047" s="7">
        <v>46684</v>
      </c>
      <c r="S4047" s="210">
        <v>4</v>
      </c>
      <c r="T4047" s="8">
        <v>1.0001111111111112</v>
      </c>
      <c r="U4047" s="98">
        <v>3.9520505790206828</v>
      </c>
      <c r="V4047" s="106">
        <v>36011.92535586271</v>
      </c>
      <c r="W4047" s="10">
        <v>1.0079165595919148</v>
      </c>
      <c r="X4047" s="420"/>
      <c r="Y4047" s="420"/>
    </row>
    <row r="4048" spans="17:25">
      <c r="Q4048" s="6">
        <v>4018</v>
      </c>
      <c r="R4048" s="7">
        <v>46685</v>
      </c>
      <c r="S4048" s="210">
        <v>4</v>
      </c>
      <c r="T4048" s="8">
        <v>1.0001111111111112</v>
      </c>
      <c r="U4048" s="98">
        <v>3.9520969861427835</v>
      </c>
      <c r="V4048" s="106">
        <v>36014.822933391799</v>
      </c>
      <c r="W4048" s="10">
        <v>1.0079456524532793</v>
      </c>
      <c r="X4048" s="420"/>
      <c r="Y4048" s="420"/>
    </row>
    <row r="4049" spans="17:25">
      <c r="Q4049" s="6">
        <v>4019</v>
      </c>
      <c r="R4049" s="7">
        <v>46686</v>
      </c>
      <c r="S4049" s="210">
        <v>4</v>
      </c>
      <c r="T4049" s="8">
        <v>1.0001111111111112</v>
      </c>
      <c r="U4049" s="98">
        <v>3.9521433701917186</v>
      </c>
      <c r="V4049" s="106">
        <v>36017.720744064653</v>
      </c>
      <c r="W4049" s="10">
        <v>1.0079747308453291</v>
      </c>
      <c r="X4049" s="420"/>
      <c r="Y4049" s="420"/>
    </row>
    <row r="4050" spans="17:25">
      <c r="Q4050" s="6">
        <v>4020</v>
      </c>
      <c r="R4050" s="7">
        <v>46687</v>
      </c>
      <c r="S4050" s="210">
        <v>4</v>
      </c>
      <c r="T4050" s="8">
        <v>1.0001111111111112</v>
      </c>
      <c r="U4050" s="98">
        <v>3.9521897311846965</v>
      </c>
      <c r="V4050" s="106">
        <v>36020.618787900014</v>
      </c>
      <c r="W4050" s="10">
        <v>1.0080037947789</v>
      </c>
      <c r="X4050" s="420"/>
      <c r="Y4050" s="420"/>
    </row>
    <row r="4051" spans="17:25">
      <c r="Q4051" s="6">
        <v>4021</v>
      </c>
      <c r="R4051" s="7">
        <v>46688</v>
      </c>
      <c r="S4051" s="210">
        <v>4</v>
      </c>
      <c r="T4051" s="8">
        <v>1.0001111111111112</v>
      </c>
      <c r="U4051" s="98">
        <v>3.9522360691389036</v>
      </c>
      <c r="V4051" s="106">
        <v>36023.517064916654</v>
      </c>
      <c r="W4051" s="10">
        <v>1.0080328442647613</v>
      </c>
      <c r="X4051" s="420"/>
      <c r="Y4051" s="420"/>
    </row>
    <row r="4052" spans="17:25">
      <c r="Q4052" s="6">
        <v>4022</v>
      </c>
      <c r="R4052" s="7">
        <v>46689</v>
      </c>
      <c r="S4052" s="210">
        <v>4</v>
      </c>
      <c r="T4052" s="8">
        <v>1.0001111111111112</v>
      </c>
      <c r="U4052" s="98">
        <v>3.9522823840715038</v>
      </c>
      <c r="V4052" s="106">
        <v>36026.415575133331</v>
      </c>
      <c r="W4052" s="10">
        <v>1.0080618793136598</v>
      </c>
      <c r="X4052" s="420"/>
      <c r="Y4052" s="420"/>
    </row>
    <row r="4053" spans="17:25">
      <c r="Q4053" s="6">
        <v>4023</v>
      </c>
      <c r="R4053" s="7">
        <v>46690</v>
      </c>
      <c r="S4053" s="210">
        <v>4</v>
      </c>
      <c r="T4053" s="8">
        <v>1.0001111111111112</v>
      </c>
      <c r="U4053" s="98">
        <v>3.9523286759996612</v>
      </c>
      <c r="V4053" s="106">
        <v>36029.314318568802</v>
      </c>
      <c r="W4053" s="10">
        <v>1.0080908999363869</v>
      </c>
      <c r="X4053" s="420"/>
      <c r="Y4053" s="420"/>
    </row>
    <row r="4054" spans="17:25">
      <c r="Q4054" s="6">
        <v>4024</v>
      </c>
      <c r="R4054" s="7">
        <v>46691</v>
      </c>
      <c r="S4054" s="210">
        <v>4</v>
      </c>
      <c r="T4054" s="8">
        <v>1.0001111111111112</v>
      </c>
      <c r="U4054" s="98">
        <v>3.9523749449404955</v>
      </c>
      <c r="V4054" s="106">
        <v>36032.213295241847</v>
      </c>
      <c r="W4054" s="10">
        <v>1.0081199061436896</v>
      </c>
      <c r="X4054" s="420"/>
      <c r="Y4054" s="420"/>
    </row>
    <row r="4055" spans="17:25">
      <c r="Q4055" s="6">
        <v>4025</v>
      </c>
      <c r="R4055" s="7">
        <v>46692</v>
      </c>
      <c r="S4055" s="210">
        <v>4</v>
      </c>
      <c r="T4055" s="8">
        <v>1.0001111111111112</v>
      </c>
      <c r="U4055" s="98">
        <v>3.9524211909111262</v>
      </c>
      <c r="V4055" s="106">
        <v>36035.112505171222</v>
      </c>
      <c r="W4055" s="10">
        <v>1.0081488979462705</v>
      </c>
      <c r="X4055" s="420"/>
      <c r="Y4055" s="420"/>
    </row>
    <row r="4056" spans="17:25">
      <c r="Q4056" s="6">
        <v>4026</v>
      </c>
      <c r="R4056" s="7">
        <v>46693</v>
      </c>
      <c r="S4056" s="210">
        <v>4</v>
      </c>
      <c r="T4056" s="8">
        <v>1.0001111111111112</v>
      </c>
      <c r="U4056" s="98">
        <v>3.9524674139286731</v>
      </c>
      <c r="V4056" s="106">
        <v>36038.011948375701</v>
      </c>
      <c r="W4056" s="10">
        <v>1.0081778753548987</v>
      </c>
      <c r="X4056" s="420"/>
      <c r="Y4056" s="420"/>
    </row>
    <row r="4057" spans="17:25">
      <c r="Q4057" s="6">
        <v>4027</v>
      </c>
      <c r="R4057" s="7">
        <v>46694</v>
      </c>
      <c r="S4057" s="210">
        <v>4</v>
      </c>
      <c r="T4057" s="8">
        <v>1.0001111111111112</v>
      </c>
      <c r="U4057" s="98">
        <v>3.9525136140101891</v>
      </c>
      <c r="V4057" s="106">
        <v>36040.911624874061</v>
      </c>
      <c r="W4057" s="10">
        <v>1.0082068383802545</v>
      </c>
      <c r="X4057" s="420"/>
      <c r="Y4057" s="420"/>
    </row>
    <row r="4058" spans="17:25">
      <c r="Q4058" s="6">
        <v>4028</v>
      </c>
      <c r="R4058" s="7">
        <v>46695</v>
      </c>
      <c r="S4058" s="210">
        <v>4</v>
      </c>
      <c r="T4058" s="8">
        <v>1.0001111111111112</v>
      </c>
      <c r="U4058" s="98">
        <v>3.9525597911727717</v>
      </c>
      <c r="V4058" s="106">
        <v>36043.811534685054</v>
      </c>
      <c r="W4058" s="10">
        <v>1.0082357870330627</v>
      </c>
      <c r="X4058" s="420"/>
      <c r="Y4058" s="420"/>
    </row>
    <row r="4059" spans="17:25">
      <c r="Q4059" s="6">
        <v>4029</v>
      </c>
      <c r="R4059" s="7">
        <v>46696</v>
      </c>
      <c r="S4059" s="210">
        <v>4</v>
      </c>
      <c r="T4059" s="8">
        <v>1.0001111111111112</v>
      </c>
      <c r="U4059" s="98">
        <v>3.9526059454334517</v>
      </c>
      <c r="V4059" s="106">
        <v>36046.711677827458</v>
      </c>
      <c r="W4059" s="10">
        <v>1.0082647213240259</v>
      </c>
      <c r="X4059" s="420"/>
      <c r="Y4059" s="420"/>
    </row>
    <row r="4060" spans="17:25">
      <c r="Q4060" s="6">
        <v>4030</v>
      </c>
      <c r="R4060" s="7">
        <v>46697</v>
      </c>
      <c r="S4060" s="210">
        <v>4</v>
      </c>
      <c r="T4060" s="8">
        <v>1.0001111111111112</v>
      </c>
      <c r="U4060" s="98">
        <v>3.9526520768092599</v>
      </c>
      <c r="V4060" s="106">
        <v>36049.612054320052</v>
      </c>
      <c r="W4060" s="10">
        <v>1.0082936412638244</v>
      </c>
      <c r="X4060" s="420"/>
      <c r="Y4060" s="420"/>
    </row>
    <row r="4061" spans="17:25">
      <c r="Q4061" s="6">
        <v>4031</v>
      </c>
      <c r="R4061" s="7">
        <v>46698</v>
      </c>
      <c r="S4061" s="210">
        <v>4</v>
      </c>
      <c r="T4061" s="8">
        <v>1.0001111111111112</v>
      </c>
      <c r="U4061" s="98">
        <v>3.9526981853172272</v>
      </c>
      <c r="V4061" s="106">
        <v>36052.512664181617</v>
      </c>
      <c r="W4061" s="10">
        <v>1.0083225468631163</v>
      </c>
      <c r="X4061" s="420"/>
      <c r="Y4061" s="420"/>
    </row>
    <row r="4062" spans="17:25">
      <c r="Q4062" s="6">
        <v>4032</v>
      </c>
      <c r="R4062" s="7">
        <v>46699</v>
      </c>
      <c r="S4062" s="210">
        <v>4</v>
      </c>
      <c r="T4062" s="8">
        <v>1.0001111111111112</v>
      </c>
      <c r="U4062" s="98">
        <v>3.9527442709743399</v>
      </c>
      <c r="V4062" s="106">
        <v>36055.413507430916</v>
      </c>
      <c r="W4062" s="10">
        <v>1.008351438132582</v>
      </c>
      <c r="X4062" s="420"/>
      <c r="Y4062" s="420"/>
    </row>
    <row r="4063" spans="17:25">
      <c r="Q4063" s="6">
        <v>4033</v>
      </c>
      <c r="R4063" s="7">
        <v>46700</v>
      </c>
      <c r="S4063" s="210">
        <v>4</v>
      </c>
      <c r="T4063" s="8">
        <v>1.0001111111111112</v>
      </c>
      <c r="U4063" s="98">
        <v>3.9527903337976067</v>
      </c>
      <c r="V4063" s="106">
        <v>36058.314584086744</v>
      </c>
      <c r="W4063" s="10">
        <v>1.0083803150828796</v>
      </c>
      <c r="X4063" s="420"/>
      <c r="Y4063" s="420"/>
    </row>
    <row r="4064" spans="17:25">
      <c r="Q4064" s="6">
        <v>4034</v>
      </c>
      <c r="R4064" s="7">
        <v>46701</v>
      </c>
      <c r="S4064" s="210">
        <v>4</v>
      </c>
      <c r="T4064" s="8">
        <v>1.0001111111111112</v>
      </c>
      <c r="U4064" s="98">
        <v>3.9528363738039696</v>
      </c>
      <c r="V4064" s="106">
        <v>36061.215894167872</v>
      </c>
      <c r="W4064" s="10">
        <v>1.0084091777246451</v>
      </c>
      <c r="X4064" s="420"/>
      <c r="Y4064" s="420"/>
    </row>
    <row r="4065" spans="17:25">
      <c r="Q4065" s="6">
        <v>4035</v>
      </c>
      <c r="R4065" s="7">
        <v>46702</v>
      </c>
      <c r="S4065" s="210">
        <v>4</v>
      </c>
      <c r="T4065" s="8">
        <v>1.0001111111111112</v>
      </c>
      <c r="U4065" s="98">
        <v>3.9528823910103705</v>
      </c>
      <c r="V4065" s="106">
        <v>36064.117437693087</v>
      </c>
      <c r="W4065" s="10">
        <v>1.0084380260685144</v>
      </c>
      <c r="X4065" s="420"/>
      <c r="Y4065" s="420"/>
    </row>
    <row r="4066" spans="17:25">
      <c r="Q4066" s="6">
        <v>4036</v>
      </c>
      <c r="R4066" s="7">
        <v>46703</v>
      </c>
      <c r="S4066" s="210">
        <v>4</v>
      </c>
      <c r="T4066" s="8">
        <v>1.0001111111111112</v>
      </c>
      <c r="U4066" s="98">
        <v>3.9529283854337738</v>
      </c>
      <c r="V4066" s="106">
        <v>36067.019214681161</v>
      </c>
      <c r="W4066" s="10">
        <v>1.0084668601251012</v>
      </c>
      <c r="X4066" s="420"/>
      <c r="Y4066" s="420"/>
    </row>
    <row r="4067" spans="17:25">
      <c r="Q4067" s="6">
        <v>4037</v>
      </c>
      <c r="R4067" s="7">
        <v>46704</v>
      </c>
      <c r="S4067" s="210">
        <v>4</v>
      </c>
      <c r="T4067" s="8">
        <v>1.0001111111111112</v>
      </c>
      <c r="U4067" s="98">
        <v>3.9529743570910547</v>
      </c>
      <c r="V4067" s="106">
        <v>36069.921225150887</v>
      </c>
      <c r="W4067" s="10">
        <v>1.0084956799050193</v>
      </c>
      <c r="X4067" s="420"/>
      <c r="Y4067" s="420"/>
    </row>
    <row r="4068" spans="17:25">
      <c r="Q4068" s="6">
        <v>4038</v>
      </c>
      <c r="R4068" s="7">
        <v>46705</v>
      </c>
      <c r="S4068" s="210">
        <v>4</v>
      </c>
      <c r="T4068" s="8">
        <v>1.0001111111111112</v>
      </c>
      <c r="U4068" s="98">
        <v>3.9530203059991331</v>
      </c>
      <c r="V4068" s="106">
        <v>36072.823469121053</v>
      </c>
      <c r="W4068" s="10">
        <v>1.008524485418838</v>
      </c>
      <c r="X4068" s="420"/>
      <c r="Y4068" s="420"/>
    </row>
    <row r="4069" spans="17:25">
      <c r="Q4069" s="6">
        <v>4039</v>
      </c>
      <c r="R4069" s="7">
        <v>46706</v>
      </c>
      <c r="S4069" s="210">
        <v>4</v>
      </c>
      <c r="T4069" s="8">
        <v>1.0001111111111112</v>
      </c>
      <c r="U4069" s="98">
        <v>3.9530662321749066</v>
      </c>
      <c r="V4069" s="106">
        <v>36075.725946610444</v>
      </c>
      <c r="W4069" s="10">
        <v>1.0085532766772376</v>
      </c>
      <c r="X4069" s="420"/>
      <c r="Y4069" s="420"/>
    </row>
    <row r="4070" spans="17:25">
      <c r="Q4070" s="6">
        <v>4040</v>
      </c>
      <c r="R4070" s="7">
        <v>46707</v>
      </c>
      <c r="S4070" s="210">
        <v>4</v>
      </c>
      <c r="T4070" s="8">
        <v>1.0001111111111112</v>
      </c>
      <c r="U4070" s="98">
        <v>3.9531121356352283</v>
      </c>
      <c r="V4070" s="106">
        <v>36078.628657637848</v>
      </c>
      <c r="W4070" s="10">
        <v>1.0085820536907208</v>
      </c>
      <c r="X4070" s="420"/>
      <c r="Y4070" s="420"/>
    </row>
    <row r="4071" spans="17:25">
      <c r="Q4071" s="6">
        <v>4041</v>
      </c>
      <c r="R4071" s="7">
        <v>46708</v>
      </c>
      <c r="S4071" s="210">
        <v>4</v>
      </c>
      <c r="T4071" s="8">
        <v>1.0001111111111112</v>
      </c>
      <c r="U4071" s="98">
        <v>3.9531580163969293</v>
      </c>
      <c r="V4071" s="106">
        <v>36081.531602222058</v>
      </c>
      <c r="W4071" s="10">
        <v>1.0086108164698571</v>
      </c>
      <c r="X4071" s="420"/>
      <c r="Y4071" s="420"/>
    </row>
    <row r="4072" spans="17:25">
      <c r="Q4072" s="6">
        <v>4042</v>
      </c>
      <c r="R4072" s="7">
        <v>46709</v>
      </c>
      <c r="S4072" s="210">
        <v>4</v>
      </c>
      <c r="T4072" s="8">
        <v>1.0001111111111112</v>
      </c>
      <c r="U4072" s="98">
        <v>3.9532038744768627</v>
      </c>
      <c r="V4072" s="106">
        <v>36084.43478038186</v>
      </c>
      <c r="W4072" s="10">
        <v>1.0086395650252378</v>
      </c>
      <c r="X4072" s="420"/>
      <c r="Y4072" s="420"/>
    </row>
    <row r="4073" spans="17:25">
      <c r="Q4073" s="6">
        <v>4043</v>
      </c>
      <c r="R4073" s="7">
        <v>46710</v>
      </c>
      <c r="S4073" s="210">
        <v>4</v>
      </c>
      <c r="T4073" s="8">
        <v>1.0001111111111112</v>
      </c>
      <c r="U4073" s="98">
        <v>3.9532497098918373</v>
      </c>
      <c r="V4073" s="106">
        <v>36087.338192136071</v>
      </c>
      <c r="W4073" s="10">
        <v>1.0086682993673879</v>
      </c>
      <c r="X4073" s="420"/>
      <c r="Y4073" s="420"/>
    </row>
    <row r="4074" spans="17:25">
      <c r="Q4074" s="6">
        <v>4044</v>
      </c>
      <c r="R4074" s="7">
        <v>46711</v>
      </c>
      <c r="S4074" s="210">
        <v>4</v>
      </c>
      <c r="T4074" s="8">
        <v>1.0001111111111112</v>
      </c>
      <c r="U4074" s="98">
        <v>3.9532955226586397</v>
      </c>
      <c r="V4074" s="106">
        <v>36090.241837503454</v>
      </c>
      <c r="W4074" s="10">
        <v>1.0086970195068545</v>
      </c>
      <c r="X4074" s="420"/>
      <c r="Y4074" s="420"/>
    </row>
    <row r="4075" spans="17:25">
      <c r="Q4075" s="6">
        <v>4045</v>
      </c>
      <c r="R4075" s="7">
        <v>46712</v>
      </c>
      <c r="S4075" s="210">
        <v>4</v>
      </c>
      <c r="T4075" s="8">
        <v>1.0001111111111112</v>
      </c>
      <c r="U4075" s="98">
        <v>3.9533413127940786</v>
      </c>
      <c r="V4075" s="106">
        <v>36093.145716502826</v>
      </c>
      <c r="W4075" s="10">
        <v>1.0087257254541848</v>
      </c>
      <c r="X4075" s="420"/>
      <c r="Y4075" s="420"/>
    </row>
    <row r="4076" spans="17:25">
      <c r="Q4076" s="6">
        <v>4046</v>
      </c>
      <c r="R4076" s="7">
        <v>46713</v>
      </c>
      <c r="S4076" s="210">
        <v>4</v>
      </c>
      <c r="T4076" s="8">
        <v>1.0001111111111112</v>
      </c>
      <c r="U4076" s="98">
        <v>3.9533870803148963</v>
      </c>
      <c r="V4076" s="106">
        <v>36096.04982915298</v>
      </c>
      <c r="W4076" s="10">
        <v>1.0087544172198593</v>
      </c>
      <c r="X4076" s="420"/>
      <c r="Y4076" s="420"/>
    </row>
    <row r="4077" spans="17:25">
      <c r="Q4077" s="6">
        <v>4047</v>
      </c>
      <c r="R4077" s="7">
        <v>46714</v>
      </c>
      <c r="S4077" s="210">
        <v>4</v>
      </c>
      <c r="T4077" s="8">
        <v>1.0001111111111112</v>
      </c>
      <c r="U4077" s="98">
        <v>3.953432825237857</v>
      </c>
      <c r="V4077" s="106">
        <v>36098.954175472718</v>
      </c>
      <c r="W4077" s="10">
        <v>1.0087830948144028</v>
      </c>
      <c r="X4077" s="420"/>
      <c r="Y4077" s="420"/>
    </row>
    <row r="4078" spans="17:25">
      <c r="Q4078" s="6">
        <v>4048</v>
      </c>
      <c r="R4078" s="7">
        <v>46715</v>
      </c>
      <c r="S4078" s="210">
        <v>4</v>
      </c>
      <c r="T4078" s="8">
        <v>1.0001111111111112</v>
      </c>
      <c r="U4078" s="98">
        <v>3.9534785475796808</v>
      </c>
      <c r="V4078" s="106">
        <v>36101.858755480833</v>
      </c>
      <c r="W4078" s="10">
        <v>1.008811758248318</v>
      </c>
      <c r="X4078" s="420"/>
      <c r="Y4078" s="420"/>
    </row>
    <row r="4079" spans="17:25">
      <c r="Q4079" s="6">
        <v>4049</v>
      </c>
      <c r="R4079" s="7">
        <v>46716</v>
      </c>
      <c r="S4079" s="210">
        <v>4</v>
      </c>
      <c r="T4079" s="8">
        <v>1.0001111111111112</v>
      </c>
      <c r="U4079" s="98">
        <v>3.9535242473570875</v>
      </c>
      <c r="V4079" s="106">
        <v>36104.76356919614</v>
      </c>
      <c r="W4079" s="10">
        <v>1.0088404075320634</v>
      </c>
      <c r="X4079" s="420"/>
      <c r="Y4079" s="420"/>
    </row>
    <row r="4080" spans="17:25">
      <c r="Q4080" s="6">
        <v>4050</v>
      </c>
      <c r="R4080" s="7">
        <v>46717</v>
      </c>
      <c r="S4080" s="210">
        <v>4</v>
      </c>
      <c r="T4080" s="8">
        <v>1.0001111111111112</v>
      </c>
      <c r="U4080" s="98">
        <v>3.953569924586775</v>
      </c>
      <c r="V4080" s="106">
        <v>36107.668616637435</v>
      </c>
      <c r="W4080" s="10">
        <v>1.0088690426761415</v>
      </c>
      <c r="X4080" s="420"/>
      <c r="Y4080" s="420"/>
    </row>
    <row r="4081" spans="17:25">
      <c r="Q4081" s="6">
        <v>4051</v>
      </c>
      <c r="R4081" s="7">
        <v>46718</v>
      </c>
      <c r="S4081" s="210">
        <v>4</v>
      </c>
      <c r="T4081" s="8">
        <v>1.0001111111111112</v>
      </c>
      <c r="U4081" s="98">
        <v>3.9536155792854411</v>
      </c>
      <c r="V4081" s="106">
        <v>36110.573897823539</v>
      </c>
      <c r="W4081" s="10">
        <v>1.0088976636910107</v>
      </c>
      <c r="X4081" s="420"/>
      <c r="Y4081" s="420"/>
    </row>
    <row r="4082" spans="17:25">
      <c r="Q4082" s="6">
        <v>4052</v>
      </c>
      <c r="R4082" s="7">
        <v>46719</v>
      </c>
      <c r="S4082" s="210">
        <v>4</v>
      </c>
      <c r="T4082" s="8">
        <v>1.0001111111111112</v>
      </c>
      <c r="U4082" s="98">
        <v>3.9536612114697389</v>
      </c>
      <c r="V4082" s="106">
        <v>36113.479412773231</v>
      </c>
      <c r="W4082" s="10">
        <v>1.0089262705871516</v>
      </c>
      <c r="X4082" s="420"/>
      <c r="Y4082" s="420"/>
    </row>
    <row r="4083" spans="17:25">
      <c r="Q4083" s="6">
        <v>4053</v>
      </c>
      <c r="R4083" s="7">
        <v>46720</v>
      </c>
      <c r="S4083" s="210">
        <v>4</v>
      </c>
      <c r="T4083" s="8">
        <v>1.0001111111111112</v>
      </c>
      <c r="U4083" s="98">
        <v>3.953706821156322</v>
      </c>
      <c r="V4083" s="106">
        <v>36116.38516150535</v>
      </c>
      <c r="W4083" s="10">
        <v>1.0089548633749557</v>
      </c>
      <c r="X4083" s="420"/>
      <c r="Y4083" s="420"/>
    </row>
    <row r="4084" spans="17:25">
      <c r="Q4084" s="6">
        <v>4054</v>
      </c>
      <c r="R4084" s="7">
        <v>46721</v>
      </c>
      <c r="S4084" s="210">
        <v>4</v>
      </c>
      <c r="T4084" s="8">
        <v>1.0001111111111112</v>
      </c>
      <c r="U4084" s="98">
        <v>3.9537524083618214</v>
      </c>
      <c r="V4084" s="106">
        <v>36119.291144038689</v>
      </c>
      <c r="W4084" s="10">
        <v>1.0089834420648813</v>
      </c>
      <c r="X4084" s="420"/>
      <c r="Y4084" s="420"/>
    </row>
    <row r="4085" spans="17:25">
      <c r="Q4085" s="6">
        <v>4055</v>
      </c>
      <c r="R4085" s="7">
        <v>46722</v>
      </c>
      <c r="S4085" s="210">
        <v>4</v>
      </c>
      <c r="T4085" s="8">
        <v>1.0001111111111112</v>
      </c>
      <c r="U4085" s="98">
        <v>3.9537979731028461</v>
      </c>
      <c r="V4085" s="106">
        <v>36122.197360392056</v>
      </c>
      <c r="W4085" s="10">
        <v>1.0090120066673647</v>
      </c>
      <c r="X4085" s="420"/>
      <c r="Y4085" s="420"/>
    </row>
    <row r="4086" spans="17:25">
      <c r="Q4086" s="6">
        <v>4056</v>
      </c>
      <c r="R4086" s="7">
        <v>46723</v>
      </c>
      <c r="S4086" s="210">
        <v>4</v>
      </c>
      <c r="T4086" s="8">
        <v>1.0001111111111112</v>
      </c>
      <c r="U4086" s="98">
        <v>3.953843515396005</v>
      </c>
      <c r="V4086" s="106">
        <v>36125.103810584289</v>
      </c>
      <c r="W4086" s="10">
        <v>1.0090405571927974</v>
      </c>
      <c r="X4086" s="420"/>
      <c r="Y4086" s="420"/>
    </row>
    <row r="4087" spans="17:25">
      <c r="Q4087" s="6">
        <v>4057</v>
      </c>
      <c r="R4087" s="7">
        <v>46724</v>
      </c>
      <c r="S4087" s="210">
        <v>4</v>
      </c>
      <c r="T4087" s="8">
        <v>1.0001111111111112</v>
      </c>
      <c r="U4087" s="98">
        <v>3.9538890352578848</v>
      </c>
      <c r="V4087" s="106">
        <v>36128.010494634167</v>
      </c>
      <c r="W4087" s="10">
        <v>1.0090690936516156</v>
      </c>
      <c r="X4087" s="420"/>
      <c r="Y4087" s="420"/>
    </row>
    <row r="4088" spans="17:25">
      <c r="Q4088" s="6">
        <v>4058</v>
      </c>
      <c r="R4088" s="7">
        <v>46725</v>
      </c>
      <c r="S4088" s="210">
        <v>4</v>
      </c>
      <c r="T4088" s="8">
        <v>1.0001111111111112</v>
      </c>
      <c r="U4088" s="98">
        <v>3.9539345327050501</v>
      </c>
      <c r="V4088" s="106">
        <v>36130.917412560535</v>
      </c>
      <c r="W4088" s="10">
        <v>1.0090976160541665</v>
      </c>
      <c r="X4088" s="420"/>
      <c r="Y4088" s="420"/>
    </row>
    <row r="4089" spans="17:25">
      <c r="Q4089" s="6">
        <v>4059</v>
      </c>
      <c r="R4089" s="7">
        <v>46726</v>
      </c>
      <c r="S4089" s="210">
        <v>4</v>
      </c>
      <c r="T4089" s="8">
        <v>1.0001111111111112</v>
      </c>
      <c r="U4089" s="98">
        <v>3.9539800077540654</v>
      </c>
      <c r="V4089" s="106">
        <v>36133.824564382208</v>
      </c>
      <c r="W4089" s="10">
        <v>1.009126124410864</v>
      </c>
      <c r="X4089" s="420"/>
      <c r="Y4089" s="420"/>
    </row>
    <row r="4090" spans="17:25">
      <c r="Q4090" s="6">
        <v>4060</v>
      </c>
      <c r="R4090" s="7">
        <v>46727</v>
      </c>
      <c r="S4090" s="210">
        <v>4</v>
      </c>
      <c r="T4090" s="8">
        <v>1.0001111111111112</v>
      </c>
      <c r="U4090" s="98">
        <v>3.9540254604214509</v>
      </c>
      <c r="V4090" s="106">
        <v>36136.731950117995</v>
      </c>
      <c r="W4090" s="10">
        <v>1.0091546187320999</v>
      </c>
      <c r="X4090" s="420"/>
      <c r="Y4090" s="420"/>
    </row>
    <row r="4091" spans="17:25">
      <c r="Q4091" s="6">
        <v>4061</v>
      </c>
      <c r="R4091" s="7">
        <v>46728</v>
      </c>
      <c r="S4091" s="210">
        <v>4</v>
      </c>
      <c r="T4091" s="8">
        <v>1.0001111111111112</v>
      </c>
      <c r="U4091" s="98">
        <v>3.9540708907237487</v>
      </c>
      <c r="V4091" s="106">
        <v>36139.639569786726</v>
      </c>
      <c r="W4091" s="10">
        <v>1.0091830990281991</v>
      </c>
      <c r="X4091" s="420"/>
      <c r="Y4091" s="420"/>
    </row>
    <row r="4092" spans="17:25">
      <c r="Q4092" s="6">
        <v>4062</v>
      </c>
      <c r="R4092" s="7">
        <v>46729</v>
      </c>
      <c r="S4092" s="210">
        <v>4</v>
      </c>
      <c r="T4092" s="8">
        <v>1.0001111111111112</v>
      </c>
      <c r="U4092" s="98">
        <v>3.9541162986774347</v>
      </c>
      <c r="V4092" s="106">
        <v>36142.547423407217</v>
      </c>
      <c r="W4092" s="10">
        <v>1.0092115653095313</v>
      </c>
      <c r="X4092" s="420"/>
      <c r="Y4092" s="420"/>
    </row>
    <row r="4093" spans="17:25">
      <c r="Q4093" s="6">
        <v>4063</v>
      </c>
      <c r="R4093" s="7">
        <v>46730</v>
      </c>
      <c r="S4093" s="210">
        <v>4</v>
      </c>
      <c r="T4093" s="8">
        <v>1.0001111111111112</v>
      </c>
      <c r="U4093" s="98">
        <v>3.9541616842990068</v>
      </c>
      <c r="V4093" s="106">
        <v>36145.45551099829</v>
      </c>
      <c r="W4093" s="10">
        <v>1.0092400175864213</v>
      </c>
      <c r="X4093" s="420"/>
      <c r="Y4093" s="420"/>
    </row>
    <row r="4094" spans="17:25">
      <c r="Q4094" s="6">
        <v>4064</v>
      </c>
      <c r="R4094" s="7">
        <v>46731</v>
      </c>
      <c r="S4094" s="210">
        <v>4</v>
      </c>
      <c r="T4094" s="8">
        <v>1.0001111111111112</v>
      </c>
      <c r="U4094" s="98">
        <v>3.9542070476049407</v>
      </c>
      <c r="V4094" s="106">
        <v>36148.363832578776</v>
      </c>
      <c r="W4094" s="10">
        <v>1.0092684558692389</v>
      </c>
      <c r="X4094" s="420"/>
      <c r="Y4094" s="420"/>
    </row>
    <row r="4095" spans="17:25">
      <c r="Q4095" s="6">
        <v>4065</v>
      </c>
      <c r="R4095" s="7">
        <v>46732</v>
      </c>
      <c r="S4095" s="210">
        <v>4</v>
      </c>
      <c r="T4095" s="8">
        <v>1.0001111111111112</v>
      </c>
      <c r="U4095" s="98">
        <v>3.9542523886116898</v>
      </c>
      <c r="V4095" s="106">
        <v>36151.272388167512</v>
      </c>
      <c r="W4095" s="10">
        <v>1.0092968801682867</v>
      </c>
      <c r="X4095" s="420"/>
      <c r="Y4095" s="420"/>
    </row>
    <row r="4096" spans="17:25">
      <c r="Q4096" s="6">
        <v>4066</v>
      </c>
      <c r="R4096" s="7">
        <v>46733</v>
      </c>
      <c r="S4096" s="210">
        <v>4</v>
      </c>
      <c r="T4096" s="8">
        <v>1.0001111111111112</v>
      </c>
      <c r="U4096" s="98">
        <v>3.9542977073356855</v>
      </c>
      <c r="V4096" s="106">
        <v>36154.181177783306</v>
      </c>
      <c r="W4096" s="10">
        <v>1.0093252904938455</v>
      </c>
      <c r="X4096" s="420"/>
      <c r="Y4096" s="420"/>
    </row>
    <row r="4097" spans="17:25">
      <c r="Q4097" s="6">
        <v>4067</v>
      </c>
      <c r="R4097" s="7">
        <v>46734</v>
      </c>
      <c r="S4097" s="210">
        <v>4</v>
      </c>
      <c r="T4097" s="8">
        <v>1.0001111111111112</v>
      </c>
      <c r="U4097" s="98">
        <v>3.9543430037933591</v>
      </c>
      <c r="V4097" s="106">
        <v>36157.090201445004</v>
      </c>
      <c r="W4097" s="10">
        <v>1.0093536868562625</v>
      </c>
      <c r="X4097" s="420"/>
      <c r="Y4097" s="420"/>
    </row>
    <row r="4098" spans="17:25">
      <c r="Q4098" s="6">
        <v>4068</v>
      </c>
      <c r="R4098" s="7">
        <v>46735</v>
      </c>
      <c r="S4098" s="210">
        <v>4</v>
      </c>
      <c r="T4098" s="8">
        <v>1.0001111111111112</v>
      </c>
      <c r="U4098" s="98">
        <v>3.9543882780010975</v>
      </c>
      <c r="V4098" s="106">
        <v>36159.999459171428</v>
      </c>
      <c r="W4098" s="10">
        <v>1.0093820692658184</v>
      </c>
      <c r="X4098" s="420"/>
      <c r="Y4098" s="420"/>
    </row>
    <row r="4099" spans="17:25">
      <c r="Q4099" s="6">
        <v>4069</v>
      </c>
      <c r="R4099" s="7">
        <v>46736</v>
      </c>
      <c r="S4099" s="210">
        <v>4</v>
      </c>
      <c r="T4099" s="8">
        <v>1.0001111111111112</v>
      </c>
      <c r="U4099" s="98">
        <v>3.9544335299753097</v>
      </c>
      <c r="V4099" s="106">
        <v>36162.908950981415</v>
      </c>
      <c r="W4099" s="10">
        <v>1.0094104377327717</v>
      </c>
      <c r="X4099" s="420"/>
      <c r="Y4099" s="420"/>
    </row>
    <row r="4100" spans="17:25">
      <c r="Q4100" s="6">
        <v>4070</v>
      </c>
      <c r="R4100" s="7">
        <v>46737</v>
      </c>
      <c r="S4100" s="210">
        <v>4</v>
      </c>
      <c r="T4100" s="8">
        <v>1.0001111111111112</v>
      </c>
      <c r="U4100" s="98">
        <v>3.9544787597323605</v>
      </c>
      <c r="V4100" s="106">
        <v>36165.81867689381</v>
      </c>
      <c r="W4100" s="10">
        <v>1.0094387922674031</v>
      </c>
      <c r="X4100" s="420"/>
      <c r="Y4100" s="420"/>
    </row>
    <row r="4101" spans="17:25">
      <c r="Q4101" s="6">
        <v>4071</v>
      </c>
      <c r="R4101" s="7">
        <v>46738</v>
      </c>
      <c r="S4101" s="210">
        <v>4</v>
      </c>
      <c r="T4101" s="8">
        <v>1.0001111111111112</v>
      </c>
      <c r="U4101" s="98">
        <v>3.9545239672886145</v>
      </c>
      <c r="V4101" s="106">
        <v>36168.72863692743</v>
      </c>
      <c r="W4101" s="10">
        <v>1.0094671328799709</v>
      </c>
      <c r="X4101" s="420"/>
      <c r="Y4101" s="420"/>
    </row>
    <row r="4102" spans="17:25">
      <c r="Q4102" s="6">
        <v>4072</v>
      </c>
      <c r="R4102" s="7">
        <v>46739</v>
      </c>
      <c r="S4102" s="210">
        <v>4</v>
      </c>
      <c r="T4102" s="8">
        <v>1.0001111111111112</v>
      </c>
      <c r="U4102" s="98">
        <v>3.9545691526604143</v>
      </c>
      <c r="V4102" s="106">
        <v>36171.638831101125</v>
      </c>
      <c r="W4102" s="10">
        <v>1.0094954595807559</v>
      </c>
      <c r="X4102" s="420"/>
      <c r="Y4102" s="420"/>
    </row>
    <row r="4103" spans="17:25">
      <c r="Q4103" s="6">
        <v>4073</v>
      </c>
      <c r="R4103" s="7">
        <v>46740</v>
      </c>
      <c r="S4103" s="210">
        <v>4</v>
      </c>
      <c r="T4103" s="8">
        <v>1.0001111111111112</v>
      </c>
      <c r="U4103" s="98">
        <v>3.9546143158640801</v>
      </c>
      <c r="V4103" s="106">
        <v>36174.549259433734</v>
      </c>
      <c r="W4103" s="10">
        <v>1.0095237723799722</v>
      </c>
      <c r="X4103" s="420"/>
      <c r="Y4103" s="420"/>
    </row>
    <row r="4104" spans="17:25">
      <c r="Q4104" s="6">
        <v>4074</v>
      </c>
      <c r="R4104" s="7">
        <v>46741</v>
      </c>
      <c r="S4104" s="210">
        <v>4</v>
      </c>
      <c r="T4104" s="8">
        <v>1.0001111111111112</v>
      </c>
      <c r="U4104" s="98">
        <v>3.9546594569159099</v>
      </c>
      <c r="V4104" s="106">
        <v>36177.459921944093</v>
      </c>
      <c r="W4104" s="10">
        <v>1.0095520712878336</v>
      </c>
      <c r="X4104" s="420"/>
      <c r="Y4104" s="420"/>
    </row>
    <row r="4105" spans="17:25">
      <c r="Q4105" s="6">
        <v>4075</v>
      </c>
      <c r="R4105" s="7">
        <v>46742</v>
      </c>
      <c r="S4105" s="210">
        <v>4</v>
      </c>
      <c r="T4105" s="8">
        <v>1.0001111111111112</v>
      </c>
      <c r="U4105" s="98">
        <v>3.9547045758322241</v>
      </c>
      <c r="V4105" s="106">
        <v>36180.370818651041</v>
      </c>
      <c r="W4105" s="10">
        <v>1.0095803563146211</v>
      </c>
      <c r="X4105" s="420"/>
      <c r="Y4105" s="420"/>
    </row>
    <row r="4106" spans="17:25">
      <c r="Q4106" s="6">
        <v>4076</v>
      </c>
      <c r="R4106" s="7">
        <v>46743</v>
      </c>
      <c r="S4106" s="210">
        <v>4</v>
      </c>
      <c r="T4106" s="8">
        <v>1.0001111111111112</v>
      </c>
      <c r="U4106" s="98">
        <v>3.9547496726292763</v>
      </c>
      <c r="V4106" s="106">
        <v>36183.281949573437</v>
      </c>
      <c r="W4106" s="10">
        <v>1.0096086274704819</v>
      </c>
      <c r="X4106" s="420"/>
      <c r="Y4106" s="420"/>
    </row>
    <row r="4107" spans="17:25">
      <c r="Q4107" s="6">
        <v>4077</v>
      </c>
      <c r="R4107" s="7">
        <v>46744</v>
      </c>
      <c r="S4107" s="210">
        <v>4</v>
      </c>
      <c r="T4107" s="8">
        <v>1.0001111111111112</v>
      </c>
      <c r="U4107" s="98">
        <v>3.9547947473233425</v>
      </c>
      <c r="V4107" s="106">
        <v>36186.19331473011</v>
      </c>
      <c r="W4107" s="10">
        <v>1.0096368847656523</v>
      </c>
      <c r="X4107" s="420"/>
      <c r="Y4107" s="420"/>
    </row>
    <row r="4108" spans="17:25">
      <c r="Q4108" s="6">
        <v>4078</v>
      </c>
      <c r="R4108" s="7">
        <v>46745</v>
      </c>
      <c r="S4108" s="210">
        <v>4</v>
      </c>
      <c r="T4108" s="8">
        <v>1.0001111111111112</v>
      </c>
      <c r="U4108" s="98">
        <v>3.9548397999306539</v>
      </c>
      <c r="V4108" s="106">
        <v>36189.104914139913</v>
      </c>
      <c r="W4108" s="10">
        <v>1.0096651282102798</v>
      </c>
      <c r="X4108" s="420"/>
      <c r="Y4108" s="420"/>
    </row>
    <row r="4109" spans="17:25">
      <c r="Q4109" s="6">
        <v>4079</v>
      </c>
      <c r="R4109" s="7">
        <v>46746</v>
      </c>
      <c r="S4109" s="210">
        <v>4</v>
      </c>
      <c r="T4109" s="8">
        <v>1.0001111111111112</v>
      </c>
      <c r="U4109" s="98">
        <v>3.9548848304674644</v>
      </c>
      <c r="V4109" s="106">
        <v>36192.016747821704</v>
      </c>
      <c r="W4109" s="10">
        <v>1.0096933578146228</v>
      </c>
      <c r="X4109" s="420"/>
      <c r="Y4109" s="420"/>
    </row>
    <row r="4110" spans="17:25">
      <c r="Q4110" s="6">
        <v>4080</v>
      </c>
      <c r="R4110" s="7">
        <v>46747</v>
      </c>
      <c r="S4110" s="210">
        <v>4</v>
      </c>
      <c r="T4110" s="8">
        <v>1.0001111111111112</v>
      </c>
      <c r="U4110" s="98">
        <v>3.954929838949961</v>
      </c>
      <c r="V4110" s="106">
        <v>36194.928815794316</v>
      </c>
      <c r="W4110" s="10">
        <v>1.0097215735887843</v>
      </c>
      <c r="X4110" s="420"/>
      <c r="Y4110" s="420"/>
    </row>
    <row r="4111" spans="17:25">
      <c r="Q4111" s="6">
        <v>4081</v>
      </c>
      <c r="R4111" s="7">
        <v>46748</v>
      </c>
      <c r="S4111" s="210">
        <v>4</v>
      </c>
      <c r="T4111" s="8">
        <v>1.0001111111111112</v>
      </c>
      <c r="U4111" s="98">
        <v>3.9549748253943529</v>
      </c>
      <c r="V4111" s="106">
        <v>36197.841118076612</v>
      </c>
      <c r="W4111" s="10">
        <v>1.0097497755429341</v>
      </c>
      <c r="X4111" s="420"/>
      <c r="Y4111" s="420"/>
    </row>
    <row r="4112" spans="17:25">
      <c r="Q4112" s="6">
        <v>4082</v>
      </c>
      <c r="R4112" s="7">
        <v>46749</v>
      </c>
      <c r="S4112" s="210">
        <v>4</v>
      </c>
      <c r="T4112" s="8">
        <v>1.0001111111111112</v>
      </c>
      <c r="U4112" s="98">
        <v>3.9550197898168271</v>
      </c>
      <c r="V4112" s="106">
        <v>36200.75365468744</v>
      </c>
      <c r="W4112" s="10">
        <v>1.0097779636872639</v>
      </c>
      <c r="X4112" s="420"/>
      <c r="Y4112" s="420"/>
    </row>
    <row r="4113" spans="17:25">
      <c r="Q4113" s="6">
        <v>4083</v>
      </c>
      <c r="R4113" s="7">
        <v>46750</v>
      </c>
      <c r="S4113" s="210">
        <v>4</v>
      </c>
      <c r="T4113" s="8">
        <v>1.0001111111111112</v>
      </c>
      <c r="U4113" s="98">
        <v>3.9550647322335486</v>
      </c>
      <c r="V4113" s="106">
        <v>36203.666425645657</v>
      </c>
      <c r="W4113" s="10">
        <v>1.0098061380318768</v>
      </c>
      <c r="X4113" s="420"/>
      <c r="Y4113" s="420"/>
    </row>
    <row r="4114" spans="17:25">
      <c r="Q4114" s="6">
        <v>4084</v>
      </c>
      <c r="R4114" s="7">
        <v>46751</v>
      </c>
      <c r="S4114" s="210">
        <v>4</v>
      </c>
      <c r="T4114" s="8">
        <v>1.0001111111111112</v>
      </c>
      <c r="U4114" s="98">
        <v>3.9551096526606599</v>
      </c>
      <c r="V4114" s="106">
        <v>36206.579430970116</v>
      </c>
      <c r="W4114" s="10">
        <v>1.0098342985869202</v>
      </c>
      <c r="X4114" s="420"/>
      <c r="Y4114" s="420"/>
    </row>
    <row r="4115" spans="17:25">
      <c r="Q4115" s="6">
        <v>4085</v>
      </c>
      <c r="R4115" s="7">
        <v>46752</v>
      </c>
      <c r="S4115" s="210">
        <v>4</v>
      </c>
      <c r="T4115" s="8">
        <v>1.0001111111111112</v>
      </c>
      <c r="U4115" s="98">
        <v>3.9551545511143038</v>
      </c>
      <c r="V4115" s="106">
        <v>36209.492670679676</v>
      </c>
      <c r="W4115" s="10">
        <v>1.0098624453624971</v>
      </c>
      <c r="X4115" s="420"/>
      <c r="Y4115" s="420"/>
    </row>
    <row r="4116" spans="17:25">
      <c r="Q4116" s="6">
        <v>4086</v>
      </c>
      <c r="R4116" s="7">
        <v>46753</v>
      </c>
      <c r="S4116" s="210">
        <v>4</v>
      </c>
      <c r="T4116" s="8">
        <v>1.0001111111111112</v>
      </c>
      <c r="U4116" s="98">
        <v>3.9551994276106006</v>
      </c>
      <c r="V4116" s="106">
        <v>36212.406144793196</v>
      </c>
      <c r="W4116" s="10">
        <v>1.0098905783687551</v>
      </c>
      <c r="X4116" s="420"/>
      <c r="Y4116" s="420"/>
    </row>
    <row r="4117" spans="17:25">
      <c r="Q4117" s="6">
        <v>4087</v>
      </c>
      <c r="R4117" s="7">
        <v>46754</v>
      </c>
      <c r="S4117" s="210">
        <v>4</v>
      </c>
      <c r="T4117" s="8">
        <v>1.0001111111111112</v>
      </c>
      <c r="U4117" s="98">
        <v>3.9552442821656486</v>
      </c>
      <c r="V4117" s="106">
        <v>36215.319853329536</v>
      </c>
      <c r="W4117" s="10">
        <v>1.0099186976157526</v>
      </c>
      <c r="X4117" s="420"/>
      <c r="Y4117" s="420"/>
    </row>
    <row r="4118" spans="17:25">
      <c r="Q4118" s="6">
        <v>4088</v>
      </c>
      <c r="R4118" s="7">
        <v>46755</v>
      </c>
      <c r="S4118" s="210">
        <v>4</v>
      </c>
      <c r="T4118" s="8">
        <v>1.0001111111111112</v>
      </c>
      <c r="U4118" s="98">
        <v>3.955289114795546</v>
      </c>
      <c r="V4118" s="106">
        <v>36218.233796307562</v>
      </c>
      <c r="W4118" s="10">
        <v>1.009946803113615</v>
      </c>
      <c r="X4118" s="420"/>
      <c r="Y4118" s="420"/>
    </row>
    <row r="4119" spans="17:25">
      <c r="Q4119" s="6">
        <v>4089</v>
      </c>
      <c r="R4119" s="7">
        <v>46756</v>
      </c>
      <c r="S4119" s="210">
        <v>4</v>
      </c>
      <c r="T4119" s="8">
        <v>1.0001111111111112</v>
      </c>
      <c r="U4119" s="98">
        <v>3.9553339255163467</v>
      </c>
      <c r="V4119" s="106">
        <v>36221.147973746134</v>
      </c>
      <c r="W4119" s="10">
        <v>1.0099748948724008</v>
      </c>
      <c r="X4119" s="420"/>
      <c r="Y4119" s="420"/>
    </row>
    <row r="4120" spans="17:25">
      <c r="Q4120" s="6">
        <v>4090</v>
      </c>
      <c r="R4120" s="7">
        <v>46757</v>
      </c>
      <c r="S4120" s="210">
        <v>4</v>
      </c>
      <c r="T4120" s="8">
        <v>1.0001111111111112</v>
      </c>
      <c r="U4120" s="98">
        <v>3.9553787143441266</v>
      </c>
      <c r="V4120" s="106">
        <v>36224.062385664118</v>
      </c>
      <c r="W4120" s="10">
        <v>1.0100029729022131</v>
      </c>
      <c r="X4120" s="420"/>
      <c r="Y4120" s="420"/>
    </row>
    <row r="4121" spans="17:25">
      <c r="Q4121" s="6">
        <v>4091</v>
      </c>
      <c r="R4121" s="7">
        <v>46758</v>
      </c>
      <c r="S4121" s="210">
        <v>4</v>
      </c>
      <c r="T4121" s="8">
        <v>1.0001111111111112</v>
      </c>
      <c r="U4121" s="98">
        <v>3.9554234812949174</v>
      </c>
      <c r="V4121" s="106">
        <v>36226.977032080373</v>
      </c>
      <c r="W4121" s="10">
        <v>1.0100310372130883</v>
      </c>
      <c r="X4121" s="420"/>
      <c r="Y4121" s="420"/>
    </row>
    <row r="4122" spans="17:25">
      <c r="Q4122" s="6">
        <v>4092</v>
      </c>
      <c r="R4122" s="7">
        <v>46759</v>
      </c>
      <c r="S4122" s="210">
        <v>4</v>
      </c>
      <c r="T4122" s="8">
        <v>1.0001111111111112</v>
      </c>
      <c r="U4122" s="98">
        <v>3.9554682263847507</v>
      </c>
      <c r="V4122" s="106">
        <v>36229.89191301378</v>
      </c>
      <c r="W4122" s="10">
        <v>1.010059087815085</v>
      </c>
      <c r="X4122" s="420"/>
      <c r="Y4122" s="420"/>
    </row>
    <row r="4123" spans="17:25">
      <c r="Q4123" s="6">
        <v>4093</v>
      </c>
      <c r="R4123" s="7">
        <v>46760</v>
      </c>
      <c r="S4123" s="210">
        <v>4</v>
      </c>
      <c r="T4123" s="8">
        <v>1.0001111111111112</v>
      </c>
      <c r="U4123" s="98">
        <v>3.9555129496296138</v>
      </c>
      <c r="V4123" s="106">
        <v>36232.807028483207</v>
      </c>
      <c r="W4123" s="10">
        <v>1.0100871247182397</v>
      </c>
      <c r="X4123" s="420"/>
      <c r="Y4123" s="420"/>
    </row>
    <row r="4124" spans="17:25">
      <c r="Q4124" s="6">
        <v>4094</v>
      </c>
      <c r="R4124" s="7">
        <v>46761</v>
      </c>
      <c r="S4124" s="210">
        <v>4</v>
      </c>
      <c r="T4124" s="8">
        <v>1.0001111111111112</v>
      </c>
      <c r="U4124" s="98">
        <v>3.9555576510455159</v>
      </c>
      <c r="V4124" s="106">
        <v>36235.722378507511</v>
      </c>
      <c r="W4124" s="10">
        <v>1.0101151479325887</v>
      </c>
      <c r="X4124" s="420"/>
      <c r="Y4124" s="420"/>
    </row>
    <row r="4125" spans="17:25">
      <c r="Q4125" s="6">
        <v>4095</v>
      </c>
      <c r="R4125" s="7">
        <v>46762</v>
      </c>
      <c r="S4125" s="210">
        <v>4</v>
      </c>
      <c r="T4125" s="8">
        <v>1.0001111111111112</v>
      </c>
      <c r="U4125" s="98">
        <v>3.9556023306484223</v>
      </c>
      <c r="V4125" s="106">
        <v>36238.637963105582</v>
      </c>
      <c r="W4125" s="10">
        <v>1.0101431574681463</v>
      </c>
      <c r="X4125" s="420"/>
      <c r="Y4125" s="420"/>
    </row>
    <row r="4126" spans="17:25">
      <c r="Q4126" s="6">
        <v>4096</v>
      </c>
      <c r="R4126" s="7">
        <v>46763</v>
      </c>
      <c r="S4126" s="210">
        <v>4</v>
      </c>
      <c r="T4126" s="8">
        <v>1.0001111111111112</v>
      </c>
      <c r="U4126" s="98">
        <v>3.9556469884543199</v>
      </c>
      <c r="V4126" s="106">
        <v>36241.553782296287</v>
      </c>
      <c r="W4126" s="10">
        <v>1.0101711533349267</v>
      </c>
      <c r="X4126" s="420"/>
      <c r="Y4126" s="420"/>
    </row>
    <row r="4127" spans="17:25">
      <c r="Q4127" s="6">
        <v>4097</v>
      </c>
      <c r="R4127" s="7">
        <v>46764</v>
      </c>
      <c r="S4127" s="210">
        <v>4</v>
      </c>
      <c r="T4127" s="8">
        <v>1.0001111111111112</v>
      </c>
      <c r="U4127" s="98">
        <v>3.9556916244791296</v>
      </c>
      <c r="V4127" s="106">
        <v>36244.469836098498</v>
      </c>
      <c r="W4127" s="10">
        <v>1.010199135542944</v>
      </c>
      <c r="X4127" s="420"/>
      <c r="Y4127" s="420"/>
    </row>
    <row r="4128" spans="17:25">
      <c r="Q4128" s="6">
        <v>4098</v>
      </c>
      <c r="R4128" s="7">
        <v>46765</v>
      </c>
      <c r="S4128" s="210">
        <v>4</v>
      </c>
      <c r="T4128" s="8">
        <v>1.0001111111111112</v>
      </c>
      <c r="U4128" s="98">
        <v>3.955736238738794</v>
      </c>
      <c r="V4128" s="106">
        <v>36247.386124531091</v>
      </c>
      <c r="W4128" s="10">
        <v>1.0102271041022126</v>
      </c>
      <c r="X4128" s="420"/>
      <c r="Y4128" s="420"/>
    </row>
    <row r="4129" spans="17:25">
      <c r="Q4129" s="6">
        <v>4099</v>
      </c>
      <c r="R4129" s="7">
        <v>46766</v>
      </c>
      <c r="S4129" s="210">
        <v>4</v>
      </c>
      <c r="T4129" s="8">
        <v>1.0001111111111112</v>
      </c>
      <c r="U4129" s="98">
        <v>3.9557808312492337</v>
      </c>
      <c r="V4129" s="106">
        <v>36250.302647612967</v>
      </c>
      <c r="W4129" s="10">
        <v>1.0102550590226578</v>
      </c>
      <c r="X4129" s="420"/>
      <c r="Y4129" s="420"/>
    </row>
    <row r="4130" spans="17:25">
      <c r="Q4130" s="6">
        <v>4100</v>
      </c>
      <c r="R4130" s="7">
        <v>46767</v>
      </c>
      <c r="S4130" s="210">
        <v>4</v>
      </c>
      <c r="T4130" s="8">
        <v>1.0001111111111112</v>
      </c>
      <c r="U4130" s="98">
        <v>3.9558254020263472</v>
      </c>
      <c r="V4130" s="106">
        <v>36253.219405362972</v>
      </c>
      <c r="W4130" s="10">
        <v>1.0102830003143159</v>
      </c>
      <c r="X4130" s="420"/>
      <c r="Y4130" s="420"/>
    </row>
    <row r="4131" spans="17:25">
      <c r="Q4131" s="6">
        <v>4101</v>
      </c>
      <c r="R4131" s="7">
        <v>46768</v>
      </c>
      <c r="S4131" s="210">
        <v>4</v>
      </c>
      <c r="T4131" s="8">
        <v>1.0001111111111112</v>
      </c>
      <c r="U4131" s="98">
        <v>3.9558699510860107</v>
      </c>
      <c r="V4131" s="106">
        <v>36256.136397800008</v>
      </c>
      <c r="W4131" s="10">
        <v>1.0103109279871125</v>
      </c>
      <c r="X4131" s="420"/>
      <c r="Y4131" s="420"/>
    </row>
    <row r="4132" spans="17:25">
      <c r="Q4132" s="6">
        <v>4102</v>
      </c>
      <c r="R4132" s="7">
        <v>46769</v>
      </c>
      <c r="S4132" s="210">
        <v>4</v>
      </c>
      <c r="T4132" s="8">
        <v>1.0001111111111112</v>
      </c>
      <c r="U4132" s="98">
        <v>3.9559144784441003</v>
      </c>
      <c r="V4132" s="106">
        <v>36259.05362494295</v>
      </c>
      <c r="W4132" s="10">
        <v>1.0103388420510173</v>
      </c>
      <c r="X4132" s="420"/>
      <c r="Y4132" s="420"/>
    </row>
    <row r="4133" spans="17:25">
      <c r="Q4133" s="6">
        <v>4103</v>
      </c>
      <c r="R4133" s="7">
        <v>46770</v>
      </c>
      <c r="S4133" s="210">
        <v>4</v>
      </c>
      <c r="T4133" s="8">
        <v>1.0001111111111112</v>
      </c>
      <c r="U4133" s="98">
        <v>3.95595898411647</v>
      </c>
      <c r="V4133" s="106">
        <v>36261.971086810699</v>
      </c>
      <c r="W4133" s="10">
        <v>1.0103667425159557</v>
      </c>
      <c r="X4133" s="420"/>
      <c r="Y4133" s="420"/>
    </row>
    <row r="4134" spans="17:25">
      <c r="Q4134" s="6">
        <v>4104</v>
      </c>
      <c r="R4134" s="7">
        <v>46771</v>
      </c>
      <c r="S4134" s="210">
        <v>4</v>
      </c>
      <c r="T4134" s="8">
        <v>1.0001111111111112</v>
      </c>
      <c r="U4134" s="98">
        <v>3.9560034681189515</v>
      </c>
      <c r="V4134" s="106">
        <v>36264.888783422124</v>
      </c>
      <c r="W4134" s="10">
        <v>1.0103946293918975</v>
      </c>
      <c r="X4134" s="420"/>
      <c r="Y4134" s="420"/>
    </row>
    <row r="4135" spans="17:25">
      <c r="Q4135" s="6">
        <v>4105</v>
      </c>
      <c r="R4135" s="7">
        <v>46772</v>
      </c>
      <c r="S4135" s="210">
        <v>4</v>
      </c>
      <c r="T4135" s="8">
        <v>1.0001111111111112</v>
      </c>
      <c r="U4135" s="98">
        <v>3.9560479304673768</v>
      </c>
      <c r="V4135" s="106">
        <v>36267.806714796119</v>
      </c>
      <c r="W4135" s="10">
        <v>1.0104225026887459</v>
      </c>
      <c r="X4135" s="420"/>
      <c r="Y4135" s="420"/>
    </row>
    <row r="4136" spans="17:25">
      <c r="Q4136" s="6">
        <v>4106</v>
      </c>
      <c r="R4136" s="7">
        <v>46773</v>
      </c>
      <c r="S4136" s="210">
        <v>4</v>
      </c>
      <c r="T4136" s="8">
        <v>1.0001111111111112</v>
      </c>
      <c r="U4136" s="98">
        <v>3.9560923711775331</v>
      </c>
      <c r="V4136" s="106">
        <v>36270.724880951573</v>
      </c>
      <c r="W4136" s="10">
        <v>1.0104503624164041</v>
      </c>
      <c r="X4136" s="420"/>
      <c r="Y4136" s="420"/>
    </row>
    <row r="4137" spans="17:25">
      <c r="Q4137" s="6">
        <v>4107</v>
      </c>
      <c r="R4137" s="7">
        <v>46774</v>
      </c>
      <c r="S4137" s="210">
        <v>4</v>
      </c>
      <c r="T4137" s="8">
        <v>1.0001111111111112</v>
      </c>
      <c r="U4137" s="98">
        <v>3.95613679026523</v>
      </c>
      <c r="V4137" s="106">
        <v>36273.643281907382</v>
      </c>
      <c r="W4137" s="10">
        <v>1.0104782085847752</v>
      </c>
      <c r="X4137" s="420"/>
      <c r="Y4137" s="420"/>
    </row>
    <row r="4138" spans="17:25">
      <c r="Q4138" s="6">
        <v>4108</v>
      </c>
      <c r="R4138" s="7">
        <v>46775</v>
      </c>
      <c r="S4138" s="210">
        <v>4</v>
      </c>
      <c r="T4138" s="8">
        <v>1.0001111111111112</v>
      </c>
      <c r="U4138" s="98">
        <v>3.9561811877462549</v>
      </c>
      <c r="V4138" s="106">
        <v>36276.561917682426</v>
      </c>
      <c r="W4138" s="10">
        <v>1.0105060412038069</v>
      </c>
      <c r="X4138" s="420"/>
      <c r="Y4138" s="420"/>
    </row>
    <row r="4139" spans="17:25">
      <c r="Q4139" s="6">
        <v>4109</v>
      </c>
      <c r="R4139" s="7">
        <v>46776</v>
      </c>
      <c r="S4139" s="210">
        <v>4</v>
      </c>
      <c r="T4139" s="8">
        <v>1.0001111111111112</v>
      </c>
      <c r="U4139" s="98">
        <v>3.9562255636363508</v>
      </c>
      <c r="V4139" s="106">
        <v>36279.480788295608</v>
      </c>
      <c r="W4139" s="10">
        <v>1.0105338602833358</v>
      </c>
      <c r="X4139" s="420"/>
      <c r="Y4139" s="420"/>
    </row>
    <row r="4140" spans="17:25">
      <c r="Q4140" s="6">
        <v>4110</v>
      </c>
      <c r="R4140" s="7">
        <v>46777</v>
      </c>
      <c r="S4140" s="210">
        <v>4</v>
      </c>
      <c r="T4140" s="8">
        <v>1.0001111111111112</v>
      </c>
      <c r="U4140" s="98">
        <v>3.9562699179512606</v>
      </c>
      <c r="V4140" s="106">
        <v>36282.399893765818</v>
      </c>
      <c r="W4140" s="10">
        <v>1.010561665833265</v>
      </c>
      <c r="X4140" s="420"/>
      <c r="Y4140" s="420"/>
    </row>
    <row r="4141" spans="17:25">
      <c r="Q4141" s="6">
        <v>4111</v>
      </c>
      <c r="R4141" s="7">
        <v>46778</v>
      </c>
      <c r="S4141" s="210">
        <v>4</v>
      </c>
      <c r="T4141" s="8">
        <v>1.0001111111111112</v>
      </c>
      <c r="U4141" s="98">
        <v>3.9563142507067273</v>
      </c>
      <c r="V4141" s="106">
        <v>36285.319234111965</v>
      </c>
      <c r="W4141" s="10">
        <v>1.0105894578634533</v>
      </c>
      <c r="X4141" s="420"/>
      <c r="Y4141" s="420"/>
    </row>
    <row r="4142" spans="17:25">
      <c r="Q4142" s="6">
        <v>4112</v>
      </c>
      <c r="R4142" s="7">
        <v>46779</v>
      </c>
      <c r="S4142" s="210">
        <v>4</v>
      </c>
      <c r="T4142" s="8">
        <v>1.0001111111111112</v>
      </c>
      <c r="U4142" s="98">
        <v>3.9563585619184716</v>
      </c>
      <c r="V4142" s="106">
        <v>36288.238809352937</v>
      </c>
      <c r="W4142" s="10">
        <v>1.0106172363837596</v>
      </c>
      <c r="X4142" s="420"/>
      <c r="Y4142" s="420"/>
    </row>
    <row r="4143" spans="17:25">
      <c r="Q4143" s="6">
        <v>4113</v>
      </c>
      <c r="R4143" s="7">
        <v>46780</v>
      </c>
      <c r="S4143" s="210">
        <v>4</v>
      </c>
      <c r="T4143" s="8">
        <v>1.0001111111111112</v>
      </c>
      <c r="U4143" s="98">
        <v>3.9564028516021699</v>
      </c>
      <c r="V4143" s="106">
        <v>36291.158619507631</v>
      </c>
      <c r="W4143" s="10">
        <v>1.0106450014040202</v>
      </c>
      <c r="X4143" s="420"/>
      <c r="Y4143" s="420"/>
    </row>
    <row r="4144" spans="17:25">
      <c r="Q4144" s="6">
        <v>4114</v>
      </c>
      <c r="R4144" s="7">
        <v>46781</v>
      </c>
      <c r="S4144" s="210">
        <v>4</v>
      </c>
      <c r="T4144" s="8">
        <v>1.0001111111111112</v>
      </c>
      <c r="U4144" s="98">
        <v>3.9564471197735207</v>
      </c>
      <c r="V4144" s="106">
        <v>36294.078664594963</v>
      </c>
      <c r="W4144" s="10">
        <v>1.010672752934072</v>
      </c>
      <c r="X4144" s="420"/>
      <c r="Y4144" s="420"/>
    </row>
    <row r="4145" spans="17:25">
      <c r="Q4145" s="6">
        <v>4115</v>
      </c>
      <c r="R4145" s="7">
        <v>46782</v>
      </c>
      <c r="S4145" s="210">
        <v>4</v>
      </c>
      <c r="T4145" s="8">
        <v>1.0001111111111112</v>
      </c>
      <c r="U4145" s="98">
        <v>3.9564913664482004</v>
      </c>
      <c r="V4145" s="106">
        <v>36296.998944633822</v>
      </c>
      <c r="W4145" s="10">
        <v>1.0107004909837736</v>
      </c>
      <c r="X4145" s="420"/>
      <c r="Y4145" s="420"/>
    </row>
    <row r="4146" spans="17:25">
      <c r="Q4146" s="6">
        <v>4116</v>
      </c>
      <c r="R4146" s="7">
        <v>46783</v>
      </c>
      <c r="S4146" s="210">
        <v>4</v>
      </c>
      <c r="T4146" s="8">
        <v>1.0001111111111112</v>
      </c>
      <c r="U4146" s="98">
        <v>3.9565355916418632</v>
      </c>
      <c r="V4146" s="106">
        <v>36299.919459643119</v>
      </c>
      <c r="W4146" s="10">
        <v>1.0107282155629393</v>
      </c>
      <c r="X4146" s="420"/>
      <c r="Y4146" s="420"/>
    </row>
    <row r="4147" spans="17:25">
      <c r="Q4147" s="6">
        <v>4117</v>
      </c>
      <c r="R4147" s="7">
        <v>46784</v>
      </c>
      <c r="S4147" s="210">
        <v>4</v>
      </c>
      <c r="T4147" s="8">
        <v>1.0001111111111112</v>
      </c>
      <c r="U4147" s="98">
        <v>3.9565797953701409</v>
      </c>
      <c r="V4147" s="106">
        <v>36302.840209641756</v>
      </c>
      <c r="W4147" s="10">
        <v>1.0107559266813615</v>
      </c>
      <c r="X4147" s="420"/>
      <c r="Y4147" s="420"/>
    </row>
    <row r="4148" spans="17:25">
      <c r="Q4148" s="6">
        <v>4118</v>
      </c>
      <c r="R4148" s="7">
        <v>46785</v>
      </c>
      <c r="S4148" s="210">
        <v>4</v>
      </c>
      <c r="T4148" s="8">
        <v>1.0001111111111112</v>
      </c>
      <c r="U4148" s="98">
        <v>3.9566239776486434</v>
      </c>
      <c r="V4148" s="106">
        <v>36305.761194648643</v>
      </c>
      <c r="W4148" s="10">
        <v>1.0107836243488544</v>
      </c>
      <c r="X4148" s="420"/>
      <c r="Y4148" s="420"/>
    </row>
    <row r="4149" spans="17:25">
      <c r="Q4149" s="6">
        <v>4119</v>
      </c>
      <c r="R4149" s="7">
        <v>46786</v>
      </c>
      <c r="S4149" s="210">
        <v>4</v>
      </c>
      <c r="T4149" s="8">
        <v>1.0001111111111112</v>
      </c>
      <c r="U4149" s="98">
        <v>3.9566681384930025</v>
      </c>
      <c r="V4149" s="106">
        <v>36308.682414682691</v>
      </c>
      <c r="W4149" s="10">
        <v>1.010811308575188</v>
      </c>
      <c r="X4149" s="420"/>
      <c r="Y4149" s="420"/>
    </row>
    <row r="4150" spans="17:25">
      <c r="Q4150" s="6">
        <v>4120</v>
      </c>
      <c r="R4150" s="7">
        <v>46787</v>
      </c>
      <c r="S4150" s="210">
        <v>4</v>
      </c>
      <c r="T4150" s="8">
        <v>1.0001111111111112</v>
      </c>
      <c r="U4150" s="98">
        <v>3.9567122779188058</v>
      </c>
      <c r="V4150" s="106">
        <v>36311.603869762803</v>
      </c>
      <c r="W4150" s="10">
        <v>1.0108389793701544</v>
      </c>
      <c r="X4150" s="420"/>
      <c r="Y4150" s="420"/>
    </row>
    <row r="4151" spans="17:25">
      <c r="Q4151" s="6">
        <v>4121</v>
      </c>
      <c r="R4151" s="7">
        <v>46788</v>
      </c>
      <c r="S4151" s="210">
        <v>4</v>
      </c>
      <c r="T4151" s="8">
        <v>1.0001111111111112</v>
      </c>
      <c r="U4151" s="98">
        <v>3.9567563959416407</v>
      </c>
      <c r="V4151" s="106">
        <v>36314.52555990791</v>
      </c>
      <c r="W4151" s="10">
        <v>1.0108666367435459</v>
      </c>
      <c r="X4151" s="420"/>
      <c r="Y4151" s="420"/>
    </row>
    <row r="4152" spans="17:25">
      <c r="Q4152" s="6">
        <v>4122</v>
      </c>
      <c r="R4152" s="7">
        <v>46789</v>
      </c>
      <c r="S4152" s="210">
        <v>4</v>
      </c>
      <c r="T4152" s="8">
        <v>1.0001111111111112</v>
      </c>
      <c r="U4152" s="98">
        <v>3.9568004925770506</v>
      </c>
      <c r="V4152" s="106">
        <v>36317.447485136901</v>
      </c>
      <c r="W4152" s="10">
        <v>1.0108942807051102</v>
      </c>
      <c r="X4152" s="420"/>
      <c r="Y4152" s="420"/>
    </row>
    <row r="4153" spans="17:25">
      <c r="Q4153" s="6">
        <v>4123</v>
      </c>
      <c r="R4153" s="7">
        <v>46790</v>
      </c>
      <c r="S4153" s="210">
        <v>4</v>
      </c>
      <c r="T4153" s="8">
        <v>1.0001111111111112</v>
      </c>
      <c r="U4153" s="98">
        <v>3.9568445678406006</v>
      </c>
      <c r="V4153" s="106">
        <v>36320.369645468709</v>
      </c>
      <c r="W4153" s="10">
        <v>1.0109219112645951</v>
      </c>
      <c r="X4153" s="420"/>
      <c r="Y4153" s="420"/>
    </row>
    <row r="4154" spans="17:25">
      <c r="Q4154" s="6">
        <v>4124</v>
      </c>
      <c r="R4154" s="7">
        <v>46791</v>
      </c>
      <c r="S4154" s="210">
        <v>4</v>
      </c>
      <c r="T4154" s="8">
        <v>1.0001111111111112</v>
      </c>
      <c r="U4154" s="98">
        <v>3.9568886217478116</v>
      </c>
      <c r="V4154" s="106">
        <v>36323.292040922242</v>
      </c>
      <c r="W4154" s="10">
        <v>1.0109495284317482</v>
      </c>
      <c r="X4154" s="420"/>
      <c r="Y4154" s="420"/>
    </row>
    <row r="4155" spans="17:25">
      <c r="Q4155" s="6">
        <v>4125</v>
      </c>
      <c r="R4155" s="7">
        <v>46792</v>
      </c>
      <c r="S4155" s="210">
        <v>4</v>
      </c>
      <c r="T4155" s="8">
        <v>1.0001111111111112</v>
      </c>
      <c r="U4155" s="98">
        <v>3.9569326543142047</v>
      </c>
      <c r="V4155" s="106">
        <v>36326.214671516427</v>
      </c>
      <c r="W4155" s="10">
        <v>1.0109771322162953</v>
      </c>
      <c r="X4155" s="420"/>
      <c r="Y4155" s="420"/>
    </row>
    <row r="4156" spans="17:25">
      <c r="Q4156" s="6">
        <v>4126</v>
      </c>
      <c r="R4156" s="7">
        <v>46793</v>
      </c>
      <c r="S4156" s="210">
        <v>4</v>
      </c>
      <c r="T4156" s="8">
        <v>1.0001111111111112</v>
      </c>
      <c r="U4156" s="98">
        <v>3.9569766655553007</v>
      </c>
      <c r="V4156" s="106">
        <v>36329.137537270173</v>
      </c>
      <c r="W4156" s="10">
        <v>1.0110047226280061</v>
      </c>
      <c r="X4156" s="420"/>
      <c r="Y4156" s="420"/>
    </row>
    <row r="4157" spans="17:25">
      <c r="Q4157" s="6">
        <v>4127</v>
      </c>
      <c r="R4157" s="7">
        <v>46794</v>
      </c>
      <c r="S4157" s="210">
        <v>4</v>
      </c>
      <c r="T4157" s="8">
        <v>1.0001111111111112</v>
      </c>
      <c r="U4157" s="98">
        <v>3.9570206554865539</v>
      </c>
      <c r="V4157" s="106">
        <v>36332.060638202405</v>
      </c>
      <c r="W4157" s="10">
        <v>1.0110322996765175</v>
      </c>
      <c r="X4157" s="420"/>
      <c r="Y4157" s="420"/>
    </row>
    <row r="4158" spans="17:25">
      <c r="Q4158" s="6">
        <v>4128</v>
      </c>
      <c r="R4158" s="7">
        <v>46795</v>
      </c>
      <c r="S4158" s="210">
        <v>4</v>
      </c>
      <c r="T4158" s="8">
        <v>1.0001111111111112</v>
      </c>
      <c r="U4158" s="98">
        <v>3.957064624123463</v>
      </c>
      <c r="V4158" s="106">
        <v>36334.983974332048</v>
      </c>
      <c r="W4158" s="10">
        <v>1.0110598633715995</v>
      </c>
      <c r="X4158" s="420"/>
      <c r="Y4158" s="420"/>
    </row>
    <row r="4159" spans="17:25">
      <c r="Q4159" s="6">
        <v>4129</v>
      </c>
      <c r="R4159" s="7">
        <v>46796</v>
      </c>
      <c r="S4159" s="210">
        <v>4</v>
      </c>
      <c r="T4159" s="8">
        <v>1.0001111111111112</v>
      </c>
      <c r="U4159" s="98">
        <v>3.9571085714814824</v>
      </c>
      <c r="V4159" s="106">
        <v>36337.907545678027</v>
      </c>
      <c r="W4159" s="10">
        <v>1.0110874137229109</v>
      </c>
      <c r="X4159" s="420"/>
      <c r="Y4159" s="420"/>
    </row>
    <row r="4160" spans="17:25">
      <c r="Q4160" s="6">
        <v>4130</v>
      </c>
      <c r="R4160" s="7">
        <v>46797</v>
      </c>
      <c r="S4160" s="210">
        <v>4</v>
      </c>
      <c r="T4160" s="8">
        <v>1.0001111111111112</v>
      </c>
      <c r="U4160" s="98">
        <v>3.9571524975760441</v>
      </c>
      <c r="V4160" s="106">
        <v>36340.831352259265</v>
      </c>
      <c r="W4160" s="10">
        <v>1.0111149507401773</v>
      </c>
      <c r="X4160" s="420"/>
      <c r="Y4160" s="420"/>
    </row>
    <row r="4161" spans="17:25">
      <c r="Q4161" s="6">
        <v>4131</v>
      </c>
      <c r="R4161" s="7">
        <v>46798</v>
      </c>
      <c r="S4161" s="210">
        <v>4</v>
      </c>
      <c r="T4161" s="8">
        <v>1.0001111111111112</v>
      </c>
      <c r="U4161" s="98">
        <v>3.9571964024226025</v>
      </c>
      <c r="V4161" s="106">
        <v>36343.755394094696</v>
      </c>
      <c r="W4161" s="10">
        <v>1.0111424744330577</v>
      </c>
      <c r="X4161" s="420"/>
      <c r="Y4161" s="420"/>
    </row>
    <row r="4162" spans="17:25">
      <c r="Q4162" s="6">
        <v>4132</v>
      </c>
      <c r="R4162" s="7">
        <v>46799</v>
      </c>
      <c r="S4162" s="210">
        <v>4</v>
      </c>
      <c r="T4162" s="8">
        <v>1.0001111111111112</v>
      </c>
      <c r="U4162" s="98">
        <v>3.9572402860365452</v>
      </c>
      <c r="V4162" s="106">
        <v>36346.679671203237</v>
      </c>
      <c r="W4162" s="10">
        <v>1.011169984811211</v>
      </c>
      <c r="X4162" s="420"/>
      <c r="Y4162" s="420"/>
    </row>
    <row r="4163" spans="17:25">
      <c r="Q4163" s="6">
        <v>4133</v>
      </c>
      <c r="R4163" s="7">
        <v>46800</v>
      </c>
      <c r="S4163" s="210">
        <v>4</v>
      </c>
      <c r="T4163" s="8">
        <v>1.0001111111111112</v>
      </c>
      <c r="U4163" s="98">
        <v>3.9572841484332821</v>
      </c>
      <c r="V4163" s="106">
        <v>36349.604183603828</v>
      </c>
      <c r="W4163" s="10">
        <v>1.0111974818842961</v>
      </c>
      <c r="X4163" s="420"/>
      <c r="Y4163" s="420"/>
    </row>
    <row r="4164" spans="17:25">
      <c r="Q4164" s="6">
        <v>4134</v>
      </c>
      <c r="R4164" s="7">
        <v>46801</v>
      </c>
      <c r="S4164" s="210">
        <v>4</v>
      </c>
      <c r="T4164" s="8">
        <v>1.0001111111111112</v>
      </c>
      <c r="U4164" s="98">
        <v>3.957327989628201</v>
      </c>
      <c r="V4164" s="106">
        <v>36352.528931315392</v>
      </c>
      <c r="W4164" s="10">
        <v>1.0112249656619943</v>
      </c>
      <c r="X4164" s="420"/>
      <c r="Y4164" s="420"/>
    </row>
    <row r="4165" spans="17:25">
      <c r="Q4165" s="6">
        <v>4135</v>
      </c>
      <c r="R4165" s="7">
        <v>46802</v>
      </c>
      <c r="S4165" s="210">
        <v>4</v>
      </c>
      <c r="T4165" s="8">
        <v>1.0001111111111112</v>
      </c>
      <c r="U4165" s="98">
        <v>3.9573718096366672</v>
      </c>
      <c r="V4165" s="106">
        <v>36355.453914356876</v>
      </c>
      <c r="W4165" s="10">
        <v>1.0112524361539199</v>
      </c>
      <c r="X4165" s="420"/>
      <c r="Y4165" s="420"/>
    </row>
    <row r="4166" spans="17:25">
      <c r="Q4166" s="6">
        <v>4136</v>
      </c>
      <c r="R4166" s="7">
        <v>46803</v>
      </c>
      <c r="S4166" s="210">
        <v>4</v>
      </c>
      <c r="T4166" s="8">
        <v>1.0001111111111112</v>
      </c>
      <c r="U4166" s="98">
        <v>3.9574156084740242</v>
      </c>
      <c r="V4166" s="106">
        <v>36358.379132747206</v>
      </c>
      <c r="W4166" s="10">
        <v>1.0112798933696876</v>
      </c>
      <c r="X4166" s="420"/>
      <c r="Y4166" s="420"/>
    </row>
    <row r="4167" spans="17:25">
      <c r="Q4167" s="6">
        <v>4137</v>
      </c>
      <c r="R4167" s="7">
        <v>46804</v>
      </c>
      <c r="S4167" s="210">
        <v>4</v>
      </c>
      <c r="T4167" s="8">
        <v>1.0001111111111112</v>
      </c>
      <c r="U4167" s="98">
        <v>3.9574593861556151</v>
      </c>
      <c r="V4167" s="106">
        <v>36361.304586505328</v>
      </c>
      <c r="W4167" s="10">
        <v>1.0113073373189563</v>
      </c>
      <c r="X4167" s="420"/>
      <c r="Y4167" s="420"/>
    </row>
    <row r="4168" spans="17:25">
      <c r="Q4168" s="6">
        <v>4138</v>
      </c>
      <c r="R4168" s="7">
        <v>46805</v>
      </c>
      <c r="S4168" s="210">
        <v>4</v>
      </c>
      <c r="T4168" s="8">
        <v>1.0001111111111112</v>
      </c>
      <c r="U4168" s="98">
        <v>3.9575031426967611</v>
      </c>
      <c r="V4168" s="106">
        <v>36364.230275650159</v>
      </c>
      <c r="W4168" s="10">
        <v>1.0113347680112961</v>
      </c>
      <c r="X4168" s="420"/>
      <c r="Y4168" s="420"/>
    </row>
    <row r="4169" spans="17:25">
      <c r="Q4169" s="6">
        <v>4139</v>
      </c>
      <c r="R4169" s="7">
        <v>46806</v>
      </c>
      <c r="S4169" s="210">
        <v>4</v>
      </c>
      <c r="T4169" s="8">
        <v>1.0001111111111112</v>
      </c>
      <c r="U4169" s="98">
        <v>3.9575468781127832</v>
      </c>
      <c r="V4169" s="106">
        <v>36367.156200200654</v>
      </c>
      <c r="W4169" s="10">
        <v>1.0113621854563659</v>
      </c>
      <c r="X4169" s="420"/>
      <c r="Y4169" s="420"/>
    </row>
    <row r="4170" spans="17:25">
      <c r="Q4170" s="6">
        <v>4140</v>
      </c>
      <c r="R4170" s="7">
        <v>46807</v>
      </c>
      <c r="S4170" s="210">
        <v>4</v>
      </c>
      <c r="T4170" s="8">
        <v>1.0001111111111112</v>
      </c>
      <c r="U4170" s="98">
        <v>3.9575905924189803</v>
      </c>
      <c r="V4170" s="106">
        <v>36370.082360175758</v>
      </c>
      <c r="W4170" s="10">
        <v>1.0113895896637137</v>
      </c>
      <c r="X4170" s="420"/>
      <c r="Y4170" s="420"/>
    </row>
    <row r="4171" spans="17:25">
      <c r="Q4171" s="6">
        <v>4141</v>
      </c>
      <c r="R4171" s="7">
        <v>46808</v>
      </c>
      <c r="S4171" s="210">
        <v>4</v>
      </c>
      <c r="T4171" s="8">
        <v>1.0001111111111112</v>
      </c>
      <c r="U4171" s="98">
        <v>3.9576342856306068</v>
      </c>
      <c r="V4171" s="106">
        <v>36373.008755594405</v>
      </c>
      <c r="W4171" s="10">
        <v>1.0114169806429318</v>
      </c>
      <c r="X4171" s="420"/>
      <c r="Y4171" s="420"/>
    </row>
    <row r="4172" spans="17:25">
      <c r="Q4172" s="6">
        <v>4142</v>
      </c>
      <c r="R4172" s="7">
        <v>46809</v>
      </c>
      <c r="S4172" s="210">
        <v>4</v>
      </c>
      <c r="T4172" s="8">
        <v>1.0001111111111112</v>
      </c>
      <c r="U4172" s="98">
        <v>3.9576779577629617</v>
      </c>
      <c r="V4172" s="106">
        <v>36375.935386475539</v>
      </c>
      <c r="W4172" s="10">
        <v>1.0114443584036126</v>
      </c>
      <c r="X4172" s="420"/>
      <c r="Y4172" s="420"/>
    </row>
    <row r="4173" spans="17:25">
      <c r="Q4173" s="6">
        <v>4143</v>
      </c>
      <c r="R4173" s="7">
        <v>46810</v>
      </c>
      <c r="S4173" s="210">
        <v>4</v>
      </c>
      <c r="T4173" s="8">
        <v>1.0001111111111112</v>
      </c>
      <c r="U4173" s="98">
        <v>3.9577216088312772</v>
      </c>
      <c r="V4173" s="106">
        <v>36378.862252838109</v>
      </c>
      <c r="W4173" s="10">
        <v>1.0114717229553261</v>
      </c>
      <c r="X4173" s="420"/>
      <c r="Y4173" s="420"/>
    </row>
    <row r="4174" spans="17:25">
      <c r="Q4174" s="6">
        <v>4144</v>
      </c>
      <c r="R4174" s="7">
        <v>46811</v>
      </c>
      <c r="S4174" s="210">
        <v>4</v>
      </c>
      <c r="T4174" s="8">
        <v>1.0001111111111112</v>
      </c>
      <c r="U4174" s="98">
        <v>3.9577652388507856</v>
      </c>
      <c r="V4174" s="106">
        <v>36381.789354701068</v>
      </c>
      <c r="W4174" s="10">
        <v>1.0114990743076202</v>
      </c>
      <c r="X4174" s="420"/>
      <c r="Y4174" s="420"/>
    </row>
    <row r="4175" spans="17:25">
      <c r="Q4175" s="6">
        <v>4145</v>
      </c>
      <c r="R4175" s="7">
        <v>46812</v>
      </c>
      <c r="S4175" s="210">
        <v>4</v>
      </c>
      <c r="T4175" s="8">
        <v>1.0001111111111112</v>
      </c>
      <c r="U4175" s="98">
        <v>3.957808847836719</v>
      </c>
      <c r="V4175" s="106">
        <v>36384.716692083355</v>
      </c>
      <c r="W4175" s="10">
        <v>1.0115264124700207</v>
      </c>
      <c r="X4175" s="420"/>
      <c r="Y4175" s="420"/>
    </row>
    <row r="4176" spans="17:25">
      <c r="Q4176" s="6">
        <v>4146</v>
      </c>
      <c r="R4176" s="7">
        <v>46813</v>
      </c>
      <c r="S4176" s="210">
        <v>4</v>
      </c>
      <c r="T4176" s="8">
        <v>1.0001111111111112</v>
      </c>
      <c r="U4176" s="98">
        <v>3.9578524358042655</v>
      </c>
      <c r="V4176" s="106">
        <v>36387.644265003917</v>
      </c>
      <c r="W4176" s="10">
        <v>1.0115537374520978</v>
      </c>
      <c r="X4176" s="420"/>
      <c r="Y4176" s="420"/>
    </row>
    <row r="4177" spans="17:25">
      <c r="Q4177" s="6">
        <v>4147</v>
      </c>
      <c r="R4177" s="7">
        <v>46814</v>
      </c>
      <c r="S4177" s="210">
        <v>4</v>
      </c>
      <c r="T4177" s="8">
        <v>1.0001111111111112</v>
      </c>
      <c r="U4177" s="98">
        <v>3.957896002768635</v>
      </c>
      <c r="V4177" s="106">
        <v>36390.572073481722</v>
      </c>
      <c r="W4177" s="10">
        <v>1.0115810492633548</v>
      </c>
      <c r="X4177" s="420"/>
      <c r="Y4177" s="420"/>
    </row>
    <row r="4178" spans="17:25">
      <c r="Q4178" s="6">
        <v>4148</v>
      </c>
      <c r="R4178" s="7">
        <v>46815</v>
      </c>
      <c r="S4178" s="210">
        <v>4</v>
      </c>
      <c r="T4178" s="8">
        <v>1.0001111111111112</v>
      </c>
      <c r="U4178" s="98">
        <v>3.9579395487449931</v>
      </c>
      <c r="V4178" s="106">
        <v>36393.50011753571</v>
      </c>
      <c r="W4178" s="10">
        <v>1.0116083479133398</v>
      </c>
      <c r="X4178" s="420"/>
      <c r="Y4178" s="420"/>
    </row>
    <row r="4179" spans="17:25">
      <c r="Q4179" s="6">
        <v>4149</v>
      </c>
      <c r="R4179" s="7">
        <v>46816</v>
      </c>
      <c r="S4179" s="210">
        <v>4</v>
      </c>
      <c r="T4179" s="8">
        <v>1.0001111111111112</v>
      </c>
      <c r="U4179" s="98">
        <v>3.9579830737485056</v>
      </c>
      <c r="V4179" s="106">
        <v>36396.428397184842</v>
      </c>
      <c r="W4179" s="10">
        <v>1.011635633411534</v>
      </c>
      <c r="X4179" s="420"/>
      <c r="Y4179" s="420"/>
    </row>
    <row r="4180" spans="17:25">
      <c r="Q4180" s="6">
        <v>4150</v>
      </c>
      <c r="R4180" s="7">
        <v>46817</v>
      </c>
      <c r="S4180" s="210">
        <v>4</v>
      </c>
      <c r="T4180" s="8">
        <v>1.0001111111111112</v>
      </c>
      <c r="U4180" s="98">
        <v>3.958026577794338</v>
      </c>
      <c r="V4180" s="106">
        <v>36399.356912448064</v>
      </c>
      <c r="W4180" s="10">
        <v>1.0116629057674853</v>
      </c>
      <c r="X4180" s="420"/>
      <c r="Y4180" s="420"/>
    </row>
    <row r="4181" spans="17:25">
      <c r="Q4181" s="6">
        <v>4151</v>
      </c>
      <c r="R4181" s="7">
        <v>46818</v>
      </c>
      <c r="S4181" s="210">
        <v>4</v>
      </c>
      <c r="T4181" s="8">
        <v>1.0001111111111112</v>
      </c>
      <c r="U4181" s="98">
        <v>3.9580700608976116</v>
      </c>
      <c r="V4181" s="106">
        <v>36402.285663344352</v>
      </c>
      <c r="W4181" s="10">
        <v>1.0116901649906529</v>
      </c>
      <c r="X4181" s="420"/>
      <c r="Y4181" s="420"/>
    </row>
    <row r="4182" spans="17:25">
      <c r="Q4182" s="6">
        <v>4152</v>
      </c>
      <c r="R4182" s="7">
        <v>46819</v>
      </c>
      <c r="S4182" s="210">
        <v>4</v>
      </c>
      <c r="T4182" s="8">
        <v>1.0001111111111112</v>
      </c>
      <c r="U4182" s="98">
        <v>3.9581135230734255</v>
      </c>
      <c r="V4182" s="106">
        <v>36405.214649892652</v>
      </c>
      <c r="W4182" s="10">
        <v>1.0117174110904958</v>
      </c>
      <c r="X4182" s="420"/>
      <c r="Y4182" s="420"/>
    </row>
    <row r="4183" spans="17:25">
      <c r="Q4183" s="6">
        <v>4153</v>
      </c>
      <c r="R4183" s="7">
        <v>46820</v>
      </c>
      <c r="S4183" s="210">
        <v>4</v>
      </c>
      <c r="T4183" s="8">
        <v>1.0001111111111112</v>
      </c>
      <c r="U4183" s="98">
        <v>3.9581569643369008</v>
      </c>
      <c r="V4183" s="106">
        <v>36408.143872111927</v>
      </c>
      <c r="W4183" s="10">
        <v>1.0117446440765399</v>
      </c>
      <c r="X4183" s="420"/>
      <c r="Y4183" s="420"/>
    </row>
    <row r="4184" spans="17:25">
      <c r="Q4184" s="6">
        <v>4154</v>
      </c>
      <c r="R4184" s="7">
        <v>46821</v>
      </c>
      <c r="S4184" s="210">
        <v>4</v>
      </c>
      <c r="T4184" s="8">
        <v>1.0001111111111112</v>
      </c>
      <c r="U4184" s="98">
        <v>3.9582003847031366</v>
      </c>
      <c r="V4184" s="106">
        <v>36411.073330021143</v>
      </c>
      <c r="W4184" s="10">
        <v>1.0117718639582218</v>
      </c>
      <c r="X4184" s="420"/>
      <c r="Y4184" s="420"/>
    </row>
    <row r="4185" spans="17:25">
      <c r="Q4185" s="6">
        <v>4155</v>
      </c>
      <c r="R4185" s="7">
        <v>46822</v>
      </c>
      <c r="S4185" s="210">
        <v>4</v>
      </c>
      <c r="T4185" s="8">
        <v>1.0001111111111112</v>
      </c>
      <c r="U4185" s="98">
        <v>3.9582437841871876</v>
      </c>
      <c r="V4185" s="106">
        <v>36414.003023639263</v>
      </c>
      <c r="W4185" s="10">
        <v>1.0117990707450009</v>
      </c>
      <c r="X4185" s="420"/>
      <c r="Y4185" s="420"/>
    </row>
    <row r="4186" spans="17:25">
      <c r="Q4186" s="6">
        <v>4156</v>
      </c>
      <c r="R4186" s="7">
        <v>46823</v>
      </c>
      <c r="S4186" s="210">
        <v>4</v>
      </c>
      <c r="T4186" s="8">
        <v>1.0001111111111112</v>
      </c>
      <c r="U4186" s="98">
        <v>3.9582871628041305</v>
      </c>
      <c r="V4186" s="106">
        <v>36416.93295298524</v>
      </c>
      <c r="W4186" s="10">
        <v>1.0118262644463361</v>
      </c>
      <c r="X4186" s="420"/>
      <c r="Y4186" s="420"/>
    </row>
    <row r="4187" spans="17:25">
      <c r="Q4187" s="6">
        <v>4157</v>
      </c>
      <c r="R4187" s="7">
        <v>46824</v>
      </c>
      <c r="S4187" s="210">
        <v>4</v>
      </c>
      <c r="T4187" s="8">
        <v>1.0001111111111112</v>
      </c>
      <c r="U4187" s="98">
        <v>3.9583305205689978</v>
      </c>
      <c r="V4187" s="106">
        <v>36419.863118078058</v>
      </c>
      <c r="W4187" s="10">
        <v>1.0118534450716421</v>
      </c>
      <c r="X4187" s="420"/>
      <c r="Y4187" s="420"/>
    </row>
    <row r="4188" spans="17:25">
      <c r="Q4188" s="6">
        <v>4158</v>
      </c>
      <c r="R4188" s="7">
        <v>46825</v>
      </c>
      <c r="S4188" s="210">
        <v>4</v>
      </c>
      <c r="T4188" s="8">
        <v>1.0001111111111112</v>
      </c>
      <c r="U4188" s="98">
        <v>3.9583738574968441</v>
      </c>
      <c r="V4188" s="106">
        <v>36422.793518936691</v>
      </c>
      <c r="W4188" s="10">
        <v>1.0118806126303781</v>
      </c>
      <c r="X4188" s="420"/>
      <c r="Y4188" s="420"/>
    </row>
    <row r="4189" spans="17:25">
      <c r="Q4189" s="6">
        <v>4159</v>
      </c>
      <c r="R4189" s="7">
        <v>46826</v>
      </c>
      <c r="S4189" s="210">
        <v>4</v>
      </c>
      <c r="T4189" s="8">
        <v>1.0001111111111112</v>
      </c>
      <c r="U4189" s="98">
        <v>3.9584171736026574</v>
      </c>
      <c r="V4189" s="106">
        <v>36425.724155580087</v>
      </c>
      <c r="W4189" s="10">
        <v>1.0119077671319143</v>
      </c>
      <c r="X4189" s="420"/>
      <c r="Y4189" s="420"/>
    </row>
    <row r="4190" spans="17:25">
      <c r="Q4190" s="6">
        <v>4160</v>
      </c>
      <c r="R4190" s="7">
        <v>46827</v>
      </c>
      <c r="S4190" s="210">
        <v>4</v>
      </c>
      <c r="T4190" s="8">
        <v>1.0001111111111112</v>
      </c>
      <c r="U4190" s="98">
        <v>3.9584604689014702</v>
      </c>
      <c r="V4190" s="106">
        <v>36428.655028027228</v>
      </c>
      <c r="W4190" s="10">
        <v>1.0119349085857321</v>
      </c>
      <c r="X4190" s="420"/>
      <c r="Y4190" s="420"/>
    </row>
    <row r="4191" spans="17:25">
      <c r="Q4191" s="6">
        <v>4161</v>
      </c>
      <c r="R4191" s="7">
        <v>46828</v>
      </c>
      <c r="S4191" s="210">
        <v>4</v>
      </c>
      <c r="T4191" s="8">
        <v>1.0001111111111112</v>
      </c>
      <c r="U4191" s="98">
        <v>3.9585037434082482</v>
      </c>
      <c r="V4191" s="106">
        <v>36431.586136297097</v>
      </c>
      <c r="W4191" s="10">
        <v>1.0119620370012017</v>
      </c>
      <c r="X4191" s="420"/>
      <c r="Y4191" s="420"/>
    </row>
    <row r="4192" spans="17:25">
      <c r="Q4192" s="6">
        <v>4162</v>
      </c>
      <c r="R4192" s="7">
        <v>46829</v>
      </c>
      <c r="S4192" s="210">
        <v>4</v>
      </c>
      <c r="T4192" s="8">
        <v>1.0001111111111112</v>
      </c>
      <c r="U4192" s="98">
        <v>3.9585469971379794</v>
      </c>
      <c r="V4192" s="106">
        <v>36434.517480408649</v>
      </c>
      <c r="W4192" s="10">
        <v>1.0119891523876934</v>
      </c>
      <c r="X4192" s="420"/>
      <c r="Y4192" s="420"/>
    </row>
    <row r="4193" spans="17:25">
      <c r="Q4193" s="6">
        <v>4163</v>
      </c>
      <c r="R4193" s="7">
        <v>46830</v>
      </c>
      <c r="S4193" s="210">
        <v>4</v>
      </c>
      <c r="T4193" s="8">
        <v>1.0001111111111112</v>
      </c>
      <c r="U4193" s="98">
        <v>3.9585902301056075</v>
      </c>
      <c r="V4193" s="106">
        <v>36437.449060380874</v>
      </c>
      <c r="W4193" s="10">
        <v>1.0120162547546219</v>
      </c>
      <c r="X4193" s="420"/>
      <c r="Y4193" s="420"/>
    </row>
    <row r="4194" spans="17:25">
      <c r="Q4194" s="6">
        <v>4164</v>
      </c>
      <c r="R4194" s="7">
        <v>46831</v>
      </c>
      <c r="S4194" s="210">
        <v>4</v>
      </c>
      <c r="T4194" s="8">
        <v>1.0001111111111112</v>
      </c>
      <c r="U4194" s="98">
        <v>3.9586334423260983</v>
      </c>
      <c r="V4194" s="106">
        <v>36440.380876232746</v>
      </c>
      <c r="W4194" s="10">
        <v>1.0120433441113352</v>
      </c>
      <c r="X4194" s="420"/>
      <c r="Y4194" s="420"/>
    </row>
    <row r="4195" spans="17:25">
      <c r="Q4195" s="6">
        <v>4165</v>
      </c>
      <c r="R4195" s="7">
        <v>46832</v>
      </c>
      <c r="S4195" s="210">
        <v>4</v>
      </c>
      <c r="T4195" s="8">
        <v>1.0001111111111112</v>
      </c>
      <c r="U4195" s="98">
        <v>3.9586766338143731</v>
      </c>
      <c r="V4195" s="106">
        <v>36443.312927983243</v>
      </c>
      <c r="W4195" s="10">
        <v>1.0120704204672482</v>
      </c>
      <c r="X4195" s="420"/>
      <c r="Y4195" s="420"/>
    </row>
    <row r="4196" spans="17:25">
      <c r="Q4196" s="6">
        <v>4166</v>
      </c>
      <c r="R4196" s="7">
        <v>46833</v>
      </c>
      <c r="S4196" s="210">
        <v>4</v>
      </c>
      <c r="T4196" s="8">
        <v>1.0001111111111112</v>
      </c>
      <c r="U4196" s="98">
        <v>3.9587198045853311</v>
      </c>
      <c r="V4196" s="106">
        <v>36446.245215651354</v>
      </c>
      <c r="W4196" s="10">
        <v>1.0120974838316421</v>
      </c>
      <c r="X4196" s="420"/>
      <c r="Y4196" s="420"/>
    </row>
    <row r="4197" spans="17:25">
      <c r="Q4197" s="6">
        <v>4167</v>
      </c>
      <c r="R4197" s="7">
        <v>46834</v>
      </c>
      <c r="S4197" s="210">
        <v>4</v>
      </c>
      <c r="T4197" s="8">
        <v>1.0001111111111112</v>
      </c>
      <c r="U4197" s="98">
        <v>3.9587629546538938</v>
      </c>
      <c r="V4197" s="106">
        <v>36449.177739256047</v>
      </c>
      <c r="W4197" s="10">
        <v>1.0121245342139096</v>
      </c>
      <c r="X4197" s="420"/>
      <c r="Y4197" s="420"/>
    </row>
    <row r="4198" spans="17:25">
      <c r="Q4198" s="6">
        <v>4168</v>
      </c>
      <c r="R4198" s="7">
        <v>46835</v>
      </c>
      <c r="S4198" s="210">
        <v>4</v>
      </c>
      <c r="T4198" s="8">
        <v>1.0001111111111112</v>
      </c>
      <c r="U4198" s="98">
        <v>3.9588060840349604</v>
      </c>
      <c r="V4198" s="106">
        <v>36452.110498816321</v>
      </c>
      <c r="W4198" s="10">
        <v>1.0121515716233986</v>
      </c>
      <c r="X4198" s="420"/>
      <c r="Y4198" s="420"/>
    </row>
    <row r="4199" spans="17:25">
      <c r="Q4199" s="6">
        <v>4169</v>
      </c>
      <c r="R4199" s="7">
        <v>46836</v>
      </c>
      <c r="S4199" s="210">
        <v>4</v>
      </c>
      <c r="T4199" s="8">
        <v>1.0001111111111112</v>
      </c>
      <c r="U4199" s="98">
        <v>3.9588491927433855</v>
      </c>
      <c r="V4199" s="106">
        <v>36455.04349435115</v>
      </c>
      <c r="W4199" s="10">
        <v>1.0121785960694352</v>
      </c>
      <c r="X4199" s="420"/>
      <c r="Y4199" s="420"/>
    </row>
    <row r="4200" spans="17:25">
      <c r="Q4200" s="6">
        <v>4170</v>
      </c>
      <c r="R4200" s="7">
        <v>46837</v>
      </c>
      <c r="S4200" s="210">
        <v>4</v>
      </c>
      <c r="T4200" s="8">
        <v>1.0001111111111112</v>
      </c>
      <c r="U4200" s="98">
        <v>3.9588922807940241</v>
      </c>
      <c r="V4200" s="106">
        <v>36457.976725879525</v>
      </c>
      <c r="W4200" s="10">
        <v>1.0122056075613006</v>
      </c>
      <c r="X4200" s="420"/>
      <c r="Y4200" s="420"/>
    </row>
    <row r="4201" spans="17:25">
      <c r="Q4201" s="6">
        <v>4171</v>
      </c>
      <c r="R4201" s="7">
        <v>46838</v>
      </c>
      <c r="S4201" s="210">
        <v>4</v>
      </c>
      <c r="T4201" s="8">
        <v>1.0001111111111112</v>
      </c>
      <c r="U4201" s="98">
        <v>3.9589353482017309</v>
      </c>
      <c r="V4201" s="106">
        <v>36460.91019342043</v>
      </c>
      <c r="W4201" s="10">
        <v>1.0122326061083653</v>
      </c>
      <c r="X4201" s="420"/>
      <c r="Y4201" s="420"/>
    </row>
    <row r="4202" spans="17:25">
      <c r="Q4202" s="6">
        <v>4172</v>
      </c>
      <c r="R4202" s="7">
        <v>46839</v>
      </c>
      <c r="S4202" s="210">
        <v>4</v>
      </c>
      <c r="T4202" s="8">
        <v>1.0001111111111112</v>
      </c>
      <c r="U4202" s="98">
        <v>3.9589783949813384</v>
      </c>
      <c r="V4202" s="106">
        <v>36463.843896992861</v>
      </c>
      <c r="W4202" s="10">
        <v>1.0122595917198884</v>
      </c>
      <c r="X4202" s="420"/>
      <c r="Y4202" s="420"/>
    </row>
    <row r="4203" spans="17:25">
      <c r="Q4203" s="6">
        <v>4173</v>
      </c>
      <c r="R4203" s="7">
        <v>46840</v>
      </c>
      <c r="S4203" s="210">
        <v>4</v>
      </c>
      <c r="T4203" s="8">
        <v>1.0001111111111112</v>
      </c>
      <c r="U4203" s="98">
        <v>3.9590214211476793</v>
      </c>
      <c r="V4203" s="106">
        <v>36466.777836615809</v>
      </c>
      <c r="W4203" s="10">
        <v>1.0122865644051959</v>
      </c>
      <c r="X4203" s="420"/>
      <c r="Y4203" s="420"/>
    </row>
    <row r="4204" spans="17:25">
      <c r="Q4204" s="6">
        <v>4174</v>
      </c>
      <c r="R4204" s="7">
        <v>46841</v>
      </c>
      <c r="S4204" s="210">
        <v>4</v>
      </c>
      <c r="T4204" s="8">
        <v>1.0001111111111112</v>
      </c>
      <c r="U4204" s="98">
        <v>3.9590644267155417</v>
      </c>
      <c r="V4204" s="106">
        <v>36469.712012308264</v>
      </c>
      <c r="W4204" s="10">
        <v>1.012313524173547</v>
      </c>
      <c r="X4204" s="420"/>
      <c r="Y4204" s="420"/>
    </row>
    <row r="4205" spans="17:25">
      <c r="Q4205" s="6">
        <v>4175</v>
      </c>
      <c r="R4205" s="7">
        <v>46842</v>
      </c>
      <c r="S4205" s="210">
        <v>4</v>
      </c>
      <c r="T4205" s="8">
        <v>1.0001111111111112</v>
      </c>
      <c r="U4205" s="98">
        <v>3.9591074116996916</v>
      </c>
      <c r="V4205" s="106">
        <v>36472.646424089224</v>
      </c>
      <c r="W4205" s="10">
        <v>1.0123404710342454</v>
      </c>
      <c r="X4205" s="420"/>
      <c r="Y4205" s="420"/>
    </row>
    <row r="4206" spans="17:25">
      <c r="Q4206" s="6">
        <v>4176</v>
      </c>
      <c r="R4206" s="7">
        <v>46843</v>
      </c>
      <c r="S4206" s="210">
        <v>4</v>
      </c>
      <c r="T4206" s="8">
        <v>1.0001111111111112</v>
      </c>
      <c r="U4206" s="98">
        <v>3.9591503761149394</v>
      </c>
      <c r="V4206" s="106">
        <v>36475.581071977685</v>
      </c>
      <c r="W4206" s="10">
        <v>1.0123674049965281</v>
      </c>
      <c r="X4206" s="420"/>
      <c r="Y4206" s="420"/>
    </row>
    <row r="4207" spans="17:25">
      <c r="Q4207" s="6">
        <v>4177</v>
      </c>
      <c r="R4207" s="7">
        <v>46844</v>
      </c>
      <c r="S4207" s="210">
        <v>4</v>
      </c>
      <c r="T4207" s="8">
        <v>1.0001111111111112</v>
      </c>
      <c r="U4207" s="98">
        <v>3.9591933199760287</v>
      </c>
      <c r="V4207" s="106">
        <v>36478.51595599264</v>
      </c>
      <c r="W4207" s="10">
        <v>1.0123943260696766</v>
      </c>
      <c r="X4207" s="420"/>
      <c r="Y4207" s="420"/>
    </row>
    <row r="4208" spans="17:25">
      <c r="Q4208" s="6">
        <v>4178</v>
      </c>
      <c r="R4208" s="7">
        <v>46845</v>
      </c>
      <c r="S4208" s="210">
        <v>4</v>
      </c>
      <c r="T4208" s="8">
        <v>1.0001111111111112</v>
      </c>
      <c r="U4208" s="98">
        <v>3.9592362432977035</v>
      </c>
      <c r="V4208" s="106">
        <v>36481.451076153091</v>
      </c>
      <c r="W4208" s="10">
        <v>1.012421234262928</v>
      </c>
      <c r="X4208" s="420"/>
      <c r="Y4208" s="420"/>
    </row>
    <row r="4209" spans="17:25">
      <c r="Q4209" s="6">
        <v>4179</v>
      </c>
      <c r="R4209" s="7">
        <v>46846</v>
      </c>
      <c r="S4209" s="210">
        <v>4</v>
      </c>
      <c r="T4209" s="8">
        <v>1.0001111111111112</v>
      </c>
      <c r="U4209" s="98">
        <v>3.9592791460947074</v>
      </c>
      <c r="V4209" s="106">
        <v>36484.386432478044</v>
      </c>
      <c r="W4209" s="10">
        <v>1.0124481295855414</v>
      </c>
      <c r="X4209" s="420"/>
      <c r="Y4209" s="420"/>
    </row>
    <row r="4210" spans="17:25">
      <c r="Q4210" s="6">
        <v>4180</v>
      </c>
      <c r="R4210" s="7">
        <v>46847</v>
      </c>
      <c r="S4210" s="210">
        <v>4</v>
      </c>
      <c r="T4210" s="8">
        <v>1.0001111111111112</v>
      </c>
      <c r="U4210" s="98">
        <v>3.9593220283817399</v>
      </c>
      <c r="V4210" s="106">
        <v>36487.322024986483</v>
      </c>
      <c r="W4210" s="10">
        <v>1.0124750120467096</v>
      </c>
      <c r="X4210" s="420"/>
      <c r="Y4210" s="420"/>
    </row>
    <row r="4211" spans="17:25">
      <c r="Q4211" s="6">
        <v>4181</v>
      </c>
      <c r="R4211" s="7">
        <v>46848</v>
      </c>
      <c r="S4211" s="210">
        <v>4</v>
      </c>
      <c r="T4211" s="8">
        <v>1.0001111111111112</v>
      </c>
      <c r="U4211" s="98">
        <v>3.9593648901735223</v>
      </c>
      <c r="V4211" s="106">
        <v>36490.25785369744</v>
      </c>
      <c r="W4211" s="10">
        <v>1.0125018816557141</v>
      </c>
      <c r="X4211" s="420"/>
      <c r="Y4211" s="420"/>
    </row>
    <row r="4212" spans="17:25">
      <c r="Q4212" s="6">
        <v>4182</v>
      </c>
      <c r="R4212" s="7">
        <v>46849</v>
      </c>
      <c r="S4212" s="210">
        <v>4</v>
      </c>
      <c r="T4212" s="8">
        <v>1.0001111111111112</v>
      </c>
      <c r="U4212" s="98">
        <v>3.959407731484732</v>
      </c>
      <c r="V4212" s="106">
        <v>36493.193918629899</v>
      </c>
      <c r="W4212" s="10">
        <v>1.012528738421703</v>
      </c>
      <c r="X4212" s="420"/>
      <c r="Y4212" s="420"/>
    </row>
    <row r="4213" spans="17:25">
      <c r="Q4213" s="6">
        <v>4183</v>
      </c>
      <c r="R4213" s="7">
        <v>46850</v>
      </c>
      <c r="S4213" s="210">
        <v>4</v>
      </c>
      <c r="T4213" s="8">
        <v>1.0001111111111112</v>
      </c>
      <c r="U4213" s="98">
        <v>3.9594505523300461</v>
      </c>
      <c r="V4213" s="106">
        <v>36496.130219802864</v>
      </c>
      <c r="W4213" s="10">
        <v>1.0125555823539356</v>
      </c>
      <c r="X4213" s="420"/>
      <c r="Y4213" s="420"/>
    </row>
    <row r="4214" spans="17:25">
      <c r="Q4214" s="6">
        <v>4184</v>
      </c>
      <c r="R4214" s="7">
        <v>46851</v>
      </c>
      <c r="S4214" s="210">
        <v>4</v>
      </c>
      <c r="T4214" s="8">
        <v>1.0001111111111112</v>
      </c>
      <c r="U4214" s="98">
        <v>3.9594933527241416</v>
      </c>
      <c r="V4214" s="106">
        <v>36499.066757235363</v>
      </c>
      <c r="W4214" s="10">
        <v>1.0125824134615824</v>
      </c>
      <c r="X4214" s="420"/>
      <c r="Y4214" s="420"/>
    </row>
    <row r="4215" spans="17:25">
      <c r="Q4215" s="6">
        <v>4185</v>
      </c>
      <c r="R4215" s="7">
        <v>46852</v>
      </c>
      <c r="S4215" s="210">
        <v>4</v>
      </c>
      <c r="T4215" s="8">
        <v>1.0001111111111112</v>
      </c>
      <c r="U4215" s="98">
        <v>3.9595361326816514</v>
      </c>
      <c r="V4215" s="106">
        <v>36502.003530946386</v>
      </c>
      <c r="W4215" s="10">
        <v>1.0126092317538582</v>
      </c>
      <c r="X4215" s="420"/>
      <c r="Y4215" s="420"/>
    </row>
    <row r="4216" spans="17:25">
      <c r="Q4216" s="6">
        <v>4186</v>
      </c>
      <c r="R4216" s="7">
        <v>46853</v>
      </c>
      <c r="S4216" s="210">
        <v>4</v>
      </c>
      <c r="T4216" s="8">
        <v>1.0001111111111112</v>
      </c>
      <c r="U4216" s="98">
        <v>3.9595788922172082</v>
      </c>
      <c r="V4216" s="106">
        <v>36504.940540954958</v>
      </c>
      <c r="W4216" s="10">
        <v>1.012636037239889</v>
      </c>
      <c r="X4216" s="420"/>
      <c r="Y4216" s="420"/>
    </row>
    <row r="4217" spans="17:25">
      <c r="Q4217" s="6">
        <v>4187</v>
      </c>
      <c r="R4217" s="7">
        <v>46854</v>
      </c>
      <c r="S4217" s="210">
        <v>4</v>
      </c>
      <c r="T4217" s="8">
        <v>1.0001111111111112</v>
      </c>
      <c r="U4217" s="98">
        <v>3.9596216313454446</v>
      </c>
      <c r="V4217" s="106">
        <v>36507.877787280086</v>
      </c>
      <c r="W4217" s="10">
        <v>1.012662829928912</v>
      </c>
      <c r="X4217" s="420"/>
      <c r="Y4217" s="420"/>
    </row>
    <row r="4218" spans="17:25">
      <c r="Q4218" s="6">
        <v>4188</v>
      </c>
      <c r="R4218" s="7">
        <v>46855</v>
      </c>
      <c r="S4218" s="210">
        <v>4</v>
      </c>
      <c r="T4218" s="8">
        <v>1.0001111111111112</v>
      </c>
      <c r="U4218" s="98">
        <v>3.9596643500809492</v>
      </c>
      <c r="V4218" s="106">
        <v>36510.815269940787</v>
      </c>
      <c r="W4218" s="10">
        <v>1.0126896098300309</v>
      </c>
      <c r="X4218" s="420"/>
      <c r="Y4218" s="420"/>
    </row>
    <row r="4219" spans="17:25">
      <c r="Q4219" s="6">
        <v>4189</v>
      </c>
      <c r="R4219" s="7">
        <v>46856</v>
      </c>
      <c r="S4219" s="210">
        <v>4</v>
      </c>
      <c r="T4219" s="8">
        <v>1.0001111111111112</v>
      </c>
      <c r="U4219" s="98">
        <v>3.9597070484383323</v>
      </c>
      <c r="V4219" s="106">
        <v>36513.752988956068</v>
      </c>
      <c r="W4219" s="10">
        <v>1.0127163769524383</v>
      </c>
      <c r="X4219" s="420"/>
      <c r="Y4219" s="420"/>
    </row>
    <row r="4220" spans="17:25">
      <c r="Q4220" s="6">
        <v>4190</v>
      </c>
      <c r="R4220" s="7">
        <v>46857</v>
      </c>
      <c r="S4220" s="210">
        <v>4</v>
      </c>
      <c r="T4220" s="8">
        <v>1.0001111111111112</v>
      </c>
      <c r="U4220" s="98">
        <v>3.9597497264321602</v>
      </c>
      <c r="V4220" s="106">
        <v>36516.690944344962</v>
      </c>
      <c r="W4220" s="10">
        <v>1.0127431313052826</v>
      </c>
      <c r="X4220" s="420"/>
      <c r="Y4220" s="420"/>
    </row>
    <row r="4221" spans="17:25">
      <c r="Q4221" s="6">
        <v>4191</v>
      </c>
      <c r="R4221" s="7">
        <v>46858</v>
      </c>
      <c r="S4221" s="210">
        <v>4</v>
      </c>
      <c r="T4221" s="8">
        <v>1.0001111111111112</v>
      </c>
      <c r="U4221" s="98">
        <v>3.9597923840769989</v>
      </c>
      <c r="V4221" s="106">
        <v>36519.629136126474</v>
      </c>
      <c r="W4221" s="10">
        <v>1.0127698728976453</v>
      </c>
      <c r="X4221" s="420"/>
      <c r="Y4221" s="420"/>
    </row>
    <row r="4222" spans="17:25">
      <c r="Q4222" s="6">
        <v>4192</v>
      </c>
      <c r="R4222" s="7">
        <v>46859</v>
      </c>
      <c r="S4222" s="210">
        <v>4</v>
      </c>
      <c r="T4222" s="8">
        <v>1.0001111111111112</v>
      </c>
      <c r="U4222" s="98">
        <v>3.9598350213873923</v>
      </c>
      <c r="V4222" s="106">
        <v>36522.567564319637</v>
      </c>
      <c r="W4222" s="10">
        <v>1.0127966017386969</v>
      </c>
      <c r="X4222" s="420"/>
      <c r="Y4222" s="420"/>
    </row>
    <row r="4223" spans="17:25">
      <c r="Q4223" s="6">
        <v>4193</v>
      </c>
      <c r="R4223" s="7">
        <v>46860</v>
      </c>
      <c r="S4223" s="210">
        <v>4</v>
      </c>
      <c r="T4223" s="8">
        <v>1.0001111111111112</v>
      </c>
      <c r="U4223" s="98">
        <v>3.9598776383778844</v>
      </c>
      <c r="V4223" s="106">
        <v>36525.506228943465</v>
      </c>
      <c r="W4223" s="10">
        <v>1.0128233178375634</v>
      </c>
      <c r="X4223" s="420"/>
      <c r="Y4223" s="420"/>
    </row>
    <row r="4224" spans="17:25">
      <c r="Q4224" s="6">
        <v>4194</v>
      </c>
      <c r="R4224" s="7">
        <v>46861</v>
      </c>
      <c r="S4224" s="210">
        <v>4</v>
      </c>
      <c r="T4224" s="8">
        <v>1.0001111111111112</v>
      </c>
      <c r="U4224" s="98">
        <v>3.959920235062997</v>
      </c>
      <c r="V4224" s="106">
        <v>36528.445130016975</v>
      </c>
      <c r="W4224" s="10">
        <v>1.0128500212033265</v>
      </c>
      <c r="X4224" s="420"/>
      <c r="Y4224" s="420"/>
    </row>
    <row r="4225" spans="17:25">
      <c r="Q4225" s="6">
        <v>4195</v>
      </c>
      <c r="R4225" s="7">
        <v>46862</v>
      </c>
      <c r="S4225" s="210">
        <v>4</v>
      </c>
      <c r="T4225" s="8">
        <v>1.0001111111111112</v>
      </c>
      <c r="U4225" s="98">
        <v>3.9599628114572294</v>
      </c>
      <c r="V4225" s="106">
        <v>36531.38426755921</v>
      </c>
      <c r="W4225" s="10">
        <v>1.0128767118450899</v>
      </c>
      <c r="X4225" s="420"/>
      <c r="Y4225" s="420"/>
    </row>
    <row r="4226" spans="17:25">
      <c r="Q4226" s="6">
        <v>4196</v>
      </c>
      <c r="R4226" s="7">
        <v>46863</v>
      </c>
      <c r="S4226" s="210">
        <v>4</v>
      </c>
      <c r="T4226" s="8">
        <v>1.0001111111111112</v>
      </c>
      <c r="U4226" s="98">
        <v>3.9600053675751035</v>
      </c>
      <c r="V4226" s="106">
        <v>36534.323641589173</v>
      </c>
      <c r="W4226" s="10">
        <v>1.0129033897719797</v>
      </c>
      <c r="X4226" s="420"/>
      <c r="Y4226" s="420"/>
    </row>
    <row r="4227" spans="17:25">
      <c r="Q4227" s="6">
        <v>4197</v>
      </c>
      <c r="R4227" s="7">
        <v>46864</v>
      </c>
      <c r="S4227" s="210">
        <v>4</v>
      </c>
      <c r="T4227" s="8">
        <v>1.0001111111111112</v>
      </c>
      <c r="U4227" s="98">
        <v>3.9600479034310743</v>
      </c>
      <c r="V4227" s="106">
        <v>36537.263252125915</v>
      </c>
      <c r="W4227" s="10">
        <v>1.0129300549930331</v>
      </c>
      <c r="X4227" s="420"/>
      <c r="Y4227" s="420"/>
    </row>
    <row r="4228" spans="17:25">
      <c r="Q4228" s="6">
        <v>4198</v>
      </c>
      <c r="R4228" s="7">
        <v>46865</v>
      </c>
      <c r="S4228" s="210">
        <v>4</v>
      </c>
      <c r="T4228" s="8">
        <v>1.0001111111111112</v>
      </c>
      <c r="U4228" s="98">
        <v>3.9600904190396191</v>
      </c>
      <c r="V4228" s="106">
        <v>36540.20309918846</v>
      </c>
      <c r="W4228" s="10">
        <v>1.012956707517354</v>
      </c>
      <c r="X4228" s="420"/>
      <c r="Y4228" s="420"/>
    </row>
    <row r="4229" spans="17:25">
      <c r="Q4229" s="6">
        <v>4199</v>
      </c>
      <c r="R4229" s="7">
        <v>46866</v>
      </c>
      <c r="S4229" s="210">
        <v>4</v>
      </c>
      <c r="T4229" s="8">
        <v>1.0001111111111112</v>
      </c>
      <c r="U4229" s="98">
        <v>3.9601329144151931</v>
      </c>
      <c r="V4229" s="106">
        <v>36543.143182795829</v>
      </c>
      <c r="W4229" s="10">
        <v>1.012983347354024</v>
      </c>
      <c r="X4229" s="420"/>
      <c r="Y4229" s="420"/>
    </row>
    <row r="4230" spans="17:25">
      <c r="Q4230" s="6">
        <v>4200</v>
      </c>
      <c r="R4230" s="7">
        <v>46867</v>
      </c>
      <c r="S4230" s="210">
        <v>4</v>
      </c>
      <c r="T4230" s="8">
        <v>1.0001111111111112</v>
      </c>
      <c r="U4230" s="98">
        <v>3.9601753895722291</v>
      </c>
      <c r="V4230" s="106">
        <v>36546.083502967063</v>
      </c>
      <c r="W4230" s="10">
        <v>1.0130099745120358</v>
      </c>
      <c r="X4230" s="420"/>
      <c r="Y4230" s="420"/>
    </row>
    <row r="4231" spans="17:25">
      <c r="Q4231" s="6">
        <v>4201</v>
      </c>
      <c r="R4231" s="7">
        <v>46868</v>
      </c>
      <c r="S4231" s="210">
        <v>4</v>
      </c>
      <c r="T4231" s="8">
        <v>1.0001111111111112</v>
      </c>
      <c r="U4231" s="98">
        <v>3.9602178445251601</v>
      </c>
      <c r="V4231" s="106">
        <v>36549.024059721196</v>
      </c>
      <c r="W4231" s="10">
        <v>1.0130365890005155</v>
      </c>
      <c r="X4231" s="420"/>
      <c r="Y4231" s="420"/>
    </row>
    <row r="4232" spans="17:25">
      <c r="Q4232" s="6">
        <v>4202</v>
      </c>
      <c r="R4232" s="7">
        <v>46869</v>
      </c>
      <c r="S4232" s="210">
        <v>4</v>
      </c>
      <c r="T4232" s="8">
        <v>1.0001111111111112</v>
      </c>
      <c r="U4232" s="98">
        <v>3.9602602792883967</v>
      </c>
      <c r="V4232" s="106">
        <v>36551.964853077261</v>
      </c>
      <c r="W4232" s="10">
        <v>1.0130631908284782</v>
      </c>
      <c r="X4232" s="420"/>
      <c r="Y4232" s="420"/>
    </row>
    <row r="4233" spans="17:25">
      <c r="Q4233" s="6">
        <v>4203</v>
      </c>
      <c r="R4233" s="7">
        <v>46870</v>
      </c>
      <c r="S4233" s="210">
        <v>4</v>
      </c>
      <c r="T4233" s="8">
        <v>1.0001111111111112</v>
      </c>
      <c r="U4233" s="98">
        <v>3.9603026938763275</v>
      </c>
      <c r="V4233" s="106">
        <v>36554.9058830543</v>
      </c>
      <c r="W4233" s="10">
        <v>1.0130897800049166</v>
      </c>
      <c r="X4233" s="420"/>
      <c r="Y4233" s="420"/>
    </row>
    <row r="4234" spans="17:25">
      <c r="Q4234" s="6">
        <v>4204</v>
      </c>
      <c r="R4234" s="7">
        <v>46871</v>
      </c>
      <c r="S4234" s="210">
        <v>4</v>
      </c>
      <c r="T4234" s="8">
        <v>1.0001111111111112</v>
      </c>
      <c r="U4234" s="98">
        <v>3.9603450883033409</v>
      </c>
      <c r="V4234" s="106">
        <v>36557.847149671346</v>
      </c>
      <c r="W4234" s="10">
        <v>1.0131163565388901</v>
      </c>
      <c r="X4234" s="420"/>
      <c r="Y4234" s="420"/>
    </row>
    <row r="4235" spans="17:25">
      <c r="Q4235" s="6">
        <v>4205</v>
      </c>
      <c r="R4235" s="7">
        <v>46872</v>
      </c>
      <c r="S4235" s="210">
        <v>4</v>
      </c>
      <c r="T4235" s="8">
        <v>1.0001111111111112</v>
      </c>
      <c r="U4235" s="98">
        <v>3.9603874625838031</v>
      </c>
      <c r="V4235" s="106">
        <v>36560.788652947442</v>
      </c>
      <c r="W4235" s="10">
        <v>1.0131429204393916</v>
      </c>
      <c r="X4235" s="420"/>
      <c r="Y4235" s="420"/>
    </row>
    <row r="4236" spans="17:25">
      <c r="Q4236" s="6">
        <v>4206</v>
      </c>
      <c r="R4236" s="7">
        <v>46873</v>
      </c>
      <c r="S4236" s="210">
        <v>4</v>
      </c>
      <c r="T4236" s="8">
        <v>1.0001111111111112</v>
      </c>
      <c r="U4236" s="98">
        <v>3.9604298167320806</v>
      </c>
      <c r="V4236" s="106">
        <v>36563.730392901634</v>
      </c>
      <c r="W4236" s="10">
        <v>1.013169471715436</v>
      </c>
      <c r="X4236" s="420"/>
      <c r="Y4236" s="420"/>
    </row>
    <row r="4237" spans="17:25">
      <c r="Q4237" s="6">
        <v>4207</v>
      </c>
      <c r="R4237" s="7">
        <v>46874</v>
      </c>
      <c r="S4237" s="210">
        <v>4</v>
      </c>
      <c r="T4237" s="8">
        <v>1.0001111111111112</v>
      </c>
      <c r="U4237" s="98">
        <v>3.9604721507625396</v>
      </c>
      <c r="V4237" s="106">
        <v>36566.672369552958</v>
      </c>
      <c r="W4237" s="10">
        <v>1.0131960103760607</v>
      </c>
      <c r="X4237" s="420"/>
      <c r="Y4237" s="420"/>
    </row>
    <row r="4238" spans="17:25">
      <c r="Q4238" s="6">
        <v>4208</v>
      </c>
      <c r="R4238" s="7">
        <v>46875</v>
      </c>
      <c r="S4238" s="210">
        <v>4</v>
      </c>
      <c r="T4238" s="8">
        <v>1.0001111111111112</v>
      </c>
      <c r="U4238" s="98">
        <v>3.9605144646894797</v>
      </c>
      <c r="V4238" s="106">
        <v>36569.614582920462</v>
      </c>
      <c r="W4238" s="10">
        <v>1.0132225364302139</v>
      </c>
      <c r="X4238" s="420"/>
      <c r="Y4238" s="420"/>
    </row>
    <row r="4239" spans="17:25">
      <c r="Q4239" s="6">
        <v>4209</v>
      </c>
      <c r="R4239" s="7">
        <v>46876</v>
      </c>
      <c r="S4239" s="210">
        <v>4</v>
      </c>
      <c r="T4239" s="8">
        <v>1.0001111111111112</v>
      </c>
      <c r="U4239" s="98">
        <v>3.9605567585272228</v>
      </c>
      <c r="V4239" s="106">
        <v>36572.5570330232</v>
      </c>
      <c r="W4239" s="10">
        <v>1.0132490498868663</v>
      </c>
      <c r="X4239" s="420"/>
      <c r="Y4239" s="420"/>
    </row>
    <row r="4240" spans="17:25">
      <c r="Q4240" s="6">
        <v>4210</v>
      </c>
      <c r="R4240" s="7">
        <v>46877</v>
      </c>
      <c r="S4240" s="210">
        <v>4</v>
      </c>
      <c r="T4240" s="8">
        <v>1.0001111111111112</v>
      </c>
      <c r="U4240" s="98">
        <v>3.9605990322900686</v>
      </c>
      <c r="V4240" s="106">
        <v>36575.499719880208</v>
      </c>
      <c r="W4240" s="10">
        <v>1.0132755507550106</v>
      </c>
      <c r="X4240" s="420"/>
      <c r="Y4240" s="420"/>
    </row>
    <row r="4241" spans="17:25">
      <c r="Q4241" s="6">
        <v>4211</v>
      </c>
      <c r="R4241" s="7">
        <v>46878</v>
      </c>
      <c r="S4241" s="210">
        <v>4</v>
      </c>
      <c r="T4241" s="8">
        <v>1.0001111111111112</v>
      </c>
      <c r="U4241" s="98">
        <v>3.9606412859923168</v>
      </c>
      <c r="V4241" s="106">
        <v>36578.442643510542</v>
      </c>
      <c r="W4241" s="10">
        <v>1.0133020390435954</v>
      </c>
      <c r="X4241" s="420"/>
      <c r="Y4241" s="420"/>
    </row>
    <row r="4242" spans="17:25">
      <c r="Q4242" s="6">
        <v>4212</v>
      </c>
      <c r="R4242" s="7">
        <v>46879</v>
      </c>
      <c r="S4242" s="210">
        <v>4</v>
      </c>
      <c r="T4242" s="8">
        <v>1.0001111111111112</v>
      </c>
      <c r="U4242" s="98">
        <v>3.9606835196482448</v>
      </c>
      <c r="V4242" s="106">
        <v>36581.385803933248</v>
      </c>
      <c r="W4242" s="10">
        <v>1.0133285147616133</v>
      </c>
      <c r="X4242" s="420"/>
      <c r="Y4242" s="420"/>
    </row>
    <row r="4243" spans="17:25">
      <c r="Q4243" s="6">
        <v>4213</v>
      </c>
      <c r="R4243" s="7">
        <v>46880</v>
      </c>
      <c r="S4243" s="210">
        <v>4</v>
      </c>
      <c r="T4243" s="8">
        <v>1.0001111111111112</v>
      </c>
      <c r="U4243" s="98">
        <v>3.960725733272108</v>
      </c>
      <c r="V4243" s="106">
        <v>36584.329201167391</v>
      </c>
      <c r="W4243" s="10">
        <v>1.0133549779179685</v>
      </c>
      <c r="X4243" s="420"/>
      <c r="Y4243" s="420"/>
    </row>
    <row r="4244" spans="17:25">
      <c r="Q4244" s="6">
        <v>4214</v>
      </c>
      <c r="R4244" s="7">
        <v>46881</v>
      </c>
      <c r="S4244" s="210">
        <v>4</v>
      </c>
      <c r="T4244" s="8">
        <v>1.0001111111111112</v>
      </c>
      <c r="U4244" s="98">
        <v>3.9607679268781615</v>
      </c>
      <c r="V4244" s="106">
        <v>36587.272835232012</v>
      </c>
      <c r="W4244" s="10">
        <v>1.0133814285216314</v>
      </c>
      <c r="X4244" s="420"/>
      <c r="Y4244" s="420"/>
    </row>
    <row r="4245" spans="17:25">
      <c r="Q4245" s="6">
        <v>4215</v>
      </c>
      <c r="R4245" s="7">
        <v>46882</v>
      </c>
      <c r="S4245" s="210">
        <v>4</v>
      </c>
      <c r="T4245" s="8">
        <v>1.0001111111111112</v>
      </c>
      <c r="U4245" s="98">
        <v>3.9608101004806384</v>
      </c>
      <c r="V4245" s="106">
        <v>36590.216706146181</v>
      </c>
      <c r="W4245" s="10">
        <v>1.0134078665814839</v>
      </c>
      <c r="X4245" s="420"/>
      <c r="Y4245" s="420"/>
    </row>
    <row r="4246" spans="17:25">
      <c r="Q4246" s="6">
        <v>4216</v>
      </c>
      <c r="R4246" s="7">
        <v>46883</v>
      </c>
      <c r="S4246" s="210">
        <v>4</v>
      </c>
      <c r="T4246" s="8">
        <v>1.0001111111111112</v>
      </c>
      <c r="U4246" s="98">
        <v>3.9608522540937496</v>
      </c>
      <c r="V4246" s="106">
        <v>36593.160813928938</v>
      </c>
      <c r="W4246" s="10">
        <v>1.0134342921064965</v>
      </c>
      <c r="X4246" s="420"/>
      <c r="Y4246" s="420"/>
    </row>
    <row r="4247" spans="17:25">
      <c r="Q4247" s="6">
        <v>4217</v>
      </c>
      <c r="R4247" s="7">
        <v>46884</v>
      </c>
      <c r="S4247" s="210">
        <v>4</v>
      </c>
      <c r="T4247" s="8">
        <v>1.0001111111111112</v>
      </c>
      <c r="U4247" s="98">
        <v>3.9608943877317282</v>
      </c>
      <c r="V4247" s="106">
        <v>36596.105158599355</v>
      </c>
      <c r="W4247" s="10">
        <v>1.0134607051055733</v>
      </c>
      <c r="X4247" s="420"/>
      <c r="Y4247" s="420"/>
    </row>
    <row r="4248" spans="17:25">
      <c r="Q4248" s="6">
        <v>4218</v>
      </c>
      <c r="R4248" s="7">
        <v>46885</v>
      </c>
      <c r="S4248" s="210">
        <v>4</v>
      </c>
      <c r="T4248" s="8">
        <v>1.0001111111111112</v>
      </c>
      <c r="U4248" s="98">
        <v>3.9609365014087405</v>
      </c>
      <c r="V4248" s="106">
        <v>36599.049740176473</v>
      </c>
      <c r="W4248" s="10">
        <v>1.013487105587596</v>
      </c>
      <c r="X4248" s="420"/>
      <c r="Y4248" s="420"/>
    </row>
    <row r="4249" spans="17:25">
      <c r="Q4249" s="6">
        <v>4219</v>
      </c>
      <c r="R4249" s="7">
        <v>46886</v>
      </c>
      <c r="S4249" s="210">
        <v>4</v>
      </c>
      <c r="T4249" s="8">
        <v>1.0001111111111112</v>
      </c>
      <c r="U4249" s="98">
        <v>3.9609785951389753</v>
      </c>
      <c r="V4249" s="106">
        <v>36601.994558679384</v>
      </c>
      <c r="W4249" s="10">
        <v>1.0135134935614465</v>
      </c>
      <c r="X4249" s="420"/>
      <c r="Y4249" s="420"/>
    </row>
    <row r="4250" spans="17:25">
      <c r="Q4250" s="6">
        <v>4220</v>
      </c>
      <c r="R4250" s="7">
        <v>46887</v>
      </c>
      <c r="S4250" s="210">
        <v>4</v>
      </c>
      <c r="T4250" s="8">
        <v>1.0001111111111112</v>
      </c>
      <c r="U4250" s="98">
        <v>3.9610206689366212</v>
      </c>
      <c r="V4250" s="106">
        <v>36604.939614127128</v>
      </c>
      <c r="W4250" s="10">
        <v>1.0135398690360731</v>
      </c>
      <c r="X4250" s="420"/>
      <c r="Y4250" s="420"/>
    </row>
    <row r="4251" spans="17:25">
      <c r="Q4251" s="6">
        <v>4221</v>
      </c>
      <c r="R4251" s="7">
        <v>46888</v>
      </c>
      <c r="S4251" s="210">
        <v>4</v>
      </c>
      <c r="T4251" s="8">
        <v>1.0001111111111112</v>
      </c>
      <c r="U4251" s="98">
        <v>3.9610627228158002</v>
      </c>
      <c r="V4251" s="106">
        <v>36607.884906538791</v>
      </c>
      <c r="W4251" s="10">
        <v>1.0135662320202909</v>
      </c>
      <c r="X4251" s="420"/>
      <c r="Y4251" s="420"/>
    </row>
    <row r="4252" spans="17:25">
      <c r="Q4252" s="6">
        <v>4222</v>
      </c>
      <c r="R4252" s="7">
        <v>46889</v>
      </c>
      <c r="S4252" s="210">
        <v>4</v>
      </c>
      <c r="T4252" s="8">
        <v>1.0001111111111112</v>
      </c>
      <c r="U4252" s="98">
        <v>3.9611047567906787</v>
      </c>
      <c r="V4252" s="106">
        <v>36610.830435933414</v>
      </c>
      <c r="W4252" s="10">
        <v>1.0135925825230041</v>
      </c>
      <c r="X4252" s="420"/>
      <c r="Y4252" s="420"/>
    </row>
    <row r="4253" spans="17:25">
      <c r="Q4253" s="6">
        <v>4223</v>
      </c>
      <c r="R4253" s="7">
        <v>46890</v>
      </c>
      <c r="S4253" s="210">
        <v>4</v>
      </c>
      <c r="T4253" s="8">
        <v>1.0001111111111112</v>
      </c>
      <c r="U4253" s="98">
        <v>3.9611467708753789</v>
      </c>
      <c r="V4253" s="106">
        <v>36613.776202330075</v>
      </c>
      <c r="W4253" s="10">
        <v>1.0136189205530721</v>
      </c>
      <c r="X4253" s="420"/>
      <c r="Y4253" s="420"/>
    </row>
    <row r="4254" spans="17:25">
      <c r="Q4254" s="6">
        <v>4224</v>
      </c>
      <c r="R4254" s="7">
        <v>46891</v>
      </c>
      <c r="S4254" s="210">
        <v>4</v>
      </c>
      <c r="T4254" s="8">
        <v>1.0001111111111112</v>
      </c>
      <c r="U4254" s="98">
        <v>3.9611887650840227</v>
      </c>
      <c r="V4254" s="106">
        <v>36616.72220574785</v>
      </c>
      <c r="W4254" s="10">
        <v>1.0136452461193324</v>
      </c>
      <c r="X4254" s="420"/>
      <c r="Y4254" s="420"/>
    </row>
    <row r="4255" spans="17:25">
      <c r="Q4255" s="6">
        <v>4225</v>
      </c>
      <c r="R4255" s="7">
        <v>46892</v>
      </c>
      <c r="S4255" s="210">
        <v>4</v>
      </c>
      <c r="T4255" s="8">
        <v>1.0001111111111112</v>
      </c>
      <c r="U4255" s="98">
        <v>3.9612307394306878</v>
      </c>
      <c r="V4255" s="106">
        <v>36619.668446205811</v>
      </c>
      <c r="W4255" s="10">
        <v>1.0136715592306444</v>
      </c>
      <c r="X4255" s="420"/>
      <c r="Y4255" s="420"/>
    </row>
    <row r="4256" spans="17:25">
      <c r="Q4256" s="6">
        <v>4226</v>
      </c>
      <c r="R4256" s="7">
        <v>46893</v>
      </c>
      <c r="S4256" s="210">
        <v>4</v>
      </c>
      <c r="T4256" s="8">
        <v>1.0001111111111112</v>
      </c>
      <c r="U4256" s="98">
        <v>3.961272693929474</v>
      </c>
      <c r="V4256" s="106">
        <v>36622.61492372302</v>
      </c>
      <c r="W4256" s="10">
        <v>1.0136978598958457</v>
      </c>
      <c r="X4256" s="420"/>
      <c r="Y4256" s="420"/>
    </row>
    <row r="4257" spans="17:25">
      <c r="Q4257" s="6">
        <v>4227</v>
      </c>
      <c r="R4257" s="7">
        <v>46894</v>
      </c>
      <c r="S4257" s="210">
        <v>4</v>
      </c>
      <c r="T4257" s="8">
        <v>1.0001111111111112</v>
      </c>
      <c r="U4257" s="98">
        <v>3.9613146285944589</v>
      </c>
      <c r="V4257" s="106">
        <v>36625.561638318555</v>
      </c>
      <c r="W4257" s="10">
        <v>1.0137241481237735</v>
      </c>
      <c r="X4257" s="420"/>
      <c r="Y4257" s="420"/>
    </row>
    <row r="4258" spans="17:25">
      <c r="Q4258" s="6">
        <v>4228</v>
      </c>
      <c r="R4258" s="7">
        <v>46895</v>
      </c>
      <c r="S4258" s="210">
        <v>4</v>
      </c>
      <c r="T4258" s="8">
        <v>1.0001111111111112</v>
      </c>
      <c r="U4258" s="98">
        <v>3.9613565434397202</v>
      </c>
      <c r="V4258" s="106">
        <v>36628.508590011501</v>
      </c>
      <c r="W4258" s="10">
        <v>1.0137504239232209</v>
      </c>
      <c r="X4258" s="420"/>
      <c r="Y4258" s="420"/>
    </row>
    <row r="4259" spans="17:25">
      <c r="Q4259" s="6">
        <v>4229</v>
      </c>
      <c r="R4259" s="7">
        <v>46896</v>
      </c>
      <c r="S4259" s="210">
        <v>4</v>
      </c>
      <c r="T4259" s="8">
        <v>1.0001111111111112</v>
      </c>
      <c r="U4259" s="98">
        <v>3.9613984384792911</v>
      </c>
      <c r="V4259" s="106">
        <v>36631.45577882092</v>
      </c>
      <c r="W4259" s="10">
        <v>1.0137766873030474</v>
      </c>
      <c r="X4259" s="420"/>
      <c r="Y4259" s="420"/>
    </row>
    <row r="4260" spans="17:25">
      <c r="Q4260" s="6">
        <v>4230</v>
      </c>
      <c r="R4260" s="7">
        <v>46897</v>
      </c>
      <c r="S4260" s="210">
        <v>4</v>
      </c>
      <c r="T4260" s="8">
        <v>1.0001111111111112</v>
      </c>
      <c r="U4260" s="98">
        <v>3.9614403137272047</v>
      </c>
      <c r="V4260" s="106">
        <v>36634.403204765898</v>
      </c>
      <c r="W4260" s="10">
        <v>1.0138029382720015</v>
      </c>
      <c r="X4260" s="420"/>
      <c r="Y4260" s="420"/>
    </row>
    <row r="4261" spans="17:25">
      <c r="Q4261" s="6">
        <v>4231</v>
      </c>
      <c r="R4261" s="7">
        <v>46898</v>
      </c>
      <c r="S4261" s="210">
        <v>4</v>
      </c>
      <c r="T4261" s="8">
        <v>1.0001111111111112</v>
      </c>
      <c r="U4261" s="98">
        <v>3.9614821691974722</v>
      </c>
      <c r="V4261" s="106">
        <v>36637.35086786552</v>
      </c>
      <c r="W4261" s="10">
        <v>1.0138291768388985</v>
      </c>
      <c r="X4261" s="420"/>
      <c r="Y4261" s="420"/>
    </row>
    <row r="4262" spans="17:25">
      <c r="Q4262" s="6">
        <v>4232</v>
      </c>
      <c r="R4262" s="7">
        <v>46899</v>
      </c>
      <c r="S4262" s="210">
        <v>4</v>
      </c>
      <c r="T4262" s="8">
        <v>1.0001111111111112</v>
      </c>
      <c r="U4262" s="98">
        <v>3.9615240049041045</v>
      </c>
      <c r="V4262" s="106">
        <v>36640.298768138869</v>
      </c>
      <c r="W4262" s="10">
        <v>1.0138554030125313</v>
      </c>
      <c r="X4262" s="420"/>
      <c r="Y4262" s="420"/>
    </row>
    <row r="4263" spans="17:25">
      <c r="Q4263" s="6">
        <v>4233</v>
      </c>
      <c r="R4263" s="7">
        <v>46900</v>
      </c>
      <c r="S4263" s="210">
        <v>4</v>
      </c>
      <c r="T4263" s="8">
        <v>1.0001111111111112</v>
      </c>
      <c r="U4263" s="98">
        <v>3.9615658208611126</v>
      </c>
      <c r="V4263" s="106">
        <v>36643.246905605018</v>
      </c>
      <c r="W4263" s="10">
        <v>1.0138816168016707</v>
      </c>
      <c r="X4263" s="420"/>
      <c r="Y4263" s="420"/>
    </row>
    <row r="4264" spans="17:25">
      <c r="Q4264" s="6">
        <v>4234</v>
      </c>
      <c r="R4264" s="7">
        <v>46901</v>
      </c>
      <c r="S4264" s="210">
        <v>4</v>
      </c>
      <c r="T4264" s="8">
        <v>1.0001111111111112</v>
      </c>
      <c r="U4264" s="98">
        <v>3.9616076170824632</v>
      </c>
      <c r="V4264" s="106">
        <v>36646.195280283049</v>
      </c>
      <c r="W4264" s="10">
        <v>1.0139078182151096</v>
      </c>
      <c r="X4264" s="420"/>
      <c r="Y4264" s="420"/>
    </row>
    <row r="4265" spans="17:25">
      <c r="Q4265" s="6">
        <v>4235</v>
      </c>
      <c r="R4265" s="7">
        <v>46902</v>
      </c>
      <c r="S4265" s="210">
        <v>4</v>
      </c>
      <c r="T4265" s="8">
        <v>1.0001111111111112</v>
      </c>
      <c r="U4265" s="98">
        <v>3.9616493935821229</v>
      </c>
      <c r="V4265" s="106">
        <v>36649.143892192071</v>
      </c>
      <c r="W4265" s="10">
        <v>1.0139340072615521</v>
      </c>
      <c r="X4265" s="420"/>
      <c r="Y4265" s="420"/>
    </row>
    <row r="4266" spans="17:25">
      <c r="Q4266" s="6">
        <v>4236</v>
      </c>
      <c r="R4266" s="7">
        <v>46903</v>
      </c>
      <c r="S4266" s="210">
        <v>4</v>
      </c>
      <c r="T4266" s="8">
        <v>1.0001111111111112</v>
      </c>
      <c r="U4266" s="98">
        <v>3.9616911503740582</v>
      </c>
      <c r="V4266" s="106">
        <v>36652.092741351145</v>
      </c>
      <c r="W4266" s="10">
        <v>1.0139601839498136</v>
      </c>
      <c r="X4266" s="420"/>
      <c r="Y4266" s="420"/>
    </row>
    <row r="4267" spans="17:25">
      <c r="Q4267" s="6">
        <v>4237</v>
      </c>
      <c r="R4267" s="7">
        <v>46904</v>
      </c>
      <c r="S4267" s="210">
        <v>4</v>
      </c>
      <c r="T4267" s="8">
        <v>1.0001111111111112</v>
      </c>
      <c r="U4267" s="98">
        <v>3.9617328874722135</v>
      </c>
      <c r="V4267" s="106">
        <v>36655.04182777938</v>
      </c>
      <c r="W4267" s="10">
        <v>1.0139863482886202</v>
      </c>
      <c r="X4267" s="420"/>
      <c r="Y4267" s="420"/>
    </row>
    <row r="4268" spans="17:25">
      <c r="Q4268" s="6">
        <v>4238</v>
      </c>
      <c r="R4268" s="7">
        <v>46905</v>
      </c>
      <c r="S4268" s="210">
        <v>4</v>
      </c>
      <c r="T4268" s="8">
        <v>1.0001111111111112</v>
      </c>
      <c r="U4268" s="98">
        <v>3.9617746048905111</v>
      </c>
      <c r="V4268" s="106">
        <v>36657.991151495859</v>
      </c>
      <c r="W4268" s="10">
        <v>1.0140125002866984</v>
      </c>
      <c r="X4268" s="420"/>
      <c r="Y4268" s="420"/>
    </row>
    <row r="4269" spans="17:25">
      <c r="Q4269" s="6">
        <v>4239</v>
      </c>
      <c r="R4269" s="7">
        <v>46906</v>
      </c>
      <c r="S4269" s="210">
        <v>4</v>
      </c>
      <c r="T4269" s="8">
        <v>1.0001111111111112</v>
      </c>
      <c r="U4269" s="98">
        <v>3.9618163026428732</v>
      </c>
      <c r="V4269" s="106">
        <v>36660.940712519674</v>
      </c>
      <c r="W4269" s="10">
        <v>1.0140386399527967</v>
      </c>
      <c r="X4269" s="420"/>
      <c r="Y4269" s="420"/>
    </row>
    <row r="4270" spans="17:25">
      <c r="Q4270" s="6">
        <v>4240</v>
      </c>
      <c r="R4270" s="7">
        <v>46907</v>
      </c>
      <c r="S4270" s="210">
        <v>4</v>
      </c>
      <c r="T4270" s="8">
        <v>1.0001111111111112</v>
      </c>
      <c r="U4270" s="98">
        <v>3.9618579807431997</v>
      </c>
      <c r="V4270" s="106">
        <v>36663.890510869918</v>
      </c>
      <c r="W4270" s="10">
        <v>1.0140647672956193</v>
      </c>
      <c r="X4270" s="420"/>
      <c r="Y4270" s="420"/>
    </row>
    <row r="4271" spans="17:25">
      <c r="Q4271" s="6">
        <v>4241</v>
      </c>
      <c r="R4271" s="7">
        <v>46908</v>
      </c>
      <c r="S4271" s="210">
        <v>4</v>
      </c>
      <c r="T4271" s="8">
        <v>1.0001111111111112</v>
      </c>
      <c r="U4271" s="98">
        <v>3.9618996392053685</v>
      </c>
      <c r="V4271" s="106">
        <v>36666.840546565698</v>
      </c>
      <c r="W4271" s="10">
        <v>1.0140908823238703</v>
      </c>
      <c r="X4271" s="420"/>
      <c r="Y4271" s="420"/>
    </row>
    <row r="4272" spans="17:25">
      <c r="Q4272" s="6">
        <v>4242</v>
      </c>
      <c r="R4272" s="7">
        <v>46909</v>
      </c>
      <c r="S4272" s="210">
        <v>4</v>
      </c>
      <c r="T4272" s="8">
        <v>1.0001111111111112</v>
      </c>
      <c r="U4272" s="98">
        <v>3.9619412780432572</v>
      </c>
      <c r="V4272" s="106">
        <v>36669.790819626098</v>
      </c>
      <c r="W4272" s="10">
        <v>1.0141169850462761</v>
      </c>
      <c r="X4272" s="420"/>
      <c r="Y4272" s="420"/>
    </row>
    <row r="4273" spans="17:25">
      <c r="Q4273" s="6">
        <v>4243</v>
      </c>
      <c r="R4273" s="7">
        <v>46910</v>
      </c>
      <c r="S4273" s="210">
        <v>4</v>
      </c>
      <c r="T4273" s="8">
        <v>1.0001111111111112</v>
      </c>
      <c r="U4273" s="98">
        <v>3.9619828972707438</v>
      </c>
      <c r="V4273" s="106">
        <v>36672.741330070217</v>
      </c>
      <c r="W4273" s="10">
        <v>1.0141430754715186</v>
      </c>
      <c r="X4273" s="420"/>
      <c r="Y4273" s="420"/>
    </row>
    <row r="4274" spans="17:25">
      <c r="Q4274" s="6">
        <v>4244</v>
      </c>
      <c r="R4274" s="7">
        <v>46911</v>
      </c>
      <c r="S4274" s="210">
        <v>4</v>
      </c>
      <c r="T4274" s="8">
        <v>1.0001111111111112</v>
      </c>
      <c r="U4274" s="98">
        <v>3.9620244969016838</v>
      </c>
      <c r="V4274" s="106">
        <v>36675.692077917163</v>
      </c>
      <c r="W4274" s="10">
        <v>1.014169153608302</v>
      </c>
      <c r="X4274" s="420"/>
      <c r="Y4274" s="420"/>
    </row>
    <row r="4275" spans="17:25">
      <c r="Q4275" s="6">
        <v>4245</v>
      </c>
      <c r="R4275" s="7">
        <v>46912</v>
      </c>
      <c r="S4275" s="210">
        <v>4</v>
      </c>
      <c r="T4275" s="8">
        <v>1.0001111111111112</v>
      </c>
      <c r="U4275" s="98">
        <v>3.9620660769498883</v>
      </c>
      <c r="V4275" s="106">
        <v>36678.643063186035</v>
      </c>
      <c r="W4275" s="10">
        <v>1.0141952194652637</v>
      </c>
      <c r="X4275" s="420"/>
      <c r="Y4275" s="420"/>
    </row>
    <row r="4276" spans="17:25">
      <c r="Q4276" s="6">
        <v>4246</v>
      </c>
      <c r="R4276" s="7">
        <v>46913</v>
      </c>
      <c r="S4276" s="210">
        <v>4</v>
      </c>
      <c r="T4276" s="8">
        <v>1.0001111111111112</v>
      </c>
      <c r="U4276" s="98">
        <v>3.9621076374291908</v>
      </c>
      <c r="V4276" s="106">
        <v>36681.594285895932</v>
      </c>
      <c r="W4276" s="10">
        <v>1.0142212730511302</v>
      </c>
      <c r="X4276" s="420"/>
      <c r="Y4276" s="420"/>
    </row>
    <row r="4277" spans="17:25">
      <c r="Q4277" s="6">
        <v>4247</v>
      </c>
      <c r="R4277" s="7">
        <v>46914</v>
      </c>
      <c r="S4277" s="210">
        <v>4</v>
      </c>
      <c r="T4277" s="8">
        <v>1.0001111111111112</v>
      </c>
      <c r="U4277" s="98">
        <v>3.9621491783534246</v>
      </c>
      <c r="V4277" s="106">
        <v>36684.545746065967</v>
      </c>
      <c r="W4277" s="10">
        <v>1.014247314374539</v>
      </c>
      <c r="X4277" s="420"/>
      <c r="Y4277" s="420"/>
    </row>
    <row r="4278" spans="17:25">
      <c r="Q4278" s="6">
        <v>4248</v>
      </c>
      <c r="R4278" s="7">
        <v>46915</v>
      </c>
      <c r="S4278" s="210">
        <v>4</v>
      </c>
      <c r="T4278" s="8">
        <v>1.0001111111111112</v>
      </c>
      <c r="U4278" s="98">
        <v>3.9621906997363565</v>
      </c>
      <c r="V4278" s="106">
        <v>36687.497443715241</v>
      </c>
      <c r="W4278" s="10">
        <v>1.0142733434441276</v>
      </c>
      <c r="X4278" s="420"/>
      <c r="Y4278" s="420"/>
    </row>
    <row r="4279" spans="17:25">
      <c r="Q4279" s="6">
        <v>4249</v>
      </c>
      <c r="R4279" s="7">
        <v>46916</v>
      </c>
      <c r="S4279" s="210">
        <v>4</v>
      </c>
      <c r="T4279" s="8">
        <v>1.0001111111111112</v>
      </c>
      <c r="U4279" s="98">
        <v>3.9622322015917977</v>
      </c>
      <c r="V4279" s="106">
        <v>36690.449378862868</v>
      </c>
      <c r="W4279" s="10">
        <v>1.0142993602685779</v>
      </c>
      <c r="X4279" s="420"/>
      <c r="Y4279" s="420"/>
    </row>
    <row r="4280" spans="17:25">
      <c r="Q4280" s="6">
        <v>4250</v>
      </c>
      <c r="R4280" s="7">
        <v>46917</v>
      </c>
      <c r="S4280" s="210">
        <v>4</v>
      </c>
      <c r="T4280" s="8">
        <v>1.0001111111111112</v>
      </c>
      <c r="U4280" s="98">
        <v>3.9622736839335149</v>
      </c>
      <c r="V4280" s="106">
        <v>36693.401551527946</v>
      </c>
      <c r="W4280" s="10">
        <v>1.0143253648565276</v>
      </c>
      <c r="X4280" s="420"/>
      <c r="Y4280" s="420"/>
    </row>
    <row r="4281" spans="17:25">
      <c r="Q4281" s="6">
        <v>4251</v>
      </c>
      <c r="R4281" s="7">
        <v>46918</v>
      </c>
      <c r="S4281" s="210">
        <v>4</v>
      </c>
      <c r="T4281" s="8">
        <v>1.0001111111111112</v>
      </c>
      <c r="U4281" s="98">
        <v>3.9623151467752527</v>
      </c>
      <c r="V4281" s="106">
        <v>36696.35396172959</v>
      </c>
      <c r="W4281" s="10">
        <v>1.0143513572165697</v>
      </c>
      <c r="X4281" s="420"/>
      <c r="Y4281" s="420"/>
    </row>
    <row r="4282" spans="17:25">
      <c r="Q4282" s="6">
        <v>4252</v>
      </c>
      <c r="R4282" s="7">
        <v>46919</v>
      </c>
      <c r="S4282" s="210">
        <v>4</v>
      </c>
      <c r="T4282" s="8">
        <v>1.0001111111111112</v>
      </c>
      <c r="U4282" s="98">
        <v>3.9623565901307778</v>
      </c>
      <c r="V4282" s="106">
        <v>36699.306609486914</v>
      </c>
      <c r="W4282" s="10">
        <v>1.0143773373573639</v>
      </c>
      <c r="X4282" s="420"/>
      <c r="Y4282" s="420"/>
    </row>
    <row r="4283" spans="17:25">
      <c r="Q4283" s="6">
        <v>4253</v>
      </c>
      <c r="R4283" s="7">
        <v>46920</v>
      </c>
      <c r="S4283" s="210">
        <v>4</v>
      </c>
      <c r="T4283" s="8">
        <v>1.0001111111111112</v>
      </c>
      <c r="U4283" s="98">
        <v>3.9623980140138126</v>
      </c>
      <c r="V4283" s="106">
        <v>36702.259494819045</v>
      </c>
      <c r="W4283" s="10">
        <v>1.0144033052875034</v>
      </c>
      <c r="X4283" s="420"/>
      <c r="Y4283" s="420"/>
    </row>
    <row r="4284" spans="17:25">
      <c r="Q4284" s="6">
        <v>4254</v>
      </c>
      <c r="R4284" s="7">
        <v>46921</v>
      </c>
      <c r="S4284" s="210">
        <v>4</v>
      </c>
      <c r="T4284" s="8">
        <v>1.0001111111111112</v>
      </c>
      <c r="U4284" s="98">
        <v>3.9624394184380796</v>
      </c>
      <c r="V4284" s="106">
        <v>36705.212617745077</v>
      </c>
      <c r="W4284" s="10">
        <v>1.0144292610156258</v>
      </c>
      <c r="X4284" s="420"/>
      <c r="Y4284" s="420"/>
    </row>
    <row r="4285" spans="17:25">
      <c r="Q4285" s="6">
        <v>4255</v>
      </c>
      <c r="R4285" s="7">
        <v>46922</v>
      </c>
      <c r="S4285" s="210">
        <v>4</v>
      </c>
      <c r="T4285" s="8">
        <v>1.0001111111111112</v>
      </c>
      <c r="U4285" s="98">
        <v>3.9624808034172787</v>
      </c>
      <c r="V4285" s="106">
        <v>36708.165978284145</v>
      </c>
      <c r="W4285" s="10">
        <v>1.0144552045502797</v>
      </c>
      <c r="X4285" s="420"/>
      <c r="Y4285" s="420"/>
    </row>
    <row r="4286" spans="17:25">
      <c r="Q4286" s="6">
        <v>4256</v>
      </c>
      <c r="R4286" s="7">
        <v>46923</v>
      </c>
      <c r="S4286" s="210">
        <v>4</v>
      </c>
      <c r="T4286" s="8">
        <v>1.0001111111111112</v>
      </c>
      <c r="U4286" s="98">
        <v>3.9625221689651102</v>
      </c>
      <c r="V4286" s="106">
        <v>36711.119576455356</v>
      </c>
      <c r="W4286" s="10">
        <v>1.0144811359000805</v>
      </c>
      <c r="X4286" s="420"/>
      <c r="Y4286" s="420"/>
    </row>
    <row r="4287" spans="17:25">
      <c r="Q4287" s="6">
        <v>4257</v>
      </c>
      <c r="R4287" s="7">
        <v>46924</v>
      </c>
      <c r="S4287" s="210">
        <v>4</v>
      </c>
      <c r="T4287" s="8">
        <v>1.0001111111111112</v>
      </c>
      <c r="U4287" s="98">
        <v>3.9625635150952521</v>
      </c>
      <c r="V4287" s="106">
        <v>36714.07341227783</v>
      </c>
      <c r="W4287" s="10">
        <v>1.0145070550735991</v>
      </c>
      <c r="X4287" s="420"/>
      <c r="Y4287" s="420"/>
    </row>
    <row r="4288" spans="17:25">
      <c r="Q4288" s="6">
        <v>4258</v>
      </c>
      <c r="R4288" s="7">
        <v>46925</v>
      </c>
      <c r="S4288" s="210">
        <v>4</v>
      </c>
      <c r="T4288" s="8">
        <v>1.0001111111111112</v>
      </c>
      <c r="U4288" s="98">
        <v>3.9626048418213822</v>
      </c>
      <c r="V4288" s="106">
        <v>36717.02748577069</v>
      </c>
      <c r="W4288" s="10">
        <v>1.0145329620794286</v>
      </c>
      <c r="X4288" s="420"/>
      <c r="Y4288" s="420"/>
    </row>
    <row r="4289" spans="17:25">
      <c r="Q4289" s="6">
        <v>4259</v>
      </c>
      <c r="R4289" s="7">
        <v>46926</v>
      </c>
      <c r="S4289" s="210">
        <v>4</v>
      </c>
      <c r="T4289" s="8">
        <v>1.0001111111111112</v>
      </c>
      <c r="U4289" s="98">
        <v>3.9626461491571563</v>
      </c>
      <c r="V4289" s="106">
        <v>36719.98179695307</v>
      </c>
      <c r="W4289" s="10">
        <v>1.0145588569261399</v>
      </c>
      <c r="X4289" s="420"/>
      <c r="Y4289" s="420"/>
    </row>
    <row r="4290" spans="17:25">
      <c r="Q4290" s="6">
        <v>4260</v>
      </c>
      <c r="R4290" s="7">
        <v>46927</v>
      </c>
      <c r="S4290" s="210">
        <v>4</v>
      </c>
      <c r="T4290" s="8">
        <v>1.0001111111111112</v>
      </c>
      <c r="U4290" s="98">
        <v>3.962687437116208</v>
      </c>
      <c r="V4290" s="106">
        <v>36722.936345844086</v>
      </c>
      <c r="W4290" s="10">
        <v>1.0145847396222596</v>
      </c>
      <c r="X4290" s="420"/>
      <c r="Y4290" s="420"/>
    </row>
    <row r="4291" spans="17:25">
      <c r="Q4291" s="6">
        <v>4261</v>
      </c>
      <c r="R4291" s="7">
        <v>46928</v>
      </c>
      <c r="S4291" s="210">
        <v>4</v>
      </c>
      <c r="T4291" s="8">
        <v>1.0001111111111112</v>
      </c>
      <c r="U4291" s="98">
        <v>3.9627287057121929</v>
      </c>
      <c r="V4291" s="106">
        <v>36725.891132462864</v>
      </c>
      <c r="W4291" s="10">
        <v>1.0146106101763808</v>
      </c>
      <c r="X4291" s="420"/>
      <c r="Y4291" s="420"/>
    </row>
    <row r="4292" spans="17:25">
      <c r="Q4292" s="6">
        <v>4262</v>
      </c>
      <c r="R4292" s="7">
        <v>46929</v>
      </c>
      <c r="S4292" s="210">
        <v>4</v>
      </c>
      <c r="T4292" s="8">
        <v>1.0001111111111112</v>
      </c>
      <c r="U4292" s="98">
        <v>3.9627699549587003</v>
      </c>
      <c r="V4292" s="106">
        <v>36728.846156828535</v>
      </c>
      <c r="W4292" s="10">
        <v>1.0146364685970299</v>
      </c>
      <c r="X4292" s="420"/>
      <c r="Y4292" s="420"/>
    </row>
    <row r="4293" spans="17:25">
      <c r="Q4293" s="6">
        <v>4263</v>
      </c>
      <c r="R4293" s="7">
        <v>46930</v>
      </c>
      <c r="S4293" s="210">
        <v>4</v>
      </c>
      <c r="T4293" s="8">
        <v>1.0001111111111112</v>
      </c>
      <c r="U4293" s="98">
        <v>3.9628111848693637</v>
      </c>
      <c r="V4293" s="106">
        <v>36731.801418960233</v>
      </c>
      <c r="W4293" s="10">
        <v>1.0146623148927114</v>
      </c>
      <c r="X4293" s="420"/>
      <c r="Y4293" s="420"/>
    </row>
    <row r="4294" spans="17:25">
      <c r="Q4294" s="6">
        <v>4264</v>
      </c>
      <c r="R4294" s="7">
        <v>46931</v>
      </c>
      <c r="S4294" s="210">
        <v>4</v>
      </c>
      <c r="T4294" s="8">
        <v>1.0001111111111112</v>
      </c>
      <c r="U4294" s="98">
        <v>3.9628523954577499</v>
      </c>
      <c r="V4294" s="106">
        <v>36734.756918877072</v>
      </c>
      <c r="W4294" s="10">
        <v>1.0146881490719961</v>
      </c>
      <c r="X4294" s="420"/>
      <c r="Y4294" s="420"/>
    </row>
    <row r="4295" spans="17:25">
      <c r="Q4295" s="6">
        <v>4265</v>
      </c>
      <c r="R4295" s="7">
        <v>46932</v>
      </c>
      <c r="S4295" s="210">
        <v>4</v>
      </c>
      <c r="T4295" s="8">
        <v>1.0001111111111112</v>
      </c>
      <c r="U4295" s="98">
        <v>3.9628935867374482</v>
      </c>
      <c r="V4295" s="106">
        <v>36737.712656598203</v>
      </c>
      <c r="W4295" s="10">
        <v>1.0147139711433661</v>
      </c>
      <c r="X4295" s="420"/>
      <c r="Y4295" s="420"/>
    </row>
    <row r="4296" spans="17:25">
      <c r="Q4296" s="6">
        <v>4266</v>
      </c>
      <c r="R4296" s="7">
        <v>46933</v>
      </c>
      <c r="S4296" s="210">
        <v>4</v>
      </c>
      <c r="T4296" s="8">
        <v>1.0001111111111112</v>
      </c>
      <c r="U4296" s="98">
        <v>3.9629347587220254</v>
      </c>
      <c r="V4296" s="106">
        <v>36740.668632142748</v>
      </c>
      <c r="W4296" s="10">
        <v>1.014739781115348</v>
      </c>
      <c r="X4296" s="420"/>
      <c r="Y4296" s="420"/>
    </row>
    <row r="4297" spans="17:25">
      <c r="Q4297" s="6">
        <v>4267</v>
      </c>
      <c r="R4297" s="7">
        <v>46934</v>
      </c>
      <c r="S4297" s="210">
        <v>4</v>
      </c>
      <c r="T4297" s="8">
        <v>1.0001111111111112</v>
      </c>
      <c r="U4297" s="98">
        <v>3.9629759114250263</v>
      </c>
      <c r="V4297" s="106">
        <v>36743.624845529848</v>
      </c>
      <c r="W4297" s="10">
        <v>1.0147655789964238</v>
      </c>
      <c r="X4297" s="420"/>
      <c r="Y4297" s="420"/>
    </row>
    <row r="4298" spans="17:25">
      <c r="Q4298" s="6">
        <v>4268</v>
      </c>
      <c r="R4298" s="7">
        <v>46935</v>
      </c>
      <c r="S4298" s="210">
        <v>4</v>
      </c>
      <c r="T4298" s="8">
        <v>1.0001111111111112</v>
      </c>
      <c r="U4298" s="98">
        <v>3.9630170448600177</v>
      </c>
      <c r="V4298" s="106">
        <v>36746.581296778641</v>
      </c>
      <c r="W4298" s="10">
        <v>1.0147913647951201</v>
      </c>
      <c r="X4298" s="420"/>
      <c r="Y4298" s="420"/>
    </row>
    <row r="4299" spans="17:25">
      <c r="Q4299" s="6">
        <v>4269</v>
      </c>
      <c r="R4299" s="7">
        <v>46936</v>
      </c>
      <c r="S4299" s="210">
        <v>4</v>
      </c>
      <c r="T4299" s="8">
        <v>1.0001111111111112</v>
      </c>
      <c r="U4299" s="98">
        <v>3.9630581590405001</v>
      </c>
      <c r="V4299" s="106">
        <v>36749.53798590826</v>
      </c>
      <c r="W4299" s="10">
        <v>1.0148171385198967</v>
      </c>
      <c r="X4299" s="420"/>
      <c r="Y4299" s="420"/>
    </row>
    <row r="4300" spans="17:25">
      <c r="Q4300" s="6">
        <v>4270</v>
      </c>
      <c r="R4300" s="7">
        <v>46937</v>
      </c>
      <c r="S4300" s="210">
        <v>4</v>
      </c>
      <c r="T4300" s="8">
        <v>1.0001111111111112</v>
      </c>
      <c r="U4300" s="98">
        <v>3.9630992539800181</v>
      </c>
      <c r="V4300" s="106">
        <v>36752.494912937858</v>
      </c>
      <c r="W4300" s="10">
        <v>1.014842900179258</v>
      </c>
      <c r="X4300" s="420"/>
      <c r="Y4300" s="420"/>
    </row>
    <row r="4301" spans="17:25">
      <c r="Q4301" s="6">
        <v>4271</v>
      </c>
      <c r="R4301" s="7">
        <v>46938</v>
      </c>
      <c r="S4301" s="210">
        <v>4</v>
      </c>
      <c r="T4301" s="8">
        <v>1.0001111111111112</v>
      </c>
      <c r="U4301" s="98">
        <v>3.9631403296920498</v>
      </c>
      <c r="V4301" s="106">
        <v>36755.45207788657</v>
      </c>
      <c r="W4301" s="10">
        <v>1.0148686497816417</v>
      </c>
      <c r="X4301" s="420"/>
      <c r="Y4301" s="420"/>
    </row>
    <row r="4302" spans="17:25">
      <c r="Q4302" s="6">
        <v>4272</v>
      </c>
      <c r="R4302" s="7">
        <v>46939</v>
      </c>
      <c r="S4302" s="210">
        <v>4</v>
      </c>
      <c r="T4302" s="8">
        <v>1.0001111111111112</v>
      </c>
      <c r="U4302" s="98">
        <v>3.9631813861900955</v>
      </c>
      <c r="V4302" s="106">
        <v>36758.409480773531</v>
      </c>
      <c r="W4302" s="10">
        <v>1.0148943873355298</v>
      </c>
      <c r="X4302" s="420"/>
      <c r="Y4302" s="420"/>
    </row>
    <row r="4303" spans="17:25">
      <c r="Q4303" s="6">
        <v>4273</v>
      </c>
      <c r="R4303" s="7">
        <v>46940</v>
      </c>
      <c r="S4303" s="210">
        <v>4</v>
      </c>
      <c r="T4303" s="8">
        <v>1.0001111111111112</v>
      </c>
      <c r="U4303" s="98">
        <v>3.9632224234876334</v>
      </c>
      <c r="V4303" s="106">
        <v>36761.367121617885</v>
      </c>
      <c r="W4303" s="10">
        <v>1.0149201128493823</v>
      </c>
      <c r="X4303" s="420"/>
      <c r="Y4303" s="420"/>
    </row>
    <row r="4304" spans="17:25">
      <c r="Q4304" s="6">
        <v>4274</v>
      </c>
      <c r="R4304" s="7">
        <v>46941</v>
      </c>
      <c r="S4304" s="210">
        <v>4</v>
      </c>
      <c r="T4304" s="8">
        <v>1.0001111111111112</v>
      </c>
      <c r="U4304" s="98">
        <v>3.9632634415981416</v>
      </c>
      <c r="V4304" s="106">
        <v>36764.325000438803</v>
      </c>
      <c r="W4304" s="10">
        <v>1.0149458263316369</v>
      </c>
      <c r="X4304" s="420"/>
      <c r="Y4304" s="420"/>
    </row>
    <row r="4305" spans="17:25">
      <c r="Q4305" s="6">
        <v>4275</v>
      </c>
      <c r="R4305" s="7">
        <v>46942</v>
      </c>
      <c r="S4305" s="210">
        <v>4</v>
      </c>
      <c r="T4305" s="8">
        <v>1.0001111111111112</v>
      </c>
      <c r="U4305" s="98">
        <v>3.9633044405350537</v>
      </c>
      <c r="V4305" s="106">
        <v>36767.283117255407</v>
      </c>
      <c r="W4305" s="10">
        <v>1.0149715277907312</v>
      </c>
      <c r="X4305" s="420"/>
      <c r="Y4305" s="420"/>
    </row>
    <row r="4306" spans="17:25">
      <c r="Q4306" s="6">
        <v>4276</v>
      </c>
      <c r="R4306" s="7">
        <v>46943</v>
      </c>
      <c r="S4306" s="210">
        <v>4</v>
      </c>
      <c r="T4306" s="8">
        <v>1.0001111111111112</v>
      </c>
      <c r="U4306" s="98">
        <v>3.9633454203118257</v>
      </c>
      <c r="V4306" s="106">
        <v>36770.241472086855</v>
      </c>
      <c r="W4306" s="10">
        <v>1.0149972172351029</v>
      </c>
      <c r="X4306" s="420"/>
      <c r="Y4306" s="420"/>
    </row>
    <row r="4307" spans="17:25">
      <c r="Q4307" s="6">
        <v>4277</v>
      </c>
      <c r="R4307" s="7">
        <v>46944</v>
      </c>
      <c r="S4307" s="210">
        <v>4</v>
      </c>
      <c r="T4307" s="8">
        <v>1.0001111111111112</v>
      </c>
      <c r="U4307" s="98">
        <v>3.963386380941869</v>
      </c>
      <c r="V4307" s="106">
        <v>36773.200064952296</v>
      </c>
      <c r="W4307" s="10">
        <v>1.0150228946731676</v>
      </c>
      <c r="X4307" s="420"/>
      <c r="Y4307" s="420"/>
    </row>
    <row r="4308" spans="17:25">
      <c r="Q4308" s="6">
        <v>4278</v>
      </c>
      <c r="R4308" s="7">
        <v>46945</v>
      </c>
      <c r="S4308" s="210">
        <v>4</v>
      </c>
      <c r="T4308" s="8">
        <v>1.0001111111111112</v>
      </c>
      <c r="U4308" s="98">
        <v>3.9634273224386174</v>
      </c>
      <c r="V4308" s="106">
        <v>36776.158895870889</v>
      </c>
      <c r="W4308" s="10">
        <v>1.0150485601133408</v>
      </c>
      <c r="X4308" s="420"/>
      <c r="Y4308" s="420"/>
    </row>
    <row r="4309" spans="17:25">
      <c r="Q4309" s="6">
        <v>4279</v>
      </c>
      <c r="R4309" s="7">
        <v>46946</v>
      </c>
      <c r="S4309" s="210">
        <v>4</v>
      </c>
      <c r="T4309" s="8">
        <v>1.0001111111111112</v>
      </c>
      <c r="U4309" s="98">
        <v>3.9634682448154601</v>
      </c>
      <c r="V4309" s="106">
        <v>36779.117964861784</v>
      </c>
      <c r="W4309" s="10">
        <v>1.0150742135640156</v>
      </c>
      <c r="X4309" s="420"/>
      <c r="Y4309" s="420"/>
    </row>
    <row r="4310" spans="17:25">
      <c r="Q4310" s="6">
        <v>4280</v>
      </c>
      <c r="R4310" s="7">
        <v>46947</v>
      </c>
      <c r="S4310" s="210">
        <v>4</v>
      </c>
      <c r="T4310" s="8">
        <v>1.0001111111111112</v>
      </c>
      <c r="U4310" s="98">
        <v>3.9635091480858087</v>
      </c>
      <c r="V4310" s="106">
        <v>36782.077271944137</v>
      </c>
      <c r="W4310" s="10">
        <v>1.0150998550336299</v>
      </c>
      <c r="X4310" s="420"/>
      <c r="Y4310" s="420"/>
    </row>
    <row r="4311" spans="17:25">
      <c r="Q4311" s="6">
        <v>4281</v>
      </c>
      <c r="R4311" s="7">
        <v>46948</v>
      </c>
      <c r="S4311" s="210">
        <v>4</v>
      </c>
      <c r="T4311" s="8">
        <v>1.0001111111111112</v>
      </c>
      <c r="U4311" s="98">
        <v>3.9635500322630079</v>
      </c>
      <c r="V4311" s="106">
        <v>36785.036817137108</v>
      </c>
      <c r="W4311" s="10">
        <v>1.0151254845305546</v>
      </c>
      <c r="X4311" s="420"/>
      <c r="Y4311" s="420"/>
    </row>
    <row r="4312" spans="17:25">
      <c r="Q4312" s="6">
        <v>4282</v>
      </c>
      <c r="R4312" s="7">
        <v>46949</v>
      </c>
      <c r="S4312" s="210">
        <v>4</v>
      </c>
      <c r="T4312" s="8">
        <v>1.0001111111111112</v>
      </c>
      <c r="U4312" s="98">
        <v>3.9635908973604472</v>
      </c>
      <c r="V4312" s="106">
        <v>36787.996600459846</v>
      </c>
      <c r="W4312" s="10">
        <v>1.0151511020631609</v>
      </c>
      <c r="X4312" s="420"/>
      <c r="Y4312" s="420"/>
    </row>
    <row r="4313" spans="17:25">
      <c r="Q4313" s="6">
        <v>4283</v>
      </c>
      <c r="R4313" s="7">
        <v>46950</v>
      </c>
      <c r="S4313" s="210">
        <v>4</v>
      </c>
      <c r="T4313" s="8">
        <v>1.0001111111111112</v>
      </c>
      <c r="U4313" s="98">
        <v>3.9636317433914714</v>
      </c>
      <c r="V4313" s="106">
        <v>36790.956621931524</v>
      </c>
      <c r="W4313" s="10">
        <v>1.0151767076398199</v>
      </c>
      <c r="X4313" s="420"/>
      <c r="Y4313" s="420"/>
    </row>
    <row r="4314" spans="17:25">
      <c r="Q4314" s="6">
        <v>4284</v>
      </c>
      <c r="R4314" s="7">
        <v>46951</v>
      </c>
      <c r="S4314" s="210">
        <v>4</v>
      </c>
      <c r="T4314" s="8">
        <v>1.0001111111111112</v>
      </c>
      <c r="U4314" s="98">
        <v>3.9636725703694253</v>
      </c>
      <c r="V4314" s="106">
        <v>36793.916881571298</v>
      </c>
      <c r="W4314" s="10">
        <v>1.0152023012689249</v>
      </c>
      <c r="X4314" s="420"/>
      <c r="Y4314" s="420"/>
    </row>
    <row r="4315" spans="17:25">
      <c r="Q4315" s="6">
        <v>4285</v>
      </c>
      <c r="R4315" s="7">
        <v>46952</v>
      </c>
      <c r="S4315" s="210">
        <v>4</v>
      </c>
      <c r="T4315" s="8">
        <v>1.0001111111111112</v>
      </c>
      <c r="U4315" s="98">
        <v>3.9637133783076317</v>
      </c>
      <c r="V4315" s="106">
        <v>36796.877379398335</v>
      </c>
      <c r="W4315" s="10">
        <v>1.0152278829588246</v>
      </c>
      <c r="X4315" s="420"/>
      <c r="Y4315" s="420"/>
    </row>
    <row r="4316" spans="17:25">
      <c r="Q4316" s="6">
        <v>4286</v>
      </c>
      <c r="R4316" s="7">
        <v>46953</v>
      </c>
      <c r="S4316" s="210">
        <v>4</v>
      </c>
      <c r="T4316" s="8">
        <v>1.0001111111111112</v>
      </c>
      <c r="U4316" s="98">
        <v>3.9637541672194132</v>
      </c>
      <c r="V4316" s="106">
        <v>36799.83811543179</v>
      </c>
      <c r="W4316" s="10">
        <v>1.015253452717868</v>
      </c>
      <c r="X4316" s="420"/>
      <c r="Y4316" s="420"/>
    </row>
    <row r="4317" spans="17:25">
      <c r="Q4317" s="6">
        <v>4287</v>
      </c>
      <c r="R4317" s="7">
        <v>46954</v>
      </c>
      <c r="S4317" s="210">
        <v>4</v>
      </c>
      <c r="T4317" s="8">
        <v>1.0001111111111112</v>
      </c>
      <c r="U4317" s="98">
        <v>3.9637949371180703</v>
      </c>
      <c r="V4317" s="106">
        <v>36802.799089690838</v>
      </c>
      <c r="W4317" s="10">
        <v>1.0152790105544263</v>
      </c>
      <c r="X4317" s="420"/>
      <c r="Y4317" s="420"/>
    </row>
    <row r="4318" spans="17:25">
      <c r="Q4318" s="6">
        <v>4288</v>
      </c>
      <c r="R4318" s="7">
        <v>46955</v>
      </c>
      <c r="S4318" s="210">
        <v>4</v>
      </c>
      <c r="T4318" s="8">
        <v>1.0001111111111112</v>
      </c>
      <c r="U4318" s="98">
        <v>3.9638356880169034</v>
      </c>
      <c r="V4318" s="106">
        <v>36805.760302194649</v>
      </c>
      <c r="W4318" s="10">
        <v>1.0153045564768037</v>
      </c>
      <c r="X4318" s="420"/>
      <c r="Y4318" s="420"/>
    </row>
    <row r="4319" spans="17:25">
      <c r="Q4319" s="6">
        <v>4289</v>
      </c>
      <c r="R4319" s="7">
        <v>46956</v>
      </c>
      <c r="S4319" s="210">
        <v>4</v>
      </c>
      <c r="T4319" s="8">
        <v>1.0001111111111112</v>
      </c>
      <c r="U4319" s="98">
        <v>3.9638764199291687</v>
      </c>
      <c r="V4319" s="106">
        <v>36808.721752962381</v>
      </c>
      <c r="W4319" s="10">
        <v>1.0153300904933271</v>
      </c>
      <c r="X4319" s="420"/>
      <c r="Y4319" s="420"/>
    </row>
    <row r="4320" spans="17:25">
      <c r="Q4320" s="6">
        <v>4290</v>
      </c>
      <c r="R4320" s="7">
        <v>46957</v>
      </c>
      <c r="S4320" s="210">
        <v>4</v>
      </c>
      <c r="T4320" s="8">
        <v>1.0001111111111112</v>
      </c>
      <c r="U4320" s="98">
        <v>3.9639171328681444</v>
      </c>
      <c r="V4320" s="106">
        <v>36811.683442013215</v>
      </c>
      <c r="W4320" s="10">
        <v>1.0153556126123231</v>
      </c>
      <c r="X4320" s="420"/>
      <c r="Y4320" s="420"/>
    </row>
    <row r="4321" spans="17:25">
      <c r="Q4321" s="6">
        <v>4291</v>
      </c>
      <c r="R4321" s="7">
        <v>46958</v>
      </c>
      <c r="S4321" s="210">
        <v>4</v>
      </c>
      <c r="T4321" s="8">
        <v>1.0001111111111112</v>
      </c>
      <c r="U4321" s="98">
        <v>3.9639578268470865</v>
      </c>
      <c r="V4321" s="106">
        <v>36814.645369366321</v>
      </c>
      <c r="W4321" s="10">
        <v>1.0153811228421405</v>
      </c>
      <c r="X4321" s="420"/>
      <c r="Y4321" s="420"/>
    </row>
    <row r="4322" spans="17:25">
      <c r="Q4322" s="6">
        <v>4292</v>
      </c>
      <c r="R4322" s="7">
        <v>46959</v>
      </c>
      <c r="S4322" s="210">
        <v>4</v>
      </c>
      <c r="T4322" s="8">
        <v>1.0001111111111112</v>
      </c>
      <c r="U4322" s="98">
        <v>3.963998501879229</v>
      </c>
      <c r="V4322" s="106">
        <v>36817.607535040879</v>
      </c>
      <c r="W4322" s="10">
        <v>1.0154066211910173</v>
      </c>
      <c r="X4322" s="420"/>
      <c r="Y4322" s="420"/>
    </row>
    <row r="4323" spans="17:25">
      <c r="Q4323" s="6">
        <v>4293</v>
      </c>
      <c r="R4323" s="7">
        <v>46960</v>
      </c>
      <c r="S4323" s="210">
        <v>4</v>
      </c>
      <c r="T4323" s="8">
        <v>1.0001111111111112</v>
      </c>
      <c r="U4323" s="98">
        <v>3.9640391579778056</v>
      </c>
      <c r="V4323" s="106">
        <v>36820.569939056055</v>
      </c>
      <c r="W4323" s="10">
        <v>1.0154321076673023</v>
      </c>
      <c r="X4323" s="420"/>
      <c r="Y4323" s="420"/>
    </row>
    <row r="4324" spans="17:25">
      <c r="Q4324" s="6">
        <v>4294</v>
      </c>
      <c r="R4324" s="7">
        <v>46961</v>
      </c>
      <c r="S4324" s="210">
        <v>4</v>
      </c>
      <c r="T4324" s="8">
        <v>1.0001111111111112</v>
      </c>
      <c r="U4324" s="98">
        <v>3.9640797951560502</v>
      </c>
      <c r="V4324" s="106">
        <v>36823.532581431027</v>
      </c>
      <c r="W4324" s="10">
        <v>1.0154575822792999</v>
      </c>
      <c r="X4324" s="420"/>
      <c r="Y4324" s="420"/>
    </row>
    <row r="4325" spans="17:25">
      <c r="Q4325" s="6">
        <v>4295</v>
      </c>
      <c r="R4325" s="7">
        <v>46962</v>
      </c>
      <c r="S4325" s="210">
        <v>4</v>
      </c>
      <c r="T4325" s="8">
        <v>1.0001111111111112</v>
      </c>
      <c r="U4325" s="98">
        <v>3.9641204134271524</v>
      </c>
      <c r="V4325" s="106">
        <v>36826.495462184983</v>
      </c>
      <c r="W4325" s="10">
        <v>1.0154830450352703</v>
      </c>
      <c r="X4325" s="420"/>
      <c r="Y4325" s="420"/>
    </row>
    <row r="4326" spans="17:25">
      <c r="Q4326" s="6">
        <v>4296</v>
      </c>
      <c r="R4326" s="7">
        <v>46963</v>
      </c>
      <c r="S4326" s="210">
        <v>4</v>
      </c>
      <c r="T4326" s="8">
        <v>1.0001111111111112</v>
      </c>
      <c r="U4326" s="98">
        <v>3.9641610128043014</v>
      </c>
      <c r="V4326" s="106">
        <v>36829.458581337094</v>
      </c>
      <c r="W4326" s="10">
        <v>1.0155084959434735</v>
      </c>
      <c r="X4326" s="420"/>
      <c r="Y4326" s="420"/>
    </row>
    <row r="4327" spans="17:25">
      <c r="Q4327" s="6">
        <v>4297</v>
      </c>
      <c r="R4327" s="7">
        <v>46964</v>
      </c>
      <c r="S4327" s="210">
        <v>4</v>
      </c>
      <c r="T4327" s="8">
        <v>1.0001111111111112</v>
      </c>
      <c r="U4327" s="98">
        <v>3.9642015933006647</v>
      </c>
      <c r="V4327" s="106">
        <v>36832.421938906555</v>
      </c>
      <c r="W4327" s="10">
        <v>1.0155339350121695</v>
      </c>
      <c r="X4327" s="420"/>
      <c r="Y4327" s="420"/>
    </row>
    <row r="4328" spans="17:25">
      <c r="Q4328" s="6">
        <v>4298</v>
      </c>
      <c r="R4328" s="7">
        <v>46965</v>
      </c>
      <c r="S4328" s="210">
        <v>4</v>
      </c>
      <c r="T4328" s="8">
        <v>1.0001111111111112</v>
      </c>
      <c r="U4328" s="98">
        <v>3.9642421549294315</v>
      </c>
      <c r="V4328" s="106">
        <v>36835.38553491253</v>
      </c>
      <c r="W4328" s="10">
        <v>1.0155593622496628</v>
      </c>
      <c r="X4328" s="420"/>
      <c r="Y4328" s="420"/>
    </row>
    <row r="4329" spans="17:25">
      <c r="Q4329" s="6">
        <v>4299</v>
      </c>
      <c r="R4329" s="7">
        <v>46966</v>
      </c>
      <c r="S4329" s="210">
        <v>4</v>
      </c>
      <c r="T4329" s="8">
        <v>1.0001111111111112</v>
      </c>
      <c r="U4329" s="98">
        <v>3.9642826977037471</v>
      </c>
      <c r="V4329" s="106">
        <v>36838.349369374213</v>
      </c>
      <c r="W4329" s="10">
        <v>1.0155847776641691</v>
      </c>
      <c r="X4329" s="420"/>
      <c r="Y4329" s="420"/>
    </row>
    <row r="4330" spans="17:25">
      <c r="Q4330" s="6">
        <v>4300</v>
      </c>
      <c r="R4330" s="7">
        <v>46967</v>
      </c>
      <c r="S4330" s="210">
        <v>4</v>
      </c>
      <c r="T4330" s="8">
        <v>1.0001111111111112</v>
      </c>
      <c r="U4330" s="98">
        <v>3.9643232216367563</v>
      </c>
      <c r="V4330" s="106">
        <v>36841.313442310791</v>
      </c>
      <c r="W4330" s="10">
        <v>1.0156101812639262</v>
      </c>
      <c r="X4330" s="420"/>
      <c r="Y4330" s="420"/>
    </row>
    <row r="4331" spans="17:25">
      <c r="Q4331" s="6">
        <v>4301</v>
      </c>
      <c r="R4331" s="7">
        <v>46968</v>
      </c>
      <c r="S4331" s="210">
        <v>4</v>
      </c>
      <c r="T4331" s="8">
        <v>1.0001111111111112</v>
      </c>
      <c r="U4331" s="98">
        <v>3.9643637267416043</v>
      </c>
      <c r="V4331" s="106">
        <v>36844.277753741459</v>
      </c>
      <c r="W4331" s="10">
        <v>1.0156355730572164</v>
      </c>
      <c r="X4331" s="420"/>
      <c r="Y4331" s="420"/>
    </row>
    <row r="4332" spans="17:25">
      <c r="Q4332" s="6">
        <v>4302</v>
      </c>
      <c r="R4332" s="7">
        <v>46969</v>
      </c>
      <c r="S4332" s="210">
        <v>4</v>
      </c>
      <c r="T4332" s="8">
        <v>1.0001111111111112</v>
      </c>
      <c r="U4332" s="98">
        <v>3.9644042130313917</v>
      </c>
      <c r="V4332" s="106">
        <v>36847.242303685402</v>
      </c>
      <c r="W4332" s="10">
        <v>1.0156609530522109</v>
      </c>
      <c r="X4332" s="420"/>
      <c r="Y4332" s="420"/>
    </row>
    <row r="4333" spans="17:25">
      <c r="Q4333" s="6">
        <v>4303</v>
      </c>
      <c r="R4333" s="7">
        <v>46970</v>
      </c>
      <c r="S4333" s="210">
        <v>4</v>
      </c>
      <c r="T4333" s="8">
        <v>1.0001111111111112</v>
      </c>
      <c r="U4333" s="98">
        <v>3.9644446805192191</v>
      </c>
      <c r="V4333" s="106">
        <v>36850.2070921618</v>
      </c>
      <c r="W4333" s="10">
        <v>1.0156863212571698</v>
      </c>
      <c r="X4333" s="420"/>
      <c r="Y4333" s="420"/>
    </row>
    <row r="4334" spans="17:25">
      <c r="Q4334" s="6">
        <v>4304</v>
      </c>
      <c r="R4334" s="7">
        <v>46971</v>
      </c>
      <c r="S4334" s="210">
        <v>4</v>
      </c>
      <c r="T4334" s="8">
        <v>1.0001111111111112</v>
      </c>
      <c r="U4334" s="98">
        <v>3.9644851292182093</v>
      </c>
      <c r="V4334" s="106">
        <v>36853.172119189861</v>
      </c>
      <c r="W4334" s="10">
        <v>1.0157116776803088</v>
      </c>
      <c r="X4334" s="420"/>
      <c r="Y4334" s="420"/>
    </row>
    <row r="4335" spans="17:25">
      <c r="Q4335" s="6">
        <v>4305</v>
      </c>
      <c r="R4335" s="7">
        <v>46972</v>
      </c>
      <c r="S4335" s="210">
        <v>4</v>
      </c>
      <c r="T4335" s="8">
        <v>1.0001111111111112</v>
      </c>
      <c r="U4335" s="98">
        <v>3.9645255591414186</v>
      </c>
      <c r="V4335" s="106">
        <v>36856.137384788773</v>
      </c>
      <c r="W4335" s="10">
        <v>1.015737022329799</v>
      </c>
      <c r="X4335" s="420"/>
      <c r="Y4335" s="420"/>
    </row>
    <row r="4336" spans="17:25">
      <c r="Q4336" s="6">
        <v>4306</v>
      </c>
      <c r="R4336" s="7">
        <v>46973</v>
      </c>
      <c r="S4336" s="210">
        <v>4</v>
      </c>
      <c r="T4336" s="8">
        <v>1.0001111111111112</v>
      </c>
      <c r="U4336" s="98">
        <v>3.9645659703019254</v>
      </c>
      <c r="V4336" s="106">
        <v>36859.10288897773</v>
      </c>
      <c r="W4336" s="10">
        <v>1.0157623552138784</v>
      </c>
      <c r="X4336" s="420"/>
      <c r="Y4336" s="420"/>
    </row>
    <row r="4337" spans="17:25">
      <c r="Q4337" s="6">
        <v>4307</v>
      </c>
      <c r="R4337" s="7">
        <v>46974</v>
      </c>
      <c r="S4337" s="210">
        <v>4</v>
      </c>
      <c r="T4337" s="8">
        <v>1.0001111111111112</v>
      </c>
      <c r="U4337" s="98">
        <v>3.9646063627127859</v>
      </c>
      <c r="V4337" s="106">
        <v>36862.068631775932</v>
      </c>
      <c r="W4337" s="10">
        <v>1.0157876763407181</v>
      </c>
      <c r="X4337" s="420"/>
      <c r="Y4337" s="420"/>
    </row>
    <row r="4338" spans="17:25">
      <c r="Q4338" s="6">
        <v>4308</v>
      </c>
      <c r="R4338" s="7">
        <v>46975</v>
      </c>
      <c r="S4338" s="210">
        <v>4</v>
      </c>
      <c r="T4338" s="8">
        <v>1.0001111111111112</v>
      </c>
      <c r="U4338" s="98">
        <v>3.9646467363870563</v>
      </c>
      <c r="V4338" s="106">
        <v>36865.034613202581</v>
      </c>
      <c r="W4338" s="10">
        <v>1.0158129857184894</v>
      </c>
      <c r="X4338" s="420"/>
      <c r="Y4338" s="420"/>
    </row>
    <row r="4339" spans="17:25">
      <c r="Q4339" s="6">
        <v>4309</v>
      </c>
      <c r="R4339" s="7">
        <v>46976</v>
      </c>
      <c r="S4339" s="210">
        <v>4</v>
      </c>
      <c r="T4339" s="8">
        <v>1.0001111111111112</v>
      </c>
      <c r="U4339" s="98">
        <v>3.9646870913377708</v>
      </c>
      <c r="V4339" s="106">
        <v>36868.00083327687</v>
      </c>
      <c r="W4339" s="10">
        <v>1.015838283355408</v>
      </c>
      <c r="X4339" s="420"/>
      <c r="Y4339" s="420"/>
    </row>
    <row r="4340" spans="17:25">
      <c r="Q4340" s="6">
        <v>4310</v>
      </c>
      <c r="R4340" s="7">
        <v>46977</v>
      </c>
      <c r="S4340" s="210">
        <v>4</v>
      </c>
      <c r="T4340" s="8">
        <v>1.0001111111111112</v>
      </c>
      <c r="U4340" s="98">
        <v>3.9647274275779409</v>
      </c>
      <c r="V4340" s="106">
        <v>36870.967292018009</v>
      </c>
      <c r="W4340" s="10">
        <v>1.0158635692596008</v>
      </c>
      <c r="X4340" s="420"/>
      <c r="Y4340" s="420"/>
    </row>
    <row r="4341" spans="17:25">
      <c r="Q4341" s="6">
        <v>4311</v>
      </c>
      <c r="R4341" s="7">
        <v>46978</v>
      </c>
      <c r="S4341" s="210">
        <v>4</v>
      </c>
      <c r="T4341" s="8">
        <v>1.0001111111111112</v>
      </c>
      <c r="U4341" s="98">
        <v>3.9647677451205787</v>
      </c>
      <c r="V4341" s="106">
        <v>36873.933989445191</v>
      </c>
      <c r="W4341" s="10">
        <v>1.0158888434392388</v>
      </c>
      <c r="X4341" s="420"/>
      <c r="Y4341" s="420"/>
    </row>
    <row r="4342" spans="17:25">
      <c r="Q4342" s="6">
        <v>4312</v>
      </c>
      <c r="R4342" s="7">
        <v>46979</v>
      </c>
      <c r="S4342" s="210">
        <v>4</v>
      </c>
      <c r="T4342" s="8">
        <v>1.0001111111111112</v>
      </c>
      <c r="U4342" s="98">
        <v>3.9648080439786737</v>
      </c>
      <c r="V4342" s="106">
        <v>36876.900925577625</v>
      </c>
      <c r="W4342" s="10">
        <v>1.0159141059024712</v>
      </c>
      <c r="X4342" s="420"/>
      <c r="Y4342" s="420"/>
    </row>
    <row r="4343" spans="17:25">
      <c r="Q4343" s="6">
        <v>4313</v>
      </c>
      <c r="R4343" s="7">
        <v>46980</v>
      </c>
      <c r="S4343" s="210">
        <v>4</v>
      </c>
      <c r="T4343" s="8">
        <v>1.0001111111111112</v>
      </c>
      <c r="U4343" s="98">
        <v>3.9648483241652155</v>
      </c>
      <c r="V4343" s="106">
        <v>36879.868100434534</v>
      </c>
      <c r="W4343" s="10">
        <v>1.0159393566574471</v>
      </c>
      <c r="X4343" s="420"/>
      <c r="Y4343" s="420"/>
    </row>
    <row r="4344" spans="17:25">
      <c r="Q4344" s="6">
        <v>4314</v>
      </c>
      <c r="R4344" s="7">
        <v>46981</v>
      </c>
      <c r="S4344" s="210">
        <v>4</v>
      </c>
      <c r="T4344" s="8">
        <v>1.0001111111111112</v>
      </c>
      <c r="U4344" s="98">
        <v>3.9648885856931937</v>
      </c>
      <c r="V4344" s="106">
        <v>36882.835514035098</v>
      </c>
      <c r="W4344" s="10">
        <v>1.0159645957123375</v>
      </c>
      <c r="X4344" s="420"/>
      <c r="Y4344" s="420"/>
    </row>
    <row r="4345" spans="17:25">
      <c r="Q4345" s="6">
        <v>4315</v>
      </c>
      <c r="R4345" s="7">
        <v>46982</v>
      </c>
      <c r="S4345" s="210">
        <v>4</v>
      </c>
      <c r="T4345" s="8">
        <v>1.0001111111111112</v>
      </c>
      <c r="U4345" s="98">
        <v>3.9649288285755535</v>
      </c>
      <c r="V4345" s="106">
        <v>36885.803166398546</v>
      </c>
      <c r="W4345" s="10">
        <v>1.0159898230752029</v>
      </c>
      <c r="X4345" s="420"/>
      <c r="Y4345" s="420"/>
    </row>
    <row r="4346" spans="17:25">
      <c r="Q4346" s="6">
        <v>4316</v>
      </c>
      <c r="R4346" s="7">
        <v>46983</v>
      </c>
      <c r="S4346" s="210">
        <v>4</v>
      </c>
      <c r="T4346" s="8">
        <v>1.0001111111111112</v>
      </c>
      <c r="U4346" s="98">
        <v>3.9649690528252401</v>
      </c>
      <c r="V4346" s="106">
        <v>36888.771057544087</v>
      </c>
      <c r="W4346" s="10">
        <v>1.0160150387542144</v>
      </c>
      <c r="X4346" s="420"/>
      <c r="Y4346" s="420"/>
    </row>
    <row r="4347" spans="17:25">
      <c r="Q4347" s="6">
        <v>4317</v>
      </c>
      <c r="R4347" s="7">
        <v>46984</v>
      </c>
      <c r="S4347" s="210">
        <v>4</v>
      </c>
      <c r="T4347" s="8">
        <v>1.0001111111111112</v>
      </c>
      <c r="U4347" s="98">
        <v>3.9650092584551988</v>
      </c>
      <c r="V4347" s="106">
        <v>36891.73918749093</v>
      </c>
      <c r="W4347" s="10">
        <v>1.0160402427574988</v>
      </c>
      <c r="X4347" s="420"/>
      <c r="Y4347" s="420"/>
    </row>
    <row r="4348" spans="17:25">
      <c r="Q4348" s="6">
        <v>4318</v>
      </c>
      <c r="R4348" s="7">
        <v>46985</v>
      </c>
      <c r="S4348" s="210">
        <v>4</v>
      </c>
      <c r="T4348" s="8">
        <v>1.0001111111111112</v>
      </c>
      <c r="U4348" s="98">
        <v>3.9650494454783747</v>
      </c>
      <c r="V4348" s="106">
        <v>36894.707556258283</v>
      </c>
      <c r="W4348" s="10">
        <v>1.0160654350931386</v>
      </c>
      <c r="X4348" s="420"/>
      <c r="Y4348" s="420"/>
    </row>
    <row r="4349" spans="17:25">
      <c r="Q4349" s="6">
        <v>4319</v>
      </c>
      <c r="R4349" s="7">
        <v>46986</v>
      </c>
      <c r="S4349" s="210">
        <v>4</v>
      </c>
      <c r="T4349" s="8">
        <v>1.0001111111111112</v>
      </c>
      <c r="U4349" s="98">
        <v>3.9650896139076464</v>
      </c>
      <c r="V4349" s="106">
        <v>36897.676163865377</v>
      </c>
      <c r="W4349" s="10">
        <v>1.0160906157692162</v>
      </c>
      <c r="X4349" s="420"/>
      <c r="Y4349" s="420"/>
    </row>
    <row r="4350" spans="17:25">
      <c r="Q4350" s="6">
        <v>4320</v>
      </c>
      <c r="R4350" s="7">
        <v>46987</v>
      </c>
      <c r="S4350" s="210">
        <v>4</v>
      </c>
      <c r="T4350" s="8">
        <v>1.0001111111111112</v>
      </c>
      <c r="U4350" s="98">
        <v>3.9651297637559368</v>
      </c>
      <c r="V4350" s="106">
        <v>36900.645010331413</v>
      </c>
      <c r="W4350" s="10">
        <v>1.0161157847938584</v>
      </c>
      <c r="X4350" s="420"/>
      <c r="Y4350" s="420"/>
    </row>
    <row r="4351" spans="17:25">
      <c r="Q4351" s="6">
        <v>4321</v>
      </c>
      <c r="R4351" s="7">
        <v>46988</v>
      </c>
      <c r="S4351" s="210">
        <v>4</v>
      </c>
      <c r="T4351" s="8">
        <v>1.0001111111111112</v>
      </c>
      <c r="U4351" s="98">
        <v>3.9651698950361247</v>
      </c>
      <c r="V4351" s="106">
        <v>36903.614095675628</v>
      </c>
      <c r="W4351" s="10">
        <v>1.0161409421751255</v>
      </c>
      <c r="X4351" s="420"/>
      <c r="Y4351" s="420"/>
    </row>
    <row r="4352" spans="17:25">
      <c r="Q4352" s="6">
        <v>4322</v>
      </c>
      <c r="R4352" s="7">
        <v>46989</v>
      </c>
      <c r="S4352" s="210">
        <v>4</v>
      </c>
      <c r="T4352" s="8">
        <v>1.0001111111111112</v>
      </c>
      <c r="U4352" s="98">
        <v>3.9652100077611108</v>
      </c>
      <c r="V4352" s="106">
        <v>36906.583419917224</v>
      </c>
      <c r="W4352" s="10">
        <v>1.0161660879211443</v>
      </c>
      <c r="X4352" s="420"/>
      <c r="Y4352" s="420"/>
    </row>
    <row r="4353" spans="17:25">
      <c r="Q4353" s="6">
        <v>4323</v>
      </c>
      <c r="R4353" s="7">
        <v>46990</v>
      </c>
      <c r="S4353" s="210">
        <v>4</v>
      </c>
      <c r="T4353" s="8">
        <v>1.0001111111111112</v>
      </c>
      <c r="U4353" s="98">
        <v>3.9652501019437292</v>
      </c>
      <c r="V4353" s="106">
        <v>36909.552983075446</v>
      </c>
      <c r="W4353" s="10">
        <v>1.0161912220399083</v>
      </c>
      <c r="X4353" s="420"/>
      <c r="Y4353" s="420"/>
    </row>
    <row r="4354" spans="17:25">
      <c r="Q4354" s="6">
        <v>4324</v>
      </c>
      <c r="R4354" s="7">
        <v>46991</v>
      </c>
      <c r="S4354" s="210">
        <v>4</v>
      </c>
      <c r="T4354" s="8">
        <v>1.0001111111111112</v>
      </c>
      <c r="U4354" s="98">
        <v>3.9652901775968585</v>
      </c>
      <c r="V4354" s="106">
        <v>36912.522785169487</v>
      </c>
      <c r="W4354" s="10">
        <v>1.0162163445395445</v>
      </c>
      <c r="X4354" s="420"/>
      <c r="Y4354" s="420"/>
    </row>
    <row r="4355" spans="17:25">
      <c r="Q4355" s="6">
        <v>4325</v>
      </c>
      <c r="R4355" s="7">
        <v>46992</v>
      </c>
      <c r="S4355" s="210">
        <v>4</v>
      </c>
      <c r="T4355" s="8">
        <v>1.0001111111111112</v>
      </c>
      <c r="U4355" s="98">
        <v>3.965330234733333</v>
      </c>
      <c r="V4355" s="106">
        <v>36915.4928262186</v>
      </c>
      <c r="W4355" s="10">
        <v>1.0162414554280907</v>
      </c>
      <c r="X4355" s="420"/>
      <c r="Y4355" s="420"/>
    </row>
    <row r="4356" spans="17:25">
      <c r="Q4356" s="6">
        <v>4326</v>
      </c>
      <c r="R4356" s="7">
        <v>46993</v>
      </c>
      <c r="S4356" s="210">
        <v>4</v>
      </c>
      <c r="T4356" s="8">
        <v>1.0001111111111112</v>
      </c>
      <c r="U4356" s="98">
        <v>3.9653702733659646</v>
      </c>
      <c r="V4356" s="106">
        <v>36918.463106241994</v>
      </c>
      <c r="W4356" s="10">
        <v>1.016266554713563</v>
      </c>
      <c r="X4356" s="420"/>
      <c r="Y4356" s="420"/>
    </row>
    <row r="4357" spans="17:25">
      <c r="Q4357" s="6">
        <v>4327</v>
      </c>
      <c r="R4357" s="7">
        <v>46994</v>
      </c>
      <c r="S4357" s="210">
        <v>4</v>
      </c>
      <c r="T4357" s="8">
        <v>1.0001111111111112</v>
      </c>
      <c r="U4357" s="98">
        <v>3.9654102935075874</v>
      </c>
      <c r="V4357" s="106">
        <v>36921.433625258906</v>
      </c>
      <c r="W4357" s="10">
        <v>1.0162916424040214</v>
      </c>
      <c r="X4357" s="420"/>
      <c r="Y4357" s="420"/>
    </row>
    <row r="4358" spans="17:25">
      <c r="Q4358" s="6">
        <v>4328</v>
      </c>
      <c r="R4358" s="7">
        <v>46995</v>
      </c>
      <c r="S4358" s="210">
        <v>4</v>
      </c>
      <c r="T4358" s="8">
        <v>1.0001111111111112</v>
      </c>
      <c r="U4358" s="98">
        <v>3.9654502951710136</v>
      </c>
      <c r="V4358" s="106">
        <v>36924.404383288573</v>
      </c>
      <c r="W4358" s="10">
        <v>1.0163167185075039</v>
      </c>
      <c r="X4358" s="420"/>
      <c r="Y4358" s="420"/>
    </row>
    <row r="4359" spans="17:25">
      <c r="Q4359" s="6">
        <v>4329</v>
      </c>
      <c r="R4359" s="7">
        <v>46996</v>
      </c>
      <c r="S4359" s="210">
        <v>4</v>
      </c>
      <c r="T4359" s="8">
        <v>1.0001111111111112</v>
      </c>
      <c r="U4359" s="98">
        <v>3.9654902783690327</v>
      </c>
      <c r="V4359" s="106">
        <v>36927.375380350204</v>
      </c>
      <c r="W4359" s="10">
        <v>1.0163417830320487</v>
      </c>
      <c r="X4359" s="420"/>
      <c r="Y4359" s="420"/>
    </row>
    <row r="4360" spans="17:25">
      <c r="Q4360" s="6">
        <v>4330</v>
      </c>
      <c r="R4360" s="7">
        <v>46997</v>
      </c>
      <c r="S4360" s="210">
        <v>4</v>
      </c>
      <c r="T4360" s="8">
        <v>1.0001111111111112</v>
      </c>
      <c r="U4360" s="98">
        <v>3.9655302431144346</v>
      </c>
      <c r="V4360" s="106">
        <v>36930.346616463044</v>
      </c>
      <c r="W4360" s="10">
        <v>1.0163668359856493</v>
      </c>
      <c r="X4360" s="420"/>
      <c r="Y4360" s="420"/>
    </row>
    <row r="4361" spans="17:25">
      <c r="Q4361" s="6">
        <v>4331</v>
      </c>
      <c r="R4361" s="7">
        <v>46998</v>
      </c>
      <c r="S4361" s="210">
        <v>4</v>
      </c>
      <c r="T4361" s="8">
        <v>1.0001111111111112</v>
      </c>
      <c r="U4361" s="98">
        <v>3.9655701894199868</v>
      </c>
      <c r="V4361" s="106">
        <v>36933.318091646339</v>
      </c>
      <c r="W4361" s="10">
        <v>1.0163918773763436</v>
      </c>
      <c r="X4361" s="420"/>
      <c r="Y4361" s="420"/>
    </row>
    <row r="4362" spans="17:25">
      <c r="Q4362" s="6">
        <v>4332</v>
      </c>
      <c r="R4362" s="7">
        <v>46999</v>
      </c>
      <c r="S4362" s="210">
        <v>4</v>
      </c>
      <c r="T4362" s="8">
        <v>1.0001111111111112</v>
      </c>
      <c r="U4362" s="98">
        <v>3.9656101172984348</v>
      </c>
      <c r="V4362" s="106">
        <v>36936.289805919303</v>
      </c>
      <c r="W4362" s="10">
        <v>1.0164169072121032</v>
      </c>
      <c r="X4362" s="420"/>
      <c r="Y4362" s="420"/>
    </row>
    <row r="4363" spans="17:25">
      <c r="Q4363" s="6">
        <v>4333</v>
      </c>
      <c r="R4363" s="7">
        <v>47000</v>
      </c>
      <c r="S4363" s="210">
        <v>4</v>
      </c>
      <c r="T4363" s="8">
        <v>1.0001111111111112</v>
      </c>
      <c r="U4363" s="98">
        <v>3.9656500267625461</v>
      </c>
      <c r="V4363" s="106">
        <v>36939.261759301189</v>
      </c>
      <c r="W4363" s="10">
        <v>1.016441925500966</v>
      </c>
      <c r="X4363" s="420"/>
      <c r="Y4363" s="420"/>
    </row>
    <row r="4364" spans="17:25">
      <c r="Q4364" s="6">
        <v>4334</v>
      </c>
      <c r="R4364" s="7">
        <v>47001</v>
      </c>
      <c r="S4364" s="210">
        <v>4</v>
      </c>
      <c r="T4364" s="8">
        <v>1.0001111111111112</v>
      </c>
      <c r="U4364" s="98">
        <v>3.9656899178250438</v>
      </c>
      <c r="V4364" s="106">
        <v>36942.233951811235</v>
      </c>
      <c r="W4364" s="10">
        <v>1.0164669322508812</v>
      </c>
      <c r="X4364" s="420"/>
      <c r="Y4364" s="420"/>
    </row>
    <row r="4365" spans="17:25">
      <c r="Q4365" s="6">
        <v>4335</v>
      </c>
      <c r="R4365" s="7">
        <v>47002</v>
      </c>
      <c r="S4365" s="210">
        <v>4</v>
      </c>
      <c r="T4365" s="8">
        <v>1.0001111111111112</v>
      </c>
      <c r="U4365" s="98">
        <v>3.965729790498651</v>
      </c>
      <c r="V4365" s="106">
        <v>36945.206383468678</v>
      </c>
      <c r="W4365" s="10">
        <v>1.0164919274698203</v>
      </c>
      <c r="X4365" s="420"/>
      <c r="Y4365" s="420"/>
    </row>
    <row r="4366" spans="17:25">
      <c r="Q4366" s="6">
        <v>4336</v>
      </c>
      <c r="R4366" s="7">
        <v>47003</v>
      </c>
      <c r="S4366" s="210">
        <v>4</v>
      </c>
      <c r="T4366" s="8">
        <v>1.0001111111111112</v>
      </c>
      <c r="U4366" s="98">
        <v>3.9657696447960911</v>
      </c>
      <c r="V4366" s="106">
        <v>36948.179054292763</v>
      </c>
      <c r="W4366" s="10">
        <v>1.016516911165799</v>
      </c>
      <c r="X4366" s="420"/>
      <c r="Y4366" s="420"/>
    </row>
    <row r="4367" spans="17:25">
      <c r="Q4367" s="6">
        <v>4337</v>
      </c>
      <c r="R4367" s="7">
        <v>47004</v>
      </c>
      <c r="S4367" s="210">
        <v>4</v>
      </c>
      <c r="T4367" s="8">
        <v>1.0001111111111112</v>
      </c>
      <c r="U4367" s="98">
        <v>3.9658094807300648</v>
      </c>
      <c r="V4367" s="106">
        <v>36951.151964302728</v>
      </c>
      <c r="W4367" s="10">
        <v>1.0165418833467665</v>
      </c>
      <c r="X4367" s="420"/>
      <c r="Y4367" s="420"/>
    </row>
    <row r="4368" spans="17:25">
      <c r="Q4368" s="6">
        <v>4338</v>
      </c>
      <c r="R4368" s="7">
        <v>47005</v>
      </c>
      <c r="S4368" s="210">
        <v>4</v>
      </c>
      <c r="T4368" s="8">
        <v>1.0001111111111112</v>
      </c>
      <c r="U4368" s="98">
        <v>3.9658492983132509</v>
      </c>
      <c r="V4368" s="106">
        <v>36954.125113517817</v>
      </c>
      <c r="W4368" s="10">
        <v>1.0165668440206943</v>
      </c>
      <c r="X4368" s="420"/>
      <c r="Y4368" s="420"/>
    </row>
    <row r="4369" spans="17:25">
      <c r="Q4369" s="6">
        <v>4339</v>
      </c>
      <c r="R4369" s="7">
        <v>47006</v>
      </c>
      <c r="S4369" s="210">
        <v>4</v>
      </c>
      <c r="T4369" s="8">
        <v>1.0001111111111112</v>
      </c>
      <c r="U4369" s="98">
        <v>3.9658890975583283</v>
      </c>
      <c r="V4369" s="106">
        <v>36957.098501957291</v>
      </c>
      <c r="W4369" s="10">
        <v>1.0165917931954871</v>
      </c>
      <c r="X4369" s="420"/>
      <c r="Y4369" s="420"/>
    </row>
    <row r="4370" spans="17:25">
      <c r="Q4370" s="6">
        <v>4340</v>
      </c>
      <c r="R4370" s="7">
        <v>47007</v>
      </c>
      <c r="S4370" s="210">
        <v>4</v>
      </c>
      <c r="T4370" s="8">
        <v>1.0001111111111112</v>
      </c>
      <c r="U4370" s="98">
        <v>3.9659288784779756</v>
      </c>
      <c r="V4370" s="106">
        <v>36960.072129640386</v>
      </c>
      <c r="W4370" s="10">
        <v>1.0166167308791607</v>
      </c>
      <c r="X4370" s="420"/>
      <c r="Y4370" s="420"/>
    </row>
    <row r="4371" spans="17:25">
      <c r="Q4371" s="6">
        <v>4341</v>
      </c>
      <c r="R4371" s="7">
        <v>47008</v>
      </c>
      <c r="S4371" s="210">
        <v>4</v>
      </c>
      <c r="T4371" s="8">
        <v>1.0001111111111112</v>
      </c>
      <c r="U4371" s="98">
        <v>3.9659686410848272</v>
      </c>
      <c r="V4371" s="106">
        <v>36963.045996586356</v>
      </c>
      <c r="W4371" s="10">
        <v>1.0166416570795977</v>
      </c>
      <c r="X4371" s="420"/>
      <c r="Y4371" s="420"/>
    </row>
    <row r="4372" spans="17:25">
      <c r="Q4372" s="6">
        <v>4342</v>
      </c>
      <c r="R4372" s="7">
        <v>47009</v>
      </c>
      <c r="S4372" s="210">
        <v>4</v>
      </c>
      <c r="T4372" s="8">
        <v>1.0001111111111112</v>
      </c>
      <c r="U4372" s="98">
        <v>3.9660083853915395</v>
      </c>
      <c r="V4372" s="106">
        <v>36966.020102814451</v>
      </c>
      <c r="W4372" s="10">
        <v>1.0166665718047474</v>
      </c>
      <c r="X4372" s="420"/>
      <c r="Y4372" s="420"/>
    </row>
    <row r="4373" spans="17:25">
      <c r="Q4373" s="6">
        <v>4343</v>
      </c>
      <c r="R4373" s="7">
        <v>47010</v>
      </c>
      <c r="S4373" s="210">
        <v>4</v>
      </c>
      <c r="T4373" s="8">
        <v>1.0001111111111112</v>
      </c>
      <c r="U4373" s="98">
        <v>3.9660481114107249</v>
      </c>
      <c r="V4373" s="106">
        <v>36968.994448343918</v>
      </c>
      <c r="W4373" s="10">
        <v>1.0166914750625144</v>
      </c>
      <c r="X4373" s="420"/>
      <c r="Y4373" s="420"/>
    </row>
    <row r="4374" spans="17:25">
      <c r="Q4374" s="6">
        <v>4344</v>
      </c>
      <c r="R4374" s="7">
        <v>47011</v>
      </c>
      <c r="S4374" s="210">
        <v>4</v>
      </c>
      <c r="T4374" s="8">
        <v>1.0001111111111112</v>
      </c>
      <c r="U4374" s="98">
        <v>3.9660878191550175</v>
      </c>
      <c r="V4374" s="106">
        <v>36971.969033194022</v>
      </c>
      <c r="W4374" s="10">
        <v>1.0167163668608259</v>
      </c>
      <c r="X4374" s="420"/>
      <c r="Y4374" s="420"/>
    </row>
    <row r="4375" spans="17:25">
      <c r="Q4375" s="6">
        <v>4345</v>
      </c>
      <c r="R4375" s="7">
        <v>47012</v>
      </c>
      <c r="S4375" s="210">
        <v>4</v>
      </c>
      <c r="T4375" s="8">
        <v>1.0001111111111112</v>
      </c>
      <c r="U4375" s="98">
        <v>3.9661275086370296</v>
      </c>
      <c r="V4375" s="106">
        <v>36974.943857384016</v>
      </c>
      <c r="W4375" s="10">
        <v>1.0167412472075865</v>
      </c>
      <c r="X4375" s="420"/>
      <c r="Y4375" s="420"/>
    </row>
    <row r="4376" spans="17:25">
      <c r="Q4376" s="6">
        <v>4346</v>
      </c>
      <c r="R4376" s="7">
        <v>47013</v>
      </c>
      <c r="S4376" s="210">
        <v>4</v>
      </c>
      <c r="T4376" s="8">
        <v>1.0001111111111112</v>
      </c>
      <c r="U4376" s="98">
        <v>3.966167179869351</v>
      </c>
      <c r="V4376" s="106">
        <v>36977.918920933153</v>
      </c>
      <c r="W4376" s="10">
        <v>1.0167661161107233</v>
      </c>
      <c r="X4376" s="420"/>
      <c r="Y4376" s="420"/>
    </row>
    <row r="4377" spans="17:25">
      <c r="Q4377" s="6">
        <v>4347</v>
      </c>
      <c r="R4377" s="7">
        <v>47014</v>
      </c>
      <c r="S4377" s="210">
        <v>4</v>
      </c>
      <c r="T4377" s="8">
        <v>1.0001111111111112</v>
      </c>
      <c r="U4377" s="98">
        <v>3.9662068328645717</v>
      </c>
      <c r="V4377" s="106">
        <v>36980.894223860698</v>
      </c>
      <c r="W4377" s="10">
        <v>1.0167909735781189</v>
      </c>
      <c r="X4377" s="420"/>
      <c r="Y4377" s="420"/>
    </row>
    <row r="4378" spans="17:25">
      <c r="Q4378" s="6">
        <v>4348</v>
      </c>
      <c r="R4378" s="7">
        <v>47015</v>
      </c>
      <c r="S4378" s="210">
        <v>4</v>
      </c>
      <c r="T4378" s="8">
        <v>1.0001111111111112</v>
      </c>
      <c r="U4378" s="98">
        <v>3.9662464676352371</v>
      </c>
      <c r="V4378" s="106">
        <v>36983.869766185911</v>
      </c>
      <c r="W4378" s="10">
        <v>1.0168158196176114</v>
      </c>
      <c r="X4378" s="420"/>
      <c r="Y4378" s="420"/>
    </row>
    <row r="4379" spans="17:25">
      <c r="Q4379" s="6">
        <v>4349</v>
      </c>
      <c r="R4379" s="7">
        <v>47016</v>
      </c>
      <c r="S4379" s="210">
        <v>4</v>
      </c>
      <c r="T4379" s="8">
        <v>1.0001111111111112</v>
      </c>
      <c r="U4379" s="98">
        <v>3.9662860841939374</v>
      </c>
      <c r="V4379" s="106">
        <v>36986.845547928053</v>
      </c>
      <c r="W4379" s="10">
        <v>1.01684065423715</v>
      </c>
      <c r="X4379" s="420"/>
      <c r="Y4379" s="420"/>
    </row>
    <row r="4380" spans="17:25">
      <c r="Q4380" s="6">
        <v>4350</v>
      </c>
      <c r="R4380" s="7">
        <v>47017</v>
      </c>
      <c r="S4380" s="210">
        <v>4</v>
      </c>
      <c r="T4380" s="8">
        <v>1.0001111111111112</v>
      </c>
      <c r="U4380" s="98">
        <v>3.9663256825532178</v>
      </c>
      <c r="V4380" s="106">
        <v>36989.821569106389</v>
      </c>
      <c r="W4380" s="10">
        <v>1.0168654774445729</v>
      </c>
      <c r="X4380" s="420"/>
      <c r="Y4380" s="420"/>
    </row>
    <row r="4381" spans="17:25">
      <c r="Q4381" s="6">
        <v>4351</v>
      </c>
      <c r="R4381" s="7">
        <v>47018</v>
      </c>
      <c r="S4381" s="210">
        <v>4</v>
      </c>
      <c r="T4381" s="8">
        <v>1.0001111111111112</v>
      </c>
      <c r="U4381" s="98">
        <v>3.9663652627256019</v>
      </c>
      <c r="V4381" s="106">
        <v>36992.797829740179</v>
      </c>
      <c r="W4381" s="10">
        <v>1.0168902892477183</v>
      </c>
      <c r="X4381" s="420"/>
      <c r="Y4381" s="420"/>
    </row>
    <row r="4382" spans="17:25">
      <c r="Q4382" s="6">
        <v>4352</v>
      </c>
      <c r="R4382" s="7">
        <v>47019</v>
      </c>
      <c r="S4382" s="210">
        <v>4</v>
      </c>
      <c r="T4382" s="8">
        <v>1.0001111111111112</v>
      </c>
      <c r="U4382" s="98">
        <v>3.966404824723635</v>
      </c>
      <c r="V4382" s="106">
        <v>36995.774329848697</v>
      </c>
      <c r="W4382" s="10">
        <v>1.016915089654491</v>
      </c>
      <c r="X4382" s="420"/>
      <c r="Y4382" s="420"/>
    </row>
    <row r="4383" spans="17:25">
      <c r="Q4383" s="6">
        <v>4353</v>
      </c>
      <c r="R4383" s="7">
        <v>47020</v>
      </c>
      <c r="S4383" s="210">
        <v>4</v>
      </c>
      <c r="T4383" s="8">
        <v>1.0001111111111112</v>
      </c>
      <c r="U4383" s="98">
        <v>3.9664443685598183</v>
      </c>
      <c r="V4383" s="106">
        <v>36998.751069451209</v>
      </c>
      <c r="W4383" s="10">
        <v>1.0169398786727069</v>
      </c>
      <c r="X4383" s="420"/>
      <c r="Y4383" s="420"/>
    </row>
    <row r="4384" spans="17:25">
      <c r="Q4384" s="6">
        <v>4354</v>
      </c>
      <c r="R4384" s="7">
        <v>47021</v>
      </c>
      <c r="S4384" s="210">
        <v>4</v>
      </c>
      <c r="T4384" s="8">
        <v>1.0001111111111112</v>
      </c>
      <c r="U4384" s="98">
        <v>3.9664838942466751</v>
      </c>
      <c r="V4384" s="106">
        <v>37001.728048566983</v>
      </c>
      <c r="W4384" s="10">
        <v>1.0169646563102486</v>
      </c>
      <c r="X4384" s="420"/>
      <c r="Y4384" s="420"/>
    </row>
    <row r="4385" spans="17:25">
      <c r="Q4385" s="6">
        <v>4355</v>
      </c>
      <c r="R4385" s="7">
        <v>47022</v>
      </c>
      <c r="S4385" s="210">
        <v>4</v>
      </c>
      <c r="T4385" s="8">
        <v>1.0001111111111112</v>
      </c>
      <c r="U4385" s="98">
        <v>3.9665234017966622</v>
      </c>
      <c r="V4385" s="106">
        <v>37004.7052672153</v>
      </c>
      <c r="W4385" s="10">
        <v>1.0169894225748877</v>
      </c>
      <c r="X4385" s="420"/>
      <c r="Y4385" s="420"/>
    </row>
    <row r="4386" spans="17:25">
      <c r="Q4386" s="6">
        <v>4356</v>
      </c>
      <c r="R4386" s="7">
        <v>47023</v>
      </c>
      <c r="S4386" s="210">
        <v>4</v>
      </c>
      <c r="T4386" s="8">
        <v>1.0001111111111112</v>
      </c>
      <c r="U4386" s="98">
        <v>3.9665628912223028</v>
      </c>
      <c r="V4386" s="106">
        <v>37007.68272541542</v>
      </c>
      <c r="W4386" s="10">
        <v>1.0170141774745289</v>
      </c>
      <c r="X4386" s="420"/>
      <c r="Y4386" s="420"/>
    </row>
    <row r="4387" spans="17:25">
      <c r="Q4387" s="6">
        <v>4357</v>
      </c>
      <c r="R4387" s="7">
        <v>47024</v>
      </c>
      <c r="S4387" s="210">
        <v>4</v>
      </c>
      <c r="T4387" s="8">
        <v>1.0001111111111112</v>
      </c>
      <c r="U4387" s="98">
        <v>3.9666023625360314</v>
      </c>
      <c r="V4387" s="106">
        <v>37010.660423186622</v>
      </c>
      <c r="W4387" s="10">
        <v>1.0170389210169439</v>
      </c>
      <c r="X4387" s="420"/>
      <c r="Y4387" s="420"/>
    </row>
    <row r="4388" spans="17:25">
      <c r="Q4388" s="6">
        <v>4358</v>
      </c>
      <c r="R4388" s="7">
        <v>47025</v>
      </c>
      <c r="S4388" s="210">
        <v>4</v>
      </c>
      <c r="T4388" s="8">
        <v>1.0001111111111112</v>
      </c>
      <c r="U4388" s="98">
        <v>3.9666418157503269</v>
      </c>
      <c r="V4388" s="106">
        <v>37013.638360548182</v>
      </c>
      <c r="W4388" s="10">
        <v>1.0170636532099486</v>
      </c>
      <c r="X4388" s="420"/>
      <c r="Y4388" s="420"/>
    </row>
    <row r="4389" spans="17:25">
      <c r="Q4389" s="6">
        <v>4359</v>
      </c>
      <c r="R4389" s="7">
        <v>47026</v>
      </c>
      <c r="S4389" s="210">
        <v>4</v>
      </c>
      <c r="T4389" s="8">
        <v>1.0001111111111112</v>
      </c>
      <c r="U4389" s="98">
        <v>3.9666812508776239</v>
      </c>
      <c r="V4389" s="106">
        <v>37016.616537519381</v>
      </c>
      <c r="W4389" s="10">
        <v>1.0170883740613812</v>
      </c>
      <c r="X4389" s="420"/>
      <c r="Y4389" s="420"/>
    </row>
    <row r="4390" spans="17:25">
      <c r="Q4390" s="6">
        <v>4360</v>
      </c>
      <c r="R4390" s="7">
        <v>47027</v>
      </c>
      <c r="S4390" s="210">
        <v>4</v>
      </c>
      <c r="T4390" s="8">
        <v>1.0001111111111112</v>
      </c>
      <c r="U4390" s="98">
        <v>3.9667206679303568</v>
      </c>
      <c r="V4390" s="106">
        <v>37019.594954119508</v>
      </c>
      <c r="W4390" s="10">
        <v>1.017113083578991</v>
      </c>
      <c r="X4390" s="420"/>
      <c r="Y4390" s="420"/>
    </row>
    <row r="4391" spans="17:25">
      <c r="Q4391" s="6">
        <v>4361</v>
      </c>
      <c r="R4391" s="7">
        <v>47028</v>
      </c>
      <c r="S4391" s="210">
        <v>4</v>
      </c>
      <c r="T4391" s="8">
        <v>1.0001111111111112</v>
      </c>
      <c r="U4391" s="98">
        <v>3.9667600669209602</v>
      </c>
      <c r="V4391" s="106">
        <v>37022.573610367821</v>
      </c>
      <c r="W4391" s="10">
        <v>1.0171377817706162</v>
      </c>
      <c r="X4391" s="420"/>
      <c r="Y4391" s="420"/>
    </row>
    <row r="4392" spans="17:25">
      <c r="Q4392" s="6">
        <v>4362</v>
      </c>
      <c r="R4392" s="7">
        <v>47029</v>
      </c>
      <c r="S4392" s="210">
        <v>4</v>
      </c>
      <c r="T4392" s="8">
        <v>1.0001111111111112</v>
      </c>
      <c r="U4392" s="98">
        <v>3.966799447861824</v>
      </c>
      <c r="V4392" s="106">
        <v>37025.55250628361</v>
      </c>
      <c r="W4392" s="10">
        <v>1.0171624686440062</v>
      </c>
      <c r="X4392" s="420"/>
      <c r="Y4392" s="420"/>
    </row>
    <row r="4393" spans="17:25">
      <c r="Q4393" s="6">
        <v>4363</v>
      </c>
      <c r="R4393" s="7">
        <v>47030</v>
      </c>
      <c r="S4393" s="210">
        <v>4</v>
      </c>
      <c r="T4393" s="8">
        <v>1.0001111111111112</v>
      </c>
      <c r="U4393" s="98">
        <v>3.9668388107653829</v>
      </c>
      <c r="V4393" s="106">
        <v>37028.531641886177</v>
      </c>
      <c r="W4393" s="10">
        <v>1.0171871442069991</v>
      </c>
      <c r="X4393" s="420"/>
      <c r="Y4393" s="420"/>
    </row>
    <row r="4394" spans="17:25">
      <c r="Q4394" s="6">
        <v>4364</v>
      </c>
      <c r="R4394" s="7">
        <v>47031</v>
      </c>
      <c r="S4394" s="210">
        <v>4</v>
      </c>
      <c r="T4394" s="8">
        <v>1.0001111111111112</v>
      </c>
      <c r="U4394" s="98">
        <v>3.9668781556440047</v>
      </c>
      <c r="V4394" s="106">
        <v>37031.511017194782</v>
      </c>
      <c r="W4394" s="10">
        <v>1.0172118084672999</v>
      </c>
      <c r="X4394" s="420"/>
      <c r="Y4394" s="420"/>
    </row>
    <row r="4395" spans="17:25">
      <c r="Q4395" s="6">
        <v>4365</v>
      </c>
      <c r="R4395" s="7">
        <v>47032</v>
      </c>
      <c r="S4395" s="210">
        <v>4</v>
      </c>
      <c r="T4395" s="8">
        <v>1.0001111111111112</v>
      </c>
      <c r="U4395" s="98">
        <v>3.9669174825100573</v>
      </c>
      <c r="V4395" s="106">
        <v>37034.490632228735</v>
      </c>
      <c r="W4395" s="10">
        <v>1.0172364614326801</v>
      </c>
      <c r="X4395" s="420"/>
      <c r="Y4395" s="420"/>
    </row>
    <row r="4396" spans="17:25">
      <c r="Q4396" s="6">
        <v>4366</v>
      </c>
      <c r="R4396" s="7">
        <v>47033</v>
      </c>
      <c r="S4396" s="210">
        <v>4</v>
      </c>
      <c r="T4396" s="8">
        <v>1.0001111111111112</v>
      </c>
      <c r="U4396" s="98">
        <v>3.9669567913759307</v>
      </c>
      <c r="V4396" s="106">
        <v>37037.470487007304</v>
      </c>
      <c r="W4396" s="10">
        <v>1.0172611031109335</v>
      </c>
      <c r="X4396" s="420"/>
      <c r="Y4396" s="420"/>
    </row>
    <row r="4397" spans="17:25">
      <c r="Q4397" s="6">
        <v>4367</v>
      </c>
      <c r="R4397" s="7">
        <v>47034</v>
      </c>
      <c r="S4397" s="210">
        <v>4</v>
      </c>
      <c r="T4397" s="8">
        <v>1.0001111111111112</v>
      </c>
      <c r="U4397" s="98">
        <v>3.9669960822539707</v>
      </c>
      <c r="V4397" s="106">
        <v>37040.450581549798</v>
      </c>
      <c r="W4397" s="10">
        <v>1.0172857335097873</v>
      </c>
      <c r="X4397" s="420"/>
      <c r="Y4397" s="420"/>
    </row>
    <row r="4398" spans="17:25">
      <c r="Q4398" s="6">
        <v>4368</v>
      </c>
      <c r="R4398" s="7">
        <v>47035</v>
      </c>
      <c r="S4398" s="210">
        <v>4</v>
      </c>
      <c r="T4398" s="8">
        <v>1.0001111111111112</v>
      </c>
      <c r="U4398" s="98">
        <v>3.9670353551565229</v>
      </c>
      <c r="V4398" s="106">
        <v>37043.430915875491</v>
      </c>
      <c r="W4398" s="10">
        <v>1.0173103526369909</v>
      </c>
      <c r="X4398" s="420"/>
      <c r="Y4398" s="420"/>
    </row>
    <row r="4399" spans="17:25">
      <c r="Q4399" s="6">
        <v>4369</v>
      </c>
      <c r="R4399" s="7">
        <v>47036</v>
      </c>
      <c r="S4399" s="210">
        <v>4</v>
      </c>
      <c r="T4399" s="8">
        <v>1.0001111111111112</v>
      </c>
      <c r="U4399" s="98">
        <v>3.9670746100959109</v>
      </c>
      <c r="V4399" s="106">
        <v>37046.411490003688</v>
      </c>
      <c r="W4399" s="10">
        <v>1.0173349605002713</v>
      </c>
      <c r="X4399" s="420"/>
      <c r="Y4399" s="420"/>
    </row>
    <row r="4400" spans="17:25">
      <c r="Q4400" s="6">
        <v>4370</v>
      </c>
      <c r="R4400" s="7">
        <v>47037</v>
      </c>
      <c r="S4400" s="210">
        <v>4</v>
      </c>
      <c r="T4400" s="8">
        <v>1.0001111111111112</v>
      </c>
      <c r="U4400" s="98">
        <v>3.967113847084458</v>
      </c>
      <c r="V4400" s="106">
        <v>37049.392303953682</v>
      </c>
      <c r="W4400" s="10">
        <v>1.0173595571073557</v>
      </c>
      <c r="X4400" s="420"/>
      <c r="Y4400" s="420"/>
    </row>
    <row r="4401" spans="17:25">
      <c r="Q4401" s="6">
        <v>4371</v>
      </c>
      <c r="R4401" s="7">
        <v>47038</v>
      </c>
      <c r="S4401" s="210">
        <v>4</v>
      </c>
      <c r="T4401" s="8">
        <v>1.0001111111111112</v>
      </c>
      <c r="U4401" s="98">
        <v>3.9671530661344878</v>
      </c>
      <c r="V4401" s="106">
        <v>37052.373357744771</v>
      </c>
      <c r="W4401" s="10">
        <v>1.0173841424659935</v>
      </c>
      <c r="X4401" s="420"/>
      <c r="Y4401" s="420"/>
    </row>
    <row r="4402" spans="17:25">
      <c r="Q4402" s="6">
        <v>4372</v>
      </c>
      <c r="R4402" s="7">
        <v>47039</v>
      </c>
      <c r="S4402" s="210">
        <v>4</v>
      </c>
      <c r="T4402" s="8">
        <v>1.0001111111111112</v>
      </c>
      <c r="U4402" s="98">
        <v>3.9671922672582793</v>
      </c>
      <c r="V4402" s="106">
        <v>37055.35465139625</v>
      </c>
      <c r="W4402" s="10">
        <v>1.0174087165838452</v>
      </c>
      <c r="X4402" s="420"/>
      <c r="Y4402" s="420"/>
    </row>
    <row r="4403" spans="17:25">
      <c r="Q4403" s="6">
        <v>4373</v>
      </c>
      <c r="R4403" s="7">
        <v>47040</v>
      </c>
      <c r="S4403" s="210">
        <v>4</v>
      </c>
      <c r="T4403" s="8">
        <v>1.0001111111111112</v>
      </c>
      <c r="U4403" s="98">
        <v>3.9672314504681339</v>
      </c>
      <c r="V4403" s="106">
        <v>37058.336184927415</v>
      </c>
      <c r="W4403" s="10">
        <v>1.0174332794686602</v>
      </c>
      <c r="X4403" s="420"/>
      <c r="Y4403" s="420"/>
    </row>
    <row r="4404" spans="17:25">
      <c r="Q4404" s="6">
        <v>4374</v>
      </c>
      <c r="R4404" s="7">
        <v>47041</v>
      </c>
      <c r="S4404" s="210">
        <v>4</v>
      </c>
      <c r="T4404" s="8">
        <v>1.0001111111111112</v>
      </c>
      <c r="U4404" s="98">
        <v>3.9672706157763304</v>
      </c>
      <c r="V4404" s="106">
        <v>37061.317958357577</v>
      </c>
      <c r="W4404" s="10">
        <v>1.0174578311281435</v>
      </c>
      <c r="X4404" s="420"/>
      <c r="Y4404" s="420"/>
    </row>
    <row r="4405" spans="17:25">
      <c r="Q4405" s="6">
        <v>4375</v>
      </c>
      <c r="R4405" s="7">
        <v>47042</v>
      </c>
      <c r="S4405" s="210">
        <v>4</v>
      </c>
      <c r="T4405" s="8">
        <v>1.0001111111111112</v>
      </c>
      <c r="U4405" s="98">
        <v>3.967309763195126</v>
      </c>
      <c r="V4405" s="106">
        <v>37064.299971706023</v>
      </c>
      <c r="W4405" s="10">
        <v>1.0174823715699555</v>
      </c>
      <c r="X4405" s="420"/>
      <c r="Y4405" s="420"/>
    </row>
    <row r="4406" spans="17:25">
      <c r="Q4406" s="6">
        <v>4376</v>
      </c>
      <c r="R4406" s="7">
        <v>47043</v>
      </c>
      <c r="S4406" s="210">
        <v>4</v>
      </c>
      <c r="T4406" s="8">
        <v>1.0001111111111112</v>
      </c>
      <c r="U4406" s="98">
        <v>3.9673488927367773</v>
      </c>
      <c r="V4406" s="106">
        <v>37067.282224992072</v>
      </c>
      <c r="W4406" s="10">
        <v>1.0175069008018234</v>
      </c>
      <c r="X4406" s="420"/>
      <c r="Y4406" s="420"/>
    </row>
    <row r="4407" spans="17:25">
      <c r="Q4407" s="6">
        <v>4377</v>
      </c>
      <c r="R4407" s="7">
        <v>47044</v>
      </c>
      <c r="S4407" s="210">
        <v>4</v>
      </c>
      <c r="T4407" s="8">
        <v>1.0001111111111112</v>
      </c>
      <c r="U4407" s="98">
        <v>3.9673880044135412</v>
      </c>
      <c r="V4407" s="106">
        <v>37070.264718235034</v>
      </c>
      <c r="W4407" s="10">
        <v>1.0175314188313855</v>
      </c>
      <c r="X4407" s="420"/>
      <c r="Y4407" s="420"/>
    </row>
    <row r="4408" spans="17:25">
      <c r="Q4408" s="6">
        <v>4378</v>
      </c>
      <c r="R4408" s="7">
        <v>47045</v>
      </c>
      <c r="S4408" s="210">
        <v>4</v>
      </c>
      <c r="T4408" s="8">
        <v>1.0001111111111112</v>
      </c>
      <c r="U4408" s="98">
        <v>3.9674270982376303</v>
      </c>
      <c r="V4408" s="106">
        <v>37073.24745145419</v>
      </c>
      <c r="W4408" s="10">
        <v>1.0175559256663469</v>
      </c>
      <c r="X4408" s="420"/>
      <c r="Y4408" s="420"/>
    </row>
    <row r="4409" spans="17:25">
      <c r="Q4409" s="6">
        <v>4379</v>
      </c>
      <c r="R4409" s="7">
        <v>47046</v>
      </c>
      <c r="S4409" s="210">
        <v>4</v>
      </c>
      <c r="T4409" s="8">
        <v>1.0001111111111112</v>
      </c>
      <c r="U4409" s="98">
        <v>3.9674661742212791</v>
      </c>
      <c r="V4409" s="106">
        <v>37076.23042466888</v>
      </c>
      <c r="W4409" s="10">
        <v>1.017580421314368</v>
      </c>
      <c r="X4409" s="420"/>
      <c r="Y4409" s="420"/>
    </row>
    <row r="4410" spans="17:25">
      <c r="Q4410" s="6">
        <v>4380</v>
      </c>
      <c r="R4410" s="7">
        <v>47047</v>
      </c>
      <c r="S4410" s="210">
        <v>4</v>
      </c>
      <c r="T4410" s="8">
        <v>1.0001111111111112</v>
      </c>
      <c r="U4410" s="98">
        <v>3.967505232376678</v>
      </c>
      <c r="V4410" s="106">
        <v>37079.2136378984</v>
      </c>
      <c r="W4410" s="10">
        <v>1.017604905783065</v>
      </c>
      <c r="X4410" s="420"/>
      <c r="Y4410" s="420"/>
    </row>
    <row r="4411" spans="17:25">
      <c r="Q4411" s="6">
        <v>4381</v>
      </c>
      <c r="R4411" s="7">
        <v>47048</v>
      </c>
      <c r="S4411" s="210">
        <v>4</v>
      </c>
      <c r="T4411" s="8">
        <v>1.0001111111111112</v>
      </c>
      <c r="U4411" s="98">
        <v>3.9675442727160393</v>
      </c>
      <c r="V4411" s="106">
        <v>37082.197091162052</v>
      </c>
      <c r="W4411" s="10">
        <v>1.0176293790801427</v>
      </c>
      <c r="X4411" s="420"/>
      <c r="Y4411" s="420"/>
    </row>
    <row r="4412" spans="17:25">
      <c r="Q4412" s="6">
        <v>4382</v>
      </c>
      <c r="R4412" s="7">
        <v>47049</v>
      </c>
      <c r="S4412" s="210">
        <v>4</v>
      </c>
      <c r="T4412" s="8">
        <v>1.0001111111111112</v>
      </c>
      <c r="U4412" s="98">
        <v>3.9675832952515533</v>
      </c>
      <c r="V4412" s="106">
        <v>37085.180784479169</v>
      </c>
      <c r="W4412" s="10">
        <v>1.0176538412132174</v>
      </c>
      <c r="X4412" s="420"/>
      <c r="Y4412" s="420"/>
    </row>
    <row r="4413" spans="17:25">
      <c r="Q4413" s="6">
        <v>4383</v>
      </c>
      <c r="R4413" s="7">
        <v>47050</v>
      </c>
      <c r="S4413" s="210">
        <v>4</v>
      </c>
      <c r="T4413" s="8">
        <v>1.0001111111111112</v>
      </c>
      <c r="U4413" s="98">
        <v>3.9676222999953881</v>
      </c>
      <c r="V4413" s="106">
        <v>37088.164717869047</v>
      </c>
      <c r="W4413" s="10">
        <v>1.0176782921899497</v>
      </c>
      <c r="X4413" s="420"/>
      <c r="Y4413" s="420"/>
    </row>
    <row r="4414" spans="17:25">
      <c r="Q4414" s="6">
        <v>4384</v>
      </c>
      <c r="R4414" s="7">
        <v>47051</v>
      </c>
      <c r="S4414" s="210">
        <v>4</v>
      </c>
      <c r="T4414" s="8">
        <v>1.0001111111111112</v>
      </c>
      <c r="U4414" s="98">
        <v>3.9676612869597117</v>
      </c>
      <c r="V4414" s="106">
        <v>37091.148891351026</v>
      </c>
      <c r="W4414" s="10">
        <v>1.0177027320179333</v>
      </c>
      <c r="X4414" s="420"/>
      <c r="Y4414" s="420"/>
    </row>
    <row r="4415" spans="17:25">
      <c r="Q4415" s="6">
        <v>4385</v>
      </c>
      <c r="R4415" s="7">
        <v>47052</v>
      </c>
      <c r="S4415" s="210">
        <v>4</v>
      </c>
      <c r="T4415" s="8">
        <v>1.0001111111111112</v>
      </c>
      <c r="U4415" s="98">
        <v>3.9677002561566699</v>
      </c>
      <c r="V4415" s="106">
        <v>37094.133304944407</v>
      </c>
      <c r="W4415" s="10">
        <v>1.0177271607048066</v>
      </c>
      <c r="X4415" s="420"/>
      <c r="Y4415" s="420"/>
    </row>
    <row r="4416" spans="17:25">
      <c r="Q4416" s="6">
        <v>4386</v>
      </c>
      <c r="R4416" s="7">
        <v>47053</v>
      </c>
      <c r="S4416" s="210">
        <v>4</v>
      </c>
      <c r="T4416" s="8">
        <v>1.0001111111111112</v>
      </c>
      <c r="U4416" s="98">
        <v>3.9677392075984086</v>
      </c>
      <c r="V4416" s="106">
        <v>37097.11795866851</v>
      </c>
      <c r="W4416" s="10">
        <v>1.0177515782582081</v>
      </c>
      <c r="X4416" s="420"/>
      <c r="Y4416" s="420"/>
    </row>
    <row r="4417" spans="17:25">
      <c r="Q4417" s="6">
        <v>4387</v>
      </c>
      <c r="R4417" s="7">
        <v>47054</v>
      </c>
      <c r="S4417" s="210">
        <v>4</v>
      </c>
      <c r="T4417" s="8">
        <v>1.0001111111111112</v>
      </c>
      <c r="U4417" s="98">
        <v>3.9677781412970736</v>
      </c>
      <c r="V4417" s="106">
        <v>37100.102852542659</v>
      </c>
      <c r="W4417" s="10">
        <v>1.0177759846857093</v>
      </c>
      <c r="X4417" s="420"/>
      <c r="Y4417" s="420"/>
    </row>
    <row r="4418" spans="17:25">
      <c r="Q4418" s="6">
        <v>4388</v>
      </c>
      <c r="R4418" s="7">
        <v>47055</v>
      </c>
      <c r="S4418" s="210">
        <v>4</v>
      </c>
      <c r="T4418" s="8">
        <v>1.0001111111111112</v>
      </c>
      <c r="U4418" s="98">
        <v>3.9678170572647664</v>
      </c>
      <c r="V4418" s="106">
        <v>37103.087986586179</v>
      </c>
      <c r="W4418" s="10">
        <v>1.0178003799949487</v>
      </c>
      <c r="X4418" s="420"/>
      <c r="Y4418" s="420"/>
    </row>
    <row r="4419" spans="17:25">
      <c r="Q4419" s="6">
        <v>4389</v>
      </c>
      <c r="R4419" s="7">
        <v>47056</v>
      </c>
      <c r="S4419" s="210">
        <v>4</v>
      </c>
      <c r="T4419" s="8">
        <v>1.0001111111111112</v>
      </c>
      <c r="U4419" s="98">
        <v>3.9678559555136106</v>
      </c>
      <c r="V4419" s="106">
        <v>37106.073360818395</v>
      </c>
      <c r="W4419" s="10">
        <v>1.0178247641934979</v>
      </c>
      <c r="X4419" s="420"/>
      <c r="Y4419" s="420"/>
    </row>
    <row r="4420" spans="17:25">
      <c r="Q4420" s="6">
        <v>4390</v>
      </c>
      <c r="R4420" s="7">
        <v>47057</v>
      </c>
      <c r="S4420" s="210">
        <v>4</v>
      </c>
      <c r="T4420" s="8">
        <v>1.0001111111111112</v>
      </c>
      <c r="U4420" s="98">
        <v>3.9678948360557076</v>
      </c>
      <c r="V4420" s="106">
        <v>37109.058975258631</v>
      </c>
      <c r="W4420" s="10">
        <v>1.0178491372889731</v>
      </c>
      <c r="X4420" s="420"/>
      <c r="Y4420" s="420"/>
    </row>
    <row r="4421" spans="17:25">
      <c r="Q4421" s="6">
        <v>4391</v>
      </c>
      <c r="R4421" s="7">
        <v>47058</v>
      </c>
      <c r="S4421" s="210">
        <v>4</v>
      </c>
      <c r="T4421" s="8">
        <v>1.0001111111111112</v>
      </c>
      <c r="U4421" s="98">
        <v>3.9679336989031366</v>
      </c>
      <c r="V4421" s="106">
        <v>37112.044829926213</v>
      </c>
      <c r="W4421" s="10">
        <v>1.0178734992889238</v>
      </c>
      <c r="X4421" s="420"/>
      <c r="Y4421" s="420"/>
    </row>
    <row r="4422" spans="17:25">
      <c r="Q4422" s="6">
        <v>4392</v>
      </c>
      <c r="R4422" s="7">
        <v>47059</v>
      </c>
      <c r="S4422" s="210">
        <v>4</v>
      </c>
      <c r="T4422" s="8">
        <v>1.0001111111111112</v>
      </c>
      <c r="U4422" s="98">
        <v>3.9679725440679769</v>
      </c>
      <c r="V4422" s="106">
        <v>37115.030924840474</v>
      </c>
      <c r="W4422" s="10">
        <v>1.0178978502009439</v>
      </c>
      <c r="X4422" s="420"/>
      <c r="Y4422" s="420"/>
    </row>
    <row r="4423" spans="17:25">
      <c r="Q4423" s="6">
        <v>4393</v>
      </c>
      <c r="R4423" s="7">
        <v>47060</v>
      </c>
      <c r="S4423" s="210">
        <v>4</v>
      </c>
      <c r="T4423" s="8">
        <v>1.0001111111111112</v>
      </c>
      <c r="U4423" s="98">
        <v>3.9680113715622856</v>
      </c>
      <c r="V4423" s="106">
        <v>37118.017260020737</v>
      </c>
      <c r="W4423" s="10">
        <v>1.0179221900326052</v>
      </c>
      <c r="X4423" s="420"/>
      <c r="Y4423" s="420"/>
    </row>
    <row r="4424" spans="17:25">
      <c r="Q4424" s="6">
        <v>4394</v>
      </c>
      <c r="R4424" s="7">
        <v>47061</v>
      </c>
      <c r="S4424" s="210">
        <v>4</v>
      </c>
      <c r="T4424" s="8">
        <v>1.0001111111111112</v>
      </c>
      <c r="U4424" s="98">
        <v>3.9680501813981195</v>
      </c>
      <c r="V4424" s="106">
        <v>37121.003835486343</v>
      </c>
      <c r="W4424" s="10">
        <v>1.0179465187914349</v>
      </c>
      <c r="X4424" s="420"/>
      <c r="Y4424" s="420"/>
    </row>
    <row r="4425" spans="17:25">
      <c r="Q4425" s="6">
        <v>4395</v>
      </c>
      <c r="R4425" s="7">
        <v>47062</v>
      </c>
      <c r="S4425" s="210">
        <v>4</v>
      </c>
      <c r="T4425" s="8">
        <v>1.0001111111111112</v>
      </c>
      <c r="U4425" s="98">
        <v>3.9680889735875358</v>
      </c>
      <c r="V4425" s="106">
        <v>37123.990651256616</v>
      </c>
      <c r="W4425" s="10">
        <v>1.0179708364850493</v>
      </c>
      <c r="X4425" s="420"/>
      <c r="Y4425" s="420"/>
    </row>
    <row r="4426" spans="17:25">
      <c r="Q4426" s="6">
        <v>4396</v>
      </c>
      <c r="R4426" s="7">
        <v>47063</v>
      </c>
      <c r="S4426" s="210">
        <v>4</v>
      </c>
      <c r="T4426" s="8">
        <v>1.0001111111111112</v>
      </c>
      <c r="U4426" s="98">
        <v>3.968127748142547</v>
      </c>
      <c r="V4426" s="106">
        <v>37126.97770735091</v>
      </c>
      <c r="W4426" s="10">
        <v>1.0179951431209089</v>
      </c>
      <c r="X4426" s="420"/>
      <c r="Y4426" s="420"/>
    </row>
    <row r="4427" spans="17:25">
      <c r="Q4427" s="6">
        <v>4397</v>
      </c>
      <c r="R4427" s="7">
        <v>47064</v>
      </c>
      <c r="S4427" s="210">
        <v>4</v>
      </c>
      <c r="T4427" s="8">
        <v>1.0001111111111112</v>
      </c>
      <c r="U4427" s="98">
        <v>3.968166505075188</v>
      </c>
      <c r="V4427" s="106">
        <v>37129.965003788544</v>
      </c>
      <c r="W4427" s="10">
        <v>1.0180194387066299</v>
      </c>
      <c r="X4427" s="420"/>
      <c r="Y4427" s="420"/>
    </row>
    <row r="4428" spans="17:25">
      <c r="Q4428" s="6">
        <v>4398</v>
      </c>
      <c r="R4428" s="7">
        <v>47065</v>
      </c>
      <c r="S4428" s="210">
        <v>4</v>
      </c>
      <c r="T4428" s="8">
        <v>1.0001111111111112</v>
      </c>
      <c r="U4428" s="98">
        <v>3.9682052443974714</v>
      </c>
      <c r="V4428" s="106">
        <v>37132.952540588856</v>
      </c>
      <c r="W4428" s="10">
        <v>1.0180437232497175</v>
      </c>
      <c r="X4428" s="420"/>
      <c r="Y4428" s="420"/>
    </row>
    <row r="4429" spans="17:25">
      <c r="Q4429" s="6">
        <v>4399</v>
      </c>
      <c r="R4429" s="7">
        <v>47066</v>
      </c>
      <c r="S4429" s="210">
        <v>4</v>
      </c>
      <c r="T4429" s="8">
        <v>1.0001111111111112</v>
      </c>
      <c r="U4429" s="98">
        <v>3.9682439661213875</v>
      </c>
      <c r="V4429" s="106">
        <v>37135.940317771201</v>
      </c>
      <c r="W4429" s="10">
        <v>1.0180679967576989</v>
      </c>
      <c r="X4429" s="420"/>
      <c r="Y4429" s="420"/>
    </row>
    <row r="4430" spans="17:25">
      <c r="Q4430" s="6">
        <v>4400</v>
      </c>
      <c r="R4430" s="7">
        <v>47067</v>
      </c>
      <c r="S4430" s="210">
        <v>4</v>
      </c>
      <c r="T4430" s="8">
        <v>1.0001111111111112</v>
      </c>
      <c r="U4430" s="98">
        <v>3.9682826702589491</v>
      </c>
      <c r="V4430" s="106">
        <v>37138.928335354911</v>
      </c>
      <c r="W4430" s="10">
        <v>1.0180922592381014</v>
      </c>
      <c r="X4430" s="420"/>
      <c r="Y4430" s="420"/>
    </row>
    <row r="4431" spans="17:25">
      <c r="Q4431" s="6">
        <v>4401</v>
      </c>
      <c r="R4431" s="7">
        <v>47068</v>
      </c>
      <c r="S4431" s="210">
        <v>4</v>
      </c>
      <c r="T4431" s="8">
        <v>1.0001111111111112</v>
      </c>
      <c r="U4431" s="98">
        <v>3.9683213568221021</v>
      </c>
      <c r="V4431" s="106">
        <v>37141.916593359325</v>
      </c>
      <c r="W4431" s="10">
        <v>1.0181165106984302</v>
      </c>
      <c r="X4431" s="420"/>
      <c r="Y4431" s="420"/>
    </row>
    <row r="4432" spans="17:25">
      <c r="Q4432" s="6">
        <v>4402</v>
      </c>
      <c r="R4432" s="7">
        <v>47069</v>
      </c>
      <c r="S4432" s="210">
        <v>4</v>
      </c>
      <c r="T4432" s="8">
        <v>1.0001111111111112</v>
      </c>
      <c r="U4432" s="98">
        <v>3.9683600258228369</v>
      </c>
      <c r="V4432" s="106">
        <v>37144.90509180379</v>
      </c>
      <c r="W4432" s="10">
        <v>1.0181407511462126</v>
      </c>
      <c r="X4432" s="420"/>
      <c r="Y4432" s="420"/>
    </row>
    <row r="4433" spans="17:25">
      <c r="Q4433" s="6">
        <v>4403</v>
      </c>
      <c r="R4433" s="7">
        <v>47070</v>
      </c>
      <c r="S4433" s="210">
        <v>4</v>
      </c>
      <c r="T4433" s="8">
        <v>1.0001111111111112</v>
      </c>
      <c r="U4433" s="98">
        <v>3.9683986772730995</v>
      </c>
      <c r="V4433" s="106">
        <v>37147.893830707661</v>
      </c>
      <c r="W4433" s="10">
        <v>1.0181649805889093</v>
      </c>
      <c r="X4433" s="420"/>
      <c r="Y4433" s="420"/>
    </row>
    <row r="4434" spans="17:25">
      <c r="Q4434" s="6">
        <v>4404</v>
      </c>
      <c r="R4434" s="7">
        <v>47071</v>
      </c>
      <c r="S4434" s="210">
        <v>4</v>
      </c>
      <c r="T4434" s="8">
        <v>1.0001111111111112</v>
      </c>
      <c r="U4434" s="98">
        <v>3.9684373111848359</v>
      </c>
      <c r="V4434" s="106">
        <v>37150.882810090276</v>
      </c>
      <c r="W4434" s="10">
        <v>1.0181891990340475</v>
      </c>
      <c r="X4434" s="420"/>
      <c r="Y4434" s="420"/>
    </row>
    <row r="4435" spans="17:25">
      <c r="Q4435" s="6">
        <v>4405</v>
      </c>
      <c r="R4435" s="7">
        <v>47072</v>
      </c>
      <c r="S4435" s="210">
        <v>4</v>
      </c>
      <c r="T4435" s="8">
        <v>1.0001111111111112</v>
      </c>
      <c r="U4435" s="98">
        <v>3.9684759275699921</v>
      </c>
      <c r="V4435" s="106">
        <v>37153.872029970982</v>
      </c>
      <c r="W4435" s="10">
        <v>1.018213406489088</v>
      </c>
      <c r="X4435" s="420"/>
      <c r="Y4435" s="420"/>
    </row>
    <row r="4436" spans="17:25">
      <c r="Q4436" s="6">
        <v>4406</v>
      </c>
      <c r="R4436" s="7">
        <v>47073</v>
      </c>
      <c r="S4436" s="210">
        <v>4</v>
      </c>
      <c r="T4436" s="8">
        <v>1.0001111111111112</v>
      </c>
      <c r="U4436" s="98">
        <v>3.9685145264404698</v>
      </c>
      <c r="V4436" s="106">
        <v>37156.861490369141</v>
      </c>
      <c r="W4436" s="10">
        <v>1.0182376029615137</v>
      </c>
      <c r="X4436" s="420"/>
      <c r="Y4436" s="420"/>
    </row>
    <row r="4437" spans="17:25">
      <c r="Q4437" s="6">
        <v>4407</v>
      </c>
      <c r="R4437" s="7">
        <v>47074</v>
      </c>
      <c r="S4437" s="210">
        <v>4</v>
      </c>
      <c r="T4437" s="8">
        <v>1.0001111111111112</v>
      </c>
      <c r="U4437" s="98">
        <v>3.9685531078081926</v>
      </c>
      <c r="V4437" s="106">
        <v>37159.8511913041</v>
      </c>
      <c r="W4437" s="10">
        <v>1.0182617884588074</v>
      </c>
      <c r="X4437" s="420"/>
      <c r="Y4437" s="420"/>
    </row>
    <row r="4438" spans="17:25">
      <c r="Q4438" s="6">
        <v>4408</v>
      </c>
      <c r="R4438" s="7">
        <v>47075</v>
      </c>
      <c r="S4438" s="210">
        <v>4</v>
      </c>
      <c r="T4438" s="8">
        <v>1.0001111111111112</v>
      </c>
      <c r="U4438" s="98">
        <v>3.9685916716850844</v>
      </c>
      <c r="V4438" s="106">
        <v>37162.841132795213</v>
      </c>
      <c r="W4438" s="10">
        <v>1.0182859629884522</v>
      </c>
      <c r="X4438" s="420"/>
      <c r="Y4438" s="420"/>
    </row>
    <row r="4439" spans="17:25">
      <c r="Q4439" s="6">
        <v>4409</v>
      </c>
      <c r="R4439" s="7">
        <v>47076</v>
      </c>
      <c r="S4439" s="210">
        <v>4</v>
      </c>
      <c r="T4439" s="8">
        <v>1.0001111111111112</v>
      </c>
      <c r="U4439" s="98">
        <v>3.9686302180830024</v>
      </c>
      <c r="V4439" s="106">
        <v>37165.831314861833</v>
      </c>
      <c r="W4439" s="10">
        <v>1.0183101265578642</v>
      </c>
      <c r="X4439" s="420"/>
      <c r="Y4439" s="420"/>
    </row>
    <row r="4440" spans="17:25">
      <c r="Q4440" s="6">
        <v>4410</v>
      </c>
      <c r="R4440" s="7">
        <v>47077</v>
      </c>
      <c r="S4440" s="210">
        <v>4</v>
      </c>
      <c r="T4440" s="8">
        <v>1.0001111111111112</v>
      </c>
      <c r="U4440" s="98">
        <v>3.9686687470138482</v>
      </c>
      <c r="V4440" s="106">
        <v>37168.821737523322</v>
      </c>
      <c r="W4440" s="10">
        <v>1.0183342791745487</v>
      </c>
      <c r="X4440" s="420"/>
      <c r="Y4440" s="420"/>
    </row>
    <row r="4441" spans="17:25">
      <c r="Q4441" s="6">
        <v>4411</v>
      </c>
      <c r="R4441" s="7">
        <v>47078</v>
      </c>
      <c r="S4441" s="210">
        <v>4</v>
      </c>
      <c r="T4441" s="8">
        <v>1.0001111111111112</v>
      </c>
      <c r="U4441" s="98">
        <v>3.9687072584894789</v>
      </c>
      <c r="V4441" s="106">
        <v>37171.812400799034</v>
      </c>
      <c r="W4441" s="10">
        <v>1.0183584208458774</v>
      </c>
      <c r="X4441" s="420"/>
      <c r="Y4441" s="420"/>
    </row>
    <row r="4442" spans="17:25">
      <c r="Q4442" s="6">
        <v>4412</v>
      </c>
      <c r="R4442" s="7">
        <v>47079</v>
      </c>
      <c r="S4442" s="210">
        <v>4</v>
      </c>
      <c r="T4442" s="8">
        <v>1.0001111111111112</v>
      </c>
      <c r="U4442" s="98">
        <v>3.968745752521774</v>
      </c>
      <c r="V4442" s="106">
        <v>37174.80330470833</v>
      </c>
      <c r="W4442" s="10">
        <v>1.0183825515793776</v>
      </c>
      <c r="X4442" s="420"/>
      <c r="Y4442" s="420"/>
    </row>
    <row r="4443" spans="17:25">
      <c r="Q4443" s="6">
        <v>4413</v>
      </c>
      <c r="R4443" s="7">
        <v>47080</v>
      </c>
      <c r="S4443" s="210">
        <v>4</v>
      </c>
      <c r="T4443" s="8">
        <v>1.0001111111111112</v>
      </c>
      <c r="U4443" s="98">
        <v>3.9687842291225683</v>
      </c>
      <c r="V4443" s="106">
        <v>37177.794449270572</v>
      </c>
      <c r="W4443" s="10">
        <v>1.0184066713823992</v>
      </c>
      <c r="X4443" s="420"/>
      <c r="Y4443" s="420"/>
    </row>
    <row r="4444" spans="17:25">
      <c r="Q4444" s="6">
        <v>4414</v>
      </c>
      <c r="R4444" s="7">
        <v>47081</v>
      </c>
      <c r="S4444" s="210">
        <v>4</v>
      </c>
      <c r="T4444" s="8">
        <v>1.0001111111111112</v>
      </c>
      <c r="U4444" s="98">
        <v>3.968822688303697</v>
      </c>
      <c r="V4444" s="106">
        <v>37180.785834505128</v>
      </c>
      <c r="W4444" s="10">
        <v>1.0184307802624248</v>
      </c>
      <c r="X4444" s="420"/>
      <c r="Y4444" s="420"/>
    </row>
    <row r="4445" spans="17:25">
      <c r="Q4445" s="6">
        <v>4415</v>
      </c>
      <c r="R4445" s="7">
        <v>47082</v>
      </c>
      <c r="S4445" s="210">
        <v>4</v>
      </c>
      <c r="T4445" s="8">
        <v>1.0001111111111112</v>
      </c>
      <c r="U4445" s="98">
        <v>3.9688611300769949</v>
      </c>
      <c r="V4445" s="106">
        <v>37183.777460431353</v>
      </c>
      <c r="W4445" s="10">
        <v>1.0184548782268488</v>
      </c>
      <c r="X4445" s="420"/>
      <c r="Y4445" s="420"/>
    </row>
    <row r="4446" spans="17:25">
      <c r="Q4446" s="6">
        <v>4416</v>
      </c>
      <c r="R4446" s="7">
        <v>47083</v>
      </c>
      <c r="S4446" s="210">
        <v>4</v>
      </c>
      <c r="T4446" s="8">
        <v>1.0001111111111112</v>
      </c>
      <c r="U4446" s="98">
        <v>3.9688995544542527</v>
      </c>
      <c r="V4446" s="106">
        <v>37186.769327068629</v>
      </c>
      <c r="W4446" s="10">
        <v>1.018478965283065</v>
      </c>
      <c r="X4446" s="420"/>
      <c r="Y4446" s="420"/>
    </row>
    <row r="4447" spans="17:25">
      <c r="Q4447" s="6">
        <v>4417</v>
      </c>
      <c r="R4447" s="7">
        <v>47084</v>
      </c>
      <c r="S4447" s="210">
        <v>4</v>
      </c>
      <c r="T4447" s="8">
        <v>1.0001111111111112</v>
      </c>
      <c r="U4447" s="98">
        <v>3.9689379614473053</v>
      </c>
      <c r="V4447" s="106">
        <v>37189.761434436303</v>
      </c>
      <c r="W4447" s="10">
        <v>1.0185030414384899</v>
      </c>
      <c r="X4447" s="420"/>
      <c r="Y4447" s="420"/>
    </row>
    <row r="4448" spans="17:25">
      <c r="Q4448" s="6">
        <v>4418</v>
      </c>
      <c r="R4448" s="7">
        <v>47085</v>
      </c>
      <c r="S4448" s="210">
        <v>4</v>
      </c>
      <c r="T4448" s="8">
        <v>1.0001111111111112</v>
      </c>
      <c r="U4448" s="98">
        <v>3.9689763510679432</v>
      </c>
      <c r="V4448" s="106">
        <v>37192.753782553766</v>
      </c>
      <c r="W4448" s="10">
        <v>1.0185271067005619</v>
      </c>
      <c r="X4448" s="420"/>
      <c r="Y4448" s="420"/>
    </row>
    <row r="4449" spans="17:25">
      <c r="Q4449" s="6">
        <v>4419</v>
      </c>
      <c r="R4449" s="7">
        <v>47086</v>
      </c>
      <c r="S4449" s="210">
        <v>4</v>
      </c>
      <c r="T4449" s="8">
        <v>1.0001111111111112</v>
      </c>
      <c r="U4449" s="98">
        <v>3.9690147233279349</v>
      </c>
      <c r="V4449" s="106">
        <v>37195.746371440371</v>
      </c>
      <c r="W4449" s="10">
        <v>1.0185511610766085</v>
      </c>
      <c r="X4449" s="420"/>
      <c r="Y4449" s="420"/>
    </row>
    <row r="4450" spans="17:25">
      <c r="Q4450" s="6">
        <v>4420</v>
      </c>
      <c r="R4450" s="7">
        <v>47087</v>
      </c>
      <c r="S4450" s="210">
        <v>4</v>
      </c>
      <c r="T4450" s="8">
        <v>1.0001111111111112</v>
      </c>
      <c r="U4450" s="98">
        <v>3.9690530782390709</v>
      </c>
      <c r="V4450" s="106">
        <v>37198.739201115503</v>
      </c>
      <c r="W4450" s="10">
        <v>1.0185752045740681</v>
      </c>
      <c r="X4450" s="420"/>
      <c r="Y4450" s="420"/>
    </row>
    <row r="4451" spans="17:25">
      <c r="Q4451" s="6">
        <v>4421</v>
      </c>
      <c r="R4451" s="7">
        <v>47088</v>
      </c>
      <c r="S4451" s="210">
        <v>4</v>
      </c>
      <c r="T4451" s="8">
        <v>1.0001111111111112</v>
      </c>
      <c r="U4451" s="98">
        <v>3.9690914158131196</v>
      </c>
      <c r="V4451" s="106">
        <v>37201.732271598536</v>
      </c>
      <c r="W4451" s="10">
        <v>1.0185992372002906</v>
      </c>
      <c r="X4451" s="420"/>
      <c r="Y4451" s="420"/>
    </row>
    <row r="4452" spans="17:25">
      <c r="Q4452" s="6">
        <v>4422</v>
      </c>
      <c r="R4452" s="7">
        <v>47089</v>
      </c>
      <c r="S4452" s="210">
        <v>4</v>
      </c>
      <c r="T4452" s="8">
        <v>1.0001111111111112</v>
      </c>
      <c r="U4452" s="98">
        <v>3.969129736061805</v>
      </c>
      <c r="V4452" s="106">
        <v>37204.725582908839</v>
      </c>
      <c r="W4452" s="10">
        <v>1.0186232589626254</v>
      </c>
      <c r="X4452" s="420"/>
      <c r="Y4452" s="420"/>
    </row>
    <row r="4453" spans="17:25">
      <c r="Q4453" s="6">
        <v>4423</v>
      </c>
      <c r="R4453" s="7">
        <v>47090</v>
      </c>
      <c r="S4453" s="210">
        <v>4</v>
      </c>
      <c r="T4453" s="8">
        <v>1.0001111111111112</v>
      </c>
      <c r="U4453" s="98">
        <v>3.9691680389968953</v>
      </c>
      <c r="V4453" s="106">
        <v>37207.719135065789</v>
      </c>
      <c r="W4453" s="10">
        <v>1.0186472698685112</v>
      </c>
      <c r="X4453" s="420"/>
      <c r="Y4453" s="420"/>
    </row>
    <row r="4454" spans="17:25">
      <c r="Q4454" s="6">
        <v>4424</v>
      </c>
      <c r="R4454" s="7">
        <v>47091</v>
      </c>
      <c r="S4454" s="210">
        <v>4</v>
      </c>
      <c r="T4454" s="8">
        <v>1.0001111111111112</v>
      </c>
      <c r="U4454" s="98">
        <v>3.9692063246301146</v>
      </c>
      <c r="V4454" s="106">
        <v>37210.712928088768</v>
      </c>
      <c r="W4454" s="10">
        <v>1.0186712699252309</v>
      </c>
      <c r="X4454" s="420"/>
      <c r="Y4454" s="420"/>
    </row>
    <row r="4455" spans="17:25">
      <c r="Q4455" s="6">
        <v>4425</v>
      </c>
      <c r="R4455" s="7">
        <v>47092</v>
      </c>
      <c r="S4455" s="210">
        <v>4</v>
      </c>
      <c r="T4455" s="8">
        <v>1.0001111111111112</v>
      </c>
      <c r="U4455" s="98">
        <v>3.9692445929731868</v>
      </c>
      <c r="V4455" s="106">
        <v>37213.706961997159</v>
      </c>
      <c r="W4455" s="10">
        <v>1.0186952591401788</v>
      </c>
      <c r="X4455" s="420"/>
      <c r="Y4455" s="420"/>
    </row>
    <row r="4456" spans="17:25">
      <c r="Q4456" s="6">
        <v>4426</v>
      </c>
      <c r="R4456" s="7">
        <v>47093</v>
      </c>
      <c r="S4456" s="210">
        <v>4</v>
      </c>
      <c r="T4456" s="8">
        <v>1.0001111111111112</v>
      </c>
      <c r="U4456" s="98">
        <v>3.9692828440378136</v>
      </c>
      <c r="V4456" s="106">
        <v>37216.701236810339</v>
      </c>
      <c r="W4456" s="10">
        <v>1.0187192375206822</v>
      </c>
      <c r="X4456" s="420"/>
      <c r="Y4456" s="420"/>
    </row>
    <row r="4457" spans="17:25">
      <c r="Q4457" s="6">
        <v>4427</v>
      </c>
      <c r="R4457" s="7">
        <v>47094</v>
      </c>
      <c r="S4457" s="210">
        <v>4</v>
      </c>
      <c r="T4457" s="8">
        <v>1.0001111111111112</v>
      </c>
      <c r="U4457" s="98">
        <v>3.9693210778356969</v>
      </c>
      <c r="V4457" s="106">
        <v>37219.695752547697</v>
      </c>
      <c r="W4457" s="10">
        <v>1.0187432050740908</v>
      </c>
      <c r="X4457" s="420"/>
      <c r="Y4457" s="420"/>
    </row>
    <row r="4458" spans="17:25">
      <c r="Q4458" s="6">
        <v>4428</v>
      </c>
      <c r="R4458" s="7">
        <v>47095</v>
      </c>
      <c r="S4458" s="210">
        <v>4</v>
      </c>
      <c r="T4458" s="8">
        <v>1.0001111111111112</v>
      </c>
      <c r="U4458" s="98">
        <v>3.9693592943785161</v>
      </c>
      <c r="V4458" s="106">
        <v>37222.690509228618</v>
      </c>
      <c r="W4458" s="10">
        <v>1.0187671618077099</v>
      </c>
      <c r="X4458" s="420"/>
      <c r="Y4458" s="420"/>
    </row>
    <row r="4459" spans="17:25">
      <c r="Q4459" s="6">
        <v>4429</v>
      </c>
      <c r="R4459" s="7">
        <v>47096</v>
      </c>
      <c r="S4459" s="210">
        <v>4</v>
      </c>
      <c r="T4459" s="8">
        <v>1.0001111111111112</v>
      </c>
      <c r="U4459" s="98">
        <v>3.969397493677973</v>
      </c>
      <c r="V4459" s="106">
        <v>37225.685506872484</v>
      </c>
      <c r="W4459" s="10">
        <v>1.0187911077289113</v>
      </c>
      <c r="X4459" s="420"/>
      <c r="Y4459" s="420"/>
    </row>
    <row r="4460" spans="17:25">
      <c r="Q4460" s="6">
        <v>4430</v>
      </c>
      <c r="R4460" s="7">
        <v>47097</v>
      </c>
      <c r="S4460" s="210">
        <v>4</v>
      </c>
      <c r="T4460" s="8">
        <v>1.0001111111111112</v>
      </c>
      <c r="U4460" s="98">
        <v>3.969435675745725</v>
      </c>
      <c r="V4460" s="106">
        <v>37228.680745498685</v>
      </c>
      <c r="W4460" s="10">
        <v>1.0188150428449783</v>
      </c>
      <c r="X4460" s="420"/>
      <c r="Y4460" s="420"/>
    </row>
    <row r="4461" spans="17:25">
      <c r="Q4461" s="6">
        <v>4431</v>
      </c>
      <c r="R4461" s="7">
        <v>47098</v>
      </c>
      <c r="S4461" s="210">
        <v>4</v>
      </c>
      <c r="T4461" s="8">
        <v>1.0001111111111112</v>
      </c>
      <c r="U4461" s="98">
        <v>3.9694738405934071</v>
      </c>
      <c r="V4461" s="106">
        <v>37231.676225126612</v>
      </c>
      <c r="W4461" s="10">
        <v>1.0188389671632159</v>
      </c>
      <c r="X4461" s="420"/>
      <c r="Y4461" s="420"/>
    </row>
    <row r="4462" spans="17:25">
      <c r="Q4462" s="6">
        <v>4432</v>
      </c>
      <c r="R4462" s="7">
        <v>47099</v>
      </c>
      <c r="S4462" s="210">
        <v>4</v>
      </c>
      <c r="T4462" s="8">
        <v>1.0001111111111112</v>
      </c>
      <c r="U4462" s="98">
        <v>3.969511988232699</v>
      </c>
      <c r="V4462" s="106">
        <v>37234.671945775655</v>
      </c>
      <c r="W4462" s="10">
        <v>1.0188628806909517</v>
      </c>
      <c r="X4462" s="420"/>
      <c r="Y4462" s="420"/>
    </row>
    <row r="4463" spans="17:25">
      <c r="Q4463" s="6">
        <v>4433</v>
      </c>
      <c r="R4463" s="7">
        <v>47100</v>
      </c>
      <c r="S4463" s="210">
        <v>4</v>
      </c>
      <c r="T4463" s="8">
        <v>1.0001111111111112</v>
      </c>
      <c r="U4463" s="98">
        <v>3.9695501186752136</v>
      </c>
      <c r="V4463" s="106">
        <v>37237.667907465206</v>
      </c>
      <c r="W4463" s="10">
        <v>1.0188867834354465</v>
      </c>
      <c r="X4463" s="420"/>
      <c r="Y4463" s="420"/>
    </row>
    <row r="4464" spans="17:25">
      <c r="Q4464" s="6">
        <v>4434</v>
      </c>
      <c r="R4464" s="7">
        <v>47101</v>
      </c>
      <c r="S4464" s="210">
        <v>4</v>
      </c>
      <c r="T4464" s="8">
        <v>1.0001111111111112</v>
      </c>
      <c r="U4464" s="98">
        <v>3.9695882319325859</v>
      </c>
      <c r="V4464" s="106">
        <v>37240.664110214668</v>
      </c>
      <c r="W4464" s="10">
        <v>1.01891067540405</v>
      </c>
      <c r="X4464" s="420"/>
      <c r="Y4464" s="420"/>
    </row>
    <row r="4465" spans="17:25">
      <c r="Q4465" s="6">
        <v>4435</v>
      </c>
      <c r="R4465" s="7">
        <v>47102</v>
      </c>
      <c r="S4465" s="210">
        <v>4</v>
      </c>
      <c r="T4465" s="8">
        <v>1.0001111111111112</v>
      </c>
      <c r="U4465" s="98">
        <v>3.969626328016429</v>
      </c>
      <c r="V4465" s="106">
        <v>37243.660554043418</v>
      </c>
      <c r="W4465" s="10">
        <v>1.0189345566040009</v>
      </c>
      <c r="X4465" s="420"/>
      <c r="Y4465" s="420"/>
    </row>
    <row r="4466" spans="17:25">
      <c r="Q4466" s="6">
        <v>4436</v>
      </c>
      <c r="R4466" s="7">
        <v>47103</v>
      </c>
      <c r="S4466" s="210">
        <v>4</v>
      </c>
      <c r="T4466" s="8">
        <v>1.0001111111111112</v>
      </c>
      <c r="U4466" s="98">
        <v>3.9696644069383558</v>
      </c>
      <c r="V4466" s="106">
        <v>37246.657238970867</v>
      </c>
      <c r="W4466" s="10">
        <v>1.0189584270426266</v>
      </c>
      <c r="X4466" s="420"/>
      <c r="Y4466" s="420"/>
    </row>
    <row r="4467" spans="17:25">
      <c r="Q4467" s="6">
        <v>4437</v>
      </c>
      <c r="R4467" s="7">
        <v>47104</v>
      </c>
      <c r="S4467" s="210">
        <v>4</v>
      </c>
      <c r="T4467" s="8">
        <v>1.0001111111111112</v>
      </c>
      <c r="U4467" s="98">
        <v>3.9697024687099569</v>
      </c>
      <c r="V4467" s="106">
        <v>37249.654165016422</v>
      </c>
      <c r="W4467" s="10">
        <v>1.0189822867271436</v>
      </c>
      <c r="X4467" s="420"/>
      <c r="Y4467" s="420"/>
    </row>
    <row r="4468" spans="17:25">
      <c r="Q4468" s="6">
        <v>4438</v>
      </c>
      <c r="R4468" s="7">
        <v>47105</v>
      </c>
      <c r="S4468" s="210">
        <v>4</v>
      </c>
      <c r="T4468" s="8">
        <v>1.0001111111111112</v>
      </c>
      <c r="U4468" s="98">
        <v>3.9697405133428232</v>
      </c>
      <c r="V4468" s="106">
        <v>37252.651332199472</v>
      </c>
      <c r="W4468" s="10">
        <v>1.0190061356648794</v>
      </c>
      <c r="X4468" s="420"/>
      <c r="Y4468" s="420"/>
    </row>
    <row r="4469" spans="17:25">
      <c r="Q4469" s="6">
        <v>4439</v>
      </c>
      <c r="R4469" s="7">
        <v>47106</v>
      </c>
      <c r="S4469" s="210">
        <v>4</v>
      </c>
      <c r="T4469" s="8">
        <v>1.0001111111111112</v>
      </c>
      <c r="U4469" s="98">
        <v>3.9697785408485009</v>
      </c>
      <c r="V4469" s="106">
        <v>37255.648740539415</v>
      </c>
      <c r="W4469" s="10">
        <v>1.019029973863006</v>
      </c>
      <c r="X4469" s="420"/>
      <c r="Y4469" s="420"/>
    </row>
    <row r="4470" spans="17:25">
      <c r="Q4470" s="6">
        <v>4440</v>
      </c>
      <c r="R4470" s="7">
        <v>47107</v>
      </c>
      <c r="S4470" s="210">
        <v>4</v>
      </c>
      <c r="T4470" s="8">
        <v>1.0001111111111112</v>
      </c>
      <c r="U4470" s="98">
        <v>3.9698165512385808</v>
      </c>
      <c r="V4470" s="106">
        <v>37258.64639005567</v>
      </c>
      <c r="W4470" s="10">
        <v>1.019053801328873</v>
      </c>
      <c r="X4470" s="420"/>
      <c r="Y4470" s="420"/>
    </row>
    <row r="4471" spans="17:25">
      <c r="Q4471" s="6">
        <v>4441</v>
      </c>
      <c r="R4471" s="7">
        <v>47108</v>
      </c>
      <c r="S4471" s="210">
        <v>4</v>
      </c>
      <c r="T4471" s="8">
        <v>1.0001111111111112</v>
      </c>
      <c r="U4471" s="98">
        <v>3.9698545445246092</v>
      </c>
      <c r="V4471" s="106">
        <v>37261.644280767636</v>
      </c>
      <c r="W4471" s="10">
        <v>1.0190776180696526</v>
      </c>
      <c r="X4471" s="420"/>
      <c r="Y4471" s="420"/>
    </row>
    <row r="4472" spans="17:25">
      <c r="Q4472" s="6">
        <v>4442</v>
      </c>
      <c r="R4472" s="7">
        <v>47109</v>
      </c>
      <c r="S4472" s="210">
        <v>4</v>
      </c>
      <c r="T4472" s="8">
        <v>1.0001111111111112</v>
      </c>
      <c r="U4472" s="98">
        <v>3.9698925207181102</v>
      </c>
      <c r="V4472" s="106">
        <v>37264.642412694709</v>
      </c>
      <c r="W4472" s="10">
        <v>1.0191014240926055</v>
      </c>
      <c r="X4472" s="420"/>
      <c r="Y4472" s="420"/>
    </row>
    <row r="4473" spans="17:25">
      <c r="Q4473" s="6">
        <v>4443</v>
      </c>
      <c r="R4473" s="7">
        <v>47110</v>
      </c>
      <c r="S4473" s="210">
        <v>4</v>
      </c>
      <c r="T4473" s="8">
        <v>1.0001111111111112</v>
      </c>
      <c r="U4473" s="98">
        <v>3.9699304798306301</v>
      </c>
      <c r="V4473" s="106">
        <v>37267.640785856311</v>
      </c>
      <c r="W4473" s="10">
        <v>1.0191252194049927</v>
      </c>
      <c r="X4473" s="420"/>
      <c r="Y4473" s="420"/>
    </row>
    <row r="4474" spans="17:25">
      <c r="Q4474" s="6">
        <v>4444</v>
      </c>
      <c r="R4474" s="7">
        <v>47111</v>
      </c>
      <c r="S4474" s="210">
        <v>4</v>
      </c>
      <c r="T4474" s="8">
        <v>1.0001111111111112</v>
      </c>
      <c r="U4474" s="98">
        <v>3.969968421873693</v>
      </c>
      <c r="V4474" s="106">
        <v>37270.639400271852</v>
      </c>
      <c r="W4474" s="10">
        <v>1.0191490040140083</v>
      </c>
      <c r="X4474" s="420"/>
      <c r="Y4474" s="420"/>
    </row>
    <row r="4475" spans="17:25">
      <c r="Q4475" s="6">
        <v>4445</v>
      </c>
      <c r="R4475" s="7">
        <v>47112</v>
      </c>
      <c r="S4475" s="210">
        <v>4</v>
      </c>
      <c r="T4475" s="8">
        <v>1.0001111111111112</v>
      </c>
      <c r="U4475" s="98">
        <v>3.9700063468588231</v>
      </c>
      <c r="V4475" s="106">
        <v>37273.638255960737</v>
      </c>
      <c r="W4475" s="10">
        <v>1.0191727779268911</v>
      </c>
      <c r="X4475" s="420"/>
      <c r="Y4475" s="420"/>
    </row>
    <row r="4476" spans="17:25">
      <c r="Q4476" s="6">
        <v>4446</v>
      </c>
      <c r="R4476" s="7">
        <v>47113</v>
      </c>
      <c r="S4476" s="210">
        <v>4</v>
      </c>
      <c r="T4476" s="8">
        <v>1.0001111111111112</v>
      </c>
      <c r="U4476" s="98">
        <v>3.9700442547975001</v>
      </c>
      <c r="V4476" s="106">
        <v>37276.63735294238</v>
      </c>
      <c r="W4476" s="10">
        <v>1.0191965411508352</v>
      </c>
      <c r="X4476" s="420"/>
      <c r="Y4476" s="420"/>
    </row>
    <row r="4477" spans="17:25">
      <c r="Q4477" s="6">
        <v>4447</v>
      </c>
      <c r="R4477" s="7">
        <v>47114</v>
      </c>
      <c r="S4477" s="210">
        <v>4</v>
      </c>
      <c r="T4477" s="8">
        <v>1.0001111111111112</v>
      </c>
      <c r="U4477" s="98">
        <v>3.9700821457012259</v>
      </c>
      <c r="V4477" s="106">
        <v>37279.636691236192</v>
      </c>
      <c r="W4477" s="10">
        <v>1.0192202936930794</v>
      </c>
      <c r="X4477" s="420"/>
      <c r="Y4477" s="420"/>
    </row>
    <row r="4478" spans="17:25">
      <c r="Q4478" s="6">
        <v>4448</v>
      </c>
      <c r="R4478" s="7">
        <v>47115</v>
      </c>
      <c r="S4478" s="210">
        <v>4</v>
      </c>
      <c r="T4478" s="8">
        <v>1.0001111111111112</v>
      </c>
      <c r="U4478" s="98">
        <v>3.9701200195814579</v>
      </c>
      <c r="V4478" s="106">
        <v>37282.6362708616</v>
      </c>
      <c r="W4478" s="10">
        <v>1.0192440355607957</v>
      </c>
      <c r="X4478" s="420"/>
      <c r="Y4478" s="420"/>
    </row>
    <row r="4479" spans="17:25">
      <c r="Q4479" s="6">
        <v>4449</v>
      </c>
      <c r="R4479" s="7">
        <v>47116</v>
      </c>
      <c r="S4479" s="210">
        <v>4</v>
      </c>
      <c r="T4479" s="8">
        <v>1.0001111111111112</v>
      </c>
      <c r="U4479" s="98">
        <v>3.9701578764496981</v>
      </c>
      <c r="V4479" s="106">
        <v>37285.636091838023</v>
      </c>
      <c r="W4479" s="10">
        <v>1.0192677667612005</v>
      </c>
      <c r="X4479" s="420"/>
      <c r="Y4479" s="420"/>
    </row>
    <row r="4480" spans="17:25">
      <c r="Q4480" s="6">
        <v>4450</v>
      </c>
      <c r="R4480" s="7">
        <v>47117</v>
      </c>
      <c r="S4480" s="210">
        <v>4</v>
      </c>
      <c r="T4480" s="8">
        <v>1.0001111111111112</v>
      </c>
      <c r="U4480" s="98">
        <v>3.9701957163173818</v>
      </c>
      <c r="V4480" s="106">
        <v>37288.636154184867</v>
      </c>
      <c r="W4480" s="10">
        <v>1.0192914873014436</v>
      </c>
      <c r="X4480" s="420"/>
      <c r="Y4480" s="420"/>
    </row>
    <row r="4481" spans="17:25">
      <c r="Q4481" s="6">
        <v>4451</v>
      </c>
      <c r="R4481" s="7">
        <v>47118</v>
      </c>
      <c r="S4481" s="210">
        <v>4</v>
      </c>
      <c r="T4481" s="8">
        <v>1.0001111111111112</v>
      </c>
      <c r="U4481" s="98">
        <v>3.9702335391959664</v>
      </c>
      <c r="V4481" s="106">
        <v>37291.636457921566</v>
      </c>
      <c r="W4481" s="10">
        <v>1.0193151971887415</v>
      </c>
      <c r="X4481" s="420"/>
      <c r="Y4481" s="420"/>
    </row>
    <row r="4482" spans="17:25">
      <c r="Q4482" s="6">
        <v>4452</v>
      </c>
      <c r="R4482" s="7">
        <v>47119</v>
      </c>
      <c r="S4482" s="210">
        <v>4</v>
      </c>
      <c r="T4482" s="8">
        <v>1.0001111111111112</v>
      </c>
      <c r="U4482" s="98">
        <v>3.9702713450968874</v>
      </c>
      <c r="V4482" s="106">
        <v>37294.637003067532</v>
      </c>
      <c r="W4482" s="10">
        <v>1.0193388964302663</v>
      </c>
      <c r="X4482" s="420"/>
      <c r="Y4482" s="420"/>
    </row>
    <row r="4483" spans="17:25">
      <c r="Q4483" s="6">
        <v>4453</v>
      </c>
      <c r="R4483" s="7">
        <v>47120</v>
      </c>
      <c r="S4483" s="210">
        <v>4</v>
      </c>
      <c r="T4483" s="8">
        <v>1.0001111111111112</v>
      </c>
      <c r="U4483" s="98">
        <v>3.9703091340315799</v>
      </c>
      <c r="V4483" s="106">
        <v>37297.637789642198</v>
      </c>
      <c r="W4483" s="10">
        <v>1.0193625850331678</v>
      </c>
      <c r="X4483" s="420"/>
      <c r="Y4483" s="420"/>
    </row>
    <row r="4484" spans="17:25">
      <c r="Q4484" s="6">
        <v>4454</v>
      </c>
      <c r="R4484" s="7">
        <v>47121</v>
      </c>
      <c r="S4484" s="210">
        <v>4</v>
      </c>
      <c r="T4484" s="8">
        <v>1.0001111111111112</v>
      </c>
      <c r="U4484" s="98">
        <v>3.9703469060114571</v>
      </c>
      <c r="V4484" s="106">
        <v>37300.638817664985</v>
      </c>
      <c r="W4484" s="10">
        <v>1.019386263004618</v>
      </c>
      <c r="X4484" s="420"/>
      <c r="Y4484" s="420"/>
    </row>
    <row r="4485" spans="17:25">
      <c r="Q4485" s="6">
        <v>4455</v>
      </c>
      <c r="R4485" s="7">
        <v>47122</v>
      </c>
      <c r="S4485" s="210">
        <v>4</v>
      </c>
      <c r="T4485" s="8">
        <v>1.0001111111111112</v>
      </c>
      <c r="U4485" s="98">
        <v>3.9703846610479321</v>
      </c>
      <c r="V4485" s="106">
        <v>37303.640087155327</v>
      </c>
      <c r="W4485" s="10">
        <v>1.0194099303517667</v>
      </c>
      <c r="X4485" s="420"/>
      <c r="Y4485" s="420"/>
    </row>
    <row r="4486" spans="17:25">
      <c r="Q4486" s="6">
        <v>4456</v>
      </c>
      <c r="R4486" s="7">
        <v>47123</v>
      </c>
      <c r="S4486" s="210">
        <v>4</v>
      </c>
      <c r="T4486" s="8">
        <v>1.0001111111111112</v>
      </c>
      <c r="U4486" s="98">
        <v>3.9704223991523957</v>
      </c>
      <c r="V4486" s="106">
        <v>37306.641598132635</v>
      </c>
      <c r="W4486" s="10">
        <v>1.0194335870817861</v>
      </c>
      <c r="X4486" s="420"/>
      <c r="Y4486" s="420"/>
    </row>
    <row r="4487" spans="17:25">
      <c r="Q4487" s="6">
        <v>4457</v>
      </c>
      <c r="R4487" s="7">
        <v>47124</v>
      </c>
      <c r="S4487" s="210">
        <v>4</v>
      </c>
      <c r="T4487" s="8">
        <v>1.0001111111111112</v>
      </c>
      <c r="U4487" s="98">
        <v>3.9704601203362389</v>
      </c>
      <c r="V4487" s="106">
        <v>37309.643350616359</v>
      </c>
      <c r="W4487" s="10">
        <v>1.0194572332017815</v>
      </c>
      <c r="X4487" s="420"/>
      <c r="Y4487" s="420"/>
    </row>
    <row r="4488" spans="17:25">
      <c r="Q4488" s="6">
        <v>4458</v>
      </c>
      <c r="R4488" s="7">
        <v>47125</v>
      </c>
      <c r="S4488" s="210">
        <v>4</v>
      </c>
      <c r="T4488" s="8">
        <v>1.0001111111111112</v>
      </c>
      <c r="U4488" s="98">
        <v>3.9704978246108524</v>
      </c>
      <c r="V4488" s="106">
        <v>37312.645344625926</v>
      </c>
      <c r="W4488" s="10">
        <v>1.019480868718925</v>
      </c>
      <c r="X4488" s="420"/>
      <c r="Y4488" s="420"/>
    </row>
    <row r="4489" spans="17:25">
      <c r="Q4489" s="6">
        <v>4459</v>
      </c>
      <c r="R4489" s="7">
        <v>47126</v>
      </c>
      <c r="S4489" s="210">
        <v>4</v>
      </c>
      <c r="T4489" s="8">
        <v>1.0001111111111112</v>
      </c>
      <c r="U4489" s="98">
        <v>3.9705355119875829</v>
      </c>
      <c r="V4489" s="106">
        <v>37315.647580180761</v>
      </c>
      <c r="W4489" s="10">
        <v>1.0195044936403219</v>
      </c>
      <c r="X4489" s="420"/>
      <c r="Y4489" s="420"/>
    </row>
    <row r="4490" spans="17:25">
      <c r="Q4490" s="6">
        <v>4460</v>
      </c>
      <c r="R4490" s="7">
        <v>47127</v>
      </c>
      <c r="S4490" s="210">
        <v>4</v>
      </c>
      <c r="T4490" s="8">
        <v>1.0001111111111112</v>
      </c>
      <c r="U4490" s="98">
        <v>3.970573182477799</v>
      </c>
      <c r="V4490" s="106">
        <v>37318.650057300307</v>
      </c>
      <c r="W4490" s="10">
        <v>1.0195281079731222</v>
      </c>
      <c r="X4490" s="420"/>
      <c r="Y4490" s="420"/>
    </row>
    <row r="4491" spans="17:25">
      <c r="Q4491" s="6">
        <v>4461</v>
      </c>
      <c r="R4491" s="7">
        <v>47128</v>
      </c>
      <c r="S4491" s="210">
        <v>4</v>
      </c>
      <c r="T4491" s="8">
        <v>1.0001111111111112</v>
      </c>
      <c r="U4491" s="98">
        <v>3.9706108360928472</v>
      </c>
      <c r="V4491" s="106">
        <v>37321.652776004004</v>
      </c>
      <c r="W4491" s="10">
        <v>1.0195517117244091</v>
      </c>
      <c r="X4491" s="420"/>
      <c r="Y4491" s="420"/>
    </row>
    <row r="4492" spans="17:25">
      <c r="Q4492" s="6">
        <v>4462</v>
      </c>
      <c r="R4492" s="7">
        <v>47129</v>
      </c>
      <c r="S4492" s="210">
        <v>4</v>
      </c>
      <c r="T4492" s="8">
        <v>1.0001111111111112</v>
      </c>
      <c r="U4492" s="98">
        <v>3.9706484728440516</v>
      </c>
      <c r="V4492" s="106">
        <v>37324.655736311281</v>
      </c>
      <c r="W4492" s="10">
        <v>1.0195753049013101</v>
      </c>
      <c r="X4492" s="420"/>
      <c r="Y4492" s="420"/>
    </row>
    <row r="4493" spans="17:25">
      <c r="Q4493" s="6">
        <v>4463</v>
      </c>
      <c r="R4493" s="7">
        <v>47130</v>
      </c>
      <c r="S4493" s="210">
        <v>4</v>
      </c>
      <c r="T4493" s="8">
        <v>1.0001111111111112</v>
      </c>
      <c r="U4493" s="98">
        <v>3.970686092742759</v>
      </c>
      <c r="V4493" s="106">
        <v>37327.658938241584</v>
      </c>
      <c r="W4493" s="10">
        <v>1.019598887510953</v>
      </c>
      <c r="X4493" s="420"/>
      <c r="Y4493" s="420"/>
    </row>
    <row r="4494" spans="17:25">
      <c r="Q4494" s="6">
        <v>4464</v>
      </c>
      <c r="R4494" s="7">
        <v>47131</v>
      </c>
      <c r="S4494" s="210">
        <v>4</v>
      </c>
      <c r="T4494" s="8">
        <v>1.0001111111111112</v>
      </c>
      <c r="U4494" s="98">
        <v>3.9707236958002712</v>
      </c>
      <c r="V4494" s="106">
        <v>37330.662381814349</v>
      </c>
      <c r="W4494" s="10">
        <v>1.0196224595603764</v>
      </c>
      <c r="X4494" s="420"/>
      <c r="Y4494" s="420"/>
    </row>
    <row r="4495" spans="17:25">
      <c r="Q4495" s="6">
        <v>4465</v>
      </c>
      <c r="R4495" s="7">
        <v>47132</v>
      </c>
      <c r="S4495" s="210">
        <v>4</v>
      </c>
      <c r="T4495" s="8">
        <v>1.0001111111111112</v>
      </c>
      <c r="U4495" s="98">
        <v>3.9707612820279126</v>
      </c>
      <c r="V4495" s="106">
        <v>37333.666067049024</v>
      </c>
      <c r="W4495" s="10">
        <v>1.0196460210567304</v>
      </c>
      <c r="X4495" s="420"/>
      <c r="Y4495" s="420"/>
    </row>
    <row r="4496" spans="17:25">
      <c r="Q4496" s="6">
        <v>4466</v>
      </c>
      <c r="R4496" s="7">
        <v>47133</v>
      </c>
      <c r="S4496" s="210">
        <v>4</v>
      </c>
      <c r="T4496" s="8">
        <v>1.0001111111111112</v>
      </c>
      <c r="U4496" s="98">
        <v>3.970798851436963</v>
      </c>
      <c r="V4496" s="106">
        <v>37336.669993965057</v>
      </c>
      <c r="W4496" s="10">
        <v>1.0196695720070981</v>
      </c>
      <c r="X4496" s="420"/>
      <c r="Y4496" s="420"/>
    </row>
    <row r="4497" spans="17:25">
      <c r="Q4497" s="6">
        <v>4467</v>
      </c>
      <c r="R4497" s="7">
        <v>47134</v>
      </c>
      <c r="S4497" s="210">
        <v>4</v>
      </c>
      <c r="T4497" s="8">
        <v>1.0001111111111112</v>
      </c>
      <c r="U4497" s="98">
        <v>3.9708364040387023</v>
      </c>
      <c r="V4497" s="106">
        <v>37339.674162581883</v>
      </c>
      <c r="W4497" s="10">
        <v>1.019693112418496</v>
      </c>
      <c r="X4497" s="420"/>
      <c r="Y4497" s="420"/>
    </row>
    <row r="4498" spans="17:25">
      <c r="Q4498" s="6">
        <v>4468</v>
      </c>
      <c r="R4498" s="7">
        <v>47135</v>
      </c>
      <c r="S4498" s="210">
        <v>4</v>
      </c>
      <c r="T4498" s="8">
        <v>1.0001111111111112</v>
      </c>
      <c r="U4498" s="98">
        <v>3.9708739398444104</v>
      </c>
      <c r="V4498" s="106">
        <v>37342.678572918951</v>
      </c>
      <c r="W4498" s="10">
        <v>1.0197166422980519</v>
      </c>
      <c r="X4498" s="420"/>
      <c r="Y4498" s="420"/>
    </row>
    <row r="4499" spans="17:25">
      <c r="Q4499" s="6">
        <v>4469</v>
      </c>
      <c r="R4499" s="7">
        <v>47136</v>
      </c>
      <c r="S4499" s="210">
        <v>4</v>
      </c>
      <c r="T4499" s="8">
        <v>1.0001111111111112</v>
      </c>
      <c r="U4499" s="98">
        <v>3.9709114588653671</v>
      </c>
      <c r="V4499" s="106">
        <v>37345.683224995722</v>
      </c>
      <c r="W4499" s="10">
        <v>1.0197401616528268</v>
      </c>
      <c r="X4499" s="420"/>
      <c r="Y4499" s="420"/>
    </row>
    <row r="4500" spans="17:25">
      <c r="Q4500" s="6">
        <v>4470</v>
      </c>
      <c r="R4500" s="7">
        <v>47137</v>
      </c>
      <c r="S4500" s="210">
        <v>4</v>
      </c>
      <c r="T4500" s="8">
        <v>1.0001111111111112</v>
      </c>
      <c r="U4500" s="98">
        <v>3.9709489611128301</v>
      </c>
      <c r="V4500" s="106">
        <v>37348.68811883164</v>
      </c>
      <c r="W4500" s="10">
        <v>1.0197636704898816</v>
      </c>
      <c r="X4500" s="420"/>
      <c r="Y4500" s="420"/>
    </row>
    <row r="4501" spans="17:25">
      <c r="Q4501" s="6">
        <v>4471</v>
      </c>
      <c r="R4501" s="7">
        <v>47138</v>
      </c>
      <c r="S4501" s="210">
        <v>4</v>
      </c>
      <c r="T4501" s="8">
        <v>1.0001111111111112</v>
      </c>
      <c r="U4501" s="98">
        <v>3.9709864465980349</v>
      </c>
      <c r="V4501" s="106">
        <v>37351.693254446152</v>
      </c>
      <c r="W4501" s="10">
        <v>1.0197871688162552</v>
      </c>
      <c r="X4501" s="420"/>
      <c r="Y4501" s="420"/>
    </row>
    <row r="4502" spans="17:25">
      <c r="Q4502" s="6">
        <v>4472</v>
      </c>
      <c r="R4502" s="7">
        <v>47139</v>
      </c>
      <c r="S4502" s="210">
        <v>4</v>
      </c>
      <c r="T4502" s="8">
        <v>1.0001111111111112</v>
      </c>
      <c r="U4502" s="98">
        <v>3.9710239153322169</v>
      </c>
      <c r="V4502" s="106">
        <v>37354.698631858722</v>
      </c>
      <c r="W4502" s="10">
        <v>1.0198106566390086</v>
      </c>
      <c r="X4502" s="420"/>
      <c r="Y4502" s="420"/>
    </row>
    <row r="4503" spans="17:25">
      <c r="Q4503" s="6">
        <v>4473</v>
      </c>
      <c r="R4503" s="7">
        <v>47140</v>
      </c>
      <c r="S4503" s="210">
        <v>4</v>
      </c>
      <c r="T4503" s="8">
        <v>1.0001111111111112</v>
      </c>
      <c r="U4503" s="98">
        <v>3.9710613673265893</v>
      </c>
      <c r="V4503" s="106">
        <v>37357.704251088799</v>
      </c>
      <c r="W4503" s="10">
        <v>1.0198341339651362</v>
      </c>
      <c r="X4503" s="420"/>
      <c r="Y4503" s="420"/>
    </row>
    <row r="4504" spans="17:25">
      <c r="Q4504" s="6">
        <v>4474</v>
      </c>
      <c r="R4504" s="7">
        <v>47141</v>
      </c>
      <c r="S4504" s="210">
        <v>4</v>
      </c>
      <c r="T4504" s="8">
        <v>1.0001111111111112</v>
      </c>
      <c r="U4504" s="98">
        <v>3.9710988025923877</v>
      </c>
      <c r="V4504" s="106">
        <v>37360.710112155844</v>
      </c>
      <c r="W4504" s="10">
        <v>1.0198576008017435</v>
      </c>
      <c r="X4504" s="420"/>
      <c r="Y4504" s="420"/>
    </row>
    <row r="4505" spans="17:25">
      <c r="Q4505" s="6">
        <v>4475</v>
      </c>
      <c r="R4505" s="7">
        <v>47142</v>
      </c>
      <c r="S4505" s="210">
        <v>4</v>
      </c>
      <c r="T4505" s="8">
        <v>1.0001111111111112</v>
      </c>
      <c r="U4505" s="98">
        <v>3.971136221140803</v>
      </c>
      <c r="V4505" s="106">
        <v>37363.716215079308</v>
      </c>
      <c r="W4505" s="10">
        <v>1.0198810571558248</v>
      </c>
      <c r="X4505" s="420"/>
      <c r="Y4505" s="420"/>
    </row>
    <row r="4506" spans="17:25">
      <c r="Q4506" s="6">
        <v>4476</v>
      </c>
      <c r="R4506" s="7">
        <v>47143</v>
      </c>
      <c r="S4506" s="210">
        <v>4</v>
      </c>
      <c r="T4506" s="8">
        <v>1.0001111111111112</v>
      </c>
      <c r="U4506" s="98">
        <v>3.9711736229830485</v>
      </c>
      <c r="V4506" s="106">
        <v>37366.722559878654</v>
      </c>
      <c r="W4506" s="10">
        <v>1.0199045030343967</v>
      </c>
      <c r="X4506" s="420"/>
      <c r="Y4506" s="420"/>
    </row>
    <row r="4507" spans="17:25">
      <c r="Q4507" s="6">
        <v>4477</v>
      </c>
      <c r="R4507" s="7">
        <v>47144</v>
      </c>
      <c r="S4507" s="210">
        <v>4</v>
      </c>
      <c r="T4507" s="8">
        <v>1.0001111111111112</v>
      </c>
      <c r="U4507" s="98">
        <v>3.9712110081302932</v>
      </c>
      <c r="V4507" s="106">
        <v>37369.729146573358</v>
      </c>
      <c r="W4507" s="10">
        <v>1.0199279384444759</v>
      </c>
      <c r="X4507" s="420"/>
      <c r="Y4507" s="420"/>
    </row>
    <row r="4508" spans="17:25">
      <c r="Q4508" s="6">
        <v>4478</v>
      </c>
      <c r="R4508" s="7">
        <v>47145</v>
      </c>
      <c r="S4508" s="210">
        <v>4</v>
      </c>
      <c r="T4508" s="8">
        <v>1.0001111111111112</v>
      </c>
      <c r="U4508" s="98">
        <v>3.9712483765937279</v>
      </c>
      <c r="V4508" s="106">
        <v>37372.735975182855</v>
      </c>
      <c r="W4508" s="10">
        <v>1.0199513633931012</v>
      </c>
      <c r="X4508" s="420"/>
      <c r="Y4508" s="420"/>
    </row>
    <row r="4509" spans="17:25">
      <c r="Q4509" s="6">
        <v>4479</v>
      </c>
      <c r="R4509" s="7">
        <v>47146</v>
      </c>
      <c r="S4509" s="210">
        <v>4</v>
      </c>
      <c r="T4509" s="8">
        <v>1.0001111111111112</v>
      </c>
      <c r="U4509" s="98">
        <v>3.9712857283844993</v>
      </c>
      <c r="V4509" s="106">
        <v>37375.743045726631</v>
      </c>
      <c r="W4509" s="10">
        <v>1.0199747778872448</v>
      </c>
      <c r="X4509" s="420"/>
      <c r="Y4509" s="420"/>
    </row>
    <row r="4510" spans="17:25">
      <c r="Q4510" s="6">
        <v>4480</v>
      </c>
      <c r="R4510" s="7">
        <v>47147</v>
      </c>
      <c r="S4510" s="210">
        <v>4</v>
      </c>
      <c r="T4510" s="8">
        <v>1.0001111111111112</v>
      </c>
      <c r="U4510" s="98">
        <v>3.9713230635137764</v>
      </c>
      <c r="V4510" s="106">
        <v>37378.750358224155</v>
      </c>
      <c r="W4510" s="10">
        <v>1.019998181933901</v>
      </c>
      <c r="X4510" s="420"/>
      <c r="Y4510" s="420"/>
    </row>
    <row r="4511" spans="17:25">
      <c r="Q4511" s="6">
        <v>4481</v>
      </c>
      <c r="R4511" s="7">
        <v>47148</v>
      </c>
      <c r="S4511" s="210">
        <v>4</v>
      </c>
      <c r="T4511" s="8">
        <v>1.0001111111111112</v>
      </c>
      <c r="U4511" s="98">
        <v>3.9713603819927057</v>
      </c>
      <c r="V4511" s="106">
        <v>37381.757912694884</v>
      </c>
      <c r="W4511" s="10">
        <v>1.0200215755400643</v>
      </c>
      <c r="X4511" s="420"/>
      <c r="Y4511" s="420"/>
    </row>
    <row r="4512" spans="17:25">
      <c r="Q4512" s="6">
        <v>4482</v>
      </c>
      <c r="R4512" s="7">
        <v>47149</v>
      </c>
      <c r="S4512" s="210">
        <v>4</v>
      </c>
      <c r="T4512" s="8">
        <v>1.0001111111111112</v>
      </c>
      <c r="U4512" s="98">
        <v>3.9713976838324117</v>
      </c>
      <c r="V4512" s="106">
        <v>37384.765709158281</v>
      </c>
      <c r="W4512" s="10">
        <v>1.0200449587127514</v>
      </c>
      <c r="X4512" s="420"/>
      <c r="Y4512" s="420"/>
    </row>
    <row r="4513" spans="17:25">
      <c r="Q4513" s="6">
        <v>4483</v>
      </c>
      <c r="R4513" s="7">
        <v>47150</v>
      </c>
      <c r="S4513" s="210">
        <v>4</v>
      </c>
      <c r="T4513" s="8">
        <v>1.0001111111111112</v>
      </c>
      <c r="U4513" s="98">
        <v>3.9714349690440409</v>
      </c>
      <c r="V4513" s="106">
        <v>37387.773747633837</v>
      </c>
      <c r="W4513" s="10">
        <v>1.0200683314589121</v>
      </c>
      <c r="X4513" s="420"/>
      <c r="Y4513" s="420"/>
    </row>
    <row r="4514" spans="17:25">
      <c r="Q4514" s="6">
        <v>4484</v>
      </c>
      <c r="R4514" s="7">
        <v>47151</v>
      </c>
      <c r="S4514" s="210">
        <v>4</v>
      </c>
      <c r="T4514" s="8">
        <v>1.0001111111111112</v>
      </c>
      <c r="U4514" s="98">
        <v>3.9714722376386957</v>
      </c>
      <c r="V4514" s="106">
        <v>37390.78202814101</v>
      </c>
      <c r="W4514" s="10">
        <v>1.0200916937855187</v>
      </c>
      <c r="X4514" s="420"/>
      <c r="Y4514" s="420"/>
    </row>
    <row r="4515" spans="17:25">
      <c r="Q4515" s="6">
        <v>4485</v>
      </c>
      <c r="R4515" s="7">
        <v>47152</v>
      </c>
      <c r="S4515" s="210">
        <v>4</v>
      </c>
      <c r="T4515" s="8">
        <v>1.0001111111111112</v>
      </c>
      <c r="U4515" s="98">
        <v>3.9715094896274783</v>
      </c>
      <c r="V4515" s="106">
        <v>37393.790550699283</v>
      </c>
      <c r="W4515" s="10">
        <v>1.0201150456995434</v>
      </c>
      <c r="X4515" s="420"/>
      <c r="Y4515" s="420"/>
    </row>
    <row r="4516" spans="17:25">
      <c r="Q4516" s="6">
        <v>4486</v>
      </c>
      <c r="R4516" s="7">
        <v>47153</v>
      </c>
      <c r="S4516" s="210">
        <v>4</v>
      </c>
      <c r="T4516" s="8">
        <v>1.0001111111111112</v>
      </c>
      <c r="U4516" s="98">
        <v>3.9715467250214909</v>
      </c>
      <c r="V4516" s="106">
        <v>37396.799315328128</v>
      </c>
      <c r="W4516" s="10">
        <v>1.0201383872079361</v>
      </c>
      <c r="X4516" s="420"/>
      <c r="Y4516" s="420"/>
    </row>
    <row r="4517" spans="17:25">
      <c r="Q4517" s="6">
        <v>4487</v>
      </c>
      <c r="R4517" s="7">
        <v>47154</v>
      </c>
      <c r="S4517" s="210">
        <v>4</v>
      </c>
      <c r="T4517" s="8">
        <v>1.0001111111111112</v>
      </c>
      <c r="U4517" s="98">
        <v>3.9715839438318135</v>
      </c>
      <c r="V4517" s="106">
        <v>37399.808322047022</v>
      </c>
      <c r="W4517" s="10">
        <v>1.0201617183176692</v>
      </c>
      <c r="X4517" s="420"/>
      <c r="Y4517" s="420"/>
    </row>
    <row r="4518" spans="17:25">
      <c r="Q4518" s="6">
        <v>4488</v>
      </c>
      <c r="R4518" s="7">
        <v>47155</v>
      </c>
      <c r="S4518" s="210">
        <v>4</v>
      </c>
      <c r="T4518" s="8">
        <v>1.0001111111111112</v>
      </c>
      <c r="U4518" s="98">
        <v>3.9716211460695261</v>
      </c>
      <c r="V4518" s="106">
        <v>37402.817570875442</v>
      </c>
      <c r="W4518" s="10">
        <v>1.0201850390356704</v>
      </c>
      <c r="X4518" s="420"/>
      <c r="Y4518" s="420"/>
    </row>
    <row r="4519" spans="17:25">
      <c r="Q4519" s="6">
        <v>4489</v>
      </c>
      <c r="R4519" s="7">
        <v>47156</v>
      </c>
      <c r="S4519" s="210">
        <v>4</v>
      </c>
      <c r="T4519" s="8">
        <v>1.0001111111111112</v>
      </c>
      <c r="U4519" s="98">
        <v>3.9716583317457088</v>
      </c>
      <c r="V4519" s="106">
        <v>37405.827061832868</v>
      </c>
      <c r="W4519" s="10">
        <v>1.0202083493688896</v>
      </c>
      <c r="X4519" s="420"/>
      <c r="Y4519" s="420"/>
    </row>
    <row r="4520" spans="17:25">
      <c r="Q4520" s="6">
        <v>4490</v>
      </c>
      <c r="R4520" s="7">
        <v>47157</v>
      </c>
      <c r="S4520" s="210">
        <v>4</v>
      </c>
      <c r="T4520" s="8">
        <v>1.0001111111111112</v>
      </c>
      <c r="U4520" s="98">
        <v>3.9716955008713972</v>
      </c>
      <c r="V4520" s="106">
        <v>37408.836794938783</v>
      </c>
      <c r="W4520" s="10">
        <v>1.0202316493242769</v>
      </c>
      <c r="X4520" s="420"/>
      <c r="Y4520" s="420"/>
    </row>
    <row r="4521" spans="17:25">
      <c r="Q4521" s="6">
        <v>4491</v>
      </c>
      <c r="R4521" s="7">
        <v>47158</v>
      </c>
      <c r="S4521" s="210">
        <v>4</v>
      </c>
      <c r="T4521" s="8">
        <v>1.0001111111111112</v>
      </c>
      <c r="U4521" s="98">
        <v>3.9717326534576491</v>
      </c>
      <c r="V4521" s="106">
        <v>37411.846770212687</v>
      </c>
      <c r="W4521" s="10">
        <v>1.0202549389087157</v>
      </c>
      <c r="X4521" s="420"/>
      <c r="Y4521" s="420"/>
    </row>
    <row r="4522" spans="17:25">
      <c r="Q4522" s="6">
        <v>4492</v>
      </c>
      <c r="R4522" s="7">
        <v>47159</v>
      </c>
      <c r="S4522" s="210">
        <v>4</v>
      </c>
      <c r="T4522" s="8">
        <v>1.0001111111111112</v>
      </c>
      <c r="U4522" s="98">
        <v>3.9717697895155002</v>
      </c>
      <c r="V4522" s="106">
        <v>37414.856987674037</v>
      </c>
      <c r="W4522" s="10">
        <v>1.0202782181292003</v>
      </c>
      <c r="X4522" s="420"/>
      <c r="Y4522" s="420"/>
    </row>
    <row r="4523" spans="17:25">
      <c r="Q4523" s="6">
        <v>4493</v>
      </c>
      <c r="R4523" s="7">
        <v>47160</v>
      </c>
      <c r="S4523" s="210">
        <v>4</v>
      </c>
      <c r="T4523" s="8">
        <v>1.0001111111111112</v>
      </c>
      <c r="U4523" s="98">
        <v>3.971806909055986</v>
      </c>
      <c r="V4523" s="106">
        <v>37417.867447342331</v>
      </c>
      <c r="W4523" s="10">
        <v>1.0203014869925919</v>
      </c>
      <c r="X4523" s="420"/>
      <c r="Y4523" s="420"/>
    </row>
    <row r="4524" spans="17:25">
      <c r="Q4524" s="6">
        <v>4494</v>
      </c>
      <c r="R4524" s="7">
        <v>47161</v>
      </c>
      <c r="S4524" s="210">
        <v>4</v>
      </c>
      <c r="T4524" s="8">
        <v>1.0001111111111112</v>
      </c>
      <c r="U4524" s="98">
        <v>3.9718440120900977</v>
      </c>
      <c r="V4524" s="106">
        <v>37420.878149237069</v>
      </c>
      <c r="W4524" s="10">
        <v>1.0203247455057962</v>
      </c>
      <c r="X4524" s="420"/>
      <c r="Y4524" s="420"/>
    </row>
    <row r="4525" spans="17:25">
      <c r="Q4525" s="6">
        <v>4495</v>
      </c>
      <c r="R4525" s="7">
        <v>47162</v>
      </c>
      <c r="S4525" s="210">
        <v>4</v>
      </c>
      <c r="T4525" s="8">
        <v>1.0001111111111112</v>
      </c>
      <c r="U4525" s="98">
        <v>3.9718810986288711</v>
      </c>
      <c r="V4525" s="106">
        <v>37423.889093377729</v>
      </c>
      <c r="W4525" s="10">
        <v>1.0203479936757409</v>
      </c>
      <c r="X4525" s="420"/>
      <c r="Y4525" s="420"/>
    </row>
    <row r="4526" spans="17:25">
      <c r="Q4526" s="6">
        <v>4496</v>
      </c>
      <c r="R4526" s="7">
        <v>47163</v>
      </c>
      <c r="S4526" s="210">
        <v>4</v>
      </c>
      <c r="T4526" s="8">
        <v>1.0001111111111112</v>
      </c>
      <c r="U4526" s="98">
        <v>3.9719181686832972</v>
      </c>
      <c r="V4526" s="106">
        <v>37426.900279783804</v>
      </c>
      <c r="W4526" s="10">
        <v>1.0203712315093316</v>
      </c>
      <c r="X4526" s="420"/>
      <c r="Y4526" s="420"/>
    </row>
    <row r="4527" spans="17:25">
      <c r="Q4527" s="6">
        <v>4497</v>
      </c>
      <c r="R4527" s="7">
        <v>47164</v>
      </c>
      <c r="S4527" s="210">
        <v>4</v>
      </c>
      <c r="T4527" s="8">
        <v>1.0001111111111112</v>
      </c>
      <c r="U4527" s="98">
        <v>3.9719552222643673</v>
      </c>
      <c r="V4527" s="106">
        <v>37429.911708474785</v>
      </c>
      <c r="W4527" s="10">
        <v>1.0203944590134517</v>
      </c>
      <c r="X4527" s="420"/>
      <c r="Y4527" s="420"/>
    </row>
    <row r="4528" spans="17:25">
      <c r="Q4528" s="6">
        <v>4498</v>
      </c>
      <c r="R4528" s="7">
        <v>47165</v>
      </c>
      <c r="S4528" s="210">
        <v>4</v>
      </c>
      <c r="T4528" s="8">
        <v>1.0001111111111112</v>
      </c>
      <c r="U4528" s="98">
        <v>3.9719922593830503</v>
      </c>
      <c r="V4528" s="106">
        <v>37432.923379470179</v>
      </c>
      <c r="W4528" s="10">
        <v>1.0204176761949846</v>
      </c>
      <c r="X4528" s="420"/>
      <c r="Y4528" s="420"/>
    </row>
    <row r="4529" spans="17:25">
      <c r="Q4529" s="6">
        <v>4499</v>
      </c>
      <c r="R4529" s="7">
        <v>47166</v>
      </c>
      <c r="S4529" s="210">
        <v>4</v>
      </c>
      <c r="T4529" s="8">
        <v>1.0001111111111112</v>
      </c>
      <c r="U4529" s="98">
        <v>3.9720292800503154</v>
      </c>
      <c r="V4529" s="106">
        <v>37435.935292789465</v>
      </c>
      <c r="W4529" s="10">
        <v>1.0204408830608136</v>
      </c>
      <c r="X4529" s="420"/>
      <c r="Y4529" s="420"/>
    </row>
    <row r="4530" spans="17:25">
      <c r="Q4530" s="6">
        <v>4500</v>
      </c>
      <c r="R4530" s="7">
        <v>47167</v>
      </c>
      <c r="S4530" s="210">
        <v>4</v>
      </c>
      <c r="T4530" s="8">
        <v>1.0001111111111112</v>
      </c>
      <c r="U4530" s="98">
        <v>3.9720662842771093</v>
      </c>
      <c r="V4530" s="106">
        <v>37438.947448452156</v>
      </c>
      <c r="W4530" s="10">
        <v>1.0204640796177777</v>
      </c>
      <c r="X4530" s="420"/>
      <c r="Y4530" s="420"/>
    </row>
    <row r="4531" spans="17:25">
      <c r="Q4531" s="6">
        <v>4501</v>
      </c>
      <c r="R4531" s="7">
        <v>47168</v>
      </c>
      <c r="S4531" s="210">
        <v>4</v>
      </c>
      <c r="T4531" s="8">
        <v>1.0001111111111112</v>
      </c>
      <c r="U4531" s="98">
        <v>3.9721032720744009</v>
      </c>
      <c r="V4531" s="106">
        <v>37441.959846477737</v>
      </c>
      <c r="W4531" s="10">
        <v>1.0204872658727826</v>
      </c>
      <c r="X4531" s="420"/>
      <c r="Y4531" s="420"/>
    </row>
    <row r="4532" spans="17:25">
      <c r="Q4532" s="6">
        <v>4502</v>
      </c>
      <c r="R4532" s="7">
        <v>47169</v>
      </c>
      <c r="S4532" s="210">
        <v>4</v>
      </c>
      <c r="T4532" s="8">
        <v>1.0001111111111112</v>
      </c>
      <c r="U4532" s="98">
        <v>3.9721402434531372</v>
      </c>
      <c r="V4532" s="106">
        <v>37444.972486885716</v>
      </c>
      <c r="W4532" s="10">
        <v>1.0205104418327116</v>
      </c>
      <c r="X4532" s="420"/>
      <c r="Y4532" s="420"/>
    </row>
    <row r="4533" spans="17:25">
      <c r="Q4533" s="6">
        <v>4503</v>
      </c>
      <c r="R4533" s="7">
        <v>47170</v>
      </c>
      <c r="S4533" s="210">
        <v>4</v>
      </c>
      <c r="T4533" s="8">
        <v>1.0001111111111112</v>
      </c>
      <c r="U4533" s="98">
        <v>3.9721771984242205</v>
      </c>
      <c r="V4533" s="106">
        <v>37447.985369695598</v>
      </c>
      <c r="W4533" s="10">
        <v>1.0205336075043592</v>
      </c>
      <c r="X4533" s="420"/>
      <c r="Y4533" s="420"/>
    </row>
    <row r="4534" spans="17:25">
      <c r="Q4534" s="6">
        <v>4504</v>
      </c>
      <c r="R4534" s="7">
        <v>47171</v>
      </c>
      <c r="S4534" s="210">
        <v>4</v>
      </c>
      <c r="T4534" s="8">
        <v>1.0001111111111112</v>
      </c>
      <c r="U4534" s="98">
        <v>3.9722141369985975</v>
      </c>
      <c r="V4534" s="106">
        <v>37450.998494926891</v>
      </c>
      <c r="W4534" s="10">
        <v>1.0205567628946088</v>
      </c>
      <c r="X4534" s="420"/>
      <c r="Y4534" s="420"/>
    </row>
    <row r="4535" spans="17:25">
      <c r="Q4535" s="6">
        <v>4505</v>
      </c>
      <c r="R4535" s="7">
        <v>47172</v>
      </c>
      <c r="S4535" s="210">
        <v>4</v>
      </c>
      <c r="T4535" s="8">
        <v>1.0001111111111112</v>
      </c>
      <c r="U4535" s="98">
        <v>3.9722510591871485</v>
      </c>
      <c r="V4535" s="106">
        <v>37454.011862599087</v>
      </c>
      <c r="W4535" s="10">
        <v>1.0205799080102995</v>
      </c>
      <c r="X4535" s="420"/>
      <c r="Y4535" s="420"/>
    </row>
    <row r="4536" spans="17:25">
      <c r="Q4536" s="6">
        <v>4506</v>
      </c>
      <c r="R4536" s="7">
        <v>47173</v>
      </c>
      <c r="S4536" s="210">
        <v>4</v>
      </c>
      <c r="T4536" s="8">
        <v>1.0001111111111112</v>
      </c>
      <c r="U4536" s="98">
        <v>3.9722879650007981</v>
      </c>
      <c r="V4536" s="106">
        <v>37457.025472731701</v>
      </c>
      <c r="W4536" s="10">
        <v>1.0206030428582702</v>
      </c>
      <c r="X4536" s="420"/>
      <c r="Y4536" s="420"/>
    </row>
    <row r="4537" spans="17:25">
      <c r="Q4537" s="6">
        <v>4507</v>
      </c>
      <c r="R4537" s="7">
        <v>47174</v>
      </c>
      <c r="S4537" s="210">
        <v>4</v>
      </c>
      <c r="T4537" s="8">
        <v>1.0001111111111112</v>
      </c>
      <c r="U4537" s="98">
        <v>3.9723248544504264</v>
      </c>
      <c r="V4537" s="106">
        <v>37460.039325344245</v>
      </c>
      <c r="W4537" s="10">
        <v>1.0206261674453598</v>
      </c>
      <c r="X4537" s="420"/>
      <c r="Y4537" s="420"/>
    </row>
    <row r="4538" spans="17:25">
      <c r="Q4538" s="6">
        <v>4508</v>
      </c>
      <c r="R4538" s="7">
        <v>47175</v>
      </c>
      <c r="S4538" s="210">
        <v>4</v>
      </c>
      <c r="T4538" s="8">
        <v>1.0001111111111112</v>
      </c>
      <c r="U4538" s="98">
        <v>3.9723617275469358</v>
      </c>
      <c r="V4538" s="106">
        <v>37463.053420456214</v>
      </c>
      <c r="W4538" s="10">
        <v>1.0206492817783852</v>
      </c>
      <c r="X4538" s="420"/>
      <c r="Y4538" s="420"/>
    </row>
    <row r="4539" spans="17:25">
      <c r="Q4539" s="6">
        <v>4509</v>
      </c>
      <c r="R4539" s="7">
        <v>47176</v>
      </c>
      <c r="S4539" s="210">
        <v>4</v>
      </c>
      <c r="T4539" s="8">
        <v>1.0001111111111112</v>
      </c>
      <c r="U4539" s="98">
        <v>3.9723985843011622</v>
      </c>
      <c r="V4539" s="106">
        <v>37466.067758087142</v>
      </c>
      <c r="W4539" s="10">
        <v>1.0206723858641409</v>
      </c>
      <c r="X4539" s="420"/>
      <c r="Y4539" s="420"/>
    </row>
    <row r="4540" spans="17:25">
      <c r="Q4540" s="6">
        <v>4510</v>
      </c>
      <c r="R4540" s="7">
        <v>47177</v>
      </c>
      <c r="S4540" s="210">
        <v>4</v>
      </c>
      <c r="T4540" s="8">
        <v>1.0001111111111112</v>
      </c>
      <c r="U4540" s="98">
        <v>3.9724354247239857</v>
      </c>
      <c r="V4540" s="106">
        <v>37469.082338256529</v>
      </c>
      <c r="W4540" s="10">
        <v>1.0206954797094658</v>
      </c>
      <c r="X4540" s="420"/>
      <c r="Y4540" s="420"/>
    </row>
    <row r="4541" spans="17:25">
      <c r="Q4541" s="6">
        <v>4511</v>
      </c>
      <c r="R4541" s="7">
        <v>47178</v>
      </c>
      <c r="S4541" s="210">
        <v>4</v>
      </c>
      <c r="T4541" s="8">
        <v>1.0001111111111112</v>
      </c>
      <c r="U4541" s="98">
        <v>3.9724722488262643</v>
      </c>
      <c r="V4541" s="106">
        <v>37472.097160983896</v>
      </c>
      <c r="W4541" s="10">
        <v>1.0207185633211768</v>
      </c>
      <c r="X4541" s="420"/>
      <c r="Y4541" s="420"/>
    </row>
    <row r="4542" spans="17:25">
      <c r="Q4542" s="6">
        <v>4512</v>
      </c>
      <c r="R4542" s="7">
        <v>47179</v>
      </c>
      <c r="S4542" s="210">
        <v>4</v>
      </c>
      <c r="T4542" s="8">
        <v>1.0001111111111112</v>
      </c>
      <c r="U4542" s="98">
        <v>3.9725090566188337</v>
      </c>
      <c r="V4542" s="106">
        <v>37475.112226288751</v>
      </c>
      <c r="W4542" s="10">
        <v>1.0207416367060462</v>
      </c>
      <c r="X4542" s="420"/>
      <c r="Y4542" s="420"/>
    </row>
    <row r="4543" spans="17:25">
      <c r="Q4543" s="6">
        <v>4513</v>
      </c>
      <c r="R4543" s="7">
        <v>47180</v>
      </c>
      <c r="S4543" s="210">
        <v>4</v>
      </c>
      <c r="T4543" s="8">
        <v>1.0001111111111112</v>
      </c>
      <c r="U4543" s="98">
        <v>3.9725458481125298</v>
      </c>
      <c r="V4543" s="106">
        <v>37478.127534190622</v>
      </c>
      <c r="W4543" s="10">
        <v>1.020764699870913</v>
      </c>
      <c r="X4543" s="420"/>
      <c r="Y4543" s="420"/>
    </row>
    <row r="4544" spans="17:25">
      <c r="Q4544" s="6">
        <v>4514</v>
      </c>
      <c r="R4544" s="7">
        <v>47181</v>
      </c>
      <c r="S4544" s="210">
        <v>4</v>
      </c>
      <c r="T4544" s="8">
        <v>1.0001111111111112</v>
      </c>
      <c r="U4544" s="98">
        <v>3.9725826233181882</v>
      </c>
      <c r="V4544" s="106">
        <v>37481.143084709023</v>
      </c>
      <c r="W4544" s="10">
        <v>1.0207877528225273</v>
      </c>
      <c r="X4544" s="420"/>
      <c r="Y4544" s="420"/>
    </row>
    <row r="4545" spans="17:25">
      <c r="Q4545" s="6">
        <v>4515</v>
      </c>
      <c r="R4545" s="7">
        <v>47182</v>
      </c>
      <c r="S4545" s="210">
        <v>4</v>
      </c>
      <c r="T4545" s="8">
        <v>1.0001111111111112</v>
      </c>
      <c r="U4545" s="98">
        <v>3.9726193822466005</v>
      </c>
      <c r="V4545" s="106">
        <v>37484.158877863476</v>
      </c>
      <c r="W4545" s="10">
        <v>1.0208107955676615</v>
      </c>
      <c r="X4545" s="420"/>
      <c r="Y4545" s="420"/>
    </row>
    <row r="4546" spans="17:25">
      <c r="Q4546" s="6">
        <v>4516</v>
      </c>
      <c r="R4546" s="7">
        <v>47183</v>
      </c>
      <c r="S4546" s="210">
        <v>4</v>
      </c>
      <c r="T4546" s="8">
        <v>1.0001111111111112</v>
      </c>
      <c r="U4546" s="98">
        <v>3.9726561249085801</v>
      </c>
      <c r="V4546" s="106">
        <v>37487.174913673502</v>
      </c>
      <c r="W4546" s="10">
        <v>1.0208338281131324</v>
      </c>
      <c r="X4546" s="420"/>
      <c r="Y4546" s="420"/>
    </row>
    <row r="4547" spans="17:25">
      <c r="Q4547" s="6">
        <v>4517</v>
      </c>
      <c r="R4547" s="7">
        <v>47184</v>
      </c>
      <c r="S4547" s="210">
        <v>4</v>
      </c>
      <c r="T4547" s="8">
        <v>1.0001111111111112</v>
      </c>
      <c r="U4547" s="98">
        <v>3.9726928513149184</v>
      </c>
      <c r="V4547" s="106">
        <v>37490.191192158636</v>
      </c>
      <c r="W4547" s="10">
        <v>1.0208568504656679</v>
      </c>
      <c r="X4547" s="420"/>
      <c r="Y4547" s="420"/>
    </row>
    <row r="4548" spans="17:25">
      <c r="Q4548" s="6">
        <v>4518</v>
      </c>
      <c r="R4548" s="7">
        <v>47185</v>
      </c>
      <c r="S4548" s="210">
        <v>4</v>
      </c>
      <c r="T4548" s="8">
        <v>1.0001111111111112</v>
      </c>
      <c r="U4548" s="98">
        <v>3.9727295614764069</v>
      </c>
      <c r="V4548" s="106">
        <v>37493.207713338386</v>
      </c>
      <c r="W4548" s="10">
        <v>1.0208798626320847</v>
      </c>
      <c r="X4548" s="420"/>
      <c r="Y4548" s="420"/>
    </row>
    <row r="4549" spans="17:25">
      <c r="Q4549" s="6">
        <v>4519</v>
      </c>
      <c r="R4549" s="7">
        <v>47186</v>
      </c>
      <c r="S4549" s="210">
        <v>4</v>
      </c>
      <c r="T4549" s="8">
        <v>1.0001111111111112</v>
      </c>
      <c r="U4549" s="98">
        <v>3.9727662554038146</v>
      </c>
      <c r="V4549" s="106">
        <v>37496.224477232296</v>
      </c>
      <c r="W4549" s="10">
        <v>1.0209028646190887</v>
      </c>
      <c r="X4549" s="420"/>
      <c r="Y4549" s="420"/>
    </row>
    <row r="4550" spans="17:25">
      <c r="Q4550" s="6">
        <v>4520</v>
      </c>
      <c r="R4550" s="7">
        <v>47187</v>
      </c>
      <c r="S4550" s="210">
        <v>4</v>
      </c>
      <c r="T4550" s="8">
        <v>1.0001111111111112</v>
      </c>
      <c r="U4550" s="98">
        <v>3.9728029331079329</v>
      </c>
      <c r="V4550" s="106">
        <v>37499.241483859892</v>
      </c>
      <c r="W4550" s="10">
        <v>1.0209258564334744</v>
      </c>
      <c r="X4550" s="420"/>
      <c r="Y4550" s="420"/>
    </row>
    <row r="4551" spans="17:25">
      <c r="Q4551" s="6">
        <v>4521</v>
      </c>
      <c r="R4551" s="7">
        <v>47188</v>
      </c>
      <c r="S4551" s="210">
        <v>4</v>
      </c>
      <c r="T4551" s="8">
        <v>1.0001111111111112</v>
      </c>
      <c r="U4551" s="98">
        <v>3.9728395945994865</v>
      </c>
      <c r="V4551" s="106">
        <v>37502.258733240698</v>
      </c>
      <c r="W4551" s="10">
        <v>1.0209488380819698</v>
      </c>
      <c r="X4551" s="420"/>
      <c r="Y4551" s="420"/>
    </row>
    <row r="4552" spans="17:25">
      <c r="Q4552" s="6">
        <v>4522</v>
      </c>
      <c r="R4552" s="7">
        <v>47189</v>
      </c>
      <c r="S4552" s="210">
        <v>4</v>
      </c>
      <c r="T4552" s="8">
        <v>1.0001111111111112</v>
      </c>
      <c r="U4552" s="98">
        <v>3.9728762398892448</v>
      </c>
      <c r="V4552" s="106">
        <v>37505.276225394249</v>
      </c>
      <c r="W4552" s="10">
        <v>1.0209718095713027</v>
      </c>
      <c r="X4552" s="420"/>
      <c r="Y4552" s="420"/>
    </row>
    <row r="4553" spans="17:25">
      <c r="Q4553" s="6">
        <v>4523</v>
      </c>
      <c r="R4553" s="7">
        <v>47190</v>
      </c>
      <c r="S4553" s="210">
        <v>4</v>
      </c>
      <c r="T4553" s="8">
        <v>1.0001111111111112</v>
      </c>
      <c r="U4553" s="98">
        <v>3.9729128689879323</v>
      </c>
      <c r="V4553" s="106">
        <v>37508.293960340081</v>
      </c>
      <c r="W4553" s="10">
        <v>1.0209947709082456</v>
      </c>
      <c r="X4553" s="420"/>
      <c r="Y4553" s="420"/>
    </row>
    <row r="4554" spans="17:25">
      <c r="Q4554" s="6">
        <v>4524</v>
      </c>
      <c r="R4554" s="7">
        <v>47191</v>
      </c>
      <c r="S4554" s="210">
        <v>4</v>
      </c>
      <c r="T4554" s="8">
        <v>1.0001111111111112</v>
      </c>
      <c r="U4554" s="98">
        <v>3.9729494819062738</v>
      </c>
      <c r="V4554" s="106">
        <v>37511.31193809773</v>
      </c>
      <c r="W4554" s="10">
        <v>1.0210177220994821</v>
      </c>
      <c r="X4554" s="420"/>
      <c r="Y4554" s="420"/>
    </row>
    <row r="4555" spans="17:25">
      <c r="Q4555" s="6">
        <v>4525</v>
      </c>
      <c r="R4555" s="7">
        <v>47192</v>
      </c>
      <c r="S4555" s="210">
        <v>4</v>
      </c>
      <c r="T4555" s="8">
        <v>1.0001111111111112</v>
      </c>
      <c r="U4555" s="98">
        <v>3.9729860786549942</v>
      </c>
      <c r="V4555" s="106">
        <v>37514.330158686731</v>
      </c>
      <c r="W4555" s="10">
        <v>1.0210406631517621</v>
      </c>
      <c r="X4555" s="420"/>
      <c r="Y4555" s="420"/>
    </row>
    <row r="4556" spans="17:25">
      <c r="Q4556" s="6">
        <v>4526</v>
      </c>
      <c r="R4556" s="7">
        <v>47193</v>
      </c>
      <c r="S4556" s="210">
        <v>4</v>
      </c>
      <c r="T4556" s="8">
        <v>1.0001111111111112</v>
      </c>
      <c r="U4556" s="98">
        <v>3.9730226592447959</v>
      </c>
      <c r="V4556" s="106">
        <v>37517.348622126614</v>
      </c>
      <c r="W4556" s="10">
        <v>1.0210635940717916</v>
      </c>
      <c r="X4556" s="420"/>
      <c r="Y4556" s="420"/>
    </row>
    <row r="4557" spans="17:25">
      <c r="Q4557" s="6">
        <v>4527</v>
      </c>
      <c r="R4557" s="7">
        <v>47194</v>
      </c>
      <c r="S4557" s="210">
        <v>4</v>
      </c>
      <c r="T4557" s="8">
        <v>1.0001111111111112</v>
      </c>
      <c r="U4557" s="98">
        <v>3.9730592236864037</v>
      </c>
      <c r="V4557" s="106">
        <v>37520.367328436936</v>
      </c>
      <c r="W4557" s="10">
        <v>1.0210865148663206</v>
      </c>
      <c r="X4557" s="420"/>
      <c r="Y4557" s="420"/>
    </row>
    <row r="4558" spans="17:25">
      <c r="Q4558" s="6">
        <v>4528</v>
      </c>
      <c r="R4558" s="7">
        <v>47195</v>
      </c>
      <c r="S4558" s="210">
        <v>4</v>
      </c>
      <c r="T4558" s="8">
        <v>1.0001111111111112</v>
      </c>
      <c r="U4558" s="98">
        <v>3.9730957719904758</v>
      </c>
      <c r="V4558" s="106">
        <v>37523.386277637226</v>
      </c>
      <c r="W4558" s="10">
        <v>1.0211094255419884</v>
      </c>
      <c r="X4558" s="420"/>
      <c r="Y4558" s="420"/>
    </row>
    <row r="4559" spans="17:25">
      <c r="Q4559" s="6">
        <v>4529</v>
      </c>
      <c r="R4559" s="7">
        <v>47196</v>
      </c>
      <c r="S4559" s="210">
        <v>4</v>
      </c>
      <c r="T4559" s="8">
        <v>1.0001111111111112</v>
      </c>
      <c r="U4559" s="98">
        <v>3.9731323041677147</v>
      </c>
      <c r="V4559" s="106">
        <v>37526.405469747042</v>
      </c>
      <c r="W4559" s="10">
        <v>1.0211323261055227</v>
      </c>
      <c r="X4559" s="420"/>
      <c r="Y4559" s="420"/>
    </row>
    <row r="4560" spans="17:25">
      <c r="Q4560" s="6">
        <v>4530</v>
      </c>
      <c r="R4560" s="7">
        <v>47197</v>
      </c>
      <c r="S4560" s="210">
        <v>4</v>
      </c>
      <c r="T4560" s="8">
        <v>1.0001111111111112</v>
      </c>
      <c r="U4560" s="98">
        <v>3.9731688202287785</v>
      </c>
      <c r="V4560" s="106">
        <v>37529.424904785912</v>
      </c>
      <c r="W4560" s="10">
        <v>1.0211552165636295</v>
      </c>
      <c r="X4560" s="420"/>
      <c r="Y4560" s="420"/>
    </row>
    <row r="4561" spans="17:25">
      <c r="Q4561" s="6">
        <v>4531</v>
      </c>
      <c r="R4561" s="7">
        <v>47198</v>
      </c>
      <c r="S4561" s="210">
        <v>4</v>
      </c>
      <c r="T4561" s="8">
        <v>1.0001111111111112</v>
      </c>
      <c r="U4561" s="98">
        <v>3.9732053201843476</v>
      </c>
      <c r="V4561" s="106">
        <v>37532.444582773394</v>
      </c>
      <c r="W4561" s="10">
        <v>1.0211780969229922</v>
      </c>
      <c r="X4561" s="420"/>
      <c r="Y4561" s="420"/>
    </row>
    <row r="4562" spans="17:25">
      <c r="Q4562" s="6">
        <v>4532</v>
      </c>
      <c r="R4562" s="7">
        <v>47199</v>
      </c>
      <c r="S4562" s="210">
        <v>4</v>
      </c>
      <c r="T4562" s="8">
        <v>1.0001111111111112</v>
      </c>
      <c r="U4562" s="98">
        <v>3.9732418040450579</v>
      </c>
      <c r="V4562" s="106">
        <v>37535.464503729025</v>
      </c>
      <c r="W4562" s="10">
        <v>1.0212009671902944</v>
      </c>
      <c r="X4562" s="420"/>
      <c r="Y4562" s="420"/>
    </row>
    <row r="4563" spans="17:25">
      <c r="Q4563" s="6">
        <v>4533</v>
      </c>
      <c r="R4563" s="7">
        <v>47200</v>
      </c>
      <c r="S4563" s="210">
        <v>4</v>
      </c>
      <c r="T4563" s="8">
        <v>1.0001111111111112</v>
      </c>
      <c r="U4563" s="98">
        <v>3.9732782718215454</v>
      </c>
      <c r="V4563" s="106">
        <v>37538.484667672368</v>
      </c>
      <c r="W4563" s="10">
        <v>1.0212238273721974</v>
      </c>
      <c r="X4563" s="420"/>
      <c r="Y4563" s="420"/>
    </row>
    <row r="4564" spans="17:25">
      <c r="Q4564" s="6">
        <v>4534</v>
      </c>
      <c r="R4564" s="7">
        <v>47201</v>
      </c>
      <c r="S4564" s="210">
        <v>4</v>
      </c>
      <c r="T4564" s="8">
        <v>1.0001111111111112</v>
      </c>
      <c r="U4564" s="98">
        <v>3.9733147235244681</v>
      </c>
      <c r="V4564" s="106">
        <v>37541.505074622968</v>
      </c>
      <c r="W4564" s="10">
        <v>1.0212466774753626</v>
      </c>
      <c r="X4564" s="420"/>
      <c r="Y4564" s="420"/>
    </row>
    <row r="4565" spans="17:25">
      <c r="Q4565" s="6">
        <v>4535</v>
      </c>
      <c r="R4565" s="7">
        <v>47202</v>
      </c>
      <c r="S4565" s="210">
        <v>4</v>
      </c>
      <c r="T4565" s="8">
        <v>1.0001111111111112</v>
      </c>
      <c r="U4565" s="98">
        <v>3.9733511591644399</v>
      </c>
      <c r="V4565" s="106">
        <v>37544.525724600368</v>
      </c>
      <c r="W4565" s="10">
        <v>1.0212695175064956</v>
      </c>
      <c r="X4565" s="420"/>
      <c r="Y4565" s="420"/>
    </row>
    <row r="4566" spans="17:25">
      <c r="Q4566" s="6">
        <v>4536</v>
      </c>
      <c r="R4566" s="7">
        <v>47203</v>
      </c>
      <c r="S4566" s="210">
        <v>4</v>
      </c>
      <c r="T4566" s="8">
        <v>1.0001111111111112</v>
      </c>
      <c r="U4566" s="98">
        <v>3.9733875787520745</v>
      </c>
      <c r="V4566" s="106">
        <v>37547.546617624132</v>
      </c>
      <c r="W4566" s="10">
        <v>1.0212923474722357</v>
      </c>
      <c r="X4566" s="420"/>
      <c r="Y4566" s="420"/>
    </row>
    <row r="4567" spans="17:25">
      <c r="Q4567" s="6">
        <v>4537</v>
      </c>
      <c r="R4567" s="7">
        <v>47204</v>
      </c>
      <c r="S4567" s="210">
        <v>4</v>
      </c>
      <c r="T4567" s="8">
        <v>1.0001111111111112</v>
      </c>
      <c r="U4567" s="98">
        <v>3.9734239822979633</v>
      </c>
      <c r="V4567" s="106">
        <v>37550.567753713825</v>
      </c>
      <c r="W4567" s="10">
        <v>1.0213151673791998</v>
      </c>
      <c r="X4567" s="420"/>
      <c r="Y4567" s="420"/>
    </row>
    <row r="4568" spans="17:25">
      <c r="Q4568" s="6">
        <v>4538</v>
      </c>
      <c r="R4568" s="7">
        <v>47205</v>
      </c>
      <c r="S4568" s="210">
        <v>4</v>
      </c>
      <c r="T4568" s="8">
        <v>1.0001111111111112</v>
      </c>
      <c r="U4568" s="98">
        <v>3.9734603698127202</v>
      </c>
      <c r="V4568" s="106">
        <v>37553.589132888992</v>
      </c>
      <c r="W4568" s="10">
        <v>1.0213379772340492</v>
      </c>
      <c r="X4568" s="420"/>
      <c r="Y4568" s="420"/>
    </row>
    <row r="4569" spans="17:25">
      <c r="Q4569" s="6">
        <v>4539</v>
      </c>
      <c r="R4569" s="7">
        <v>47206</v>
      </c>
      <c r="S4569" s="210">
        <v>4</v>
      </c>
      <c r="T4569" s="8">
        <v>1.0001111111111112</v>
      </c>
      <c r="U4569" s="98">
        <v>3.9734967413069366</v>
      </c>
      <c r="V4569" s="106">
        <v>37556.610755169189</v>
      </c>
      <c r="W4569" s="10">
        <v>1.0213607770434674</v>
      </c>
      <c r="X4569" s="420"/>
      <c r="Y4569" s="420"/>
    </row>
    <row r="4570" spans="17:25">
      <c r="Q4570" s="6">
        <v>4540</v>
      </c>
      <c r="R4570" s="7">
        <v>47207</v>
      </c>
      <c r="S4570" s="210">
        <v>4</v>
      </c>
      <c r="T4570" s="8">
        <v>1.0001111111111112</v>
      </c>
      <c r="U4570" s="98">
        <v>3.9735330967911819</v>
      </c>
      <c r="V4570" s="106">
        <v>37559.63262057399</v>
      </c>
      <c r="W4570" s="10">
        <v>1.0213835668140492</v>
      </c>
      <c r="X4570" s="420"/>
      <c r="Y4570" s="420"/>
    </row>
    <row r="4571" spans="17:25">
      <c r="Q4571" s="6">
        <v>4541</v>
      </c>
      <c r="R4571" s="7">
        <v>47208</v>
      </c>
      <c r="S4571" s="210">
        <v>4</v>
      </c>
      <c r="T4571" s="8">
        <v>1.0001111111111112</v>
      </c>
      <c r="U4571" s="98">
        <v>3.9735694362760254</v>
      </c>
      <c r="V4571" s="106">
        <v>37562.654729122936</v>
      </c>
      <c r="W4571" s="10">
        <v>1.0214063465524337</v>
      </c>
      <c r="X4571" s="420"/>
      <c r="Y4571" s="420"/>
    </row>
    <row r="4572" spans="17:25">
      <c r="Q4572" s="6">
        <v>4542</v>
      </c>
      <c r="R4572" s="7">
        <v>47209</v>
      </c>
      <c r="S4572" s="210">
        <v>4</v>
      </c>
      <c r="T4572" s="8">
        <v>1.0001111111111112</v>
      </c>
      <c r="U4572" s="98">
        <v>3.9736057597720364</v>
      </c>
      <c r="V4572" s="106">
        <v>37565.677080835623</v>
      </c>
      <c r="W4572" s="10">
        <v>1.02142911626526</v>
      </c>
      <c r="X4572" s="420"/>
      <c r="Y4572" s="420"/>
    </row>
    <row r="4573" spans="17:25">
      <c r="Q4573" s="6">
        <v>4543</v>
      </c>
      <c r="R4573" s="7">
        <v>47210</v>
      </c>
      <c r="S4573" s="210">
        <v>4</v>
      </c>
      <c r="T4573" s="8">
        <v>1.0001111111111112</v>
      </c>
      <c r="U4573" s="98">
        <v>3.9736420672897399</v>
      </c>
      <c r="V4573" s="106">
        <v>37568.699675731586</v>
      </c>
      <c r="W4573" s="10">
        <v>1.0214518759591229</v>
      </c>
      <c r="X4573" s="420"/>
      <c r="Y4573" s="420"/>
    </row>
    <row r="4574" spans="17:25">
      <c r="Q4574" s="6">
        <v>4544</v>
      </c>
      <c r="R4574" s="7">
        <v>47211</v>
      </c>
      <c r="S4574" s="210">
        <v>4</v>
      </c>
      <c r="T4574" s="8">
        <v>1.0001111111111112</v>
      </c>
      <c r="U4574" s="98">
        <v>3.9736783588397051</v>
      </c>
      <c r="V4574" s="106">
        <v>37571.722513830398</v>
      </c>
      <c r="W4574" s="10">
        <v>1.0214746256406171</v>
      </c>
      <c r="X4574" s="420"/>
      <c r="Y4574" s="420"/>
    </row>
    <row r="4575" spans="17:25">
      <c r="Q4575" s="6">
        <v>4545</v>
      </c>
      <c r="R4575" s="7">
        <v>47212</v>
      </c>
      <c r="S4575" s="210">
        <v>4</v>
      </c>
      <c r="T4575" s="8">
        <v>1.0001111111111112</v>
      </c>
      <c r="U4575" s="98">
        <v>3.9737146344324348</v>
      </c>
      <c r="V4575" s="106">
        <v>37574.745595151646</v>
      </c>
      <c r="W4575" s="10">
        <v>1.0214973653163817</v>
      </c>
      <c r="X4575" s="420"/>
      <c r="Y4575" s="420"/>
    </row>
    <row r="4576" spans="17:25">
      <c r="Q4576" s="6">
        <v>4546</v>
      </c>
      <c r="R4576" s="7">
        <v>47213</v>
      </c>
      <c r="S4576" s="210">
        <v>4</v>
      </c>
      <c r="T4576" s="8">
        <v>1.0001111111111112</v>
      </c>
      <c r="U4576" s="98">
        <v>3.973750894078476</v>
      </c>
      <c r="V4576" s="106">
        <v>37577.768919714887</v>
      </c>
      <c r="W4576" s="10">
        <v>1.0215200949930114</v>
      </c>
      <c r="X4576" s="420"/>
      <c r="Y4576" s="420"/>
    </row>
    <row r="4577" spans="17:25">
      <c r="Q4577" s="6">
        <v>4547</v>
      </c>
      <c r="R4577" s="7">
        <v>47214</v>
      </c>
      <c r="S4577" s="210">
        <v>4</v>
      </c>
      <c r="T4577" s="8">
        <v>1.0001111111111112</v>
      </c>
      <c r="U4577" s="98">
        <v>3.9737871377883316</v>
      </c>
      <c r="V4577" s="106">
        <v>37580.792487539686</v>
      </c>
      <c r="W4577" s="10">
        <v>1.0215428146770789</v>
      </c>
      <c r="X4577" s="420"/>
      <c r="Y4577" s="420"/>
    </row>
    <row r="4578" spans="17:25">
      <c r="Q4578" s="6">
        <v>4548</v>
      </c>
      <c r="R4578" s="7">
        <v>47215</v>
      </c>
      <c r="S4578" s="210">
        <v>4</v>
      </c>
      <c r="T4578" s="8">
        <v>1.0001111111111112</v>
      </c>
      <c r="U4578" s="98">
        <v>3.9738233655725042</v>
      </c>
      <c r="V4578" s="106">
        <v>37583.81629864563</v>
      </c>
      <c r="W4578" s="10">
        <v>1.0215655243752009</v>
      </c>
      <c r="X4578" s="420"/>
      <c r="Y4578" s="420"/>
    </row>
    <row r="4579" spans="17:25">
      <c r="Q4579" s="6">
        <v>4549</v>
      </c>
      <c r="R4579" s="7">
        <v>47216</v>
      </c>
      <c r="S4579" s="210">
        <v>4</v>
      </c>
      <c r="T4579" s="8">
        <v>1.0001111111111112</v>
      </c>
      <c r="U4579" s="98">
        <v>3.9738595774414964</v>
      </c>
      <c r="V4579" s="106">
        <v>37586.840353052277</v>
      </c>
      <c r="W4579" s="10">
        <v>1.02158822409395</v>
      </c>
      <c r="X4579" s="420"/>
      <c r="Y4579" s="420"/>
    </row>
    <row r="4580" spans="17:25">
      <c r="Q4580" s="6">
        <v>4550</v>
      </c>
      <c r="R4580" s="7">
        <v>47217</v>
      </c>
      <c r="S4580" s="210">
        <v>4</v>
      </c>
      <c r="T4580" s="8">
        <v>1.0001111111111112</v>
      </c>
      <c r="U4580" s="98">
        <v>3.9738957734057889</v>
      </c>
      <c r="V4580" s="106">
        <v>37589.864650779222</v>
      </c>
      <c r="W4580" s="10">
        <v>1.0216109138398766</v>
      </c>
      <c r="X4580" s="420"/>
      <c r="Y4580" s="420"/>
    </row>
    <row r="4581" spans="17:25">
      <c r="Q4581" s="6">
        <v>4551</v>
      </c>
      <c r="R4581" s="7">
        <v>47218</v>
      </c>
      <c r="S4581" s="210">
        <v>4</v>
      </c>
      <c r="T4581" s="8">
        <v>1.0001111111111112</v>
      </c>
      <c r="U4581" s="98">
        <v>3.9739319534758399</v>
      </c>
      <c r="V4581" s="106">
        <v>37592.889191846036</v>
      </c>
      <c r="W4581" s="10">
        <v>1.0216335936195753</v>
      </c>
      <c r="X4581" s="420"/>
      <c r="Y4581" s="420"/>
    </row>
    <row r="4582" spans="17:25">
      <c r="Q4582" s="6">
        <v>4552</v>
      </c>
      <c r="R4582" s="7">
        <v>47219</v>
      </c>
      <c r="S4582" s="210">
        <v>4</v>
      </c>
      <c r="T4582" s="8">
        <v>1.0001111111111112</v>
      </c>
      <c r="U4582" s="98">
        <v>3.9739681176621522</v>
      </c>
      <c r="V4582" s="106">
        <v>37595.913976272284</v>
      </c>
      <c r="W4582" s="10">
        <v>1.0216562634396409</v>
      </c>
      <c r="X4582" s="420"/>
      <c r="Y4582" s="420"/>
    </row>
    <row r="4583" spans="17:25">
      <c r="Q4583" s="6">
        <v>4553</v>
      </c>
      <c r="R4583" s="7">
        <v>47220</v>
      </c>
      <c r="S4583" s="210">
        <v>4</v>
      </c>
      <c r="T4583" s="8">
        <v>1.0001111111111112</v>
      </c>
      <c r="U4583" s="98">
        <v>3.9740042659751618</v>
      </c>
      <c r="V4583" s="106">
        <v>37598.939004077569</v>
      </c>
      <c r="W4583" s="10">
        <v>1.0216789233065793</v>
      </c>
      <c r="X4583" s="420"/>
      <c r="Y4583" s="420"/>
    </row>
    <row r="4584" spans="17:25">
      <c r="Q4584" s="6">
        <v>4554</v>
      </c>
      <c r="R4584" s="7">
        <v>47221</v>
      </c>
      <c r="S4584" s="210">
        <v>4</v>
      </c>
      <c r="T4584" s="8">
        <v>1.0001111111111112</v>
      </c>
      <c r="U4584" s="98">
        <v>3.9740403984253048</v>
      </c>
      <c r="V4584" s="106">
        <v>37601.964275281462</v>
      </c>
      <c r="W4584" s="10">
        <v>1.021701573226963</v>
      </c>
      <c r="X4584" s="420"/>
      <c r="Y4584" s="420"/>
    </row>
    <row r="4585" spans="17:25">
      <c r="Q4585" s="6">
        <v>4555</v>
      </c>
      <c r="R4585" s="7">
        <v>47222</v>
      </c>
      <c r="S4585" s="210">
        <v>4</v>
      </c>
      <c r="T4585" s="8">
        <v>1.0001111111111112</v>
      </c>
      <c r="U4585" s="98">
        <v>3.9740765150230395</v>
      </c>
      <c r="V4585" s="106">
        <v>37604.989789903557</v>
      </c>
      <c r="W4585" s="10">
        <v>1.0217242132073423</v>
      </c>
      <c r="X4585" s="420"/>
      <c r="Y4585" s="420"/>
    </row>
    <row r="4586" spans="17:25">
      <c r="Q4586" s="6">
        <v>4556</v>
      </c>
      <c r="R4586" s="7">
        <v>47223</v>
      </c>
      <c r="S4586" s="210">
        <v>4</v>
      </c>
      <c r="T4586" s="8">
        <v>1.0001111111111112</v>
      </c>
      <c r="U4586" s="98">
        <v>3.974112615778802</v>
      </c>
      <c r="V4586" s="106">
        <v>37608.015547963427</v>
      </c>
      <c r="W4586" s="10">
        <v>1.0217468432542676</v>
      </c>
      <c r="X4586" s="420"/>
      <c r="Y4586" s="420"/>
    </row>
    <row r="4587" spans="17:25">
      <c r="Q4587" s="6">
        <v>4557</v>
      </c>
      <c r="R4587" s="7">
        <v>47224</v>
      </c>
      <c r="S4587" s="210">
        <v>4</v>
      </c>
      <c r="T4587" s="8">
        <v>1.0001111111111112</v>
      </c>
      <c r="U4587" s="98">
        <v>3.9741487007029841</v>
      </c>
      <c r="V4587" s="106">
        <v>37611.041549480666</v>
      </c>
      <c r="W4587" s="10">
        <v>1.0217694633742447</v>
      </c>
      <c r="X4587" s="420"/>
      <c r="Y4587" s="420"/>
    </row>
    <row r="4588" spans="17:25">
      <c r="Q4588" s="6">
        <v>4558</v>
      </c>
      <c r="R4588" s="7">
        <v>47225</v>
      </c>
      <c r="S4588" s="210">
        <v>4</v>
      </c>
      <c r="T4588" s="8">
        <v>1.0001111111111112</v>
      </c>
      <c r="U4588" s="98">
        <v>3.9741847698060218</v>
      </c>
      <c r="V4588" s="106">
        <v>37614.06779447486</v>
      </c>
      <c r="W4588" s="10">
        <v>1.021792073573824</v>
      </c>
      <c r="X4588" s="420"/>
      <c r="Y4588" s="420"/>
    </row>
    <row r="4589" spans="17:25">
      <c r="Q4589" s="6">
        <v>4559</v>
      </c>
      <c r="R4589" s="7">
        <v>47226</v>
      </c>
      <c r="S4589" s="210">
        <v>4</v>
      </c>
      <c r="T4589" s="8">
        <v>1.0001111111111112</v>
      </c>
      <c r="U4589" s="98">
        <v>3.9742208230983067</v>
      </c>
      <c r="V4589" s="106">
        <v>37617.094282965598</v>
      </c>
      <c r="W4589" s="10">
        <v>1.0218146738595335</v>
      </c>
      <c r="X4589" s="420"/>
      <c r="Y4589" s="420"/>
    </row>
    <row r="4590" spans="17:25">
      <c r="Q4590" s="6">
        <v>4560</v>
      </c>
      <c r="R4590" s="7">
        <v>47227</v>
      </c>
      <c r="S4590" s="210">
        <v>4</v>
      </c>
      <c r="T4590" s="8">
        <v>1.0001111111111112</v>
      </c>
      <c r="U4590" s="98">
        <v>3.9742568605902528</v>
      </c>
      <c r="V4590" s="106">
        <v>37620.121014972487</v>
      </c>
      <c r="W4590" s="10">
        <v>1.0218372642379236</v>
      </c>
      <c r="X4590" s="420"/>
      <c r="Y4590" s="420"/>
    </row>
    <row r="4591" spans="17:25">
      <c r="Q4591" s="6">
        <v>4561</v>
      </c>
      <c r="R4591" s="7">
        <v>47228</v>
      </c>
      <c r="S4591" s="210">
        <v>4</v>
      </c>
      <c r="T4591" s="8">
        <v>1.0001111111111112</v>
      </c>
      <c r="U4591" s="98">
        <v>3.9742928822922297</v>
      </c>
      <c r="V4591" s="106">
        <v>37623.147990515099</v>
      </c>
      <c r="W4591" s="10">
        <v>1.0218598447154559</v>
      </c>
      <c r="X4591" s="420"/>
      <c r="Y4591" s="420"/>
    </row>
    <row r="4592" spans="17:25">
      <c r="Q4592" s="6">
        <v>4562</v>
      </c>
      <c r="R4592" s="7">
        <v>47229</v>
      </c>
      <c r="S4592" s="210">
        <v>4</v>
      </c>
      <c r="T4592" s="8">
        <v>1.0001111111111112</v>
      </c>
      <c r="U4592" s="98">
        <v>3.9743288882146066</v>
      </c>
      <c r="V4592" s="106">
        <v>37626.175209613044</v>
      </c>
      <c r="W4592" s="10">
        <v>1.0218824152986361</v>
      </c>
      <c r="X4592" s="420"/>
      <c r="Y4592" s="420"/>
    </row>
    <row r="4593" spans="17:25">
      <c r="Q4593" s="6">
        <v>4563</v>
      </c>
      <c r="R4593" s="7">
        <v>47230</v>
      </c>
      <c r="S4593" s="210">
        <v>4</v>
      </c>
      <c r="T4593" s="8">
        <v>1.0001111111111112</v>
      </c>
      <c r="U4593" s="98">
        <v>3.9743648783677532</v>
      </c>
      <c r="V4593" s="106">
        <v>37629.202672285915</v>
      </c>
      <c r="W4593" s="10">
        <v>1.0219049759940146</v>
      </c>
      <c r="X4593" s="420"/>
      <c r="Y4593" s="420"/>
    </row>
    <row r="4594" spans="17:25">
      <c r="Q4594" s="6">
        <v>4564</v>
      </c>
      <c r="R4594" s="7">
        <v>47231</v>
      </c>
      <c r="S4594" s="210">
        <v>4</v>
      </c>
      <c r="T4594" s="8">
        <v>1.0001111111111112</v>
      </c>
      <c r="U4594" s="98">
        <v>3.9744008527620167</v>
      </c>
      <c r="V4594" s="106">
        <v>37632.2303785533</v>
      </c>
      <c r="W4594" s="10">
        <v>1.0219275268080308</v>
      </c>
      <c r="X4594" s="420"/>
      <c r="Y4594" s="420"/>
    </row>
    <row r="4595" spans="17:25">
      <c r="Q4595" s="6">
        <v>4565</v>
      </c>
      <c r="R4595" s="7">
        <v>47232</v>
      </c>
      <c r="S4595" s="210">
        <v>4</v>
      </c>
      <c r="T4595" s="8">
        <v>1.0001111111111112</v>
      </c>
      <c r="U4595" s="98">
        <v>3.9744368114077666</v>
      </c>
      <c r="V4595" s="106">
        <v>37635.258328434822</v>
      </c>
      <c r="W4595" s="10">
        <v>1.0219500677472126</v>
      </c>
      <c r="X4595" s="420"/>
      <c r="Y4595" s="420"/>
    </row>
    <row r="4596" spans="17:25">
      <c r="Q4596" s="6">
        <v>4566</v>
      </c>
      <c r="R4596" s="7">
        <v>47233</v>
      </c>
      <c r="S4596" s="210">
        <v>4</v>
      </c>
      <c r="T4596" s="8">
        <v>1.0001111111111112</v>
      </c>
      <c r="U4596" s="98">
        <v>3.974472754315328</v>
      </c>
      <c r="V4596" s="106">
        <v>37638.28652195006</v>
      </c>
      <c r="W4596" s="10">
        <v>1.0219725988180217</v>
      </c>
      <c r="X4596" s="420"/>
      <c r="Y4596" s="420"/>
    </row>
    <row r="4597" spans="17:25">
      <c r="Q4597" s="6">
        <v>4567</v>
      </c>
      <c r="R4597" s="7">
        <v>47234</v>
      </c>
      <c r="S4597" s="210">
        <v>4</v>
      </c>
      <c r="T4597" s="8">
        <v>1.0001111111111112</v>
      </c>
      <c r="U4597" s="98">
        <v>3.9745086814950481</v>
      </c>
      <c r="V4597" s="106">
        <v>37641.314959118637</v>
      </c>
      <c r="W4597" s="10">
        <v>1.0219951200269639</v>
      </c>
      <c r="X4597" s="420"/>
      <c r="Y4597" s="420"/>
    </row>
    <row r="4598" spans="17:25">
      <c r="Q4598" s="6">
        <v>4568</v>
      </c>
      <c r="R4598" s="7">
        <v>47235</v>
      </c>
      <c r="S4598" s="210">
        <v>4</v>
      </c>
      <c r="T4598" s="8">
        <v>1.0001111111111112</v>
      </c>
      <c r="U4598" s="98">
        <v>3.9745445929572298</v>
      </c>
      <c r="V4598" s="106">
        <v>37644.343639960134</v>
      </c>
      <c r="W4598" s="10">
        <v>1.0220176313805007</v>
      </c>
      <c r="X4598" s="420"/>
      <c r="Y4598" s="420"/>
    </row>
    <row r="4599" spans="17:25">
      <c r="Q4599" s="6">
        <v>4569</v>
      </c>
      <c r="R4599" s="7">
        <v>47236</v>
      </c>
      <c r="S4599" s="210">
        <v>4</v>
      </c>
      <c r="T4599" s="8">
        <v>1.0001111111111112</v>
      </c>
      <c r="U4599" s="98">
        <v>3.9745804887121983</v>
      </c>
      <c r="V4599" s="106">
        <v>37647.372564494181</v>
      </c>
      <c r="W4599" s="10">
        <v>1.0220401328851159</v>
      </c>
      <c r="X4599" s="420"/>
      <c r="Y4599" s="420"/>
    </row>
    <row r="4600" spans="17:25">
      <c r="Q4600" s="6">
        <v>4570</v>
      </c>
      <c r="R4600" s="7">
        <v>47237</v>
      </c>
      <c r="S4600" s="210">
        <v>4</v>
      </c>
      <c r="T4600" s="8">
        <v>1.0001111111111112</v>
      </c>
      <c r="U4600" s="98">
        <v>3.9746163687702341</v>
      </c>
      <c r="V4600" s="106">
        <v>37650.401732740378</v>
      </c>
      <c r="W4600" s="10">
        <v>1.0220626245472264</v>
      </c>
      <c r="X4600" s="420"/>
      <c r="Y4600" s="420"/>
    </row>
    <row r="4601" spans="17:25">
      <c r="Q4601" s="6">
        <v>4571</v>
      </c>
      <c r="R4601" s="7">
        <v>47238</v>
      </c>
      <c r="S4601" s="210">
        <v>4</v>
      </c>
      <c r="T4601" s="8">
        <v>1.0001111111111112</v>
      </c>
      <c r="U4601" s="98">
        <v>3.9746522331416623</v>
      </c>
      <c r="V4601" s="106">
        <v>37653.431144718321</v>
      </c>
      <c r="W4601" s="10">
        <v>1.0220851063733383</v>
      </c>
      <c r="X4601" s="420"/>
      <c r="Y4601" s="420"/>
    </row>
    <row r="4602" spans="17:25">
      <c r="Q4602" s="6">
        <v>4572</v>
      </c>
      <c r="R4602" s="7">
        <v>47239</v>
      </c>
      <c r="S4602" s="210">
        <v>4</v>
      </c>
      <c r="T4602" s="8">
        <v>1.0001111111111112</v>
      </c>
      <c r="U4602" s="98">
        <v>3.9746880818367414</v>
      </c>
      <c r="V4602" s="106">
        <v>37656.460800447639</v>
      </c>
      <c r="W4602" s="10">
        <v>1.0221075783698685</v>
      </c>
      <c r="X4602" s="420"/>
      <c r="Y4602" s="420"/>
    </row>
    <row r="4603" spans="17:25">
      <c r="Q4603" s="6">
        <v>4573</v>
      </c>
      <c r="R4603" s="7">
        <v>47240</v>
      </c>
      <c r="S4603" s="210">
        <v>4</v>
      </c>
      <c r="T4603" s="8">
        <v>1.0001111111111112</v>
      </c>
      <c r="U4603" s="98">
        <v>3.9747239148657521</v>
      </c>
      <c r="V4603" s="106">
        <v>37659.490699947943</v>
      </c>
      <c r="W4603" s="10">
        <v>1.0221300405432565</v>
      </c>
      <c r="X4603" s="420"/>
      <c r="Y4603" s="420"/>
    </row>
    <row r="4604" spans="17:25">
      <c r="Q4604" s="6">
        <v>4574</v>
      </c>
      <c r="R4604" s="7">
        <v>47241</v>
      </c>
      <c r="S4604" s="210">
        <v>4</v>
      </c>
      <c r="T4604" s="8">
        <v>1.0001111111111112</v>
      </c>
      <c r="U4604" s="98">
        <v>3.9747597322389749</v>
      </c>
      <c r="V4604" s="106">
        <v>37662.520843238832</v>
      </c>
      <c r="W4604" s="10">
        <v>1.0221524928999859</v>
      </c>
      <c r="X4604" s="420"/>
      <c r="Y4604" s="420"/>
    </row>
    <row r="4605" spans="17:25">
      <c r="Q4605" s="6">
        <v>4575</v>
      </c>
      <c r="R4605" s="7">
        <v>47242</v>
      </c>
      <c r="S4605" s="210">
        <v>4</v>
      </c>
      <c r="T4605" s="8">
        <v>1.0001111111111112</v>
      </c>
      <c r="U4605" s="98">
        <v>3.9747955339666685</v>
      </c>
      <c r="V4605" s="106">
        <v>37665.55123033993</v>
      </c>
      <c r="W4605" s="10">
        <v>1.0221749354464515</v>
      </c>
      <c r="X4605" s="420"/>
      <c r="Y4605" s="420"/>
    </row>
    <row r="4606" spans="17:25">
      <c r="Q4606" s="6">
        <v>4576</v>
      </c>
      <c r="R4606" s="7">
        <v>47243</v>
      </c>
      <c r="S4606" s="210">
        <v>4</v>
      </c>
      <c r="T4606" s="8">
        <v>1.0001111111111112</v>
      </c>
      <c r="U4606" s="98">
        <v>3.974831320059069</v>
      </c>
      <c r="V4606" s="106">
        <v>37668.581861270861</v>
      </c>
      <c r="W4606" s="10">
        <v>1.022197368189115</v>
      </c>
      <c r="X4606" s="420"/>
      <c r="Y4606" s="420"/>
    </row>
    <row r="4607" spans="17:25">
      <c r="Q4607" s="6">
        <v>4577</v>
      </c>
      <c r="R4607" s="7">
        <v>47244</v>
      </c>
      <c r="S4607" s="210">
        <v>4</v>
      </c>
      <c r="T4607" s="8">
        <v>1.0001111111111112</v>
      </c>
      <c r="U4607" s="98">
        <v>3.9748670905264127</v>
      </c>
      <c r="V4607" s="106">
        <v>37671.61273605124</v>
      </c>
      <c r="W4607" s="10">
        <v>1.0222197911343489</v>
      </c>
      <c r="X4607" s="420"/>
      <c r="Y4607" s="420"/>
    </row>
    <row r="4608" spans="17:25">
      <c r="Q4608" s="6">
        <v>4578</v>
      </c>
      <c r="R4608" s="7">
        <v>47245</v>
      </c>
      <c r="S4608" s="210">
        <v>4</v>
      </c>
      <c r="T4608" s="8">
        <v>1.0001111111111112</v>
      </c>
      <c r="U4608" s="98">
        <v>3.9749028453789359</v>
      </c>
      <c r="V4608" s="106">
        <v>37674.643854700691</v>
      </c>
      <c r="W4608" s="10">
        <v>1.0222422042886148</v>
      </c>
      <c r="X4608" s="420"/>
      <c r="Y4608" s="420"/>
    </row>
    <row r="4609" spans="17:25">
      <c r="Q4609" s="6">
        <v>4579</v>
      </c>
      <c r="R4609" s="7">
        <v>47246</v>
      </c>
      <c r="S4609" s="210">
        <v>4</v>
      </c>
      <c r="T4609" s="8">
        <v>1.0001111111111112</v>
      </c>
      <c r="U4609" s="98">
        <v>3.9749385846268748</v>
      </c>
      <c r="V4609" s="106">
        <v>37677.67521723883</v>
      </c>
      <c r="W4609" s="10">
        <v>1.0222646076583075</v>
      </c>
      <c r="X4609" s="420"/>
      <c r="Y4609" s="420"/>
    </row>
    <row r="4610" spans="17:25">
      <c r="Q4610" s="6">
        <v>4580</v>
      </c>
      <c r="R4610" s="7">
        <v>47247</v>
      </c>
      <c r="S4610" s="210">
        <v>4</v>
      </c>
      <c r="T4610" s="8">
        <v>1.0001111111111112</v>
      </c>
      <c r="U4610" s="98">
        <v>3.9749743082804212</v>
      </c>
      <c r="V4610" s="106">
        <v>37680.706823685272</v>
      </c>
      <c r="W4610" s="10">
        <v>1.022287001249822</v>
      </c>
      <c r="X4610" s="420"/>
      <c r="Y4610" s="420"/>
    </row>
    <row r="4611" spans="17:25">
      <c r="Q4611" s="6">
        <v>4581</v>
      </c>
      <c r="R4611" s="7">
        <v>47248</v>
      </c>
      <c r="S4611" s="210">
        <v>4</v>
      </c>
      <c r="T4611" s="8">
        <v>1.0001111111111112</v>
      </c>
      <c r="U4611" s="98">
        <v>3.9750100163497892</v>
      </c>
      <c r="V4611" s="106">
        <v>37683.738674059663</v>
      </c>
      <c r="W4611" s="10">
        <v>1.0223093850695752</v>
      </c>
      <c r="X4611" s="420"/>
      <c r="Y4611" s="420"/>
    </row>
    <row r="4612" spans="17:25">
      <c r="Q4612" s="6">
        <v>4582</v>
      </c>
      <c r="R4612" s="7">
        <v>47249</v>
      </c>
      <c r="S4612" s="210">
        <v>4</v>
      </c>
      <c r="T4612" s="8">
        <v>1.0001111111111112</v>
      </c>
      <c r="U4612" s="98">
        <v>3.9750457088451929</v>
      </c>
      <c r="V4612" s="106">
        <v>37686.770768381619</v>
      </c>
      <c r="W4612" s="10">
        <v>1.0223317591239844</v>
      </c>
      <c r="X4612" s="420"/>
      <c r="Y4612" s="420"/>
    </row>
    <row r="4613" spans="17:25">
      <c r="Q4613" s="6">
        <v>4583</v>
      </c>
      <c r="R4613" s="7">
        <v>47250</v>
      </c>
      <c r="S4613" s="210">
        <v>4</v>
      </c>
      <c r="T4613" s="8">
        <v>1.0001111111111112</v>
      </c>
      <c r="U4613" s="98">
        <v>3.9750813857768019</v>
      </c>
      <c r="V4613" s="106">
        <v>37689.803106670763</v>
      </c>
      <c r="W4613" s="10">
        <v>1.0223541234194</v>
      </c>
      <c r="X4613" s="420"/>
      <c r="Y4613" s="420"/>
    </row>
    <row r="4614" spans="17:25">
      <c r="Q4614" s="6">
        <v>4584</v>
      </c>
      <c r="R4614" s="7">
        <v>47251</v>
      </c>
      <c r="S4614" s="210">
        <v>4</v>
      </c>
      <c r="T4614" s="8">
        <v>1.0001111111111112</v>
      </c>
      <c r="U4614" s="98">
        <v>3.9751170471547859</v>
      </c>
      <c r="V4614" s="106">
        <v>37692.835688946732</v>
      </c>
      <c r="W4614" s="10">
        <v>1.0223764779622169</v>
      </c>
      <c r="X4614" s="420"/>
      <c r="Y4614" s="420"/>
    </row>
    <row r="4615" spans="17:25">
      <c r="Q4615" s="6">
        <v>4585</v>
      </c>
      <c r="R4615" s="7">
        <v>47252</v>
      </c>
      <c r="S4615" s="210">
        <v>4</v>
      </c>
      <c r="T4615" s="8">
        <v>1.0001111111111112</v>
      </c>
      <c r="U4615" s="98">
        <v>3.9751526929893144</v>
      </c>
      <c r="V4615" s="106">
        <v>37695.868515229158</v>
      </c>
      <c r="W4615" s="10">
        <v>1.0223988227587855</v>
      </c>
      <c r="X4615" s="420"/>
      <c r="Y4615" s="420"/>
    </row>
    <row r="4616" spans="17:25">
      <c r="Q4616" s="6">
        <v>4586</v>
      </c>
      <c r="R4616" s="7">
        <v>47253</v>
      </c>
      <c r="S4616" s="210">
        <v>4</v>
      </c>
      <c r="T4616" s="8">
        <v>1.0001111111111112</v>
      </c>
      <c r="U4616" s="98">
        <v>3.9751883232905572</v>
      </c>
      <c r="V4616" s="106">
        <v>37698.901585537671</v>
      </c>
      <c r="W4616" s="10">
        <v>1.0224211578155229</v>
      </c>
      <c r="X4616" s="420"/>
      <c r="Y4616" s="420"/>
    </row>
    <row r="4617" spans="17:25">
      <c r="Q4617" s="6">
        <v>4587</v>
      </c>
      <c r="R4617" s="7">
        <v>47254</v>
      </c>
      <c r="S4617" s="210">
        <v>4</v>
      </c>
      <c r="T4617" s="8">
        <v>1.0001111111111112</v>
      </c>
      <c r="U4617" s="98">
        <v>3.9752239380686616</v>
      </c>
      <c r="V4617" s="106">
        <v>37701.934899891909</v>
      </c>
      <c r="W4617" s="10">
        <v>1.0224434831388018</v>
      </c>
      <c r="X4617" s="420"/>
      <c r="Y4617" s="420"/>
    </row>
    <row r="4618" spans="17:25">
      <c r="Q4618" s="6">
        <v>4588</v>
      </c>
      <c r="R4618" s="7">
        <v>47255</v>
      </c>
      <c r="S4618" s="210">
        <v>4</v>
      </c>
      <c r="T4618" s="8">
        <v>1.0001111111111112</v>
      </c>
      <c r="U4618" s="98">
        <v>3.9752595373337751</v>
      </c>
      <c r="V4618" s="106">
        <v>37704.968458311509</v>
      </c>
      <c r="W4618" s="10">
        <v>1.0224657987349284</v>
      </c>
      <c r="X4618" s="420"/>
      <c r="Y4618" s="420"/>
    </row>
    <row r="4619" spans="17:25">
      <c r="Q4619" s="6">
        <v>4589</v>
      </c>
      <c r="R4619" s="7">
        <v>47256</v>
      </c>
      <c r="S4619" s="210">
        <v>4</v>
      </c>
      <c r="T4619" s="8">
        <v>1.0001111111111112</v>
      </c>
      <c r="U4619" s="98">
        <v>3.975295121096023</v>
      </c>
      <c r="V4619" s="106">
        <v>37708.002260816102</v>
      </c>
      <c r="W4619" s="10">
        <v>1.0224881046103196</v>
      </c>
      <c r="X4619" s="420"/>
      <c r="Y4619" s="420"/>
    </row>
    <row r="4620" spans="17:25">
      <c r="Q4620" s="6">
        <v>4590</v>
      </c>
      <c r="R4620" s="7">
        <v>47257</v>
      </c>
      <c r="S4620" s="210">
        <v>4</v>
      </c>
      <c r="T4620" s="8">
        <v>1.0001111111111112</v>
      </c>
      <c r="U4620" s="98">
        <v>3.9753306893655305</v>
      </c>
      <c r="V4620" s="106">
        <v>37711.036307425333</v>
      </c>
      <c r="W4620" s="10">
        <v>1.0225104007712815</v>
      </c>
      <c r="X4620" s="420"/>
      <c r="Y4620" s="420"/>
    </row>
    <row r="4621" spans="17:25">
      <c r="Q4621" s="6">
        <v>4591</v>
      </c>
      <c r="R4621" s="7">
        <v>47258</v>
      </c>
      <c r="S4621" s="210">
        <v>4</v>
      </c>
      <c r="T4621" s="8">
        <v>1.0001111111111112</v>
      </c>
      <c r="U4621" s="98">
        <v>3.9753662421524227</v>
      </c>
      <c r="V4621" s="106">
        <v>37714.07059815884</v>
      </c>
      <c r="W4621" s="10">
        <v>1.0225326872241647</v>
      </c>
      <c r="X4621" s="420"/>
      <c r="Y4621" s="420"/>
    </row>
    <row r="4622" spans="17:25">
      <c r="Q4622" s="6">
        <v>4592</v>
      </c>
      <c r="R4622" s="7">
        <v>47259</v>
      </c>
      <c r="S4622" s="210">
        <v>4</v>
      </c>
      <c r="T4622" s="8">
        <v>1.0001111111111112</v>
      </c>
      <c r="U4622" s="98">
        <v>3.9754017794668028</v>
      </c>
      <c r="V4622" s="106">
        <v>37717.105133036275</v>
      </c>
      <c r="W4622" s="10">
        <v>1.0225549639753417</v>
      </c>
      <c r="X4622" s="420"/>
      <c r="Y4622" s="420"/>
    </row>
    <row r="4623" spans="17:25">
      <c r="Q4623" s="6">
        <v>4593</v>
      </c>
      <c r="R4623" s="7">
        <v>47260</v>
      </c>
      <c r="S4623" s="210">
        <v>4</v>
      </c>
      <c r="T4623" s="8">
        <v>1.0001111111111112</v>
      </c>
      <c r="U4623" s="98">
        <v>3.9754373013187516</v>
      </c>
      <c r="V4623" s="106">
        <v>37720.139912077269</v>
      </c>
      <c r="W4623" s="10">
        <v>1.0225772310310965</v>
      </c>
      <c r="X4623" s="420"/>
      <c r="Y4623" s="420"/>
    </row>
    <row r="4624" spans="17:25">
      <c r="Q4624" s="6">
        <v>4594</v>
      </c>
      <c r="R4624" s="7">
        <v>47261</v>
      </c>
      <c r="S4624" s="210">
        <v>4</v>
      </c>
      <c r="T4624" s="8">
        <v>1.0001111111111112</v>
      </c>
      <c r="U4624" s="98">
        <v>3.9754728077183943</v>
      </c>
      <c r="V4624" s="106">
        <v>37723.174935301475</v>
      </c>
      <c r="W4624" s="10">
        <v>1.0225994883978018</v>
      </c>
      <c r="X4624" s="420"/>
      <c r="Y4624" s="420"/>
    </row>
    <row r="4625" spans="17:25">
      <c r="Q4625" s="6">
        <v>4595</v>
      </c>
      <c r="R4625" s="7">
        <v>47262</v>
      </c>
      <c r="S4625" s="210">
        <v>4</v>
      </c>
      <c r="T4625" s="8">
        <v>1.0001111111111112</v>
      </c>
      <c r="U4625" s="98">
        <v>3.9755082986757895</v>
      </c>
      <c r="V4625" s="106">
        <v>37726.210202728544</v>
      </c>
      <c r="W4625" s="10">
        <v>1.0226217360817635</v>
      </c>
      <c r="X4625" s="420"/>
      <c r="Y4625" s="420"/>
    </row>
    <row r="4626" spans="17:25">
      <c r="Q4626" s="6">
        <v>4596</v>
      </c>
      <c r="R4626" s="7">
        <v>47263</v>
      </c>
      <c r="S4626" s="210">
        <v>4</v>
      </c>
      <c r="T4626" s="8">
        <v>1.0001111111111112</v>
      </c>
      <c r="U4626" s="98">
        <v>3.9755437742009958</v>
      </c>
      <c r="V4626" s="106">
        <v>37729.245714378114</v>
      </c>
      <c r="W4626" s="10">
        <v>1.0226439740892879</v>
      </c>
      <c r="X4626" s="420"/>
      <c r="Y4626" s="420"/>
    </row>
    <row r="4627" spans="17:25">
      <c r="Q4627" s="6">
        <v>4597</v>
      </c>
      <c r="R4627" s="7">
        <v>47264</v>
      </c>
      <c r="S4627" s="210">
        <v>4</v>
      </c>
      <c r="T4627" s="8">
        <v>1.0001111111111112</v>
      </c>
      <c r="U4627" s="98">
        <v>3.9755792343040941</v>
      </c>
      <c r="V4627" s="106">
        <v>37732.281470269838</v>
      </c>
      <c r="W4627" s="10">
        <v>1.022666202426703</v>
      </c>
      <c r="X4627" s="420"/>
      <c r="Y4627" s="420"/>
    </row>
    <row r="4628" spans="17:25">
      <c r="Q4628" s="6">
        <v>4598</v>
      </c>
      <c r="R4628" s="7">
        <v>47265</v>
      </c>
      <c r="S4628" s="210">
        <v>4</v>
      </c>
      <c r="T4628" s="8">
        <v>1.0001111111111112</v>
      </c>
      <c r="U4628" s="98">
        <v>3.975614678995143</v>
      </c>
      <c r="V4628" s="106">
        <v>37735.317470423375</v>
      </c>
      <c r="W4628" s="10">
        <v>1.0226884211003151</v>
      </c>
      <c r="X4628" s="420"/>
      <c r="Y4628" s="420"/>
    </row>
    <row r="4629" spans="17:25">
      <c r="Q4629" s="6">
        <v>4599</v>
      </c>
      <c r="R4629" s="7">
        <v>47266</v>
      </c>
      <c r="S4629" s="210">
        <v>4</v>
      </c>
      <c r="T4629" s="8">
        <v>1.0001111111111112</v>
      </c>
      <c r="U4629" s="98">
        <v>3.9756501082841789</v>
      </c>
      <c r="V4629" s="106">
        <v>37738.353714858386</v>
      </c>
      <c r="W4629" s="10">
        <v>1.0227106301164079</v>
      </c>
      <c r="X4629" s="420"/>
      <c r="Y4629" s="420"/>
    </row>
    <row r="4630" spans="17:25">
      <c r="Q4630" s="6">
        <v>4600</v>
      </c>
      <c r="R4630" s="7">
        <v>47267</v>
      </c>
      <c r="S4630" s="210">
        <v>4</v>
      </c>
      <c r="T4630" s="8">
        <v>1.0001111111111112</v>
      </c>
      <c r="U4630" s="98">
        <v>3.9756855221812382</v>
      </c>
      <c r="V4630" s="106">
        <v>37741.390203594499</v>
      </c>
      <c r="W4630" s="10">
        <v>1.0227328294812654</v>
      </c>
      <c r="X4630" s="420"/>
      <c r="Y4630" s="420"/>
    </row>
    <row r="4631" spans="17:25">
      <c r="Q4631" s="6">
        <v>4601</v>
      </c>
      <c r="R4631" s="7">
        <v>47268</v>
      </c>
      <c r="S4631" s="210">
        <v>4</v>
      </c>
      <c r="T4631" s="8">
        <v>1.0001111111111112</v>
      </c>
      <c r="U4631" s="98">
        <v>3.9757209206963573</v>
      </c>
      <c r="V4631" s="106">
        <v>37744.426936651398</v>
      </c>
      <c r="W4631" s="10">
        <v>1.022755019201238</v>
      </c>
      <c r="X4631" s="420"/>
      <c r="Y4631" s="420"/>
    </row>
    <row r="4632" spans="17:25">
      <c r="Q4632" s="6">
        <v>4602</v>
      </c>
      <c r="R4632" s="7">
        <v>47269</v>
      </c>
      <c r="S4632" s="210">
        <v>4</v>
      </c>
      <c r="T4632" s="8">
        <v>1.0001111111111112</v>
      </c>
      <c r="U4632" s="98">
        <v>3.9757563038395505</v>
      </c>
      <c r="V4632" s="106">
        <v>37747.463914048727</v>
      </c>
      <c r="W4632" s="10">
        <v>1.022777199282543</v>
      </c>
      <c r="X4632" s="420"/>
      <c r="Y4632" s="420"/>
    </row>
    <row r="4633" spans="17:25">
      <c r="Q4633" s="6">
        <v>4603</v>
      </c>
      <c r="R4633" s="7">
        <v>47270</v>
      </c>
      <c r="S4633" s="210">
        <v>4</v>
      </c>
      <c r="T4633" s="8">
        <v>1.0001111111111112</v>
      </c>
      <c r="U4633" s="98">
        <v>3.9757916716208097</v>
      </c>
      <c r="V4633" s="106">
        <v>37750.501135806146</v>
      </c>
      <c r="W4633" s="10">
        <v>1.0227993697314863</v>
      </c>
      <c r="X4633" s="420"/>
      <c r="Y4633" s="420"/>
    </row>
    <row r="4634" spans="17:25">
      <c r="Q4634" s="6">
        <v>4604</v>
      </c>
      <c r="R4634" s="7">
        <v>47271</v>
      </c>
      <c r="S4634" s="210">
        <v>4</v>
      </c>
      <c r="T4634" s="8">
        <v>1.0001111111111112</v>
      </c>
      <c r="U4634" s="98">
        <v>3.9758270240501714</v>
      </c>
      <c r="V4634" s="106">
        <v>37753.538601943328</v>
      </c>
      <c r="W4634" s="10">
        <v>1.022821530554352</v>
      </c>
      <c r="X4634" s="420"/>
      <c r="Y4634" s="420"/>
    </row>
    <row r="4635" spans="17:25">
      <c r="Q4635" s="6">
        <v>4605</v>
      </c>
      <c r="R4635" s="7">
        <v>47272</v>
      </c>
      <c r="S4635" s="210">
        <v>4</v>
      </c>
      <c r="T4635" s="8">
        <v>1.0001111111111112</v>
      </c>
      <c r="U4635" s="98">
        <v>3.9758623611376054</v>
      </c>
      <c r="V4635" s="106">
        <v>37756.576312479927</v>
      </c>
      <c r="W4635" s="10">
        <v>1.0228436817573794</v>
      </c>
      <c r="X4635" s="420"/>
      <c r="Y4635" s="420"/>
    </row>
    <row r="4636" spans="17:25">
      <c r="Q4636" s="6">
        <v>4606</v>
      </c>
      <c r="R4636" s="7">
        <v>47273</v>
      </c>
      <c r="S4636" s="210">
        <v>4</v>
      </c>
      <c r="T4636" s="8">
        <v>1.0001111111111112</v>
      </c>
      <c r="U4636" s="98">
        <v>3.9758976828931036</v>
      </c>
      <c r="V4636" s="106">
        <v>37759.614267435602</v>
      </c>
      <c r="W4636" s="10">
        <v>1.0228658233468524</v>
      </c>
      <c r="X4636" s="420"/>
      <c r="Y4636" s="420"/>
    </row>
    <row r="4637" spans="17:25">
      <c r="Q4637" s="6">
        <v>4607</v>
      </c>
      <c r="R4637" s="7">
        <v>47274</v>
      </c>
      <c r="S4637" s="210">
        <v>4</v>
      </c>
      <c r="T4637" s="8">
        <v>1.0001111111111112</v>
      </c>
      <c r="U4637" s="98">
        <v>3.975932989326636</v>
      </c>
      <c r="V4637" s="106">
        <v>37762.652466830041</v>
      </c>
      <c r="W4637" s="10">
        <v>1.0228879553290326</v>
      </c>
      <c r="X4637" s="420"/>
      <c r="Y4637" s="420"/>
    </row>
    <row r="4638" spans="17:25">
      <c r="Q4638" s="6">
        <v>4608</v>
      </c>
      <c r="R4638" s="7">
        <v>47275</v>
      </c>
      <c r="S4638" s="210">
        <v>4</v>
      </c>
      <c r="T4638" s="8">
        <v>1.0001111111111112</v>
      </c>
      <c r="U4638" s="98">
        <v>3.9759682804481944</v>
      </c>
      <c r="V4638" s="106">
        <v>37765.69091068289</v>
      </c>
      <c r="W4638" s="10">
        <v>1.0229100777101596</v>
      </c>
      <c r="X4638" s="420"/>
      <c r="Y4638" s="420"/>
    </row>
    <row r="4639" spans="17:25">
      <c r="Q4639" s="6">
        <v>4609</v>
      </c>
      <c r="R4639" s="7">
        <v>47276</v>
      </c>
      <c r="S4639" s="210">
        <v>4</v>
      </c>
      <c r="T4639" s="8">
        <v>1.0001111111111112</v>
      </c>
      <c r="U4639" s="98">
        <v>3.9760035562677043</v>
      </c>
      <c r="V4639" s="106">
        <v>37768.729599013823</v>
      </c>
      <c r="W4639" s="10">
        <v>1.022932190496495</v>
      </c>
      <c r="X4639" s="420"/>
      <c r="Y4639" s="420"/>
    </row>
    <row r="4640" spans="17:25">
      <c r="Q4640" s="6">
        <v>4610</v>
      </c>
      <c r="R4640" s="7">
        <v>47277</v>
      </c>
      <c r="S4640" s="210">
        <v>4</v>
      </c>
      <c r="T4640" s="8">
        <v>1.0001111111111112</v>
      </c>
      <c r="U4640" s="98">
        <v>3.9760388167951355</v>
      </c>
      <c r="V4640" s="106">
        <v>37771.768531842514</v>
      </c>
      <c r="W4640" s="10">
        <v>1.0229542936942559</v>
      </c>
      <c r="X4640" s="420"/>
      <c r="Y4640" s="420"/>
    </row>
    <row r="4641" spans="17:25">
      <c r="Q4641" s="6">
        <v>4611</v>
      </c>
      <c r="R4641" s="7">
        <v>47278</v>
      </c>
      <c r="S4641" s="210">
        <v>4</v>
      </c>
      <c r="T4641" s="8">
        <v>1.0001111111111112</v>
      </c>
      <c r="U4641" s="98">
        <v>3.9760740620404356</v>
      </c>
      <c r="V4641" s="106">
        <v>37774.807709188644</v>
      </c>
      <c r="W4641" s="10">
        <v>1.022976387309682</v>
      </c>
      <c r="X4641" s="420"/>
      <c r="Y4641" s="420"/>
    </row>
    <row r="4642" spans="17:25">
      <c r="Q4642" s="6">
        <v>4612</v>
      </c>
      <c r="R4642" s="7">
        <v>47279</v>
      </c>
      <c r="S4642" s="210">
        <v>4</v>
      </c>
      <c r="T4642" s="8">
        <v>1.0001111111111112</v>
      </c>
      <c r="U4642" s="98">
        <v>3.9761092920135299</v>
      </c>
      <c r="V4642" s="106">
        <v>37777.847131071874</v>
      </c>
      <c r="W4642" s="10">
        <v>1.0229984713490348</v>
      </c>
      <c r="X4642" s="420"/>
      <c r="Y4642" s="420"/>
    </row>
    <row r="4643" spans="17:25">
      <c r="Q4643" s="6">
        <v>4613</v>
      </c>
      <c r="R4643" s="7">
        <v>47280</v>
      </c>
      <c r="S4643" s="210">
        <v>4</v>
      </c>
      <c r="T4643" s="8">
        <v>1.0001111111111112</v>
      </c>
      <c r="U4643" s="98">
        <v>3.9761445067243217</v>
      </c>
      <c r="V4643" s="106">
        <v>37780.886797511885</v>
      </c>
      <c r="W4643" s="10">
        <v>1.0230205458185093</v>
      </c>
      <c r="X4643" s="420"/>
      <c r="Y4643" s="420"/>
    </row>
    <row r="4644" spans="17:25">
      <c r="Q4644" s="6">
        <v>4614</v>
      </c>
      <c r="R4644" s="7">
        <v>47281</v>
      </c>
      <c r="S4644" s="210">
        <v>4</v>
      </c>
      <c r="T4644" s="8">
        <v>1.0001111111111112</v>
      </c>
      <c r="U4644" s="98">
        <v>3.9761797061827586</v>
      </c>
      <c r="V4644" s="106">
        <v>37783.926708528365</v>
      </c>
      <c r="W4644" s="10">
        <v>1.0230426107243229</v>
      </c>
      <c r="X4644" s="420"/>
      <c r="Y4644" s="420"/>
    </row>
    <row r="4645" spans="17:25">
      <c r="Q4645" s="6">
        <v>4615</v>
      </c>
      <c r="R4645" s="7">
        <v>47282</v>
      </c>
      <c r="S4645" s="210">
        <v>4</v>
      </c>
      <c r="T4645" s="8">
        <v>1.0001111111111112</v>
      </c>
      <c r="U4645" s="98">
        <v>3.9762148903987216</v>
      </c>
      <c r="V4645" s="106">
        <v>37786.966864140966</v>
      </c>
      <c r="W4645" s="10">
        <v>1.0230646660726928</v>
      </c>
      <c r="X4645" s="420"/>
      <c r="Y4645" s="420"/>
    </row>
    <row r="4646" spans="17:25">
      <c r="Q4646" s="6">
        <v>4616</v>
      </c>
      <c r="R4646" s="7">
        <v>47283</v>
      </c>
      <c r="S4646" s="210">
        <v>4</v>
      </c>
      <c r="T4646" s="8">
        <v>1.0001111111111112</v>
      </c>
      <c r="U4646" s="98">
        <v>3.9762500593821359</v>
      </c>
      <c r="V4646" s="106">
        <v>37790.007264369393</v>
      </c>
      <c r="W4646" s="10">
        <v>1.0230867118698361</v>
      </c>
      <c r="X4646" s="420"/>
      <c r="Y4646" s="420"/>
    </row>
    <row r="4647" spans="17:25">
      <c r="Q4647" s="6">
        <v>4617</v>
      </c>
      <c r="R4647" s="7">
        <v>47284</v>
      </c>
      <c r="S4647" s="210">
        <v>4</v>
      </c>
      <c r="T4647" s="8">
        <v>1.0001111111111112</v>
      </c>
      <c r="U4647" s="98">
        <v>3.9762852131428605</v>
      </c>
      <c r="V4647" s="106">
        <v>37793.047909233319</v>
      </c>
      <c r="W4647" s="10">
        <v>1.0231087481219259</v>
      </c>
      <c r="X4647" s="420"/>
      <c r="Y4647" s="420"/>
    </row>
    <row r="4648" spans="17:25">
      <c r="Q4648" s="6">
        <v>4618</v>
      </c>
      <c r="R4648" s="7">
        <v>47285</v>
      </c>
      <c r="S4648" s="210">
        <v>4</v>
      </c>
      <c r="T4648" s="8">
        <v>1.0001111111111112</v>
      </c>
      <c r="U4648" s="98">
        <v>3.9763203516907986</v>
      </c>
      <c r="V4648" s="106">
        <v>37796.088798752433</v>
      </c>
      <c r="W4648" s="10">
        <v>1.0231307748352014</v>
      </c>
      <c r="X4648" s="420"/>
      <c r="Y4648" s="420"/>
    </row>
    <row r="4649" spans="17:25">
      <c r="Q4649" s="6">
        <v>4619</v>
      </c>
      <c r="R4649" s="7">
        <v>47286</v>
      </c>
      <c r="S4649" s="210">
        <v>4</v>
      </c>
      <c r="T4649" s="8">
        <v>1.0001111111111112</v>
      </c>
      <c r="U4649" s="98">
        <v>3.976355475035831</v>
      </c>
      <c r="V4649" s="106">
        <v>37799.129932946416</v>
      </c>
      <c r="W4649" s="10">
        <v>1.0231527920158578</v>
      </c>
      <c r="X4649" s="420"/>
      <c r="Y4649" s="420"/>
    </row>
    <row r="4650" spans="17:25">
      <c r="Q4650" s="6">
        <v>4620</v>
      </c>
      <c r="R4650" s="7">
        <v>47287</v>
      </c>
      <c r="S4650" s="210">
        <v>4</v>
      </c>
      <c r="T4650" s="8">
        <v>1.0001111111111112</v>
      </c>
      <c r="U4650" s="98">
        <v>3.9763905831877944</v>
      </c>
      <c r="V4650" s="106">
        <v>37802.171311834951</v>
      </c>
      <c r="W4650" s="10">
        <v>1.0231747996700458</v>
      </c>
      <c r="X4650" s="420"/>
      <c r="Y4650" s="420"/>
    </row>
    <row r="4651" spans="17:25">
      <c r="Q4651" s="6">
        <v>4621</v>
      </c>
      <c r="R4651" s="7">
        <v>47288</v>
      </c>
      <c r="S4651" s="210">
        <v>4</v>
      </c>
      <c r="T4651" s="8">
        <v>1.0001111111111112</v>
      </c>
      <c r="U4651" s="98">
        <v>3.9764256761565697</v>
      </c>
      <c r="V4651" s="106">
        <v>37805.212935437732</v>
      </c>
      <c r="W4651" s="10">
        <v>1.0231967978039824</v>
      </c>
      <c r="X4651" s="420"/>
      <c r="Y4651" s="420"/>
    </row>
    <row r="4652" spans="17:25">
      <c r="Q4652" s="6">
        <v>4622</v>
      </c>
      <c r="R4652" s="7">
        <v>47289</v>
      </c>
      <c r="S4652" s="210">
        <v>4</v>
      </c>
      <c r="T4652" s="8">
        <v>1.0001111111111112</v>
      </c>
      <c r="U4652" s="98">
        <v>3.9764607539519936</v>
      </c>
      <c r="V4652" s="106">
        <v>37808.254803774456</v>
      </c>
      <c r="W4652" s="10">
        <v>1.0232187864237963</v>
      </c>
      <c r="X4652" s="420"/>
      <c r="Y4652" s="420"/>
    </row>
    <row r="4653" spans="17:25">
      <c r="Q4653" s="6">
        <v>4623</v>
      </c>
      <c r="R4653" s="7">
        <v>47290</v>
      </c>
      <c r="S4653" s="210">
        <v>4</v>
      </c>
      <c r="T4653" s="8">
        <v>1.0001111111111112</v>
      </c>
      <c r="U4653" s="98">
        <v>3.9764958165839026</v>
      </c>
      <c r="V4653" s="106">
        <v>37811.296916864798</v>
      </c>
      <c r="W4653" s="10">
        <v>1.0232407655357045</v>
      </c>
      <c r="X4653" s="420"/>
      <c r="Y4653" s="420"/>
    </row>
    <row r="4654" spans="17:25">
      <c r="Q4654" s="6">
        <v>4624</v>
      </c>
      <c r="R4654" s="7">
        <v>47291</v>
      </c>
      <c r="S4654" s="210">
        <v>4</v>
      </c>
      <c r="T4654" s="8">
        <v>1.0001111111111112</v>
      </c>
      <c r="U4654" s="98">
        <v>3.9765308640621333</v>
      </c>
      <c r="V4654" s="106">
        <v>37814.33927472846</v>
      </c>
      <c r="W4654" s="10">
        <v>1.0232627351458579</v>
      </c>
      <c r="X4654" s="420"/>
      <c r="Y4654" s="420"/>
    </row>
    <row r="4655" spans="17:25">
      <c r="Q4655" s="6">
        <v>4625</v>
      </c>
      <c r="R4655" s="7">
        <v>47292</v>
      </c>
      <c r="S4655" s="210">
        <v>4</v>
      </c>
      <c r="T4655" s="8">
        <v>1.0001111111111112</v>
      </c>
      <c r="U4655" s="98">
        <v>3.9765658963965</v>
      </c>
      <c r="V4655" s="106">
        <v>37817.381877385138</v>
      </c>
      <c r="W4655" s="10">
        <v>1.0232846952604069</v>
      </c>
      <c r="X4655" s="420"/>
      <c r="Y4655" s="420"/>
    </row>
    <row r="4656" spans="17:25">
      <c r="Q4656" s="6">
        <v>4626</v>
      </c>
      <c r="R4656" s="7">
        <v>47293</v>
      </c>
      <c r="S4656" s="210">
        <v>4</v>
      </c>
      <c r="T4656" s="8">
        <v>1.0001111111111112</v>
      </c>
      <c r="U4656" s="98">
        <v>3.9766009135968172</v>
      </c>
      <c r="V4656" s="106">
        <v>37820.424724854529</v>
      </c>
      <c r="W4656" s="10">
        <v>1.0233066458855244</v>
      </c>
      <c r="X4656" s="420"/>
      <c r="Y4656" s="420"/>
    </row>
    <row r="4657" spans="17:25">
      <c r="Q4657" s="6">
        <v>4627</v>
      </c>
      <c r="R4657" s="7">
        <v>47294</v>
      </c>
      <c r="S4657" s="210">
        <v>4</v>
      </c>
      <c r="T4657" s="8">
        <v>1.0001111111111112</v>
      </c>
      <c r="U4657" s="98">
        <v>3.9766359156728992</v>
      </c>
      <c r="V4657" s="106">
        <v>37823.467817156336</v>
      </c>
      <c r="W4657" s="10">
        <v>1.023328587027339</v>
      </c>
      <c r="X4657" s="420"/>
      <c r="Y4657" s="420"/>
    </row>
    <row r="4658" spans="17:25">
      <c r="Q4658" s="6">
        <v>4628</v>
      </c>
      <c r="R4658" s="7">
        <v>47295</v>
      </c>
      <c r="S4658" s="210">
        <v>4</v>
      </c>
      <c r="T4658" s="8">
        <v>1.0001111111111112</v>
      </c>
      <c r="U4658" s="98">
        <v>3.9766709026345382</v>
      </c>
      <c r="V4658" s="106">
        <v>37826.511154310239</v>
      </c>
      <c r="W4658" s="10">
        <v>1.0233505186920233</v>
      </c>
      <c r="X4658" s="420"/>
      <c r="Y4658" s="420"/>
    </row>
    <row r="4659" spans="17:25">
      <c r="Q4659" s="6">
        <v>4629</v>
      </c>
      <c r="R4659" s="7">
        <v>47296</v>
      </c>
      <c r="S4659" s="210">
        <v>4</v>
      </c>
      <c r="T4659" s="8">
        <v>1.0001111111111112</v>
      </c>
      <c r="U4659" s="98">
        <v>3.976705874491504</v>
      </c>
      <c r="V4659" s="106">
        <v>37829.554736335958</v>
      </c>
      <c r="W4659" s="10">
        <v>1.0233724408856615</v>
      </c>
      <c r="X4659" s="420"/>
      <c r="Y4659" s="420"/>
    </row>
    <row r="4660" spans="17:25">
      <c r="Q4660" s="6">
        <v>4630</v>
      </c>
      <c r="R4660" s="7">
        <v>47297</v>
      </c>
      <c r="S4660" s="210">
        <v>4</v>
      </c>
      <c r="T4660" s="8">
        <v>1.0001111111111112</v>
      </c>
      <c r="U4660" s="98">
        <v>3.976740831253589</v>
      </c>
      <c r="V4660" s="106">
        <v>37832.598563253188</v>
      </c>
      <c r="W4660" s="10">
        <v>1.0233943536144485</v>
      </c>
      <c r="X4660" s="420"/>
      <c r="Y4660" s="420"/>
    </row>
    <row r="4661" spans="17:25">
      <c r="Q4661" s="6">
        <v>4631</v>
      </c>
      <c r="R4661" s="7">
        <v>47298</v>
      </c>
      <c r="S4661" s="210">
        <v>4</v>
      </c>
      <c r="T4661" s="8">
        <v>1.0001111111111112</v>
      </c>
      <c r="U4661" s="98">
        <v>3.9767757729305631</v>
      </c>
      <c r="V4661" s="106">
        <v>37835.64263508164</v>
      </c>
      <c r="W4661" s="10">
        <v>1.0234162568844685</v>
      </c>
      <c r="X4661" s="420"/>
      <c r="Y4661" s="420"/>
    </row>
    <row r="4662" spans="17:25">
      <c r="Q4662" s="6">
        <v>4632</v>
      </c>
      <c r="R4662" s="7">
        <v>47299</v>
      </c>
      <c r="S4662" s="210">
        <v>4</v>
      </c>
      <c r="T4662" s="8">
        <v>1.0001111111111112</v>
      </c>
      <c r="U4662" s="98">
        <v>3.9768106995321961</v>
      </c>
      <c r="V4662" s="106">
        <v>37838.686951841017</v>
      </c>
      <c r="W4662" s="10">
        <v>1.0234381507018497</v>
      </c>
      <c r="X4662" s="420"/>
      <c r="Y4662" s="420"/>
    </row>
    <row r="4663" spans="17:25">
      <c r="Q4663" s="6">
        <v>4633</v>
      </c>
      <c r="R4663" s="7">
        <v>47300</v>
      </c>
      <c r="S4663" s="210">
        <v>4</v>
      </c>
      <c r="T4663" s="8">
        <v>1.0001111111111112</v>
      </c>
      <c r="U4663" s="98">
        <v>3.976845611068236</v>
      </c>
      <c r="V4663" s="106">
        <v>37841.731513551014</v>
      </c>
      <c r="W4663" s="10">
        <v>1.023460035072743</v>
      </c>
      <c r="X4663" s="420"/>
      <c r="Y4663" s="420"/>
    </row>
    <row r="4664" spans="17:25">
      <c r="Q4664" s="6">
        <v>4634</v>
      </c>
      <c r="R4664" s="7">
        <v>47301</v>
      </c>
      <c r="S4664" s="210">
        <v>4</v>
      </c>
      <c r="T4664" s="8">
        <v>1.0001111111111112</v>
      </c>
      <c r="U4664" s="98">
        <v>3.9768805075484304</v>
      </c>
      <c r="V4664" s="106">
        <v>37844.776320231358</v>
      </c>
      <c r="W4664" s="10">
        <v>1.0234819100032544</v>
      </c>
      <c r="X4664" s="420"/>
      <c r="Y4664" s="420"/>
    </row>
    <row r="4665" spans="17:25">
      <c r="Q4665" s="6">
        <v>4635</v>
      </c>
      <c r="R4665" s="7">
        <v>47302</v>
      </c>
      <c r="S4665" s="210">
        <v>4</v>
      </c>
      <c r="T4665" s="8">
        <v>1.0001111111111112</v>
      </c>
      <c r="U4665" s="98">
        <v>3.9769153889825271</v>
      </c>
      <c r="V4665" s="106">
        <v>37847.821371901751</v>
      </c>
      <c r="W4665" s="10">
        <v>1.023503775499468</v>
      </c>
      <c r="X4665" s="420"/>
      <c r="Y4665" s="420"/>
    </row>
    <row r="4666" spans="17:25">
      <c r="Q4666" s="6">
        <v>4636</v>
      </c>
      <c r="R4666" s="7">
        <v>47303</v>
      </c>
      <c r="S4666" s="210">
        <v>4</v>
      </c>
      <c r="T4666" s="8">
        <v>1.0001111111111112</v>
      </c>
      <c r="U4666" s="98">
        <v>3.9769502553802516</v>
      </c>
      <c r="V4666" s="106">
        <v>37850.866668581912</v>
      </c>
      <c r="W4666" s="10">
        <v>1.0235256315675123</v>
      </c>
      <c r="X4666" s="420"/>
      <c r="Y4666" s="420"/>
    </row>
    <row r="4667" spans="17:25">
      <c r="Q4667" s="6">
        <v>4637</v>
      </c>
      <c r="R4667" s="7">
        <v>47304</v>
      </c>
      <c r="S4667" s="210">
        <v>4</v>
      </c>
      <c r="T4667" s="8">
        <v>1.0001111111111112</v>
      </c>
      <c r="U4667" s="98">
        <v>3.9769851067513073</v>
      </c>
      <c r="V4667" s="106">
        <v>37853.912210291543</v>
      </c>
      <c r="W4667" s="10">
        <v>1.023547478213449</v>
      </c>
      <c r="X4667" s="420"/>
      <c r="Y4667" s="420"/>
    </row>
    <row r="4668" spans="17:25">
      <c r="Q4668" s="6">
        <v>4638</v>
      </c>
      <c r="R4668" s="7">
        <v>47305</v>
      </c>
      <c r="S4668" s="210">
        <v>4</v>
      </c>
      <c r="T4668" s="8">
        <v>1.0001111111111112</v>
      </c>
      <c r="U4668" s="98">
        <v>3.9770199431054198</v>
      </c>
      <c r="V4668" s="106">
        <v>37856.957997050376</v>
      </c>
      <c r="W4668" s="10">
        <v>1.0235693154434067</v>
      </c>
      <c r="X4668" s="420"/>
      <c r="Y4668" s="420"/>
    </row>
    <row r="4669" spans="17:25">
      <c r="Q4669" s="6">
        <v>4639</v>
      </c>
      <c r="R4669" s="7">
        <v>47306</v>
      </c>
      <c r="S4669" s="210">
        <v>4</v>
      </c>
      <c r="T4669" s="8">
        <v>1.0001111111111112</v>
      </c>
      <c r="U4669" s="98">
        <v>3.9770547644522924</v>
      </c>
      <c r="V4669" s="106">
        <v>37860.004028878109</v>
      </c>
      <c r="W4669" s="10">
        <v>1.023591143263447</v>
      </c>
      <c r="X4669" s="420"/>
      <c r="Y4669" s="420"/>
    </row>
    <row r="4670" spans="17:25">
      <c r="Q4670" s="6">
        <v>4640</v>
      </c>
      <c r="R4670" s="7">
        <v>47307</v>
      </c>
      <c r="S4670" s="210">
        <v>4</v>
      </c>
      <c r="T4670" s="8">
        <v>1.0001111111111112</v>
      </c>
      <c r="U4670" s="98">
        <v>3.9770895708016063</v>
      </c>
      <c r="V4670" s="106">
        <v>37863.050305794473</v>
      </c>
      <c r="W4670" s="10">
        <v>1.0236129616796541</v>
      </c>
      <c r="X4670" s="420"/>
      <c r="Y4670" s="420"/>
    </row>
    <row r="4671" spans="17:25">
      <c r="Q4671" s="6">
        <v>4641</v>
      </c>
      <c r="R4671" s="7">
        <v>47308</v>
      </c>
      <c r="S4671" s="210">
        <v>4</v>
      </c>
      <c r="T4671" s="8">
        <v>1.0001111111111112</v>
      </c>
      <c r="U4671" s="98">
        <v>3.9771243621630648</v>
      </c>
      <c r="V4671" s="106">
        <v>37866.096827819187</v>
      </c>
      <c r="W4671" s="10">
        <v>1.0236347706981119</v>
      </c>
      <c r="X4671" s="420"/>
      <c r="Y4671" s="420"/>
    </row>
    <row r="4672" spans="17:25">
      <c r="Q4672" s="6">
        <v>4642</v>
      </c>
      <c r="R4672" s="7">
        <v>47309</v>
      </c>
      <c r="S4672" s="210">
        <v>4</v>
      </c>
      <c r="T4672" s="8">
        <v>1.0001111111111112</v>
      </c>
      <c r="U4672" s="98">
        <v>3.9771591385463489</v>
      </c>
      <c r="V4672" s="106">
        <v>37869.143594971967</v>
      </c>
      <c r="W4672" s="10">
        <v>1.0236565703248823</v>
      </c>
      <c r="X4672" s="420"/>
      <c r="Y4672" s="420"/>
    </row>
    <row r="4673" spans="17:25">
      <c r="Q4673" s="6">
        <v>4643</v>
      </c>
      <c r="R4673" s="7">
        <v>47310</v>
      </c>
      <c r="S4673" s="210">
        <v>4</v>
      </c>
      <c r="T4673" s="8">
        <v>1.0001111111111112</v>
      </c>
      <c r="U4673" s="98">
        <v>3.9771938999611178</v>
      </c>
      <c r="V4673" s="106">
        <v>37872.19060727254</v>
      </c>
      <c r="W4673" s="10">
        <v>1.0236783605660271</v>
      </c>
      <c r="X4673" s="420"/>
      <c r="Y4673" s="420"/>
    </row>
    <row r="4674" spans="17:25">
      <c r="Q4674" s="6">
        <v>4644</v>
      </c>
      <c r="R4674" s="7">
        <v>47311</v>
      </c>
      <c r="S4674" s="210">
        <v>4</v>
      </c>
      <c r="T4674" s="8">
        <v>1.0001111111111112</v>
      </c>
      <c r="U4674" s="98">
        <v>3.9772286464170303</v>
      </c>
      <c r="V4674" s="106">
        <v>37875.237864740637</v>
      </c>
      <c r="W4674" s="10">
        <v>1.0237001414276303</v>
      </c>
      <c r="X4674" s="420"/>
      <c r="Y4674" s="420"/>
    </row>
    <row r="4675" spans="17:25">
      <c r="Q4675" s="6">
        <v>4645</v>
      </c>
      <c r="R4675" s="7">
        <v>47312</v>
      </c>
      <c r="S4675" s="210">
        <v>4</v>
      </c>
      <c r="T4675" s="8">
        <v>1.0001111111111112</v>
      </c>
      <c r="U4675" s="98">
        <v>3.9772633779237454</v>
      </c>
      <c r="V4675" s="106">
        <v>37878.285367395976</v>
      </c>
      <c r="W4675" s="10">
        <v>1.0237219129157094</v>
      </c>
      <c r="X4675" s="420"/>
      <c r="Y4675" s="420"/>
    </row>
    <row r="4676" spans="17:25">
      <c r="Q4676" s="6">
        <v>4646</v>
      </c>
      <c r="R4676" s="7">
        <v>47313</v>
      </c>
      <c r="S4676" s="210">
        <v>4</v>
      </c>
      <c r="T4676" s="8">
        <v>1.0001111111111112</v>
      </c>
      <c r="U4676" s="98">
        <v>3.977298094490922</v>
      </c>
      <c r="V4676" s="106">
        <v>37881.333115258283</v>
      </c>
      <c r="W4676" s="10">
        <v>1.0237436750363482</v>
      </c>
      <c r="X4676" s="420"/>
      <c r="Y4676" s="420"/>
    </row>
    <row r="4677" spans="17:25">
      <c r="Q4677" s="6">
        <v>4647</v>
      </c>
      <c r="R4677" s="7">
        <v>47314</v>
      </c>
      <c r="S4677" s="210">
        <v>4</v>
      </c>
      <c r="T4677" s="8">
        <v>1.0001111111111112</v>
      </c>
      <c r="U4677" s="98">
        <v>3.9773327961281746</v>
      </c>
      <c r="V4677" s="106">
        <v>37884.381108347305</v>
      </c>
      <c r="W4677" s="10">
        <v>1.0237654277955643</v>
      </c>
      <c r="X4677" s="420"/>
      <c r="Y4677" s="420"/>
    </row>
    <row r="4678" spans="17:25">
      <c r="Q4678" s="6">
        <v>4648</v>
      </c>
      <c r="R4678" s="7">
        <v>47315</v>
      </c>
      <c r="S4678" s="210">
        <v>4</v>
      </c>
      <c r="T4678" s="8">
        <v>1.0001111111111112</v>
      </c>
      <c r="U4678" s="98">
        <v>3.9773674828451622</v>
      </c>
      <c r="V4678" s="106">
        <v>37887.429346682751</v>
      </c>
      <c r="W4678" s="10">
        <v>1.0237871711994195</v>
      </c>
      <c r="X4678" s="420"/>
      <c r="Y4678" s="420"/>
    </row>
    <row r="4679" spans="17:25">
      <c r="Q4679" s="6">
        <v>4649</v>
      </c>
      <c r="R4679" s="7">
        <v>47316</v>
      </c>
      <c r="S4679" s="210">
        <v>4</v>
      </c>
      <c r="T4679" s="8">
        <v>1.0001111111111112</v>
      </c>
      <c r="U4679" s="98">
        <v>3.9774021546514771</v>
      </c>
      <c r="V4679" s="106">
        <v>37890.47783028437</v>
      </c>
      <c r="W4679" s="10">
        <v>1.0238089052539312</v>
      </c>
      <c r="X4679" s="420"/>
      <c r="Y4679" s="420"/>
    </row>
    <row r="4680" spans="17:25">
      <c r="Q4680" s="6">
        <v>4650</v>
      </c>
      <c r="R4680" s="7">
        <v>47317</v>
      </c>
      <c r="S4680" s="210">
        <v>4</v>
      </c>
      <c r="T4680" s="8">
        <v>1.0001111111111112</v>
      </c>
      <c r="U4680" s="98">
        <v>3.9774368115567338</v>
      </c>
      <c r="V4680" s="106">
        <v>37893.526559171885</v>
      </c>
      <c r="W4680" s="10">
        <v>1.023830629965139</v>
      </c>
      <c r="X4680" s="420"/>
      <c r="Y4680" s="420"/>
    </row>
    <row r="4681" spans="17:25">
      <c r="Q4681" s="6">
        <v>4651</v>
      </c>
      <c r="R4681" s="7">
        <v>47318</v>
      </c>
      <c r="S4681" s="210">
        <v>4</v>
      </c>
      <c r="T4681" s="8">
        <v>1.0001111111111112</v>
      </c>
      <c r="U4681" s="98">
        <v>3.9774714535705469</v>
      </c>
      <c r="V4681" s="106">
        <v>37896.575533365045</v>
      </c>
      <c r="W4681" s="10">
        <v>1.0238523453390602</v>
      </c>
      <c r="X4681" s="420"/>
      <c r="Y4681" s="420"/>
    </row>
    <row r="4682" spans="17:25">
      <c r="Q4682" s="6">
        <v>4652</v>
      </c>
      <c r="R4682" s="7">
        <v>47319</v>
      </c>
      <c r="S4682" s="210">
        <v>4</v>
      </c>
      <c r="T4682" s="8">
        <v>1.0001111111111112</v>
      </c>
      <c r="U4682" s="98">
        <v>3.9775060807025087</v>
      </c>
      <c r="V4682" s="106">
        <v>37899.624752883574</v>
      </c>
      <c r="W4682" s="10">
        <v>1.0238740513817346</v>
      </c>
      <c r="X4682" s="420"/>
      <c r="Y4682" s="420"/>
    </row>
    <row r="4683" spans="17:25">
      <c r="Q4683" s="6">
        <v>4653</v>
      </c>
      <c r="R4683" s="7">
        <v>47320</v>
      </c>
      <c r="S4683" s="210">
        <v>4</v>
      </c>
      <c r="T4683" s="8">
        <v>1.0001111111111112</v>
      </c>
      <c r="U4683" s="98">
        <v>3.9775406929622115</v>
      </c>
      <c r="V4683" s="106">
        <v>37902.674217747219</v>
      </c>
      <c r="W4683" s="10">
        <v>1.0238957480991351</v>
      </c>
      <c r="X4683" s="420"/>
      <c r="Y4683" s="420"/>
    </row>
    <row r="4684" spans="17:25">
      <c r="Q4684" s="6">
        <v>4654</v>
      </c>
      <c r="R4684" s="7">
        <v>47321</v>
      </c>
      <c r="S4684" s="210">
        <v>4</v>
      </c>
      <c r="T4684" s="8">
        <v>1.0001111111111112</v>
      </c>
      <c r="U4684" s="98">
        <v>3.9775752903592254</v>
      </c>
      <c r="V4684" s="106">
        <v>37905.72392797572</v>
      </c>
      <c r="W4684" s="10">
        <v>1.0239174354973013</v>
      </c>
      <c r="X4684" s="420"/>
      <c r="Y4684" s="420"/>
    </row>
    <row r="4685" spans="17:25">
      <c r="Q4685" s="6">
        <v>4655</v>
      </c>
      <c r="R4685" s="7">
        <v>47322</v>
      </c>
      <c r="S4685" s="210">
        <v>4</v>
      </c>
      <c r="T4685" s="8">
        <v>1.0001111111111112</v>
      </c>
      <c r="U4685" s="98">
        <v>3.9776098729031206</v>
      </c>
      <c r="V4685" s="106">
        <v>37908.773883588816</v>
      </c>
      <c r="W4685" s="10">
        <v>1.0239391135822062</v>
      </c>
      <c r="X4685" s="420"/>
      <c r="Y4685" s="420"/>
    </row>
    <row r="4686" spans="17:25">
      <c r="Q4686" s="6">
        <v>4656</v>
      </c>
      <c r="R4686" s="7">
        <v>47323</v>
      </c>
      <c r="S4686" s="210">
        <v>4</v>
      </c>
      <c r="T4686" s="8">
        <v>1.0001111111111112</v>
      </c>
      <c r="U4686" s="98">
        <v>3.9776444406034672</v>
      </c>
      <c r="V4686" s="106">
        <v>37911.824084606262</v>
      </c>
      <c r="W4686" s="10">
        <v>1.0239607823598895</v>
      </c>
      <c r="X4686" s="420"/>
      <c r="Y4686" s="420"/>
    </row>
    <row r="4687" spans="17:25">
      <c r="Q4687" s="6">
        <v>4657</v>
      </c>
      <c r="R4687" s="7">
        <v>47324</v>
      </c>
      <c r="S4687" s="210">
        <v>4</v>
      </c>
      <c r="T4687" s="8">
        <v>1.0001111111111112</v>
      </c>
      <c r="U4687" s="98">
        <v>3.9776789934698353</v>
      </c>
      <c r="V4687" s="106">
        <v>37914.874531047797</v>
      </c>
      <c r="W4687" s="10">
        <v>1.0239824418363241</v>
      </c>
      <c r="X4687" s="420"/>
      <c r="Y4687" s="420"/>
    </row>
    <row r="4688" spans="17:25">
      <c r="Q4688" s="6">
        <v>4658</v>
      </c>
      <c r="R4688" s="7">
        <v>47325</v>
      </c>
      <c r="S4688" s="210">
        <v>4</v>
      </c>
      <c r="T4688" s="8">
        <v>1.0001111111111112</v>
      </c>
      <c r="U4688" s="98">
        <v>3.9777135315117507</v>
      </c>
      <c r="V4688" s="106">
        <v>37917.925222933154</v>
      </c>
      <c r="W4688" s="10">
        <v>1.0240040920174831</v>
      </c>
      <c r="X4688" s="420"/>
      <c r="Y4688" s="420"/>
    </row>
    <row r="4689" spans="17:25">
      <c r="Q4689" s="6">
        <v>4659</v>
      </c>
      <c r="R4689" s="7">
        <v>47326</v>
      </c>
      <c r="S4689" s="210">
        <v>4</v>
      </c>
      <c r="T4689" s="8">
        <v>1.0001111111111112</v>
      </c>
      <c r="U4689" s="98">
        <v>3.9777480547387611</v>
      </c>
      <c r="V4689" s="106">
        <v>37920.976160282102</v>
      </c>
      <c r="W4689" s="10">
        <v>1.0240257329093838</v>
      </c>
      <c r="X4689" s="420"/>
      <c r="Y4689" s="420"/>
    </row>
    <row r="4690" spans="17:25">
      <c r="Q4690" s="6">
        <v>4660</v>
      </c>
      <c r="R4690" s="7">
        <v>47327</v>
      </c>
      <c r="S4690" s="210">
        <v>4</v>
      </c>
      <c r="T4690" s="8">
        <v>1.0001111111111112</v>
      </c>
      <c r="U4690" s="98">
        <v>3.9777825631603925</v>
      </c>
      <c r="V4690" s="106">
        <v>37924.027343114387</v>
      </c>
      <c r="W4690" s="10">
        <v>1.0240473645179771</v>
      </c>
      <c r="X4690" s="420"/>
      <c r="Y4690" s="420"/>
    </row>
    <row r="4691" spans="17:25">
      <c r="Q4691" s="6">
        <v>4661</v>
      </c>
      <c r="R4691" s="7">
        <v>47328</v>
      </c>
      <c r="S4691" s="210">
        <v>4</v>
      </c>
      <c r="T4691" s="8">
        <v>1.0001111111111112</v>
      </c>
      <c r="U4691" s="98">
        <v>3.9778170567861482</v>
      </c>
      <c r="V4691" s="106">
        <v>37927.078771449749</v>
      </c>
      <c r="W4691" s="10">
        <v>1.0240689868492137</v>
      </c>
      <c r="X4691" s="420"/>
      <c r="Y4691" s="420"/>
    </row>
    <row r="4692" spans="17:25">
      <c r="Q4692" s="6">
        <v>4662</v>
      </c>
      <c r="R4692" s="7">
        <v>47329</v>
      </c>
      <c r="S4692" s="210">
        <v>4</v>
      </c>
      <c r="T4692" s="8">
        <v>1.0001111111111112</v>
      </c>
      <c r="U4692" s="98">
        <v>3.9778515356255761</v>
      </c>
      <c r="V4692" s="106">
        <v>37930.130445307965</v>
      </c>
      <c r="W4692" s="10">
        <v>1.024090599909111</v>
      </c>
      <c r="X4692" s="420"/>
      <c r="Y4692" s="420"/>
    </row>
    <row r="4693" spans="17:25">
      <c r="Q4693" s="6">
        <v>4663</v>
      </c>
      <c r="R4693" s="7">
        <v>47330</v>
      </c>
      <c r="S4693" s="210">
        <v>4</v>
      </c>
      <c r="T4693" s="8">
        <v>1.0001111111111112</v>
      </c>
      <c r="U4693" s="98">
        <v>3.9778859996881577</v>
      </c>
      <c r="V4693" s="106">
        <v>37933.182364708766</v>
      </c>
      <c r="W4693" s="10">
        <v>1.0241122037035977</v>
      </c>
      <c r="X4693" s="420"/>
      <c r="Y4693" s="420"/>
    </row>
    <row r="4694" spans="17:25">
      <c r="Q4694" s="6">
        <v>4664</v>
      </c>
      <c r="R4694" s="7">
        <v>47331</v>
      </c>
      <c r="S4694" s="210">
        <v>4</v>
      </c>
      <c r="T4694" s="8">
        <v>1.0001111111111112</v>
      </c>
      <c r="U4694" s="98">
        <v>3.9779204489833964</v>
      </c>
      <c r="V4694" s="106">
        <v>37936.234529671921</v>
      </c>
      <c r="W4694" s="10">
        <v>1.0241337982386467</v>
      </c>
      <c r="X4694" s="420"/>
      <c r="Y4694" s="420"/>
    </row>
    <row r="4695" spans="17:25">
      <c r="Q4695" s="6">
        <v>4665</v>
      </c>
      <c r="R4695" s="7">
        <v>47332</v>
      </c>
      <c r="S4695" s="210">
        <v>4</v>
      </c>
      <c r="T4695" s="8">
        <v>1.0001111111111112</v>
      </c>
      <c r="U4695" s="98">
        <v>3.9779548835207734</v>
      </c>
      <c r="V4695" s="106">
        <v>37939.286940217185</v>
      </c>
      <c r="W4695" s="10">
        <v>1.0241553835201866</v>
      </c>
      <c r="X4695" s="420"/>
      <c r="Y4695" s="420"/>
    </row>
    <row r="4696" spans="17:25">
      <c r="Q4696" s="6">
        <v>4666</v>
      </c>
      <c r="R4696" s="7">
        <v>47333</v>
      </c>
      <c r="S4696" s="210">
        <v>4</v>
      </c>
      <c r="T4696" s="8">
        <v>1.0001111111111112</v>
      </c>
      <c r="U4696" s="98">
        <v>3.9779893033097924</v>
      </c>
      <c r="V4696" s="106">
        <v>37942.33959636432</v>
      </c>
      <c r="W4696" s="10">
        <v>1.0241769595541905</v>
      </c>
      <c r="X4696" s="420"/>
      <c r="Y4696" s="420"/>
    </row>
    <row r="4697" spans="17:25">
      <c r="Q4697" s="6">
        <v>4667</v>
      </c>
      <c r="R4697" s="7">
        <v>47334</v>
      </c>
      <c r="S4697" s="210">
        <v>4</v>
      </c>
      <c r="T4697" s="8">
        <v>1.0001111111111112</v>
      </c>
      <c r="U4697" s="98">
        <v>3.9780237083599124</v>
      </c>
      <c r="V4697" s="106">
        <v>37945.392498133086</v>
      </c>
      <c r="W4697" s="10">
        <v>1.0241985263465869</v>
      </c>
      <c r="X4697" s="420"/>
      <c r="Y4697" s="420"/>
    </row>
    <row r="4698" spans="17:25">
      <c r="Q4698" s="6">
        <v>4668</v>
      </c>
      <c r="R4698" s="7">
        <v>47335</v>
      </c>
      <c r="S4698" s="210">
        <v>4</v>
      </c>
      <c r="T4698" s="8">
        <v>1.0001111111111112</v>
      </c>
      <c r="U4698" s="98">
        <v>3.9780580986805925</v>
      </c>
      <c r="V4698" s="106">
        <v>37948.445645543245</v>
      </c>
      <c r="W4698" s="10">
        <v>1.0242200839033044</v>
      </c>
      <c r="X4698" s="420"/>
      <c r="Y4698" s="420"/>
    </row>
    <row r="4699" spans="17:25">
      <c r="Q4699" s="6">
        <v>4669</v>
      </c>
      <c r="R4699" s="7">
        <v>47336</v>
      </c>
      <c r="S4699" s="210">
        <v>4</v>
      </c>
      <c r="T4699" s="8">
        <v>1.0001111111111112</v>
      </c>
      <c r="U4699" s="98">
        <v>3.9780924742812918</v>
      </c>
      <c r="V4699" s="106">
        <v>37951.499038614566</v>
      </c>
      <c r="W4699" s="10">
        <v>1.0242416322302716</v>
      </c>
      <c r="X4699" s="420"/>
      <c r="Y4699" s="420"/>
    </row>
    <row r="4700" spans="17:25">
      <c r="Q4700" s="6">
        <v>4670</v>
      </c>
      <c r="R4700" s="7">
        <v>47337</v>
      </c>
      <c r="S4700" s="210">
        <v>4</v>
      </c>
      <c r="T4700" s="8">
        <v>1.0001111111111112</v>
      </c>
      <c r="U4700" s="98">
        <v>3.9781268351714694</v>
      </c>
      <c r="V4700" s="106">
        <v>37954.55267736681</v>
      </c>
      <c r="W4700" s="10">
        <v>1.0242631713334394</v>
      </c>
      <c r="X4700" s="420"/>
      <c r="Y4700" s="420"/>
    </row>
    <row r="4701" spans="17:25">
      <c r="Q4701" s="6">
        <v>4671</v>
      </c>
      <c r="R4701" s="7">
        <v>47338</v>
      </c>
      <c r="S4701" s="210">
        <v>4</v>
      </c>
      <c r="T4701" s="8">
        <v>1.0001111111111112</v>
      </c>
      <c r="U4701" s="98">
        <v>3.9781611813605622</v>
      </c>
      <c r="V4701" s="106">
        <v>37957.606561819754</v>
      </c>
      <c r="W4701" s="10">
        <v>1.024284701218714</v>
      </c>
      <c r="X4701" s="420"/>
      <c r="Y4701" s="420"/>
    </row>
    <row r="4702" spans="17:25">
      <c r="Q4702" s="6">
        <v>4672</v>
      </c>
      <c r="R4702" s="7">
        <v>47339</v>
      </c>
      <c r="S4702" s="210">
        <v>4</v>
      </c>
      <c r="T4702" s="8">
        <v>1.0001111111111112</v>
      </c>
      <c r="U4702" s="98">
        <v>3.9781955128580071</v>
      </c>
      <c r="V4702" s="106">
        <v>37960.660691993151</v>
      </c>
      <c r="W4702" s="10">
        <v>1.024306221892024</v>
      </c>
      <c r="X4702" s="420"/>
      <c r="Y4702" s="420"/>
    </row>
    <row r="4703" spans="17:25">
      <c r="Q4703" s="6">
        <v>4673</v>
      </c>
      <c r="R4703" s="7">
        <v>47340</v>
      </c>
      <c r="S4703" s="210">
        <v>4</v>
      </c>
      <c r="T4703" s="8">
        <v>1.0001111111111112</v>
      </c>
      <c r="U4703" s="98">
        <v>3.9782298296732188</v>
      </c>
      <c r="V4703" s="106">
        <v>37963.715067906785</v>
      </c>
      <c r="W4703" s="10">
        <v>1.024327733359276</v>
      </c>
      <c r="X4703" s="420"/>
      <c r="Y4703" s="420"/>
    </row>
    <row r="4704" spans="17:25">
      <c r="Q4704" s="6">
        <v>4674</v>
      </c>
      <c r="R4704" s="7">
        <v>47341</v>
      </c>
      <c r="S4704" s="210">
        <v>4</v>
      </c>
      <c r="T4704" s="8">
        <v>1.0001111111111112</v>
      </c>
      <c r="U4704" s="98">
        <v>3.978264131815612</v>
      </c>
      <c r="V4704" s="106">
        <v>37966.769689580426</v>
      </c>
      <c r="W4704" s="10">
        <v>1.0243492356263539</v>
      </c>
      <c r="X4704" s="420"/>
      <c r="Y4704" s="420"/>
    </row>
    <row r="4705" spans="17:25">
      <c r="Q4705" s="6">
        <v>4675</v>
      </c>
      <c r="R4705" s="7">
        <v>47342</v>
      </c>
      <c r="S4705" s="210">
        <v>4</v>
      </c>
      <c r="T4705" s="8">
        <v>1.0001111111111112</v>
      </c>
      <c r="U4705" s="98">
        <v>3.9782984192946014</v>
      </c>
      <c r="V4705" s="106">
        <v>37969.824557033855</v>
      </c>
      <c r="W4705" s="10">
        <v>1.0243707286991643</v>
      </c>
      <c r="X4705" s="420"/>
      <c r="Y4705" s="420"/>
    </row>
    <row r="4706" spans="17:25">
      <c r="Q4706" s="6">
        <v>4676</v>
      </c>
      <c r="R4706" s="7">
        <v>47343</v>
      </c>
      <c r="S4706" s="210">
        <v>4</v>
      </c>
      <c r="T4706" s="8">
        <v>1.0001111111111112</v>
      </c>
      <c r="U4706" s="98">
        <v>3.9783326921195794</v>
      </c>
      <c r="V4706" s="106">
        <v>37972.879670286828</v>
      </c>
      <c r="W4706" s="10">
        <v>1.0243922125836136</v>
      </c>
      <c r="X4706" s="420"/>
      <c r="Y4706" s="420"/>
    </row>
    <row r="4707" spans="17:25">
      <c r="Q4707" s="6">
        <v>4677</v>
      </c>
      <c r="R4707" s="7">
        <v>47344</v>
      </c>
      <c r="S4707" s="210">
        <v>4</v>
      </c>
      <c r="T4707" s="8">
        <v>1.0001111111111112</v>
      </c>
      <c r="U4707" s="98">
        <v>3.9783669502999608</v>
      </c>
      <c r="V4707" s="106">
        <v>37975.935029359141</v>
      </c>
      <c r="W4707" s="10">
        <v>1.024413687285608</v>
      </c>
      <c r="X4707" s="420"/>
      <c r="Y4707" s="420"/>
    </row>
    <row r="4708" spans="17:25">
      <c r="Q4708" s="6">
        <v>4678</v>
      </c>
      <c r="R4708" s="7">
        <v>47345</v>
      </c>
      <c r="S4708" s="210">
        <v>4</v>
      </c>
      <c r="T4708" s="8">
        <v>1.0001111111111112</v>
      </c>
      <c r="U4708" s="98">
        <v>3.9784011938451158</v>
      </c>
      <c r="V4708" s="106">
        <v>37978.990634270573</v>
      </c>
      <c r="W4708" s="10">
        <v>1.0244351528110318</v>
      </c>
      <c r="X4708" s="420"/>
      <c r="Y4708" s="420"/>
    </row>
    <row r="4709" spans="17:25">
      <c r="Q4709" s="6">
        <v>4679</v>
      </c>
      <c r="R4709" s="7">
        <v>47346</v>
      </c>
      <c r="S4709" s="210">
        <v>4</v>
      </c>
      <c r="T4709" s="8">
        <v>1.0001111111111112</v>
      </c>
      <c r="U4709" s="98">
        <v>3.9784354227644148</v>
      </c>
      <c r="V4709" s="106">
        <v>37982.046485040897</v>
      </c>
      <c r="W4709" s="10">
        <v>1.0244566091657248</v>
      </c>
      <c r="X4709" s="420"/>
      <c r="Y4709" s="420"/>
    </row>
    <row r="4710" spans="17:25">
      <c r="Q4710" s="6">
        <v>4680</v>
      </c>
      <c r="R4710" s="7">
        <v>47347</v>
      </c>
      <c r="S4710" s="210">
        <v>4</v>
      </c>
      <c r="T4710" s="8">
        <v>1.0001111111111112</v>
      </c>
      <c r="U4710" s="98">
        <v>3.9784696370672279</v>
      </c>
      <c r="V4710" s="106">
        <v>37985.102581689891</v>
      </c>
      <c r="W4710" s="10">
        <v>1.0244780563555933</v>
      </c>
      <c r="X4710" s="420"/>
      <c r="Y4710" s="420"/>
    </row>
    <row r="4711" spans="17:25">
      <c r="Q4711" s="6">
        <v>4681</v>
      </c>
      <c r="R4711" s="7">
        <v>47348</v>
      </c>
      <c r="S4711" s="210">
        <v>4</v>
      </c>
      <c r="T4711" s="8">
        <v>1.0001111111111112</v>
      </c>
      <c r="U4711" s="98">
        <v>3.9785038367629255</v>
      </c>
      <c r="V4711" s="106">
        <v>37988.158924237345</v>
      </c>
      <c r="W4711" s="10">
        <v>1.0244994943865215</v>
      </c>
      <c r="X4711" s="420"/>
      <c r="Y4711" s="420"/>
    </row>
    <row r="4712" spans="17:25">
      <c r="Q4712" s="6">
        <v>4682</v>
      </c>
      <c r="R4712" s="7">
        <v>47349</v>
      </c>
      <c r="S4712" s="210">
        <v>4</v>
      </c>
      <c r="T4712" s="8">
        <v>1.0001111111111112</v>
      </c>
      <c r="U4712" s="98">
        <v>3.9785380218608557</v>
      </c>
      <c r="V4712" s="106">
        <v>37991.215512703042</v>
      </c>
      <c r="W4712" s="10">
        <v>1.0245209232643493</v>
      </c>
      <c r="X4712" s="420"/>
      <c r="Y4712" s="420"/>
    </row>
    <row r="4713" spans="17:25">
      <c r="Q4713" s="6">
        <v>4683</v>
      </c>
      <c r="R4713" s="7">
        <v>47350</v>
      </c>
      <c r="S4713" s="210">
        <v>4</v>
      </c>
      <c r="T4713" s="8">
        <v>1.0001111111111112</v>
      </c>
      <c r="U4713" s="98">
        <v>3.9785721923703443</v>
      </c>
      <c r="V4713" s="106">
        <v>37994.27234710678</v>
      </c>
      <c r="W4713" s="10">
        <v>1.0245423429949385</v>
      </c>
      <c r="X4713" s="420"/>
      <c r="Y4713" s="420"/>
    </row>
    <row r="4714" spans="17:25">
      <c r="Q4714" s="6">
        <v>4684</v>
      </c>
      <c r="R4714" s="7">
        <v>47351</v>
      </c>
      <c r="S4714" s="210">
        <v>4</v>
      </c>
      <c r="T4714" s="8">
        <v>1.0001111111111112</v>
      </c>
      <c r="U4714" s="98">
        <v>3.9786063483007617</v>
      </c>
      <c r="V4714" s="106">
        <v>37997.329427468329</v>
      </c>
      <c r="W4714" s="10">
        <v>1.0245637535841734</v>
      </c>
      <c r="X4714" s="420"/>
      <c r="Y4714" s="420"/>
    </row>
    <row r="4715" spans="17:25">
      <c r="Q4715" s="6">
        <v>4685</v>
      </c>
      <c r="R4715" s="7">
        <v>47352</v>
      </c>
      <c r="S4715" s="210">
        <v>4</v>
      </c>
      <c r="T4715" s="8">
        <v>1.0001111111111112</v>
      </c>
      <c r="U4715" s="98">
        <v>3.9786404896614114</v>
      </c>
      <c r="V4715" s="106">
        <v>38000.386753807499</v>
      </c>
      <c r="W4715" s="10">
        <v>1.0245851550378715</v>
      </c>
      <c r="X4715" s="420"/>
      <c r="Y4715" s="420"/>
    </row>
    <row r="4716" spans="17:25">
      <c r="Q4716" s="6">
        <v>4686</v>
      </c>
      <c r="R4716" s="7">
        <v>47353</v>
      </c>
      <c r="S4716" s="210">
        <v>4</v>
      </c>
      <c r="T4716" s="8">
        <v>1.0001111111111112</v>
      </c>
      <c r="U4716" s="98">
        <v>3.9786746164616194</v>
      </c>
      <c r="V4716" s="106">
        <v>38003.444326144068</v>
      </c>
      <c r="W4716" s="10">
        <v>1.0246065473618726</v>
      </c>
      <c r="X4716" s="420"/>
      <c r="Y4716" s="420"/>
    </row>
    <row r="4717" spans="17:25">
      <c r="Q4717" s="6">
        <v>4687</v>
      </c>
      <c r="R4717" s="7">
        <v>47354</v>
      </c>
      <c r="S4717" s="210">
        <v>4</v>
      </c>
      <c r="T4717" s="8">
        <v>1.0001111111111112</v>
      </c>
      <c r="U4717" s="98">
        <v>3.9787087287106893</v>
      </c>
      <c r="V4717" s="106">
        <v>38006.502144497827</v>
      </c>
      <c r="W4717" s="10">
        <v>1.0246279305620609</v>
      </c>
      <c r="X4717" s="420"/>
      <c r="Y4717" s="420"/>
    </row>
    <row r="4718" spans="17:25">
      <c r="Q4718" s="6">
        <v>4688</v>
      </c>
      <c r="R4718" s="7">
        <v>47355</v>
      </c>
      <c r="S4718" s="210">
        <v>4</v>
      </c>
      <c r="T4718" s="8">
        <v>1.0001111111111112</v>
      </c>
      <c r="U4718" s="98">
        <v>3.978742826417947</v>
      </c>
      <c r="V4718" s="106">
        <v>38009.560208888586</v>
      </c>
      <c r="W4718" s="10">
        <v>1.0246493046442318</v>
      </c>
      <c r="X4718" s="420"/>
      <c r="Y4718" s="420"/>
    </row>
    <row r="4719" spans="17:25">
      <c r="Q4719" s="6">
        <v>4689</v>
      </c>
      <c r="R4719" s="7">
        <v>47356</v>
      </c>
      <c r="S4719" s="210">
        <v>4</v>
      </c>
      <c r="T4719" s="8">
        <v>1.0001111111111112</v>
      </c>
      <c r="U4719" s="98">
        <v>3.9787769095926739</v>
      </c>
      <c r="V4719" s="106">
        <v>38012.618519336123</v>
      </c>
      <c r="W4719" s="10">
        <v>1.0246706696142249</v>
      </c>
      <c r="X4719" s="420"/>
      <c r="Y4719" s="420"/>
    </row>
    <row r="4720" spans="17:25">
      <c r="Q4720" s="6">
        <v>4690</v>
      </c>
      <c r="R4720" s="7">
        <v>47357</v>
      </c>
      <c r="S4720" s="210">
        <v>4</v>
      </c>
      <c r="T4720" s="8">
        <v>1.0001111111111112</v>
      </c>
      <c r="U4720" s="98">
        <v>3.9788109782441738</v>
      </c>
      <c r="V4720" s="106">
        <v>38015.677075860251</v>
      </c>
      <c r="W4720" s="10">
        <v>1.0246920254779024</v>
      </c>
      <c r="X4720" s="420"/>
      <c r="Y4720" s="420"/>
    </row>
    <row r="4721" spans="17:25">
      <c r="Q4721" s="6">
        <v>4691</v>
      </c>
      <c r="R4721" s="7">
        <v>47358</v>
      </c>
      <c r="S4721" s="210">
        <v>4</v>
      </c>
      <c r="T4721" s="8">
        <v>1.0001111111111112</v>
      </c>
      <c r="U4721" s="98">
        <v>3.9788450323817059</v>
      </c>
      <c r="V4721" s="106">
        <v>38018.735878480766</v>
      </c>
      <c r="W4721" s="10">
        <v>1.0247133722410151</v>
      </c>
      <c r="X4721" s="420"/>
      <c r="Y4721" s="420"/>
    </row>
    <row r="4722" spans="17:25">
      <c r="Q4722" s="6">
        <v>4692</v>
      </c>
      <c r="R4722" s="7">
        <v>47359</v>
      </c>
      <c r="S4722" s="210">
        <v>4</v>
      </c>
      <c r="T4722" s="8">
        <v>1.0001111111111112</v>
      </c>
      <c r="U4722" s="98">
        <v>3.9788790720145517</v>
      </c>
      <c r="V4722" s="106">
        <v>38021.794927217466</v>
      </c>
      <c r="W4722" s="10">
        <v>1.0247347099094251</v>
      </c>
      <c r="X4722" s="420"/>
      <c r="Y4722" s="420"/>
    </row>
    <row r="4723" spans="17:25">
      <c r="Q4723" s="6">
        <v>4693</v>
      </c>
      <c r="R4723" s="7">
        <v>47360</v>
      </c>
      <c r="S4723" s="210">
        <v>4</v>
      </c>
      <c r="T4723" s="8">
        <v>1.0001111111111112</v>
      </c>
      <c r="U4723" s="98">
        <v>3.9789130971519926</v>
      </c>
      <c r="V4723" s="106">
        <v>38024.854222090151</v>
      </c>
      <c r="W4723" s="10">
        <v>1.024756038488972</v>
      </c>
      <c r="X4723" s="420"/>
      <c r="Y4723" s="420"/>
    </row>
    <row r="4724" spans="17:25">
      <c r="Q4724" s="6">
        <v>4694</v>
      </c>
      <c r="R4724" s="7">
        <v>47361</v>
      </c>
      <c r="S4724" s="210">
        <v>4</v>
      </c>
      <c r="T4724" s="8">
        <v>1.0001111111111112</v>
      </c>
      <c r="U4724" s="98">
        <v>3.9789471078032657</v>
      </c>
      <c r="V4724" s="106">
        <v>38027.913763118631</v>
      </c>
      <c r="W4724" s="10">
        <v>1.0247773579854069</v>
      </c>
      <c r="X4724" s="420"/>
      <c r="Y4724" s="420"/>
    </row>
    <row r="4725" spans="17:25">
      <c r="Q4725" s="6">
        <v>4695</v>
      </c>
      <c r="R4725" s="7">
        <v>47362</v>
      </c>
      <c r="S4725" s="210">
        <v>4</v>
      </c>
      <c r="T4725" s="8">
        <v>1.0001111111111112</v>
      </c>
      <c r="U4725" s="98">
        <v>3.9789811039776302</v>
      </c>
      <c r="V4725" s="106">
        <v>38030.97355032272</v>
      </c>
      <c r="W4725" s="10">
        <v>1.0247986684045474</v>
      </c>
      <c r="X4725" s="420"/>
      <c r="Y4725" s="420"/>
    </row>
    <row r="4726" spans="17:25">
      <c r="Q4726" s="6">
        <v>4696</v>
      </c>
      <c r="R4726" s="7">
        <v>47363</v>
      </c>
      <c r="S4726" s="210">
        <v>4</v>
      </c>
      <c r="T4726" s="8">
        <v>1.0001111111111112</v>
      </c>
      <c r="U4726" s="98">
        <v>3.9790150856843232</v>
      </c>
      <c r="V4726" s="106">
        <v>38034.033583722201</v>
      </c>
      <c r="W4726" s="10">
        <v>1.0248199697522109</v>
      </c>
      <c r="X4726" s="420"/>
      <c r="Y4726" s="420"/>
    </row>
    <row r="4727" spans="17:25">
      <c r="Q4727" s="6">
        <v>4697</v>
      </c>
      <c r="R4727" s="7">
        <v>47364</v>
      </c>
      <c r="S4727" s="210">
        <v>4</v>
      </c>
      <c r="T4727" s="8">
        <v>1.0001111111111112</v>
      </c>
      <c r="U4727" s="98">
        <v>3.9790490529325595</v>
      </c>
      <c r="V4727" s="106">
        <v>38037.093863336915</v>
      </c>
      <c r="W4727" s="10">
        <v>1.0248412620341485</v>
      </c>
      <c r="X4727" s="420"/>
      <c r="Y4727" s="420"/>
    </row>
    <row r="4728" spans="17:25">
      <c r="Q4728" s="6">
        <v>4698</v>
      </c>
      <c r="R4728" s="7">
        <v>47365</v>
      </c>
      <c r="S4728" s="210">
        <v>4</v>
      </c>
      <c r="T4728" s="8">
        <v>1.0001111111111112</v>
      </c>
      <c r="U4728" s="98">
        <v>3.9790830057315985</v>
      </c>
      <c r="V4728" s="106">
        <v>38040.154389186646</v>
      </c>
      <c r="W4728" s="10">
        <v>1.0248625452561555</v>
      </c>
      <c r="X4728" s="420"/>
      <c r="Y4728" s="420"/>
    </row>
    <row r="4729" spans="17:25">
      <c r="Q4729" s="6">
        <v>4699</v>
      </c>
      <c r="R4729" s="7">
        <v>47366</v>
      </c>
      <c r="S4729" s="210">
        <v>4</v>
      </c>
      <c r="T4729" s="8">
        <v>1.0001111111111112</v>
      </c>
      <c r="U4729" s="98">
        <v>3.9791169440906327</v>
      </c>
      <c r="V4729" s="106">
        <v>38043.21516129122</v>
      </c>
      <c r="W4729" s="10">
        <v>1.0248838194240495</v>
      </c>
      <c r="X4729" s="420"/>
      <c r="Y4729" s="420"/>
    </row>
    <row r="4730" spans="17:25">
      <c r="Q4730" s="6">
        <v>4700</v>
      </c>
      <c r="R4730" s="7">
        <v>47367</v>
      </c>
      <c r="S4730" s="210">
        <v>4</v>
      </c>
      <c r="T4730" s="8">
        <v>1.0001111111111112</v>
      </c>
      <c r="U4730" s="98">
        <v>3.9791508680188992</v>
      </c>
      <c r="V4730" s="106">
        <v>38046.276179670451</v>
      </c>
      <c r="W4730" s="10">
        <v>1.0249050845435814</v>
      </c>
      <c r="X4730" s="420"/>
      <c r="Y4730" s="420"/>
    </row>
    <row r="4731" spans="17:25">
      <c r="Q4731" s="6">
        <v>4701</v>
      </c>
      <c r="R4731" s="7">
        <v>47368</v>
      </c>
      <c r="S4731" s="210">
        <v>4</v>
      </c>
      <c r="T4731" s="8">
        <v>1.0001111111111112</v>
      </c>
      <c r="U4731" s="98">
        <v>3.9791847775255684</v>
      </c>
      <c r="V4731" s="106">
        <v>38049.33744434415</v>
      </c>
      <c r="W4731" s="10">
        <v>1.0249263406205245</v>
      </c>
      <c r="X4731" s="420"/>
      <c r="Y4731" s="420"/>
    </row>
    <row r="4732" spans="17:25">
      <c r="Q4732" s="6">
        <v>4702</v>
      </c>
      <c r="R4732" s="7">
        <v>47369</v>
      </c>
      <c r="S4732" s="210">
        <v>4</v>
      </c>
      <c r="T4732" s="8">
        <v>1.0001111111111112</v>
      </c>
      <c r="U4732" s="98">
        <v>3.9792186726198553</v>
      </c>
      <c r="V4732" s="106">
        <v>38052.398955332137</v>
      </c>
      <c r="W4732" s="10">
        <v>1.0249475876606295</v>
      </c>
      <c r="X4732" s="420"/>
      <c r="Y4732" s="420"/>
    </row>
    <row r="4733" spans="17:25">
      <c r="Q4733" s="6">
        <v>4703</v>
      </c>
      <c r="R4733" s="7">
        <v>47370</v>
      </c>
      <c r="S4733" s="210">
        <v>4</v>
      </c>
      <c r="T4733" s="8">
        <v>1.0001111111111112</v>
      </c>
      <c r="U4733" s="98">
        <v>3.9792525533109302</v>
      </c>
      <c r="V4733" s="106">
        <v>38055.460712654232</v>
      </c>
      <c r="W4733" s="10">
        <v>1.0249688256696698</v>
      </c>
      <c r="X4733" s="420"/>
      <c r="Y4733" s="420"/>
    </row>
    <row r="4734" spans="17:25">
      <c r="Q4734" s="6">
        <v>4704</v>
      </c>
      <c r="R4734" s="7">
        <v>47371</v>
      </c>
      <c r="S4734" s="210">
        <v>4</v>
      </c>
      <c r="T4734" s="8">
        <v>1.0001111111111112</v>
      </c>
      <c r="U4734" s="98">
        <v>3.9792864196079858</v>
      </c>
      <c r="V4734" s="106">
        <v>38058.522716330248</v>
      </c>
      <c r="W4734" s="10">
        <v>1.0249900546534185</v>
      </c>
      <c r="X4734" s="420"/>
      <c r="Y4734" s="420"/>
    </row>
    <row r="4735" spans="17:25">
      <c r="Q4735" s="6">
        <v>4705</v>
      </c>
      <c r="R4735" s="7">
        <v>47372</v>
      </c>
      <c r="S4735" s="210">
        <v>4</v>
      </c>
      <c r="T4735" s="8">
        <v>1.0001111111111112</v>
      </c>
      <c r="U4735" s="98">
        <v>3.9793202715201925</v>
      </c>
      <c r="V4735" s="106">
        <v>38061.584966380018</v>
      </c>
      <c r="W4735" s="10">
        <v>1.0250112746176265</v>
      </c>
      <c r="X4735" s="420"/>
      <c r="Y4735" s="420"/>
    </row>
    <row r="4736" spans="17:25">
      <c r="Q4736" s="6">
        <v>4706</v>
      </c>
      <c r="R4736" s="7">
        <v>47373</v>
      </c>
      <c r="S4736" s="210">
        <v>4</v>
      </c>
      <c r="T4736" s="8">
        <v>1.0001111111111112</v>
      </c>
      <c r="U4736" s="98">
        <v>3.9793541090567208</v>
      </c>
      <c r="V4736" s="106">
        <v>38064.647462823363</v>
      </c>
      <c r="W4736" s="10">
        <v>1.0250324855680226</v>
      </c>
      <c r="X4736" s="420"/>
      <c r="Y4736" s="420"/>
    </row>
    <row r="4737" spans="17:25">
      <c r="Q4737" s="6">
        <v>4707</v>
      </c>
      <c r="R4737" s="7">
        <v>47374</v>
      </c>
      <c r="S4737" s="210">
        <v>4</v>
      </c>
      <c r="T4737" s="8">
        <v>1.0001111111111112</v>
      </c>
      <c r="U4737" s="98">
        <v>3.9793879322266967</v>
      </c>
      <c r="V4737" s="106">
        <v>38067.710205680094</v>
      </c>
      <c r="W4737" s="10">
        <v>1.0250536875103577</v>
      </c>
      <c r="X4737" s="420"/>
      <c r="Y4737" s="420"/>
    </row>
    <row r="4738" spans="17:25">
      <c r="Q4738" s="6">
        <v>4708</v>
      </c>
      <c r="R4738" s="7">
        <v>47375</v>
      </c>
      <c r="S4738" s="210">
        <v>4</v>
      </c>
      <c r="T4738" s="8">
        <v>1.0001111111111112</v>
      </c>
      <c r="U4738" s="98">
        <v>3.9794217410392907</v>
      </c>
      <c r="V4738" s="106">
        <v>38070.773194970061</v>
      </c>
      <c r="W4738" s="10">
        <v>1.0250748804503607</v>
      </c>
      <c r="X4738" s="420"/>
      <c r="Y4738" s="420"/>
    </row>
    <row r="4739" spans="17:25">
      <c r="Q4739" s="6">
        <v>4709</v>
      </c>
      <c r="R4739" s="7">
        <v>47376</v>
      </c>
      <c r="S4739" s="210">
        <v>4</v>
      </c>
      <c r="T4739" s="8">
        <v>1.0001111111111112</v>
      </c>
      <c r="U4739" s="98">
        <v>3.9794555355036509</v>
      </c>
      <c r="V4739" s="106">
        <v>38073.836430713076</v>
      </c>
      <c r="W4739" s="10">
        <v>1.0250960643937601</v>
      </c>
      <c r="X4739" s="420"/>
      <c r="Y4739" s="420"/>
    </row>
    <row r="4740" spans="17:25">
      <c r="Q4740" s="6">
        <v>4710</v>
      </c>
      <c r="R4740" s="7">
        <v>47377</v>
      </c>
      <c r="S4740" s="210">
        <v>4</v>
      </c>
      <c r="T4740" s="8">
        <v>1.0001111111111112</v>
      </c>
      <c r="U4740" s="98">
        <v>3.9794893156288813</v>
      </c>
      <c r="V4740" s="106">
        <v>38076.899912928973</v>
      </c>
      <c r="W4740" s="10">
        <v>1.0251172393463071</v>
      </c>
      <c r="X4740" s="420"/>
      <c r="Y4740" s="420"/>
    </row>
    <row r="4741" spans="17:25">
      <c r="Q4741" s="6">
        <v>4711</v>
      </c>
      <c r="R4741" s="7">
        <v>47378</v>
      </c>
      <c r="S4741" s="210">
        <v>4</v>
      </c>
      <c r="T4741" s="8">
        <v>1.0001111111111112</v>
      </c>
      <c r="U4741" s="98">
        <v>3.97952308142413</v>
      </c>
      <c r="V4741" s="106">
        <v>38079.963641637587</v>
      </c>
      <c r="W4741" s="10">
        <v>1.025138405313708</v>
      </c>
      <c r="X4741" s="420"/>
      <c r="Y4741" s="420"/>
    </row>
    <row r="4742" spans="17:25">
      <c r="Q4742" s="6">
        <v>4712</v>
      </c>
      <c r="R4742" s="7">
        <v>47379</v>
      </c>
      <c r="S4742" s="210">
        <v>4</v>
      </c>
      <c r="T4742" s="8">
        <v>1.0001111111111112</v>
      </c>
      <c r="U4742" s="98">
        <v>3.9795568328985009</v>
      </c>
      <c r="V4742" s="106">
        <v>38083.027616858744</v>
      </c>
      <c r="W4742" s="10">
        <v>1.0251595623016918</v>
      </c>
      <c r="X4742" s="420"/>
      <c r="Y4742" s="420"/>
    </row>
    <row r="4743" spans="17:25">
      <c r="Q4743" s="6">
        <v>4713</v>
      </c>
      <c r="R4743" s="7">
        <v>47380</v>
      </c>
      <c r="S4743" s="210">
        <v>4</v>
      </c>
      <c r="T4743" s="8">
        <v>1.0001111111111112</v>
      </c>
      <c r="U4743" s="98">
        <v>3.97959057006112</v>
      </c>
      <c r="V4743" s="106">
        <v>38086.091838612287</v>
      </c>
      <c r="W4743" s="10">
        <v>1.0251807103159649</v>
      </c>
      <c r="X4743" s="420"/>
      <c r="Y4743" s="420"/>
    </row>
    <row r="4744" spans="17:25">
      <c r="Q4744" s="6">
        <v>4714</v>
      </c>
      <c r="R4744" s="7">
        <v>47381</v>
      </c>
      <c r="S4744" s="210">
        <v>4</v>
      </c>
      <c r="T4744" s="8">
        <v>1.0001111111111112</v>
      </c>
      <c r="U4744" s="98">
        <v>3.979624292921069</v>
      </c>
      <c r="V4744" s="106">
        <v>38089.156306918048</v>
      </c>
      <c r="W4744" s="10">
        <v>1.0252018493622339</v>
      </c>
      <c r="X4744" s="420"/>
      <c r="Y4744" s="420"/>
    </row>
    <row r="4745" spans="17:25">
      <c r="Q4745" s="6">
        <v>4715</v>
      </c>
      <c r="R4745" s="7">
        <v>47382</v>
      </c>
      <c r="S4745" s="210">
        <v>4</v>
      </c>
      <c r="T4745" s="8">
        <v>1.0001111111111112</v>
      </c>
      <c r="U4745" s="98">
        <v>3.9796580014874516</v>
      </c>
      <c r="V4745" s="106">
        <v>38092.221021795871</v>
      </c>
      <c r="W4745" s="10">
        <v>1.0252229794461831</v>
      </c>
      <c r="X4745" s="420"/>
      <c r="Y4745" s="420"/>
    </row>
    <row r="4746" spans="17:25">
      <c r="Q4746" s="6">
        <v>4716</v>
      </c>
      <c r="R4746" s="7">
        <v>47383</v>
      </c>
      <c r="S4746" s="210">
        <v>4</v>
      </c>
      <c r="T4746" s="8">
        <v>1.0001111111111112</v>
      </c>
      <c r="U4746" s="98">
        <v>3.9796916957693496</v>
      </c>
      <c r="V4746" s="106">
        <v>38095.285983265581</v>
      </c>
      <c r="W4746" s="10">
        <v>1.0252441005735635</v>
      </c>
      <c r="X4746" s="420"/>
      <c r="Y4746" s="420"/>
    </row>
    <row r="4747" spans="17:25">
      <c r="Q4747" s="6">
        <v>4717</v>
      </c>
      <c r="R4747" s="7">
        <v>47384</v>
      </c>
      <c r="S4747" s="210">
        <v>4</v>
      </c>
      <c r="T4747" s="8">
        <v>1.0001111111111112</v>
      </c>
      <c r="U4747" s="98">
        <v>3.9797253757758444</v>
      </c>
      <c r="V4747" s="106">
        <v>38098.351191347028</v>
      </c>
      <c r="W4747" s="10">
        <v>1.025265212750015</v>
      </c>
      <c r="X4747" s="420"/>
      <c r="Y4747" s="420"/>
    </row>
    <row r="4748" spans="17:25">
      <c r="Q4748" s="6">
        <v>4718</v>
      </c>
      <c r="R4748" s="7">
        <v>47385</v>
      </c>
      <c r="S4748" s="210">
        <v>4</v>
      </c>
      <c r="T4748" s="8">
        <v>1.0001111111111112</v>
      </c>
      <c r="U4748" s="98">
        <v>3.9797590415159956</v>
      </c>
      <c r="V4748" s="106">
        <v>38101.416646060068</v>
      </c>
      <c r="W4748" s="10">
        <v>1.0252863159812442</v>
      </c>
      <c r="X4748" s="420"/>
      <c r="Y4748" s="420"/>
    </row>
    <row r="4749" spans="17:25">
      <c r="Q4749" s="6">
        <v>4719</v>
      </c>
      <c r="R4749" s="7">
        <v>47386</v>
      </c>
      <c r="S4749" s="210">
        <v>4</v>
      </c>
      <c r="T4749" s="8">
        <v>1.0001111111111112</v>
      </c>
      <c r="U4749" s="98">
        <v>3.9797926929988625</v>
      </c>
      <c r="V4749" s="106">
        <v>38104.48234742452</v>
      </c>
      <c r="W4749" s="10">
        <v>1.0253074102729354</v>
      </c>
      <c r="X4749" s="420"/>
      <c r="Y4749" s="420"/>
    </row>
    <row r="4750" spans="17:25">
      <c r="Q4750" s="6">
        <v>4720</v>
      </c>
      <c r="R4750" s="7">
        <v>47387</v>
      </c>
      <c r="S4750" s="210">
        <v>4</v>
      </c>
      <c r="T4750" s="8">
        <v>1.0001111111111112</v>
      </c>
      <c r="U4750" s="98">
        <v>3.9798263302335268</v>
      </c>
      <c r="V4750" s="106">
        <v>38107.548295460248</v>
      </c>
      <c r="W4750" s="10">
        <v>1.0253284956307729</v>
      </c>
      <c r="X4750" s="420"/>
      <c r="Y4750" s="420"/>
    </row>
    <row r="4751" spans="17:25">
      <c r="Q4751" s="6">
        <v>4721</v>
      </c>
      <c r="R4751" s="7">
        <v>47388</v>
      </c>
      <c r="S4751" s="210">
        <v>4</v>
      </c>
      <c r="T4751" s="8">
        <v>1.0001111111111112</v>
      </c>
      <c r="U4751" s="98">
        <v>3.9798599532290035</v>
      </c>
      <c r="V4751" s="106">
        <v>38110.614490187094</v>
      </c>
      <c r="W4751" s="10">
        <v>1.0253495720604189</v>
      </c>
      <c r="X4751" s="420"/>
      <c r="Y4751" s="420"/>
    </row>
    <row r="4752" spans="17:25">
      <c r="Q4752" s="6">
        <v>4722</v>
      </c>
      <c r="R4752" s="7">
        <v>47389</v>
      </c>
      <c r="S4752" s="210">
        <v>4</v>
      </c>
      <c r="T4752" s="8">
        <v>1.0001111111111112</v>
      </c>
      <c r="U4752" s="98">
        <v>3.9798935619943521</v>
      </c>
      <c r="V4752" s="106">
        <v>38113.680931624905</v>
      </c>
      <c r="W4752" s="10">
        <v>1.0253706395675577</v>
      </c>
      <c r="X4752" s="420"/>
      <c r="Y4752" s="420"/>
    </row>
    <row r="4753" spans="17:25">
      <c r="Q4753" s="6">
        <v>4723</v>
      </c>
      <c r="R4753" s="7">
        <v>47390</v>
      </c>
      <c r="S4753" s="210">
        <v>4</v>
      </c>
      <c r="T4753" s="8">
        <v>1.0001111111111112</v>
      </c>
      <c r="U4753" s="98">
        <v>3.9799271565386096</v>
      </c>
      <c r="V4753" s="106">
        <v>38116.747619793539</v>
      </c>
      <c r="W4753" s="10">
        <v>1.0253916981578515</v>
      </c>
      <c r="X4753" s="420"/>
      <c r="Y4753" s="420"/>
    </row>
    <row r="4754" spans="17:25">
      <c r="Q4754" s="6">
        <v>4724</v>
      </c>
      <c r="R4754" s="7">
        <v>47391</v>
      </c>
      <c r="S4754" s="210">
        <v>4</v>
      </c>
      <c r="T4754" s="8">
        <v>1.0001111111111112</v>
      </c>
      <c r="U4754" s="98">
        <v>3.9799607368707912</v>
      </c>
      <c r="V4754" s="106">
        <v>38119.814554712837</v>
      </c>
      <c r="W4754" s="10">
        <v>1.0254127478369623</v>
      </c>
      <c r="X4754" s="420"/>
      <c r="Y4754" s="420"/>
    </row>
    <row r="4755" spans="17:25">
      <c r="Q4755" s="6">
        <v>4725</v>
      </c>
      <c r="R4755" s="7">
        <v>47392</v>
      </c>
      <c r="S4755" s="210">
        <v>4</v>
      </c>
      <c r="T4755" s="8">
        <v>1.0001111111111112</v>
      </c>
      <c r="U4755" s="98">
        <v>3.9799943029999119</v>
      </c>
      <c r="V4755" s="106">
        <v>38122.881736402669</v>
      </c>
      <c r="W4755" s="10">
        <v>1.025433788610508</v>
      </c>
      <c r="X4755" s="420"/>
      <c r="Y4755" s="420"/>
    </row>
    <row r="4756" spans="17:25">
      <c r="Q4756" s="6">
        <v>4726</v>
      </c>
      <c r="R4756" s="7">
        <v>47393</v>
      </c>
      <c r="S4756" s="210">
        <v>4</v>
      </c>
      <c r="T4756" s="8">
        <v>1.0001111111111112</v>
      </c>
      <c r="U4756" s="98">
        <v>3.9800278549349866</v>
      </c>
      <c r="V4756" s="106">
        <v>38125.94916488287</v>
      </c>
      <c r="W4756" s="10">
        <v>1.0254548204842173</v>
      </c>
      <c r="X4756" s="420"/>
      <c r="Y4756" s="420"/>
    </row>
    <row r="4757" spans="17:25">
      <c r="Q4757" s="6">
        <v>4727</v>
      </c>
      <c r="R4757" s="7">
        <v>47394</v>
      </c>
      <c r="S4757" s="210">
        <v>4</v>
      </c>
      <c r="T4757" s="8">
        <v>1.0001111111111112</v>
      </c>
      <c r="U4757" s="98">
        <v>3.9800613926850081</v>
      </c>
      <c r="V4757" s="106">
        <v>38129.01684017331</v>
      </c>
      <c r="W4757" s="10">
        <v>1.0254758434636635</v>
      </c>
      <c r="X4757" s="420"/>
      <c r="Y4757" s="420"/>
    </row>
    <row r="4758" spans="17:25">
      <c r="Q4758" s="6">
        <v>4728</v>
      </c>
      <c r="R4758" s="7">
        <v>47395</v>
      </c>
      <c r="S4758" s="210">
        <v>4</v>
      </c>
      <c r="T4758" s="8">
        <v>1.0001111111111112</v>
      </c>
      <c r="U4758" s="98">
        <v>3.9800949162589694</v>
      </c>
      <c r="V4758" s="106">
        <v>38132.084762293853</v>
      </c>
      <c r="W4758" s="10">
        <v>1.0254968575545087</v>
      </c>
      <c r="X4758" s="420"/>
      <c r="Y4758" s="420"/>
    </row>
    <row r="4759" spans="17:25">
      <c r="Q4759" s="6">
        <v>4729</v>
      </c>
      <c r="R4759" s="7">
        <v>47396</v>
      </c>
      <c r="S4759" s="210">
        <v>4</v>
      </c>
      <c r="T4759" s="8">
        <v>1.0001111111111112</v>
      </c>
      <c r="U4759" s="98">
        <v>3.9801284256658631</v>
      </c>
      <c r="V4759" s="106">
        <v>38135.15293126434</v>
      </c>
      <c r="W4759" s="10">
        <v>1.0255178627623929</v>
      </c>
      <c r="X4759" s="420"/>
      <c r="Y4759" s="420"/>
    </row>
    <row r="4760" spans="17:25">
      <c r="Q4760" s="6">
        <v>4730</v>
      </c>
      <c r="R4760" s="7">
        <v>47397</v>
      </c>
      <c r="S4760" s="210">
        <v>4</v>
      </c>
      <c r="T4760" s="8">
        <v>1.0001111111111112</v>
      </c>
      <c r="U4760" s="98">
        <v>3.9801619209146599</v>
      </c>
      <c r="V4760" s="106">
        <v>38138.221347104656</v>
      </c>
      <c r="W4760" s="10">
        <v>1.0255388590929337</v>
      </c>
      <c r="X4760" s="420"/>
      <c r="Y4760" s="420"/>
    </row>
    <row r="4761" spans="17:25">
      <c r="Q4761" s="6">
        <v>4731</v>
      </c>
      <c r="R4761" s="7">
        <v>47398</v>
      </c>
      <c r="S4761" s="210">
        <v>4</v>
      </c>
      <c r="T4761" s="8">
        <v>1.0001111111111112</v>
      </c>
      <c r="U4761" s="98">
        <v>3.9801954020143304</v>
      </c>
      <c r="V4761" s="106">
        <v>38141.290009834658</v>
      </c>
      <c r="W4761" s="10">
        <v>1.0255598465517712</v>
      </c>
      <c r="X4761" s="420"/>
      <c r="Y4761" s="420"/>
    </row>
    <row r="4762" spans="17:25">
      <c r="Q4762" s="6">
        <v>4732</v>
      </c>
      <c r="R4762" s="7">
        <v>47399</v>
      </c>
      <c r="S4762" s="210">
        <v>4</v>
      </c>
      <c r="T4762" s="8">
        <v>1.0001111111111112</v>
      </c>
      <c r="U4762" s="98">
        <v>3.9802288689738674</v>
      </c>
      <c r="V4762" s="106">
        <v>38144.358919474194</v>
      </c>
      <c r="W4762" s="10">
        <v>1.0255808251445675</v>
      </c>
      <c r="X4762" s="420"/>
      <c r="Y4762" s="420"/>
    </row>
    <row r="4763" spans="17:25">
      <c r="Q4763" s="6">
        <v>4733</v>
      </c>
      <c r="R4763" s="7">
        <v>47400</v>
      </c>
      <c r="S4763" s="210">
        <v>4</v>
      </c>
      <c r="T4763" s="8">
        <v>1.0001111111111112</v>
      </c>
      <c r="U4763" s="98">
        <v>3.9802623218021971</v>
      </c>
      <c r="V4763" s="106">
        <v>38147.42807604315</v>
      </c>
      <c r="W4763" s="10">
        <v>1.0256017948768736</v>
      </c>
      <c r="X4763" s="420"/>
      <c r="Y4763" s="420"/>
    </row>
    <row r="4764" spans="17:25">
      <c r="Q4764" s="6">
        <v>4734</v>
      </c>
      <c r="R4764" s="7">
        <v>47401</v>
      </c>
      <c r="S4764" s="210">
        <v>4</v>
      </c>
      <c r="T4764" s="8">
        <v>1.0001111111111112</v>
      </c>
      <c r="U4764" s="98">
        <v>3.9802957605082678</v>
      </c>
      <c r="V4764" s="106">
        <v>38150.497479561389</v>
      </c>
      <c r="W4764" s="10">
        <v>1.0256227557543074</v>
      </c>
      <c r="X4764" s="420"/>
      <c r="Y4764" s="420"/>
    </row>
    <row r="4765" spans="17:25">
      <c r="Q4765" s="6">
        <v>4735</v>
      </c>
      <c r="R4765" s="7">
        <v>47402</v>
      </c>
      <c r="S4765" s="210">
        <v>4</v>
      </c>
      <c r="T4765" s="8">
        <v>1.0001111111111112</v>
      </c>
      <c r="U4765" s="98">
        <v>3.9803291851010281</v>
      </c>
      <c r="V4765" s="106">
        <v>38153.567130048774</v>
      </c>
      <c r="W4765" s="10">
        <v>1.0256437077825087</v>
      </c>
      <c r="X4765" s="420"/>
      <c r="Y4765" s="420"/>
    </row>
    <row r="4766" spans="17:25">
      <c r="Q4766" s="6">
        <v>4736</v>
      </c>
      <c r="R4766" s="7">
        <v>47403</v>
      </c>
      <c r="S4766" s="210">
        <v>4</v>
      </c>
      <c r="T4766" s="8">
        <v>1.0001111111111112</v>
      </c>
      <c r="U4766" s="98">
        <v>3.980362595589404</v>
      </c>
      <c r="V4766" s="106">
        <v>38156.63702752519</v>
      </c>
      <c r="W4766" s="10">
        <v>1.025664650967073</v>
      </c>
      <c r="X4766" s="420"/>
      <c r="Y4766" s="420"/>
    </row>
    <row r="4767" spans="17:25">
      <c r="Q4767" s="6">
        <v>4737</v>
      </c>
      <c r="R4767" s="7">
        <v>47404</v>
      </c>
      <c r="S4767" s="210">
        <v>4</v>
      </c>
      <c r="T4767" s="8">
        <v>1.0001111111111112</v>
      </c>
      <c r="U4767" s="98">
        <v>3.980395991982344</v>
      </c>
      <c r="V4767" s="106">
        <v>38159.707172010494</v>
      </c>
      <c r="W4767" s="10">
        <v>1.025685585313596</v>
      </c>
      <c r="X4767" s="420"/>
      <c r="Y4767" s="420"/>
    </row>
    <row r="4768" spans="17:25">
      <c r="Q4768" s="6">
        <v>4738</v>
      </c>
      <c r="R4768" s="7">
        <v>47405</v>
      </c>
      <c r="S4768" s="210">
        <v>4</v>
      </c>
      <c r="T4768" s="8">
        <v>1.0001111111111112</v>
      </c>
      <c r="U4768" s="98">
        <v>3.980429374288752</v>
      </c>
      <c r="V4768" s="106">
        <v>38162.777563524578</v>
      </c>
      <c r="W4768" s="10">
        <v>1.0257065108276731</v>
      </c>
      <c r="X4768" s="420"/>
      <c r="Y4768" s="420"/>
    </row>
    <row r="4769" spans="17:25">
      <c r="Q4769" s="6">
        <v>4739</v>
      </c>
      <c r="R4769" s="7">
        <v>47406</v>
      </c>
      <c r="S4769" s="210">
        <v>4</v>
      </c>
      <c r="T4769" s="8">
        <v>1.0001111111111112</v>
      </c>
      <c r="U4769" s="98">
        <v>3.9804627425175321</v>
      </c>
      <c r="V4769" s="106">
        <v>38165.848202087305</v>
      </c>
      <c r="W4769" s="10">
        <v>1.0257274275148776</v>
      </c>
      <c r="X4769" s="420"/>
      <c r="Y4769" s="420"/>
    </row>
    <row r="4770" spans="17:25">
      <c r="Q4770" s="6">
        <v>4740</v>
      </c>
      <c r="R4770" s="7">
        <v>47407</v>
      </c>
      <c r="S4770" s="210">
        <v>4</v>
      </c>
      <c r="T4770" s="8">
        <v>1.0001111111111112</v>
      </c>
      <c r="U4770" s="98">
        <v>3.9804960966775882</v>
      </c>
      <c r="V4770" s="106">
        <v>38168.919087718561</v>
      </c>
      <c r="W4770" s="10">
        <v>1.025748335380805</v>
      </c>
      <c r="X4770" s="420"/>
      <c r="Y4770" s="420"/>
    </row>
    <row r="4771" spans="17:25">
      <c r="Q4771" s="6">
        <v>4741</v>
      </c>
      <c r="R4771" s="7">
        <v>47408</v>
      </c>
      <c r="S4771" s="210">
        <v>4</v>
      </c>
      <c r="T4771" s="8">
        <v>1.0001111111111112</v>
      </c>
      <c r="U4771" s="98">
        <v>3.9805294367778243</v>
      </c>
      <c r="V4771" s="106">
        <v>38171.990220438216</v>
      </c>
      <c r="W4771" s="10">
        <v>1.0257692344310287</v>
      </c>
      <c r="X4771" s="420"/>
      <c r="Y4771" s="420"/>
    </row>
    <row r="4772" spans="17:25">
      <c r="Q4772" s="6">
        <v>4742</v>
      </c>
      <c r="R4772" s="7">
        <v>47409</v>
      </c>
      <c r="S4772" s="210">
        <v>4</v>
      </c>
      <c r="T4772" s="8">
        <v>1.0001111111111112</v>
      </c>
      <c r="U4772" s="98">
        <v>3.9805627628271223</v>
      </c>
      <c r="V4772" s="106">
        <v>38175.061600266155</v>
      </c>
      <c r="W4772" s="10">
        <v>1.0257901246711443</v>
      </c>
      <c r="X4772" s="420"/>
      <c r="Y4772" s="420"/>
    </row>
    <row r="4773" spans="17:25">
      <c r="Q4773" s="6">
        <v>4743</v>
      </c>
      <c r="R4773" s="7">
        <v>47410</v>
      </c>
      <c r="S4773" s="210">
        <v>4</v>
      </c>
      <c r="T4773" s="8">
        <v>1.0001111111111112</v>
      </c>
      <c r="U4773" s="98">
        <v>3.9805960748343638</v>
      </c>
      <c r="V4773" s="106">
        <v>38178.133227222272</v>
      </c>
      <c r="W4773" s="10">
        <v>1.0258110061066805</v>
      </c>
      <c r="X4773" s="420"/>
      <c r="Y4773" s="420"/>
    </row>
    <row r="4774" spans="17:25">
      <c r="Q4774" s="6">
        <v>4744</v>
      </c>
      <c r="R4774" s="7">
        <v>47411</v>
      </c>
      <c r="S4774" s="210">
        <v>4</v>
      </c>
      <c r="T4774" s="8">
        <v>1.0001111111111112</v>
      </c>
      <c r="U4774" s="98">
        <v>3.9806293728084308</v>
      </c>
      <c r="V4774" s="106">
        <v>38181.205101326435</v>
      </c>
      <c r="W4774" s="10">
        <v>1.0258318787432552</v>
      </c>
      <c r="X4774" s="420"/>
      <c r="Y4774" s="420"/>
    </row>
    <row r="4775" spans="17:25">
      <c r="Q4775" s="6">
        <v>4745</v>
      </c>
      <c r="R4775" s="7">
        <v>47412</v>
      </c>
      <c r="S4775" s="210">
        <v>4</v>
      </c>
      <c r="T4775" s="8">
        <v>1.0001111111111112</v>
      </c>
      <c r="U4775" s="98">
        <v>3.9806626567581826</v>
      </c>
      <c r="V4775" s="106">
        <v>38184.277222598539</v>
      </c>
      <c r="W4775" s="10">
        <v>1.0258527425863972</v>
      </c>
      <c r="X4775" s="420"/>
      <c r="Y4775" s="420"/>
    </row>
    <row r="4776" spans="17:25">
      <c r="Q4776" s="6">
        <v>4746</v>
      </c>
      <c r="R4776" s="7">
        <v>47413</v>
      </c>
      <c r="S4776" s="210">
        <v>4</v>
      </c>
      <c r="T4776" s="8">
        <v>1.0001111111111112</v>
      </c>
      <c r="U4776" s="98">
        <v>3.9806959266924791</v>
      </c>
      <c r="V4776" s="106">
        <v>38187.349591058475</v>
      </c>
      <c r="W4776" s="10">
        <v>1.0258735976416578</v>
      </c>
      <c r="X4776" s="420"/>
      <c r="Y4776" s="420"/>
    </row>
    <row r="4777" spans="17:25">
      <c r="Q4777" s="6">
        <v>4747</v>
      </c>
      <c r="R4777" s="7">
        <v>47414</v>
      </c>
      <c r="S4777" s="210">
        <v>4</v>
      </c>
      <c r="T4777" s="8">
        <v>1.0001111111111112</v>
      </c>
      <c r="U4777" s="98">
        <v>3.9807291826201574</v>
      </c>
      <c r="V4777" s="106">
        <v>38190.422206726129</v>
      </c>
      <c r="W4777" s="10">
        <v>1.02589444391461</v>
      </c>
      <c r="X4777" s="420"/>
      <c r="Y4777" s="420"/>
    </row>
    <row r="4778" spans="17:25">
      <c r="Q4778" s="6">
        <v>4748</v>
      </c>
      <c r="R4778" s="7">
        <v>47415</v>
      </c>
      <c r="S4778" s="210">
        <v>4</v>
      </c>
      <c r="T4778" s="8">
        <v>1.0001111111111112</v>
      </c>
      <c r="U4778" s="98">
        <v>3.9807624245500772</v>
      </c>
      <c r="V4778" s="106">
        <v>38193.495069621378</v>
      </c>
      <c r="W4778" s="10">
        <v>1.0259152814107608</v>
      </c>
      <c r="X4778" s="420"/>
      <c r="Y4778" s="420"/>
    </row>
    <row r="4779" spans="17:25">
      <c r="Q4779" s="6">
        <v>4749</v>
      </c>
      <c r="R4779" s="7">
        <v>47416</v>
      </c>
      <c r="S4779" s="210">
        <v>4</v>
      </c>
      <c r="T4779" s="8">
        <v>1.0001111111111112</v>
      </c>
      <c r="U4779" s="98">
        <v>3.9807956524910537</v>
      </c>
      <c r="V4779" s="106">
        <v>38196.568179764137</v>
      </c>
      <c r="W4779" s="10">
        <v>1.0259361101356834</v>
      </c>
      <c r="X4779" s="420"/>
      <c r="Y4779" s="420"/>
    </row>
    <row r="4780" spans="17:25">
      <c r="Q4780" s="6">
        <v>4750</v>
      </c>
      <c r="R4780" s="7">
        <v>47417</v>
      </c>
      <c r="S4780" s="210">
        <v>4</v>
      </c>
      <c r="T4780" s="8">
        <v>1.0001111111111112</v>
      </c>
      <c r="U4780" s="98">
        <v>3.9808288664519242</v>
      </c>
      <c r="V4780" s="106">
        <v>38199.641537174277</v>
      </c>
      <c r="W4780" s="10">
        <v>1.0259569300948845</v>
      </c>
      <c r="X4780" s="420"/>
      <c r="Y4780" s="420"/>
    </row>
    <row r="4781" spans="17:25">
      <c r="Q4781" s="6">
        <v>4751</v>
      </c>
      <c r="R4781" s="7">
        <v>47418</v>
      </c>
      <c r="S4781" s="210">
        <v>4</v>
      </c>
      <c r="T4781" s="8">
        <v>1.0001111111111112</v>
      </c>
      <c r="U4781" s="98">
        <v>3.9808620664415262</v>
      </c>
      <c r="V4781" s="106">
        <v>38202.715141871711</v>
      </c>
      <c r="W4781" s="10">
        <v>1.0259777412939597</v>
      </c>
      <c r="X4781" s="420"/>
      <c r="Y4781" s="420"/>
    </row>
    <row r="4782" spans="17:25">
      <c r="Q4782" s="6">
        <v>4752</v>
      </c>
      <c r="R4782" s="7">
        <v>47419</v>
      </c>
      <c r="S4782" s="210">
        <v>4</v>
      </c>
      <c r="T4782" s="8">
        <v>1.0001111111111112</v>
      </c>
      <c r="U4782" s="98">
        <v>3.9808952524686525</v>
      </c>
      <c r="V4782" s="106">
        <v>38205.788993876333</v>
      </c>
      <c r="W4782" s="10">
        <v>1.025998543738349</v>
      </c>
      <c r="X4782" s="420"/>
      <c r="Y4782" s="420"/>
    </row>
    <row r="4783" spans="17:25">
      <c r="Q4783" s="6">
        <v>4753</v>
      </c>
      <c r="R4783" s="7">
        <v>47420</v>
      </c>
      <c r="S4783" s="210">
        <v>4</v>
      </c>
      <c r="T4783" s="8">
        <v>1.0001111111111112</v>
      </c>
      <c r="U4783" s="98">
        <v>3.9809284245421184</v>
      </c>
      <c r="V4783" s="106">
        <v>38208.863093208041</v>
      </c>
      <c r="W4783" s="10">
        <v>1.0260193374336479</v>
      </c>
      <c r="X4783" s="420"/>
      <c r="Y4783" s="420"/>
    </row>
    <row r="4784" spans="17:25">
      <c r="Q4784" s="6">
        <v>4754</v>
      </c>
      <c r="R4784" s="7">
        <v>47421</v>
      </c>
      <c r="S4784" s="210">
        <v>4</v>
      </c>
      <c r="T4784" s="8">
        <v>1.0001111111111112</v>
      </c>
      <c r="U4784" s="98">
        <v>3.980961582670739</v>
      </c>
      <c r="V4784" s="106">
        <v>38211.937439886737</v>
      </c>
      <c r="W4784" s="10">
        <v>1.0260401223853632</v>
      </c>
      <c r="X4784" s="420"/>
      <c r="Y4784" s="420"/>
    </row>
    <row r="4785" spans="17:25">
      <c r="Q4785" s="6">
        <v>4755</v>
      </c>
      <c r="R4785" s="7">
        <v>47422</v>
      </c>
      <c r="S4785" s="210">
        <v>4</v>
      </c>
      <c r="T4785" s="8">
        <v>1.0001111111111112</v>
      </c>
      <c r="U4785" s="98">
        <v>3.980994726863285</v>
      </c>
      <c r="V4785" s="106">
        <v>38215.012033932304</v>
      </c>
      <c r="W4785" s="10">
        <v>1.0260608985990016</v>
      </c>
      <c r="X4785" s="420"/>
      <c r="Y4785" s="420"/>
    </row>
    <row r="4786" spans="17:25">
      <c r="Q4786" s="6">
        <v>4756</v>
      </c>
      <c r="R4786" s="7">
        <v>47423</v>
      </c>
      <c r="S4786" s="210">
        <v>4</v>
      </c>
      <c r="T4786" s="8">
        <v>1.0001111111111112</v>
      </c>
      <c r="U4786" s="98">
        <v>3.9810278571285496</v>
      </c>
      <c r="V4786" s="106">
        <v>38218.086875364672</v>
      </c>
      <c r="W4786" s="10">
        <v>1.0260816660800476</v>
      </c>
      <c r="X4786" s="420"/>
      <c r="Y4786" s="420"/>
    </row>
    <row r="4787" spans="17:25">
      <c r="Q4787" s="6">
        <v>4757</v>
      </c>
      <c r="R4787" s="7">
        <v>47424</v>
      </c>
      <c r="S4787" s="210">
        <v>4</v>
      </c>
      <c r="T4787" s="8">
        <v>1.0001111111111112</v>
      </c>
      <c r="U4787" s="98">
        <v>3.9810609734753033</v>
      </c>
      <c r="V4787" s="106">
        <v>38221.161964203733</v>
      </c>
      <c r="W4787" s="10">
        <v>1.02610242483403</v>
      </c>
      <c r="X4787" s="420"/>
      <c r="Y4787" s="420"/>
    </row>
    <row r="4788" spans="17:25">
      <c r="Q4788" s="6">
        <v>4758</v>
      </c>
      <c r="R4788" s="7">
        <v>47425</v>
      </c>
      <c r="S4788" s="210">
        <v>4</v>
      </c>
      <c r="T4788" s="8">
        <v>1.0001111111111112</v>
      </c>
      <c r="U4788" s="98">
        <v>3.981094075912317</v>
      </c>
      <c r="V4788" s="106">
        <v>38224.237300469395</v>
      </c>
      <c r="W4788" s="10">
        <v>1.0261231748664557</v>
      </c>
      <c r="X4788" s="420"/>
      <c r="Y4788" s="420"/>
    </row>
    <row r="4789" spans="17:25">
      <c r="Q4789" s="6">
        <v>4759</v>
      </c>
      <c r="R4789" s="7">
        <v>47426</v>
      </c>
      <c r="S4789" s="210">
        <v>4</v>
      </c>
      <c r="T4789" s="8">
        <v>1.0001111111111112</v>
      </c>
      <c r="U4789" s="98">
        <v>3.9811271644483393</v>
      </c>
      <c r="V4789" s="106">
        <v>38227.312884181571</v>
      </c>
      <c r="W4789" s="10">
        <v>1.0261439161827868</v>
      </c>
      <c r="X4789" s="420"/>
      <c r="Y4789" s="420"/>
    </row>
    <row r="4790" spans="17:25">
      <c r="Q4790" s="6">
        <v>4760</v>
      </c>
      <c r="R4790" s="7">
        <v>47427</v>
      </c>
      <c r="S4790" s="210">
        <v>4</v>
      </c>
      <c r="T4790" s="8">
        <v>1.0001111111111112</v>
      </c>
      <c r="U4790" s="98">
        <v>3.9811602390921408</v>
      </c>
      <c r="V4790" s="106">
        <v>38230.388715360161</v>
      </c>
      <c r="W4790" s="10">
        <v>1.0261646487885301</v>
      </c>
      <c r="X4790" s="420"/>
      <c r="Y4790" s="420"/>
    </row>
    <row r="4791" spans="17:25">
      <c r="Q4791" s="6">
        <v>4761</v>
      </c>
      <c r="R4791" s="7">
        <v>47428</v>
      </c>
      <c r="S4791" s="210">
        <v>4</v>
      </c>
      <c r="T4791" s="8">
        <v>1.0001111111111112</v>
      </c>
      <c r="U4791" s="98">
        <v>3.9811932998524702</v>
      </c>
      <c r="V4791" s="106">
        <v>38233.464794025087</v>
      </c>
      <c r="W4791" s="10">
        <v>1.0261853726891923</v>
      </c>
      <c r="X4791" s="420"/>
      <c r="Y4791" s="420"/>
    </row>
    <row r="4792" spans="17:25">
      <c r="Q4792" s="6">
        <v>4762</v>
      </c>
      <c r="R4792" s="7">
        <v>47429</v>
      </c>
      <c r="S4792" s="210">
        <v>4</v>
      </c>
      <c r="T4792" s="8">
        <v>1.0001111111111112</v>
      </c>
      <c r="U4792" s="98">
        <v>3.981226346738076</v>
      </c>
      <c r="V4792" s="106">
        <v>38236.541120196256</v>
      </c>
      <c r="W4792" s="10">
        <v>1.0262060878902579</v>
      </c>
      <c r="X4792" s="420"/>
      <c r="Y4792" s="420"/>
    </row>
    <row r="4793" spans="17:25">
      <c r="Q4793" s="6">
        <v>4763</v>
      </c>
      <c r="R4793" s="7">
        <v>47430</v>
      </c>
      <c r="S4793" s="210">
        <v>4</v>
      </c>
      <c r="T4793" s="8">
        <v>1.0001111111111112</v>
      </c>
      <c r="U4793" s="98">
        <v>3.9812593797576623</v>
      </c>
      <c r="V4793" s="106">
        <v>38239.617693893582</v>
      </c>
      <c r="W4793" s="10">
        <v>1.0262267943971448</v>
      </c>
      <c r="X4793" s="420"/>
      <c r="Y4793" s="420"/>
    </row>
    <row r="4794" spans="17:25">
      <c r="Q4794" s="6">
        <v>4764</v>
      </c>
      <c r="R4794" s="7">
        <v>47431</v>
      </c>
      <c r="S4794" s="210">
        <v>4</v>
      </c>
      <c r="T4794" s="8">
        <v>1.0001111111111112</v>
      </c>
      <c r="U4794" s="98">
        <v>3.9812923989199778</v>
      </c>
      <c r="V4794" s="106">
        <v>38242.694515136995</v>
      </c>
      <c r="W4794" s="10">
        <v>1.0262474922153819</v>
      </c>
      <c r="X4794" s="420"/>
      <c r="Y4794" s="420"/>
    </row>
    <row r="4795" spans="17:25">
      <c r="Q4795" s="6">
        <v>4765</v>
      </c>
      <c r="R4795" s="7">
        <v>47432</v>
      </c>
      <c r="S4795" s="210">
        <v>4</v>
      </c>
      <c r="T4795" s="8">
        <v>1.0001111111111112</v>
      </c>
      <c r="U4795" s="98">
        <v>3.9813254042337265</v>
      </c>
      <c r="V4795" s="106">
        <v>38245.771583946393</v>
      </c>
      <c r="W4795" s="10">
        <v>1.0262681813504315</v>
      </c>
      <c r="X4795" s="420"/>
      <c r="Y4795" s="420"/>
    </row>
    <row r="4796" spans="17:25">
      <c r="Q4796" s="6">
        <v>4766</v>
      </c>
      <c r="R4796" s="7">
        <v>47433</v>
      </c>
      <c r="S4796" s="210">
        <v>4</v>
      </c>
      <c r="T4796" s="8">
        <v>1.0001111111111112</v>
      </c>
      <c r="U4796" s="98">
        <v>3.9813583957076348</v>
      </c>
      <c r="V4796" s="106">
        <v>38248.848900341705</v>
      </c>
      <c r="W4796" s="10">
        <v>1.0262888618077337</v>
      </c>
      <c r="X4796" s="420"/>
      <c r="Y4796" s="420"/>
    </row>
    <row r="4797" spans="17:25">
      <c r="Q4797" s="6">
        <v>4767</v>
      </c>
      <c r="R4797" s="7">
        <v>47434</v>
      </c>
      <c r="S4797" s="210">
        <v>4</v>
      </c>
      <c r="T4797" s="8">
        <v>1.0001111111111112</v>
      </c>
      <c r="U4797" s="98">
        <v>3.9813913733503847</v>
      </c>
      <c r="V4797" s="106">
        <v>38251.926464342854</v>
      </c>
      <c r="W4797" s="10">
        <v>1.0263095335927508</v>
      </c>
      <c r="X4797" s="420"/>
      <c r="Y4797" s="420"/>
    </row>
    <row r="4798" spans="17:25">
      <c r="Q4798" s="6">
        <v>4768</v>
      </c>
      <c r="R4798" s="7">
        <v>47435</v>
      </c>
      <c r="S4798" s="210">
        <v>4</v>
      </c>
      <c r="T4798" s="8">
        <v>1.0001111111111112</v>
      </c>
      <c r="U4798" s="98">
        <v>3.9814243371706803</v>
      </c>
      <c r="V4798" s="106">
        <v>38255.004275969761</v>
      </c>
      <c r="W4798" s="10">
        <v>1.0263301967109673</v>
      </c>
      <c r="X4798" s="420"/>
      <c r="Y4798" s="420"/>
    </row>
    <row r="4799" spans="17:25">
      <c r="Q4799" s="6">
        <v>4769</v>
      </c>
      <c r="R4799" s="7">
        <v>47436</v>
      </c>
      <c r="S4799" s="210">
        <v>4</v>
      </c>
      <c r="T4799" s="8">
        <v>1.0001111111111112</v>
      </c>
      <c r="U4799" s="98">
        <v>3.9814572871772258</v>
      </c>
      <c r="V4799" s="106">
        <v>38258.082335242347</v>
      </c>
      <c r="W4799" s="10">
        <v>1.026350851167801</v>
      </c>
      <c r="X4799" s="420"/>
      <c r="Y4799" s="420"/>
    </row>
    <row r="4800" spans="17:25">
      <c r="Q4800" s="6">
        <v>4770</v>
      </c>
      <c r="R4800" s="7">
        <v>47437</v>
      </c>
      <c r="S4800" s="210">
        <v>4</v>
      </c>
      <c r="T4800" s="8">
        <v>1.0001111111111112</v>
      </c>
      <c r="U4800" s="98">
        <v>3.9814902233786809</v>
      </c>
      <c r="V4800" s="106">
        <v>38261.160642180548</v>
      </c>
      <c r="W4800" s="10">
        <v>1.0263714969686921</v>
      </c>
      <c r="X4800" s="420"/>
      <c r="Y4800" s="420"/>
    </row>
    <row r="4801" spans="17:25">
      <c r="Q4801" s="6">
        <v>4771</v>
      </c>
      <c r="R4801" s="7">
        <v>47438</v>
      </c>
      <c r="S4801" s="210">
        <v>4</v>
      </c>
      <c r="T4801" s="8">
        <v>1.0001111111111112</v>
      </c>
      <c r="U4801" s="98">
        <v>3.9815231457837275</v>
      </c>
      <c r="V4801" s="106">
        <v>38264.239196804279</v>
      </c>
      <c r="W4801" s="10">
        <v>1.0263921341191029</v>
      </c>
      <c r="X4801" s="420"/>
      <c r="Y4801" s="420"/>
    </row>
    <row r="4802" spans="17:25">
      <c r="Q4802" s="6">
        <v>4772</v>
      </c>
      <c r="R4802" s="7">
        <v>47439</v>
      </c>
      <c r="S4802" s="210">
        <v>4</v>
      </c>
      <c r="T4802" s="8">
        <v>1.0001111111111112</v>
      </c>
      <c r="U4802" s="98">
        <v>3.9815560544010475</v>
      </c>
      <c r="V4802" s="106">
        <v>38267.317999133469</v>
      </c>
      <c r="W4802" s="10">
        <v>1.0264127626244735</v>
      </c>
      <c r="X4802" s="420"/>
      <c r="Y4802" s="420"/>
    </row>
    <row r="4803" spans="17:25">
      <c r="Q4803" s="6">
        <v>4773</v>
      </c>
      <c r="R4803" s="7">
        <v>47440</v>
      </c>
      <c r="S4803" s="210">
        <v>4</v>
      </c>
      <c r="T4803" s="8">
        <v>1.0001111111111112</v>
      </c>
      <c r="U4803" s="98">
        <v>3.9815889492392786</v>
      </c>
      <c r="V4803" s="106">
        <v>38270.397049188061</v>
      </c>
      <c r="W4803" s="10">
        <v>1.0264333824901994</v>
      </c>
      <c r="X4803" s="420"/>
      <c r="Y4803" s="420"/>
    </row>
    <row r="4804" spans="17:25">
      <c r="Q4804" s="6">
        <v>4774</v>
      </c>
      <c r="R4804" s="7">
        <v>47441</v>
      </c>
      <c r="S4804" s="210">
        <v>4</v>
      </c>
      <c r="T4804" s="8">
        <v>1.0001111111111112</v>
      </c>
      <c r="U4804" s="98">
        <v>3.9816218303070805</v>
      </c>
      <c r="V4804" s="106">
        <v>38273.476346987984</v>
      </c>
      <c r="W4804" s="10">
        <v>1.0264539937217432</v>
      </c>
      <c r="X4804" s="420"/>
      <c r="Y4804" s="420"/>
    </row>
    <row r="4805" spans="17:25">
      <c r="Q4805" s="6">
        <v>4775</v>
      </c>
      <c r="R4805" s="7">
        <v>47442</v>
      </c>
      <c r="S4805" s="210">
        <v>4</v>
      </c>
      <c r="T4805" s="8">
        <v>1.0001111111111112</v>
      </c>
      <c r="U4805" s="98">
        <v>3.9816546976130907</v>
      </c>
      <c r="V4805" s="106">
        <v>38276.555892553159</v>
      </c>
      <c r="W4805" s="10">
        <v>1.0264745963245003</v>
      </c>
      <c r="X4805" s="420"/>
      <c r="Y4805" s="420"/>
    </row>
    <row r="4806" spans="17:25">
      <c r="Q4806" s="6">
        <v>4776</v>
      </c>
      <c r="R4806" s="7">
        <v>47443</v>
      </c>
      <c r="S4806" s="210">
        <v>4</v>
      </c>
      <c r="T4806" s="8">
        <v>1.0001111111111112</v>
      </c>
      <c r="U4806" s="98">
        <v>3.9816875511659688</v>
      </c>
      <c r="V4806" s="106">
        <v>38279.635685903544</v>
      </c>
      <c r="W4806" s="10">
        <v>1.026495190303911</v>
      </c>
      <c r="X4806" s="420"/>
      <c r="Y4806" s="420"/>
    </row>
    <row r="4807" spans="17:25">
      <c r="Q4807" s="6">
        <v>4777</v>
      </c>
      <c r="R4807" s="7">
        <v>47444</v>
      </c>
      <c r="S4807" s="210">
        <v>4</v>
      </c>
      <c r="T4807" s="8">
        <v>1.0001111111111112</v>
      </c>
      <c r="U4807" s="98">
        <v>3.9817203909743304</v>
      </c>
      <c r="V4807" s="106">
        <v>38282.715727059047</v>
      </c>
      <c r="W4807" s="10">
        <v>1.0265157756653931</v>
      </c>
      <c r="X4807" s="420"/>
      <c r="Y4807" s="420"/>
    </row>
    <row r="4808" spans="17:25">
      <c r="Q4808" s="6">
        <v>4778</v>
      </c>
      <c r="R4808" s="7">
        <v>47445</v>
      </c>
      <c r="S4808" s="210">
        <v>4</v>
      </c>
      <c r="T4808" s="8">
        <v>1.0001111111111112</v>
      </c>
      <c r="U4808" s="98">
        <v>3.9817532170467906</v>
      </c>
      <c r="V4808" s="106">
        <v>38285.796016039632</v>
      </c>
      <c r="W4808" s="10">
        <v>1.0265363524143201</v>
      </c>
      <c r="X4808" s="420"/>
      <c r="Y4808" s="420"/>
    </row>
    <row r="4809" spans="17:25">
      <c r="Q4809" s="6">
        <v>4779</v>
      </c>
      <c r="R4809" s="7">
        <v>47446</v>
      </c>
      <c r="S4809" s="210">
        <v>4</v>
      </c>
      <c r="T4809" s="8">
        <v>1.0001111111111112</v>
      </c>
      <c r="U4809" s="98">
        <v>3.9817860293919871</v>
      </c>
      <c r="V4809" s="106">
        <v>38288.876552865229</v>
      </c>
      <c r="W4809" s="10">
        <v>1.0265569205561098</v>
      </c>
      <c r="X4809" s="420"/>
      <c r="Y4809" s="420"/>
    </row>
    <row r="4810" spans="17:25">
      <c r="Q4810" s="6">
        <v>4780</v>
      </c>
      <c r="R4810" s="7">
        <v>47447</v>
      </c>
      <c r="S4810" s="210">
        <v>4</v>
      </c>
      <c r="T4810" s="8">
        <v>1.0001111111111112</v>
      </c>
      <c r="U4810" s="98">
        <v>3.9818188280185129</v>
      </c>
      <c r="V4810" s="106">
        <v>38291.957337555781</v>
      </c>
      <c r="W4810" s="10">
        <v>1.0265774800961802</v>
      </c>
      <c r="X4810" s="420"/>
      <c r="Y4810" s="420"/>
    </row>
    <row r="4811" spans="17:25">
      <c r="Q4811" s="6">
        <v>4781</v>
      </c>
      <c r="R4811" s="7">
        <v>47448</v>
      </c>
      <c r="S4811" s="210">
        <v>4</v>
      </c>
      <c r="T4811" s="8">
        <v>1.0001111111111112</v>
      </c>
      <c r="U4811" s="98">
        <v>3.9818516129349613</v>
      </c>
      <c r="V4811" s="106">
        <v>38295.038370131238</v>
      </c>
      <c r="W4811" s="10">
        <v>1.0265980310399048</v>
      </c>
      <c r="X4811" s="420"/>
      <c r="Y4811" s="420"/>
    </row>
    <row r="4812" spans="17:25">
      <c r="Q4812" s="6">
        <v>4782</v>
      </c>
      <c r="R4812" s="7">
        <v>47449</v>
      </c>
      <c r="S4812" s="210">
        <v>4</v>
      </c>
      <c r="T4812" s="8">
        <v>1.0001111111111112</v>
      </c>
      <c r="U4812" s="98">
        <v>3.9818843841499474</v>
      </c>
      <c r="V4812" s="106">
        <v>38298.119650611538</v>
      </c>
      <c r="W4812" s="10">
        <v>1.0266185733927014</v>
      </c>
      <c r="X4812" s="420"/>
      <c r="Y4812" s="420"/>
    </row>
    <row r="4813" spans="17:25">
      <c r="Q4813" s="6">
        <v>4783</v>
      </c>
      <c r="R4813" s="7">
        <v>47450</v>
      </c>
      <c r="S4813" s="210">
        <v>4</v>
      </c>
      <c r="T4813" s="8">
        <v>1.0001111111111112</v>
      </c>
      <c r="U4813" s="98">
        <v>3.9819171416720422</v>
      </c>
      <c r="V4813" s="106">
        <v>38301.201179016629</v>
      </c>
      <c r="W4813" s="10">
        <v>1.026639107159899</v>
      </c>
      <c r="X4813" s="420"/>
      <c r="Y4813" s="420"/>
    </row>
    <row r="4814" spans="17:25">
      <c r="Q4814" s="6">
        <v>4784</v>
      </c>
      <c r="R4814" s="7">
        <v>47451</v>
      </c>
      <c r="S4814" s="210">
        <v>4</v>
      </c>
      <c r="T4814" s="8">
        <v>1.0001111111111112</v>
      </c>
      <c r="U4814" s="98">
        <v>3.981949885509839</v>
      </c>
      <c r="V4814" s="106">
        <v>38304.282955366456</v>
      </c>
      <c r="W4814" s="10">
        <v>1.0266596323469379</v>
      </c>
      <c r="X4814" s="420"/>
      <c r="Y4814" s="420"/>
    </row>
    <row r="4815" spans="17:25">
      <c r="Q4815" s="6">
        <v>4785</v>
      </c>
      <c r="R4815" s="7">
        <v>47452</v>
      </c>
      <c r="S4815" s="210">
        <v>4</v>
      </c>
      <c r="T4815" s="8">
        <v>1.0001111111111112</v>
      </c>
      <c r="U4815" s="98">
        <v>3.9819826156719085</v>
      </c>
      <c r="V4815" s="106">
        <v>38307.364979680977</v>
      </c>
      <c r="W4815" s="10">
        <v>1.0266801489591693</v>
      </c>
      <c r="X4815" s="420"/>
      <c r="Y4815" s="420"/>
    </row>
    <row r="4816" spans="17:25">
      <c r="Q4816" s="6">
        <v>4786</v>
      </c>
      <c r="R4816" s="7">
        <v>47453</v>
      </c>
      <c r="S4816" s="210">
        <v>4</v>
      </c>
      <c r="T4816" s="8">
        <v>1.0001111111111112</v>
      </c>
      <c r="U4816" s="98">
        <v>3.9820153321667995</v>
      </c>
      <c r="V4816" s="106">
        <v>38310.447251980142</v>
      </c>
      <c r="W4816" s="10">
        <v>1.0267006570019666</v>
      </c>
      <c r="X4816" s="420"/>
      <c r="Y4816" s="420"/>
    </row>
    <row r="4817" spans="17:25">
      <c r="Q4817" s="6">
        <v>4787</v>
      </c>
      <c r="R4817" s="7">
        <v>47454</v>
      </c>
      <c r="S4817" s="210">
        <v>4</v>
      </c>
      <c r="T4817" s="8">
        <v>1.0001111111111112</v>
      </c>
      <c r="U4817" s="98">
        <v>3.9820480350031051</v>
      </c>
      <c r="V4817" s="106">
        <v>38313.529772283895</v>
      </c>
      <c r="W4817" s="10">
        <v>1.0267211564807255</v>
      </c>
      <c r="X4817" s="420"/>
      <c r="Y4817" s="420"/>
    </row>
    <row r="4818" spans="17:25">
      <c r="Q4818" s="6">
        <v>4788</v>
      </c>
      <c r="R4818" s="7">
        <v>47455</v>
      </c>
      <c r="S4818" s="210">
        <v>4</v>
      </c>
      <c r="T4818" s="8">
        <v>1.0001111111111112</v>
      </c>
      <c r="U4818" s="98">
        <v>3.9820807241893519</v>
      </c>
      <c r="V4818" s="106">
        <v>38316.612540612194</v>
      </c>
      <c r="W4818" s="10">
        <v>1.0267416474007751</v>
      </c>
      <c r="X4818" s="420"/>
      <c r="Y4818" s="420"/>
    </row>
    <row r="4819" spans="17:25">
      <c r="Q4819" s="6">
        <v>4789</v>
      </c>
      <c r="R4819" s="7">
        <v>47456</v>
      </c>
      <c r="S4819" s="210">
        <v>4</v>
      </c>
      <c r="T4819" s="8">
        <v>1.0001111111111112</v>
      </c>
      <c r="U4819" s="98">
        <v>3.9821133997340885</v>
      </c>
      <c r="V4819" s="106">
        <v>38319.695556985011</v>
      </c>
      <c r="W4819" s="10">
        <v>1.0267621297674667</v>
      </c>
      <c r="X4819" s="420"/>
      <c r="Y4819" s="420"/>
    </row>
    <row r="4820" spans="17:25">
      <c r="Q4820" s="6">
        <v>4790</v>
      </c>
      <c r="R4820" s="7">
        <v>47457</v>
      </c>
      <c r="S4820" s="210">
        <v>4</v>
      </c>
      <c r="T4820" s="8">
        <v>1.0001111111111112</v>
      </c>
      <c r="U4820" s="98">
        <v>3.9821460616458415</v>
      </c>
      <c r="V4820" s="106">
        <v>38322.778821422282</v>
      </c>
      <c r="W4820" s="10">
        <v>1.0267826035861738</v>
      </c>
      <c r="X4820" s="420"/>
      <c r="Y4820" s="420"/>
    </row>
    <row r="4821" spans="17:25">
      <c r="Q4821" s="6">
        <v>4791</v>
      </c>
      <c r="R4821" s="7">
        <v>47458</v>
      </c>
      <c r="S4821" s="210">
        <v>4</v>
      </c>
      <c r="T4821" s="8">
        <v>1.0001111111111112</v>
      </c>
      <c r="U4821" s="98">
        <v>3.9821787099331596</v>
      </c>
      <c r="V4821" s="106">
        <v>38325.86233394398</v>
      </c>
      <c r="W4821" s="10">
        <v>1.0268030688622476</v>
      </c>
      <c r="X4821" s="420"/>
      <c r="Y4821" s="420"/>
    </row>
    <row r="4822" spans="17:25">
      <c r="Q4822" s="6">
        <v>4792</v>
      </c>
      <c r="R4822" s="7">
        <v>47459</v>
      </c>
      <c r="S4822" s="210">
        <v>4</v>
      </c>
      <c r="T4822" s="8">
        <v>1.0001111111111112</v>
      </c>
      <c r="U4822" s="98">
        <v>3.9822113446045693</v>
      </c>
      <c r="V4822" s="106">
        <v>38328.946094570063</v>
      </c>
      <c r="W4822" s="10">
        <v>1.0268235256010616</v>
      </c>
      <c r="X4822" s="420"/>
      <c r="Y4822" s="420"/>
    </row>
    <row r="4823" spans="17:25">
      <c r="Q4823" s="6">
        <v>4793</v>
      </c>
      <c r="R4823" s="7">
        <v>47460</v>
      </c>
      <c r="S4823" s="210">
        <v>4</v>
      </c>
      <c r="T4823" s="8">
        <v>1.0001111111111112</v>
      </c>
      <c r="U4823" s="98">
        <v>3.9822439656685749</v>
      </c>
      <c r="V4823" s="106">
        <v>38332.030103320496</v>
      </c>
      <c r="W4823" s="10">
        <v>1.0268439738079005</v>
      </c>
      <c r="X4823" s="420"/>
      <c r="Y4823" s="420"/>
    </row>
    <row r="4824" spans="17:25">
      <c r="Q4824" s="6">
        <v>4794</v>
      </c>
      <c r="R4824" s="7">
        <v>47461</v>
      </c>
      <c r="S4824" s="210">
        <v>4</v>
      </c>
      <c r="T4824" s="8">
        <v>1.0001111111111112</v>
      </c>
      <c r="U4824" s="98">
        <v>3.9822765731336807</v>
      </c>
      <c r="V4824" s="106">
        <v>38335.114360215244</v>
      </c>
      <c r="W4824" s="10">
        <v>1.0268644134881155</v>
      </c>
      <c r="X4824" s="420"/>
      <c r="Y4824" s="420"/>
    </row>
    <row r="4825" spans="17:25">
      <c r="Q4825" s="6">
        <v>4795</v>
      </c>
      <c r="R4825" s="7">
        <v>47462</v>
      </c>
      <c r="S4825" s="210">
        <v>4</v>
      </c>
      <c r="T4825" s="8">
        <v>1.0001111111111112</v>
      </c>
      <c r="U4825" s="98">
        <v>3.982309167008391</v>
      </c>
      <c r="V4825" s="106">
        <v>38338.198865274266</v>
      </c>
      <c r="W4825" s="10">
        <v>1.026884844647058</v>
      </c>
      <c r="X4825" s="420"/>
      <c r="Y4825" s="420"/>
    </row>
    <row r="4826" spans="17:25">
      <c r="Q4826" s="6">
        <v>4796</v>
      </c>
      <c r="R4826" s="7">
        <v>47463</v>
      </c>
      <c r="S4826" s="210">
        <v>4</v>
      </c>
      <c r="T4826" s="8">
        <v>1.0001111111111112</v>
      </c>
      <c r="U4826" s="98">
        <v>3.9823417473012102</v>
      </c>
      <c r="V4826" s="106">
        <v>38341.283618517533</v>
      </c>
      <c r="W4826" s="10">
        <v>1.0269052672900569</v>
      </c>
      <c r="X4826" s="420"/>
      <c r="Y4826" s="420"/>
    </row>
    <row r="4827" spans="17:25">
      <c r="Q4827" s="6">
        <v>4797</v>
      </c>
      <c r="R4827" s="7">
        <v>47464</v>
      </c>
      <c r="S4827" s="210">
        <v>4</v>
      </c>
      <c r="T4827" s="8">
        <v>1.0001111111111112</v>
      </c>
      <c r="U4827" s="98">
        <v>3.9823743140206203</v>
      </c>
      <c r="V4827" s="106">
        <v>38344.368619965018</v>
      </c>
      <c r="W4827" s="10">
        <v>1.0269256814224192</v>
      </c>
      <c r="X4827" s="420"/>
      <c r="Y4827" s="420"/>
    </row>
    <row r="4828" spans="17:25">
      <c r="Q4828" s="6">
        <v>4798</v>
      </c>
      <c r="R4828" s="7">
        <v>47465</v>
      </c>
      <c r="S4828" s="210">
        <v>4</v>
      </c>
      <c r="T4828" s="8">
        <v>1.0001111111111112</v>
      </c>
      <c r="U4828" s="98">
        <v>3.9824068671751034</v>
      </c>
      <c r="V4828" s="106">
        <v>38347.453869636687</v>
      </c>
      <c r="W4828" s="10">
        <v>1.026946087049474</v>
      </c>
      <c r="X4828" s="420"/>
      <c r="Y4828" s="420"/>
    </row>
    <row r="4829" spans="17:25">
      <c r="Q4829" s="6">
        <v>4799</v>
      </c>
      <c r="R4829" s="7">
        <v>47466</v>
      </c>
      <c r="S4829" s="210">
        <v>4</v>
      </c>
      <c r="T4829" s="8">
        <v>1.0001111111111112</v>
      </c>
      <c r="U4829" s="98">
        <v>3.9824394067731195</v>
      </c>
      <c r="V4829" s="106">
        <v>38350.539367552519</v>
      </c>
      <c r="W4829" s="10">
        <v>1.026966484176528</v>
      </c>
      <c r="X4829" s="420"/>
      <c r="Y4829" s="420"/>
    </row>
    <row r="4830" spans="17:25">
      <c r="Q4830" s="6">
        <v>4800</v>
      </c>
      <c r="R4830" s="7">
        <v>47467</v>
      </c>
      <c r="S4830" s="210">
        <v>4</v>
      </c>
      <c r="T4830" s="8">
        <v>1.0001111111111112</v>
      </c>
      <c r="U4830" s="98">
        <v>3.9824719328231506</v>
      </c>
      <c r="V4830" s="106">
        <v>38353.625113732487</v>
      </c>
      <c r="W4830" s="10">
        <v>1.0269868728088882</v>
      </c>
      <c r="X4830" s="420"/>
      <c r="Y4830" s="420"/>
    </row>
    <row r="4831" spans="17:25">
      <c r="Q4831" s="6">
        <v>4801</v>
      </c>
      <c r="R4831" s="7">
        <v>47468</v>
      </c>
      <c r="S4831" s="210">
        <v>4</v>
      </c>
      <c r="T4831" s="8">
        <v>1.0001111111111112</v>
      </c>
      <c r="U4831" s="98">
        <v>3.9825044453336567</v>
      </c>
      <c r="V4831" s="106">
        <v>38356.711108196556</v>
      </c>
      <c r="W4831" s="10">
        <v>1.0270072529518615</v>
      </c>
      <c r="X4831" s="420"/>
      <c r="Y4831" s="420"/>
    </row>
    <row r="4832" spans="17:25">
      <c r="Q4832" s="6">
        <v>4802</v>
      </c>
      <c r="R4832" s="7">
        <v>47469</v>
      </c>
      <c r="S4832" s="210">
        <v>4</v>
      </c>
      <c r="T4832" s="8">
        <v>1.0001111111111112</v>
      </c>
      <c r="U4832" s="98">
        <v>3.9825369443130754</v>
      </c>
      <c r="V4832" s="106">
        <v>38359.797350964713</v>
      </c>
      <c r="W4832" s="10">
        <v>1.0270276246107768</v>
      </c>
      <c r="X4832" s="420"/>
      <c r="Y4832" s="420"/>
    </row>
    <row r="4833" spans="17:25">
      <c r="Q4833" s="6">
        <v>4803</v>
      </c>
      <c r="R4833" s="7">
        <v>47470</v>
      </c>
      <c r="S4833" s="210">
        <v>4</v>
      </c>
      <c r="T4833" s="8">
        <v>1.0001111111111112</v>
      </c>
      <c r="U4833" s="98">
        <v>3.9825694297698666</v>
      </c>
      <c r="V4833" s="106">
        <v>38362.883842056937</v>
      </c>
      <c r="W4833" s="10">
        <v>1.0270479877908745</v>
      </c>
      <c r="X4833" s="420"/>
      <c r="Y4833" s="420"/>
    </row>
    <row r="4834" spans="17:25">
      <c r="Q4834" s="6">
        <v>4804</v>
      </c>
      <c r="R4834" s="7">
        <v>47471</v>
      </c>
      <c r="S4834" s="210">
        <v>4</v>
      </c>
      <c r="T4834" s="8">
        <v>1.0001111111111112</v>
      </c>
      <c r="U4834" s="98">
        <v>3.9826019017124681</v>
      </c>
      <c r="V4834" s="106">
        <v>38365.970581493202</v>
      </c>
      <c r="W4834" s="10">
        <v>1.0270683424975058</v>
      </c>
      <c r="X4834" s="420"/>
      <c r="Y4834" s="420"/>
    </row>
    <row r="4835" spans="17:25">
      <c r="Q4835" s="6">
        <v>4805</v>
      </c>
      <c r="R4835" s="7">
        <v>47472</v>
      </c>
      <c r="S4835" s="210">
        <v>4</v>
      </c>
      <c r="T4835" s="8">
        <v>1.0001111111111112</v>
      </c>
      <c r="U4835" s="98">
        <v>3.9826343601492953</v>
      </c>
      <c r="V4835" s="106">
        <v>38369.057569293494</v>
      </c>
      <c r="W4835" s="10">
        <v>1.0270886887359332</v>
      </c>
      <c r="X4835" s="420"/>
      <c r="Y4835" s="420"/>
    </row>
    <row r="4836" spans="17:25">
      <c r="Q4836" s="6">
        <v>4806</v>
      </c>
      <c r="R4836" s="7">
        <v>47473</v>
      </c>
      <c r="S4836" s="210">
        <v>4</v>
      </c>
      <c r="T4836" s="8">
        <v>1.0001111111111112</v>
      </c>
      <c r="U4836" s="98">
        <v>3.9826668050887859</v>
      </c>
      <c r="V4836" s="106">
        <v>38372.144805477808</v>
      </c>
      <c r="W4836" s="10">
        <v>1.0271090265114191</v>
      </c>
      <c r="X4836" s="420"/>
      <c r="Y4836" s="420"/>
    </row>
    <row r="4837" spans="17:25">
      <c r="Q4837" s="6">
        <v>4807</v>
      </c>
      <c r="R4837" s="7">
        <v>47474</v>
      </c>
      <c r="S4837" s="210">
        <v>4</v>
      </c>
      <c r="T4837" s="8">
        <v>1.0001111111111112</v>
      </c>
      <c r="U4837" s="98">
        <v>3.9826992365393554</v>
      </c>
      <c r="V4837" s="106">
        <v>38375.232290066109</v>
      </c>
      <c r="W4837" s="10">
        <v>1.0271293558292705</v>
      </c>
      <c r="X4837" s="420"/>
      <c r="Y4837" s="420"/>
    </row>
    <row r="4838" spans="17:25">
      <c r="Q4838" s="6">
        <v>4808</v>
      </c>
      <c r="R4838" s="7">
        <v>47475</v>
      </c>
      <c r="S4838" s="210">
        <v>4</v>
      </c>
      <c r="T4838" s="8">
        <v>1.0001111111111112</v>
      </c>
      <c r="U4838" s="98">
        <v>3.9827316545094194</v>
      </c>
      <c r="V4838" s="106">
        <v>38378.320023078399</v>
      </c>
      <c r="W4838" s="10">
        <v>1.0271496766947719</v>
      </c>
      <c r="X4838" s="420"/>
      <c r="Y4838" s="420"/>
    </row>
    <row r="4839" spans="17:25">
      <c r="Q4839" s="6">
        <v>4809</v>
      </c>
      <c r="R4839" s="7">
        <v>47476</v>
      </c>
      <c r="S4839" s="210">
        <v>4</v>
      </c>
      <c r="T4839" s="8">
        <v>1.0001111111111112</v>
      </c>
      <c r="U4839" s="98">
        <v>3.982764059007371</v>
      </c>
      <c r="V4839" s="106">
        <v>38381.408004534664</v>
      </c>
      <c r="W4839" s="10">
        <v>1.0271699891131636</v>
      </c>
      <c r="X4839" s="420"/>
      <c r="Y4839" s="420"/>
    </row>
    <row r="4840" spans="17:25">
      <c r="Q4840" s="6">
        <v>4810</v>
      </c>
      <c r="R4840" s="7">
        <v>47477</v>
      </c>
      <c r="S4840" s="210">
        <v>4</v>
      </c>
      <c r="T4840" s="8">
        <v>1.0001111111111112</v>
      </c>
      <c r="U4840" s="98">
        <v>3.9827964500416035</v>
      </c>
      <c r="V4840" s="106">
        <v>38384.496234454884</v>
      </c>
      <c r="W4840" s="10">
        <v>1.0271902930897303</v>
      </c>
      <c r="X4840" s="420"/>
      <c r="Y4840" s="420"/>
    </row>
    <row r="4841" spans="17:25">
      <c r="Q4841" s="6">
        <v>4811</v>
      </c>
      <c r="R4841" s="7">
        <v>47478</v>
      </c>
      <c r="S4841" s="210">
        <v>4</v>
      </c>
      <c r="T4841" s="8">
        <v>1.0001111111111112</v>
      </c>
      <c r="U4841" s="98">
        <v>3.9828288276205104</v>
      </c>
      <c r="V4841" s="106">
        <v>38387.584712859061</v>
      </c>
      <c r="W4841" s="10">
        <v>1.0272105886297123</v>
      </c>
      <c r="X4841" s="420"/>
      <c r="Y4841" s="420"/>
    </row>
    <row r="4842" spans="17:25">
      <c r="Q4842" s="6">
        <v>4812</v>
      </c>
      <c r="R4842" s="7">
        <v>47479</v>
      </c>
      <c r="S4842" s="210">
        <v>4</v>
      </c>
      <c r="T4842" s="8">
        <v>1.0001111111111112</v>
      </c>
      <c r="U4842" s="98">
        <v>3.9828611917524848</v>
      </c>
      <c r="V4842" s="106">
        <v>38390.67343976719</v>
      </c>
      <c r="W4842" s="10">
        <v>1.0272308757383941</v>
      </c>
      <c r="X4842" s="420"/>
      <c r="Y4842" s="420"/>
    </row>
    <row r="4843" spans="17:25">
      <c r="Q4843" s="6">
        <v>4813</v>
      </c>
      <c r="R4843" s="7">
        <v>47480</v>
      </c>
      <c r="S4843" s="210">
        <v>4</v>
      </c>
      <c r="T4843" s="8">
        <v>1.0001111111111112</v>
      </c>
      <c r="U4843" s="98">
        <v>3.9828935424458978</v>
      </c>
      <c r="V4843" s="106">
        <v>38393.762415199257</v>
      </c>
      <c r="W4843" s="10">
        <v>1.0272511544210161</v>
      </c>
      <c r="X4843" s="420"/>
      <c r="Y4843" s="420"/>
    </row>
    <row r="4844" spans="17:25">
      <c r="Q4844" s="6">
        <v>4814</v>
      </c>
      <c r="R4844" s="7">
        <v>47481</v>
      </c>
      <c r="S4844" s="210">
        <v>4</v>
      </c>
      <c r="T4844" s="8">
        <v>1.0001111111111112</v>
      </c>
      <c r="U4844" s="98">
        <v>3.9829258797091205</v>
      </c>
      <c r="V4844" s="106">
        <v>38396.851639175264</v>
      </c>
      <c r="W4844" s="10">
        <v>1.0272714246828185</v>
      </c>
      <c r="X4844" s="420"/>
      <c r="Y4844" s="420"/>
    </row>
    <row r="4845" spans="17:25">
      <c r="Q4845" s="6">
        <v>4815</v>
      </c>
      <c r="R4845" s="7">
        <v>47482</v>
      </c>
      <c r="S4845" s="210">
        <v>4</v>
      </c>
      <c r="T4845" s="8">
        <v>1.0001111111111112</v>
      </c>
      <c r="U4845" s="98">
        <v>3.9829582035505018</v>
      </c>
      <c r="V4845" s="106">
        <v>38399.941111715212</v>
      </c>
      <c r="W4845" s="10">
        <v>1.0272916865290638</v>
      </c>
      <c r="X4845" s="420"/>
      <c r="Y4845" s="420"/>
    </row>
    <row r="4846" spans="17:25">
      <c r="Q4846" s="6">
        <v>4816</v>
      </c>
      <c r="R4846" s="7">
        <v>47483</v>
      </c>
      <c r="S4846" s="210">
        <v>4</v>
      </c>
      <c r="T4846" s="8">
        <v>1.0001111111111112</v>
      </c>
      <c r="U4846" s="98">
        <v>3.9829905139784127</v>
      </c>
      <c r="V4846" s="106">
        <v>38403.030832839097</v>
      </c>
      <c r="W4846" s="10">
        <v>1.0273119399649921</v>
      </c>
      <c r="X4846" s="420"/>
      <c r="Y4846" s="420"/>
    </row>
    <row r="4847" spans="17:25">
      <c r="Q4847" s="6">
        <v>4817</v>
      </c>
      <c r="R4847" s="7">
        <v>47484</v>
      </c>
      <c r="S4847" s="210">
        <v>4</v>
      </c>
      <c r="T4847" s="8">
        <v>1.0001111111111112</v>
      </c>
      <c r="U4847" s="98">
        <v>3.9830228110011801</v>
      </c>
      <c r="V4847" s="106">
        <v>38406.120802566918</v>
      </c>
      <c r="W4847" s="10">
        <v>1.0273321849958217</v>
      </c>
      <c r="X4847" s="420"/>
      <c r="Y4847" s="420"/>
    </row>
    <row r="4848" spans="17:25">
      <c r="Q4848" s="6">
        <v>4818</v>
      </c>
      <c r="R4848" s="7">
        <v>47485</v>
      </c>
      <c r="S4848" s="210">
        <v>4</v>
      </c>
      <c r="T4848" s="8">
        <v>1.0001111111111112</v>
      </c>
      <c r="U4848" s="98">
        <v>3.9830550946271526</v>
      </c>
      <c r="V4848" s="106">
        <v>38409.211020918687</v>
      </c>
      <c r="W4848" s="10">
        <v>1.0273524216267926</v>
      </c>
      <c r="X4848" s="420"/>
      <c r="Y4848" s="420"/>
    </row>
    <row r="4849" spans="17:25">
      <c r="Q4849" s="6">
        <v>4819</v>
      </c>
      <c r="R4849" s="7">
        <v>47486</v>
      </c>
      <c r="S4849" s="210">
        <v>4</v>
      </c>
      <c r="T4849" s="8">
        <v>1.0001111111111112</v>
      </c>
      <c r="U4849" s="98">
        <v>3.9830873648646792</v>
      </c>
      <c r="V4849" s="106">
        <v>38412.301487914396</v>
      </c>
      <c r="W4849" s="10">
        <v>1.027372649863123</v>
      </c>
      <c r="X4849" s="420"/>
      <c r="Y4849" s="420"/>
    </row>
    <row r="4850" spans="17:25">
      <c r="Q4850" s="6">
        <v>4820</v>
      </c>
      <c r="R4850" s="7">
        <v>47487</v>
      </c>
      <c r="S4850" s="210">
        <v>4</v>
      </c>
      <c r="T4850" s="8">
        <v>1.0001111111111112</v>
      </c>
      <c r="U4850" s="98">
        <v>3.9831196217220644</v>
      </c>
      <c r="V4850" s="106">
        <v>38415.392203574062</v>
      </c>
      <c r="W4850" s="10">
        <v>1.0273928697100532</v>
      </c>
      <c r="X4850" s="420"/>
      <c r="Y4850" s="420"/>
    </row>
    <row r="4851" spans="17:25">
      <c r="Q4851" s="6">
        <v>4821</v>
      </c>
      <c r="R4851" s="7">
        <v>47488</v>
      </c>
      <c r="S4851" s="210">
        <v>4</v>
      </c>
      <c r="T4851" s="8">
        <v>1.0001111111111112</v>
      </c>
      <c r="U4851" s="98">
        <v>3.9831518652076348</v>
      </c>
      <c r="V4851" s="106">
        <v>38418.483167917686</v>
      </c>
      <c r="W4851" s="10">
        <v>1.0274130811727789</v>
      </c>
      <c r="X4851" s="420"/>
      <c r="Y4851" s="420"/>
    </row>
    <row r="4852" spans="17:25">
      <c r="Q4852" s="6">
        <v>4822</v>
      </c>
      <c r="R4852" s="7">
        <v>47489</v>
      </c>
      <c r="S4852" s="210">
        <v>4</v>
      </c>
      <c r="T4852" s="8">
        <v>1.0001111111111112</v>
      </c>
      <c r="U4852" s="98">
        <v>3.9831840953297171</v>
      </c>
      <c r="V4852" s="106">
        <v>38421.574380965278</v>
      </c>
      <c r="W4852" s="10">
        <v>1.0274332842565181</v>
      </c>
      <c r="X4852" s="420"/>
      <c r="Y4852" s="420"/>
    </row>
    <row r="4853" spans="17:25">
      <c r="Q4853" s="6">
        <v>4823</v>
      </c>
      <c r="R4853" s="7">
        <v>47490</v>
      </c>
      <c r="S4853" s="210">
        <v>4</v>
      </c>
      <c r="T4853" s="8">
        <v>1.0001111111111112</v>
      </c>
      <c r="U4853" s="98">
        <v>3.9832163120965935</v>
      </c>
      <c r="V4853" s="106">
        <v>38424.66584273686</v>
      </c>
      <c r="W4853" s="10">
        <v>1.0274534789664891</v>
      </c>
      <c r="X4853" s="420"/>
      <c r="Y4853" s="420"/>
    </row>
    <row r="4854" spans="17:25">
      <c r="Q4854" s="6">
        <v>4824</v>
      </c>
      <c r="R4854" s="7">
        <v>47491</v>
      </c>
      <c r="S4854" s="210">
        <v>4</v>
      </c>
      <c r="T4854" s="8">
        <v>1.0001111111111112</v>
      </c>
      <c r="U4854" s="98">
        <v>3.9832485155165909</v>
      </c>
      <c r="V4854" s="106">
        <v>38427.757553252435</v>
      </c>
      <c r="W4854" s="10">
        <v>1.0274736653079097</v>
      </c>
      <c r="X4854" s="420"/>
      <c r="Y4854" s="420"/>
    </row>
    <row r="4855" spans="17:25">
      <c r="Q4855" s="6">
        <v>4825</v>
      </c>
      <c r="R4855" s="7">
        <v>47492</v>
      </c>
      <c r="S4855" s="210">
        <v>4</v>
      </c>
      <c r="T4855" s="8">
        <v>1.0001111111111112</v>
      </c>
      <c r="U4855" s="98">
        <v>3.9832807055979913</v>
      </c>
      <c r="V4855" s="106">
        <v>38430.849512532011</v>
      </c>
      <c r="W4855" s="10">
        <v>1.0274938432859759</v>
      </c>
      <c r="X4855" s="420"/>
      <c r="Y4855" s="420"/>
    </row>
    <row r="4856" spans="17:25">
      <c r="Q4856" s="6">
        <v>4826</v>
      </c>
      <c r="R4856" s="7">
        <v>47493</v>
      </c>
      <c r="S4856" s="210">
        <v>4</v>
      </c>
      <c r="T4856" s="8">
        <v>1.0001111111111112</v>
      </c>
      <c r="U4856" s="98">
        <v>3.9833128823490771</v>
      </c>
      <c r="V4856" s="106">
        <v>38433.94172059562</v>
      </c>
      <c r="W4856" s="10">
        <v>1.0275140129058613</v>
      </c>
      <c r="X4856" s="420"/>
      <c r="Y4856" s="420"/>
    </row>
    <row r="4857" spans="17:25">
      <c r="Q4857" s="6">
        <v>4827</v>
      </c>
      <c r="R4857" s="7">
        <v>47494</v>
      </c>
      <c r="S4857" s="210">
        <v>4</v>
      </c>
      <c r="T4857" s="8">
        <v>1.0001111111111112</v>
      </c>
      <c r="U4857" s="98">
        <v>3.9833450457781083</v>
      </c>
      <c r="V4857" s="106">
        <v>38437.034177463269</v>
      </c>
      <c r="W4857" s="10">
        <v>1.0275341741727617</v>
      </c>
      <c r="X4857" s="420"/>
      <c r="Y4857" s="420"/>
    </row>
    <row r="4858" spans="17:25">
      <c r="Q4858" s="6">
        <v>4828</v>
      </c>
      <c r="R4858" s="7">
        <v>47495</v>
      </c>
      <c r="S4858" s="210">
        <v>4</v>
      </c>
      <c r="T4858" s="8">
        <v>1.0001111111111112</v>
      </c>
      <c r="U4858" s="98">
        <v>3.9833771958933895</v>
      </c>
      <c r="V4858" s="106">
        <v>38440.126883154975</v>
      </c>
      <c r="W4858" s="10">
        <v>1.0275543270918952</v>
      </c>
      <c r="X4858" s="420"/>
      <c r="Y4858" s="420"/>
    </row>
    <row r="4859" spans="17:25">
      <c r="Q4859" s="6">
        <v>4829</v>
      </c>
      <c r="R4859" s="7">
        <v>47496</v>
      </c>
      <c r="S4859" s="210">
        <v>4</v>
      </c>
      <c r="T4859" s="8">
        <v>1.0001111111111112</v>
      </c>
      <c r="U4859" s="98">
        <v>3.9834093327031583</v>
      </c>
      <c r="V4859" s="106">
        <v>38443.219837690776</v>
      </c>
      <c r="W4859" s="10">
        <v>1.027574471668391</v>
      </c>
      <c r="X4859" s="420"/>
      <c r="Y4859" s="420"/>
    </row>
    <row r="4860" spans="17:25">
      <c r="Q4860" s="6">
        <v>4830</v>
      </c>
      <c r="R4860" s="7">
        <v>47497</v>
      </c>
      <c r="S4860" s="210">
        <v>4</v>
      </c>
      <c r="T4860" s="8">
        <v>1.0001111111111112</v>
      </c>
      <c r="U4860" s="98">
        <v>3.9834414562156972</v>
      </c>
      <c r="V4860" s="106">
        <v>38446.313041090667</v>
      </c>
      <c r="W4860" s="10">
        <v>1.0275946079074894</v>
      </c>
      <c r="X4860" s="420"/>
      <c r="Y4860" s="420"/>
    </row>
    <row r="4861" spans="17:25">
      <c r="Q4861" s="6">
        <v>4831</v>
      </c>
      <c r="R4861" s="7">
        <v>47498</v>
      </c>
      <c r="S4861" s="210">
        <v>4</v>
      </c>
      <c r="T4861" s="8">
        <v>1.0001111111111112</v>
      </c>
      <c r="U4861" s="98">
        <v>3.983473566439244</v>
      </c>
      <c r="V4861" s="106">
        <v>38449.406493374699</v>
      </c>
      <c r="W4861" s="10">
        <v>1.0276147358143195</v>
      </c>
      <c r="X4861" s="420"/>
      <c r="Y4861" s="420"/>
    </row>
    <row r="4862" spans="17:25">
      <c r="Q4862" s="6">
        <v>4832</v>
      </c>
      <c r="R4862" s="7">
        <v>47499</v>
      </c>
      <c r="S4862" s="210">
        <v>4</v>
      </c>
      <c r="T4862" s="8">
        <v>1.0001111111111112</v>
      </c>
      <c r="U4862" s="98">
        <v>3.9835056633820365</v>
      </c>
      <c r="V4862" s="106">
        <v>38452.500194562876</v>
      </c>
      <c r="W4862" s="10">
        <v>1.0276348553940773</v>
      </c>
      <c r="X4862" s="420"/>
      <c r="Y4862" s="420"/>
    </row>
    <row r="4863" spans="17:25">
      <c r="Q4863" s="6">
        <v>4833</v>
      </c>
      <c r="R4863" s="7">
        <v>47500</v>
      </c>
      <c r="S4863" s="210">
        <v>4</v>
      </c>
      <c r="T4863" s="8">
        <v>1.0001111111111112</v>
      </c>
      <c r="U4863" s="98">
        <v>3.9835377470523348</v>
      </c>
      <c r="V4863" s="106">
        <v>38455.59414467524</v>
      </c>
      <c r="W4863" s="10">
        <v>1.0276549666519363</v>
      </c>
      <c r="X4863" s="420"/>
      <c r="Y4863" s="420"/>
    </row>
    <row r="4864" spans="17:25">
      <c r="Q4864" s="6">
        <v>4834</v>
      </c>
      <c r="R4864" s="7">
        <v>47501</v>
      </c>
      <c r="S4864" s="210">
        <v>4</v>
      </c>
      <c r="T4864" s="8">
        <v>1.0001111111111112</v>
      </c>
      <c r="U4864" s="98">
        <v>3.9835698174583545</v>
      </c>
      <c r="V4864" s="106">
        <v>38458.68834373181</v>
      </c>
      <c r="W4864" s="10">
        <v>1.0276750695930481</v>
      </c>
      <c r="X4864" s="420"/>
      <c r="Y4864" s="420"/>
    </row>
    <row r="4865" spans="17:25">
      <c r="Q4865" s="6">
        <v>4835</v>
      </c>
      <c r="R4865" s="7">
        <v>47502</v>
      </c>
      <c r="S4865" s="210">
        <v>4</v>
      </c>
      <c r="T4865" s="8">
        <v>1.0001111111111112</v>
      </c>
      <c r="U4865" s="98">
        <v>3.9836018746083113</v>
      </c>
      <c r="V4865" s="106">
        <v>38461.78279175263</v>
      </c>
      <c r="W4865" s="10">
        <v>1.0276951642225418</v>
      </c>
      <c r="X4865" s="420"/>
      <c r="Y4865" s="420"/>
    </row>
    <row r="4866" spans="17:25">
      <c r="Q4866" s="6">
        <v>4836</v>
      </c>
      <c r="R4866" s="7">
        <v>47503</v>
      </c>
      <c r="S4866" s="210">
        <v>4</v>
      </c>
      <c r="T4866" s="8">
        <v>1.0001111111111112</v>
      </c>
      <c r="U4866" s="98">
        <v>3.983633918510443</v>
      </c>
      <c r="V4866" s="106">
        <v>38464.877488757716</v>
      </c>
      <c r="W4866" s="10">
        <v>1.0277152505456133</v>
      </c>
      <c r="X4866" s="420"/>
      <c r="Y4866" s="420"/>
    </row>
    <row r="4867" spans="17:25">
      <c r="Q4867" s="6">
        <v>4837</v>
      </c>
      <c r="R4867" s="7">
        <v>47504</v>
      </c>
      <c r="S4867" s="210">
        <v>4</v>
      </c>
      <c r="T4867" s="8">
        <v>1.0001111111111112</v>
      </c>
      <c r="U4867" s="98">
        <v>3.9836659491729431</v>
      </c>
      <c r="V4867" s="106">
        <v>38467.972434767107</v>
      </c>
      <c r="W4867" s="10">
        <v>1.0277353285673696</v>
      </c>
      <c r="X4867" s="420"/>
      <c r="Y4867" s="420"/>
    </row>
    <row r="4868" spans="17:25">
      <c r="Q4868" s="6">
        <v>4838</v>
      </c>
      <c r="R4868" s="7">
        <v>47505</v>
      </c>
      <c r="S4868" s="210">
        <v>4</v>
      </c>
      <c r="T4868" s="8">
        <v>1.0001111111111112</v>
      </c>
      <c r="U4868" s="98">
        <v>3.9836979666040273</v>
      </c>
      <c r="V4868" s="106">
        <v>38471.06762980084</v>
      </c>
      <c r="W4868" s="10">
        <v>1.0277553982930066</v>
      </c>
      <c r="X4868" s="420"/>
      <c r="Y4868" s="420"/>
    </row>
    <row r="4869" spans="17:25">
      <c r="Q4869" s="6">
        <v>4839</v>
      </c>
      <c r="R4869" s="7">
        <v>47506</v>
      </c>
      <c r="S4869" s="210">
        <v>4</v>
      </c>
      <c r="T4869" s="8">
        <v>1.0001111111111112</v>
      </c>
      <c r="U4869" s="98">
        <v>3.9837299708118667</v>
      </c>
      <c r="V4869" s="106">
        <v>38474.163073878946</v>
      </c>
      <c r="W4869" s="10">
        <v>1.0277754597276312</v>
      </c>
      <c r="X4869" s="420"/>
      <c r="Y4869" s="420"/>
    </row>
    <row r="4870" spans="17:25">
      <c r="Q4870" s="6">
        <v>4840</v>
      </c>
      <c r="R4870" s="7">
        <v>47507</v>
      </c>
      <c r="S4870" s="210">
        <v>4</v>
      </c>
      <c r="T4870" s="8">
        <v>1.0001111111111112</v>
      </c>
      <c r="U4870" s="98">
        <v>3.9837619618046771</v>
      </c>
      <c r="V4870" s="106">
        <v>38477.258767021485</v>
      </c>
      <c r="W4870" s="10">
        <v>1.0277955128763727</v>
      </c>
      <c r="X4870" s="420"/>
      <c r="Y4870" s="420"/>
    </row>
    <row r="4871" spans="17:25">
      <c r="Q4871" s="6">
        <v>4841</v>
      </c>
      <c r="R4871" s="7">
        <v>47508</v>
      </c>
      <c r="S4871" s="210">
        <v>4</v>
      </c>
      <c r="T4871" s="8">
        <v>1.0001111111111112</v>
      </c>
      <c r="U4871" s="98">
        <v>3.9837939395906297</v>
      </c>
      <c r="V4871" s="106">
        <v>38480.354709248473</v>
      </c>
      <c r="W4871" s="10">
        <v>1.0278155577443826</v>
      </c>
      <c r="X4871" s="420"/>
      <c r="Y4871" s="420"/>
    </row>
    <row r="4872" spans="17:25">
      <c r="Q4872" s="6">
        <v>4842</v>
      </c>
      <c r="R4872" s="7">
        <v>47509</v>
      </c>
      <c r="S4872" s="210">
        <v>4</v>
      </c>
      <c r="T4872" s="8">
        <v>1.0001111111111112</v>
      </c>
      <c r="U4872" s="98">
        <v>3.9838259041779178</v>
      </c>
      <c r="V4872" s="106">
        <v>38483.450900579963</v>
      </c>
      <c r="W4872" s="10">
        <v>1.0278355943367901</v>
      </c>
      <c r="X4872" s="420"/>
      <c r="Y4872" s="420"/>
    </row>
    <row r="4873" spans="17:25">
      <c r="Q4873" s="6">
        <v>4843</v>
      </c>
      <c r="R4873" s="7">
        <v>47510</v>
      </c>
      <c r="S4873" s="210">
        <v>4</v>
      </c>
      <c r="T4873" s="8">
        <v>1.0001111111111112</v>
      </c>
      <c r="U4873" s="98">
        <v>3.9838578555746906</v>
      </c>
      <c r="V4873" s="106">
        <v>38486.547341035992</v>
      </c>
      <c r="W4873" s="10">
        <v>1.0278556226587243</v>
      </c>
      <c r="X4873" s="420"/>
      <c r="Y4873" s="420"/>
    </row>
    <row r="4874" spans="17:25">
      <c r="Q4874" s="6">
        <v>4844</v>
      </c>
      <c r="R4874" s="7">
        <v>47511</v>
      </c>
      <c r="S4874" s="210">
        <v>4</v>
      </c>
      <c r="T4874" s="8">
        <v>1.0001111111111112</v>
      </c>
      <c r="U4874" s="98">
        <v>3.9838897937891193</v>
      </c>
      <c r="V4874" s="106">
        <v>38489.644030636606</v>
      </c>
      <c r="W4874" s="10">
        <v>1.0278756427152702</v>
      </c>
      <c r="X4874" s="420"/>
      <c r="Y4874" s="420"/>
    </row>
    <row r="4875" spans="17:25">
      <c r="Q4875" s="6">
        <v>4845</v>
      </c>
      <c r="R4875" s="7">
        <v>47512</v>
      </c>
      <c r="S4875" s="210">
        <v>4</v>
      </c>
      <c r="T4875" s="8">
        <v>1.0001111111111112</v>
      </c>
      <c r="U4875" s="98">
        <v>3.9839217188293752</v>
      </c>
      <c r="V4875" s="106">
        <v>38492.740969401857</v>
      </c>
      <c r="W4875" s="10">
        <v>1.0278956545115792</v>
      </c>
      <c r="X4875" s="420"/>
      <c r="Y4875" s="420"/>
    </row>
    <row r="4876" spans="17:25">
      <c r="Q4876" s="6">
        <v>4846</v>
      </c>
      <c r="R4876" s="7">
        <v>47513</v>
      </c>
      <c r="S4876" s="210">
        <v>4</v>
      </c>
      <c r="T4876" s="8">
        <v>1.0001111111111112</v>
      </c>
      <c r="U4876" s="98">
        <v>3.983953630703585</v>
      </c>
      <c r="V4876" s="106">
        <v>38495.838157351791</v>
      </c>
      <c r="W4876" s="10">
        <v>1.0279156580527582</v>
      </c>
      <c r="X4876" s="420"/>
      <c r="Y4876" s="420"/>
    </row>
    <row r="4877" spans="17:25">
      <c r="Q4877" s="6">
        <v>4847</v>
      </c>
      <c r="R4877" s="7">
        <v>47514</v>
      </c>
      <c r="S4877" s="210">
        <v>4</v>
      </c>
      <c r="T4877" s="8">
        <v>1.0001111111111112</v>
      </c>
      <c r="U4877" s="98">
        <v>3.9839855294198978</v>
      </c>
      <c r="V4877" s="106">
        <v>38498.93559450646</v>
      </c>
      <c r="W4877" s="10">
        <v>1.0279356533438921</v>
      </c>
      <c r="X4877" s="420"/>
      <c r="Y4877" s="420"/>
    </row>
    <row r="4878" spans="17:25">
      <c r="Q4878" s="6">
        <v>4848</v>
      </c>
      <c r="R4878" s="7">
        <v>47515</v>
      </c>
      <c r="S4878" s="210">
        <v>4</v>
      </c>
      <c r="T4878" s="8">
        <v>1.0001111111111112</v>
      </c>
      <c r="U4878" s="98">
        <v>3.9840174149864627</v>
      </c>
      <c r="V4878" s="106">
        <v>38502.033280885909</v>
      </c>
      <c r="W4878" s="10">
        <v>1.0279556403901102</v>
      </c>
      <c r="X4878" s="420"/>
      <c r="Y4878" s="420"/>
    </row>
    <row r="4879" spans="17:25">
      <c r="Q4879" s="6">
        <v>4849</v>
      </c>
      <c r="R4879" s="7">
        <v>47516</v>
      </c>
      <c r="S4879" s="210">
        <v>4</v>
      </c>
      <c r="T4879" s="8">
        <v>1.0001111111111112</v>
      </c>
      <c r="U4879" s="98">
        <v>3.9840492874114064</v>
      </c>
      <c r="V4879" s="106">
        <v>38505.131216510184</v>
      </c>
      <c r="W4879" s="10">
        <v>1.0279756191964973</v>
      </c>
      <c r="X4879" s="420"/>
      <c r="Y4879" s="420"/>
    </row>
    <row r="4880" spans="17:25">
      <c r="Q4880" s="6">
        <v>4850</v>
      </c>
      <c r="R4880" s="7">
        <v>47517</v>
      </c>
      <c r="S4880" s="210">
        <v>4</v>
      </c>
      <c r="T4880" s="8">
        <v>1.0001111111111112</v>
      </c>
      <c r="U4880" s="98">
        <v>3.9840811467028336</v>
      </c>
      <c r="V4880" s="106">
        <v>38508.22940139936</v>
      </c>
      <c r="W4880" s="10">
        <v>1.0279955897681603</v>
      </c>
      <c r="X4880" s="420"/>
      <c r="Y4880" s="420"/>
    </row>
    <row r="4881" spans="17:25">
      <c r="Q4881" s="6">
        <v>4851</v>
      </c>
      <c r="R4881" s="7">
        <v>47518</v>
      </c>
      <c r="S4881" s="210">
        <v>4</v>
      </c>
      <c r="T4881" s="8">
        <v>1.0001111111111112</v>
      </c>
      <c r="U4881" s="98">
        <v>3.9841129928688712</v>
      </c>
      <c r="V4881" s="106">
        <v>38511.327835573487</v>
      </c>
      <c r="W4881" s="10">
        <v>1.0280155521101619</v>
      </c>
      <c r="X4881" s="420"/>
      <c r="Y4881" s="420"/>
    </row>
    <row r="4882" spans="17:25">
      <c r="Q4882" s="6">
        <v>4852</v>
      </c>
      <c r="R4882" s="7">
        <v>47519</v>
      </c>
      <c r="S4882" s="210">
        <v>4</v>
      </c>
      <c r="T4882" s="8">
        <v>1.0001111111111112</v>
      </c>
      <c r="U4882" s="98">
        <v>3.984144825917646</v>
      </c>
      <c r="V4882" s="106">
        <v>38514.42651905262</v>
      </c>
      <c r="W4882" s="10">
        <v>1.0280355062276092</v>
      </c>
      <c r="X4882" s="420"/>
      <c r="Y4882" s="420"/>
    </row>
    <row r="4883" spans="17:25">
      <c r="Q4883" s="6">
        <v>4853</v>
      </c>
      <c r="R4883" s="7">
        <v>47520</v>
      </c>
      <c r="S4883" s="210">
        <v>4</v>
      </c>
      <c r="T4883" s="8">
        <v>1.0001111111111112</v>
      </c>
      <c r="U4883" s="98">
        <v>3.9841766458572403</v>
      </c>
      <c r="V4883" s="106">
        <v>38517.525451856811</v>
      </c>
      <c r="W4883" s="10">
        <v>1.0280554521255869</v>
      </c>
      <c r="X4883" s="420"/>
      <c r="Y4883" s="420"/>
    </row>
    <row r="4884" spans="17:25">
      <c r="Q4884" s="6">
        <v>4854</v>
      </c>
      <c r="R4884" s="7">
        <v>47521</v>
      </c>
      <c r="S4884" s="210">
        <v>4</v>
      </c>
      <c r="T4884" s="8">
        <v>1.0001111111111112</v>
      </c>
      <c r="U4884" s="98">
        <v>3.9842084526957589</v>
      </c>
      <c r="V4884" s="106">
        <v>38520.624634006133</v>
      </c>
      <c r="W4884" s="10">
        <v>1.0280753898091799</v>
      </c>
      <c r="X4884" s="420"/>
      <c r="Y4884" s="420"/>
    </row>
    <row r="4885" spans="17:25">
      <c r="Q4885" s="6">
        <v>4855</v>
      </c>
      <c r="R4885" s="7">
        <v>47522</v>
      </c>
      <c r="S4885" s="210">
        <v>4</v>
      </c>
      <c r="T4885" s="8">
        <v>1.0001111111111112</v>
      </c>
      <c r="U4885" s="98">
        <v>3.9842402464412841</v>
      </c>
      <c r="V4885" s="106">
        <v>38523.724065520641</v>
      </c>
      <c r="W4885" s="10">
        <v>1.0280953192834286</v>
      </c>
      <c r="X4885" s="420"/>
      <c r="Y4885" s="420"/>
    </row>
    <row r="4886" spans="17:25">
      <c r="Q4886" s="6">
        <v>4856</v>
      </c>
      <c r="R4886" s="7">
        <v>47523</v>
      </c>
      <c r="S4886" s="210">
        <v>4</v>
      </c>
      <c r="T4886" s="8">
        <v>1.0001111111111112</v>
      </c>
      <c r="U4886" s="98">
        <v>3.9842720271018983</v>
      </c>
      <c r="V4886" s="106">
        <v>38526.823746420392</v>
      </c>
      <c r="W4886" s="10">
        <v>1.0281152405534399</v>
      </c>
      <c r="X4886" s="420"/>
      <c r="Y4886" s="420"/>
    </row>
    <row r="4887" spans="17:25">
      <c r="Q4887" s="6">
        <v>4857</v>
      </c>
      <c r="R4887" s="7">
        <v>47524</v>
      </c>
      <c r="S4887" s="210">
        <v>4</v>
      </c>
      <c r="T4887" s="8">
        <v>1.0001111111111112</v>
      </c>
      <c r="U4887" s="98">
        <v>3.9843037946856841</v>
      </c>
      <c r="V4887" s="106">
        <v>38529.923676725477</v>
      </c>
      <c r="W4887" s="10">
        <v>1.0281351536242544</v>
      </c>
      <c r="X4887" s="420"/>
      <c r="Y4887" s="420"/>
    </row>
    <row r="4888" spans="17:25">
      <c r="Q4888" s="6">
        <v>4858</v>
      </c>
      <c r="R4888" s="7">
        <v>47525</v>
      </c>
      <c r="S4888" s="210">
        <v>4</v>
      </c>
      <c r="T4888" s="8">
        <v>1.0001111111111112</v>
      </c>
      <c r="U4888" s="98">
        <v>3.9843355492007015</v>
      </c>
      <c r="V4888" s="106">
        <v>38533.02385645594</v>
      </c>
      <c r="W4888" s="10">
        <v>1.0281550585009125</v>
      </c>
      <c r="X4888" s="420"/>
      <c r="Y4888" s="420"/>
    </row>
    <row r="4889" spans="17:25">
      <c r="Q4889" s="6">
        <v>4859</v>
      </c>
      <c r="R4889" s="7">
        <v>47526</v>
      </c>
      <c r="S4889" s="210">
        <v>4</v>
      </c>
      <c r="T4889" s="8">
        <v>1.0001111111111112</v>
      </c>
      <c r="U4889" s="98">
        <v>3.9843672906550109</v>
      </c>
      <c r="V4889" s="106">
        <v>38536.124285631864</v>
      </c>
      <c r="W4889" s="10">
        <v>1.0281749551885211</v>
      </c>
      <c r="X4889" s="420"/>
      <c r="Y4889" s="420"/>
    </row>
    <row r="4890" spans="17:25">
      <c r="Q4890" s="6">
        <v>4860</v>
      </c>
      <c r="R4890" s="7">
        <v>47527</v>
      </c>
      <c r="S4890" s="210">
        <v>4</v>
      </c>
      <c r="T4890" s="8">
        <v>1.0001111111111112</v>
      </c>
      <c r="U4890" s="98">
        <v>3.9843990190566725</v>
      </c>
      <c r="V4890" s="106">
        <v>38539.224964273308</v>
      </c>
      <c r="W4890" s="10">
        <v>1.0281948436920763</v>
      </c>
      <c r="X4890" s="420"/>
      <c r="Y4890" s="420"/>
    </row>
    <row r="4891" spans="17:25">
      <c r="Q4891" s="6">
        <v>4861</v>
      </c>
      <c r="R4891" s="7">
        <v>47528</v>
      </c>
      <c r="S4891" s="210">
        <v>4</v>
      </c>
      <c r="T4891" s="8">
        <v>1.0001111111111112</v>
      </c>
      <c r="U4891" s="98">
        <v>3.9844307344137464</v>
      </c>
      <c r="V4891" s="106">
        <v>38542.32589240036</v>
      </c>
      <c r="W4891" s="10">
        <v>1.028214724016685</v>
      </c>
      <c r="X4891" s="420"/>
      <c r="Y4891" s="420"/>
    </row>
    <row r="4892" spans="17:25">
      <c r="Q4892" s="6">
        <v>4862</v>
      </c>
      <c r="R4892" s="7">
        <v>47529</v>
      </c>
      <c r="S4892" s="210">
        <v>4</v>
      </c>
      <c r="T4892" s="8">
        <v>1.0001111111111112</v>
      </c>
      <c r="U4892" s="98">
        <v>3.9844624367342707</v>
      </c>
      <c r="V4892" s="106">
        <v>38545.427070033074</v>
      </c>
      <c r="W4892" s="10">
        <v>1.0282345961673656</v>
      </c>
      <c r="X4892" s="420"/>
      <c r="Y4892" s="420"/>
    </row>
    <row r="4893" spans="17:25">
      <c r="Q4893" s="6">
        <v>4863</v>
      </c>
      <c r="R4893" s="7">
        <v>47530</v>
      </c>
      <c r="S4893" s="210">
        <v>4</v>
      </c>
      <c r="T4893" s="8">
        <v>1.0001111111111112</v>
      </c>
      <c r="U4893" s="98">
        <v>3.9844941260262834</v>
      </c>
      <c r="V4893" s="106">
        <v>38548.528497191546</v>
      </c>
      <c r="W4893" s="10">
        <v>1.0282544601491361</v>
      </c>
      <c r="X4893" s="420"/>
      <c r="Y4893" s="420"/>
    </row>
    <row r="4894" spans="17:25">
      <c r="Q4894" s="6">
        <v>4864</v>
      </c>
      <c r="R4894" s="7">
        <v>47531</v>
      </c>
      <c r="S4894" s="210">
        <v>4</v>
      </c>
      <c r="T4894" s="8">
        <v>1.0001111111111112</v>
      </c>
      <c r="U4894" s="98">
        <v>3.9845258022978003</v>
      </c>
      <c r="V4894" s="106">
        <v>38551.630173895835</v>
      </c>
      <c r="W4894" s="10">
        <v>1.0282743159670593</v>
      </c>
      <c r="X4894" s="420"/>
      <c r="Y4894" s="420"/>
    </row>
    <row r="4895" spans="17:25">
      <c r="Q4895" s="6">
        <v>4865</v>
      </c>
      <c r="R4895" s="7">
        <v>47532</v>
      </c>
      <c r="S4895" s="210">
        <v>4</v>
      </c>
      <c r="T4895" s="8">
        <v>1.0001111111111112</v>
      </c>
      <c r="U4895" s="98">
        <v>3.9845574655568594</v>
      </c>
      <c r="V4895" s="106">
        <v>38554.732100166031</v>
      </c>
      <c r="W4895" s="10">
        <v>1.0282941636261755</v>
      </c>
      <c r="X4895" s="420"/>
      <c r="Y4895" s="420"/>
    </row>
    <row r="4896" spans="17:25">
      <c r="Q4896" s="6">
        <v>4866</v>
      </c>
      <c r="R4896" s="7">
        <v>47533</v>
      </c>
      <c r="S4896" s="210">
        <v>4</v>
      </c>
      <c r="T4896" s="8">
        <v>1.0001111111111112</v>
      </c>
      <c r="U4896" s="98">
        <v>3.9845891158114766</v>
      </c>
      <c r="V4896" s="106">
        <v>38557.834276022215</v>
      </c>
      <c r="W4896" s="10">
        <v>1.028314003131503</v>
      </c>
      <c r="X4896" s="420"/>
      <c r="Y4896" s="420"/>
    </row>
    <row r="4897" spans="17:25">
      <c r="Q4897" s="6">
        <v>4867</v>
      </c>
      <c r="R4897" s="7">
        <v>47534</v>
      </c>
      <c r="S4897" s="210">
        <v>4</v>
      </c>
      <c r="T4897" s="8">
        <v>1.0001111111111112</v>
      </c>
      <c r="U4897" s="98">
        <v>3.9846207530696676</v>
      </c>
      <c r="V4897" s="106">
        <v>38560.936701484461</v>
      </c>
      <c r="W4897" s="10">
        <v>1.0283338344880599</v>
      </c>
      <c r="X4897" s="420"/>
      <c r="Y4897" s="420"/>
    </row>
    <row r="4898" spans="17:25">
      <c r="Q4898" s="6">
        <v>4868</v>
      </c>
      <c r="R4898" s="7">
        <v>47535</v>
      </c>
      <c r="S4898" s="210">
        <v>4</v>
      </c>
      <c r="T4898" s="8">
        <v>1.0001111111111112</v>
      </c>
      <c r="U4898" s="98">
        <v>3.984652377339426</v>
      </c>
      <c r="V4898" s="106">
        <v>38564.039376572866</v>
      </c>
      <c r="W4898" s="10">
        <v>1.0283536577008645</v>
      </c>
      <c r="X4898" s="420"/>
      <c r="Y4898" s="420"/>
    </row>
    <row r="4899" spans="17:25">
      <c r="Q4899" s="6">
        <v>4869</v>
      </c>
      <c r="R4899" s="7">
        <v>47536</v>
      </c>
      <c r="S4899" s="210">
        <v>4</v>
      </c>
      <c r="T4899" s="8">
        <v>1.0001111111111112</v>
      </c>
      <c r="U4899" s="98">
        <v>3.9846839886287455</v>
      </c>
      <c r="V4899" s="106">
        <v>38567.142301307496</v>
      </c>
      <c r="W4899" s="10">
        <v>1.028373472774935</v>
      </c>
      <c r="X4899" s="420"/>
      <c r="Y4899" s="420"/>
    </row>
    <row r="4900" spans="17:25">
      <c r="Q4900" s="6">
        <v>4870</v>
      </c>
      <c r="R4900" s="7">
        <v>47537</v>
      </c>
      <c r="S4900" s="210">
        <v>4</v>
      </c>
      <c r="T4900" s="8">
        <v>1.0001111111111112</v>
      </c>
      <c r="U4900" s="98">
        <v>3.9847155869456197</v>
      </c>
      <c r="V4900" s="106">
        <v>38570.245475708456</v>
      </c>
      <c r="W4900" s="10">
        <v>1.0283932797152895</v>
      </c>
      <c r="X4900" s="420"/>
      <c r="Y4900" s="420"/>
    </row>
    <row r="4901" spans="17:25">
      <c r="Q4901" s="6">
        <v>4871</v>
      </c>
      <c r="R4901" s="7">
        <v>47538</v>
      </c>
      <c r="S4901" s="210">
        <v>4</v>
      </c>
      <c r="T4901" s="8">
        <v>1.0001111111111112</v>
      </c>
      <c r="U4901" s="98">
        <v>3.9847471722980199</v>
      </c>
      <c r="V4901" s="106">
        <v>38573.348899795827</v>
      </c>
      <c r="W4901" s="10">
        <v>1.0284130785269019</v>
      </c>
      <c r="X4901" s="420"/>
      <c r="Y4901" s="420"/>
    </row>
    <row r="4902" spans="17:25">
      <c r="Q4902" s="6">
        <v>4872</v>
      </c>
      <c r="R4902" s="7">
        <v>47539</v>
      </c>
      <c r="S4902" s="210">
        <v>4</v>
      </c>
      <c r="T4902" s="8">
        <v>1.0001111111111112</v>
      </c>
      <c r="U4902" s="98">
        <v>3.9847787446939398</v>
      </c>
      <c r="V4902" s="106">
        <v>38576.452573589697</v>
      </c>
      <c r="W4902" s="10">
        <v>1.0284328692148126</v>
      </c>
      <c r="X4902" s="420"/>
      <c r="Y4902" s="420"/>
    </row>
    <row r="4903" spans="17:25">
      <c r="Q4903" s="6">
        <v>4873</v>
      </c>
      <c r="R4903" s="7">
        <v>47540</v>
      </c>
      <c r="S4903" s="210">
        <v>4</v>
      </c>
      <c r="T4903" s="8">
        <v>1.0001111111111112</v>
      </c>
      <c r="U4903" s="98">
        <v>3.9848103041413507</v>
      </c>
      <c r="V4903" s="106">
        <v>38579.556497110163</v>
      </c>
      <c r="W4903" s="10">
        <v>1.0284526517840176</v>
      </c>
      <c r="X4903" s="420"/>
      <c r="Y4903" s="420"/>
    </row>
    <row r="4904" spans="17:25">
      <c r="Q4904" s="6">
        <v>4874</v>
      </c>
      <c r="R4904" s="7">
        <v>47541</v>
      </c>
      <c r="S4904" s="210">
        <v>4</v>
      </c>
      <c r="T4904" s="8">
        <v>1.0001111111111112</v>
      </c>
      <c r="U4904" s="98">
        <v>3.984841850648202</v>
      </c>
      <c r="V4904" s="106">
        <v>38582.660670377314</v>
      </c>
      <c r="W4904" s="10">
        <v>1.0284724262394906</v>
      </c>
      <c r="X4904" s="420"/>
      <c r="Y4904" s="420"/>
    </row>
    <row r="4905" spans="17:25">
      <c r="Q4905" s="6">
        <v>4875</v>
      </c>
      <c r="R4905" s="7">
        <v>47542</v>
      </c>
      <c r="S4905" s="210">
        <v>4</v>
      </c>
      <c r="T4905" s="8">
        <v>1.0001111111111112</v>
      </c>
      <c r="U4905" s="98">
        <v>3.9848733842224648</v>
      </c>
      <c r="V4905" s="106">
        <v>38585.765093411246</v>
      </c>
      <c r="W4905" s="10">
        <v>1.0284921925862278</v>
      </c>
      <c r="X4905" s="420"/>
      <c r="Y4905" s="420"/>
    </row>
    <row r="4906" spans="17:25">
      <c r="Q4906" s="6">
        <v>4876</v>
      </c>
      <c r="R4906" s="7">
        <v>47543</v>
      </c>
      <c r="S4906" s="210">
        <v>4</v>
      </c>
      <c r="T4906" s="8">
        <v>1.0001111111111112</v>
      </c>
      <c r="U4906" s="98">
        <v>3.9849049048720886</v>
      </c>
      <c r="V4906" s="106">
        <v>38588.869766232056</v>
      </c>
      <c r="W4906" s="10">
        <v>1.0285119508292473</v>
      </c>
      <c r="X4906" s="420"/>
      <c r="Y4906" s="420"/>
    </row>
    <row r="4907" spans="17:25">
      <c r="Q4907" s="6">
        <v>4877</v>
      </c>
      <c r="R4907" s="7">
        <v>47544</v>
      </c>
      <c r="S4907" s="210">
        <v>4</v>
      </c>
      <c r="T4907" s="8">
        <v>1.0001111111111112</v>
      </c>
      <c r="U4907" s="98">
        <v>3.9849364126050224</v>
      </c>
      <c r="V4907" s="106">
        <v>38591.974688859846</v>
      </c>
      <c r="W4907" s="10">
        <v>1.0285317009735007</v>
      </c>
      <c r="X4907" s="420"/>
      <c r="Y4907" s="420"/>
    </row>
    <row r="4908" spans="17:25">
      <c r="Q4908" s="6">
        <v>4878</v>
      </c>
      <c r="R4908" s="7">
        <v>47545</v>
      </c>
      <c r="S4908" s="210">
        <v>4</v>
      </c>
      <c r="T4908" s="8">
        <v>1.0001111111111112</v>
      </c>
      <c r="U4908" s="98">
        <v>3.9849679074291933</v>
      </c>
      <c r="V4908" s="106">
        <v>38595.07986131472</v>
      </c>
      <c r="W4908" s="10">
        <v>1.0285514430239617</v>
      </c>
      <c r="X4908" s="420"/>
      <c r="Y4908" s="420"/>
    </row>
    <row r="4909" spans="17:25">
      <c r="Q4909" s="6">
        <v>4879</v>
      </c>
      <c r="R4909" s="7">
        <v>47546</v>
      </c>
      <c r="S4909" s="210">
        <v>4</v>
      </c>
      <c r="T4909" s="8">
        <v>1.0001111111111112</v>
      </c>
      <c r="U4909" s="98">
        <v>3.9849993893525504</v>
      </c>
      <c r="V4909" s="106">
        <v>38598.185283616753</v>
      </c>
      <c r="W4909" s="10">
        <v>1.0285711769856265</v>
      </c>
      <c r="X4909" s="420"/>
      <c r="Y4909" s="420"/>
    </row>
    <row r="4910" spans="17:25">
      <c r="Q4910" s="6">
        <v>4880</v>
      </c>
      <c r="R4910" s="7">
        <v>47547</v>
      </c>
      <c r="S4910" s="210">
        <v>4</v>
      </c>
      <c r="T4910" s="8">
        <v>1.0001111111111112</v>
      </c>
      <c r="U4910" s="98">
        <v>3.9850308583829985</v>
      </c>
      <c r="V4910" s="106">
        <v>38601.290955786084</v>
      </c>
      <c r="W4910" s="10">
        <v>1.0285909028634466</v>
      </c>
      <c r="X4910" s="420"/>
      <c r="Y4910" s="420"/>
    </row>
    <row r="4911" spans="17:25">
      <c r="Q4911" s="6">
        <v>4881</v>
      </c>
      <c r="R4911" s="7">
        <v>47548</v>
      </c>
      <c r="S4911" s="210">
        <v>4</v>
      </c>
      <c r="T4911" s="8">
        <v>1.0001111111111112</v>
      </c>
      <c r="U4911" s="98">
        <v>3.9850623145284647</v>
      </c>
      <c r="V4911" s="106">
        <v>38604.396877842795</v>
      </c>
      <c r="W4911" s="10">
        <v>1.0286106206624179</v>
      </c>
      <c r="X4911" s="420"/>
      <c r="Y4911" s="420"/>
    </row>
    <row r="4912" spans="17:25">
      <c r="Q4912" s="6">
        <v>4882</v>
      </c>
      <c r="R4912" s="7">
        <v>47549</v>
      </c>
      <c r="S4912" s="210">
        <v>4</v>
      </c>
      <c r="T4912" s="8">
        <v>1.0001111111111112</v>
      </c>
      <c r="U4912" s="98">
        <v>3.9850937577968537</v>
      </c>
      <c r="V4912" s="106">
        <v>38607.503049806997</v>
      </c>
      <c r="W4912" s="10">
        <v>1.0286303303874478</v>
      </c>
      <c r="X4912" s="420"/>
      <c r="Y4912" s="420"/>
    </row>
    <row r="4913" spans="17:25">
      <c r="Q4913" s="6">
        <v>4883</v>
      </c>
      <c r="R4913" s="7">
        <v>47550</v>
      </c>
      <c r="S4913" s="210">
        <v>4</v>
      </c>
      <c r="T4913" s="8">
        <v>1.0001111111111112</v>
      </c>
      <c r="U4913" s="98">
        <v>3.9851251881960703</v>
      </c>
      <c r="V4913" s="106">
        <v>38610.609471698801</v>
      </c>
      <c r="W4913" s="10">
        <v>1.0286500320435543</v>
      </c>
      <c r="X4913" s="420"/>
      <c r="Y4913" s="420"/>
    </row>
    <row r="4914" spans="17:25">
      <c r="Q4914" s="6">
        <v>4884</v>
      </c>
      <c r="R4914" s="7">
        <v>47551</v>
      </c>
      <c r="S4914" s="210">
        <v>4</v>
      </c>
      <c r="T4914" s="8">
        <v>1.0001111111111112</v>
      </c>
      <c r="U4914" s="98">
        <v>3.9851566057340193</v>
      </c>
      <c r="V4914" s="106">
        <v>38613.71614353831</v>
      </c>
      <c r="W4914" s="10">
        <v>1.0286697256356447</v>
      </c>
      <c r="X4914" s="420"/>
      <c r="Y4914" s="420"/>
    </row>
    <row r="4915" spans="17:25">
      <c r="Q4915" s="6">
        <v>4885</v>
      </c>
      <c r="R4915" s="7">
        <v>47552</v>
      </c>
      <c r="S4915" s="210">
        <v>4</v>
      </c>
      <c r="T4915" s="8">
        <v>1.0001111111111112</v>
      </c>
      <c r="U4915" s="98">
        <v>3.9851880104186055</v>
      </c>
      <c r="V4915" s="106">
        <v>38616.823065345649</v>
      </c>
      <c r="W4915" s="10">
        <v>1.0286894111686928</v>
      </c>
      <c r="X4915" s="420"/>
      <c r="Y4915" s="420"/>
    </row>
    <row r="4916" spans="17:25">
      <c r="Q4916" s="6">
        <v>4886</v>
      </c>
      <c r="R4916" s="7">
        <v>47553</v>
      </c>
      <c r="S4916" s="210">
        <v>4</v>
      </c>
      <c r="T4916" s="8">
        <v>1.0001111111111112</v>
      </c>
      <c r="U4916" s="98">
        <v>3.9852194022576892</v>
      </c>
      <c r="V4916" s="106">
        <v>38619.930237140914</v>
      </c>
      <c r="W4916" s="10">
        <v>1.028709088647628</v>
      </c>
      <c r="X4916" s="420"/>
      <c r="Y4916" s="420"/>
    </row>
    <row r="4917" spans="17:25">
      <c r="Q4917" s="6">
        <v>4887</v>
      </c>
      <c r="R4917" s="7">
        <v>47554</v>
      </c>
      <c r="S4917" s="210">
        <v>4</v>
      </c>
      <c r="T4917" s="8">
        <v>1.0001111111111112</v>
      </c>
      <c r="U4917" s="98">
        <v>3.9852507812591753</v>
      </c>
      <c r="V4917" s="106">
        <v>38623.037658944231</v>
      </c>
      <c r="W4917" s="10">
        <v>1.028728758077424</v>
      </c>
      <c r="X4917" s="420"/>
      <c r="Y4917" s="420"/>
    </row>
    <row r="4918" spans="17:25">
      <c r="Q4918" s="6">
        <v>4888</v>
      </c>
      <c r="R4918" s="7">
        <v>47555</v>
      </c>
      <c r="S4918" s="210">
        <v>4</v>
      </c>
      <c r="T4918" s="8">
        <v>1.0001111111111112</v>
      </c>
      <c r="U4918" s="98">
        <v>3.9852821474309241</v>
      </c>
      <c r="V4918" s="106">
        <v>38626.145330775711</v>
      </c>
      <c r="W4918" s="10">
        <v>1.0287484194629881</v>
      </c>
      <c r="X4918" s="420"/>
      <c r="Y4918" s="420"/>
    </row>
    <row r="4919" spans="17:25">
      <c r="Q4919" s="6">
        <v>4889</v>
      </c>
      <c r="R4919" s="7">
        <v>47556</v>
      </c>
      <c r="S4919" s="210">
        <v>4</v>
      </c>
      <c r="T4919" s="8">
        <v>1.0001111111111112</v>
      </c>
      <c r="U4919" s="98">
        <v>3.985313500780796</v>
      </c>
      <c r="V4919" s="106">
        <v>38629.253252655479</v>
      </c>
      <c r="W4919" s="10">
        <v>1.0287680728092718</v>
      </c>
      <c r="X4919" s="420"/>
      <c r="Y4919" s="420"/>
    </row>
    <row r="4920" spans="17:25">
      <c r="Q4920" s="6">
        <v>4890</v>
      </c>
      <c r="R4920" s="7">
        <v>47557</v>
      </c>
      <c r="S4920" s="210">
        <v>4</v>
      </c>
      <c r="T4920" s="8">
        <v>1.0001111111111112</v>
      </c>
      <c r="U4920" s="98">
        <v>3.9853448413166737</v>
      </c>
      <c r="V4920" s="106">
        <v>38632.361424603638</v>
      </c>
      <c r="W4920" s="10">
        <v>1.0287877181212046</v>
      </c>
      <c r="X4920" s="420"/>
      <c r="Y4920" s="420"/>
    </row>
    <row r="4921" spans="17:25">
      <c r="Q4921" s="6">
        <v>4891</v>
      </c>
      <c r="R4921" s="7">
        <v>47558</v>
      </c>
      <c r="S4921" s="210">
        <v>4</v>
      </c>
      <c r="T4921" s="8">
        <v>1.0001111111111112</v>
      </c>
      <c r="U4921" s="98">
        <v>3.9853761690463951</v>
      </c>
      <c r="V4921" s="106">
        <v>38635.469846640328</v>
      </c>
      <c r="W4921" s="10">
        <v>1.0288073554036936</v>
      </c>
      <c r="X4921" s="420"/>
      <c r="Y4921" s="420"/>
    </row>
    <row r="4922" spans="17:25">
      <c r="Q4922" s="6">
        <v>4892</v>
      </c>
      <c r="R4922" s="7">
        <v>47559</v>
      </c>
      <c r="S4922" s="210">
        <v>4</v>
      </c>
      <c r="T4922" s="8">
        <v>1.0001111111111112</v>
      </c>
      <c r="U4922" s="98">
        <v>3.9854074839777986</v>
      </c>
      <c r="V4922" s="106">
        <v>38638.57851878566</v>
      </c>
      <c r="W4922" s="10">
        <v>1.0288269846616682</v>
      </c>
      <c r="X4922" s="420"/>
      <c r="Y4922" s="420"/>
    </row>
    <row r="4923" spans="17:25">
      <c r="Q4923" s="6">
        <v>4893</v>
      </c>
      <c r="R4923" s="7">
        <v>47560</v>
      </c>
      <c r="S4923" s="210">
        <v>4</v>
      </c>
      <c r="T4923" s="8">
        <v>1.0001111111111112</v>
      </c>
      <c r="U4923" s="98">
        <v>3.9854387861187446</v>
      </c>
      <c r="V4923" s="106">
        <v>38641.687441059752</v>
      </c>
      <c r="W4923" s="10">
        <v>1.0288466059000578</v>
      </c>
      <c r="X4923" s="420"/>
      <c r="Y4923" s="420"/>
    </row>
    <row r="4924" spans="17:25">
      <c r="Q4924" s="6">
        <v>4894</v>
      </c>
      <c r="R4924" s="7">
        <v>47561</v>
      </c>
      <c r="S4924" s="210">
        <v>4</v>
      </c>
      <c r="T4924" s="8">
        <v>1.0001111111111112</v>
      </c>
      <c r="U4924" s="98">
        <v>3.9854700754770489</v>
      </c>
      <c r="V4924" s="106">
        <v>38644.796613482758</v>
      </c>
      <c r="W4924" s="10">
        <v>1.0288662191237696</v>
      </c>
      <c r="X4924" s="420"/>
      <c r="Y4924" s="420"/>
    </row>
    <row r="4925" spans="17:25">
      <c r="Q4925" s="6">
        <v>4895</v>
      </c>
      <c r="R4925" s="7">
        <v>47562</v>
      </c>
      <c r="S4925" s="210">
        <v>4</v>
      </c>
      <c r="T4925" s="8">
        <v>1.0001111111111112</v>
      </c>
      <c r="U4925" s="98">
        <v>3.9855013520605498</v>
      </c>
      <c r="V4925" s="106">
        <v>38647.906036074768</v>
      </c>
      <c r="W4925" s="10">
        <v>1.0288858243376886</v>
      </c>
      <c r="X4925" s="420"/>
      <c r="Y4925" s="420"/>
    </row>
    <row r="4926" spans="17:25">
      <c r="Q4926" s="6">
        <v>4896</v>
      </c>
      <c r="R4926" s="7">
        <v>47563</v>
      </c>
      <c r="S4926" s="210">
        <v>4</v>
      </c>
      <c r="T4926" s="8">
        <v>1.0001111111111112</v>
      </c>
      <c r="U4926" s="98">
        <v>3.9855326158770854</v>
      </c>
      <c r="V4926" s="106">
        <v>38651.015708855935</v>
      </c>
      <c r="W4926" s="10">
        <v>1.0289054215467885</v>
      </c>
      <c r="X4926" s="420"/>
      <c r="Y4926" s="420"/>
    </row>
    <row r="4927" spans="17:25">
      <c r="Q4927" s="6">
        <v>4897</v>
      </c>
      <c r="R4927" s="7">
        <v>47564</v>
      </c>
      <c r="S4927" s="210">
        <v>4</v>
      </c>
      <c r="T4927" s="8">
        <v>1.0001111111111112</v>
      </c>
      <c r="U4927" s="98">
        <v>3.9855638669344495</v>
      </c>
      <c r="V4927" s="106">
        <v>38654.125631846386</v>
      </c>
      <c r="W4927" s="10">
        <v>1.0289250107558878</v>
      </c>
      <c r="X4927" s="420"/>
      <c r="Y4927" s="420"/>
    </row>
    <row r="4928" spans="17:25">
      <c r="Q4928" s="6">
        <v>4898</v>
      </c>
      <c r="R4928" s="7">
        <v>47565</v>
      </c>
      <c r="S4928" s="210">
        <v>4</v>
      </c>
      <c r="T4928" s="8">
        <v>1.0001111111111112</v>
      </c>
      <c r="U4928" s="98">
        <v>3.9855951052404581</v>
      </c>
      <c r="V4928" s="106">
        <v>38657.235805066244</v>
      </c>
      <c r="W4928" s="10">
        <v>1.028944591969938</v>
      </c>
      <c r="X4928" s="420"/>
      <c r="Y4928" s="420"/>
    </row>
    <row r="4929" spans="17:25">
      <c r="Q4929" s="6">
        <v>4899</v>
      </c>
      <c r="R4929" s="7">
        <v>47566</v>
      </c>
      <c r="S4929" s="210">
        <v>4</v>
      </c>
      <c r="T4929" s="8">
        <v>1.0001111111111112</v>
      </c>
      <c r="U4929" s="98">
        <v>3.985626330802905</v>
      </c>
      <c r="V4929" s="106">
        <v>38660.346228535658</v>
      </c>
      <c r="W4929" s="10">
        <v>1.0289641651938242</v>
      </c>
      <c r="X4929" s="420"/>
      <c r="Y4929" s="420"/>
    </row>
    <row r="4930" spans="17:25">
      <c r="Q4930" s="6">
        <v>4900</v>
      </c>
      <c r="R4930" s="7">
        <v>47567</v>
      </c>
      <c r="S4930" s="210">
        <v>4</v>
      </c>
      <c r="T4930" s="8">
        <v>1.0001111111111112</v>
      </c>
      <c r="U4930" s="98">
        <v>3.985657543629606</v>
      </c>
      <c r="V4930" s="106">
        <v>38663.456902274753</v>
      </c>
      <c r="W4930" s="10">
        <v>1.028983730432409</v>
      </c>
      <c r="X4930" s="420"/>
      <c r="Y4930" s="420"/>
    </row>
    <row r="4931" spans="17:25">
      <c r="Q4931" s="6">
        <v>4901</v>
      </c>
      <c r="R4931" s="7">
        <v>47568</v>
      </c>
      <c r="S4931" s="210">
        <v>4</v>
      </c>
      <c r="T4931" s="8">
        <v>1.0001111111111112</v>
      </c>
      <c r="U4931" s="98">
        <v>3.9856887437283328</v>
      </c>
      <c r="V4931" s="106">
        <v>38666.567826303668</v>
      </c>
      <c r="W4931" s="10">
        <v>1.0290032876906219</v>
      </c>
      <c r="X4931" s="420"/>
      <c r="Y4931" s="420"/>
    </row>
    <row r="4932" spans="17:25">
      <c r="Q4932" s="6">
        <v>4902</v>
      </c>
      <c r="R4932" s="7">
        <v>47569</v>
      </c>
      <c r="S4932" s="210">
        <v>4</v>
      </c>
      <c r="T4932" s="8">
        <v>1.0001111111111112</v>
      </c>
      <c r="U4932" s="98">
        <v>3.9857199311068792</v>
      </c>
      <c r="V4932" s="106">
        <v>38669.679000642544</v>
      </c>
      <c r="W4932" s="10">
        <v>1.0290228369733034</v>
      </c>
      <c r="X4932" s="420"/>
      <c r="Y4932" s="420"/>
    </row>
    <row r="4933" spans="17:25">
      <c r="Q4933" s="6">
        <v>4903</v>
      </c>
      <c r="R4933" s="7">
        <v>47570</v>
      </c>
      <c r="S4933" s="210">
        <v>4</v>
      </c>
      <c r="T4933" s="8">
        <v>1.0001111111111112</v>
      </c>
      <c r="U4933" s="98">
        <v>3.9857511057730166</v>
      </c>
      <c r="V4933" s="106">
        <v>38672.790425311512</v>
      </c>
      <c r="W4933" s="10">
        <v>1.0290423782853386</v>
      </c>
      <c r="X4933" s="420"/>
      <c r="Y4933" s="420"/>
    </row>
    <row r="4934" spans="17:25">
      <c r="Q4934" s="6">
        <v>4904</v>
      </c>
      <c r="R4934" s="7">
        <v>47571</v>
      </c>
      <c r="S4934" s="210">
        <v>4</v>
      </c>
      <c r="T4934" s="8">
        <v>1.0001111111111112</v>
      </c>
      <c r="U4934" s="98">
        <v>3.9857822677345167</v>
      </c>
      <c r="V4934" s="106">
        <v>38675.902100330728</v>
      </c>
      <c r="W4934" s="10">
        <v>1.0290619116316346</v>
      </c>
      <c r="X4934" s="420"/>
      <c r="Y4934" s="420"/>
    </row>
    <row r="4935" spans="17:25">
      <c r="Q4935" s="6">
        <v>4905</v>
      </c>
      <c r="R4935" s="7">
        <v>47572</v>
      </c>
      <c r="S4935" s="210">
        <v>4</v>
      </c>
      <c r="T4935" s="8">
        <v>1.0001111111111112</v>
      </c>
      <c r="U4935" s="98">
        <v>3.985813416999151</v>
      </c>
      <c r="V4935" s="106">
        <v>38679.014025720324</v>
      </c>
      <c r="W4935" s="10">
        <v>1.029081437017032</v>
      </c>
      <c r="X4935" s="420"/>
      <c r="Y4935" s="420"/>
    </row>
    <row r="4936" spans="17:25">
      <c r="Q4936" s="6">
        <v>4906</v>
      </c>
      <c r="R4936" s="7">
        <v>47573</v>
      </c>
      <c r="S4936" s="210">
        <v>4</v>
      </c>
      <c r="T4936" s="8">
        <v>1.0001111111111112</v>
      </c>
      <c r="U4936" s="98">
        <v>3.9858445535746911</v>
      </c>
      <c r="V4936" s="106">
        <v>38682.126201500454</v>
      </c>
      <c r="W4936" s="10">
        <v>1.0291009544463936</v>
      </c>
      <c r="X4936" s="420"/>
      <c r="Y4936" s="420"/>
    </row>
    <row r="4937" spans="17:25">
      <c r="Q4937" s="6">
        <v>4907</v>
      </c>
      <c r="R4937" s="7">
        <v>47574</v>
      </c>
      <c r="S4937" s="210">
        <v>4</v>
      </c>
      <c r="T4937" s="8">
        <v>1.0001111111111112</v>
      </c>
      <c r="U4937" s="98">
        <v>3.9858756774688642</v>
      </c>
      <c r="V4937" s="106">
        <v>38685.238627691266</v>
      </c>
      <c r="W4937" s="10">
        <v>1.0291204639246043</v>
      </c>
      <c r="X4937" s="420"/>
      <c r="Y4937" s="420"/>
    </row>
    <row r="4938" spans="17:25">
      <c r="Q4938" s="6">
        <v>4908</v>
      </c>
      <c r="R4938" s="7">
        <v>47575</v>
      </c>
      <c r="S4938" s="210">
        <v>4</v>
      </c>
      <c r="T4938" s="8">
        <v>1.0001111111111112</v>
      </c>
      <c r="U4938" s="98">
        <v>3.9859067886894195</v>
      </c>
      <c r="V4938" s="106">
        <v>38688.351304312891</v>
      </c>
      <c r="W4938" s="10">
        <v>1.0291399654565048</v>
      </c>
      <c r="X4938" s="420"/>
      <c r="Y4938" s="420"/>
    </row>
    <row r="4939" spans="17:25">
      <c r="Q4939" s="6">
        <v>4909</v>
      </c>
      <c r="R4939" s="7">
        <v>47576</v>
      </c>
      <c r="S4939" s="210">
        <v>4</v>
      </c>
      <c r="T4939" s="8">
        <v>1.0001111111111112</v>
      </c>
      <c r="U4939" s="98">
        <v>3.9859378872441065</v>
      </c>
      <c r="V4939" s="106">
        <v>38691.4642313855</v>
      </c>
      <c r="W4939" s="10">
        <v>1.0291594590469577</v>
      </c>
      <c r="X4939" s="420"/>
      <c r="Y4939" s="420"/>
    </row>
    <row r="4940" spans="17:25">
      <c r="Q4940" s="6">
        <v>4910</v>
      </c>
      <c r="R4940" s="7">
        <v>47577</v>
      </c>
      <c r="S4940" s="210">
        <v>4</v>
      </c>
      <c r="T4940" s="8">
        <v>1.0001111111111112</v>
      </c>
      <c r="U4940" s="98">
        <v>3.9859689731406522</v>
      </c>
      <c r="V4940" s="106">
        <v>38694.577408929232</v>
      </c>
      <c r="W4940" s="10">
        <v>1.0291789447008037</v>
      </c>
      <c r="X4940" s="420"/>
      <c r="Y4940" s="420"/>
    </row>
    <row r="4941" spans="17:25">
      <c r="Q4941" s="6">
        <v>4911</v>
      </c>
      <c r="R4941" s="7">
        <v>47578</v>
      </c>
      <c r="S4941" s="210">
        <v>4</v>
      </c>
      <c r="T4941" s="8">
        <v>1.0001111111111112</v>
      </c>
      <c r="U4941" s="98">
        <v>3.986000046386784</v>
      </c>
      <c r="V4941" s="106">
        <v>38697.690836964248</v>
      </c>
      <c r="W4941" s="10">
        <v>1.0291984224228834</v>
      </c>
      <c r="X4941" s="420"/>
      <c r="Y4941" s="420"/>
    </row>
    <row r="4942" spans="17:25">
      <c r="Q4942" s="6">
        <v>4912</v>
      </c>
      <c r="R4942" s="7">
        <v>47579</v>
      </c>
      <c r="S4942" s="210">
        <v>4</v>
      </c>
      <c r="T4942" s="8">
        <v>1.0001111111111112</v>
      </c>
      <c r="U4942" s="98">
        <v>3.9860311069902288</v>
      </c>
      <c r="V4942" s="106">
        <v>38700.804515510703</v>
      </c>
      <c r="W4942" s="10">
        <v>1.0292178922180595</v>
      </c>
      <c r="X4942" s="420"/>
      <c r="Y4942" s="420"/>
    </row>
    <row r="4943" spans="17:25">
      <c r="Q4943" s="6">
        <v>4913</v>
      </c>
      <c r="R4943" s="7">
        <v>47580</v>
      </c>
      <c r="S4943" s="210">
        <v>4</v>
      </c>
      <c r="T4943" s="8">
        <v>1.0001111111111112</v>
      </c>
      <c r="U4943" s="98">
        <v>3.9860621549586917</v>
      </c>
      <c r="V4943" s="106">
        <v>38703.918444588737</v>
      </c>
      <c r="W4943" s="10">
        <v>1.0292373540911726</v>
      </c>
      <c r="X4943" s="420"/>
      <c r="Y4943" s="420"/>
    </row>
    <row r="4944" spans="17:25">
      <c r="Q4944" s="6">
        <v>4914</v>
      </c>
      <c r="R4944" s="7">
        <v>47581</v>
      </c>
      <c r="S4944" s="210">
        <v>4</v>
      </c>
      <c r="T4944" s="8">
        <v>1.0001111111111112</v>
      </c>
      <c r="U4944" s="98">
        <v>3.9860931902998775</v>
      </c>
      <c r="V4944" s="106">
        <v>38707.032624218533</v>
      </c>
      <c r="W4944" s="10">
        <v>1.0292568080470188</v>
      </c>
      <c r="X4944" s="420"/>
      <c r="Y4944" s="420"/>
    </row>
    <row r="4945" spans="17:25">
      <c r="Q4945" s="6">
        <v>4915</v>
      </c>
      <c r="R4945" s="7">
        <v>47582</v>
      </c>
      <c r="S4945" s="210">
        <v>4</v>
      </c>
      <c r="T4945" s="8">
        <v>1.0001111111111112</v>
      </c>
      <c r="U4945" s="98">
        <v>3.9861242130214913</v>
      </c>
      <c r="V4945" s="106">
        <v>38710.147054420238</v>
      </c>
      <c r="W4945" s="10">
        <v>1.0292762540904388</v>
      </c>
      <c r="X4945" s="420"/>
      <c r="Y4945" s="420"/>
    </row>
    <row r="4946" spans="17:25">
      <c r="Q4946" s="6">
        <v>4916</v>
      </c>
      <c r="R4946" s="7">
        <v>47583</v>
      </c>
      <c r="S4946" s="210">
        <v>4</v>
      </c>
      <c r="T4946" s="8">
        <v>1.0001111111111112</v>
      </c>
      <c r="U4946" s="98">
        <v>3.986155223131238</v>
      </c>
      <c r="V4946" s="106">
        <v>38713.261735214008</v>
      </c>
      <c r="W4946" s="10">
        <v>1.0292956922262952</v>
      </c>
      <c r="X4946" s="420"/>
      <c r="Y4946" s="420"/>
    </row>
    <row r="4947" spans="17:25">
      <c r="Q4947" s="6">
        <v>4917</v>
      </c>
      <c r="R4947" s="7">
        <v>47584</v>
      </c>
      <c r="S4947" s="210">
        <v>4</v>
      </c>
      <c r="T4947" s="8">
        <v>1.0001111111111112</v>
      </c>
      <c r="U4947" s="98">
        <v>3.9861862206368004</v>
      </c>
      <c r="V4947" s="106">
        <v>38716.376666620017</v>
      </c>
      <c r="W4947" s="10">
        <v>1.0293151224593844</v>
      </c>
      <c r="X4947" s="420"/>
      <c r="Y4947" s="420"/>
    </row>
    <row r="4948" spans="17:25">
      <c r="Q4948" s="6">
        <v>4918</v>
      </c>
      <c r="R4948" s="7">
        <v>47585</v>
      </c>
      <c r="S4948" s="210">
        <v>4</v>
      </c>
      <c r="T4948" s="8">
        <v>1.0001111111111112</v>
      </c>
      <c r="U4948" s="98">
        <v>3.9862172055458611</v>
      </c>
      <c r="V4948" s="106">
        <v>38719.491848658428</v>
      </c>
      <c r="W4948" s="10">
        <v>1.0293345447945246</v>
      </c>
      <c r="X4948" s="420"/>
      <c r="Y4948" s="420"/>
    </row>
    <row r="4949" spans="17:25">
      <c r="Q4949" s="6">
        <v>4919</v>
      </c>
      <c r="R4949" s="7">
        <v>47586</v>
      </c>
      <c r="S4949" s="210">
        <v>4</v>
      </c>
      <c r="T4949" s="8">
        <v>1.0001111111111112</v>
      </c>
      <c r="U4949" s="98">
        <v>3.9862481778660808</v>
      </c>
      <c r="V4949" s="106">
        <v>38722.607281349403</v>
      </c>
      <c r="W4949" s="10">
        <v>1.029353959236512</v>
      </c>
      <c r="X4949" s="420"/>
      <c r="Y4949" s="420"/>
    </row>
    <row r="4950" spans="17:25">
      <c r="Q4950" s="6">
        <v>4920</v>
      </c>
      <c r="R4950" s="7">
        <v>47587</v>
      </c>
      <c r="S4950" s="210">
        <v>4</v>
      </c>
      <c r="T4950" s="8">
        <v>1.0001111111111112</v>
      </c>
      <c r="U4950" s="98">
        <v>3.9862791376051643</v>
      </c>
      <c r="V4950" s="106">
        <v>38725.722964713103</v>
      </c>
      <c r="W4950" s="10">
        <v>1.0293733657902093</v>
      </c>
      <c r="X4950" s="420"/>
      <c r="Y4950" s="420"/>
    </row>
    <row r="4951" spans="17:25">
      <c r="Q4951" s="6">
        <v>4921</v>
      </c>
      <c r="R4951" s="7">
        <v>47588</v>
      </c>
      <c r="S4951" s="210">
        <v>4</v>
      </c>
      <c r="T4951" s="8">
        <v>1.0001111111111112</v>
      </c>
      <c r="U4951" s="98">
        <v>3.98631008477075</v>
      </c>
      <c r="V4951" s="106">
        <v>38728.838898769711</v>
      </c>
      <c r="W4951" s="10">
        <v>1.0293927644603906</v>
      </c>
      <c r="X4951" s="420"/>
      <c r="Y4951" s="420"/>
    </row>
    <row r="4952" spans="17:25">
      <c r="Q4952" s="6">
        <v>4922</v>
      </c>
      <c r="R4952" s="7">
        <v>47589</v>
      </c>
      <c r="S4952" s="210">
        <v>4</v>
      </c>
      <c r="T4952" s="8">
        <v>1.0001111111111112</v>
      </c>
      <c r="U4952" s="98">
        <v>3.9863410193704985</v>
      </c>
      <c r="V4952" s="106">
        <v>38731.955083539397</v>
      </c>
      <c r="W4952" s="10">
        <v>1.0294121552518298</v>
      </c>
      <c r="X4952" s="420"/>
      <c r="Y4952" s="420"/>
    </row>
    <row r="4953" spans="17:25">
      <c r="Q4953" s="6">
        <v>4923</v>
      </c>
      <c r="R4953" s="7">
        <v>47590</v>
      </c>
      <c r="S4953" s="210">
        <v>4</v>
      </c>
      <c r="T4953" s="8">
        <v>1.0001111111111112</v>
      </c>
      <c r="U4953" s="98">
        <v>3.9863719414120702</v>
      </c>
      <c r="V4953" s="106">
        <v>38735.071519042322</v>
      </c>
      <c r="W4953" s="10">
        <v>1.0294315381693675</v>
      </c>
      <c r="X4953" s="420"/>
      <c r="Y4953" s="420"/>
    </row>
    <row r="4954" spans="17:25">
      <c r="Q4954" s="6">
        <v>4924</v>
      </c>
      <c r="R4954" s="7">
        <v>47591</v>
      </c>
      <c r="S4954" s="210">
        <v>4</v>
      </c>
      <c r="T4954" s="8">
        <v>1.0001111111111112</v>
      </c>
      <c r="U4954" s="98">
        <v>3.9864028509031035</v>
      </c>
      <c r="V4954" s="106">
        <v>38738.188205298669</v>
      </c>
      <c r="W4954" s="10">
        <v>1.0294509132177998</v>
      </c>
      <c r="X4954" s="420"/>
      <c r="Y4954" s="420"/>
    </row>
    <row r="4955" spans="17:25">
      <c r="Q4955" s="6">
        <v>4925</v>
      </c>
      <c r="R4955" s="7">
        <v>47592</v>
      </c>
      <c r="S4955" s="210">
        <v>4</v>
      </c>
      <c r="T4955" s="8">
        <v>1.0001111111111112</v>
      </c>
      <c r="U4955" s="98">
        <v>3.9864337478512368</v>
      </c>
      <c r="V4955" s="106">
        <v>38741.305142328623</v>
      </c>
      <c r="W4955" s="10">
        <v>1.0294702804019007</v>
      </c>
      <c r="X4955" s="420"/>
      <c r="Y4955" s="420"/>
    </row>
    <row r="4956" spans="17:25">
      <c r="Q4956" s="6">
        <v>4926</v>
      </c>
      <c r="R4956" s="7">
        <v>47593</v>
      </c>
      <c r="S4956" s="210">
        <v>4</v>
      </c>
      <c r="T4956" s="8">
        <v>1.0001111111111112</v>
      </c>
      <c r="U4956" s="98">
        <v>3.9864646322641084</v>
      </c>
      <c r="V4956" s="106">
        <v>38744.422330152345</v>
      </c>
      <c r="W4956" s="10">
        <v>1.0294896397264441</v>
      </c>
      <c r="X4956" s="420"/>
      <c r="Y4956" s="420"/>
    </row>
    <row r="4957" spans="17:25">
      <c r="Q4957" s="6">
        <v>4927</v>
      </c>
      <c r="R4957" s="7">
        <v>47594</v>
      </c>
      <c r="S4957" s="210">
        <v>4</v>
      </c>
      <c r="T4957" s="8">
        <v>1.0001111111111112</v>
      </c>
      <c r="U4957" s="98">
        <v>3.9864955041493566</v>
      </c>
      <c r="V4957" s="106">
        <v>38747.539768790019</v>
      </c>
      <c r="W4957" s="10">
        <v>1.0295089911962485</v>
      </c>
      <c r="X4957" s="420"/>
      <c r="Y4957" s="420"/>
    </row>
    <row r="4958" spans="17:25">
      <c r="Q4958" s="6">
        <v>4928</v>
      </c>
      <c r="R4958" s="7">
        <v>47595</v>
      </c>
      <c r="S4958" s="210">
        <v>4</v>
      </c>
      <c r="T4958" s="8">
        <v>1.0001111111111112</v>
      </c>
      <c r="U4958" s="98">
        <v>3.9865263635145753</v>
      </c>
      <c r="V4958" s="106">
        <v>38750.657458261827</v>
      </c>
      <c r="W4958" s="10">
        <v>1.0295283348160655</v>
      </c>
      <c r="X4958" s="420"/>
      <c r="Y4958" s="420"/>
    </row>
    <row r="4959" spans="17:25">
      <c r="Q4959" s="6">
        <v>4929</v>
      </c>
      <c r="R4959" s="7">
        <v>47596</v>
      </c>
      <c r="S4959" s="210">
        <v>4</v>
      </c>
      <c r="T4959" s="8">
        <v>1.0001111111111112</v>
      </c>
      <c r="U4959" s="98">
        <v>3.986557210367403</v>
      </c>
      <c r="V4959" s="106">
        <v>38753.775398587954</v>
      </c>
      <c r="W4959" s="10">
        <v>1.0295476705906914</v>
      </c>
      <c r="X4959" s="420"/>
      <c r="Y4959" s="420"/>
    </row>
    <row r="4960" spans="17:25">
      <c r="Q4960" s="6">
        <v>4930</v>
      </c>
      <c r="R4960" s="7">
        <v>47597</v>
      </c>
      <c r="S4960" s="210">
        <v>4</v>
      </c>
      <c r="T4960" s="8">
        <v>1.0001111111111112</v>
      </c>
      <c r="U4960" s="98">
        <v>3.9865880447154334</v>
      </c>
      <c r="V4960" s="106">
        <v>38756.893589788589</v>
      </c>
      <c r="W4960" s="10">
        <v>1.0295669985248779</v>
      </c>
      <c r="X4960" s="420"/>
      <c r="Y4960" s="420"/>
    </row>
    <row r="4961" spans="17:25">
      <c r="Q4961" s="6">
        <v>4931</v>
      </c>
      <c r="R4961" s="7">
        <v>47598</v>
      </c>
      <c r="S4961" s="210">
        <v>4</v>
      </c>
      <c r="T4961" s="8">
        <v>1.0001111111111112</v>
      </c>
      <c r="U4961" s="98">
        <v>3.9866188665662827</v>
      </c>
      <c r="V4961" s="106">
        <v>38760.012031883904</v>
      </c>
      <c r="W4961" s="10">
        <v>1.0295863186234211</v>
      </c>
      <c r="X4961" s="420"/>
      <c r="Y4961" s="420"/>
    </row>
    <row r="4962" spans="17:25">
      <c r="Q4962" s="6">
        <v>4932</v>
      </c>
      <c r="R4962" s="7">
        <v>47599</v>
      </c>
      <c r="S4962" s="210">
        <v>4</v>
      </c>
      <c r="T4962" s="8">
        <v>1.0001111111111112</v>
      </c>
      <c r="U4962" s="98">
        <v>3.9866496759275449</v>
      </c>
      <c r="V4962" s="106">
        <v>38763.130724894101</v>
      </c>
      <c r="W4962" s="10">
        <v>1.0296056308910728</v>
      </c>
      <c r="X4962" s="420"/>
      <c r="Y4962" s="420"/>
    </row>
    <row r="4963" spans="17:25">
      <c r="Q4963" s="6">
        <v>4933</v>
      </c>
      <c r="R4963" s="7">
        <v>47600</v>
      </c>
      <c r="S4963" s="210">
        <v>4</v>
      </c>
      <c r="T4963" s="8">
        <v>1.0001111111111112</v>
      </c>
      <c r="U4963" s="98">
        <v>3.9866804728067917</v>
      </c>
      <c r="V4963" s="106">
        <v>38766.249668839351</v>
      </c>
      <c r="W4963" s="10">
        <v>1.0296249353325626</v>
      </c>
      <c r="X4963" s="420"/>
      <c r="Y4963" s="420"/>
    </row>
    <row r="4964" spans="17:25">
      <c r="Q4964" s="6">
        <v>4934</v>
      </c>
      <c r="R4964" s="7">
        <v>47601</v>
      </c>
      <c r="S4964" s="210">
        <v>4</v>
      </c>
      <c r="T4964" s="8">
        <v>1.0001111111111112</v>
      </c>
      <c r="U4964" s="98">
        <v>3.986711257211617</v>
      </c>
      <c r="V4964" s="106">
        <v>38769.368863739866</v>
      </c>
      <c r="W4964" s="10">
        <v>1.0296442319526866</v>
      </c>
      <c r="X4964" s="420"/>
      <c r="Y4964" s="420"/>
    </row>
    <row r="4965" spans="17:25">
      <c r="Q4965" s="6">
        <v>4935</v>
      </c>
      <c r="R4965" s="7">
        <v>47602</v>
      </c>
      <c r="S4965" s="210">
        <v>4</v>
      </c>
      <c r="T4965" s="8">
        <v>1.0001111111111112</v>
      </c>
      <c r="U4965" s="98">
        <v>3.9867420291496147</v>
      </c>
      <c r="V4965" s="106">
        <v>38772.488309615823</v>
      </c>
      <c r="W4965" s="10">
        <v>1.0296635207561744</v>
      </c>
      <c r="X4965" s="420"/>
      <c r="Y4965" s="420"/>
    </row>
    <row r="4966" spans="17:25">
      <c r="Q4966" s="6">
        <v>4936</v>
      </c>
      <c r="R4966" s="7">
        <v>47603</v>
      </c>
      <c r="S4966" s="210">
        <v>4</v>
      </c>
      <c r="T4966" s="8">
        <v>1.0001111111111112</v>
      </c>
      <c r="U4966" s="98">
        <v>3.9867727886283344</v>
      </c>
      <c r="V4966" s="106">
        <v>38775.608006487419</v>
      </c>
      <c r="W4966" s="10">
        <v>1.0296828017477777</v>
      </c>
      <c r="X4966" s="420"/>
      <c r="Y4966" s="420"/>
    </row>
    <row r="4967" spans="17:25">
      <c r="Q4967" s="6">
        <v>4937</v>
      </c>
      <c r="R4967" s="7">
        <v>47604</v>
      </c>
      <c r="S4967" s="210">
        <v>4</v>
      </c>
      <c r="T4967" s="8">
        <v>1.0001111111111112</v>
      </c>
      <c r="U4967" s="98">
        <v>3.9868035356553477</v>
      </c>
      <c r="V4967" s="106">
        <v>38778.727954374852</v>
      </c>
      <c r="W4967" s="10">
        <v>1.0297020749322483</v>
      </c>
      <c r="X4967" s="420"/>
      <c r="Y4967" s="420"/>
    </row>
    <row r="4968" spans="17:25">
      <c r="Q4968" s="6">
        <v>4938</v>
      </c>
      <c r="R4968" s="7">
        <v>47605</v>
      </c>
      <c r="S4968" s="210">
        <v>4</v>
      </c>
      <c r="T4968" s="8">
        <v>1.0001111111111112</v>
      </c>
      <c r="U4968" s="98">
        <v>3.9868342702382265</v>
      </c>
      <c r="V4968" s="106">
        <v>38781.848153298321</v>
      </c>
      <c r="W4968" s="10">
        <v>1.0297213403143379</v>
      </c>
      <c r="X4968" s="420"/>
      <c r="Y4968" s="420"/>
    </row>
    <row r="4969" spans="17:25">
      <c r="Q4969" s="6">
        <v>4939</v>
      </c>
      <c r="R4969" s="7">
        <v>47606</v>
      </c>
      <c r="S4969" s="210">
        <v>4</v>
      </c>
      <c r="T4969" s="8">
        <v>1.0001111111111112</v>
      </c>
      <c r="U4969" s="98">
        <v>3.9868649923845201</v>
      </c>
      <c r="V4969" s="106">
        <v>38784.968603278016</v>
      </c>
      <c r="W4969" s="10">
        <v>1.0297405978987761</v>
      </c>
      <c r="X4969" s="420"/>
      <c r="Y4969" s="420"/>
    </row>
    <row r="4970" spans="17:25">
      <c r="Q4970" s="6">
        <v>4940</v>
      </c>
      <c r="R4970" s="7">
        <v>47607</v>
      </c>
      <c r="S4970" s="210">
        <v>4</v>
      </c>
      <c r="T4970" s="8">
        <v>1.0001111111111112</v>
      </c>
      <c r="U4970" s="98">
        <v>3.9868957021017559</v>
      </c>
      <c r="V4970" s="106">
        <v>38788.089304334149</v>
      </c>
      <c r="W4970" s="10">
        <v>1.0297598476902703</v>
      </c>
      <c r="X4970" s="420"/>
      <c r="Y4970" s="420"/>
    </row>
    <row r="4971" spans="17:25">
      <c r="Q4971" s="6">
        <v>4941</v>
      </c>
      <c r="R4971" s="7">
        <v>47608</v>
      </c>
      <c r="S4971" s="210">
        <v>4</v>
      </c>
      <c r="T4971" s="8">
        <v>1.0001111111111112</v>
      </c>
      <c r="U4971" s="98">
        <v>3.9869263993974835</v>
      </c>
      <c r="V4971" s="106">
        <v>38791.21025648692</v>
      </c>
      <c r="W4971" s="10">
        <v>1.0297790896935721</v>
      </c>
      <c r="X4971" s="420"/>
      <c r="Y4971" s="420"/>
    </row>
    <row r="4972" spans="17:25">
      <c r="Q4972" s="6">
        <v>4942</v>
      </c>
      <c r="R4972" s="7">
        <v>47609</v>
      </c>
      <c r="S4972" s="210">
        <v>4</v>
      </c>
      <c r="T4972" s="8">
        <v>1.0001111111111112</v>
      </c>
      <c r="U4972" s="98">
        <v>3.9869570842792523</v>
      </c>
      <c r="V4972" s="106">
        <v>38794.331459756519</v>
      </c>
      <c r="W4972" s="10">
        <v>1.0297983239134112</v>
      </c>
      <c r="X4972" s="420"/>
      <c r="Y4972" s="420"/>
    </row>
    <row r="4973" spans="17:25">
      <c r="Q4973" s="6">
        <v>4943</v>
      </c>
      <c r="R4973" s="7">
        <v>47610</v>
      </c>
      <c r="S4973" s="210">
        <v>4</v>
      </c>
      <c r="T4973" s="8">
        <v>1.0001111111111112</v>
      </c>
      <c r="U4973" s="98">
        <v>3.9869877567545675</v>
      </c>
      <c r="V4973" s="106">
        <v>38797.452914163165</v>
      </c>
      <c r="W4973" s="10">
        <v>1.0298175503544948</v>
      </c>
      <c r="X4973" s="420"/>
      <c r="Y4973" s="420"/>
    </row>
    <row r="4974" spans="17:25">
      <c r="Q4974" s="6">
        <v>4944</v>
      </c>
      <c r="R4974" s="7">
        <v>47611</v>
      </c>
      <c r="S4974" s="210">
        <v>4</v>
      </c>
      <c r="T4974" s="8">
        <v>1.0001111111111112</v>
      </c>
      <c r="U4974" s="98">
        <v>3.9870184168309786</v>
      </c>
      <c r="V4974" s="106">
        <v>38800.574619727064</v>
      </c>
      <c r="W4974" s="10">
        <v>1.0298367690215526</v>
      </c>
      <c r="X4974" s="420"/>
      <c r="Y4974" s="420"/>
    </row>
    <row r="4975" spans="17:25">
      <c r="Q4975" s="6">
        <v>4945</v>
      </c>
      <c r="R4975" s="7">
        <v>47612</v>
      </c>
      <c r="S4975" s="210">
        <v>4</v>
      </c>
      <c r="T4975" s="8">
        <v>1.0001111111111112</v>
      </c>
      <c r="U4975" s="98">
        <v>3.9870490645159906</v>
      </c>
      <c r="V4975" s="106">
        <v>38803.696576468421</v>
      </c>
      <c r="W4975" s="10">
        <v>1.0298559799192919</v>
      </c>
      <c r="X4975" s="420"/>
      <c r="Y4975" s="420"/>
    </row>
    <row r="4976" spans="17:25">
      <c r="Q4976" s="6">
        <v>4946</v>
      </c>
      <c r="R4976" s="7">
        <v>47613</v>
      </c>
      <c r="S4976" s="210">
        <v>4</v>
      </c>
      <c r="T4976" s="8">
        <v>1.0001111111111112</v>
      </c>
      <c r="U4976" s="98">
        <v>3.9870796998171087</v>
      </c>
      <c r="V4976" s="106">
        <v>38806.818784407442</v>
      </c>
      <c r="W4976" s="10">
        <v>1.0298751830524422</v>
      </c>
      <c r="X4976" s="420"/>
      <c r="Y4976" s="420"/>
    </row>
    <row r="4977" spans="17:25">
      <c r="Q4977" s="6">
        <v>4947</v>
      </c>
      <c r="R4977" s="7">
        <v>47614</v>
      </c>
      <c r="S4977" s="210">
        <v>4</v>
      </c>
      <c r="T4977" s="8">
        <v>1.0001111111111112</v>
      </c>
      <c r="U4977" s="98">
        <v>3.9871103227418381</v>
      </c>
      <c r="V4977" s="106">
        <v>38809.941243564353</v>
      </c>
      <c r="W4977" s="10">
        <v>1.0298943784256664</v>
      </c>
      <c r="X4977" s="420"/>
      <c r="Y4977" s="420"/>
    </row>
    <row r="4978" spans="17:25">
      <c r="Q4978" s="6">
        <v>4948</v>
      </c>
      <c r="R4978" s="7">
        <v>47615</v>
      </c>
      <c r="S4978" s="210">
        <v>4</v>
      </c>
      <c r="T4978" s="8">
        <v>1.0001111111111112</v>
      </c>
      <c r="U4978" s="98">
        <v>3.9871409332976837</v>
      </c>
      <c r="V4978" s="106">
        <v>38813.063953959354</v>
      </c>
      <c r="W4978" s="10">
        <v>1.0299135660437164</v>
      </c>
      <c r="X4978" s="420"/>
      <c r="Y4978" s="420"/>
    </row>
    <row r="4979" spans="17:25">
      <c r="Q4979" s="6">
        <v>4949</v>
      </c>
      <c r="R4979" s="7">
        <v>47616</v>
      </c>
      <c r="S4979" s="210">
        <v>4</v>
      </c>
      <c r="T4979" s="8">
        <v>1.0001111111111112</v>
      </c>
      <c r="U4979" s="98">
        <v>3.9871715314921286</v>
      </c>
      <c r="V4979" s="106">
        <v>38816.186915612656</v>
      </c>
      <c r="W4979" s="10">
        <v>1.0299327459112551</v>
      </c>
      <c r="X4979" s="420"/>
      <c r="Y4979" s="420"/>
    </row>
    <row r="4980" spans="17:25">
      <c r="Q4980" s="6">
        <v>4950</v>
      </c>
      <c r="R4980" s="7">
        <v>47617</v>
      </c>
      <c r="S4980" s="210">
        <v>4</v>
      </c>
      <c r="T4980" s="8">
        <v>1.0001111111111112</v>
      </c>
      <c r="U4980" s="98">
        <v>3.9872021173326777</v>
      </c>
      <c r="V4980" s="106">
        <v>38819.310128544494</v>
      </c>
      <c r="W4980" s="10">
        <v>1.0299519180330119</v>
      </c>
      <c r="X4980" s="420"/>
      <c r="Y4980" s="420"/>
    </row>
    <row r="4981" spans="17:25">
      <c r="Q4981" s="6">
        <v>4951</v>
      </c>
      <c r="R4981" s="7">
        <v>47618</v>
      </c>
      <c r="S4981" s="210">
        <v>4</v>
      </c>
      <c r="T4981" s="8">
        <v>1.0001111111111112</v>
      </c>
      <c r="U4981" s="98">
        <v>3.9872326908267919</v>
      </c>
      <c r="V4981" s="106">
        <v>38822.433592775073</v>
      </c>
      <c r="W4981" s="10">
        <v>1.0299710824136499</v>
      </c>
      <c r="X4981" s="420"/>
      <c r="Y4981" s="420"/>
    </row>
    <row r="4982" spans="17:25">
      <c r="Q4982" s="6">
        <v>4952</v>
      </c>
      <c r="R4982" s="7">
        <v>47619</v>
      </c>
      <c r="S4982" s="210">
        <v>4</v>
      </c>
      <c r="T4982" s="8">
        <v>1.0001111111111112</v>
      </c>
      <c r="U4982" s="98">
        <v>3.987263251981954</v>
      </c>
      <c r="V4982" s="106">
        <v>38825.55730832462</v>
      </c>
      <c r="W4982" s="10">
        <v>1.0299902390578541</v>
      </c>
      <c r="X4982" s="420"/>
      <c r="Y4982" s="420"/>
    </row>
    <row r="4983" spans="17:25">
      <c r="Q4983" s="6">
        <v>4953</v>
      </c>
      <c r="R4983" s="7">
        <v>47620</v>
      </c>
      <c r="S4983" s="210">
        <v>4</v>
      </c>
      <c r="T4983" s="8">
        <v>1.0001111111111112</v>
      </c>
      <c r="U4983" s="98">
        <v>3.9872938008056247</v>
      </c>
      <c r="V4983" s="106">
        <v>38828.681275213341</v>
      </c>
      <c r="W4983" s="10">
        <v>1.030009387970332</v>
      </c>
      <c r="X4983" s="420"/>
      <c r="Y4983" s="420"/>
    </row>
    <row r="4984" spans="17:25">
      <c r="Q4984" s="6">
        <v>4954</v>
      </c>
      <c r="R4984" s="7">
        <v>47621</v>
      </c>
      <c r="S4984" s="210">
        <v>4</v>
      </c>
      <c r="T4984" s="8">
        <v>1.0001111111111112</v>
      </c>
      <c r="U4984" s="98">
        <v>3.9873243373052647</v>
      </c>
      <c r="V4984" s="106">
        <v>38831.805493461477</v>
      </c>
      <c r="W4984" s="10">
        <v>1.0300285291557243</v>
      </c>
      <c r="X4984" s="420"/>
      <c r="Y4984" s="420"/>
    </row>
    <row r="4985" spans="17:25">
      <c r="Q4985" s="6">
        <v>4955</v>
      </c>
      <c r="R4985" s="7">
        <v>47622</v>
      </c>
      <c r="S4985" s="210">
        <v>4</v>
      </c>
      <c r="T4985" s="8">
        <v>1.0001111111111112</v>
      </c>
      <c r="U4985" s="98">
        <v>3.9873548614883347</v>
      </c>
      <c r="V4985" s="106">
        <v>38834.929963089249</v>
      </c>
      <c r="W4985" s="10">
        <v>1.0300476626187383</v>
      </c>
      <c r="X4985" s="420"/>
      <c r="Y4985" s="420"/>
    </row>
    <row r="4986" spans="17:25">
      <c r="Q4986" s="6">
        <v>4956</v>
      </c>
      <c r="R4986" s="7">
        <v>47623</v>
      </c>
      <c r="S4986" s="210">
        <v>4</v>
      </c>
      <c r="T4986" s="8">
        <v>1.0001111111111112</v>
      </c>
      <c r="U4986" s="98">
        <v>3.9873853733622955</v>
      </c>
      <c r="V4986" s="106">
        <v>38838.054684116876</v>
      </c>
      <c r="W4986" s="10">
        <v>1.0300667883640591</v>
      </c>
      <c r="X4986" s="420"/>
      <c r="Y4986" s="420"/>
    </row>
    <row r="4987" spans="17:25">
      <c r="Q4987" s="6">
        <v>4957</v>
      </c>
      <c r="R4987" s="7">
        <v>47624</v>
      </c>
      <c r="S4987" s="210">
        <v>4</v>
      </c>
      <c r="T4987" s="8">
        <v>1.0001111111111112</v>
      </c>
      <c r="U4987" s="98">
        <v>3.9874158729345854</v>
      </c>
      <c r="V4987" s="106">
        <v>38841.1796565646</v>
      </c>
      <c r="W4987" s="10">
        <v>1.0300859063963275</v>
      </c>
      <c r="X4987" s="420"/>
      <c r="Y4987" s="420"/>
    </row>
    <row r="4988" spans="17:25">
      <c r="Q4988" s="6">
        <v>4958</v>
      </c>
      <c r="R4988" s="7">
        <v>47625</v>
      </c>
      <c r="S4988" s="210">
        <v>4</v>
      </c>
      <c r="T4988" s="8">
        <v>1.0001111111111112</v>
      </c>
      <c r="U4988" s="98">
        <v>3.9874463602126431</v>
      </c>
      <c r="V4988" s="106">
        <v>38844.304880452633</v>
      </c>
      <c r="W4988" s="10">
        <v>1.0301050167202064</v>
      </c>
      <c r="X4988" s="420"/>
      <c r="Y4988" s="420"/>
    </row>
    <row r="4989" spans="17:25">
      <c r="Q4989" s="6">
        <v>4959</v>
      </c>
      <c r="R4989" s="7">
        <v>47626</v>
      </c>
      <c r="S4989" s="210">
        <v>4</v>
      </c>
      <c r="T4989" s="8">
        <v>1.0001111111111112</v>
      </c>
      <c r="U4989" s="98">
        <v>3.9874768352038847</v>
      </c>
      <c r="V4989" s="106">
        <v>38847.430355801211</v>
      </c>
      <c r="W4989" s="10">
        <v>1.030124119340381</v>
      </c>
      <c r="X4989" s="420"/>
      <c r="Y4989" s="420"/>
    </row>
    <row r="4990" spans="17:25">
      <c r="Q4990" s="6">
        <v>4960</v>
      </c>
      <c r="R4990" s="7">
        <v>47627</v>
      </c>
      <c r="S4990" s="210">
        <v>4</v>
      </c>
      <c r="T4990" s="8">
        <v>1.0001111111111112</v>
      </c>
      <c r="U4990" s="98">
        <v>3.9875072979157489</v>
      </c>
      <c r="V4990" s="106">
        <v>38850.556082630581</v>
      </c>
      <c r="W4990" s="10">
        <v>1.0301432142614919</v>
      </c>
      <c r="X4990" s="420"/>
      <c r="Y4990" s="420"/>
    </row>
    <row r="4991" spans="17:25">
      <c r="Q4991" s="6">
        <v>4961</v>
      </c>
      <c r="R4991" s="7">
        <v>47628</v>
      </c>
      <c r="S4991" s="210">
        <v>4</v>
      </c>
      <c r="T4991" s="8">
        <v>1.0001111111111112</v>
      </c>
      <c r="U4991" s="98">
        <v>3.9875377483556518</v>
      </c>
      <c r="V4991" s="106">
        <v>38853.682060960957</v>
      </c>
      <c r="W4991" s="10">
        <v>1.03016230148818</v>
      </c>
      <c r="X4991" s="420"/>
      <c r="Y4991" s="420"/>
    </row>
    <row r="4992" spans="17:25">
      <c r="Q4992" s="6">
        <v>4962</v>
      </c>
      <c r="R4992" s="7">
        <v>47629</v>
      </c>
      <c r="S4992" s="210">
        <v>4</v>
      </c>
      <c r="T4992" s="8">
        <v>1.0001111111111112</v>
      </c>
      <c r="U4992" s="98">
        <v>3.987568186531032</v>
      </c>
      <c r="V4992" s="106">
        <v>38856.808290812594</v>
      </c>
      <c r="W4992" s="10">
        <v>1.0301813810251526</v>
      </c>
      <c r="X4992" s="420"/>
      <c r="Y4992" s="420"/>
    </row>
    <row r="4993" spans="17:25">
      <c r="Q4993" s="6">
        <v>4963</v>
      </c>
      <c r="R4993" s="7">
        <v>47630</v>
      </c>
      <c r="S4993" s="210">
        <v>4</v>
      </c>
      <c r="T4993" s="8">
        <v>1.0001111111111112</v>
      </c>
      <c r="U4993" s="98">
        <v>3.9875986124492613</v>
      </c>
      <c r="V4993" s="106">
        <v>38859.934772205721</v>
      </c>
      <c r="W4993" s="10">
        <v>1.0302004528769837</v>
      </c>
      <c r="X4993" s="420"/>
      <c r="Y4993" s="420"/>
    </row>
    <row r="4994" spans="17:25">
      <c r="Q4994" s="6">
        <v>4964</v>
      </c>
      <c r="R4994" s="7">
        <v>47631</v>
      </c>
      <c r="S4994" s="210">
        <v>4</v>
      </c>
      <c r="T4994" s="8">
        <v>1.0001111111111112</v>
      </c>
      <c r="U4994" s="98">
        <v>3.987629026117756</v>
      </c>
      <c r="V4994" s="106">
        <v>38863.061505160571</v>
      </c>
      <c r="W4994" s="10">
        <v>1.0302195170483364</v>
      </c>
      <c r="X4994" s="420"/>
      <c r="Y4994" s="420"/>
    </row>
    <row r="4995" spans="17:25">
      <c r="Q4995" s="6">
        <v>4965</v>
      </c>
      <c r="R4995" s="7">
        <v>47632</v>
      </c>
      <c r="S4995" s="210">
        <v>4</v>
      </c>
      <c r="T4995" s="8">
        <v>1.0001111111111112</v>
      </c>
      <c r="U4995" s="98">
        <v>3.9876594275439325</v>
      </c>
      <c r="V4995" s="106">
        <v>38866.188489697393</v>
      </c>
      <c r="W4995" s="10">
        <v>1.0302385735438957</v>
      </c>
      <c r="X4995" s="420"/>
      <c r="Y4995" s="420"/>
    </row>
    <row r="4996" spans="17:25">
      <c r="Q4996" s="6">
        <v>4966</v>
      </c>
      <c r="R4996" s="7">
        <v>47633</v>
      </c>
      <c r="S4996" s="210">
        <v>4</v>
      </c>
      <c r="T4996" s="8">
        <v>1.0001111111111112</v>
      </c>
      <c r="U4996" s="98">
        <v>3.9876898167351627</v>
      </c>
      <c r="V4996" s="106">
        <v>38869.31572583643</v>
      </c>
      <c r="W4996" s="10">
        <v>1.030257622368258</v>
      </c>
      <c r="X4996" s="420"/>
      <c r="Y4996" s="420"/>
    </row>
    <row r="4997" spans="17:25">
      <c r="Q4997" s="6">
        <v>4967</v>
      </c>
      <c r="R4997" s="7">
        <v>47634</v>
      </c>
      <c r="S4997" s="210">
        <v>4</v>
      </c>
      <c r="T4997" s="8">
        <v>1.0001111111111112</v>
      </c>
      <c r="U4997" s="98">
        <v>3.9877201936988182</v>
      </c>
      <c r="V4997" s="106">
        <v>38872.44321359793</v>
      </c>
      <c r="W4997" s="10">
        <v>1.0302766635260197</v>
      </c>
      <c r="X4997" s="420"/>
      <c r="Y4997" s="420"/>
    </row>
    <row r="4998" spans="17:25">
      <c r="Q4998" s="6">
        <v>4968</v>
      </c>
      <c r="R4998" s="7">
        <v>47635</v>
      </c>
      <c r="S4998" s="210">
        <v>4</v>
      </c>
      <c r="T4998" s="8">
        <v>1.0001111111111112</v>
      </c>
      <c r="U4998" s="98">
        <v>3.9877505584422934</v>
      </c>
      <c r="V4998" s="106">
        <v>38875.570953002127</v>
      </c>
      <c r="W4998" s="10">
        <v>1.0302956970218879</v>
      </c>
      <c r="X4998" s="420"/>
      <c r="Y4998" s="420"/>
    </row>
    <row r="4999" spans="17:25">
      <c r="Q4999" s="6">
        <v>4969</v>
      </c>
      <c r="R4999" s="7">
        <v>47636</v>
      </c>
      <c r="S4999" s="210">
        <v>4</v>
      </c>
      <c r="T4999" s="8">
        <v>1.0001111111111112</v>
      </c>
      <c r="U4999" s="98">
        <v>3.9877809109729601</v>
      </c>
      <c r="V4999" s="106">
        <v>38878.698944069278</v>
      </c>
      <c r="W4999" s="10">
        <v>1.0303147228604148</v>
      </c>
      <c r="X4999" s="420"/>
      <c r="Y4999" s="420"/>
    </row>
    <row r="5000" spans="17:25">
      <c r="Q5000" s="6">
        <v>4970</v>
      </c>
      <c r="R5000" s="7">
        <v>47637</v>
      </c>
      <c r="S5000" s="210">
        <v>4</v>
      </c>
      <c r="T5000" s="8">
        <v>1.0001111111111112</v>
      </c>
      <c r="U5000" s="98">
        <v>3.98781125129819</v>
      </c>
      <c r="V5000" s="106">
        <v>38881.827186819624</v>
      </c>
      <c r="W5000" s="10">
        <v>1.0303337410462632</v>
      </c>
      <c r="X5000" s="420"/>
      <c r="Y5000" s="420"/>
    </row>
    <row r="5001" spans="17:25">
      <c r="Q5001" s="6">
        <v>4971</v>
      </c>
      <c r="R5001" s="7">
        <v>47638</v>
      </c>
      <c r="S5001" s="210">
        <v>4</v>
      </c>
      <c r="T5001" s="8">
        <v>1.0001111111111112</v>
      </c>
      <c r="U5001" s="98">
        <v>3.987841579425333</v>
      </c>
      <c r="V5001" s="106">
        <v>38884.95568127343</v>
      </c>
      <c r="W5001" s="10">
        <v>1.0303527515840294</v>
      </c>
      <c r="X5001" s="420"/>
      <c r="Y5001" s="420"/>
    </row>
    <row r="5002" spans="17:25">
      <c r="Q5002" s="6">
        <v>4972</v>
      </c>
      <c r="R5002" s="7">
        <v>47639</v>
      </c>
      <c r="S5002" s="210">
        <v>4</v>
      </c>
      <c r="T5002" s="8">
        <v>1.0001111111111112</v>
      </c>
      <c r="U5002" s="98">
        <v>3.9878718953617387</v>
      </c>
      <c r="V5002" s="106">
        <v>38888.084427450929</v>
      </c>
      <c r="W5002" s="10">
        <v>1.030371754478332</v>
      </c>
      <c r="X5002" s="420"/>
      <c r="Y5002" s="420"/>
    </row>
    <row r="5003" spans="17:25">
      <c r="Q5003" s="6">
        <v>4973</v>
      </c>
      <c r="R5003" s="7">
        <v>47640</v>
      </c>
      <c r="S5003" s="210">
        <v>4</v>
      </c>
      <c r="T5003" s="8">
        <v>1.0001111111111112</v>
      </c>
      <c r="U5003" s="98">
        <v>3.9879021991147789</v>
      </c>
      <c r="V5003" s="106">
        <v>38891.2134253724</v>
      </c>
      <c r="W5003" s="10">
        <v>1.0303907497337894</v>
      </c>
      <c r="X5003" s="420"/>
      <c r="Y5003" s="420"/>
    </row>
    <row r="5004" spans="17:25">
      <c r="Q5004" s="6">
        <v>4974</v>
      </c>
      <c r="R5004" s="7">
        <v>47641</v>
      </c>
      <c r="S5004" s="210">
        <v>4</v>
      </c>
      <c r="T5004" s="8">
        <v>1.0001111111111112</v>
      </c>
      <c r="U5004" s="98">
        <v>3.9879324906917812</v>
      </c>
      <c r="V5004" s="106">
        <v>38894.342675058077</v>
      </c>
      <c r="W5004" s="10">
        <v>1.0304097373549981</v>
      </c>
      <c r="X5004" s="420"/>
      <c r="Y5004" s="420"/>
    </row>
    <row r="5005" spans="17:25">
      <c r="Q5005" s="6">
        <v>4975</v>
      </c>
      <c r="R5005" s="7">
        <v>47642</v>
      </c>
      <c r="S5005" s="210">
        <v>4</v>
      </c>
      <c r="T5005" s="8">
        <v>1.0001111111111112</v>
      </c>
      <c r="U5005" s="98">
        <v>3.9879627701000731</v>
      </c>
      <c r="V5005" s="106">
        <v>38897.472176528223</v>
      </c>
      <c r="W5005" s="10">
        <v>1.0304287173465543</v>
      </c>
      <c r="X5005" s="420"/>
      <c r="Y5005" s="420"/>
    </row>
    <row r="5006" spans="17:25">
      <c r="Q5006" s="6">
        <v>4976</v>
      </c>
      <c r="R5006" s="7">
        <v>47643</v>
      </c>
      <c r="S5006" s="210">
        <v>4</v>
      </c>
      <c r="T5006" s="8">
        <v>1.0001111111111112</v>
      </c>
      <c r="U5006" s="98">
        <v>3.9879930373470041</v>
      </c>
      <c r="V5006" s="106">
        <v>38900.601929803102</v>
      </c>
      <c r="W5006" s="10">
        <v>1.0304476897130543</v>
      </c>
      <c r="X5006" s="420"/>
      <c r="Y5006" s="420"/>
    </row>
    <row r="5007" spans="17:25">
      <c r="Q5007" s="6">
        <v>4977</v>
      </c>
      <c r="R5007" s="7">
        <v>47644</v>
      </c>
      <c r="S5007" s="210">
        <v>4</v>
      </c>
      <c r="T5007" s="8">
        <v>1.0001111111111112</v>
      </c>
      <c r="U5007" s="98">
        <v>3.9880232924398795</v>
      </c>
      <c r="V5007" s="106">
        <v>38903.731934902971</v>
      </c>
      <c r="W5007" s="10">
        <v>1.0304666544590946</v>
      </c>
      <c r="X5007" s="420"/>
      <c r="Y5007" s="420"/>
    </row>
    <row r="5008" spans="17:25">
      <c r="Q5008" s="6">
        <v>4978</v>
      </c>
      <c r="R5008" s="7">
        <v>47645</v>
      </c>
      <c r="S5008" s="210">
        <v>4</v>
      </c>
      <c r="T5008" s="8">
        <v>1.0001111111111112</v>
      </c>
      <c r="U5008" s="98">
        <v>3.9880535353860269</v>
      </c>
      <c r="V5008" s="106">
        <v>38906.862191848093</v>
      </c>
      <c r="W5008" s="10">
        <v>1.0304856115892713</v>
      </c>
      <c r="X5008" s="420"/>
      <c r="Y5008" s="420"/>
    </row>
    <row r="5009" spans="17:25">
      <c r="Q5009" s="6">
        <v>4979</v>
      </c>
      <c r="R5009" s="7">
        <v>47646</v>
      </c>
      <c r="S5009" s="210">
        <v>4</v>
      </c>
      <c r="T5009" s="8">
        <v>1.0001111111111112</v>
      </c>
      <c r="U5009" s="98">
        <v>3.9880837661927737</v>
      </c>
      <c r="V5009" s="106">
        <v>38909.992700658724</v>
      </c>
      <c r="W5009" s="10">
        <v>1.0305045611081587</v>
      </c>
      <c r="X5009" s="420"/>
      <c r="Y5009" s="420"/>
    </row>
    <row r="5010" spans="17:25">
      <c r="Q5010" s="6">
        <v>4980</v>
      </c>
      <c r="R5010" s="7">
        <v>47647</v>
      </c>
      <c r="S5010" s="210">
        <v>4</v>
      </c>
      <c r="T5010" s="8">
        <v>1.0001111111111112</v>
      </c>
      <c r="U5010" s="98">
        <v>3.9881139848674252</v>
      </c>
      <c r="V5010" s="106">
        <v>38913.123461355142</v>
      </c>
      <c r="W5010" s="10">
        <v>1.0305235030203752</v>
      </c>
      <c r="X5010" s="420"/>
      <c r="Y5010" s="420"/>
    </row>
    <row r="5011" spans="17:25">
      <c r="Q5011" s="6">
        <v>4981</v>
      </c>
      <c r="R5011" s="7">
        <v>47648</v>
      </c>
      <c r="S5011" s="210">
        <v>4</v>
      </c>
      <c r="T5011" s="8">
        <v>1.0001111111111112</v>
      </c>
      <c r="U5011" s="98">
        <v>3.9881441914172644</v>
      </c>
      <c r="V5011" s="106">
        <v>38916.254473957619</v>
      </c>
      <c r="W5011" s="10">
        <v>1.0305424373304506</v>
      </c>
      <c r="X5011" s="420"/>
      <c r="Y5011" s="420"/>
    </row>
    <row r="5012" spans="17:25">
      <c r="Q5012" s="6">
        <v>4982</v>
      </c>
      <c r="R5012" s="7">
        <v>47649</v>
      </c>
      <c r="S5012" s="210">
        <v>4</v>
      </c>
      <c r="T5012" s="8">
        <v>1.0001111111111112</v>
      </c>
      <c r="U5012" s="98">
        <v>3.9881743858495966</v>
      </c>
      <c r="V5012" s="106">
        <v>38919.385738486402</v>
      </c>
      <c r="W5012" s="10">
        <v>1.0305613640430034</v>
      </c>
      <c r="X5012" s="420"/>
      <c r="Y5012" s="420"/>
    </row>
    <row r="5013" spans="17:25">
      <c r="Q5013" s="6">
        <v>4983</v>
      </c>
      <c r="R5013" s="7">
        <v>47650</v>
      </c>
      <c r="S5013" s="210">
        <v>4</v>
      </c>
      <c r="T5013" s="8">
        <v>1.0001111111111112</v>
      </c>
      <c r="U5013" s="98">
        <v>3.9882045681717271</v>
      </c>
      <c r="V5013" s="106">
        <v>38922.517254961778</v>
      </c>
      <c r="W5013" s="10">
        <v>1.0305802831625854</v>
      </c>
      <c r="X5013" s="420"/>
      <c r="Y5013" s="420"/>
    </row>
    <row r="5014" spans="17:25">
      <c r="Q5014" s="6">
        <v>4984</v>
      </c>
      <c r="R5014" s="7">
        <v>47651</v>
      </c>
      <c r="S5014" s="210">
        <v>4</v>
      </c>
      <c r="T5014" s="8">
        <v>1.0001111111111112</v>
      </c>
      <c r="U5014" s="98">
        <v>3.9882347383909167</v>
      </c>
      <c r="V5014" s="106">
        <v>38925.64902340401</v>
      </c>
      <c r="W5014" s="10">
        <v>1.0305991946937487</v>
      </c>
      <c r="X5014" s="420"/>
      <c r="Y5014" s="420"/>
    </row>
    <row r="5015" spans="17:25">
      <c r="Q5015" s="6">
        <v>4985</v>
      </c>
      <c r="R5015" s="7">
        <v>47652</v>
      </c>
      <c r="S5015" s="210">
        <v>4</v>
      </c>
      <c r="T5015" s="8">
        <v>1.0001111111111112</v>
      </c>
      <c r="U5015" s="98">
        <v>3.9882648965144485</v>
      </c>
      <c r="V5015" s="106">
        <v>38928.781043833384</v>
      </c>
      <c r="W5015" s="10">
        <v>1.0306180986410896</v>
      </c>
      <c r="X5015" s="420"/>
      <c r="Y5015" s="420"/>
    </row>
    <row r="5016" spans="17:25">
      <c r="Q5016" s="6">
        <v>4986</v>
      </c>
      <c r="R5016" s="7">
        <v>47653</v>
      </c>
      <c r="S5016" s="210">
        <v>4</v>
      </c>
      <c r="T5016" s="8">
        <v>1.0001111111111112</v>
      </c>
      <c r="U5016" s="98">
        <v>3.9882950425496055</v>
      </c>
      <c r="V5016" s="106">
        <v>38931.913316270169</v>
      </c>
      <c r="W5016" s="10">
        <v>1.0306369950091376</v>
      </c>
      <c r="X5016" s="420"/>
      <c r="Y5016" s="420"/>
    </row>
    <row r="5017" spans="17:25">
      <c r="Q5017" s="6">
        <v>4987</v>
      </c>
      <c r="R5017" s="7">
        <v>47654</v>
      </c>
      <c r="S5017" s="210">
        <v>4</v>
      </c>
      <c r="T5017" s="8">
        <v>1.0001111111111112</v>
      </c>
      <c r="U5017" s="98">
        <v>3.9883251765036487</v>
      </c>
      <c r="V5017" s="106">
        <v>38935.04584073463</v>
      </c>
      <c r="W5017" s="10">
        <v>1.0306558838024893</v>
      </c>
      <c r="X5017" s="420"/>
      <c r="Y5017" s="420"/>
    </row>
    <row r="5018" spans="17:25">
      <c r="Q5018" s="6">
        <v>4988</v>
      </c>
      <c r="R5018" s="7">
        <v>47655</v>
      </c>
      <c r="S5018" s="210">
        <v>4</v>
      </c>
      <c r="T5018" s="8">
        <v>1.0001111111111112</v>
      </c>
      <c r="U5018" s="98">
        <v>3.9883552983838388</v>
      </c>
      <c r="V5018" s="106">
        <v>38938.17861724706</v>
      </c>
      <c r="W5018" s="10">
        <v>1.030674765025652</v>
      </c>
      <c r="X5018" s="420"/>
      <c r="Y5018" s="420"/>
    </row>
    <row r="5019" spans="17:25">
      <c r="Q5019" s="6">
        <v>4989</v>
      </c>
      <c r="R5019" s="7">
        <v>47656</v>
      </c>
      <c r="S5019" s="210">
        <v>4</v>
      </c>
      <c r="T5019" s="8">
        <v>1.0001111111111112</v>
      </c>
      <c r="U5019" s="98">
        <v>3.9883854081974368</v>
      </c>
      <c r="V5019" s="106">
        <v>38941.311645827736</v>
      </c>
      <c r="W5019" s="10">
        <v>1.0306936386832222</v>
      </c>
      <c r="X5019" s="420"/>
      <c r="Y5019" s="420"/>
    </row>
    <row r="5020" spans="17:25">
      <c r="Q5020" s="6">
        <v>4990</v>
      </c>
      <c r="R5020" s="7">
        <v>47657</v>
      </c>
      <c r="S5020" s="210">
        <v>4</v>
      </c>
      <c r="T5020" s="8">
        <v>1.0001111111111112</v>
      </c>
      <c r="U5020" s="98">
        <v>3.9884155059516813</v>
      </c>
      <c r="V5020" s="106">
        <v>38944.444926496937</v>
      </c>
      <c r="W5020" s="10">
        <v>1.0307125047797294</v>
      </c>
      <c r="X5020" s="420"/>
      <c r="Y5020" s="420"/>
    </row>
    <row r="5021" spans="17:25">
      <c r="Q5021" s="6">
        <v>4991</v>
      </c>
      <c r="R5021" s="7">
        <v>47658</v>
      </c>
      <c r="S5021" s="210">
        <v>4</v>
      </c>
      <c r="T5021" s="8">
        <v>1.0001111111111112</v>
      </c>
      <c r="U5021" s="98">
        <v>3.9884455916538331</v>
      </c>
      <c r="V5021" s="106">
        <v>38947.578459274955</v>
      </c>
      <c r="W5021" s="10">
        <v>1.0307313633197035</v>
      </c>
      <c r="X5021" s="420"/>
      <c r="Y5021" s="420"/>
    </row>
    <row r="5022" spans="17:25">
      <c r="Q5022" s="6">
        <v>4992</v>
      </c>
      <c r="R5022" s="7">
        <v>47659</v>
      </c>
      <c r="S5022" s="210">
        <v>4</v>
      </c>
      <c r="T5022" s="8">
        <v>1.0001111111111112</v>
      </c>
      <c r="U5022" s="98">
        <v>3.9884756653111086</v>
      </c>
      <c r="V5022" s="106">
        <v>38950.712244182061</v>
      </c>
      <c r="W5022" s="10">
        <v>1.0307502143076741</v>
      </c>
      <c r="X5022" s="420"/>
      <c r="Y5022" s="420"/>
    </row>
    <row r="5023" spans="17:25">
      <c r="Q5023" s="6">
        <v>4993</v>
      </c>
      <c r="R5023" s="7">
        <v>47660</v>
      </c>
      <c r="S5023" s="210">
        <v>4</v>
      </c>
      <c r="T5023" s="8">
        <v>1.0001111111111112</v>
      </c>
      <c r="U5023" s="98">
        <v>3.9885057269307467</v>
      </c>
      <c r="V5023" s="106">
        <v>38953.846281238555</v>
      </c>
      <c r="W5023" s="10">
        <v>1.0307690577482154</v>
      </c>
      <c r="X5023" s="420"/>
      <c r="Y5023" s="420"/>
    </row>
    <row r="5024" spans="17:25">
      <c r="Q5024" s="6">
        <v>4994</v>
      </c>
      <c r="R5024" s="7">
        <v>47661</v>
      </c>
      <c r="S5024" s="210">
        <v>4</v>
      </c>
      <c r="T5024" s="8">
        <v>1.0001111111111112</v>
      </c>
      <c r="U5024" s="98">
        <v>3.9885357765199636</v>
      </c>
      <c r="V5024" s="106">
        <v>38956.980570464715</v>
      </c>
      <c r="W5024" s="10">
        <v>1.0307878936458126</v>
      </c>
      <c r="X5024" s="420"/>
      <c r="Y5024" s="420"/>
    </row>
    <row r="5025" spans="17:25">
      <c r="Q5025" s="6">
        <v>4995</v>
      </c>
      <c r="R5025" s="7">
        <v>47662</v>
      </c>
      <c r="S5025" s="210">
        <v>4</v>
      </c>
      <c r="T5025" s="8">
        <v>1.0001111111111112</v>
      </c>
      <c r="U5025" s="98">
        <v>3.9885658140859981</v>
      </c>
      <c r="V5025" s="106">
        <v>38960.115111880834</v>
      </c>
      <c r="W5025" s="10">
        <v>1.0308067220050399</v>
      </c>
      <c r="X5025" s="420"/>
      <c r="Y5025" s="420"/>
    </row>
    <row r="5026" spans="17:25">
      <c r="Q5026" s="6">
        <v>4996</v>
      </c>
      <c r="R5026" s="7">
        <v>47663</v>
      </c>
      <c r="S5026" s="210">
        <v>4</v>
      </c>
      <c r="T5026" s="8">
        <v>1.0001111111111112</v>
      </c>
      <c r="U5026" s="98">
        <v>3.9885958396360666</v>
      </c>
      <c r="V5026" s="106">
        <v>38963.249905507211</v>
      </c>
      <c r="W5026" s="10">
        <v>1.0308255428303825</v>
      </c>
      <c r="X5026" s="420"/>
      <c r="Y5026" s="420"/>
    </row>
    <row r="5027" spans="17:25">
      <c r="Q5027" s="6">
        <v>4997</v>
      </c>
      <c r="R5027" s="7">
        <v>47664</v>
      </c>
      <c r="S5027" s="210">
        <v>4</v>
      </c>
      <c r="T5027" s="8">
        <v>1.0001111111111112</v>
      </c>
      <c r="U5027" s="98">
        <v>3.9886258531773633</v>
      </c>
      <c r="V5027" s="106">
        <v>38966.384951364125</v>
      </c>
      <c r="W5027" s="10">
        <v>1.0308443561263925</v>
      </c>
      <c r="X5027" s="420"/>
      <c r="Y5027" s="420"/>
    </row>
    <row r="5028" spans="17:25">
      <c r="Q5028" s="6">
        <v>4998</v>
      </c>
      <c r="R5028" s="7">
        <v>47665</v>
      </c>
      <c r="S5028" s="210">
        <v>4</v>
      </c>
      <c r="T5028" s="8">
        <v>1.0001111111111112</v>
      </c>
      <c r="U5028" s="98">
        <v>3.9886558547171047</v>
      </c>
      <c r="V5028" s="106">
        <v>38969.520249471883</v>
      </c>
      <c r="W5028" s="10">
        <v>1.0308631618975772</v>
      </c>
      <c r="X5028" s="420"/>
      <c r="Y5028" s="420"/>
    </row>
    <row r="5029" spans="17:25">
      <c r="Q5029" s="6">
        <v>4999</v>
      </c>
      <c r="R5029" s="7">
        <v>47666</v>
      </c>
      <c r="S5029" s="210">
        <v>4</v>
      </c>
      <c r="T5029" s="8">
        <v>1.0001111111111112</v>
      </c>
      <c r="U5029" s="98">
        <v>3.9886858442624629</v>
      </c>
      <c r="V5029" s="106">
        <v>38972.655799850785</v>
      </c>
      <c r="W5029" s="10">
        <v>1.0308819601484442</v>
      </c>
      <c r="X5029" s="420"/>
      <c r="Y5029" s="420"/>
    </row>
    <row r="5030" spans="17:25">
      <c r="Q5030" s="6">
        <v>5000</v>
      </c>
      <c r="R5030" s="7">
        <v>47667</v>
      </c>
      <c r="S5030" s="210">
        <v>4</v>
      </c>
      <c r="T5030" s="8">
        <v>1.0001111111111112</v>
      </c>
      <c r="U5030" s="98">
        <v>3.9887158218206542</v>
      </c>
      <c r="V5030" s="106">
        <v>38975.791602521109</v>
      </c>
      <c r="W5030" s="10">
        <v>1.0309007508834789</v>
      </c>
      <c r="X5030" s="420"/>
      <c r="Y5030" s="420"/>
    </row>
    <row r="5031" spans="17:25">
      <c r="Q5031" s="6">
        <v>5001</v>
      </c>
      <c r="R5031" s="7">
        <v>47668</v>
      </c>
      <c r="S5031" s="210">
        <v>4</v>
      </c>
      <c r="T5031" s="8">
        <v>1.0001111111111112</v>
      </c>
      <c r="U5031" s="98">
        <v>3.9887457873988508</v>
      </c>
      <c r="V5031" s="106">
        <v>38978.927657503176</v>
      </c>
      <c r="W5031" s="10">
        <v>1.030919534107233</v>
      </c>
      <c r="X5031" s="420"/>
      <c r="Y5031" s="420"/>
    </row>
    <row r="5032" spans="17:25">
      <c r="Q5032" s="6">
        <v>5002</v>
      </c>
      <c r="R5032" s="7">
        <v>47669</v>
      </c>
      <c r="S5032" s="210">
        <v>4</v>
      </c>
      <c r="T5032" s="8">
        <v>1.0001111111111112</v>
      </c>
      <c r="U5032" s="98">
        <v>3.9887757410042468</v>
      </c>
      <c r="V5032" s="106">
        <v>38982.06396481728</v>
      </c>
      <c r="W5032" s="10">
        <v>1.0309383098242142</v>
      </c>
      <c r="X5032" s="420"/>
      <c r="Y5032" s="420"/>
    </row>
    <row r="5033" spans="17:25">
      <c r="Q5033" s="6">
        <v>5003</v>
      </c>
      <c r="R5033" s="7">
        <v>47670</v>
      </c>
      <c r="S5033" s="210">
        <v>4</v>
      </c>
      <c r="T5033" s="8">
        <v>1.0001111111111112</v>
      </c>
      <c r="U5033" s="98">
        <v>3.9888056826440144</v>
      </c>
      <c r="V5033" s="106">
        <v>38985.200524483713</v>
      </c>
      <c r="W5033" s="10">
        <v>1.0309570780388855</v>
      </c>
      <c r="X5033" s="420"/>
      <c r="Y5033" s="420"/>
    </row>
    <row r="5034" spans="17:25">
      <c r="Q5034" s="6">
        <v>5004</v>
      </c>
      <c r="R5034" s="7">
        <v>47671</v>
      </c>
      <c r="S5034" s="210">
        <v>4</v>
      </c>
      <c r="T5034" s="8">
        <v>1.0001111111111112</v>
      </c>
      <c r="U5034" s="98">
        <v>3.9888356123253033</v>
      </c>
      <c r="V5034" s="106">
        <v>38988.337336522796</v>
      </c>
      <c r="W5034" s="10">
        <v>1.0309758387557544</v>
      </c>
      <c r="X5034" s="420"/>
      <c r="Y5034" s="420"/>
    </row>
    <row r="5035" spans="17:25">
      <c r="Q5035" s="6">
        <v>5005</v>
      </c>
      <c r="R5035" s="7">
        <v>47672</v>
      </c>
      <c r="S5035" s="210">
        <v>4</v>
      </c>
      <c r="T5035" s="8">
        <v>1.0001111111111112</v>
      </c>
      <c r="U5035" s="98">
        <v>3.9888655300552855</v>
      </c>
      <c r="V5035" s="106">
        <v>38991.474400954838</v>
      </c>
      <c r="W5035" s="10">
        <v>1.0309945919793062</v>
      </c>
      <c r="X5035" s="420"/>
      <c r="Y5035" s="420"/>
    </row>
    <row r="5036" spans="17:25">
      <c r="Q5036" s="6">
        <v>5006</v>
      </c>
      <c r="R5036" s="7">
        <v>47673</v>
      </c>
      <c r="S5036" s="210">
        <v>4</v>
      </c>
      <c r="T5036" s="8">
        <v>1.0001111111111112</v>
      </c>
      <c r="U5036" s="98">
        <v>3.9888954358411333</v>
      </c>
      <c r="V5036" s="106">
        <v>38994.61171780013</v>
      </c>
      <c r="W5036" s="10">
        <v>1.0310133377140485</v>
      </c>
      <c r="X5036" s="420"/>
      <c r="Y5036" s="420"/>
    </row>
    <row r="5037" spans="17:25">
      <c r="Q5037" s="6">
        <v>5007</v>
      </c>
      <c r="R5037" s="7">
        <v>47674</v>
      </c>
      <c r="S5037" s="210">
        <v>4</v>
      </c>
      <c r="T5037" s="8">
        <v>1.0001111111111112</v>
      </c>
      <c r="U5037" s="98">
        <v>3.988925329689974</v>
      </c>
      <c r="V5037" s="106">
        <v>38997.749287078987</v>
      </c>
      <c r="W5037" s="10">
        <v>1.0310320759644442</v>
      </c>
      <c r="X5037" s="420"/>
      <c r="Y5037" s="420"/>
    </row>
    <row r="5038" spans="17:25">
      <c r="Q5038" s="6">
        <v>5008</v>
      </c>
      <c r="R5038" s="7">
        <v>47675</v>
      </c>
      <c r="S5038" s="210">
        <v>4</v>
      </c>
      <c r="T5038" s="8">
        <v>1.0001111111111112</v>
      </c>
      <c r="U5038" s="98">
        <v>3.9889552116089799</v>
      </c>
      <c r="V5038" s="106">
        <v>39000.887108811723</v>
      </c>
      <c r="W5038" s="10">
        <v>1.031050806735001</v>
      </c>
      <c r="X5038" s="420"/>
      <c r="Y5038" s="420"/>
    </row>
    <row r="5039" spans="17:25">
      <c r="Q5039" s="6">
        <v>5009</v>
      </c>
      <c r="R5039" s="7">
        <v>47676</v>
      </c>
      <c r="S5039" s="210">
        <v>4</v>
      </c>
      <c r="T5039" s="8">
        <v>1.0001111111111112</v>
      </c>
      <c r="U5039" s="98">
        <v>3.9889850816052785</v>
      </c>
      <c r="V5039" s="106">
        <v>39004.025183018653</v>
      </c>
      <c r="W5039" s="10">
        <v>1.031069530030182</v>
      </c>
      <c r="X5039" s="420"/>
      <c r="Y5039" s="420"/>
    </row>
    <row r="5040" spans="17:25">
      <c r="Q5040" s="6">
        <v>5010</v>
      </c>
      <c r="R5040" s="7">
        <v>47677</v>
      </c>
      <c r="S5040" s="210">
        <v>4</v>
      </c>
      <c r="T5040" s="8">
        <v>1.0001111111111112</v>
      </c>
      <c r="U5040" s="98">
        <v>3.9890149396859975</v>
      </c>
      <c r="V5040" s="106">
        <v>39007.163509720085</v>
      </c>
      <c r="W5040" s="10">
        <v>1.0310882458544501</v>
      </c>
      <c r="X5040" s="420"/>
      <c r="Y5040" s="420"/>
    </row>
    <row r="5041" spans="17:25">
      <c r="Q5041" s="6">
        <v>5011</v>
      </c>
      <c r="R5041" s="7">
        <v>47678</v>
      </c>
      <c r="S5041" s="210">
        <v>4</v>
      </c>
      <c r="T5041" s="8">
        <v>1.0001111111111112</v>
      </c>
      <c r="U5041" s="98">
        <v>3.9890447858582645</v>
      </c>
      <c r="V5041" s="106">
        <v>39010.302088936347</v>
      </c>
      <c r="W5041" s="10">
        <v>1.0311069542122908</v>
      </c>
      <c r="X5041" s="420"/>
      <c r="Y5041" s="420"/>
    </row>
    <row r="5042" spans="17:25">
      <c r="Q5042" s="6">
        <v>5012</v>
      </c>
      <c r="R5042" s="7">
        <v>47679</v>
      </c>
      <c r="S5042" s="210">
        <v>4</v>
      </c>
      <c r="T5042" s="8">
        <v>1.0001111111111112</v>
      </c>
      <c r="U5042" s="98">
        <v>3.9890746201292071</v>
      </c>
      <c r="V5042" s="106">
        <v>39013.440920687746</v>
      </c>
      <c r="W5042" s="10">
        <v>1.0311256551081893</v>
      </c>
      <c r="X5042" s="420"/>
      <c r="Y5042" s="420"/>
    </row>
    <row r="5043" spans="17:25">
      <c r="Q5043" s="6">
        <v>5013</v>
      </c>
      <c r="R5043" s="7">
        <v>47680</v>
      </c>
      <c r="S5043" s="210">
        <v>4</v>
      </c>
      <c r="T5043" s="8">
        <v>1.0001111111111112</v>
      </c>
      <c r="U5043" s="98">
        <v>3.989104442505953</v>
      </c>
      <c r="V5043" s="106">
        <v>39016.580004994605</v>
      </c>
      <c r="W5043" s="10">
        <v>1.0311443485465643</v>
      </c>
      <c r="X5043" s="420"/>
      <c r="Y5043" s="420"/>
    </row>
    <row r="5044" spans="17:25">
      <c r="Q5044" s="6">
        <v>5014</v>
      </c>
      <c r="R5044" s="7">
        <v>47681</v>
      </c>
      <c r="S5044" s="210">
        <v>4</v>
      </c>
      <c r="T5044" s="8">
        <v>1.0001111111111112</v>
      </c>
      <c r="U5044" s="98">
        <v>3.9891342529955853</v>
      </c>
      <c r="V5044" s="106">
        <v>39019.719341877237</v>
      </c>
      <c r="W5044" s="10">
        <v>1.0311630345319012</v>
      </c>
      <c r="X5044" s="420"/>
      <c r="Y5044" s="420"/>
    </row>
    <row r="5045" spans="17:25">
      <c r="Q5045" s="6">
        <v>5015</v>
      </c>
      <c r="R5045" s="7">
        <v>47682</v>
      </c>
      <c r="S5045" s="210">
        <v>4</v>
      </c>
      <c r="T5045" s="8">
        <v>1.0001111111111112</v>
      </c>
      <c r="U5045" s="98">
        <v>3.9891640516052318</v>
      </c>
      <c r="V5045" s="106">
        <v>39022.858931355986</v>
      </c>
      <c r="W5045" s="10">
        <v>1.0311817130686407</v>
      </c>
      <c r="X5045" s="420"/>
      <c r="Y5045" s="420"/>
    </row>
    <row r="5046" spans="17:25">
      <c r="Q5046" s="6">
        <v>5016</v>
      </c>
      <c r="R5046" s="7">
        <v>47683</v>
      </c>
      <c r="S5046" s="210">
        <v>4</v>
      </c>
      <c r="T5046" s="8">
        <v>1.0001111111111112</v>
      </c>
      <c r="U5046" s="98">
        <v>3.9891938383419978</v>
      </c>
      <c r="V5046" s="106">
        <v>39025.998773451152</v>
      </c>
      <c r="W5046" s="10">
        <v>1.0312003841612682</v>
      </c>
      <c r="X5046" s="420"/>
      <c r="Y5046" s="420"/>
    </row>
    <row r="5047" spans="17:25">
      <c r="Q5047" s="6">
        <v>5017</v>
      </c>
      <c r="R5047" s="7">
        <v>47684</v>
      </c>
      <c r="S5047" s="210">
        <v>4</v>
      </c>
      <c r="T5047" s="8">
        <v>1.0001111111111112</v>
      </c>
      <c r="U5047" s="98">
        <v>3.9892236132129666</v>
      </c>
      <c r="V5047" s="106">
        <v>39029.138868183079</v>
      </c>
      <c r="W5047" s="10">
        <v>1.0312190478142247</v>
      </c>
      <c r="X5047" s="420"/>
      <c r="Y5047" s="420"/>
    </row>
    <row r="5048" spans="17:25">
      <c r="Q5048" s="6">
        <v>5018</v>
      </c>
      <c r="R5048" s="7">
        <v>47685</v>
      </c>
      <c r="S5048" s="210">
        <v>4</v>
      </c>
      <c r="T5048" s="8">
        <v>1.0001111111111112</v>
      </c>
      <c r="U5048" s="98">
        <v>3.9892533762252214</v>
      </c>
      <c r="V5048" s="106">
        <v>39032.279215572074</v>
      </c>
      <c r="W5048" s="10">
        <v>1.0312377040319065</v>
      </c>
      <c r="X5048" s="420"/>
      <c r="Y5048" s="420"/>
    </row>
    <row r="5049" spans="17:25">
      <c r="Q5049" s="6">
        <v>5019</v>
      </c>
      <c r="R5049" s="7">
        <v>47686</v>
      </c>
      <c r="S5049" s="210">
        <v>4</v>
      </c>
      <c r="T5049" s="8">
        <v>1.0001111111111112</v>
      </c>
      <c r="U5049" s="98">
        <v>3.9892831273858675</v>
      </c>
      <c r="V5049" s="106">
        <v>39035.419815638488</v>
      </c>
      <c r="W5049" s="10">
        <v>1.0312563528188434</v>
      </c>
      <c r="X5049" s="420"/>
      <c r="Y5049" s="420"/>
    </row>
    <row r="5050" spans="17:25">
      <c r="Q5050" s="6">
        <v>5020</v>
      </c>
      <c r="R5050" s="7">
        <v>47687</v>
      </c>
      <c r="S5050" s="210">
        <v>4</v>
      </c>
      <c r="T5050" s="8">
        <v>1.0001111111111112</v>
      </c>
      <c r="U5050" s="98">
        <v>3.9893128667019662</v>
      </c>
      <c r="V5050" s="106">
        <v>39038.560668402642</v>
      </c>
      <c r="W5050" s="10">
        <v>1.0312749941793875</v>
      </c>
      <c r="X5050" s="420"/>
      <c r="Y5050" s="420"/>
    </row>
    <row r="5051" spans="17:25">
      <c r="Q5051" s="6">
        <v>5021</v>
      </c>
      <c r="R5051" s="7">
        <v>47688</v>
      </c>
      <c r="S5051" s="210">
        <v>4</v>
      </c>
      <c r="T5051" s="8">
        <v>1.0001111111111112</v>
      </c>
      <c r="U5051" s="98">
        <v>3.9893425941805782</v>
      </c>
      <c r="V5051" s="106">
        <v>39041.701773884874</v>
      </c>
      <c r="W5051" s="10">
        <v>1.0312936281180241</v>
      </c>
      <c r="X5051" s="420"/>
      <c r="Y5051" s="420"/>
    </row>
    <row r="5052" spans="17:25">
      <c r="Q5052" s="6">
        <v>5022</v>
      </c>
      <c r="R5052" s="7">
        <v>47689</v>
      </c>
      <c r="S5052" s="210">
        <v>4</v>
      </c>
      <c r="T5052" s="8">
        <v>1.0001111111111112</v>
      </c>
      <c r="U5052" s="98">
        <v>3.989372309828787</v>
      </c>
      <c r="V5052" s="106">
        <v>39044.843132105503</v>
      </c>
      <c r="W5052" s="10">
        <v>1.0313122546391718</v>
      </c>
      <c r="X5052" s="420"/>
      <c r="Y5052" s="420"/>
    </row>
    <row r="5053" spans="17:25">
      <c r="Q5053" s="6">
        <v>5023</v>
      </c>
      <c r="R5053" s="7">
        <v>47690</v>
      </c>
      <c r="S5053" s="210">
        <v>4</v>
      </c>
      <c r="T5053" s="8">
        <v>1.0001111111111112</v>
      </c>
      <c r="U5053" s="98">
        <v>3.9894020136536534</v>
      </c>
      <c r="V5053" s="106">
        <v>39047.984743084875</v>
      </c>
      <c r="W5053" s="10">
        <v>1.0313308737472493</v>
      </c>
      <c r="X5053" s="420"/>
      <c r="Y5053" s="420"/>
    </row>
    <row r="5054" spans="17:25">
      <c r="Q5054" s="6">
        <v>5024</v>
      </c>
      <c r="R5054" s="7">
        <v>47691</v>
      </c>
      <c r="S5054" s="210">
        <v>4</v>
      </c>
      <c r="T5054" s="8">
        <v>1.0001111111111112</v>
      </c>
      <c r="U5054" s="98">
        <v>3.9894317056622386</v>
      </c>
      <c r="V5054" s="106">
        <v>39051.126606843332</v>
      </c>
      <c r="W5054" s="10">
        <v>1.0313494854467198</v>
      </c>
      <c r="X5054" s="420"/>
      <c r="Y5054" s="420"/>
    </row>
    <row r="5055" spans="17:25">
      <c r="Q5055" s="6">
        <v>5025</v>
      </c>
      <c r="R5055" s="7">
        <v>47692</v>
      </c>
      <c r="S5055" s="210">
        <v>4</v>
      </c>
      <c r="T5055" s="8">
        <v>1.0001111111111112</v>
      </c>
      <c r="U5055" s="98">
        <v>3.9894613858615813</v>
      </c>
      <c r="V5055" s="106">
        <v>39054.268723401212</v>
      </c>
      <c r="W5055" s="10">
        <v>1.0313680897419575</v>
      </c>
      <c r="X5055" s="420"/>
      <c r="Y5055" s="420"/>
    </row>
    <row r="5056" spans="17:25">
      <c r="Q5056" s="6">
        <v>5026</v>
      </c>
      <c r="R5056" s="7">
        <v>47693</v>
      </c>
      <c r="S5056" s="210">
        <v>4</v>
      </c>
      <c r="T5056" s="8">
        <v>1.0001111111111112</v>
      </c>
      <c r="U5056" s="98">
        <v>3.9894910542587203</v>
      </c>
      <c r="V5056" s="106">
        <v>39057.41109277885</v>
      </c>
      <c r="W5056" s="10">
        <v>1.0313866866374033</v>
      </c>
      <c r="X5056" s="420"/>
      <c r="Y5056" s="420"/>
    </row>
    <row r="5057" spans="17:25">
      <c r="Q5057" s="6">
        <v>5027</v>
      </c>
      <c r="R5057" s="7">
        <v>47694</v>
      </c>
      <c r="S5057" s="210">
        <v>4</v>
      </c>
      <c r="T5057" s="8">
        <v>1.0001111111111112</v>
      </c>
      <c r="U5057" s="98">
        <v>3.9895207108606945</v>
      </c>
      <c r="V5057" s="106">
        <v>39060.553714996589</v>
      </c>
      <c r="W5057" s="10">
        <v>1.0314052761374537</v>
      </c>
      <c r="X5057" s="420"/>
      <c r="Y5057" s="420"/>
    </row>
    <row r="5058" spans="17:25">
      <c r="Q5058" s="6">
        <v>5028</v>
      </c>
      <c r="R5058" s="7">
        <v>47695</v>
      </c>
      <c r="S5058" s="210">
        <v>4</v>
      </c>
      <c r="T5058" s="8">
        <v>1.0001111111111112</v>
      </c>
      <c r="U5058" s="98">
        <v>3.9895503556745426</v>
      </c>
      <c r="V5058" s="106">
        <v>39063.696590074775</v>
      </c>
      <c r="W5058" s="10">
        <v>1.0314238582465496</v>
      </c>
      <c r="X5058" s="420"/>
      <c r="Y5058" s="420"/>
    </row>
    <row r="5059" spans="17:25">
      <c r="Q5059" s="6">
        <v>5029</v>
      </c>
      <c r="R5059" s="7">
        <v>47696</v>
      </c>
      <c r="S5059" s="210">
        <v>4</v>
      </c>
      <c r="T5059" s="8">
        <v>1.0001111111111112</v>
      </c>
      <c r="U5059" s="98">
        <v>3.9895799887072814</v>
      </c>
      <c r="V5059" s="106">
        <v>39066.839718033756</v>
      </c>
      <c r="W5059" s="10">
        <v>1.031442432969043</v>
      </c>
      <c r="X5059" s="420"/>
      <c r="Y5059" s="420"/>
    </row>
    <row r="5060" spans="17:25">
      <c r="Q5060" s="6">
        <v>5030</v>
      </c>
      <c r="R5060" s="7">
        <v>47697</v>
      </c>
      <c r="S5060" s="210">
        <v>4</v>
      </c>
      <c r="T5060" s="8">
        <v>1.0001111111111112</v>
      </c>
      <c r="U5060" s="98">
        <v>3.9896096099659495</v>
      </c>
      <c r="V5060" s="106">
        <v>39069.98309889387</v>
      </c>
      <c r="W5060" s="10">
        <v>1.0314610003093971</v>
      </c>
      <c r="X5060" s="420"/>
      <c r="Y5060" s="420"/>
    </row>
    <row r="5061" spans="17:25">
      <c r="Q5061" s="6">
        <v>5031</v>
      </c>
      <c r="R5061" s="7">
        <v>47698</v>
      </c>
      <c r="S5061" s="210">
        <v>4</v>
      </c>
      <c r="T5061" s="8">
        <v>1.0001111111111112</v>
      </c>
      <c r="U5061" s="98">
        <v>3.9896392194575636</v>
      </c>
      <c r="V5061" s="106">
        <v>39073.126732675475</v>
      </c>
      <c r="W5061" s="10">
        <v>1.0314795602720084</v>
      </c>
      <c r="X5061" s="420"/>
      <c r="Y5061" s="420"/>
    </row>
    <row r="5062" spans="17:25">
      <c r="Q5062" s="6">
        <v>5032</v>
      </c>
      <c r="R5062" s="7">
        <v>47699</v>
      </c>
      <c r="S5062" s="210">
        <v>4</v>
      </c>
      <c r="T5062" s="8">
        <v>1.0001111111111112</v>
      </c>
      <c r="U5062" s="98">
        <v>3.9896688171891181</v>
      </c>
      <c r="V5062" s="106">
        <v>39076.270619398922</v>
      </c>
      <c r="W5062" s="10">
        <v>1.0314981128612288</v>
      </c>
      <c r="X5062" s="420"/>
      <c r="Y5062" s="420"/>
    </row>
    <row r="5063" spans="17:25">
      <c r="Q5063" s="6">
        <v>5033</v>
      </c>
      <c r="R5063" s="7">
        <v>47700</v>
      </c>
      <c r="S5063" s="210">
        <v>4</v>
      </c>
      <c r="T5063" s="8">
        <v>1.0001111111111112</v>
      </c>
      <c r="U5063" s="98">
        <v>3.9896984031676297</v>
      </c>
      <c r="V5063" s="106">
        <v>39079.414759084553</v>
      </c>
      <c r="W5063" s="10">
        <v>1.0315166580814772</v>
      </c>
      <c r="X5063" s="420"/>
      <c r="Y5063" s="420"/>
    </row>
    <row r="5064" spans="17:25">
      <c r="Q5064" s="6">
        <v>5034</v>
      </c>
      <c r="R5064" s="7">
        <v>47701</v>
      </c>
      <c r="S5064" s="210">
        <v>4</v>
      </c>
      <c r="T5064" s="8">
        <v>1.0001111111111112</v>
      </c>
      <c r="U5064" s="98">
        <v>3.9897279774000927</v>
      </c>
      <c r="V5064" s="106">
        <v>39082.559151752728</v>
      </c>
      <c r="W5064" s="10">
        <v>1.0315351959371499</v>
      </c>
      <c r="X5064" s="420"/>
      <c r="Y5064" s="420"/>
    </row>
    <row r="5065" spans="17:25">
      <c r="Q5065" s="6">
        <v>5035</v>
      </c>
      <c r="R5065" s="7">
        <v>47702</v>
      </c>
      <c r="S5065" s="210">
        <v>4</v>
      </c>
      <c r="T5065" s="8">
        <v>1.0001111111111112</v>
      </c>
      <c r="U5065" s="98">
        <v>3.9897575398935015</v>
      </c>
      <c r="V5065" s="106">
        <v>39085.703797423805</v>
      </c>
      <c r="W5065" s="10">
        <v>1.0315537264326213</v>
      </c>
      <c r="X5065" s="420"/>
      <c r="Y5065" s="420"/>
    </row>
    <row r="5066" spans="17:25">
      <c r="Q5066" s="6">
        <v>5036</v>
      </c>
      <c r="R5066" s="7">
        <v>47703</v>
      </c>
      <c r="S5066" s="210">
        <v>4</v>
      </c>
      <c r="T5066" s="8">
        <v>1.0001111111111112</v>
      </c>
      <c r="U5066" s="98">
        <v>3.9897870906548283</v>
      </c>
      <c r="V5066" s="106">
        <v>39088.848696118148</v>
      </c>
      <c r="W5066" s="10">
        <v>1.0315722495722879</v>
      </c>
      <c r="X5066" s="420"/>
      <c r="Y5066" s="420"/>
    </row>
    <row r="5067" spans="17:25">
      <c r="Q5067" s="6">
        <v>5037</v>
      </c>
      <c r="R5067" s="7">
        <v>47704</v>
      </c>
      <c r="S5067" s="210">
        <v>4</v>
      </c>
      <c r="T5067" s="8">
        <v>1.0001111111111112</v>
      </c>
      <c r="U5067" s="98">
        <v>3.9898166296910897</v>
      </c>
      <c r="V5067" s="106">
        <v>39091.993847856094</v>
      </c>
      <c r="W5067" s="10">
        <v>1.0315907653605016</v>
      </c>
      <c r="X5067" s="420"/>
      <c r="Y5067" s="420"/>
    </row>
    <row r="5068" spans="17:25">
      <c r="Q5068" s="6">
        <v>5038</v>
      </c>
      <c r="R5068" s="7">
        <v>47705</v>
      </c>
      <c r="S5068" s="210">
        <v>4</v>
      </c>
      <c r="T5068" s="8">
        <v>1.0001111111111112</v>
      </c>
      <c r="U5068" s="98">
        <v>3.9898461570092358</v>
      </c>
      <c r="V5068" s="106">
        <v>39095.139252658024</v>
      </c>
      <c r="W5068" s="10">
        <v>1.0316092738016591</v>
      </c>
      <c r="X5068" s="420"/>
      <c r="Y5068" s="420"/>
    </row>
    <row r="5069" spans="17:25">
      <c r="Q5069" s="6">
        <v>5039</v>
      </c>
      <c r="R5069" s="7">
        <v>47706</v>
      </c>
      <c r="S5069" s="210">
        <v>4</v>
      </c>
      <c r="T5069" s="8">
        <v>1.0001111111111112</v>
      </c>
      <c r="U5069" s="98">
        <v>3.9898756726162388</v>
      </c>
      <c r="V5069" s="106">
        <v>39098.28491054428</v>
      </c>
      <c r="W5069" s="10">
        <v>1.0316277749001346</v>
      </c>
      <c r="X5069" s="420"/>
      <c r="Y5069" s="420"/>
    </row>
    <row r="5070" spans="17:25">
      <c r="Q5070" s="6">
        <v>5040</v>
      </c>
      <c r="R5070" s="7">
        <v>47707</v>
      </c>
      <c r="S5070" s="210">
        <v>4</v>
      </c>
      <c r="T5070" s="8">
        <v>1.0001111111111112</v>
      </c>
      <c r="U5070" s="98">
        <v>3.9899051765190707</v>
      </c>
      <c r="V5070" s="106">
        <v>39101.43082153525</v>
      </c>
      <c r="W5070" s="10">
        <v>1.0316462686602801</v>
      </c>
      <c r="X5070" s="420"/>
      <c r="Y5070" s="420"/>
    </row>
    <row r="5071" spans="17:25">
      <c r="Q5071" s="6">
        <v>5041</v>
      </c>
      <c r="R5071" s="7">
        <v>47708</v>
      </c>
      <c r="S5071" s="210">
        <v>4</v>
      </c>
      <c r="T5071" s="8">
        <v>1.0001111111111112</v>
      </c>
      <c r="U5071" s="98">
        <v>3.9899346687247039</v>
      </c>
      <c r="V5071" s="106">
        <v>39104.576985651278</v>
      </c>
      <c r="W5071" s="10">
        <v>1.0316647550864699</v>
      </c>
      <c r="X5071" s="420"/>
      <c r="Y5071" s="420"/>
    </row>
    <row r="5072" spans="17:25">
      <c r="Q5072" s="6">
        <v>5042</v>
      </c>
      <c r="R5072" s="7">
        <v>47709</v>
      </c>
      <c r="S5072" s="210">
        <v>4</v>
      </c>
      <c r="T5072" s="8">
        <v>1.0001111111111112</v>
      </c>
      <c r="U5072" s="98">
        <v>3.9899641492400661</v>
      </c>
      <c r="V5072" s="106">
        <v>39107.723402912743</v>
      </c>
      <c r="W5072" s="10">
        <v>1.0316832341830784</v>
      </c>
      <c r="X5072" s="420"/>
      <c r="Y5072" s="420"/>
    </row>
    <row r="5073" spans="17:25">
      <c r="Q5073" s="6">
        <v>5043</v>
      </c>
      <c r="R5073" s="7">
        <v>47710</v>
      </c>
      <c r="S5073" s="210">
        <v>4</v>
      </c>
      <c r="T5073" s="8">
        <v>1.0001111111111112</v>
      </c>
      <c r="U5073" s="98">
        <v>3.9899936180721296</v>
      </c>
      <c r="V5073" s="106">
        <v>39110.870073340011</v>
      </c>
      <c r="W5073" s="10">
        <v>1.0317017059544353</v>
      </c>
      <c r="X5073" s="420"/>
      <c r="Y5073" s="420"/>
    </row>
    <row r="5074" spans="17:25">
      <c r="Q5074" s="6">
        <v>5044</v>
      </c>
      <c r="R5074" s="7">
        <v>47711</v>
      </c>
      <c r="S5074" s="210">
        <v>4</v>
      </c>
      <c r="T5074" s="8">
        <v>1.0001111111111112</v>
      </c>
      <c r="U5074" s="98">
        <v>3.9900230752278443</v>
      </c>
      <c r="V5074" s="106">
        <v>39114.016996953447</v>
      </c>
      <c r="W5074" s="10">
        <v>1.0317201704049372</v>
      </c>
      <c r="X5074" s="420"/>
      <c r="Y5074" s="420"/>
    </row>
    <row r="5075" spans="17:25">
      <c r="Q5075" s="6">
        <v>5045</v>
      </c>
      <c r="R5075" s="7">
        <v>47712</v>
      </c>
      <c r="S5075" s="210">
        <v>4</v>
      </c>
      <c r="T5075" s="8">
        <v>1.0001111111111112</v>
      </c>
      <c r="U5075" s="98">
        <v>3.990052520714138</v>
      </c>
      <c r="V5075" s="106">
        <v>39117.164173773432</v>
      </c>
      <c r="W5075" s="10">
        <v>1.0317386275388918</v>
      </c>
      <c r="X5075" s="420"/>
      <c r="Y5075" s="420"/>
    </row>
    <row r="5076" spans="17:25">
      <c r="Q5076" s="6">
        <v>5046</v>
      </c>
      <c r="R5076" s="7">
        <v>47713</v>
      </c>
      <c r="S5076" s="210">
        <v>4</v>
      </c>
      <c r="T5076" s="8">
        <v>1.0001111111111112</v>
      </c>
      <c r="U5076" s="98">
        <v>3.9900819545379385</v>
      </c>
      <c r="V5076" s="106">
        <v>39120.311603820322</v>
      </c>
      <c r="W5076" s="10">
        <v>1.0317570773606732</v>
      </c>
      <c r="X5076" s="420"/>
      <c r="Y5076" s="420"/>
    </row>
    <row r="5077" spans="17:25">
      <c r="Q5077" s="6">
        <v>5047</v>
      </c>
      <c r="R5077" s="7">
        <v>47714</v>
      </c>
      <c r="S5077" s="210">
        <v>4</v>
      </c>
      <c r="T5077" s="8">
        <v>1.0001111111111112</v>
      </c>
      <c r="U5077" s="98">
        <v>3.9901113767061736</v>
      </c>
      <c r="V5077" s="106">
        <v>39123.459287114521</v>
      </c>
      <c r="W5077" s="10">
        <v>1.0317755198746337</v>
      </c>
      <c r="X5077" s="420"/>
      <c r="Y5077" s="420"/>
    </row>
    <row r="5078" spans="17:25">
      <c r="Q5078" s="6">
        <v>5048</v>
      </c>
      <c r="R5078" s="7">
        <v>47715</v>
      </c>
      <c r="S5078" s="210">
        <v>4</v>
      </c>
      <c r="T5078" s="8">
        <v>1.0001111111111112</v>
      </c>
      <c r="U5078" s="98">
        <v>3.990140787225771</v>
      </c>
      <c r="V5078" s="106">
        <v>39126.607223676379</v>
      </c>
      <c r="W5078" s="10">
        <v>1.0317939550850808</v>
      </c>
      <c r="X5078" s="420"/>
      <c r="Y5078" s="420"/>
    </row>
    <row r="5079" spans="17:25">
      <c r="Q5079" s="6">
        <v>5049</v>
      </c>
      <c r="R5079" s="7">
        <v>47716</v>
      </c>
      <c r="S5079" s="210">
        <v>4</v>
      </c>
      <c r="T5079" s="8">
        <v>1.0001111111111112</v>
      </c>
      <c r="U5079" s="98">
        <v>3.9901701861036365</v>
      </c>
      <c r="V5079" s="106">
        <v>39129.755413526284</v>
      </c>
      <c r="W5079" s="10">
        <v>1.0318123829963666</v>
      </c>
      <c r="X5079" s="420"/>
      <c r="Y5079" s="420"/>
    </row>
    <row r="5080" spans="17:25">
      <c r="Q5080" s="6">
        <v>5050</v>
      </c>
      <c r="R5080" s="7">
        <v>47717</v>
      </c>
      <c r="S5080" s="210">
        <v>4</v>
      </c>
      <c r="T5080" s="8">
        <v>1.0001111111111112</v>
      </c>
      <c r="U5080" s="98">
        <v>3.9901995733466977</v>
      </c>
      <c r="V5080" s="106">
        <v>39132.903856684621</v>
      </c>
      <c r="W5080" s="10">
        <v>1.0318308036128432</v>
      </c>
      <c r="X5080" s="420"/>
      <c r="Y5080" s="420"/>
    </row>
    <row r="5081" spans="17:25">
      <c r="Q5081" s="6">
        <v>5051</v>
      </c>
      <c r="R5081" s="7">
        <v>47718</v>
      </c>
      <c r="S5081" s="210">
        <v>4</v>
      </c>
      <c r="T5081" s="8">
        <v>1.0001111111111112</v>
      </c>
      <c r="U5081" s="98">
        <v>3.9902289489618381</v>
      </c>
      <c r="V5081" s="106">
        <v>39136.052553171758</v>
      </c>
      <c r="W5081" s="10">
        <v>1.0318492169388183</v>
      </c>
      <c r="X5081" s="420"/>
      <c r="Y5081" s="420"/>
    </row>
    <row r="5082" spans="17:25">
      <c r="Q5082" s="6">
        <v>5052</v>
      </c>
      <c r="R5082" s="7">
        <v>47719</v>
      </c>
      <c r="S5082" s="210">
        <v>4</v>
      </c>
      <c r="T5082" s="8">
        <v>1.0001111111111112</v>
      </c>
      <c r="U5082" s="98">
        <v>3.9902583129559632</v>
      </c>
      <c r="V5082" s="106">
        <v>39139.201503008095</v>
      </c>
      <c r="W5082" s="10">
        <v>1.0318676229786217</v>
      </c>
      <c r="X5082" s="420"/>
      <c r="Y5082" s="420"/>
    </row>
    <row r="5083" spans="17:25">
      <c r="Q5083" s="6">
        <v>5053</v>
      </c>
      <c r="R5083" s="7">
        <v>47720</v>
      </c>
      <c r="S5083" s="210">
        <v>4</v>
      </c>
      <c r="T5083" s="8">
        <v>1.0001111111111112</v>
      </c>
      <c r="U5083" s="98">
        <v>3.9902876653359787</v>
      </c>
      <c r="V5083" s="106">
        <v>39142.350706214005</v>
      </c>
      <c r="W5083" s="10">
        <v>1.0318860217365833</v>
      </c>
      <c r="X5083" s="420"/>
      <c r="Y5083" s="420"/>
    </row>
    <row r="5084" spans="17:25">
      <c r="Q5084" s="6">
        <v>5054</v>
      </c>
      <c r="R5084" s="7">
        <v>47721</v>
      </c>
      <c r="S5084" s="210">
        <v>4</v>
      </c>
      <c r="T5084" s="8">
        <v>1.0001111111111112</v>
      </c>
      <c r="U5084" s="98">
        <v>3.9903170061087678</v>
      </c>
      <c r="V5084" s="106">
        <v>39145.500162809883</v>
      </c>
      <c r="W5084" s="10">
        <v>1.0319044132170108</v>
      </c>
      <c r="X5084" s="420"/>
      <c r="Y5084" s="420"/>
    </row>
    <row r="5085" spans="17:25">
      <c r="Q5085" s="6">
        <v>5055</v>
      </c>
      <c r="R5085" s="7">
        <v>47722</v>
      </c>
      <c r="S5085" s="210">
        <v>4</v>
      </c>
      <c r="T5085" s="8">
        <v>1.0001111111111112</v>
      </c>
      <c r="U5085" s="98">
        <v>3.9903463352812141</v>
      </c>
      <c r="V5085" s="106">
        <v>39148.649872816102</v>
      </c>
      <c r="W5085" s="10">
        <v>1.0319227974242562</v>
      </c>
      <c r="X5085" s="420"/>
      <c r="Y5085" s="420"/>
    </row>
    <row r="5086" spans="17:25">
      <c r="Q5086" s="6">
        <v>5056</v>
      </c>
      <c r="R5086" s="7">
        <v>47723</v>
      </c>
      <c r="S5086" s="210">
        <v>4</v>
      </c>
      <c r="T5086" s="8">
        <v>1.0001111111111112</v>
      </c>
      <c r="U5086" s="98">
        <v>3.9903756528602008</v>
      </c>
      <c r="V5086" s="106">
        <v>39151.799836253071</v>
      </c>
      <c r="W5086" s="10">
        <v>1.0319411743625828</v>
      </c>
      <c r="X5086" s="420"/>
      <c r="Y5086" s="420"/>
    </row>
    <row r="5087" spans="17:25">
      <c r="Q5087" s="6">
        <v>5057</v>
      </c>
      <c r="R5087" s="7">
        <v>47724</v>
      </c>
      <c r="S5087" s="210">
        <v>4</v>
      </c>
      <c r="T5087" s="8">
        <v>1.0001111111111112</v>
      </c>
      <c r="U5087" s="98">
        <v>3.9904049588526114</v>
      </c>
      <c r="V5087" s="106">
        <v>39154.950053141169</v>
      </c>
      <c r="W5087" s="10">
        <v>1.0319595440363649</v>
      </c>
      <c r="X5087" s="420"/>
      <c r="Y5087" s="420"/>
    </row>
    <row r="5088" spans="17:25">
      <c r="Q5088" s="6">
        <v>5058</v>
      </c>
      <c r="R5088" s="7">
        <v>47725</v>
      </c>
      <c r="S5088" s="210">
        <v>4</v>
      </c>
      <c r="T5088" s="8">
        <v>1.0001111111111112</v>
      </c>
      <c r="U5088" s="98">
        <v>3.9904342532652848</v>
      </c>
      <c r="V5088" s="106">
        <v>39158.100523500798</v>
      </c>
      <c r="W5088" s="10">
        <v>1.0319779064498658</v>
      </c>
      <c r="X5088" s="420"/>
      <c r="Y5088" s="420"/>
    </row>
    <row r="5089" spans="17:25">
      <c r="Q5089" s="6">
        <v>5059</v>
      </c>
      <c r="R5089" s="7">
        <v>47726</v>
      </c>
      <c r="S5089" s="210">
        <v>4</v>
      </c>
      <c r="T5089" s="8">
        <v>1.0001111111111112</v>
      </c>
      <c r="U5089" s="98">
        <v>3.9904635361051044</v>
      </c>
      <c r="V5089" s="106">
        <v>39161.251247352338</v>
      </c>
      <c r="W5089" s="10">
        <v>1.0319962616073708</v>
      </c>
      <c r="X5089" s="420"/>
      <c r="Y5089" s="420"/>
    </row>
    <row r="5090" spans="17:25">
      <c r="Q5090" s="6">
        <v>5060</v>
      </c>
      <c r="R5090" s="7">
        <v>47727</v>
      </c>
      <c r="S5090" s="210">
        <v>4</v>
      </c>
      <c r="T5090" s="8">
        <v>1.0001111111111112</v>
      </c>
      <c r="U5090" s="98">
        <v>3.9904928073789092</v>
      </c>
      <c r="V5090" s="106">
        <v>39164.402224716199</v>
      </c>
      <c r="W5090" s="10">
        <v>1.0320146095132321</v>
      </c>
      <c r="X5090" s="420"/>
      <c r="Y5090" s="420"/>
    </row>
    <row r="5091" spans="17:25">
      <c r="Q5091" s="6">
        <v>5061</v>
      </c>
      <c r="R5091" s="7">
        <v>47728</v>
      </c>
      <c r="S5091" s="210">
        <v>4</v>
      </c>
      <c r="T5091" s="8">
        <v>1.0001111111111112</v>
      </c>
      <c r="U5091" s="98">
        <v>3.9905220670935826</v>
      </c>
      <c r="V5091" s="106">
        <v>39167.553455612775</v>
      </c>
      <c r="W5091" s="10">
        <v>1.0320329501717129</v>
      </c>
      <c r="X5091" s="420"/>
      <c r="Y5091" s="420"/>
    </row>
    <row r="5092" spans="17:25">
      <c r="Q5092" s="6">
        <v>5062</v>
      </c>
      <c r="R5092" s="7">
        <v>47729</v>
      </c>
      <c r="S5092" s="210">
        <v>4</v>
      </c>
      <c r="T5092" s="8">
        <v>1.0001111111111112</v>
      </c>
      <c r="U5092" s="98">
        <v>3.9905513152559413</v>
      </c>
      <c r="V5092" s="106">
        <v>39170.704940062467</v>
      </c>
      <c r="W5092" s="10">
        <v>1.0320512835871209</v>
      </c>
      <c r="X5092" s="420"/>
      <c r="Y5092" s="420"/>
    </row>
    <row r="5093" spans="17:25">
      <c r="Q5093" s="6">
        <v>5063</v>
      </c>
      <c r="R5093" s="7">
        <v>47730</v>
      </c>
      <c r="S5093" s="210">
        <v>4</v>
      </c>
      <c r="T5093" s="8">
        <v>1.0001111111111112</v>
      </c>
      <c r="U5093" s="98">
        <v>3.9905805518728243</v>
      </c>
      <c r="V5093" s="106">
        <v>39173.856678085678</v>
      </c>
      <c r="W5093" s="10">
        <v>1.0320696097637194</v>
      </c>
      <c r="X5093" s="420"/>
      <c r="Y5093" s="420"/>
    </row>
    <row r="5094" spans="17:25">
      <c r="Q5094" s="6">
        <v>5064</v>
      </c>
      <c r="R5094" s="7">
        <v>47731</v>
      </c>
      <c r="S5094" s="210">
        <v>4</v>
      </c>
      <c r="T5094" s="8">
        <v>1.0001111111111112</v>
      </c>
      <c r="U5094" s="98">
        <v>3.9906097769510707</v>
      </c>
      <c r="V5094" s="106">
        <v>39177.008669702802</v>
      </c>
      <c r="W5094" s="10">
        <v>1.032087928705816</v>
      </c>
      <c r="X5094" s="420"/>
      <c r="Y5094" s="420"/>
    </row>
    <row r="5095" spans="17:25">
      <c r="Q5095" s="6">
        <v>5065</v>
      </c>
      <c r="R5095" s="7">
        <v>47732</v>
      </c>
      <c r="S5095" s="210">
        <v>4</v>
      </c>
      <c r="T5095" s="8">
        <v>1.0001111111111112</v>
      </c>
      <c r="U5095" s="98">
        <v>3.9906389904975192</v>
      </c>
      <c r="V5095" s="106">
        <v>39180.160914934255</v>
      </c>
      <c r="W5095" s="10">
        <v>1.0321062404176962</v>
      </c>
      <c r="X5095" s="420"/>
      <c r="Y5095" s="420"/>
    </row>
    <row r="5096" spans="17:25">
      <c r="Q5096" s="6">
        <v>5066</v>
      </c>
      <c r="R5096" s="7">
        <v>47733</v>
      </c>
      <c r="S5096" s="210">
        <v>4</v>
      </c>
      <c r="T5096" s="8">
        <v>1.0001111111111112</v>
      </c>
      <c r="U5096" s="98">
        <v>3.9906681925189869</v>
      </c>
      <c r="V5096" s="106">
        <v>39183.313413800432</v>
      </c>
      <c r="W5096" s="10">
        <v>1.0321245449036454</v>
      </c>
      <c r="X5096" s="420"/>
      <c r="Y5096" s="420"/>
    </row>
    <row r="5097" spans="17:25">
      <c r="Q5097" s="6">
        <v>5067</v>
      </c>
      <c r="R5097" s="7">
        <v>47734</v>
      </c>
      <c r="S5097" s="210">
        <v>4</v>
      </c>
      <c r="T5097" s="8">
        <v>1.0001111111111112</v>
      </c>
      <c r="U5097" s="98">
        <v>3.9906973830223125</v>
      </c>
      <c r="V5097" s="106">
        <v>39186.466166321748</v>
      </c>
      <c r="W5097" s="10">
        <v>1.0321428421679268</v>
      </c>
      <c r="X5097" s="420"/>
      <c r="Y5097" s="420"/>
    </row>
    <row r="5098" spans="17:25">
      <c r="Q5098" s="6">
        <v>5068</v>
      </c>
      <c r="R5098" s="7">
        <v>47735</v>
      </c>
      <c r="S5098" s="210">
        <v>4</v>
      </c>
      <c r="T5098" s="8">
        <v>1.0001111111111112</v>
      </c>
      <c r="U5098" s="98">
        <v>3.9907265620142907</v>
      </c>
      <c r="V5098" s="106">
        <v>39189.619172518615</v>
      </c>
      <c r="W5098" s="10">
        <v>1.0321611322148261</v>
      </c>
      <c r="X5098" s="420"/>
      <c r="Y5098" s="420"/>
    </row>
    <row r="5099" spans="17:25">
      <c r="Q5099" s="6">
        <v>5069</v>
      </c>
      <c r="R5099" s="7">
        <v>47736</v>
      </c>
      <c r="S5099" s="210">
        <v>4</v>
      </c>
      <c r="T5099" s="8">
        <v>1.0001111111111112</v>
      </c>
      <c r="U5099" s="98">
        <v>3.990755729501716</v>
      </c>
      <c r="V5099" s="106">
        <v>39192.772432411439</v>
      </c>
      <c r="W5099" s="10">
        <v>1.0321794150485841</v>
      </c>
      <c r="X5099" s="420"/>
      <c r="Y5099" s="420"/>
    </row>
    <row r="5100" spans="17:25">
      <c r="Q5100" s="6">
        <v>5070</v>
      </c>
      <c r="R5100" s="7">
        <v>47737</v>
      </c>
      <c r="S5100" s="210">
        <v>4</v>
      </c>
      <c r="T5100" s="8">
        <v>1.0001111111111112</v>
      </c>
      <c r="U5100" s="98">
        <v>3.9907848854914052</v>
      </c>
      <c r="V5100" s="106">
        <v>39195.92594602063</v>
      </c>
      <c r="W5100" s="10">
        <v>1.0321976906734864</v>
      </c>
      <c r="X5100" s="420"/>
      <c r="Y5100" s="420"/>
    </row>
    <row r="5101" spans="17:25">
      <c r="Q5101" s="6">
        <v>5071</v>
      </c>
      <c r="R5101" s="7">
        <v>47738</v>
      </c>
      <c r="S5101" s="210">
        <v>4</v>
      </c>
      <c r="T5101" s="8">
        <v>1.0001111111111112</v>
      </c>
      <c r="U5101" s="98">
        <v>3.9908140299901529</v>
      </c>
      <c r="V5101" s="106">
        <v>39199.079713366606</v>
      </c>
      <c r="W5101" s="10">
        <v>1.0322159590937741</v>
      </c>
      <c r="X5101" s="420"/>
      <c r="Y5101" s="420"/>
    </row>
    <row r="5102" spans="17:25">
      <c r="Q5102" s="6">
        <v>5072</v>
      </c>
      <c r="R5102" s="7">
        <v>47739</v>
      </c>
      <c r="S5102" s="210">
        <v>4</v>
      </c>
      <c r="T5102" s="8">
        <v>1.0001111111111112</v>
      </c>
      <c r="U5102" s="98">
        <v>3.9908431630047536</v>
      </c>
      <c r="V5102" s="106">
        <v>39202.233734469788</v>
      </c>
      <c r="W5102" s="10">
        <v>1.0322342203137547</v>
      </c>
      <c r="X5102" s="420"/>
      <c r="Y5102" s="420"/>
    </row>
    <row r="5103" spans="17:25">
      <c r="Q5103" s="6">
        <v>5073</v>
      </c>
      <c r="R5103" s="7">
        <v>47740</v>
      </c>
      <c r="S5103" s="210">
        <v>4</v>
      </c>
      <c r="T5103" s="8">
        <v>1.0001111111111112</v>
      </c>
      <c r="U5103" s="98">
        <v>3.9908722845420019</v>
      </c>
      <c r="V5103" s="106">
        <v>39205.388009350587</v>
      </c>
      <c r="W5103" s="10">
        <v>1.0322524743376471</v>
      </c>
      <c r="X5103" s="420"/>
      <c r="Y5103" s="420"/>
    </row>
    <row r="5104" spans="17:25">
      <c r="Q5104" s="6">
        <v>5074</v>
      </c>
      <c r="R5104" s="7">
        <v>47741</v>
      </c>
      <c r="S5104" s="210">
        <v>4</v>
      </c>
      <c r="T5104" s="8">
        <v>1.0001111111111112</v>
      </c>
      <c r="U5104" s="98">
        <v>3.9909013946086702</v>
      </c>
      <c r="V5104" s="106">
        <v>39208.542538029418</v>
      </c>
      <c r="W5104" s="10">
        <v>1.0322707211697368</v>
      </c>
      <c r="X5104" s="420"/>
      <c r="Y5104" s="420"/>
    </row>
    <row r="5105" spans="17:25">
      <c r="Q5105" s="6">
        <v>5075</v>
      </c>
      <c r="R5105" s="7">
        <v>47742</v>
      </c>
      <c r="S5105" s="210">
        <v>4</v>
      </c>
      <c r="T5105" s="8">
        <v>1.0001111111111112</v>
      </c>
      <c r="U5105" s="98">
        <v>3.9909304932115308</v>
      </c>
      <c r="V5105" s="106">
        <v>39211.69732052672</v>
      </c>
      <c r="W5105" s="10">
        <v>1.0322889608142205</v>
      </c>
      <c r="X5105" s="420"/>
      <c r="Y5105" s="420"/>
    </row>
    <row r="5106" spans="17:25">
      <c r="Q5106" s="6">
        <v>5076</v>
      </c>
      <c r="R5106" s="7">
        <v>47743</v>
      </c>
      <c r="S5106" s="210">
        <v>4</v>
      </c>
      <c r="T5106" s="8">
        <v>1.0001111111111112</v>
      </c>
      <c r="U5106" s="98">
        <v>3.9909595803573561</v>
      </c>
      <c r="V5106" s="106">
        <v>39214.852356862895</v>
      </c>
      <c r="W5106" s="10">
        <v>1.0323071932753836</v>
      </c>
      <c r="X5106" s="420"/>
      <c r="Y5106" s="420"/>
    </row>
    <row r="5107" spans="17:25">
      <c r="Q5107" s="6">
        <v>5077</v>
      </c>
      <c r="R5107" s="7">
        <v>47744</v>
      </c>
      <c r="S5107" s="210">
        <v>4</v>
      </c>
      <c r="T5107" s="8">
        <v>1.0001111111111112</v>
      </c>
      <c r="U5107" s="98">
        <v>3.9909886560529184</v>
      </c>
      <c r="V5107" s="106">
        <v>39218.007647058381</v>
      </c>
      <c r="W5107" s="10">
        <v>1.0323254185574671</v>
      </c>
      <c r="X5107" s="420"/>
      <c r="Y5107" s="420"/>
    </row>
    <row r="5108" spans="17:25">
      <c r="Q5108" s="6">
        <v>5078</v>
      </c>
      <c r="R5108" s="7">
        <v>47745</v>
      </c>
      <c r="S5108" s="210">
        <v>4</v>
      </c>
      <c r="T5108" s="8">
        <v>1.0001111111111112</v>
      </c>
      <c r="U5108" s="98">
        <v>3.9910177203049679</v>
      </c>
      <c r="V5108" s="106">
        <v>39221.163191133601</v>
      </c>
      <c r="W5108" s="10">
        <v>1.0323436366646899</v>
      </c>
      <c r="X5108" s="420"/>
      <c r="Y5108" s="420"/>
    </row>
    <row r="5109" spans="17:25">
      <c r="Q5109" s="6">
        <v>5079</v>
      </c>
      <c r="R5109" s="7">
        <v>47746</v>
      </c>
      <c r="S5109" s="210">
        <v>4</v>
      </c>
      <c r="T5109" s="8">
        <v>1.0001111111111112</v>
      </c>
      <c r="U5109" s="98">
        <v>3.991046773120277</v>
      </c>
      <c r="V5109" s="106">
        <v>39224.318989108979</v>
      </c>
      <c r="W5109" s="10">
        <v>1.0323618476013152</v>
      </c>
      <c r="X5109" s="420"/>
      <c r="Y5109" s="420"/>
    </row>
    <row r="5110" spans="17:25">
      <c r="Q5110" s="6">
        <v>5080</v>
      </c>
      <c r="R5110" s="7">
        <v>47747</v>
      </c>
      <c r="S5110" s="210">
        <v>4</v>
      </c>
      <c r="T5110" s="8">
        <v>1.0001111111111112</v>
      </c>
      <c r="U5110" s="98">
        <v>3.9910758145055736</v>
      </c>
      <c r="V5110" s="106">
        <v>39227.475041004946</v>
      </c>
      <c r="W5110" s="10">
        <v>1.0323800513715398</v>
      </c>
      <c r="X5110" s="420"/>
      <c r="Y5110" s="420"/>
    </row>
    <row r="5111" spans="17:25">
      <c r="Q5111" s="6">
        <v>5081</v>
      </c>
      <c r="R5111" s="7">
        <v>47748</v>
      </c>
      <c r="S5111" s="210">
        <v>4</v>
      </c>
      <c r="T5111" s="8">
        <v>1.0001111111111112</v>
      </c>
      <c r="U5111" s="98">
        <v>3.9911048444676078</v>
      </c>
      <c r="V5111" s="106">
        <v>39230.631346841932</v>
      </c>
      <c r="W5111" s="10">
        <v>1.0323982479796268</v>
      </c>
      <c r="X5111" s="420"/>
      <c r="Y5111" s="420"/>
    </row>
    <row r="5112" spans="17:25">
      <c r="Q5112" s="6">
        <v>5082</v>
      </c>
      <c r="R5112" s="7">
        <v>47749</v>
      </c>
      <c r="S5112" s="210">
        <v>4</v>
      </c>
      <c r="T5112" s="8">
        <v>1.0001111111111112</v>
      </c>
      <c r="U5112" s="98">
        <v>3.9911338630131299</v>
      </c>
      <c r="V5112" s="106">
        <v>39233.787906640362</v>
      </c>
      <c r="W5112" s="10">
        <v>1.0324164374297951</v>
      </c>
      <c r="X5112" s="420"/>
      <c r="Y5112" s="420"/>
    </row>
    <row r="5113" spans="17:25">
      <c r="Q5113" s="6">
        <v>5083</v>
      </c>
      <c r="R5113" s="7">
        <v>47750</v>
      </c>
      <c r="S5113" s="210">
        <v>4</v>
      </c>
      <c r="T5113" s="8">
        <v>1.0001111111111112</v>
      </c>
      <c r="U5113" s="98">
        <v>3.9911628701488677</v>
      </c>
      <c r="V5113" s="106">
        <v>39236.944720420688</v>
      </c>
      <c r="W5113" s="10">
        <v>1.0324346197262857</v>
      </c>
      <c r="X5113" s="420"/>
      <c r="Y5113" s="420"/>
    </row>
    <row r="5114" spans="17:25">
      <c r="Q5114" s="6">
        <v>5084</v>
      </c>
      <c r="R5114" s="7">
        <v>47751</v>
      </c>
      <c r="S5114" s="210">
        <v>4</v>
      </c>
      <c r="T5114" s="8">
        <v>1.0001111111111112</v>
      </c>
      <c r="U5114" s="98">
        <v>3.9911918658815271</v>
      </c>
      <c r="V5114" s="106">
        <v>39240.101788203334</v>
      </c>
      <c r="W5114" s="10">
        <v>1.0324527948732509</v>
      </c>
      <c r="X5114" s="420"/>
      <c r="Y5114" s="420"/>
    </row>
    <row r="5115" spans="17:25">
      <c r="Q5115" s="6">
        <v>5085</v>
      </c>
      <c r="R5115" s="7">
        <v>47752</v>
      </c>
      <c r="S5115" s="210">
        <v>4</v>
      </c>
      <c r="T5115" s="8">
        <v>1.0001111111111112</v>
      </c>
      <c r="U5115" s="98">
        <v>3.9912208502178581</v>
      </c>
      <c r="V5115" s="106">
        <v>39243.259110008745</v>
      </c>
      <c r="W5115" s="10">
        <v>1.0324709628749762</v>
      </c>
      <c r="X5115" s="420"/>
      <c r="Y5115" s="420"/>
    </row>
    <row r="5116" spans="17:25">
      <c r="Q5116" s="6">
        <v>5086</v>
      </c>
      <c r="R5116" s="7">
        <v>47753</v>
      </c>
      <c r="S5116" s="210">
        <v>4</v>
      </c>
      <c r="T5116" s="8">
        <v>1.0001111111111112</v>
      </c>
      <c r="U5116" s="98">
        <v>3.9912498231645666</v>
      </c>
      <c r="V5116" s="106">
        <v>39246.416685857344</v>
      </c>
      <c r="W5116" s="10">
        <v>1.0324891237356359</v>
      </c>
      <c r="X5116" s="420"/>
      <c r="Y5116" s="420"/>
    </row>
    <row r="5117" spans="17:25">
      <c r="Q5117" s="6">
        <v>5087</v>
      </c>
      <c r="R5117" s="7">
        <v>47754</v>
      </c>
      <c r="S5117" s="210">
        <v>4</v>
      </c>
      <c r="T5117" s="8">
        <v>1.0001111111111112</v>
      </c>
      <c r="U5117" s="98">
        <v>3.9912787847283582</v>
      </c>
      <c r="V5117" s="106">
        <v>39249.574515769593</v>
      </c>
      <c r="W5117" s="10">
        <v>1.032507277459449</v>
      </c>
      <c r="X5117" s="420"/>
      <c r="Y5117" s="420"/>
    </row>
    <row r="5118" spans="17:25">
      <c r="Q5118" s="6">
        <v>5088</v>
      </c>
      <c r="R5118" s="7">
        <v>47755</v>
      </c>
      <c r="S5118" s="210">
        <v>4</v>
      </c>
      <c r="T5118" s="8">
        <v>1.0001111111111112</v>
      </c>
      <c r="U5118" s="98">
        <v>3.9913077349159609</v>
      </c>
      <c r="V5118" s="106">
        <v>39252.732599765921</v>
      </c>
      <c r="W5118" s="10">
        <v>1.0325254240506343</v>
      </c>
      <c r="X5118" s="420"/>
      <c r="Y5118" s="420"/>
    </row>
    <row r="5119" spans="17:25">
      <c r="Q5119" s="6">
        <v>5089</v>
      </c>
      <c r="R5119" s="7">
        <v>47756</v>
      </c>
      <c r="S5119" s="210">
        <v>4</v>
      </c>
      <c r="T5119" s="8">
        <v>1.0001111111111112</v>
      </c>
      <c r="U5119" s="98">
        <v>3.9913366737340583</v>
      </c>
      <c r="V5119" s="106">
        <v>39255.890937866774</v>
      </c>
      <c r="W5119" s="10">
        <v>1.0325435635133662</v>
      </c>
      <c r="X5119" s="420"/>
      <c r="Y5119" s="420"/>
    </row>
    <row r="5120" spans="17:25">
      <c r="Q5120" s="6">
        <v>5090</v>
      </c>
      <c r="R5120" s="7">
        <v>47757</v>
      </c>
      <c r="S5120" s="210">
        <v>4</v>
      </c>
      <c r="T5120" s="8">
        <v>1.0001111111111112</v>
      </c>
      <c r="U5120" s="98">
        <v>3.9913656011893561</v>
      </c>
      <c r="V5120" s="106">
        <v>39259.049530092598</v>
      </c>
      <c r="W5120" s="10">
        <v>1.0325616958518857</v>
      </c>
      <c r="X5120" s="420"/>
      <c r="Y5120" s="420"/>
    </row>
    <row r="5121" spans="17:25">
      <c r="Q5121" s="6">
        <v>5091</v>
      </c>
      <c r="R5121" s="7">
        <v>47758</v>
      </c>
      <c r="S5121" s="210">
        <v>4</v>
      </c>
      <c r="T5121" s="8">
        <v>1.0001111111111112</v>
      </c>
      <c r="U5121" s="98">
        <v>3.9913945172885379</v>
      </c>
      <c r="V5121" s="106">
        <v>39262.208376463845</v>
      </c>
      <c r="W5121" s="10">
        <v>1.0325798210703674</v>
      </c>
      <c r="X5121" s="420"/>
      <c r="Y5121" s="420"/>
    </row>
    <row r="5122" spans="17:25">
      <c r="Q5122" s="6">
        <v>5092</v>
      </c>
      <c r="R5122" s="7">
        <v>47759</v>
      </c>
      <c r="S5122" s="210">
        <v>4</v>
      </c>
      <c r="T5122" s="8">
        <v>1.0001111111111112</v>
      </c>
      <c r="U5122" s="98">
        <v>3.9914234220382871</v>
      </c>
      <c r="V5122" s="106">
        <v>39265.367477000953</v>
      </c>
      <c r="W5122" s="10">
        <v>1.0325979391729856</v>
      </c>
      <c r="X5122" s="420"/>
      <c r="Y5122" s="420"/>
    </row>
    <row r="5123" spans="17:25">
      <c r="Q5123" s="6">
        <v>5093</v>
      </c>
      <c r="R5123" s="7">
        <v>47760</v>
      </c>
      <c r="S5123" s="210">
        <v>4</v>
      </c>
      <c r="T5123" s="8">
        <v>1.0001111111111112</v>
      </c>
      <c r="U5123" s="98">
        <v>3.9914523154452874</v>
      </c>
      <c r="V5123" s="106">
        <v>39268.52683172439</v>
      </c>
      <c r="W5123" s="10">
        <v>1.032616050163937</v>
      </c>
      <c r="X5123" s="420"/>
      <c r="Y5123" s="420"/>
    </row>
    <row r="5124" spans="17:25">
      <c r="Q5124" s="6">
        <v>5094</v>
      </c>
      <c r="R5124" s="7">
        <v>47761</v>
      </c>
      <c r="S5124" s="210">
        <v>4</v>
      </c>
      <c r="T5124" s="8">
        <v>1.0001111111111112</v>
      </c>
      <c r="U5124" s="98">
        <v>3.9914811975162223</v>
      </c>
      <c r="V5124" s="106">
        <v>39271.686440654586</v>
      </c>
      <c r="W5124" s="10">
        <v>1.0326341540474182</v>
      </c>
      <c r="X5124" s="420"/>
      <c r="Y5124" s="420"/>
    </row>
    <row r="5125" spans="17:25">
      <c r="Q5125" s="6">
        <v>5095</v>
      </c>
      <c r="R5125" s="7">
        <v>47762</v>
      </c>
      <c r="S5125" s="210">
        <v>4</v>
      </c>
      <c r="T5125" s="8">
        <v>1.0001111111111112</v>
      </c>
      <c r="U5125" s="98">
        <v>3.9915100682577531</v>
      </c>
      <c r="V5125" s="106">
        <v>39274.846303812017</v>
      </c>
      <c r="W5125" s="10">
        <v>1.0326522508276259</v>
      </c>
      <c r="X5125" s="420"/>
      <c r="Y5125" s="420"/>
    </row>
    <row r="5126" spans="17:25">
      <c r="Q5126" s="6">
        <v>5096</v>
      </c>
      <c r="R5126" s="7">
        <v>47763</v>
      </c>
      <c r="S5126" s="210">
        <v>4</v>
      </c>
      <c r="T5126" s="8">
        <v>1.0001111111111112</v>
      </c>
      <c r="U5126" s="98">
        <v>3.9915389276765634</v>
      </c>
      <c r="V5126" s="106">
        <v>39278.00642121712</v>
      </c>
      <c r="W5126" s="10">
        <v>1.0326703405087345</v>
      </c>
      <c r="X5126" s="420"/>
      <c r="Y5126" s="420"/>
    </row>
    <row r="5127" spans="17:25">
      <c r="Q5127" s="6">
        <v>5097</v>
      </c>
      <c r="R5127" s="7">
        <v>47764</v>
      </c>
      <c r="S5127" s="210">
        <v>4</v>
      </c>
      <c r="T5127" s="8">
        <v>1.0001111111111112</v>
      </c>
      <c r="U5127" s="98">
        <v>3.9915677757792922</v>
      </c>
      <c r="V5127" s="106">
        <v>39281.166792890363</v>
      </c>
      <c r="W5127" s="10">
        <v>1.0326884230949185</v>
      </c>
      <c r="X5127" s="420"/>
      <c r="Y5127" s="420"/>
    </row>
    <row r="5128" spans="17:25">
      <c r="Q5128" s="6">
        <v>5098</v>
      </c>
      <c r="R5128" s="7">
        <v>47765</v>
      </c>
      <c r="S5128" s="210">
        <v>4</v>
      </c>
      <c r="T5128" s="8">
        <v>1.0001111111111112</v>
      </c>
      <c r="U5128" s="98">
        <v>3.991596612572601</v>
      </c>
      <c r="V5128" s="106">
        <v>39284.327418852205</v>
      </c>
      <c r="W5128" s="10">
        <v>1.03270649859033</v>
      </c>
      <c r="X5128" s="420"/>
      <c r="Y5128" s="420"/>
    </row>
    <row r="5129" spans="17:25">
      <c r="Q5129" s="6">
        <v>5099</v>
      </c>
      <c r="R5129" s="7">
        <v>47766</v>
      </c>
      <c r="S5129" s="210">
        <v>4</v>
      </c>
      <c r="T5129" s="8">
        <v>1.0001111111111112</v>
      </c>
      <c r="U5129" s="98">
        <v>3.9916254380631289</v>
      </c>
      <c r="V5129" s="106">
        <v>39287.488299123099</v>
      </c>
      <c r="W5129" s="10">
        <v>1.0327245669991658</v>
      </c>
      <c r="X5129" s="420"/>
      <c r="Y5129" s="420"/>
    </row>
    <row r="5130" spans="17:25">
      <c r="Q5130" s="6">
        <v>5100</v>
      </c>
      <c r="R5130" s="7">
        <v>47767</v>
      </c>
      <c r="S5130" s="210">
        <v>4</v>
      </c>
      <c r="T5130" s="8">
        <v>1.0001111111111112</v>
      </c>
      <c r="U5130" s="98">
        <v>3.9916542522575371</v>
      </c>
      <c r="V5130" s="106">
        <v>39290.649433723513</v>
      </c>
      <c r="W5130" s="10">
        <v>1.0327426283255781</v>
      </c>
      <c r="X5130" s="420"/>
      <c r="Y5130" s="420"/>
    </row>
    <row r="5131" spans="17:25">
      <c r="Q5131" s="6">
        <v>5101</v>
      </c>
      <c r="R5131" s="7">
        <v>47768</v>
      </c>
      <c r="S5131" s="210">
        <v>4</v>
      </c>
      <c r="T5131" s="8">
        <v>1.0001111111111112</v>
      </c>
      <c r="U5131" s="98">
        <v>3.9916830551624427</v>
      </c>
      <c r="V5131" s="106">
        <v>39293.810822673913</v>
      </c>
      <c r="W5131" s="10">
        <v>1.0327606825736968</v>
      </c>
      <c r="X5131" s="420"/>
      <c r="Y5131" s="420"/>
    </row>
    <row r="5132" spans="17:25">
      <c r="Q5132" s="6">
        <v>5102</v>
      </c>
      <c r="R5132" s="7">
        <v>47769</v>
      </c>
      <c r="S5132" s="210">
        <v>4</v>
      </c>
      <c r="T5132" s="8">
        <v>1.0001111111111112</v>
      </c>
      <c r="U5132" s="98">
        <v>3.991711846784507</v>
      </c>
      <c r="V5132" s="106">
        <v>39296.972465994761</v>
      </c>
      <c r="W5132" s="10">
        <v>1.0327787297477631</v>
      </c>
      <c r="X5132" s="420"/>
      <c r="Y5132" s="420"/>
    </row>
    <row r="5133" spans="17:25">
      <c r="Q5133" s="6">
        <v>5103</v>
      </c>
      <c r="R5133" s="7">
        <v>47770</v>
      </c>
      <c r="S5133" s="210">
        <v>4</v>
      </c>
      <c r="T5133" s="8">
        <v>1.0001111111111112</v>
      </c>
      <c r="U5133" s="98">
        <v>3.9917406271303468</v>
      </c>
      <c r="V5133" s="106">
        <v>39300.134363706515</v>
      </c>
      <c r="W5133" s="10">
        <v>1.0327967698518847</v>
      </c>
      <c r="X5133" s="420"/>
      <c r="Y5133" s="420"/>
    </row>
    <row r="5134" spans="17:25">
      <c r="Q5134" s="6">
        <v>5104</v>
      </c>
      <c r="R5134" s="7">
        <v>47771</v>
      </c>
      <c r="S5134" s="210">
        <v>4</v>
      </c>
      <c r="T5134" s="8">
        <v>1.0001111111111112</v>
      </c>
      <c r="U5134" s="98">
        <v>3.9917693962065792</v>
      </c>
      <c r="V5134" s="106">
        <v>39303.296515829657</v>
      </c>
      <c r="W5134" s="10">
        <v>1.032814802890214</v>
      </c>
      <c r="X5134" s="420"/>
      <c r="Y5134" s="420"/>
    </row>
    <row r="5135" spans="17:25">
      <c r="Q5135" s="6">
        <v>5105</v>
      </c>
      <c r="R5135" s="7">
        <v>47772</v>
      </c>
      <c r="S5135" s="210">
        <v>4</v>
      </c>
      <c r="T5135" s="8">
        <v>1.0001111111111112</v>
      </c>
      <c r="U5135" s="98">
        <v>3.9917981540198211</v>
      </c>
      <c r="V5135" s="106">
        <v>39306.458922384656</v>
      </c>
      <c r="W5135" s="10">
        <v>1.0328328288669031</v>
      </c>
      <c r="X5135" s="420"/>
      <c r="Y5135" s="420"/>
    </row>
    <row r="5136" spans="17:25">
      <c r="Q5136" s="6">
        <v>5106</v>
      </c>
      <c r="R5136" s="7">
        <v>47773</v>
      </c>
      <c r="S5136" s="210">
        <v>4</v>
      </c>
      <c r="T5136" s="8">
        <v>1.0001111111111112</v>
      </c>
      <c r="U5136" s="98">
        <v>3.9918269005766893</v>
      </c>
      <c r="V5136" s="106">
        <v>39309.621583391985</v>
      </c>
      <c r="W5136" s="10">
        <v>1.0328508477861043</v>
      </c>
      <c r="X5136" s="420"/>
      <c r="Y5136" s="420"/>
    </row>
    <row r="5137" spans="17:25">
      <c r="Q5137" s="6">
        <v>5107</v>
      </c>
      <c r="R5137" s="7">
        <v>47774</v>
      </c>
      <c r="S5137" s="210">
        <v>4</v>
      </c>
      <c r="T5137" s="8">
        <v>1.0001111111111112</v>
      </c>
      <c r="U5137" s="98">
        <v>3.9918556358837787</v>
      </c>
      <c r="V5137" s="106">
        <v>39312.784498872112</v>
      </c>
      <c r="W5137" s="10">
        <v>1.0328688596519253</v>
      </c>
      <c r="X5137" s="420"/>
      <c r="Y5137" s="420"/>
    </row>
    <row r="5138" spans="17:25">
      <c r="Q5138" s="6">
        <v>5108</v>
      </c>
      <c r="R5138" s="7">
        <v>47775</v>
      </c>
      <c r="S5138" s="210">
        <v>4</v>
      </c>
      <c r="T5138" s="8">
        <v>1.0001111111111112</v>
      </c>
      <c r="U5138" s="98">
        <v>3.9918843599477061</v>
      </c>
      <c r="V5138" s="106">
        <v>39315.947668845511</v>
      </c>
      <c r="W5138" s="10">
        <v>1.0328868644685629</v>
      </c>
      <c r="X5138" s="420"/>
      <c r="Y5138" s="420"/>
    </row>
    <row r="5139" spans="17:25">
      <c r="Q5139" s="6">
        <v>5109</v>
      </c>
      <c r="R5139" s="7">
        <v>47776</v>
      </c>
      <c r="S5139" s="210">
        <v>4</v>
      </c>
      <c r="T5139" s="8">
        <v>1.0001111111111112</v>
      </c>
      <c r="U5139" s="98">
        <v>3.9919130727750662</v>
      </c>
      <c r="V5139" s="106">
        <v>39319.111093332656</v>
      </c>
      <c r="W5139" s="10">
        <v>1.0329048622401471</v>
      </c>
      <c r="X5139" s="420"/>
      <c r="Y5139" s="420"/>
    </row>
    <row r="5140" spans="17:25">
      <c r="Q5140" s="6">
        <v>5110</v>
      </c>
      <c r="R5140" s="7">
        <v>47777</v>
      </c>
      <c r="S5140" s="210">
        <v>4</v>
      </c>
      <c r="T5140" s="8">
        <v>1.0001111111111112</v>
      </c>
      <c r="U5140" s="98">
        <v>3.9919417743724539</v>
      </c>
      <c r="V5140" s="106">
        <v>39322.274772354038</v>
      </c>
      <c r="W5140" s="10">
        <v>1.0329228529707857</v>
      </c>
      <c r="X5140" s="420"/>
      <c r="Y5140" s="420"/>
    </row>
    <row r="5141" spans="17:25">
      <c r="Q5141" s="6">
        <v>5111</v>
      </c>
      <c r="R5141" s="7">
        <v>47778</v>
      </c>
      <c r="S5141" s="210">
        <v>4</v>
      </c>
      <c r="T5141" s="8">
        <v>1.0001111111111112</v>
      </c>
      <c r="U5141" s="98">
        <v>3.9919704647464638</v>
      </c>
      <c r="V5141" s="106">
        <v>39325.43870593013</v>
      </c>
      <c r="W5141" s="10">
        <v>1.0329408366646309</v>
      </c>
      <c r="X5141" s="420"/>
      <c r="Y5141" s="420"/>
    </row>
    <row r="5142" spans="17:25">
      <c r="Q5142" s="6">
        <v>5112</v>
      </c>
      <c r="R5142" s="7">
        <v>47779</v>
      </c>
      <c r="S5142" s="210">
        <v>4</v>
      </c>
      <c r="T5142" s="8">
        <v>1.0001111111111112</v>
      </c>
      <c r="U5142" s="98">
        <v>3.9919991439036684</v>
      </c>
      <c r="V5142" s="106">
        <v>39328.602894081414</v>
      </c>
      <c r="W5142" s="10">
        <v>1.0329588133257905</v>
      </c>
      <c r="X5142" s="420"/>
      <c r="Y5142" s="420"/>
    </row>
    <row r="5143" spans="17:25">
      <c r="Q5143" s="6">
        <v>5113</v>
      </c>
      <c r="R5143" s="7">
        <v>47780</v>
      </c>
      <c r="S5143" s="210">
        <v>4</v>
      </c>
      <c r="T5143" s="8">
        <v>1.0001111111111112</v>
      </c>
      <c r="U5143" s="98">
        <v>3.9920278118506403</v>
      </c>
      <c r="V5143" s="106">
        <v>39331.767336828379</v>
      </c>
      <c r="W5143" s="10">
        <v>1.0329767829583947</v>
      </c>
      <c r="X5143" s="420"/>
      <c r="Y5143" s="420"/>
    </row>
    <row r="5144" spans="17:25">
      <c r="Q5144" s="6">
        <v>5114</v>
      </c>
      <c r="R5144" s="7">
        <v>47781</v>
      </c>
      <c r="S5144" s="210">
        <v>4</v>
      </c>
      <c r="T5144" s="8">
        <v>1.0001111111111112</v>
      </c>
      <c r="U5144" s="98">
        <v>3.9920564685939519</v>
      </c>
      <c r="V5144" s="106">
        <v>39334.932034191494</v>
      </c>
      <c r="W5144" s="10">
        <v>1.0329947455665955</v>
      </c>
      <c r="X5144" s="420"/>
      <c r="Y5144" s="420"/>
    </row>
    <row r="5145" spans="17:25">
      <c r="Q5145" s="6">
        <v>5115</v>
      </c>
      <c r="R5145" s="7">
        <v>47782</v>
      </c>
      <c r="S5145" s="210">
        <v>4</v>
      </c>
      <c r="T5145" s="8">
        <v>1.0001111111111112</v>
      </c>
      <c r="U5145" s="98">
        <v>3.9920851141401759</v>
      </c>
      <c r="V5145" s="106">
        <v>39338.096986191267</v>
      </c>
      <c r="W5145" s="10">
        <v>1.0330127011544565</v>
      </c>
      <c r="X5145" s="420"/>
      <c r="Y5145" s="420"/>
    </row>
    <row r="5146" spans="17:25">
      <c r="Q5146" s="6">
        <v>5116</v>
      </c>
      <c r="R5146" s="7">
        <v>47783</v>
      </c>
      <c r="S5146" s="210">
        <v>4</v>
      </c>
      <c r="T5146" s="8">
        <v>1.0001111111111112</v>
      </c>
      <c r="U5146" s="98">
        <v>3.9921137484958846</v>
      </c>
      <c r="V5146" s="106">
        <v>39341.262192848175</v>
      </c>
      <c r="W5146" s="10">
        <v>1.0330306497261521</v>
      </c>
      <c r="X5146" s="420"/>
      <c r="Y5146" s="420"/>
    </row>
    <row r="5147" spans="17:25">
      <c r="Q5147" s="6">
        <v>5117</v>
      </c>
      <c r="R5147" s="7">
        <v>47784</v>
      </c>
      <c r="S5147" s="210">
        <v>4</v>
      </c>
      <c r="T5147" s="8">
        <v>1.0001111111111112</v>
      </c>
      <c r="U5147" s="98">
        <v>3.9921423716676063</v>
      </c>
      <c r="V5147" s="106">
        <v>39344.427654182706</v>
      </c>
      <c r="W5147" s="10">
        <v>1.0330485912857457</v>
      </c>
      <c r="X5147" s="420"/>
      <c r="Y5147" s="420"/>
    </row>
    <row r="5148" spans="17:25">
      <c r="Q5148" s="6">
        <v>5118</v>
      </c>
      <c r="R5148" s="7">
        <v>47785</v>
      </c>
      <c r="S5148" s="210">
        <v>4</v>
      </c>
      <c r="T5148" s="8">
        <v>1.0001111111111112</v>
      </c>
      <c r="U5148" s="98">
        <v>3.9921709836619135</v>
      </c>
      <c r="V5148" s="106">
        <v>39347.593370215356</v>
      </c>
      <c r="W5148" s="10">
        <v>1.0330665258373672</v>
      </c>
      <c r="X5148" s="420"/>
      <c r="Y5148" s="420"/>
    </row>
    <row r="5149" spans="17:25">
      <c r="Q5149" s="6">
        <v>5119</v>
      </c>
      <c r="R5149" s="7">
        <v>47786</v>
      </c>
      <c r="S5149" s="210">
        <v>4</v>
      </c>
      <c r="T5149" s="8">
        <v>1.0001111111111112</v>
      </c>
      <c r="U5149" s="98">
        <v>3.9921995844853342</v>
      </c>
      <c r="V5149" s="106">
        <v>39350.759340966622</v>
      </c>
      <c r="W5149" s="10">
        <v>1.0330844533851025</v>
      </c>
      <c r="X5149" s="420"/>
      <c r="Y5149" s="420"/>
    </row>
    <row r="5150" spans="17:25">
      <c r="Q5150" s="6">
        <v>5120</v>
      </c>
      <c r="R5150" s="7">
        <v>47787</v>
      </c>
      <c r="S5150" s="210">
        <v>4</v>
      </c>
      <c r="T5150" s="8">
        <v>1.0001111111111112</v>
      </c>
      <c r="U5150" s="98">
        <v>3.9922281741444188</v>
      </c>
      <c r="V5150" s="106">
        <v>39353.925566456994</v>
      </c>
      <c r="W5150" s="10">
        <v>1.0331023739330814</v>
      </c>
      <c r="X5150" s="420"/>
      <c r="Y5150" s="420"/>
    </row>
    <row r="5151" spans="17:25">
      <c r="Q5151" s="6">
        <v>5121</v>
      </c>
      <c r="R5151" s="7">
        <v>47788</v>
      </c>
      <c r="S5151" s="210">
        <v>4</v>
      </c>
      <c r="T5151" s="8">
        <v>1.0001111111111112</v>
      </c>
      <c r="U5151" s="98">
        <v>3.9922567526457176</v>
      </c>
      <c r="V5151" s="106">
        <v>39357.092046706974</v>
      </c>
      <c r="W5151" s="10">
        <v>1.0331202874853895</v>
      </c>
      <c r="X5151" s="420"/>
      <c r="Y5151" s="420"/>
    </row>
    <row r="5152" spans="17:25">
      <c r="Q5152" s="6">
        <v>5122</v>
      </c>
      <c r="R5152" s="7">
        <v>47789</v>
      </c>
      <c r="S5152" s="210">
        <v>4</v>
      </c>
      <c r="T5152" s="8">
        <v>1.0001111111111112</v>
      </c>
      <c r="U5152" s="98">
        <v>3.9922853199957364</v>
      </c>
      <c r="V5152" s="106">
        <v>39360.258781737051</v>
      </c>
      <c r="W5152" s="10">
        <v>1.0331381940461348</v>
      </c>
      <c r="X5152" s="420"/>
      <c r="Y5152" s="420"/>
    </row>
    <row r="5153" spans="17:25">
      <c r="Q5153" s="6">
        <v>5123</v>
      </c>
      <c r="R5153" s="7">
        <v>47790</v>
      </c>
      <c r="S5153" s="210">
        <v>4</v>
      </c>
      <c r="T5153" s="8">
        <v>1.0001111111111112</v>
      </c>
      <c r="U5153" s="98">
        <v>3.9923138762010257</v>
      </c>
      <c r="V5153" s="106">
        <v>39363.425771567723</v>
      </c>
      <c r="W5153" s="10">
        <v>1.0331560936193807</v>
      </c>
      <c r="X5153" s="420"/>
      <c r="Y5153" s="420"/>
    </row>
    <row r="5154" spans="17:25">
      <c r="Q5154" s="6">
        <v>5124</v>
      </c>
      <c r="R5154" s="7">
        <v>47791</v>
      </c>
      <c r="S5154" s="210">
        <v>4</v>
      </c>
      <c r="T5154" s="8">
        <v>1.0001111111111112</v>
      </c>
      <c r="U5154" s="98">
        <v>3.9923424212680914</v>
      </c>
      <c r="V5154" s="106">
        <v>39366.593016219507</v>
      </c>
      <c r="W5154" s="10">
        <v>1.033173986209257</v>
      </c>
      <c r="X5154" s="420"/>
      <c r="Y5154" s="420"/>
    </row>
    <row r="5155" spans="17:25">
      <c r="Q5155" s="6">
        <v>5125</v>
      </c>
      <c r="R5155" s="7">
        <v>47792</v>
      </c>
      <c r="S5155" s="210">
        <v>4</v>
      </c>
      <c r="T5155" s="8">
        <v>1.0001111111111112</v>
      </c>
      <c r="U5155" s="98">
        <v>3.9923709552034392</v>
      </c>
      <c r="V5155" s="106">
        <v>39369.7605157129</v>
      </c>
      <c r="W5155" s="10">
        <v>1.0331918718198052</v>
      </c>
      <c r="X5155" s="420"/>
      <c r="Y5155" s="420"/>
    </row>
    <row r="5156" spans="17:25">
      <c r="Q5156" s="6">
        <v>5126</v>
      </c>
      <c r="R5156" s="7">
        <v>47793</v>
      </c>
      <c r="S5156" s="210">
        <v>4</v>
      </c>
      <c r="T5156" s="8">
        <v>1.0001111111111112</v>
      </c>
      <c r="U5156" s="98">
        <v>3.9923994780135974</v>
      </c>
      <c r="V5156" s="106">
        <v>39372.928270068398</v>
      </c>
      <c r="W5156" s="10">
        <v>1.033209750455133</v>
      </c>
      <c r="X5156" s="420"/>
      <c r="Y5156" s="420"/>
    </row>
    <row r="5157" spans="17:25">
      <c r="Q5157" s="6">
        <v>5127</v>
      </c>
      <c r="R5157" s="7">
        <v>47794</v>
      </c>
      <c r="S5157" s="210">
        <v>4</v>
      </c>
      <c r="T5157" s="8">
        <v>1.0001111111111112</v>
      </c>
      <c r="U5157" s="98">
        <v>3.9924279897050496</v>
      </c>
      <c r="V5157" s="106">
        <v>39376.096279306519</v>
      </c>
      <c r="W5157" s="10">
        <v>1.033227622119326</v>
      </c>
      <c r="X5157" s="420"/>
      <c r="Y5157" s="420"/>
    </row>
    <row r="5158" spans="17:25">
      <c r="Q5158" s="6">
        <v>5128</v>
      </c>
      <c r="R5158" s="7">
        <v>47795</v>
      </c>
      <c r="S5158" s="210">
        <v>4</v>
      </c>
      <c r="T5158" s="8">
        <v>1.0001111111111112</v>
      </c>
      <c r="U5158" s="98">
        <v>3.992456490284324</v>
      </c>
      <c r="V5158" s="106">
        <v>39379.26454344776</v>
      </c>
      <c r="W5158" s="10">
        <v>1.0332454868164254</v>
      </c>
      <c r="X5158" s="420"/>
      <c r="Y5158" s="420"/>
    </row>
    <row r="5159" spans="17:25">
      <c r="Q5159" s="6">
        <v>5129</v>
      </c>
      <c r="R5159" s="7">
        <v>47796</v>
      </c>
      <c r="S5159" s="210">
        <v>4</v>
      </c>
      <c r="T5159" s="8">
        <v>1.0001111111111112</v>
      </c>
      <c r="U5159" s="98">
        <v>3.9924849797579043</v>
      </c>
      <c r="V5159" s="106">
        <v>39382.433062512653</v>
      </c>
      <c r="W5159" s="10">
        <v>1.0332633445505612</v>
      </c>
      <c r="X5159" s="420"/>
      <c r="Y5159" s="420"/>
    </row>
    <row r="5160" spans="17:25">
      <c r="Q5160" s="6">
        <v>5130</v>
      </c>
      <c r="R5160" s="7">
        <v>47797</v>
      </c>
      <c r="S5160" s="210">
        <v>4</v>
      </c>
      <c r="T5160" s="8">
        <v>1.0001111111111112</v>
      </c>
      <c r="U5160" s="98">
        <v>3.9925134581322741</v>
      </c>
      <c r="V5160" s="106">
        <v>39385.601836521681</v>
      </c>
      <c r="W5160" s="10">
        <v>1.0332811953257526</v>
      </c>
      <c r="X5160" s="420"/>
      <c r="Y5160" s="420"/>
    </row>
    <row r="5161" spans="17:25">
      <c r="Q5161" s="6">
        <v>5131</v>
      </c>
      <c r="R5161" s="7">
        <v>47798</v>
      </c>
      <c r="S5161" s="210">
        <v>4</v>
      </c>
      <c r="T5161" s="8">
        <v>1.0001111111111112</v>
      </c>
      <c r="U5161" s="98">
        <v>3.9925419254139172</v>
      </c>
      <c r="V5161" s="106">
        <v>39388.770865495375</v>
      </c>
      <c r="W5161" s="10">
        <v>1.0332990391461072</v>
      </c>
      <c r="X5161" s="420"/>
      <c r="Y5161" s="420"/>
    </row>
    <row r="5162" spans="17:25">
      <c r="Q5162" s="6">
        <v>5132</v>
      </c>
      <c r="R5162" s="7">
        <v>47799</v>
      </c>
      <c r="S5162" s="210">
        <v>4</v>
      </c>
      <c r="T5162" s="8">
        <v>1.0001111111111112</v>
      </c>
      <c r="U5162" s="98">
        <v>3.9925703816093172</v>
      </c>
      <c r="V5162" s="106">
        <v>39391.940149454247</v>
      </c>
      <c r="W5162" s="10">
        <v>1.0333168760156441</v>
      </c>
      <c r="X5162" s="420"/>
      <c r="Y5162" s="420"/>
    </row>
    <row r="5163" spans="17:25">
      <c r="Q5163" s="6">
        <v>5133</v>
      </c>
      <c r="R5163" s="7">
        <v>47800</v>
      </c>
      <c r="S5163" s="210">
        <v>4</v>
      </c>
      <c r="T5163" s="8">
        <v>1.0001111111111112</v>
      </c>
      <c r="U5163" s="98">
        <v>3.9925988267249579</v>
      </c>
      <c r="V5163" s="106">
        <v>39395.109688418815</v>
      </c>
      <c r="W5163" s="10">
        <v>1.033334705938449</v>
      </c>
      <c r="X5163" s="420"/>
      <c r="Y5163" s="420"/>
    </row>
    <row r="5164" spans="17:25">
      <c r="Q5164" s="6">
        <v>5134</v>
      </c>
      <c r="R5164" s="7">
        <v>47801</v>
      </c>
      <c r="S5164" s="210">
        <v>4</v>
      </c>
      <c r="T5164" s="8">
        <v>1.0001111111111112</v>
      </c>
      <c r="U5164" s="98">
        <v>3.9926272607673008</v>
      </c>
      <c r="V5164" s="106">
        <v>39398.279482409591</v>
      </c>
      <c r="W5164" s="10">
        <v>1.0333525289185852</v>
      </c>
      <c r="X5164" s="420"/>
      <c r="Y5164" s="420"/>
    </row>
    <row r="5165" spans="17:25">
      <c r="Q5165" s="6">
        <v>5135</v>
      </c>
      <c r="R5165" s="7">
        <v>47802</v>
      </c>
      <c r="S5165" s="210">
        <v>4</v>
      </c>
      <c r="T5165" s="8">
        <v>1.0001111111111112</v>
      </c>
      <c r="U5165" s="98">
        <v>3.9926556837428073</v>
      </c>
      <c r="V5165" s="106">
        <v>39401.449531447099</v>
      </c>
      <c r="W5165" s="10">
        <v>1.0333703449600939</v>
      </c>
      <c r="X5165" s="420"/>
      <c r="Y5165" s="420"/>
    </row>
    <row r="5166" spans="17:25">
      <c r="Q5166" s="6">
        <v>5136</v>
      </c>
      <c r="R5166" s="7">
        <v>47803</v>
      </c>
      <c r="S5166" s="210">
        <v>4</v>
      </c>
      <c r="T5166" s="8">
        <v>1.0001111111111112</v>
      </c>
      <c r="U5166" s="98">
        <v>3.992684095657939</v>
      </c>
      <c r="V5166" s="106">
        <v>39404.619835551857</v>
      </c>
      <c r="W5166" s="10">
        <v>1.0333881540670387</v>
      </c>
      <c r="X5166" s="420"/>
      <c r="Y5166" s="420"/>
    </row>
    <row r="5167" spans="17:25">
      <c r="Q5167" s="6">
        <v>5137</v>
      </c>
      <c r="R5167" s="7">
        <v>47804</v>
      </c>
      <c r="S5167" s="210">
        <v>4</v>
      </c>
      <c r="T5167" s="8">
        <v>1.0001111111111112</v>
      </c>
      <c r="U5167" s="98">
        <v>3.9927124965191574</v>
      </c>
      <c r="V5167" s="106">
        <v>39407.790394744385</v>
      </c>
      <c r="W5167" s="10">
        <v>1.0334059562434605</v>
      </c>
      <c r="X5167" s="420"/>
      <c r="Y5167" s="420"/>
    </row>
    <row r="5168" spans="17:25">
      <c r="Q5168" s="6">
        <v>5138</v>
      </c>
      <c r="R5168" s="7">
        <v>47805</v>
      </c>
      <c r="S5168" s="210">
        <v>4</v>
      </c>
      <c r="T5168" s="8">
        <v>1.0001111111111112</v>
      </c>
      <c r="U5168" s="98">
        <v>3.9927408863329017</v>
      </c>
      <c r="V5168" s="106">
        <v>39410.961209045221</v>
      </c>
      <c r="W5168" s="10">
        <v>1.0334237514934008</v>
      </c>
      <c r="X5168" s="420"/>
      <c r="Y5168" s="420"/>
    </row>
    <row r="5169" spans="17:25">
      <c r="Q5169" s="6">
        <v>5139</v>
      </c>
      <c r="R5169" s="7">
        <v>47806</v>
      </c>
      <c r="S5169" s="210">
        <v>4</v>
      </c>
      <c r="T5169" s="8">
        <v>1.0001111111111112</v>
      </c>
      <c r="U5169" s="98">
        <v>3.9927692651056113</v>
      </c>
      <c r="V5169" s="106">
        <v>39414.132278474885</v>
      </c>
      <c r="W5169" s="10">
        <v>1.0334415398209007</v>
      </c>
      <c r="X5169" s="420"/>
      <c r="Y5169" s="420"/>
    </row>
    <row r="5170" spans="17:25">
      <c r="Q5170" s="6">
        <v>5140</v>
      </c>
      <c r="R5170" s="7">
        <v>47807</v>
      </c>
      <c r="S5170" s="210">
        <v>4</v>
      </c>
      <c r="T5170" s="8">
        <v>1.0001111111111112</v>
      </c>
      <c r="U5170" s="98">
        <v>3.9927976328437476</v>
      </c>
      <c r="V5170" s="106">
        <v>39417.303603053901</v>
      </c>
      <c r="W5170" s="10">
        <v>1.0334593212300014</v>
      </c>
      <c r="X5170" s="420"/>
      <c r="Y5170" s="420"/>
    </row>
    <row r="5171" spans="17:25">
      <c r="Q5171" s="6">
        <v>5141</v>
      </c>
      <c r="R5171" s="7">
        <v>47808</v>
      </c>
      <c r="S5171" s="210">
        <v>4</v>
      </c>
      <c r="T5171" s="8">
        <v>1.0001111111111112</v>
      </c>
      <c r="U5171" s="98">
        <v>3.9928259895537277</v>
      </c>
      <c r="V5171" s="106">
        <v>39420.475182802795</v>
      </c>
      <c r="W5171" s="10">
        <v>1.0334770957247219</v>
      </c>
      <c r="X5171" s="420"/>
      <c r="Y5171" s="420"/>
    </row>
    <row r="5172" spans="17:25">
      <c r="Q5172" s="6">
        <v>5142</v>
      </c>
      <c r="R5172" s="7">
        <v>47809</v>
      </c>
      <c r="S5172" s="210">
        <v>4</v>
      </c>
      <c r="T5172" s="8">
        <v>1.0001111111111112</v>
      </c>
      <c r="U5172" s="98">
        <v>3.992854335241991</v>
      </c>
      <c r="V5172" s="106">
        <v>39423.647017742114</v>
      </c>
      <c r="W5172" s="10">
        <v>1.0334948633091257</v>
      </c>
      <c r="X5172" s="420"/>
      <c r="Y5172" s="420"/>
    </row>
    <row r="5173" spans="17:25">
      <c r="Q5173" s="6">
        <v>5143</v>
      </c>
      <c r="R5173" s="7">
        <v>47810</v>
      </c>
      <c r="S5173" s="210">
        <v>4</v>
      </c>
      <c r="T5173" s="8">
        <v>1.0001111111111112</v>
      </c>
      <c r="U5173" s="98">
        <v>3.9928826699149544</v>
      </c>
      <c r="V5173" s="106">
        <v>39426.819107892377</v>
      </c>
      <c r="W5173" s="10">
        <v>1.0335126239872316</v>
      </c>
      <c r="X5173" s="420"/>
      <c r="Y5173" s="420"/>
    </row>
    <row r="5174" spans="17:25">
      <c r="Q5174" s="6">
        <v>5144</v>
      </c>
      <c r="R5174" s="7">
        <v>47811</v>
      </c>
      <c r="S5174" s="210">
        <v>4</v>
      </c>
      <c r="T5174" s="8">
        <v>1.0001111111111112</v>
      </c>
      <c r="U5174" s="98">
        <v>3.9929109935790574</v>
      </c>
      <c r="V5174" s="106">
        <v>39429.991453274131</v>
      </c>
      <c r="W5174" s="10">
        <v>1.0335303777630811</v>
      </c>
      <c r="X5174" s="420"/>
      <c r="Y5174" s="420"/>
    </row>
    <row r="5175" spans="17:25">
      <c r="Q5175" s="6">
        <v>5145</v>
      </c>
      <c r="R5175" s="7">
        <v>47812</v>
      </c>
      <c r="S5175" s="210">
        <v>4</v>
      </c>
      <c r="T5175" s="8">
        <v>1.0001111111111112</v>
      </c>
      <c r="U5175" s="98">
        <v>3.9929393062406948</v>
      </c>
      <c r="V5175" s="106">
        <v>39433.164053907902</v>
      </c>
      <c r="W5175" s="10">
        <v>1.0335481246406486</v>
      </c>
      <c r="X5175" s="420"/>
      <c r="Y5175" s="420"/>
    </row>
    <row r="5176" spans="17:25">
      <c r="Q5176" s="6">
        <v>5146</v>
      </c>
      <c r="R5176" s="7">
        <v>47813</v>
      </c>
      <c r="S5176" s="210">
        <v>4</v>
      </c>
      <c r="T5176" s="8">
        <v>1.0001111111111112</v>
      </c>
      <c r="U5176" s="98">
        <v>3.9929676079062837</v>
      </c>
      <c r="V5176" s="106">
        <v>39436.336909814221</v>
      </c>
      <c r="W5176" s="10">
        <v>1.0335658646239976</v>
      </c>
      <c r="X5176" s="420"/>
      <c r="Y5176" s="420"/>
    </row>
    <row r="5177" spans="17:25">
      <c r="Q5177" s="6">
        <v>5147</v>
      </c>
      <c r="R5177" s="7">
        <v>47814</v>
      </c>
      <c r="S5177" s="210">
        <v>4</v>
      </c>
      <c r="T5177" s="8">
        <v>1.0001111111111112</v>
      </c>
      <c r="U5177" s="98">
        <v>3.9929958985822189</v>
      </c>
      <c r="V5177" s="106">
        <v>39439.510021013652</v>
      </c>
      <c r="W5177" s="10">
        <v>1.0335835977171248</v>
      </c>
      <c r="X5177" s="420"/>
      <c r="Y5177" s="420"/>
    </row>
    <row r="5178" spans="17:25">
      <c r="Q5178" s="6">
        <v>5148</v>
      </c>
      <c r="R5178" s="7">
        <v>47815</v>
      </c>
      <c r="S5178" s="210">
        <v>4</v>
      </c>
      <c r="T5178" s="8">
        <v>1.0001111111111112</v>
      </c>
      <c r="U5178" s="98">
        <v>3.9930241782749176</v>
      </c>
      <c r="V5178" s="106">
        <v>39442.683387526718</v>
      </c>
      <c r="W5178" s="10">
        <v>1.0336013239240716</v>
      </c>
      <c r="X5178" s="420"/>
      <c r="Y5178" s="420"/>
    </row>
    <row r="5179" spans="17:25">
      <c r="Q5179" s="6">
        <v>5149</v>
      </c>
      <c r="R5179" s="7">
        <v>47816</v>
      </c>
      <c r="S5179" s="210">
        <v>4</v>
      </c>
      <c r="T5179" s="8">
        <v>1.0001111111111112</v>
      </c>
      <c r="U5179" s="98">
        <v>3.9930524469907525</v>
      </c>
      <c r="V5179" s="106">
        <v>39445.857009373962</v>
      </c>
      <c r="W5179" s="10">
        <v>1.0336190432487902</v>
      </c>
      <c r="X5179" s="420"/>
      <c r="Y5179" s="420"/>
    </row>
    <row r="5180" spans="17:25">
      <c r="Q5180" s="6">
        <v>5150</v>
      </c>
      <c r="R5180" s="7">
        <v>47817</v>
      </c>
      <c r="S5180" s="210">
        <v>4</v>
      </c>
      <c r="T5180" s="8">
        <v>1.0001111111111112</v>
      </c>
      <c r="U5180" s="98">
        <v>3.9930807047361183</v>
      </c>
      <c r="V5180" s="106">
        <v>39449.030886575929</v>
      </c>
      <c r="W5180" s="10">
        <v>1.0336367556953441</v>
      </c>
      <c r="X5180" s="420"/>
      <c r="Y5180" s="420"/>
    </row>
    <row r="5181" spans="17:25">
      <c r="Q5181" s="6">
        <v>5151</v>
      </c>
      <c r="R5181" s="7">
        <v>47818</v>
      </c>
      <c r="S5181" s="210">
        <v>4</v>
      </c>
      <c r="T5181" s="8">
        <v>1.0001111111111112</v>
      </c>
      <c r="U5181" s="98">
        <v>3.9931089515174101</v>
      </c>
      <c r="V5181" s="106">
        <v>39452.205019153182</v>
      </c>
      <c r="W5181" s="10">
        <v>1.0336544612677079</v>
      </c>
      <c r="X5181" s="420"/>
      <c r="Y5181" s="420"/>
    </row>
    <row r="5182" spans="17:25">
      <c r="Q5182" s="6">
        <v>5152</v>
      </c>
      <c r="R5182" s="7">
        <v>47819</v>
      </c>
      <c r="S5182" s="210">
        <v>4</v>
      </c>
      <c r="T5182" s="8">
        <v>1.0001111111111112</v>
      </c>
      <c r="U5182" s="98">
        <v>3.9931371873410226</v>
      </c>
      <c r="V5182" s="106">
        <v>39455.379407126245</v>
      </c>
      <c r="W5182" s="10">
        <v>1.0336721599699006</v>
      </c>
      <c r="X5182" s="420"/>
      <c r="Y5182" s="420"/>
    </row>
    <row r="5183" spans="17:25">
      <c r="Q5183" s="6">
        <v>5153</v>
      </c>
      <c r="R5183" s="7">
        <v>47820</v>
      </c>
      <c r="S5183" s="210">
        <v>4</v>
      </c>
      <c r="T5183" s="8">
        <v>1.0001111111111112</v>
      </c>
      <c r="U5183" s="98">
        <v>3.9931654122133065</v>
      </c>
      <c r="V5183" s="106">
        <v>39458.554050515682</v>
      </c>
      <c r="W5183" s="10">
        <v>1.0336898518058968</v>
      </c>
      <c r="X5183" s="420"/>
      <c r="Y5183" s="420"/>
    </row>
    <row r="5184" spans="17:25">
      <c r="Q5184" s="6">
        <v>5154</v>
      </c>
      <c r="R5184" s="7">
        <v>47821</v>
      </c>
      <c r="S5184" s="210">
        <v>4</v>
      </c>
      <c r="T5184" s="8">
        <v>1.0001111111111112</v>
      </c>
      <c r="U5184" s="98">
        <v>3.9931936261406342</v>
      </c>
      <c r="V5184" s="106">
        <v>39461.728949342047</v>
      </c>
      <c r="W5184" s="10">
        <v>1.0337075367797155</v>
      </c>
      <c r="X5184" s="420"/>
      <c r="Y5184" s="420"/>
    </row>
    <row r="5185" spans="17:25">
      <c r="Q5185" s="6">
        <v>5155</v>
      </c>
      <c r="R5185" s="7">
        <v>47822</v>
      </c>
      <c r="S5185" s="210">
        <v>4</v>
      </c>
      <c r="T5185" s="8">
        <v>1.0001111111111112</v>
      </c>
      <c r="U5185" s="98">
        <v>3.9932218291293786</v>
      </c>
      <c r="V5185" s="106">
        <v>39464.904103625871</v>
      </c>
      <c r="W5185" s="10">
        <v>1.0337252148953535</v>
      </c>
      <c r="X5185" s="420"/>
      <c r="Y5185" s="420"/>
    </row>
    <row r="5186" spans="17:25">
      <c r="Q5186" s="6">
        <v>5156</v>
      </c>
      <c r="R5186" s="7">
        <v>47823</v>
      </c>
      <c r="S5186" s="210">
        <v>4</v>
      </c>
      <c r="T5186" s="8">
        <v>1.0001111111111112</v>
      </c>
      <c r="U5186" s="98">
        <v>3.9932500211858901</v>
      </c>
      <c r="V5186" s="106">
        <v>39468.079513387733</v>
      </c>
      <c r="W5186" s="10">
        <v>1.0337428861567632</v>
      </c>
      <c r="X5186" s="420"/>
      <c r="Y5186" s="420"/>
    </row>
    <row r="5187" spans="17:25">
      <c r="Q5187" s="6">
        <v>5157</v>
      </c>
      <c r="R5187" s="7">
        <v>47824</v>
      </c>
      <c r="S5187" s="210">
        <v>4</v>
      </c>
      <c r="T5187" s="8">
        <v>1.0001111111111112</v>
      </c>
      <c r="U5187" s="98">
        <v>3.9932782023165192</v>
      </c>
      <c r="V5187" s="106">
        <v>39471.255178648178</v>
      </c>
      <c r="W5187" s="10">
        <v>1.0337605505679415</v>
      </c>
      <c r="X5187" s="420"/>
      <c r="Y5187" s="420"/>
    </row>
    <row r="5188" spans="17:25">
      <c r="Q5188" s="6">
        <v>5158</v>
      </c>
      <c r="R5188" s="7">
        <v>47825</v>
      </c>
      <c r="S5188" s="210">
        <v>4</v>
      </c>
      <c r="T5188" s="8">
        <v>1.0001111111111112</v>
      </c>
      <c r="U5188" s="98">
        <v>3.9933063725276385</v>
      </c>
      <c r="V5188" s="106">
        <v>39474.431099427769</v>
      </c>
      <c r="W5188" s="10">
        <v>1.0337782081329072</v>
      </c>
      <c r="X5188" s="420"/>
      <c r="Y5188" s="420"/>
    </row>
    <row r="5189" spans="17:25">
      <c r="Q5189" s="6">
        <v>5159</v>
      </c>
      <c r="R5189" s="7">
        <v>47826</v>
      </c>
      <c r="S5189" s="210">
        <v>4</v>
      </c>
      <c r="T5189" s="8">
        <v>1.0001111111111112</v>
      </c>
      <c r="U5189" s="98">
        <v>3.9933345318255764</v>
      </c>
      <c r="V5189" s="106">
        <v>39477.607275747061</v>
      </c>
      <c r="W5189" s="10">
        <v>1.0337958588555907</v>
      </c>
      <c r="X5189" s="420"/>
      <c r="Y5189" s="420"/>
    </row>
    <row r="5190" spans="17:25">
      <c r="Q5190" s="6">
        <v>5160</v>
      </c>
      <c r="R5190" s="7">
        <v>47827</v>
      </c>
      <c r="S5190" s="210">
        <v>4</v>
      </c>
      <c r="T5190" s="8">
        <v>1.0001111111111112</v>
      </c>
      <c r="U5190" s="98">
        <v>3.9933626802166833</v>
      </c>
      <c r="V5190" s="106">
        <v>39480.783707626615</v>
      </c>
      <c r="W5190" s="10">
        <v>1.0338135027400108</v>
      </c>
      <c r="X5190" s="420"/>
      <c r="Y5190" s="420"/>
    </row>
    <row r="5191" spans="17:25">
      <c r="Q5191" s="6">
        <v>5161</v>
      </c>
      <c r="R5191" s="7">
        <v>47828</v>
      </c>
      <c r="S5191" s="210">
        <v>4</v>
      </c>
      <c r="T5191" s="8">
        <v>1.0001111111111112</v>
      </c>
      <c r="U5191" s="98">
        <v>3.9933908177072874</v>
      </c>
      <c r="V5191" s="106">
        <v>39483.960395086993</v>
      </c>
      <c r="W5191" s="10">
        <v>1.0338311397901201</v>
      </c>
      <c r="X5191" s="420"/>
      <c r="Y5191" s="420"/>
    </row>
    <row r="5192" spans="17:25">
      <c r="Q5192" s="6">
        <v>5162</v>
      </c>
      <c r="R5192" s="7">
        <v>47829</v>
      </c>
      <c r="S5192" s="210">
        <v>4</v>
      </c>
      <c r="T5192" s="8">
        <v>1.0001111111111112</v>
      </c>
      <c r="U5192" s="98">
        <v>3.9934189443037171</v>
      </c>
      <c r="V5192" s="106">
        <v>39487.137338148765</v>
      </c>
      <c r="W5192" s="10">
        <v>1.0338487700098709</v>
      </c>
      <c r="X5192" s="420"/>
      <c r="Y5192" s="420"/>
    </row>
    <row r="5193" spans="17:25">
      <c r="Q5193" s="6">
        <v>5163</v>
      </c>
      <c r="R5193" s="7">
        <v>47830</v>
      </c>
      <c r="S5193" s="210">
        <v>4</v>
      </c>
      <c r="T5193" s="8">
        <v>1.0001111111111112</v>
      </c>
      <c r="U5193" s="98">
        <v>3.9934470600123007</v>
      </c>
      <c r="V5193" s="106">
        <v>39490.314536832491</v>
      </c>
      <c r="W5193" s="10">
        <v>1.0338663934032377</v>
      </c>
      <c r="X5193" s="420"/>
      <c r="Y5193" s="420"/>
    </row>
    <row r="5194" spans="17:25">
      <c r="Q5194" s="6">
        <v>5164</v>
      </c>
      <c r="R5194" s="7">
        <v>47831</v>
      </c>
      <c r="S5194" s="210">
        <v>4</v>
      </c>
      <c r="T5194" s="8">
        <v>1.0001111111111112</v>
      </c>
      <c r="U5194" s="98">
        <v>3.9934751648393663</v>
      </c>
      <c r="V5194" s="106">
        <v>39493.491991158749</v>
      </c>
      <c r="W5194" s="10">
        <v>1.0338840099742175</v>
      </c>
      <c r="X5194" s="420"/>
      <c r="Y5194" s="420"/>
    </row>
    <row r="5195" spans="17:25">
      <c r="Q5195" s="6">
        <v>5165</v>
      </c>
      <c r="R5195" s="7">
        <v>47832</v>
      </c>
      <c r="S5195" s="210">
        <v>4</v>
      </c>
      <c r="T5195" s="8">
        <v>1.0001111111111112</v>
      </c>
      <c r="U5195" s="98">
        <v>3.99350325879122</v>
      </c>
      <c r="V5195" s="106">
        <v>39496.669701148094</v>
      </c>
      <c r="W5195" s="10">
        <v>1.0339016197267403</v>
      </c>
      <c r="X5195" s="420"/>
      <c r="Y5195" s="420"/>
    </row>
    <row r="5196" spans="17:25">
      <c r="Q5196" s="6">
        <v>5166</v>
      </c>
      <c r="R5196" s="7">
        <v>47833</v>
      </c>
      <c r="S5196" s="210">
        <v>4</v>
      </c>
      <c r="T5196" s="8">
        <v>1.0001111111111112</v>
      </c>
      <c r="U5196" s="98">
        <v>3.9935313418741902</v>
      </c>
      <c r="V5196" s="106">
        <v>39499.847666821101</v>
      </c>
      <c r="W5196" s="10">
        <v>1.0339192226647809</v>
      </c>
      <c r="X5196" s="420"/>
      <c r="Y5196" s="420"/>
    </row>
    <row r="5197" spans="17:25">
      <c r="Q5197" s="6">
        <v>5167</v>
      </c>
      <c r="R5197" s="7">
        <v>47834</v>
      </c>
      <c r="S5197" s="210">
        <v>4</v>
      </c>
      <c r="T5197" s="8">
        <v>1.0001111111111112</v>
      </c>
      <c r="U5197" s="98">
        <v>3.9935594140945607</v>
      </c>
      <c r="V5197" s="106">
        <v>39503.025888198354</v>
      </c>
      <c r="W5197" s="10">
        <v>1.0339368187922915</v>
      </c>
      <c r="X5197" s="420"/>
      <c r="Y5197" s="420"/>
    </row>
    <row r="5198" spans="17:25">
      <c r="Q5198" s="6">
        <v>5168</v>
      </c>
      <c r="R5198" s="7">
        <v>47835</v>
      </c>
      <c r="S5198" s="210">
        <v>4</v>
      </c>
      <c r="T5198" s="8">
        <v>1.0001111111111112</v>
      </c>
      <c r="U5198" s="98">
        <v>3.9935874754586376</v>
      </c>
      <c r="V5198" s="106">
        <v>39506.204365300415</v>
      </c>
      <c r="W5198" s="10">
        <v>1.0339544081132024</v>
      </c>
      <c r="X5198" s="420"/>
      <c r="Y5198" s="420"/>
    </row>
    <row r="5199" spans="17:25">
      <c r="Q5199" s="6">
        <v>5169</v>
      </c>
      <c r="R5199" s="7">
        <v>47836</v>
      </c>
      <c r="S5199" s="210">
        <v>4</v>
      </c>
      <c r="T5199" s="8">
        <v>1.0001111111111112</v>
      </c>
      <c r="U5199" s="98">
        <v>3.9936155259727268</v>
      </c>
      <c r="V5199" s="106">
        <v>39509.383098147868</v>
      </c>
      <c r="W5199" s="10">
        <v>1.0339719906314881</v>
      </c>
      <c r="X5199" s="420"/>
      <c r="Y5199" s="420"/>
    </row>
    <row r="5200" spans="17:25">
      <c r="Q5200" s="6">
        <v>5170</v>
      </c>
      <c r="R5200" s="7">
        <v>47837</v>
      </c>
      <c r="S5200" s="210">
        <v>4</v>
      </c>
      <c r="T5200" s="8">
        <v>1.0001111111111112</v>
      </c>
      <c r="U5200" s="98">
        <v>3.9936435656431124</v>
      </c>
      <c r="V5200" s="106">
        <v>39512.562086761282</v>
      </c>
      <c r="W5200" s="10">
        <v>1.0339895663510568</v>
      </c>
      <c r="X5200" s="420"/>
      <c r="Y5200" s="420"/>
    </row>
    <row r="5201" spans="17:25">
      <c r="Q5201" s="6">
        <v>5171</v>
      </c>
      <c r="R5201" s="7">
        <v>47838</v>
      </c>
      <c r="S5201" s="210">
        <v>4</v>
      </c>
      <c r="T5201" s="8">
        <v>1.0001111111111112</v>
      </c>
      <c r="U5201" s="98">
        <v>3.9936715944761003</v>
      </c>
      <c r="V5201" s="106">
        <v>39515.74133116124</v>
      </c>
      <c r="W5201" s="10">
        <v>1.0340071352759272</v>
      </c>
      <c r="X5201" s="420"/>
      <c r="Y5201" s="420"/>
    </row>
    <row r="5202" spans="17:25">
      <c r="Q5202" s="6">
        <v>5172</v>
      </c>
      <c r="R5202" s="7">
        <v>47839</v>
      </c>
      <c r="S5202" s="210">
        <v>4</v>
      </c>
      <c r="T5202" s="8">
        <v>1.0001111111111112</v>
      </c>
      <c r="U5202" s="98">
        <v>3.9936996124779522</v>
      </c>
      <c r="V5202" s="106">
        <v>39518.920831368327</v>
      </c>
      <c r="W5202" s="10">
        <v>1.0340246974099632</v>
      </c>
      <c r="X5202" s="420"/>
      <c r="Y5202" s="420"/>
    </row>
    <row r="5203" spans="17:25">
      <c r="Q5203" s="6">
        <v>5173</v>
      </c>
      <c r="R5203" s="7">
        <v>47840</v>
      </c>
      <c r="S5203" s="210">
        <v>4</v>
      </c>
      <c r="T5203" s="8">
        <v>1.0001111111111112</v>
      </c>
      <c r="U5203" s="98">
        <v>3.993727619654952</v>
      </c>
      <c r="V5203" s="106">
        <v>39522.100587403118</v>
      </c>
      <c r="W5203" s="10">
        <v>1.0340422527571391</v>
      </c>
      <c r="X5203" s="420"/>
      <c r="Y5203" s="420"/>
    </row>
    <row r="5204" spans="17:25">
      <c r="Q5204" s="6">
        <v>5174</v>
      </c>
      <c r="R5204" s="7">
        <v>47841</v>
      </c>
      <c r="S5204" s="210">
        <v>4</v>
      </c>
      <c r="T5204" s="8">
        <v>1.0001111111111112</v>
      </c>
      <c r="U5204" s="98">
        <v>3.9937556160133614</v>
      </c>
      <c r="V5204" s="106">
        <v>39525.280599286212</v>
      </c>
      <c r="W5204" s="10">
        <v>1.0340598013213853</v>
      </c>
      <c r="X5204" s="420"/>
      <c r="Y5204" s="420"/>
    </row>
    <row r="5205" spans="17:25">
      <c r="Q5205" s="6">
        <v>5175</v>
      </c>
      <c r="R5205" s="7">
        <v>47842</v>
      </c>
      <c r="S5205" s="210">
        <v>4</v>
      </c>
      <c r="T5205" s="8">
        <v>1.0001111111111112</v>
      </c>
      <c r="U5205" s="98">
        <v>3.9937836015594419</v>
      </c>
      <c r="V5205" s="106">
        <v>39528.460867038179</v>
      </c>
      <c r="W5205" s="10">
        <v>1.0340773431065875</v>
      </c>
      <c r="X5205" s="420"/>
      <c r="Y5205" s="420"/>
    </row>
    <row r="5206" spans="17:25">
      <c r="Q5206" s="6">
        <v>5176</v>
      </c>
      <c r="R5206" s="7">
        <v>47843</v>
      </c>
      <c r="S5206" s="210">
        <v>4</v>
      </c>
      <c r="T5206" s="8">
        <v>1.0001111111111112</v>
      </c>
      <c r="U5206" s="98">
        <v>3.9938115762994775</v>
      </c>
      <c r="V5206" s="106">
        <v>39531.641390679615</v>
      </c>
      <c r="W5206" s="10">
        <v>1.0340948781167425</v>
      </c>
      <c r="X5206" s="420"/>
      <c r="Y5206" s="420"/>
    </row>
    <row r="5207" spans="17:25">
      <c r="Q5207" s="6">
        <v>5177</v>
      </c>
      <c r="R5207" s="7">
        <v>47844</v>
      </c>
      <c r="S5207" s="210">
        <v>4</v>
      </c>
      <c r="T5207" s="8">
        <v>1.0001111111111112</v>
      </c>
      <c r="U5207" s="98">
        <v>3.9938395402397076</v>
      </c>
      <c r="V5207" s="106">
        <v>39534.822170231106</v>
      </c>
      <c r="W5207" s="10">
        <v>1.0341124063557139</v>
      </c>
      <c r="X5207" s="420"/>
      <c r="Y5207" s="420"/>
    </row>
    <row r="5208" spans="17:25">
      <c r="Q5208" s="6">
        <v>5178</v>
      </c>
      <c r="R5208" s="7">
        <v>47845</v>
      </c>
      <c r="S5208" s="210">
        <v>4</v>
      </c>
      <c r="T5208" s="8">
        <v>1.0001111111111112</v>
      </c>
      <c r="U5208" s="98">
        <v>3.9938674933863938</v>
      </c>
      <c r="V5208" s="106">
        <v>39538.003205713241</v>
      </c>
      <c r="W5208" s="10">
        <v>1.0341299278274541</v>
      </c>
      <c r="X5208" s="420"/>
      <c r="Y5208" s="420"/>
    </row>
    <row r="5209" spans="17:25">
      <c r="Q5209" s="6">
        <v>5179</v>
      </c>
      <c r="R5209" s="7">
        <v>47846</v>
      </c>
      <c r="S5209" s="210">
        <v>4</v>
      </c>
      <c r="T5209" s="8">
        <v>1.0001111111111112</v>
      </c>
      <c r="U5209" s="98">
        <v>3.9938954357457979</v>
      </c>
      <c r="V5209" s="106">
        <v>39541.18449714662</v>
      </c>
      <c r="W5209" s="10">
        <v>1.0341474425358932</v>
      </c>
      <c r="X5209" s="420"/>
      <c r="Y5209" s="420"/>
    </row>
    <row r="5210" spans="17:25">
      <c r="Q5210" s="6">
        <v>5180</v>
      </c>
      <c r="R5210" s="7">
        <v>47847</v>
      </c>
      <c r="S5210" s="210">
        <v>4</v>
      </c>
      <c r="T5210" s="8">
        <v>1.0001111111111112</v>
      </c>
      <c r="U5210" s="98">
        <v>3.993923367324137</v>
      </c>
      <c r="V5210" s="106">
        <v>39544.366044551833</v>
      </c>
      <c r="W5210" s="10">
        <v>1.0341649504849171</v>
      </c>
      <c r="X5210" s="420"/>
      <c r="Y5210" s="420"/>
    </row>
    <row r="5211" spans="17:25">
      <c r="Q5211" s="6">
        <v>5181</v>
      </c>
      <c r="R5211" s="7">
        <v>47848</v>
      </c>
      <c r="S5211" s="210">
        <v>4</v>
      </c>
      <c r="T5211" s="8">
        <v>1.0001111111111112</v>
      </c>
      <c r="U5211" s="98">
        <v>3.9939512881276729</v>
      </c>
      <c r="V5211" s="106">
        <v>39547.54784794947</v>
      </c>
      <c r="W5211" s="10">
        <v>1.0341824516784559</v>
      </c>
      <c r="X5211" s="420"/>
      <c r="Y5211" s="420"/>
    </row>
    <row r="5212" spans="17:25">
      <c r="Q5212" s="6">
        <v>5182</v>
      </c>
      <c r="R5212" s="7">
        <v>47849</v>
      </c>
      <c r="S5212" s="210">
        <v>4</v>
      </c>
      <c r="T5212" s="8">
        <v>1.0001111111111112</v>
      </c>
      <c r="U5212" s="98">
        <v>3.9939791981626227</v>
      </c>
      <c r="V5212" s="106">
        <v>39550.729907360139</v>
      </c>
      <c r="W5212" s="10">
        <v>1.0341999461204177</v>
      </c>
      <c r="X5212" s="420"/>
      <c r="Y5212" s="420"/>
    </row>
    <row r="5213" spans="17:25">
      <c r="Q5213" s="6">
        <v>5183</v>
      </c>
      <c r="R5213" s="7">
        <v>47850</v>
      </c>
      <c r="S5213" s="210">
        <v>4</v>
      </c>
      <c r="T5213" s="8">
        <v>1.0001111111111112</v>
      </c>
      <c r="U5213" s="98">
        <v>3.994007097435226</v>
      </c>
      <c r="V5213" s="106">
        <v>39553.912222804436</v>
      </c>
      <c r="W5213" s="10">
        <v>1.0342174338147103</v>
      </c>
      <c r="X5213" s="420"/>
      <c r="Y5213" s="420"/>
    </row>
    <row r="5214" spans="17:25">
      <c r="Q5214" s="6">
        <v>5184</v>
      </c>
      <c r="R5214" s="7">
        <v>47851</v>
      </c>
      <c r="S5214" s="210">
        <v>4</v>
      </c>
      <c r="T5214" s="8">
        <v>1.0001111111111112</v>
      </c>
      <c r="U5214" s="98">
        <v>3.9940349859516999</v>
      </c>
      <c r="V5214" s="106">
        <v>39557.094794302953</v>
      </c>
      <c r="W5214" s="10">
        <v>1.0342349147652197</v>
      </c>
      <c r="X5214" s="420"/>
      <c r="Y5214" s="420"/>
    </row>
    <row r="5215" spans="17:25">
      <c r="Q5215" s="6">
        <v>5185</v>
      </c>
      <c r="R5215" s="7">
        <v>47852</v>
      </c>
      <c r="S5215" s="210">
        <v>4</v>
      </c>
      <c r="T5215" s="8">
        <v>1.0001111111111112</v>
      </c>
      <c r="U5215" s="98">
        <v>3.9940628637182618</v>
      </c>
      <c r="V5215" s="106">
        <v>39560.277621876303</v>
      </c>
      <c r="W5215" s="10">
        <v>1.0342523889758759</v>
      </c>
      <c r="X5215" s="420"/>
      <c r="Y5215" s="420"/>
    </row>
    <row r="5216" spans="17:25">
      <c r="Q5216" s="6">
        <v>5186</v>
      </c>
      <c r="R5216" s="7">
        <v>47853</v>
      </c>
      <c r="S5216" s="210">
        <v>4</v>
      </c>
      <c r="T5216" s="8">
        <v>1.0001111111111112</v>
      </c>
      <c r="U5216" s="98">
        <v>3.9940907307411289</v>
      </c>
      <c r="V5216" s="106">
        <v>39563.460705545091</v>
      </c>
      <c r="W5216" s="10">
        <v>1.0342698564505426</v>
      </c>
      <c r="X5216" s="420"/>
      <c r="Y5216" s="420"/>
    </row>
    <row r="5217" spans="17:25">
      <c r="Q5217" s="6">
        <v>5187</v>
      </c>
      <c r="R5217" s="7">
        <v>47854</v>
      </c>
      <c r="S5217" s="210">
        <v>4</v>
      </c>
      <c r="T5217" s="8">
        <v>1.0001111111111112</v>
      </c>
      <c r="U5217" s="98">
        <v>3.9941185870265183</v>
      </c>
      <c r="V5217" s="106">
        <v>39566.644045329915</v>
      </c>
      <c r="W5217" s="10">
        <v>1.0342873171931277</v>
      </c>
      <c r="X5217" s="420"/>
      <c r="Y5217" s="420"/>
    </row>
    <row r="5218" spans="17:25">
      <c r="Q5218" s="6">
        <v>5188</v>
      </c>
      <c r="R5218" s="7">
        <v>47855</v>
      </c>
      <c r="S5218" s="210">
        <v>4</v>
      </c>
      <c r="T5218" s="8">
        <v>1.0001111111111112</v>
      </c>
      <c r="U5218" s="98">
        <v>3.9941464325806253</v>
      </c>
      <c r="V5218" s="106">
        <v>39569.827641251388</v>
      </c>
      <c r="W5218" s="10">
        <v>1.0343047712075393</v>
      </c>
      <c r="X5218" s="420"/>
      <c r="Y5218" s="420"/>
    </row>
    <row r="5219" spans="17:25">
      <c r="Q5219" s="6">
        <v>5189</v>
      </c>
      <c r="R5219" s="7">
        <v>47856</v>
      </c>
      <c r="S5219" s="210">
        <v>4</v>
      </c>
      <c r="T5219" s="8">
        <v>1.0001111111111112</v>
      </c>
      <c r="U5219" s="98">
        <v>3.9941742674096448</v>
      </c>
      <c r="V5219" s="106">
        <v>39573.011493330116</v>
      </c>
      <c r="W5219" s="10">
        <v>1.0343222184976408</v>
      </c>
      <c r="X5219" s="420"/>
      <c r="Y5219" s="420"/>
    </row>
    <row r="5220" spans="17:25">
      <c r="Q5220" s="6">
        <v>5190</v>
      </c>
      <c r="R5220" s="7">
        <v>47857</v>
      </c>
      <c r="S5220" s="210">
        <v>4</v>
      </c>
      <c r="T5220" s="8">
        <v>1.0001111111111112</v>
      </c>
      <c r="U5220" s="98">
        <v>3.994202091519794</v>
      </c>
      <c r="V5220" s="106">
        <v>39576.195601586711</v>
      </c>
      <c r="W5220" s="10">
        <v>1.0343396590673626</v>
      </c>
      <c r="X5220" s="420"/>
      <c r="Y5220" s="420"/>
    </row>
    <row r="5221" spans="17:25">
      <c r="Q5221" s="6">
        <v>5191</v>
      </c>
      <c r="R5221" s="7">
        <v>47858</v>
      </c>
      <c r="S5221" s="210">
        <v>4</v>
      </c>
      <c r="T5221" s="8">
        <v>1.0001111111111112</v>
      </c>
      <c r="U5221" s="98">
        <v>3.9942299049172458</v>
      </c>
      <c r="V5221" s="106">
        <v>39579.379966041794</v>
      </c>
      <c r="W5221" s="10">
        <v>1.0343570929205237</v>
      </c>
      <c r="X5221" s="420"/>
      <c r="Y5221" s="420"/>
    </row>
    <row r="5222" spans="17:25">
      <c r="Q5222" s="6">
        <v>5192</v>
      </c>
      <c r="R5222" s="7">
        <v>47859</v>
      </c>
      <c r="S5222" s="210">
        <v>4</v>
      </c>
      <c r="T5222" s="8">
        <v>1.0001111111111112</v>
      </c>
      <c r="U5222" s="98">
        <v>3.9942577076081731</v>
      </c>
      <c r="V5222" s="106">
        <v>39582.564586715962</v>
      </c>
      <c r="W5222" s="10">
        <v>1.0343745200610099</v>
      </c>
      <c r="X5222" s="420"/>
      <c r="Y5222" s="420"/>
    </row>
    <row r="5223" spans="17:25">
      <c r="Q5223" s="6">
        <v>5193</v>
      </c>
      <c r="R5223" s="7">
        <v>47860</v>
      </c>
      <c r="S5223" s="210">
        <v>4</v>
      </c>
      <c r="T5223" s="8">
        <v>1.0001111111111112</v>
      </c>
      <c r="U5223" s="98">
        <v>3.9942854995987709</v>
      </c>
      <c r="V5223" s="106">
        <v>39585.749463629843</v>
      </c>
      <c r="W5223" s="10">
        <v>1.0343919404927293</v>
      </c>
      <c r="X5223" s="420"/>
      <c r="Y5223" s="420"/>
    </row>
    <row r="5224" spans="17:25">
      <c r="Q5224" s="6">
        <v>5194</v>
      </c>
      <c r="R5224" s="7">
        <v>47861</v>
      </c>
      <c r="S5224" s="210">
        <v>4</v>
      </c>
      <c r="T5224" s="8">
        <v>1.0001111111111112</v>
      </c>
      <c r="U5224" s="98">
        <v>3.9943132808952342</v>
      </c>
      <c r="V5224" s="106">
        <v>39588.934596804051</v>
      </c>
      <c r="W5224" s="10">
        <v>1.0344093542195676</v>
      </c>
      <c r="X5224" s="420"/>
      <c r="Y5224" s="420"/>
    </row>
    <row r="5225" spans="17:25">
      <c r="Q5225" s="6">
        <v>5195</v>
      </c>
      <c r="R5225" s="7">
        <v>47862</v>
      </c>
      <c r="S5225" s="210">
        <v>4</v>
      </c>
      <c r="T5225" s="8">
        <v>1.0001111111111112</v>
      </c>
      <c r="U5225" s="98">
        <v>3.9943410515037137</v>
      </c>
      <c r="V5225" s="106">
        <v>39592.119986259204</v>
      </c>
      <c r="W5225" s="10">
        <v>1.0344267612453661</v>
      </c>
      <c r="X5225" s="420"/>
      <c r="Y5225" s="420"/>
    </row>
    <row r="5226" spans="17:25">
      <c r="Q5226" s="6">
        <v>5196</v>
      </c>
      <c r="R5226" s="7">
        <v>47863</v>
      </c>
      <c r="S5226" s="210">
        <v>4</v>
      </c>
      <c r="T5226" s="8">
        <v>1.0001111111111112</v>
      </c>
      <c r="U5226" s="98">
        <v>3.9943688114303821</v>
      </c>
      <c r="V5226" s="106">
        <v>39595.305632015923</v>
      </c>
      <c r="W5226" s="10">
        <v>1.0344441615740108</v>
      </c>
      <c r="X5226" s="420"/>
      <c r="Y5226" s="420"/>
    </row>
    <row r="5227" spans="17:25">
      <c r="Q5227" s="6">
        <v>5197</v>
      </c>
      <c r="R5227" s="7">
        <v>47864</v>
      </c>
      <c r="S5227" s="210">
        <v>4</v>
      </c>
      <c r="T5227" s="8">
        <v>1.0001111111111112</v>
      </c>
      <c r="U5227" s="98">
        <v>3.9943965606813903</v>
      </c>
      <c r="V5227" s="106">
        <v>39598.491534094836</v>
      </c>
      <c r="W5227" s="10">
        <v>1.0344615552093206</v>
      </c>
      <c r="X5227" s="420"/>
      <c r="Y5227" s="420"/>
    </row>
    <row r="5228" spans="17:25">
      <c r="Q5228" s="6">
        <v>5198</v>
      </c>
      <c r="R5228" s="7">
        <v>47865</v>
      </c>
      <c r="S5228" s="210">
        <v>4</v>
      </c>
      <c r="T5228" s="8">
        <v>1.0001111111111112</v>
      </c>
      <c r="U5228" s="98">
        <v>3.9944242992629109</v>
      </c>
      <c r="V5228" s="106">
        <v>39601.677692516561</v>
      </c>
      <c r="W5228" s="10">
        <v>1.0344789421552036</v>
      </c>
      <c r="X5228" s="420"/>
      <c r="Y5228" s="420"/>
    </row>
    <row r="5229" spans="17:25">
      <c r="Q5229" s="6">
        <v>5199</v>
      </c>
      <c r="R5229" s="7">
        <v>47866</v>
      </c>
      <c r="S5229" s="210">
        <v>4</v>
      </c>
      <c r="T5229" s="8">
        <v>1.0001111111111112</v>
      </c>
      <c r="U5229" s="98">
        <v>3.9944520271810724</v>
      </c>
      <c r="V5229" s="106">
        <v>39604.864107301728</v>
      </c>
      <c r="W5229" s="10">
        <v>1.0344963224155013</v>
      </c>
      <c r="X5229" s="420"/>
      <c r="Y5229" s="420"/>
    </row>
    <row r="5230" spans="17:25">
      <c r="Q5230" s="6">
        <v>5200</v>
      </c>
      <c r="R5230" s="7">
        <v>47867</v>
      </c>
      <c r="S5230" s="210">
        <v>4</v>
      </c>
      <c r="T5230" s="8">
        <v>1.0001111111111112</v>
      </c>
      <c r="U5230" s="98">
        <v>3.9944797444420477</v>
      </c>
      <c r="V5230" s="106">
        <v>39608.050778470955</v>
      </c>
      <c r="W5230" s="10">
        <v>1.0345136959940771</v>
      </c>
      <c r="X5230" s="420"/>
      <c r="Y5230" s="420"/>
    </row>
    <row r="5231" spans="17:25">
      <c r="Q5231" s="6">
        <v>5201</v>
      </c>
      <c r="R5231" s="7">
        <v>47868</v>
      </c>
      <c r="S5231" s="210">
        <v>4</v>
      </c>
      <c r="T5231" s="8">
        <v>1.0001111111111112</v>
      </c>
      <c r="U5231" s="98">
        <v>3.9945074510519651</v>
      </c>
      <c r="V5231" s="106">
        <v>39611.237706044885</v>
      </c>
      <c r="W5231" s="10">
        <v>1.0345310628947724</v>
      </c>
      <c r="X5231" s="420"/>
      <c r="Y5231" s="420"/>
    </row>
    <row r="5232" spans="17:25">
      <c r="Q5232" s="6">
        <v>5202</v>
      </c>
      <c r="R5232" s="7">
        <v>47869</v>
      </c>
      <c r="S5232" s="210">
        <v>4</v>
      </c>
      <c r="T5232" s="8">
        <v>1.0001111111111112</v>
      </c>
      <c r="U5232" s="98">
        <v>3.9945351470169754</v>
      </c>
      <c r="V5232" s="106">
        <v>39614.424890044138</v>
      </c>
      <c r="W5232" s="10">
        <v>1.0345484231214508</v>
      </c>
      <c r="X5232" s="420"/>
      <c r="Y5232" s="420"/>
    </row>
    <row r="5233" spans="17:25">
      <c r="Q5233" s="6">
        <v>5203</v>
      </c>
      <c r="R5233" s="7">
        <v>47870</v>
      </c>
      <c r="S5233" s="210">
        <v>4</v>
      </c>
      <c r="T5233" s="8">
        <v>1.0001111111111112</v>
      </c>
      <c r="U5233" s="98">
        <v>3.994562832343207</v>
      </c>
      <c r="V5233" s="106">
        <v>39617.612330489348</v>
      </c>
      <c r="W5233" s="10">
        <v>1.0345657766779315</v>
      </c>
      <c r="X5233" s="420"/>
      <c r="Y5233" s="420"/>
    </row>
    <row r="5234" spans="17:25">
      <c r="Q5234" s="6">
        <v>5204</v>
      </c>
      <c r="R5234" s="7">
        <v>47871</v>
      </c>
      <c r="S5234" s="210">
        <v>4</v>
      </c>
      <c r="T5234" s="8">
        <v>1.0001111111111112</v>
      </c>
      <c r="U5234" s="98">
        <v>3.9945905070367882</v>
      </c>
      <c r="V5234" s="106">
        <v>39620.800027401157</v>
      </c>
      <c r="W5234" s="10">
        <v>1.0345831235681002</v>
      </c>
      <c r="X5234" s="420"/>
      <c r="Y5234" s="420"/>
    </row>
    <row r="5235" spans="17:25">
      <c r="Q5235" s="6">
        <v>5205</v>
      </c>
      <c r="R5235" s="7">
        <v>47872</v>
      </c>
      <c r="S5235" s="210">
        <v>4</v>
      </c>
      <c r="T5235" s="8">
        <v>1.0001111111111112</v>
      </c>
      <c r="U5235" s="98">
        <v>3.9946181711038475</v>
      </c>
      <c r="V5235" s="106">
        <v>39623.987980800193</v>
      </c>
      <c r="W5235" s="10">
        <v>1.0346004637957762</v>
      </c>
      <c r="X5235" s="420"/>
      <c r="Y5235" s="420"/>
    </row>
    <row r="5236" spans="17:25">
      <c r="Q5236" s="6">
        <v>5206</v>
      </c>
      <c r="R5236" s="7">
        <v>47873</v>
      </c>
      <c r="S5236" s="210">
        <v>4</v>
      </c>
      <c r="T5236" s="8">
        <v>1.0001111111111112</v>
      </c>
      <c r="U5236" s="98">
        <v>3.9946458245504912</v>
      </c>
      <c r="V5236" s="106">
        <v>39627.176190707098</v>
      </c>
      <c r="W5236" s="10">
        <v>1.0346177973647785</v>
      </c>
      <c r="X5236" s="420"/>
      <c r="Y5236" s="420"/>
    </row>
    <row r="5237" spans="17:25">
      <c r="Q5237" s="6">
        <v>5207</v>
      </c>
      <c r="R5237" s="7">
        <v>47874</v>
      </c>
      <c r="S5237" s="210">
        <v>4</v>
      </c>
      <c r="T5237" s="8">
        <v>1.0001111111111112</v>
      </c>
      <c r="U5237" s="98">
        <v>3.9946734673828477</v>
      </c>
      <c r="V5237" s="106">
        <v>39630.364657142498</v>
      </c>
      <c r="W5237" s="10">
        <v>1.0346351242789709</v>
      </c>
      <c r="X5237" s="420"/>
      <c r="Y5237" s="420"/>
    </row>
    <row r="5238" spans="17:25">
      <c r="Q5238" s="6">
        <v>5208</v>
      </c>
      <c r="R5238" s="7">
        <v>47875</v>
      </c>
      <c r="S5238" s="210">
        <v>4</v>
      </c>
      <c r="T5238" s="8">
        <v>1.0001111111111112</v>
      </c>
      <c r="U5238" s="98">
        <v>3.9947010996070231</v>
      </c>
      <c r="V5238" s="106">
        <v>39633.55338012705</v>
      </c>
      <c r="W5238" s="10">
        <v>1.0346524445421723</v>
      </c>
      <c r="X5238" s="420"/>
      <c r="Y5238" s="420"/>
    </row>
    <row r="5239" spans="17:25">
      <c r="Q5239" s="6">
        <v>5209</v>
      </c>
      <c r="R5239" s="7">
        <v>47876</v>
      </c>
      <c r="S5239" s="210">
        <v>4</v>
      </c>
      <c r="T5239" s="8">
        <v>1.0001111111111112</v>
      </c>
      <c r="U5239" s="98">
        <v>3.9947287212291016</v>
      </c>
      <c r="V5239" s="106">
        <v>39636.742359681397</v>
      </c>
      <c r="W5239" s="10">
        <v>1.0346697581581799</v>
      </c>
      <c r="X5239" s="420"/>
      <c r="Y5239" s="420"/>
    </row>
    <row r="5240" spans="17:25">
      <c r="Q5240" s="6">
        <v>5210</v>
      </c>
      <c r="R5240" s="7">
        <v>47877</v>
      </c>
      <c r="S5240" s="210">
        <v>4</v>
      </c>
      <c r="T5240" s="8">
        <v>1.0001111111111112</v>
      </c>
      <c r="U5240" s="98">
        <v>3.9947563322552115</v>
      </c>
      <c r="V5240" s="106">
        <v>39639.931595826165</v>
      </c>
      <c r="W5240" s="10">
        <v>1.0346870651308793</v>
      </c>
      <c r="X5240" s="420"/>
      <c r="Y5240" s="420"/>
    </row>
    <row r="5241" spans="17:25">
      <c r="Q5241" s="6">
        <v>5211</v>
      </c>
      <c r="R5241" s="7">
        <v>47878</v>
      </c>
      <c r="S5241" s="210">
        <v>4</v>
      </c>
      <c r="T5241" s="8">
        <v>1.0001111111111112</v>
      </c>
      <c r="U5241" s="98">
        <v>3.9947839326914369</v>
      </c>
      <c r="V5241" s="106">
        <v>39643.121088582018</v>
      </c>
      <c r="W5241" s="10">
        <v>1.0347043654640453</v>
      </c>
      <c r="X5241" s="420"/>
      <c r="Y5241" s="420"/>
    </row>
    <row r="5242" spans="17:25">
      <c r="Q5242" s="6">
        <v>5212</v>
      </c>
      <c r="R5242" s="7">
        <v>47879</v>
      </c>
      <c r="S5242" s="210">
        <v>4</v>
      </c>
      <c r="T5242" s="8">
        <v>1.0001111111111112</v>
      </c>
      <c r="U5242" s="98">
        <v>3.9948115225438841</v>
      </c>
      <c r="V5242" s="106">
        <v>39646.310837969591</v>
      </c>
      <c r="W5242" s="10">
        <v>1.0347216591615416</v>
      </c>
      <c r="X5242" s="420"/>
      <c r="Y5242" s="420"/>
    </row>
    <row r="5243" spans="17:25">
      <c r="Q5243" s="6">
        <v>5213</v>
      </c>
      <c r="R5243" s="7">
        <v>47880</v>
      </c>
      <c r="S5243" s="210">
        <v>4</v>
      </c>
      <c r="T5243" s="8">
        <v>1.0001111111111112</v>
      </c>
      <c r="U5243" s="98">
        <v>3.9948391018186147</v>
      </c>
      <c r="V5243" s="106">
        <v>39649.500844009548</v>
      </c>
      <c r="W5243" s="10">
        <v>1.0347389462271428</v>
      </c>
      <c r="X5243" s="420"/>
      <c r="Y5243" s="420"/>
    </row>
    <row r="5244" spans="17:25">
      <c r="Q5244" s="6">
        <v>5214</v>
      </c>
      <c r="R5244" s="7">
        <v>47881</v>
      </c>
      <c r="S5244" s="210">
        <v>4</v>
      </c>
      <c r="T5244" s="8">
        <v>1.0001111111111112</v>
      </c>
      <c r="U5244" s="98">
        <v>3.9948666705217351</v>
      </c>
      <c r="V5244" s="106">
        <v>39652.691106722523</v>
      </c>
      <c r="W5244" s="10">
        <v>1.0347562266647126</v>
      </c>
      <c r="X5244" s="420"/>
      <c r="Y5244" s="420"/>
    </row>
    <row r="5245" spans="17:25">
      <c r="Q5245" s="6">
        <v>5215</v>
      </c>
      <c r="R5245" s="7">
        <v>47882</v>
      </c>
      <c r="S5245" s="210">
        <v>4</v>
      </c>
      <c r="T5245" s="8">
        <v>1.0001111111111112</v>
      </c>
      <c r="U5245" s="98">
        <v>3.994894228659307</v>
      </c>
      <c r="V5245" s="106">
        <v>39655.881626129172</v>
      </c>
      <c r="W5245" s="10">
        <v>1.0347735004780034</v>
      </c>
      <c r="X5245" s="420"/>
      <c r="Y5245" s="420"/>
    </row>
    <row r="5246" spans="17:25">
      <c r="Q5246" s="6">
        <v>5216</v>
      </c>
      <c r="R5246" s="7">
        <v>47883</v>
      </c>
      <c r="S5246" s="210">
        <v>4</v>
      </c>
      <c r="T5246" s="8">
        <v>1.0001111111111112</v>
      </c>
      <c r="U5246" s="98">
        <v>3.9949217762374145</v>
      </c>
      <c r="V5246" s="106">
        <v>39659.07240225016</v>
      </c>
      <c r="W5246" s="10">
        <v>1.0347907676708568</v>
      </c>
      <c r="X5246" s="420"/>
      <c r="Y5246" s="420"/>
    </row>
    <row r="5247" spans="17:25">
      <c r="Q5247" s="6">
        <v>5217</v>
      </c>
      <c r="R5247" s="7">
        <v>47884</v>
      </c>
      <c r="S5247" s="210">
        <v>4</v>
      </c>
      <c r="T5247" s="8">
        <v>1.0001111111111112</v>
      </c>
      <c r="U5247" s="98">
        <v>3.9949493132620972</v>
      </c>
      <c r="V5247" s="106">
        <v>39662.263435106135</v>
      </c>
      <c r="W5247" s="10">
        <v>1.0348080282470695</v>
      </c>
      <c r="X5247" s="420"/>
      <c r="Y5247" s="420"/>
    </row>
    <row r="5248" spans="17:25">
      <c r="Q5248" s="6">
        <v>5218</v>
      </c>
      <c r="R5248" s="7">
        <v>47885</v>
      </c>
      <c r="S5248" s="210">
        <v>4</v>
      </c>
      <c r="T5248" s="8">
        <v>1.0001111111111112</v>
      </c>
      <c r="U5248" s="98">
        <v>3.9949768397394392</v>
      </c>
      <c r="V5248" s="106">
        <v>39665.454724717747</v>
      </c>
      <c r="W5248" s="10">
        <v>1.0348252822104387</v>
      </c>
      <c r="X5248" s="420"/>
      <c r="Y5248" s="420"/>
    </row>
    <row r="5249" spans="17:25">
      <c r="Q5249" s="6">
        <v>5219</v>
      </c>
      <c r="R5249" s="7">
        <v>47886</v>
      </c>
      <c r="S5249" s="210">
        <v>4</v>
      </c>
      <c r="T5249" s="8">
        <v>1.0001111111111112</v>
      </c>
      <c r="U5249" s="98">
        <v>3.9950043556755022</v>
      </c>
      <c r="V5249" s="106">
        <v>39668.646271105667</v>
      </c>
      <c r="W5249" s="10">
        <v>1.0348425295647834</v>
      </c>
      <c r="X5249" s="420"/>
      <c r="Y5249" s="420"/>
    </row>
    <row r="5250" spans="17:25">
      <c r="Q5250" s="6">
        <v>5220</v>
      </c>
      <c r="R5250" s="7">
        <v>47887</v>
      </c>
      <c r="S5250" s="210">
        <v>4</v>
      </c>
      <c r="T5250" s="8">
        <v>1.0001111111111112</v>
      </c>
      <c r="U5250" s="98">
        <v>3.995031861076348</v>
      </c>
      <c r="V5250" s="106">
        <v>39671.83807429055</v>
      </c>
      <c r="W5250" s="10">
        <v>1.0348597703138784</v>
      </c>
      <c r="X5250" s="420"/>
      <c r="Y5250" s="420"/>
    </row>
    <row r="5251" spans="17:25">
      <c r="Q5251" s="6">
        <v>5221</v>
      </c>
      <c r="R5251" s="7">
        <v>47888</v>
      </c>
      <c r="S5251" s="210">
        <v>4</v>
      </c>
      <c r="T5251" s="8">
        <v>1.0001111111111112</v>
      </c>
      <c r="U5251" s="98">
        <v>3.9950593559480163</v>
      </c>
      <c r="V5251" s="106">
        <v>39675.030134293062</v>
      </c>
      <c r="W5251" s="10">
        <v>1.034877004461543</v>
      </c>
      <c r="X5251" s="420"/>
      <c r="Y5251" s="420"/>
    </row>
    <row r="5252" spans="17:25">
      <c r="Q5252" s="6">
        <v>5222</v>
      </c>
      <c r="R5252" s="7">
        <v>47889</v>
      </c>
      <c r="S5252" s="210">
        <v>4</v>
      </c>
      <c r="T5252" s="8">
        <v>1.0001111111111112</v>
      </c>
      <c r="U5252" s="98">
        <v>3.9950868402965467</v>
      </c>
      <c r="V5252" s="106">
        <v>39678.222451133865</v>
      </c>
      <c r="W5252" s="10">
        <v>1.0348942320115517</v>
      </c>
      <c r="X5252" s="420"/>
      <c r="Y5252" s="420"/>
    </row>
    <row r="5253" spans="17:25">
      <c r="Q5253" s="6">
        <v>5223</v>
      </c>
      <c r="R5253" s="7">
        <v>47890</v>
      </c>
      <c r="S5253" s="210">
        <v>4</v>
      </c>
      <c r="T5253" s="8">
        <v>1.0001111111111112</v>
      </c>
      <c r="U5253" s="98">
        <v>3.9951143141279788</v>
      </c>
      <c r="V5253" s="106">
        <v>39681.415024833615</v>
      </c>
      <c r="W5253" s="10">
        <v>1.0349114529676795</v>
      </c>
      <c r="X5253" s="420"/>
      <c r="Y5253" s="420"/>
    </row>
    <row r="5254" spans="17:25">
      <c r="Q5254" s="6">
        <v>5224</v>
      </c>
      <c r="R5254" s="7">
        <v>47891</v>
      </c>
      <c r="S5254" s="210">
        <v>4</v>
      </c>
      <c r="T5254" s="8">
        <v>1.0001111111111112</v>
      </c>
      <c r="U5254" s="98">
        <v>3.9951417774483522</v>
      </c>
      <c r="V5254" s="106">
        <v>39684.607855412993</v>
      </c>
      <c r="W5254" s="10">
        <v>1.0349286673337454</v>
      </c>
      <c r="X5254" s="420"/>
      <c r="Y5254" s="420"/>
    </row>
    <row r="5255" spans="17:25">
      <c r="Q5255" s="6">
        <v>5225</v>
      </c>
      <c r="R5255" s="7">
        <v>47892</v>
      </c>
      <c r="S5255" s="210">
        <v>4</v>
      </c>
      <c r="T5255" s="8">
        <v>1.0001111111111112</v>
      </c>
      <c r="U5255" s="98">
        <v>3.9951692302637065</v>
      </c>
      <c r="V5255" s="106">
        <v>39687.800942892667</v>
      </c>
      <c r="W5255" s="10">
        <v>1.0349458751135021</v>
      </c>
      <c r="X5255" s="420"/>
      <c r="Y5255" s="420"/>
    </row>
    <row r="5256" spans="17:25">
      <c r="Q5256" s="6">
        <v>5226</v>
      </c>
      <c r="R5256" s="7">
        <v>47893</v>
      </c>
      <c r="S5256" s="210">
        <v>4</v>
      </c>
      <c r="T5256" s="8">
        <v>1.0001111111111112</v>
      </c>
      <c r="U5256" s="98">
        <v>3.9951966725800592</v>
      </c>
      <c r="V5256" s="106">
        <v>39690.994287293295</v>
      </c>
      <c r="W5256" s="10">
        <v>1.0349630763107465</v>
      </c>
      <c r="X5256" s="420"/>
      <c r="Y5256" s="420"/>
    </row>
    <row r="5257" spans="17:25">
      <c r="Q5257" s="6">
        <v>5227</v>
      </c>
      <c r="R5257" s="7">
        <v>47894</v>
      </c>
      <c r="S5257" s="210">
        <v>4</v>
      </c>
      <c r="T5257" s="8">
        <v>1.0001111111111112</v>
      </c>
      <c r="U5257" s="98">
        <v>3.9952241044034276</v>
      </c>
      <c r="V5257" s="106">
        <v>39694.18788863557</v>
      </c>
      <c r="W5257" s="10">
        <v>1.0349802709292311</v>
      </c>
      <c r="X5257" s="420"/>
      <c r="Y5257" s="420"/>
    </row>
    <row r="5258" spans="17:25">
      <c r="Q5258" s="6">
        <v>5228</v>
      </c>
      <c r="R5258" s="7">
        <v>47895</v>
      </c>
      <c r="S5258" s="210">
        <v>4</v>
      </c>
      <c r="T5258" s="8">
        <v>1.0001111111111112</v>
      </c>
      <c r="U5258" s="98">
        <v>3.9952515257398291</v>
      </c>
      <c r="V5258" s="106">
        <v>39697.381746940147</v>
      </c>
      <c r="W5258" s="10">
        <v>1.0349974589727529</v>
      </c>
      <c r="X5258" s="420"/>
      <c r="Y5258" s="420"/>
    </row>
    <row r="5259" spans="17:25">
      <c r="Q5259" s="6">
        <v>5229</v>
      </c>
      <c r="R5259" s="7">
        <v>47896</v>
      </c>
      <c r="S5259" s="210">
        <v>4</v>
      </c>
      <c r="T5259" s="8">
        <v>1.0001111111111112</v>
      </c>
      <c r="U5259" s="98">
        <v>3.9952789365952812</v>
      </c>
      <c r="V5259" s="106">
        <v>39700.575862227706</v>
      </c>
      <c r="W5259" s="10">
        <v>1.0350146404450644</v>
      </c>
      <c r="X5259" s="420"/>
      <c r="Y5259" s="420"/>
    </row>
    <row r="5260" spans="17:25">
      <c r="Q5260" s="6">
        <v>5230</v>
      </c>
      <c r="R5260" s="7">
        <v>47897</v>
      </c>
      <c r="S5260" s="210">
        <v>4</v>
      </c>
      <c r="T5260" s="8">
        <v>1.0001111111111112</v>
      </c>
      <c r="U5260" s="98">
        <v>3.9953063369758013</v>
      </c>
      <c r="V5260" s="106">
        <v>39703.770234518932</v>
      </c>
      <c r="W5260" s="10">
        <v>1.0350318153499405</v>
      </c>
      <c r="X5260" s="420"/>
      <c r="Y5260" s="420"/>
    </row>
    <row r="5261" spans="17:25">
      <c r="Q5261" s="6">
        <v>5231</v>
      </c>
      <c r="R5261" s="7">
        <v>47898</v>
      </c>
      <c r="S5261" s="210">
        <v>4</v>
      </c>
      <c r="T5261" s="8">
        <v>1.0001111111111112</v>
      </c>
      <c r="U5261" s="98">
        <v>3.9953337268873845</v>
      </c>
      <c r="V5261" s="106">
        <v>39706.964863834495</v>
      </c>
      <c r="W5261" s="10">
        <v>1.035048983691178</v>
      </c>
      <c r="X5261" s="420"/>
      <c r="Y5261" s="420"/>
    </row>
    <row r="5262" spans="17:25">
      <c r="Q5262" s="6">
        <v>5232</v>
      </c>
      <c r="R5262" s="7">
        <v>47899</v>
      </c>
      <c r="S5262" s="210">
        <v>4</v>
      </c>
      <c r="T5262" s="8">
        <v>1.0001111111111112</v>
      </c>
      <c r="U5262" s="98">
        <v>3.9953611063360261</v>
      </c>
      <c r="V5262" s="106">
        <v>39710.159750195075</v>
      </c>
      <c r="W5262" s="10">
        <v>1.0350661454724852</v>
      </c>
      <c r="X5262" s="420"/>
      <c r="Y5262" s="420"/>
    </row>
    <row r="5263" spans="17:25">
      <c r="Q5263" s="6">
        <v>5233</v>
      </c>
      <c r="R5263" s="7">
        <v>47900</v>
      </c>
      <c r="S5263" s="210">
        <v>4</v>
      </c>
      <c r="T5263" s="8">
        <v>1.0001111111111112</v>
      </c>
      <c r="U5263" s="98">
        <v>3.9953884753277213</v>
      </c>
      <c r="V5263" s="106">
        <v>39713.35489362137</v>
      </c>
      <c r="W5263" s="10">
        <v>1.035083300697659</v>
      </c>
      <c r="X5263" s="420"/>
      <c r="Y5263" s="420"/>
    </row>
    <row r="5264" spans="17:25">
      <c r="Q5264" s="6">
        <v>5234</v>
      </c>
      <c r="R5264" s="7">
        <v>47901</v>
      </c>
      <c r="S5264" s="210">
        <v>4</v>
      </c>
      <c r="T5264" s="8">
        <v>1.0001111111111112</v>
      </c>
      <c r="U5264" s="98">
        <v>3.9954158338684653</v>
      </c>
      <c r="V5264" s="106">
        <v>39716.550294134046</v>
      </c>
      <c r="W5264" s="10">
        <v>1.0351004493704519</v>
      </c>
      <c r="X5264" s="420"/>
      <c r="Y5264" s="420"/>
    </row>
    <row r="5265" spans="17:25">
      <c r="Q5265" s="6">
        <v>5235</v>
      </c>
      <c r="R5265" s="7">
        <v>47902</v>
      </c>
      <c r="S5265" s="210">
        <v>4</v>
      </c>
      <c r="T5265" s="8">
        <v>1.0001111111111112</v>
      </c>
      <c r="U5265" s="98">
        <v>3.9954431819642311</v>
      </c>
      <c r="V5265" s="106">
        <v>39719.745951753794</v>
      </c>
      <c r="W5265" s="10">
        <v>1.0351175914945943</v>
      </c>
      <c r="X5265" s="420"/>
      <c r="Y5265" s="420"/>
    </row>
    <row r="5266" spans="17:25">
      <c r="Q5266" s="6">
        <v>5236</v>
      </c>
      <c r="R5266" s="7">
        <v>47903</v>
      </c>
      <c r="S5266" s="210">
        <v>4</v>
      </c>
      <c r="T5266" s="8">
        <v>1.0001111111111112</v>
      </c>
      <c r="U5266" s="98">
        <v>3.9954705196210138</v>
      </c>
      <c r="V5266" s="106">
        <v>39722.941866501307</v>
      </c>
      <c r="W5266" s="10">
        <v>1.0351347270738609</v>
      </c>
      <c r="X5266" s="420"/>
      <c r="Y5266" s="420"/>
    </row>
    <row r="5267" spans="17:25">
      <c r="Q5267" s="6">
        <v>5237</v>
      </c>
      <c r="R5267" s="7">
        <v>47904</v>
      </c>
      <c r="S5267" s="210">
        <v>4</v>
      </c>
      <c r="T5267" s="8">
        <v>1.0001111111111112</v>
      </c>
      <c r="U5267" s="98">
        <v>3.9954978468447644</v>
      </c>
      <c r="V5267" s="106">
        <v>39726.138038397257</v>
      </c>
      <c r="W5267" s="10">
        <v>1.0351518561119599</v>
      </c>
      <c r="X5267" s="420"/>
      <c r="Y5267" s="420"/>
    </row>
    <row r="5268" spans="17:25">
      <c r="Q5268" s="6">
        <v>5238</v>
      </c>
      <c r="R5268" s="7">
        <v>47905</v>
      </c>
      <c r="S5268" s="210">
        <v>4</v>
      </c>
      <c r="T5268" s="8">
        <v>1.0001111111111112</v>
      </c>
      <c r="U5268" s="98">
        <v>3.9955251636414779</v>
      </c>
      <c r="V5268" s="106">
        <v>39729.334467462359</v>
      </c>
      <c r="W5268" s="10">
        <v>1.0351689786126661</v>
      </c>
      <c r="X5268" s="420"/>
      <c r="Y5268" s="420"/>
    </row>
    <row r="5269" spans="17:25">
      <c r="Q5269" s="6">
        <v>5239</v>
      </c>
      <c r="R5269" s="7">
        <v>47906</v>
      </c>
      <c r="S5269" s="210">
        <v>4</v>
      </c>
      <c r="T5269" s="8">
        <v>1.0001111111111112</v>
      </c>
      <c r="U5269" s="98">
        <v>3.9955524700171052</v>
      </c>
      <c r="V5269" s="106">
        <v>39732.531153717289</v>
      </c>
      <c r="W5269" s="10">
        <v>1.035186094579732</v>
      </c>
      <c r="X5269" s="420"/>
      <c r="Y5269" s="420"/>
    </row>
    <row r="5270" spans="17:25">
      <c r="Q5270" s="6">
        <v>5240</v>
      </c>
      <c r="R5270" s="7">
        <v>47907</v>
      </c>
      <c r="S5270" s="210">
        <v>4</v>
      </c>
      <c r="T5270" s="8">
        <v>1.0001111111111112</v>
      </c>
      <c r="U5270" s="98">
        <v>3.9955797659776193</v>
      </c>
      <c r="V5270" s="106">
        <v>39735.728097182749</v>
      </c>
      <c r="W5270" s="10">
        <v>1.0352032040168657</v>
      </c>
      <c r="X5270" s="420"/>
      <c r="Y5270" s="420"/>
    </row>
    <row r="5271" spans="17:25">
      <c r="Q5271" s="6">
        <v>5241</v>
      </c>
      <c r="R5271" s="7">
        <v>47908</v>
      </c>
      <c r="S5271" s="210">
        <v>4</v>
      </c>
      <c r="T5271" s="8">
        <v>1.0001111111111112</v>
      </c>
      <c r="U5271" s="98">
        <v>3.995607051528971</v>
      </c>
      <c r="V5271" s="106">
        <v>39738.925297879425</v>
      </c>
      <c r="W5271" s="10">
        <v>1.0352203069278421</v>
      </c>
      <c r="X5271" s="420"/>
      <c r="Y5271" s="420"/>
    </row>
    <row r="5272" spans="17:25">
      <c r="Q5272" s="6">
        <v>5242</v>
      </c>
      <c r="R5272" s="7">
        <v>47909</v>
      </c>
      <c r="S5272" s="210">
        <v>4</v>
      </c>
      <c r="T5272" s="8">
        <v>1.0001111111111112</v>
      </c>
      <c r="U5272" s="98">
        <v>3.9956343266771333</v>
      </c>
      <c r="V5272" s="106">
        <v>39742.122755828022</v>
      </c>
      <c r="W5272" s="10">
        <v>1.0352374033163692</v>
      </c>
      <c r="X5272" s="420"/>
      <c r="Y5272" s="420"/>
    </row>
    <row r="5273" spans="17:25">
      <c r="Q5273" s="6">
        <v>5243</v>
      </c>
      <c r="R5273" s="7">
        <v>47910</v>
      </c>
      <c r="S5273" s="210">
        <v>4</v>
      </c>
      <c r="T5273" s="8">
        <v>1.0001111111111112</v>
      </c>
      <c r="U5273" s="98">
        <v>3.9956615914280347</v>
      </c>
      <c r="V5273" s="106">
        <v>39745.320471049235</v>
      </c>
      <c r="W5273" s="10">
        <v>1.0352544931861773</v>
      </c>
      <c r="X5273" s="420"/>
      <c r="Y5273" s="420"/>
    </row>
    <row r="5274" spans="17:25">
      <c r="Q5274" s="6">
        <v>5244</v>
      </c>
      <c r="R5274" s="7">
        <v>47911</v>
      </c>
      <c r="S5274" s="210">
        <v>4</v>
      </c>
      <c r="T5274" s="8">
        <v>1.0001111111111112</v>
      </c>
      <c r="U5274" s="98">
        <v>3.9956888457876261</v>
      </c>
      <c r="V5274" s="106">
        <v>39748.518443563771</v>
      </c>
      <c r="W5274" s="10">
        <v>1.035271576540997</v>
      </c>
      <c r="X5274" s="420"/>
      <c r="Y5274" s="420"/>
    </row>
    <row r="5275" spans="17:25">
      <c r="Q5275" s="6">
        <v>5245</v>
      </c>
      <c r="R5275" s="7">
        <v>47912</v>
      </c>
      <c r="S5275" s="210">
        <v>4</v>
      </c>
      <c r="T5275" s="8">
        <v>1.0001111111111112</v>
      </c>
      <c r="U5275" s="98">
        <v>3.995716089761836</v>
      </c>
      <c r="V5275" s="106">
        <v>39751.716673392322</v>
      </c>
      <c r="W5275" s="10">
        <v>1.0352886533845584</v>
      </c>
      <c r="X5275" s="420"/>
      <c r="Y5275" s="420"/>
    </row>
    <row r="5276" spans="17:25">
      <c r="Q5276" s="6">
        <v>5246</v>
      </c>
      <c r="R5276" s="7">
        <v>47913</v>
      </c>
      <c r="S5276" s="210">
        <v>4</v>
      </c>
      <c r="T5276" s="8">
        <v>1.0001111111111112</v>
      </c>
      <c r="U5276" s="98">
        <v>3.9957433233566153</v>
      </c>
      <c r="V5276" s="106">
        <v>39754.915160555596</v>
      </c>
      <c r="W5276" s="10">
        <v>1.035305723720592</v>
      </c>
      <c r="X5276" s="420"/>
      <c r="Y5276" s="420"/>
    </row>
    <row r="5277" spans="17:25">
      <c r="Q5277" s="6">
        <v>5247</v>
      </c>
      <c r="R5277" s="7">
        <v>47914</v>
      </c>
      <c r="S5277" s="210">
        <v>4</v>
      </c>
      <c r="T5277" s="8">
        <v>1.0001111111111112</v>
      </c>
      <c r="U5277" s="98">
        <v>3.9957705465778925</v>
      </c>
      <c r="V5277" s="106">
        <v>39758.1139050743</v>
      </c>
      <c r="W5277" s="10">
        <v>1.0353227875527837</v>
      </c>
      <c r="X5277" s="420"/>
      <c r="Y5277" s="420"/>
    </row>
    <row r="5278" spans="17:25">
      <c r="Q5278" s="6">
        <v>5248</v>
      </c>
      <c r="R5278" s="7">
        <v>47915</v>
      </c>
      <c r="S5278" s="210">
        <v>4</v>
      </c>
      <c r="T5278" s="8">
        <v>1.0001111111111112</v>
      </c>
      <c r="U5278" s="98">
        <v>3.9957977594315963</v>
      </c>
      <c r="V5278" s="106">
        <v>39761.312906969157</v>
      </c>
      <c r="W5278" s="10">
        <v>1.0353398448848861</v>
      </c>
      <c r="X5278" s="420"/>
      <c r="Y5278" s="420"/>
    </row>
    <row r="5279" spans="17:25">
      <c r="Q5279" s="6">
        <v>5249</v>
      </c>
      <c r="R5279" s="7">
        <v>47916</v>
      </c>
      <c r="S5279" s="210">
        <v>4</v>
      </c>
      <c r="T5279" s="8">
        <v>1.0001111111111112</v>
      </c>
      <c r="U5279" s="98">
        <v>3.995824961923633</v>
      </c>
      <c r="V5279" s="106">
        <v>39764.512166260844</v>
      </c>
      <c r="W5279" s="10">
        <v>1.0353568957206072</v>
      </c>
      <c r="X5279" s="420"/>
      <c r="Y5279" s="420"/>
    </row>
    <row r="5280" spans="17:25">
      <c r="Q5280" s="6">
        <v>5250</v>
      </c>
      <c r="R5280" s="7">
        <v>47917</v>
      </c>
      <c r="S5280" s="210">
        <v>4</v>
      </c>
      <c r="T5280" s="8">
        <v>1.0001111111111112</v>
      </c>
      <c r="U5280" s="98">
        <v>3.9958521540599312</v>
      </c>
      <c r="V5280" s="106">
        <v>39767.71168297009</v>
      </c>
      <c r="W5280" s="10">
        <v>1.035373940063633</v>
      </c>
      <c r="X5280" s="420"/>
      <c r="Y5280" s="420"/>
    </row>
    <row r="5281" spans="17:25">
      <c r="Q5281" s="6">
        <v>5251</v>
      </c>
      <c r="R5281" s="7">
        <v>47918</v>
      </c>
      <c r="S5281" s="210">
        <v>4</v>
      </c>
      <c r="T5281" s="8">
        <v>1.0001111111111112</v>
      </c>
      <c r="U5281" s="98">
        <v>3.9958793358463973</v>
      </c>
      <c r="V5281" s="106">
        <v>39770.911457117611</v>
      </c>
      <c r="W5281" s="10">
        <v>1.035390977917694</v>
      </c>
      <c r="X5281" s="420"/>
      <c r="Y5281" s="420"/>
    </row>
    <row r="5282" spans="17:25">
      <c r="Q5282" s="6">
        <v>5252</v>
      </c>
      <c r="R5282" s="7">
        <v>47919</v>
      </c>
      <c r="S5282" s="210">
        <v>4</v>
      </c>
      <c r="T5282" s="8">
        <v>1.0001111111111112</v>
      </c>
      <c r="U5282" s="98">
        <v>3.9959065072889377</v>
      </c>
      <c r="V5282" s="106">
        <v>39774.111488724106</v>
      </c>
      <c r="W5282" s="10">
        <v>1.0354080092864981</v>
      </c>
      <c r="X5282" s="420"/>
      <c r="Y5282" s="420"/>
    </row>
    <row r="5283" spans="17:25">
      <c r="Q5283" s="6">
        <v>5253</v>
      </c>
      <c r="R5283" s="7">
        <v>47920</v>
      </c>
      <c r="S5283" s="210">
        <v>4</v>
      </c>
      <c r="T5283" s="8">
        <v>1.0001111111111112</v>
      </c>
      <c r="U5283" s="98">
        <v>3.9959336683934588</v>
      </c>
      <c r="V5283" s="106">
        <v>39777.311777810304</v>
      </c>
      <c r="W5283" s="10">
        <v>1.0354250341737092</v>
      </c>
      <c r="X5283" s="420"/>
      <c r="Y5283" s="420"/>
    </row>
    <row r="5284" spans="17:25">
      <c r="Q5284" s="6">
        <v>5254</v>
      </c>
      <c r="R5284" s="7">
        <v>47921</v>
      </c>
      <c r="S5284" s="210">
        <v>4</v>
      </c>
      <c r="T5284" s="8">
        <v>1.0001111111111112</v>
      </c>
      <c r="U5284" s="98">
        <v>3.9959608191658669</v>
      </c>
      <c r="V5284" s="106">
        <v>39780.512324396906</v>
      </c>
      <c r="W5284" s="10">
        <v>1.0354420525830799</v>
      </c>
      <c r="X5284" s="420"/>
      <c r="Y5284" s="420"/>
    </row>
    <row r="5285" spans="17:25">
      <c r="Q5285" s="6">
        <v>5255</v>
      </c>
      <c r="R5285" s="7">
        <v>47922</v>
      </c>
      <c r="S5285" s="210">
        <v>4</v>
      </c>
      <c r="T5285" s="8">
        <v>1.0001111111111112</v>
      </c>
      <c r="U5285" s="98">
        <v>3.9959879596120462</v>
      </c>
      <c r="V5285" s="106">
        <v>39783.713128504656</v>
      </c>
      <c r="W5285" s="10">
        <v>1.0354590645182737</v>
      </c>
      <c r="X5285" s="420"/>
      <c r="Y5285" s="420"/>
    </row>
    <row r="5286" spans="17:25">
      <c r="Q5286" s="6">
        <v>5256</v>
      </c>
      <c r="R5286" s="7">
        <v>47923</v>
      </c>
      <c r="S5286" s="210">
        <v>4</v>
      </c>
      <c r="T5286" s="8">
        <v>1.0001111111111112</v>
      </c>
      <c r="U5286" s="98">
        <v>3.996015089737881</v>
      </c>
      <c r="V5286" s="106">
        <v>39786.914190154261</v>
      </c>
      <c r="W5286" s="10">
        <v>1.0354760699829768</v>
      </c>
      <c r="X5286" s="420"/>
      <c r="Y5286" s="420"/>
    </row>
    <row r="5287" spans="17:25">
      <c r="Q5287" s="6">
        <v>5257</v>
      </c>
      <c r="R5287" s="7">
        <v>47924</v>
      </c>
      <c r="S5287" s="210">
        <v>4</v>
      </c>
      <c r="T5287" s="8">
        <v>1.0001111111111112</v>
      </c>
      <c r="U5287" s="98">
        <v>3.9960422095492776</v>
      </c>
      <c r="V5287" s="106">
        <v>39790.115509366435</v>
      </c>
      <c r="W5287" s="10">
        <v>1.0354930689808972</v>
      </c>
      <c r="X5287" s="420"/>
      <c r="Y5287" s="420"/>
    </row>
    <row r="5288" spans="17:25">
      <c r="Q5288" s="6">
        <v>5258</v>
      </c>
      <c r="R5288" s="7">
        <v>47925</v>
      </c>
      <c r="S5288" s="210">
        <v>4</v>
      </c>
      <c r="T5288" s="8">
        <v>1.0001111111111112</v>
      </c>
      <c r="U5288" s="98">
        <v>3.9960693190520979</v>
      </c>
      <c r="V5288" s="106">
        <v>39793.317086161922</v>
      </c>
      <c r="W5288" s="10">
        <v>1.0355100615157209</v>
      </c>
      <c r="X5288" s="420"/>
      <c r="Y5288" s="420"/>
    </row>
    <row r="5289" spans="17:25">
      <c r="Q5289" s="6">
        <v>5259</v>
      </c>
      <c r="R5289" s="7">
        <v>47926</v>
      </c>
      <c r="S5289" s="210">
        <v>4</v>
      </c>
      <c r="T5289" s="8">
        <v>1.0001111111111112</v>
      </c>
      <c r="U5289" s="98">
        <v>3.9960964182522263</v>
      </c>
      <c r="V5289" s="106">
        <v>39796.51892056143</v>
      </c>
      <c r="W5289" s="10">
        <v>1.035527047591156</v>
      </c>
      <c r="X5289" s="420"/>
      <c r="Y5289" s="420"/>
    </row>
    <row r="5290" spans="17:25">
      <c r="Q5290" s="6">
        <v>5260</v>
      </c>
      <c r="R5290" s="7">
        <v>47927</v>
      </c>
      <c r="S5290" s="210">
        <v>4</v>
      </c>
      <c r="T5290" s="8">
        <v>1.0001111111111112</v>
      </c>
      <c r="U5290" s="98">
        <v>3.9961235071555246</v>
      </c>
      <c r="V5290" s="106">
        <v>39799.721012585687</v>
      </c>
      <c r="W5290" s="10">
        <v>1.0355440272108218</v>
      </c>
      <c r="X5290" s="420"/>
      <c r="Y5290" s="420"/>
    </row>
    <row r="5291" spans="17:25">
      <c r="Q5291" s="6">
        <v>5261</v>
      </c>
      <c r="R5291" s="7">
        <v>47928</v>
      </c>
      <c r="S5291" s="210">
        <v>4</v>
      </c>
      <c r="T5291" s="8">
        <v>1.0001111111111112</v>
      </c>
      <c r="U5291" s="98">
        <v>3.996150585767877</v>
      </c>
      <c r="V5291" s="106">
        <v>39802.923362255431</v>
      </c>
      <c r="W5291" s="10">
        <v>1.0355610003784488</v>
      </c>
      <c r="X5291" s="420"/>
      <c r="Y5291" s="420"/>
    </row>
    <row r="5292" spans="17:25">
      <c r="Q5292" s="6">
        <v>5262</v>
      </c>
      <c r="R5292" s="7">
        <v>47929</v>
      </c>
      <c r="S5292" s="210">
        <v>4</v>
      </c>
      <c r="T5292" s="8">
        <v>1.0001111111111112</v>
      </c>
      <c r="U5292" s="98">
        <v>3.9961776540951455</v>
      </c>
      <c r="V5292" s="106">
        <v>39806.12596959139</v>
      </c>
      <c r="W5292" s="10">
        <v>1.0355779670977228</v>
      </c>
      <c r="X5292" s="420"/>
      <c r="Y5292" s="420"/>
    </row>
    <row r="5293" spans="17:25">
      <c r="Q5293" s="6">
        <v>5263</v>
      </c>
      <c r="R5293" s="7">
        <v>47930</v>
      </c>
      <c r="S5293" s="210">
        <v>4</v>
      </c>
      <c r="T5293" s="8">
        <v>1.0001111111111112</v>
      </c>
      <c r="U5293" s="98">
        <v>3.9962047121431699</v>
      </c>
      <c r="V5293" s="106">
        <v>39809.328834614294</v>
      </c>
      <c r="W5293" s="10">
        <v>1.0355949273722853</v>
      </c>
      <c r="X5293" s="420"/>
      <c r="Y5293" s="420"/>
    </row>
    <row r="5294" spans="17:25">
      <c r="Q5294" s="6">
        <v>5264</v>
      </c>
      <c r="R5294" s="7">
        <v>47931</v>
      </c>
      <c r="S5294" s="210">
        <v>4</v>
      </c>
      <c r="T5294" s="8">
        <v>1.0001111111111112</v>
      </c>
      <c r="U5294" s="98">
        <v>3.9962317599178121</v>
      </c>
      <c r="V5294" s="106">
        <v>39812.531957344872</v>
      </c>
      <c r="W5294" s="10">
        <v>1.0356118812058002</v>
      </c>
      <c r="X5294" s="420"/>
      <c r="Y5294" s="420"/>
    </row>
    <row r="5295" spans="17:25">
      <c r="Q5295" s="6">
        <v>5265</v>
      </c>
      <c r="R5295" s="7">
        <v>47932</v>
      </c>
      <c r="S5295" s="210">
        <v>4</v>
      </c>
      <c r="T5295" s="8">
        <v>1.0001111111111112</v>
      </c>
      <c r="U5295" s="98">
        <v>3.9962587974249342</v>
      </c>
      <c r="V5295" s="106">
        <v>39815.735337803868</v>
      </c>
      <c r="W5295" s="10">
        <v>1.0356288286019755</v>
      </c>
      <c r="X5295" s="420"/>
      <c r="Y5295" s="420"/>
    </row>
    <row r="5296" spans="17:25">
      <c r="Q5296" s="6">
        <v>5266</v>
      </c>
      <c r="R5296" s="7">
        <v>47933</v>
      </c>
      <c r="S5296" s="210">
        <v>4</v>
      </c>
      <c r="T5296" s="8">
        <v>1.0001111111111112</v>
      </c>
      <c r="U5296" s="98">
        <v>3.9962858246703759</v>
      </c>
      <c r="V5296" s="106">
        <v>39818.938976012018</v>
      </c>
      <c r="W5296" s="10">
        <v>1.0356457695644528</v>
      </c>
      <c r="X5296" s="420"/>
      <c r="Y5296" s="420"/>
    </row>
    <row r="5297" spans="17:25">
      <c r="Q5297" s="6">
        <v>5267</v>
      </c>
      <c r="R5297" s="7">
        <v>47934</v>
      </c>
      <c r="S5297" s="210">
        <v>4</v>
      </c>
      <c r="T5297" s="8">
        <v>1.0001111111111112</v>
      </c>
      <c r="U5297" s="98">
        <v>3.9963128416599769</v>
      </c>
      <c r="V5297" s="106">
        <v>39822.142871990058</v>
      </c>
      <c r="W5297" s="10">
        <v>1.035662704096918</v>
      </c>
      <c r="X5297" s="420"/>
      <c r="Y5297" s="420"/>
    </row>
    <row r="5298" spans="17:25">
      <c r="Q5298" s="6">
        <v>5268</v>
      </c>
      <c r="R5298" s="7">
        <v>47935</v>
      </c>
      <c r="S5298" s="210">
        <v>4</v>
      </c>
      <c r="T5298" s="8">
        <v>1.0001111111111112</v>
      </c>
      <c r="U5298" s="98">
        <v>3.9963398483995771</v>
      </c>
      <c r="V5298" s="106">
        <v>39825.347025758732</v>
      </c>
      <c r="W5298" s="10">
        <v>1.0356796322029904</v>
      </c>
      <c r="X5298" s="420"/>
      <c r="Y5298" s="420"/>
    </row>
    <row r="5299" spans="17:25">
      <c r="Q5299" s="6">
        <v>5269</v>
      </c>
      <c r="R5299" s="7">
        <v>47936</v>
      </c>
      <c r="S5299" s="210">
        <v>4</v>
      </c>
      <c r="T5299" s="8">
        <v>1.0001111111111112</v>
      </c>
      <c r="U5299" s="98">
        <v>3.9963668448949941</v>
      </c>
      <c r="V5299" s="106">
        <v>39828.551437338778</v>
      </c>
      <c r="W5299" s="10">
        <v>1.0356965538863561</v>
      </c>
      <c r="X5299" s="420"/>
      <c r="Y5299" s="420"/>
    </row>
    <row r="5300" spans="17:25">
      <c r="Q5300" s="6">
        <v>5270</v>
      </c>
      <c r="R5300" s="7">
        <v>47937</v>
      </c>
      <c r="S5300" s="210">
        <v>4</v>
      </c>
      <c r="T5300" s="8">
        <v>1.0001111111111112</v>
      </c>
      <c r="U5300" s="98">
        <v>3.9963938311520675</v>
      </c>
      <c r="V5300" s="106">
        <v>39831.756106750945</v>
      </c>
      <c r="W5300" s="10">
        <v>1.0357134691506564</v>
      </c>
      <c r="X5300" s="420"/>
      <c r="Y5300" s="420"/>
    </row>
    <row r="5301" spans="17:25">
      <c r="Q5301" s="6">
        <v>5271</v>
      </c>
      <c r="R5301" s="7">
        <v>47938</v>
      </c>
      <c r="S5301" s="210">
        <v>4</v>
      </c>
      <c r="T5301" s="8">
        <v>1.0001111111111112</v>
      </c>
      <c r="U5301" s="98">
        <v>3.996420807176615</v>
      </c>
      <c r="V5301" s="106">
        <v>39834.961034015971</v>
      </c>
      <c r="W5301" s="10">
        <v>1.0357303779995553</v>
      </c>
      <c r="X5301" s="420"/>
      <c r="Y5301" s="420"/>
    </row>
    <row r="5302" spans="17:25">
      <c r="Q5302" s="6">
        <v>5272</v>
      </c>
      <c r="R5302" s="7">
        <v>47939</v>
      </c>
      <c r="S5302" s="210">
        <v>4</v>
      </c>
      <c r="T5302" s="8">
        <v>1.0001111111111112</v>
      </c>
      <c r="U5302" s="98">
        <v>3.9964477729744763</v>
      </c>
      <c r="V5302" s="106">
        <v>39838.166219154613</v>
      </c>
      <c r="W5302" s="10">
        <v>1.0357472804366941</v>
      </c>
      <c r="X5302" s="420"/>
      <c r="Y5302" s="420"/>
    </row>
    <row r="5303" spans="17:25">
      <c r="Q5303" s="6">
        <v>5273</v>
      </c>
      <c r="R5303" s="7">
        <v>47940</v>
      </c>
      <c r="S5303" s="210">
        <v>4</v>
      </c>
      <c r="T5303" s="8">
        <v>1.0001111111111112</v>
      </c>
      <c r="U5303" s="98">
        <v>3.9964747285514468</v>
      </c>
      <c r="V5303" s="106">
        <v>39841.371662187608</v>
      </c>
      <c r="W5303" s="10">
        <v>1.0357641764657366</v>
      </c>
      <c r="X5303" s="420"/>
      <c r="Y5303" s="420"/>
    </row>
    <row r="5304" spans="17:25">
      <c r="Q5304" s="6">
        <v>5274</v>
      </c>
      <c r="R5304" s="7">
        <v>47941</v>
      </c>
      <c r="S5304" s="210">
        <v>4</v>
      </c>
      <c r="T5304" s="8">
        <v>1.0001111111111112</v>
      </c>
      <c r="U5304" s="98">
        <v>3.9965016739133219</v>
      </c>
      <c r="V5304" s="106">
        <v>39844.577363135715</v>
      </c>
      <c r="W5304" s="10">
        <v>1.03578106609028</v>
      </c>
      <c r="X5304" s="420"/>
      <c r="Y5304" s="420"/>
    </row>
    <row r="5305" spans="17:25">
      <c r="Q5305" s="6">
        <v>5275</v>
      </c>
      <c r="R5305" s="7">
        <v>47942</v>
      </c>
      <c r="S5305" s="210">
        <v>4</v>
      </c>
      <c r="T5305" s="8">
        <v>1.0001111111111112</v>
      </c>
      <c r="U5305" s="98">
        <v>3.9965286090659413</v>
      </c>
      <c r="V5305" s="106">
        <v>39847.783322019692</v>
      </c>
      <c r="W5305" s="10">
        <v>1.0357979493140324</v>
      </c>
      <c r="X5305" s="420"/>
      <c r="Y5305" s="420"/>
    </row>
    <row r="5306" spans="17:25">
      <c r="Q5306" s="6">
        <v>5276</v>
      </c>
      <c r="R5306" s="7">
        <v>47943</v>
      </c>
      <c r="S5306" s="210">
        <v>4</v>
      </c>
      <c r="T5306" s="8">
        <v>1.0001111111111112</v>
      </c>
      <c r="U5306" s="98">
        <v>3.9965555340150782</v>
      </c>
      <c r="V5306" s="106">
        <v>39850.989538860282</v>
      </c>
      <c r="W5306" s="10">
        <v>1.0358148261405686</v>
      </c>
      <c r="X5306" s="420"/>
      <c r="Y5306" s="420"/>
    </row>
    <row r="5307" spans="17:25">
      <c r="Q5307" s="6">
        <v>5277</v>
      </c>
      <c r="R5307" s="7">
        <v>47944</v>
      </c>
      <c r="S5307" s="210">
        <v>4</v>
      </c>
      <c r="T5307" s="8">
        <v>1.0001111111111112</v>
      </c>
      <c r="U5307" s="98">
        <v>3.9965824487665502</v>
      </c>
      <c r="V5307" s="106">
        <v>39854.196013678236</v>
      </c>
      <c r="W5307" s="10">
        <v>1.0358316965735748</v>
      </c>
      <c r="X5307" s="420"/>
      <c r="Y5307" s="420"/>
    </row>
    <row r="5308" spans="17:25">
      <c r="Q5308" s="6">
        <v>5278</v>
      </c>
      <c r="R5308" s="7">
        <v>47945</v>
      </c>
      <c r="S5308" s="210">
        <v>4</v>
      </c>
      <c r="T5308" s="8">
        <v>1.0001111111111112</v>
      </c>
      <c r="U5308" s="98">
        <v>3.9966093533261304</v>
      </c>
      <c r="V5308" s="106">
        <v>39857.402746494328</v>
      </c>
      <c r="W5308" s="10">
        <v>1.0358485606166479</v>
      </c>
      <c r="X5308" s="420"/>
      <c r="Y5308" s="420"/>
    </row>
    <row r="5309" spans="17:25">
      <c r="Q5309" s="6">
        <v>5279</v>
      </c>
      <c r="R5309" s="7">
        <v>47946</v>
      </c>
      <c r="S5309" s="210">
        <v>4</v>
      </c>
      <c r="T5309" s="8">
        <v>1.0001111111111112</v>
      </c>
      <c r="U5309" s="98">
        <v>3.9966362476996142</v>
      </c>
      <c r="V5309" s="106">
        <v>39860.609737329309</v>
      </c>
      <c r="W5309" s="10">
        <v>1.0358654182734073</v>
      </c>
      <c r="X5309" s="420"/>
      <c r="Y5309" s="420"/>
    </row>
    <row r="5310" spans="17:25">
      <c r="Q5310" s="6">
        <v>5280</v>
      </c>
      <c r="R5310" s="7">
        <v>47947</v>
      </c>
      <c r="S5310" s="210">
        <v>4</v>
      </c>
      <c r="T5310" s="8">
        <v>1.0001111111111112</v>
      </c>
      <c r="U5310" s="98">
        <v>3.996663131892797</v>
      </c>
      <c r="V5310" s="106">
        <v>39863.816986203936</v>
      </c>
      <c r="W5310" s="10">
        <v>1.0358822695475389</v>
      </c>
      <c r="X5310" s="420"/>
      <c r="Y5310" s="420"/>
    </row>
    <row r="5311" spans="17:25">
      <c r="Q5311" s="6">
        <v>5281</v>
      </c>
      <c r="R5311" s="7">
        <v>47948</v>
      </c>
      <c r="S5311" s="210">
        <v>4</v>
      </c>
      <c r="T5311" s="8">
        <v>1.0001111111111112</v>
      </c>
      <c r="U5311" s="98">
        <v>3.9966900059114296</v>
      </c>
      <c r="V5311" s="106">
        <v>39867.024493138975</v>
      </c>
      <c r="W5311" s="10">
        <v>1.0358991144425955</v>
      </c>
      <c r="X5311" s="420"/>
      <c r="Y5311" s="420"/>
    </row>
    <row r="5312" spans="17:25">
      <c r="Q5312" s="6">
        <v>5282</v>
      </c>
      <c r="R5312" s="7">
        <v>47949</v>
      </c>
      <c r="S5312" s="210">
        <v>4</v>
      </c>
      <c r="T5312" s="8">
        <v>1.0001111111111112</v>
      </c>
      <c r="U5312" s="98">
        <v>3.9967168697613076</v>
      </c>
      <c r="V5312" s="106">
        <v>39870.232258155193</v>
      </c>
      <c r="W5312" s="10">
        <v>1.0359159529622408</v>
      </c>
      <c r="X5312" s="420"/>
      <c r="Y5312" s="420"/>
    </row>
    <row r="5313" spans="17:25">
      <c r="Q5313" s="6">
        <v>5283</v>
      </c>
      <c r="R5313" s="7">
        <v>47950</v>
      </c>
      <c r="S5313" s="210">
        <v>4</v>
      </c>
      <c r="T5313" s="8">
        <v>1.0001111111111112</v>
      </c>
      <c r="U5313" s="98">
        <v>3.9967437234482039</v>
      </c>
      <c r="V5313" s="106">
        <v>39873.440281273346</v>
      </c>
      <c r="W5313" s="10">
        <v>1.0359327851100941</v>
      </c>
      <c r="X5313" s="420"/>
      <c r="Y5313" s="420"/>
    </row>
    <row r="5314" spans="17:25">
      <c r="Q5314" s="6">
        <v>5284</v>
      </c>
      <c r="R5314" s="7">
        <v>47951</v>
      </c>
      <c r="S5314" s="210">
        <v>4</v>
      </c>
      <c r="T5314" s="8">
        <v>1.0001111111111112</v>
      </c>
      <c r="U5314" s="98">
        <v>3.9967705669778697</v>
      </c>
      <c r="V5314" s="106">
        <v>39876.648562514209</v>
      </c>
      <c r="W5314" s="10">
        <v>1.0359496108897526</v>
      </c>
      <c r="X5314" s="420"/>
      <c r="Y5314" s="420"/>
    </row>
    <row r="5315" spans="17:25">
      <c r="Q5315" s="6">
        <v>5285</v>
      </c>
      <c r="R5315" s="7">
        <v>47952</v>
      </c>
      <c r="S5315" s="210">
        <v>4</v>
      </c>
      <c r="T5315" s="8">
        <v>1.0001111111111112</v>
      </c>
      <c r="U5315" s="98">
        <v>3.996797400356078</v>
      </c>
      <c r="V5315" s="106">
        <v>39879.857101898546</v>
      </c>
      <c r="W5315" s="10">
        <v>1.0359664303048577</v>
      </c>
      <c r="X5315" s="420"/>
      <c r="Y5315" s="420"/>
    </row>
    <row r="5316" spans="17:25">
      <c r="Q5316" s="6">
        <v>5286</v>
      </c>
      <c r="R5316" s="7">
        <v>47953</v>
      </c>
      <c r="S5316" s="210">
        <v>4</v>
      </c>
      <c r="T5316" s="8">
        <v>1.0001111111111112</v>
      </c>
      <c r="U5316" s="98">
        <v>3.996824223588602</v>
      </c>
      <c r="V5316" s="106">
        <v>39883.065899447138</v>
      </c>
      <c r="W5316" s="10">
        <v>1.0359832433589844</v>
      </c>
      <c r="X5316" s="420"/>
      <c r="Y5316" s="420"/>
    </row>
    <row r="5317" spans="17:25">
      <c r="Q5317" s="6">
        <v>5287</v>
      </c>
      <c r="R5317" s="7">
        <v>47954</v>
      </c>
      <c r="S5317" s="210">
        <v>4</v>
      </c>
      <c r="T5317" s="8">
        <v>1.0001111111111112</v>
      </c>
      <c r="U5317" s="98">
        <v>3.9968510366811705</v>
      </c>
      <c r="V5317" s="106">
        <v>39886.274955180743</v>
      </c>
      <c r="W5317" s="10">
        <v>1.0360000500557742</v>
      </c>
      <c r="X5317" s="420"/>
      <c r="Y5317" s="420"/>
    </row>
    <row r="5318" spans="17:25">
      <c r="Q5318" s="6">
        <v>5288</v>
      </c>
      <c r="R5318" s="7">
        <v>47955</v>
      </c>
      <c r="S5318" s="210">
        <v>4</v>
      </c>
      <c r="T5318" s="8">
        <v>1.0001111111111112</v>
      </c>
      <c r="U5318" s="98">
        <v>3.9968778396395344</v>
      </c>
      <c r="V5318" s="106">
        <v>39889.484269120148</v>
      </c>
      <c r="W5318" s="10">
        <v>1.0360168503988021</v>
      </c>
      <c r="X5318" s="420"/>
      <c r="Y5318" s="420"/>
    </row>
    <row r="5319" spans="17:25">
      <c r="Q5319" s="6">
        <v>5289</v>
      </c>
      <c r="R5319" s="7">
        <v>47956</v>
      </c>
      <c r="S5319" s="210">
        <v>4</v>
      </c>
      <c r="T5319" s="8">
        <v>1.0001111111111112</v>
      </c>
      <c r="U5319" s="98">
        <v>3.9969046324694446</v>
      </c>
      <c r="V5319" s="106">
        <v>39892.69384128612</v>
      </c>
      <c r="W5319" s="10">
        <v>1.0360336443916873</v>
      </c>
      <c r="X5319" s="420"/>
      <c r="Y5319" s="420"/>
    </row>
    <row r="5320" spans="17:25">
      <c r="Q5320" s="6">
        <v>5290</v>
      </c>
      <c r="R5320" s="7">
        <v>47957</v>
      </c>
      <c r="S5320" s="210">
        <v>4</v>
      </c>
      <c r="T5320" s="8">
        <v>1.0001111111111112</v>
      </c>
      <c r="U5320" s="98">
        <v>3.99693141517663</v>
      </c>
      <c r="V5320" s="106">
        <v>39895.903671699438</v>
      </c>
      <c r="W5320" s="10">
        <v>1.036050432038027</v>
      </c>
      <c r="X5320" s="420"/>
      <c r="Y5320" s="420"/>
    </row>
    <row r="5321" spans="17:25">
      <c r="Q5321" s="6">
        <v>5291</v>
      </c>
      <c r="R5321" s="7">
        <v>47958</v>
      </c>
      <c r="S5321" s="210">
        <v>4</v>
      </c>
      <c r="T5321" s="8">
        <v>1.0001111111111112</v>
      </c>
      <c r="U5321" s="98">
        <v>3.9969581877668414</v>
      </c>
      <c r="V5321" s="106">
        <v>39899.113760380882</v>
      </c>
      <c r="W5321" s="10">
        <v>1.0360672133414184</v>
      </c>
      <c r="X5321" s="420"/>
      <c r="Y5321" s="420"/>
    </row>
    <row r="5322" spans="17:25">
      <c r="Q5322" s="6">
        <v>5292</v>
      </c>
      <c r="R5322" s="7">
        <v>47959</v>
      </c>
      <c r="S5322" s="210">
        <v>4</v>
      </c>
      <c r="T5322" s="8">
        <v>1.0001111111111112</v>
      </c>
      <c r="U5322" s="98">
        <v>3.9969849502458077</v>
      </c>
      <c r="V5322" s="106">
        <v>39902.32410735124</v>
      </c>
      <c r="W5322" s="10">
        <v>1.0360839883054584</v>
      </c>
      <c r="X5322" s="420"/>
      <c r="Y5322" s="420"/>
    </row>
    <row r="5323" spans="17:25">
      <c r="Q5323" s="6">
        <v>5293</v>
      </c>
      <c r="R5323" s="7">
        <v>47960</v>
      </c>
      <c r="S5323" s="210">
        <v>4</v>
      </c>
      <c r="T5323" s="8">
        <v>1.0001111111111112</v>
      </c>
      <c r="U5323" s="98">
        <v>3.9970117026192575</v>
      </c>
      <c r="V5323" s="106">
        <v>39905.534712631277</v>
      </c>
      <c r="W5323" s="10">
        <v>1.0361007569337444</v>
      </c>
      <c r="X5323" s="420"/>
      <c r="Y5323" s="420"/>
    </row>
    <row r="5324" spans="17:25">
      <c r="Q5324" s="6">
        <v>5294</v>
      </c>
      <c r="R5324" s="7">
        <v>47961</v>
      </c>
      <c r="S5324" s="210">
        <v>4</v>
      </c>
      <c r="T5324" s="8">
        <v>1.0001111111111112</v>
      </c>
      <c r="U5324" s="98">
        <v>3.9970384448928975</v>
      </c>
      <c r="V5324" s="106">
        <v>39908.745576241789</v>
      </c>
      <c r="W5324" s="10">
        <v>1.0361175192298289</v>
      </c>
      <c r="X5324" s="420"/>
      <c r="Y5324" s="420"/>
    </row>
    <row r="5325" spans="17:25">
      <c r="Q5325" s="6">
        <v>5295</v>
      </c>
      <c r="R5325" s="7">
        <v>47962</v>
      </c>
      <c r="S5325" s="210">
        <v>4</v>
      </c>
      <c r="T5325" s="8">
        <v>1.0001111111111112</v>
      </c>
      <c r="U5325" s="98">
        <v>3.9970651770724563</v>
      </c>
      <c r="V5325" s="106">
        <v>39911.956698203561</v>
      </c>
      <c r="W5325" s="10">
        <v>1.0361342751973535</v>
      </c>
      <c r="X5325" s="420"/>
      <c r="Y5325" s="420"/>
    </row>
    <row r="5326" spans="17:25">
      <c r="Q5326" s="6">
        <v>5296</v>
      </c>
      <c r="R5326" s="7">
        <v>47963</v>
      </c>
      <c r="S5326" s="210">
        <v>4</v>
      </c>
      <c r="T5326" s="8">
        <v>1.0001111111111112</v>
      </c>
      <c r="U5326" s="98">
        <v>3.9970918991636628</v>
      </c>
      <c r="V5326" s="106">
        <v>39915.168078537383</v>
      </c>
      <c r="W5326" s="10">
        <v>1.0361510248398709</v>
      </c>
      <c r="X5326" s="420"/>
      <c r="Y5326" s="420"/>
    </row>
    <row r="5327" spans="17:25">
      <c r="Q5327" s="6">
        <v>5297</v>
      </c>
      <c r="R5327" s="7">
        <v>47964</v>
      </c>
      <c r="S5327" s="210">
        <v>4</v>
      </c>
      <c r="T5327" s="8">
        <v>1.0001111111111112</v>
      </c>
      <c r="U5327" s="98">
        <v>3.9971186111722012</v>
      </c>
      <c r="V5327" s="106">
        <v>39918.379717264041</v>
      </c>
      <c r="W5327" s="10">
        <v>1.0361677681609338</v>
      </c>
      <c r="X5327" s="420"/>
      <c r="Y5327" s="420"/>
    </row>
    <row r="5328" spans="17:25">
      <c r="Q5328" s="6">
        <v>5298</v>
      </c>
      <c r="R5328" s="7">
        <v>47965</v>
      </c>
      <c r="S5328" s="210">
        <v>4</v>
      </c>
      <c r="T5328" s="8">
        <v>1.0001111111111112</v>
      </c>
      <c r="U5328" s="98">
        <v>3.9971453131038004</v>
      </c>
      <c r="V5328" s="106">
        <v>39921.591614404315</v>
      </c>
      <c r="W5328" s="10">
        <v>1.0361845051641838</v>
      </c>
      <c r="X5328" s="420"/>
      <c r="Y5328" s="420"/>
    </row>
    <row r="5329" spans="17:25">
      <c r="Q5329" s="6">
        <v>5299</v>
      </c>
      <c r="R5329" s="7">
        <v>47966</v>
      </c>
      <c r="S5329" s="210">
        <v>4</v>
      </c>
      <c r="T5329" s="8">
        <v>1.0001111111111112</v>
      </c>
      <c r="U5329" s="98">
        <v>3.9971720049641446</v>
      </c>
      <c r="V5329" s="106">
        <v>39924.803769979015</v>
      </c>
      <c r="W5329" s="10">
        <v>1.0362012358531514</v>
      </c>
      <c r="X5329" s="420"/>
      <c r="Y5329" s="420"/>
    </row>
    <row r="5330" spans="17:25">
      <c r="Q5330" s="6">
        <v>5300</v>
      </c>
      <c r="R5330" s="7">
        <v>47967</v>
      </c>
      <c r="S5330" s="210">
        <v>4</v>
      </c>
      <c r="T5330" s="8">
        <v>1.0001111111111112</v>
      </c>
      <c r="U5330" s="98">
        <v>3.9971986867589404</v>
      </c>
      <c r="V5330" s="106">
        <v>39928.016184008928</v>
      </c>
      <c r="W5330" s="10">
        <v>1.0362179602314336</v>
      </c>
      <c r="X5330" s="420"/>
      <c r="Y5330" s="420"/>
    </row>
    <row r="5331" spans="17:25">
      <c r="Q5331" s="6">
        <v>5301</v>
      </c>
      <c r="R5331" s="7">
        <v>47968</v>
      </c>
      <c r="S5331" s="210">
        <v>4</v>
      </c>
      <c r="T5331" s="8">
        <v>1.0001111111111112</v>
      </c>
      <c r="U5331" s="98">
        <v>3.9972253584938722</v>
      </c>
      <c r="V5331" s="106">
        <v>39931.228856514841</v>
      </c>
      <c r="W5331" s="10">
        <v>1.0362346783025833</v>
      </c>
      <c r="X5331" s="420"/>
      <c r="Y5331" s="420"/>
    </row>
    <row r="5332" spans="17:25">
      <c r="Q5332" s="6">
        <v>5302</v>
      </c>
      <c r="R5332" s="7">
        <v>47969</v>
      </c>
      <c r="S5332" s="210">
        <v>4</v>
      </c>
      <c r="T5332" s="8">
        <v>1.0001111111111112</v>
      </c>
      <c r="U5332" s="98">
        <v>3.9972520201746242</v>
      </c>
      <c r="V5332" s="106">
        <v>39934.441787517571</v>
      </c>
      <c r="W5332" s="10">
        <v>1.0362513900701531</v>
      </c>
      <c r="X5332" s="420"/>
      <c r="Y5332" s="420"/>
    </row>
    <row r="5333" spans="17:25">
      <c r="Q5333" s="6">
        <v>5303</v>
      </c>
      <c r="R5333" s="7">
        <v>47970</v>
      </c>
      <c r="S5333" s="210">
        <v>4</v>
      </c>
      <c r="T5333" s="8">
        <v>1.0001111111111112</v>
      </c>
      <c r="U5333" s="98">
        <v>3.9972786718068809</v>
      </c>
      <c r="V5333" s="106">
        <v>39937.654977037899</v>
      </c>
      <c r="W5333" s="10">
        <v>1.0362680955377179</v>
      </c>
      <c r="X5333" s="420"/>
      <c r="Y5333" s="420"/>
    </row>
    <row r="5334" spans="17:25">
      <c r="Q5334" s="6">
        <v>5304</v>
      </c>
      <c r="R5334" s="7">
        <v>47971</v>
      </c>
      <c r="S5334" s="210">
        <v>4</v>
      </c>
      <c r="T5334" s="8">
        <v>1.0001111111111112</v>
      </c>
      <c r="U5334" s="98">
        <v>3.9973053133963488</v>
      </c>
      <c r="V5334" s="106">
        <v>39940.868425096625</v>
      </c>
      <c r="W5334" s="10">
        <v>1.0362847947088749</v>
      </c>
      <c r="X5334" s="420"/>
      <c r="Y5334" s="420"/>
    </row>
    <row r="5335" spans="17:25">
      <c r="Q5335" s="6">
        <v>5305</v>
      </c>
      <c r="R5335" s="7">
        <v>47972</v>
      </c>
      <c r="S5335" s="210">
        <v>4</v>
      </c>
      <c r="T5335" s="8">
        <v>1.0001111111111112</v>
      </c>
      <c r="U5335" s="98">
        <v>3.9973319449486677</v>
      </c>
      <c r="V5335" s="106">
        <v>39944.082131714575</v>
      </c>
      <c r="W5335" s="10">
        <v>1.0363014875871324</v>
      </c>
      <c r="X5335" s="420"/>
      <c r="Y5335" s="420"/>
    </row>
    <row r="5336" spans="17:25">
      <c r="Q5336" s="6">
        <v>5306</v>
      </c>
      <c r="R5336" s="7">
        <v>47973</v>
      </c>
      <c r="S5336" s="210">
        <v>4</v>
      </c>
      <c r="T5336" s="8">
        <v>1.0001111111111112</v>
      </c>
      <c r="U5336" s="98">
        <v>3.9973585664695221</v>
      </c>
      <c r="V5336" s="106">
        <v>39947.296096912527</v>
      </c>
      <c r="W5336" s="10">
        <v>1.0363181741760874</v>
      </c>
      <c r="X5336" s="420"/>
      <c r="Y5336" s="420"/>
    </row>
    <row r="5337" spans="17:25">
      <c r="Q5337" s="6">
        <v>5307</v>
      </c>
      <c r="R5337" s="7">
        <v>47974</v>
      </c>
      <c r="S5337" s="210">
        <v>4</v>
      </c>
      <c r="T5337" s="8">
        <v>1.0001111111111112</v>
      </c>
      <c r="U5337" s="98">
        <v>3.9973851779645964</v>
      </c>
      <c r="V5337" s="106">
        <v>39950.510320711292</v>
      </c>
      <c r="W5337" s="10">
        <v>1.0363348544792705</v>
      </c>
      <c r="X5337" s="420"/>
      <c r="Y5337" s="420"/>
    </row>
    <row r="5338" spans="17:25">
      <c r="Q5338" s="6">
        <v>5308</v>
      </c>
      <c r="R5338" s="7">
        <v>47975</v>
      </c>
      <c r="S5338" s="210">
        <v>4</v>
      </c>
      <c r="T5338" s="8">
        <v>1.0001111111111112</v>
      </c>
      <c r="U5338" s="98">
        <v>3.9974117794395303</v>
      </c>
      <c r="V5338" s="106">
        <v>39953.724803131692</v>
      </c>
      <c r="W5338" s="10">
        <v>1.0363515285002345</v>
      </c>
      <c r="X5338" s="420"/>
      <c r="Y5338" s="420"/>
    </row>
    <row r="5339" spans="17:25">
      <c r="Q5339" s="6">
        <v>5309</v>
      </c>
      <c r="R5339" s="7">
        <v>47976</v>
      </c>
      <c r="S5339" s="210">
        <v>4</v>
      </c>
      <c r="T5339" s="8">
        <v>1.0001111111111112</v>
      </c>
      <c r="U5339" s="98">
        <v>3.9974383708999861</v>
      </c>
      <c r="V5339" s="106">
        <v>39956.939544194523</v>
      </c>
      <c r="W5339" s="10">
        <v>1.036368196242532</v>
      </c>
      <c r="X5339" s="420"/>
      <c r="Y5339" s="420"/>
    </row>
    <row r="5340" spans="17:25">
      <c r="Q5340" s="6">
        <v>5310</v>
      </c>
      <c r="R5340" s="7">
        <v>47977</v>
      </c>
      <c r="S5340" s="210">
        <v>4</v>
      </c>
      <c r="T5340" s="8">
        <v>1.0001111111111112</v>
      </c>
      <c r="U5340" s="98">
        <v>3.9974649523516259</v>
      </c>
      <c r="V5340" s="106">
        <v>39960.154543920602</v>
      </c>
      <c r="W5340" s="10">
        <v>1.0363848577097157</v>
      </c>
      <c r="X5340" s="420"/>
      <c r="Y5340" s="420"/>
    </row>
    <row r="5341" spans="17:25">
      <c r="Q5341" s="6">
        <v>5311</v>
      </c>
      <c r="R5341" s="7">
        <v>47978</v>
      </c>
      <c r="S5341" s="210">
        <v>4</v>
      </c>
      <c r="T5341" s="8">
        <v>1.0001111111111112</v>
      </c>
      <c r="U5341" s="98">
        <v>3.9974915238000897</v>
      </c>
      <c r="V5341" s="106">
        <v>39963.36980233073</v>
      </c>
      <c r="W5341" s="10">
        <v>1.0364015129053161</v>
      </c>
      <c r="X5341" s="420"/>
      <c r="Y5341" s="420"/>
    </row>
    <row r="5342" spans="17:25">
      <c r="Q5342" s="6">
        <v>5312</v>
      </c>
      <c r="R5342" s="7">
        <v>47979</v>
      </c>
      <c r="S5342" s="210">
        <v>4</v>
      </c>
      <c r="T5342" s="8">
        <v>1.0001111111111112</v>
      </c>
      <c r="U5342" s="98">
        <v>3.9975180852510395</v>
      </c>
      <c r="V5342" s="106">
        <v>39966.58531944573</v>
      </c>
      <c r="W5342" s="10">
        <v>1.036418161832886</v>
      </c>
      <c r="X5342" s="420"/>
      <c r="Y5342" s="420"/>
    </row>
    <row r="5343" spans="17:25">
      <c r="Q5343" s="6">
        <v>5313</v>
      </c>
      <c r="R5343" s="7">
        <v>47980</v>
      </c>
      <c r="S5343" s="210">
        <v>4</v>
      </c>
      <c r="T5343" s="8">
        <v>1.0001111111111112</v>
      </c>
      <c r="U5343" s="98">
        <v>3.9975446367100931</v>
      </c>
      <c r="V5343" s="106">
        <v>39969.801095286421</v>
      </c>
      <c r="W5343" s="10">
        <v>1.0364348044959559</v>
      </c>
      <c r="X5343" s="420"/>
      <c r="Y5343" s="420"/>
    </row>
    <row r="5344" spans="17:25">
      <c r="Q5344" s="6">
        <v>5314</v>
      </c>
      <c r="R5344" s="7">
        <v>47981</v>
      </c>
      <c r="S5344" s="210">
        <v>4</v>
      </c>
      <c r="T5344" s="8">
        <v>1.0001111111111112</v>
      </c>
      <c r="U5344" s="98">
        <v>3.9975711781829126</v>
      </c>
      <c r="V5344" s="106">
        <v>39973.017129873624</v>
      </c>
      <c r="W5344" s="10">
        <v>1.0364514408980563</v>
      </c>
      <c r="X5344" s="420"/>
      <c r="Y5344" s="420"/>
    </row>
    <row r="5345" spans="17:25">
      <c r="Q5345" s="6">
        <v>5315</v>
      </c>
      <c r="R5345" s="7">
        <v>47982</v>
      </c>
      <c r="S5345" s="210">
        <v>4</v>
      </c>
      <c r="T5345" s="8">
        <v>1.0001111111111112</v>
      </c>
      <c r="U5345" s="98">
        <v>3.9975977096751159</v>
      </c>
      <c r="V5345" s="106">
        <v>39976.233423228136</v>
      </c>
      <c r="W5345" s="10">
        <v>1.0364680710427399</v>
      </c>
      <c r="X5345" s="420"/>
      <c r="Y5345" s="420"/>
    </row>
    <row r="5346" spans="17:25">
      <c r="Q5346" s="6">
        <v>5316</v>
      </c>
      <c r="R5346" s="7">
        <v>47983</v>
      </c>
      <c r="S5346" s="210">
        <v>4</v>
      </c>
      <c r="T5346" s="8">
        <v>1.0001111111111112</v>
      </c>
      <c r="U5346" s="98">
        <v>3.9976242311923205</v>
      </c>
      <c r="V5346" s="106">
        <v>39979.449975370808</v>
      </c>
      <c r="W5346" s="10">
        <v>1.0364846949334927</v>
      </c>
      <c r="X5346" s="420"/>
      <c r="Y5346" s="420"/>
    </row>
    <row r="5347" spans="17:25">
      <c r="Q5347" s="6">
        <v>5317</v>
      </c>
      <c r="R5347" s="7">
        <v>47984</v>
      </c>
      <c r="S5347" s="210">
        <v>4</v>
      </c>
      <c r="T5347" s="8">
        <v>1.0001111111111112</v>
      </c>
      <c r="U5347" s="98">
        <v>3.9976507427401664</v>
      </c>
      <c r="V5347" s="106">
        <v>39982.666786322436</v>
      </c>
      <c r="W5347" s="10">
        <v>1.0365013125738898</v>
      </c>
      <c r="X5347" s="420"/>
      <c r="Y5347" s="420"/>
    </row>
    <row r="5348" spans="17:25">
      <c r="Q5348" s="6">
        <v>5318</v>
      </c>
      <c r="R5348" s="7">
        <v>47985</v>
      </c>
      <c r="S5348" s="210">
        <v>4</v>
      </c>
      <c r="T5348" s="8">
        <v>1.0001111111111112</v>
      </c>
      <c r="U5348" s="98">
        <v>3.9976772443242714</v>
      </c>
      <c r="V5348" s="106">
        <v>39985.883856103857</v>
      </c>
      <c r="W5348" s="10">
        <v>1.0365179239674172</v>
      </c>
      <c r="X5348" s="420"/>
      <c r="Y5348" s="420"/>
    </row>
    <row r="5349" spans="17:25">
      <c r="Q5349" s="6">
        <v>5319</v>
      </c>
      <c r="R5349" s="7">
        <v>47986</v>
      </c>
      <c r="S5349" s="210">
        <v>4</v>
      </c>
      <c r="T5349" s="8">
        <v>1.0001111111111112</v>
      </c>
      <c r="U5349" s="98">
        <v>3.9977037359502532</v>
      </c>
      <c r="V5349" s="106">
        <v>39989.101184735897</v>
      </c>
      <c r="W5349" s="10">
        <v>1.0365345291176276</v>
      </c>
      <c r="X5349" s="420"/>
      <c r="Y5349" s="420"/>
    </row>
    <row r="5350" spans="17:25">
      <c r="Q5350" s="6">
        <v>5320</v>
      </c>
      <c r="R5350" s="7">
        <v>47987</v>
      </c>
      <c r="S5350" s="210">
        <v>4</v>
      </c>
      <c r="T5350" s="8">
        <v>1.0001111111111112</v>
      </c>
      <c r="U5350" s="98">
        <v>3.9977302176237295</v>
      </c>
      <c r="V5350" s="106">
        <v>39992.318772239378</v>
      </c>
      <c r="W5350" s="10">
        <v>1.0365511280280293</v>
      </c>
      <c r="X5350" s="420"/>
      <c r="Y5350" s="420"/>
    </row>
    <row r="5351" spans="17:25">
      <c r="Q5351" s="6">
        <v>5321</v>
      </c>
      <c r="R5351" s="7">
        <v>47988</v>
      </c>
      <c r="S5351" s="210">
        <v>4</v>
      </c>
      <c r="T5351" s="8">
        <v>1.0001111111111112</v>
      </c>
      <c r="U5351" s="98">
        <v>3.9977566893502958</v>
      </c>
      <c r="V5351" s="106">
        <v>39995.536618635138</v>
      </c>
      <c r="W5351" s="10">
        <v>1.0365677207021307</v>
      </c>
      <c r="X5351" s="420"/>
      <c r="Y5351" s="420"/>
    </row>
    <row r="5352" spans="17:25">
      <c r="Q5352" s="6">
        <v>5322</v>
      </c>
      <c r="R5352" s="7">
        <v>47989</v>
      </c>
      <c r="S5352" s="210">
        <v>4</v>
      </c>
      <c r="T5352" s="8">
        <v>1.0001111111111112</v>
      </c>
      <c r="U5352" s="98">
        <v>3.9977831511355699</v>
      </c>
      <c r="V5352" s="106">
        <v>39998.754723944003</v>
      </c>
      <c r="W5352" s="10">
        <v>1.0365843071434622</v>
      </c>
      <c r="X5352" s="420"/>
      <c r="Y5352" s="420"/>
    </row>
    <row r="5353" spans="17:25">
      <c r="Q5353" s="6">
        <v>5323</v>
      </c>
      <c r="R5353" s="7">
        <v>47990</v>
      </c>
      <c r="S5353" s="210">
        <v>4</v>
      </c>
      <c r="T5353" s="8">
        <v>1.0001111111111112</v>
      </c>
      <c r="U5353" s="98">
        <v>3.9978096029851251</v>
      </c>
      <c r="V5353" s="106">
        <v>40001.973088186802</v>
      </c>
      <c r="W5353" s="10">
        <v>1.0366008873555321</v>
      </c>
      <c r="X5353" s="420"/>
      <c r="Y5353" s="420"/>
    </row>
    <row r="5354" spans="17:25">
      <c r="Q5354" s="6">
        <v>5324</v>
      </c>
      <c r="R5354" s="7">
        <v>47991</v>
      </c>
      <c r="S5354" s="210">
        <v>4</v>
      </c>
      <c r="T5354" s="8">
        <v>1.0001111111111112</v>
      </c>
      <c r="U5354" s="98">
        <v>3.9978360449045791</v>
      </c>
      <c r="V5354" s="106">
        <v>40005.191711384374</v>
      </c>
      <c r="W5354" s="10">
        <v>1.0366174613418266</v>
      </c>
      <c r="X5354" s="420"/>
      <c r="Y5354" s="420"/>
    </row>
    <row r="5355" spans="17:25">
      <c r="Q5355" s="6">
        <v>5325</v>
      </c>
      <c r="R5355" s="7">
        <v>47992</v>
      </c>
      <c r="S5355" s="210">
        <v>4</v>
      </c>
      <c r="T5355" s="8">
        <v>1.0001111111111112</v>
      </c>
      <c r="U5355" s="98">
        <v>3.9978624768995052</v>
      </c>
      <c r="V5355" s="106">
        <v>40008.410593557557</v>
      </c>
      <c r="W5355" s="10">
        <v>1.036634029105854</v>
      </c>
      <c r="X5355" s="420"/>
      <c r="Y5355" s="420"/>
    </row>
    <row r="5356" spans="17:25">
      <c r="Q5356" s="6">
        <v>5326</v>
      </c>
      <c r="R5356" s="7">
        <v>47993</v>
      </c>
      <c r="S5356" s="210">
        <v>4</v>
      </c>
      <c r="T5356" s="8">
        <v>1.0001111111111112</v>
      </c>
      <c r="U5356" s="98">
        <v>3.997888898975499</v>
      </c>
      <c r="V5356" s="106">
        <v>40011.629734727183</v>
      </c>
      <c r="W5356" s="10">
        <v>1.0366505906511447</v>
      </c>
      <c r="X5356" s="420"/>
      <c r="Y5356" s="420"/>
    </row>
    <row r="5357" spans="17:25">
      <c r="Q5357" s="6">
        <v>5327</v>
      </c>
      <c r="R5357" s="7">
        <v>47994</v>
      </c>
      <c r="S5357" s="210">
        <v>4</v>
      </c>
      <c r="T5357" s="8">
        <v>1.0001111111111112</v>
      </c>
      <c r="U5357" s="98">
        <v>3.997915311138156</v>
      </c>
      <c r="V5357" s="106">
        <v>40014.849134914097</v>
      </c>
      <c r="W5357" s="10">
        <v>1.0366671459811849</v>
      </c>
      <c r="X5357" s="420"/>
      <c r="Y5357" s="420"/>
    </row>
    <row r="5358" spans="17:25">
      <c r="Q5358" s="6">
        <v>5328</v>
      </c>
      <c r="R5358" s="7">
        <v>47995</v>
      </c>
      <c r="S5358" s="210">
        <v>4</v>
      </c>
      <c r="T5358" s="8">
        <v>1.0001111111111112</v>
      </c>
      <c r="U5358" s="98">
        <v>3.9979417133930273</v>
      </c>
      <c r="V5358" s="106">
        <v>40018.06879413913</v>
      </c>
      <c r="W5358" s="10">
        <v>1.0366836950994829</v>
      </c>
      <c r="X5358" s="420"/>
      <c r="Y5358" s="420"/>
    </row>
    <row r="5359" spans="17:25">
      <c r="Q5359" s="6">
        <v>5329</v>
      </c>
      <c r="R5359" s="7">
        <v>47996</v>
      </c>
      <c r="S5359" s="210">
        <v>4</v>
      </c>
      <c r="T5359" s="8">
        <v>1.0001111111111112</v>
      </c>
      <c r="U5359" s="98">
        <v>3.9979681057457084</v>
      </c>
      <c r="V5359" s="106">
        <v>40021.288712423135</v>
      </c>
      <c r="W5359" s="10">
        <v>1.0367002380095025</v>
      </c>
      <c r="X5359" s="420"/>
      <c r="Y5359" s="420"/>
    </row>
    <row r="5360" spans="17:25">
      <c r="Q5360" s="6">
        <v>5330</v>
      </c>
      <c r="R5360" s="7">
        <v>47997</v>
      </c>
      <c r="S5360" s="210">
        <v>4</v>
      </c>
      <c r="T5360" s="8">
        <v>1.0001111111111112</v>
      </c>
      <c r="U5360" s="98">
        <v>3.9979944882017726</v>
      </c>
      <c r="V5360" s="106">
        <v>40024.50888978695</v>
      </c>
      <c r="W5360" s="10">
        <v>1.0367167747147965</v>
      </c>
      <c r="X5360" s="420"/>
      <c r="Y5360" s="420"/>
    </row>
    <row r="5361" spans="17:25">
      <c r="Q5361" s="6">
        <v>5331</v>
      </c>
      <c r="R5361" s="7">
        <v>47998</v>
      </c>
      <c r="S5361" s="210">
        <v>4</v>
      </c>
      <c r="T5361" s="8">
        <v>1.0001111111111112</v>
      </c>
      <c r="U5361" s="98">
        <v>3.9980208607667711</v>
      </c>
      <c r="V5361" s="106">
        <v>40027.729326251429</v>
      </c>
      <c r="W5361" s="10">
        <v>1.0367333052187844</v>
      </c>
      <c r="X5361" s="420"/>
      <c r="Y5361" s="420"/>
    </row>
    <row r="5362" spans="17:25">
      <c r="Q5362" s="6">
        <v>5332</v>
      </c>
      <c r="R5362" s="7">
        <v>47999</v>
      </c>
      <c r="S5362" s="210">
        <v>4</v>
      </c>
      <c r="T5362" s="8">
        <v>1.0001111111111112</v>
      </c>
      <c r="U5362" s="98">
        <v>3.998047223446255</v>
      </c>
      <c r="V5362" s="106">
        <v>40030.950021837409</v>
      </c>
      <c r="W5362" s="10">
        <v>1.0367498295249966</v>
      </c>
      <c r="X5362" s="420"/>
      <c r="Y5362" s="420"/>
    </row>
    <row r="5363" spans="17:25">
      <c r="Q5363" s="6">
        <v>5333</v>
      </c>
      <c r="R5363" s="7">
        <v>48000</v>
      </c>
      <c r="S5363" s="210">
        <v>4</v>
      </c>
      <c r="T5363" s="8">
        <v>1.0001111111111112</v>
      </c>
      <c r="U5363" s="98">
        <v>3.9980735762457975</v>
      </c>
      <c r="V5363" s="106">
        <v>40034.170976565743</v>
      </c>
      <c r="W5363" s="10">
        <v>1.0367663476368971</v>
      </c>
      <c r="X5363" s="420"/>
      <c r="Y5363" s="420"/>
    </row>
    <row r="5364" spans="17:25">
      <c r="Q5364" s="6">
        <v>5334</v>
      </c>
      <c r="R5364" s="7">
        <v>48001</v>
      </c>
      <c r="S5364" s="210">
        <v>4</v>
      </c>
      <c r="T5364" s="8">
        <v>1.0001111111111112</v>
      </c>
      <c r="U5364" s="98">
        <v>3.9980999191709499</v>
      </c>
      <c r="V5364" s="106">
        <v>40037.392190457285</v>
      </c>
      <c r="W5364" s="10">
        <v>1.036782859557972</v>
      </c>
      <c r="X5364" s="420"/>
      <c r="Y5364" s="420"/>
    </row>
    <row r="5365" spans="17:25">
      <c r="Q5365" s="6">
        <v>5335</v>
      </c>
      <c r="R5365" s="7">
        <v>48002</v>
      </c>
      <c r="S5365" s="210">
        <v>4</v>
      </c>
      <c r="T5365" s="8">
        <v>1.0001111111111112</v>
      </c>
      <c r="U5365" s="98">
        <v>3.9981262522272631</v>
      </c>
      <c r="V5365" s="106">
        <v>40040.613663532888</v>
      </c>
      <c r="W5365" s="10">
        <v>1.0367993652917296</v>
      </c>
      <c r="X5365" s="420"/>
      <c r="Y5365" s="420"/>
    </row>
    <row r="5366" spans="17:25">
      <c r="Q5366" s="6">
        <v>5336</v>
      </c>
      <c r="R5366" s="7">
        <v>48003</v>
      </c>
      <c r="S5366" s="210">
        <v>4</v>
      </c>
      <c r="T5366" s="8">
        <v>1.0001111111111112</v>
      </c>
      <c r="U5366" s="98">
        <v>3.9981525754202885</v>
      </c>
      <c r="V5366" s="106">
        <v>40043.835395813403</v>
      </c>
      <c r="W5366" s="10">
        <v>1.0368158648416337</v>
      </c>
      <c r="X5366" s="420"/>
      <c r="Y5366" s="420"/>
    </row>
    <row r="5367" spans="17:25">
      <c r="Q5367" s="6">
        <v>5337</v>
      </c>
      <c r="R5367" s="7">
        <v>48004</v>
      </c>
      <c r="S5367" s="210">
        <v>4</v>
      </c>
      <c r="T5367" s="8">
        <v>1.0001111111111112</v>
      </c>
      <c r="U5367" s="98">
        <v>3.9981788887555547</v>
      </c>
      <c r="V5367" s="106">
        <v>40047.057387319684</v>
      </c>
      <c r="W5367" s="10">
        <v>1.0368323582111261</v>
      </c>
      <c r="X5367" s="420"/>
      <c r="Y5367" s="420"/>
    </row>
    <row r="5368" spans="17:25">
      <c r="Q5368" s="6">
        <v>5338</v>
      </c>
      <c r="R5368" s="7">
        <v>48005</v>
      </c>
      <c r="S5368" s="210">
        <v>4</v>
      </c>
      <c r="T5368" s="8">
        <v>1.0001111111111112</v>
      </c>
      <c r="U5368" s="98">
        <v>3.9982051922385908</v>
      </c>
      <c r="V5368" s="106">
        <v>40050.279638072599</v>
      </c>
      <c r="W5368" s="10">
        <v>1.036848845403715</v>
      </c>
      <c r="X5368" s="420"/>
      <c r="Y5368" s="420"/>
    </row>
    <row r="5369" spans="17:25">
      <c r="Q5369" s="6">
        <v>5339</v>
      </c>
      <c r="R5369" s="7">
        <v>48006</v>
      </c>
      <c r="S5369" s="210">
        <v>4</v>
      </c>
      <c r="T5369" s="8">
        <v>1.0001111111111112</v>
      </c>
      <c r="U5369" s="98">
        <v>3.9982314858749479</v>
      </c>
      <c r="V5369" s="106">
        <v>40053.502148092994</v>
      </c>
      <c r="W5369" s="10">
        <v>1.0368653264228644</v>
      </c>
      <c r="X5369" s="420"/>
      <c r="Y5369" s="420"/>
    </row>
    <row r="5370" spans="17:25">
      <c r="Q5370" s="6">
        <v>5340</v>
      </c>
      <c r="R5370" s="7">
        <v>48007</v>
      </c>
      <c r="S5370" s="210">
        <v>4</v>
      </c>
      <c r="T5370" s="8">
        <v>1.0001111111111112</v>
      </c>
      <c r="U5370" s="98">
        <v>3.9982577696701327</v>
      </c>
      <c r="V5370" s="106">
        <v>40056.724917401742</v>
      </c>
      <c r="W5370" s="10">
        <v>1.036881801272016</v>
      </c>
      <c r="X5370" s="420"/>
      <c r="Y5370" s="420"/>
    </row>
    <row r="5371" spans="17:25">
      <c r="Q5371" s="6">
        <v>5341</v>
      </c>
      <c r="R5371" s="7">
        <v>48008</v>
      </c>
      <c r="S5371" s="210">
        <v>4</v>
      </c>
      <c r="T5371" s="8">
        <v>1.0001111111111112</v>
      </c>
      <c r="U5371" s="98">
        <v>3.9982840436296962</v>
      </c>
      <c r="V5371" s="106">
        <v>40059.947946019696</v>
      </c>
      <c r="W5371" s="10">
        <v>1.0368982699546558</v>
      </c>
      <c r="X5371" s="420"/>
      <c r="Y5371" s="420"/>
    </row>
    <row r="5372" spans="17:25">
      <c r="Q5372" s="6">
        <v>5342</v>
      </c>
      <c r="R5372" s="7">
        <v>48009</v>
      </c>
      <c r="S5372" s="210">
        <v>4</v>
      </c>
      <c r="T5372" s="8">
        <v>1.0001111111111112</v>
      </c>
      <c r="U5372" s="98">
        <v>3.9983103077591453</v>
      </c>
      <c r="V5372" s="106">
        <v>40063.171233967725</v>
      </c>
      <c r="W5372" s="10">
        <v>1.0369147324742478</v>
      </c>
      <c r="X5372" s="420"/>
      <c r="Y5372" s="420"/>
    </row>
    <row r="5373" spans="17:25">
      <c r="Q5373" s="6">
        <v>5343</v>
      </c>
      <c r="R5373" s="7">
        <v>48010</v>
      </c>
      <c r="S5373" s="210">
        <v>4</v>
      </c>
      <c r="T5373" s="8">
        <v>1.0001111111111112</v>
      </c>
      <c r="U5373" s="98">
        <v>3.9983365620639866</v>
      </c>
      <c r="V5373" s="106">
        <v>40066.394781266703</v>
      </c>
      <c r="W5373" s="10">
        <v>1.0369311888342558</v>
      </c>
      <c r="X5373" s="420"/>
      <c r="Y5373" s="420"/>
    </row>
    <row r="5374" spans="17:25">
      <c r="Q5374" s="6">
        <v>5344</v>
      </c>
      <c r="R5374" s="7">
        <v>48011</v>
      </c>
      <c r="S5374" s="210">
        <v>4</v>
      </c>
      <c r="T5374" s="8">
        <v>1.0001111111111112</v>
      </c>
      <c r="U5374" s="98">
        <v>3.9983628065497268</v>
      </c>
      <c r="V5374" s="106">
        <v>40069.618587937483</v>
      </c>
      <c r="W5374" s="10">
        <v>1.0369476390380994</v>
      </c>
      <c r="X5374" s="420"/>
      <c r="Y5374" s="420"/>
    </row>
    <row r="5375" spans="17:25">
      <c r="Q5375" s="6">
        <v>5345</v>
      </c>
      <c r="R5375" s="7">
        <v>48012</v>
      </c>
      <c r="S5375" s="210">
        <v>4</v>
      </c>
      <c r="T5375" s="8">
        <v>1.0001111111111112</v>
      </c>
      <c r="U5375" s="98">
        <v>3.9983890412218948</v>
      </c>
      <c r="V5375" s="106">
        <v>40072.842654000939</v>
      </c>
      <c r="W5375" s="10">
        <v>1.0369640830892646</v>
      </c>
      <c r="X5375" s="420"/>
      <c r="Y5375" s="420"/>
    </row>
    <row r="5376" spans="17:25">
      <c r="Q5376" s="6">
        <v>5346</v>
      </c>
      <c r="R5376" s="7">
        <v>48013</v>
      </c>
      <c r="S5376" s="210">
        <v>4</v>
      </c>
      <c r="T5376" s="8">
        <v>1.0001111111111112</v>
      </c>
      <c r="U5376" s="98">
        <v>3.9984152660859751</v>
      </c>
      <c r="V5376" s="106">
        <v>40076.066979477946</v>
      </c>
      <c r="W5376" s="10">
        <v>1.0369805209911931</v>
      </c>
      <c r="X5376" s="420"/>
      <c r="Y5376" s="420"/>
    </row>
    <row r="5377" spans="17:25">
      <c r="Q5377" s="6">
        <v>5347</v>
      </c>
      <c r="R5377" s="7">
        <v>48014</v>
      </c>
      <c r="S5377" s="210">
        <v>4</v>
      </c>
      <c r="T5377" s="8">
        <v>1.0001111111111112</v>
      </c>
      <c r="U5377" s="98">
        <v>3.9984414811474966</v>
      </c>
      <c r="V5377" s="106">
        <v>40079.291564389379</v>
      </c>
      <c r="W5377" s="10">
        <v>1.036996952747371</v>
      </c>
      <c r="X5377" s="420"/>
      <c r="Y5377" s="420"/>
    </row>
    <row r="5378" spans="17:25">
      <c r="Q5378" s="6">
        <v>5348</v>
      </c>
      <c r="R5378" s="7">
        <v>48015</v>
      </c>
      <c r="S5378" s="210">
        <v>4</v>
      </c>
      <c r="T5378" s="8">
        <v>1.0001111111111112</v>
      </c>
      <c r="U5378" s="98">
        <v>3.9984676864119217</v>
      </c>
      <c r="V5378" s="106">
        <v>40082.516408756113</v>
      </c>
      <c r="W5378" s="10">
        <v>1.0370133783611735</v>
      </c>
      <c r="X5378" s="420"/>
      <c r="Y5378" s="420"/>
    </row>
    <row r="5379" spans="17:25">
      <c r="Q5379" s="6">
        <v>5349</v>
      </c>
      <c r="R5379" s="7">
        <v>48016</v>
      </c>
      <c r="S5379" s="210">
        <v>4</v>
      </c>
      <c r="T5379" s="8">
        <v>1.0001111111111112</v>
      </c>
      <c r="U5379" s="98">
        <v>3.9984938818847571</v>
      </c>
      <c r="V5379" s="106">
        <v>40085.741512599008</v>
      </c>
      <c r="W5379" s="10">
        <v>1.0370297978360865</v>
      </c>
      <c r="X5379" s="420"/>
      <c r="Y5379" s="420"/>
    </row>
    <row r="5380" spans="17:25">
      <c r="Q5380" s="6">
        <v>5350</v>
      </c>
      <c r="R5380" s="7">
        <v>48017</v>
      </c>
      <c r="S5380" s="210">
        <v>4</v>
      </c>
      <c r="T5380" s="8">
        <v>1.0001111111111112</v>
      </c>
      <c r="U5380" s="98">
        <v>3.9985200675714871</v>
      </c>
      <c r="V5380" s="106">
        <v>40088.966875938961</v>
      </c>
      <c r="W5380" s="10">
        <v>1.0370462111755518</v>
      </c>
      <c r="X5380" s="420"/>
      <c r="Y5380" s="420"/>
    </row>
    <row r="5381" spans="17:25">
      <c r="Q5381" s="6">
        <v>5351</v>
      </c>
      <c r="R5381" s="7">
        <v>48018</v>
      </c>
      <c r="S5381" s="210">
        <v>4</v>
      </c>
      <c r="T5381" s="8">
        <v>1.0001111111111112</v>
      </c>
      <c r="U5381" s="98">
        <v>3.9985462434775965</v>
      </c>
      <c r="V5381" s="106">
        <v>40092.192498796845</v>
      </c>
      <c r="W5381" s="10">
        <v>1.037062618382989</v>
      </c>
      <c r="X5381" s="420"/>
      <c r="Y5381" s="420"/>
    </row>
    <row r="5382" spans="17:25">
      <c r="Q5382" s="6">
        <v>5352</v>
      </c>
      <c r="R5382" s="7">
        <v>48019</v>
      </c>
      <c r="S5382" s="210">
        <v>4</v>
      </c>
      <c r="T5382" s="8">
        <v>1.0001111111111112</v>
      </c>
      <c r="U5382" s="98">
        <v>3.9985724096085695</v>
      </c>
      <c r="V5382" s="106">
        <v>40095.418381193536</v>
      </c>
      <c r="W5382" s="10">
        <v>1.0370790194618618</v>
      </c>
      <c r="X5382" s="420"/>
      <c r="Y5382" s="420"/>
    </row>
    <row r="5383" spans="17:25">
      <c r="Q5383" s="6">
        <v>5353</v>
      </c>
      <c r="R5383" s="7">
        <v>48020</v>
      </c>
      <c r="S5383" s="210">
        <v>4</v>
      </c>
      <c r="T5383" s="8">
        <v>1.0001111111111112</v>
      </c>
      <c r="U5383" s="98">
        <v>3.9985985659698686</v>
      </c>
      <c r="V5383" s="106">
        <v>40098.644523149924</v>
      </c>
      <c r="W5383" s="10">
        <v>1.0370954144155897</v>
      </c>
      <c r="X5383" s="420"/>
      <c r="Y5383" s="420"/>
    </row>
    <row r="5384" spans="17:25">
      <c r="Q5384" s="6">
        <v>5354</v>
      </c>
      <c r="R5384" s="7">
        <v>48021</v>
      </c>
      <c r="S5384" s="210">
        <v>4</v>
      </c>
      <c r="T5384" s="8">
        <v>1.0001111111111112</v>
      </c>
      <c r="U5384" s="98">
        <v>3.9986247125669561</v>
      </c>
      <c r="V5384" s="106">
        <v>40101.870924686897</v>
      </c>
      <c r="W5384" s="10">
        <v>1.0371118032475923</v>
      </c>
      <c r="X5384" s="420"/>
      <c r="Y5384" s="420"/>
    </row>
    <row r="5385" spans="17:25">
      <c r="Q5385" s="6">
        <v>5355</v>
      </c>
      <c r="R5385" s="7">
        <v>48022</v>
      </c>
      <c r="S5385" s="210">
        <v>4</v>
      </c>
      <c r="T5385" s="8">
        <v>1.0001111111111112</v>
      </c>
      <c r="U5385" s="98">
        <v>3.9986508494053163</v>
      </c>
      <c r="V5385" s="106">
        <v>40105.097585825322</v>
      </c>
      <c r="W5385" s="10">
        <v>1.0371281859613113</v>
      </c>
      <c r="X5385" s="420"/>
      <c r="Y5385" s="420"/>
    </row>
    <row r="5386" spans="17:25">
      <c r="Q5386" s="6">
        <v>5356</v>
      </c>
      <c r="R5386" s="7">
        <v>48023</v>
      </c>
      <c r="S5386" s="210">
        <v>4</v>
      </c>
      <c r="T5386" s="8">
        <v>1.0001111111111112</v>
      </c>
      <c r="U5386" s="98">
        <v>3.9986769764904118</v>
      </c>
      <c r="V5386" s="106">
        <v>40108.324506586112</v>
      </c>
      <c r="W5386" s="10">
        <v>1.0371445625601439</v>
      </c>
      <c r="X5386" s="420"/>
      <c r="Y5386" s="420"/>
    </row>
    <row r="5387" spans="17:25">
      <c r="Q5387" s="6">
        <v>5357</v>
      </c>
      <c r="R5387" s="7">
        <v>48024</v>
      </c>
      <c r="S5387" s="210">
        <v>4</v>
      </c>
      <c r="T5387" s="8">
        <v>1.0001111111111112</v>
      </c>
      <c r="U5387" s="98">
        <v>3.9987030938277046</v>
      </c>
      <c r="V5387" s="106">
        <v>40111.55168699014</v>
      </c>
      <c r="W5387" s="10">
        <v>1.0371609330475762</v>
      </c>
      <c r="X5387" s="420"/>
      <c r="Y5387" s="420"/>
    </row>
    <row r="5388" spans="17:25">
      <c r="Q5388" s="6">
        <v>5358</v>
      </c>
      <c r="R5388" s="7">
        <v>48025</v>
      </c>
      <c r="S5388" s="210">
        <v>4</v>
      </c>
      <c r="T5388" s="8">
        <v>1.0001111111111112</v>
      </c>
      <c r="U5388" s="98">
        <v>3.998729201422635</v>
      </c>
      <c r="V5388" s="106">
        <v>40114.779127058304</v>
      </c>
      <c r="W5388" s="10">
        <v>1.0371772974269611</v>
      </c>
      <c r="X5388" s="420"/>
      <c r="Y5388" s="420"/>
    </row>
    <row r="5389" spans="17:25">
      <c r="Q5389" s="6">
        <v>5359</v>
      </c>
      <c r="R5389" s="7">
        <v>48026</v>
      </c>
      <c r="S5389" s="210">
        <v>4</v>
      </c>
      <c r="T5389" s="8">
        <v>1.0001111111111112</v>
      </c>
      <c r="U5389" s="98">
        <v>3.998755299280643</v>
      </c>
      <c r="V5389" s="106">
        <v>40118.006826811492</v>
      </c>
      <c r="W5389" s="10">
        <v>1.0371936557017403</v>
      </c>
      <c r="X5389" s="420"/>
      <c r="Y5389" s="420"/>
    </row>
    <row r="5390" spans="17:25">
      <c r="Q5390" s="6">
        <v>5360</v>
      </c>
      <c r="R5390" s="7">
        <v>48027</v>
      </c>
      <c r="S5390" s="210">
        <v>4</v>
      </c>
      <c r="T5390" s="8">
        <v>1.0001111111111112</v>
      </c>
      <c r="U5390" s="98">
        <v>3.9987813874071909</v>
      </c>
      <c r="V5390" s="106">
        <v>40121.234786270601</v>
      </c>
      <c r="W5390" s="10">
        <v>1.0372100078753554</v>
      </c>
      <c r="X5390" s="420"/>
      <c r="Y5390" s="420"/>
    </row>
    <row r="5391" spans="17:25">
      <c r="Q5391" s="6">
        <v>5361</v>
      </c>
      <c r="R5391" s="7">
        <v>48028</v>
      </c>
      <c r="S5391" s="210">
        <v>4</v>
      </c>
      <c r="T5391" s="8">
        <v>1.0001111111111112</v>
      </c>
      <c r="U5391" s="98">
        <v>3.9988074658077188</v>
      </c>
      <c r="V5391" s="106">
        <v>40124.463005456535</v>
      </c>
      <c r="W5391" s="10">
        <v>1.0372263539511595</v>
      </c>
      <c r="X5391" s="420"/>
      <c r="Y5391" s="420"/>
    </row>
    <row r="5392" spans="17:25">
      <c r="Q5392" s="6">
        <v>5362</v>
      </c>
      <c r="R5392" s="7">
        <v>48029</v>
      </c>
      <c r="S5392" s="210">
        <v>4</v>
      </c>
      <c r="T5392" s="8">
        <v>1.0001111111111112</v>
      </c>
      <c r="U5392" s="98">
        <v>3.9988335344876669</v>
      </c>
      <c r="V5392" s="106">
        <v>40127.691484390183</v>
      </c>
      <c r="W5392" s="10">
        <v>1.0372426939326163</v>
      </c>
      <c r="X5392" s="420"/>
      <c r="Y5392" s="420"/>
    </row>
    <row r="5393" spans="17:25">
      <c r="Q5393" s="6">
        <v>5363</v>
      </c>
      <c r="R5393" s="7">
        <v>48030</v>
      </c>
      <c r="S5393" s="210">
        <v>4</v>
      </c>
      <c r="T5393" s="8">
        <v>1.0001111111111112</v>
      </c>
      <c r="U5393" s="98">
        <v>3.9988595934524751</v>
      </c>
      <c r="V5393" s="106">
        <v>40130.920223092449</v>
      </c>
      <c r="W5393" s="10">
        <v>1.0372590278231231</v>
      </c>
      <c r="X5393" s="420"/>
      <c r="Y5393" s="420"/>
    </row>
    <row r="5394" spans="17:25">
      <c r="Q5394" s="6">
        <v>5364</v>
      </c>
      <c r="R5394" s="7">
        <v>48031</v>
      </c>
      <c r="S5394" s="210">
        <v>4</v>
      </c>
      <c r="T5394" s="8">
        <v>1.0001111111111112</v>
      </c>
      <c r="U5394" s="98">
        <v>3.9988856427075614</v>
      </c>
      <c r="V5394" s="106">
        <v>40134.14922158423</v>
      </c>
      <c r="W5394" s="10">
        <v>1.0372753556260772</v>
      </c>
      <c r="X5394" s="420"/>
      <c r="Y5394" s="420"/>
    </row>
    <row r="5395" spans="17:25">
      <c r="Q5395" s="6">
        <v>5365</v>
      </c>
      <c r="R5395" s="7">
        <v>48032</v>
      </c>
      <c r="S5395" s="210">
        <v>4</v>
      </c>
      <c r="T5395" s="8">
        <v>1.0001111111111112</v>
      </c>
      <c r="U5395" s="98">
        <v>3.9989116822583659</v>
      </c>
      <c r="V5395" s="106">
        <v>40137.378479886422</v>
      </c>
      <c r="W5395" s="10">
        <v>1.0372916773448981</v>
      </c>
      <c r="X5395" s="420"/>
      <c r="Y5395" s="420"/>
    </row>
    <row r="5396" spans="17:25">
      <c r="Q5396" s="6">
        <v>5366</v>
      </c>
      <c r="R5396" s="7">
        <v>48033</v>
      </c>
      <c r="S5396" s="210">
        <v>4</v>
      </c>
      <c r="T5396" s="8">
        <v>1.0001111111111112</v>
      </c>
      <c r="U5396" s="98">
        <v>3.9989377121102843</v>
      </c>
      <c r="V5396" s="106">
        <v>40140.60799801995</v>
      </c>
      <c r="W5396" s="10">
        <v>1.0373079929829387</v>
      </c>
      <c r="X5396" s="420"/>
      <c r="Y5396" s="420"/>
    </row>
    <row r="5397" spans="17:25">
      <c r="Q5397" s="6">
        <v>5367</v>
      </c>
      <c r="R5397" s="7">
        <v>48034</v>
      </c>
      <c r="S5397" s="210">
        <v>4</v>
      </c>
      <c r="T5397" s="8">
        <v>1.0001111111111112</v>
      </c>
      <c r="U5397" s="98">
        <v>3.9989637322687566</v>
      </c>
      <c r="V5397" s="106">
        <v>40143.837776005712</v>
      </c>
      <c r="W5397" s="10">
        <v>1.0373243025436407</v>
      </c>
      <c r="X5397" s="420"/>
      <c r="Y5397" s="420"/>
    </row>
    <row r="5398" spans="17:25">
      <c r="Q5398" s="6">
        <v>5368</v>
      </c>
      <c r="R5398" s="7">
        <v>48035</v>
      </c>
      <c r="S5398" s="210">
        <v>4</v>
      </c>
      <c r="T5398" s="8">
        <v>1.0001111111111112</v>
      </c>
      <c r="U5398" s="98">
        <v>3.9989897427392007</v>
      </c>
      <c r="V5398" s="106">
        <v>40147.067813864611</v>
      </c>
      <c r="W5398" s="10">
        <v>1.0373406060304013</v>
      </c>
      <c r="X5398" s="420"/>
      <c r="Y5398" s="420"/>
    </row>
    <row r="5399" spans="17:25">
      <c r="Q5399" s="6">
        <v>5369</v>
      </c>
      <c r="R5399" s="7">
        <v>48036</v>
      </c>
      <c r="S5399" s="210">
        <v>4</v>
      </c>
      <c r="T5399" s="8">
        <v>1.0001111111111112</v>
      </c>
      <c r="U5399" s="98">
        <v>3.9990157435270124</v>
      </c>
      <c r="V5399" s="106">
        <v>40150.298111617558</v>
      </c>
      <c r="W5399" s="10">
        <v>1.0373569034465957</v>
      </c>
      <c r="X5399" s="420"/>
      <c r="Y5399" s="420"/>
    </row>
    <row r="5400" spans="17:25">
      <c r="Q5400" s="6">
        <v>5370</v>
      </c>
      <c r="R5400" s="7">
        <v>48037</v>
      </c>
      <c r="S5400" s="210">
        <v>4</v>
      </c>
      <c r="T5400" s="8">
        <v>1.0001111111111112</v>
      </c>
      <c r="U5400" s="98">
        <v>3.9990417346376095</v>
      </c>
      <c r="V5400" s="106">
        <v>40153.528669285464</v>
      </c>
      <c r="W5400" s="10">
        <v>1.0373731947956211</v>
      </c>
      <c r="X5400" s="420"/>
      <c r="Y5400" s="420"/>
    </row>
    <row r="5401" spans="17:25">
      <c r="Q5401" s="6">
        <v>5371</v>
      </c>
      <c r="R5401" s="7">
        <v>48038</v>
      </c>
      <c r="S5401" s="210">
        <v>4</v>
      </c>
      <c r="T5401" s="8">
        <v>1.0001111111111112</v>
      </c>
      <c r="U5401" s="98">
        <v>3.9990677160763655</v>
      </c>
      <c r="V5401" s="106">
        <v>40156.759486889248</v>
      </c>
      <c r="W5401" s="10">
        <v>1.0373894800808303</v>
      </c>
      <c r="X5401" s="420"/>
      <c r="Y5401" s="420"/>
    </row>
    <row r="5402" spans="17:25">
      <c r="Q5402" s="6">
        <v>5372</v>
      </c>
      <c r="R5402" s="7">
        <v>48039</v>
      </c>
      <c r="S5402" s="210">
        <v>4</v>
      </c>
      <c r="T5402" s="8">
        <v>1.0001111111111112</v>
      </c>
      <c r="U5402" s="98">
        <v>3.9990936878486982</v>
      </c>
      <c r="V5402" s="106">
        <v>40159.990564449821</v>
      </c>
      <c r="W5402" s="10">
        <v>1.0374057593056429</v>
      </c>
      <c r="X5402" s="420"/>
      <c r="Y5402" s="420"/>
    </row>
    <row r="5403" spans="17:25">
      <c r="Q5403" s="6">
        <v>5373</v>
      </c>
      <c r="R5403" s="7">
        <v>48040</v>
      </c>
      <c r="S5403" s="210">
        <v>4</v>
      </c>
      <c r="T5403" s="8">
        <v>1.0001111111111112</v>
      </c>
      <c r="U5403" s="98">
        <v>3.9991196499600035</v>
      </c>
      <c r="V5403" s="106">
        <v>40163.221901988101</v>
      </c>
      <c r="W5403" s="10">
        <v>1.037422032473434</v>
      </c>
      <c r="X5403" s="420"/>
      <c r="Y5403" s="420"/>
    </row>
    <row r="5404" spans="17:25">
      <c r="Q5404" s="6">
        <v>5374</v>
      </c>
      <c r="R5404" s="7">
        <v>48041</v>
      </c>
      <c r="S5404" s="210">
        <v>4</v>
      </c>
      <c r="T5404" s="8">
        <v>1.0001111111111112</v>
      </c>
      <c r="U5404" s="98">
        <v>3.9991456024156768</v>
      </c>
      <c r="V5404" s="106">
        <v>40166.453499525</v>
      </c>
      <c r="W5404" s="10">
        <v>1.037438299587623</v>
      </c>
      <c r="X5404" s="420"/>
      <c r="Y5404" s="420"/>
    </row>
    <row r="5405" spans="17:25">
      <c r="Q5405" s="6">
        <v>5375</v>
      </c>
      <c r="R5405" s="7">
        <v>48042</v>
      </c>
      <c r="S5405" s="210">
        <v>4</v>
      </c>
      <c r="T5405" s="8">
        <v>1.0001111111111112</v>
      </c>
      <c r="U5405" s="98">
        <v>3.9991715452210919</v>
      </c>
      <c r="V5405" s="106">
        <v>40169.685357081449</v>
      </c>
      <c r="W5405" s="10">
        <v>1.0374545606515184</v>
      </c>
      <c r="X5405" s="420"/>
      <c r="Y5405" s="420"/>
    </row>
    <row r="5406" spans="17:25">
      <c r="Q5406" s="6">
        <v>5376</v>
      </c>
      <c r="R5406" s="7">
        <v>48043</v>
      </c>
      <c r="S5406" s="210">
        <v>4</v>
      </c>
      <c r="T5406" s="8">
        <v>1.0001111111111112</v>
      </c>
      <c r="U5406" s="98">
        <v>3.9991974783816442</v>
      </c>
      <c r="V5406" s="106">
        <v>40172.917474678361</v>
      </c>
      <c r="W5406" s="10">
        <v>1.0374708156685397</v>
      </c>
      <c r="X5406" s="420"/>
      <c r="Y5406" s="420"/>
    </row>
    <row r="5407" spans="17:25">
      <c r="Q5407" s="6">
        <v>5377</v>
      </c>
      <c r="R5407" s="7">
        <v>48044</v>
      </c>
      <c r="S5407" s="210">
        <v>4</v>
      </c>
      <c r="T5407" s="8">
        <v>1.0001111111111112</v>
      </c>
      <c r="U5407" s="98">
        <v>3.9992234019026851</v>
      </c>
      <c r="V5407" s="106">
        <v>40176.149852336654</v>
      </c>
      <c r="W5407" s="10">
        <v>1.0374870646420398</v>
      </c>
      <c r="X5407" s="420"/>
      <c r="Y5407" s="420"/>
    </row>
    <row r="5408" spans="17:25">
      <c r="Q5408" s="6">
        <v>5378</v>
      </c>
      <c r="R5408" s="7">
        <v>48045</v>
      </c>
      <c r="S5408" s="210">
        <v>4</v>
      </c>
      <c r="T5408" s="8">
        <v>1.0001111111111112</v>
      </c>
      <c r="U5408" s="98">
        <v>3.9992493157896103</v>
      </c>
      <c r="V5408" s="106">
        <v>40179.382490077274</v>
      </c>
      <c r="W5408" s="10">
        <v>1.0375033075753937</v>
      </c>
      <c r="X5408" s="420"/>
      <c r="Y5408" s="420"/>
    </row>
    <row r="5409" spans="17:25">
      <c r="Q5409" s="6">
        <v>5379</v>
      </c>
      <c r="R5409" s="7">
        <v>48046</v>
      </c>
      <c r="S5409" s="210">
        <v>4</v>
      </c>
      <c r="T5409" s="8">
        <v>1.0001111111111112</v>
      </c>
      <c r="U5409" s="98">
        <v>3.9992752200477932</v>
      </c>
      <c r="V5409" s="106">
        <v>40182.615387921127</v>
      </c>
      <c r="W5409" s="10">
        <v>1.0375195444719765</v>
      </c>
      <c r="X5409" s="420"/>
      <c r="Y5409" s="420"/>
    </row>
    <row r="5410" spans="17:25">
      <c r="Q5410" s="6">
        <v>5380</v>
      </c>
      <c r="R5410" s="7">
        <v>48047</v>
      </c>
      <c r="S5410" s="210">
        <v>4</v>
      </c>
      <c r="T5410" s="8">
        <v>1.0001111111111112</v>
      </c>
      <c r="U5410" s="98">
        <v>3.9993011146825852</v>
      </c>
      <c r="V5410" s="106">
        <v>40185.848545889152</v>
      </c>
      <c r="W5410" s="10">
        <v>1.0375357753351633</v>
      </c>
      <c r="X5410" s="420"/>
      <c r="Y5410" s="420"/>
    </row>
    <row r="5411" spans="17:25">
      <c r="Q5411" s="6">
        <v>5381</v>
      </c>
      <c r="R5411" s="7">
        <v>48048</v>
      </c>
      <c r="S5411" s="210">
        <v>4</v>
      </c>
      <c r="T5411" s="8">
        <v>1.0001111111111112</v>
      </c>
      <c r="U5411" s="98">
        <v>3.9993269996993375</v>
      </c>
      <c r="V5411" s="106">
        <v>40189.081964002275</v>
      </c>
      <c r="W5411" s="10">
        <v>1.0375520001682625</v>
      </c>
      <c r="X5411" s="420"/>
      <c r="Y5411" s="420"/>
    </row>
    <row r="5412" spans="17:25">
      <c r="Q5412" s="6">
        <v>5382</v>
      </c>
      <c r="R5412" s="7">
        <v>48049</v>
      </c>
      <c r="S5412" s="210">
        <v>4</v>
      </c>
      <c r="T5412" s="8">
        <v>1.0001111111111112</v>
      </c>
      <c r="U5412" s="98">
        <v>3.9993528751034235</v>
      </c>
      <c r="V5412" s="106">
        <v>40192.315642281421</v>
      </c>
      <c r="W5412" s="10">
        <v>1.0375682189746938</v>
      </c>
      <c r="X5412" s="420"/>
      <c r="Y5412" s="420"/>
    </row>
    <row r="5413" spans="17:25">
      <c r="Q5413" s="6">
        <v>5383</v>
      </c>
      <c r="R5413" s="7">
        <v>48050</v>
      </c>
      <c r="S5413" s="210">
        <v>4</v>
      </c>
      <c r="T5413" s="8">
        <v>1.0001111111111112</v>
      </c>
      <c r="U5413" s="98">
        <v>3.9993787409001946</v>
      </c>
      <c r="V5413" s="106">
        <v>40195.549580747538</v>
      </c>
      <c r="W5413" s="10">
        <v>1.0375844317577654</v>
      </c>
      <c r="X5413" s="420"/>
      <c r="Y5413" s="420"/>
    </row>
    <row r="5414" spans="17:25">
      <c r="Q5414" s="6">
        <v>5384</v>
      </c>
      <c r="R5414" s="7">
        <v>48051</v>
      </c>
      <c r="S5414" s="210">
        <v>4</v>
      </c>
      <c r="T5414" s="8">
        <v>1.0001111111111112</v>
      </c>
      <c r="U5414" s="98">
        <v>3.9994045970950021</v>
      </c>
      <c r="V5414" s="106">
        <v>40198.783779421559</v>
      </c>
      <c r="W5414" s="10">
        <v>1.0376006385208747</v>
      </c>
      <c r="X5414" s="420"/>
      <c r="Y5414" s="420"/>
    </row>
    <row r="5415" spans="17:25">
      <c r="Q5415" s="6">
        <v>5385</v>
      </c>
      <c r="R5415" s="7">
        <v>48052</v>
      </c>
      <c r="S5415" s="210">
        <v>4</v>
      </c>
      <c r="T5415" s="8">
        <v>1.0001111111111112</v>
      </c>
      <c r="U5415" s="98">
        <v>3.9994304436931971</v>
      </c>
      <c r="V5415" s="106">
        <v>40202.01823832441</v>
      </c>
      <c r="W5415" s="10">
        <v>1.0376168392673524</v>
      </c>
      <c r="X5415" s="420"/>
      <c r="Y5415" s="420"/>
    </row>
    <row r="5416" spans="17:25">
      <c r="Q5416" s="6">
        <v>5386</v>
      </c>
      <c r="R5416" s="7">
        <v>48053</v>
      </c>
      <c r="S5416" s="210">
        <v>4</v>
      </c>
      <c r="T5416" s="8">
        <v>1.0001111111111112</v>
      </c>
      <c r="U5416" s="98">
        <v>3.9994562807001088</v>
      </c>
      <c r="V5416" s="106">
        <v>40205.252957477031</v>
      </c>
      <c r="W5416" s="10">
        <v>1.0376330340005513</v>
      </c>
      <c r="X5416" s="420"/>
      <c r="Y5416" s="420"/>
    </row>
    <row r="5417" spans="17:25">
      <c r="Q5417" s="6">
        <v>5387</v>
      </c>
      <c r="R5417" s="7">
        <v>48054</v>
      </c>
      <c r="S5417" s="210">
        <v>4</v>
      </c>
      <c r="T5417" s="8">
        <v>1.0001111111111112</v>
      </c>
      <c r="U5417" s="98">
        <v>3.9994821081210885</v>
      </c>
      <c r="V5417" s="106">
        <v>40208.487936900368</v>
      </c>
      <c r="W5417" s="10">
        <v>1.0376492227238465</v>
      </c>
      <c r="X5417" s="420"/>
      <c r="Y5417" s="420"/>
    </row>
    <row r="5418" spans="17:25">
      <c r="Q5418" s="6">
        <v>5388</v>
      </c>
      <c r="R5418" s="7">
        <v>48055</v>
      </c>
      <c r="S5418" s="210">
        <v>4</v>
      </c>
      <c r="T5418" s="8">
        <v>1.0001111111111112</v>
      </c>
      <c r="U5418" s="98">
        <v>3.9995079259614652</v>
      </c>
      <c r="V5418" s="106">
        <v>40211.723176615356</v>
      </c>
      <c r="W5418" s="10">
        <v>1.0376654054405465</v>
      </c>
      <c r="X5418" s="420"/>
      <c r="Y5418" s="420"/>
    </row>
    <row r="5419" spans="17:25">
      <c r="Q5419" s="6">
        <v>5389</v>
      </c>
      <c r="R5419" s="7">
        <v>48056</v>
      </c>
      <c r="S5419" s="210">
        <v>4</v>
      </c>
      <c r="T5419" s="8">
        <v>1.0001111111111112</v>
      </c>
      <c r="U5419" s="98">
        <v>3.999533734226568</v>
      </c>
      <c r="V5419" s="106">
        <v>40214.958676642957</v>
      </c>
      <c r="W5419" s="10">
        <v>1.0376815821540042</v>
      </c>
      <c r="X5419" s="420"/>
      <c r="Y5419" s="420"/>
    </row>
    <row r="5420" spans="17:25">
      <c r="Q5420" s="6">
        <v>5390</v>
      </c>
      <c r="R5420" s="7">
        <v>48057</v>
      </c>
      <c r="S5420" s="210">
        <v>4</v>
      </c>
      <c r="T5420" s="8">
        <v>1.0001111111111112</v>
      </c>
      <c r="U5420" s="98">
        <v>3.9995595329217259</v>
      </c>
      <c r="V5420" s="106">
        <v>40218.194437004095</v>
      </c>
      <c r="W5420" s="10">
        <v>1.0376977528675502</v>
      </c>
      <c r="X5420" s="420"/>
      <c r="Y5420" s="420"/>
    </row>
    <row r="5421" spans="17:25">
      <c r="Q5421" s="6">
        <v>5391</v>
      </c>
      <c r="R5421" s="7">
        <v>48058</v>
      </c>
      <c r="S5421" s="210">
        <v>4</v>
      </c>
      <c r="T5421" s="8">
        <v>1.0001111111111112</v>
      </c>
      <c r="U5421" s="98">
        <v>3.9995853220522459</v>
      </c>
      <c r="V5421" s="106">
        <v>40221.430457719725</v>
      </c>
      <c r="W5421" s="10">
        <v>1.0377139175845373</v>
      </c>
      <c r="X5421" s="420"/>
      <c r="Y5421" s="420"/>
    </row>
    <row r="5422" spans="17:25">
      <c r="Q5422" s="6">
        <v>5392</v>
      </c>
      <c r="R5422" s="7">
        <v>48059</v>
      </c>
      <c r="S5422" s="210">
        <v>4</v>
      </c>
      <c r="T5422" s="8">
        <v>1.0001111111111112</v>
      </c>
      <c r="U5422" s="98">
        <v>3.999611101623457</v>
      </c>
      <c r="V5422" s="106">
        <v>40224.666738810796</v>
      </c>
      <c r="W5422" s="10">
        <v>1.0377300763082964</v>
      </c>
      <c r="X5422" s="420"/>
      <c r="Y5422" s="420"/>
    </row>
    <row r="5423" spans="17:25">
      <c r="Q5423" s="6">
        <v>5393</v>
      </c>
      <c r="R5423" s="7">
        <v>48060</v>
      </c>
      <c r="S5423" s="210">
        <v>4</v>
      </c>
      <c r="T5423" s="8">
        <v>1.0001111111111112</v>
      </c>
      <c r="U5423" s="98">
        <v>3.9996368716406661</v>
      </c>
      <c r="V5423" s="106">
        <v>40227.903280298255</v>
      </c>
      <c r="W5423" s="10">
        <v>1.0377462290421358</v>
      </c>
      <c r="X5423" s="420"/>
      <c r="Y5423" s="420"/>
    </row>
    <row r="5424" spans="17:25">
      <c r="Q5424" s="6">
        <v>5394</v>
      </c>
      <c r="R5424" s="7">
        <v>48061</v>
      </c>
      <c r="S5424" s="210">
        <v>4</v>
      </c>
      <c r="T5424" s="8">
        <v>1.0001111111111112</v>
      </c>
      <c r="U5424" s="98">
        <v>3.9996626321092021</v>
      </c>
      <c r="V5424" s="106">
        <v>40231.140082203055</v>
      </c>
      <c r="W5424" s="10">
        <v>1.0377623757894305</v>
      </c>
      <c r="X5424" s="420"/>
      <c r="Y5424" s="420"/>
    </row>
    <row r="5425" spans="17:25">
      <c r="Q5425" s="6">
        <v>5395</v>
      </c>
      <c r="R5425" s="7">
        <v>48062</v>
      </c>
      <c r="S5425" s="210">
        <v>4</v>
      </c>
      <c r="T5425" s="8">
        <v>1.0001111111111112</v>
      </c>
      <c r="U5425" s="98">
        <v>3.9996883830343499</v>
      </c>
      <c r="V5425" s="106">
        <v>40234.377144546153</v>
      </c>
      <c r="W5425" s="10">
        <v>1.0377785165534892</v>
      </c>
      <c r="X5425" s="420"/>
      <c r="Y5425" s="420"/>
    </row>
    <row r="5426" spans="17:25">
      <c r="Q5426" s="6">
        <v>5396</v>
      </c>
      <c r="R5426" s="7">
        <v>48063</v>
      </c>
      <c r="S5426" s="210">
        <v>4</v>
      </c>
      <c r="T5426" s="8">
        <v>1.0001111111111112</v>
      </c>
      <c r="U5426" s="98">
        <v>3.9997141244214163</v>
      </c>
      <c r="V5426" s="106">
        <v>40237.614467348503</v>
      </c>
      <c r="W5426" s="10">
        <v>1.0377946513376202</v>
      </c>
      <c r="X5426" s="420"/>
      <c r="Y5426" s="420"/>
    </row>
    <row r="5427" spans="17:25">
      <c r="Q5427" s="6">
        <v>5397</v>
      </c>
      <c r="R5427" s="7">
        <v>48064</v>
      </c>
      <c r="S5427" s="210">
        <v>4</v>
      </c>
      <c r="T5427" s="8">
        <v>1.0001111111111112</v>
      </c>
      <c r="U5427" s="98">
        <v>3.999739856275708</v>
      </c>
      <c r="V5427" s="106">
        <v>40240.852050631067</v>
      </c>
      <c r="W5427" s="10">
        <v>1.0378107801451542</v>
      </c>
      <c r="X5427" s="420"/>
      <c r="Y5427" s="420"/>
    </row>
    <row r="5428" spans="17:25">
      <c r="Q5428" s="6">
        <v>5398</v>
      </c>
      <c r="R5428" s="7">
        <v>48065</v>
      </c>
      <c r="S5428" s="210">
        <v>4</v>
      </c>
      <c r="T5428" s="8">
        <v>1.0001111111111112</v>
      </c>
      <c r="U5428" s="98">
        <v>3.9997655786025099</v>
      </c>
      <c r="V5428" s="106">
        <v>40244.089894414785</v>
      </c>
      <c r="W5428" s="10">
        <v>1.0378269029793996</v>
      </c>
      <c r="X5428" s="420"/>
      <c r="Y5428" s="420"/>
    </row>
    <row r="5429" spans="17:25">
      <c r="Q5429" s="6">
        <v>5399</v>
      </c>
      <c r="R5429" s="7">
        <v>48066</v>
      </c>
      <c r="S5429" s="210">
        <v>4</v>
      </c>
      <c r="T5429" s="8">
        <v>1.0001111111111112</v>
      </c>
      <c r="U5429" s="98">
        <v>3.9997912914071287</v>
      </c>
      <c r="V5429" s="106">
        <v>40247.327998720633</v>
      </c>
      <c r="W5429" s="10">
        <v>1.0378430198437316</v>
      </c>
      <c r="X5429" s="420"/>
      <c r="Y5429" s="420"/>
    </row>
    <row r="5430" spans="17:25">
      <c r="Q5430" s="6">
        <v>5400</v>
      </c>
      <c r="R5430" s="7">
        <v>48067</v>
      </c>
      <c r="S5430" s="210">
        <v>4</v>
      </c>
      <c r="T5430" s="8">
        <v>1.0001111111111112</v>
      </c>
      <c r="U5430" s="98">
        <v>3.999816994694827</v>
      </c>
      <c r="V5430" s="106">
        <v>40250.566363569575</v>
      </c>
      <c r="W5430" s="10">
        <v>1.037859130741392</v>
      </c>
      <c r="X5430" s="420"/>
      <c r="Y5430" s="420"/>
    </row>
    <row r="5431" spans="17:25">
      <c r="Q5431" s="308"/>
      <c r="R5431" s="309"/>
      <c r="S5431" s="210"/>
      <c r="T5431" s="310"/>
      <c r="U5431" s="106"/>
      <c r="V5431" s="106"/>
      <c r="W5431" s="106"/>
      <c r="X5431" s="420"/>
      <c r="Y5431" s="420"/>
    </row>
    <row r="5432" spans="17:25">
      <c r="Q5432" s="308"/>
      <c r="R5432" s="309"/>
      <c r="S5432" s="210"/>
      <c r="T5432" s="310"/>
      <c r="U5432" s="106"/>
      <c r="V5432" s="106"/>
      <c r="W5432" s="106"/>
      <c r="X5432" s="420"/>
      <c r="Y5432" s="420"/>
    </row>
    <row r="5433" spans="17:25">
      <c r="Q5433" s="308"/>
      <c r="R5433" s="309"/>
      <c r="S5433" s="210"/>
      <c r="T5433" s="310"/>
      <c r="U5433" s="106"/>
      <c r="V5433" s="106"/>
      <c r="W5433" s="106"/>
      <c r="X5433" s="420"/>
      <c r="Y5433" s="420"/>
    </row>
    <row r="5434" spans="17:25">
      <c r="Q5434" s="308"/>
      <c r="R5434" s="309"/>
      <c r="S5434" s="210"/>
      <c r="T5434" s="310"/>
      <c r="U5434" s="106"/>
      <c r="V5434" s="106"/>
      <c r="W5434" s="106"/>
      <c r="X5434" s="420"/>
      <c r="Y5434" s="420"/>
    </row>
    <row r="5435" spans="17:25">
      <c r="Q5435" s="308"/>
      <c r="R5435" s="309"/>
      <c r="S5435" s="210"/>
      <c r="T5435" s="310"/>
      <c r="U5435" s="106"/>
      <c r="V5435" s="106"/>
      <c r="W5435" s="106"/>
      <c r="X5435" s="420"/>
      <c r="Y5435" s="420"/>
    </row>
    <row r="5436" spans="17:25">
      <c r="Q5436" s="308"/>
      <c r="R5436" s="309"/>
      <c r="S5436" s="210"/>
      <c r="T5436" s="310"/>
      <c r="U5436" s="106"/>
      <c r="V5436" s="106"/>
      <c r="W5436" s="106"/>
      <c r="X5436" s="420"/>
      <c r="Y5436" s="420"/>
    </row>
    <row r="5437" spans="17:25">
      <c r="Q5437" s="308"/>
      <c r="R5437" s="309"/>
      <c r="S5437" s="210"/>
      <c r="T5437" s="310"/>
      <c r="U5437" s="106"/>
      <c r="V5437" s="106"/>
      <c r="W5437" s="106"/>
      <c r="X5437" s="420"/>
      <c r="Y5437" s="420"/>
    </row>
    <row r="5438" spans="17:25">
      <c r="Q5438" s="308"/>
      <c r="R5438" s="309"/>
      <c r="S5438" s="210"/>
      <c r="T5438" s="310"/>
      <c r="U5438" s="106"/>
      <c r="V5438" s="106"/>
      <c r="W5438" s="106"/>
      <c r="X5438" s="420"/>
      <c r="Y5438" s="420"/>
    </row>
    <row r="5439" spans="17:25">
      <c r="Q5439" s="308"/>
      <c r="R5439" s="309"/>
      <c r="S5439" s="210"/>
      <c r="T5439" s="310"/>
      <c r="U5439" s="106"/>
      <c r="V5439" s="106"/>
      <c r="W5439" s="106"/>
      <c r="X5439" s="420"/>
      <c r="Y5439" s="420"/>
    </row>
    <row r="5440" spans="17:25">
      <c r="Q5440" s="308"/>
      <c r="R5440" s="309"/>
      <c r="S5440" s="210"/>
      <c r="T5440" s="310"/>
      <c r="U5440" s="106"/>
      <c r="V5440" s="106"/>
      <c r="W5440" s="106"/>
      <c r="X5440" s="420"/>
      <c r="Y5440" s="420"/>
    </row>
    <row r="5441" spans="17:25">
      <c r="Q5441" s="308"/>
      <c r="R5441" s="309"/>
      <c r="S5441" s="210"/>
      <c r="T5441" s="310"/>
      <c r="U5441" s="106"/>
      <c r="V5441" s="106"/>
      <c r="W5441" s="106"/>
      <c r="X5441" s="420"/>
      <c r="Y5441" s="420"/>
    </row>
    <row r="5442" spans="17:25">
      <c r="Q5442" s="308"/>
      <c r="R5442" s="309"/>
      <c r="S5442" s="210"/>
      <c r="T5442" s="310"/>
      <c r="U5442" s="106"/>
      <c r="V5442" s="106"/>
      <c r="W5442" s="106"/>
      <c r="X5442" s="420"/>
      <c r="Y5442" s="420"/>
    </row>
    <row r="5443" spans="17:25">
      <c r="Q5443" s="308"/>
      <c r="R5443" s="309"/>
      <c r="S5443" s="210"/>
      <c r="T5443" s="310"/>
      <c r="U5443" s="106"/>
      <c r="V5443" s="106"/>
      <c r="W5443" s="106"/>
      <c r="X5443" s="420"/>
      <c r="Y5443" s="420"/>
    </row>
    <row r="5444" spans="17:25">
      <c r="Q5444" s="308"/>
      <c r="R5444" s="309"/>
      <c r="S5444" s="210"/>
      <c r="T5444" s="310"/>
      <c r="U5444" s="106"/>
      <c r="V5444" s="106"/>
      <c r="W5444" s="106"/>
      <c r="X5444" s="420"/>
      <c r="Y5444" s="420"/>
    </row>
    <row r="5445" spans="17:25">
      <c r="Q5445" s="308"/>
      <c r="R5445" s="309"/>
      <c r="S5445" s="210"/>
      <c r="T5445" s="310"/>
      <c r="U5445" s="106"/>
      <c r="V5445" s="106"/>
      <c r="W5445" s="106"/>
      <c r="X5445" s="420"/>
      <c r="Y5445" s="420"/>
    </row>
    <row r="5446" spans="17:25">
      <c r="Q5446" s="308"/>
      <c r="R5446" s="309"/>
      <c r="S5446" s="210"/>
      <c r="T5446" s="310"/>
      <c r="U5446" s="106"/>
      <c r="V5446" s="106"/>
      <c r="W5446" s="106"/>
      <c r="X5446" s="420"/>
      <c r="Y5446" s="420"/>
    </row>
    <row r="5447" spans="17:25">
      <c r="Q5447" s="308"/>
      <c r="R5447" s="309"/>
      <c r="S5447" s="210"/>
      <c r="T5447" s="310"/>
      <c r="U5447" s="106"/>
      <c r="V5447" s="106"/>
      <c r="W5447" s="106"/>
      <c r="X5447" s="420"/>
      <c r="Y5447" s="420"/>
    </row>
    <row r="5448" spans="17:25">
      <c r="Q5448" s="308"/>
      <c r="R5448" s="309"/>
      <c r="S5448" s="210"/>
      <c r="T5448" s="310"/>
      <c r="U5448" s="106"/>
      <c r="V5448" s="106"/>
      <c r="W5448" s="106"/>
      <c r="X5448" s="420"/>
      <c r="Y5448" s="420"/>
    </row>
    <row r="5449" spans="17:25">
      <c r="Q5449" s="308"/>
      <c r="R5449" s="309"/>
      <c r="S5449" s="210"/>
      <c r="T5449" s="310"/>
      <c r="U5449" s="106"/>
      <c r="V5449" s="106"/>
      <c r="W5449" s="106"/>
      <c r="X5449" s="420"/>
      <c r="Y5449" s="420"/>
    </row>
    <row r="5450" spans="17:25">
      <c r="Q5450" s="308"/>
      <c r="R5450" s="309"/>
      <c r="S5450" s="210"/>
      <c r="T5450" s="310"/>
      <c r="U5450" s="106"/>
      <c r="V5450" s="106"/>
      <c r="W5450" s="106"/>
      <c r="X5450" s="420"/>
      <c r="Y5450" s="420"/>
    </row>
    <row r="5451" spans="17:25">
      <c r="Q5451" s="308"/>
      <c r="R5451" s="309"/>
      <c r="S5451" s="210"/>
      <c r="T5451" s="310"/>
      <c r="U5451" s="106"/>
      <c r="V5451" s="106"/>
      <c r="W5451" s="106"/>
      <c r="X5451" s="420"/>
      <c r="Y5451" s="420"/>
    </row>
    <row r="5452" spans="17:25">
      <c r="Q5452" s="308"/>
      <c r="R5452" s="309"/>
      <c r="S5452" s="210"/>
      <c r="T5452" s="310"/>
      <c r="U5452" s="106"/>
      <c r="V5452" s="106"/>
      <c r="W5452" s="106"/>
      <c r="X5452" s="420"/>
      <c r="Y5452" s="420"/>
    </row>
    <row r="5453" spans="17:25">
      <c r="Q5453" s="308"/>
      <c r="R5453" s="309"/>
      <c r="S5453" s="210"/>
      <c r="T5453" s="310"/>
      <c r="U5453" s="106"/>
      <c r="V5453" s="106"/>
      <c r="W5453" s="106"/>
      <c r="X5453" s="420"/>
      <c r="Y5453" s="420"/>
    </row>
    <row r="5454" spans="17:25">
      <c r="Q5454" s="308"/>
      <c r="R5454" s="309"/>
      <c r="S5454" s="210"/>
      <c r="T5454" s="310"/>
      <c r="U5454" s="106"/>
      <c r="V5454" s="106"/>
      <c r="W5454" s="106"/>
      <c r="X5454" s="420"/>
      <c r="Y5454" s="420"/>
    </row>
    <row r="5455" spans="17:25">
      <c r="Q5455" s="308"/>
      <c r="R5455" s="309"/>
      <c r="S5455" s="210"/>
      <c r="T5455" s="310"/>
      <c r="U5455" s="106"/>
      <c r="V5455" s="106"/>
      <c r="W5455" s="106"/>
      <c r="X5455" s="420"/>
      <c r="Y5455" s="420"/>
    </row>
    <row r="5456" spans="17:25">
      <c r="Q5456" s="308"/>
      <c r="R5456" s="309"/>
      <c r="S5456" s="210"/>
      <c r="T5456" s="310"/>
      <c r="U5456" s="106"/>
      <c r="V5456" s="106"/>
      <c r="W5456" s="106"/>
      <c r="X5456" s="420"/>
      <c r="Y5456" s="420"/>
    </row>
    <row r="5457" spans="17:25">
      <c r="Q5457" s="308"/>
      <c r="R5457" s="309"/>
      <c r="S5457" s="210"/>
      <c r="T5457" s="310"/>
      <c r="U5457" s="106"/>
      <c r="V5457" s="106"/>
      <c r="W5457" s="106"/>
      <c r="X5457" s="420"/>
      <c r="Y5457" s="420"/>
    </row>
    <row r="5458" spans="17:25">
      <c r="Q5458" s="308"/>
      <c r="R5458" s="309"/>
      <c r="S5458" s="210"/>
      <c r="T5458" s="310"/>
      <c r="U5458" s="106"/>
      <c r="V5458" s="106"/>
      <c r="W5458" s="106"/>
      <c r="X5458" s="420"/>
      <c r="Y5458" s="420"/>
    </row>
    <row r="5459" spans="17:25">
      <c r="Q5459" s="308"/>
      <c r="R5459" s="309"/>
      <c r="S5459" s="210"/>
      <c r="T5459" s="310"/>
      <c r="U5459" s="106"/>
      <c r="V5459" s="106"/>
      <c r="W5459" s="106"/>
      <c r="X5459" s="420"/>
      <c r="Y5459" s="420"/>
    </row>
    <row r="5460" spans="17:25">
      <c r="Q5460" s="308"/>
      <c r="R5460" s="309"/>
      <c r="S5460" s="210"/>
      <c r="T5460" s="310"/>
      <c r="U5460" s="106"/>
      <c r="V5460" s="106"/>
      <c r="W5460" s="106"/>
      <c r="X5460" s="420"/>
      <c r="Y5460" s="420"/>
    </row>
    <row r="5461" spans="17:25">
      <c r="Q5461" s="308"/>
      <c r="R5461" s="309"/>
      <c r="S5461" s="210"/>
      <c r="T5461" s="310"/>
      <c r="U5461" s="106"/>
      <c r="V5461" s="106"/>
      <c r="W5461" s="106"/>
      <c r="X5461" s="420"/>
      <c r="Y5461" s="420"/>
    </row>
    <row r="5462" spans="17:25">
      <c r="Q5462" s="308"/>
      <c r="R5462" s="309"/>
      <c r="S5462" s="210"/>
      <c r="T5462" s="310"/>
      <c r="U5462" s="106"/>
      <c r="V5462" s="106"/>
      <c r="W5462" s="106"/>
      <c r="X5462" s="420"/>
      <c r="Y5462" s="420"/>
    </row>
    <row r="5463" spans="17:25">
      <c r="Q5463" s="308"/>
      <c r="R5463" s="309"/>
      <c r="S5463" s="210"/>
      <c r="T5463" s="310"/>
      <c r="U5463" s="106"/>
      <c r="V5463" s="106"/>
      <c r="W5463" s="106"/>
      <c r="X5463" s="420"/>
      <c r="Y5463" s="420"/>
    </row>
    <row r="5464" spans="17:25">
      <c r="Q5464" s="308"/>
      <c r="R5464" s="309"/>
      <c r="S5464" s="210"/>
      <c r="T5464" s="310"/>
      <c r="U5464" s="106"/>
      <c r="V5464" s="106"/>
      <c r="W5464" s="106"/>
      <c r="X5464" s="420"/>
      <c r="Y5464" s="420"/>
    </row>
    <row r="5465" spans="17:25">
      <c r="Q5465" s="308"/>
      <c r="R5465" s="309"/>
      <c r="S5465" s="210"/>
      <c r="T5465" s="310"/>
      <c r="U5465" s="106"/>
      <c r="V5465" s="106"/>
      <c r="W5465" s="106"/>
      <c r="X5465" s="420"/>
      <c r="Y5465" s="420"/>
    </row>
    <row r="5466" spans="17:25">
      <c r="Q5466" s="308"/>
      <c r="R5466" s="309"/>
      <c r="S5466" s="210"/>
      <c r="T5466" s="310"/>
      <c r="U5466" s="106"/>
      <c r="V5466" s="106"/>
      <c r="W5466" s="106"/>
      <c r="X5466" s="420"/>
      <c r="Y5466" s="420"/>
    </row>
    <row r="5467" spans="17:25">
      <c r="Q5467" s="308"/>
      <c r="R5467" s="309"/>
      <c r="S5467" s="210"/>
      <c r="T5467" s="310"/>
      <c r="U5467" s="106"/>
      <c r="V5467" s="106"/>
      <c r="W5467" s="106"/>
      <c r="X5467" s="420"/>
      <c r="Y5467" s="420"/>
    </row>
    <row r="5468" spans="17:25">
      <c r="Q5468" s="308"/>
      <c r="R5468" s="309"/>
      <c r="S5468" s="210"/>
      <c r="T5468" s="310"/>
      <c r="U5468" s="106"/>
      <c r="V5468" s="106"/>
      <c r="W5468" s="106"/>
      <c r="X5468" s="420"/>
      <c r="Y5468" s="420"/>
    </row>
    <row r="5469" spans="17:25">
      <c r="Q5469" s="308"/>
      <c r="R5469" s="309"/>
      <c r="S5469" s="210"/>
      <c r="T5469" s="310"/>
      <c r="U5469" s="106"/>
      <c r="V5469" s="106"/>
      <c r="W5469" s="106"/>
      <c r="X5469" s="420"/>
      <c r="Y5469" s="420"/>
    </row>
    <row r="5470" spans="17:25">
      <c r="Q5470" s="308"/>
      <c r="R5470" s="309"/>
      <c r="S5470" s="210"/>
      <c r="T5470" s="310"/>
      <c r="U5470" s="106"/>
      <c r="V5470" s="106"/>
      <c r="W5470" s="106"/>
      <c r="X5470" s="420"/>
      <c r="Y5470" s="420"/>
    </row>
    <row r="5471" spans="17:25">
      <c r="Q5471" s="308"/>
      <c r="R5471" s="309"/>
      <c r="S5471" s="210"/>
      <c r="T5471" s="310"/>
      <c r="U5471" s="106"/>
      <c r="V5471" s="106"/>
      <c r="W5471" s="106"/>
      <c r="X5471" s="420"/>
      <c r="Y5471" s="420"/>
    </row>
    <row r="5472" spans="17:25">
      <c r="Q5472" s="308"/>
      <c r="R5472" s="309"/>
      <c r="S5472" s="210"/>
      <c r="T5472" s="310"/>
      <c r="U5472" s="106"/>
      <c r="V5472" s="106"/>
      <c r="W5472" s="106"/>
      <c r="X5472" s="420"/>
      <c r="Y5472" s="420"/>
    </row>
    <row r="5473" spans="17:25">
      <c r="Q5473" s="308"/>
      <c r="R5473" s="309"/>
      <c r="S5473" s="210"/>
      <c r="T5473" s="310"/>
      <c r="U5473" s="106"/>
      <c r="V5473" s="106"/>
      <c r="W5473" s="106"/>
      <c r="X5473" s="420"/>
      <c r="Y5473" s="420"/>
    </row>
    <row r="5474" spans="17:25">
      <c r="Q5474" s="308"/>
      <c r="R5474" s="309"/>
      <c r="S5474" s="210"/>
      <c r="T5474" s="310"/>
      <c r="U5474" s="106"/>
      <c r="V5474" s="106"/>
      <c r="W5474" s="106"/>
      <c r="X5474" s="420"/>
      <c r="Y5474" s="420"/>
    </row>
    <row r="5475" spans="17:25">
      <c r="Q5475" s="308"/>
      <c r="R5475" s="309"/>
      <c r="S5475" s="210"/>
      <c r="T5475" s="310"/>
      <c r="U5475" s="106"/>
      <c r="V5475" s="106"/>
      <c r="W5475" s="106"/>
      <c r="X5475" s="420"/>
      <c r="Y5475" s="420"/>
    </row>
    <row r="5476" spans="17:25">
      <c r="Q5476" s="308"/>
      <c r="R5476" s="309"/>
      <c r="S5476" s="210"/>
      <c r="T5476" s="310"/>
      <c r="U5476" s="106"/>
      <c r="V5476" s="106"/>
      <c r="W5476" s="106"/>
      <c r="X5476" s="420"/>
      <c r="Y5476" s="420"/>
    </row>
    <row r="5477" spans="17:25">
      <c r="Q5477" s="308"/>
      <c r="R5477" s="309"/>
      <c r="S5477" s="210"/>
      <c r="T5477" s="310"/>
      <c r="U5477" s="106"/>
      <c r="V5477" s="106"/>
      <c r="W5477" s="106"/>
      <c r="X5477" s="420"/>
      <c r="Y5477" s="420"/>
    </row>
    <row r="5478" spans="17:25">
      <c r="Q5478" s="308"/>
      <c r="R5478" s="309"/>
      <c r="S5478" s="210"/>
      <c r="T5478" s="310"/>
      <c r="U5478" s="106"/>
      <c r="V5478" s="106"/>
      <c r="W5478" s="106"/>
      <c r="X5478" s="420"/>
      <c r="Y5478" s="420"/>
    </row>
    <row r="5479" spans="17:25">
      <c r="Q5479" s="308"/>
      <c r="R5479" s="309"/>
      <c r="S5479" s="210"/>
      <c r="T5479" s="310"/>
      <c r="U5479" s="106"/>
      <c r="V5479" s="106"/>
      <c r="W5479" s="106"/>
      <c r="X5479" s="420"/>
      <c r="Y5479" s="420"/>
    </row>
    <row r="5480" spans="17:25">
      <c r="Q5480" s="308"/>
      <c r="R5480" s="309"/>
      <c r="S5480" s="210"/>
      <c r="T5480" s="310"/>
      <c r="U5480" s="106"/>
      <c r="V5480" s="106"/>
      <c r="W5480" s="106"/>
      <c r="X5480" s="420"/>
      <c r="Y5480" s="420"/>
    </row>
    <row r="5481" spans="17:25">
      <c r="Q5481" s="308"/>
      <c r="R5481" s="309"/>
      <c r="S5481" s="210"/>
      <c r="T5481" s="310"/>
      <c r="U5481" s="106"/>
      <c r="V5481" s="106"/>
      <c r="W5481" s="106"/>
      <c r="X5481" s="420"/>
      <c r="Y5481" s="420"/>
    </row>
    <row r="5482" spans="17:25">
      <c r="Q5482" s="308"/>
      <c r="R5482" s="309"/>
      <c r="S5482" s="210"/>
      <c r="T5482" s="310"/>
      <c r="U5482" s="106"/>
      <c r="V5482" s="106"/>
      <c r="W5482" s="106"/>
      <c r="X5482" s="420"/>
      <c r="Y5482" s="420"/>
    </row>
    <row r="5483" spans="17:25">
      <c r="Q5483" s="308"/>
      <c r="R5483" s="309"/>
      <c r="S5483" s="210"/>
      <c r="T5483" s="310"/>
      <c r="U5483" s="106"/>
      <c r="V5483" s="106"/>
      <c r="W5483" s="106"/>
      <c r="X5483" s="420"/>
      <c r="Y5483" s="420"/>
    </row>
    <row r="5484" spans="17:25">
      <c r="Q5484" s="308"/>
      <c r="R5484" s="309"/>
      <c r="S5484" s="210"/>
      <c r="T5484" s="310"/>
      <c r="U5484" s="106"/>
      <c r="V5484" s="106"/>
      <c r="W5484" s="106"/>
      <c r="X5484" s="420"/>
      <c r="Y5484" s="420"/>
    </row>
    <row r="5485" spans="17:25">
      <c r="Q5485" s="308"/>
      <c r="R5485" s="309"/>
      <c r="S5485" s="210"/>
      <c r="T5485" s="310"/>
      <c r="U5485" s="106"/>
      <c r="V5485" s="106"/>
      <c r="W5485" s="106"/>
      <c r="X5485" s="420"/>
      <c r="Y5485" s="420"/>
    </row>
    <row r="5486" spans="17:25">
      <c r="Q5486" s="308"/>
      <c r="R5486" s="309"/>
      <c r="S5486" s="210"/>
      <c r="T5486" s="310"/>
      <c r="U5486" s="106"/>
      <c r="V5486" s="106"/>
      <c r="W5486" s="106"/>
      <c r="X5486" s="420"/>
      <c r="Y5486" s="420"/>
    </row>
    <row r="5487" spans="17:25">
      <c r="Q5487" s="308"/>
      <c r="R5487" s="309"/>
      <c r="S5487" s="210"/>
      <c r="T5487" s="310"/>
      <c r="U5487" s="106"/>
      <c r="V5487" s="106"/>
      <c r="W5487" s="106"/>
      <c r="X5487" s="420"/>
      <c r="Y5487" s="420"/>
    </row>
    <row r="5488" spans="17:25">
      <c r="Q5488" s="308"/>
      <c r="R5488" s="309"/>
      <c r="S5488" s="210"/>
      <c r="T5488" s="310"/>
      <c r="U5488" s="106"/>
      <c r="V5488" s="106"/>
      <c r="W5488" s="106"/>
      <c r="X5488" s="420"/>
      <c r="Y5488" s="420"/>
    </row>
    <row r="5489" spans="17:25">
      <c r="Q5489" s="308"/>
      <c r="R5489" s="309"/>
      <c r="S5489" s="210"/>
      <c r="T5489" s="310"/>
      <c r="U5489" s="106"/>
      <c r="V5489" s="106"/>
      <c r="W5489" s="106"/>
      <c r="X5489" s="420"/>
      <c r="Y5489" s="420"/>
    </row>
    <row r="5490" spans="17:25">
      <c r="Q5490" s="308"/>
      <c r="R5490" s="309"/>
      <c r="S5490" s="210"/>
      <c r="T5490" s="310"/>
      <c r="U5490" s="106"/>
      <c r="V5490" s="106"/>
      <c r="W5490" s="106"/>
      <c r="X5490" s="420"/>
      <c r="Y5490" s="420"/>
    </row>
    <row r="5491" spans="17:25">
      <c r="Q5491" s="308"/>
      <c r="R5491" s="309"/>
      <c r="S5491" s="210"/>
      <c r="T5491" s="310"/>
      <c r="U5491" s="106"/>
      <c r="V5491" s="106"/>
      <c r="W5491" s="106"/>
      <c r="X5491" s="420"/>
      <c r="Y5491" s="420"/>
    </row>
    <row r="5492" spans="17:25">
      <c r="Q5492" s="308"/>
      <c r="R5492" s="309"/>
      <c r="S5492" s="210"/>
      <c r="T5492" s="310"/>
      <c r="U5492" s="106"/>
      <c r="V5492" s="106"/>
      <c r="W5492" s="106"/>
      <c r="X5492" s="420"/>
      <c r="Y5492" s="420"/>
    </row>
    <row r="5493" spans="17:25">
      <c r="Q5493" s="308"/>
      <c r="R5493" s="309"/>
      <c r="S5493" s="210"/>
      <c r="T5493" s="310"/>
      <c r="U5493" s="106"/>
      <c r="V5493" s="106"/>
      <c r="W5493" s="106"/>
      <c r="X5493" s="420"/>
      <c r="Y5493" s="420"/>
    </row>
    <row r="5494" spans="17:25">
      <c r="Q5494" s="308"/>
      <c r="R5494" s="309"/>
      <c r="S5494" s="210"/>
      <c r="T5494" s="310"/>
      <c r="U5494" s="106"/>
      <c r="V5494" s="106"/>
      <c r="W5494" s="106"/>
      <c r="X5494" s="420"/>
      <c r="Y5494" s="420"/>
    </row>
    <row r="5495" spans="17:25">
      <c r="Q5495" s="308"/>
      <c r="R5495" s="309"/>
      <c r="S5495" s="210"/>
      <c r="T5495" s="310"/>
      <c r="U5495" s="106"/>
      <c r="V5495" s="106"/>
      <c r="W5495" s="106"/>
      <c r="X5495" s="420"/>
      <c r="Y5495" s="420"/>
    </row>
    <row r="5496" spans="17:25">
      <c r="Q5496" s="308"/>
      <c r="R5496" s="309"/>
      <c r="S5496" s="210"/>
      <c r="T5496" s="310"/>
      <c r="U5496" s="106"/>
      <c r="V5496" s="106"/>
      <c r="W5496" s="106"/>
      <c r="X5496" s="420"/>
      <c r="Y5496" s="420"/>
    </row>
    <row r="5497" spans="17:25">
      <c r="Q5497" s="308"/>
      <c r="R5497" s="309"/>
      <c r="S5497" s="210"/>
      <c r="T5497" s="310"/>
      <c r="U5497" s="106"/>
      <c r="V5497" s="106"/>
      <c r="W5497" s="106"/>
      <c r="X5497" s="420"/>
      <c r="Y5497" s="420"/>
    </row>
    <row r="5498" spans="17:25">
      <c r="Q5498" s="308"/>
      <c r="R5498" s="309"/>
      <c r="S5498" s="210"/>
      <c r="T5498" s="310"/>
      <c r="U5498" s="106"/>
      <c r="V5498" s="106"/>
      <c r="W5498" s="106"/>
      <c r="X5498" s="420"/>
      <c r="Y5498" s="420"/>
    </row>
    <row r="5499" spans="17:25">
      <c r="Q5499" s="308"/>
      <c r="R5499" s="309"/>
      <c r="S5499" s="210"/>
      <c r="T5499" s="310"/>
      <c r="U5499" s="106"/>
      <c r="V5499" s="106"/>
      <c r="W5499" s="106"/>
      <c r="X5499" s="420"/>
      <c r="Y5499" s="420"/>
    </row>
    <row r="5500" spans="17:25">
      <c r="Q5500" s="308"/>
      <c r="R5500" s="309"/>
      <c r="S5500" s="210"/>
      <c r="T5500" s="310"/>
      <c r="U5500" s="106"/>
      <c r="V5500" s="106"/>
      <c r="W5500" s="106"/>
      <c r="X5500" s="420"/>
      <c r="Y5500" s="420"/>
    </row>
    <row r="5501" spans="17:25">
      <c r="Q5501" s="308"/>
      <c r="R5501" s="309"/>
      <c r="S5501" s="210"/>
      <c r="T5501" s="310"/>
      <c r="U5501" s="106"/>
      <c r="V5501" s="106"/>
      <c r="W5501" s="106"/>
      <c r="X5501" s="420"/>
      <c r="Y5501" s="420"/>
    </row>
    <row r="5502" spans="17:25">
      <c r="Q5502" s="308"/>
      <c r="R5502" s="309"/>
      <c r="S5502" s="210"/>
      <c r="T5502" s="310"/>
      <c r="U5502" s="106"/>
      <c r="V5502" s="106"/>
      <c r="W5502" s="106"/>
      <c r="X5502" s="420"/>
      <c r="Y5502" s="420"/>
    </row>
    <row r="5503" spans="17:25">
      <c r="Q5503" s="308"/>
      <c r="R5503" s="309"/>
      <c r="S5503" s="210"/>
      <c r="T5503" s="310"/>
      <c r="U5503" s="106"/>
      <c r="V5503" s="106"/>
      <c r="W5503" s="106"/>
      <c r="X5503" s="420"/>
      <c r="Y5503" s="420"/>
    </row>
    <row r="5504" spans="17:25">
      <c r="Q5504" s="308"/>
      <c r="R5504" s="309"/>
      <c r="S5504" s="210"/>
      <c r="T5504" s="310"/>
      <c r="U5504" s="106"/>
      <c r="V5504" s="106"/>
      <c r="W5504" s="106"/>
      <c r="X5504" s="420"/>
      <c r="Y5504" s="420"/>
    </row>
    <row r="5505" spans="17:25">
      <c r="Q5505" s="308"/>
      <c r="R5505" s="309"/>
      <c r="S5505" s="210"/>
      <c r="T5505" s="310"/>
      <c r="U5505" s="106"/>
      <c r="V5505" s="106"/>
      <c r="W5505" s="106"/>
      <c r="X5505" s="420"/>
      <c r="Y5505" s="420"/>
    </row>
    <row r="5506" spans="17:25">
      <c r="Q5506" s="308"/>
      <c r="R5506" s="309"/>
      <c r="S5506" s="210"/>
      <c r="T5506" s="310"/>
      <c r="U5506" s="106"/>
      <c r="V5506" s="106"/>
      <c r="W5506" s="106"/>
      <c r="X5506" s="420"/>
      <c r="Y5506" s="420"/>
    </row>
    <row r="5507" spans="17:25">
      <c r="Q5507" s="308"/>
      <c r="R5507" s="309"/>
      <c r="S5507" s="210"/>
      <c r="T5507" s="310"/>
      <c r="U5507" s="106"/>
      <c r="V5507" s="106"/>
      <c r="W5507" s="106"/>
      <c r="X5507" s="420"/>
      <c r="Y5507" s="420"/>
    </row>
    <row r="5508" spans="17:25">
      <c r="Q5508" s="308"/>
      <c r="R5508" s="309"/>
      <c r="S5508" s="210"/>
      <c r="T5508" s="310"/>
      <c r="U5508" s="106"/>
      <c r="V5508" s="106"/>
      <c r="W5508" s="106"/>
      <c r="X5508" s="420"/>
      <c r="Y5508" s="420"/>
    </row>
    <row r="5509" spans="17:25">
      <c r="Q5509" s="308"/>
      <c r="R5509" s="309"/>
      <c r="S5509" s="210"/>
      <c r="T5509" s="310"/>
      <c r="U5509" s="106"/>
      <c r="V5509" s="106"/>
      <c r="W5509" s="106"/>
      <c r="X5509" s="420"/>
      <c r="Y5509" s="420"/>
    </row>
    <row r="5510" spans="17:25">
      <c r="Q5510" s="308"/>
      <c r="R5510" s="309"/>
      <c r="S5510" s="210"/>
      <c r="T5510" s="310"/>
      <c r="U5510" s="106"/>
      <c r="V5510" s="106"/>
      <c r="W5510" s="106"/>
      <c r="X5510" s="420"/>
      <c r="Y5510" s="420"/>
    </row>
    <row r="5511" spans="17:25">
      <c r="Q5511" s="308"/>
      <c r="R5511" s="309"/>
      <c r="S5511" s="210"/>
      <c r="T5511" s="310"/>
      <c r="U5511" s="106"/>
      <c r="V5511" s="106"/>
      <c r="W5511" s="106"/>
      <c r="X5511" s="420"/>
      <c r="Y5511" s="420"/>
    </row>
    <row r="5512" spans="17:25">
      <c r="Q5512" s="308"/>
      <c r="R5512" s="309"/>
      <c r="S5512" s="210"/>
      <c r="T5512" s="310"/>
      <c r="U5512" s="106"/>
      <c r="V5512" s="106"/>
      <c r="W5512" s="106"/>
      <c r="X5512" s="420"/>
      <c r="Y5512" s="420"/>
    </row>
    <row r="5513" spans="17:25">
      <c r="Q5513" s="308"/>
      <c r="R5513" s="309"/>
      <c r="S5513" s="210"/>
      <c r="T5513" s="310"/>
      <c r="U5513" s="106"/>
      <c r="V5513" s="106"/>
      <c r="W5513" s="106"/>
      <c r="X5513" s="420"/>
      <c r="Y5513" s="420"/>
    </row>
    <row r="5514" spans="17:25">
      <c r="Q5514" s="308"/>
      <c r="R5514" s="309"/>
      <c r="S5514" s="210"/>
      <c r="T5514" s="310"/>
      <c r="U5514" s="106"/>
      <c r="V5514" s="106"/>
      <c r="W5514" s="106"/>
      <c r="X5514" s="420"/>
      <c r="Y5514" s="420"/>
    </row>
    <row r="5515" spans="17:25">
      <c r="Q5515" s="308"/>
      <c r="R5515" s="309"/>
      <c r="S5515" s="210"/>
      <c r="T5515" s="310"/>
      <c r="U5515" s="106"/>
      <c r="V5515" s="106"/>
      <c r="W5515" s="106"/>
      <c r="X5515" s="420"/>
      <c r="Y5515" s="420"/>
    </row>
    <row r="5516" spans="17:25">
      <c r="Q5516" s="308"/>
      <c r="R5516" s="309"/>
      <c r="S5516" s="210"/>
      <c r="T5516" s="310"/>
      <c r="U5516" s="106"/>
      <c r="V5516" s="106"/>
      <c r="W5516" s="106"/>
      <c r="X5516" s="420"/>
      <c r="Y5516" s="420"/>
    </row>
    <row r="5517" spans="17:25">
      <c r="Q5517" s="308"/>
      <c r="R5517" s="309"/>
      <c r="S5517" s="210"/>
      <c r="T5517" s="310"/>
      <c r="U5517" s="106"/>
      <c r="V5517" s="106"/>
      <c r="W5517" s="106"/>
      <c r="X5517" s="420"/>
      <c r="Y5517" s="420"/>
    </row>
    <row r="5518" spans="17:25">
      <c r="Q5518" s="308"/>
      <c r="R5518" s="309"/>
      <c r="S5518" s="210"/>
      <c r="T5518" s="310"/>
      <c r="U5518" s="106"/>
      <c r="V5518" s="106"/>
      <c r="W5518" s="106"/>
      <c r="X5518" s="420"/>
      <c r="Y5518" s="420"/>
    </row>
    <row r="5519" spans="17:25">
      <c r="Q5519" s="308"/>
      <c r="R5519" s="309"/>
      <c r="S5519" s="210"/>
      <c r="T5519" s="310"/>
      <c r="U5519" s="106"/>
      <c r="V5519" s="106"/>
      <c r="W5519" s="106"/>
      <c r="X5519" s="420"/>
      <c r="Y5519" s="420"/>
    </row>
    <row r="5520" spans="17:25">
      <c r="Q5520" s="308"/>
      <c r="R5520" s="309"/>
      <c r="S5520" s="210"/>
      <c r="T5520" s="310"/>
      <c r="U5520" s="106"/>
      <c r="V5520" s="106"/>
      <c r="W5520" s="106"/>
      <c r="X5520" s="420"/>
      <c r="Y5520" s="420"/>
    </row>
    <row r="5521" spans="17:25">
      <c r="Q5521" s="308"/>
      <c r="R5521" s="309"/>
      <c r="S5521" s="210"/>
      <c r="T5521" s="310"/>
      <c r="U5521" s="106"/>
      <c r="V5521" s="106"/>
      <c r="W5521" s="106"/>
      <c r="X5521" s="420"/>
      <c r="Y5521" s="420"/>
    </row>
    <row r="5522" spans="17:25">
      <c r="Q5522" s="308"/>
      <c r="R5522" s="309"/>
      <c r="S5522" s="210"/>
      <c r="T5522" s="310"/>
      <c r="U5522" s="106"/>
      <c r="V5522" s="106"/>
      <c r="W5522" s="106"/>
      <c r="X5522" s="420"/>
      <c r="Y5522" s="420"/>
    </row>
    <row r="5523" spans="17:25">
      <c r="Q5523" s="308"/>
      <c r="R5523" s="309"/>
      <c r="S5523" s="210"/>
      <c r="T5523" s="310"/>
      <c r="U5523" s="106"/>
      <c r="V5523" s="106"/>
      <c r="W5523" s="106"/>
      <c r="X5523" s="420"/>
      <c r="Y5523" s="420"/>
    </row>
    <row r="5524" spans="17:25">
      <c r="Q5524" s="308"/>
      <c r="R5524" s="309"/>
      <c r="S5524" s="210"/>
      <c r="T5524" s="310"/>
      <c r="U5524" s="106"/>
      <c r="V5524" s="106"/>
      <c r="W5524" s="106"/>
      <c r="X5524" s="420"/>
      <c r="Y5524" s="420"/>
    </row>
    <row r="5525" spans="17:25">
      <c r="Q5525" s="308"/>
      <c r="R5525" s="309"/>
      <c r="S5525" s="210"/>
      <c r="T5525" s="310"/>
      <c r="U5525" s="106"/>
      <c r="V5525" s="106"/>
      <c r="W5525" s="106"/>
      <c r="X5525" s="420"/>
      <c r="Y5525" s="420"/>
    </row>
    <row r="5526" spans="17:25">
      <c r="Q5526" s="308"/>
      <c r="R5526" s="309"/>
      <c r="S5526" s="210"/>
      <c r="T5526" s="310"/>
      <c r="U5526" s="106"/>
      <c r="V5526" s="106"/>
      <c r="W5526" s="106"/>
      <c r="X5526" s="420"/>
      <c r="Y5526" s="420"/>
    </row>
    <row r="5527" spans="17:25">
      <c r="Q5527" s="308"/>
      <c r="R5527" s="309"/>
      <c r="S5527" s="210"/>
      <c r="T5527" s="310"/>
      <c r="U5527" s="106"/>
      <c r="V5527" s="106"/>
      <c r="W5527" s="106"/>
      <c r="X5527" s="420"/>
      <c r="Y5527" s="420"/>
    </row>
    <row r="5528" spans="17:25">
      <c r="Q5528" s="308"/>
      <c r="R5528" s="309"/>
      <c r="S5528" s="210"/>
      <c r="T5528" s="310"/>
      <c r="U5528" s="106"/>
      <c r="V5528" s="106"/>
      <c r="W5528" s="106"/>
      <c r="X5528" s="420"/>
      <c r="Y5528" s="420"/>
    </row>
    <row r="5529" spans="17:25">
      <c r="Q5529" s="308"/>
      <c r="R5529" s="309"/>
      <c r="S5529" s="210"/>
      <c r="T5529" s="310"/>
      <c r="U5529" s="106"/>
      <c r="V5529" s="106"/>
      <c r="W5529" s="106"/>
      <c r="X5529" s="420"/>
      <c r="Y5529" s="420"/>
    </row>
    <row r="5530" spans="17:25">
      <c r="Q5530" s="308"/>
      <c r="R5530" s="309"/>
      <c r="S5530" s="210"/>
      <c r="T5530" s="310"/>
      <c r="U5530" s="106"/>
      <c r="V5530" s="106"/>
      <c r="W5530" s="106"/>
      <c r="X5530" s="420"/>
      <c r="Y5530" s="420"/>
    </row>
    <row r="5531" spans="17:25">
      <c r="Q5531" s="308"/>
      <c r="R5531" s="309"/>
      <c r="S5531" s="210"/>
      <c r="T5531" s="310"/>
      <c r="U5531" s="106"/>
      <c r="V5531" s="106"/>
      <c r="W5531" s="106"/>
      <c r="X5531" s="420"/>
      <c r="Y5531" s="420"/>
    </row>
    <row r="5532" spans="17:25">
      <c r="Q5532" s="308"/>
      <c r="R5532" s="309"/>
      <c r="S5532" s="210"/>
      <c r="T5532" s="310"/>
      <c r="U5532" s="106"/>
      <c r="V5532" s="106"/>
      <c r="W5532" s="106"/>
      <c r="X5532" s="420"/>
      <c r="Y5532" s="420"/>
    </row>
    <row r="5533" spans="17:25">
      <c r="Q5533" s="308"/>
      <c r="R5533" s="309"/>
      <c r="S5533" s="210"/>
      <c r="T5533" s="310"/>
      <c r="U5533" s="106"/>
      <c r="V5533" s="106"/>
      <c r="W5533" s="106"/>
      <c r="X5533" s="420"/>
      <c r="Y5533" s="420"/>
    </row>
    <row r="5534" spans="17:25">
      <c r="Q5534" s="308"/>
      <c r="R5534" s="309"/>
      <c r="S5534" s="210"/>
      <c r="T5534" s="310"/>
      <c r="U5534" s="106"/>
      <c r="V5534" s="106"/>
      <c r="W5534" s="106"/>
      <c r="X5534" s="420"/>
      <c r="Y5534" s="420"/>
    </row>
    <row r="5535" spans="17:25">
      <c r="Q5535" s="308"/>
      <c r="R5535" s="309"/>
      <c r="S5535" s="210"/>
      <c r="T5535" s="310"/>
      <c r="U5535" s="106"/>
      <c r="V5535" s="106"/>
      <c r="W5535" s="106"/>
      <c r="X5535" s="420"/>
      <c r="Y5535" s="420"/>
    </row>
    <row r="5536" spans="17:25">
      <c r="Q5536" s="308"/>
      <c r="R5536" s="309"/>
      <c r="S5536" s="210"/>
      <c r="T5536" s="310"/>
      <c r="U5536" s="106"/>
      <c r="V5536" s="106"/>
      <c r="W5536" s="106"/>
      <c r="X5536" s="420"/>
      <c r="Y5536" s="420"/>
    </row>
    <row r="5537" spans="17:25">
      <c r="Q5537" s="308"/>
      <c r="R5537" s="309"/>
      <c r="S5537" s="210"/>
      <c r="T5537" s="310"/>
      <c r="U5537" s="106"/>
      <c r="V5537" s="106"/>
      <c r="W5537" s="106"/>
      <c r="X5537" s="420"/>
      <c r="Y5537" s="420"/>
    </row>
    <row r="5538" spans="17:25">
      <c r="Q5538" s="308"/>
      <c r="R5538" s="309"/>
      <c r="S5538" s="210"/>
      <c r="T5538" s="310"/>
      <c r="U5538" s="106"/>
      <c r="V5538" s="106"/>
      <c r="W5538" s="106"/>
      <c r="X5538" s="420"/>
      <c r="Y5538" s="420"/>
    </row>
    <row r="5539" spans="17:25">
      <c r="Q5539" s="308"/>
      <c r="R5539" s="309"/>
      <c r="S5539" s="210"/>
      <c r="T5539" s="310"/>
      <c r="U5539" s="106"/>
      <c r="V5539" s="106"/>
      <c r="W5539" s="106"/>
      <c r="X5539" s="420"/>
      <c r="Y5539" s="420"/>
    </row>
    <row r="5540" spans="17:25">
      <c r="Q5540" s="308"/>
      <c r="R5540" s="309"/>
      <c r="S5540" s="210"/>
      <c r="T5540" s="310"/>
      <c r="U5540" s="106"/>
      <c r="V5540" s="106"/>
      <c r="W5540" s="106"/>
      <c r="X5540" s="420"/>
      <c r="Y5540" s="420"/>
    </row>
    <row r="5541" spans="17:25">
      <c r="Q5541" s="308"/>
      <c r="R5541" s="309"/>
      <c r="S5541" s="210"/>
      <c r="T5541" s="310"/>
      <c r="U5541" s="106"/>
      <c r="V5541" s="106"/>
      <c r="W5541" s="106"/>
      <c r="X5541" s="420"/>
      <c r="Y5541" s="420"/>
    </row>
    <row r="5542" spans="17:25">
      <c r="Q5542" s="308"/>
      <c r="R5542" s="309"/>
      <c r="S5542" s="210"/>
      <c r="T5542" s="310"/>
      <c r="U5542" s="106"/>
      <c r="V5542" s="106"/>
      <c r="W5542" s="106"/>
      <c r="X5542" s="420"/>
      <c r="Y5542" s="420"/>
    </row>
    <row r="5543" spans="17:25">
      <c r="Q5543" s="308"/>
      <c r="R5543" s="309"/>
      <c r="S5543" s="210"/>
      <c r="T5543" s="310"/>
      <c r="U5543" s="106"/>
      <c r="V5543" s="106"/>
      <c r="W5543" s="106"/>
      <c r="X5543" s="420"/>
      <c r="Y5543" s="420"/>
    </row>
    <row r="5544" spans="17:25">
      <c r="Q5544" s="308"/>
      <c r="R5544" s="309"/>
      <c r="S5544" s="210"/>
      <c r="T5544" s="310"/>
      <c r="U5544" s="106"/>
      <c r="V5544" s="106"/>
      <c r="W5544" s="106"/>
      <c r="X5544" s="420"/>
      <c r="Y5544" s="420"/>
    </row>
    <row r="5545" spans="17:25">
      <c r="Q5545" s="308"/>
      <c r="R5545" s="309"/>
      <c r="S5545" s="210"/>
      <c r="T5545" s="310"/>
      <c r="U5545" s="106"/>
      <c r="V5545" s="106"/>
      <c r="W5545" s="106"/>
      <c r="X5545" s="420"/>
      <c r="Y5545" s="420"/>
    </row>
    <row r="5546" spans="17:25">
      <c r="Q5546" s="308"/>
      <c r="R5546" s="309"/>
      <c r="S5546" s="210"/>
      <c r="T5546" s="310"/>
      <c r="U5546" s="106"/>
      <c r="V5546" s="106"/>
      <c r="W5546" s="106"/>
      <c r="X5546" s="420"/>
      <c r="Y5546" s="420"/>
    </row>
    <row r="5547" spans="17:25">
      <c r="Q5547" s="308"/>
      <c r="R5547" s="309"/>
      <c r="S5547" s="210"/>
      <c r="T5547" s="310"/>
      <c r="U5547" s="106"/>
      <c r="V5547" s="106"/>
      <c r="W5547" s="106"/>
      <c r="X5547" s="420"/>
      <c r="Y5547" s="420"/>
    </row>
    <row r="5548" spans="17:25">
      <c r="Q5548" s="308"/>
      <c r="R5548" s="309"/>
      <c r="S5548" s="210"/>
      <c r="T5548" s="310"/>
      <c r="U5548" s="106"/>
      <c r="V5548" s="106"/>
      <c r="W5548" s="106"/>
      <c r="X5548" s="420"/>
      <c r="Y5548" s="420"/>
    </row>
    <row r="5549" spans="17:25">
      <c r="Q5549" s="308"/>
      <c r="R5549" s="309"/>
      <c r="S5549" s="210"/>
      <c r="T5549" s="310"/>
      <c r="U5549" s="106"/>
      <c r="V5549" s="106"/>
      <c r="W5549" s="106"/>
      <c r="X5549" s="420"/>
      <c r="Y5549" s="420"/>
    </row>
    <row r="5550" spans="17:25">
      <c r="Q5550" s="308"/>
      <c r="R5550" s="309"/>
      <c r="S5550" s="210"/>
      <c r="T5550" s="310"/>
      <c r="U5550" s="106"/>
      <c r="V5550" s="106"/>
      <c r="W5550" s="106"/>
      <c r="X5550" s="420"/>
      <c r="Y5550" s="420"/>
    </row>
    <row r="5551" spans="17:25">
      <c r="Q5551" s="308"/>
      <c r="R5551" s="309"/>
      <c r="S5551" s="210"/>
      <c r="T5551" s="310"/>
      <c r="U5551" s="106"/>
      <c r="V5551" s="106"/>
      <c r="W5551" s="106"/>
      <c r="X5551" s="420"/>
      <c r="Y5551" s="420"/>
    </row>
    <row r="5552" spans="17:25">
      <c r="Q5552" s="308"/>
      <c r="R5552" s="309"/>
      <c r="S5552" s="210"/>
      <c r="T5552" s="310"/>
      <c r="U5552" s="106"/>
      <c r="V5552" s="106"/>
      <c r="W5552" s="106"/>
      <c r="X5552" s="420"/>
      <c r="Y5552" s="420"/>
    </row>
    <row r="5553" spans="17:25">
      <c r="Q5553" s="308"/>
      <c r="R5553" s="309"/>
      <c r="S5553" s="210"/>
      <c r="T5553" s="310"/>
      <c r="U5553" s="106"/>
      <c r="V5553" s="106"/>
      <c r="W5553" s="106"/>
      <c r="X5553" s="420"/>
      <c r="Y5553" s="420"/>
    </row>
    <row r="5554" spans="17:25">
      <c r="Q5554" s="308"/>
      <c r="R5554" s="309"/>
      <c r="S5554" s="210"/>
      <c r="T5554" s="310"/>
      <c r="U5554" s="106"/>
      <c r="V5554" s="106"/>
      <c r="W5554" s="106"/>
      <c r="X5554" s="420"/>
      <c r="Y5554" s="420"/>
    </row>
    <row r="5555" spans="17:25">
      <c r="Q5555" s="308"/>
      <c r="R5555" s="309"/>
      <c r="S5555" s="210"/>
      <c r="T5555" s="310"/>
      <c r="U5555" s="106"/>
      <c r="V5555" s="106"/>
      <c r="W5555" s="106"/>
      <c r="X5555" s="420"/>
      <c r="Y5555" s="420"/>
    </row>
    <row r="5556" spans="17:25">
      <c r="Q5556" s="308"/>
      <c r="R5556" s="309"/>
      <c r="S5556" s="210"/>
      <c r="T5556" s="310"/>
      <c r="U5556" s="106"/>
      <c r="V5556" s="106"/>
      <c r="W5556" s="106"/>
      <c r="X5556" s="420"/>
      <c r="Y5556" s="420"/>
    </row>
    <row r="5557" spans="17:25">
      <c r="Q5557" s="308"/>
      <c r="R5557" s="309"/>
      <c r="S5557" s="210"/>
      <c r="T5557" s="310"/>
      <c r="U5557" s="106"/>
      <c r="V5557" s="106"/>
      <c r="W5557" s="106"/>
      <c r="X5557" s="420"/>
      <c r="Y5557" s="420"/>
    </row>
    <row r="5558" spans="17:25">
      <c r="Q5558" s="308"/>
      <c r="R5558" s="309"/>
      <c r="S5558" s="210"/>
      <c r="T5558" s="310"/>
      <c r="U5558" s="106"/>
      <c r="V5558" s="106"/>
      <c r="W5558" s="106"/>
      <c r="X5558" s="420"/>
      <c r="Y5558" s="420"/>
    </row>
    <row r="5559" spans="17:25">
      <c r="Q5559" s="308"/>
      <c r="R5559" s="309"/>
      <c r="S5559" s="210"/>
      <c r="T5559" s="310"/>
      <c r="U5559" s="106"/>
      <c r="V5559" s="106"/>
      <c r="W5559" s="106"/>
      <c r="X5559" s="420"/>
      <c r="Y5559" s="420"/>
    </row>
    <row r="5560" spans="17:25">
      <c r="Q5560" s="308"/>
      <c r="R5560" s="309"/>
      <c r="S5560" s="210"/>
      <c r="T5560" s="310"/>
      <c r="U5560" s="106"/>
      <c r="V5560" s="106"/>
      <c r="W5560" s="106"/>
      <c r="X5560" s="420"/>
      <c r="Y5560" s="420"/>
    </row>
    <row r="5561" spans="17:25">
      <c r="Q5561" s="308"/>
      <c r="R5561" s="309"/>
      <c r="S5561" s="210"/>
      <c r="T5561" s="310"/>
      <c r="U5561" s="106"/>
      <c r="V5561" s="106"/>
      <c r="W5561" s="106"/>
      <c r="X5561" s="420"/>
      <c r="Y5561" s="420"/>
    </row>
    <row r="5562" spans="17:25">
      <c r="Q5562" s="308"/>
      <c r="R5562" s="309"/>
      <c r="S5562" s="210"/>
      <c r="T5562" s="310"/>
      <c r="U5562" s="106"/>
      <c r="V5562" s="106"/>
      <c r="W5562" s="106"/>
      <c r="X5562" s="420"/>
      <c r="Y5562" s="420"/>
    </row>
    <row r="5563" spans="17:25">
      <c r="Q5563" s="308"/>
      <c r="R5563" s="309"/>
      <c r="S5563" s="210"/>
      <c r="T5563" s="310"/>
      <c r="U5563" s="106"/>
      <c r="V5563" s="106"/>
      <c r="W5563" s="106"/>
      <c r="X5563" s="420"/>
      <c r="Y5563" s="420"/>
    </row>
    <row r="5564" spans="17:25">
      <c r="Q5564" s="308"/>
      <c r="R5564" s="309"/>
      <c r="S5564" s="210"/>
      <c r="T5564" s="310"/>
      <c r="U5564" s="106"/>
      <c r="V5564" s="106"/>
      <c r="W5564" s="106"/>
      <c r="X5564" s="420"/>
      <c r="Y5564" s="420"/>
    </row>
    <row r="5565" spans="17:25">
      <c r="Q5565" s="308"/>
      <c r="R5565" s="309"/>
      <c r="S5565" s="210"/>
      <c r="T5565" s="310"/>
      <c r="U5565" s="106"/>
      <c r="V5565" s="106"/>
      <c r="W5565" s="106"/>
      <c r="X5565" s="420"/>
      <c r="Y5565" s="420"/>
    </row>
    <row r="5566" spans="17:25">
      <c r="Q5566" s="308"/>
      <c r="R5566" s="309"/>
      <c r="S5566" s="210"/>
      <c r="T5566" s="310"/>
      <c r="U5566" s="106"/>
      <c r="V5566" s="106"/>
      <c r="W5566" s="106"/>
      <c r="X5566" s="420"/>
      <c r="Y5566" s="420"/>
    </row>
    <row r="5567" spans="17:25">
      <c r="Q5567" s="308"/>
      <c r="R5567" s="309"/>
      <c r="S5567" s="210"/>
      <c r="T5567" s="310"/>
      <c r="U5567" s="106"/>
      <c r="V5567" s="106"/>
      <c r="W5567" s="106"/>
      <c r="X5567" s="420"/>
      <c r="Y5567" s="420"/>
    </row>
    <row r="5568" spans="17:25">
      <c r="Q5568" s="308"/>
      <c r="R5568" s="309"/>
      <c r="S5568" s="210"/>
      <c r="T5568" s="310"/>
      <c r="U5568" s="106"/>
      <c r="V5568" s="106"/>
      <c r="W5568" s="106"/>
      <c r="X5568" s="420"/>
      <c r="Y5568" s="420"/>
    </row>
    <row r="5569" spans="17:25">
      <c r="Q5569" s="308"/>
      <c r="R5569" s="309"/>
      <c r="S5569" s="210"/>
      <c r="T5569" s="310"/>
      <c r="U5569" s="106"/>
      <c r="V5569" s="106"/>
      <c r="W5569" s="106"/>
      <c r="X5569" s="420"/>
      <c r="Y5569" s="420"/>
    </row>
    <row r="5570" spans="17:25">
      <c r="Q5570" s="308"/>
      <c r="R5570" s="309"/>
      <c r="S5570" s="210"/>
      <c r="T5570" s="310"/>
      <c r="U5570" s="106"/>
      <c r="V5570" s="106"/>
      <c r="W5570" s="106"/>
      <c r="X5570" s="420"/>
      <c r="Y5570" s="420"/>
    </row>
    <row r="5571" spans="17:25">
      <c r="Q5571" s="308"/>
      <c r="R5571" s="309"/>
      <c r="S5571" s="210"/>
      <c r="T5571" s="310"/>
      <c r="U5571" s="106"/>
      <c r="V5571" s="106"/>
      <c r="W5571" s="106"/>
      <c r="X5571" s="420"/>
      <c r="Y5571" s="420"/>
    </row>
    <row r="5572" spans="17:25">
      <c r="Q5572" s="308"/>
      <c r="R5572" s="309"/>
      <c r="S5572" s="210"/>
      <c r="T5572" s="310"/>
      <c r="U5572" s="106"/>
      <c r="V5572" s="106"/>
      <c r="W5572" s="106"/>
      <c r="X5572" s="420"/>
      <c r="Y5572" s="420"/>
    </row>
    <row r="5573" spans="17:25">
      <c r="Q5573" s="308"/>
      <c r="R5573" s="309"/>
      <c r="S5573" s="210"/>
      <c r="T5573" s="310"/>
      <c r="U5573" s="106"/>
      <c r="V5573" s="106"/>
      <c r="W5573" s="106"/>
      <c r="X5573" s="420"/>
      <c r="Y5573" s="420"/>
    </row>
    <row r="5574" spans="17:25">
      <c r="Q5574" s="308"/>
      <c r="R5574" s="309"/>
      <c r="S5574" s="210"/>
      <c r="T5574" s="310"/>
      <c r="U5574" s="106"/>
      <c r="V5574" s="106"/>
      <c r="W5574" s="106"/>
      <c r="X5574" s="420"/>
      <c r="Y5574" s="420"/>
    </row>
    <row r="5575" spans="17:25">
      <c r="Q5575" s="308"/>
      <c r="R5575" s="309"/>
      <c r="S5575" s="210"/>
      <c r="T5575" s="310"/>
      <c r="U5575" s="106"/>
      <c r="V5575" s="106"/>
      <c r="W5575" s="106"/>
      <c r="X5575" s="420"/>
      <c r="Y5575" s="420"/>
    </row>
    <row r="5576" spans="17:25">
      <c r="Q5576" s="308"/>
      <c r="R5576" s="309"/>
      <c r="S5576" s="210"/>
      <c r="T5576" s="310"/>
      <c r="U5576" s="106"/>
      <c r="V5576" s="106"/>
      <c r="W5576" s="106"/>
      <c r="X5576" s="420"/>
      <c r="Y5576" s="420"/>
    </row>
    <row r="5577" spans="17:25">
      <c r="Q5577" s="308"/>
      <c r="R5577" s="309"/>
      <c r="S5577" s="210"/>
      <c r="T5577" s="310"/>
      <c r="U5577" s="106"/>
      <c r="V5577" s="106"/>
      <c r="W5577" s="106"/>
      <c r="X5577" s="420"/>
      <c r="Y5577" s="420"/>
    </row>
    <row r="5578" spans="17:25">
      <c r="Q5578" s="308"/>
      <c r="R5578" s="309"/>
      <c r="S5578" s="210"/>
      <c r="T5578" s="310"/>
      <c r="U5578" s="106"/>
      <c r="V5578" s="106"/>
      <c r="W5578" s="106"/>
      <c r="X5578" s="420"/>
      <c r="Y5578" s="420"/>
    </row>
    <row r="5579" spans="17:25">
      <c r="Q5579" s="308"/>
      <c r="R5579" s="309"/>
      <c r="S5579" s="210"/>
      <c r="T5579" s="310"/>
      <c r="U5579" s="106"/>
      <c r="V5579" s="106"/>
      <c r="W5579" s="106"/>
      <c r="X5579" s="420"/>
      <c r="Y5579" s="420"/>
    </row>
    <row r="5580" spans="17:25">
      <c r="Q5580" s="308"/>
      <c r="R5580" s="309"/>
      <c r="S5580" s="210"/>
      <c r="T5580" s="310"/>
      <c r="U5580" s="106"/>
      <c r="V5580" s="106"/>
      <c r="W5580" s="106"/>
      <c r="X5580" s="420"/>
      <c r="Y5580" s="420"/>
    </row>
    <row r="5581" spans="17:25">
      <c r="Q5581" s="308"/>
      <c r="R5581" s="309"/>
      <c r="S5581" s="210"/>
      <c r="T5581" s="310"/>
      <c r="U5581" s="106"/>
      <c r="V5581" s="106"/>
      <c r="W5581" s="106"/>
      <c r="X5581" s="420"/>
      <c r="Y5581" s="420"/>
    </row>
    <row r="5582" spans="17:25">
      <c r="Q5582" s="308"/>
      <c r="R5582" s="309"/>
      <c r="S5582" s="210"/>
      <c r="T5582" s="310"/>
      <c r="U5582" s="106"/>
      <c r="V5582" s="106"/>
      <c r="W5582" s="106"/>
      <c r="X5582" s="420"/>
      <c r="Y5582" s="420"/>
    </row>
    <row r="5583" spans="17:25">
      <c r="Q5583" s="308"/>
      <c r="R5583" s="309"/>
      <c r="S5583" s="210"/>
      <c r="T5583" s="310"/>
      <c r="U5583" s="106"/>
      <c r="V5583" s="106"/>
      <c r="W5583" s="106"/>
      <c r="X5583" s="420"/>
      <c r="Y5583" s="420"/>
    </row>
    <row r="5584" spans="17:25">
      <c r="Q5584" s="308"/>
      <c r="R5584" s="309"/>
      <c r="S5584" s="210"/>
      <c r="T5584" s="310"/>
      <c r="U5584" s="106"/>
      <c r="V5584" s="106"/>
      <c r="W5584" s="106"/>
      <c r="X5584" s="420"/>
      <c r="Y5584" s="420"/>
    </row>
    <row r="5585" spans="17:25">
      <c r="Q5585" s="308"/>
      <c r="R5585" s="309"/>
      <c r="S5585" s="210"/>
      <c r="T5585" s="310"/>
      <c r="U5585" s="106"/>
      <c r="V5585" s="106"/>
      <c r="W5585" s="106"/>
      <c r="X5585" s="420"/>
      <c r="Y5585" s="420"/>
    </row>
    <row r="5586" spans="17:25">
      <c r="Q5586" s="308"/>
      <c r="R5586" s="309"/>
      <c r="S5586" s="210"/>
      <c r="T5586" s="310"/>
      <c r="U5586" s="106"/>
      <c r="V5586" s="106"/>
      <c r="W5586" s="106"/>
      <c r="X5586" s="420"/>
      <c r="Y5586" s="420"/>
    </row>
    <row r="5587" spans="17:25">
      <c r="Q5587" s="308"/>
      <c r="R5587" s="309"/>
      <c r="S5587" s="210"/>
      <c r="T5587" s="310"/>
      <c r="U5587" s="106"/>
      <c r="V5587" s="106"/>
      <c r="W5587" s="106"/>
      <c r="X5587" s="420"/>
      <c r="Y5587" s="420"/>
    </row>
    <row r="5588" spans="17:25">
      <c r="Q5588" s="308"/>
      <c r="R5588" s="309"/>
      <c r="S5588" s="210"/>
      <c r="T5588" s="310"/>
      <c r="U5588" s="106"/>
      <c r="V5588" s="106"/>
      <c r="W5588" s="106"/>
      <c r="X5588" s="420"/>
      <c r="Y5588" s="420"/>
    </row>
    <row r="5589" spans="17:25">
      <c r="Q5589" s="308"/>
      <c r="R5589" s="309"/>
      <c r="S5589" s="210"/>
      <c r="T5589" s="310"/>
      <c r="U5589" s="106"/>
      <c r="V5589" s="106"/>
      <c r="W5589" s="106"/>
      <c r="X5589" s="420"/>
      <c r="Y5589" s="420"/>
    </row>
    <row r="5590" spans="17:25">
      <c r="Q5590" s="308"/>
      <c r="R5590" s="309"/>
      <c r="S5590" s="210"/>
      <c r="T5590" s="310"/>
      <c r="U5590" s="106"/>
      <c r="V5590" s="106"/>
      <c r="W5590" s="106"/>
      <c r="X5590" s="420"/>
      <c r="Y5590" s="420"/>
    </row>
    <row r="5591" spans="17:25">
      <c r="Q5591" s="308"/>
      <c r="R5591" s="309"/>
      <c r="S5591" s="210"/>
      <c r="T5591" s="310"/>
      <c r="U5591" s="106"/>
      <c r="V5591" s="106"/>
      <c r="W5591" s="106"/>
      <c r="X5591" s="420"/>
      <c r="Y5591" s="420"/>
    </row>
    <row r="5592" spans="17:25">
      <c r="Q5592" s="308"/>
      <c r="R5592" s="309"/>
      <c r="S5592" s="210"/>
      <c r="T5592" s="310"/>
      <c r="U5592" s="106"/>
      <c r="V5592" s="106"/>
      <c r="W5592" s="106"/>
      <c r="X5592" s="420"/>
      <c r="Y5592" s="420"/>
    </row>
    <row r="5593" spans="17:25">
      <c r="Q5593" s="308"/>
      <c r="R5593" s="309"/>
      <c r="S5593" s="210"/>
      <c r="T5593" s="310"/>
      <c r="U5593" s="106"/>
      <c r="V5593" s="106"/>
      <c r="W5593" s="106"/>
      <c r="X5593" s="420"/>
      <c r="Y5593" s="420"/>
    </row>
    <row r="5594" spans="17:25">
      <c r="Q5594" s="308"/>
      <c r="R5594" s="309"/>
      <c r="S5594" s="210"/>
      <c r="T5594" s="310"/>
      <c r="U5594" s="106"/>
      <c r="V5594" s="106"/>
      <c r="W5594" s="106"/>
      <c r="X5594" s="420"/>
      <c r="Y5594" s="420"/>
    </row>
    <row r="5595" spans="17:25">
      <c r="Q5595" s="308"/>
      <c r="R5595" s="309"/>
      <c r="S5595" s="210"/>
      <c r="T5595" s="310"/>
      <c r="U5595" s="106"/>
      <c r="V5595" s="106"/>
      <c r="W5595" s="106"/>
      <c r="X5595" s="420"/>
      <c r="Y5595" s="420"/>
    </row>
    <row r="5596" spans="17:25">
      <c r="Q5596" s="308"/>
      <c r="R5596" s="309"/>
      <c r="S5596" s="210"/>
      <c r="T5596" s="310"/>
      <c r="U5596" s="106"/>
      <c r="V5596" s="106"/>
      <c r="W5596" s="106"/>
      <c r="X5596" s="420"/>
      <c r="Y5596" s="420"/>
    </row>
    <row r="5597" spans="17:25">
      <c r="Q5597" s="308"/>
      <c r="R5597" s="309"/>
      <c r="S5597" s="210"/>
      <c r="T5597" s="310"/>
      <c r="U5597" s="106"/>
      <c r="V5597" s="106"/>
      <c r="W5597" s="106"/>
      <c r="X5597" s="420"/>
      <c r="Y5597" s="420"/>
    </row>
    <row r="5598" spans="17:25">
      <c r="Q5598" s="308"/>
      <c r="R5598" s="309"/>
      <c r="S5598" s="210"/>
      <c r="T5598" s="310"/>
      <c r="U5598" s="106"/>
      <c r="V5598" s="106"/>
      <c r="W5598" s="106"/>
      <c r="X5598" s="420"/>
      <c r="Y5598" s="420"/>
    </row>
    <row r="5599" spans="17:25">
      <c r="Q5599" s="308"/>
      <c r="R5599" s="309"/>
      <c r="S5599" s="210"/>
      <c r="T5599" s="310"/>
      <c r="U5599" s="106"/>
      <c r="V5599" s="106"/>
      <c r="W5599" s="106"/>
      <c r="X5599" s="420"/>
      <c r="Y5599" s="420"/>
    </row>
    <row r="5600" spans="17:25">
      <c r="Q5600" s="308"/>
      <c r="R5600" s="309"/>
      <c r="S5600" s="210"/>
      <c r="T5600" s="310"/>
      <c r="U5600" s="106"/>
      <c r="V5600" s="106"/>
      <c r="W5600" s="106"/>
      <c r="X5600" s="420"/>
      <c r="Y5600" s="420"/>
    </row>
    <row r="5601" spans="17:25">
      <c r="Q5601" s="308"/>
      <c r="R5601" s="309"/>
      <c r="S5601" s="210"/>
      <c r="T5601" s="310"/>
      <c r="U5601" s="106"/>
      <c r="V5601" s="106"/>
      <c r="W5601" s="106"/>
      <c r="X5601" s="420"/>
      <c r="Y5601" s="420"/>
    </row>
    <row r="5602" spans="17:25">
      <c r="Q5602" s="308"/>
      <c r="R5602" s="309"/>
      <c r="S5602" s="210"/>
      <c r="T5602" s="310"/>
      <c r="U5602" s="106"/>
      <c r="V5602" s="106"/>
      <c r="W5602" s="106"/>
      <c r="X5602" s="420"/>
      <c r="Y5602" s="420"/>
    </row>
    <row r="5603" spans="17:25">
      <c r="Q5603" s="308"/>
      <c r="R5603" s="309"/>
      <c r="S5603" s="210"/>
      <c r="T5603" s="310"/>
      <c r="U5603" s="106"/>
      <c r="V5603" s="106"/>
      <c r="W5603" s="106"/>
      <c r="X5603" s="420"/>
      <c r="Y5603" s="420"/>
    </row>
    <row r="5604" spans="17:25">
      <c r="Q5604" s="308"/>
      <c r="R5604" s="309"/>
      <c r="S5604" s="210"/>
      <c r="T5604" s="310"/>
      <c r="U5604" s="106"/>
      <c r="V5604" s="106"/>
      <c r="W5604" s="106"/>
      <c r="X5604" s="420"/>
      <c r="Y5604" s="420"/>
    </row>
    <row r="5605" spans="17:25">
      <c r="Q5605" s="308"/>
      <c r="R5605" s="309"/>
      <c r="S5605" s="210"/>
      <c r="T5605" s="310"/>
      <c r="U5605" s="106"/>
      <c r="V5605" s="106"/>
      <c r="W5605" s="106"/>
      <c r="X5605" s="420"/>
      <c r="Y5605" s="420"/>
    </row>
    <row r="5606" spans="17:25">
      <c r="Q5606" s="308"/>
      <c r="R5606" s="309"/>
      <c r="S5606" s="210"/>
      <c r="T5606" s="310"/>
      <c r="U5606" s="106"/>
      <c r="V5606" s="106"/>
      <c r="W5606" s="106"/>
      <c r="X5606" s="420"/>
      <c r="Y5606" s="420"/>
    </row>
    <row r="5607" spans="17:25">
      <c r="Q5607" s="308"/>
      <c r="R5607" s="309"/>
      <c r="S5607" s="210"/>
      <c r="T5607" s="310"/>
      <c r="U5607" s="106"/>
      <c r="V5607" s="106"/>
      <c r="W5607" s="106"/>
      <c r="X5607" s="420"/>
      <c r="Y5607" s="420"/>
    </row>
    <row r="5608" spans="17:25">
      <c r="Q5608" s="308"/>
      <c r="R5608" s="309"/>
      <c r="S5608" s="210"/>
      <c r="T5608" s="310"/>
      <c r="U5608" s="106"/>
      <c r="V5608" s="106"/>
      <c r="W5608" s="106"/>
      <c r="X5608" s="420"/>
      <c r="Y5608" s="420"/>
    </row>
    <row r="5609" spans="17:25">
      <c r="Q5609" s="308"/>
      <c r="R5609" s="309"/>
      <c r="S5609" s="210"/>
      <c r="T5609" s="310"/>
      <c r="U5609" s="106"/>
      <c r="V5609" s="106"/>
      <c r="W5609" s="106"/>
      <c r="X5609" s="420"/>
      <c r="Y5609" s="420"/>
    </row>
    <row r="5610" spans="17:25">
      <c r="Q5610" s="308"/>
      <c r="R5610" s="309"/>
      <c r="S5610" s="210"/>
      <c r="T5610" s="310"/>
      <c r="U5610" s="106"/>
      <c r="V5610" s="106"/>
      <c r="W5610" s="106"/>
      <c r="X5610" s="420"/>
      <c r="Y5610" s="420"/>
    </row>
    <row r="5611" spans="17:25">
      <c r="Q5611" s="308"/>
      <c r="R5611" s="309"/>
      <c r="S5611" s="210"/>
      <c r="T5611" s="310"/>
      <c r="U5611" s="106"/>
      <c r="V5611" s="106"/>
      <c r="W5611" s="106"/>
      <c r="X5611" s="420"/>
      <c r="Y5611" s="420"/>
    </row>
    <row r="5612" spans="17:25">
      <c r="Q5612" s="308"/>
      <c r="R5612" s="309"/>
      <c r="S5612" s="210"/>
      <c r="T5612" s="310"/>
      <c r="U5612" s="106"/>
      <c r="V5612" s="106"/>
      <c r="W5612" s="106"/>
      <c r="X5612" s="420"/>
      <c r="Y5612" s="420"/>
    </row>
    <row r="5613" spans="17:25">
      <c r="Q5613" s="308"/>
      <c r="R5613" s="309"/>
      <c r="S5613" s="210"/>
      <c r="T5613" s="310"/>
      <c r="U5613" s="106"/>
      <c r="V5613" s="106"/>
      <c r="W5613" s="106"/>
      <c r="X5613" s="420"/>
      <c r="Y5613" s="420"/>
    </row>
    <row r="5614" spans="17:25">
      <c r="Q5614" s="308"/>
      <c r="R5614" s="309"/>
      <c r="S5614" s="210"/>
      <c r="T5614" s="310"/>
      <c r="U5614" s="106"/>
      <c r="V5614" s="106"/>
      <c r="W5614" s="106"/>
      <c r="X5614" s="420"/>
      <c r="Y5614" s="420"/>
    </row>
    <row r="5615" spans="17:25">
      <c r="Q5615" s="308"/>
      <c r="R5615" s="309"/>
      <c r="S5615" s="210"/>
      <c r="T5615" s="310"/>
      <c r="U5615" s="106"/>
      <c r="V5615" s="106"/>
      <c r="W5615" s="106"/>
      <c r="X5615" s="420"/>
      <c r="Y5615" s="420"/>
    </row>
    <row r="5616" spans="17:25">
      <c r="Q5616" s="308"/>
      <c r="R5616" s="309"/>
      <c r="S5616" s="210"/>
      <c r="T5616" s="310"/>
      <c r="U5616" s="106"/>
      <c r="V5616" s="106"/>
      <c r="W5616" s="106"/>
      <c r="X5616" s="420"/>
      <c r="Y5616" s="420"/>
    </row>
    <row r="5617" spans="17:25">
      <c r="Q5617" s="308"/>
      <c r="R5617" s="309"/>
      <c r="S5617" s="210"/>
      <c r="T5617" s="310"/>
      <c r="U5617" s="106"/>
      <c r="V5617" s="106"/>
      <c r="W5617" s="106"/>
      <c r="X5617" s="420"/>
      <c r="Y5617" s="420"/>
    </row>
    <row r="5618" spans="17:25">
      <c r="Q5618" s="308"/>
      <c r="R5618" s="309"/>
      <c r="S5618" s="210"/>
      <c r="T5618" s="310"/>
      <c r="U5618" s="106"/>
      <c r="V5618" s="106"/>
      <c r="W5618" s="106"/>
      <c r="X5618" s="420"/>
      <c r="Y5618" s="420"/>
    </row>
    <row r="5619" spans="17:25">
      <c r="Q5619" s="308"/>
      <c r="R5619" s="309"/>
      <c r="S5619" s="210"/>
      <c r="T5619" s="310"/>
      <c r="U5619" s="106"/>
      <c r="V5619" s="106"/>
      <c r="W5619" s="106"/>
      <c r="X5619" s="420"/>
      <c r="Y5619" s="420"/>
    </row>
    <row r="5620" spans="17:25">
      <c r="Q5620" s="308"/>
      <c r="R5620" s="309"/>
      <c r="S5620" s="210"/>
      <c r="T5620" s="310"/>
      <c r="U5620" s="106"/>
      <c r="V5620" s="106"/>
      <c r="W5620" s="106"/>
      <c r="X5620" s="420"/>
      <c r="Y5620" s="420"/>
    </row>
    <row r="5621" spans="17:25">
      <c r="Q5621" s="308"/>
      <c r="R5621" s="309"/>
      <c r="S5621" s="210"/>
      <c r="T5621" s="310"/>
      <c r="U5621" s="106"/>
      <c r="V5621" s="106"/>
      <c r="W5621" s="106"/>
      <c r="X5621" s="420"/>
      <c r="Y5621" s="420"/>
    </row>
    <row r="5622" spans="17:25">
      <c r="Q5622" s="308"/>
      <c r="R5622" s="309"/>
      <c r="S5622" s="210"/>
      <c r="T5622" s="310"/>
      <c r="U5622" s="106"/>
      <c r="V5622" s="106"/>
      <c r="W5622" s="106"/>
      <c r="X5622" s="420"/>
      <c r="Y5622" s="420"/>
    </row>
    <row r="5623" spans="17:25">
      <c r="Q5623" s="308"/>
      <c r="R5623" s="309"/>
      <c r="S5623" s="210"/>
      <c r="T5623" s="310"/>
      <c r="U5623" s="106"/>
      <c r="V5623" s="106"/>
      <c r="W5623" s="106"/>
      <c r="X5623" s="420"/>
      <c r="Y5623" s="420"/>
    </row>
    <row r="5624" spans="17:25">
      <c r="Q5624" s="308"/>
      <c r="R5624" s="309"/>
      <c r="S5624" s="210"/>
      <c r="T5624" s="310"/>
      <c r="U5624" s="106"/>
      <c r="V5624" s="106"/>
      <c r="W5624" s="106"/>
      <c r="X5624" s="420"/>
      <c r="Y5624" s="420"/>
    </row>
    <row r="5625" spans="17:25">
      <c r="Q5625" s="308"/>
      <c r="R5625" s="309"/>
      <c r="S5625" s="210"/>
      <c r="T5625" s="310"/>
      <c r="U5625" s="106"/>
      <c r="V5625" s="106"/>
      <c r="W5625" s="106"/>
      <c r="X5625" s="420"/>
      <c r="Y5625" s="420"/>
    </row>
    <row r="5626" spans="17:25">
      <c r="Q5626" s="308"/>
      <c r="R5626" s="309"/>
      <c r="S5626" s="210"/>
      <c r="T5626" s="310"/>
      <c r="U5626" s="106"/>
      <c r="V5626" s="106"/>
      <c r="W5626" s="106"/>
      <c r="X5626" s="420"/>
      <c r="Y5626" s="420"/>
    </row>
    <row r="5627" spans="17:25">
      <c r="Q5627" s="308"/>
      <c r="R5627" s="309"/>
      <c r="S5627" s="210"/>
      <c r="T5627" s="310"/>
      <c r="U5627" s="106"/>
      <c r="V5627" s="106"/>
      <c r="W5627" s="106"/>
      <c r="X5627" s="420"/>
      <c r="Y5627" s="420"/>
    </row>
    <row r="5628" spans="17:25">
      <c r="Q5628" s="308"/>
      <c r="R5628" s="309"/>
      <c r="S5628" s="210"/>
      <c r="T5628" s="310"/>
      <c r="U5628" s="106"/>
      <c r="V5628" s="106"/>
      <c r="W5628" s="106"/>
      <c r="X5628" s="420"/>
      <c r="Y5628" s="420"/>
    </row>
    <row r="5629" spans="17:25">
      <c r="Q5629" s="308"/>
      <c r="R5629" s="309"/>
      <c r="S5629" s="210"/>
      <c r="T5629" s="310"/>
      <c r="U5629" s="106"/>
      <c r="V5629" s="106"/>
      <c r="W5629" s="106"/>
      <c r="X5629" s="420"/>
      <c r="Y5629" s="420"/>
    </row>
    <row r="5630" spans="17:25">
      <c r="Q5630" s="308"/>
      <c r="R5630" s="309"/>
      <c r="S5630" s="210"/>
      <c r="T5630" s="310"/>
      <c r="U5630" s="106"/>
      <c r="V5630" s="106"/>
      <c r="W5630" s="106"/>
      <c r="X5630" s="420"/>
      <c r="Y5630" s="420"/>
    </row>
    <row r="5631" spans="17:25">
      <c r="Q5631" s="308"/>
      <c r="R5631" s="309"/>
      <c r="S5631" s="210"/>
      <c r="T5631" s="310"/>
      <c r="U5631" s="106"/>
      <c r="V5631" s="106"/>
      <c r="W5631" s="106"/>
      <c r="X5631" s="420"/>
      <c r="Y5631" s="420"/>
    </row>
    <row r="5632" spans="17:25">
      <c r="Q5632" s="308"/>
      <c r="R5632" s="309"/>
      <c r="S5632" s="210"/>
      <c r="T5632" s="310"/>
      <c r="U5632" s="106"/>
      <c r="V5632" s="106"/>
      <c r="W5632" s="106"/>
      <c r="X5632" s="420"/>
      <c r="Y5632" s="420"/>
    </row>
    <row r="5633" spans="17:25">
      <c r="Q5633" s="308"/>
      <c r="R5633" s="309"/>
      <c r="S5633" s="210"/>
      <c r="T5633" s="310"/>
      <c r="U5633" s="106"/>
      <c r="V5633" s="106"/>
      <c r="W5633" s="106"/>
      <c r="X5633" s="420"/>
      <c r="Y5633" s="420"/>
    </row>
    <row r="5634" spans="17:25">
      <c r="Q5634" s="308"/>
      <c r="R5634" s="309"/>
      <c r="S5634" s="210"/>
      <c r="T5634" s="310"/>
      <c r="U5634" s="106"/>
      <c r="V5634" s="106"/>
      <c r="W5634" s="106"/>
      <c r="X5634" s="420"/>
      <c r="Y5634" s="420"/>
    </row>
    <row r="5635" spans="17:25">
      <c r="Q5635" s="308"/>
      <c r="R5635" s="309"/>
      <c r="S5635" s="210"/>
      <c r="T5635" s="310"/>
      <c r="U5635" s="106"/>
      <c r="V5635" s="106"/>
      <c r="W5635" s="106"/>
      <c r="X5635" s="420"/>
      <c r="Y5635" s="420"/>
    </row>
    <row r="5636" spans="17:25">
      <c r="Q5636" s="308"/>
      <c r="R5636" s="309"/>
      <c r="S5636" s="210"/>
      <c r="T5636" s="310"/>
      <c r="U5636" s="106"/>
      <c r="V5636" s="106"/>
      <c r="W5636" s="106"/>
      <c r="X5636" s="420"/>
      <c r="Y5636" s="420"/>
    </row>
    <row r="5637" spans="17:25">
      <c r="Q5637" s="308"/>
      <c r="R5637" s="309"/>
      <c r="S5637" s="210"/>
      <c r="T5637" s="310"/>
      <c r="U5637" s="106"/>
      <c r="V5637" s="106"/>
      <c r="W5637" s="106"/>
      <c r="X5637" s="420"/>
      <c r="Y5637" s="420"/>
    </row>
    <row r="5638" spans="17:25">
      <c r="Q5638" s="308"/>
      <c r="R5638" s="309"/>
      <c r="S5638" s="210"/>
      <c r="T5638" s="310"/>
      <c r="U5638" s="106"/>
      <c r="V5638" s="106"/>
      <c r="W5638" s="106"/>
      <c r="X5638" s="420"/>
      <c r="Y5638" s="420"/>
    </row>
    <row r="5639" spans="17:25">
      <c r="Q5639" s="308"/>
      <c r="R5639" s="309"/>
      <c r="S5639" s="210"/>
      <c r="T5639" s="310"/>
      <c r="U5639" s="106"/>
      <c r="V5639" s="106"/>
      <c r="W5639" s="106"/>
      <c r="X5639" s="420"/>
      <c r="Y5639" s="420"/>
    </row>
    <row r="5640" spans="17:25">
      <c r="Q5640" s="308"/>
      <c r="R5640" s="309"/>
      <c r="S5640" s="210"/>
      <c r="T5640" s="310"/>
      <c r="U5640" s="106"/>
      <c r="V5640" s="106"/>
      <c r="W5640" s="106"/>
      <c r="X5640" s="420"/>
      <c r="Y5640" s="420"/>
    </row>
    <row r="5641" spans="17:25">
      <c r="Q5641" s="308"/>
      <c r="R5641" s="309"/>
      <c r="S5641" s="210"/>
      <c r="T5641" s="310"/>
      <c r="U5641" s="106"/>
      <c r="V5641" s="106"/>
      <c r="W5641" s="106"/>
      <c r="X5641" s="420"/>
      <c r="Y5641" s="420"/>
    </row>
    <row r="5642" spans="17:25">
      <c r="Q5642" s="308"/>
      <c r="R5642" s="309"/>
      <c r="S5642" s="210"/>
      <c r="T5642" s="310"/>
      <c r="U5642" s="106"/>
      <c r="V5642" s="106"/>
      <c r="W5642" s="106"/>
      <c r="X5642" s="420"/>
      <c r="Y5642" s="420"/>
    </row>
    <row r="5643" spans="17:25">
      <c r="Q5643" s="308"/>
      <c r="R5643" s="309"/>
      <c r="S5643" s="210"/>
      <c r="T5643" s="310"/>
      <c r="U5643" s="106"/>
      <c r="V5643" s="106"/>
      <c r="W5643" s="106"/>
      <c r="X5643" s="420"/>
      <c r="Y5643" s="420"/>
    </row>
    <row r="5644" spans="17:25">
      <c r="Q5644" s="308"/>
      <c r="R5644" s="309"/>
      <c r="S5644" s="210"/>
      <c r="T5644" s="310"/>
      <c r="U5644" s="106"/>
      <c r="V5644" s="106"/>
      <c r="W5644" s="106"/>
      <c r="X5644" s="420"/>
      <c r="Y5644" s="420"/>
    </row>
    <row r="5645" spans="17:25">
      <c r="Q5645" s="308"/>
      <c r="R5645" s="309"/>
      <c r="S5645" s="210"/>
      <c r="T5645" s="310"/>
      <c r="U5645" s="106"/>
      <c r="V5645" s="106"/>
      <c r="W5645" s="106"/>
      <c r="X5645" s="420"/>
      <c r="Y5645" s="420"/>
    </row>
    <row r="5646" spans="17:25">
      <c r="Q5646" s="308"/>
      <c r="R5646" s="309"/>
      <c r="S5646" s="210"/>
      <c r="T5646" s="310"/>
      <c r="U5646" s="106"/>
      <c r="V5646" s="106"/>
      <c r="W5646" s="106"/>
      <c r="X5646" s="420"/>
      <c r="Y5646" s="420"/>
    </row>
    <row r="5647" spans="17:25">
      <c r="Q5647" s="308"/>
      <c r="R5647" s="309"/>
      <c r="S5647" s="210"/>
      <c r="T5647" s="310"/>
      <c r="U5647" s="106"/>
      <c r="V5647" s="106"/>
      <c r="W5647" s="106"/>
      <c r="X5647" s="420"/>
      <c r="Y5647" s="420"/>
    </row>
    <row r="5648" spans="17:25">
      <c r="Q5648" s="308"/>
      <c r="R5648" s="309"/>
      <c r="S5648" s="210"/>
      <c r="T5648" s="310"/>
      <c r="U5648" s="106"/>
      <c r="V5648" s="106"/>
      <c r="W5648" s="106"/>
      <c r="X5648" s="420"/>
      <c r="Y5648" s="420"/>
    </row>
    <row r="5649" spans="17:25">
      <c r="Q5649" s="308"/>
      <c r="R5649" s="309"/>
      <c r="S5649" s="210"/>
      <c r="T5649" s="310"/>
      <c r="U5649" s="106"/>
      <c r="V5649" s="106"/>
      <c r="W5649" s="106"/>
      <c r="X5649" s="420"/>
      <c r="Y5649" s="420"/>
    </row>
    <row r="5650" spans="17:25">
      <c r="Q5650" s="308"/>
      <c r="R5650" s="309"/>
      <c r="S5650" s="210"/>
      <c r="T5650" s="310"/>
      <c r="U5650" s="106"/>
      <c r="V5650" s="106"/>
      <c r="W5650" s="106"/>
      <c r="X5650" s="420"/>
      <c r="Y5650" s="420"/>
    </row>
    <row r="5651" spans="17:25">
      <c r="Q5651" s="308"/>
      <c r="R5651" s="309"/>
      <c r="S5651" s="210"/>
      <c r="T5651" s="310"/>
      <c r="U5651" s="106"/>
      <c r="V5651" s="106"/>
      <c r="W5651" s="106"/>
      <c r="X5651" s="420"/>
      <c r="Y5651" s="420"/>
    </row>
    <row r="5652" spans="17:25">
      <c r="Q5652" s="308"/>
      <c r="R5652" s="309"/>
      <c r="S5652" s="210"/>
      <c r="T5652" s="310"/>
      <c r="U5652" s="106"/>
      <c r="V5652" s="106"/>
      <c r="W5652" s="106"/>
      <c r="X5652" s="420"/>
      <c r="Y5652" s="420"/>
    </row>
    <row r="5653" spans="17:25">
      <c r="Q5653" s="308"/>
      <c r="R5653" s="309"/>
      <c r="S5653" s="210"/>
      <c r="T5653" s="310"/>
      <c r="U5653" s="106"/>
      <c r="V5653" s="106"/>
      <c r="W5653" s="106"/>
      <c r="X5653" s="420"/>
      <c r="Y5653" s="420"/>
    </row>
    <row r="5654" spans="17:25">
      <c r="Q5654" s="308"/>
      <c r="R5654" s="309"/>
      <c r="S5654" s="210"/>
      <c r="T5654" s="310"/>
      <c r="U5654" s="106"/>
      <c r="V5654" s="106"/>
      <c r="W5654" s="106"/>
      <c r="X5654" s="420"/>
      <c r="Y5654" s="420"/>
    </row>
    <row r="5655" spans="17:25">
      <c r="Q5655" s="308"/>
      <c r="R5655" s="309"/>
      <c r="S5655" s="210"/>
      <c r="T5655" s="310"/>
      <c r="U5655" s="106"/>
      <c r="V5655" s="106"/>
      <c r="W5655" s="106"/>
      <c r="X5655" s="420"/>
      <c r="Y5655" s="420"/>
    </row>
    <row r="5656" spans="17:25">
      <c r="Q5656" s="308"/>
      <c r="R5656" s="309"/>
      <c r="S5656" s="210"/>
      <c r="T5656" s="310"/>
      <c r="U5656" s="106"/>
      <c r="V5656" s="106"/>
      <c r="W5656" s="106"/>
      <c r="X5656" s="420"/>
      <c r="Y5656" s="420"/>
    </row>
    <row r="5657" spans="17:25">
      <c r="Q5657" s="308"/>
      <c r="R5657" s="309"/>
      <c r="S5657" s="210"/>
      <c r="T5657" s="310"/>
      <c r="U5657" s="106"/>
      <c r="V5657" s="106"/>
      <c r="W5657" s="106"/>
      <c r="X5657" s="420"/>
      <c r="Y5657" s="420"/>
    </row>
    <row r="5658" spans="17:25">
      <c r="Q5658" s="308"/>
      <c r="R5658" s="309"/>
      <c r="S5658" s="210"/>
      <c r="T5658" s="310"/>
      <c r="U5658" s="106"/>
      <c r="V5658" s="106"/>
      <c r="W5658" s="106"/>
      <c r="X5658" s="420"/>
      <c r="Y5658" s="420"/>
    </row>
    <row r="5659" spans="17:25">
      <c r="Q5659" s="308"/>
      <c r="R5659" s="309"/>
      <c r="S5659" s="210"/>
      <c r="T5659" s="310"/>
      <c r="U5659" s="106"/>
      <c r="V5659" s="106"/>
      <c r="W5659" s="106"/>
      <c r="X5659" s="420"/>
      <c r="Y5659" s="420"/>
    </row>
    <row r="5660" spans="17:25">
      <c r="Q5660" s="308"/>
      <c r="R5660" s="309"/>
      <c r="S5660" s="210"/>
      <c r="T5660" s="310"/>
      <c r="U5660" s="106"/>
      <c r="V5660" s="106"/>
      <c r="W5660" s="106"/>
      <c r="X5660" s="420"/>
      <c r="Y5660" s="420"/>
    </row>
    <row r="5661" spans="17:25">
      <c r="Q5661" s="308"/>
      <c r="R5661" s="309"/>
      <c r="S5661" s="210"/>
      <c r="T5661" s="310"/>
      <c r="U5661" s="106"/>
      <c r="V5661" s="106"/>
      <c r="W5661" s="106"/>
      <c r="X5661" s="420"/>
      <c r="Y5661" s="420"/>
    </row>
    <row r="5662" spans="17:25">
      <c r="Q5662" s="308"/>
      <c r="R5662" s="309"/>
      <c r="S5662" s="210"/>
      <c r="T5662" s="310"/>
      <c r="U5662" s="106"/>
      <c r="V5662" s="106"/>
      <c r="W5662" s="106"/>
      <c r="X5662" s="420"/>
      <c r="Y5662" s="420"/>
    </row>
    <row r="5663" spans="17:25">
      <c r="Q5663" s="308"/>
      <c r="R5663" s="309"/>
      <c r="S5663" s="210"/>
      <c r="T5663" s="310"/>
      <c r="U5663" s="106"/>
      <c r="V5663" s="106"/>
      <c r="W5663" s="106"/>
      <c r="X5663" s="420"/>
      <c r="Y5663" s="420"/>
    </row>
    <row r="5664" spans="17:25">
      <c r="Q5664" s="308"/>
      <c r="R5664" s="309"/>
      <c r="S5664" s="210"/>
      <c r="T5664" s="310"/>
      <c r="U5664" s="106"/>
      <c r="V5664" s="106"/>
      <c r="W5664" s="106"/>
      <c r="X5664" s="420"/>
      <c r="Y5664" s="420"/>
    </row>
    <row r="5665" spans="17:25">
      <c r="Q5665" s="308"/>
      <c r="R5665" s="309"/>
      <c r="S5665" s="210"/>
      <c r="T5665" s="310"/>
      <c r="U5665" s="106"/>
      <c r="V5665" s="106"/>
      <c r="W5665" s="106"/>
      <c r="X5665" s="420"/>
      <c r="Y5665" s="420"/>
    </row>
    <row r="5666" spans="17:25">
      <c r="Q5666" s="308"/>
      <c r="R5666" s="309"/>
      <c r="S5666" s="210"/>
      <c r="T5666" s="310"/>
      <c r="U5666" s="106"/>
      <c r="V5666" s="106"/>
      <c r="W5666" s="106"/>
      <c r="X5666" s="420"/>
      <c r="Y5666" s="420"/>
    </row>
    <row r="5667" spans="17:25">
      <c r="Q5667" s="308"/>
      <c r="R5667" s="309"/>
      <c r="S5667" s="210"/>
      <c r="T5667" s="310"/>
      <c r="U5667" s="106"/>
      <c r="V5667" s="106"/>
      <c r="W5667" s="106"/>
      <c r="X5667" s="420"/>
      <c r="Y5667" s="420"/>
    </row>
    <row r="5668" spans="17:25">
      <c r="Q5668" s="308"/>
      <c r="R5668" s="309"/>
      <c r="S5668" s="210"/>
      <c r="T5668" s="310"/>
      <c r="U5668" s="106"/>
      <c r="V5668" s="106"/>
      <c r="W5668" s="106"/>
      <c r="X5668" s="420"/>
      <c r="Y5668" s="420"/>
    </row>
    <row r="5669" spans="17:25">
      <c r="Q5669" s="308"/>
      <c r="R5669" s="309"/>
      <c r="S5669" s="210"/>
      <c r="T5669" s="310"/>
      <c r="U5669" s="106"/>
      <c r="V5669" s="106"/>
      <c r="W5669" s="106"/>
      <c r="X5669" s="420"/>
      <c r="Y5669" s="420"/>
    </row>
    <row r="5670" spans="17:25">
      <c r="Q5670" s="308"/>
      <c r="R5670" s="309"/>
      <c r="S5670" s="210"/>
      <c r="T5670" s="310"/>
      <c r="U5670" s="106"/>
      <c r="V5670" s="106"/>
      <c r="W5670" s="106"/>
      <c r="X5670" s="420"/>
      <c r="Y5670" s="420"/>
    </row>
    <row r="5671" spans="17:25">
      <c r="Q5671" s="308"/>
      <c r="R5671" s="309"/>
      <c r="S5671" s="210"/>
      <c r="T5671" s="310"/>
      <c r="U5671" s="106"/>
      <c r="V5671" s="106"/>
      <c r="W5671" s="106"/>
      <c r="X5671" s="420"/>
      <c r="Y5671" s="420"/>
    </row>
    <row r="5672" spans="17:25">
      <c r="Q5672" s="308"/>
      <c r="R5672" s="309"/>
      <c r="S5672" s="210"/>
      <c r="T5672" s="310"/>
      <c r="U5672" s="106"/>
      <c r="V5672" s="106"/>
      <c r="W5672" s="106"/>
      <c r="X5672" s="420"/>
      <c r="Y5672" s="420"/>
    </row>
    <row r="5673" spans="17:25">
      <c r="Q5673" s="308"/>
      <c r="R5673" s="309"/>
      <c r="S5673" s="210"/>
      <c r="T5673" s="310"/>
      <c r="U5673" s="106"/>
      <c r="V5673" s="106"/>
      <c r="W5673" s="106"/>
      <c r="X5673" s="420"/>
      <c r="Y5673" s="420"/>
    </row>
    <row r="5674" spans="17:25">
      <c r="Q5674" s="308"/>
      <c r="R5674" s="309"/>
      <c r="S5674" s="210"/>
      <c r="T5674" s="310"/>
      <c r="U5674" s="106"/>
      <c r="V5674" s="106"/>
      <c r="W5674" s="106"/>
      <c r="X5674" s="420"/>
      <c r="Y5674" s="420"/>
    </row>
    <row r="5675" spans="17:25">
      <c r="Q5675" s="308"/>
      <c r="R5675" s="309"/>
      <c r="S5675" s="210"/>
      <c r="T5675" s="310"/>
      <c r="U5675" s="106"/>
      <c r="V5675" s="106"/>
      <c r="W5675" s="106"/>
      <c r="X5675" s="420"/>
      <c r="Y5675" s="420"/>
    </row>
    <row r="5676" spans="17:25">
      <c r="Q5676" s="308"/>
      <c r="R5676" s="309"/>
      <c r="S5676" s="210"/>
      <c r="T5676" s="310"/>
      <c r="U5676" s="106"/>
      <c r="V5676" s="106"/>
      <c r="W5676" s="106"/>
      <c r="X5676" s="420"/>
      <c r="Y5676" s="420"/>
    </row>
    <row r="5677" spans="17:25">
      <c r="Q5677" s="308"/>
      <c r="R5677" s="309"/>
      <c r="S5677" s="210"/>
      <c r="T5677" s="310"/>
      <c r="U5677" s="106"/>
      <c r="V5677" s="106"/>
      <c r="W5677" s="106"/>
      <c r="X5677" s="420"/>
      <c r="Y5677" s="420"/>
    </row>
    <row r="5678" spans="17:25">
      <c r="Q5678" s="308"/>
      <c r="R5678" s="309"/>
      <c r="S5678" s="210"/>
      <c r="T5678" s="310"/>
      <c r="U5678" s="106"/>
      <c r="V5678" s="106"/>
      <c r="W5678" s="106"/>
      <c r="X5678" s="420"/>
      <c r="Y5678" s="420"/>
    </row>
    <row r="5679" spans="17:25">
      <c r="Q5679" s="308"/>
      <c r="R5679" s="309"/>
      <c r="S5679" s="210"/>
      <c r="T5679" s="310"/>
      <c r="U5679" s="106"/>
      <c r="V5679" s="106"/>
      <c r="W5679" s="106"/>
      <c r="X5679" s="420"/>
      <c r="Y5679" s="420"/>
    </row>
    <row r="5680" spans="17:25">
      <c r="Q5680" s="308"/>
      <c r="R5680" s="309"/>
      <c r="S5680" s="210"/>
      <c r="T5680" s="310"/>
      <c r="U5680" s="106"/>
      <c r="V5680" s="106"/>
      <c r="W5680" s="106"/>
      <c r="X5680" s="420"/>
      <c r="Y5680" s="420"/>
    </row>
    <row r="5681" spans="17:25">
      <c r="Q5681" s="308"/>
      <c r="R5681" s="309"/>
      <c r="S5681" s="210"/>
      <c r="T5681" s="310"/>
      <c r="U5681" s="106"/>
      <c r="V5681" s="106"/>
      <c r="W5681" s="106"/>
      <c r="X5681" s="420"/>
      <c r="Y5681" s="420"/>
    </row>
    <row r="5682" spans="17:25">
      <c r="Q5682" s="308"/>
      <c r="R5682" s="309"/>
      <c r="S5682" s="210"/>
      <c r="T5682" s="310"/>
      <c r="U5682" s="106"/>
      <c r="V5682" s="106"/>
      <c r="W5682" s="106"/>
      <c r="X5682" s="420"/>
      <c r="Y5682" s="420"/>
    </row>
    <row r="5683" spans="17:25">
      <c r="Q5683" s="308"/>
      <c r="R5683" s="309"/>
      <c r="S5683" s="210"/>
      <c r="T5683" s="310"/>
      <c r="U5683" s="106"/>
      <c r="V5683" s="106"/>
      <c r="W5683" s="106"/>
      <c r="X5683" s="420"/>
      <c r="Y5683" s="420"/>
    </row>
    <row r="5684" spans="17:25">
      <c r="Q5684" s="308"/>
      <c r="R5684" s="309"/>
      <c r="S5684" s="210"/>
      <c r="T5684" s="310"/>
      <c r="U5684" s="106"/>
      <c r="V5684" s="106"/>
      <c r="W5684" s="106"/>
      <c r="X5684" s="420"/>
      <c r="Y5684" s="420"/>
    </row>
    <row r="5685" spans="17:25">
      <c r="Q5685" s="308"/>
      <c r="R5685" s="309"/>
      <c r="S5685" s="210"/>
      <c r="T5685" s="310"/>
      <c r="U5685" s="106"/>
      <c r="V5685" s="106"/>
      <c r="W5685" s="106"/>
      <c r="X5685" s="420"/>
      <c r="Y5685" s="420"/>
    </row>
    <row r="5686" spans="17:25">
      <c r="Q5686" s="308"/>
      <c r="R5686" s="309"/>
      <c r="S5686" s="210"/>
      <c r="T5686" s="310"/>
      <c r="U5686" s="106"/>
      <c r="V5686" s="106"/>
      <c r="W5686" s="106"/>
      <c r="X5686" s="420"/>
      <c r="Y5686" s="420"/>
    </row>
    <row r="5687" spans="17:25">
      <c r="Q5687" s="308"/>
      <c r="R5687" s="309"/>
      <c r="S5687" s="210"/>
      <c r="T5687" s="310"/>
      <c r="U5687" s="106"/>
      <c r="V5687" s="106"/>
      <c r="W5687" s="106"/>
      <c r="X5687" s="420"/>
      <c r="Y5687" s="420"/>
    </row>
    <row r="5688" spans="17:25">
      <c r="Q5688" s="308"/>
      <c r="R5688" s="309"/>
      <c r="S5688" s="210"/>
      <c r="T5688" s="310"/>
      <c r="U5688" s="106"/>
      <c r="V5688" s="106"/>
      <c r="W5688" s="106"/>
      <c r="X5688" s="420"/>
      <c r="Y5688" s="420"/>
    </row>
    <row r="5689" spans="17:25">
      <c r="Q5689" s="308"/>
      <c r="R5689" s="309"/>
      <c r="S5689" s="210"/>
      <c r="T5689" s="310"/>
      <c r="U5689" s="106"/>
      <c r="V5689" s="106"/>
      <c r="W5689" s="106"/>
      <c r="X5689" s="420"/>
      <c r="Y5689" s="420"/>
    </row>
    <row r="5690" spans="17:25">
      <c r="Q5690" s="308"/>
      <c r="R5690" s="309"/>
      <c r="S5690" s="210"/>
      <c r="T5690" s="310"/>
      <c r="U5690" s="106"/>
      <c r="V5690" s="106"/>
      <c r="W5690" s="106"/>
      <c r="X5690" s="420"/>
      <c r="Y5690" s="420"/>
    </row>
    <row r="5691" spans="17:25">
      <c r="Q5691" s="308"/>
      <c r="R5691" s="309"/>
      <c r="S5691" s="210"/>
      <c r="T5691" s="310"/>
      <c r="U5691" s="106"/>
      <c r="V5691" s="106"/>
      <c r="W5691" s="106"/>
      <c r="X5691" s="420"/>
      <c r="Y5691" s="420"/>
    </row>
    <row r="5692" spans="17:25">
      <c r="Q5692" s="308"/>
      <c r="R5692" s="309"/>
      <c r="S5692" s="210"/>
      <c r="T5692" s="310"/>
      <c r="U5692" s="106"/>
      <c r="V5692" s="106"/>
      <c r="W5692" s="106"/>
      <c r="X5692" s="420"/>
      <c r="Y5692" s="420"/>
    </row>
    <row r="5693" spans="17:25">
      <c r="Q5693" s="308"/>
      <c r="R5693" s="309"/>
      <c r="S5693" s="210"/>
      <c r="T5693" s="310"/>
      <c r="U5693" s="106"/>
      <c r="V5693" s="106"/>
      <c r="W5693" s="106"/>
      <c r="X5693" s="420"/>
      <c r="Y5693" s="420"/>
    </row>
    <row r="5694" spans="17:25">
      <c r="Q5694" s="308"/>
      <c r="R5694" s="309"/>
      <c r="S5694" s="210"/>
      <c r="T5694" s="310"/>
      <c r="U5694" s="106"/>
      <c r="V5694" s="106"/>
      <c r="W5694" s="106"/>
      <c r="X5694" s="420"/>
      <c r="Y5694" s="420"/>
    </row>
    <row r="5695" spans="17:25">
      <c r="Q5695" s="308"/>
      <c r="R5695" s="309"/>
      <c r="S5695" s="210"/>
      <c r="T5695" s="310"/>
      <c r="U5695" s="106"/>
      <c r="V5695" s="106"/>
      <c r="W5695" s="106"/>
      <c r="X5695" s="420"/>
      <c r="Y5695" s="420"/>
    </row>
    <row r="5696" spans="17:25">
      <c r="Q5696" s="308"/>
      <c r="R5696" s="309"/>
      <c r="S5696" s="210"/>
      <c r="T5696" s="310"/>
      <c r="U5696" s="106"/>
      <c r="V5696" s="106"/>
      <c r="W5696" s="106"/>
      <c r="X5696" s="420"/>
      <c r="Y5696" s="420"/>
    </row>
    <row r="5697" spans="17:25">
      <c r="Q5697" s="308"/>
      <c r="R5697" s="309"/>
      <c r="S5697" s="210"/>
      <c r="T5697" s="310"/>
      <c r="U5697" s="106"/>
      <c r="V5697" s="106"/>
      <c r="W5697" s="106"/>
      <c r="X5697" s="420"/>
      <c r="Y5697" s="420"/>
    </row>
    <row r="5698" spans="17:25">
      <c r="Q5698" s="308"/>
      <c r="R5698" s="309"/>
      <c r="S5698" s="210"/>
      <c r="T5698" s="310"/>
      <c r="U5698" s="106"/>
      <c r="V5698" s="106"/>
      <c r="W5698" s="106"/>
      <c r="X5698" s="420"/>
      <c r="Y5698" s="420"/>
    </row>
    <row r="5699" spans="17:25">
      <c r="Q5699" s="308"/>
      <c r="R5699" s="309"/>
      <c r="S5699" s="210"/>
      <c r="T5699" s="310"/>
      <c r="U5699" s="106"/>
      <c r="V5699" s="106"/>
      <c r="W5699" s="106"/>
      <c r="X5699" s="420"/>
      <c r="Y5699" s="420"/>
    </row>
    <row r="5700" spans="17:25">
      <c r="Q5700" s="308"/>
      <c r="R5700" s="309"/>
      <c r="S5700" s="210"/>
      <c r="T5700" s="310"/>
      <c r="U5700" s="106"/>
      <c r="V5700" s="106"/>
      <c r="W5700" s="106"/>
      <c r="X5700" s="420"/>
      <c r="Y5700" s="420"/>
    </row>
    <row r="5701" spans="17:25">
      <c r="Q5701" s="308"/>
      <c r="R5701" s="309"/>
      <c r="S5701" s="210"/>
      <c r="T5701" s="310"/>
      <c r="U5701" s="106"/>
      <c r="V5701" s="106"/>
      <c r="W5701" s="106"/>
      <c r="X5701" s="420"/>
      <c r="Y5701" s="420"/>
    </row>
    <row r="5702" spans="17:25">
      <c r="Q5702" s="308"/>
      <c r="R5702" s="309"/>
      <c r="S5702" s="210"/>
      <c r="T5702" s="310"/>
      <c r="U5702" s="106"/>
      <c r="V5702" s="106"/>
      <c r="W5702" s="106"/>
      <c r="X5702" s="420"/>
      <c r="Y5702" s="420"/>
    </row>
    <row r="5703" spans="17:25">
      <c r="Q5703" s="308"/>
      <c r="R5703" s="309"/>
      <c r="S5703" s="210"/>
      <c r="T5703" s="310"/>
      <c r="U5703" s="106"/>
      <c r="V5703" s="106"/>
      <c r="W5703" s="106"/>
      <c r="X5703" s="420"/>
      <c r="Y5703" s="420"/>
    </row>
    <row r="5704" spans="17:25">
      <c r="Q5704" s="308"/>
      <c r="R5704" s="309"/>
      <c r="S5704" s="210"/>
      <c r="T5704" s="310"/>
      <c r="U5704" s="106"/>
      <c r="V5704" s="106"/>
      <c r="W5704" s="106"/>
      <c r="X5704" s="420"/>
      <c r="Y5704" s="420"/>
    </row>
    <row r="5705" spans="17:25">
      <c r="Q5705" s="308"/>
      <c r="R5705" s="309"/>
      <c r="S5705" s="210"/>
      <c r="T5705" s="310"/>
      <c r="U5705" s="106"/>
      <c r="V5705" s="106"/>
      <c r="W5705" s="106"/>
      <c r="X5705" s="420"/>
      <c r="Y5705" s="420"/>
    </row>
    <row r="5706" spans="17:25">
      <c r="Q5706" s="308"/>
      <c r="R5706" s="309"/>
      <c r="S5706" s="210"/>
      <c r="T5706" s="310"/>
      <c r="U5706" s="106"/>
      <c r="V5706" s="106"/>
      <c r="W5706" s="106"/>
      <c r="X5706" s="420"/>
      <c r="Y5706" s="420"/>
    </row>
    <row r="5707" spans="17:25">
      <c r="Q5707" s="308"/>
      <c r="R5707" s="309"/>
      <c r="S5707" s="210"/>
      <c r="T5707" s="310"/>
      <c r="U5707" s="106"/>
      <c r="V5707" s="106"/>
      <c r="W5707" s="106"/>
      <c r="X5707" s="420"/>
      <c r="Y5707" s="420"/>
    </row>
    <row r="5708" spans="17:25">
      <c r="Q5708" s="308"/>
      <c r="R5708" s="309"/>
      <c r="S5708" s="210"/>
      <c r="T5708" s="310"/>
      <c r="U5708" s="106"/>
      <c r="V5708" s="106"/>
      <c r="W5708" s="106"/>
      <c r="X5708" s="420"/>
      <c r="Y5708" s="420"/>
    </row>
    <row r="5709" spans="17:25">
      <c r="Q5709" s="308"/>
      <c r="R5709" s="309"/>
      <c r="S5709" s="210"/>
      <c r="T5709" s="310"/>
      <c r="U5709" s="106"/>
      <c r="V5709" s="106"/>
      <c r="W5709" s="106"/>
      <c r="X5709" s="420"/>
      <c r="Y5709" s="420"/>
    </row>
    <row r="5710" spans="17:25">
      <c r="Q5710" s="308"/>
      <c r="R5710" s="309"/>
      <c r="S5710" s="210"/>
      <c r="T5710" s="310"/>
      <c r="U5710" s="106"/>
      <c r="V5710" s="106"/>
      <c r="W5710" s="106"/>
      <c r="X5710" s="420"/>
      <c r="Y5710" s="420"/>
    </row>
    <row r="5711" spans="17:25">
      <c r="Q5711" s="308"/>
      <c r="R5711" s="309"/>
      <c r="S5711" s="210"/>
      <c r="T5711" s="310"/>
      <c r="U5711" s="106"/>
      <c r="V5711" s="106"/>
      <c r="W5711" s="106"/>
      <c r="X5711" s="420"/>
      <c r="Y5711" s="420"/>
    </row>
    <row r="5712" spans="17:25">
      <c r="Q5712" s="308"/>
      <c r="R5712" s="309"/>
      <c r="S5712" s="210"/>
      <c r="T5712" s="310"/>
      <c r="U5712" s="106"/>
      <c r="V5712" s="106"/>
      <c r="W5712" s="106"/>
      <c r="X5712" s="420"/>
      <c r="Y5712" s="420"/>
    </row>
    <row r="5713" spans="17:25">
      <c r="Q5713" s="308"/>
      <c r="R5713" s="309"/>
      <c r="S5713" s="210"/>
      <c r="T5713" s="310"/>
      <c r="U5713" s="106"/>
      <c r="V5713" s="106"/>
      <c r="W5713" s="106"/>
      <c r="X5713" s="420"/>
      <c r="Y5713" s="420"/>
    </row>
    <row r="5714" spans="17:25">
      <c r="Q5714" s="308"/>
      <c r="R5714" s="309"/>
      <c r="S5714" s="210"/>
      <c r="T5714" s="310"/>
      <c r="U5714" s="106"/>
      <c r="V5714" s="106"/>
      <c r="W5714" s="106"/>
      <c r="X5714" s="420"/>
      <c r="Y5714" s="420"/>
    </row>
    <row r="5715" spans="17:25">
      <c r="Q5715" s="308"/>
      <c r="R5715" s="309"/>
      <c r="S5715" s="210"/>
      <c r="T5715" s="310"/>
      <c r="U5715" s="106"/>
      <c r="V5715" s="106"/>
      <c r="W5715" s="106"/>
      <c r="X5715" s="420"/>
      <c r="Y5715" s="420"/>
    </row>
    <row r="5716" spans="17:25">
      <c r="Q5716" s="308"/>
      <c r="R5716" s="309"/>
      <c r="S5716" s="210"/>
      <c r="T5716" s="310"/>
      <c r="U5716" s="106"/>
      <c r="V5716" s="106"/>
      <c r="W5716" s="106"/>
      <c r="X5716" s="420"/>
      <c r="Y5716" s="420"/>
    </row>
    <row r="5717" spans="17:25">
      <c r="Q5717" s="308"/>
      <c r="R5717" s="309"/>
      <c r="S5717" s="210"/>
      <c r="T5717" s="310"/>
      <c r="U5717" s="106"/>
      <c r="V5717" s="106"/>
      <c r="W5717" s="106"/>
      <c r="X5717" s="420"/>
      <c r="Y5717" s="420"/>
    </row>
    <row r="5718" spans="17:25">
      <c r="Q5718" s="308"/>
      <c r="R5718" s="309"/>
      <c r="S5718" s="210"/>
      <c r="T5718" s="310"/>
      <c r="U5718" s="106"/>
      <c r="V5718" s="106"/>
      <c r="W5718" s="106"/>
      <c r="X5718" s="420"/>
      <c r="Y5718" s="420"/>
    </row>
    <row r="5719" spans="17:25">
      <c r="Q5719" s="308"/>
      <c r="R5719" s="309"/>
      <c r="S5719" s="210"/>
      <c r="T5719" s="310"/>
      <c r="U5719" s="106"/>
      <c r="V5719" s="106"/>
      <c r="W5719" s="106"/>
      <c r="X5719" s="420"/>
      <c r="Y5719" s="420"/>
    </row>
    <row r="5720" spans="17:25">
      <c r="Q5720" s="308"/>
      <c r="R5720" s="309"/>
      <c r="S5720" s="210"/>
      <c r="T5720" s="310"/>
      <c r="U5720" s="106"/>
      <c r="V5720" s="106"/>
      <c r="W5720" s="106"/>
      <c r="X5720" s="420"/>
      <c r="Y5720" s="420"/>
    </row>
    <row r="5721" spans="17:25">
      <c r="Q5721" s="308"/>
      <c r="R5721" s="309"/>
      <c r="S5721" s="210"/>
      <c r="T5721" s="310"/>
      <c r="U5721" s="106"/>
      <c r="V5721" s="106"/>
      <c r="W5721" s="106"/>
      <c r="X5721" s="420"/>
      <c r="Y5721" s="420"/>
    </row>
    <row r="5722" spans="17:25">
      <c r="Q5722" s="308"/>
      <c r="R5722" s="309"/>
      <c r="S5722" s="210"/>
      <c r="T5722" s="310"/>
      <c r="U5722" s="106"/>
      <c r="V5722" s="106"/>
      <c r="W5722" s="106"/>
      <c r="X5722" s="420"/>
      <c r="Y5722" s="420"/>
    </row>
    <row r="5723" spans="17:25">
      <c r="Q5723" s="308"/>
      <c r="R5723" s="309"/>
      <c r="S5723" s="210"/>
      <c r="T5723" s="310"/>
      <c r="U5723" s="106"/>
      <c r="V5723" s="106"/>
      <c r="W5723" s="106"/>
      <c r="X5723" s="420"/>
      <c r="Y5723" s="420"/>
    </row>
    <row r="5724" spans="17:25">
      <c r="Q5724" s="308"/>
      <c r="R5724" s="309"/>
      <c r="S5724" s="210"/>
      <c r="T5724" s="310"/>
      <c r="U5724" s="106"/>
      <c r="V5724" s="106"/>
      <c r="W5724" s="106"/>
      <c r="X5724" s="420"/>
      <c r="Y5724" s="420"/>
    </row>
    <row r="5725" spans="17:25">
      <c r="Q5725" s="308"/>
      <c r="R5725" s="309"/>
      <c r="S5725" s="210"/>
      <c r="T5725" s="310"/>
      <c r="U5725" s="106"/>
      <c r="V5725" s="106"/>
      <c r="W5725" s="106"/>
      <c r="X5725" s="420"/>
      <c r="Y5725" s="420"/>
    </row>
    <row r="5726" spans="17:25">
      <c r="Q5726" s="308"/>
      <c r="R5726" s="309"/>
      <c r="S5726" s="210"/>
      <c r="T5726" s="310"/>
      <c r="U5726" s="106"/>
      <c r="V5726" s="106"/>
      <c r="W5726" s="106"/>
      <c r="X5726" s="420"/>
      <c r="Y5726" s="420"/>
    </row>
    <row r="5727" spans="17:25">
      <c r="Q5727" s="308"/>
      <c r="R5727" s="309"/>
      <c r="S5727" s="210"/>
      <c r="T5727" s="310"/>
      <c r="U5727" s="106"/>
      <c r="V5727" s="106"/>
      <c r="W5727" s="106"/>
      <c r="X5727" s="420"/>
      <c r="Y5727" s="420"/>
    </row>
    <row r="5728" spans="17:25">
      <c r="Q5728" s="308"/>
      <c r="R5728" s="309"/>
      <c r="S5728" s="210"/>
      <c r="T5728" s="310"/>
      <c r="U5728" s="106"/>
      <c r="V5728" s="106"/>
      <c r="W5728" s="106"/>
      <c r="X5728" s="420"/>
      <c r="Y5728" s="420"/>
    </row>
    <row r="5729" spans="17:25">
      <c r="Q5729" s="308"/>
      <c r="R5729" s="309"/>
      <c r="S5729" s="210"/>
      <c r="T5729" s="310"/>
      <c r="U5729" s="106"/>
      <c r="V5729" s="106"/>
      <c r="W5729" s="106"/>
      <c r="X5729" s="420"/>
      <c r="Y5729" s="420"/>
    </row>
    <row r="5730" spans="17:25">
      <c r="Q5730" s="308"/>
      <c r="R5730" s="309"/>
      <c r="S5730" s="210"/>
      <c r="T5730" s="310"/>
      <c r="U5730" s="106"/>
      <c r="V5730" s="106"/>
      <c r="W5730" s="106"/>
      <c r="X5730" s="420"/>
      <c r="Y5730" s="420"/>
    </row>
    <row r="5731" spans="17:25">
      <c r="Q5731" s="308"/>
      <c r="R5731" s="309"/>
      <c r="S5731" s="210"/>
      <c r="T5731" s="310"/>
      <c r="U5731" s="106"/>
      <c r="V5731" s="106"/>
      <c r="W5731" s="106"/>
      <c r="X5731" s="420"/>
      <c r="Y5731" s="420"/>
    </row>
    <row r="5732" spans="17:25">
      <c r="Q5732" s="308"/>
      <c r="R5732" s="309"/>
      <c r="S5732" s="210"/>
      <c r="T5732" s="310"/>
      <c r="U5732" s="106"/>
      <c r="V5732" s="106"/>
      <c r="W5732" s="106"/>
      <c r="X5732" s="420"/>
      <c r="Y5732" s="420"/>
    </row>
    <row r="5733" spans="17:25">
      <c r="Q5733" s="308"/>
      <c r="R5733" s="309"/>
      <c r="S5733" s="210"/>
      <c r="T5733" s="310"/>
      <c r="U5733" s="106"/>
      <c r="V5733" s="106"/>
      <c r="W5733" s="106"/>
      <c r="X5733" s="420"/>
      <c r="Y5733" s="420"/>
    </row>
    <row r="5734" spans="17:25">
      <c r="Q5734" s="308"/>
      <c r="R5734" s="309"/>
      <c r="S5734" s="210"/>
      <c r="T5734" s="310"/>
      <c r="U5734" s="106"/>
      <c r="V5734" s="106"/>
      <c r="W5734" s="106"/>
      <c r="X5734" s="420"/>
      <c r="Y5734" s="420"/>
    </row>
    <row r="5735" spans="17:25">
      <c r="Q5735" s="308"/>
      <c r="R5735" s="309"/>
      <c r="S5735" s="210"/>
      <c r="T5735" s="310"/>
      <c r="U5735" s="106"/>
      <c r="V5735" s="106"/>
      <c r="W5735" s="106"/>
      <c r="X5735" s="420"/>
      <c r="Y5735" s="420"/>
    </row>
    <row r="5736" spans="17:25">
      <c r="Q5736" s="308"/>
      <c r="R5736" s="309"/>
      <c r="S5736" s="210"/>
      <c r="T5736" s="310"/>
      <c r="U5736" s="106"/>
      <c r="V5736" s="106"/>
      <c r="W5736" s="106"/>
      <c r="X5736" s="420"/>
      <c r="Y5736" s="420"/>
    </row>
    <row r="5737" spans="17:25">
      <c r="Q5737" s="308"/>
      <c r="R5737" s="309"/>
      <c r="S5737" s="210"/>
      <c r="T5737" s="310"/>
      <c r="U5737" s="106"/>
      <c r="V5737" s="106"/>
      <c r="W5737" s="106"/>
      <c r="X5737" s="420"/>
      <c r="Y5737" s="420"/>
    </row>
    <row r="5738" spans="17:25">
      <c r="Q5738" s="308"/>
      <c r="R5738" s="309"/>
      <c r="S5738" s="210"/>
      <c r="T5738" s="310"/>
      <c r="U5738" s="106"/>
      <c r="V5738" s="106"/>
      <c r="W5738" s="106"/>
      <c r="X5738" s="420"/>
      <c r="Y5738" s="420"/>
    </row>
    <row r="5739" spans="17:25">
      <c r="Q5739" s="308"/>
      <c r="R5739" s="309"/>
      <c r="S5739" s="210"/>
      <c r="T5739" s="310"/>
      <c r="U5739" s="106"/>
      <c r="V5739" s="106"/>
      <c r="W5739" s="106"/>
      <c r="X5739" s="420"/>
      <c r="Y5739" s="420"/>
    </row>
    <row r="5740" spans="17:25">
      <c r="Q5740" s="308"/>
      <c r="R5740" s="309"/>
      <c r="S5740" s="210"/>
      <c r="T5740" s="310"/>
      <c r="U5740" s="106"/>
      <c r="V5740" s="106"/>
      <c r="W5740" s="106"/>
      <c r="X5740" s="420"/>
      <c r="Y5740" s="420"/>
    </row>
    <row r="5741" spans="17:25">
      <c r="Q5741" s="308"/>
      <c r="R5741" s="309"/>
      <c r="S5741" s="210"/>
      <c r="T5741" s="310"/>
      <c r="U5741" s="106"/>
      <c r="V5741" s="106"/>
      <c r="W5741" s="106"/>
      <c r="X5741" s="420"/>
      <c r="Y5741" s="420"/>
    </row>
    <row r="5742" spans="17:25">
      <c r="Q5742" s="308"/>
      <c r="R5742" s="309"/>
      <c r="S5742" s="210"/>
      <c r="T5742" s="310"/>
      <c r="U5742" s="106"/>
      <c r="V5742" s="106"/>
      <c r="W5742" s="106"/>
      <c r="X5742" s="420"/>
      <c r="Y5742" s="420"/>
    </row>
    <row r="5743" spans="17:25">
      <c r="Q5743" s="308"/>
      <c r="R5743" s="309"/>
      <c r="S5743" s="210"/>
      <c r="T5743" s="310"/>
      <c r="U5743" s="106"/>
      <c r="V5743" s="106"/>
      <c r="W5743" s="106"/>
      <c r="X5743" s="420"/>
      <c r="Y5743" s="420"/>
    </row>
    <row r="5744" spans="17:25">
      <c r="Q5744" s="308"/>
      <c r="R5744" s="309"/>
      <c r="S5744" s="210"/>
      <c r="T5744" s="310"/>
      <c r="U5744" s="106"/>
      <c r="V5744" s="106"/>
      <c r="W5744" s="106"/>
      <c r="X5744" s="420"/>
      <c r="Y5744" s="420"/>
    </row>
    <row r="5745" spans="17:25">
      <c r="Q5745" s="308"/>
      <c r="R5745" s="309"/>
      <c r="S5745" s="210"/>
      <c r="T5745" s="310"/>
      <c r="U5745" s="106"/>
      <c r="V5745" s="106"/>
      <c r="W5745" s="106"/>
      <c r="X5745" s="420"/>
      <c r="Y5745" s="420"/>
    </row>
    <row r="5746" spans="17:25">
      <c r="Q5746" s="308"/>
      <c r="R5746" s="309"/>
      <c r="S5746" s="210"/>
      <c r="T5746" s="310"/>
      <c r="U5746" s="106"/>
      <c r="V5746" s="106"/>
      <c r="W5746" s="106"/>
      <c r="X5746" s="420"/>
      <c r="Y5746" s="420"/>
    </row>
    <row r="5747" spans="17:25">
      <c r="Q5747" s="308"/>
      <c r="R5747" s="309"/>
      <c r="S5747" s="210"/>
      <c r="T5747" s="310"/>
      <c r="U5747" s="106"/>
      <c r="V5747" s="106"/>
      <c r="W5747" s="106"/>
      <c r="X5747" s="420"/>
      <c r="Y5747" s="420"/>
    </row>
    <row r="5748" spans="17:25">
      <c r="Q5748" s="308"/>
      <c r="R5748" s="309"/>
      <c r="S5748" s="210"/>
      <c r="T5748" s="310"/>
      <c r="U5748" s="106"/>
      <c r="V5748" s="106"/>
      <c r="W5748" s="106"/>
      <c r="X5748" s="420"/>
      <c r="Y5748" s="420"/>
    </row>
    <row r="5749" spans="17:25">
      <c r="Q5749" s="308"/>
      <c r="R5749" s="309"/>
      <c r="S5749" s="210"/>
      <c r="T5749" s="310"/>
      <c r="U5749" s="106"/>
      <c r="V5749" s="106"/>
      <c r="W5749" s="106"/>
      <c r="X5749" s="420"/>
      <c r="Y5749" s="420"/>
    </row>
    <row r="5750" spans="17:25">
      <c r="Q5750" s="308"/>
      <c r="R5750" s="309"/>
      <c r="S5750" s="210"/>
      <c r="T5750" s="310"/>
      <c r="U5750" s="106"/>
      <c r="V5750" s="106"/>
      <c r="W5750" s="106"/>
      <c r="X5750" s="420"/>
      <c r="Y5750" s="420"/>
    </row>
    <row r="5751" spans="17:25">
      <c r="Q5751" s="308"/>
      <c r="R5751" s="309"/>
      <c r="S5751" s="210"/>
      <c r="T5751" s="310"/>
      <c r="U5751" s="106"/>
      <c r="V5751" s="106"/>
      <c r="W5751" s="106"/>
      <c r="X5751" s="420"/>
      <c r="Y5751" s="420"/>
    </row>
    <row r="5752" spans="17:25">
      <c r="Q5752" s="308"/>
      <c r="R5752" s="309"/>
      <c r="S5752" s="210"/>
      <c r="T5752" s="310"/>
      <c r="U5752" s="106"/>
      <c r="V5752" s="106"/>
      <c r="W5752" s="106"/>
      <c r="X5752" s="420"/>
      <c r="Y5752" s="420"/>
    </row>
    <row r="5753" spans="17:25">
      <c r="Q5753" s="308"/>
      <c r="R5753" s="309"/>
      <c r="S5753" s="210"/>
      <c r="T5753" s="310"/>
      <c r="U5753" s="106"/>
      <c r="V5753" s="106"/>
      <c r="W5753" s="106"/>
      <c r="X5753" s="420"/>
      <c r="Y5753" s="420"/>
    </row>
    <row r="5754" spans="17:25">
      <c r="Q5754" s="308"/>
      <c r="R5754" s="309"/>
      <c r="S5754" s="210"/>
      <c r="T5754" s="310"/>
      <c r="U5754" s="106"/>
      <c r="V5754" s="106"/>
      <c r="W5754" s="106"/>
      <c r="X5754" s="420"/>
      <c r="Y5754" s="420"/>
    </row>
    <row r="5755" spans="17:25">
      <c r="Q5755" s="308"/>
      <c r="R5755" s="309"/>
      <c r="S5755" s="210"/>
      <c r="T5755" s="310"/>
      <c r="U5755" s="106"/>
      <c r="V5755" s="106"/>
      <c r="W5755" s="106"/>
      <c r="X5755" s="420"/>
      <c r="Y5755" s="420"/>
    </row>
    <row r="5756" spans="17:25">
      <c r="Q5756" s="308"/>
      <c r="R5756" s="309"/>
      <c r="S5756" s="210"/>
      <c r="T5756" s="310"/>
      <c r="U5756" s="106"/>
      <c r="V5756" s="106"/>
      <c r="W5756" s="106"/>
      <c r="X5756" s="420"/>
      <c r="Y5756" s="420"/>
    </row>
    <row r="5757" spans="17:25">
      <c r="Q5757" s="308"/>
      <c r="R5757" s="309"/>
      <c r="S5757" s="210"/>
      <c r="T5757" s="310"/>
      <c r="U5757" s="106"/>
      <c r="V5757" s="106"/>
      <c r="W5757" s="106"/>
      <c r="X5757" s="420"/>
      <c r="Y5757" s="420"/>
    </row>
    <row r="5758" spans="17:25">
      <c r="Q5758" s="308"/>
      <c r="R5758" s="309"/>
      <c r="S5758" s="210"/>
      <c r="T5758" s="310"/>
      <c r="U5758" s="106"/>
      <c r="V5758" s="106"/>
      <c r="W5758" s="106"/>
      <c r="X5758" s="420"/>
      <c r="Y5758" s="420"/>
    </row>
    <row r="5759" spans="17:25">
      <c r="Q5759" s="308"/>
      <c r="R5759" s="309"/>
      <c r="S5759" s="210"/>
      <c r="T5759" s="310"/>
      <c r="U5759" s="106"/>
      <c r="V5759" s="106"/>
      <c r="W5759" s="106"/>
      <c r="X5759" s="420"/>
      <c r="Y5759" s="420"/>
    </row>
    <row r="5760" spans="17:25">
      <c r="Q5760" s="308"/>
      <c r="R5760" s="309"/>
      <c r="S5760" s="210"/>
      <c r="T5760" s="310"/>
      <c r="U5760" s="106"/>
      <c r="V5760" s="106"/>
      <c r="W5760" s="106"/>
      <c r="X5760" s="420"/>
      <c r="Y5760" s="420"/>
    </row>
    <row r="5761" spans="17:25">
      <c r="Q5761" s="308"/>
      <c r="R5761" s="309"/>
      <c r="S5761" s="210"/>
      <c r="T5761" s="310"/>
      <c r="U5761" s="106"/>
      <c r="V5761" s="106"/>
      <c r="W5761" s="106"/>
      <c r="X5761" s="420"/>
      <c r="Y5761" s="420"/>
    </row>
    <row r="5762" spans="17:25">
      <c r="Q5762" s="308"/>
      <c r="R5762" s="309"/>
      <c r="S5762" s="210"/>
      <c r="T5762" s="310"/>
      <c r="U5762" s="106"/>
      <c r="V5762" s="106"/>
      <c r="W5762" s="106"/>
      <c r="X5762" s="420"/>
      <c r="Y5762" s="420"/>
    </row>
    <row r="5763" spans="17:25">
      <c r="Q5763" s="308"/>
      <c r="R5763" s="309"/>
      <c r="S5763" s="210"/>
      <c r="T5763" s="310"/>
      <c r="U5763" s="106"/>
      <c r="V5763" s="106"/>
      <c r="W5763" s="106"/>
      <c r="X5763" s="420"/>
      <c r="Y5763" s="420"/>
    </row>
    <row r="5764" spans="17:25">
      <c r="Q5764" s="308"/>
      <c r="R5764" s="309"/>
      <c r="S5764" s="210"/>
      <c r="T5764" s="310"/>
      <c r="U5764" s="106"/>
      <c r="V5764" s="106"/>
      <c r="W5764" s="106"/>
      <c r="X5764" s="420"/>
      <c r="Y5764" s="420"/>
    </row>
    <row r="5765" spans="17:25">
      <c r="Q5765" s="308"/>
      <c r="R5765" s="309"/>
      <c r="S5765" s="210"/>
      <c r="T5765" s="310"/>
      <c r="U5765" s="106"/>
      <c r="V5765" s="106"/>
      <c r="W5765" s="106"/>
      <c r="X5765" s="420"/>
      <c r="Y5765" s="420"/>
    </row>
    <row r="5766" spans="17:25">
      <c r="Q5766" s="308"/>
      <c r="R5766" s="309"/>
      <c r="S5766" s="210"/>
      <c r="T5766" s="310"/>
      <c r="U5766" s="106"/>
      <c r="V5766" s="106"/>
      <c r="W5766" s="106"/>
      <c r="X5766" s="420"/>
      <c r="Y5766" s="420"/>
    </row>
    <row r="5767" spans="17:25">
      <c r="Q5767" s="308"/>
      <c r="R5767" s="309"/>
      <c r="S5767" s="210"/>
      <c r="T5767" s="310"/>
      <c r="U5767" s="106"/>
      <c r="V5767" s="106"/>
      <c r="W5767" s="106"/>
      <c r="X5767" s="420"/>
      <c r="Y5767" s="420"/>
    </row>
    <row r="5768" spans="17:25">
      <c r="Q5768" s="308"/>
      <c r="R5768" s="309"/>
      <c r="S5768" s="210"/>
      <c r="T5768" s="310"/>
      <c r="U5768" s="106"/>
      <c r="V5768" s="106"/>
      <c r="W5768" s="106"/>
      <c r="X5768" s="420"/>
      <c r="Y5768" s="420"/>
    </row>
    <row r="5769" spans="17:25">
      <c r="Q5769" s="308"/>
      <c r="R5769" s="309"/>
      <c r="S5769" s="210"/>
      <c r="T5769" s="310"/>
      <c r="U5769" s="106"/>
      <c r="V5769" s="106"/>
      <c r="W5769" s="106"/>
      <c r="X5769" s="420"/>
      <c r="Y5769" s="420"/>
    </row>
    <row r="5770" spans="17:25">
      <c r="Q5770" s="308"/>
      <c r="R5770" s="309"/>
      <c r="S5770" s="210"/>
      <c r="T5770" s="310"/>
      <c r="U5770" s="106"/>
      <c r="V5770" s="106"/>
      <c r="W5770" s="106"/>
      <c r="X5770" s="420"/>
      <c r="Y5770" s="420"/>
    </row>
    <row r="5771" spans="17:25">
      <c r="Q5771" s="308"/>
      <c r="R5771" s="309"/>
      <c r="S5771" s="210"/>
      <c r="T5771" s="310"/>
      <c r="U5771" s="106"/>
      <c r="V5771" s="106"/>
      <c r="W5771" s="106"/>
      <c r="X5771" s="420"/>
      <c r="Y5771" s="420"/>
    </row>
    <row r="5772" spans="17:25">
      <c r="Q5772" s="308"/>
      <c r="R5772" s="309"/>
      <c r="S5772" s="210"/>
      <c r="T5772" s="310"/>
      <c r="U5772" s="106"/>
      <c r="V5772" s="106"/>
      <c r="W5772" s="106"/>
      <c r="X5772" s="420"/>
      <c r="Y5772" s="420"/>
    </row>
    <row r="5773" spans="17:25">
      <c r="Q5773" s="308"/>
      <c r="R5773" s="309"/>
      <c r="S5773" s="210"/>
      <c r="T5773" s="310"/>
      <c r="U5773" s="106"/>
      <c r="V5773" s="106"/>
      <c r="W5773" s="106"/>
      <c r="X5773" s="420"/>
      <c r="Y5773" s="420"/>
    </row>
    <row r="5774" spans="17:25">
      <c r="Q5774" s="308"/>
      <c r="R5774" s="309"/>
      <c r="S5774" s="210"/>
      <c r="T5774" s="310"/>
      <c r="U5774" s="106"/>
      <c r="V5774" s="106"/>
      <c r="W5774" s="106"/>
      <c r="X5774" s="420"/>
      <c r="Y5774" s="420"/>
    </row>
    <row r="5775" spans="17:25">
      <c r="Q5775" s="308"/>
      <c r="R5775" s="309"/>
      <c r="S5775" s="210"/>
      <c r="T5775" s="310"/>
      <c r="U5775" s="106"/>
      <c r="V5775" s="106"/>
      <c r="W5775" s="106"/>
      <c r="X5775" s="420"/>
      <c r="Y5775" s="420"/>
    </row>
    <row r="5776" spans="17:25">
      <c r="Q5776" s="308"/>
      <c r="R5776" s="309"/>
      <c r="S5776" s="210"/>
      <c r="T5776" s="310"/>
      <c r="U5776" s="106"/>
      <c r="V5776" s="106"/>
      <c r="W5776" s="106"/>
      <c r="X5776" s="420"/>
      <c r="Y5776" s="420"/>
    </row>
    <row r="5777" spans="17:25">
      <c r="Q5777" s="308"/>
      <c r="R5777" s="309"/>
      <c r="S5777" s="210"/>
      <c r="T5777" s="310"/>
      <c r="U5777" s="106"/>
      <c r="V5777" s="106"/>
      <c r="W5777" s="106"/>
      <c r="X5777" s="420"/>
      <c r="Y5777" s="420"/>
    </row>
    <row r="5778" spans="17:25">
      <c r="Q5778" s="308"/>
      <c r="R5778" s="309"/>
      <c r="S5778" s="210"/>
      <c r="T5778" s="310"/>
      <c r="U5778" s="106"/>
      <c r="V5778" s="106"/>
      <c r="W5778" s="106"/>
      <c r="X5778" s="420"/>
      <c r="Y5778" s="420"/>
    </row>
    <row r="5779" spans="17:25">
      <c r="Q5779" s="308"/>
      <c r="R5779" s="309"/>
      <c r="S5779" s="210"/>
      <c r="T5779" s="310"/>
      <c r="U5779" s="106"/>
      <c r="V5779" s="106"/>
      <c r="W5779" s="106"/>
      <c r="X5779" s="420"/>
      <c r="Y5779" s="420"/>
    </row>
    <row r="5780" spans="17:25">
      <c r="Q5780" s="308"/>
      <c r="R5780" s="309"/>
      <c r="S5780" s="210"/>
      <c r="T5780" s="310"/>
      <c r="U5780" s="106"/>
      <c r="V5780" s="106"/>
      <c r="W5780" s="106"/>
      <c r="X5780" s="420"/>
      <c r="Y5780" s="420"/>
    </row>
    <row r="5781" spans="17:25">
      <c r="Q5781" s="308"/>
      <c r="R5781" s="309"/>
      <c r="S5781" s="210"/>
      <c r="T5781" s="310"/>
      <c r="U5781" s="106"/>
      <c r="V5781" s="106"/>
      <c r="W5781" s="106"/>
      <c r="X5781" s="420"/>
      <c r="Y5781" s="420"/>
    </row>
    <row r="5782" spans="17:25">
      <c r="Q5782" s="308"/>
      <c r="R5782" s="309"/>
      <c r="S5782" s="210"/>
      <c r="T5782" s="310"/>
      <c r="U5782" s="106"/>
      <c r="V5782" s="106"/>
      <c r="W5782" s="106"/>
      <c r="X5782" s="420"/>
      <c r="Y5782" s="420"/>
    </row>
    <row r="5783" spans="17:25">
      <c r="Q5783" s="308"/>
      <c r="R5783" s="309"/>
      <c r="S5783" s="210"/>
      <c r="T5783" s="310"/>
      <c r="U5783" s="106"/>
      <c r="V5783" s="106"/>
      <c r="W5783" s="106"/>
      <c r="X5783" s="420"/>
      <c r="Y5783" s="420"/>
    </row>
    <row r="5784" spans="17:25">
      <c r="Q5784" s="308"/>
      <c r="R5784" s="309"/>
      <c r="S5784" s="210"/>
      <c r="T5784" s="310"/>
      <c r="U5784" s="106"/>
      <c r="V5784" s="106"/>
      <c r="W5784" s="106"/>
      <c r="X5784" s="420"/>
      <c r="Y5784" s="420"/>
    </row>
    <row r="5785" spans="17:25">
      <c r="Q5785" s="308"/>
      <c r="R5785" s="309"/>
      <c r="S5785" s="210"/>
      <c r="T5785" s="310"/>
      <c r="U5785" s="106"/>
      <c r="V5785" s="106"/>
      <c r="W5785" s="106"/>
      <c r="X5785" s="420"/>
      <c r="Y5785" s="420"/>
    </row>
    <row r="5786" spans="17:25">
      <c r="Q5786" s="308"/>
      <c r="R5786" s="309"/>
      <c r="S5786" s="210"/>
      <c r="T5786" s="310"/>
      <c r="U5786" s="106"/>
      <c r="V5786" s="106"/>
      <c r="W5786" s="106"/>
      <c r="X5786" s="420"/>
      <c r="Y5786" s="420"/>
    </row>
    <row r="5787" spans="17:25">
      <c r="Q5787" s="308"/>
      <c r="R5787" s="309"/>
      <c r="S5787" s="210"/>
      <c r="T5787" s="310"/>
      <c r="U5787" s="106"/>
      <c r="V5787" s="106"/>
      <c r="W5787" s="106"/>
      <c r="X5787" s="420"/>
      <c r="Y5787" s="420"/>
    </row>
    <row r="5788" spans="17:25">
      <c r="Q5788" s="308"/>
      <c r="R5788" s="309"/>
      <c r="S5788" s="210"/>
      <c r="T5788" s="310"/>
      <c r="U5788" s="106"/>
      <c r="V5788" s="106"/>
      <c r="W5788" s="106"/>
      <c r="X5788" s="420"/>
      <c r="Y5788" s="420"/>
    </row>
    <row r="5789" spans="17:25">
      <c r="Q5789" s="308"/>
      <c r="R5789" s="309"/>
      <c r="S5789" s="210"/>
      <c r="T5789" s="310"/>
      <c r="U5789" s="106"/>
      <c r="V5789" s="106"/>
      <c r="W5789" s="106"/>
      <c r="X5789" s="420"/>
      <c r="Y5789" s="420"/>
    </row>
    <row r="5790" spans="17:25">
      <c r="Q5790" s="308"/>
      <c r="R5790" s="309"/>
      <c r="S5790" s="210"/>
      <c r="T5790" s="310"/>
      <c r="U5790" s="106"/>
      <c r="V5790" s="106"/>
      <c r="W5790" s="106"/>
      <c r="X5790" s="420"/>
      <c r="Y5790" s="420"/>
    </row>
    <row r="5791" spans="17:25">
      <c r="Q5791" s="308"/>
      <c r="R5791" s="309"/>
      <c r="S5791" s="210"/>
      <c r="T5791" s="310"/>
      <c r="U5791" s="106"/>
      <c r="V5791" s="106"/>
      <c r="W5791" s="106"/>
      <c r="X5791" s="420"/>
      <c r="Y5791" s="420"/>
    </row>
    <row r="5792" spans="17:25">
      <c r="Q5792" s="308"/>
      <c r="R5792" s="309"/>
      <c r="S5792" s="210"/>
      <c r="T5792" s="310"/>
      <c r="U5792" s="106"/>
      <c r="V5792" s="106"/>
      <c r="W5792" s="106"/>
      <c r="X5792" s="420"/>
      <c r="Y5792" s="420"/>
    </row>
    <row r="5793" spans="17:25">
      <c r="Q5793" s="308"/>
      <c r="R5793" s="309"/>
      <c r="S5793" s="210"/>
      <c r="T5793" s="310"/>
      <c r="U5793" s="106"/>
      <c r="V5793" s="106"/>
      <c r="W5793" s="106"/>
      <c r="X5793" s="420"/>
      <c r="Y5793" s="420"/>
    </row>
    <row r="5794" spans="17:25">
      <c r="Q5794" s="308"/>
      <c r="R5794" s="309"/>
      <c r="S5794" s="210"/>
      <c r="T5794" s="310"/>
      <c r="U5794" s="106"/>
      <c r="V5794" s="106"/>
      <c r="W5794" s="106"/>
      <c r="X5794" s="420"/>
      <c r="Y5794" s="420"/>
    </row>
    <row r="5795" spans="17:25">
      <c r="Q5795" s="308"/>
      <c r="R5795" s="309"/>
      <c r="S5795" s="210"/>
      <c r="T5795" s="310"/>
      <c r="U5795" s="106"/>
      <c r="V5795" s="106"/>
      <c r="W5795" s="106"/>
      <c r="X5795" s="420"/>
      <c r="Y5795" s="420"/>
    </row>
    <row r="5796" spans="17:25">
      <c r="Q5796" s="308"/>
      <c r="R5796" s="309"/>
      <c r="S5796" s="210"/>
      <c r="T5796" s="310"/>
      <c r="U5796" s="106"/>
      <c r="V5796" s="106"/>
      <c r="W5796" s="106"/>
      <c r="X5796" s="420"/>
      <c r="Y5796" s="420"/>
    </row>
    <row r="5797" spans="17:25">
      <c r="Q5797" s="308"/>
      <c r="R5797" s="309"/>
      <c r="S5797" s="210"/>
      <c r="T5797" s="310"/>
      <c r="U5797" s="106"/>
      <c r="V5797" s="106"/>
      <c r="W5797" s="106"/>
      <c r="X5797" s="420"/>
      <c r="Y5797" s="420"/>
    </row>
    <row r="5798" spans="17:25">
      <c r="Q5798" s="308"/>
      <c r="R5798" s="309"/>
      <c r="S5798" s="210"/>
      <c r="T5798" s="310"/>
      <c r="U5798" s="106"/>
      <c r="V5798" s="106"/>
      <c r="W5798" s="106"/>
      <c r="X5798" s="420"/>
      <c r="Y5798" s="420"/>
    </row>
    <row r="5799" spans="17:25">
      <c r="Q5799" s="308"/>
      <c r="R5799" s="309"/>
      <c r="S5799" s="210"/>
      <c r="T5799" s="310"/>
      <c r="U5799" s="106"/>
      <c r="V5799" s="106"/>
      <c r="W5799" s="106"/>
      <c r="X5799" s="420"/>
      <c r="Y5799" s="420"/>
    </row>
    <row r="5800" spans="17:25">
      <c r="Q5800" s="308"/>
      <c r="R5800" s="309"/>
      <c r="S5800" s="210"/>
      <c r="T5800" s="310"/>
      <c r="U5800" s="106"/>
      <c r="V5800" s="106"/>
      <c r="W5800" s="106"/>
      <c r="X5800" s="420"/>
      <c r="Y5800" s="420"/>
    </row>
    <row r="5801" spans="17:25">
      <c r="Q5801" s="308"/>
      <c r="R5801" s="309"/>
      <c r="S5801" s="210"/>
      <c r="T5801" s="310"/>
      <c r="U5801" s="106"/>
      <c r="V5801" s="106"/>
      <c r="W5801" s="106"/>
      <c r="X5801" s="420"/>
      <c r="Y5801" s="420"/>
    </row>
    <row r="5802" spans="17:25">
      <c r="Q5802" s="308"/>
      <c r="R5802" s="309"/>
      <c r="S5802" s="210"/>
      <c r="T5802" s="310"/>
      <c r="U5802" s="106"/>
      <c r="V5802" s="106"/>
      <c r="W5802" s="106"/>
      <c r="X5802" s="420"/>
      <c r="Y5802" s="420"/>
    </row>
    <row r="5803" spans="17:25">
      <c r="Q5803" s="308"/>
      <c r="R5803" s="309"/>
      <c r="S5803" s="210"/>
      <c r="T5803" s="310"/>
      <c r="U5803" s="106"/>
      <c r="V5803" s="106"/>
      <c r="W5803" s="106"/>
      <c r="X5803" s="420"/>
      <c r="Y5803" s="420"/>
    </row>
    <row r="5804" spans="17:25">
      <c r="Q5804" s="308"/>
      <c r="R5804" s="309"/>
      <c r="S5804" s="210"/>
      <c r="T5804" s="310"/>
      <c r="U5804" s="106"/>
      <c r="V5804" s="106"/>
      <c r="W5804" s="106"/>
      <c r="X5804" s="420"/>
      <c r="Y5804" s="420"/>
    </row>
    <row r="5805" spans="17:25">
      <c r="Q5805" s="308"/>
      <c r="R5805" s="309"/>
      <c r="S5805" s="210"/>
      <c r="T5805" s="310"/>
      <c r="U5805" s="106"/>
      <c r="V5805" s="106"/>
      <c r="W5805" s="106"/>
      <c r="X5805" s="420"/>
      <c r="Y5805" s="420"/>
    </row>
    <row r="5806" spans="17:25">
      <c r="Q5806" s="308"/>
      <c r="R5806" s="309"/>
      <c r="S5806" s="210"/>
      <c r="T5806" s="310"/>
      <c r="U5806" s="106"/>
      <c r="V5806" s="106"/>
      <c r="W5806" s="106"/>
      <c r="X5806" s="420"/>
      <c r="Y5806" s="420"/>
    </row>
    <row r="5807" spans="17:25">
      <c r="Q5807" s="308"/>
      <c r="R5807" s="309"/>
      <c r="S5807" s="210"/>
      <c r="T5807" s="310"/>
      <c r="U5807" s="106"/>
      <c r="V5807" s="106"/>
      <c r="W5807" s="106"/>
      <c r="X5807" s="420"/>
      <c r="Y5807" s="420"/>
    </row>
    <row r="5808" spans="17:25">
      <c r="Q5808" s="308"/>
      <c r="R5808" s="309"/>
      <c r="S5808" s="210"/>
      <c r="T5808" s="310"/>
      <c r="U5808" s="106"/>
      <c r="V5808" s="106"/>
      <c r="W5808" s="106"/>
      <c r="X5808" s="420"/>
      <c r="Y5808" s="420"/>
    </row>
    <row r="5809" spans="17:25">
      <c r="Q5809" s="308"/>
      <c r="R5809" s="309"/>
      <c r="S5809" s="210"/>
      <c r="T5809" s="310"/>
      <c r="U5809" s="106"/>
      <c r="V5809" s="106"/>
      <c r="W5809" s="106"/>
      <c r="X5809" s="420"/>
      <c r="Y5809" s="420"/>
    </row>
    <row r="5810" spans="17:25">
      <c r="Q5810" s="308"/>
      <c r="R5810" s="309"/>
      <c r="S5810" s="210"/>
      <c r="T5810" s="310"/>
      <c r="U5810" s="106"/>
      <c r="V5810" s="106"/>
      <c r="W5810" s="106"/>
      <c r="X5810" s="420"/>
      <c r="Y5810" s="420"/>
    </row>
    <row r="5811" spans="17:25">
      <c r="Q5811" s="308"/>
      <c r="R5811" s="309"/>
      <c r="S5811" s="210"/>
      <c r="T5811" s="310"/>
      <c r="U5811" s="106"/>
      <c r="V5811" s="106"/>
      <c r="W5811" s="106"/>
      <c r="X5811" s="420"/>
      <c r="Y5811" s="420"/>
    </row>
    <row r="5812" spans="17:25">
      <c r="Q5812" s="308"/>
      <c r="R5812" s="309"/>
      <c r="S5812" s="210"/>
      <c r="T5812" s="310"/>
      <c r="U5812" s="106"/>
      <c r="V5812" s="106"/>
      <c r="W5812" s="106"/>
      <c r="X5812" s="420"/>
      <c r="Y5812" s="420"/>
    </row>
    <row r="5813" spans="17:25">
      <c r="Q5813" s="308"/>
      <c r="R5813" s="309"/>
      <c r="S5813" s="210"/>
      <c r="T5813" s="310"/>
      <c r="U5813" s="106"/>
      <c r="V5813" s="106"/>
      <c r="W5813" s="106"/>
      <c r="X5813" s="420"/>
      <c r="Y5813" s="420"/>
    </row>
    <row r="5814" spans="17:25">
      <c r="Q5814" s="308"/>
      <c r="R5814" s="309"/>
      <c r="S5814" s="210"/>
      <c r="T5814" s="310"/>
      <c r="U5814" s="106"/>
      <c r="V5814" s="106"/>
      <c r="W5814" s="106"/>
      <c r="X5814" s="420"/>
      <c r="Y5814" s="420"/>
    </row>
    <row r="5815" spans="17:25">
      <c r="Q5815" s="308"/>
      <c r="R5815" s="309"/>
      <c r="S5815" s="210"/>
      <c r="T5815" s="310"/>
      <c r="U5815" s="106"/>
      <c r="V5815" s="106"/>
      <c r="W5815" s="106"/>
      <c r="X5815" s="420"/>
      <c r="Y5815" s="420"/>
    </row>
    <row r="5816" spans="17:25">
      <c r="Q5816" s="308"/>
      <c r="R5816" s="309"/>
      <c r="S5816" s="210"/>
      <c r="T5816" s="310"/>
      <c r="U5816" s="106"/>
      <c r="V5816" s="106"/>
      <c r="W5816" s="106"/>
      <c r="X5816" s="420"/>
      <c r="Y5816" s="420"/>
    </row>
    <row r="5817" spans="17:25">
      <c r="Q5817" s="308"/>
      <c r="R5817" s="309"/>
      <c r="S5817" s="210"/>
      <c r="T5817" s="310"/>
      <c r="U5817" s="106"/>
      <c r="V5817" s="106"/>
      <c r="W5817" s="106"/>
      <c r="X5817" s="420"/>
      <c r="Y5817" s="420"/>
    </row>
    <row r="5818" spans="17:25">
      <c r="Q5818" s="308"/>
      <c r="R5818" s="309"/>
      <c r="S5818" s="210"/>
      <c r="T5818" s="310"/>
      <c r="U5818" s="106"/>
      <c r="V5818" s="106"/>
      <c r="W5818" s="106"/>
      <c r="X5818" s="420"/>
      <c r="Y5818" s="420"/>
    </row>
    <row r="5819" spans="17:25">
      <c r="Q5819" s="308"/>
      <c r="R5819" s="309"/>
      <c r="S5819" s="210"/>
      <c r="T5819" s="310"/>
      <c r="U5819" s="106"/>
      <c r="V5819" s="106"/>
      <c r="W5819" s="106"/>
      <c r="X5819" s="420"/>
      <c r="Y5819" s="420"/>
    </row>
    <row r="5820" spans="17:25">
      <c r="Q5820" s="308"/>
      <c r="R5820" s="309"/>
      <c r="S5820" s="210"/>
      <c r="T5820" s="310"/>
      <c r="U5820" s="106"/>
      <c r="V5820" s="106"/>
      <c r="W5820" s="106"/>
      <c r="X5820" s="420"/>
      <c r="Y5820" s="420"/>
    </row>
    <row r="5821" spans="17:25">
      <c r="Q5821" s="308"/>
      <c r="R5821" s="309"/>
      <c r="S5821" s="210"/>
      <c r="T5821" s="310"/>
      <c r="U5821" s="106"/>
      <c r="V5821" s="106"/>
      <c r="W5821" s="106"/>
      <c r="X5821" s="420"/>
      <c r="Y5821" s="420"/>
    </row>
    <row r="5822" spans="17:25">
      <c r="Q5822" s="308"/>
      <c r="R5822" s="309"/>
      <c r="S5822" s="210"/>
      <c r="T5822" s="310"/>
      <c r="U5822" s="106"/>
      <c r="V5822" s="106"/>
      <c r="W5822" s="106"/>
      <c r="X5822" s="420"/>
      <c r="Y5822" s="420"/>
    </row>
    <row r="5823" spans="17:25">
      <c r="Q5823" s="308"/>
      <c r="R5823" s="309"/>
      <c r="S5823" s="210"/>
      <c r="T5823" s="310"/>
      <c r="U5823" s="106"/>
      <c r="V5823" s="106"/>
      <c r="W5823" s="106"/>
      <c r="X5823" s="420"/>
      <c r="Y5823" s="420"/>
    </row>
    <row r="5824" spans="17:25">
      <c r="Q5824" s="308"/>
      <c r="R5824" s="309"/>
      <c r="S5824" s="210"/>
      <c r="T5824" s="310"/>
      <c r="U5824" s="106"/>
      <c r="V5824" s="106"/>
      <c r="W5824" s="106"/>
      <c r="X5824" s="420"/>
      <c r="Y5824" s="420"/>
    </row>
    <row r="5825" spans="17:25">
      <c r="Q5825" s="308"/>
      <c r="R5825" s="309"/>
      <c r="S5825" s="210"/>
      <c r="T5825" s="310"/>
      <c r="U5825" s="106"/>
      <c r="V5825" s="106"/>
      <c r="W5825" s="106"/>
      <c r="X5825" s="420"/>
      <c r="Y5825" s="420"/>
    </row>
    <row r="5826" spans="17:25">
      <c r="Q5826" s="308"/>
      <c r="R5826" s="309"/>
      <c r="S5826" s="210"/>
      <c r="T5826" s="310"/>
      <c r="U5826" s="106"/>
      <c r="V5826" s="106"/>
      <c r="W5826" s="106"/>
      <c r="X5826" s="420"/>
      <c r="Y5826" s="420"/>
    </row>
    <row r="5827" spans="17:25">
      <c r="Q5827" s="308"/>
      <c r="R5827" s="309"/>
      <c r="S5827" s="210"/>
      <c r="T5827" s="310"/>
      <c r="U5827" s="106"/>
      <c r="V5827" s="106"/>
      <c r="W5827" s="106"/>
      <c r="X5827" s="420"/>
      <c r="Y5827" s="420"/>
    </row>
    <row r="5828" spans="17:25">
      <c r="Q5828" s="308"/>
      <c r="R5828" s="309"/>
      <c r="S5828" s="210"/>
      <c r="T5828" s="310"/>
      <c r="U5828" s="106"/>
      <c r="V5828" s="106"/>
      <c r="W5828" s="106"/>
      <c r="X5828" s="420"/>
      <c r="Y5828" s="420"/>
    </row>
    <row r="5829" spans="17:25">
      <c r="Q5829" s="308"/>
      <c r="R5829" s="309"/>
      <c r="S5829" s="210"/>
      <c r="T5829" s="310"/>
      <c r="U5829" s="106"/>
      <c r="V5829" s="106"/>
      <c r="W5829" s="106"/>
      <c r="X5829" s="420"/>
      <c r="Y5829" s="420"/>
    </row>
    <row r="5830" spans="17:25">
      <c r="Q5830" s="308"/>
      <c r="R5830" s="309"/>
      <c r="S5830" s="210"/>
      <c r="T5830" s="310"/>
      <c r="U5830" s="106"/>
      <c r="V5830" s="106"/>
      <c r="W5830" s="106"/>
      <c r="X5830" s="420"/>
      <c r="Y5830" s="420"/>
    </row>
    <row r="5831" spans="17:25">
      <c r="Q5831" s="308"/>
      <c r="R5831" s="309"/>
      <c r="S5831" s="210"/>
      <c r="T5831" s="310"/>
      <c r="U5831" s="106"/>
      <c r="V5831" s="106"/>
      <c r="W5831" s="106"/>
      <c r="X5831" s="420"/>
      <c r="Y5831" s="420"/>
    </row>
    <row r="5832" spans="17:25">
      <c r="Q5832" s="308"/>
      <c r="R5832" s="309"/>
      <c r="S5832" s="210"/>
      <c r="T5832" s="310"/>
      <c r="U5832" s="106"/>
      <c r="V5832" s="106"/>
      <c r="W5832" s="106"/>
      <c r="X5832" s="420"/>
      <c r="Y5832" s="420"/>
    </row>
    <row r="5833" spans="17:25">
      <c r="Q5833" s="308"/>
      <c r="R5833" s="309"/>
      <c r="S5833" s="210"/>
      <c r="T5833" s="310"/>
      <c r="U5833" s="106"/>
      <c r="V5833" s="106"/>
      <c r="W5833" s="106"/>
      <c r="X5833" s="420"/>
      <c r="Y5833" s="420"/>
    </row>
    <row r="5834" spans="17:25">
      <c r="Q5834" s="308"/>
      <c r="R5834" s="309"/>
      <c r="S5834" s="210"/>
      <c r="T5834" s="310"/>
      <c r="U5834" s="106"/>
      <c r="V5834" s="106"/>
      <c r="W5834" s="106"/>
      <c r="X5834" s="420"/>
      <c r="Y5834" s="420"/>
    </row>
    <row r="5835" spans="17:25">
      <c r="Q5835" s="308"/>
      <c r="R5835" s="309"/>
      <c r="S5835" s="210"/>
      <c r="T5835" s="310"/>
      <c r="U5835" s="106"/>
      <c r="V5835" s="106"/>
      <c r="W5835" s="106"/>
      <c r="X5835" s="420"/>
      <c r="Y5835" s="420"/>
    </row>
    <row r="5836" spans="17:25">
      <c r="Q5836" s="308"/>
      <c r="R5836" s="309"/>
      <c r="S5836" s="210"/>
      <c r="T5836" s="310"/>
      <c r="U5836" s="106"/>
      <c r="V5836" s="106"/>
      <c r="W5836" s="106"/>
      <c r="X5836" s="420"/>
      <c r="Y5836" s="420"/>
    </row>
    <row r="5837" spans="17:25">
      <c r="Q5837" s="308"/>
      <c r="R5837" s="309"/>
      <c r="S5837" s="210"/>
      <c r="T5837" s="310"/>
      <c r="U5837" s="106"/>
      <c r="V5837" s="106"/>
      <c r="W5837" s="106"/>
      <c r="X5837" s="420"/>
      <c r="Y5837" s="420"/>
    </row>
    <row r="5838" spans="17:25">
      <c r="Q5838" s="308"/>
      <c r="R5838" s="309"/>
      <c r="S5838" s="210"/>
      <c r="T5838" s="310"/>
      <c r="U5838" s="106"/>
      <c r="V5838" s="106"/>
      <c r="W5838" s="106"/>
      <c r="X5838" s="420"/>
      <c r="Y5838" s="420"/>
    </row>
    <row r="5839" spans="17:25">
      <c r="Q5839" s="308"/>
      <c r="R5839" s="309"/>
      <c r="S5839" s="210"/>
      <c r="T5839" s="310"/>
      <c r="U5839" s="106"/>
      <c r="V5839" s="106"/>
      <c r="W5839" s="106"/>
      <c r="X5839" s="420"/>
      <c r="Y5839" s="420"/>
    </row>
    <row r="5840" spans="17:25">
      <c r="Q5840" s="308"/>
      <c r="R5840" s="309"/>
      <c r="S5840" s="210"/>
      <c r="T5840" s="310"/>
      <c r="U5840" s="106"/>
      <c r="V5840" s="106"/>
      <c r="W5840" s="106"/>
      <c r="X5840" s="420"/>
      <c r="Y5840" s="420"/>
    </row>
    <row r="5841" spans="17:25">
      <c r="Q5841" s="308"/>
      <c r="R5841" s="309"/>
      <c r="S5841" s="210"/>
      <c r="T5841" s="310"/>
      <c r="U5841" s="106"/>
      <c r="V5841" s="106"/>
      <c r="W5841" s="106"/>
      <c r="X5841" s="420"/>
      <c r="Y5841" s="420"/>
    </row>
    <row r="5842" spans="17:25">
      <c r="Q5842" s="308"/>
      <c r="R5842" s="309"/>
      <c r="S5842" s="210"/>
      <c r="T5842" s="310"/>
      <c r="U5842" s="106"/>
      <c r="V5842" s="106"/>
      <c r="W5842" s="106"/>
      <c r="X5842" s="420"/>
      <c r="Y5842" s="420"/>
    </row>
    <row r="5843" spans="17:25">
      <c r="Q5843" s="308"/>
      <c r="R5843" s="309"/>
      <c r="S5843" s="210"/>
      <c r="T5843" s="310"/>
      <c r="U5843" s="106"/>
      <c r="V5843" s="106"/>
      <c r="W5843" s="106"/>
      <c r="X5843" s="420"/>
      <c r="Y5843" s="420"/>
    </row>
    <row r="5844" spans="17:25">
      <c r="Q5844" s="308"/>
      <c r="R5844" s="309"/>
      <c r="S5844" s="210"/>
      <c r="T5844" s="310"/>
      <c r="U5844" s="106"/>
      <c r="V5844" s="106"/>
      <c r="W5844" s="106"/>
      <c r="X5844" s="420"/>
      <c r="Y5844" s="420"/>
    </row>
    <row r="5845" spans="17:25">
      <c r="Q5845" s="308"/>
      <c r="R5845" s="309"/>
      <c r="S5845" s="210"/>
      <c r="T5845" s="310"/>
      <c r="U5845" s="106"/>
      <c r="V5845" s="106"/>
      <c r="W5845" s="106"/>
      <c r="X5845" s="420"/>
      <c r="Y5845" s="420"/>
    </row>
    <row r="5846" spans="17:25">
      <c r="Q5846" s="308"/>
      <c r="R5846" s="309"/>
      <c r="S5846" s="210"/>
      <c r="T5846" s="310"/>
      <c r="U5846" s="106"/>
      <c r="V5846" s="106"/>
      <c r="W5846" s="106"/>
      <c r="X5846" s="420"/>
      <c r="Y5846" s="420"/>
    </row>
    <row r="5847" spans="17:25">
      <c r="Q5847" s="308"/>
      <c r="R5847" s="309"/>
      <c r="S5847" s="210"/>
      <c r="T5847" s="310"/>
      <c r="U5847" s="106"/>
      <c r="V5847" s="106"/>
      <c r="W5847" s="106"/>
      <c r="X5847" s="420"/>
      <c r="Y5847" s="420"/>
    </row>
    <row r="5848" spans="17:25">
      <c r="Q5848" s="308"/>
      <c r="R5848" s="309"/>
      <c r="S5848" s="210"/>
      <c r="T5848" s="310"/>
      <c r="U5848" s="106"/>
      <c r="V5848" s="106"/>
      <c r="W5848" s="106"/>
      <c r="X5848" s="420"/>
      <c r="Y5848" s="420"/>
    </row>
    <row r="5849" spans="17:25">
      <c r="Q5849" s="308"/>
      <c r="R5849" s="309"/>
      <c r="S5849" s="210"/>
      <c r="T5849" s="310"/>
      <c r="U5849" s="106"/>
      <c r="V5849" s="106"/>
      <c r="W5849" s="106"/>
      <c r="X5849" s="420"/>
      <c r="Y5849" s="420"/>
    </row>
    <row r="5850" spans="17:25">
      <c r="Q5850" s="308"/>
      <c r="R5850" s="309"/>
      <c r="S5850" s="210"/>
      <c r="T5850" s="310"/>
      <c r="U5850" s="106"/>
      <c r="V5850" s="106"/>
      <c r="W5850" s="106"/>
      <c r="X5850" s="420"/>
      <c r="Y5850" s="420"/>
    </row>
    <row r="5851" spans="17:25">
      <c r="Q5851" s="308"/>
      <c r="R5851" s="309"/>
      <c r="S5851" s="210"/>
      <c r="T5851" s="310"/>
      <c r="U5851" s="106"/>
      <c r="V5851" s="106"/>
      <c r="W5851" s="106"/>
      <c r="X5851" s="420"/>
      <c r="Y5851" s="420"/>
    </row>
    <row r="5852" spans="17:25">
      <c r="Q5852" s="308"/>
      <c r="R5852" s="309"/>
      <c r="S5852" s="210"/>
      <c r="T5852" s="310"/>
      <c r="U5852" s="106"/>
      <c r="V5852" s="106"/>
      <c r="W5852" s="106"/>
      <c r="X5852" s="420"/>
      <c r="Y5852" s="420"/>
    </row>
    <row r="5853" spans="17:25">
      <c r="Q5853" s="308"/>
      <c r="R5853" s="309"/>
      <c r="S5853" s="210"/>
      <c r="T5853" s="310"/>
      <c r="U5853" s="106"/>
      <c r="V5853" s="106"/>
      <c r="W5853" s="106"/>
      <c r="X5853" s="420"/>
      <c r="Y5853" s="420"/>
    </row>
    <row r="5854" spans="17:25">
      <c r="Q5854" s="308"/>
      <c r="R5854" s="309"/>
      <c r="S5854" s="210"/>
      <c r="T5854" s="310"/>
      <c r="U5854" s="106"/>
      <c r="V5854" s="106"/>
      <c r="W5854" s="106"/>
      <c r="X5854" s="420"/>
      <c r="Y5854" s="420"/>
    </row>
    <row r="5855" spans="17:25">
      <c r="Q5855" s="308"/>
      <c r="R5855" s="309"/>
      <c r="S5855" s="210"/>
      <c r="T5855" s="310"/>
      <c r="U5855" s="106"/>
      <c r="V5855" s="106"/>
      <c r="W5855" s="106"/>
      <c r="X5855" s="420"/>
      <c r="Y5855" s="420"/>
    </row>
    <row r="5856" spans="17:25">
      <c r="Q5856" s="308"/>
      <c r="R5856" s="309"/>
      <c r="S5856" s="210"/>
      <c r="T5856" s="310"/>
      <c r="U5856" s="106"/>
      <c r="V5856" s="106"/>
      <c r="W5856" s="106"/>
      <c r="X5856" s="420"/>
      <c r="Y5856" s="420"/>
    </row>
    <row r="5857" spans="17:25">
      <c r="Q5857" s="308"/>
      <c r="R5857" s="309"/>
      <c r="S5857" s="210"/>
      <c r="T5857" s="310"/>
      <c r="U5857" s="106"/>
      <c r="V5857" s="106"/>
      <c r="W5857" s="106"/>
      <c r="X5857" s="420"/>
      <c r="Y5857" s="420"/>
    </row>
    <row r="5858" spans="17:25">
      <c r="Q5858" s="308"/>
      <c r="R5858" s="309"/>
      <c r="S5858" s="210"/>
      <c r="T5858" s="310"/>
      <c r="U5858" s="106"/>
      <c r="V5858" s="106"/>
      <c r="W5858" s="106"/>
      <c r="X5858" s="420"/>
      <c r="Y5858" s="420"/>
    </row>
    <row r="5859" spans="17:25">
      <c r="Q5859" s="308"/>
      <c r="R5859" s="309"/>
      <c r="S5859" s="210"/>
      <c r="T5859" s="310"/>
      <c r="U5859" s="106"/>
      <c r="V5859" s="106"/>
      <c r="W5859" s="106"/>
      <c r="X5859" s="420"/>
      <c r="Y5859" s="420"/>
    </row>
    <row r="5860" spans="17:25">
      <c r="Q5860" s="308"/>
      <c r="R5860" s="309"/>
      <c r="S5860" s="210"/>
      <c r="T5860" s="310"/>
      <c r="U5860" s="106"/>
      <c r="V5860" s="106"/>
      <c r="W5860" s="106"/>
      <c r="X5860" s="420"/>
      <c r="Y5860" s="420"/>
    </row>
    <row r="5861" spans="17:25">
      <c r="Q5861" s="308"/>
      <c r="R5861" s="309"/>
      <c r="S5861" s="210"/>
      <c r="T5861" s="310"/>
      <c r="U5861" s="106"/>
      <c r="V5861" s="106"/>
      <c r="W5861" s="106"/>
      <c r="X5861" s="420"/>
      <c r="Y5861" s="420"/>
    </row>
    <row r="5862" spans="17:25">
      <c r="Q5862" s="308"/>
      <c r="R5862" s="309"/>
      <c r="S5862" s="210"/>
      <c r="T5862" s="310"/>
      <c r="U5862" s="106"/>
      <c r="V5862" s="106"/>
      <c r="W5862" s="106"/>
      <c r="X5862" s="420"/>
      <c r="Y5862" s="420"/>
    </row>
    <row r="5863" spans="17:25">
      <c r="Q5863" s="308"/>
      <c r="R5863" s="309"/>
      <c r="S5863" s="210"/>
      <c r="T5863" s="310"/>
      <c r="U5863" s="106"/>
      <c r="V5863" s="106"/>
      <c r="W5863" s="106"/>
      <c r="X5863" s="420"/>
      <c r="Y5863" s="420"/>
    </row>
    <row r="5864" spans="17:25">
      <c r="Q5864" s="308"/>
      <c r="R5864" s="309"/>
      <c r="S5864" s="210"/>
      <c r="T5864" s="310"/>
      <c r="U5864" s="106"/>
      <c r="V5864" s="106"/>
      <c r="W5864" s="106"/>
      <c r="X5864" s="420"/>
      <c r="Y5864" s="420"/>
    </row>
    <row r="5865" spans="17:25">
      <c r="Q5865" s="308"/>
      <c r="R5865" s="309"/>
      <c r="S5865" s="210"/>
      <c r="T5865" s="310"/>
      <c r="U5865" s="106"/>
      <c r="V5865" s="106"/>
      <c r="W5865" s="106"/>
      <c r="X5865" s="420"/>
      <c r="Y5865" s="420"/>
    </row>
    <row r="5866" spans="17:25">
      <c r="Q5866" s="308"/>
      <c r="R5866" s="309"/>
      <c r="S5866" s="210"/>
      <c r="T5866" s="310"/>
      <c r="U5866" s="106"/>
      <c r="V5866" s="106"/>
      <c r="W5866" s="106"/>
      <c r="X5866" s="420"/>
      <c r="Y5866" s="420"/>
    </row>
    <row r="5867" spans="17:25">
      <c r="Q5867" s="308"/>
      <c r="R5867" s="309"/>
      <c r="S5867" s="210"/>
      <c r="T5867" s="310"/>
      <c r="U5867" s="106"/>
      <c r="V5867" s="106"/>
      <c r="W5867" s="106"/>
      <c r="X5867" s="420"/>
      <c r="Y5867" s="420"/>
    </row>
    <row r="5868" spans="17:25">
      <c r="Q5868" s="308"/>
      <c r="R5868" s="309"/>
      <c r="S5868" s="210"/>
      <c r="T5868" s="310"/>
      <c r="U5868" s="106"/>
      <c r="V5868" s="106"/>
      <c r="W5868" s="106"/>
      <c r="X5868" s="420"/>
      <c r="Y5868" s="420"/>
    </row>
    <row r="5869" spans="17:25">
      <c r="Q5869" s="308"/>
      <c r="R5869" s="309"/>
      <c r="S5869" s="210"/>
      <c r="T5869" s="310"/>
      <c r="U5869" s="106"/>
      <c r="V5869" s="106"/>
      <c r="W5869" s="106"/>
      <c r="X5869" s="420"/>
      <c r="Y5869" s="420"/>
    </row>
    <row r="5870" spans="17:25">
      <c r="Q5870" s="308"/>
      <c r="R5870" s="309"/>
      <c r="S5870" s="210"/>
      <c r="T5870" s="310"/>
      <c r="U5870" s="106"/>
      <c r="V5870" s="106"/>
      <c r="W5870" s="106"/>
      <c r="X5870" s="420"/>
      <c r="Y5870" s="420"/>
    </row>
    <row r="5871" spans="17:25">
      <c r="Q5871" s="308"/>
      <c r="R5871" s="309"/>
      <c r="S5871" s="210"/>
      <c r="T5871" s="310"/>
      <c r="U5871" s="106"/>
      <c r="V5871" s="106"/>
      <c r="W5871" s="106"/>
      <c r="X5871" s="420"/>
      <c r="Y5871" s="420"/>
    </row>
    <row r="5872" spans="17:25">
      <c r="Q5872" s="308"/>
      <c r="R5872" s="309"/>
      <c r="S5872" s="210"/>
      <c r="T5872" s="310"/>
      <c r="U5872" s="106"/>
      <c r="V5872" s="106"/>
      <c r="W5872" s="106"/>
      <c r="X5872" s="420"/>
      <c r="Y5872" s="420"/>
    </row>
    <row r="5873" spans="17:25">
      <c r="Q5873" s="308"/>
      <c r="R5873" s="309"/>
      <c r="S5873" s="210"/>
      <c r="T5873" s="310"/>
      <c r="U5873" s="106"/>
      <c r="V5873" s="106"/>
      <c r="W5873" s="106"/>
      <c r="X5873" s="420"/>
      <c r="Y5873" s="420"/>
    </row>
    <row r="5874" spans="17:25">
      <c r="Q5874" s="308"/>
      <c r="R5874" s="309"/>
      <c r="S5874" s="210"/>
      <c r="T5874" s="310"/>
      <c r="U5874" s="106"/>
      <c r="V5874" s="106"/>
      <c r="W5874" s="106"/>
      <c r="X5874" s="420"/>
      <c r="Y5874" s="420"/>
    </row>
    <row r="5875" spans="17:25">
      <c r="Q5875" s="308"/>
      <c r="R5875" s="309"/>
      <c r="S5875" s="210"/>
      <c r="T5875" s="310"/>
      <c r="U5875" s="106"/>
      <c r="V5875" s="106"/>
      <c r="W5875" s="106"/>
      <c r="X5875" s="420"/>
      <c r="Y5875" s="420"/>
    </row>
    <row r="5876" spans="17:25">
      <c r="Q5876" s="308"/>
      <c r="R5876" s="309"/>
      <c r="S5876" s="210"/>
      <c r="T5876" s="310"/>
      <c r="U5876" s="106"/>
      <c r="V5876" s="106"/>
      <c r="W5876" s="106"/>
      <c r="X5876" s="420"/>
      <c r="Y5876" s="420"/>
    </row>
    <row r="5877" spans="17:25">
      <c r="Q5877" s="308"/>
      <c r="R5877" s="309"/>
      <c r="S5877" s="210"/>
      <c r="T5877" s="310"/>
      <c r="U5877" s="106"/>
      <c r="V5877" s="106"/>
      <c r="W5877" s="106"/>
      <c r="X5877" s="420"/>
      <c r="Y5877" s="420"/>
    </row>
    <row r="5878" spans="17:25">
      <c r="Q5878" s="308"/>
      <c r="R5878" s="309"/>
      <c r="S5878" s="210"/>
      <c r="T5878" s="310"/>
      <c r="U5878" s="106"/>
      <c r="V5878" s="106"/>
      <c r="W5878" s="106"/>
      <c r="X5878" s="420"/>
      <c r="Y5878" s="420"/>
    </row>
    <row r="5879" spans="17:25">
      <c r="Q5879" s="308"/>
      <c r="R5879" s="309"/>
      <c r="S5879" s="210"/>
      <c r="T5879" s="310"/>
      <c r="U5879" s="106"/>
      <c r="V5879" s="106"/>
      <c r="W5879" s="106"/>
      <c r="X5879" s="420"/>
      <c r="Y5879" s="420"/>
    </row>
    <row r="5880" spans="17:25">
      <c r="Q5880" s="308"/>
      <c r="R5880" s="309"/>
      <c r="S5880" s="210"/>
      <c r="T5880" s="310"/>
      <c r="U5880" s="106"/>
      <c r="V5880" s="106"/>
      <c r="W5880" s="106"/>
      <c r="X5880" s="420"/>
      <c r="Y5880" s="420"/>
    </row>
    <row r="5881" spans="17:25">
      <c r="Q5881" s="308"/>
      <c r="R5881" s="309"/>
      <c r="S5881" s="210"/>
      <c r="T5881" s="310"/>
      <c r="U5881" s="106"/>
      <c r="V5881" s="106"/>
      <c r="W5881" s="106"/>
      <c r="X5881" s="420"/>
      <c r="Y5881" s="420"/>
    </row>
    <row r="5882" spans="17:25">
      <c r="Q5882" s="308"/>
      <c r="R5882" s="309"/>
      <c r="S5882" s="210"/>
      <c r="T5882" s="310"/>
      <c r="U5882" s="106"/>
      <c r="V5882" s="106"/>
      <c r="W5882" s="106"/>
      <c r="X5882" s="420"/>
      <c r="Y5882" s="420"/>
    </row>
    <row r="5883" spans="17:25">
      <c r="Q5883" s="308"/>
      <c r="R5883" s="309"/>
      <c r="S5883" s="210"/>
      <c r="T5883" s="310"/>
      <c r="U5883" s="106"/>
      <c r="V5883" s="106"/>
      <c r="W5883" s="106"/>
      <c r="X5883" s="420"/>
      <c r="Y5883" s="420"/>
    </row>
    <row r="5884" spans="17:25">
      <c r="Q5884" s="308"/>
      <c r="R5884" s="309"/>
      <c r="S5884" s="210"/>
      <c r="T5884" s="310"/>
      <c r="U5884" s="106"/>
      <c r="V5884" s="106"/>
      <c r="W5884" s="106"/>
      <c r="X5884" s="420"/>
      <c r="Y5884" s="420"/>
    </row>
    <row r="5885" spans="17:25">
      <c r="Q5885" s="308"/>
      <c r="R5885" s="309"/>
      <c r="S5885" s="210"/>
      <c r="T5885" s="310"/>
      <c r="U5885" s="106"/>
      <c r="V5885" s="106"/>
      <c r="W5885" s="106"/>
      <c r="X5885" s="420"/>
      <c r="Y5885" s="420"/>
    </row>
    <row r="5886" spans="17:25">
      <c r="Q5886" s="308"/>
      <c r="R5886" s="309"/>
      <c r="S5886" s="210"/>
      <c r="T5886" s="310"/>
      <c r="U5886" s="106"/>
      <c r="V5886" s="106"/>
      <c r="W5886" s="106"/>
      <c r="X5886" s="420"/>
      <c r="Y5886" s="420"/>
    </row>
    <row r="5887" spans="17:25">
      <c r="Q5887" s="308"/>
      <c r="R5887" s="309"/>
      <c r="S5887" s="210"/>
      <c r="T5887" s="310"/>
      <c r="U5887" s="106"/>
      <c r="V5887" s="106"/>
      <c r="W5887" s="106"/>
      <c r="X5887" s="420"/>
      <c r="Y5887" s="420"/>
    </row>
    <row r="5888" spans="17:25">
      <c r="Q5888" s="308"/>
      <c r="R5888" s="309"/>
      <c r="S5888" s="210"/>
      <c r="T5888" s="310"/>
      <c r="U5888" s="106"/>
      <c r="V5888" s="106"/>
      <c r="W5888" s="106"/>
      <c r="X5888" s="420"/>
      <c r="Y5888" s="420"/>
    </row>
    <row r="5889" spans="17:25">
      <c r="Q5889" s="308"/>
      <c r="R5889" s="309"/>
      <c r="S5889" s="210"/>
      <c r="T5889" s="310"/>
      <c r="U5889" s="106"/>
      <c r="V5889" s="106"/>
      <c r="W5889" s="106"/>
      <c r="X5889" s="420"/>
      <c r="Y5889" s="420"/>
    </row>
    <row r="5890" spans="17:25">
      <c r="Q5890" s="308"/>
      <c r="R5890" s="309"/>
      <c r="S5890" s="210"/>
      <c r="T5890" s="310"/>
      <c r="U5890" s="106"/>
      <c r="V5890" s="106"/>
      <c r="W5890" s="106"/>
      <c r="X5890" s="420"/>
      <c r="Y5890" s="420"/>
    </row>
    <row r="5891" spans="17:25">
      <c r="Q5891" s="308"/>
      <c r="R5891" s="309"/>
      <c r="S5891" s="210"/>
      <c r="T5891" s="310"/>
      <c r="U5891" s="106"/>
      <c r="V5891" s="106"/>
      <c r="W5891" s="106"/>
      <c r="X5891" s="420"/>
      <c r="Y5891" s="420"/>
    </row>
    <row r="5892" spans="17:25">
      <c r="Q5892" s="308"/>
      <c r="R5892" s="309"/>
      <c r="S5892" s="210"/>
      <c r="T5892" s="310"/>
      <c r="U5892" s="106"/>
      <c r="V5892" s="106"/>
      <c r="W5892" s="106"/>
      <c r="X5892" s="420"/>
      <c r="Y5892" s="420"/>
    </row>
    <row r="5893" spans="17:25">
      <c r="Q5893" s="308"/>
      <c r="R5893" s="309"/>
      <c r="S5893" s="210"/>
      <c r="T5893" s="310"/>
      <c r="U5893" s="106"/>
      <c r="V5893" s="106"/>
      <c r="W5893" s="106"/>
      <c r="X5893" s="420"/>
      <c r="Y5893" s="420"/>
    </row>
    <row r="5894" spans="17:25">
      <c r="Q5894" s="308"/>
      <c r="R5894" s="309"/>
      <c r="S5894" s="210"/>
      <c r="T5894" s="310"/>
      <c r="U5894" s="106"/>
      <c r="V5894" s="106"/>
      <c r="W5894" s="106"/>
      <c r="X5894" s="420"/>
      <c r="Y5894" s="420"/>
    </row>
    <row r="5895" spans="17:25">
      <c r="Q5895" s="308"/>
      <c r="R5895" s="309"/>
      <c r="S5895" s="210"/>
      <c r="T5895" s="310"/>
      <c r="U5895" s="106"/>
      <c r="V5895" s="106"/>
      <c r="W5895" s="106"/>
      <c r="X5895" s="420"/>
      <c r="Y5895" s="420"/>
    </row>
    <row r="5896" spans="17:25">
      <c r="Q5896" s="308"/>
      <c r="R5896" s="309"/>
      <c r="S5896" s="210"/>
      <c r="T5896" s="310"/>
      <c r="U5896" s="106"/>
      <c r="V5896" s="106"/>
      <c r="W5896" s="106"/>
      <c r="X5896" s="420"/>
      <c r="Y5896" s="420"/>
    </row>
    <row r="5897" spans="17:25">
      <c r="Q5897" s="308"/>
      <c r="R5897" s="309"/>
      <c r="S5897" s="210"/>
      <c r="T5897" s="310"/>
      <c r="U5897" s="106"/>
      <c r="V5897" s="106"/>
      <c r="W5897" s="106"/>
      <c r="X5897" s="420"/>
      <c r="Y5897" s="420"/>
    </row>
    <row r="5898" spans="17:25">
      <c r="Q5898" s="308"/>
      <c r="R5898" s="309"/>
      <c r="S5898" s="210"/>
      <c r="T5898" s="310"/>
      <c r="U5898" s="106"/>
      <c r="V5898" s="106"/>
      <c r="W5898" s="106"/>
      <c r="X5898" s="420"/>
      <c r="Y5898" s="420"/>
    </row>
    <row r="5899" spans="17:25">
      <c r="Q5899" s="308"/>
      <c r="R5899" s="309"/>
      <c r="S5899" s="210"/>
      <c r="T5899" s="310"/>
      <c r="U5899" s="106"/>
      <c r="V5899" s="106"/>
      <c r="W5899" s="106"/>
      <c r="X5899" s="420"/>
      <c r="Y5899" s="420"/>
    </row>
    <row r="5900" spans="17:25">
      <c r="Q5900" s="308"/>
      <c r="R5900" s="309"/>
      <c r="S5900" s="210"/>
      <c r="T5900" s="310"/>
      <c r="U5900" s="106"/>
      <c r="V5900" s="106"/>
      <c r="W5900" s="106"/>
      <c r="X5900" s="420"/>
      <c r="Y5900" s="420"/>
    </row>
    <row r="5901" spans="17:25">
      <c r="Q5901" s="308"/>
      <c r="R5901" s="309"/>
      <c r="S5901" s="210"/>
      <c r="T5901" s="310"/>
      <c r="U5901" s="106"/>
      <c r="V5901" s="106"/>
      <c r="W5901" s="106"/>
      <c r="X5901" s="420"/>
      <c r="Y5901" s="420"/>
    </row>
    <row r="5902" spans="17:25">
      <c r="Q5902" s="308"/>
      <c r="R5902" s="309"/>
      <c r="S5902" s="210"/>
      <c r="T5902" s="310"/>
      <c r="U5902" s="106"/>
      <c r="V5902" s="106"/>
      <c r="W5902" s="106"/>
      <c r="X5902" s="420"/>
      <c r="Y5902" s="420"/>
    </row>
    <row r="5903" spans="17:25">
      <c r="Q5903" s="308"/>
      <c r="R5903" s="309"/>
      <c r="S5903" s="210"/>
      <c r="T5903" s="310"/>
      <c r="U5903" s="106"/>
      <c r="V5903" s="106"/>
      <c r="W5903" s="106"/>
      <c r="X5903" s="420"/>
      <c r="Y5903" s="420"/>
    </row>
    <row r="5904" spans="17:25">
      <c r="Q5904" s="308"/>
      <c r="R5904" s="309"/>
      <c r="S5904" s="210"/>
      <c r="T5904" s="310"/>
      <c r="U5904" s="106"/>
      <c r="V5904" s="106"/>
      <c r="W5904" s="106"/>
      <c r="X5904" s="420"/>
      <c r="Y5904" s="420"/>
    </row>
    <row r="5905" spans="17:25">
      <c r="Q5905" s="308"/>
      <c r="R5905" s="309"/>
      <c r="S5905" s="210"/>
      <c r="T5905" s="310"/>
      <c r="U5905" s="106"/>
      <c r="V5905" s="106"/>
      <c r="W5905" s="106"/>
      <c r="X5905" s="420"/>
      <c r="Y5905" s="420"/>
    </row>
    <row r="5906" spans="17:25">
      <c r="Q5906" s="308"/>
      <c r="R5906" s="309"/>
      <c r="S5906" s="210"/>
      <c r="T5906" s="310"/>
      <c r="U5906" s="106"/>
      <c r="V5906" s="106"/>
      <c r="W5906" s="106"/>
      <c r="X5906" s="420"/>
      <c r="Y5906" s="420"/>
    </row>
    <row r="5907" spans="17:25">
      <c r="Q5907" s="308"/>
      <c r="R5907" s="309"/>
      <c r="S5907" s="210"/>
      <c r="T5907" s="310"/>
      <c r="U5907" s="106"/>
      <c r="V5907" s="106"/>
      <c r="W5907" s="106"/>
      <c r="X5907" s="420"/>
      <c r="Y5907" s="420"/>
    </row>
    <row r="5908" spans="17:25">
      <c r="Q5908" s="308"/>
      <c r="R5908" s="309"/>
      <c r="S5908" s="210"/>
      <c r="T5908" s="310"/>
      <c r="U5908" s="106"/>
      <c r="V5908" s="106"/>
      <c r="W5908" s="106"/>
      <c r="X5908" s="420"/>
      <c r="Y5908" s="420"/>
    </row>
    <row r="5909" spans="17:25">
      <c r="Q5909" s="308"/>
      <c r="R5909" s="309"/>
      <c r="S5909" s="210"/>
      <c r="T5909" s="310"/>
      <c r="U5909" s="106"/>
      <c r="V5909" s="106"/>
      <c r="W5909" s="106"/>
      <c r="X5909" s="420"/>
      <c r="Y5909" s="420"/>
    </row>
    <row r="5910" spans="17:25">
      <c r="Q5910" s="308"/>
      <c r="R5910" s="309"/>
      <c r="S5910" s="210"/>
      <c r="T5910" s="310"/>
      <c r="U5910" s="106"/>
      <c r="V5910" s="106"/>
      <c r="W5910" s="106"/>
      <c r="X5910" s="420"/>
      <c r="Y5910" s="420"/>
    </row>
    <row r="5911" spans="17:25">
      <c r="Q5911" s="308"/>
      <c r="R5911" s="309"/>
      <c r="S5911" s="210"/>
      <c r="T5911" s="310"/>
      <c r="U5911" s="106"/>
      <c r="V5911" s="106"/>
      <c r="W5911" s="106"/>
      <c r="X5911" s="420"/>
      <c r="Y5911" s="420"/>
    </row>
    <row r="5912" spans="17:25">
      <c r="Q5912" s="308"/>
      <c r="R5912" s="309"/>
      <c r="S5912" s="210"/>
      <c r="T5912" s="310"/>
      <c r="U5912" s="106"/>
      <c r="V5912" s="106"/>
      <c r="W5912" s="106"/>
      <c r="X5912" s="420"/>
      <c r="Y5912" s="420"/>
    </row>
    <row r="5913" spans="17:25">
      <c r="Q5913" s="308"/>
      <c r="R5913" s="309"/>
      <c r="S5913" s="210"/>
      <c r="T5913" s="310"/>
      <c r="U5913" s="106"/>
      <c r="V5913" s="106"/>
      <c r="W5913" s="106"/>
      <c r="X5913" s="420"/>
      <c r="Y5913" s="420"/>
    </row>
    <row r="5914" spans="17:25">
      <c r="Q5914" s="308"/>
      <c r="R5914" s="309"/>
      <c r="S5914" s="210"/>
      <c r="T5914" s="310"/>
      <c r="U5914" s="106"/>
      <c r="V5914" s="106"/>
      <c r="W5914" s="106"/>
      <c r="X5914" s="420"/>
      <c r="Y5914" s="420"/>
    </row>
    <row r="5915" spans="17:25">
      <c r="Q5915" s="308"/>
      <c r="R5915" s="309"/>
      <c r="S5915" s="210"/>
      <c r="T5915" s="310"/>
      <c r="U5915" s="106"/>
      <c r="V5915" s="106"/>
      <c r="W5915" s="106"/>
      <c r="X5915" s="420"/>
      <c r="Y5915" s="420"/>
    </row>
    <row r="5916" spans="17:25">
      <c r="Q5916" s="308"/>
      <c r="R5916" s="309"/>
      <c r="S5916" s="210"/>
      <c r="T5916" s="310"/>
      <c r="U5916" s="106"/>
      <c r="V5916" s="106"/>
      <c r="W5916" s="106"/>
      <c r="X5916" s="420"/>
      <c r="Y5916" s="420"/>
    </row>
    <row r="5917" spans="17:25">
      <c r="Q5917" s="308"/>
      <c r="R5917" s="309"/>
      <c r="S5917" s="210"/>
      <c r="T5917" s="310"/>
      <c r="U5917" s="106"/>
      <c r="V5917" s="106"/>
      <c r="W5917" s="106"/>
      <c r="X5917" s="420"/>
      <c r="Y5917" s="420"/>
    </row>
    <row r="5918" spans="17:25">
      <c r="Q5918" s="308"/>
      <c r="R5918" s="309"/>
      <c r="S5918" s="210"/>
      <c r="T5918" s="310"/>
      <c r="U5918" s="106"/>
      <c r="V5918" s="106"/>
      <c r="W5918" s="106"/>
      <c r="X5918" s="420"/>
      <c r="Y5918" s="420"/>
    </row>
    <row r="5919" spans="17:25">
      <c r="Q5919" s="308"/>
      <c r="R5919" s="309"/>
      <c r="S5919" s="210"/>
      <c r="T5919" s="310"/>
      <c r="U5919" s="106"/>
      <c r="V5919" s="106"/>
      <c r="W5919" s="106"/>
      <c r="X5919" s="420"/>
      <c r="Y5919" s="420"/>
    </row>
    <row r="5920" spans="17:25">
      <c r="Q5920" s="308"/>
      <c r="R5920" s="309"/>
      <c r="S5920" s="210"/>
      <c r="T5920" s="310"/>
      <c r="U5920" s="106"/>
      <c r="V5920" s="106"/>
      <c r="W5920" s="106"/>
      <c r="X5920" s="420"/>
      <c r="Y5920" s="420"/>
    </row>
    <row r="5921" spans="17:25">
      <c r="Q5921" s="308"/>
      <c r="R5921" s="309"/>
      <c r="S5921" s="210"/>
      <c r="T5921" s="310"/>
      <c r="U5921" s="106"/>
      <c r="V5921" s="106"/>
      <c r="W5921" s="106"/>
      <c r="X5921" s="420"/>
      <c r="Y5921" s="420"/>
    </row>
    <row r="5922" spans="17:25">
      <c r="Q5922" s="308"/>
      <c r="R5922" s="309"/>
      <c r="S5922" s="210"/>
      <c r="T5922" s="310"/>
      <c r="U5922" s="106"/>
      <c r="V5922" s="106"/>
      <c r="W5922" s="106"/>
      <c r="X5922" s="420"/>
      <c r="Y5922" s="420"/>
    </row>
    <row r="5923" spans="17:25">
      <c r="Q5923" s="308"/>
      <c r="R5923" s="309"/>
      <c r="S5923" s="210"/>
      <c r="T5923" s="310"/>
      <c r="U5923" s="106"/>
      <c r="V5923" s="106"/>
      <c r="W5923" s="106"/>
      <c r="X5923" s="420"/>
      <c r="Y5923" s="420"/>
    </row>
    <row r="5924" spans="17:25">
      <c r="Q5924" s="308"/>
      <c r="R5924" s="309"/>
      <c r="S5924" s="210"/>
      <c r="T5924" s="310"/>
      <c r="U5924" s="106"/>
      <c r="V5924" s="106"/>
      <c r="W5924" s="106"/>
      <c r="X5924" s="420"/>
      <c r="Y5924" s="420"/>
    </row>
    <row r="5925" spans="17:25">
      <c r="Q5925" s="308"/>
      <c r="R5925" s="309"/>
      <c r="S5925" s="210"/>
      <c r="T5925" s="310"/>
      <c r="U5925" s="106"/>
      <c r="V5925" s="106"/>
      <c r="W5925" s="106"/>
      <c r="X5925" s="420"/>
      <c r="Y5925" s="420"/>
    </row>
    <row r="5926" spans="17:25">
      <c r="Q5926" s="308"/>
      <c r="R5926" s="309"/>
      <c r="S5926" s="210"/>
      <c r="T5926" s="310"/>
      <c r="U5926" s="106"/>
      <c r="V5926" s="106"/>
      <c r="W5926" s="106"/>
      <c r="X5926" s="420"/>
      <c r="Y5926" s="420"/>
    </row>
    <row r="5927" spans="17:25">
      <c r="Q5927" s="308"/>
      <c r="R5927" s="309"/>
      <c r="S5927" s="210"/>
      <c r="T5927" s="310"/>
      <c r="U5927" s="106"/>
      <c r="V5927" s="106"/>
      <c r="W5927" s="106"/>
      <c r="X5927" s="420"/>
      <c r="Y5927" s="420"/>
    </row>
    <row r="5928" spans="17:25">
      <c r="Q5928" s="308"/>
      <c r="R5928" s="309"/>
      <c r="S5928" s="210"/>
      <c r="T5928" s="310"/>
      <c r="U5928" s="106"/>
      <c r="V5928" s="106"/>
      <c r="W5928" s="106"/>
      <c r="X5928" s="420"/>
      <c r="Y5928" s="420"/>
    </row>
    <row r="5929" spans="17:25">
      <c r="Q5929" s="308"/>
      <c r="R5929" s="309"/>
      <c r="S5929" s="210"/>
      <c r="T5929" s="310"/>
      <c r="U5929" s="106"/>
      <c r="V5929" s="106"/>
      <c r="W5929" s="106"/>
      <c r="X5929" s="420"/>
      <c r="Y5929" s="420"/>
    </row>
    <row r="5930" spans="17:25">
      <c r="Q5930" s="308"/>
      <c r="R5930" s="309"/>
      <c r="S5930" s="210"/>
      <c r="T5930" s="310"/>
      <c r="U5930" s="106"/>
      <c r="V5930" s="106"/>
      <c r="W5930" s="106"/>
      <c r="X5930" s="420"/>
      <c r="Y5930" s="420"/>
    </row>
    <row r="5931" spans="17:25">
      <c r="Q5931" s="308"/>
      <c r="R5931" s="309"/>
      <c r="S5931" s="210"/>
      <c r="T5931" s="310"/>
      <c r="U5931" s="106"/>
      <c r="V5931" s="106"/>
      <c r="W5931" s="106"/>
      <c r="X5931" s="420"/>
      <c r="Y5931" s="420"/>
    </row>
    <row r="5932" spans="17:25">
      <c r="Q5932" s="308"/>
      <c r="R5932" s="309"/>
      <c r="S5932" s="210"/>
      <c r="T5932" s="310"/>
      <c r="U5932" s="106"/>
      <c r="V5932" s="106"/>
      <c r="W5932" s="106"/>
      <c r="X5932" s="420"/>
      <c r="Y5932" s="420"/>
    </row>
    <row r="5933" spans="17:25">
      <c r="Q5933" s="308"/>
      <c r="R5933" s="309"/>
      <c r="S5933" s="210"/>
      <c r="T5933" s="310"/>
      <c r="U5933" s="106"/>
      <c r="V5933" s="106"/>
      <c r="W5933" s="106"/>
      <c r="X5933" s="420"/>
      <c r="Y5933" s="420"/>
    </row>
    <row r="5934" spans="17:25">
      <c r="Q5934" s="308"/>
      <c r="R5934" s="309"/>
      <c r="S5934" s="210"/>
      <c r="T5934" s="310"/>
      <c r="U5934" s="106"/>
      <c r="V5934" s="106"/>
      <c r="W5934" s="106"/>
      <c r="X5934" s="420"/>
      <c r="Y5934" s="420"/>
    </row>
    <row r="5935" spans="17:25">
      <c r="Q5935" s="308"/>
      <c r="R5935" s="309"/>
      <c r="S5935" s="210"/>
      <c r="T5935" s="310"/>
      <c r="U5935" s="106"/>
      <c r="V5935" s="106"/>
      <c r="W5935" s="106"/>
      <c r="X5935" s="420"/>
      <c r="Y5935" s="420"/>
    </row>
    <row r="5936" spans="17:25">
      <c r="Q5936" s="308"/>
      <c r="R5936" s="309"/>
      <c r="S5936" s="210"/>
      <c r="T5936" s="310"/>
      <c r="U5936" s="106"/>
      <c r="V5936" s="106"/>
      <c r="W5936" s="106"/>
      <c r="X5936" s="420"/>
      <c r="Y5936" s="420"/>
    </row>
    <row r="5937" spans="17:25">
      <c r="Q5937" s="308"/>
      <c r="R5937" s="309"/>
      <c r="S5937" s="210"/>
      <c r="T5937" s="310"/>
      <c r="U5937" s="106"/>
      <c r="V5937" s="106"/>
      <c r="W5937" s="106"/>
      <c r="X5937" s="420"/>
      <c r="Y5937" s="420"/>
    </row>
    <row r="5938" spans="17:25">
      <c r="Q5938" s="308"/>
      <c r="R5938" s="309"/>
      <c r="S5938" s="210"/>
      <c r="T5938" s="310"/>
      <c r="U5938" s="106"/>
      <c r="V5938" s="106"/>
      <c r="W5938" s="106"/>
      <c r="X5938" s="420"/>
      <c r="Y5938" s="420"/>
    </row>
    <row r="5939" spans="17:25">
      <c r="Q5939" s="308"/>
      <c r="R5939" s="309"/>
      <c r="S5939" s="210"/>
      <c r="T5939" s="310"/>
      <c r="U5939" s="106"/>
      <c r="V5939" s="106"/>
      <c r="W5939" s="106"/>
      <c r="X5939" s="420"/>
      <c r="Y5939" s="420"/>
    </row>
    <row r="5940" spans="17:25">
      <c r="Q5940" s="308"/>
      <c r="R5940" s="309"/>
      <c r="S5940" s="210"/>
      <c r="T5940" s="310"/>
      <c r="U5940" s="106"/>
      <c r="V5940" s="106"/>
      <c r="W5940" s="106"/>
      <c r="X5940" s="420"/>
      <c r="Y5940" s="420"/>
    </row>
    <row r="5941" spans="17:25">
      <c r="Q5941" s="308"/>
      <c r="R5941" s="309"/>
      <c r="S5941" s="210"/>
      <c r="T5941" s="310"/>
      <c r="U5941" s="106"/>
      <c r="V5941" s="106"/>
      <c r="W5941" s="106"/>
      <c r="X5941" s="420"/>
      <c r="Y5941" s="420"/>
    </row>
    <row r="5942" spans="17:25">
      <c r="Q5942" s="308"/>
      <c r="R5942" s="309"/>
      <c r="S5942" s="210"/>
      <c r="T5942" s="310"/>
      <c r="U5942" s="106"/>
      <c r="V5942" s="106"/>
      <c r="W5942" s="106"/>
      <c r="X5942" s="420"/>
      <c r="Y5942" s="420"/>
    </row>
    <row r="5943" spans="17:25">
      <c r="Q5943" s="308"/>
      <c r="R5943" s="309"/>
      <c r="S5943" s="210"/>
      <c r="T5943" s="310"/>
      <c r="U5943" s="106"/>
      <c r="V5943" s="106"/>
      <c r="W5943" s="106"/>
      <c r="X5943" s="420"/>
      <c r="Y5943" s="420"/>
    </row>
    <row r="5944" spans="17:25">
      <c r="Q5944" s="308"/>
      <c r="R5944" s="309"/>
      <c r="S5944" s="210"/>
      <c r="T5944" s="310"/>
      <c r="U5944" s="106"/>
      <c r="V5944" s="106"/>
      <c r="W5944" s="106"/>
      <c r="X5944" s="420"/>
      <c r="Y5944" s="420"/>
    </row>
    <row r="5945" spans="17:25">
      <c r="Q5945" s="308"/>
      <c r="R5945" s="309"/>
      <c r="S5945" s="210"/>
      <c r="T5945" s="310"/>
      <c r="U5945" s="106"/>
      <c r="V5945" s="106"/>
      <c r="W5945" s="106"/>
      <c r="X5945" s="420"/>
      <c r="Y5945" s="420"/>
    </row>
    <row r="5946" spans="17:25">
      <c r="Q5946" s="308"/>
      <c r="R5946" s="309"/>
      <c r="S5946" s="210"/>
      <c r="T5946" s="310"/>
      <c r="U5946" s="106"/>
      <c r="V5946" s="106"/>
      <c r="W5946" s="106"/>
      <c r="X5946" s="420"/>
      <c r="Y5946" s="420"/>
    </row>
    <row r="5947" spans="17:25">
      <c r="Q5947" s="308"/>
      <c r="R5947" s="309"/>
      <c r="S5947" s="210"/>
      <c r="T5947" s="310"/>
      <c r="U5947" s="106"/>
      <c r="V5947" s="106"/>
      <c r="W5947" s="106"/>
      <c r="X5947" s="420"/>
      <c r="Y5947" s="420"/>
    </row>
    <row r="5948" spans="17:25">
      <c r="Q5948" s="308"/>
      <c r="R5948" s="309"/>
      <c r="S5948" s="210"/>
      <c r="T5948" s="310"/>
      <c r="U5948" s="106"/>
      <c r="V5948" s="106"/>
      <c r="W5948" s="106"/>
      <c r="X5948" s="420"/>
      <c r="Y5948" s="420"/>
    </row>
    <row r="5949" spans="17:25">
      <c r="Q5949" s="308"/>
      <c r="R5949" s="309"/>
      <c r="S5949" s="210"/>
      <c r="T5949" s="310"/>
      <c r="U5949" s="106"/>
      <c r="V5949" s="106"/>
      <c r="W5949" s="106"/>
      <c r="X5949" s="420"/>
      <c r="Y5949" s="420"/>
    </row>
    <row r="5950" spans="17:25">
      <c r="Q5950" s="308"/>
      <c r="R5950" s="309"/>
      <c r="S5950" s="210"/>
      <c r="T5950" s="310"/>
      <c r="U5950" s="106"/>
      <c r="V5950" s="106"/>
      <c r="W5950" s="106"/>
      <c r="X5950" s="420"/>
      <c r="Y5950" s="420"/>
    </row>
    <row r="5951" spans="17:25">
      <c r="Q5951" s="308"/>
      <c r="R5951" s="309"/>
      <c r="S5951" s="210"/>
      <c r="T5951" s="310"/>
      <c r="U5951" s="106"/>
      <c r="V5951" s="106"/>
      <c r="W5951" s="106"/>
      <c r="X5951" s="420"/>
      <c r="Y5951" s="420"/>
    </row>
    <row r="5952" spans="17:25">
      <c r="Q5952" s="308"/>
      <c r="R5952" s="309"/>
      <c r="S5952" s="210"/>
      <c r="T5952" s="310"/>
      <c r="U5952" s="106"/>
      <c r="V5952" s="106"/>
      <c r="W5952" s="106"/>
      <c r="X5952" s="420"/>
      <c r="Y5952" s="420"/>
    </row>
    <row r="5953" spans="17:25">
      <c r="Q5953" s="308"/>
      <c r="R5953" s="309"/>
      <c r="S5953" s="210"/>
      <c r="T5953" s="310"/>
      <c r="U5953" s="106"/>
      <c r="V5953" s="106"/>
      <c r="W5953" s="106"/>
      <c r="X5953" s="420"/>
      <c r="Y5953" s="420"/>
    </row>
    <row r="5954" spans="17:25">
      <c r="Q5954" s="308"/>
      <c r="R5954" s="309"/>
      <c r="S5954" s="210"/>
      <c r="T5954" s="310"/>
      <c r="U5954" s="106"/>
      <c r="V5954" s="106"/>
      <c r="W5954" s="106"/>
      <c r="X5954" s="420"/>
      <c r="Y5954" s="420"/>
    </row>
    <row r="5955" spans="17:25">
      <c r="Q5955" s="308"/>
      <c r="R5955" s="309"/>
      <c r="S5955" s="210"/>
      <c r="T5955" s="310"/>
      <c r="U5955" s="106"/>
      <c r="V5955" s="106"/>
      <c r="W5955" s="106"/>
      <c r="X5955" s="420"/>
      <c r="Y5955" s="420"/>
    </row>
    <row r="5956" spans="17:25">
      <c r="Q5956" s="308"/>
      <c r="R5956" s="309"/>
      <c r="S5956" s="210"/>
      <c r="T5956" s="310"/>
      <c r="U5956" s="106"/>
      <c r="V5956" s="106"/>
      <c r="W5956" s="106"/>
      <c r="X5956" s="420"/>
      <c r="Y5956" s="420"/>
    </row>
    <row r="5957" spans="17:25">
      <c r="Q5957" s="308"/>
      <c r="R5957" s="309"/>
      <c r="S5957" s="210"/>
      <c r="T5957" s="310"/>
      <c r="U5957" s="106"/>
      <c r="V5957" s="106"/>
      <c r="W5957" s="106"/>
      <c r="X5957" s="420"/>
      <c r="Y5957" s="420"/>
    </row>
    <row r="5958" spans="17:25">
      <c r="Q5958" s="308"/>
      <c r="R5958" s="309"/>
      <c r="S5958" s="210"/>
      <c r="T5958" s="310"/>
      <c r="U5958" s="106"/>
      <c r="V5958" s="106"/>
      <c r="W5958" s="106"/>
      <c r="X5958" s="420"/>
      <c r="Y5958" s="420"/>
    </row>
    <row r="5959" spans="17:25">
      <c r="Q5959" s="308"/>
      <c r="R5959" s="309"/>
      <c r="S5959" s="210"/>
      <c r="T5959" s="310"/>
      <c r="U5959" s="106"/>
      <c r="V5959" s="106"/>
      <c r="W5959" s="106"/>
      <c r="X5959" s="420"/>
      <c r="Y5959" s="420"/>
    </row>
    <row r="5960" spans="17:25">
      <c r="Q5960" s="308"/>
      <c r="R5960" s="309"/>
      <c r="S5960" s="210"/>
      <c r="T5960" s="310"/>
      <c r="U5960" s="106"/>
      <c r="V5960" s="106"/>
      <c r="W5960" s="106"/>
      <c r="X5960" s="420"/>
      <c r="Y5960" s="420"/>
    </row>
    <row r="5961" spans="17:25">
      <c r="Q5961" s="308"/>
      <c r="R5961" s="309"/>
      <c r="S5961" s="210"/>
      <c r="T5961" s="310"/>
      <c r="U5961" s="106"/>
      <c r="V5961" s="106"/>
      <c r="W5961" s="106"/>
      <c r="X5961" s="420"/>
      <c r="Y5961" s="420"/>
    </row>
    <row r="5962" spans="17:25">
      <c r="Q5962" s="308"/>
      <c r="R5962" s="309"/>
      <c r="S5962" s="210"/>
      <c r="T5962" s="310"/>
      <c r="U5962" s="106"/>
      <c r="V5962" s="106"/>
      <c r="W5962" s="106"/>
      <c r="X5962" s="420"/>
      <c r="Y5962" s="420"/>
    </row>
    <row r="5963" spans="17:25">
      <c r="Q5963" s="308"/>
      <c r="R5963" s="309"/>
      <c r="S5963" s="210"/>
      <c r="T5963" s="310"/>
      <c r="U5963" s="106"/>
      <c r="V5963" s="106"/>
      <c r="W5963" s="106"/>
      <c r="X5963" s="420"/>
      <c r="Y5963" s="420"/>
    </row>
    <row r="5964" spans="17:25">
      <c r="Q5964" s="308"/>
      <c r="R5964" s="309"/>
      <c r="S5964" s="210"/>
      <c r="T5964" s="310"/>
      <c r="U5964" s="106"/>
      <c r="V5964" s="106"/>
      <c r="W5964" s="106"/>
      <c r="X5964" s="420"/>
      <c r="Y5964" s="420"/>
    </row>
    <row r="5965" spans="17:25">
      <c r="Q5965" s="308"/>
      <c r="R5965" s="309"/>
      <c r="S5965" s="210"/>
      <c r="T5965" s="310"/>
      <c r="U5965" s="106"/>
      <c r="V5965" s="106"/>
      <c r="W5965" s="106"/>
      <c r="X5965" s="420"/>
      <c r="Y5965" s="420"/>
    </row>
    <row r="5966" spans="17:25">
      <c r="Q5966" s="308"/>
      <c r="R5966" s="309"/>
      <c r="S5966" s="210"/>
      <c r="T5966" s="310"/>
      <c r="U5966" s="106"/>
      <c r="V5966" s="106"/>
      <c r="W5966" s="106"/>
      <c r="X5966" s="420"/>
      <c r="Y5966" s="420"/>
    </row>
    <row r="5967" spans="17:25">
      <c r="Q5967" s="308"/>
      <c r="R5967" s="309"/>
      <c r="S5967" s="210"/>
      <c r="T5967" s="310"/>
      <c r="U5967" s="106"/>
      <c r="V5967" s="106"/>
      <c r="W5967" s="106"/>
      <c r="X5967" s="420"/>
      <c r="Y5967" s="420"/>
    </row>
    <row r="5968" spans="17:25">
      <c r="Q5968" s="308"/>
      <c r="R5968" s="309"/>
      <c r="S5968" s="210"/>
      <c r="T5968" s="310"/>
      <c r="U5968" s="106"/>
      <c r="V5968" s="106"/>
      <c r="W5968" s="106"/>
      <c r="X5968" s="420"/>
      <c r="Y5968" s="420"/>
    </row>
    <row r="5969" spans="17:25">
      <c r="Q5969" s="308"/>
      <c r="R5969" s="309"/>
      <c r="S5969" s="210"/>
      <c r="T5969" s="310"/>
      <c r="U5969" s="106"/>
      <c r="V5969" s="106"/>
      <c r="W5969" s="106"/>
      <c r="X5969" s="420"/>
      <c r="Y5969" s="420"/>
    </row>
    <row r="5970" spans="17:25">
      <c r="Q5970" s="308"/>
      <c r="R5970" s="309"/>
      <c r="S5970" s="210"/>
      <c r="T5970" s="310"/>
      <c r="U5970" s="106"/>
      <c r="V5970" s="106"/>
      <c r="W5970" s="106"/>
      <c r="X5970" s="420"/>
      <c r="Y5970" s="420"/>
    </row>
    <row r="5971" spans="17:25">
      <c r="Q5971" s="308"/>
      <c r="R5971" s="309"/>
      <c r="S5971" s="210"/>
      <c r="T5971" s="310"/>
      <c r="U5971" s="106"/>
      <c r="V5971" s="106"/>
      <c r="W5971" s="106"/>
      <c r="X5971" s="420"/>
      <c r="Y5971" s="420"/>
    </row>
    <row r="5972" spans="17:25">
      <c r="Q5972" s="308"/>
      <c r="R5972" s="309"/>
      <c r="S5972" s="210"/>
      <c r="T5972" s="310"/>
      <c r="U5972" s="106"/>
      <c r="V5972" s="106"/>
      <c r="W5972" s="106"/>
      <c r="X5972" s="420"/>
      <c r="Y5972" s="420"/>
    </row>
    <row r="5973" spans="17:25">
      <c r="Q5973" s="308"/>
      <c r="R5973" s="309"/>
      <c r="S5973" s="210"/>
      <c r="T5973" s="310"/>
      <c r="U5973" s="106"/>
      <c r="V5973" s="106"/>
      <c r="W5973" s="106"/>
      <c r="X5973" s="420"/>
      <c r="Y5973" s="420"/>
    </row>
    <row r="5974" spans="17:25">
      <c r="Q5974" s="308"/>
      <c r="R5974" s="309"/>
      <c r="S5974" s="210"/>
      <c r="T5974" s="310"/>
      <c r="U5974" s="106"/>
      <c r="V5974" s="106"/>
      <c r="W5974" s="106"/>
      <c r="X5974" s="420"/>
      <c r="Y5974" s="420"/>
    </row>
    <row r="5975" spans="17:25">
      <c r="Q5975" s="308"/>
      <c r="R5975" s="309"/>
      <c r="S5975" s="210"/>
      <c r="T5975" s="310"/>
      <c r="U5975" s="106"/>
      <c r="V5975" s="106"/>
      <c r="W5975" s="106"/>
      <c r="X5975" s="420"/>
      <c r="Y5975" s="420"/>
    </row>
    <row r="5976" spans="17:25">
      <c r="Q5976" s="308"/>
      <c r="R5976" s="309"/>
      <c r="S5976" s="210"/>
      <c r="T5976" s="310"/>
      <c r="U5976" s="106"/>
      <c r="V5976" s="106"/>
      <c r="W5976" s="106"/>
      <c r="X5976" s="420"/>
      <c r="Y5976" s="420"/>
    </row>
    <row r="5977" spans="17:25">
      <c r="Q5977" s="308"/>
      <c r="R5977" s="309"/>
      <c r="S5977" s="210"/>
      <c r="T5977" s="310"/>
      <c r="U5977" s="106"/>
      <c r="V5977" s="106"/>
      <c r="W5977" s="106"/>
      <c r="X5977" s="420"/>
      <c r="Y5977" s="420"/>
    </row>
    <row r="5978" spans="17:25">
      <c r="Q5978" s="308"/>
      <c r="R5978" s="309"/>
      <c r="S5978" s="210"/>
      <c r="T5978" s="310"/>
      <c r="U5978" s="106"/>
      <c r="V5978" s="106"/>
      <c r="W5978" s="106"/>
      <c r="X5978" s="420"/>
      <c r="Y5978" s="420"/>
    </row>
    <row r="5979" spans="17:25">
      <c r="Q5979" s="308"/>
      <c r="R5979" s="309"/>
      <c r="S5979" s="210"/>
      <c r="T5979" s="310"/>
      <c r="U5979" s="106"/>
      <c r="V5979" s="106"/>
      <c r="W5979" s="106"/>
      <c r="X5979" s="420"/>
      <c r="Y5979" s="420"/>
    </row>
    <row r="5980" spans="17:25">
      <c r="Q5980" s="308"/>
      <c r="R5980" s="309"/>
      <c r="S5980" s="210"/>
      <c r="T5980" s="310"/>
      <c r="U5980" s="106"/>
      <c r="V5980" s="106"/>
      <c r="W5980" s="106"/>
      <c r="X5980" s="420"/>
      <c r="Y5980" s="420"/>
    </row>
    <row r="5981" spans="17:25">
      <c r="Q5981" s="308"/>
      <c r="R5981" s="309"/>
      <c r="S5981" s="210"/>
      <c r="T5981" s="310"/>
      <c r="U5981" s="106"/>
      <c r="V5981" s="106"/>
      <c r="W5981" s="106"/>
      <c r="X5981" s="420"/>
      <c r="Y5981" s="420"/>
    </row>
    <row r="5982" spans="17:25">
      <c r="Q5982" s="308"/>
      <c r="R5982" s="309"/>
      <c r="S5982" s="210"/>
      <c r="T5982" s="310"/>
      <c r="U5982" s="106"/>
      <c r="V5982" s="106"/>
      <c r="W5982" s="106"/>
      <c r="X5982" s="420"/>
      <c r="Y5982" s="420"/>
    </row>
    <row r="5983" spans="17:25">
      <c r="Q5983" s="308"/>
      <c r="R5983" s="309"/>
      <c r="S5983" s="210"/>
      <c r="T5983" s="310"/>
      <c r="U5983" s="106"/>
      <c r="V5983" s="106"/>
      <c r="W5983" s="106"/>
      <c r="X5983" s="420"/>
      <c r="Y5983" s="420"/>
    </row>
    <row r="5984" spans="17:25">
      <c r="Q5984" s="308"/>
      <c r="R5984" s="309"/>
      <c r="S5984" s="210"/>
      <c r="T5984" s="310"/>
      <c r="U5984" s="106"/>
      <c r="V5984" s="106"/>
      <c r="W5984" s="106"/>
      <c r="X5984" s="420"/>
      <c r="Y5984" s="420"/>
    </row>
    <row r="5985" spans="17:25">
      <c r="Q5985" s="308"/>
      <c r="R5985" s="309"/>
      <c r="S5985" s="210"/>
      <c r="T5985" s="310"/>
      <c r="U5985" s="106"/>
      <c r="V5985" s="106"/>
      <c r="W5985" s="106"/>
      <c r="X5985" s="420"/>
      <c r="Y5985" s="420"/>
    </row>
    <row r="5986" spans="17:25">
      <c r="Q5986" s="308"/>
      <c r="R5986" s="309"/>
      <c r="S5986" s="210"/>
      <c r="T5986" s="310"/>
      <c r="U5986" s="106"/>
      <c r="V5986" s="106"/>
      <c r="W5986" s="106"/>
      <c r="X5986" s="420"/>
      <c r="Y5986" s="420"/>
    </row>
    <row r="5987" spans="17:25">
      <c r="Q5987" s="308"/>
      <c r="R5987" s="309"/>
      <c r="S5987" s="210"/>
      <c r="T5987" s="310"/>
      <c r="U5987" s="106"/>
      <c r="V5987" s="106"/>
      <c r="W5987" s="106"/>
      <c r="X5987" s="420"/>
      <c r="Y5987" s="420"/>
    </row>
    <row r="5988" spans="17:25">
      <c r="Q5988" s="308"/>
      <c r="R5988" s="309"/>
      <c r="S5988" s="210"/>
      <c r="T5988" s="310"/>
      <c r="U5988" s="106"/>
      <c r="V5988" s="106"/>
      <c r="W5988" s="106"/>
      <c r="X5988" s="420"/>
      <c r="Y5988" s="420"/>
    </row>
    <row r="5989" spans="17:25">
      <c r="Q5989" s="308"/>
      <c r="R5989" s="309"/>
      <c r="S5989" s="210"/>
      <c r="T5989" s="310"/>
      <c r="U5989" s="106"/>
      <c r="V5989" s="106"/>
      <c r="W5989" s="106"/>
      <c r="X5989" s="420"/>
      <c r="Y5989" s="420"/>
    </row>
    <row r="5990" spans="17:25">
      <c r="Q5990" s="308"/>
      <c r="R5990" s="309"/>
      <c r="S5990" s="210"/>
      <c r="T5990" s="310"/>
      <c r="U5990" s="106"/>
      <c r="V5990" s="106"/>
      <c r="W5990" s="106"/>
      <c r="X5990" s="420"/>
      <c r="Y5990" s="420"/>
    </row>
    <row r="5991" spans="17:25">
      <c r="Q5991" s="308"/>
      <c r="R5991" s="309"/>
      <c r="S5991" s="210"/>
      <c r="T5991" s="310"/>
      <c r="U5991" s="106"/>
      <c r="V5991" s="106"/>
      <c r="W5991" s="106"/>
      <c r="X5991" s="420"/>
      <c r="Y5991" s="420"/>
    </row>
    <row r="5992" spans="17:25">
      <c r="Q5992" s="308"/>
      <c r="R5992" s="309"/>
      <c r="S5992" s="210"/>
      <c r="T5992" s="310"/>
      <c r="U5992" s="106"/>
      <c r="V5992" s="106"/>
      <c r="W5992" s="106"/>
      <c r="X5992" s="420"/>
      <c r="Y5992" s="420"/>
    </row>
    <row r="5993" spans="17:25">
      <c r="Q5993" s="308"/>
      <c r="R5993" s="309"/>
      <c r="S5993" s="210"/>
      <c r="T5993" s="310"/>
      <c r="U5993" s="106"/>
      <c r="V5993" s="106"/>
      <c r="W5993" s="106"/>
      <c r="X5993" s="420"/>
      <c r="Y5993" s="420"/>
    </row>
    <row r="5994" spans="17:25">
      <c r="Q5994" s="308"/>
      <c r="R5994" s="309"/>
      <c r="S5994" s="210"/>
      <c r="T5994" s="310"/>
      <c r="U5994" s="106"/>
      <c r="V5994" s="106"/>
      <c r="W5994" s="106"/>
      <c r="X5994" s="420"/>
      <c r="Y5994" s="420"/>
    </row>
    <row r="5995" spans="17:25">
      <c r="Q5995" s="308"/>
      <c r="R5995" s="309"/>
      <c r="S5995" s="210"/>
      <c r="T5995" s="310"/>
      <c r="U5995" s="106"/>
      <c r="V5995" s="106"/>
      <c r="W5995" s="106"/>
      <c r="X5995" s="420"/>
      <c r="Y5995" s="420"/>
    </row>
    <row r="5996" spans="17:25">
      <c r="Q5996" s="308"/>
      <c r="R5996" s="309"/>
      <c r="S5996" s="210"/>
      <c r="T5996" s="310"/>
      <c r="U5996" s="106"/>
      <c r="V5996" s="106"/>
      <c r="W5996" s="106"/>
      <c r="X5996" s="420"/>
      <c r="Y5996" s="420"/>
    </row>
    <row r="5997" spans="17:25">
      <c r="Q5997" s="308"/>
      <c r="R5997" s="309"/>
      <c r="S5997" s="210"/>
      <c r="T5997" s="310"/>
      <c r="U5997" s="106"/>
      <c r="V5997" s="106"/>
      <c r="W5997" s="106"/>
      <c r="X5997" s="420"/>
      <c r="Y5997" s="420"/>
    </row>
    <row r="5998" spans="17:25">
      <c r="Q5998" s="308"/>
      <c r="R5998" s="309"/>
      <c r="S5998" s="210"/>
      <c r="T5998" s="310"/>
      <c r="U5998" s="106"/>
      <c r="V5998" s="106"/>
      <c r="W5998" s="106"/>
      <c r="X5998" s="420"/>
      <c r="Y5998" s="420"/>
    </row>
    <row r="5999" spans="17:25">
      <c r="Q5999" s="308"/>
      <c r="R5999" s="309"/>
      <c r="S5999" s="210"/>
      <c r="T5999" s="310"/>
      <c r="U5999" s="106"/>
      <c r="V5999" s="106"/>
      <c r="W5999" s="106"/>
      <c r="X5999" s="420"/>
      <c r="Y5999" s="420"/>
    </row>
    <row r="6000" spans="17:25">
      <c r="Q6000" s="308"/>
      <c r="R6000" s="309"/>
      <c r="S6000" s="210"/>
      <c r="T6000" s="310"/>
      <c r="U6000" s="106"/>
      <c r="V6000" s="106"/>
      <c r="W6000" s="106"/>
      <c r="X6000" s="420"/>
      <c r="Y6000" s="420"/>
    </row>
  </sheetData>
  <mergeCells count="9">
    <mergeCell ref="D17:E17"/>
    <mergeCell ref="G17:H17"/>
    <mergeCell ref="J17:K17"/>
    <mergeCell ref="M17:N17"/>
    <mergeCell ref="A1:B1"/>
    <mergeCell ref="D16:E16"/>
    <mergeCell ref="G16:H16"/>
    <mergeCell ref="J16:K16"/>
    <mergeCell ref="M16:N16"/>
  </mergeCells>
  <conditionalFormatting sqref="AV3:AV2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3:BF4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3:BJ45">
    <cfRule type="colorScale" priority="5">
      <colorScale>
        <cfvo type="min"/>
        <cfvo type="max"/>
        <color rgb="FFF8696B"/>
        <color rgb="FFFCFCFF"/>
      </colorScale>
    </cfRule>
  </conditionalFormatting>
  <conditionalFormatting sqref="BI3:BI4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4:AD5">
    <cfRule type="cellIs" dxfId="2" priority="2" operator="equal">
      <formula>"verificar"</formula>
    </cfRule>
  </conditionalFormatting>
  <conditionalFormatting sqref="AS3:AS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L6000"/>
  <sheetViews>
    <sheetView zoomScale="85" zoomScaleNormal="85" workbookViewId="0">
      <selection sqref="A1:BL1048576"/>
    </sheetView>
  </sheetViews>
  <sheetFormatPr baseColWidth="10" defaultColWidth="11.42578125" defaultRowHeight="15"/>
  <cols>
    <col min="1" max="1" width="15.85546875" style="23" bestFit="1" customWidth="1"/>
    <col min="2" max="16" width="11.42578125" style="23"/>
    <col min="17" max="17" width="16.140625" style="23" bestFit="1" customWidth="1"/>
    <col min="18" max="18" width="12.28515625" style="23" bestFit="1" customWidth="1"/>
    <col min="19" max="19" width="11.7109375" style="23" bestFit="1" customWidth="1"/>
    <col min="20" max="20" width="10.140625" style="23" bestFit="1" customWidth="1"/>
    <col min="21" max="21" width="12.85546875" style="23" bestFit="1" customWidth="1"/>
    <col min="22" max="22" width="14.140625" style="23" bestFit="1" customWidth="1"/>
    <col min="23" max="23" width="8.42578125" style="23" bestFit="1" customWidth="1"/>
    <col min="24" max="24" width="7" style="23" customWidth="1"/>
    <col min="25" max="25" width="7" style="23" bestFit="1" customWidth="1"/>
    <col min="26" max="30" width="11.42578125" style="23"/>
    <col min="31" max="31" width="11.85546875" style="23" bestFit="1" customWidth="1"/>
    <col min="32" max="32" width="7.5703125" style="23" bestFit="1" customWidth="1"/>
    <col min="33" max="34" width="12.5703125" style="23" bestFit="1" customWidth="1"/>
    <col min="35" max="35" width="11.28515625" style="23" bestFit="1" customWidth="1"/>
    <col min="36" max="36" width="13.7109375" style="23" bestFit="1" customWidth="1"/>
    <col min="37" max="37" width="6.140625" style="23" bestFit="1" customWidth="1"/>
    <col min="38" max="38" width="12.5703125" customWidth="1"/>
    <col min="39" max="39" width="12.85546875" customWidth="1"/>
    <col min="40" max="41" width="8.140625" style="23" hidden="1" customWidth="1"/>
    <col min="42" max="42" width="11.28515625" style="23" bestFit="1" customWidth="1"/>
    <col min="43" max="43" width="6.140625" style="23" bestFit="1" customWidth="1"/>
    <col min="44" max="44" width="10.5703125" style="23" bestFit="1" customWidth="1"/>
    <col min="45" max="45" width="10.7109375" style="23" bestFit="1" customWidth="1"/>
    <col min="46" max="46" width="8.5703125" style="23" hidden="1" customWidth="1"/>
    <col min="47" max="47" width="11.5703125" style="23" hidden="1" customWidth="1"/>
    <col min="48" max="48" width="11.7109375" style="23" bestFit="1" customWidth="1"/>
    <col min="49" max="49" width="9.5703125" style="23" bestFit="1" customWidth="1"/>
    <col min="50" max="50" width="7.28515625" style="23" customWidth="1"/>
    <col min="51" max="51" width="12.42578125" style="23" customWidth="1"/>
    <col min="52" max="52" width="13.42578125" style="23" bestFit="1" customWidth="1"/>
    <col min="53" max="53" width="7" style="23" bestFit="1" customWidth="1"/>
    <col min="54" max="54" width="7" style="23" customWidth="1"/>
    <col min="55" max="55" width="12.42578125" style="23" hidden="1" customWidth="1"/>
    <col min="56" max="56" width="16.42578125" style="23" hidden="1" customWidth="1"/>
    <col min="57" max="57" width="7.42578125" style="23" bestFit="1" customWidth="1"/>
    <col min="58" max="58" width="10.7109375" style="23" customWidth="1"/>
    <col min="59" max="59" width="10.7109375" style="23" hidden="1" customWidth="1"/>
    <col min="60" max="60" width="11.5703125" style="23" hidden="1" customWidth="1"/>
    <col min="61" max="61" width="11.7109375" style="23" bestFit="1" customWidth="1"/>
    <col min="62" max="62" width="7.5703125" style="23" bestFit="1" customWidth="1"/>
    <col min="63" max="63" width="7.7109375" style="23" bestFit="1" customWidth="1"/>
    <col min="64" max="64" width="8.28515625" style="50" bestFit="1" customWidth="1"/>
  </cols>
  <sheetData>
    <row r="1" spans="1:64" ht="15.75" thickBot="1">
      <c r="A1" s="567" t="s">
        <v>33</v>
      </c>
      <c r="B1" s="567"/>
      <c r="P1" s="279" t="s">
        <v>272</v>
      </c>
      <c r="Q1" s="112" t="s">
        <v>45</v>
      </c>
      <c r="R1" s="5" t="s">
        <v>1</v>
      </c>
      <c r="S1" s="5" t="s">
        <v>3</v>
      </c>
      <c r="T1" s="113" t="s">
        <v>38</v>
      </c>
      <c r="AB1" s="319" t="s">
        <v>307</v>
      </c>
      <c r="AC1" s="320">
        <v>2016</v>
      </c>
      <c r="AD1" s="178">
        <v>5.5788454930847317E-3</v>
      </c>
      <c r="AF1" s="101" t="s">
        <v>94</v>
      </c>
      <c r="AG1" s="101" t="s">
        <v>134</v>
      </c>
      <c r="AH1" s="101" t="s">
        <v>135</v>
      </c>
      <c r="AI1" s="101" t="s">
        <v>99</v>
      </c>
      <c r="AJ1" s="101" t="s">
        <v>95</v>
      </c>
      <c r="AL1" s="70" t="s">
        <v>46</v>
      </c>
      <c r="AY1" s="70" t="s">
        <v>46</v>
      </c>
      <c r="AZ1" s="70"/>
      <c r="BL1" s="23"/>
    </row>
    <row r="2" spans="1:64" ht="15.75" thickBot="1">
      <c r="A2" s="70" t="s">
        <v>34</v>
      </c>
      <c r="Q2" s="2">
        <v>0</v>
      </c>
      <c r="R2" s="222">
        <v>42667</v>
      </c>
      <c r="S2" s="15">
        <v>0</v>
      </c>
      <c r="T2" s="93">
        <v>3.5</v>
      </c>
      <c r="AB2" s="319" t="s">
        <v>307</v>
      </c>
      <c r="AC2" s="320">
        <v>2017</v>
      </c>
      <c r="AD2" s="178">
        <v>2.1215402602010325E-3</v>
      </c>
      <c r="AF2" s="174">
        <v>41640</v>
      </c>
      <c r="AG2" s="175">
        <v>2E-3</v>
      </c>
      <c r="AH2" s="175">
        <v>2E-3</v>
      </c>
      <c r="AI2" s="100">
        <v>41648</v>
      </c>
      <c r="AJ2" s="102">
        <v>23336.59</v>
      </c>
      <c r="AK2" s="213"/>
      <c r="AL2" s="182" t="s">
        <v>47</v>
      </c>
      <c r="AM2" s="182" t="s">
        <v>48</v>
      </c>
      <c r="AN2" s="182" t="s">
        <v>159</v>
      </c>
      <c r="AO2" s="182" t="s">
        <v>160</v>
      </c>
      <c r="AP2" s="182" t="s">
        <v>161</v>
      </c>
      <c r="AQ2" s="182" t="s">
        <v>130</v>
      </c>
      <c r="AR2" s="182" t="s">
        <v>139</v>
      </c>
      <c r="AS2" s="182" t="s">
        <v>101</v>
      </c>
      <c r="AT2" s="182" t="s">
        <v>141</v>
      </c>
      <c r="AU2" s="182" t="s">
        <v>140</v>
      </c>
      <c r="AV2" s="182" t="s">
        <v>142</v>
      </c>
      <c r="AW2" s="182" t="s">
        <v>228</v>
      </c>
      <c r="AY2" s="182" t="s">
        <v>47</v>
      </c>
      <c r="AZ2" s="182" t="s">
        <v>48</v>
      </c>
      <c r="BA2" s="182" t="s">
        <v>161</v>
      </c>
      <c r="BB2" s="182" t="s">
        <v>130</v>
      </c>
      <c r="BC2" s="182" t="s">
        <v>137</v>
      </c>
      <c r="BD2" s="182" t="s">
        <v>136</v>
      </c>
      <c r="BE2" s="182" t="s">
        <v>139</v>
      </c>
      <c r="BF2" s="182" t="s">
        <v>101</v>
      </c>
      <c r="BG2" s="182" t="s">
        <v>141</v>
      </c>
      <c r="BH2" s="182" t="s">
        <v>140</v>
      </c>
      <c r="BI2" s="182" t="s">
        <v>142</v>
      </c>
      <c r="BJ2" s="182" t="s">
        <v>270</v>
      </c>
      <c r="BK2" s="182" t="s">
        <v>271</v>
      </c>
      <c r="BL2" s="182" t="s">
        <v>228</v>
      </c>
    </row>
    <row r="3" spans="1:64">
      <c r="A3" s="291" t="s">
        <v>278</v>
      </c>
      <c r="B3" s="460">
        <v>3.5</v>
      </c>
      <c r="Q3" s="3">
        <v>1</v>
      </c>
      <c r="R3" s="223">
        <v>42691</v>
      </c>
      <c r="S3" s="15">
        <v>24</v>
      </c>
      <c r="T3" s="94">
        <v>3.5</v>
      </c>
      <c r="Z3" s="97"/>
      <c r="AF3" s="174">
        <v>41671</v>
      </c>
      <c r="AG3" s="175">
        <v>5.0000000000000001E-3</v>
      </c>
      <c r="AH3" s="175">
        <v>5.0000000000000001E-3</v>
      </c>
      <c r="AI3" s="100">
        <v>41679</v>
      </c>
      <c r="AJ3" s="102">
        <v>23476.61</v>
      </c>
      <c r="AK3" s="213"/>
      <c r="AL3" s="179" t="s">
        <v>163</v>
      </c>
      <c r="AM3" s="179" t="s">
        <v>85</v>
      </c>
      <c r="AN3" s="99" t="s">
        <v>163</v>
      </c>
      <c r="AO3" s="99" t="s">
        <v>163</v>
      </c>
      <c r="AP3" s="243">
        <v>3.6169386604233211</v>
      </c>
      <c r="AQ3" s="270">
        <v>0.1824422708626264</v>
      </c>
      <c r="AR3" s="243" t="s">
        <v>163</v>
      </c>
      <c r="AS3" s="114" t="s">
        <v>163</v>
      </c>
      <c r="AT3" s="114" t="s">
        <v>163</v>
      </c>
      <c r="AU3" s="114" t="s">
        <v>163</v>
      </c>
      <c r="AV3" s="114" t="s">
        <v>163</v>
      </c>
      <c r="AW3" s="114">
        <v>3.5848488070241911</v>
      </c>
      <c r="AY3" s="179" t="s">
        <v>163</v>
      </c>
      <c r="AZ3" s="247" t="s">
        <v>51</v>
      </c>
      <c r="BA3" s="243">
        <v>-0.80913332991142317</v>
      </c>
      <c r="BB3" s="270">
        <v>0.19058316782246357</v>
      </c>
      <c r="BC3" s="243">
        <v>3.616938660423318</v>
      </c>
      <c r="BD3" s="243" t="s">
        <v>163</v>
      </c>
      <c r="BE3" s="243" t="s">
        <v>163</v>
      </c>
      <c r="BF3" s="114" t="s">
        <v>163</v>
      </c>
      <c r="BG3" s="114" t="s">
        <v>163</v>
      </c>
      <c r="BH3" s="114" t="s">
        <v>163</v>
      </c>
      <c r="BI3" s="114" t="s">
        <v>163</v>
      </c>
      <c r="BJ3" s="99" t="s">
        <v>163</v>
      </c>
      <c r="BK3" s="130">
        <v>4.4260719903347407</v>
      </c>
      <c r="BL3" s="130">
        <v>1.4127028274716256</v>
      </c>
    </row>
    <row r="4" spans="1:64">
      <c r="A4" s="292" t="s">
        <v>557</v>
      </c>
      <c r="B4" s="461">
        <v>3</v>
      </c>
      <c r="P4" s="280">
        <v>1</v>
      </c>
      <c r="Q4" s="3">
        <v>2</v>
      </c>
      <c r="R4" s="224">
        <v>42719</v>
      </c>
      <c r="S4" s="15">
        <v>52</v>
      </c>
      <c r="T4" s="94">
        <v>3.5</v>
      </c>
      <c r="Z4" s="97"/>
      <c r="AC4" s="70" t="s">
        <v>408</v>
      </c>
      <c r="AD4" s="70" t="s">
        <v>407</v>
      </c>
      <c r="AF4" s="174">
        <v>41699</v>
      </c>
      <c r="AG4" s="175">
        <v>8.0000000000000002E-3</v>
      </c>
      <c r="AH4" s="175">
        <v>8.0000000000000002E-3</v>
      </c>
      <c r="AI4" s="100">
        <v>41707</v>
      </c>
      <c r="AJ4" s="102">
        <v>23523.56322</v>
      </c>
      <c r="AK4" s="215"/>
      <c r="AL4" s="179" t="s">
        <v>163</v>
      </c>
      <c r="AM4" s="179" t="s">
        <v>9</v>
      </c>
      <c r="AN4" s="99" t="s">
        <v>163</v>
      </c>
      <c r="AO4" s="99" t="s">
        <v>163</v>
      </c>
      <c r="AP4" s="243">
        <v>3.6210358688097015</v>
      </c>
      <c r="AQ4" s="270">
        <v>0.3384302507367683</v>
      </c>
      <c r="AR4" s="243" t="s">
        <v>163</v>
      </c>
      <c r="AS4" s="114" t="s">
        <v>163</v>
      </c>
      <c r="AT4" s="114" t="s">
        <v>163</v>
      </c>
      <c r="AU4" s="114" t="s">
        <v>163</v>
      </c>
      <c r="AV4" s="114" t="s">
        <v>163</v>
      </c>
      <c r="AW4" s="114">
        <v>3.5338460947298662</v>
      </c>
      <c r="AX4" s="214"/>
      <c r="AY4" s="179" t="s">
        <v>163</v>
      </c>
      <c r="AZ4" s="273" t="s">
        <v>52</v>
      </c>
      <c r="BA4" s="243">
        <v>0.13476834090109405</v>
      </c>
      <c r="BB4" s="270">
        <v>0.35021295531734753</v>
      </c>
      <c r="BC4" s="243">
        <v>3.6210358688096806</v>
      </c>
      <c r="BD4" s="243" t="s">
        <v>163</v>
      </c>
      <c r="BE4" s="243" t="s">
        <v>163</v>
      </c>
      <c r="BF4" s="114" t="s">
        <v>163</v>
      </c>
      <c r="BG4" s="114" t="s">
        <v>163</v>
      </c>
      <c r="BH4" s="114" t="s">
        <v>163</v>
      </c>
      <c r="BI4" s="114" t="s">
        <v>163</v>
      </c>
      <c r="BJ4" s="99" t="s">
        <v>163</v>
      </c>
      <c r="BK4" s="130">
        <v>3.4862675279085864</v>
      </c>
      <c r="BL4" s="130">
        <v>1.3967662908668343</v>
      </c>
    </row>
    <row r="5" spans="1:64" ht="15.75" thickBot="1">
      <c r="A5" s="293" t="s">
        <v>558</v>
      </c>
      <c r="B5" s="462">
        <v>3</v>
      </c>
      <c r="P5" s="280">
        <v>1</v>
      </c>
      <c r="Q5" s="3">
        <v>3</v>
      </c>
      <c r="R5" s="224">
        <v>42750</v>
      </c>
      <c r="S5" s="15">
        <v>83</v>
      </c>
      <c r="T5" s="94">
        <v>3.5</v>
      </c>
      <c r="Z5" s="97"/>
      <c r="AC5" s="70" t="s">
        <v>559</v>
      </c>
      <c r="AD5" s="70" t="s">
        <v>407</v>
      </c>
      <c r="AF5" s="174">
        <v>41730</v>
      </c>
      <c r="AG5" s="175">
        <v>6.0000000000000001E-3</v>
      </c>
      <c r="AH5" s="175">
        <v>6.0000000000000001E-3</v>
      </c>
      <c r="AI5" s="100">
        <v>41738</v>
      </c>
      <c r="AJ5" s="102">
        <v>23641.181036099999</v>
      </c>
      <c r="AL5" s="179" t="s">
        <v>163</v>
      </c>
      <c r="AM5" s="273" t="s">
        <v>86</v>
      </c>
      <c r="AN5" s="99" t="s">
        <v>163</v>
      </c>
      <c r="AO5" s="99" t="s">
        <v>163</v>
      </c>
      <c r="AP5" s="243">
        <v>3.6273603283475042</v>
      </c>
      <c r="AQ5" s="270">
        <v>0.56778621589734368</v>
      </c>
      <c r="AR5" s="243" t="s">
        <v>163</v>
      </c>
      <c r="AS5" s="114" t="s">
        <v>163</v>
      </c>
      <c r="AT5" s="114" t="s">
        <v>163</v>
      </c>
      <c r="AU5" s="114" t="s">
        <v>163</v>
      </c>
      <c r="AV5" s="114" t="s">
        <v>163</v>
      </c>
      <c r="AW5" s="114">
        <v>3.445113839427004</v>
      </c>
      <c r="AY5" s="179" t="s">
        <v>163</v>
      </c>
      <c r="AZ5" s="179" t="s">
        <v>53</v>
      </c>
      <c r="BA5" s="243">
        <v>0.20698136860562191</v>
      </c>
      <c r="BB5" s="270">
        <v>0.50952459268820038</v>
      </c>
      <c r="BC5" s="243">
        <v>3.6252639629485137</v>
      </c>
      <c r="BD5" s="243" t="s">
        <v>163</v>
      </c>
      <c r="BE5" s="243">
        <v>1.42</v>
      </c>
      <c r="BF5" s="114">
        <v>1.213018631394378</v>
      </c>
      <c r="BG5" s="114" t="s">
        <v>163</v>
      </c>
      <c r="BH5" s="114">
        <v>1.42</v>
      </c>
      <c r="BI5" s="114" t="s">
        <v>163</v>
      </c>
      <c r="BJ5" s="99" t="s">
        <v>163</v>
      </c>
      <c r="BK5" s="130">
        <v>3.4182825943428918</v>
      </c>
      <c r="BL5" s="130">
        <v>1.2213398318054312</v>
      </c>
    </row>
    <row r="6" spans="1:64">
      <c r="P6" s="280">
        <v>1</v>
      </c>
      <c r="Q6" s="3">
        <v>4</v>
      </c>
      <c r="R6" s="224">
        <v>42781</v>
      </c>
      <c r="S6" s="15">
        <v>114</v>
      </c>
      <c r="T6" s="94">
        <v>3.5</v>
      </c>
      <c r="Z6" s="97"/>
      <c r="AF6" s="174">
        <v>41760</v>
      </c>
      <c r="AG6" s="175">
        <v>3.0000000000000001E-3</v>
      </c>
      <c r="AH6" s="175">
        <v>3.0000000000000001E-3</v>
      </c>
      <c r="AI6" s="100">
        <v>41768</v>
      </c>
      <c r="AJ6" s="102">
        <v>23830.3104843888</v>
      </c>
      <c r="AL6" s="179" t="s">
        <v>163</v>
      </c>
      <c r="AM6" s="179" t="s">
        <v>12</v>
      </c>
      <c r="AN6" s="99" t="s">
        <v>163</v>
      </c>
      <c r="AO6" s="99" t="s">
        <v>163</v>
      </c>
      <c r="AP6" s="243">
        <v>3.6419530210773372</v>
      </c>
      <c r="AQ6" s="270">
        <v>1.1061666893372626</v>
      </c>
      <c r="AR6" s="243" t="s">
        <v>163</v>
      </c>
      <c r="AS6" s="114" t="s">
        <v>163</v>
      </c>
      <c r="AT6" s="114" t="s">
        <v>163</v>
      </c>
      <c r="AU6" s="114" t="s">
        <v>163</v>
      </c>
      <c r="AV6" s="114" t="s">
        <v>163</v>
      </c>
      <c r="AW6" s="114">
        <v>3.3300502320405871</v>
      </c>
      <c r="AY6" s="179" t="s">
        <v>163</v>
      </c>
      <c r="AZ6" s="286" t="s">
        <v>54</v>
      </c>
      <c r="BA6" s="243">
        <v>0.13482960576848244</v>
      </c>
      <c r="BB6" s="270">
        <v>0.67679252863393446</v>
      </c>
      <c r="BC6" s="243">
        <v>3.6294560772606608</v>
      </c>
      <c r="BD6" s="243" t="s">
        <v>163</v>
      </c>
      <c r="BE6" s="243">
        <v>1.4</v>
      </c>
      <c r="BF6" s="114">
        <v>1.2651703942315176</v>
      </c>
      <c r="BG6" s="114">
        <v>1.4</v>
      </c>
      <c r="BH6" s="114">
        <v>1.42</v>
      </c>
      <c r="BI6" s="114">
        <v>-2.0000000000000018E-2</v>
      </c>
      <c r="BJ6" s="99" t="s">
        <v>163</v>
      </c>
      <c r="BK6" s="130">
        <v>3.4946264714921784</v>
      </c>
      <c r="BL6" s="130">
        <v>0.94928223261370726</v>
      </c>
    </row>
    <row r="7" spans="1:64" ht="15.75" thickBot="1">
      <c r="A7" s="70" t="s">
        <v>35</v>
      </c>
      <c r="P7" s="280">
        <v>1</v>
      </c>
      <c r="Q7" s="3">
        <v>5</v>
      </c>
      <c r="R7" s="224">
        <v>42809</v>
      </c>
      <c r="S7" s="15">
        <v>142</v>
      </c>
      <c r="T7" s="94">
        <v>3.5</v>
      </c>
      <c r="Z7" s="97"/>
      <c r="AF7" s="174">
        <v>41791</v>
      </c>
      <c r="AG7" s="175">
        <v>1E-3</v>
      </c>
      <c r="AH7" s="175">
        <v>1E-3</v>
      </c>
      <c r="AI7" s="100">
        <v>41799</v>
      </c>
      <c r="AJ7" s="102">
        <v>23973.292347295133</v>
      </c>
      <c r="AL7" s="179" t="s">
        <v>398</v>
      </c>
      <c r="AM7" s="183" t="s">
        <v>7</v>
      </c>
      <c r="AN7" s="99" t="s">
        <v>163</v>
      </c>
      <c r="AO7" s="99" t="s">
        <v>163</v>
      </c>
      <c r="AP7" s="243">
        <v>3.6459595757269381</v>
      </c>
      <c r="AQ7" s="270">
        <v>1.2623058545704979</v>
      </c>
      <c r="AR7" s="243" t="s">
        <v>163</v>
      </c>
      <c r="AS7" s="114" t="s">
        <v>163</v>
      </c>
      <c r="AT7" s="114" t="s">
        <v>163</v>
      </c>
      <c r="AU7" s="114" t="s">
        <v>163</v>
      </c>
      <c r="AV7" s="114" t="s">
        <v>163</v>
      </c>
      <c r="AW7" s="114">
        <v>3.3054648735256698</v>
      </c>
      <c r="AY7" s="179" t="s">
        <v>163</v>
      </c>
      <c r="AZ7" s="268" t="s">
        <v>55</v>
      </c>
      <c r="BA7" s="243">
        <v>0.13482960576848244</v>
      </c>
      <c r="BB7" s="270">
        <v>0.67679252863393446</v>
      </c>
      <c r="BC7" s="243">
        <v>3.6294560772606608</v>
      </c>
      <c r="BD7" s="243" t="s">
        <v>163</v>
      </c>
      <c r="BE7" s="243">
        <v>1.41</v>
      </c>
      <c r="BF7" s="114">
        <v>1.2751703942315176</v>
      </c>
      <c r="BG7" s="114">
        <v>1.41</v>
      </c>
      <c r="BH7" s="114">
        <v>1.42</v>
      </c>
      <c r="BI7" s="114">
        <v>-1.0000000000000009E-2</v>
      </c>
      <c r="BJ7" s="99" t="s">
        <v>163</v>
      </c>
      <c r="BK7" s="130">
        <v>3.4946264714921784</v>
      </c>
      <c r="BL7" s="130">
        <v>0.94928223261370726</v>
      </c>
    </row>
    <row r="8" spans="1:64">
      <c r="A8" s="67">
        <v>42667</v>
      </c>
      <c r="B8" s="90">
        <v>3.5</v>
      </c>
      <c r="P8" s="280">
        <v>1</v>
      </c>
      <c r="Q8" s="3">
        <v>6</v>
      </c>
      <c r="R8" s="225">
        <v>42840</v>
      </c>
      <c r="S8" s="15">
        <v>173</v>
      </c>
      <c r="T8" s="94">
        <v>3.5</v>
      </c>
      <c r="Z8" s="97"/>
      <c r="AF8" s="174">
        <v>41821</v>
      </c>
      <c r="AG8" s="175">
        <v>2E-3</v>
      </c>
      <c r="AH8" s="175">
        <v>2E-3</v>
      </c>
      <c r="AI8" s="100">
        <v>41829</v>
      </c>
      <c r="AJ8" s="102">
        <v>24045.212224337018</v>
      </c>
      <c r="AL8" s="179" t="s">
        <v>398</v>
      </c>
      <c r="AM8" s="179" t="s">
        <v>87</v>
      </c>
      <c r="AN8" s="99" t="s">
        <v>583</v>
      </c>
      <c r="AO8" s="99" t="s">
        <v>143</v>
      </c>
      <c r="AP8" s="243">
        <v>3.6459595757269381</v>
      </c>
      <c r="AQ8" s="270">
        <v>1.2623058545704979</v>
      </c>
      <c r="AR8" s="243">
        <v>3.48</v>
      </c>
      <c r="AS8" s="114">
        <v>-0.16595957572693809</v>
      </c>
      <c r="AT8" s="114" t="s">
        <v>163</v>
      </c>
      <c r="AU8" s="114">
        <v>3.48</v>
      </c>
      <c r="AV8" s="114" t="s">
        <v>163</v>
      </c>
      <c r="AW8" s="114">
        <v>3.3054648735256698</v>
      </c>
      <c r="AY8" s="179" t="s">
        <v>163</v>
      </c>
      <c r="AZ8" s="268" t="s">
        <v>57</v>
      </c>
      <c r="BA8" s="243">
        <v>0.22094929901276361</v>
      </c>
      <c r="BB8" s="270">
        <v>1.1648385645520345</v>
      </c>
      <c r="BC8" s="243">
        <v>3.6421151072446998</v>
      </c>
      <c r="BD8" s="243">
        <v>3.48</v>
      </c>
      <c r="BE8" s="243" t="s">
        <v>163</v>
      </c>
      <c r="BF8" s="114" t="s">
        <v>163</v>
      </c>
      <c r="BG8" s="114" t="s">
        <v>163</v>
      </c>
      <c r="BH8" s="114" t="s">
        <v>163</v>
      </c>
      <c r="BI8" s="114" t="s">
        <v>163</v>
      </c>
      <c r="BJ8" s="99" t="s">
        <v>163</v>
      </c>
      <c r="BK8" s="130">
        <v>3.4211658082319363</v>
      </c>
      <c r="BL8" s="130">
        <v>0.66135793729291414</v>
      </c>
    </row>
    <row r="9" spans="1:64">
      <c r="A9" s="68">
        <v>42691</v>
      </c>
      <c r="B9" s="91">
        <v>3.5</v>
      </c>
      <c r="P9" s="280">
        <v>1</v>
      </c>
      <c r="Q9" s="3">
        <v>7</v>
      </c>
      <c r="R9" s="224">
        <v>42870</v>
      </c>
      <c r="S9" s="15">
        <v>203</v>
      </c>
      <c r="T9" s="94">
        <v>3.5</v>
      </c>
      <c r="Z9" s="97"/>
      <c r="AF9" s="174">
        <v>41852</v>
      </c>
      <c r="AG9" s="175">
        <v>3.0000000000000001E-3</v>
      </c>
      <c r="AH9" s="175">
        <v>3.0000000000000001E-3</v>
      </c>
      <c r="AI9" s="100">
        <v>41860</v>
      </c>
      <c r="AJ9" s="102">
        <v>24069.257436561351</v>
      </c>
      <c r="AK9" s="215"/>
      <c r="AL9" s="179" t="s">
        <v>398</v>
      </c>
      <c r="AM9" s="179" t="s">
        <v>13</v>
      </c>
      <c r="AN9" s="99" t="s">
        <v>163</v>
      </c>
      <c r="AO9" s="99" t="s">
        <v>163</v>
      </c>
      <c r="AP9" s="243">
        <v>3.6510172398954648</v>
      </c>
      <c r="AQ9" s="270">
        <v>1.3839627141258106</v>
      </c>
      <c r="AR9" s="243" t="s">
        <v>163</v>
      </c>
      <c r="AS9" s="114" t="s">
        <v>163</v>
      </c>
      <c r="AT9" s="114" t="s">
        <v>163</v>
      </c>
      <c r="AU9" s="114" t="s">
        <v>163</v>
      </c>
      <c r="AV9" s="114" t="s">
        <v>163</v>
      </c>
      <c r="AW9" s="114">
        <v>3.2823384611909954</v>
      </c>
      <c r="AY9" s="179" t="s">
        <v>49</v>
      </c>
      <c r="AZ9" s="241" t="s">
        <v>58</v>
      </c>
      <c r="BA9" s="243">
        <v>0.41835705352586106</v>
      </c>
      <c r="BB9" s="270">
        <v>1.3236025676011327</v>
      </c>
      <c r="BC9" s="243">
        <v>3.6461653216153329</v>
      </c>
      <c r="BD9" s="243">
        <v>3.48</v>
      </c>
      <c r="BE9" s="243">
        <v>1.07</v>
      </c>
      <c r="BF9" s="114">
        <v>0.65164294647413901</v>
      </c>
      <c r="BG9" s="114">
        <v>1.07</v>
      </c>
      <c r="BH9" s="114">
        <v>1.05</v>
      </c>
      <c r="BI9" s="114">
        <v>2.0000000000000018E-2</v>
      </c>
      <c r="BJ9" s="99">
        <v>2.41</v>
      </c>
      <c r="BK9" s="130">
        <v>3.227808268089472</v>
      </c>
      <c r="BL9" s="130">
        <v>0.72246186904867826</v>
      </c>
    </row>
    <row r="10" spans="1:64">
      <c r="A10" s="68">
        <v>42719</v>
      </c>
      <c r="B10" s="91">
        <v>3.5</v>
      </c>
      <c r="P10" s="280">
        <v>1</v>
      </c>
      <c r="Q10" s="3">
        <v>8</v>
      </c>
      <c r="R10" s="224">
        <v>42901</v>
      </c>
      <c r="S10" s="15">
        <v>234</v>
      </c>
      <c r="T10" s="94">
        <v>3.5</v>
      </c>
      <c r="Z10" s="97"/>
      <c r="AF10" s="174">
        <v>41883</v>
      </c>
      <c r="AG10" s="175">
        <v>8.0000000000000002E-3</v>
      </c>
      <c r="AH10" s="175">
        <v>8.0000000000000002E-3</v>
      </c>
      <c r="AI10" s="100">
        <v>41891</v>
      </c>
      <c r="AJ10" s="102">
        <v>24117.395951434475</v>
      </c>
      <c r="AK10" s="215"/>
      <c r="AL10" s="179" t="s">
        <v>398</v>
      </c>
      <c r="AM10" s="179" t="s">
        <v>42</v>
      </c>
      <c r="AN10" s="99" t="s">
        <v>163</v>
      </c>
      <c r="AO10" s="99" t="s">
        <v>163</v>
      </c>
      <c r="AP10" s="243">
        <v>3.6565351265817703</v>
      </c>
      <c r="AQ10" s="270">
        <v>1.4656687018144507</v>
      </c>
      <c r="AR10" s="243" t="s">
        <v>163</v>
      </c>
      <c r="AS10" s="114" t="s">
        <v>163</v>
      </c>
      <c r="AT10" s="114" t="s">
        <v>163</v>
      </c>
      <c r="AU10" s="114" t="s">
        <v>163</v>
      </c>
      <c r="AV10" s="114" t="s">
        <v>163</v>
      </c>
      <c r="AW10" s="114">
        <v>3.2861409637760772</v>
      </c>
      <c r="AX10" s="214"/>
      <c r="AY10" s="179" t="s">
        <v>49</v>
      </c>
      <c r="AZ10" s="277" t="s">
        <v>59</v>
      </c>
      <c r="BA10" s="243">
        <v>0.46380296987844838</v>
      </c>
      <c r="BB10" s="270">
        <v>1.6347923429335232</v>
      </c>
      <c r="BC10" s="243">
        <v>3.6651473429194339</v>
      </c>
      <c r="BD10" s="243">
        <v>3.48</v>
      </c>
      <c r="BE10" s="243" t="s">
        <v>163</v>
      </c>
      <c r="BF10" s="114" t="s">
        <v>163</v>
      </c>
      <c r="BG10" s="114" t="s">
        <v>163</v>
      </c>
      <c r="BH10" s="114" t="s">
        <v>163</v>
      </c>
      <c r="BI10" s="114" t="s">
        <v>163</v>
      </c>
      <c r="BJ10" s="99" t="s">
        <v>163</v>
      </c>
      <c r="BK10" s="130">
        <v>3.2013443730409854</v>
      </c>
      <c r="BL10" s="130">
        <v>0.69794654416491109</v>
      </c>
    </row>
    <row r="11" spans="1:64">
      <c r="A11" s="68">
        <v>42750</v>
      </c>
      <c r="B11" s="91">
        <v>3.5</v>
      </c>
      <c r="P11" s="280">
        <v>1</v>
      </c>
      <c r="Q11" s="3">
        <v>9</v>
      </c>
      <c r="R11" s="224">
        <v>42931</v>
      </c>
      <c r="S11" s="15">
        <v>264</v>
      </c>
      <c r="T11" s="94">
        <v>3.5</v>
      </c>
      <c r="Z11" s="97"/>
      <c r="AF11" s="174">
        <v>41913</v>
      </c>
      <c r="AG11" s="175">
        <v>0.01</v>
      </c>
      <c r="AH11" s="175">
        <v>0.01</v>
      </c>
      <c r="AI11" s="100">
        <v>41921</v>
      </c>
      <c r="AJ11" s="102">
        <v>24189.748139288775</v>
      </c>
      <c r="AK11" s="213" t="s">
        <v>173</v>
      </c>
      <c r="AL11" s="179" t="s">
        <v>398</v>
      </c>
      <c r="AM11" s="227" t="s">
        <v>88</v>
      </c>
      <c r="AN11" s="99" t="s">
        <v>163</v>
      </c>
      <c r="AO11" s="99" t="s">
        <v>163</v>
      </c>
      <c r="AP11" s="243">
        <v>3.7506435212858964</v>
      </c>
      <c r="AQ11" s="270">
        <v>1.9774579336518074</v>
      </c>
      <c r="AR11" s="243" t="s">
        <v>163</v>
      </c>
      <c r="AS11" s="114" t="s">
        <v>163</v>
      </c>
      <c r="AT11" s="114" t="s">
        <v>163</v>
      </c>
      <c r="AU11" s="114" t="s">
        <v>163</v>
      </c>
      <c r="AV11" s="114" t="s">
        <v>163</v>
      </c>
      <c r="AW11" s="114">
        <v>3.3153612009225903</v>
      </c>
      <c r="AX11" s="23" t="s">
        <v>173</v>
      </c>
      <c r="AY11" s="179" t="s">
        <v>49</v>
      </c>
      <c r="AZ11" s="404" t="s">
        <v>60</v>
      </c>
      <c r="BA11" s="243">
        <v>0.4840329806577412</v>
      </c>
      <c r="BB11" s="270">
        <v>1.7189760350445631</v>
      </c>
      <c r="BC11" s="243">
        <v>3.6761574402814032</v>
      </c>
      <c r="BD11" s="243">
        <v>3.48</v>
      </c>
      <c r="BE11" s="243">
        <v>1.1000000000000001</v>
      </c>
      <c r="BF11" s="114">
        <v>0.61596701934225884</v>
      </c>
      <c r="BG11" s="114">
        <v>1.1000000000000001</v>
      </c>
      <c r="BH11" s="114">
        <v>1.02</v>
      </c>
      <c r="BI11" s="114">
        <v>8.0000000000000071E-2</v>
      </c>
      <c r="BJ11" s="99">
        <v>2.38</v>
      </c>
      <c r="BK11" s="130">
        <v>3.192124459623662</v>
      </c>
      <c r="BL11" s="130">
        <v>0.6596824137229419</v>
      </c>
    </row>
    <row r="12" spans="1:64">
      <c r="A12" s="68">
        <v>42781</v>
      </c>
      <c r="B12" s="91">
        <v>3.5</v>
      </c>
      <c r="P12" s="280">
        <v>3</v>
      </c>
      <c r="Q12" s="3">
        <v>12</v>
      </c>
      <c r="R12" s="224">
        <v>43023</v>
      </c>
      <c r="S12" s="15">
        <v>356</v>
      </c>
      <c r="T12" s="94">
        <v>3.5</v>
      </c>
      <c r="Z12" s="97"/>
      <c r="AE12" s="100"/>
      <c r="AF12" s="174">
        <v>41944</v>
      </c>
      <c r="AG12" s="175">
        <v>0</v>
      </c>
      <c r="AH12" s="175">
        <v>0</v>
      </c>
      <c r="AI12" s="100">
        <v>41952</v>
      </c>
      <c r="AJ12" s="102">
        <v>24383.266124403086</v>
      </c>
      <c r="AK12" s="213"/>
      <c r="AL12" s="179" t="s">
        <v>399</v>
      </c>
      <c r="AM12" s="404" t="s">
        <v>10</v>
      </c>
      <c r="AN12" s="99" t="s">
        <v>163</v>
      </c>
      <c r="AO12" s="99" t="s">
        <v>163</v>
      </c>
      <c r="AP12" s="243">
        <v>3.9526036908795175</v>
      </c>
      <c r="AQ12" s="270">
        <v>2.7978118300114754</v>
      </c>
      <c r="AR12" s="243" t="s">
        <v>163</v>
      </c>
      <c r="AS12" s="114" t="s">
        <v>163</v>
      </c>
      <c r="AT12" s="114" t="s">
        <v>163</v>
      </c>
      <c r="AU12" s="114" t="s">
        <v>163</v>
      </c>
      <c r="AV12" s="114" t="s">
        <v>163</v>
      </c>
      <c r="AW12" s="114">
        <v>3.3948407212389227</v>
      </c>
      <c r="AX12" s="214"/>
      <c r="AY12" s="179" t="s">
        <v>50</v>
      </c>
      <c r="AZ12" s="242" t="s">
        <v>61</v>
      </c>
      <c r="BA12" s="243">
        <v>0.52622898854714095</v>
      </c>
      <c r="BB12" s="270">
        <v>1.8843271501697867</v>
      </c>
      <c r="BC12" s="243">
        <v>3.7038977754167179</v>
      </c>
      <c r="BD12" s="243">
        <v>3.48</v>
      </c>
      <c r="BE12" s="243">
        <v>1.03</v>
      </c>
      <c r="BF12" s="114">
        <v>0.50377101145285907</v>
      </c>
      <c r="BG12" s="114" t="s">
        <v>163</v>
      </c>
      <c r="BH12" s="114">
        <v>1.03</v>
      </c>
      <c r="BI12" s="114" t="s">
        <v>163</v>
      </c>
      <c r="BJ12" s="99">
        <v>2.4500000000000002</v>
      </c>
      <c r="BK12" s="130">
        <v>3.1776687868695772</v>
      </c>
      <c r="BL12" s="130">
        <v>0.58407088213298375</v>
      </c>
    </row>
    <row r="13" spans="1:64">
      <c r="A13" s="68">
        <v>42809</v>
      </c>
      <c r="B13" s="91">
        <v>3.5</v>
      </c>
      <c r="P13" s="280">
        <v>3</v>
      </c>
      <c r="Q13" s="3">
        <v>15</v>
      </c>
      <c r="R13" s="224">
        <v>43115</v>
      </c>
      <c r="S13" s="15">
        <v>448</v>
      </c>
      <c r="T13" s="94">
        <v>3.5</v>
      </c>
      <c r="Z13" s="97"/>
      <c r="AF13" s="174">
        <v>41974</v>
      </c>
      <c r="AG13" s="175">
        <v>-4.0000000000000001E-3</v>
      </c>
      <c r="AH13" s="175">
        <v>-4.0000000000000001E-3</v>
      </c>
      <c r="AI13" s="100">
        <v>41982</v>
      </c>
      <c r="AJ13" s="102">
        <v>24627.098785647118</v>
      </c>
      <c r="AK13" s="213"/>
      <c r="AL13" s="179" t="s">
        <v>400</v>
      </c>
      <c r="AM13" s="179" t="s">
        <v>389</v>
      </c>
      <c r="AN13" s="99" t="s">
        <v>578</v>
      </c>
      <c r="AO13" s="99" t="s">
        <v>144</v>
      </c>
      <c r="AP13" s="243">
        <v>3.9918808557278611</v>
      </c>
      <c r="AQ13" s="270">
        <v>3.0941449985259335</v>
      </c>
      <c r="AR13" s="243">
        <v>3.67</v>
      </c>
      <c r="AS13" s="114">
        <v>-0.32188085572786118</v>
      </c>
      <c r="AT13" s="114">
        <v>3.67</v>
      </c>
      <c r="AU13" s="114" t="s">
        <v>163</v>
      </c>
      <c r="AV13" s="114" t="s">
        <v>163</v>
      </c>
      <c r="AW13" s="114">
        <v>3.4261721213972072</v>
      </c>
      <c r="AY13" s="179" t="s">
        <v>50</v>
      </c>
      <c r="AZ13" s="330" t="s">
        <v>63</v>
      </c>
      <c r="BA13" s="243">
        <v>0.58563546632587538</v>
      </c>
      <c r="BB13" s="270">
        <v>2.1062375555511559</v>
      </c>
      <c r="BC13" s="243">
        <v>3.7531653227138091</v>
      </c>
      <c r="BD13" s="243" t="s">
        <v>163</v>
      </c>
      <c r="BE13" s="243" t="s">
        <v>163</v>
      </c>
      <c r="BF13" s="114" t="s">
        <v>163</v>
      </c>
      <c r="BG13" s="114" t="s">
        <v>163</v>
      </c>
      <c r="BH13" s="114" t="s">
        <v>163</v>
      </c>
      <c r="BI13" s="114" t="s">
        <v>163</v>
      </c>
      <c r="BJ13" s="99" t="s">
        <v>163</v>
      </c>
      <c r="BK13" s="130">
        <v>3.1675298563879339</v>
      </c>
      <c r="BL13" s="130">
        <v>0.54939435370153433</v>
      </c>
    </row>
    <row r="14" spans="1:64" ht="15.75" thickBot="1">
      <c r="A14" s="68">
        <v>42840</v>
      </c>
      <c r="B14" s="91">
        <v>3.5</v>
      </c>
      <c r="P14" s="280">
        <v>3</v>
      </c>
      <c r="Q14" s="3">
        <v>18</v>
      </c>
      <c r="R14" s="224">
        <v>43205</v>
      </c>
      <c r="S14" s="15">
        <v>538</v>
      </c>
      <c r="T14" s="94">
        <v>3.5</v>
      </c>
      <c r="Z14" s="97"/>
      <c r="AF14" s="103">
        <v>42005</v>
      </c>
      <c r="AG14" s="104">
        <v>1E-3</v>
      </c>
      <c r="AH14" s="104">
        <v>1E-3</v>
      </c>
      <c r="AI14" s="100">
        <v>42013</v>
      </c>
      <c r="AJ14" s="102">
        <v>24627.098785647118</v>
      </c>
      <c r="AK14" s="213"/>
      <c r="AL14" s="179" t="s">
        <v>400</v>
      </c>
      <c r="AM14" s="246" t="s">
        <v>448</v>
      </c>
      <c r="AN14" s="99" t="s">
        <v>579</v>
      </c>
      <c r="AO14" s="99" t="s">
        <v>144</v>
      </c>
      <c r="AP14" s="243">
        <v>4.0128084258761287</v>
      </c>
      <c r="AQ14" s="270">
        <v>3.1858456300353932</v>
      </c>
      <c r="AR14" s="243">
        <v>3.7</v>
      </c>
      <c r="AS14" s="114">
        <v>-0.31280842587612856</v>
      </c>
      <c r="AT14" s="114">
        <v>3.7</v>
      </c>
      <c r="AU14" s="114">
        <v>3.68</v>
      </c>
      <c r="AV14" s="114">
        <v>2.0000000000000018E-2</v>
      </c>
      <c r="AW14" s="114">
        <v>3.4465526058702123</v>
      </c>
      <c r="AY14" s="179" t="s">
        <v>50</v>
      </c>
      <c r="AZ14" s="404" t="s">
        <v>64</v>
      </c>
      <c r="BA14" s="243">
        <v>0.67201640444534239</v>
      </c>
      <c r="BB14" s="270">
        <v>2.3974553403952843</v>
      </c>
      <c r="BC14" s="243">
        <v>3.8308776348001596</v>
      </c>
      <c r="BD14" s="243" t="s">
        <v>163</v>
      </c>
      <c r="BE14" s="243" t="s">
        <v>163</v>
      </c>
      <c r="BF14" s="114" t="s">
        <v>163</v>
      </c>
      <c r="BG14" s="114" t="s">
        <v>163</v>
      </c>
      <c r="BH14" s="114" t="s">
        <v>163</v>
      </c>
      <c r="BI14" s="114" t="s">
        <v>163</v>
      </c>
      <c r="BJ14" s="99" t="s">
        <v>163</v>
      </c>
      <c r="BK14" s="130">
        <v>3.1588612303548174</v>
      </c>
      <c r="BL14" s="130">
        <v>0.54176020611508646</v>
      </c>
    </row>
    <row r="15" spans="1:64">
      <c r="A15" s="68">
        <v>42870</v>
      </c>
      <c r="B15" s="91">
        <v>3.5</v>
      </c>
      <c r="Q15" s="21">
        <v>2.473972602739726</v>
      </c>
      <c r="R15" s="20">
        <v>43570</v>
      </c>
      <c r="S15" s="22">
        <v>903</v>
      </c>
      <c r="T15" s="94">
        <v>4.25</v>
      </c>
      <c r="Z15" s="97"/>
      <c r="AC15" s="100"/>
      <c r="AF15" s="103">
        <v>42036</v>
      </c>
      <c r="AG15" s="104">
        <v>4.0000000000000001E-3</v>
      </c>
      <c r="AH15" s="104">
        <v>4.0000000000000001E-3</v>
      </c>
      <c r="AI15" s="100">
        <v>42044</v>
      </c>
      <c r="AJ15" s="102">
        <v>24528.590390504531</v>
      </c>
      <c r="AK15" s="213"/>
      <c r="AL15" s="179" t="s">
        <v>400</v>
      </c>
      <c r="AM15" s="218" t="s">
        <v>14</v>
      </c>
      <c r="AN15" s="99" t="s">
        <v>576</v>
      </c>
      <c r="AO15" s="99" t="s">
        <v>577</v>
      </c>
      <c r="AP15" s="243">
        <v>4.0755687027470415</v>
      </c>
      <c r="AQ15" s="270">
        <v>3.6585359127303687</v>
      </c>
      <c r="AR15" s="243">
        <v>3.84</v>
      </c>
      <c r="AS15" s="114">
        <v>-0.23556870274704167</v>
      </c>
      <c r="AT15" s="114">
        <v>3.84</v>
      </c>
      <c r="AU15" s="114">
        <v>3.81</v>
      </c>
      <c r="AV15" s="114">
        <v>2.9999999999999805E-2</v>
      </c>
      <c r="AW15" s="114">
        <v>3.5275688623347952</v>
      </c>
      <c r="AY15" s="180" t="s">
        <v>50</v>
      </c>
      <c r="AZ15" s="322" t="s">
        <v>65</v>
      </c>
      <c r="BA15" s="243">
        <v>0.71377719297872744</v>
      </c>
      <c r="BB15" s="270">
        <v>2.5623258128829818</v>
      </c>
      <c r="BC15" s="243">
        <v>3.8690607220768931</v>
      </c>
      <c r="BD15" s="243" t="s">
        <v>163</v>
      </c>
      <c r="BE15" s="243">
        <v>1.06</v>
      </c>
      <c r="BF15" s="114">
        <v>0.34622280702127262</v>
      </c>
      <c r="BG15" s="114">
        <v>1.06</v>
      </c>
      <c r="BH15" s="114" t="s">
        <v>163</v>
      </c>
      <c r="BI15" s="114" t="s">
        <v>163</v>
      </c>
      <c r="BJ15" s="99" t="s">
        <v>163</v>
      </c>
      <c r="BK15" s="130">
        <v>3.1552835290981656</v>
      </c>
      <c r="BL15" s="130">
        <v>0.53850833994544767</v>
      </c>
    </row>
    <row r="16" spans="1:64" ht="19.5" thickBot="1">
      <c r="A16" s="116">
        <v>42901</v>
      </c>
      <c r="B16" s="117">
        <v>3.5</v>
      </c>
      <c r="C16" s="115"/>
      <c r="D16" s="564" t="s">
        <v>542</v>
      </c>
      <c r="E16" s="564"/>
      <c r="F16" s="115"/>
      <c r="G16" s="564" t="s">
        <v>39</v>
      </c>
      <c r="H16" s="564"/>
      <c r="I16" s="115"/>
      <c r="J16" s="564" t="s">
        <v>541</v>
      </c>
      <c r="K16" s="564"/>
      <c r="L16" s="115"/>
      <c r="M16" s="564" t="s">
        <v>41</v>
      </c>
      <c r="N16" s="564"/>
      <c r="O16" s="115"/>
      <c r="P16" s="115"/>
      <c r="Q16" s="118">
        <v>3.4767123287671233</v>
      </c>
      <c r="R16" s="119">
        <v>43936</v>
      </c>
      <c r="S16" s="120">
        <v>1269</v>
      </c>
      <c r="T16" s="121">
        <v>4.25</v>
      </c>
      <c r="U16" s="115"/>
      <c r="V16" s="115"/>
      <c r="W16" s="115"/>
      <c r="X16" s="115"/>
      <c r="Y16" s="115"/>
      <c r="Z16" s="122"/>
      <c r="AA16" s="115"/>
      <c r="AB16" s="115"/>
      <c r="AC16" s="115"/>
      <c r="AD16" s="125"/>
      <c r="AE16" s="115"/>
      <c r="AF16" s="123">
        <v>42064</v>
      </c>
      <c r="AG16" s="124">
        <v>6.0000000000000001E-3</v>
      </c>
      <c r="AH16" s="104">
        <v>6.0000000000000001E-3</v>
      </c>
      <c r="AI16" s="125">
        <v>42072</v>
      </c>
      <c r="AJ16" s="102">
        <v>24553.118980895033</v>
      </c>
      <c r="AK16" s="213" t="s">
        <v>173</v>
      </c>
      <c r="AL16" s="179" t="s">
        <v>401</v>
      </c>
      <c r="AM16" s="281" t="s">
        <v>561</v>
      </c>
      <c r="AN16" s="99" t="s">
        <v>580</v>
      </c>
      <c r="AO16" s="99" t="s">
        <v>577</v>
      </c>
      <c r="AP16" s="243">
        <v>4.0877304133427268</v>
      </c>
      <c r="AQ16" s="270">
        <v>3.8248007961569868</v>
      </c>
      <c r="AR16" s="243">
        <v>3.84</v>
      </c>
      <c r="AS16" s="114">
        <v>-0.24773041334272694</v>
      </c>
      <c r="AT16" s="114">
        <v>3.84</v>
      </c>
      <c r="AU16" s="114">
        <v>3.81</v>
      </c>
      <c r="AV16" s="114">
        <v>2.9999999999999805E-2</v>
      </c>
      <c r="AW16" s="114">
        <v>3.5414795687378637</v>
      </c>
      <c r="AY16" s="180" t="s">
        <v>50</v>
      </c>
      <c r="AZ16" s="286" t="s">
        <v>66</v>
      </c>
      <c r="BA16" s="243">
        <v>0.81982382917644125</v>
      </c>
      <c r="BB16" s="270">
        <v>3.0192074032926306</v>
      </c>
      <c r="BC16" s="243">
        <v>3.9607717606305504</v>
      </c>
      <c r="BD16" s="243">
        <v>3.67</v>
      </c>
      <c r="BE16" s="243">
        <v>1.05</v>
      </c>
      <c r="BF16" s="114">
        <v>0.23017617082355879</v>
      </c>
      <c r="BG16" s="114">
        <v>1.05</v>
      </c>
      <c r="BH16" s="114">
        <v>1.03</v>
      </c>
      <c r="BI16" s="114">
        <v>2.0000000000000018E-2</v>
      </c>
      <c r="BJ16" s="99">
        <v>2.62</v>
      </c>
      <c r="BK16" s="130">
        <v>3.1409479314541091</v>
      </c>
      <c r="BL16" s="130">
        <v>0.54949706378022389</v>
      </c>
    </row>
    <row r="17" spans="1:64" ht="16.5" thickBot="1">
      <c r="A17" s="68">
        <v>42931</v>
      </c>
      <c r="B17" s="91">
        <v>3.5</v>
      </c>
      <c r="D17" s="565">
        <v>0</v>
      </c>
      <c r="E17" s="566"/>
      <c r="F17" s="79"/>
      <c r="G17" s="565">
        <v>1</v>
      </c>
      <c r="H17" s="566"/>
      <c r="I17" s="79"/>
      <c r="J17" s="565">
        <v>0</v>
      </c>
      <c r="K17" s="566"/>
      <c r="M17" s="565">
        <v>0</v>
      </c>
      <c r="N17" s="566"/>
      <c r="Q17" s="13">
        <v>4.4767123287671229</v>
      </c>
      <c r="R17" s="20">
        <v>44301</v>
      </c>
      <c r="S17" s="16">
        <v>1634</v>
      </c>
      <c r="T17" s="94">
        <v>4.25</v>
      </c>
      <c r="Z17" s="97"/>
      <c r="AF17" s="103">
        <v>42095</v>
      </c>
      <c r="AG17" s="104">
        <v>6.0000000000000001E-3</v>
      </c>
      <c r="AH17" s="104">
        <v>6.0000000000000001E-3</v>
      </c>
      <c r="AI17" s="100">
        <v>42103</v>
      </c>
      <c r="AJ17" s="102">
        <v>24651.331456818614</v>
      </c>
      <c r="AK17" s="215"/>
      <c r="AL17" s="179" t="s">
        <v>401</v>
      </c>
      <c r="AM17" s="179" t="s">
        <v>44</v>
      </c>
      <c r="AN17" s="99" t="s">
        <v>163</v>
      </c>
      <c r="AO17" s="99" t="s">
        <v>163</v>
      </c>
      <c r="AP17" s="243">
        <v>4.1411772748241438</v>
      </c>
      <c r="AQ17" s="270">
        <v>4.3150311707973614</v>
      </c>
      <c r="AR17" s="243" t="s">
        <v>163</v>
      </c>
      <c r="AS17" s="114" t="s">
        <v>163</v>
      </c>
      <c r="AT17" s="114" t="s">
        <v>163</v>
      </c>
      <c r="AU17" s="114" t="s">
        <v>163</v>
      </c>
      <c r="AV17" s="114" t="s">
        <v>163</v>
      </c>
      <c r="AW17" s="114">
        <v>3.6424318116420187</v>
      </c>
      <c r="AY17" s="180" t="s">
        <v>56</v>
      </c>
      <c r="AZ17" s="318" t="s">
        <v>68</v>
      </c>
      <c r="BA17" s="243">
        <v>0.9646452676199605</v>
      </c>
      <c r="BB17" s="270">
        <v>3.9938056856325339</v>
      </c>
      <c r="BC17" s="243">
        <v>4.087119736343034</v>
      </c>
      <c r="BD17" s="243">
        <v>3.84</v>
      </c>
      <c r="BE17" s="243">
        <v>1.02</v>
      </c>
      <c r="BF17" s="114">
        <v>5.5354732380039517E-2</v>
      </c>
      <c r="BG17" s="114">
        <v>1.02</v>
      </c>
      <c r="BH17" s="114">
        <v>1.02</v>
      </c>
      <c r="BI17" s="114">
        <v>0</v>
      </c>
      <c r="BJ17" s="99">
        <v>2.82</v>
      </c>
      <c r="BK17" s="130">
        <v>3.1224744687230737</v>
      </c>
      <c r="BL17" s="130">
        <v>0.67094245530804464</v>
      </c>
    </row>
    <row r="18" spans="1:64" ht="15.75" thickBot="1">
      <c r="A18" s="68">
        <v>43023</v>
      </c>
      <c r="B18" s="91">
        <v>3.5</v>
      </c>
      <c r="D18" s="228"/>
      <c r="Q18" s="14">
        <v>5.4767123287671229</v>
      </c>
      <c r="R18" s="80">
        <v>44666</v>
      </c>
      <c r="S18" s="17">
        <v>1999</v>
      </c>
      <c r="T18" s="94">
        <v>4.25</v>
      </c>
      <c r="Z18" s="97"/>
      <c r="AF18" s="103">
        <v>42125</v>
      </c>
      <c r="AG18" s="104">
        <v>2E-3</v>
      </c>
      <c r="AH18" s="104">
        <v>2E-3</v>
      </c>
      <c r="AI18" s="100">
        <v>42133</v>
      </c>
      <c r="AJ18" s="102">
        <v>24799.239445559528</v>
      </c>
      <c r="AL18" s="179" t="s">
        <v>402</v>
      </c>
      <c r="AM18" s="403" t="s">
        <v>89</v>
      </c>
      <c r="AN18" s="99" t="s">
        <v>560</v>
      </c>
      <c r="AO18" s="99" t="s">
        <v>543</v>
      </c>
      <c r="AP18" s="243">
        <v>4.1507605637989906</v>
      </c>
      <c r="AQ18" s="270">
        <v>4.4707597313251153</v>
      </c>
      <c r="AR18" s="243">
        <v>3.85</v>
      </c>
      <c r="AS18" s="114">
        <v>-0.30076056379899052</v>
      </c>
      <c r="AT18" s="114">
        <v>3.85</v>
      </c>
      <c r="AU18" s="114">
        <v>3.82</v>
      </c>
      <c r="AV18" s="114">
        <v>3.0000000000000249E-2</v>
      </c>
      <c r="AW18" s="114">
        <v>3.6602951932332934</v>
      </c>
      <c r="AY18" s="179" t="s">
        <v>62</v>
      </c>
      <c r="AZ18" s="404" t="s">
        <v>470</v>
      </c>
      <c r="BA18" s="243">
        <v>0.97721406464676963</v>
      </c>
      <c r="BB18" s="270">
        <v>4.1827082037950074</v>
      </c>
      <c r="BC18" s="243">
        <v>4.1002823596851199</v>
      </c>
      <c r="BD18" s="243">
        <v>3.84</v>
      </c>
      <c r="BE18" s="243">
        <v>1.06</v>
      </c>
      <c r="BF18" s="114">
        <v>8.2785935353230422E-2</v>
      </c>
      <c r="BG18" s="114">
        <v>1.06</v>
      </c>
      <c r="BH18" s="114">
        <v>1.02</v>
      </c>
      <c r="BI18" s="114">
        <v>4.0000000000000036E-2</v>
      </c>
      <c r="BJ18" s="99">
        <v>2.78</v>
      </c>
      <c r="BK18" s="130">
        <v>3.1230682950383502</v>
      </c>
      <c r="BL18" s="130">
        <v>0.68486450025296453</v>
      </c>
    </row>
    <row r="19" spans="1:64" ht="15.75" thickBot="1">
      <c r="A19" s="68">
        <v>43115</v>
      </c>
      <c r="B19" s="91">
        <v>3.5</v>
      </c>
      <c r="D19" s="70" t="s">
        <v>34</v>
      </c>
      <c r="G19" s="70" t="s">
        <v>34</v>
      </c>
      <c r="J19" s="70" t="s">
        <v>34</v>
      </c>
      <c r="M19" s="70" t="s">
        <v>34</v>
      </c>
      <c r="Q19" s="13">
        <v>6.4767123287671229</v>
      </c>
      <c r="R19" s="20">
        <v>45031</v>
      </c>
      <c r="S19" s="16">
        <v>2364</v>
      </c>
      <c r="T19" s="94">
        <v>4.25</v>
      </c>
      <c r="Z19" s="97"/>
      <c r="AF19" s="103">
        <v>42156</v>
      </c>
      <c r="AG19" s="104">
        <v>5.0000000000000001E-3</v>
      </c>
      <c r="AH19" s="104">
        <v>5.0000000000000001E-3</v>
      </c>
      <c r="AI19" s="100">
        <v>42164</v>
      </c>
      <c r="AJ19" s="102">
        <v>24948.034882232885</v>
      </c>
      <c r="AK19" s="215" t="s">
        <v>173</v>
      </c>
      <c r="AL19" s="179" t="s">
        <v>402</v>
      </c>
      <c r="AM19" s="286" t="s">
        <v>43</v>
      </c>
      <c r="AN19" s="99" t="s">
        <v>163</v>
      </c>
      <c r="AO19" s="99" t="s">
        <v>163</v>
      </c>
      <c r="AP19" s="243">
        <v>4.2000388180087871</v>
      </c>
      <c r="AQ19" s="270">
        <v>5.1718951808259019</v>
      </c>
      <c r="AR19" s="243" t="s">
        <v>163</v>
      </c>
      <c r="AS19" s="114" t="s">
        <v>163</v>
      </c>
      <c r="AT19" s="114" t="s">
        <v>163</v>
      </c>
      <c r="AU19" s="114" t="s">
        <v>163</v>
      </c>
      <c r="AV19" s="114" t="s">
        <v>163</v>
      </c>
      <c r="AW19" s="114">
        <v>3.7701957639603974</v>
      </c>
      <c r="AX19" s="23" t="s">
        <v>173</v>
      </c>
      <c r="AY19" s="179" t="s">
        <v>62</v>
      </c>
      <c r="AZ19" s="179" t="s">
        <v>69</v>
      </c>
      <c r="BA19" s="243">
        <v>1.0377886384460895</v>
      </c>
      <c r="BB19" s="270">
        <v>4.775903510861812</v>
      </c>
      <c r="BC19" s="243">
        <v>4.1544665643442302</v>
      </c>
      <c r="BD19" s="243">
        <v>3.85</v>
      </c>
      <c r="BE19" s="243" t="s">
        <v>163</v>
      </c>
      <c r="BF19" s="114" t="s">
        <v>163</v>
      </c>
      <c r="BG19" s="114" t="s">
        <v>163</v>
      </c>
      <c r="BH19" s="114" t="s">
        <v>163</v>
      </c>
      <c r="BI19" s="114" t="s">
        <v>163</v>
      </c>
      <c r="BJ19" s="99" t="s">
        <v>163</v>
      </c>
      <c r="BK19" s="130">
        <v>3.1166779258981405</v>
      </c>
      <c r="BL19" s="130">
        <v>0.8049246532308022</v>
      </c>
    </row>
    <row r="20" spans="1:64">
      <c r="A20" s="68">
        <v>43205</v>
      </c>
      <c r="B20" s="91">
        <v>3.5</v>
      </c>
      <c r="D20" s="291" t="s">
        <v>278</v>
      </c>
      <c r="E20" s="71">
        <v>3.2</v>
      </c>
      <c r="G20" s="87" t="s">
        <v>278</v>
      </c>
      <c r="H20" s="71">
        <v>3.5</v>
      </c>
      <c r="J20" s="87" t="s">
        <v>278</v>
      </c>
      <c r="K20" s="71">
        <v>3.7</v>
      </c>
      <c r="M20" s="87" t="s">
        <v>278</v>
      </c>
      <c r="N20" s="71">
        <v>3.5</v>
      </c>
      <c r="Q20" s="13">
        <v>7.4794520547945202</v>
      </c>
      <c r="R20" s="80">
        <v>45397</v>
      </c>
      <c r="S20" s="18">
        <v>2730</v>
      </c>
      <c r="T20" s="94">
        <v>4.25</v>
      </c>
      <c r="Z20" s="97"/>
      <c r="AF20" s="103">
        <v>42186</v>
      </c>
      <c r="AG20" s="104">
        <v>4.0000000000000001E-3</v>
      </c>
      <c r="AH20" s="104">
        <v>4.0000000000000001E-3</v>
      </c>
      <c r="AI20" s="100">
        <v>42194</v>
      </c>
      <c r="AJ20" s="102">
        <v>24997.93095199735</v>
      </c>
      <c r="AK20" s="213"/>
      <c r="AL20" s="179" t="s">
        <v>402</v>
      </c>
      <c r="AM20" s="277" t="s">
        <v>90</v>
      </c>
      <c r="AN20" s="99" t="s">
        <v>163</v>
      </c>
      <c r="AO20" s="99" t="s">
        <v>163</v>
      </c>
      <c r="AP20" s="243">
        <v>4.2319619659019629</v>
      </c>
      <c r="AQ20" s="270">
        <v>5.6828306760610516</v>
      </c>
      <c r="AR20" s="243" t="s">
        <v>163</v>
      </c>
      <c r="AS20" s="114" t="s">
        <v>163</v>
      </c>
      <c r="AT20" s="114" t="s">
        <v>163</v>
      </c>
      <c r="AU20" s="114" t="s">
        <v>163</v>
      </c>
      <c r="AV20" s="114" t="s">
        <v>163</v>
      </c>
      <c r="AW20" s="114">
        <v>3.8602810251605417</v>
      </c>
      <c r="AX20" s="115"/>
      <c r="AY20" s="179" t="s">
        <v>67</v>
      </c>
      <c r="AZ20" s="179" t="s">
        <v>70</v>
      </c>
      <c r="BA20" s="243">
        <v>1.0487400335396024</v>
      </c>
      <c r="BB20" s="270">
        <v>4.9358119200053707</v>
      </c>
      <c r="BC20" s="243">
        <v>4.1642849776828292</v>
      </c>
      <c r="BD20" s="243">
        <v>3.85</v>
      </c>
      <c r="BE20" s="243">
        <v>1.03</v>
      </c>
      <c r="BF20" s="114">
        <v>-1.8740033539602408E-2</v>
      </c>
      <c r="BG20" s="114" t="s">
        <v>163</v>
      </c>
      <c r="BH20" s="114">
        <v>1.03</v>
      </c>
      <c r="BI20" s="114" t="s">
        <v>163</v>
      </c>
      <c r="BJ20" s="99">
        <v>2.8200000000000003</v>
      </c>
      <c r="BK20" s="130">
        <v>3.1155449441432266</v>
      </c>
      <c r="BL20" s="130">
        <v>0.82244062311018584</v>
      </c>
    </row>
    <row r="21" spans="1:64">
      <c r="A21" s="68">
        <v>43570</v>
      </c>
      <c r="B21" s="91">
        <v>4.25</v>
      </c>
      <c r="D21" s="88" t="s">
        <v>557</v>
      </c>
      <c r="E21" s="72">
        <v>2.5</v>
      </c>
      <c r="G21" s="88" t="s">
        <v>557</v>
      </c>
      <c r="H21" s="81">
        <v>3</v>
      </c>
      <c r="J21" s="88" t="s">
        <v>557</v>
      </c>
      <c r="K21" s="72">
        <v>3.5</v>
      </c>
      <c r="M21" s="88" t="s">
        <v>557</v>
      </c>
      <c r="N21" s="72">
        <v>3.5</v>
      </c>
      <c r="Q21" s="13">
        <v>8.4794520547945211</v>
      </c>
      <c r="R21" s="20">
        <v>45762</v>
      </c>
      <c r="S21" s="16">
        <v>3095</v>
      </c>
      <c r="T21" s="94">
        <v>4.25</v>
      </c>
      <c r="Z21" s="97"/>
      <c r="AF21" s="103">
        <v>42217</v>
      </c>
      <c r="AG21" s="104">
        <v>6.9999999999999993E-3</v>
      </c>
      <c r="AH21" s="104">
        <v>6.9999999999999993E-3</v>
      </c>
      <c r="AI21" s="100">
        <v>42225</v>
      </c>
      <c r="AJ21" s="102">
        <v>25122.920606757336</v>
      </c>
      <c r="AK21" s="23" t="s">
        <v>173</v>
      </c>
      <c r="AL21" s="179" t="s">
        <v>403</v>
      </c>
      <c r="AM21" s="179" t="s">
        <v>397</v>
      </c>
      <c r="AN21" s="99" t="s">
        <v>405</v>
      </c>
      <c r="AO21" s="99" t="s">
        <v>406</v>
      </c>
      <c r="AP21" s="243">
        <v>4.2998418771635434</v>
      </c>
      <c r="AQ21" s="270">
        <v>7.3904259221649262</v>
      </c>
      <c r="AR21" s="243">
        <v>4.1900000000000004</v>
      </c>
      <c r="AS21" s="114">
        <v>-0.10984187716354299</v>
      </c>
      <c r="AT21" s="114">
        <v>4.1900000000000004</v>
      </c>
      <c r="AU21" s="114">
        <v>4.18</v>
      </c>
      <c r="AV21" s="114">
        <v>1.0000000000000675E-2</v>
      </c>
      <c r="AW21" s="114">
        <v>4.0678165588133863</v>
      </c>
      <c r="AX21" s="214"/>
      <c r="AY21" s="179" t="s">
        <v>67</v>
      </c>
      <c r="AZ21" s="179" t="s">
        <v>72</v>
      </c>
      <c r="BA21" s="243">
        <v>1.0690465708988921</v>
      </c>
      <c r="BB21" s="270">
        <v>5.1451274304334813</v>
      </c>
      <c r="BC21" s="243">
        <v>4.1819207216838494</v>
      </c>
      <c r="BD21" s="243">
        <v>3.85</v>
      </c>
      <c r="BE21" s="243" t="s">
        <v>163</v>
      </c>
      <c r="BF21" s="114" t="s">
        <v>163</v>
      </c>
      <c r="BG21" s="114" t="s">
        <v>163</v>
      </c>
      <c r="BH21" s="114" t="s">
        <v>163</v>
      </c>
      <c r="BI21" s="114" t="s">
        <v>163</v>
      </c>
      <c r="BJ21" s="99" t="s">
        <v>163</v>
      </c>
      <c r="BK21" s="130">
        <v>3.1128741507849575</v>
      </c>
      <c r="BL21" s="130">
        <v>0.86790104843859017</v>
      </c>
    </row>
    <row r="22" spans="1:64" ht="15.75" thickBot="1">
      <c r="A22" s="68">
        <v>43936</v>
      </c>
      <c r="B22" s="91">
        <v>4.25</v>
      </c>
      <c r="D22" s="89" t="s">
        <v>558</v>
      </c>
      <c r="E22" s="78">
        <v>2.9</v>
      </c>
      <c r="G22" s="89" t="s">
        <v>558</v>
      </c>
      <c r="H22" s="78">
        <v>3</v>
      </c>
      <c r="J22" s="89" t="s">
        <v>558</v>
      </c>
      <c r="K22" s="78">
        <v>3.1</v>
      </c>
      <c r="M22" s="89" t="s">
        <v>558</v>
      </c>
      <c r="N22" s="78">
        <v>3.2</v>
      </c>
      <c r="Q22" s="13">
        <v>9.4794520547945211</v>
      </c>
      <c r="R22" s="80">
        <v>46127</v>
      </c>
      <c r="S22" s="18">
        <v>3460</v>
      </c>
      <c r="T22" s="94">
        <v>4.25</v>
      </c>
      <c r="Z22" s="97"/>
      <c r="AF22" s="103">
        <v>42248</v>
      </c>
      <c r="AG22" s="104">
        <v>5.0000000000000001E-3</v>
      </c>
      <c r="AH22" s="104">
        <v>5.0000000000000001E-3</v>
      </c>
      <c r="AI22" s="100">
        <v>42256</v>
      </c>
      <c r="AJ22" s="102">
        <v>25223.412289184365</v>
      </c>
      <c r="AK22" s="214"/>
      <c r="AL22" s="179" t="s">
        <v>403</v>
      </c>
      <c r="AM22" s="281" t="s">
        <v>91</v>
      </c>
      <c r="AN22" s="99" t="s">
        <v>163</v>
      </c>
      <c r="AO22" s="99" t="s">
        <v>163</v>
      </c>
      <c r="AP22" s="243">
        <v>4.3832013911370842</v>
      </c>
      <c r="AQ22" s="270">
        <v>10.022308320038936</v>
      </c>
      <c r="AR22" s="243" t="s">
        <v>163</v>
      </c>
      <c r="AS22" s="114" t="s">
        <v>163</v>
      </c>
      <c r="AT22" s="114" t="s">
        <v>163</v>
      </c>
      <c r="AU22" s="114" t="s">
        <v>163</v>
      </c>
      <c r="AV22" s="114" t="s">
        <v>163</v>
      </c>
      <c r="AW22" s="114">
        <v>4.2454833288627389</v>
      </c>
      <c r="AX22" s="214"/>
      <c r="AY22" s="179" t="s">
        <v>67</v>
      </c>
      <c r="AZ22" s="404" t="s">
        <v>73</v>
      </c>
      <c r="BA22" s="243">
        <v>1.1039283825426485</v>
      </c>
      <c r="BB22" s="270">
        <v>5.7800018112893579</v>
      </c>
      <c r="BC22" s="243">
        <v>4.2148737526814939</v>
      </c>
      <c r="BD22" s="243" t="s">
        <v>163</v>
      </c>
      <c r="BE22" s="243" t="s">
        <v>163</v>
      </c>
      <c r="BF22" s="114" t="s">
        <v>163</v>
      </c>
      <c r="BG22" s="114" t="s">
        <v>163</v>
      </c>
      <c r="BH22" s="114" t="s">
        <v>163</v>
      </c>
      <c r="BI22" s="114" t="s">
        <v>163</v>
      </c>
      <c r="BJ22" s="99" t="s">
        <v>163</v>
      </c>
      <c r="BK22" s="130">
        <v>3.1109453701388454</v>
      </c>
      <c r="BL22" s="130">
        <v>0.9104395857557529</v>
      </c>
    </row>
    <row r="23" spans="1:64" ht="15.75" thickBot="1">
      <c r="A23" s="68">
        <v>44301</v>
      </c>
      <c r="B23" s="91">
        <v>4.25</v>
      </c>
      <c r="Q23" s="14">
        <v>10.479452054794521</v>
      </c>
      <c r="R23" s="95">
        <v>46492</v>
      </c>
      <c r="S23" s="19">
        <v>3825</v>
      </c>
      <c r="T23" s="96">
        <v>4.25</v>
      </c>
      <c r="Z23" s="97"/>
      <c r="AF23" s="103">
        <v>42278</v>
      </c>
      <c r="AG23" s="104">
        <v>4.0000000000000001E-3</v>
      </c>
      <c r="AH23" s="104">
        <v>4.0000000000000001E-3</v>
      </c>
      <c r="AI23" s="100">
        <v>42286</v>
      </c>
      <c r="AJ23" s="102">
        <v>25399.976175208652</v>
      </c>
      <c r="AK23" s="214"/>
      <c r="AL23" s="217" t="s">
        <v>404</v>
      </c>
      <c r="AM23" s="278" t="s">
        <v>92</v>
      </c>
      <c r="AN23" s="99" t="s">
        <v>163</v>
      </c>
      <c r="AO23" s="99" t="s">
        <v>163</v>
      </c>
      <c r="AP23" s="243">
        <v>4.4063052875248516</v>
      </c>
      <c r="AQ23" s="270">
        <v>10.883608602461093</v>
      </c>
      <c r="AR23" s="243" t="s">
        <v>163</v>
      </c>
      <c r="AS23" s="114" t="s">
        <v>163</v>
      </c>
      <c r="AT23" s="114" t="s">
        <v>163</v>
      </c>
      <c r="AU23" s="114" t="s">
        <v>163</v>
      </c>
      <c r="AV23" s="114" t="s">
        <v>163</v>
      </c>
      <c r="AW23" s="114">
        <v>4.2868980926399507</v>
      </c>
      <c r="AY23" s="179" t="s">
        <v>67</v>
      </c>
      <c r="AZ23" s="179" t="s">
        <v>74</v>
      </c>
      <c r="BA23" s="243">
        <v>1.1189446423902982</v>
      </c>
      <c r="BB23" s="270">
        <v>6.0600232031375763</v>
      </c>
      <c r="BC23" s="243">
        <v>4.2304588330352768</v>
      </c>
      <c r="BD23" s="243" t="s">
        <v>163</v>
      </c>
      <c r="BE23" s="243" t="s">
        <v>163</v>
      </c>
      <c r="BF23" s="114" t="s">
        <v>163</v>
      </c>
      <c r="BG23" s="114" t="s">
        <v>163</v>
      </c>
      <c r="BH23" s="114" t="s">
        <v>163</v>
      </c>
      <c r="BI23" s="114" t="s">
        <v>163</v>
      </c>
      <c r="BJ23" s="99" t="s">
        <v>163</v>
      </c>
      <c r="BK23" s="130">
        <v>3.1115141906449786</v>
      </c>
      <c r="BL23" s="130">
        <v>0.9317240969341255</v>
      </c>
    </row>
    <row r="24" spans="1:64" ht="15.75" thickBot="1">
      <c r="A24" s="68">
        <v>44666</v>
      </c>
      <c r="B24" s="91">
        <v>4.25</v>
      </c>
      <c r="D24" s="70" t="s">
        <v>38</v>
      </c>
      <c r="G24" s="70" t="s">
        <v>38</v>
      </c>
      <c r="J24" s="70" t="s">
        <v>38</v>
      </c>
      <c r="M24" s="70" t="s">
        <v>38</v>
      </c>
      <c r="AF24" s="103">
        <v>42309</v>
      </c>
      <c r="AG24" s="104">
        <v>0</v>
      </c>
      <c r="AH24" s="104">
        <v>0</v>
      </c>
      <c r="AI24" s="100">
        <v>42317</v>
      </c>
      <c r="AJ24" s="102">
        <v>25526.976056084692</v>
      </c>
      <c r="AL24" s="217" t="s">
        <v>404</v>
      </c>
      <c r="AM24" s="407" t="s">
        <v>449</v>
      </c>
      <c r="AN24" s="99"/>
      <c r="AO24" s="99"/>
      <c r="AP24" s="243">
        <v>4.4255472526379256</v>
      </c>
      <c r="AQ24" s="270">
        <v>11.866119870478125</v>
      </c>
      <c r="AR24" s="243">
        <v>4.45</v>
      </c>
      <c r="AS24" s="114">
        <v>2.4452747362074589E-2</v>
      </c>
      <c r="AT24" s="114">
        <v>4.45</v>
      </c>
      <c r="AU24" s="114">
        <v>4.46</v>
      </c>
      <c r="AV24" s="114">
        <v>-9.9999999999997868E-3</v>
      </c>
      <c r="AW24" s="114">
        <v>4.3225462605187026</v>
      </c>
      <c r="AX24" s="23" t="s">
        <v>173</v>
      </c>
      <c r="AY24" s="179" t="s">
        <v>67</v>
      </c>
      <c r="AZ24" s="247" t="s">
        <v>75</v>
      </c>
      <c r="BA24" s="243">
        <v>1.1351502943824665</v>
      </c>
      <c r="BB24" s="270">
        <v>6.4439934705909847</v>
      </c>
      <c r="BC24" s="243">
        <v>4.2476644860902786</v>
      </c>
      <c r="BD24" s="243" t="s">
        <v>163</v>
      </c>
      <c r="BE24" s="243" t="s">
        <v>163</v>
      </c>
      <c r="BF24" s="114" t="s">
        <v>163</v>
      </c>
      <c r="BG24" s="114" t="s">
        <v>163</v>
      </c>
      <c r="BH24" s="114" t="s">
        <v>163</v>
      </c>
      <c r="BI24" s="114" t="s">
        <v>163</v>
      </c>
      <c r="BJ24" s="99" t="s">
        <v>163</v>
      </c>
      <c r="BK24" s="130">
        <v>3.1125141917078123</v>
      </c>
      <c r="BL24" s="130">
        <v>0.95750988074910759</v>
      </c>
    </row>
    <row r="25" spans="1:64">
      <c r="A25" s="68">
        <v>45031</v>
      </c>
      <c r="B25" s="91">
        <v>4.25</v>
      </c>
      <c r="D25" s="67">
        <v>42667</v>
      </c>
      <c r="E25" s="73">
        <v>3.5</v>
      </c>
      <c r="G25" s="67">
        <v>42667</v>
      </c>
      <c r="H25" s="73">
        <v>3.5</v>
      </c>
      <c r="J25" s="67">
        <v>42667</v>
      </c>
      <c r="K25" s="73">
        <v>3.5</v>
      </c>
      <c r="M25" s="67">
        <v>42667</v>
      </c>
      <c r="N25" s="73">
        <v>0</v>
      </c>
      <c r="AF25" s="103">
        <v>42339</v>
      </c>
      <c r="AG25" s="104">
        <v>0</v>
      </c>
      <c r="AH25" s="104">
        <v>0</v>
      </c>
      <c r="AI25" s="100">
        <v>42347</v>
      </c>
      <c r="AJ25" s="102">
        <v>25629.083960309032</v>
      </c>
      <c r="AL25" s="217" t="s">
        <v>404</v>
      </c>
      <c r="AM25" s="181" t="s">
        <v>93</v>
      </c>
      <c r="AN25" s="99"/>
      <c r="AO25" s="99"/>
      <c r="AP25" s="243">
        <v>4.4957308256863877</v>
      </c>
      <c r="AQ25" s="270">
        <v>13.950470730776244</v>
      </c>
      <c r="AR25" s="243" t="s">
        <v>163</v>
      </c>
      <c r="AS25" s="114" t="s">
        <v>163</v>
      </c>
      <c r="AT25" s="114" t="s">
        <v>163</v>
      </c>
      <c r="AU25" s="114" t="s">
        <v>163</v>
      </c>
      <c r="AV25" s="114" t="s">
        <v>163</v>
      </c>
      <c r="AW25" s="114">
        <v>4.4438128021688428</v>
      </c>
      <c r="AY25" s="179" t="s">
        <v>71</v>
      </c>
      <c r="AZ25" s="179" t="s">
        <v>178</v>
      </c>
      <c r="BA25" s="243">
        <v>1.1460531316187621</v>
      </c>
      <c r="BB25" s="270">
        <v>6.6576015434620013</v>
      </c>
      <c r="BC25" s="243">
        <v>4.2583581899613989</v>
      </c>
      <c r="BD25" s="243" t="s">
        <v>163</v>
      </c>
      <c r="BE25" s="243">
        <v>1.25</v>
      </c>
      <c r="BF25" s="114">
        <v>0.1039468683812379</v>
      </c>
      <c r="BG25" s="114">
        <v>1.25</v>
      </c>
      <c r="BH25" s="114" t="s">
        <v>163</v>
      </c>
      <c r="BI25" s="114" t="s">
        <v>163</v>
      </c>
      <c r="BJ25" s="99" t="s">
        <v>163</v>
      </c>
      <c r="BK25" s="130">
        <v>3.1123050583426366</v>
      </c>
      <c r="BL25" s="130">
        <v>0.99354593036399863</v>
      </c>
    </row>
    <row r="26" spans="1:64">
      <c r="A26" s="68">
        <v>45397</v>
      </c>
      <c r="B26" s="91">
        <v>4.25</v>
      </c>
      <c r="D26" s="68">
        <v>42691</v>
      </c>
      <c r="E26" s="74">
        <v>3.5</v>
      </c>
      <c r="G26" s="68">
        <v>42691</v>
      </c>
      <c r="H26" s="74">
        <v>3.5</v>
      </c>
      <c r="J26" s="68">
        <v>42691</v>
      </c>
      <c r="K26" s="74">
        <v>3.5</v>
      </c>
      <c r="M26" s="68">
        <v>42691</v>
      </c>
      <c r="N26" s="74">
        <v>0</v>
      </c>
      <c r="AF26" s="294">
        <v>42370</v>
      </c>
      <c r="AG26" s="295">
        <v>5.0000000000000001E-3</v>
      </c>
      <c r="AH26" s="295">
        <v>5.0000000000000001E-3</v>
      </c>
      <c r="AI26" s="100">
        <v>42378</v>
      </c>
      <c r="AJ26" s="102">
        <v>25629.083960309032</v>
      </c>
      <c r="AK26" s="59"/>
      <c r="AL26" s="217"/>
      <c r="AM26" s="181"/>
      <c r="AN26" s="99"/>
      <c r="AO26" s="99"/>
      <c r="AP26" s="243"/>
      <c r="AQ26" s="270"/>
      <c r="AR26" s="243"/>
      <c r="AS26" s="114"/>
      <c r="AT26" s="114"/>
      <c r="AU26" s="114"/>
      <c r="AV26" s="114"/>
      <c r="AW26" s="114"/>
      <c r="AX26" s="214"/>
      <c r="AY26" s="179" t="s">
        <v>71</v>
      </c>
      <c r="AZ26" s="247" t="s">
        <v>179</v>
      </c>
      <c r="BA26" s="243">
        <v>1.1871423853657608</v>
      </c>
      <c r="BB26" s="270">
        <v>7.9101128393418829</v>
      </c>
      <c r="BC26" s="243">
        <v>4.2997840306746324</v>
      </c>
      <c r="BD26" s="243" t="s">
        <v>163</v>
      </c>
      <c r="BE26" s="243" t="s">
        <v>163</v>
      </c>
      <c r="BF26" s="114" t="s">
        <v>163</v>
      </c>
      <c r="BG26" s="114" t="s">
        <v>163</v>
      </c>
      <c r="BH26" s="114" t="s">
        <v>163</v>
      </c>
      <c r="BI26" s="114" t="s">
        <v>163</v>
      </c>
      <c r="BJ26" s="99" t="s">
        <v>163</v>
      </c>
      <c r="BK26" s="130">
        <v>3.1126416453088717</v>
      </c>
      <c r="BL26" s="130">
        <v>1.0834279031828848</v>
      </c>
    </row>
    <row r="27" spans="1:64">
      <c r="A27" s="68">
        <v>45762</v>
      </c>
      <c r="B27" s="91">
        <v>4.25</v>
      </c>
      <c r="D27" s="68">
        <v>42719</v>
      </c>
      <c r="E27" s="74">
        <v>3.5</v>
      </c>
      <c r="G27" s="68">
        <v>42719</v>
      </c>
      <c r="H27" s="74">
        <v>3.5</v>
      </c>
      <c r="J27" s="68">
        <v>42719</v>
      </c>
      <c r="K27" s="74">
        <v>3.5</v>
      </c>
      <c r="M27" s="68">
        <v>42719</v>
      </c>
      <c r="N27" s="74">
        <v>0</v>
      </c>
      <c r="AF27" s="294">
        <v>42401</v>
      </c>
      <c r="AG27" s="295">
        <v>3.0000000000000001E-3</v>
      </c>
      <c r="AH27" s="295">
        <v>3.0000000000000001E-3</v>
      </c>
      <c r="AI27" s="100">
        <v>42409</v>
      </c>
      <c r="AJ27" s="102">
        <v>25629.083960309032</v>
      </c>
      <c r="AK27" s="59"/>
      <c r="AL27" s="217"/>
      <c r="AM27" s="181"/>
      <c r="AP27" s="270"/>
      <c r="AQ27" s="270"/>
      <c r="AR27" s="536"/>
      <c r="AS27" s="99"/>
      <c r="AT27" s="99"/>
      <c r="AU27" s="99"/>
      <c r="AV27" s="99"/>
      <c r="AW27" s="99"/>
      <c r="AY27" s="179" t="s">
        <v>71</v>
      </c>
      <c r="AZ27" s="179" t="s">
        <v>444</v>
      </c>
      <c r="BA27" s="243">
        <v>1.2063411751235069</v>
      </c>
      <c r="BB27" s="270">
        <v>8.6512988320067326</v>
      </c>
      <c r="BC27" s="243">
        <v>4.319783887853383</v>
      </c>
      <c r="BD27" s="243">
        <v>4.1900000000000004</v>
      </c>
      <c r="BE27" s="243">
        <v>1.27</v>
      </c>
      <c r="BF27" s="114">
        <v>6.3658824876493103E-2</v>
      </c>
      <c r="BG27" s="114">
        <v>1.27</v>
      </c>
      <c r="BH27" s="114">
        <v>1.23</v>
      </c>
      <c r="BI27" s="114">
        <v>4.0000000000000036E-2</v>
      </c>
      <c r="BJ27" s="99">
        <v>2.9200000000000004</v>
      </c>
      <c r="BK27" s="130">
        <v>3.113442712729876</v>
      </c>
      <c r="BL27" s="130">
        <v>1.1324678581359531</v>
      </c>
    </row>
    <row r="28" spans="1:64">
      <c r="A28" s="68">
        <v>46127</v>
      </c>
      <c r="B28" s="91">
        <v>4.25</v>
      </c>
      <c r="D28" s="68">
        <v>42750</v>
      </c>
      <c r="E28" s="74">
        <v>3.5</v>
      </c>
      <c r="G28" s="68">
        <v>42750</v>
      </c>
      <c r="H28" s="74">
        <v>3.5</v>
      </c>
      <c r="J28" s="68">
        <v>42750</v>
      </c>
      <c r="K28" s="74">
        <v>3.5</v>
      </c>
      <c r="M28" s="68">
        <v>42750</v>
      </c>
      <c r="N28" s="74">
        <v>0</v>
      </c>
      <c r="AF28" s="294">
        <v>42430</v>
      </c>
      <c r="AG28" s="295">
        <v>4.0000000000000001E-3</v>
      </c>
      <c r="AH28" s="295">
        <v>4.0000000000000001E-3</v>
      </c>
      <c r="AI28" s="100">
        <v>42438</v>
      </c>
      <c r="AJ28" s="102">
        <v>25757.229380110573</v>
      </c>
      <c r="AK28" s="214"/>
      <c r="AL28" s="23"/>
      <c r="AM28" s="23"/>
      <c r="AP28" s="100"/>
      <c r="AQ28" s="245"/>
      <c r="AR28" s="245">
        <v>4.55</v>
      </c>
      <c r="AS28" s="23">
        <v>4.9166666666666657E-2</v>
      </c>
      <c r="AX28" s="23" t="s">
        <v>173</v>
      </c>
      <c r="AY28" s="179" t="s">
        <v>71</v>
      </c>
      <c r="AZ28" s="179" t="s">
        <v>177</v>
      </c>
      <c r="BA28" s="243">
        <v>1.2174904915622826</v>
      </c>
      <c r="BB28" s="270">
        <v>8.9646654974227111</v>
      </c>
      <c r="BC28" s="243">
        <v>4.3301526608663483</v>
      </c>
      <c r="BD28" s="243" t="s">
        <v>163</v>
      </c>
      <c r="BE28" s="243" t="s">
        <v>163</v>
      </c>
      <c r="BF28" s="114" t="s">
        <v>163</v>
      </c>
      <c r="BG28" s="114" t="s">
        <v>163</v>
      </c>
      <c r="BH28" s="114" t="s">
        <v>163</v>
      </c>
      <c r="BI28" s="114" t="s">
        <v>163</v>
      </c>
      <c r="BJ28" s="99" t="s">
        <v>163</v>
      </c>
      <c r="BK28" s="130">
        <v>3.1126621693040657</v>
      </c>
      <c r="BL28" s="130">
        <v>1.1728756422640705</v>
      </c>
    </row>
    <row r="29" spans="1:64" ht="15.75" thickBot="1">
      <c r="A29" s="69">
        <v>46492</v>
      </c>
      <c r="B29" s="92">
        <v>4.25</v>
      </c>
      <c r="D29" s="68">
        <v>42781</v>
      </c>
      <c r="E29" s="74">
        <v>3.5</v>
      </c>
      <c r="G29" s="68">
        <v>42781</v>
      </c>
      <c r="H29" s="74">
        <v>3.5</v>
      </c>
      <c r="J29" s="68">
        <v>42781</v>
      </c>
      <c r="K29" s="74">
        <v>3.5</v>
      </c>
      <c r="M29" s="68">
        <v>42781</v>
      </c>
      <c r="N29" s="74">
        <v>0</v>
      </c>
      <c r="Q29" s="1" t="s">
        <v>2</v>
      </c>
      <c r="R29" s="1">
        <v>1</v>
      </c>
      <c r="S29" s="1"/>
      <c r="T29" s="1"/>
      <c r="U29" s="1"/>
      <c r="V29" s="348">
        <v>26249.67</v>
      </c>
      <c r="W29" s="1"/>
      <c r="X29" s="1"/>
      <c r="Y29" s="1"/>
      <c r="Z29" s="1"/>
      <c r="AA29" s="1" t="s">
        <v>2</v>
      </c>
      <c r="AB29" s="1">
        <v>30</v>
      </c>
      <c r="AC29" s="1"/>
      <c r="AD29" s="1"/>
      <c r="AF29" s="294">
        <v>42461</v>
      </c>
      <c r="AG29" s="295">
        <v>3.0000000000000001E-3</v>
      </c>
      <c r="AH29" s="295">
        <v>3.0000000000000001E-3</v>
      </c>
      <c r="AI29" s="100">
        <v>42469</v>
      </c>
      <c r="AJ29" s="102">
        <v>25834.501068250902</v>
      </c>
      <c r="AL29" s="23"/>
      <c r="AM29" s="245"/>
      <c r="AP29" s="100"/>
      <c r="AR29" s="23">
        <v>3.96</v>
      </c>
      <c r="AS29" s="245">
        <v>0.58999999999999986</v>
      </c>
      <c r="AV29" s="245"/>
      <c r="AX29" s="214"/>
      <c r="AY29" s="179" t="s">
        <v>163</v>
      </c>
      <c r="AZ29" s="278" t="s">
        <v>180</v>
      </c>
      <c r="BA29" s="243">
        <v>1.2361725046920453</v>
      </c>
      <c r="BB29" s="270">
        <v>9.7177042311641628</v>
      </c>
      <c r="BC29" s="243">
        <v>4.3487805999078013</v>
      </c>
      <c r="BD29" s="243" t="s">
        <v>163</v>
      </c>
      <c r="BE29" s="243" t="s">
        <v>163</v>
      </c>
      <c r="BF29" s="114" t="s">
        <v>163</v>
      </c>
      <c r="BG29" s="114" t="s">
        <v>163</v>
      </c>
      <c r="BH29" s="114" t="s">
        <v>163</v>
      </c>
      <c r="BI29" s="114" t="s">
        <v>163</v>
      </c>
      <c r="BJ29" s="99" t="s">
        <v>163</v>
      </c>
      <c r="BK29" s="130">
        <v>3.112608095215756</v>
      </c>
      <c r="BL29" s="130">
        <v>1.1852483315354445</v>
      </c>
    </row>
    <row r="30" spans="1:64" ht="15.75" thickBot="1">
      <c r="D30" s="68">
        <v>42809</v>
      </c>
      <c r="E30" s="74">
        <v>3.25</v>
      </c>
      <c r="G30" s="68">
        <v>42809</v>
      </c>
      <c r="H30" s="74">
        <v>3.5</v>
      </c>
      <c r="J30" s="68">
        <v>42809</v>
      </c>
      <c r="K30" s="74">
        <v>3.5</v>
      </c>
      <c r="M30" s="68">
        <v>42809</v>
      </c>
      <c r="N30" s="74">
        <v>0</v>
      </c>
      <c r="Q30" s="5" t="s">
        <v>3</v>
      </c>
      <c r="R30" s="5" t="s">
        <v>1</v>
      </c>
      <c r="S30" s="5" t="s">
        <v>4</v>
      </c>
      <c r="T30" s="9" t="s">
        <v>5</v>
      </c>
      <c r="U30" s="105" t="s">
        <v>320</v>
      </c>
      <c r="V30" s="9" t="s">
        <v>96</v>
      </c>
      <c r="W30" s="105" t="s">
        <v>343</v>
      </c>
      <c r="X30" s="142" t="s">
        <v>132</v>
      </c>
      <c r="Y30" s="105" t="s">
        <v>133</v>
      </c>
      <c r="Z30" s="1"/>
      <c r="AA30" s="5" t="s">
        <v>6</v>
      </c>
      <c r="AB30" s="105" t="s">
        <v>97</v>
      </c>
      <c r="AC30" s="105" t="s">
        <v>6</v>
      </c>
      <c r="AD30" s="107" t="s">
        <v>98</v>
      </c>
      <c r="AF30" s="294">
        <v>42491</v>
      </c>
      <c r="AG30" s="295">
        <v>2E-3</v>
      </c>
      <c r="AH30" s="295">
        <v>2E-3</v>
      </c>
      <c r="AI30" s="100">
        <v>42499</v>
      </c>
      <c r="AJ30" s="102">
        <v>25937.839072523904</v>
      </c>
      <c r="AL30" s="23"/>
      <c r="AM30" s="23"/>
      <c r="AP30" s="537"/>
      <c r="AR30" s="245"/>
      <c r="AV30" s="59"/>
      <c r="AY30" s="179" t="s">
        <v>163</v>
      </c>
      <c r="AZ30" s="179" t="s">
        <v>181</v>
      </c>
      <c r="BA30" s="243">
        <v>1.2389684431834509</v>
      </c>
      <c r="BB30" s="270">
        <v>9.7593743172681791</v>
      </c>
      <c r="BC30" s="243">
        <v>4.3517295734041896</v>
      </c>
      <c r="BD30" s="243" t="s">
        <v>163</v>
      </c>
      <c r="BE30" s="243" t="s">
        <v>163</v>
      </c>
      <c r="BF30" s="114" t="s">
        <v>163</v>
      </c>
      <c r="BG30" s="114" t="s">
        <v>163</v>
      </c>
      <c r="BH30" s="114" t="s">
        <v>163</v>
      </c>
      <c r="BI30" s="114" t="s">
        <v>163</v>
      </c>
      <c r="BJ30" s="99" t="s">
        <v>163</v>
      </c>
      <c r="BK30" s="130">
        <v>3.112761130220739</v>
      </c>
      <c r="BL30" s="130">
        <v>1.1872262923700843</v>
      </c>
    </row>
    <row r="31" spans="1:64" ht="15.75" thickBot="1">
      <c r="A31" s="70" t="s">
        <v>25</v>
      </c>
      <c r="D31" s="68">
        <v>42840</v>
      </c>
      <c r="E31" s="74">
        <v>3</v>
      </c>
      <c r="G31" s="68">
        <v>42840</v>
      </c>
      <c r="H31" s="74">
        <v>3.5</v>
      </c>
      <c r="J31" s="68">
        <v>42840</v>
      </c>
      <c r="K31" s="74">
        <v>3.5</v>
      </c>
      <c r="M31" s="68">
        <v>42840</v>
      </c>
      <c r="N31" s="74">
        <v>0</v>
      </c>
      <c r="Q31" s="6">
        <v>1</v>
      </c>
      <c r="R31" s="7">
        <v>42668</v>
      </c>
      <c r="S31" s="210">
        <v>3.5</v>
      </c>
      <c r="T31" s="8">
        <v>1.0000972222222222</v>
      </c>
      <c r="U31" s="98">
        <v>3.6121470212073792</v>
      </c>
      <c r="V31" s="106">
        <v>26251.355697852185</v>
      </c>
      <c r="W31" s="10">
        <v>1.2118457462010568</v>
      </c>
      <c r="X31" s="413">
        <v>1.1880804435540071</v>
      </c>
      <c r="Y31" s="414">
        <v>0.29166666666657903</v>
      </c>
      <c r="Z31" s="1"/>
      <c r="AA31" s="3">
        <v>1</v>
      </c>
      <c r="AB31" s="11">
        <v>3.6122164656518234</v>
      </c>
      <c r="AC31" s="8">
        <v>1</v>
      </c>
      <c r="AD31" s="108">
        <v>1.2119151906455012</v>
      </c>
      <c r="AF31" s="294">
        <v>42522</v>
      </c>
      <c r="AG31" s="295">
        <v>4.0000000000000001E-3</v>
      </c>
      <c r="AH31" s="295">
        <v>4.0000000000000001E-3</v>
      </c>
      <c r="AI31" s="100">
        <v>42530</v>
      </c>
      <c r="AJ31" s="102">
        <v>26015.652589741472</v>
      </c>
      <c r="AL31" s="269"/>
      <c r="AM31" s="100"/>
      <c r="AP31" s="102"/>
      <c r="AS31" s="100"/>
      <c r="AV31" s="59"/>
      <c r="AY31" s="179" t="s">
        <v>163</v>
      </c>
      <c r="AZ31" s="179" t="s">
        <v>182</v>
      </c>
      <c r="BA31" s="243">
        <v>1.2527272656938815</v>
      </c>
      <c r="BB31" s="270">
        <v>10.452514283005149</v>
      </c>
      <c r="BC31" s="243">
        <v>4.3651636071514206</v>
      </c>
      <c r="BD31" s="243" t="s">
        <v>163</v>
      </c>
      <c r="BE31" s="243" t="s">
        <v>163</v>
      </c>
      <c r="BF31" s="114" t="s">
        <v>163</v>
      </c>
      <c r="BG31" s="114" t="s">
        <v>163</v>
      </c>
      <c r="BH31" s="114" t="s">
        <v>163</v>
      </c>
      <c r="BI31" s="114" t="s">
        <v>163</v>
      </c>
      <c r="BJ31" s="99" t="s">
        <v>163</v>
      </c>
      <c r="BK31" s="130">
        <v>3.1124363414575393</v>
      </c>
      <c r="BL31" s="130">
        <v>1.1970464646612722</v>
      </c>
    </row>
    <row r="32" spans="1:64" ht="15.75" thickBot="1">
      <c r="A32" s="24" t="s">
        <v>36</v>
      </c>
      <c r="B32" s="82">
        <v>1.1000000000000001</v>
      </c>
      <c r="D32" s="68">
        <v>42870</v>
      </c>
      <c r="E32" s="74">
        <v>3</v>
      </c>
      <c r="G32" s="68">
        <v>42870</v>
      </c>
      <c r="H32" s="74">
        <v>3.5</v>
      </c>
      <c r="J32" s="68">
        <v>42870</v>
      </c>
      <c r="K32" s="74">
        <v>3.5</v>
      </c>
      <c r="M32" s="68">
        <v>42870</v>
      </c>
      <c r="N32" s="74">
        <v>0</v>
      </c>
      <c r="Q32" s="6">
        <v>2</v>
      </c>
      <c r="R32" s="7">
        <v>42669</v>
      </c>
      <c r="S32" s="210">
        <v>3.5</v>
      </c>
      <c r="T32" s="8">
        <v>1.0000972222222222</v>
      </c>
      <c r="U32" s="98">
        <v>3.6121470212073348</v>
      </c>
      <c r="V32" s="106">
        <v>26253.047696848127</v>
      </c>
      <c r="W32" s="10">
        <v>1.207488634596432</v>
      </c>
      <c r="X32" s="413">
        <v>1.1838537065176347</v>
      </c>
      <c r="Y32" s="414">
        <v>0.29168084490716062</v>
      </c>
      <c r="Z32" s="1"/>
      <c r="AA32" s="3">
        <v>30</v>
      </c>
      <c r="AB32" s="11">
        <v>3.6142303545425554</v>
      </c>
      <c r="AC32" s="8">
        <v>30</v>
      </c>
      <c r="AD32" s="108">
        <v>-0.82734609249821822</v>
      </c>
      <c r="AF32" s="294">
        <v>42552</v>
      </c>
      <c r="AG32" s="295">
        <v>2E-3</v>
      </c>
      <c r="AH32" s="295">
        <v>2E-3</v>
      </c>
      <c r="AI32" s="100">
        <v>42560</v>
      </c>
      <c r="AJ32" s="102">
        <v>26067.683894920956</v>
      </c>
      <c r="AL32" s="23"/>
      <c r="AM32" s="23"/>
      <c r="AR32" s="245"/>
      <c r="AV32" s="59"/>
      <c r="AW32" s="245"/>
      <c r="AX32" s="245"/>
      <c r="AY32" s="217" t="s">
        <v>163</v>
      </c>
      <c r="AZ32" s="221" t="s">
        <v>172</v>
      </c>
      <c r="BA32" s="243">
        <v>1.2648887388056811</v>
      </c>
      <c r="BB32" s="270">
        <v>11.011427728959529</v>
      </c>
      <c r="BC32" s="243">
        <v>4.3775488938553213</v>
      </c>
      <c r="BD32" s="243" t="s">
        <v>163</v>
      </c>
      <c r="BE32" s="243" t="s">
        <v>163</v>
      </c>
      <c r="BF32" s="114" t="s">
        <v>163</v>
      </c>
      <c r="BG32" s="114" t="s">
        <v>163</v>
      </c>
      <c r="BH32" s="114" t="s">
        <v>163</v>
      </c>
      <c r="BI32" s="114" t="s">
        <v>163</v>
      </c>
      <c r="BJ32" s="99" t="s">
        <v>163</v>
      </c>
      <c r="BK32" s="130">
        <v>3.1126601550496402</v>
      </c>
      <c r="BL32" s="130">
        <v>1.2065801822437381</v>
      </c>
    </row>
    <row r="33" spans="1:64">
      <c r="B33" s="553">
        <v>1.1000000000000001</v>
      </c>
      <c r="D33" s="68">
        <v>42901</v>
      </c>
      <c r="E33" s="74">
        <v>3</v>
      </c>
      <c r="G33" s="68">
        <v>42901</v>
      </c>
      <c r="H33" s="74">
        <v>3.5</v>
      </c>
      <c r="J33" s="68">
        <v>42901</v>
      </c>
      <c r="K33" s="74">
        <v>3.5</v>
      </c>
      <c r="M33" s="68">
        <v>42901</v>
      </c>
      <c r="N33" s="74">
        <v>0</v>
      </c>
      <c r="Q33" s="6">
        <v>3</v>
      </c>
      <c r="R33" s="7">
        <v>42670</v>
      </c>
      <c r="S33" s="210">
        <v>3.5</v>
      </c>
      <c r="T33" s="8">
        <v>1.0000972222222222</v>
      </c>
      <c r="U33" s="98">
        <v>3.6121470212091777</v>
      </c>
      <c r="V33" s="106">
        <v>26254.739804899793</v>
      </c>
      <c r="W33" s="10">
        <v>1.20603630574867</v>
      </c>
      <c r="X33" s="413">
        <v>1.1824576781940266</v>
      </c>
      <c r="Y33" s="414">
        <v>0.29169502406700687</v>
      </c>
      <c r="Z33" s="1"/>
      <c r="AA33" s="3">
        <v>60</v>
      </c>
      <c r="AB33" s="11">
        <v>3.6163136878755782</v>
      </c>
      <c r="AC33" s="8">
        <v>60</v>
      </c>
      <c r="AD33" s="108">
        <v>-1.002977960148504</v>
      </c>
      <c r="AF33" s="294">
        <v>42583</v>
      </c>
      <c r="AG33" s="295">
        <v>0</v>
      </c>
      <c r="AH33" s="295">
        <v>0</v>
      </c>
      <c r="AI33" s="100">
        <v>42591</v>
      </c>
      <c r="AJ33" s="102">
        <v>26171.954630500641</v>
      </c>
      <c r="AL33" s="23"/>
      <c r="AM33" s="23"/>
      <c r="AW33" s="245"/>
      <c r="AY33" s="217" t="s">
        <v>163</v>
      </c>
      <c r="AZ33" s="268" t="s">
        <v>77</v>
      </c>
      <c r="BA33" s="243">
        <v>1.280128347610328</v>
      </c>
      <c r="BB33" s="270">
        <v>11.799106679691381</v>
      </c>
      <c r="BC33" s="243">
        <v>4.3921171405833821</v>
      </c>
      <c r="BD33" s="243" t="s">
        <v>163</v>
      </c>
      <c r="BE33" s="243" t="s">
        <v>163</v>
      </c>
      <c r="BF33" s="114" t="s">
        <v>163</v>
      </c>
      <c r="BG33" s="114" t="s">
        <v>163</v>
      </c>
      <c r="BH33" s="114" t="s">
        <v>163</v>
      </c>
      <c r="BI33" s="114" t="s">
        <v>163</v>
      </c>
      <c r="BJ33" s="99" t="s">
        <v>163</v>
      </c>
      <c r="BK33" s="130">
        <v>3.1119887929730541</v>
      </c>
      <c r="BL33" s="130">
        <v>1.2185720068239754</v>
      </c>
    </row>
    <row r="34" spans="1:64">
      <c r="D34" s="68">
        <v>42931</v>
      </c>
      <c r="E34" s="74">
        <v>3</v>
      </c>
      <c r="G34" s="68">
        <v>42931</v>
      </c>
      <c r="H34" s="74">
        <v>3.5</v>
      </c>
      <c r="J34" s="68">
        <v>42931</v>
      </c>
      <c r="K34" s="74">
        <v>3.5</v>
      </c>
      <c r="M34" s="68">
        <v>42931</v>
      </c>
      <c r="N34" s="74">
        <v>0</v>
      </c>
      <c r="Q34" s="6">
        <v>4</v>
      </c>
      <c r="R34" s="7">
        <v>42671</v>
      </c>
      <c r="S34" s="210">
        <v>3.5</v>
      </c>
      <c r="T34" s="8">
        <v>1.0000972222222222</v>
      </c>
      <c r="U34" s="98">
        <v>3.6121470212097995</v>
      </c>
      <c r="V34" s="106">
        <v>26256.432022014211</v>
      </c>
      <c r="W34" s="10">
        <v>1.2053101491386942</v>
      </c>
      <c r="X34" s="413">
        <v>1.1817693273603602</v>
      </c>
      <c r="Y34" s="414">
        <v>0.29170920414578472</v>
      </c>
      <c r="Z34" s="1"/>
      <c r="AA34" s="3">
        <v>90</v>
      </c>
      <c r="AB34" s="11">
        <v>3.618397021208867</v>
      </c>
      <c r="AC34" s="8">
        <v>90</v>
      </c>
      <c r="AD34" s="108">
        <v>-0.35682919265213819</v>
      </c>
      <c r="AF34" s="294">
        <v>42614</v>
      </c>
      <c r="AG34" s="295">
        <v>2E-3</v>
      </c>
      <c r="AH34" s="295">
        <v>2E-3</v>
      </c>
      <c r="AI34" s="100">
        <v>42622</v>
      </c>
      <c r="AJ34" s="102">
        <v>26224.298539761643</v>
      </c>
      <c r="AL34" s="23"/>
      <c r="AM34" s="23"/>
      <c r="AY34" s="217" t="s">
        <v>163</v>
      </c>
      <c r="AZ34" s="242" t="s">
        <v>78</v>
      </c>
      <c r="BA34" s="243">
        <v>1.2918252212136028</v>
      </c>
      <c r="BB34" s="270">
        <v>12.405352787069411</v>
      </c>
      <c r="BC34" s="243">
        <v>4.4036631214578916</v>
      </c>
      <c r="BD34" s="243" t="s">
        <v>163</v>
      </c>
      <c r="BE34" s="243" t="s">
        <v>163</v>
      </c>
      <c r="BF34" s="114" t="s">
        <v>163</v>
      </c>
      <c r="BG34" s="114" t="s">
        <v>163</v>
      </c>
      <c r="BH34" s="114" t="s">
        <v>163</v>
      </c>
      <c r="BI34" s="114" t="s">
        <v>163</v>
      </c>
      <c r="BJ34" s="99" t="s">
        <v>163</v>
      </c>
      <c r="BK34" s="130">
        <v>3.1118379002442889</v>
      </c>
      <c r="BL34" s="130">
        <v>1.2286428670365075</v>
      </c>
    </row>
    <row r="35" spans="1:64">
      <c r="D35" s="68">
        <v>43023</v>
      </c>
      <c r="E35" s="74">
        <v>3</v>
      </c>
      <c r="G35" s="68">
        <v>43023</v>
      </c>
      <c r="H35" s="74">
        <v>3.5</v>
      </c>
      <c r="J35" s="68">
        <v>43023</v>
      </c>
      <c r="K35" s="74">
        <v>3.75</v>
      </c>
      <c r="M35" s="68">
        <v>43023</v>
      </c>
      <c r="N35" s="74">
        <v>0</v>
      </c>
      <c r="Q35" s="6">
        <v>5</v>
      </c>
      <c r="R35" s="7">
        <v>42672</v>
      </c>
      <c r="S35" s="210">
        <v>3.5</v>
      </c>
      <c r="T35" s="8">
        <v>1.0000972222222222</v>
      </c>
      <c r="U35" s="98">
        <v>3.6121470212089557</v>
      </c>
      <c r="V35" s="106">
        <v>26258.124348198413</v>
      </c>
      <c r="W35" s="10">
        <v>1.2048744576754311</v>
      </c>
      <c r="X35" s="413">
        <v>1.1813640477784659</v>
      </c>
      <c r="Y35" s="414">
        <v>0.29172338514356078</v>
      </c>
      <c r="Z35" s="1"/>
      <c r="AA35" s="3">
        <v>120</v>
      </c>
      <c r="AB35" s="11">
        <v>3.6204803545423778</v>
      </c>
      <c r="AC35" s="8">
        <v>120</v>
      </c>
      <c r="AD35" s="108">
        <v>4.6425787398430646E-2</v>
      </c>
      <c r="AF35" s="294">
        <v>42644</v>
      </c>
      <c r="AG35" s="295">
        <v>3.6629339625333657E-3</v>
      </c>
      <c r="AH35" s="295">
        <v>5.5225491268949432E-3</v>
      </c>
      <c r="AI35" s="100">
        <v>42652</v>
      </c>
      <c r="AJ35" s="102">
        <v>26224.298539761643</v>
      </c>
      <c r="AL35" s="23"/>
      <c r="AM35" s="23"/>
      <c r="AY35" s="217" t="s">
        <v>76</v>
      </c>
      <c r="AZ35" s="179" t="s">
        <v>79</v>
      </c>
      <c r="BA35" s="243">
        <v>1.3173917649422058</v>
      </c>
      <c r="BB35" s="270">
        <v>13.744565394738327</v>
      </c>
      <c r="BC35" s="243">
        <v>4.4281496101559252</v>
      </c>
      <c r="BD35" s="243" t="s">
        <v>163</v>
      </c>
      <c r="BE35" s="243" t="s">
        <v>163</v>
      </c>
      <c r="BF35" s="114" t="s">
        <v>163</v>
      </c>
      <c r="BG35" s="114" t="s">
        <v>163</v>
      </c>
      <c r="BH35" s="114" t="s">
        <v>163</v>
      </c>
      <c r="BI35" s="114" t="s">
        <v>163</v>
      </c>
      <c r="BJ35" s="99" t="s">
        <v>163</v>
      </c>
      <c r="BK35" s="130">
        <v>3.1107578452137195</v>
      </c>
      <c r="BL35" s="130">
        <v>1.2523114780471107</v>
      </c>
    </row>
    <row r="36" spans="1:64">
      <c r="D36" s="68">
        <v>43115</v>
      </c>
      <c r="E36" s="74">
        <v>3</v>
      </c>
      <c r="G36" s="68">
        <v>43115</v>
      </c>
      <c r="H36" s="74">
        <v>3.5</v>
      </c>
      <c r="J36" s="68">
        <v>43115</v>
      </c>
      <c r="K36" s="74">
        <v>4</v>
      </c>
      <c r="M36" s="68">
        <v>43115</v>
      </c>
      <c r="N36" s="74">
        <v>0</v>
      </c>
      <c r="Q36" s="6">
        <v>6</v>
      </c>
      <c r="R36" s="7">
        <v>42673</v>
      </c>
      <c r="S36" s="210">
        <v>3.5</v>
      </c>
      <c r="T36" s="8">
        <v>1.0000972222222222</v>
      </c>
      <c r="U36" s="98">
        <v>3.6121470212096884</v>
      </c>
      <c r="V36" s="106">
        <v>26259.816783459428</v>
      </c>
      <c r="W36" s="10">
        <v>1.2045839977403716</v>
      </c>
      <c r="X36" s="413">
        <v>1.1811003040316237</v>
      </c>
      <c r="Y36" s="414">
        <v>0.29173756706057929</v>
      </c>
      <c r="Z36" s="1"/>
      <c r="AA36" s="3">
        <v>150</v>
      </c>
      <c r="AB36" s="11">
        <v>3.6225636878757776</v>
      </c>
      <c r="AC36" s="8">
        <v>150</v>
      </c>
      <c r="AD36" s="108">
        <v>0.37771036304380229</v>
      </c>
      <c r="AF36" s="294">
        <v>42675</v>
      </c>
      <c r="AG36" s="295">
        <v>2.6542297046217023E-4</v>
      </c>
      <c r="AH36" s="295">
        <v>2.1250381348237478E-3</v>
      </c>
      <c r="AI36" s="100">
        <v>42683</v>
      </c>
      <c r="AJ36" s="102">
        <v>26276.747136841168</v>
      </c>
      <c r="AL36" s="23"/>
      <c r="AM36" s="23"/>
      <c r="AY36" s="217" t="s">
        <v>76</v>
      </c>
      <c r="AZ36" s="247" t="s">
        <v>450</v>
      </c>
      <c r="BA36" s="243">
        <v>1.3405508211647303</v>
      </c>
      <c r="BB36" s="270">
        <v>15.388558955079583</v>
      </c>
      <c r="BC36" s="243">
        <v>4.4525567291641295</v>
      </c>
      <c r="BD36" s="243" t="s">
        <v>163</v>
      </c>
      <c r="BE36" s="243">
        <v>1.51</v>
      </c>
      <c r="BF36" s="114">
        <v>0.16944917883526966</v>
      </c>
      <c r="BG36" s="114" t="s">
        <v>163</v>
      </c>
      <c r="BH36" s="114">
        <v>1.51</v>
      </c>
      <c r="BI36" s="114" t="s">
        <v>163</v>
      </c>
      <c r="BJ36" s="99" t="s">
        <v>163</v>
      </c>
      <c r="BK36" s="130">
        <v>3.1120059079993991</v>
      </c>
      <c r="BL36" s="130">
        <v>1.275161061302126</v>
      </c>
    </row>
    <row r="37" spans="1:64">
      <c r="A37" s="85"/>
      <c r="D37" s="68">
        <v>43205</v>
      </c>
      <c r="E37" s="74">
        <v>3.5</v>
      </c>
      <c r="G37" s="68">
        <v>43205</v>
      </c>
      <c r="H37" s="74">
        <v>3.5</v>
      </c>
      <c r="J37" s="68">
        <v>43205</v>
      </c>
      <c r="K37" s="74">
        <v>4.25</v>
      </c>
      <c r="M37" s="68">
        <v>43205</v>
      </c>
      <c r="N37" s="74">
        <v>0</v>
      </c>
      <c r="Q37" s="6">
        <v>7</v>
      </c>
      <c r="R37" s="7">
        <v>42674</v>
      </c>
      <c r="S37" s="210">
        <v>3.5</v>
      </c>
      <c r="T37" s="8">
        <v>1.0000972222222222</v>
      </c>
      <c r="U37" s="98">
        <v>3.6121470212092222</v>
      </c>
      <c r="V37" s="106">
        <v>26261.509327804284</v>
      </c>
      <c r="W37" s="10">
        <v>1.2043765268676454</v>
      </c>
      <c r="X37" s="413">
        <v>1.1809174380852383</v>
      </c>
      <c r="Y37" s="414">
        <v>0.29175174989675462</v>
      </c>
      <c r="Z37" s="1"/>
      <c r="AA37" s="3">
        <v>180</v>
      </c>
      <c r="AB37" s="11">
        <v>3.6246470212093778</v>
      </c>
      <c r="AC37" s="8">
        <v>180</v>
      </c>
      <c r="AD37" s="108">
        <v>0.26912140138091872</v>
      </c>
      <c r="AF37" s="294">
        <v>42705</v>
      </c>
      <c r="AG37" s="295">
        <v>4.9279757391973433E-4</v>
      </c>
      <c r="AH37" s="295">
        <v>2.3524127382813119E-3</v>
      </c>
      <c r="AI37" s="100">
        <v>42713</v>
      </c>
      <c r="AJ37" s="102">
        <v>26421.861763799367</v>
      </c>
      <c r="AL37" s="23"/>
      <c r="AM37" s="23"/>
      <c r="AY37" s="217" t="s">
        <v>76</v>
      </c>
      <c r="AZ37" s="179" t="s">
        <v>176</v>
      </c>
      <c r="BA37" s="243">
        <v>1.3686792105973782</v>
      </c>
      <c r="BB37" s="270">
        <v>16.42517844225555</v>
      </c>
      <c r="BC37" s="243">
        <v>4.4759186880998865</v>
      </c>
      <c r="BD37" s="243" t="s">
        <v>163</v>
      </c>
      <c r="BE37" s="243" t="s">
        <v>163</v>
      </c>
      <c r="BF37" s="114" t="s">
        <v>163</v>
      </c>
      <c r="BG37" s="114" t="s">
        <v>163</v>
      </c>
      <c r="BH37" s="114" t="s">
        <v>163</v>
      </c>
      <c r="BI37" s="114" t="s">
        <v>163</v>
      </c>
      <c r="BJ37" s="99" t="s">
        <v>163</v>
      </c>
      <c r="BK37" s="130">
        <v>3.1072394775025085</v>
      </c>
      <c r="BL37" s="130">
        <v>1.2989987870175512</v>
      </c>
    </row>
    <row r="38" spans="1:64">
      <c r="D38" s="68">
        <v>43570</v>
      </c>
      <c r="E38" s="74">
        <v>3.5</v>
      </c>
      <c r="G38" s="68">
        <v>43570</v>
      </c>
      <c r="H38" s="74">
        <v>4.25</v>
      </c>
      <c r="J38" s="68">
        <v>43570</v>
      </c>
      <c r="K38" s="74">
        <v>4.5</v>
      </c>
      <c r="M38" s="68">
        <v>43570</v>
      </c>
      <c r="N38" s="74">
        <v>0</v>
      </c>
      <c r="Q38" s="6">
        <v>8</v>
      </c>
      <c r="R38" s="7">
        <v>42675</v>
      </c>
      <c r="S38" s="210">
        <v>3.5</v>
      </c>
      <c r="T38" s="8">
        <v>1.0000972222222222</v>
      </c>
      <c r="U38" s="98">
        <v>3.612147021209644</v>
      </c>
      <c r="V38" s="106">
        <v>26263.20198124001</v>
      </c>
      <c r="W38" s="10">
        <v>1.2042209239947477</v>
      </c>
      <c r="X38" s="413">
        <v>1.180785120926009</v>
      </c>
      <c r="Y38" s="414">
        <v>0.29176593365229375</v>
      </c>
      <c r="Z38" s="1"/>
      <c r="AA38" s="3">
        <v>210</v>
      </c>
      <c r="AB38" s="11">
        <v>3.626730354542711</v>
      </c>
      <c r="AC38" s="8">
        <v>210</v>
      </c>
      <c r="AD38" s="108">
        <v>6.0920612475938662E-2</v>
      </c>
      <c r="AF38" s="176">
        <v>42736</v>
      </c>
      <c r="AG38" s="177">
        <v>1.0608873564961208E-3</v>
      </c>
      <c r="AH38" s="177">
        <v>1.2376823781795401E-3</v>
      </c>
      <c r="AI38" s="100">
        <v>42744</v>
      </c>
      <c r="AJ38" s="102">
        <v>26478.009227640479</v>
      </c>
      <c r="AL38" s="23"/>
      <c r="AM38" s="23"/>
      <c r="AY38" s="217" t="s">
        <v>163</v>
      </c>
      <c r="AZ38" s="179" t="s">
        <v>183</v>
      </c>
      <c r="BA38" s="243">
        <v>1.3805355599065579</v>
      </c>
      <c r="BB38" s="270">
        <v>17.024487354045895</v>
      </c>
      <c r="BC38" s="243">
        <v>4.4867768958510732</v>
      </c>
      <c r="BD38" s="243" t="s">
        <v>163</v>
      </c>
      <c r="BE38" s="243" t="s">
        <v>163</v>
      </c>
      <c r="BF38" s="114" t="s">
        <v>163</v>
      </c>
      <c r="BG38" s="114" t="s">
        <v>163</v>
      </c>
      <c r="BH38" s="114" t="s">
        <v>163</v>
      </c>
      <c r="BI38" s="114" t="s">
        <v>163</v>
      </c>
      <c r="BJ38" s="99" t="s">
        <v>163</v>
      </c>
      <c r="BK38" s="130">
        <v>3.1062413359445156</v>
      </c>
      <c r="BL38" s="130">
        <v>1.3097897380641639</v>
      </c>
    </row>
    <row r="39" spans="1:64">
      <c r="A39" s="86"/>
      <c r="D39" s="68">
        <v>43936</v>
      </c>
      <c r="E39" s="74">
        <v>4</v>
      </c>
      <c r="G39" s="68">
        <v>43936</v>
      </c>
      <c r="H39" s="74">
        <v>4.25</v>
      </c>
      <c r="J39" s="68">
        <v>43936</v>
      </c>
      <c r="K39" s="74">
        <v>4.5</v>
      </c>
      <c r="M39" s="68">
        <v>43936</v>
      </c>
      <c r="N39" s="74">
        <v>0</v>
      </c>
      <c r="Q39" s="6">
        <v>9</v>
      </c>
      <c r="R39" s="7">
        <v>42676</v>
      </c>
      <c r="S39" s="210">
        <v>3.5</v>
      </c>
      <c r="T39" s="8">
        <v>1.0000972222222222</v>
      </c>
      <c r="U39" s="98">
        <v>3.6121470212096662</v>
      </c>
      <c r="V39" s="106">
        <v>26264.894743773646</v>
      </c>
      <c r="W39" s="10">
        <v>1.2040998997016494</v>
      </c>
      <c r="X39" s="413">
        <v>1.1806865030949965</v>
      </c>
      <c r="Y39" s="414">
        <v>0.29178011832716361</v>
      </c>
      <c r="Z39" s="1"/>
      <c r="AA39" s="3">
        <v>240</v>
      </c>
      <c r="AB39" s="11">
        <v>3.628813687875911</v>
      </c>
      <c r="AC39" s="8">
        <v>240</v>
      </c>
      <c r="AD39" s="108">
        <v>0.12214118484777009</v>
      </c>
      <c r="AF39" s="176">
        <v>42767</v>
      </c>
      <c r="AG39" s="177">
        <v>1.6589050490665169E-3</v>
      </c>
      <c r="AH39" s="177">
        <v>1.8357000707499363E-3</v>
      </c>
      <c r="AI39" s="100">
        <v>42775</v>
      </c>
      <c r="AJ39" s="102">
        <v>26540.296433831911</v>
      </c>
      <c r="AL39" s="23"/>
      <c r="AM39" s="23"/>
      <c r="AY39" s="217" t="s">
        <v>163</v>
      </c>
      <c r="AZ39" s="179" t="s">
        <v>81</v>
      </c>
      <c r="BA39" s="243">
        <v>1.3901122534103338</v>
      </c>
      <c r="BB39" s="270">
        <v>17.452304952553892</v>
      </c>
      <c r="BC39" s="243">
        <v>4.4956833084383865</v>
      </c>
      <c r="BD39" s="243" t="s">
        <v>163</v>
      </c>
      <c r="BE39" s="243" t="s">
        <v>163</v>
      </c>
      <c r="BF39" s="114" t="s">
        <v>163</v>
      </c>
      <c r="BG39" s="114" t="s">
        <v>163</v>
      </c>
      <c r="BH39" s="114" t="s">
        <v>163</v>
      </c>
      <c r="BI39" s="114" t="s">
        <v>163</v>
      </c>
      <c r="BJ39" s="99" t="s">
        <v>163</v>
      </c>
      <c r="BK39" s="130">
        <v>3.1055710550280526</v>
      </c>
      <c r="BL39" s="130">
        <v>1.3187162153572627</v>
      </c>
    </row>
    <row r="40" spans="1:64">
      <c r="D40" s="68">
        <v>44301</v>
      </c>
      <c r="E40" s="74">
        <v>4</v>
      </c>
      <c r="G40" s="68">
        <v>44301</v>
      </c>
      <c r="H40" s="74">
        <v>4.25</v>
      </c>
      <c r="J40" s="68">
        <v>44301</v>
      </c>
      <c r="K40" s="74">
        <v>4.5</v>
      </c>
      <c r="M40" s="68">
        <v>44301</v>
      </c>
      <c r="N40" s="74">
        <v>0</v>
      </c>
      <c r="Q40" s="6">
        <v>10</v>
      </c>
      <c r="R40" s="7">
        <v>42677</v>
      </c>
      <c r="S40" s="210">
        <v>3.5</v>
      </c>
      <c r="T40" s="8">
        <v>1.0000972222222222</v>
      </c>
      <c r="U40" s="98">
        <v>3.6121470212098661</v>
      </c>
      <c r="V40" s="106">
        <v>26266.58761541222</v>
      </c>
      <c r="W40" s="10">
        <v>1.2040030803726509</v>
      </c>
      <c r="X40" s="413">
        <v>1.1806114749232322</v>
      </c>
      <c r="Y40" s="414">
        <v>0.29179430392147765</v>
      </c>
      <c r="Z40" s="1"/>
      <c r="AA40" s="3">
        <v>270</v>
      </c>
      <c r="AB40" s="11">
        <v>3.6308970212092664</v>
      </c>
      <c r="AC40" s="8">
        <v>270</v>
      </c>
      <c r="AD40" s="108">
        <v>0.17183053358309425</v>
      </c>
      <c r="AF40" s="176">
        <v>42795</v>
      </c>
      <c r="AG40" s="177">
        <v>4.8052479473146281E-3</v>
      </c>
      <c r="AH40" s="177">
        <v>4.9820429689980475E-3</v>
      </c>
      <c r="AI40" s="100">
        <v>42803</v>
      </c>
      <c r="AJ40" s="102">
        <v>26573.144891039723</v>
      </c>
      <c r="AL40" s="23"/>
      <c r="AM40" s="23"/>
      <c r="AY40" s="217" t="s">
        <v>163</v>
      </c>
      <c r="AZ40" s="179" t="s">
        <v>82</v>
      </c>
      <c r="BA40" s="243">
        <v>1.402907009195387</v>
      </c>
      <c r="BB40" s="270">
        <v>18.113102867507585</v>
      </c>
      <c r="BC40" s="243">
        <v>4.5070165450115836</v>
      </c>
      <c r="BD40" s="243" t="s">
        <v>163</v>
      </c>
      <c r="BE40" s="243" t="s">
        <v>163</v>
      </c>
      <c r="BF40" s="114" t="s">
        <v>163</v>
      </c>
      <c r="BG40" s="114" t="s">
        <v>163</v>
      </c>
      <c r="BH40" s="114" t="s">
        <v>163</v>
      </c>
      <c r="BI40" s="114" t="s">
        <v>163</v>
      </c>
      <c r="BJ40" s="99" t="s">
        <v>163</v>
      </c>
      <c r="BK40" s="130">
        <v>3.1041095358161965</v>
      </c>
      <c r="BL40" s="130">
        <v>1.3301793678536213</v>
      </c>
    </row>
    <row r="41" spans="1:64">
      <c r="D41" s="68">
        <v>44666</v>
      </c>
      <c r="E41" s="74">
        <v>4</v>
      </c>
      <c r="G41" s="68">
        <v>44666</v>
      </c>
      <c r="H41" s="74">
        <v>4.25</v>
      </c>
      <c r="J41" s="68">
        <v>44666</v>
      </c>
      <c r="K41" s="74">
        <v>4.5</v>
      </c>
      <c r="M41" s="68">
        <v>44666</v>
      </c>
      <c r="N41" s="74">
        <v>0</v>
      </c>
      <c r="Q41" s="6">
        <v>11</v>
      </c>
      <c r="R41" s="7">
        <v>42678</v>
      </c>
      <c r="S41" s="210">
        <v>3.5</v>
      </c>
      <c r="T41" s="8">
        <v>1.0000972222222222</v>
      </c>
      <c r="U41" s="98">
        <v>3.6121470212095552</v>
      </c>
      <c r="V41" s="106">
        <v>26268.280596162764</v>
      </c>
      <c r="W41" s="10">
        <v>1.2039238646254669</v>
      </c>
      <c r="X41" s="413">
        <v>1.1805536029799217</v>
      </c>
      <c r="Y41" s="414">
        <v>0.29180849043524743</v>
      </c>
      <c r="Z41" s="1"/>
      <c r="AA41" s="3">
        <v>300</v>
      </c>
      <c r="AB41" s="11">
        <v>3.6329803545426</v>
      </c>
      <c r="AC41" s="8">
        <v>300</v>
      </c>
      <c r="AD41" s="108">
        <v>0.22227746285823033</v>
      </c>
      <c r="AF41" s="176">
        <v>42826</v>
      </c>
      <c r="AG41" s="177">
        <v>2.4443441636583518E-3</v>
      </c>
      <c r="AH41" s="177">
        <v>2.6211391853417712E-3</v>
      </c>
      <c r="AI41" s="100">
        <v>42834</v>
      </c>
      <c r="AJ41" s="102">
        <v>26621.925214996252</v>
      </c>
      <c r="AL41" s="23"/>
      <c r="AM41" s="23"/>
      <c r="AY41" s="217" t="s">
        <v>80</v>
      </c>
      <c r="AZ41" s="179" t="s">
        <v>83</v>
      </c>
      <c r="BA41" s="243">
        <v>1.4132751483014339</v>
      </c>
      <c r="BB41" s="270">
        <v>18.595868379118574</v>
      </c>
      <c r="BC41" s="243">
        <v>4.5163473864734955</v>
      </c>
      <c r="BD41" s="243" t="s">
        <v>163</v>
      </c>
      <c r="BE41" s="243" t="s">
        <v>163</v>
      </c>
      <c r="BF41" s="114" t="s">
        <v>163</v>
      </c>
      <c r="BG41" s="114" t="s">
        <v>163</v>
      </c>
      <c r="BH41" s="114" t="s">
        <v>163</v>
      </c>
      <c r="BI41" s="114" t="s">
        <v>163</v>
      </c>
      <c r="BJ41" s="99" t="s">
        <v>163</v>
      </c>
      <c r="BK41" s="130">
        <v>3.1030722381720617</v>
      </c>
      <c r="BL41" s="130">
        <v>1.339692247179892</v>
      </c>
    </row>
    <row r="42" spans="1:64">
      <c r="D42" s="68">
        <v>45031</v>
      </c>
      <c r="E42" s="74">
        <v>4</v>
      </c>
      <c r="G42" s="68">
        <v>45031</v>
      </c>
      <c r="H42" s="74">
        <v>4.25</v>
      </c>
      <c r="J42" s="68">
        <v>45031</v>
      </c>
      <c r="K42" s="74">
        <v>4.5</v>
      </c>
      <c r="M42" s="68">
        <v>45031</v>
      </c>
      <c r="N42" s="74">
        <v>0</v>
      </c>
      <c r="Q42" s="6">
        <v>12</v>
      </c>
      <c r="R42" s="7">
        <v>42679</v>
      </c>
      <c r="S42" s="210">
        <v>3.5</v>
      </c>
      <c r="T42" s="8">
        <v>1.0000972222222222</v>
      </c>
      <c r="U42" s="98">
        <v>3.6121470212093998</v>
      </c>
      <c r="V42" s="106">
        <v>26269.973686032306</v>
      </c>
      <c r="W42" s="10">
        <v>1.2038578515505716</v>
      </c>
      <c r="X42" s="413">
        <v>1.1805085983151997</v>
      </c>
      <c r="Y42" s="414">
        <v>0.29182267786859173</v>
      </c>
      <c r="Z42" s="1"/>
      <c r="AA42" s="3">
        <v>330</v>
      </c>
      <c r="AB42" s="11">
        <v>3.6350636878759555</v>
      </c>
      <c r="AC42" s="8">
        <v>330</v>
      </c>
      <c r="AD42" s="108">
        <v>0.27781447392085074</v>
      </c>
      <c r="AF42" s="176">
        <v>42856</v>
      </c>
      <c r="AG42" s="177">
        <v>2.2509846834857239E-3</v>
      </c>
      <c r="AH42" s="177">
        <v>2.4277797051691433E-3</v>
      </c>
      <c r="AI42" s="100">
        <v>42864</v>
      </c>
      <c r="AJ42" s="102">
        <v>26754.556790334813</v>
      </c>
      <c r="AL42" s="23"/>
      <c r="AM42" s="23"/>
      <c r="AY42" s="217" t="s">
        <v>80</v>
      </c>
      <c r="AZ42" s="179" t="s">
        <v>84</v>
      </c>
      <c r="BA42" s="243">
        <v>1.4359191649043554</v>
      </c>
      <c r="BB42" s="270">
        <v>19.695138883624168</v>
      </c>
      <c r="BC42" s="243">
        <v>4.5360698790132279</v>
      </c>
      <c r="BD42" s="243" t="s">
        <v>163</v>
      </c>
      <c r="BE42" s="243">
        <v>1.63</v>
      </c>
      <c r="BF42" s="114">
        <v>0.19408083509564444</v>
      </c>
      <c r="BG42" s="114">
        <v>1.63</v>
      </c>
      <c r="BH42" s="114">
        <v>1.63</v>
      </c>
      <c r="BI42" s="114">
        <v>0</v>
      </c>
      <c r="BJ42" s="99" t="s">
        <v>163</v>
      </c>
      <c r="BK42" s="130">
        <v>3.1001507141088727</v>
      </c>
      <c r="BL42" s="130">
        <v>1.3601501897574872</v>
      </c>
    </row>
    <row r="43" spans="1:64">
      <c r="D43" s="68">
        <v>45397</v>
      </c>
      <c r="E43" s="74">
        <v>4</v>
      </c>
      <c r="G43" s="68">
        <v>45397</v>
      </c>
      <c r="H43" s="74">
        <v>4.25</v>
      </c>
      <c r="J43" s="68">
        <v>45397</v>
      </c>
      <c r="K43" s="74">
        <v>4.5</v>
      </c>
      <c r="M43" s="68">
        <v>45397</v>
      </c>
      <c r="N43" s="74">
        <v>0</v>
      </c>
      <c r="Q43" s="6">
        <v>13</v>
      </c>
      <c r="R43" s="7">
        <v>42680</v>
      </c>
      <c r="S43" s="210">
        <v>3.5</v>
      </c>
      <c r="T43" s="8">
        <v>1.0000972222222222</v>
      </c>
      <c r="U43" s="98">
        <v>3.6121470212095774</v>
      </c>
      <c r="V43" s="106">
        <v>26271.666885027884</v>
      </c>
      <c r="W43" s="10">
        <v>1.2038019943677147</v>
      </c>
      <c r="X43" s="413">
        <v>1.1804734916548516</v>
      </c>
      <c r="Y43" s="414">
        <v>0.29183686622159277</v>
      </c>
      <c r="Z43" s="1"/>
      <c r="AA43" s="3">
        <v>360</v>
      </c>
      <c r="AB43" s="11">
        <v>3.6371470212093331</v>
      </c>
      <c r="AC43" s="8">
        <v>360</v>
      </c>
      <c r="AD43" s="108">
        <v>0.21297013801290507</v>
      </c>
      <c r="AF43" s="176">
        <v>42887</v>
      </c>
      <c r="AG43" s="177">
        <v>2.4701684388124256E-3</v>
      </c>
      <c r="AH43" s="177">
        <v>2.646963460495845E-3</v>
      </c>
      <c r="AI43" s="100">
        <v>42895</v>
      </c>
      <c r="AJ43" s="102">
        <v>26824.684207524409</v>
      </c>
      <c r="AL43" s="23"/>
      <c r="AM43" s="23"/>
      <c r="AY43" s="217"/>
      <c r="AZ43" s="179"/>
      <c r="BA43" s="243"/>
      <c r="BB43" s="270"/>
      <c r="BC43" s="243"/>
      <c r="BD43" s="243"/>
      <c r="BE43" s="243"/>
      <c r="BF43" s="114"/>
      <c r="BG43" s="114"/>
      <c r="BH43" s="114"/>
      <c r="BI43" s="114"/>
      <c r="BJ43" s="99"/>
      <c r="BK43" s="130"/>
      <c r="BL43" s="130"/>
    </row>
    <row r="44" spans="1:64">
      <c r="D44" s="68">
        <v>45762</v>
      </c>
      <c r="E44" s="74">
        <v>4</v>
      </c>
      <c r="G44" s="68">
        <v>45762</v>
      </c>
      <c r="H44" s="74">
        <v>4.25</v>
      </c>
      <c r="J44" s="68">
        <v>45762</v>
      </c>
      <c r="K44" s="74">
        <v>4.5</v>
      </c>
      <c r="M44" s="68">
        <v>45762</v>
      </c>
      <c r="N44" s="74">
        <v>0</v>
      </c>
      <c r="Q44" s="6">
        <v>14</v>
      </c>
      <c r="R44" s="7">
        <v>42681</v>
      </c>
      <c r="S44" s="210">
        <v>3.5</v>
      </c>
      <c r="T44" s="8">
        <v>1.0000972222222222</v>
      </c>
      <c r="U44" s="98">
        <v>3.6121470212093776</v>
      </c>
      <c r="V44" s="106">
        <v>26273.360193156532</v>
      </c>
      <c r="W44" s="10">
        <v>1.2037541168061106</v>
      </c>
      <c r="X44" s="413">
        <v>1.1804461620870121</v>
      </c>
      <c r="Y44" s="414">
        <v>0.29185105549426166</v>
      </c>
      <c r="Z44" s="1"/>
      <c r="AA44" s="3">
        <v>390</v>
      </c>
      <c r="AB44" s="11">
        <v>3.6392303545426441</v>
      </c>
      <c r="AC44" s="8">
        <v>390</v>
      </c>
      <c r="AD44" s="108">
        <v>8.0173134800276755E-2</v>
      </c>
      <c r="AF44" s="176">
        <v>42917</v>
      </c>
      <c r="AG44" s="177">
        <v>2.0063126234792783E-3</v>
      </c>
      <c r="AH44" s="177">
        <v>2.1831076451626977E-3</v>
      </c>
      <c r="AI44" s="100">
        <v>42925</v>
      </c>
      <c r="AJ44" s="102">
        <v>26889.808631441007</v>
      </c>
      <c r="AL44" s="23"/>
      <c r="AM44" s="23"/>
      <c r="AY44" s="217"/>
      <c r="AZ44" s="179"/>
      <c r="BA44" s="243"/>
      <c r="BB44" s="270"/>
      <c r="BC44" s="243"/>
      <c r="BD44" s="243"/>
      <c r="BE44" s="243"/>
      <c r="BF44" s="114"/>
      <c r="BG44" s="114"/>
      <c r="BH44" s="114"/>
      <c r="BI44" s="114"/>
      <c r="BJ44" s="99"/>
      <c r="BK44" s="130"/>
      <c r="BL44" s="130"/>
    </row>
    <row r="45" spans="1:64">
      <c r="D45" s="68">
        <v>46127</v>
      </c>
      <c r="E45" s="74">
        <v>4</v>
      </c>
      <c r="G45" s="68">
        <v>46127</v>
      </c>
      <c r="H45" s="74">
        <v>4.25</v>
      </c>
      <c r="J45" s="68">
        <v>46127</v>
      </c>
      <c r="K45" s="74">
        <v>4.5</v>
      </c>
      <c r="M45" s="68">
        <v>46127</v>
      </c>
      <c r="N45" s="74">
        <v>0</v>
      </c>
      <c r="Q45" s="6">
        <v>15</v>
      </c>
      <c r="R45" s="7">
        <v>42682</v>
      </c>
      <c r="S45" s="210">
        <v>3.5</v>
      </c>
      <c r="T45" s="8">
        <v>1.0000972222222222</v>
      </c>
      <c r="U45" s="98">
        <v>3.6121470212091777</v>
      </c>
      <c r="V45" s="106">
        <v>26275.053610425279</v>
      </c>
      <c r="W45" s="10">
        <v>1.2037126229377915</v>
      </c>
      <c r="X45" s="413">
        <v>1.1804250542784445</v>
      </c>
      <c r="Y45" s="414">
        <v>0.29186524568669547</v>
      </c>
      <c r="Z45" s="1"/>
      <c r="AA45" s="3">
        <v>420</v>
      </c>
      <c r="AB45" s="11">
        <v>3.6413136878759333</v>
      </c>
      <c r="AC45" s="8">
        <v>420</v>
      </c>
      <c r="AD45" s="108">
        <v>0.1525760704205491</v>
      </c>
      <c r="AF45" s="176">
        <v>42948</v>
      </c>
      <c r="AG45" s="177">
        <v>2.4126114206917126E-3</v>
      </c>
      <c r="AH45" s="177">
        <v>2.589406442375132E-3</v>
      </c>
      <c r="AI45" s="100">
        <v>42956</v>
      </c>
      <c r="AJ45" s="102">
        <v>26960.984972348153</v>
      </c>
      <c r="AL45" s="23"/>
      <c r="AM45" s="23"/>
      <c r="AY45" s="217"/>
      <c r="AZ45" s="179"/>
      <c r="BA45" s="243"/>
      <c r="BB45" s="270"/>
      <c r="BC45" s="243"/>
      <c r="BD45" s="243"/>
      <c r="BE45" s="243"/>
      <c r="BF45" s="114"/>
      <c r="BG45" s="114"/>
      <c r="BH45" s="114"/>
      <c r="BI45" s="114"/>
      <c r="BJ45" s="99"/>
      <c r="BK45" s="130"/>
      <c r="BL45" s="130"/>
    </row>
    <row r="46" spans="1:64" ht="15.75" thickBot="1">
      <c r="D46" s="69">
        <v>46492</v>
      </c>
      <c r="E46" s="75">
        <v>4</v>
      </c>
      <c r="G46" s="69">
        <v>46492</v>
      </c>
      <c r="H46" s="75">
        <v>4.25</v>
      </c>
      <c r="J46" s="69">
        <v>46492</v>
      </c>
      <c r="K46" s="75">
        <v>4.5</v>
      </c>
      <c r="M46" s="69">
        <v>46492</v>
      </c>
      <c r="N46" s="75">
        <v>0</v>
      </c>
      <c r="Q46" s="6">
        <v>16</v>
      </c>
      <c r="R46" s="7">
        <v>42683</v>
      </c>
      <c r="S46" s="210">
        <v>3.5</v>
      </c>
      <c r="T46" s="8">
        <v>1.0000972222222222</v>
      </c>
      <c r="U46" s="98">
        <v>3.6121470212090445</v>
      </c>
      <c r="V46" s="106">
        <v>26276.747136841168</v>
      </c>
      <c r="W46" s="10">
        <v>1.2036763158172814</v>
      </c>
      <c r="X46" s="413">
        <v>1.1804090017287217</v>
      </c>
      <c r="Y46" s="414">
        <v>0.29187943679896688</v>
      </c>
      <c r="Z46" s="1"/>
      <c r="AA46" s="3">
        <v>450</v>
      </c>
      <c r="AB46" s="11">
        <v>3.6433970212092666</v>
      </c>
      <c r="AC46" s="8">
        <v>450</v>
      </c>
      <c r="AD46" s="108">
        <v>0.30582303934590449</v>
      </c>
      <c r="AF46" s="176">
        <v>42979</v>
      </c>
      <c r="AG46" s="177">
        <v>4.9260600971001711E-3</v>
      </c>
      <c r="AH46" s="177">
        <v>5.1028551187835905E-3</v>
      </c>
      <c r="AI46" s="100">
        <v>42987</v>
      </c>
      <c r="AJ46" s="102">
        <v>27019.843704762399</v>
      </c>
      <c r="AL46" s="23"/>
      <c r="AM46" s="23"/>
      <c r="BL46" s="299"/>
    </row>
    <row r="47" spans="1:64">
      <c r="Q47" s="6">
        <v>17</v>
      </c>
      <c r="R47" s="7">
        <v>42684</v>
      </c>
      <c r="S47" s="210">
        <v>3.5</v>
      </c>
      <c r="T47" s="8">
        <v>1.0000972222222222</v>
      </c>
      <c r="U47" s="98">
        <v>3.6121470212088669</v>
      </c>
      <c r="V47" s="106">
        <v>26281.571426139188</v>
      </c>
      <c r="W47" s="10">
        <v>0.94512413948124596</v>
      </c>
      <c r="X47" s="413">
        <v>0.92800295506091557</v>
      </c>
      <c r="Y47" s="414">
        <v>0.29189362883113151</v>
      </c>
      <c r="Z47" s="1"/>
      <c r="AA47" s="3">
        <v>480</v>
      </c>
      <c r="AB47" s="11">
        <v>3.6454803545426442</v>
      </c>
      <c r="AC47" s="8">
        <v>480</v>
      </c>
      <c r="AD47" s="108">
        <v>0.42012944045500078</v>
      </c>
      <c r="AF47" s="176">
        <v>43009</v>
      </c>
      <c r="AG47" s="177">
        <v>2.3385074193538191E-3</v>
      </c>
      <c r="AH47" s="177">
        <v>2.5153024410372385E-3</v>
      </c>
      <c r="AI47" s="100">
        <v>43017</v>
      </c>
      <c r="AJ47" s="102">
        <v>27089.809062123477</v>
      </c>
      <c r="AL47" s="23"/>
      <c r="AM47" s="23"/>
      <c r="BL47" s="299"/>
    </row>
    <row r="48" spans="1:64" ht="15.75" thickBot="1">
      <c r="D48" s="70" t="s">
        <v>25</v>
      </c>
      <c r="G48" s="70" t="s">
        <v>25</v>
      </c>
      <c r="J48" s="70" t="s">
        <v>25</v>
      </c>
      <c r="M48" s="70" t="s">
        <v>25</v>
      </c>
      <c r="Q48" s="6">
        <v>18</v>
      </c>
      <c r="R48" s="7">
        <v>42685</v>
      </c>
      <c r="S48" s="210">
        <v>3.5</v>
      </c>
      <c r="T48" s="8">
        <v>1.0000972222222222</v>
      </c>
      <c r="U48" s="98">
        <v>3.6121470212087781</v>
      </c>
      <c r="V48" s="106">
        <v>26286.396601154418</v>
      </c>
      <c r="W48" s="10">
        <v>0.71585456391070057</v>
      </c>
      <c r="X48" s="413">
        <v>0.70365694768170783</v>
      </c>
      <c r="Y48" s="414">
        <v>0.29190782178326968</v>
      </c>
      <c r="Z48" s="1"/>
      <c r="AA48" s="3">
        <v>510</v>
      </c>
      <c r="AB48" s="11">
        <v>3.6475636878759778</v>
      </c>
      <c r="AC48" s="8">
        <v>510</v>
      </c>
      <c r="AD48" s="108">
        <v>0.42233223078220861</v>
      </c>
      <c r="AF48" s="176">
        <v>43040</v>
      </c>
      <c r="AG48" s="177">
        <v>8.7760999537511708E-4</v>
      </c>
      <c r="AH48" s="177">
        <v>1.0544050170585365E-3</v>
      </c>
      <c r="AI48" s="100">
        <v>43048</v>
      </c>
      <c r="AJ48" s="102">
        <v>27228.044432963001</v>
      </c>
      <c r="AL48" s="23"/>
      <c r="AM48" s="23"/>
      <c r="BL48" s="299"/>
    </row>
    <row r="49" spans="4:64" ht="15.75" thickBot="1">
      <c r="D49" s="24" t="s">
        <v>571</v>
      </c>
      <c r="E49" s="76">
        <v>1</v>
      </c>
      <c r="G49" s="24" t="s">
        <v>571</v>
      </c>
      <c r="H49" s="76">
        <v>1.1000000000000001</v>
      </c>
      <c r="J49" s="24" t="s">
        <v>571</v>
      </c>
      <c r="K49" s="76">
        <v>1.2</v>
      </c>
      <c r="M49" s="24" t="s">
        <v>36</v>
      </c>
      <c r="N49" s="76">
        <v>0.8</v>
      </c>
      <c r="Q49" s="6">
        <v>19</v>
      </c>
      <c r="R49" s="7">
        <v>42686</v>
      </c>
      <c r="S49" s="210">
        <v>3.5</v>
      </c>
      <c r="T49" s="8">
        <v>1.0000972222222222</v>
      </c>
      <c r="U49" s="98">
        <v>3.6121470212087337</v>
      </c>
      <c r="V49" s="106">
        <v>26291.222662049477</v>
      </c>
      <c r="W49" s="10">
        <v>0.51116005230078532</v>
      </c>
      <c r="X49" s="413">
        <v>0.50294044584966557</v>
      </c>
      <c r="Y49" s="414">
        <v>0.29192201565544479</v>
      </c>
      <c r="Z49" s="1"/>
      <c r="AA49" s="3">
        <v>540</v>
      </c>
      <c r="AB49" s="11">
        <v>3.649659012190297</v>
      </c>
      <c r="AC49" s="8">
        <v>540</v>
      </c>
      <c r="AD49" s="108">
        <v>0.43537343116601812</v>
      </c>
      <c r="AF49" s="176">
        <v>43070</v>
      </c>
      <c r="AG49" s="177">
        <v>6.2682054496510098E-4</v>
      </c>
      <c r="AH49" s="177">
        <v>8.0361556664852035E-4</v>
      </c>
      <c r="AI49" s="100">
        <v>43078</v>
      </c>
      <c r="AJ49" s="102">
        <v>27296.531199589899</v>
      </c>
      <c r="AL49" s="23"/>
      <c r="AM49" s="23"/>
      <c r="BL49" s="299"/>
    </row>
    <row r="50" spans="4:64">
      <c r="D50" s="23" t="s">
        <v>572</v>
      </c>
      <c r="E50" s="553">
        <v>1</v>
      </c>
      <c r="G50" s="23" t="s">
        <v>572</v>
      </c>
      <c r="H50" s="553">
        <v>1.1000000000000001</v>
      </c>
      <c r="J50" s="23" t="s">
        <v>572</v>
      </c>
      <c r="K50" s="553">
        <v>1.2</v>
      </c>
      <c r="M50" s="23" t="s">
        <v>572</v>
      </c>
      <c r="N50" s="553">
        <v>1.2</v>
      </c>
      <c r="Q50" s="6">
        <v>20</v>
      </c>
      <c r="R50" s="7">
        <v>42687</v>
      </c>
      <c r="S50" s="210">
        <v>3.5</v>
      </c>
      <c r="T50" s="8">
        <v>1.0000972222222222</v>
      </c>
      <c r="U50" s="98">
        <v>3.6121470212089557</v>
      </c>
      <c r="V50" s="106">
        <v>26296.049608987003</v>
      </c>
      <c r="W50" s="10">
        <v>0.32729071334591797</v>
      </c>
      <c r="X50" s="413">
        <v>0.32230902257444072</v>
      </c>
      <c r="Y50" s="414">
        <v>0.29193621044774076</v>
      </c>
      <c r="Z50" s="1"/>
      <c r="AA50" s="3">
        <v>570</v>
      </c>
      <c r="AB50" s="11">
        <v>3.6537297108784466</v>
      </c>
      <c r="AC50" s="8">
        <v>570</v>
      </c>
      <c r="AD50" s="108">
        <v>0.4467609446406855</v>
      </c>
      <c r="AF50" s="176">
        <v>43101</v>
      </c>
      <c r="AG50" s="177">
        <v>9.9491487950476021E-4</v>
      </c>
      <c r="AH50" s="177">
        <v>2.5000000000000001E-3</v>
      </c>
      <c r="AI50" s="100">
        <v>43109</v>
      </c>
      <c r="AJ50" s="102">
        <v>27325.31279903504</v>
      </c>
      <c r="AL50" s="23"/>
      <c r="AM50" s="23"/>
      <c r="BL50" s="299"/>
    </row>
    <row r="51" spans="4:64">
      <c r="Q51" s="6">
        <v>21</v>
      </c>
      <c r="R51" s="7">
        <v>42688</v>
      </c>
      <c r="S51" s="210">
        <v>3.5</v>
      </c>
      <c r="T51" s="8">
        <v>1.0000972222222222</v>
      </c>
      <c r="U51" s="98">
        <v>3.6121470212090667</v>
      </c>
      <c r="V51" s="106">
        <v>26300.877442129677</v>
      </c>
      <c r="W51" s="10">
        <v>0.16122259085900037</v>
      </c>
      <c r="X51" s="413">
        <v>0.15889337981318211</v>
      </c>
      <c r="Y51" s="414">
        <v>0.29195040616019391</v>
      </c>
      <c r="Z51" s="1"/>
      <c r="AA51" s="3">
        <v>600</v>
      </c>
      <c r="AB51" s="11">
        <v>3.6608394333969607</v>
      </c>
      <c r="AC51" s="8">
        <v>600</v>
      </c>
      <c r="AD51" s="108">
        <v>0.46281668496776412</v>
      </c>
      <c r="AF51" s="176">
        <v>43132</v>
      </c>
      <c r="AG51" s="177">
        <v>1.6565433462174539E-3</v>
      </c>
      <c r="AH51" s="177">
        <v>2.5000000000000001E-3</v>
      </c>
      <c r="AI51" s="100">
        <v>43140</v>
      </c>
      <c r="AJ51" s="102">
        <v>27347.271845763884</v>
      </c>
      <c r="AL51" s="23"/>
      <c r="AM51" s="23"/>
      <c r="BL51" s="299"/>
    </row>
    <row r="52" spans="4:64">
      <c r="Q52" s="6">
        <v>22</v>
      </c>
      <c r="R52" s="7">
        <v>42689</v>
      </c>
      <c r="S52" s="210">
        <v>3.5</v>
      </c>
      <c r="T52" s="8">
        <v>1.0000972222222222</v>
      </c>
      <c r="U52" s="98">
        <v>3.6121470212089557</v>
      </c>
      <c r="V52" s="106">
        <v>26305.706161640195</v>
      </c>
      <c r="W52" s="10">
        <v>1.0490120288886295E-2</v>
      </c>
      <c r="X52" s="413">
        <v>1.0345910078827942E-2</v>
      </c>
      <c r="Y52" s="414">
        <v>0.29196460279286424</v>
      </c>
      <c r="Z52" s="1"/>
      <c r="AA52" s="3">
        <v>630</v>
      </c>
      <c r="AB52" s="11">
        <v>3.6705544366715603</v>
      </c>
      <c r="AC52" s="8">
        <v>630</v>
      </c>
      <c r="AD52" s="108">
        <v>0.47803261691422777</v>
      </c>
      <c r="AF52" s="176">
        <v>43160</v>
      </c>
      <c r="AG52" s="177">
        <v>2.5000000000000001E-3</v>
      </c>
      <c r="AH52" s="177">
        <v>2.5000000000000001E-3</v>
      </c>
      <c r="AI52" s="100">
        <v>43168</v>
      </c>
      <c r="AJ52" s="102">
        <v>27415.640025378292</v>
      </c>
      <c r="AL52" s="23"/>
      <c r="AM52" s="23"/>
      <c r="BL52" s="299"/>
    </row>
    <row r="53" spans="4:64">
      <c r="Q53" s="6">
        <v>23</v>
      </c>
      <c r="R53" s="7">
        <v>42690</v>
      </c>
      <c r="S53" s="210">
        <v>3.5</v>
      </c>
      <c r="T53" s="8">
        <v>1.0000972222222222</v>
      </c>
      <c r="U53" s="98">
        <v>3.6121470212091333</v>
      </c>
      <c r="V53" s="106">
        <v>26310.535767681293</v>
      </c>
      <c r="W53" s="10">
        <v>-0.12693706305370034</v>
      </c>
      <c r="X53" s="413">
        <v>-0.12527271455289021</v>
      </c>
      <c r="Y53" s="414">
        <v>0.29197880034585916</v>
      </c>
      <c r="Z53" s="1"/>
      <c r="AA53" s="3">
        <v>660</v>
      </c>
      <c r="AB53" s="11">
        <v>3.6825200200085835</v>
      </c>
      <c r="AC53" s="8">
        <v>660</v>
      </c>
      <c r="AD53" s="108">
        <v>0.49833990146052004</v>
      </c>
      <c r="AF53" s="176">
        <v>43191</v>
      </c>
      <c r="AG53" s="177">
        <v>2.5000000000000001E-3</v>
      </c>
      <c r="AH53" s="177">
        <v>2.5000000000000001E-3</v>
      </c>
      <c r="AI53" s="100">
        <v>43199</v>
      </c>
      <c r="AJ53" s="102">
        <v>27484.179125441737</v>
      </c>
      <c r="AL53" s="23"/>
      <c r="AM53" s="23"/>
      <c r="BL53" s="299"/>
    </row>
    <row r="54" spans="4:64">
      <c r="Q54" s="6">
        <v>24</v>
      </c>
      <c r="R54" s="7">
        <v>42691</v>
      </c>
      <c r="S54" s="210">
        <v>3.5</v>
      </c>
      <c r="T54" s="8">
        <v>1.0000972222222222</v>
      </c>
      <c r="U54" s="98">
        <v>3.6121470212091999</v>
      </c>
      <c r="V54" s="106">
        <v>26315.366260415729</v>
      </c>
      <c r="W54" s="10">
        <v>-0.25274608189472803</v>
      </c>
      <c r="X54" s="413">
        <v>-0.24957860068619553</v>
      </c>
      <c r="Y54" s="414">
        <v>0.2919929988192127</v>
      </c>
      <c r="Z54" s="1"/>
      <c r="AA54" s="3">
        <v>690</v>
      </c>
      <c r="AB54" s="11">
        <v>3.6964433046028669</v>
      </c>
      <c r="AC54" s="8">
        <v>690</v>
      </c>
      <c r="AD54" s="108">
        <v>0.51908181193965597</v>
      </c>
      <c r="AF54" s="176">
        <v>43221</v>
      </c>
      <c r="AG54" s="177">
        <v>2.5000000000000001E-3</v>
      </c>
      <c r="AH54" s="177">
        <v>2.5000000000000001E-3</v>
      </c>
      <c r="AI54" s="100">
        <v>43229</v>
      </c>
      <c r="AJ54" s="102">
        <v>27552.889573255339</v>
      </c>
      <c r="AL54" s="23"/>
      <c r="AM54" s="23"/>
      <c r="BL54" s="299"/>
    </row>
    <row r="55" spans="4:64">
      <c r="Q55" s="6">
        <v>25</v>
      </c>
      <c r="R55" s="7">
        <v>42692</v>
      </c>
      <c r="S55" s="210">
        <v>3.5</v>
      </c>
      <c r="T55" s="8">
        <v>1.0000972222222222</v>
      </c>
      <c r="U55" s="98">
        <v>3.6121470212093332</v>
      </c>
      <c r="V55" s="106">
        <v>26320.197640006303</v>
      </c>
      <c r="W55" s="10">
        <v>-0.36835040475748926</v>
      </c>
      <c r="X55" s="413">
        <v>-0.36392927786863538</v>
      </c>
      <c r="Y55" s="414">
        <v>0.2920071982130068</v>
      </c>
      <c r="Z55" s="1"/>
      <c r="AA55" s="3">
        <v>720</v>
      </c>
      <c r="AB55" s="11">
        <v>3.7120803271335765</v>
      </c>
      <c r="AC55" s="8">
        <v>720</v>
      </c>
      <c r="AD55" s="108">
        <v>0.53815309268559486</v>
      </c>
      <c r="AF55" s="176">
        <v>43252</v>
      </c>
      <c r="AG55" s="177">
        <v>2.5000000000000001E-3</v>
      </c>
      <c r="AH55" s="177">
        <v>2.5000000000000001E-3</v>
      </c>
      <c r="AI55" s="100">
        <v>43260</v>
      </c>
      <c r="AJ55" s="102">
        <v>27621.771797188478</v>
      </c>
      <c r="AL55" s="23"/>
      <c r="AM55" s="23"/>
      <c r="BL55" s="299"/>
    </row>
    <row r="56" spans="4:64">
      <c r="Q56" s="6">
        <v>26</v>
      </c>
      <c r="R56" s="7">
        <v>42693</v>
      </c>
      <c r="S56" s="210">
        <v>3.5</v>
      </c>
      <c r="T56" s="8">
        <v>1.0000972222222222</v>
      </c>
      <c r="U56" s="98">
        <v>3.6121470212092222</v>
      </c>
      <c r="V56" s="106">
        <v>26325.029906615833</v>
      </c>
      <c r="W56" s="10">
        <v>-0.47494316472640463</v>
      </c>
      <c r="X56" s="413">
        <v>-0.46947342494751959</v>
      </c>
      <c r="Y56" s="414">
        <v>0.29202139852728509</v>
      </c>
      <c r="Z56" s="1"/>
      <c r="AA56" s="3">
        <v>750</v>
      </c>
      <c r="AB56" s="11">
        <v>3.7276058667193883</v>
      </c>
      <c r="AC56" s="8">
        <v>750</v>
      </c>
      <c r="AD56" s="108">
        <v>0.55951767315751932</v>
      </c>
      <c r="AF56" s="176">
        <v>43282</v>
      </c>
      <c r="AG56" s="177">
        <v>2.5000000000000001E-3</v>
      </c>
      <c r="AH56" s="177">
        <v>2.5000000000000001E-3</v>
      </c>
      <c r="AI56" s="100">
        <v>43290</v>
      </c>
      <c r="AJ56" s="102">
        <v>27690.826226681449</v>
      </c>
      <c r="AL56" s="23"/>
      <c r="AM56" s="23"/>
      <c r="BL56" s="299"/>
    </row>
    <row r="57" spans="4:64">
      <c r="Q57" s="6">
        <v>27</v>
      </c>
      <c r="R57" s="7">
        <v>42694</v>
      </c>
      <c r="S57" s="210">
        <v>3.5</v>
      </c>
      <c r="T57" s="8">
        <v>1.0000972222222222</v>
      </c>
      <c r="U57" s="98">
        <v>3.6121470212091333</v>
      </c>
      <c r="V57" s="106">
        <v>26329.863060407177</v>
      </c>
      <c r="W57" s="10">
        <v>-0.57353848004800811</v>
      </c>
      <c r="X57" s="413">
        <v>-0.56718954612655637</v>
      </c>
      <c r="Y57" s="414">
        <v>0.29203559976213417</v>
      </c>
      <c r="Z57" s="1"/>
      <c r="AA57" s="3">
        <v>780</v>
      </c>
      <c r="AB57" s="11">
        <v>3.7444670198608638</v>
      </c>
      <c r="AC57" s="8">
        <v>780</v>
      </c>
      <c r="AD57" s="108">
        <v>0.57891599032240337</v>
      </c>
      <c r="AF57" s="176">
        <v>43313</v>
      </c>
      <c r="AG57" s="177">
        <v>2.5000000000000001E-3</v>
      </c>
      <c r="AH57" s="177">
        <v>2.5000000000000001E-3</v>
      </c>
      <c r="AI57" s="100">
        <v>43321</v>
      </c>
      <c r="AJ57" s="102">
        <v>27760.053292248151</v>
      </c>
      <c r="AL57" s="23"/>
      <c r="AM57" s="23"/>
      <c r="BL57" s="299"/>
    </row>
    <row r="58" spans="4:64">
      <c r="Q58" s="6">
        <v>28</v>
      </c>
      <c r="R58" s="7">
        <v>42695</v>
      </c>
      <c r="S58" s="210">
        <v>3.5</v>
      </c>
      <c r="T58" s="8">
        <v>1.0000972222222222</v>
      </c>
      <c r="U58" s="98">
        <v>3.6121470212091555</v>
      </c>
      <c r="V58" s="106">
        <v>26334.69710154321</v>
      </c>
      <c r="W58" s="10">
        <v>-0.66500381245395701</v>
      </c>
      <c r="X58" s="413">
        <v>-0.65791635929378167</v>
      </c>
      <c r="Y58" s="414">
        <v>0.29204980191762808</v>
      </c>
      <c r="Z58" s="1"/>
      <c r="AA58" s="3">
        <v>810</v>
      </c>
      <c r="AB58" s="11">
        <v>3.7625162309656588</v>
      </c>
      <c r="AC58" s="8">
        <v>810</v>
      </c>
      <c r="AD58" s="108">
        <v>0.60240490863516438</v>
      </c>
      <c r="AF58" s="176">
        <v>43344</v>
      </c>
      <c r="AG58" s="177">
        <v>2.5000000000000001E-3</v>
      </c>
      <c r="AH58" s="177">
        <v>2.5000000000000001E-3</v>
      </c>
      <c r="AI58" s="100">
        <v>43352</v>
      </c>
      <c r="AJ58" s="102">
        <v>27829.453425478769</v>
      </c>
      <c r="AL58" s="23"/>
      <c r="AM58" s="23"/>
      <c r="BL58" s="299"/>
    </row>
    <row r="59" spans="4:64">
      <c r="Q59" s="6">
        <v>29</v>
      </c>
      <c r="R59" s="7">
        <v>42696</v>
      </c>
      <c r="S59" s="210">
        <v>3.5</v>
      </c>
      <c r="T59" s="8">
        <v>1.0000972222222222</v>
      </c>
      <c r="U59" s="98">
        <v>3.6121470212092222</v>
      </c>
      <c r="V59" s="106">
        <v>26339.532030186845</v>
      </c>
      <c r="W59" s="10">
        <v>-0.75008555185550607</v>
      </c>
      <c r="X59" s="413">
        <v>-0.74237689711143362</v>
      </c>
      <c r="Y59" s="414">
        <v>0.29206400499383095</v>
      </c>
      <c r="Z59" s="1"/>
      <c r="AA59" s="3">
        <v>840</v>
      </c>
      <c r="AB59" s="11">
        <v>3.7816270619617165</v>
      </c>
      <c r="AC59" s="8">
        <v>840</v>
      </c>
      <c r="AD59" s="108">
        <v>0.62574425492069485</v>
      </c>
      <c r="AF59" s="176">
        <v>43374</v>
      </c>
      <c r="AG59" s="177">
        <v>2.5000000000000001E-3</v>
      </c>
      <c r="AH59" s="177">
        <v>2.5000000000000001E-3</v>
      </c>
      <c r="AI59" s="100">
        <v>43382</v>
      </c>
      <c r="AJ59" s="102">
        <v>27899.027059042462</v>
      </c>
      <c r="AL59" s="23"/>
      <c r="AM59" s="23"/>
      <c r="BL59" s="299"/>
    </row>
    <row r="60" spans="4:64">
      <c r="Q60" s="6">
        <v>30</v>
      </c>
      <c r="R60" s="7">
        <v>42697</v>
      </c>
      <c r="S60" s="210">
        <v>3.5</v>
      </c>
      <c r="T60" s="8">
        <v>1.0000972222222222</v>
      </c>
      <c r="U60" s="98">
        <v>3.6121470212092222</v>
      </c>
      <c r="V60" s="106">
        <v>26344.367846501031</v>
      </c>
      <c r="W60" s="10">
        <v>-0.82942942583155155</v>
      </c>
      <c r="X60" s="413">
        <v>-0.82119778788771747</v>
      </c>
      <c r="Y60" s="414">
        <v>0.29207820899079806</v>
      </c>
      <c r="Z60" s="1"/>
      <c r="AA60" s="3">
        <v>870</v>
      </c>
      <c r="AB60" s="11">
        <v>3.8016905450614438</v>
      </c>
      <c r="AC60" s="8">
        <v>870</v>
      </c>
      <c r="AD60" s="108">
        <v>0.64093756044357886</v>
      </c>
      <c r="AF60" s="176">
        <v>43405</v>
      </c>
      <c r="AG60" s="177">
        <v>2.5000000000000001E-3</v>
      </c>
      <c r="AH60" s="177">
        <v>2.5000000000000001E-3</v>
      </c>
      <c r="AI60" s="100">
        <v>43413</v>
      </c>
      <c r="AJ60" s="102">
        <v>27968.774626690069</v>
      </c>
      <c r="AL60" s="23"/>
      <c r="AM60" s="23"/>
      <c r="BL60" s="299"/>
    </row>
    <row r="61" spans="4:64">
      <c r="Q61" s="6">
        <v>31</v>
      </c>
      <c r="R61" s="7">
        <v>42698</v>
      </c>
      <c r="S61" s="210">
        <v>3.5</v>
      </c>
      <c r="T61" s="8">
        <v>1.0000972222222222</v>
      </c>
      <c r="U61" s="98">
        <v>3.6121470212091555</v>
      </c>
      <c r="V61" s="106">
        <v>26349.204550648741</v>
      </c>
      <c r="W61" s="10">
        <v>-0.90359691532987396</v>
      </c>
      <c r="X61" s="413">
        <v>-0.89492480466423252</v>
      </c>
      <c r="Y61" s="414">
        <v>0.29209241390859925</v>
      </c>
      <c r="Z61" s="1"/>
      <c r="AA61" s="3">
        <v>900</v>
      </c>
      <c r="AB61" s="11">
        <v>3.8226122661903488</v>
      </c>
      <c r="AC61" s="8">
        <v>900</v>
      </c>
      <c r="AD61" s="108">
        <v>0.66607282819835922</v>
      </c>
      <c r="AF61" s="176">
        <v>43435</v>
      </c>
      <c r="AG61" s="177">
        <v>2.5000000000000001E-3</v>
      </c>
      <c r="AH61" s="177">
        <v>2.5000000000000001E-3</v>
      </c>
      <c r="AI61" s="100">
        <v>43443</v>
      </c>
      <c r="AJ61" s="102">
        <v>28038.696563256792</v>
      </c>
      <c r="AL61" s="23"/>
      <c r="AM61" s="23"/>
      <c r="BL61" s="299"/>
    </row>
    <row r="62" spans="4:64">
      <c r="Q62" s="6">
        <v>32</v>
      </c>
      <c r="R62" s="7">
        <v>42699</v>
      </c>
      <c r="S62" s="210">
        <v>3.5</v>
      </c>
      <c r="T62" s="8">
        <v>1.0000972222222222</v>
      </c>
      <c r="U62" s="98">
        <v>3.6121470212092222</v>
      </c>
      <c r="V62" s="106">
        <v>26354.042142792965</v>
      </c>
      <c r="W62" s="10">
        <v>-0.97307855952495359</v>
      </c>
      <c r="X62" s="413">
        <v>-0.96403549885212825</v>
      </c>
      <c r="Y62" s="414">
        <v>0.29210661974731628</v>
      </c>
      <c r="Z62" s="1"/>
      <c r="AA62" s="3">
        <v>930</v>
      </c>
      <c r="AB62" s="11">
        <v>3.8434312457573294</v>
      </c>
      <c r="AC62" s="8">
        <v>930</v>
      </c>
      <c r="AD62" s="108">
        <v>0.6882534620114964</v>
      </c>
      <c r="AF62" s="176">
        <v>43466</v>
      </c>
      <c r="AG62" s="177">
        <v>2.5000000000000001E-3</v>
      </c>
      <c r="AH62" s="177">
        <v>2.5000000000000001E-3</v>
      </c>
      <c r="AI62" s="100">
        <v>43474</v>
      </c>
      <c r="AJ62" s="102">
        <v>28108.79330466493</v>
      </c>
      <c r="AL62" s="23"/>
      <c r="AM62" s="23"/>
      <c r="BL62" s="299"/>
    </row>
    <row r="63" spans="4:64">
      <c r="Q63" s="6">
        <v>33</v>
      </c>
      <c r="R63" s="7">
        <v>42700</v>
      </c>
      <c r="S63" s="210">
        <v>3.5</v>
      </c>
      <c r="T63" s="8">
        <v>1.0000972222222222</v>
      </c>
      <c r="U63" s="98">
        <v>3.6121470212092222</v>
      </c>
      <c r="V63" s="106">
        <v>26358.880623096749</v>
      </c>
      <c r="W63" s="10">
        <v>-1.0383048165211184</v>
      </c>
      <c r="X63" s="413">
        <v>-1.0289495368438686</v>
      </c>
      <c r="Y63" s="414">
        <v>0.29212082650700094</v>
      </c>
      <c r="Z63" s="1"/>
      <c r="AA63" s="3">
        <v>960</v>
      </c>
      <c r="AB63" s="11">
        <v>3.8629883584725668</v>
      </c>
      <c r="AC63" s="8">
        <v>960</v>
      </c>
      <c r="AD63" s="108">
        <v>0.71165628408047865</v>
      </c>
      <c r="AF63" s="176">
        <v>43497</v>
      </c>
      <c r="AG63" s="177">
        <v>2.5000000000000001E-3</v>
      </c>
      <c r="AH63" s="177">
        <v>2.5000000000000001E-3</v>
      </c>
      <c r="AI63" s="100">
        <v>43505</v>
      </c>
      <c r="AJ63" s="102">
        <v>28179.065287926591</v>
      </c>
      <c r="AL63" s="23"/>
      <c r="AM63" s="23"/>
      <c r="BL63" s="299"/>
    </row>
    <row r="64" spans="4:64">
      <c r="Q64" s="6">
        <v>34</v>
      </c>
      <c r="R64" s="7">
        <v>42701</v>
      </c>
      <c r="S64" s="210">
        <v>3.5</v>
      </c>
      <c r="T64" s="8">
        <v>1.0000972222222222</v>
      </c>
      <c r="U64" s="98">
        <v>3.6121470212091555</v>
      </c>
      <c r="V64" s="106">
        <v>26363.719991723145</v>
      </c>
      <c r="W64" s="10">
        <v>-1.0996549881537643</v>
      </c>
      <c r="X64" s="413">
        <v>-1.0900372125144517</v>
      </c>
      <c r="Y64" s="414">
        <v>0.29213503418771858</v>
      </c>
      <c r="Z64" s="1"/>
      <c r="AA64" s="3">
        <v>990</v>
      </c>
      <c r="AB64" s="11">
        <v>3.881391449817873</v>
      </c>
      <c r="AC64" s="8">
        <v>990</v>
      </c>
      <c r="AD64" s="108">
        <v>0.7310824923795205</v>
      </c>
      <c r="AF64" s="176">
        <v>43525</v>
      </c>
      <c r="AG64" s="177">
        <v>2.5000000000000001E-3</v>
      </c>
      <c r="AH64" s="177">
        <v>2.5000000000000001E-3</v>
      </c>
      <c r="AI64" s="100">
        <v>43533</v>
      </c>
      <c r="AJ64" s="102">
        <v>28249.512951146407</v>
      </c>
      <c r="AL64" s="23"/>
      <c r="AM64" s="23"/>
      <c r="BL64" s="299"/>
    </row>
    <row r="65" spans="17:64">
      <c r="Q65" s="6">
        <v>35</v>
      </c>
      <c r="R65" s="7">
        <v>42702</v>
      </c>
      <c r="S65" s="210">
        <v>3.5</v>
      </c>
      <c r="T65" s="8">
        <v>1.0000972222222222</v>
      </c>
      <c r="U65" s="98">
        <v>3.6121470212091111</v>
      </c>
      <c r="V65" s="106">
        <v>26368.560248835249</v>
      </c>
      <c r="W65" s="10">
        <v>-1.1574645998490896</v>
      </c>
      <c r="X65" s="413">
        <v>-1.147626500438762</v>
      </c>
      <c r="Y65" s="414">
        <v>0.29214924278954585</v>
      </c>
      <c r="Z65" s="1"/>
      <c r="AA65" s="3">
        <v>1020</v>
      </c>
      <c r="AB65" s="11">
        <v>3.8987420716648931</v>
      </c>
      <c r="AC65" s="8">
        <v>1020</v>
      </c>
      <c r="AD65" s="108">
        <v>0.75210528714100011</v>
      </c>
      <c r="AF65" s="176">
        <v>43556</v>
      </c>
      <c r="AG65" s="177">
        <v>2.5000000000000001E-3</v>
      </c>
      <c r="AH65" s="177">
        <v>2.5000000000000001E-3</v>
      </c>
      <c r="AI65" s="100">
        <v>43564</v>
      </c>
      <c r="AJ65" s="102">
        <v>28320.136733524272</v>
      </c>
      <c r="AL65" s="23"/>
      <c r="AM65" s="23"/>
      <c r="BL65" s="299"/>
    </row>
    <row r="66" spans="17:64">
      <c r="Q66" s="6">
        <v>36</v>
      </c>
      <c r="R66" s="7">
        <v>42703</v>
      </c>
      <c r="S66" s="210">
        <v>3.5</v>
      </c>
      <c r="T66" s="8">
        <v>1.0000972222222222</v>
      </c>
      <c r="U66" s="98">
        <v>3.6121470212091111</v>
      </c>
      <c r="V66" s="106">
        <v>26373.401394596178</v>
      </c>
      <c r="W66" s="10">
        <v>-1.2120315387947556</v>
      </c>
      <c r="X66" s="413">
        <v>-1.2020089335724737</v>
      </c>
      <c r="Y66" s="414">
        <v>0.2921634523125512</v>
      </c>
      <c r="Z66" s="1"/>
      <c r="AA66" s="3">
        <v>1050</v>
      </c>
      <c r="AB66" s="11">
        <v>3.9151302002730923</v>
      </c>
      <c r="AC66" s="8">
        <v>1050</v>
      </c>
      <c r="AD66" s="108">
        <v>0.77195707997267926</v>
      </c>
      <c r="AF66" s="176">
        <v>43586</v>
      </c>
      <c r="AG66" s="177">
        <v>2.5000000000000001E-3</v>
      </c>
      <c r="AH66" s="177">
        <v>2.5000000000000001E-3</v>
      </c>
      <c r="AI66" s="100">
        <v>43594</v>
      </c>
      <c r="AJ66" s="102">
        <v>28390.937075358081</v>
      </c>
      <c r="AL66" s="23"/>
      <c r="AM66" s="23"/>
      <c r="BL66" s="299"/>
    </row>
    <row r="67" spans="17:64">
      <c r="Q67" s="6">
        <v>37</v>
      </c>
      <c r="R67" s="7">
        <v>42704</v>
      </c>
      <c r="S67" s="210">
        <v>3.5</v>
      </c>
      <c r="T67" s="8">
        <v>1.0000972222222222</v>
      </c>
      <c r="U67" s="98">
        <v>3.6121470212090889</v>
      </c>
      <c r="V67" s="106">
        <v>26378.243429169099</v>
      </c>
      <c r="W67" s="10">
        <v>-1.2636211875050485</v>
      </c>
      <c r="X67" s="413">
        <v>-1.253444527795297</v>
      </c>
      <c r="Y67" s="414">
        <v>0.29217766275679546</v>
      </c>
      <c r="Z67" s="1"/>
      <c r="AA67" s="3">
        <v>1080</v>
      </c>
      <c r="AB67" s="11">
        <v>3.9306358399271568</v>
      </c>
      <c r="AC67" s="8">
        <v>1080</v>
      </c>
      <c r="AD67" s="108">
        <v>0.78799306186582396</v>
      </c>
      <c r="AF67" s="176">
        <v>43617</v>
      </c>
      <c r="AG67" s="177">
        <v>2.5000000000000001E-3</v>
      </c>
      <c r="AH67" s="177">
        <v>2.5000000000000001E-3</v>
      </c>
      <c r="AI67" s="100">
        <v>43625</v>
      </c>
      <c r="AJ67" s="102">
        <v>28461.914418046475</v>
      </c>
      <c r="AL67" s="23"/>
      <c r="AM67" s="23"/>
      <c r="BL67" s="299"/>
    </row>
    <row r="68" spans="17:64">
      <c r="Q68" s="6">
        <v>38</v>
      </c>
      <c r="R68" s="7">
        <v>42705</v>
      </c>
      <c r="S68" s="210">
        <v>3.5</v>
      </c>
      <c r="T68" s="8">
        <v>1.0000972222222222</v>
      </c>
      <c r="U68" s="98">
        <v>3.6121470212090889</v>
      </c>
      <c r="V68" s="106">
        <v>26383.086352717171</v>
      </c>
      <c r="W68" s="10">
        <v>-1.3124707395028912</v>
      </c>
      <c r="X68" s="413">
        <v>-1.3021659288930778</v>
      </c>
      <c r="Y68" s="414">
        <v>0.29219187412235065</v>
      </c>
      <c r="Z68" s="1"/>
      <c r="AA68" s="3">
        <v>1110</v>
      </c>
      <c r="AB68" s="11">
        <v>3.9453303671686086</v>
      </c>
      <c r="AC68" s="8">
        <v>1110</v>
      </c>
      <c r="AD68" s="108">
        <v>0.80585783568382019</v>
      </c>
      <c r="AF68" s="176">
        <v>43647</v>
      </c>
      <c r="AG68" s="177">
        <v>2.5000000000000001E-3</v>
      </c>
      <c r="AH68" s="177">
        <v>2.5000000000000001E-3</v>
      </c>
      <c r="AI68" s="100">
        <v>43655</v>
      </c>
      <c r="AJ68" s="102">
        <v>28533.069204091589</v>
      </c>
      <c r="AL68" s="23"/>
      <c r="AM68" s="23"/>
      <c r="BL68" s="299"/>
    </row>
    <row r="69" spans="17:64">
      <c r="Q69" s="6">
        <v>39</v>
      </c>
      <c r="R69" s="7">
        <v>42706</v>
      </c>
      <c r="S69" s="210">
        <v>3.5</v>
      </c>
      <c r="T69" s="8">
        <v>1.0000972222222222</v>
      </c>
      <c r="U69" s="98">
        <v>3.6121470212091111</v>
      </c>
      <c r="V69" s="106">
        <v>26387.930165403628</v>
      </c>
      <c r="W69" s="10">
        <v>-1.3587928452113429</v>
      </c>
      <c r="X69" s="413">
        <v>-1.3483819215467545</v>
      </c>
      <c r="Y69" s="414">
        <v>0.29220608640928142</v>
      </c>
      <c r="Z69" s="1"/>
      <c r="AA69" s="3">
        <v>1140</v>
      </c>
      <c r="AB69" s="11">
        <v>3.9592776632917457</v>
      </c>
      <c r="AC69" s="8">
        <v>1140</v>
      </c>
      <c r="AD69" s="108">
        <v>0.82029754892967899</v>
      </c>
      <c r="AF69" s="176">
        <v>43678</v>
      </c>
      <c r="AG69" s="177">
        <v>2.5000000000000001E-3</v>
      </c>
      <c r="AH69" s="177">
        <v>2.5000000000000001E-3</v>
      </c>
      <c r="AI69" s="100">
        <v>43686</v>
      </c>
      <c r="AJ69" s="102">
        <v>28604.401877101816</v>
      </c>
      <c r="AL69" s="23"/>
      <c r="AM69" s="23"/>
      <c r="BL69" s="299"/>
    </row>
    <row r="70" spans="17:64">
      <c r="Q70" s="6">
        <v>40</v>
      </c>
      <c r="R70" s="7">
        <v>42707</v>
      </c>
      <c r="S70" s="210">
        <v>3.5</v>
      </c>
      <c r="T70" s="8">
        <v>1.0000972222222222</v>
      </c>
      <c r="U70" s="98">
        <v>3.6121470212092222</v>
      </c>
      <c r="V70" s="106">
        <v>26392.774867391694</v>
      </c>
      <c r="W70" s="10">
        <v>-1.4027787062618202</v>
      </c>
      <c r="X70" s="413">
        <v>-1.3922804119679721</v>
      </c>
      <c r="Y70" s="414">
        <v>0.2922202996176626</v>
      </c>
      <c r="Z70" s="1"/>
      <c r="AA70" s="3">
        <v>1170</v>
      </c>
      <c r="AB70" s="11">
        <v>3.9725350730187836</v>
      </c>
      <c r="AC70" s="8">
        <v>1170</v>
      </c>
      <c r="AD70" s="108">
        <v>0.83638574932969778</v>
      </c>
      <c r="AF70" s="176">
        <v>43709</v>
      </c>
      <c r="AG70" s="177">
        <v>2.5000000000000001E-3</v>
      </c>
      <c r="AH70" s="177">
        <v>2.5000000000000001E-3</v>
      </c>
      <c r="AI70" s="100">
        <v>43717</v>
      </c>
      <c r="AJ70" s="102">
        <v>28675.912881794571</v>
      </c>
      <c r="AL70" s="23"/>
      <c r="AM70" s="23"/>
      <c r="BL70" s="299"/>
    </row>
    <row r="71" spans="17:64">
      <c r="Q71" s="6">
        <v>41</v>
      </c>
      <c r="R71" s="7">
        <v>42708</v>
      </c>
      <c r="S71" s="210">
        <v>3.5</v>
      </c>
      <c r="T71" s="8">
        <v>1.0000972222222222</v>
      </c>
      <c r="U71" s="98">
        <v>3.6121470212092222</v>
      </c>
      <c r="V71" s="106">
        <v>26397.620458844653</v>
      </c>
      <c r="W71" s="10">
        <v>-1.4446007131875716</v>
      </c>
      <c r="X71" s="413">
        <v>-1.4340309740560195</v>
      </c>
      <c r="Y71" s="414">
        <v>0.2922345137475455</v>
      </c>
      <c r="Z71" s="1"/>
      <c r="AA71" s="3">
        <v>1200</v>
      </c>
      <c r="AB71" s="11">
        <v>3.9851542197026482</v>
      </c>
      <c r="AC71" s="8">
        <v>1200</v>
      </c>
      <c r="AD71" s="108">
        <v>0.85177724400176258</v>
      </c>
      <c r="AF71" s="176">
        <v>43739</v>
      </c>
      <c r="AG71" s="177">
        <v>2.5000000000000001E-3</v>
      </c>
      <c r="AH71" s="177">
        <v>2.5000000000000001E-3</v>
      </c>
      <c r="AI71" s="100">
        <v>43747</v>
      </c>
      <c r="AJ71" s="102">
        <v>28747.602663999056</v>
      </c>
      <c r="AL71" s="23"/>
      <c r="AM71" s="23"/>
      <c r="BL71" s="299"/>
    </row>
    <row r="72" spans="17:64">
      <c r="Q72" s="6">
        <v>42</v>
      </c>
      <c r="R72" s="7">
        <v>42709</v>
      </c>
      <c r="S72" s="210">
        <v>3.5</v>
      </c>
      <c r="T72" s="8">
        <v>1.0000972222222222</v>
      </c>
      <c r="U72" s="98">
        <v>3.6121470212092444</v>
      </c>
      <c r="V72" s="106">
        <v>26402.466939925798</v>
      </c>
      <c r="W72" s="10">
        <v>-1.4844147032170962</v>
      </c>
      <c r="X72" s="413">
        <v>-1.4737870318141586</v>
      </c>
      <c r="Y72" s="414">
        <v>0.29224872879900815</v>
      </c>
      <c r="Z72" s="1"/>
      <c r="AA72" s="3">
        <v>1230</v>
      </c>
      <c r="AB72" s="11">
        <v>3.9971817014985183</v>
      </c>
      <c r="AC72" s="8">
        <v>1230</v>
      </c>
      <c r="AD72" s="108">
        <v>0.86195607338632574</v>
      </c>
      <c r="AF72" s="176">
        <v>43770</v>
      </c>
      <c r="AG72" s="177">
        <v>2.5000000000000001E-3</v>
      </c>
      <c r="AH72" s="177">
        <v>2.5000000000000001E-3</v>
      </c>
      <c r="AI72" s="100">
        <v>43778</v>
      </c>
      <c r="AJ72" s="102">
        <v>28819.471670659052</v>
      </c>
      <c r="AL72" s="23"/>
      <c r="AM72" s="23"/>
      <c r="BL72" s="299"/>
    </row>
    <row r="73" spans="17:64">
      <c r="Q73" s="6">
        <v>43</v>
      </c>
      <c r="R73" s="7">
        <v>42710</v>
      </c>
      <c r="S73" s="210">
        <v>3.5</v>
      </c>
      <c r="T73" s="8">
        <v>1.0000972222222222</v>
      </c>
      <c r="U73" s="98">
        <v>3.6121470212091555</v>
      </c>
      <c r="V73" s="106">
        <v>26407.314310798469</v>
      </c>
      <c r="W73" s="10">
        <v>-1.5223619005114708</v>
      </c>
      <c r="X73" s="413">
        <v>-1.5116877372459057</v>
      </c>
      <c r="Y73" s="414">
        <v>0.29226294477210601</v>
      </c>
      <c r="Z73" s="1"/>
      <c r="AA73" s="3">
        <v>1260</v>
      </c>
      <c r="AB73" s="11">
        <v>4.008659688298617</v>
      </c>
      <c r="AC73" s="8">
        <v>1260</v>
      </c>
      <c r="AD73" s="108">
        <v>0.87572873148040276</v>
      </c>
      <c r="AF73" s="176">
        <v>43800</v>
      </c>
      <c r="AG73" s="177">
        <v>2.5000000000000001E-3</v>
      </c>
      <c r="AH73" s="177">
        <v>2.5000000000000001E-3</v>
      </c>
      <c r="AI73" s="100">
        <v>43808</v>
      </c>
      <c r="AJ73" s="102">
        <v>28891.520349835697</v>
      </c>
      <c r="AL73" s="23"/>
      <c r="AM73" s="23"/>
      <c r="BL73" s="299"/>
    </row>
    <row r="74" spans="17:64">
      <c r="Q74" s="6">
        <v>44</v>
      </c>
      <c r="R74" s="7">
        <v>42711</v>
      </c>
      <c r="S74" s="210">
        <v>3.5</v>
      </c>
      <c r="T74" s="8">
        <v>1.0000972222222222</v>
      </c>
      <c r="U74" s="98">
        <v>3.6121470212091333</v>
      </c>
      <c r="V74" s="106">
        <v>26412.162571626021</v>
      </c>
      <c r="W74" s="10">
        <v>-1.558570589753927</v>
      </c>
      <c r="X74" s="413">
        <v>-1.5478595921720031</v>
      </c>
      <c r="Y74" s="414">
        <v>0.29227716166691964</v>
      </c>
      <c r="Z74" s="1"/>
      <c r="AA74" s="3">
        <v>1290</v>
      </c>
      <c r="AB74" s="11">
        <v>4.0196264355513742</v>
      </c>
      <c r="AC74" s="8">
        <v>1290</v>
      </c>
      <c r="AD74" s="108">
        <v>0.88713283487601768</v>
      </c>
      <c r="AF74" s="176">
        <v>43831</v>
      </c>
      <c r="AG74" s="177">
        <v>2.5000000000000001E-3</v>
      </c>
      <c r="AH74" s="177">
        <v>2.5000000000000001E-3</v>
      </c>
      <c r="AI74" s="100">
        <v>43839</v>
      </c>
      <c r="AJ74" s="102">
        <v>28963.749150710286</v>
      </c>
      <c r="AL74" s="23"/>
      <c r="AM74" s="23"/>
      <c r="BL74" s="299"/>
    </row>
    <row r="75" spans="17:64">
      <c r="Q75" s="6">
        <v>45</v>
      </c>
      <c r="R75" s="7">
        <v>42712</v>
      </c>
      <c r="S75" s="210">
        <v>3.5</v>
      </c>
      <c r="T75" s="8">
        <v>1.0000972222222222</v>
      </c>
      <c r="U75" s="98">
        <v>3.6121470212090445</v>
      </c>
      <c r="V75" s="106">
        <v>26417.011722571846</v>
      </c>
      <c r="W75" s="10">
        <v>-1.5931575648907792</v>
      </c>
      <c r="X75" s="413">
        <v>-1.5824178538073497</v>
      </c>
      <c r="Y75" s="414">
        <v>0.2922913794835077</v>
      </c>
      <c r="Z75" s="1"/>
      <c r="AA75" s="3">
        <v>1320</v>
      </c>
      <c r="AB75" s="11">
        <v>4.0301167281600163</v>
      </c>
      <c r="AC75" s="8">
        <v>1320</v>
      </c>
      <c r="AD75" s="108">
        <v>0.8998374247535138</v>
      </c>
      <c r="AF75" s="176">
        <v>43862</v>
      </c>
      <c r="AG75" s="177">
        <v>2.5000000000000001E-3</v>
      </c>
      <c r="AH75" s="177">
        <v>2.5000000000000001E-3</v>
      </c>
      <c r="AI75" s="100">
        <v>43870</v>
      </c>
      <c r="AJ75" s="102">
        <v>29036.158523587059</v>
      </c>
      <c r="AL75" s="23"/>
      <c r="AM75" s="23"/>
      <c r="BL75" s="299"/>
    </row>
    <row r="76" spans="17:64">
      <c r="Q76" s="6">
        <v>46</v>
      </c>
      <c r="R76" s="7">
        <v>42713</v>
      </c>
      <c r="S76" s="210">
        <v>3.5</v>
      </c>
      <c r="T76" s="8">
        <v>1.0000972222222222</v>
      </c>
      <c r="U76" s="98">
        <v>3.6121470212090889</v>
      </c>
      <c r="V76" s="106">
        <v>26421.861763799367</v>
      </c>
      <c r="W76" s="10">
        <v>-1.6262293874910738</v>
      </c>
      <c r="X76" s="413">
        <v>-1.615467756999809</v>
      </c>
      <c r="Y76" s="414">
        <v>0.29230559822195262</v>
      </c>
      <c r="Z76" s="1"/>
      <c r="AA76" s="3">
        <v>1350</v>
      </c>
      <c r="AB76" s="11">
        <v>4.040162265315125</v>
      </c>
      <c r="AC76" s="8">
        <v>1350</v>
      </c>
      <c r="AD76" s="108">
        <v>0.91031555707415679</v>
      </c>
      <c r="AF76" s="176">
        <v>43891</v>
      </c>
      <c r="AG76" s="177">
        <v>2.5000000000000001E-3</v>
      </c>
      <c r="AH76" s="177">
        <v>2.5000000000000001E-3</v>
      </c>
      <c r="AI76" s="100">
        <v>43899</v>
      </c>
      <c r="AJ76" s="102">
        <v>29108.748919896025</v>
      </c>
      <c r="AL76" s="23"/>
      <c r="AM76" s="23"/>
      <c r="BL76" s="299"/>
    </row>
    <row r="77" spans="17:64">
      <c r="Q77" s="6">
        <v>47</v>
      </c>
      <c r="R77" s="7">
        <v>42714</v>
      </c>
      <c r="S77" s="210">
        <v>3.5</v>
      </c>
      <c r="T77" s="8">
        <v>1.0000972222222222</v>
      </c>
      <c r="U77" s="98">
        <v>3.6121470212090223</v>
      </c>
      <c r="V77" s="106">
        <v>26423.671112537373</v>
      </c>
      <c r="W77" s="10">
        <v>-1.5699386788143421</v>
      </c>
      <c r="X77" s="413">
        <v>-1.5591271431990501</v>
      </c>
      <c r="Y77" s="414">
        <v>0.2923198178823016</v>
      </c>
      <c r="Z77" s="1"/>
      <c r="AA77" s="3">
        <v>1380</v>
      </c>
      <c r="AB77" s="11">
        <v>4.0497919952314163</v>
      </c>
      <c r="AC77" s="8">
        <v>1380</v>
      </c>
      <c r="AD77" s="108">
        <v>0.92193488084418285</v>
      </c>
      <c r="AF77" s="176">
        <v>43922</v>
      </c>
      <c r="AG77" s="177">
        <v>2.5000000000000001E-3</v>
      </c>
      <c r="AH77" s="177">
        <v>2.5000000000000001E-3</v>
      </c>
      <c r="AI77" s="100">
        <v>43930</v>
      </c>
      <c r="AJ77" s="102">
        <v>29181.520792195763</v>
      </c>
      <c r="AL77" s="23"/>
      <c r="AM77" s="23"/>
      <c r="BL77" s="299"/>
    </row>
    <row r="78" spans="17:64">
      <c r="Q78" s="6">
        <v>48</v>
      </c>
      <c r="R78" s="7">
        <v>42715</v>
      </c>
      <c r="S78" s="210">
        <v>3.5</v>
      </c>
      <c r="T78" s="8">
        <v>1.0000972222222222</v>
      </c>
      <c r="U78" s="98">
        <v>3.6121470212090667</v>
      </c>
      <c r="V78" s="106">
        <v>26425.480585178189</v>
      </c>
      <c r="W78" s="10">
        <v>-1.5159631915016458</v>
      </c>
      <c r="X78" s="413">
        <v>-1.505133436717293</v>
      </c>
      <c r="Y78" s="414">
        <v>0.29233403846463946</v>
      </c>
      <c r="Z78" s="1"/>
      <c r="AA78" s="3">
        <v>1410</v>
      </c>
      <c r="AB78" s="11">
        <v>4.0590324072353106</v>
      </c>
      <c r="AC78" s="8">
        <v>1410</v>
      </c>
      <c r="AD78" s="108">
        <v>0.93336105048673856</v>
      </c>
      <c r="AF78" s="176">
        <v>43952</v>
      </c>
      <c r="AG78" s="177">
        <v>2.5000000000000001E-3</v>
      </c>
      <c r="AH78" s="177">
        <v>2.5000000000000001E-3</v>
      </c>
      <c r="AI78" s="100">
        <v>43960</v>
      </c>
      <c r="AJ78" s="102">
        <v>29254.474594176252</v>
      </c>
      <c r="AL78" s="23"/>
      <c r="AM78" s="23"/>
      <c r="BL78" s="299"/>
    </row>
    <row r="79" spans="17:64">
      <c r="Q79" s="6">
        <v>49</v>
      </c>
      <c r="R79" s="7">
        <v>42716</v>
      </c>
      <c r="S79" s="210">
        <v>3.5</v>
      </c>
      <c r="T79" s="8">
        <v>1.0000972222222222</v>
      </c>
      <c r="U79" s="98">
        <v>3.6121470212090001</v>
      </c>
      <c r="V79" s="106">
        <v>26427.290181730295</v>
      </c>
      <c r="W79" s="10">
        <v>-1.4641629747852436</v>
      </c>
      <c r="X79" s="413">
        <v>-1.4533429493337966</v>
      </c>
      <c r="Y79" s="414">
        <v>0.29234825996901692</v>
      </c>
      <c r="Z79" s="1"/>
      <c r="AA79" s="3">
        <v>1440</v>
      </c>
      <c r="AB79" s="11">
        <v>4.0679077874112837</v>
      </c>
      <c r="AC79" s="8">
        <v>1440</v>
      </c>
      <c r="AD79" s="108">
        <v>0.94268386226121703</v>
      </c>
      <c r="AF79" s="176">
        <v>43983</v>
      </c>
      <c r="AG79" s="177">
        <v>2.5000000000000001E-3</v>
      </c>
      <c r="AH79" s="177">
        <v>2.5000000000000001E-3</v>
      </c>
      <c r="AI79" s="100">
        <v>43991</v>
      </c>
      <c r="AJ79" s="102">
        <v>29327.610780661693</v>
      </c>
      <c r="AL79" s="23"/>
      <c r="AM79" s="23"/>
      <c r="BL79" s="299"/>
    </row>
    <row r="80" spans="17:64">
      <c r="Q80" s="6">
        <v>50</v>
      </c>
      <c r="R80" s="7">
        <v>42717</v>
      </c>
      <c r="S80" s="210">
        <v>3.5</v>
      </c>
      <c r="T80" s="8">
        <v>1.0000972222222222</v>
      </c>
      <c r="U80" s="98">
        <v>3.6121470212090667</v>
      </c>
      <c r="V80" s="106">
        <v>26429.099902202182</v>
      </c>
      <c r="W80" s="10">
        <v>-1.4144091342016774</v>
      </c>
      <c r="X80" s="413">
        <v>-1.4036234878858789</v>
      </c>
      <c r="Y80" s="414">
        <v>0.29236248239552065</v>
      </c>
      <c r="Z80" s="1"/>
      <c r="AA80" s="3">
        <v>1470</v>
      </c>
      <c r="AB80" s="11">
        <v>4.0764404430029009</v>
      </c>
      <c r="AC80" s="8">
        <v>1470</v>
      </c>
      <c r="AD80" s="108">
        <v>0.95285641541460098</v>
      </c>
      <c r="AF80" s="176">
        <v>44013</v>
      </c>
      <c r="AG80" s="177">
        <v>2.5000000000000001E-3</v>
      </c>
      <c r="AH80" s="177">
        <v>2.5000000000000001E-3</v>
      </c>
      <c r="AI80" s="100">
        <v>44021</v>
      </c>
      <c r="AJ80" s="102">
        <v>29400.929807613345</v>
      </c>
      <c r="AL80" s="23"/>
      <c r="AM80" s="23"/>
      <c r="BL80" s="299"/>
    </row>
    <row r="81" spans="17:64">
      <c r="Q81" s="6">
        <v>51</v>
      </c>
      <c r="R81" s="7">
        <v>42718</v>
      </c>
      <c r="S81" s="210">
        <v>3.5</v>
      </c>
      <c r="T81" s="8">
        <v>1.0000972222222222</v>
      </c>
      <c r="U81" s="98">
        <v>3.6121470212091111</v>
      </c>
      <c r="V81" s="106">
        <v>26430.90974660233</v>
      </c>
      <c r="W81" s="10">
        <v>-1.3665827609635195</v>
      </c>
      <c r="X81" s="413">
        <v>-1.355853227301578</v>
      </c>
      <c r="Y81" s="414">
        <v>0.29237670574420432</v>
      </c>
      <c r="Z81" s="1"/>
      <c r="AA81" s="3">
        <v>1500</v>
      </c>
      <c r="AB81" s="11">
        <v>4.0846508999352089</v>
      </c>
      <c r="AC81" s="8">
        <v>1500</v>
      </c>
      <c r="AD81" s="108">
        <v>0.96152084862125997</v>
      </c>
      <c r="AF81" s="176">
        <v>44044</v>
      </c>
      <c r="AG81" s="177">
        <v>2.5000000000000001E-3</v>
      </c>
      <c r="AH81" s="177">
        <v>2.5000000000000001E-3</v>
      </c>
      <c r="AI81" s="100">
        <v>44052</v>
      </c>
      <c r="AJ81" s="102">
        <v>29474.432132132377</v>
      </c>
      <c r="AL81" s="23"/>
      <c r="AM81" s="23"/>
      <c r="BL81" s="299"/>
    </row>
    <row r="82" spans="17:64">
      <c r="Q82" s="6">
        <v>52</v>
      </c>
      <c r="R82" s="7">
        <v>42719</v>
      </c>
      <c r="S82" s="210">
        <v>3.5</v>
      </c>
      <c r="T82" s="8">
        <v>1.0000972222222222</v>
      </c>
      <c r="U82" s="98">
        <v>3.6121470212090667</v>
      </c>
      <c r="V82" s="106">
        <v>26432.719714939227</v>
      </c>
      <c r="W82" s="10">
        <v>-1.3205739833707875</v>
      </c>
      <c r="X82" s="413">
        <v>-1.3099197136685443</v>
      </c>
      <c r="Y82" s="414">
        <v>0.29239093001513033</v>
      </c>
      <c r="Z82" s="1"/>
      <c r="AA82" s="3">
        <v>1530</v>
      </c>
      <c r="AB82" s="11">
        <v>4.0925580771406969</v>
      </c>
      <c r="AC82" s="8">
        <v>1530</v>
      </c>
      <c r="AD82" s="108">
        <v>0.97089838049561195</v>
      </c>
      <c r="AF82" s="176">
        <v>44075</v>
      </c>
      <c r="AG82" s="177">
        <v>2.5000000000000001E-3</v>
      </c>
      <c r="AH82" s="177">
        <v>2.5000000000000001E-3</v>
      </c>
      <c r="AI82" s="100">
        <v>44083</v>
      </c>
      <c r="AJ82" s="102">
        <v>29548.118212462705</v>
      </c>
      <c r="AL82" s="23"/>
      <c r="AM82" s="23"/>
      <c r="BL82" s="299"/>
    </row>
    <row r="83" spans="17:64">
      <c r="Q83" s="6">
        <v>53</v>
      </c>
      <c r="R83" s="7">
        <v>42720</v>
      </c>
      <c r="S83" s="210">
        <v>3.5</v>
      </c>
      <c r="T83" s="8">
        <v>1.0000972222222222</v>
      </c>
      <c r="U83" s="98">
        <v>3.6121470212091333</v>
      </c>
      <c r="V83" s="106">
        <v>26434.52980722137</v>
      </c>
      <c r="W83" s="10">
        <v>-1.2762811243339445</v>
      </c>
      <c r="X83" s="413">
        <v>-1.2657189801623794</v>
      </c>
      <c r="Y83" s="414">
        <v>0.29240515520838156</v>
      </c>
      <c r="Z83" s="1"/>
      <c r="AA83" s="3">
        <v>1560</v>
      </c>
      <c r="AB83" s="11">
        <v>4.1001794408062606</v>
      </c>
      <c r="AC83" s="8">
        <v>1560</v>
      </c>
      <c r="AD83" s="108">
        <v>0.98037754511729303</v>
      </c>
      <c r="AF83" s="176">
        <v>44105</v>
      </c>
      <c r="AG83" s="177">
        <v>2.5000000000000001E-3</v>
      </c>
      <c r="AH83" s="177">
        <v>2.5000000000000001E-3</v>
      </c>
      <c r="AI83" s="100">
        <v>44113</v>
      </c>
      <c r="AJ83" s="102">
        <v>29621.988507993861</v>
      </c>
      <c r="AL83" s="23"/>
      <c r="AM83" s="23"/>
      <c r="BL83" s="299"/>
    </row>
    <row r="84" spans="17:64">
      <c r="Q84" s="6">
        <v>54</v>
      </c>
      <c r="R84" s="7">
        <v>42721</v>
      </c>
      <c r="S84" s="210">
        <v>3.5</v>
      </c>
      <c r="T84" s="8">
        <v>1.0000972222222222</v>
      </c>
      <c r="U84" s="98">
        <v>3.6121470212091111</v>
      </c>
      <c r="V84" s="106">
        <v>26436.340023457229</v>
      </c>
      <c r="W84" s="10">
        <v>-1.2336099514138388</v>
      </c>
      <c r="X84" s="413">
        <v>-1.2231547612042704</v>
      </c>
      <c r="Y84" s="414">
        <v>0.29241938132400996</v>
      </c>
      <c r="Z84" s="1"/>
      <c r="AA84" s="3">
        <v>1590</v>
      </c>
      <c r="AB84" s="11">
        <v>4.1075311411880318</v>
      </c>
      <c r="AC84" s="8">
        <v>1590</v>
      </c>
      <c r="AD84" s="108">
        <v>0.98531859579390002</v>
      </c>
      <c r="AF84" s="176">
        <v>44136</v>
      </c>
      <c r="AG84" s="177">
        <v>2.5000000000000001E-3</v>
      </c>
      <c r="AH84" s="177">
        <v>2.5000000000000001E-3</v>
      </c>
      <c r="AI84" s="100">
        <v>44144</v>
      </c>
      <c r="AJ84" s="102">
        <v>29696.043479263844</v>
      </c>
      <c r="AL84" s="23"/>
      <c r="AM84" s="23"/>
      <c r="BL84" s="299"/>
    </row>
    <row r="85" spans="17:64">
      <c r="Q85" s="6">
        <v>55</v>
      </c>
      <c r="R85" s="7">
        <v>42722</v>
      </c>
      <c r="S85" s="210">
        <v>3.5</v>
      </c>
      <c r="T85" s="8">
        <v>1.0000972222222222</v>
      </c>
      <c r="U85" s="98">
        <v>3.6121470212090667</v>
      </c>
      <c r="V85" s="106">
        <v>26438.150363655302</v>
      </c>
      <c r="W85" s="10">
        <v>-1.1924730077422452</v>
      </c>
      <c r="X85" s="413">
        <v>-1.182137792349135</v>
      </c>
      <c r="Y85" s="414">
        <v>0.29243360836208798</v>
      </c>
      <c r="Z85" s="1"/>
      <c r="AA85" s="3">
        <v>1620</v>
      </c>
      <c r="AB85" s="11">
        <v>4.1146281342506343</v>
      </c>
      <c r="AC85" s="8">
        <v>1620</v>
      </c>
      <c r="AD85" s="108">
        <v>0.99284133540727182</v>
      </c>
      <c r="AF85" s="176">
        <v>44166</v>
      </c>
      <c r="AG85" s="177">
        <v>2.5000000000000001E-3</v>
      </c>
      <c r="AH85" s="177">
        <v>2.5000000000000001E-3</v>
      </c>
      <c r="AI85" s="100">
        <v>44174</v>
      </c>
      <c r="AJ85" s="102">
        <v>29770.283587962003</v>
      </c>
      <c r="AL85" s="23"/>
      <c r="AM85" s="23"/>
      <c r="BL85" s="299"/>
    </row>
    <row r="86" spans="17:64">
      <c r="Q86" s="6">
        <v>56</v>
      </c>
      <c r="R86" s="7">
        <v>42723</v>
      </c>
      <c r="S86" s="210">
        <v>3.5</v>
      </c>
      <c r="T86" s="8">
        <v>1.0000972222222222</v>
      </c>
      <c r="U86" s="98">
        <v>3.6121470212090001</v>
      </c>
      <c r="V86" s="106">
        <v>26439.960827824081</v>
      </c>
      <c r="W86" s="10">
        <v>-1.1527890138220531</v>
      </c>
      <c r="X86" s="413">
        <v>-1.1425851851832551</v>
      </c>
      <c r="Y86" s="414">
        <v>0.29244783632268295</v>
      </c>
      <c r="Z86" s="1"/>
      <c r="AA86" s="3">
        <v>1650</v>
      </c>
      <c r="AB86" s="11">
        <v>4.1214842900589854</v>
      </c>
      <c r="AC86" s="8">
        <v>1650</v>
      </c>
      <c r="AD86" s="108">
        <v>1.0001377967017835</v>
      </c>
      <c r="AF86" s="176">
        <v>44197</v>
      </c>
      <c r="AG86" s="177">
        <v>2.5000000000000001E-3</v>
      </c>
      <c r="AH86" s="177">
        <v>2.5000000000000001E-3</v>
      </c>
      <c r="AI86" s="100">
        <v>44205</v>
      </c>
      <c r="AJ86" s="102">
        <v>29844.709296931906</v>
      </c>
      <c r="AL86" s="23"/>
      <c r="AM86" s="23"/>
      <c r="BL86" s="299"/>
    </row>
    <row r="87" spans="17:64">
      <c r="Q87" s="6">
        <v>57</v>
      </c>
      <c r="R87" s="7">
        <v>42724</v>
      </c>
      <c r="S87" s="210">
        <v>3.5</v>
      </c>
      <c r="T87" s="8">
        <v>1.0000972222222222</v>
      </c>
      <c r="U87" s="98">
        <v>3.6121470212090001</v>
      </c>
      <c r="V87" s="106">
        <v>26441.771415972049</v>
      </c>
      <c r="W87" s="10">
        <v>-1.1144823316031838</v>
      </c>
      <c r="X87" s="413">
        <v>-1.1044198680236994</v>
      </c>
      <c r="Y87" s="414">
        <v>0.29246206520586909</v>
      </c>
      <c r="Z87" s="1"/>
      <c r="AA87" s="3">
        <v>1680</v>
      </c>
      <c r="AB87" s="11">
        <v>4.1281124895749839</v>
      </c>
      <c r="AC87" s="8">
        <v>1680</v>
      </c>
      <c r="AD87" s="108">
        <v>1.0080149737349693</v>
      </c>
      <c r="AF87" s="176">
        <v>44228</v>
      </c>
      <c r="AG87" s="177">
        <v>2.5000000000000001E-3</v>
      </c>
      <c r="AH87" s="177">
        <v>2.5000000000000001E-3</v>
      </c>
      <c r="AI87" s="100">
        <v>44236</v>
      </c>
      <c r="AJ87" s="102">
        <v>29919.321070174236</v>
      </c>
      <c r="AL87" s="23"/>
      <c r="AM87" s="23"/>
      <c r="BL87" s="299"/>
    </row>
    <row r="88" spans="17:64">
      <c r="Q88" s="6">
        <v>58</v>
      </c>
      <c r="R88" s="7">
        <v>42725</v>
      </c>
      <c r="S88" s="210">
        <v>3.5</v>
      </c>
      <c r="T88" s="8">
        <v>1.0000972222222222</v>
      </c>
      <c r="U88" s="98">
        <v>3.6121470212089335</v>
      </c>
      <c r="V88" s="106">
        <v>26443.582128107697</v>
      </c>
      <c r="W88" s="10">
        <v>-1.0774824833980845</v>
      </c>
      <c r="X88" s="413">
        <v>-1.0675700844762215</v>
      </c>
      <c r="Y88" s="414">
        <v>0.29247629501170408</v>
      </c>
      <c r="Z88" s="1"/>
      <c r="AA88" s="3">
        <v>1710</v>
      </c>
      <c r="AB88" s="11">
        <v>4.1345247112821895</v>
      </c>
      <c r="AC88" s="8">
        <v>1710</v>
      </c>
      <c r="AD88" s="108">
        <v>1.0148804442864532</v>
      </c>
      <c r="AF88" s="176">
        <v>44256</v>
      </c>
      <c r="AG88" s="177">
        <v>2.5000000000000001E-3</v>
      </c>
      <c r="AH88" s="177">
        <v>2.5000000000000001E-3</v>
      </c>
      <c r="AI88" s="100">
        <v>44264</v>
      </c>
      <c r="AJ88" s="102">
        <v>29994.119372849669</v>
      </c>
      <c r="AL88" s="23"/>
      <c r="AM88" s="23"/>
      <c r="BL88" s="299"/>
    </row>
    <row r="89" spans="17:64">
      <c r="Q89" s="6">
        <v>59</v>
      </c>
      <c r="R89" s="7">
        <v>42726</v>
      </c>
      <c r="S89" s="210">
        <v>3.5</v>
      </c>
      <c r="T89" s="8">
        <v>1.0000972222222222</v>
      </c>
      <c r="U89" s="98">
        <v>3.6121470212089335</v>
      </c>
      <c r="V89" s="106">
        <v>26445.39296423952</v>
      </c>
      <c r="W89" s="10">
        <v>-1.0417237191997053</v>
      </c>
      <c r="X89" s="413">
        <v>-1.0319689429867949</v>
      </c>
      <c r="Y89" s="414">
        <v>0.29249052574026418</v>
      </c>
      <c r="Z89" s="1"/>
      <c r="AA89" s="3">
        <v>1740</v>
      </c>
      <c r="AB89" s="11">
        <v>4.1407321088627347</v>
      </c>
      <c r="AC89" s="8">
        <v>1740</v>
      </c>
      <c r="AD89" s="108">
        <v>1.0222078192093997</v>
      </c>
      <c r="AF89" s="176">
        <v>44287</v>
      </c>
      <c r="AG89" s="177">
        <v>2.5000000000000001E-3</v>
      </c>
      <c r="AH89" s="177">
        <v>2.5000000000000001E-3</v>
      </c>
      <c r="AI89" s="100">
        <v>44295</v>
      </c>
      <c r="AJ89" s="102">
        <v>30069.104671281792</v>
      </c>
      <c r="AL89" s="23"/>
      <c r="AM89" s="23"/>
      <c r="BL89" s="299"/>
    </row>
    <row r="90" spans="17:64">
      <c r="Q90" s="6">
        <v>60</v>
      </c>
      <c r="R90" s="7">
        <v>42727</v>
      </c>
      <c r="S90" s="210">
        <v>3.5</v>
      </c>
      <c r="T90" s="8">
        <v>1.0000972222222222</v>
      </c>
      <c r="U90" s="98">
        <v>3.6121470212089113</v>
      </c>
      <c r="V90" s="106">
        <v>26447.203924376005</v>
      </c>
      <c r="W90" s="10">
        <v>-1.0071446268151707</v>
      </c>
      <c r="X90" s="413">
        <v>-0.99755401143826194</v>
      </c>
      <c r="Y90" s="414">
        <v>0.29250475739160953</v>
      </c>
      <c r="Z90" s="1"/>
      <c r="AA90" s="3">
        <v>1770</v>
      </c>
      <c r="AB90" s="11">
        <v>4.1467450809876567</v>
      </c>
      <c r="AC90" s="8">
        <v>1770</v>
      </c>
      <c r="AD90" s="108">
        <v>1.0298060296369032</v>
      </c>
      <c r="AF90" s="176">
        <v>44317</v>
      </c>
      <c r="AG90" s="177">
        <v>2.5000000000000001E-3</v>
      </c>
      <c r="AH90" s="177">
        <v>2.5000000000000001E-3</v>
      </c>
      <c r="AI90" s="100">
        <v>44325</v>
      </c>
      <c r="AJ90" s="102">
        <v>30144.277432959996</v>
      </c>
      <c r="AL90" s="23"/>
      <c r="AM90" s="23"/>
      <c r="BL90" s="299"/>
    </row>
    <row r="91" spans="17:64">
      <c r="Q91" s="6">
        <v>61</v>
      </c>
      <c r="R91" s="7">
        <v>42728</v>
      </c>
      <c r="S91" s="210">
        <v>3.5</v>
      </c>
      <c r="T91" s="8">
        <v>1.0000972222222222</v>
      </c>
      <c r="U91" s="98">
        <v>3.6121470212089779</v>
      </c>
      <c r="V91" s="106">
        <v>26449.015008525643</v>
      </c>
      <c r="W91" s="10">
        <v>-0.97368777995222588</v>
      </c>
      <c r="X91" s="413">
        <v>-0.96426695162265552</v>
      </c>
      <c r="Y91" s="414">
        <v>0.29251898996581815</v>
      </c>
      <c r="Z91" s="1"/>
      <c r="AA91" s="3">
        <v>1800</v>
      </c>
      <c r="AB91" s="11">
        <v>4.1525733341385944</v>
      </c>
      <c r="AC91" s="8">
        <v>1800</v>
      </c>
      <c r="AD91" s="108">
        <v>1.0361224438959111</v>
      </c>
      <c r="AF91" s="176">
        <v>44348</v>
      </c>
      <c r="AG91" s="177">
        <v>2.5000000000000001E-3</v>
      </c>
      <c r="AH91" s="177">
        <v>2.5000000000000001E-3</v>
      </c>
      <c r="AI91" s="100">
        <v>44356</v>
      </c>
      <c r="AJ91" s="102">
        <v>30219.638126542395</v>
      </c>
      <c r="AL91" s="23"/>
      <c r="AM91" s="23"/>
      <c r="BL91" s="299"/>
    </row>
    <row r="92" spans="17:64">
      <c r="Q92" s="6">
        <v>62</v>
      </c>
      <c r="R92" s="7">
        <v>42729</v>
      </c>
      <c r="S92" s="210">
        <v>3.5</v>
      </c>
      <c r="T92" s="8">
        <v>1.0000972222222222</v>
      </c>
      <c r="U92" s="98">
        <v>3.6121470212089557</v>
      </c>
      <c r="V92" s="106">
        <v>26450.826216696933</v>
      </c>
      <c r="W92" s="10">
        <v>-0.94129942001779376</v>
      </c>
      <c r="X92" s="413">
        <v>-0.93205318908787693</v>
      </c>
      <c r="Y92" s="414">
        <v>0.29253322346294158</v>
      </c>
      <c r="Z92" s="1"/>
      <c r="AA92" s="3">
        <v>1830</v>
      </c>
      <c r="AB92" s="11">
        <v>4.1583185318523155</v>
      </c>
      <c r="AC92" s="8">
        <v>1830</v>
      </c>
      <c r="AD92" s="108">
        <v>1.042772432561238</v>
      </c>
      <c r="AF92" s="176">
        <v>44378</v>
      </c>
      <c r="AG92" s="177">
        <v>2.5000000000000001E-3</v>
      </c>
      <c r="AH92" s="177">
        <v>2.5000000000000001E-3</v>
      </c>
      <c r="AI92" s="100">
        <v>44386</v>
      </c>
      <c r="AJ92" s="102">
        <v>30295.187221858749</v>
      </c>
      <c r="AL92" s="23"/>
      <c r="AM92" s="23"/>
      <c r="BL92" s="299"/>
    </row>
    <row r="93" spans="17:64">
      <c r="Q93" s="6">
        <v>63</v>
      </c>
      <c r="R93" s="7">
        <v>42730</v>
      </c>
      <c r="S93" s="210">
        <v>3.5</v>
      </c>
      <c r="T93" s="8">
        <v>1.0000972222222222</v>
      </c>
      <c r="U93" s="98">
        <v>3.6121470212089779</v>
      </c>
      <c r="V93" s="106">
        <v>26452.637548898358</v>
      </c>
      <c r="W93" s="10">
        <v>-0.90992916791771128</v>
      </c>
      <c r="X93" s="413">
        <v>-0.90086161442564416</v>
      </c>
      <c r="Y93" s="414">
        <v>0.29254745788305964</v>
      </c>
      <c r="Z93" s="1"/>
      <c r="AA93" s="3">
        <v>1860</v>
      </c>
      <c r="AB93" s="11">
        <v>4.1638965681202622</v>
      </c>
      <c r="AC93" s="8">
        <v>1860</v>
      </c>
      <c r="AD93" s="108">
        <v>1.0488537564144362</v>
      </c>
      <c r="AF93" s="176">
        <v>44409</v>
      </c>
      <c r="AG93" s="177">
        <v>2.5000000000000001E-3</v>
      </c>
      <c r="AH93" s="177">
        <v>2.5000000000000001E-3</v>
      </c>
      <c r="AI93" s="100">
        <v>44417</v>
      </c>
      <c r="AJ93" s="102">
        <v>30370.925189913392</v>
      </c>
      <c r="AL93" s="23"/>
      <c r="AM93" s="23"/>
      <c r="BL93" s="299"/>
    </row>
    <row r="94" spans="17:64">
      <c r="Q94" s="6">
        <v>64</v>
      </c>
      <c r="R94" s="7">
        <v>42731</v>
      </c>
      <c r="S94" s="210">
        <v>3.5</v>
      </c>
      <c r="T94" s="8">
        <v>1.0000972222222222</v>
      </c>
      <c r="U94" s="98">
        <v>3.6121470212090445</v>
      </c>
      <c r="V94" s="106">
        <v>26454.449005138424</v>
      </c>
      <c r="W94" s="10">
        <v>-0.87952976261327365</v>
      </c>
      <c r="X94" s="413">
        <v>-0.87064431256650421</v>
      </c>
      <c r="Y94" s="414">
        <v>0.29256169322623704</v>
      </c>
      <c r="Z94" s="1"/>
      <c r="AA94" s="3">
        <v>1890</v>
      </c>
      <c r="AB94" s="11">
        <v>4.1693153914768653</v>
      </c>
      <c r="AC94" s="8">
        <v>1890</v>
      </c>
      <c r="AD94" s="108">
        <v>1.0550741143279216</v>
      </c>
      <c r="AF94" s="176">
        <v>44440</v>
      </c>
      <c r="AG94" s="177">
        <v>2.5000000000000001E-3</v>
      </c>
      <c r="AH94" s="177">
        <v>2.5000000000000001E-3</v>
      </c>
      <c r="AI94" s="100">
        <v>44448</v>
      </c>
      <c r="AJ94" s="102">
        <v>30446.852502888174</v>
      </c>
      <c r="AL94" s="23"/>
      <c r="AM94" s="23"/>
      <c r="BL94" s="299"/>
    </row>
    <row r="95" spans="17:64">
      <c r="Q95" s="6">
        <v>65</v>
      </c>
      <c r="R95" s="7">
        <v>42732</v>
      </c>
      <c r="S95" s="210">
        <v>3.5</v>
      </c>
      <c r="T95" s="8">
        <v>1.0000972222222222</v>
      </c>
      <c r="U95" s="98">
        <v>3.6121470212090445</v>
      </c>
      <c r="V95" s="106">
        <v>26456.260585425611</v>
      </c>
      <c r="W95" s="10">
        <v>-0.85005682357510715</v>
      </c>
      <c r="X95" s="413">
        <v>-0.8413563170599867</v>
      </c>
      <c r="Y95" s="414">
        <v>0.29257592949253425</v>
      </c>
      <c r="Z95" s="1"/>
      <c r="AA95" s="3">
        <v>1920</v>
      </c>
      <c r="AB95" s="11">
        <v>4.1745824543823291</v>
      </c>
      <c r="AC95" s="8">
        <v>1920</v>
      </c>
      <c r="AD95" s="108">
        <v>1.0617363032201439</v>
      </c>
      <c r="AF95" s="176">
        <v>44470</v>
      </c>
      <c r="AG95" s="177">
        <v>2.5000000000000001E-3</v>
      </c>
      <c r="AH95" s="177">
        <v>2.5000000000000001E-3</v>
      </c>
      <c r="AI95" s="100">
        <v>44478</v>
      </c>
      <c r="AJ95" s="102">
        <v>30522.969634145393</v>
      </c>
      <c r="AL95" s="23"/>
      <c r="AM95" s="23"/>
      <c r="BL95" s="299"/>
    </row>
    <row r="96" spans="17:64">
      <c r="Q96" s="6">
        <v>66</v>
      </c>
      <c r="R96" s="7">
        <v>42733</v>
      </c>
      <c r="S96" s="210">
        <v>3.5</v>
      </c>
      <c r="T96" s="8">
        <v>1.0000972222222222</v>
      </c>
      <c r="U96" s="98">
        <v>3.6121470212090001</v>
      </c>
      <c r="V96" s="106">
        <v>26458.072289768421</v>
      </c>
      <c r="W96" s="10">
        <v>-0.82146863462959629</v>
      </c>
      <c r="X96" s="413">
        <v>-0.81295538669546763</v>
      </c>
      <c r="Y96" s="414">
        <v>0.29259016668201832</v>
      </c>
      <c r="Z96" s="1"/>
      <c r="AA96" s="3">
        <v>1950</v>
      </c>
      <c r="AB96" s="11">
        <v>4.1797047513280621</v>
      </c>
      <c r="AC96" s="8">
        <v>1950</v>
      </c>
      <c r="AD96" s="108">
        <v>1.0656006630970329</v>
      </c>
      <c r="AF96" s="176">
        <v>44501</v>
      </c>
      <c r="AG96" s="177">
        <v>2.5000000000000001E-3</v>
      </c>
      <c r="AH96" s="177">
        <v>2.5000000000000001E-3</v>
      </c>
      <c r="AI96" s="100">
        <v>44509</v>
      </c>
      <c r="AJ96" s="102">
        <v>30599.277058230753</v>
      </c>
      <c r="AL96" s="23"/>
      <c r="AM96" s="23"/>
      <c r="BL96" s="299"/>
    </row>
    <row r="97" spans="17:64">
      <c r="Q97" s="6">
        <v>67</v>
      </c>
      <c r="R97" s="7">
        <v>42734</v>
      </c>
      <c r="S97" s="210">
        <v>3.5</v>
      </c>
      <c r="T97" s="8">
        <v>1.0000972222222222</v>
      </c>
      <c r="U97" s="98">
        <v>3.6121470212089557</v>
      </c>
      <c r="V97" s="106">
        <v>26459.884118175349</v>
      </c>
      <c r="W97" s="10">
        <v>-0.79372594697952881</v>
      </c>
      <c r="X97" s="413">
        <v>-0.78540180212546451</v>
      </c>
      <c r="Y97" s="414">
        <v>0.29260440479476219</v>
      </c>
      <c r="Z97" s="1"/>
      <c r="AA97" s="3">
        <v>1980</v>
      </c>
      <c r="AB97" s="11">
        <v>4.184688853483717</v>
      </c>
      <c r="AC97" s="8">
        <v>1980</v>
      </c>
      <c r="AD97" s="108">
        <v>1.0700075576691137</v>
      </c>
      <c r="AF97" s="176">
        <v>44531</v>
      </c>
      <c r="AG97" s="177">
        <v>2.5000000000000001E-3</v>
      </c>
      <c r="AH97" s="177">
        <v>2.5000000000000001E-3</v>
      </c>
      <c r="AI97" s="100">
        <v>44539</v>
      </c>
      <c r="AJ97" s="102">
        <v>30675.77525087633</v>
      </c>
      <c r="AL97" s="23"/>
      <c r="AM97" s="23"/>
      <c r="BL97" s="299"/>
    </row>
    <row r="98" spans="17:64">
      <c r="Q98" s="6">
        <v>68</v>
      </c>
      <c r="R98" s="7">
        <v>42735</v>
      </c>
      <c r="S98" s="210">
        <v>3.5</v>
      </c>
      <c r="T98" s="8">
        <v>1.0000972222222222</v>
      </c>
      <c r="U98" s="98">
        <v>3.6121470212089335</v>
      </c>
      <c r="V98" s="106">
        <v>26461.696070654893</v>
      </c>
      <c r="W98" s="10">
        <v>-0.76679179944587617</v>
      </c>
      <c r="X98" s="413">
        <v>-0.75865818043470012</v>
      </c>
      <c r="Y98" s="414">
        <v>0.29261864383083441</v>
      </c>
      <c r="Z98" s="1"/>
      <c r="AA98" s="3">
        <v>2010</v>
      </c>
      <c r="AB98" s="11">
        <v>4.1895409402449335</v>
      </c>
      <c r="AC98" s="8">
        <v>2010</v>
      </c>
      <c r="AD98" s="108">
        <v>1.0753618857825482</v>
      </c>
      <c r="AF98" s="176">
        <v>44562</v>
      </c>
      <c r="AG98" s="177">
        <v>2.5000000000000001E-3</v>
      </c>
      <c r="AH98" s="177">
        <v>2.5000000000000001E-3</v>
      </c>
      <c r="AI98" s="100">
        <v>44570</v>
      </c>
      <c r="AJ98" s="102">
        <v>30752.464689003518</v>
      </c>
      <c r="AL98" s="23"/>
      <c r="AM98" s="23"/>
      <c r="BL98" s="299"/>
    </row>
    <row r="99" spans="17:64">
      <c r="Q99" s="6">
        <v>69</v>
      </c>
      <c r="R99" s="7">
        <v>42736</v>
      </c>
      <c r="S99" s="210">
        <v>3.5</v>
      </c>
      <c r="T99" s="8">
        <v>1.0000972222222222</v>
      </c>
      <c r="U99" s="98">
        <v>3.6121470212089113</v>
      </c>
      <c r="V99" s="106">
        <v>26463.508147215543</v>
      </c>
      <c r="W99" s="10">
        <v>-0.74063135419856208</v>
      </c>
      <c r="X99" s="413">
        <v>-0.73268930583336245</v>
      </c>
      <c r="Y99" s="414">
        <v>0.29263288379029978</v>
      </c>
      <c r="Z99" s="1"/>
      <c r="AA99" s="3">
        <v>2040</v>
      </c>
      <c r="AB99" s="11">
        <v>4.194266828001858</v>
      </c>
      <c r="AC99" s="8">
        <v>2040</v>
      </c>
      <c r="AD99" s="108">
        <v>1.0807693801247802</v>
      </c>
      <c r="AF99" s="176">
        <v>44593</v>
      </c>
      <c r="AG99" s="177">
        <v>2.5000000000000001E-3</v>
      </c>
      <c r="AH99" s="177">
        <v>2.5000000000000001E-3</v>
      </c>
      <c r="AI99" s="100">
        <v>44601</v>
      </c>
      <c r="AJ99" s="102">
        <v>30829.345850726026</v>
      </c>
      <c r="AL99" s="23"/>
      <c r="AM99" s="23"/>
      <c r="BL99" s="299"/>
    </row>
    <row r="100" spans="17:64">
      <c r="Q100" s="6">
        <v>70</v>
      </c>
      <c r="R100" s="7">
        <v>42737</v>
      </c>
      <c r="S100" s="210">
        <v>3.5</v>
      </c>
      <c r="T100" s="8">
        <v>1.0000972222222222</v>
      </c>
      <c r="U100" s="98">
        <v>3.6121470212089113</v>
      </c>
      <c r="V100" s="106">
        <v>26465.320347865807</v>
      </c>
      <c r="W100" s="10">
        <v>-0.71521174644185725</v>
      </c>
      <c r="X100" s="413">
        <v>-0.70746197486277118</v>
      </c>
      <c r="Y100" s="414">
        <v>0.29264712467322873</v>
      </c>
      <c r="Z100" s="1"/>
      <c r="AA100" s="3">
        <v>2070</v>
      </c>
      <c r="AB100" s="11">
        <v>4.1988719964086449</v>
      </c>
      <c r="AC100" s="8">
        <v>2070</v>
      </c>
      <c r="AD100" s="108">
        <v>1.0858929981091694</v>
      </c>
      <c r="AF100" s="176">
        <v>44621</v>
      </c>
      <c r="AG100" s="177">
        <v>2.5000000000000001E-3</v>
      </c>
      <c r="AH100" s="177">
        <v>2.5000000000000001E-3</v>
      </c>
      <c r="AI100" s="100">
        <v>44629</v>
      </c>
      <c r="AJ100" s="102">
        <v>30906.419215352838</v>
      </c>
      <c r="AL100" s="23"/>
      <c r="AM100" s="23"/>
      <c r="BL100" s="299"/>
    </row>
    <row r="101" spans="17:64">
      <c r="Q101" s="6">
        <v>71</v>
      </c>
      <c r="R101" s="7">
        <v>42738</v>
      </c>
      <c r="S101" s="210">
        <v>3.5</v>
      </c>
      <c r="T101" s="8">
        <v>1.0000972222222222</v>
      </c>
      <c r="U101" s="98">
        <v>3.6121470212089335</v>
      </c>
      <c r="V101" s="106">
        <v>26467.132672614167</v>
      </c>
      <c r="W101" s="10">
        <v>-0.69050194668914822</v>
      </c>
      <c r="X101" s="413">
        <v>-0.6829448546811302</v>
      </c>
      <c r="Y101" s="414">
        <v>0.29266136647968777</v>
      </c>
      <c r="Z101" s="1"/>
      <c r="AA101" s="3">
        <v>2100</v>
      </c>
      <c r="AB101" s="11">
        <v>4.2033616124049695</v>
      </c>
      <c r="AC101" s="8">
        <v>2100</v>
      </c>
      <c r="AD101" s="108">
        <v>1.0909805779648771</v>
      </c>
      <c r="AF101" s="176">
        <v>44652</v>
      </c>
      <c r="AG101" s="177">
        <v>2.5000000000000001E-3</v>
      </c>
      <c r="AH101" s="177">
        <v>2.5000000000000001E-3</v>
      </c>
      <c r="AI101" s="100">
        <v>44660</v>
      </c>
      <c r="AJ101" s="102">
        <v>30983.68526339122</v>
      </c>
      <c r="AL101" s="23"/>
      <c r="AM101" s="23"/>
      <c r="BL101" s="299"/>
    </row>
    <row r="102" spans="17:64">
      <c r="Q102" s="6">
        <v>72</v>
      </c>
      <c r="R102" s="7">
        <v>42739</v>
      </c>
      <c r="S102" s="210">
        <v>3.5</v>
      </c>
      <c r="T102" s="8">
        <v>1.0000972222222222</v>
      </c>
      <c r="U102" s="98">
        <v>3.6121470212089335</v>
      </c>
      <c r="V102" s="106">
        <v>26468.945121469136</v>
      </c>
      <c r="W102" s="10">
        <v>-0.66647263441704796</v>
      </c>
      <c r="X102" s="413">
        <v>-0.65910835316074223</v>
      </c>
      <c r="Y102" s="414">
        <v>0.29267560920973967</v>
      </c>
      <c r="Z102" s="1"/>
      <c r="AA102" s="3">
        <v>2130</v>
      </c>
      <c r="AB102" s="11">
        <v>4.2077405522098603</v>
      </c>
      <c r="AC102" s="8">
        <v>2130</v>
      </c>
      <c r="AD102" s="108">
        <v>1.0965913863980943</v>
      </c>
      <c r="AF102" s="176">
        <v>44682</v>
      </c>
      <c r="AG102" s="177">
        <v>2.5000000000000001E-3</v>
      </c>
      <c r="AH102" s="177">
        <v>2.5000000000000001E-3</v>
      </c>
      <c r="AI102" s="100">
        <v>44690</v>
      </c>
      <c r="AJ102" s="102">
        <v>31061.144476549696</v>
      </c>
      <c r="AL102" s="23"/>
      <c r="AM102" s="23"/>
      <c r="BL102" s="299"/>
    </row>
    <row r="103" spans="17:64">
      <c r="Q103" s="6">
        <v>73</v>
      </c>
      <c r="R103" s="7">
        <v>42740</v>
      </c>
      <c r="S103" s="210">
        <v>3.5</v>
      </c>
      <c r="T103" s="8">
        <v>1.0000972222222222</v>
      </c>
      <c r="U103" s="98">
        <v>3.6121470212089113</v>
      </c>
      <c r="V103" s="106">
        <v>26470.757694439202</v>
      </c>
      <c r="W103" s="10">
        <v>-0.64309608201257307</v>
      </c>
      <c r="X103" s="413">
        <v>-0.63592449965975728</v>
      </c>
      <c r="Y103" s="414">
        <v>0.29268985286345306</v>
      </c>
      <c r="Z103" s="1"/>
      <c r="AA103" s="3">
        <v>2160</v>
      </c>
      <c r="AB103" s="11">
        <v>4.2120134214848139</v>
      </c>
      <c r="AC103" s="8">
        <v>2160</v>
      </c>
      <c r="AD103" s="108">
        <v>1.1014203234642608</v>
      </c>
      <c r="AF103" s="176">
        <v>44713</v>
      </c>
      <c r="AG103" s="177">
        <v>2.5000000000000001E-3</v>
      </c>
      <c r="AH103" s="177">
        <v>2.5000000000000001E-3</v>
      </c>
      <c r="AI103" s="100">
        <v>44721</v>
      </c>
      <c r="AJ103" s="102">
        <v>31138.797337741067</v>
      </c>
      <c r="AL103" s="23"/>
      <c r="AM103" s="23"/>
      <c r="BL103" s="299"/>
    </row>
    <row r="104" spans="17:64">
      <c r="Q104" s="6">
        <v>74</v>
      </c>
      <c r="R104" s="7">
        <v>42741</v>
      </c>
      <c r="S104" s="210">
        <v>3.5</v>
      </c>
      <c r="T104" s="8">
        <v>1.0000972222222222</v>
      </c>
      <c r="U104" s="98">
        <v>3.6121470212089113</v>
      </c>
      <c r="V104" s="106">
        <v>26472.570391532867</v>
      </c>
      <c r="W104" s="10">
        <v>-0.62034604805250027</v>
      </c>
      <c r="X104" s="413">
        <v>-0.61336683546312776</v>
      </c>
      <c r="Y104" s="414">
        <v>0.2927040974409017</v>
      </c>
      <c r="Z104" s="1"/>
      <c r="AA104" s="3">
        <v>2190</v>
      </c>
      <c r="AB104" s="11">
        <v>4.2161845738419013</v>
      </c>
      <c r="AC104" s="8">
        <v>2190</v>
      </c>
      <c r="AD104" s="108">
        <v>1.106041937322515</v>
      </c>
      <c r="AF104" s="176">
        <v>44743</v>
      </c>
      <c r="AG104" s="177">
        <v>2.5000000000000001E-3</v>
      </c>
      <c r="AH104" s="177">
        <v>2.5000000000000001E-3</v>
      </c>
      <c r="AI104" s="100">
        <v>44751</v>
      </c>
      <c r="AJ104" s="102">
        <v>31216.644331085419</v>
      </c>
      <c r="AL104" s="23"/>
      <c r="AM104" s="23"/>
      <c r="BL104" s="299"/>
    </row>
    <row r="105" spans="17:64">
      <c r="Q105" s="6">
        <v>75</v>
      </c>
      <c r="R105" s="7">
        <v>42742</v>
      </c>
      <c r="S105" s="210">
        <v>3.5</v>
      </c>
      <c r="T105" s="8">
        <v>1.0000972222222222</v>
      </c>
      <c r="U105" s="98">
        <v>3.6121470212089113</v>
      </c>
      <c r="V105" s="106">
        <v>26474.383212758639</v>
      </c>
      <c r="W105" s="10">
        <v>-0.59819767904826238</v>
      </c>
      <c r="X105" s="413">
        <v>-0.59141031298754143</v>
      </c>
      <c r="Y105" s="414">
        <v>0.29271834294214649</v>
      </c>
      <c r="Z105" s="1"/>
      <c r="AA105" s="3">
        <v>2220</v>
      </c>
      <c r="AB105" s="11">
        <v>4.2202581278534721</v>
      </c>
      <c r="AC105" s="8">
        <v>2220</v>
      </c>
      <c r="AD105" s="108">
        <v>1.1106876137646946</v>
      </c>
      <c r="AF105" s="176">
        <v>44774</v>
      </c>
      <c r="AG105" s="177">
        <v>2.5000000000000001E-3</v>
      </c>
      <c r="AH105" s="177">
        <v>2.5000000000000001E-3</v>
      </c>
      <c r="AI105" s="100">
        <v>44782</v>
      </c>
      <c r="AJ105" s="102">
        <v>31294.685941913132</v>
      </c>
      <c r="AL105" s="23"/>
      <c r="AM105" s="23"/>
      <c r="BL105" s="299"/>
    </row>
    <row r="106" spans="17:64">
      <c r="Q106" s="6">
        <v>76</v>
      </c>
      <c r="R106" s="7">
        <v>42743</v>
      </c>
      <c r="S106" s="210">
        <v>3.5</v>
      </c>
      <c r="T106" s="8">
        <v>1.0000972222222222</v>
      </c>
      <c r="U106" s="98">
        <v>3.6121470212088891</v>
      </c>
      <c r="V106" s="106">
        <v>26476.196158125011</v>
      </c>
      <c r="W106" s="10">
        <v>-0.57662741888346858</v>
      </c>
      <c r="X106" s="413">
        <v>-0.570031202943177</v>
      </c>
      <c r="Y106" s="414">
        <v>0.29273258936725405</v>
      </c>
      <c r="Z106" s="1"/>
      <c r="AA106" s="3">
        <v>2250</v>
      </c>
      <c r="AB106" s="11">
        <v>4.2242379827017702</v>
      </c>
      <c r="AC106" s="8">
        <v>2250</v>
      </c>
      <c r="AD106" s="108">
        <v>1.1144762671658286</v>
      </c>
      <c r="AF106" s="176">
        <v>44805</v>
      </c>
      <c r="AG106" s="177">
        <v>2.5000000000000001E-3</v>
      </c>
      <c r="AH106" s="177">
        <v>2.5000000000000001E-3</v>
      </c>
      <c r="AI106" s="100">
        <v>44813</v>
      </c>
      <c r="AJ106" s="102">
        <v>31372.922656767914</v>
      </c>
      <c r="AL106" s="23"/>
      <c r="AM106" s="23"/>
      <c r="BL106" s="299"/>
    </row>
    <row r="107" spans="17:64">
      <c r="Q107" s="6">
        <v>77</v>
      </c>
      <c r="R107" s="7">
        <v>42744</v>
      </c>
      <c r="S107" s="210">
        <v>3.5</v>
      </c>
      <c r="T107" s="8">
        <v>1.0000972222222222</v>
      </c>
      <c r="U107" s="98">
        <v>3.6121470212088891</v>
      </c>
      <c r="V107" s="106">
        <v>26478.009227640479</v>
      </c>
      <c r="W107" s="10">
        <v>-0.5556129252517028</v>
      </c>
      <c r="X107" s="413">
        <v>-0.54920700873054118</v>
      </c>
      <c r="Y107" s="414">
        <v>0.29274683671629609</v>
      </c>
      <c r="Z107" s="1"/>
      <c r="AA107" s="3">
        <v>2280</v>
      </c>
      <c r="AB107" s="11">
        <v>4.228127832595912</v>
      </c>
      <c r="AC107" s="8">
        <v>2280</v>
      </c>
      <c r="AD107" s="108">
        <v>1.1181799384538829</v>
      </c>
      <c r="AF107" s="176">
        <v>44835</v>
      </c>
      <c r="AG107" s="177">
        <v>2.5000000000000001E-3</v>
      </c>
      <c r="AH107" s="177">
        <v>2.5000000000000001E-3</v>
      </c>
      <c r="AI107" s="100">
        <v>44843</v>
      </c>
      <c r="AJ107" s="102">
        <v>31451.354963409831</v>
      </c>
      <c r="AL107" s="23"/>
      <c r="AM107" s="23"/>
      <c r="BL107" s="299"/>
    </row>
    <row r="108" spans="17:64">
      <c r="Q108" s="6">
        <v>78</v>
      </c>
      <c r="R108" s="7">
        <v>42745</v>
      </c>
      <c r="S108" s="210">
        <v>3.5</v>
      </c>
      <c r="T108" s="8">
        <v>1.0000972222222222</v>
      </c>
      <c r="U108" s="98">
        <v>3.6121470212089113</v>
      </c>
      <c r="V108" s="106">
        <v>26480.016208804944</v>
      </c>
      <c r="W108" s="10">
        <v>-0.53853918831683334</v>
      </c>
      <c r="X108" s="413">
        <v>-0.53229017248938115</v>
      </c>
      <c r="Y108" s="414">
        <v>0.29276108498934067</v>
      </c>
      <c r="Z108" s="1"/>
      <c r="AA108" s="3">
        <v>2310</v>
      </c>
      <c r="AB108" s="11">
        <v>4.2319311800654082</v>
      </c>
      <c r="AC108" s="8">
        <v>2310</v>
      </c>
      <c r="AD108" s="108">
        <v>1.1218019348003936</v>
      </c>
      <c r="AF108" s="176">
        <v>44866</v>
      </c>
      <c r="AG108" s="177">
        <v>2.5000000000000001E-3</v>
      </c>
      <c r="AH108" s="177">
        <v>2.5000000000000001E-3</v>
      </c>
      <c r="AI108" s="100">
        <v>44874</v>
      </c>
      <c r="AJ108" s="102">
        <v>31529.983350818355</v>
      </c>
      <c r="AL108" s="23"/>
      <c r="AM108" s="23"/>
      <c r="BL108" s="299"/>
    </row>
    <row r="109" spans="17:64">
      <c r="Q109" s="6">
        <v>79</v>
      </c>
      <c r="R109" s="7">
        <v>42746</v>
      </c>
      <c r="S109" s="210">
        <v>3.5</v>
      </c>
      <c r="T109" s="8">
        <v>1.0000972222222222</v>
      </c>
      <c r="U109" s="98">
        <v>3.6121470212089335</v>
      </c>
      <c r="V109" s="106">
        <v>26482.023342094646</v>
      </c>
      <c r="W109" s="10">
        <v>-0.52189487685857516</v>
      </c>
      <c r="X109" s="413">
        <v>-0.51580140169827793</v>
      </c>
      <c r="Y109" s="414">
        <v>0.29277533418645246</v>
      </c>
      <c r="Z109" s="1"/>
      <c r="AA109" s="3">
        <v>2340</v>
      </c>
      <c r="AB109" s="11">
        <v>4.2356513482331462</v>
      </c>
      <c r="AC109" s="8">
        <v>2340</v>
      </c>
      <c r="AD109" s="108">
        <v>1.1253453939715858</v>
      </c>
      <c r="AF109" s="176">
        <v>44896</v>
      </c>
      <c r="AG109" s="177">
        <v>2.5000000000000001E-3</v>
      </c>
      <c r="AH109" s="177">
        <v>2.5000000000000001E-3</v>
      </c>
      <c r="AI109" s="100">
        <v>44904</v>
      </c>
      <c r="AJ109" s="102">
        <v>31608.808309195399</v>
      </c>
      <c r="AL109" s="23"/>
      <c r="AM109" s="23"/>
      <c r="BL109" s="299"/>
    </row>
    <row r="110" spans="17:64">
      <c r="Q110" s="6">
        <v>80</v>
      </c>
      <c r="R110" s="7">
        <v>42747</v>
      </c>
      <c r="S110" s="210">
        <v>3.5</v>
      </c>
      <c r="T110" s="8">
        <v>1.0000972222222222</v>
      </c>
      <c r="U110" s="98">
        <v>3.6121470212089779</v>
      </c>
      <c r="V110" s="106">
        <v>26484.030627521108</v>
      </c>
      <c r="W110" s="10">
        <v>-0.50566399143868734</v>
      </c>
      <c r="X110" s="413">
        <v>-0.49972464389820836</v>
      </c>
      <c r="Y110" s="414">
        <v>0.29278958430770108</v>
      </c>
      <c r="Z110" s="1"/>
      <c r="AA110" s="3">
        <v>2370</v>
      </c>
      <c r="AB110" s="11">
        <v>4.2392914921571867</v>
      </c>
      <c r="AC110" s="8">
        <v>2370</v>
      </c>
      <c r="AD110" s="108">
        <v>1.1288132950382272</v>
      </c>
      <c r="AF110" s="176">
        <v>44927</v>
      </c>
      <c r="AG110" s="177">
        <v>2.5000000000000001E-3</v>
      </c>
      <c r="AH110" s="177">
        <v>2.5000000000000001E-3</v>
      </c>
      <c r="AI110" s="100">
        <v>44935</v>
      </c>
      <c r="AJ110" s="102">
        <v>31687.830329968387</v>
      </c>
      <c r="AL110" s="23"/>
      <c r="AM110" s="23"/>
      <c r="BL110" s="299"/>
    </row>
    <row r="111" spans="17:64">
      <c r="Q111" s="6">
        <v>81</v>
      </c>
      <c r="R111" s="7">
        <v>42748</v>
      </c>
      <c r="S111" s="210">
        <v>3.5</v>
      </c>
      <c r="T111" s="8">
        <v>1.0000972222222222</v>
      </c>
      <c r="U111" s="98">
        <v>3.6121470212090223</v>
      </c>
      <c r="V111" s="106">
        <v>26486.038065095872</v>
      </c>
      <c r="W111" s="10">
        <v>-0.48983131766343613</v>
      </c>
      <c r="X111" s="413">
        <v>-0.48404463934466813</v>
      </c>
      <c r="Y111" s="414">
        <v>0.29280383535315285</v>
      </c>
      <c r="Z111" s="1"/>
      <c r="AA111" s="3">
        <v>2400</v>
      </c>
      <c r="AB111" s="11">
        <v>4.2428546093227446</v>
      </c>
      <c r="AC111" s="8">
        <v>2400</v>
      </c>
      <c r="AD111" s="108">
        <v>1.1322084682830147</v>
      </c>
      <c r="AF111" s="176">
        <v>44958</v>
      </c>
      <c r="AG111" s="177">
        <v>2.5000000000000001E-3</v>
      </c>
      <c r="AH111" s="177">
        <v>2.5000000000000001E-3</v>
      </c>
      <c r="AI111" s="100">
        <v>44966</v>
      </c>
      <c r="AJ111" s="102">
        <v>31767.049905793305</v>
      </c>
      <c r="AL111" s="23"/>
      <c r="AM111" s="23"/>
      <c r="BL111" s="299"/>
    </row>
    <row r="112" spans="17:64">
      <c r="Q112" s="6">
        <v>82</v>
      </c>
      <c r="R112" s="7">
        <v>42749</v>
      </c>
      <c r="S112" s="210">
        <v>3.5</v>
      </c>
      <c r="T112" s="8">
        <v>1.0000972222222222</v>
      </c>
      <c r="U112" s="98">
        <v>3.6121470212090445</v>
      </c>
      <c r="V112" s="106">
        <v>26488.045654830472</v>
      </c>
      <c r="W112" s="10">
        <v>-0.4743823786173218</v>
      </c>
      <c r="X112" s="413">
        <v>-0.46874687267068998</v>
      </c>
      <c r="Y112" s="414">
        <v>0.29281808732287073</v>
      </c>
      <c r="Z112" s="1"/>
      <c r="AA112" s="3">
        <v>2430</v>
      </c>
      <c r="AB112" s="11">
        <v>4.2463435493577757</v>
      </c>
      <c r="AC112" s="8">
        <v>2430</v>
      </c>
      <c r="AD112" s="108">
        <v>1.1355336043747697</v>
      </c>
      <c r="AF112" s="176">
        <v>44986</v>
      </c>
      <c r="AG112" s="177">
        <v>2.5000000000000001E-3</v>
      </c>
      <c r="AH112" s="177">
        <v>2.5000000000000001E-3</v>
      </c>
      <c r="AI112" s="100">
        <v>44994</v>
      </c>
      <c r="AJ112" s="102">
        <v>31846.467530557788</v>
      </c>
      <c r="AL112" s="23"/>
      <c r="AM112" s="23"/>
      <c r="BL112" s="299"/>
    </row>
    <row r="113" spans="17:64">
      <c r="Q113" s="6">
        <v>83</v>
      </c>
      <c r="R113" s="7">
        <v>42750</v>
      </c>
      <c r="S113" s="210">
        <v>3.5</v>
      </c>
      <c r="T113" s="8">
        <v>1.0000972222222222</v>
      </c>
      <c r="U113" s="98">
        <v>3.6121470212090001</v>
      </c>
      <c r="V113" s="106">
        <v>26490.053396736428</v>
      </c>
      <c r="W113" s="10">
        <v>-0.45930339071447168</v>
      </c>
      <c r="X113" s="413">
        <v>-0.4538175280448718</v>
      </c>
      <c r="Y113" s="414">
        <v>0.29283234021692284</v>
      </c>
      <c r="Z113" s="1"/>
      <c r="AA113" s="3">
        <v>2460</v>
      </c>
      <c r="AB113" s="11">
        <v>4.2497610230391718</v>
      </c>
      <c r="AC113" s="8">
        <v>2460</v>
      </c>
      <c r="AD113" s="108">
        <v>1.1387912628727674</v>
      </c>
      <c r="AF113" s="176">
        <v>45017</v>
      </c>
      <c r="AG113" s="177">
        <v>2.5000000000000001E-3</v>
      </c>
      <c r="AH113" s="177">
        <v>2.5000000000000001E-3</v>
      </c>
      <c r="AI113" s="100">
        <v>45025</v>
      </c>
      <c r="AJ113" s="102">
        <v>31926.08369938418</v>
      </c>
      <c r="AL113" s="23"/>
      <c r="AM113" s="23"/>
      <c r="BL113" s="299"/>
    </row>
    <row r="114" spans="17:64">
      <c r="Q114" s="6">
        <v>84</v>
      </c>
      <c r="R114" s="7">
        <v>42751</v>
      </c>
      <c r="S114" s="210">
        <v>3.5</v>
      </c>
      <c r="T114" s="8">
        <v>1.0000972222222222</v>
      </c>
      <c r="U114" s="98">
        <v>3.6121470212090001</v>
      </c>
      <c r="V114" s="106">
        <v>26492.061290825292</v>
      </c>
      <c r="W114" s="10">
        <v>-0.44458122268459244</v>
      </c>
      <c r="X114" s="413">
        <v>-0.43924344753292527</v>
      </c>
      <c r="Y114" s="414">
        <v>0.29284659403538177</v>
      </c>
      <c r="Z114" s="1"/>
      <c r="AA114" s="3">
        <v>2490</v>
      </c>
      <c r="AB114" s="11">
        <v>4.2531096106473001</v>
      </c>
      <c r="AC114" s="8">
        <v>2490</v>
      </c>
      <c r="AD114" s="108">
        <v>1.1419838801157614</v>
      </c>
      <c r="AF114" s="176">
        <v>45047</v>
      </c>
      <c r="AG114" s="177">
        <v>2.5000000000000001E-3</v>
      </c>
      <c r="AH114" s="177">
        <v>2.5000000000000001E-3</v>
      </c>
      <c r="AI114" s="100">
        <v>45055</v>
      </c>
      <c r="AJ114" s="102">
        <v>32005.89890863264</v>
      </c>
      <c r="AL114" s="23"/>
      <c r="AM114" s="23"/>
      <c r="BL114" s="299"/>
    </row>
    <row r="115" spans="17:64">
      <c r="Q115" s="6">
        <v>85</v>
      </c>
      <c r="R115" s="7">
        <v>42752</v>
      </c>
      <c r="S115" s="210">
        <v>3.5</v>
      </c>
      <c r="T115" s="8">
        <v>1.0000972222222222</v>
      </c>
      <c r="U115" s="98">
        <v>3.6121470212089557</v>
      </c>
      <c r="V115" s="106">
        <v>26494.069337108576</v>
      </c>
      <c r="W115" s="10">
        <v>-0.43020335743477744</v>
      </c>
      <c r="X115" s="413">
        <v>-0.42501209239690557</v>
      </c>
      <c r="Y115" s="414">
        <v>0.29286084877830909</v>
      </c>
      <c r="Z115" s="1"/>
      <c r="AA115" s="3">
        <v>2520</v>
      </c>
      <c r="AB115" s="11">
        <v>4.256391769725818</v>
      </c>
      <c r="AC115" s="8">
        <v>2520</v>
      </c>
      <c r="AD115" s="108">
        <v>1.1451137765492758</v>
      </c>
      <c r="AF115" s="176">
        <v>45078</v>
      </c>
      <c r="AG115" s="177">
        <v>2.5000000000000001E-3</v>
      </c>
      <c r="AH115" s="177">
        <v>2.5000000000000001E-3</v>
      </c>
      <c r="AI115" s="100">
        <v>45086</v>
      </c>
      <c r="AJ115" s="102">
        <v>32085.91365590422</v>
      </c>
      <c r="AL115" s="23"/>
      <c r="AM115" s="23"/>
      <c r="BL115" s="299"/>
    </row>
    <row r="116" spans="17:64">
      <c r="Q116" s="6">
        <v>86</v>
      </c>
      <c r="R116" s="7">
        <v>42753</v>
      </c>
      <c r="S116" s="210">
        <v>3.5</v>
      </c>
      <c r="T116" s="8">
        <v>1.0000972222222222</v>
      </c>
      <c r="U116" s="98">
        <v>3.6121470212089557</v>
      </c>
      <c r="V116" s="106">
        <v>26496.07753559784</v>
      </c>
      <c r="W116" s="10">
        <v>-0.41615785655819693</v>
      </c>
      <c r="X116" s="413">
        <v>-0.41111150709667876</v>
      </c>
      <c r="Y116" s="414">
        <v>0.2928751044457788</v>
      </c>
      <c r="Z116" s="1"/>
      <c r="AA116" s="3">
        <v>2550</v>
      </c>
      <c r="AB116" s="11">
        <v>4.2596098422934601</v>
      </c>
      <c r="AC116" s="8">
        <v>2550</v>
      </c>
      <c r="AD116" s="108">
        <v>1.1481831635355373</v>
      </c>
      <c r="AF116" s="176">
        <v>45108</v>
      </c>
      <c r="AG116" s="177">
        <v>2.5000000000000001E-3</v>
      </c>
      <c r="AH116" s="177">
        <v>2.5000000000000001E-3</v>
      </c>
      <c r="AI116" s="100">
        <v>45116</v>
      </c>
      <c r="AJ116" s="102">
        <v>32166.12844004398</v>
      </c>
      <c r="AL116" s="23"/>
      <c r="AM116" s="23"/>
      <c r="BL116" s="299"/>
    </row>
    <row r="117" spans="17:64">
      <c r="Q117" s="6">
        <v>87</v>
      </c>
      <c r="R117" s="7">
        <v>42754</v>
      </c>
      <c r="S117" s="210">
        <v>3.5</v>
      </c>
      <c r="T117" s="8">
        <v>1.0000972222222222</v>
      </c>
      <c r="U117" s="98">
        <v>3.6121470212089335</v>
      </c>
      <c r="V117" s="106">
        <v>26498.085886304605</v>
      </c>
      <c r="W117" s="10">
        <v>-0.40243332727341041</v>
      </c>
      <c r="X117" s="413">
        <v>-0.3975302857716117</v>
      </c>
      <c r="Y117" s="414">
        <v>0.29288936103785407</v>
      </c>
      <c r="Z117" s="1"/>
      <c r="AA117" s="3">
        <v>2580</v>
      </c>
      <c r="AB117" s="11">
        <v>4.2627660615533376</v>
      </c>
      <c r="AC117" s="8">
        <v>2580</v>
      </c>
      <c r="AD117" s="108">
        <v>1.1511941496888072</v>
      </c>
      <c r="AF117" s="176">
        <v>45139</v>
      </c>
      <c r="AG117" s="177">
        <v>2.5000000000000001E-3</v>
      </c>
      <c r="AH117" s="177">
        <v>2.5000000000000001E-3</v>
      </c>
      <c r="AI117" s="100">
        <v>45147</v>
      </c>
      <c r="AJ117" s="102">
        <v>32246.543761144087</v>
      </c>
      <c r="AL117" s="23"/>
      <c r="AM117" s="23"/>
      <c r="BL117" s="299"/>
    </row>
    <row r="118" spans="17:64">
      <c r="Q118" s="6">
        <v>88</v>
      </c>
      <c r="R118" s="7">
        <v>42755</v>
      </c>
      <c r="S118" s="210">
        <v>3.5</v>
      </c>
      <c r="T118" s="8">
        <v>1.0000972222222222</v>
      </c>
      <c r="U118" s="98">
        <v>3.6121470212088891</v>
      </c>
      <c r="V118" s="106">
        <v>26500.094389240421</v>
      </c>
      <c r="W118" s="10">
        <v>-0.38901889160642966</v>
      </c>
      <c r="X118" s="413">
        <v>-0.38425754100950887</v>
      </c>
      <c r="Y118" s="414">
        <v>0.2929036185546024</v>
      </c>
      <c r="Z118" s="1"/>
      <c r="AA118" s="3">
        <v>2610</v>
      </c>
      <c r="AB118" s="11">
        <v>4.2658625581406966</v>
      </c>
      <c r="AC118" s="8">
        <v>2610</v>
      </c>
      <c r="AD118" s="108">
        <v>1.1541487467749945</v>
      </c>
      <c r="AF118" s="176">
        <v>45170</v>
      </c>
      <c r="AG118" s="177">
        <v>2.5000000000000001E-3</v>
      </c>
      <c r="AH118" s="177">
        <v>2.5000000000000001E-3</v>
      </c>
      <c r="AI118" s="100">
        <v>45178</v>
      </c>
      <c r="AJ118" s="102">
        <v>32327.160120546945</v>
      </c>
      <c r="AL118" s="23"/>
      <c r="AM118" s="23"/>
      <c r="BL118" s="299"/>
    </row>
    <row r="119" spans="17:64">
      <c r="Q119" s="6">
        <v>89</v>
      </c>
      <c r="R119" s="7">
        <v>42756</v>
      </c>
      <c r="S119" s="210">
        <v>3.5</v>
      </c>
      <c r="T119" s="8">
        <v>1.0000972222222222</v>
      </c>
      <c r="U119" s="98">
        <v>3.6121470212088891</v>
      </c>
      <c r="V119" s="106">
        <v>26502.103044416817</v>
      </c>
      <c r="W119" s="10">
        <v>-0.37590415763713025</v>
      </c>
      <c r="X119" s="413">
        <v>-0.37128287471993654</v>
      </c>
      <c r="Y119" s="414">
        <v>0.29291787699609612</v>
      </c>
      <c r="Z119" s="1"/>
      <c r="AA119" s="3">
        <v>2640</v>
      </c>
      <c r="AB119" s="11">
        <v>4.2689013659438393</v>
      </c>
      <c r="AC119" s="8">
        <v>2640</v>
      </c>
      <c r="AD119" s="108">
        <v>1.1570488752080386</v>
      </c>
      <c r="AF119" s="176">
        <v>45200</v>
      </c>
      <c r="AG119" s="177">
        <v>2.5000000000000001E-3</v>
      </c>
      <c r="AH119" s="177">
        <v>2.5000000000000001E-3</v>
      </c>
      <c r="AI119" s="100">
        <v>45208</v>
      </c>
      <c r="AJ119" s="102">
        <v>32407.97802084831</v>
      </c>
      <c r="AL119" s="23"/>
      <c r="AM119" s="23"/>
      <c r="BL119" s="299"/>
    </row>
    <row r="120" spans="17:64">
      <c r="Q120" s="6">
        <v>90</v>
      </c>
      <c r="R120" s="7">
        <v>42757</v>
      </c>
      <c r="S120" s="210">
        <v>3.5</v>
      </c>
      <c r="T120" s="8">
        <v>1.0000972222222222</v>
      </c>
      <c r="U120" s="98">
        <v>3.6121470212088669</v>
      </c>
      <c r="V120" s="106">
        <v>26504.111851845333</v>
      </c>
      <c r="W120" s="10">
        <v>-0.36307919265213817</v>
      </c>
      <c r="X120" s="413">
        <v>-0.35859635094985798</v>
      </c>
      <c r="Y120" s="414">
        <v>0.29293213636239679</v>
      </c>
      <c r="Z120" s="1"/>
      <c r="AA120" s="3">
        <v>2670</v>
      </c>
      <c r="AB120" s="11">
        <v>4.2718844275344239</v>
      </c>
      <c r="AC120" s="8">
        <v>2670</v>
      </c>
      <c r="AD120" s="108">
        <v>1.1598963691776061</v>
      </c>
      <c r="AF120" s="176">
        <v>45231</v>
      </c>
      <c r="AG120" s="177">
        <v>2.5000000000000001E-3</v>
      </c>
      <c r="AH120" s="177">
        <v>2.5000000000000001E-3</v>
      </c>
      <c r="AI120" s="100">
        <v>45239</v>
      </c>
      <c r="AJ120" s="102">
        <v>32488.997965900428</v>
      </c>
      <c r="AL120" s="23"/>
      <c r="AM120" s="23"/>
      <c r="BL120" s="299"/>
    </row>
    <row r="121" spans="17:64">
      <c r="Q121" s="6">
        <v>91</v>
      </c>
      <c r="R121" s="7">
        <v>42758</v>
      </c>
      <c r="S121" s="210">
        <v>3.5</v>
      </c>
      <c r="T121" s="8">
        <v>1.0000972222222222</v>
      </c>
      <c r="U121" s="98">
        <v>3.6121470212088891</v>
      </c>
      <c r="V121" s="106">
        <v>26506.120811537516</v>
      </c>
      <c r="W121" s="10">
        <v>-0.35053449805748649</v>
      </c>
      <c r="X121" s="413">
        <v>-0.3461884704915566</v>
      </c>
      <c r="Y121" s="414">
        <v>0.29294639665357775</v>
      </c>
      <c r="Z121" s="1"/>
      <c r="AA121" s="3">
        <v>2700</v>
      </c>
      <c r="AB121" s="11">
        <v>4.274813599234859</v>
      </c>
      <c r="AC121" s="8">
        <v>2700</v>
      </c>
      <c r="AD121" s="108">
        <v>1.162692981433975</v>
      </c>
      <c r="AF121" s="176">
        <v>45261</v>
      </c>
      <c r="AG121" s="177">
        <v>2.5000000000000001E-3</v>
      </c>
      <c r="AH121" s="177">
        <v>2.5000000000000001E-3</v>
      </c>
      <c r="AI121" s="100">
        <v>45269</v>
      </c>
      <c r="AJ121" s="102">
        <v>32570.220460815177</v>
      </c>
      <c r="AL121" s="23"/>
      <c r="AM121" s="23"/>
      <c r="BL121" s="299"/>
    </row>
    <row r="122" spans="17:64">
      <c r="Q122" s="6">
        <v>92</v>
      </c>
      <c r="R122" s="7">
        <v>42759</v>
      </c>
      <c r="S122" s="210">
        <v>3.5</v>
      </c>
      <c r="T122" s="8">
        <v>1.0000972222222222</v>
      </c>
      <c r="U122" s="98">
        <v>3.6121470212089113</v>
      </c>
      <c r="V122" s="106">
        <v>26508.129923504901</v>
      </c>
      <c r="W122" s="10">
        <v>-0.33826098591788201</v>
      </c>
      <c r="X122" s="413">
        <v>-0.33405014714608633</v>
      </c>
      <c r="Y122" s="414">
        <v>0.29296065786970227</v>
      </c>
      <c r="Z122" s="1"/>
      <c r="AA122" s="3">
        <v>2730</v>
      </c>
      <c r="AB122" s="11">
        <v>4.2776906558531334</v>
      </c>
      <c r="AC122" s="8">
        <v>2730</v>
      </c>
      <c r="AD122" s="108">
        <v>1.1654403877590147</v>
      </c>
      <c r="AF122" s="176">
        <v>45292</v>
      </c>
      <c r="AG122" s="177">
        <v>2.5000000000000001E-3</v>
      </c>
      <c r="AH122" s="177">
        <v>2.5000000000000001E-3</v>
      </c>
      <c r="AI122" s="100">
        <v>45300</v>
      </c>
      <c r="AJ122" s="102">
        <v>32651.646011967212</v>
      </c>
      <c r="AL122" s="23"/>
      <c r="AM122" s="23"/>
      <c r="BL122" s="299"/>
    </row>
    <row r="123" spans="17:64">
      <c r="Q123" s="6">
        <v>93</v>
      </c>
      <c r="R123" s="7">
        <v>42760</v>
      </c>
      <c r="S123" s="210">
        <v>3.5</v>
      </c>
      <c r="T123" s="8">
        <v>1.0000972222222222</v>
      </c>
      <c r="U123" s="98">
        <v>3.6121470212089113</v>
      </c>
      <c r="V123" s="106">
        <v>26510.139187759029</v>
      </c>
      <c r="W123" s="10">
        <v>-0.32624995700183401</v>
      </c>
      <c r="X123" s="413">
        <v>-0.32217268551901485</v>
      </c>
      <c r="Y123" s="414">
        <v>0.29297492001083775</v>
      </c>
      <c r="Z123" s="1"/>
      <c r="AA123" s="3">
        <v>2760</v>
      </c>
      <c r="AB123" s="11">
        <v>4.2805172951081012</v>
      </c>
      <c r="AC123" s="8">
        <v>2760</v>
      </c>
      <c r="AD123" s="108">
        <v>1.1681401911447304</v>
      </c>
      <c r="AF123" s="176">
        <v>45323</v>
      </c>
      <c r="AG123" s="177">
        <v>2.5000000000000001E-3</v>
      </c>
      <c r="AH123" s="177">
        <v>2.5000000000000001E-3</v>
      </c>
      <c r="AI123" s="100">
        <v>45331</v>
      </c>
      <c r="AJ123" s="102">
        <v>32733.275126997127</v>
      </c>
      <c r="AL123" s="23"/>
      <c r="AM123" s="23"/>
      <c r="BL123" s="299"/>
    </row>
    <row r="124" spans="17:64">
      <c r="Q124" s="6">
        <v>94</v>
      </c>
      <c r="R124" s="7">
        <v>42761</v>
      </c>
      <c r="S124" s="210">
        <v>3.5</v>
      </c>
      <c r="T124" s="8">
        <v>1.0000972222222222</v>
      </c>
      <c r="U124" s="98">
        <v>3.6121470212088669</v>
      </c>
      <c r="V124" s="106">
        <v>26512.148604311453</v>
      </c>
      <c r="W124" s="10">
        <v>-0.31449308021977984</v>
      </c>
      <c r="X124" s="413">
        <v>-0.31054776023269387</v>
      </c>
      <c r="Y124" s="414">
        <v>0.2929891830770488</v>
      </c>
      <c r="Z124" s="1"/>
      <c r="AA124" s="3">
        <v>2790</v>
      </c>
      <c r="AB124" s="11">
        <v>4.2832951417701919</v>
      </c>
      <c r="AC124" s="8">
        <v>2790</v>
      </c>
      <c r="AD124" s="108">
        <v>1.1707939257031379</v>
      </c>
      <c r="AF124" s="176">
        <v>45352</v>
      </c>
      <c r="AG124" s="177">
        <v>2.5000000000000001E-3</v>
      </c>
      <c r="AH124" s="177">
        <v>2.5000000000000001E-3</v>
      </c>
      <c r="AI124" s="100">
        <v>45360</v>
      </c>
      <c r="AJ124" s="102">
        <v>32815.108314814621</v>
      </c>
      <c r="AL124" s="23"/>
      <c r="AM124" s="23"/>
      <c r="BL124" s="299"/>
    </row>
    <row r="125" spans="17:64">
      <c r="Q125" s="6">
        <v>95</v>
      </c>
      <c r="R125" s="7">
        <v>42762</v>
      </c>
      <c r="S125" s="210">
        <v>3.5</v>
      </c>
      <c r="T125" s="8">
        <v>1.0000972222222222</v>
      </c>
      <c r="U125" s="98">
        <v>3.6121470212088891</v>
      </c>
      <c r="V125" s="106">
        <v>26514.158173173706</v>
      </c>
      <c r="W125" s="10">
        <v>-0.30298237335362188</v>
      </c>
      <c r="X125" s="413">
        <v>-0.29916739645139767</v>
      </c>
      <c r="Y125" s="414">
        <v>0.29300344706841136</v>
      </c>
      <c r="Z125" s="1"/>
      <c r="AA125" s="3">
        <v>2820</v>
      </c>
      <c r="AB125" s="11">
        <v>4.2860257515378199</v>
      </c>
      <c r="AC125" s="8">
        <v>2820</v>
      </c>
      <c r="AD125" s="108">
        <v>1.1734030603266223</v>
      </c>
      <c r="AF125" s="176">
        <v>45383</v>
      </c>
      <c r="AG125" s="177">
        <v>2.5000000000000001E-3</v>
      </c>
      <c r="AH125" s="177">
        <v>2.5000000000000001E-3</v>
      </c>
      <c r="AI125" s="100">
        <v>45391</v>
      </c>
      <c r="AJ125" s="102">
        <v>32897.146085601657</v>
      </c>
      <c r="AL125" s="23"/>
      <c r="AM125" s="23"/>
      <c r="BL125" s="299"/>
    </row>
    <row r="126" spans="17:64">
      <c r="Q126" s="6">
        <v>96</v>
      </c>
      <c r="R126" s="7">
        <v>42763</v>
      </c>
      <c r="S126" s="210">
        <v>3.5</v>
      </c>
      <c r="T126" s="8">
        <v>1.0000972222222222</v>
      </c>
      <c r="U126" s="98">
        <v>3.6121470212088669</v>
      </c>
      <c r="V126" s="106">
        <v>26516.167894357335</v>
      </c>
      <c r="W126" s="10">
        <v>-0.29171018498505008</v>
      </c>
      <c r="X126" s="413">
        <v>-0.28802395162447203</v>
      </c>
      <c r="Y126" s="414">
        <v>0.29301771198498444</v>
      </c>
      <c r="Z126" s="1"/>
      <c r="AA126" s="3">
        <v>2850</v>
      </c>
      <c r="AB126" s="11">
        <v>4.2887106146691911</v>
      </c>
      <c r="AC126" s="8">
        <v>2850</v>
      </c>
      <c r="AD126" s="108">
        <v>1.1759690021172184</v>
      </c>
      <c r="AF126" s="176">
        <v>45413</v>
      </c>
      <c r="AG126" s="177">
        <v>2.5000000000000001E-3</v>
      </c>
      <c r="AH126" s="177">
        <v>2.5000000000000001E-3</v>
      </c>
      <c r="AI126" s="100">
        <v>45421</v>
      </c>
      <c r="AJ126" s="102">
        <v>32979.388950815657</v>
      </c>
      <c r="AL126" s="23"/>
      <c r="AM126" s="23"/>
      <c r="BL126" s="299"/>
    </row>
    <row r="127" spans="17:64">
      <c r="Q127" s="6">
        <v>97</v>
      </c>
      <c r="R127" s="7">
        <v>42764</v>
      </c>
      <c r="S127" s="210">
        <v>3.5</v>
      </c>
      <c r="T127" s="8">
        <v>1.0000972222222222</v>
      </c>
      <c r="U127" s="98">
        <v>3.6121470212088447</v>
      </c>
      <c r="V127" s="106">
        <v>26518.177767873891</v>
      </c>
      <c r="W127" s="10">
        <v>-0.28066917753484244</v>
      </c>
      <c r="X127" s="413">
        <v>-0.27711009835799094</v>
      </c>
      <c r="Y127" s="414">
        <v>0.29303197782683815</v>
      </c>
      <c r="Z127" s="1"/>
      <c r="AA127" s="3">
        <v>2880</v>
      </c>
      <c r="AB127" s="11">
        <v>4.2913511593875562</v>
      </c>
      <c r="AC127" s="8">
        <v>2880</v>
      </c>
      <c r="AD127" s="108">
        <v>1.1784930996020611</v>
      </c>
      <c r="AF127" s="176">
        <v>45444</v>
      </c>
      <c r="AG127" s="177">
        <v>2.5000000000000001E-3</v>
      </c>
      <c r="AH127" s="177">
        <v>2.5000000000000001E-3</v>
      </c>
      <c r="AI127" s="100">
        <v>45452</v>
      </c>
      <c r="AJ127" s="102">
        <v>33061.837423192694</v>
      </c>
      <c r="AL127" s="23"/>
      <c r="AM127" s="23"/>
      <c r="BL127" s="299"/>
    </row>
    <row r="128" spans="17:64">
      <c r="Q128" s="6">
        <v>98</v>
      </c>
      <c r="R128" s="7">
        <v>42765</v>
      </c>
      <c r="S128" s="210">
        <v>3.5</v>
      </c>
      <c r="T128" s="8">
        <v>1.0000972222222222</v>
      </c>
      <c r="U128" s="98">
        <v>3.6121470212088669</v>
      </c>
      <c r="V128" s="106">
        <v>26520.18779373492</v>
      </c>
      <c r="W128" s="10">
        <v>-0.26985231133533905</v>
      </c>
      <c r="X128" s="413">
        <v>-0.26641880833520898</v>
      </c>
      <c r="Y128" s="414">
        <v>0.2930462445940466</v>
      </c>
      <c r="Z128" s="1"/>
      <c r="AA128" s="3">
        <v>2910</v>
      </c>
      <c r="AB128" s="11">
        <v>4.2939487550758333</v>
      </c>
      <c r="AC128" s="8">
        <v>2910</v>
      </c>
      <c r="AD128" s="108">
        <v>1.1809766457499487</v>
      </c>
      <c r="AF128" s="176">
        <v>45474</v>
      </c>
      <c r="AG128" s="177">
        <v>2.5000000000000001E-3</v>
      </c>
      <c r="AH128" s="177">
        <v>2.5000000000000001E-3</v>
      </c>
      <c r="AI128" s="100">
        <v>45482</v>
      </c>
      <c r="AJ128" s="102">
        <v>33144.492016750672</v>
      </c>
      <c r="AL128" s="23"/>
      <c r="AM128" s="23"/>
      <c r="BL128" s="299"/>
    </row>
    <row r="129" spans="17:64">
      <c r="Q129" s="6">
        <v>99</v>
      </c>
      <c r="R129" s="7">
        <v>42766</v>
      </c>
      <c r="S129" s="210">
        <v>3.5</v>
      </c>
      <c r="T129" s="8">
        <v>1.0000972222222222</v>
      </c>
      <c r="U129" s="98">
        <v>3.6121470212088669</v>
      </c>
      <c r="V129" s="106">
        <v>26522.197971951959</v>
      </c>
      <c r="W129" s="10">
        <v>-0.25925282966323682</v>
      </c>
      <c r="X129" s="413">
        <v>-0.25594333721177454</v>
      </c>
      <c r="Y129" s="414">
        <v>0.29306051228666752</v>
      </c>
      <c r="Z129" s="1"/>
      <c r="AA129" s="3">
        <v>2940</v>
      </c>
      <c r="AB129" s="11">
        <v>4.2965047152756313</v>
      </c>
      <c r="AC129" s="8">
        <v>2940</v>
      </c>
      <c r="AD129" s="108">
        <v>1.1834208808030122</v>
      </c>
      <c r="AF129" s="176">
        <v>45505</v>
      </c>
      <c r="AG129" s="177">
        <v>2.5000000000000001E-3</v>
      </c>
      <c r="AH129" s="177">
        <v>2.5000000000000001E-3</v>
      </c>
      <c r="AI129" s="100">
        <v>45513</v>
      </c>
      <c r="AJ129" s="102">
        <v>33227.353246792547</v>
      </c>
      <c r="AL129" s="23"/>
      <c r="AM129" s="23"/>
      <c r="BL129" s="299"/>
    </row>
    <row r="130" spans="17:64">
      <c r="Q130" s="6">
        <v>100</v>
      </c>
      <c r="R130" s="7">
        <v>42767</v>
      </c>
      <c r="S130" s="210">
        <v>3.5</v>
      </c>
      <c r="T130" s="8">
        <v>1.0000972222222222</v>
      </c>
      <c r="U130" s="98">
        <v>3.6121470212088891</v>
      </c>
      <c r="V130" s="106">
        <v>26524.208302536568</v>
      </c>
      <c r="W130" s="10">
        <v>-0.24886424466588064</v>
      </c>
      <c r="X130" s="413">
        <v>-0.24567721041726998</v>
      </c>
      <c r="Y130" s="414">
        <v>0.29307478090477623</v>
      </c>
      <c r="Z130" s="1"/>
      <c r="AA130" s="3">
        <v>2970</v>
      </c>
      <c r="AB130" s="11">
        <v>4.2990203005053944</v>
      </c>
      <c r="AC130" s="8">
        <v>2970</v>
      </c>
      <c r="AD130" s="108">
        <v>1.1858269949378761</v>
      </c>
      <c r="AF130" s="176">
        <v>45536</v>
      </c>
      <c r="AG130" s="177">
        <v>2.5000000000000001E-3</v>
      </c>
      <c r="AH130" s="177">
        <v>2.5000000000000001E-3</v>
      </c>
      <c r="AI130" s="100">
        <v>45544</v>
      </c>
      <c r="AJ130" s="102">
        <v>33310.421629909528</v>
      </c>
      <c r="AL130" s="23"/>
      <c r="AM130" s="23"/>
      <c r="BL130" s="299"/>
    </row>
    <row r="131" spans="17:64">
      <c r="Q131" s="6">
        <v>101</v>
      </c>
      <c r="R131" s="7">
        <v>42768</v>
      </c>
      <c r="S131" s="210">
        <v>3.5</v>
      </c>
      <c r="T131" s="8">
        <v>1.0000972222222222</v>
      </c>
      <c r="U131" s="98">
        <v>3.6121470212088669</v>
      </c>
      <c r="V131" s="106">
        <v>26526.218785500299</v>
      </c>
      <c r="W131" s="10">
        <v>-0.23868032411902274</v>
      </c>
      <c r="X131" s="413">
        <v>-0.23561420979990796</v>
      </c>
      <c r="Y131" s="414">
        <v>0.29308905044843198</v>
      </c>
      <c r="Z131" s="1"/>
      <c r="AA131" s="3">
        <v>3000</v>
      </c>
      <c r="AB131" s="11">
        <v>4.301496720908732</v>
      </c>
      <c r="AC131" s="8">
        <v>3000</v>
      </c>
      <c r="AD131" s="108">
        <v>1.1881961307662785</v>
      </c>
      <c r="AF131" s="176">
        <v>45566</v>
      </c>
      <c r="AG131" s="177">
        <v>2.5000000000000001E-3</v>
      </c>
      <c r="AH131" s="177">
        <v>2.5000000000000001E-3</v>
      </c>
      <c r="AI131" s="100">
        <v>45574</v>
      </c>
      <c r="AJ131" s="102">
        <v>33393.697683984297</v>
      </c>
      <c r="AL131" s="23"/>
      <c r="AM131" s="23"/>
      <c r="BL131" s="299"/>
    </row>
    <row r="132" spans="17:64">
      <c r="Q132" s="6">
        <v>102</v>
      </c>
      <c r="R132" s="7">
        <v>42769</v>
      </c>
      <c r="S132" s="210">
        <v>3.5</v>
      </c>
      <c r="T132" s="8">
        <v>1.0000972222222222</v>
      </c>
      <c r="U132" s="98">
        <v>3.6121470212088891</v>
      </c>
      <c r="V132" s="106">
        <v>26528.229420854685</v>
      </c>
      <c r="W132" s="10">
        <v>-0.22869507895921792</v>
      </c>
      <c r="X132" s="413">
        <v>-0.22574836105655993</v>
      </c>
      <c r="Y132" s="414">
        <v>0.29310332091771113</v>
      </c>
      <c r="Z132" s="1"/>
      <c r="AA132" s="3">
        <v>3030</v>
      </c>
      <c r="AB132" s="11">
        <v>4.3039351387459757</v>
      </c>
      <c r="AC132" s="8">
        <v>3030</v>
      </c>
      <c r="AD132" s="108">
        <v>1.1905293856877022</v>
      </c>
      <c r="AF132" s="176">
        <v>45597</v>
      </c>
      <c r="AG132" s="177">
        <v>2.5000000000000001E-3</v>
      </c>
      <c r="AH132" s="177">
        <v>2.5000000000000001E-3</v>
      </c>
      <c r="AI132" s="100">
        <v>45605</v>
      </c>
      <c r="AJ132" s="102">
        <v>33477.181928194259</v>
      </c>
      <c r="AL132" s="23"/>
      <c r="AM132" s="23"/>
      <c r="BL132" s="299"/>
    </row>
    <row r="133" spans="17:64">
      <c r="Q133" s="6">
        <v>103</v>
      </c>
      <c r="R133" s="7">
        <v>42770</v>
      </c>
      <c r="S133" s="210">
        <v>3.5</v>
      </c>
      <c r="T133" s="8">
        <v>1.0000972222222222</v>
      </c>
      <c r="U133" s="98">
        <v>3.6121470212088891</v>
      </c>
      <c r="V133" s="106">
        <v>26530.240208611292</v>
      </c>
      <c r="W133" s="10">
        <v>-0.21890275154046179</v>
      </c>
      <c r="X133" s="413">
        <v>-0.21607392189656774</v>
      </c>
      <c r="Y133" s="414">
        <v>0.29311759231267437</v>
      </c>
      <c r="Z133" s="1"/>
      <c r="AA133" s="3">
        <v>3060</v>
      </c>
      <c r="AB133" s="11">
        <v>4.306336670739551</v>
      </c>
      <c r="AC133" s="8">
        <v>3060</v>
      </c>
      <c r="AD133" s="108">
        <v>1.1928278141039572</v>
      </c>
      <c r="AF133" s="176">
        <v>45627</v>
      </c>
      <c r="AG133" s="177">
        <v>2.5000000000000001E-3</v>
      </c>
      <c r="AH133" s="177">
        <v>2.5000000000000001E-3</v>
      </c>
      <c r="AI133" s="100">
        <v>45635</v>
      </c>
      <c r="AJ133" s="102">
        <v>33560.874883014745</v>
      </c>
      <c r="AL133" s="23"/>
      <c r="AM133" s="23"/>
      <c r="BL133" s="299"/>
    </row>
    <row r="134" spans="17:64">
      <c r="Q134" s="6">
        <v>104</v>
      </c>
      <c r="R134" s="7">
        <v>42771</v>
      </c>
      <c r="S134" s="210">
        <v>3.5</v>
      </c>
      <c r="T134" s="8">
        <v>1.0000972222222222</v>
      </c>
      <c r="U134" s="98">
        <v>3.6121470212088891</v>
      </c>
      <c r="V134" s="106">
        <v>26532.25114878167</v>
      </c>
      <c r="W134" s="10">
        <v>-0.20929780456252489</v>
      </c>
      <c r="X134" s="413">
        <v>-0.20658537088606815</v>
      </c>
      <c r="Y134" s="414">
        <v>0.29313186463339258</v>
      </c>
      <c r="Z134" s="1"/>
      <c r="AA134" s="3">
        <v>3090</v>
      </c>
      <c r="AB134" s="11">
        <v>4.3087023902824324</v>
      </c>
      <c r="AC134" s="8">
        <v>3090</v>
      </c>
      <c r="AD134" s="108">
        <v>1.1950924295045136</v>
      </c>
      <c r="AF134" s="176">
        <v>45658</v>
      </c>
      <c r="AG134" s="177">
        <v>2.5000000000000001E-3</v>
      </c>
      <c r="AH134" s="177">
        <v>2.5000000000000001E-3</v>
      </c>
      <c r="AI134" s="100">
        <v>45666</v>
      </c>
      <c r="AJ134" s="102">
        <v>33644.777070222277</v>
      </c>
      <c r="AL134" s="23"/>
      <c r="AM134" s="23"/>
      <c r="BL134" s="299"/>
    </row>
    <row r="135" spans="17:64">
      <c r="Q135" s="168">
        <v>105</v>
      </c>
      <c r="R135" s="169">
        <v>42772</v>
      </c>
      <c r="S135" s="211">
        <v>3.5</v>
      </c>
      <c r="T135" s="170">
        <v>1.0000972222222222</v>
      </c>
      <c r="U135" s="171">
        <v>3.6121470212089113</v>
      </c>
      <c r="V135" s="172">
        <v>26534.262241377361</v>
      </c>
      <c r="W135" s="173">
        <v>-0.19987491063069296</v>
      </c>
      <c r="X135" s="415">
        <v>-0.19727739693157378</v>
      </c>
      <c r="Y135" s="416">
        <v>0.29314613787993415</v>
      </c>
      <c r="Z135" s="1"/>
      <c r="AA135" s="3">
        <v>3120</v>
      </c>
      <c r="AB135" s="11">
        <v>4.3110333295195229</v>
      </c>
      <c r="AC135" s="8">
        <v>3120</v>
      </c>
      <c r="AD135" s="108">
        <v>1.1973242064317962</v>
      </c>
      <c r="AF135" s="176">
        <v>45689</v>
      </c>
      <c r="AG135" s="177">
        <v>2.5000000000000001E-3</v>
      </c>
      <c r="AH135" s="177">
        <v>2.5000000000000001E-3</v>
      </c>
      <c r="AI135" s="100">
        <v>45697</v>
      </c>
      <c r="AJ135" s="102">
        <v>33728.889012897831</v>
      </c>
      <c r="AL135" s="23"/>
      <c r="AM135" s="23"/>
      <c r="BL135" s="299"/>
    </row>
    <row r="136" spans="17:64">
      <c r="Q136" s="168">
        <v>106</v>
      </c>
      <c r="R136" s="169">
        <v>42773</v>
      </c>
      <c r="S136" s="211">
        <v>3.5</v>
      </c>
      <c r="T136" s="170">
        <v>1.0000972222222222</v>
      </c>
      <c r="U136" s="171">
        <v>3.6121470212089335</v>
      </c>
      <c r="V136" s="172">
        <v>26536.273486409929</v>
      </c>
      <c r="W136" s="173">
        <v>-0.19062894240332584</v>
      </c>
      <c r="X136" s="415">
        <v>-0.18814488935863405</v>
      </c>
      <c r="Y136" s="416">
        <v>0.29316041205236482</v>
      </c>
      <c r="Z136" s="1"/>
      <c r="AA136" s="3">
        <v>3150</v>
      </c>
      <c r="AB136" s="11">
        <v>4.3133304813101505</v>
      </c>
      <c r="AC136" s="8">
        <v>3150</v>
      </c>
      <c r="AD136" s="108">
        <v>1.199524082334279</v>
      </c>
      <c r="AF136" s="176">
        <v>45717</v>
      </c>
      <c r="AG136" s="177">
        <v>2.5000000000000001E-3</v>
      </c>
      <c r="AH136" s="177">
        <v>2.5000000000000001E-3</v>
      </c>
      <c r="AI136" s="100">
        <v>45725</v>
      </c>
      <c r="AJ136" s="102">
        <v>33813.211235430077</v>
      </c>
      <c r="AL136" s="23"/>
      <c r="AM136" s="23"/>
      <c r="BL136" s="299"/>
    </row>
    <row r="137" spans="17:64">
      <c r="Q137" s="168">
        <v>107</v>
      </c>
      <c r="R137" s="169">
        <v>42774</v>
      </c>
      <c r="S137" s="211">
        <v>3.5</v>
      </c>
      <c r="T137" s="170">
        <v>1.0000972222222222</v>
      </c>
      <c r="U137" s="171">
        <v>3.6121470212088891</v>
      </c>
      <c r="V137" s="172">
        <v>26538.284883890927</v>
      </c>
      <c r="W137" s="173">
        <v>-0.18155496328801091</v>
      </c>
      <c r="X137" s="415">
        <v>-0.17918292854563803</v>
      </c>
      <c r="Y137" s="416">
        <v>0.2931746871507479</v>
      </c>
      <c r="Z137" s="1"/>
      <c r="AA137" s="3">
        <v>3180</v>
      </c>
      <c r="AB137" s="11">
        <v>4.3155948010793432</v>
      </c>
      <c r="AC137" s="8">
        <v>3180</v>
      </c>
      <c r="AD137" s="108">
        <v>1.2016929593144885</v>
      </c>
      <c r="AF137" s="176">
        <v>45748</v>
      </c>
      <c r="AG137" s="177">
        <v>2.5000000000000001E-3</v>
      </c>
      <c r="AH137" s="177">
        <v>2.5000000000000001E-3</v>
      </c>
      <c r="AI137" s="100">
        <v>45756</v>
      </c>
      <c r="AJ137" s="102">
        <v>33897.744263518653</v>
      </c>
      <c r="AL137" s="23"/>
      <c r="AM137" s="23"/>
      <c r="BL137" s="299"/>
    </row>
    <row r="138" spans="17:64">
      <c r="Q138" s="168">
        <v>108</v>
      </c>
      <c r="R138" s="169">
        <v>42775</v>
      </c>
      <c r="S138" s="211">
        <v>3.5</v>
      </c>
      <c r="T138" s="170">
        <v>1.0000972222222222</v>
      </c>
      <c r="U138" s="171">
        <v>3.6121470212088891</v>
      </c>
      <c r="V138" s="172">
        <v>26540.296433831911</v>
      </c>
      <c r="W138" s="173">
        <v>-0.17264821865351498</v>
      </c>
      <c r="X138" s="415">
        <v>-0.17038677707929364</v>
      </c>
      <c r="Y138" s="416">
        <v>0.29318896317515669</v>
      </c>
      <c r="Z138" s="1"/>
      <c r="AA138" s="3">
        <v>3210</v>
      </c>
      <c r="AB138" s="11">
        <v>4.3178272085659417</v>
      </c>
      <c r="AC138" s="8">
        <v>3210</v>
      </c>
      <c r="AD138" s="108">
        <v>1.2038317057796595</v>
      </c>
      <c r="AF138" s="176">
        <v>45778</v>
      </c>
      <c r="AG138" s="177">
        <v>2.5000000000000001E-3</v>
      </c>
      <c r="AH138" s="177">
        <v>2.5000000000000001E-3</v>
      </c>
      <c r="AI138" s="100">
        <v>45786</v>
      </c>
      <c r="AJ138" s="102">
        <v>33982.488624177444</v>
      </c>
      <c r="AL138" s="23"/>
      <c r="AM138" s="23"/>
      <c r="BL138" s="299"/>
    </row>
    <row r="139" spans="17:64">
      <c r="Q139" s="168">
        <v>109</v>
      </c>
      <c r="R139" s="169">
        <v>42776</v>
      </c>
      <c r="S139" s="211">
        <v>3.5</v>
      </c>
      <c r="T139" s="170">
        <v>1.0000972222222222</v>
      </c>
      <c r="U139" s="171">
        <v>3.6121470212089113</v>
      </c>
      <c r="V139" s="172">
        <v>26541.468893514033</v>
      </c>
      <c r="W139" s="173">
        <v>-0.15333272242054052</v>
      </c>
      <c r="X139" s="415">
        <v>-0.15131366478094793</v>
      </c>
      <c r="Y139" s="416">
        <v>0.29320324012566173</v>
      </c>
      <c r="Z139" s="1"/>
      <c r="AA139" s="3">
        <v>3240</v>
      </c>
      <c r="AB139" s="11">
        <v>4.3200285894731234</v>
      </c>
      <c r="AC139" s="8">
        <v>3240</v>
      </c>
      <c r="AD139" s="108">
        <v>1.2059411580002002</v>
      </c>
      <c r="AF139" s="176">
        <v>45809</v>
      </c>
      <c r="AG139" s="177">
        <v>2.5000000000000001E-3</v>
      </c>
      <c r="AH139" s="177">
        <v>2.5000000000000001E-3</v>
      </c>
      <c r="AI139" s="100">
        <v>45817</v>
      </c>
      <c r="AJ139" s="102">
        <v>34067.444845737882</v>
      </c>
      <c r="AL139" s="23"/>
      <c r="AM139" s="23"/>
      <c r="BL139" s="299"/>
    </row>
    <row r="140" spans="17:64">
      <c r="Q140" s="168">
        <v>110</v>
      </c>
      <c r="R140" s="169">
        <v>42777</v>
      </c>
      <c r="S140" s="211">
        <v>3.5</v>
      </c>
      <c r="T140" s="170">
        <v>1.0000972222222222</v>
      </c>
      <c r="U140" s="171">
        <v>3.6121470212089335</v>
      </c>
      <c r="V140" s="172">
        <v>26542.641404991413</v>
      </c>
      <c r="W140" s="173">
        <v>-0.13436478100551374</v>
      </c>
      <c r="X140" s="415">
        <v>-0.1325864160015324</v>
      </c>
      <c r="Y140" s="416">
        <v>0.29321751800232504</v>
      </c>
      <c r="Z140" s="1"/>
      <c r="AA140" s="3">
        <v>3270</v>
      </c>
      <c r="AB140" s="11">
        <v>4.3221997970283539</v>
      </c>
      <c r="AC140" s="8">
        <v>3270</v>
      </c>
      <c r="AD140" s="108">
        <v>1.2080221215826481</v>
      </c>
      <c r="AF140" s="176">
        <v>45839</v>
      </c>
      <c r="AG140" s="177">
        <v>2.5000000000000001E-3</v>
      </c>
      <c r="AH140" s="177">
        <v>2.5000000000000001E-3</v>
      </c>
      <c r="AI140" s="100">
        <v>45847</v>
      </c>
      <c r="AJ140" s="102">
        <v>34152.613457852225</v>
      </c>
      <c r="AL140" s="23"/>
      <c r="AM140" s="23"/>
      <c r="BL140" s="299"/>
    </row>
    <row r="141" spans="17:64">
      <c r="Q141" s="168">
        <v>111</v>
      </c>
      <c r="R141" s="169">
        <v>42778</v>
      </c>
      <c r="S141" s="211">
        <v>3.5</v>
      </c>
      <c r="T141" s="170">
        <v>1.0000972222222222</v>
      </c>
      <c r="U141" s="171">
        <v>3.6121470212089335</v>
      </c>
      <c r="V141" s="172">
        <v>26543.813968266357</v>
      </c>
      <c r="W141" s="173">
        <v>-0.11573509775471003</v>
      </c>
      <c r="X141" s="415">
        <v>-0.1141956830303036</v>
      </c>
      <c r="Y141" s="416">
        <v>0.29323179680521233</v>
      </c>
      <c r="Z141" s="1"/>
      <c r="AA141" s="3">
        <v>3300</v>
      </c>
      <c r="AB141" s="11">
        <v>4.3243416534585881</v>
      </c>
      <c r="AC141" s="8">
        <v>3300</v>
      </c>
      <c r="AD141" s="108">
        <v>1.2100753728625766</v>
      </c>
      <c r="AF141" s="176">
        <v>45870</v>
      </c>
      <c r="AG141" s="177">
        <v>2.5000000000000001E-3</v>
      </c>
      <c r="AH141" s="177">
        <v>2.5000000000000001E-3</v>
      </c>
      <c r="AI141" s="100">
        <v>45878</v>
      </c>
      <c r="AJ141" s="102">
        <v>34237.994991496853</v>
      </c>
      <c r="AL141" s="23"/>
      <c r="AM141" s="23"/>
      <c r="BL141" s="299"/>
    </row>
    <row r="142" spans="17:64">
      <c r="Q142" s="168">
        <v>112</v>
      </c>
      <c r="R142" s="169">
        <v>42779</v>
      </c>
      <c r="S142" s="211">
        <v>3.5</v>
      </c>
      <c r="T142" s="170">
        <v>1.0000972222222222</v>
      </c>
      <c r="U142" s="171">
        <v>3.6121470212088891</v>
      </c>
      <c r="V142" s="172">
        <v>26544.986583341139</v>
      </c>
      <c r="W142" s="173">
        <v>-9.7434704637100467E-2</v>
      </c>
      <c r="X142" s="415">
        <v>-9.6132452002830771E-2</v>
      </c>
      <c r="Y142" s="416">
        <v>0.29324607653439289</v>
      </c>
      <c r="Z142" s="1"/>
      <c r="AA142" s="3">
        <v>3330</v>
      </c>
      <c r="AB142" s="11">
        <v>4.3264549513851494</v>
      </c>
      <c r="AC142" s="8">
        <v>3330</v>
      </c>
      <c r="AD142" s="108">
        <v>1.2121016602217642</v>
      </c>
      <c r="AF142" s="176">
        <v>45901</v>
      </c>
      <c r="AG142" s="177">
        <v>2.5000000000000001E-3</v>
      </c>
      <c r="AH142" s="177">
        <v>2.5000000000000001E-3</v>
      </c>
      <c r="AI142" s="100">
        <v>45909</v>
      </c>
      <c r="AJ142" s="102">
        <v>34323.589978975593</v>
      </c>
      <c r="AL142" s="23"/>
      <c r="AM142" s="23"/>
      <c r="BL142" s="299"/>
    </row>
    <row r="143" spans="17:64">
      <c r="Q143" s="168">
        <v>113</v>
      </c>
      <c r="R143" s="169">
        <v>42780</v>
      </c>
      <c r="S143" s="211">
        <v>3.5</v>
      </c>
      <c r="T143" s="170">
        <v>1.0000972222222222</v>
      </c>
      <c r="U143" s="171">
        <v>3.6121470212089113</v>
      </c>
      <c r="V143" s="172">
        <v>26546.15925021805</v>
      </c>
      <c r="W143" s="173">
        <v>-7.9454947852186653E-2</v>
      </c>
      <c r="X143" s="415">
        <v>-7.8388028129636314E-2</v>
      </c>
      <c r="Y143" s="416">
        <v>0.29326035718993959</v>
      </c>
      <c r="Z143" s="1"/>
      <c r="AA143" s="3">
        <v>3360</v>
      </c>
      <c r="AB143" s="11">
        <v>4.3285404551446538</v>
      </c>
      <c r="AC143" s="8">
        <v>3360</v>
      </c>
      <c r="AD143" s="108">
        <v>1.2141017053353311</v>
      </c>
      <c r="AF143" s="176">
        <v>45931</v>
      </c>
      <c r="AG143" s="177">
        <v>2.5000000000000001E-3</v>
      </c>
      <c r="AH143" s="177">
        <v>2.5000000000000001E-3</v>
      </c>
      <c r="AI143" s="100">
        <v>45939</v>
      </c>
      <c r="AJ143" s="102">
        <v>34409.398953923032</v>
      </c>
      <c r="AL143" s="23"/>
      <c r="AM143" s="23"/>
      <c r="BL143" s="299"/>
    </row>
    <row r="144" spans="17:64">
      <c r="Q144" s="168">
        <v>114</v>
      </c>
      <c r="R144" s="169">
        <v>42781</v>
      </c>
      <c r="S144" s="211">
        <v>3.5</v>
      </c>
      <c r="T144" s="170">
        <v>1.0000972222222222</v>
      </c>
      <c r="U144" s="171">
        <v>3.6121470212089335</v>
      </c>
      <c r="V144" s="172">
        <v>26547.331968899383</v>
      </c>
      <c r="W144" s="173">
        <v>-6.1787474187335878E-2</v>
      </c>
      <c r="X144" s="415">
        <v>-6.0954021701855716E-2</v>
      </c>
      <c r="Y144" s="416">
        <v>0.29327463877191673</v>
      </c>
      <c r="Z144" s="1"/>
      <c r="AA144" s="3">
        <v>3390</v>
      </c>
      <c r="AB144" s="11">
        <v>4.3305989020393207</v>
      </c>
      <c r="AC144" s="8">
        <v>3390</v>
      </c>
      <c r="AD144" s="108">
        <v>1.2160762043523929</v>
      </c>
      <c r="AF144" s="176">
        <v>45962</v>
      </c>
      <c r="AG144" s="177">
        <v>2.5000000000000001E-3</v>
      </c>
      <c r="AH144" s="177">
        <v>2.5000000000000001E-3</v>
      </c>
      <c r="AI144" s="100">
        <v>45970</v>
      </c>
      <c r="AJ144" s="102">
        <v>34495.422451307837</v>
      </c>
      <c r="AL144" s="23"/>
      <c r="AM144" s="23"/>
      <c r="BL144" s="299"/>
    </row>
    <row r="145" spans="17:64">
      <c r="Q145" s="168">
        <v>115</v>
      </c>
      <c r="R145" s="169">
        <v>42782</v>
      </c>
      <c r="S145" s="211">
        <v>3.5</v>
      </c>
      <c r="T145" s="170">
        <v>1.0000972222222222</v>
      </c>
      <c r="U145" s="171">
        <v>3.6121470212089557</v>
      </c>
      <c r="V145" s="172">
        <v>26548.504739387419</v>
      </c>
      <c r="W145" s="173">
        <v>-4.4424218078775723E-2</v>
      </c>
      <c r="X145" s="415">
        <v>-4.3822334826167882E-2</v>
      </c>
      <c r="Y145" s="416">
        <v>0.2932889212803923</v>
      </c>
      <c r="Z145" s="1"/>
      <c r="AA145" s="3">
        <v>3420</v>
      </c>
      <c r="AB145" s="11">
        <v>4.3326310035218691</v>
      </c>
      <c r="AC145" s="8">
        <v>3420</v>
      </c>
      <c r="AD145" s="108">
        <v>1.2180258290148345</v>
      </c>
      <c r="AF145" s="176">
        <v>45992</v>
      </c>
      <c r="AG145" s="177">
        <v>2.5000000000000001E-3</v>
      </c>
      <c r="AH145" s="177">
        <v>2.5000000000000001E-3</v>
      </c>
      <c r="AI145" s="100">
        <v>46000</v>
      </c>
      <c r="AJ145" s="102">
        <v>34581.661007436101</v>
      </c>
      <c r="AL145" s="23"/>
      <c r="AM145" s="23"/>
      <c r="BL145" s="299"/>
    </row>
    <row r="146" spans="17:64">
      <c r="Q146" s="168">
        <v>116</v>
      </c>
      <c r="R146" s="169">
        <v>42783</v>
      </c>
      <c r="S146" s="211">
        <v>3.5</v>
      </c>
      <c r="T146" s="170">
        <v>1.0000972222222222</v>
      </c>
      <c r="U146" s="171">
        <v>3.6121470212090001</v>
      </c>
      <c r="V146" s="172">
        <v>26549.677561684453</v>
      </c>
      <c r="W146" s="173">
        <v>-2.7357389336712945E-2</v>
      </c>
      <c r="X146" s="415">
        <v>-2.6985148847297E-2</v>
      </c>
      <c r="Y146" s="416">
        <v>0.29330320471543192</v>
      </c>
      <c r="Z146" s="1"/>
      <c r="AA146" s="3">
        <v>3450</v>
      </c>
      <c r="AB146" s="11">
        <v>4.3346374463185526</v>
      </c>
      <c r="AC146" s="8">
        <v>3450</v>
      </c>
      <c r="AD146" s="108">
        <v>1.2199512277177931</v>
      </c>
      <c r="AF146" s="176">
        <v>46023</v>
      </c>
      <c r="AG146" s="177">
        <v>2.5000000000000001E-3</v>
      </c>
      <c r="AH146" s="177">
        <v>2.5000000000000001E-3</v>
      </c>
      <c r="AI146" s="100">
        <v>46031</v>
      </c>
      <c r="AJ146" s="102">
        <v>34668.115159954687</v>
      </c>
      <c r="AL146" s="23"/>
      <c r="AM146" s="23"/>
      <c r="BL146" s="299"/>
    </row>
    <row r="147" spans="17:64">
      <c r="Q147" s="168">
        <v>117</v>
      </c>
      <c r="R147" s="169">
        <v>42784</v>
      </c>
      <c r="S147" s="211">
        <v>3.5</v>
      </c>
      <c r="T147" s="170">
        <v>1.0000972222222222</v>
      </c>
      <c r="U147" s="171">
        <v>3.6121470212090223</v>
      </c>
      <c r="V147" s="172">
        <v>26550.85043579277</v>
      </c>
      <c r="W147" s="173">
        <v>-1.0579461492443709E-2</v>
      </c>
      <c r="X147" s="415">
        <v>-1.0434912414250328E-2</v>
      </c>
      <c r="Y147" s="416">
        <v>0.29331748907710453</v>
      </c>
      <c r="Z147" s="1"/>
      <c r="AA147" s="3">
        <v>3480</v>
      </c>
      <c r="AB147" s="11">
        <v>4.3366188934939522</v>
      </c>
      <c r="AC147" s="8">
        <v>3480</v>
      </c>
      <c r="AD147" s="108">
        <v>1.2218530265148775</v>
      </c>
      <c r="AF147" s="176">
        <v>46054</v>
      </c>
      <c r="AG147" s="177">
        <v>2.5000000000000001E-3</v>
      </c>
      <c r="AH147" s="177">
        <v>2.5000000000000001E-3</v>
      </c>
      <c r="AI147" s="100">
        <v>46062</v>
      </c>
      <c r="AJ147" s="102">
        <v>34754.785447854571</v>
      </c>
      <c r="AL147" s="23"/>
      <c r="AM147" s="23"/>
      <c r="BL147" s="299"/>
    </row>
    <row r="148" spans="17:64">
      <c r="Q148" s="168">
        <v>118</v>
      </c>
      <c r="R148" s="169">
        <v>42785</v>
      </c>
      <c r="S148" s="211">
        <v>3.5</v>
      </c>
      <c r="T148" s="170">
        <v>1.0000972222222222</v>
      </c>
      <c r="U148" s="171">
        <v>3.6121470212090445</v>
      </c>
      <c r="V148" s="172">
        <v>26552.023361714666</v>
      </c>
      <c r="W148" s="173">
        <v>5.9168392670949643E-3</v>
      </c>
      <c r="X148" s="415">
        <v>5.8356698458635085E-3</v>
      </c>
      <c r="Y148" s="416">
        <v>0.29333177436547686</v>
      </c>
      <c r="Z148" s="1"/>
      <c r="AA148" s="3">
        <v>3510</v>
      </c>
      <c r="AB148" s="11">
        <v>4.3385759854614792</v>
      </c>
      <c r="AC148" s="8">
        <v>3510</v>
      </c>
      <c r="AD148" s="108">
        <v>1.2237318300725384</v>
      </c>
      <c r="AF148" s="176">
        <v>46082</v>
      </c>
      <c r="AG148" s="177">
        <v>2.5000000000000001E-3</v>
      </c>
      <c r="AH148" s="177">
        <v>2.5000000000000001E-3</v>
      </c>
      <c r="AI148" s="100">
        <v>46090</v>
      </c>
      <c r="AJ148" s="102">
        <v>34841.672411474203</v>
      </c>
      <c r="AL148" s="23"/>
      <c r="AM148" s="23"/>
      <c r="BL148" s="299"/>
    </row>
    <row r="149" spans="17:64">
      <c r="Q149" s="168">
        <v>119</v>
      </c>
      <c r="R149" s="169">
        <v>42786</v>
      </c>
      <c r="S149" s="211">
        <v>3.5</v>
      </c>
      <c r="T149" s="170">
        <v>1.0000972222222222</v>
      </c>
      <c r="U149" s="171">
        <v>3.6121470212090223</v>
      </c>
      <c r="V149" s="172">
        <v>26553.196339452421</v>
      </c>
      <c r="W149" s="173">
        <v>2.2138544612593236E-2</v>
      </c>
      <c r="X149" s="415">
        <v>2.1833648083384859E-2</v>
      </c>
      <c r="Y149" s="416">
        <v>0.29334606058061347</v>
      </c>
      <c r="Z149" s="1"/>
      <c r="AA149" s="3">
        <v>3540</v>
      </c>
      <c r="AB149" s="11">
        <v>4.3405093409424742</v>
      </c>
      <c r="AC149" s="8">
        <v>3540</v>
      </c>
      <c r="AD149" s="108">
        <v>1.2255882225754537</v>
      </c>
      <c r="AF149" s="176">
        <v>46113</v>
      </c>
      <c r="AG149" s="177">
        <v>2.5000000000000001E-3</v>
      </c>
      <c r="AH149" s="177">
        <v>2.5000000000000001E-3</v>
      </c>
      <c r="AI149" s="100">
        <v>46121</v>
      </c>
      <c r="AJ149" s="102">
        <v>34928.776592502887</v>
      </c>
      <c r="AL149" s="23"/>
      <c r="AM149" s="23"/>
      <c r="BL149" s="299"/>
    </row>
    <row r="150" spans="17:64">
      <c r="Q150" s="168">
        <v>120</v>
      </c>
      <c r="R150" s="169">
        <v>42787</v>
      </c>
      <c r="S150" s="211">
        <v>3.5</v>
      </c>
      <c r="T150" s="170">
        <v>1.0000972222222222</v>
      </c>
      <c r="U150" s="171">
        <v>3.6121470212090445</v>
      </c>
      <c r="V150" s="172">
        <v>26554.369369008327</v>
      </c>
      <c r="W150" s="173">
        <v>3.8092454065097314E-2</v>
      </c>
      <c r="X150" s="415">
        <v>3.7565837443809258E-2</v>
      </c>
      <c r="Y150" s="416">
        <v>0.29336034772258768</v>
      </c>
      <c r="Z150" s="1"/>
      <c r="AA150" s="3">
        <v>3570</v>
      </c>
      <c r="AB150" s="11">
        <v>4.3424195578767453</v>
      </c>
      <c r="AC150" s="8">
        <v>3570</v>
      </c>
      <c r="AD150" s="108">
        <v>1.2274227685864427</v>
      </c>
      <c r="AF150" s="176">
        <v>46143</v>
      </c>
      <c r="AG150" s="177">
        <v>2.5000000000000001E-3</v>
      </c>
      <c r="AH150" s="177">
        <v>2.5000000000000001E-3</v>
      </c>
      <c r="AI150" s="100">
        <v>46151</v>
      </c>
      <c r="AJ150" s="102">
        <v>35016.098533984143</v>
      </c>
      <c r="AL150" s="23"/>
      <c r="AM150" s="23"/>
      <c r="BL150" s="299"/>
    </row>
    <row r="151" spans="17:64">
      <c r="Q151" s="168">
        <v>121</v>
      </c>
      <c r="R151" s="169">
        <v>42788</v>
      </c>
      <c r="S151" s="211">
        <v>3.5</v>
      </c>
      <c r="T151" s="170">
        <v>1.0000972222222222</v>
      </c>
      <c r="U151" s="171">
        <v>3.6121470212090445</v>
      </c>
      <c r="V151" s="172">
        <v>26555.542450384677</v>
      </c>
      <c r="W151" s="173">
        <v>5.3785144497275894E-2</v>
      </c>
      <c r="X151" s="415">
        <v>5.3038827778268995E-2</v>
      </c>
      <c r="Y151" s="416">
        <v>0.293374635791465</v>
      </c>
      <c r="Z151" s="1"/>
      <c r="AA151" s="3">
        <v>3600</v>
      </c>
      <c r="AB151" s="11">
        <v>4.3443072142881674</v>
      </c>
      <c r="AC151" s="8">
        <v>3600</v>
      </c>
      <c r="AD151" s="108">
        <v>1.2292360138636993</v>
      </c>
      <c r="AF151" s="176">
        <v>46174</v>
      </c>
      <c r="AG151" s="177">
        <v>2.5000000000000001E-3</v>
      </c>
      <c r="AH151" s="177">
        <v>2.5000000000000001E-3</v>
      </c>
      <c r="AI151" s="100">
        <v>46182</v>
      </c>
      <c r="AJ151" s="102">
        <v>35103.638780319103</v>
      </c>
      <c r="AL151" s="23"/>
      <c r="AM151" s="23"/>
      <c r="BL151" s="299"/>
    </row>
    <row r="152" spans="17:64">
      <c r="Q152" s="168">
        <v>122</v>
      </c>
      <c r="R152" s="169">
        <v>42789</v>
      </c>
      <c r="S152" s="211">
        <v>3.5</v>
      </c>
      <c r="T152" s="170">
        <v>1.0000972222222222</v>
      </c>
      <c r="U152" s="171">
        <v>3.6121470212090667</v>
      </c>
      <c r="V152" s="172">
        <v>26556.715583583751</v>
      </c>
      <c r="W152" s="173">
        <v>6.9222979172822718E-2</v>
      </c>
      <c r="X152" s="415">
        <v>6.8258992877465577E-2</v>
      </c>
      <c r="Y152" s="416">
        <v>0.29338892478731421</v>
      </c>
      <c r="Z152" s="1"/>
      <c r="AA152" s="3">
        <v>3960</v>
      </c>
      <c r="AB152" s="11">
        <v>4.365385878442674</v>
      </c>
      <c r="AC152" s="8">
        <v>3960</v>
      </c>
      <c r="AD152" s="108">
        <v>1.2495095965370357</v>
      </c>
      <c r="AF152" s="176">
        <v>46204</v>
      </c>
      <c r="AG152" s="177">
        <v>2.5000000000000001E-3</v>
      </c>
      <c r="AH152" s="177">
        <v>2.5000000000000001E-3</v>
      </c>
      <c r="AI152" s="100">
        <v>46212</v>
      </c>
      <c r="AJ152" s="102">
        <v>35191.397877269897</v>
      </c>
      <c r="AL152" s="23"/>
      <c r="AM152" s="23"/>
      <c r="BL152" s="299"/>
    </row>
    <row r="153" spans="17:64">
      <c r="Q153" s="168">
        <v>123</v>
      </c>
      <c r="R153" s="169">
        <v>42790</v>
      </c>
      <c r="S153" s="211">
        <v>3.5</v>
      </c>
      <c r="T153" s="170">
        <v>1.0000972222222222</v>
      </c>
      <c r="U153" s="171">
        <v>3.6121470212090889</v>
      </c>
      <c r="V153" s="172">
        <v>26557.888768607852</v>
      </c>
      <c r="W153" s="173">
        <v>8.4412116348242527E-2</v>
      </c>
      <c r="X153" s="415">
        <v>8.3232499254094192E-2</v>
      </c>
      <c r="Y153" s="416">
        <v>0.29340321471020187</v>
      </c>
      <c r="Z153" s="1"/>
      <c r="AA153" s="3">
        <v>4320</v>
      </c>
      <c r="AB153" s="11">
        <v>4.3840640650446696</v>
      </c>
      <c r="AC153" s="8">
        <v>4320</v>
      </c>
      <c r="AD153" s="108">
        <v>1.2675167583989913</v>
      </c>
      <c r="AF153" s="176">
        <v>46235</v>
      </c>
      <c r="AG153" s="177">
        <v>2.5000000000000001E-3</v>
      </c>
      <c r="AH153" s="177">
        <v>2.5000000000000001E-3</v>
      </c>
      <c r="AI153" s="100">
        <v>46243</v>
      </c>
      <c r="AJ153" s="102">
        <v>35279.376371963073</v>
      </c>
      <c r="AL153" s="23"/>
      <c r="AM153" s="23"/>
      <c r="BL153" s="299"/>
    </row>
    <row r="154" spans="17:64">
      <c r="Q154" s="6">
        <v>124</v>
      </c>
      <c r="R154" s="7">
        <v>42791</v>
      </c>
      <c r="S154" s="210">
        <v>3.5</v>
      </c>
      <c r="T154" s="8">
        <v>1.0000972222222222</v>
      </c>
      <c r="U154" s="98">
        <v>3.6121470212090889</v>
      </c>
      <c r="V154" s="106">
        <v>26559.062005459255</v>
      </c>
      <c r="W154" s="10">
        <v>9.9358517462944107E-2</v>
      </c>
      <c r="X154" s="413">
        <v>9.7965314501343465E-2</v>
      </c>
      <c r="Y154" s="414">
        <v>0.29341750556019242</v>
      </c>
      <c r="Z154" s="1"/>
      <c r="AA154" s="3">
        <v>4680</v>
      </c>
      <c r="AB154" s="11">
        <v>4.4008954063598749</v>
      </c>
      <c r="AC154" s="8">
        <v>4680</v>
      </c>
      <c r="AD154" s="108">
        <v>1.2837802218397831</v>
      </c>
      <c r="AF154" s="176">
        <v>46266</v>
      </c>
      <c r="AG154" s="177">
        <v>2.5000000000000001E-3</v>
      </c>
      <c r="AH154" s="177">
        <v>2.5000000000000001E-3</v>
      </c>
      <c r="AI154" s="100">
        <v>46274</v>
      </c>
      <c r="AJ154" s="102">
        <v>35367.574812892977</v>
      </c>
      <c r="AL154" s="23"/>
      <c r="AM154" s="23"/>
      <c r="BL154" s="299"/>
    </row>
    <row r="155" spans="17:64">
      <c r="Q155" s="6">
        <v>125</v>
      </c>
      <c r="R155" s="7">
        <v>42792</v>
      </c>
      <c r="S155" s="210">
        <v>3.5</v>
      </c>
      <c r="T155" s="8">
        <v>1.0000972222222222</v>
      </c>
      <c r="U155" s="98">
        <v>3.6121470212091111</v>
      </c>
      <c r="V155" s="106">
        <v>26560.235294140264</v>
      </c>
      <c r="W155" s="10">
        <v>0.11406795493908994</v>
      </c>
      <c r="X155" s="413">
        <v>0.1124632152492282</v>
      </c>
      <c r="Y155" s="414">
        <v>0.2934317973373588</v>
      </c>
      <c r="Z155" s="1"/>
      <c r="AA155" s="3">
        <v>5040</v>
      </c>
      <c r="AB155" s="11">
        <v>4.4162754399586976</v>
      </c>
      <c r="AC155" s="8">
        <v>5040</v>
      </c>
      <c r="AD155" s="108">
        <v>1.2986734389742656</v>
      </c>
      <c r="AF155" s="176">
        <v>46296</v>
      </c>
      <c r="AG155" s="177">
        <v>2.5000000000000001E-3</v>
      </c>
      <c r="AH155" s="177">
        <v>2.5000000000000001E-3</v>
      </c>
      <c r="AI155" s="100">
        <v>46304</v>
      </c>
      <c r="AJ155" s="102">
        <v>35455.993749925205</v>
      </c>
      <c r="AL155" s="23"/>
      <c r="AM155" s="23"/>
      <c r="BL155" s="299"/>
    </row>
    <row r="156" spans="17:64" ht="15.75" thickBot="1">
      <c r="Q156" s="6">
        <v>126</v>
      </c>
      <c r="R156" s="7">
        <v>42793</v>
      </c>
      <c r="S156" s="210">
        <v>3.5</v>
      </c>
      <c r="T156" s="8">
        <v>1.0000972222222222</v>
      </c>
      <c r="U156" s="98">
        <v>3.6121470212091333</v>
      </c>
      <c r="V156" s="106">
        <v>26561.408634653159</v>
      </c>
      <c r="W156" s="10">
        <v>0.12854601961425072</v>
      </c>
      <c r="X156" s="413">
        <v>0.12673179474281021</v>
      </c>
      <c r="Y156" s="414">
        <v>0.29344609004176647</v>
      </c>
      <c r="Z156" s="1"/>
      <c r="AA156" s="4">
        <v>5400</v>
      </c>
      <c r="AB156" s="12">
        <v>4.430494280217637</v>
      </c>
      <c r="AC156" s="417">
        <v>5400</v>
      </c>
      <c r="AD156" s="109">
        <v>1.3124703238384474</v>
      </c>
      <c r="AF156" s="176">
        <v>46327</v>
      </c>
      <c r="AG156" s="177">
        <v>2.5000000000000001E-3</v>
      </c>
      <c r="AH156" s="177">
        <v>2.5000000000000001E-3</v>
      </c>
      <c r="AI156" s="100">
        <v>46335</v>
      </c>
      <c r="AJ156" s="102">
        <v>35544.633734300012</v>
      </c>
      <c r="AL156" s="23"/>
      <c r="AM156" s="23"/>
      <c r="BL156" s="299"/>
    </row>
    <row r="157" spans="17:64">
      <c r="Q157" s="6">
        <v>127</v>
      </c>
      <c r="R157" s="7">
        <v>42794</v>
      </c>
      <c r="S157" s="210">
        <v>3.5</v>
      </c>
      <c r="T157" s="8">
        <v>1.0000972222222222</v>
      </c>
      <c r="U157" s="98">
        <v>3.6121470212091555</v>
      </c>
      <c r="V157" s="106">
        <v>26562.582027000226</v>
      </c>
      <c r="W157" s="10">
        <v>0.14279812782551637</v>
      </c>
      <c r="X157" s="413">
        <v>0.14077647006195257</v>
      </c>
      <c r="Y157" s="414">
        <v>0.29346038367348404</v>
      </c>
      <c r="Z157" s="1"/>
      <c r="AA157" s="1"/>
      <c r="AB157" s="1"/>
      <c r="AC157" s="1"/>
      <c r="AD157" s="1"/>
      <c r="AF157" s="176">
        <v>46357</v>
      </c>
      <c r="AG157" s="177">
        <v>2.5000000000000001E-3</v>
      </c>
      <c r="AH157" s="177">
        <v>2.5000000000000001E-3</v>
      </c>
      <c r="AI157" s="100">
        <v>46365</v>
      </c>
      <c r="AJ157" s="102">
        <v>35633.49531863576</v>
      </c>
      <c r="AL157" s="23"/>
      <c r="AM157" s="23"/>
      <c r="BL157" s="299"/>
    </row>
    <row r="158" spans="17:64">
      <c r="Q158" s="6">
        <v>128</v>
      </c>
      <c r="R158" s="7">
        <v>42795</v>
      </c>
      <c r="S158" s="210">
        <v>3.5</v>
      </c>
      <c r="T158" s="8">
        <v>1.0000972222222222</v>
      </c>
      <c r="U158" s="98">
        <v>3.6121470212091777</v>
      </c>
      <c r="V158" s="106">
        <v>26563.755471183766</v>
      </c>
      <c r="W158" s="10">
        <v>0.15682952816455931</v>
      </c>
      <c r="X158" s="413">
        <v>0.15460248900264761</v>
      </c>
      <c r="Y158" s="414">
        <v>0.29347467823257789</v>
      </c>
      <c r="Z158" s="1"/>
      <c r="AA158" s="1"/>
      <c r="AB158" s="1"/>
      <c r="AC158" s="1"/>
      <c r="AD158" s="1"/>
      <c r="AF158" s="176">
        <v>46388</v>
      </c>
      <c r="AG158" s="177">
        <v>2.5000000000000001E-3</v>
      </c>
      <c r="AH158" s="177">
        <v>2.5000000000000001E-3</v>
      </c>
      <c r="AI158" s="100">
        <v>46396</v>
      </c>
      <c r="AJ158" s="102">
        <v>35722.579056932351</v>
      </c>
      <c r="AL158" s="23"/>
      <c r="AM158" s="23"/>
      <c r="BL158" s="299"/>
    </row>
    <row r="159" spans="17:64">
      <c r="Q159" s="6">
        <v>129</v>
      </c>
      <c r="R159" s="7">
        <v>42796</v>
      </c>
      <c r="S159" s="210">
        <v>3.5</v>
      </c>
      <c r="T159" s="8">
        <v>1.0000972222222222</v>
      </c>
      <c r="U159" s="98">
        <v>3.6121470212091777</v>
      </c>
      <c r="V159" s="106">
        <v>26564.928967206062</v>
      </c>
      <c r="W159" s="10">
        <v>0.17064530792161303</v>
      </c>
      <c r="X159" s="413">
        <v>0.16821493663859341</v>
      </c>
      <c r="Y159" s="414">
        <v>0.29348897371911242</v>
      </c>
      <c r="Z159" s="1"/>
      <c r="AA159" s="1"/>
      <c r="AB159" s="1"/>
      <c r="AC159" s="1"/>
      <c r="AD159" s="1"/>
      <c r="AF159" s="176">
        <v>46419</v>
      </c>
      <c r="AG159" s="177">
        <v>2.5000000000000001E-3</v>
      </c>
      <c r="AH159" s="177">
        <v>2.5000000000000001E-3</v>
      </c>
      <c r="AI159" s="100">
        <v>46427</v>
      </c>
      <c r="AJ159" s="102">
        <v>35811.885504574682</v>
      </c>
      <c r="AL159" s="23"/>
      <c r="AM159" s="23"/>
      <c r="BL159" s="299"/>
    </row>
    <row r="160" spans="17:64">
      <c r="Q160" s="6">
        <v>130</v>
      </c>
      <c r="R160" s="7">
        <v>42797</v>
      </c>
      <c r="S160" s="210">
        <v>3.5</v>
      </c>
      <c r="T160" s="8">
        <v>1.0000972222222222</v>
      </c>
      <c r="U160" s="98">
        <v>3.6121470212091777</v>
      </c>
      <c r="V160" s="106">
        <v>26566.102515069404</v>
      </c>
      <c r="W160" s="10">
        <v>0.18425039923481989</v>
      </c>
      <c r="X160" s="413">
        <v>0.18161874157986638</v>
      </c>
      <c r="Y160" s="414">
        <v>0.29350327013316035</v>
      </c>
      <c r="Z160" s="1"/>
      <c r="AA160" s="1"/>
      <c r="AB160" s="1"/>
      <c r="AC160" s="1"/>
      <c r="AD160" s="1"/>
      <c r="AF160" s="176">
        <v>46447</v>
      </c>
      <c r="AG160" s="177">
        <v>2.5000000000000001E-3</v>
      </c>
      <c r="AH160" s="177">
        <v>2.5000000000000001E-3</v>
      </c>
      <c r="AI160" s="100">
        <v>46455</v>
      </c>
      <c r="AJ160" s="102">
        <v>35901.415218336115</v>
      </c>
      <c r="AL160" s="23"/>
      <c r="AM160" s="23"/>
      <c r="BL160" s="299"/>
    </row>
    <row r="161" spans="17:64">
      <c r="Q161" s="6">
        <v>131</v>
      </c>
      <c r="R161" s="7">
        <v>42798</v>
      </c>
      <c r="S161" s="210">
        <v>3.5</v>
      </c>
      <c r="T161" s="8">
        <v>1.0000972222222222</v>
      </c>
      <c r="U161" s="98">
        <v>3.6121470212091777</v>
      </c>
      <c r="V161" s="106">
        <v>26567.276114776087</v>
      </c>
      <c r="W161" s="10">
        <v>0.19764958495938068</v>
      </c>
      <c r="X161" s="413">
        <v>0.19481868194432705</v>
      </c>
      <c r="Y161" s="414">
        <v>0.29351756747478697</v>
      </c>
      <c r="Z161" s="1"/>
      <c r="AA161" s="1"/>
      <c r="AB161" s="1"/>
      <c r="AC161" s="1"/>
      <c r="AD161" s="1"/>
      <c r="AF161" s="176">
        <v>46478</v>
      </c>
      <c r="AG161" s="177">
        <v>2.5000000000000001E-3</v>
      </c>
      <c r="AH161" s="177">
        <v>2.5000000000000001E-3</v>
      </c>
      <c r="AI161" s="100">
        <v>46486</v>
      </c>
      <c r="AJ161" s="102">
        <v>35991.168756381951</v>
      </c>
      <c r="AL161" s="23"/>
      <c r="AM161" s="23"/>
      <c r="BL161" s="299"/>
    </row>
    <row r="162" spans="17:64">
      <c r="Q162" s="6">
        <v>132</v>
      </c>
      <c r="R162" s="7">
        <v>42799</v>
      </c>
      <c r="S162" s="210">
        <v>3.5</v>
      </c>
      <c r="T162" s="8">
        <v>1.0000972222222222</v>
      </c>
      <c r="U162" s="98">
        <v>3.6121470212091555</v>
      </c>
      <c r="V162" s="106">
        <v>26568.449766328398</v>
      </c>
      <c r="W162" s="10">
        <v>0.21084750427369237</v>
      </c>
      <c r="X162" s="413">
        <v>0.20781939105856737</v>
      </c>
      <c r="Y162" s="414">
        <v>0.2935318657440607</v>
      </c>
      <c r="Z162" s="1"/>
      <c r="AA162" s="1"/>
      <c r="AB162" s="1"/>
      <c r="AC162" s="1"/>
      <c r="AD162" s="1"/>
      <c r="AF162" s="176">
        <v>46508</v>
      </c>
      <c r="AG162" s="177">
        <v>2.5000000000000001E-3</v>
      </c>
      <c r="AH162" s="177">
        <v>2.5000000000000001E-3</v>
      </c>
      <c r="AI162" s="100">
        <v>46516</v>
      </c>
      <c r="AJ162" s="102">
        <v>36081.146678272904</v>
      </c>
      <c r="AL162" s="23"/>
      <c r="AM162" s="23"/>
      <c r="BL162" s="299"/>
    </row>
    <row r="163" spans="17:64">
      <c r="Q163" s="6">
        <v>133</v>
      </c>
      <c r="R163" s="7">
        <v>42800</v>
      </c>
      <c r="S163" s="210">
        <v>3.5</v>
      </c>
      <c r="T163" s="8">
        <v>1.0000972222222222</v>
      </c>
      <c r="U163" s="98">
        <v>3.6121470212091333</v>
      </c>
      <c r="V163" s="106">
        <v>26569.62346972862</v>
      </c>
      <c r="W163" s="10">
        <v>0.223848658033865</v>
      </c>
      <c r="X163" s="413">
        <v>0.22062536290113122</v>
      </c>
      <c r="Y163" s="414">
        <v>0.29354616494104785</v>
      </c>
      <c r="Z163" s="1"/>
      <c r="AA163" s="1"/>
      <c r="AB163" s="1"/>
      <c r="AC163" s="1"/>
      <c r="AD163" s="1"/>
      <c r="AF163" s="176">
        <v>46539</v>
      </c>
      <c r="AG163" s="177">
        <v>2.5000000000000001E-3</v>
      </c>
      <c r="AH163" s="177">
        <v>2.5000000000000001E-3</v>
      </c>
      <c r="AI163" s="100">
        <v>46547</v>
      </c>
      <c r="AJ163" s="102">
        <v>36171.349544968587</v>
      </c>
      <c r="AL163" s="23"/>
      <c r="AM163" s="23"/>
      <c r="BL163" s="299"/>
    </row>
    <row r="164" spans="17:64">
      <c r="Q164" s="6">
        <v>134</v>
      </c>
      <c r="R164" s="7">
        <v>42801</v>
      </c>
      <c r="S164" s="210">
        <v>3.5</v>
      </c>
      <c r="T164" s="8">
        <v>1.0000972222222222</v>
      </c>
      <c r="U164" s="98">
        <v>3.6121470212091111</v>
      </c>
      <c r="V164" s="106">
        <v>26570.797224979058</v>
      </c>
      <c r="W164" s="10">
        <v>0.2366574138903843</v>
      </c>
      <c r="X164" s="413">
        <v>0.23324095730165112</v>
      </c>
      <c r="Y164" s="414">
        <v>0.29356046506581784</v>
      </c>
      <c r="Z164" s="1"/>
      <c r="AA164" s="1"/>
      <c r="AB164" s="1"/>
      <c r="AC164" s="1"/>
      <c r="AD164" s="1"/>
      <c r="AF164" s="176">
        <v>46569</v>
      </c>
      <c r="AG164" s="177">
        <v>2.5000000000000001E-3</v>
      </c>
      <c r="AH164" s="177">
        <v>2.5000000000000001E-3</v>
      </c>
      <c r="AI164" s="100">
        <v>46577</v>
      </c>
      <c r="AJ164" s="102">
        <v>36261.777918831009</v>
      </c>
      <c r="AL164" s="23"/>
      <c r="AM164" s="23"/>
      <c r="BL164" s="299"/>
    </row>
    <row r="165" spans="17:64">
      <c r="Q165" s="6">
        <v>135</v>
      </c>
      <c r="R165" s="7">
        <v>42802</v>
      </c>
      <c r="S165" s="210">
        <v>3.5</v>
      </c>
      <c r="T165" s="8">
        <v>1.0000972222222222</v>
      </c>
      <c r="U165" s="98">
        <v>3.6121470212090889</v>
      </c>
      <c r="V165" s="106">
        <v>26571.971032081998</v>
      </c>
      <c r="W165" s="10">
        <v>0.249278011180043</v>
      </c>
      <c r="X165" s="413">
        <v>0.24567040490974063</v>
      </c>
      <c r="Y165" s="414">
        <v>0.29357476611843797</v>
      </c>
      <c r="Z165" s="1"/>
      <c r="AA165" s="1"/>
      <c r="AB165" s="1"/>
      <c r="AC165" s="1"/>
      <c r="AD165" s="1"/>
      <c r="AF165" s="176">
        <v>46600</v>
      </c>
      <c r="AG165" s="177">
        <v>2.5000000000000001E-3</v>
      </c>
      <c r="AH165" s="177">
        <v>2.5000000000000001E-3</v>
      </c>
      <c r="AI165" s="100">
        <v>46608</v>
      </c>
      <c r="AJ165" s="102">
        <v>36352.432363628082</v>
      </c>
      <c r="AL165" s="23"/>
      <c r="AM165" s="23"/>
      <c r="BL165" s="299"/>
    </row>
    <row r="166" spans="17:64">
      <c r="Q166" s="6">
        <v>136</v>
      </c>
      <c r="R166" s="7">
        <v>42803</v>
      </c>
      <c r="S166" s="210">
        <v>3.5</v>
      </c>
      <c r="T166" s="8">
        <v>1.0000972222222222</v>
      </c>
      <c r="U166" s="98">
        <v>3.6121470212091111</v>
      </c>
      <c r="V166" s="106">
        <v>26573.144891039723</v>
      </c>
      <c r="W166" s="10">
        <v>0.26171456560364348</v>
      </c>
      <c r="X166" s="413">
        <v>0.25791781194431862</v>
      </c>
      <c r="Y166" s="414">
        <v>0.29358906809897839</v>
      </c>
      <c r="Z166" s="1"/>
      <c r="AA166" s="1"/>
      <c r="AB166" s="1"/>
      <c r="AC166" s="1"/>
      <c r="AD166" s="1"/>
      <c r="AF166" s="176">
        <v>46631</v>
      </c>
      <c r="AG166" s="177">
        <v>2.5000000000000001E-3</v>
      </c>
      <c r="AH166" s="177">
        <v>2.5000000000000001E-3</v>
      </c>
      <c r="AI166" s="100">
        <v>46639</v>
      </c>
      <c r="AJ166" s="102">
        <v>36443.313444537154</v>
      </c>
      <c r="AL166" s="23"/>
      <c r="AM166" s="23"/>
      <c r="BL166" s="299"/>
    </row>
    <row r="167" spans="17:64">
      <c r="Q167" s="6">
        <v>137</v>
      </c>
      <c r="R167" s="7">
        <v>42804</v>
      </c>
      <c r="S167" s="210">
        <v>3.5</v>
      </c>
      <c r="T167" s="8">
        <v>1.0000972222222222</v>
      </c>
      <c r="U167" s="98">
        <v>3.6121470212090889</v>
      </c>
      <c r="V167" s="106">
        <v>26574.717053856657</v>
      </c>
      <c r="W167" s="10">
        <v>0.26996753146457664</v>
      </c>
      <c r="X167" s="413">
        <v>0.26604515911093635</v>
      </c>
      <c r="Y167" s="414">
        <v>0.29360337100750244</v>
      </c>
      <c r="Z167" s="1"/>
      <c r="AA167" s="1"/>
      <c r="AB167" s="1"/>
      <c r="AC167" s="1"/>
      <c r="AD167" s="1"/>
      <c r="AF167" s="176">
        <v>46661</v>
      </c>
      <c r="AG167" s="177">
        <v>2.5000000000000001E-3</v>
      </c>
      <c r="AH167" s="177">
        <v>2.5000000000000001E-3</v>
      </c>
      <c r="AI167" s="100">
        <v>46669</v>
      </c>
      <c r="AJ167" s="102">
        <v>36534.421728148496</v>
      </c>
      <c r="AL167" s="23"/>
      <c r="AM167" s="23"/>
      <c r="BL167" s="299"/>
    </row>
    <row r="168" spans="17:64">
      <c r="Q168" s="6">
        <v>138</v>
      </c>
      <c r="R168" s="7">
        <v>42805</v>
      </c>
      <c r="S168" s="210">
        <v>3.5</v>
      </c>
      <c r="T168" s="8">
        <v>1.0000972222222222</v>
      </c>
      <c r="U168" s="98">
        <v>3.6121470212090889</v>
      </c>
      <c r="V168" s="106">
        <v>26576.2893096884</v>
      </c>
      <c r="W168" s="10">
        <v>0.27810155376402079</v>
      </c>
      <c r="X168" s="413">
        <v>0.27405509681969731</v>
      </c>
      <c r="Y168" s="414">
        <v>0.29361767484408124</v>
      </c>
      <c r="Z168" s="1"/>
      <c r="AA168" s="1"/>
      <c r="AB168" s="1"/>
      <c r="AC168" s="1"/>
      <c r="AD168" s="1"/>
      <c r="AF168" s="176">
        <v>46692</v>
      </c>
      <c r="AG168" s="177">
        <v>2.5000000000000001E-3</v>
      </c>
      <c r="AH168" s="177">
        <v>2.5000000000000001E-3</v>
      </c>
      <c r="AI168" s="100">
        <v>46700</v>
      </c>
      <c r="AJ168" s="102">
        <v>36625.757782468863</v>
      </c>
      <c r="AL168" s="23"/>
      <c r="AM168" s="23"/>
      <c r="BL168" s="299"/>
    </row>
    <row r="169" spans="17:64">
      <c r="Q169" s="6">
        <v>139</v>
      </c>
      <c r="R169" s="7">
        <v>42806</v>
      </c>
      <c r="S169" s="210">
        <v>3.5</v>
      </c>
      <c r="T169" s="8">
        <v>1.0000972222222222</v>
      </c>
      <c r="U169" s="98">
        <v>3.6121470212090667</v>
      </c>
      <c r="V169" s="106">
        <v>26577.861658540449</v>
      </c>
      <c r="W169" s="10">
        <v>0.28611918544012571</v>
      </c>
      <c r="X169" s="413">
        <v>0.28195015910205451</v>
      </c>
      <c r="Y169" s="414">
        <v>0.29363197960877901</v>
      </c>
      <c r="Z169" s="1"/>
      <c r="AA169" s="1"/>
      <c r="AB169" s="1"/>
      <c r="AC169" s="1"/>
      <c r="AD169" s="1"/>
      <c r="AF169" s="176">
        <v>46722</v>
      </c>
      <c r="AG169" s="177">
        <v>2.5000000000000001E-3</v>
      </c>
      <c r="AH169" s="177">
        <v>2.5000000000000001E-3</v>
      </c>
      <c r="AI169" s="100">
        <v>46730</v>
      </c>
      <c r="AJ169" s="102">
        <v>36717.32217692503</v>
      </c>
      <c r="AL169" s="23"/>
      <c r="AM169" s="23"/>
      <c r="BL169" s="299"/>
    </row>
    <row r="170" spans="17:64">
      <c r="Q170" s="6">
        <v>140</v>
      </c>
      <c r="R170" s="7">
        <v>42807</v>
      </c>
      <c r="S170" s="210">
        <v>3.5</v>
      </c>
      <c r="T170" s="8">
        <v>1.0000972222222222</v>
      </c>
      <c r="U170" s="98">
        <v>3.6121470212090667</v>
      </c>
      <c r="V170" s="106">
        <v>26579.434100418315</v>
      </c>
      <c r="W170" s="10">
        <v>0.29402290689080068</v>
      </c>
      <c r="X170" s="413">
        <v>0.28973280758839109</v>
      </c>
      <c r="Y170" s="414">
        <v>0.29364628530166775</v>
      </c>
      <c r="Z170" s="1"/>
      <c r="AA170" s="1"/>
      <c r="AB170" s="1"/>
      <c r="AC170" s="1"/>
      <c r="AD170" s="1"/>
      <c r="AF170" s="176">
        <v>46753</v>
      </c>
      <c r="AG170" s="177">
        <v>2.5000000000000001E-3</v>
      </c>
      <c r="AH170" s="177">
        <v>2.5000000000000001E-3</v>
      </c>
      <c r="AI170" s="100">
        <v>46761</v>
      </c>
      <c r="AJ170" s="102">
        <v>36809.115482367342</v>
      </c>
      <c r="AL170" s="23"/>
      <c r="AM170" s="23"/>
      <c r="BL170" s="299"/>
    </row>
    <row r="171" spans="17:64">
      <c r="Q171" s="6">
        <v>141</v>
      </c>
      <c r="R171" s="7">
        <v>42808</v>
      </c>
      <c r="S171" s="210">
        <v>3.5</v>
      </c>
      <c r="T171" s="8">
        <v>1.0000972222222222</v>
      </c>
      <c r="U171" s="98">
        <v>3.6121470212090445</v>
      </c>
      <c r="V171" s="106">
        <v>26581.006635327492</v>
      </c>
      <c r="W171" s="10">
        <v>0.30181512853244552</v>
      </c>
      <c r="X171" s="413">
        <v>0.29740543407583087</v>
      </c>
      <c r="Y171" s="414">
        <v>0.29366059192281274</v>
      </c>
      <c r="Z171" s="1"/>
      <c r="AA171" s="1"/>
      <c r="AB171" s="1"/>
      <c r="AC171" s="1"/>
      <c r="AD171" s="1"/>
      <c r="AF171" s="176">
        <v>46784</v>
      </c>
      <c r="AG171" s="177">
        <v>2.5000000000000001E-3</v>
      </c>
      <c r="AH171" s="177">
        <v>2.5000000000000001E-3</v>
      </c>
      <c r="AI171" s="100">
        <v>46792</v>
      </c>
      <c r="AJ171" s="102">
        <v>36901.138271073258</v>
      </c>
      <c r="AL171" s="23"/>
      <c r="AM171" s="23"/>
      <c r="BL171" s="299"/>
    </row>
    <row r="172" spans="17:64">
      <c r="Q172" s="6">
        <v>142</v>
      </c>
      <c r="R172" s="7">
        <v>42809</v>
      </c>
      <c r="S172" s="210">
        <v>3.5</v>
      </c>
      <c r="T172" s="8">
        <v>1.0000972222222222</v>
      </c>
      <c r="U172" s="98">
        <v>3.6121470212090445</v>
      </c>
      <c r="V172" s="106">
        <v>26582.579263273492</v>
      </c>
      <c r="W172" s="10">
        <v>0.30949819325014616</v>
      </c>
      <c r="X172" s="413">
        <v>0.3049703629866492</v>
      </c>
      <c r="Y172" s="414">
        <v>0.29367489947228187</v>
      </c>
      <c r="Z172" s="1"/>
      <c r="AA172" s="1"/>
      <c r="AB172" s="1"/>
      <c r="AC172" s="1"/>
      <c r="AD172" s="1"/>
      <c r="AF172" s="176">
        <v>46813</v>
      </c>
      <c r="AG172" s="177">
        <v>2.5000000000000001E-3</v>
      </c>
      <c r="AH172" s="177">
        <v>2.5000000000000001E-3</v>
      </c>
      <c r="AI172" s="100">
        <v>46821</v>
      </c>
      <c r="AJ172" s="102">
        <v>36993.391116750936</v>
      </c>
      <c r="AL172" s="23"/>
      <c r="AM172" s="23"/>
      <c r="BL172" s="299"/>
    </row>
    <row r="173" spans="17:64">
      <c r="Q173" s="6">
        <v>143</v>
      </c>
      <c r="R173" s="7">
        <v>42810</v>
      </c>
      <c r="S173" s="210">
        <v>3.5</v>
      </c>
      <c r="T173" s="8">
        <v>1.0000972222222222</v>
      </c>
      <c r="U173" s="98">
        <v>3.6121470212090223</v>
      </c>
      <c r="V173" s="106">
        <v>26584.151984261818</v>
      </c>
      <c r="W173" s="10">
        <v>0.31707437874664013</v>
      </c>
      <c r="X173" s="413">
        <v>0.31242985372448451</v>
      </c>
      <c r="Y173" s="414">
        <v>0.29368920795014142</v>
      </c>
      <c r="Z173" s="1"/>
      <c r="AA173" s="1"/>
      <c r="AB173" s="1"/>
      <c r="AC173" s="1"/>
      <c r="AD173" s="1"/>
      <c r="AF173" s="176">
        <v>46844</v>
      </c>
      <c r="AG173" s="177">
        <v>2.5000000000000001E-3</v>
      </c>
      <c r="AH173" s="177">
        <v>2.5000000000000001E-3</v>
      </c>
      <c r="AI173" s="100">
        <v>46852</v>
      </c>
      <c r="AJ173" s="102">
        <v>37085.874594542809</v>
      </c>
      <c r="AL173" s="23"/>
      <c r="AM173" s="23"/>
      <c r="BL173" s="299"/>
    </row>
    <row r="174" spans="17:64">
      <c r="Q174" s="6">
        <v>144</v>
      </c>
      <c r="R174" s="7">
        <v>42811</v>
      </c>
      <c r="S174" s="210">
        <v>3.5</v>
      </c>
      <c r="T174" s="8">
        <v>1.0000972222222222</v>
      </c>
      <c r="U174" s="98">
        <v>3.6121470212090445</v>
      </c>
      <c r="V174" s="106">
        <v>26585.724798297975</v>
      </c>
      <c r="W174" s="10">
        <v>0.32454589979329374</v>
      </c>
      <c r="X174" s="413">
        <v>0.31978610293176279</v>
      </c>
      <c r="Y174" s="414">
        <v>0.29370351735646483</v>
      </c>
      <c r="Z174" s="1"/>
      <c r="AA174" s="1"/>
      <c r="AB174" s="1"/>
      <c r="AC174" s="1"/>
      <c r="AD174" s="1"/>
      <c r="AF174" s="176">
        <v>46874</v>
      </c>
      <c r="AG174" s="177">
        <v>2.5000000000000001E-3</v>
      </c>
      <c r="AH174" s="177">
        <v>2.5000000000000001E-3</v>
      </c>
      <c r="AI174" s="100">
        <v>46882</v>
      </c>
      <c r="AJ174" s="102">
        <v>37178.589281029163</v>
      </c>
      <c r="AL174" s="23"/>
      <c r="AM174" s="23"/>
      <c r="BL174" s="299"/>
    </row>
    <row r="175" spans="17:64">
      <c r="Q175" s="6">
        <v>145</v>
      </c>
      <c r="R175" s="7">
        <v>42812</v>
      </c>
      <c r="S175" s="210">
        <v>3.5</v>
      </c>
      <c r="T175" s="8">
        <v>1.0000972222222222</v>
      </c>
      <c r="U175" s="98">
        <v>3.6121470212090667</v>
      </c>
      <c r="V175" s="106">
        <v>26587.297705387464</v>
      </c>
      <c r="W175" s="10">
        <v>0.33191491038859766</v>
      </c>
      <c r="X175" s="413">
        <v>0.32704124665382261</v>
      </c>
      <c r="Y175" s="414">
        <v>0.2937178276913146</v>
      </c>
      <c r="Z175" s="1"/>
      <c r="AA175" s="1"/>
      <c r="AB175" s="1"/>
      <c r="AC175" s="1"/>
      <c r="AD175" s="1"/>
      <c r="AF175" s="176">
        <v>46905</v>
      </c>
      <c r="AG175" s="177">
        <v>2.5000000000000001E-3</v>
      </c>
      <c r="AH175" s="177">
        <v>2.5000000000000001E-3</v>
      </c>
      <c r="AI175" s="100">
        <v>46913</v>
      </c>
      <c r="AJ175" s="102">
        <v>37271.535754231736</v>
      </c>
      <c r="AL175" s="23"/>
      <c r="AM175" s="23"/>
      <c r="BL175" s="299"/>
    </row>
    <row r="176" spans="17:64">
      <c r="Q176" s="6">
        <v>146</v>
      </c>
      <c r="R176" s="7">
        <v>42813</v>
      </c>
      <c r="S176" s="210">
        <v>3.5</v>
      </c>
      <c r="T176" s="8">
        <v>1.0000972222222222</v>
      </c>
      <c r="U176" s="98">
        <v>3.6121470212090889</v>
      </c>
      <c r="V176" s="106">
        <v>26588.870705535795</v>
      </c>
      <c r="W176" s="10">
        <v>0.33918350582851087</v>
      </c>
      <c r="X176" s="413">
        <v>0.33419736241426712</v>
      </c>
      <c r="Y176" s="414">
        <v>0.2937321389547603</v>
      </c>
      <c r="Z176" s="1"/>
      <c r="AA176" s="1"/>
      <c r="AB176" s="1"/>
      <c r="AC176" s="1"/>
      <c r="AD176" s="1"/>
      <c r="AF176" s="176">
        <v>46935</v>
      </c>
      <c r="AG176" s="177">
        <v>2.5000000000000001E-3</v>
      </c>
      <c r="AH176" s="177">
        <v>2.5000000000000001E-3</v>
      </c>
      <c r="AI176" s="100">
        <v>46943</v>
      </c>
      <c r="AJ176" s="102">
        <v>37364.714593617311</v>
      </c>
      <c r="AL176" s="23"/>
      <c r="AM176" s="23"/>
      <c r="BL176" s="299"/>
    </row>
    <row r="177" spans="17:64">
      <c r="Q177" s="6">
        <v>147</v>
      </c>
      <c r="R177" s="7">
        <v>42814</v>
      </c>
      <c r="S177" s="210">
        <v>3.5</v>
      </c>
      <c r="T177" s="8">
        <v>1.0000972222222222</v>
      </c>
      <c r="U177" s="98">
        <v>3.6121470212090445</v>
      </c>
      <c r="V177" s="106">
        <v>26590.443798748471</v>
      </c>
      <c r="W177" s="10">
        <v>0.34635372469258296</v>
      </c>
      <c r="X177" s="413">
        <v>0.34125647120544494</v>
      </c>
      <c r="Y177" s="414">
        <v>0.29374645114686537</v>
      </c>
      <c r="Z177" s="1"/>
      <c r="AA177" s="1"/>
      <c r="AB177" s="1"/>
      <c r="AC177" s="1"/>
      <c r="AD177" s="1"/>
      <c r="AF177" s="176">
        <v>46966</v>
      </c>
      <c r="AG177" s="177">
        <v>2.5000000000000001E-3</v>
      </c>
      <c r="AH177" s="177">
        <v>2.5000000000000001E-3</v>
      </c>
      <c r="AI177" s="100">
        <v>46974</v>
      </c>
      <c r="AJ177" s="102">
        <v>37458.126380101356</v>
      </c>
      <c r="AL177" s="23"/>
      <c r="AM177" s="23"/>
      <c r="BL177" s="299"/>
    </row>
    <row r="178" spans="17:64">
      <c r="Q178" s="6">
        <v>148</v>
      </c>
      <c r="R178" s="7">
        <v>42815</v>
      </c>
      <c r="S178" s="210">
        <v>3.5</v>
      </c>
      <c r="T178" s="8">
        <v>1.0000972222222222</v>
      </c>
      <c r="U178" s="98">
        <v>3.6121470212090667</v>
      </c>
      <c r="V178" s="106">
        <v>26592.016985030998</v>
      </c>
      <c r="W178" s="10">
        <v>0.35342755075009613</v>
      </c>
      <c r="X178" s="413">
        <v>0.348220539398236</v>
      </c>
      <c r="Y178" s="414">
        <v>0.29376076426770492</v>
      </c>
      <c r="Z178" s="1"/>
      <c r="AA178" s="1"/>
      <c r="AB178" s="1"/>
      <c r="AC178" s="1"/>
      <c r="AD178" s="1"/>
      <c r="AF178" s="176">
        <v>46997</v>
      </c>
      <c r="AG178" s="177">
        <v>2.5000000000000001E-3</v>
      </c>
      <c r="AH178" s="177">
        <v>2.5000000000000001E-3</v>
      </c>
      <c r="AI178" s="100">
        <v>47005</v>
      </c>
      <c r="AJ178" s="102">
        <v>37551.771696051605</v>
      </c>
      <c r="AL178" s="23"/>
      <c r="AM178" s="23"/>
      <c r="BL178" s="299"/>
    </row>
    <row r="179" spans="17:64">
      <c r="Q179" s="6">
        <v>149</v>
      </c>
      <c r="R179" s="7">
        <v>42816</v>
      </c>
      <c r="S179" s="210">
        <v>3.5</v>
      </c>
      <c r="T179" s="8">
        <v>1.0000972222222222</v>
      </c>
      <c r="U179" s="98">
        <v>3.6121470212090889</v>
      </c>
      <c r="V179" s="106">
        <v>26593.59026438888</v>
      </c>
      <c r="W179" s="10">
        <v>0.36040691478991249</v>
      </c>
      <c r="X179" s="413">
        <v>0.35509148057509365</v>
      </c>
      <c r="Y179" s="414">
        <v>0.29377507831734312</v>
      </c>
      <c r="Z179" s="1"/>
      <c r="AA179" s="1"/>
      <c r="AB179" s="1"/>
      <c r="AC179" s="1"/>
      <c r="AD179" s="1"/>
      <c r="AF179" s="176">
        <v>47027</v>
      </c>
      <c r="AG179" s="177">
        <v>2.5000000000000001E-3</v>
      </c>
      <c r="AH179" s="177">
        <v>2.5000000000000001E-3</v>
      </c>
      <c r="AI179" s="100">
        <v>47035</v>
      </c>
      <c r="AJ179" s="102">
        <v>37645.651125291733</v>
      </c>
      <c r="AL179" s="23"/>
      <c r="AM179" s="23"/>
      <c r="BL179" s="299"/>
    </row>
    <row r="180" spans="17:64">
      <c r="Q180" s="6">
        <v>150</v>
      </c>
      <c r="R180" s="7">
        <v>42817</v>
      </c>
      <c r="S180" s="210">
        <v>3.5</v>
      </c>
      <c r="T180" s="8">
        <v>1.0000972222222222</v>
      </c>
      <c r="U180" s="98">
        <v>3.6121470212091111</v>
      </c>
      <c r="V180" s="106">
        <v>26595.163636827634</v>
      </c>
      <c r="W180" s="10">
        <v>0.3672936963771356</v>
      </c>
      <c r="X180" s="413">
        <v>0.36187115728949948</v>
      </c>
      <c r="Y180" s="414">
        <v>0.29378939329584686</v>
      </c>
      <c r="Z180" s="1"/>
      <c r="AA180" s="1"/>
      <c r="AB180" s="1"/>
      <c r="AC180" s="1"/>
      <c r="AD180" s="1"/>
      <c r="AF180" s="176">
        <v>47058</v>
      </c>
      <c r="AG180" s="177">
        <v>2.5000000000000001E-3</v>
      </c>
      <c r="AH180" s="177">
        <v>2.5000000000000001E-3</v>
      </c>
      <c r="AI180" s="100">
        <v>47066</v>
      </c>
      <c r="AJ180" s="102">
        <v>37739.765253104961</v>
      </c>
      <c r="AL180" s="23"/>
      <c r="AM180" s="23"/>
      <c r="BL180" s="299"/>
    </row>
    <row r="181" spans="17:64">
      <c r="Q181" s="6">
        <v>151</v>
      </c>
      <c r="R181" s="7">
        <v>42818</v>
      </c>
      <c r="S181" s="210">
        <v>3.5</v>
      </c>
      <c r="T181" s="8">
        <v>1.0000972222222222</v>
      </c>
      <c r="U181" s="98">
        <v>3.6121470212091333</v>
      </c>
      <c r="V181" s="106">
        <v>26596.737102352756</v>
      </c>
      <c r="W181" s="10">
        <v>0.37408972554107134</v>
      </c>
      <c r="X181" s="413">
        <v>0.36856138275592865</v>
      </c>
      <c r="Y181" s="414">
        <v>0.29380370920328563</v>
      </c>
      <c r="Z181" s="1"/>
      <c r="AA181" s="1"/>
      <c r="AB181" s="1"/>
      <c r="AC181" s="1"/>
      <c r="AD181" s="1"/>
      <c r="AF181" s="176">
        <v>47088</v>
      </c>
      <c r="AG181" s="177">
        <v>2.5000000000000001E-3</v>
      </c>
      <c r="AH181" s="177">
        <v>2.5000000000000001E-3</v>
      </c>
      <c r="AI181" s="100">
        <v>47096</v>
      </c>
      <c r="AJ181" s="102">
        <v>37834.114666237721</v>
      </c>
      <c r="AL181" s="23"/>
      <c r="AM181" s="23"/>
      <c r="BL181" s="299"/>
    </row>
    <row r="182" spans="17:64">
      <c r="Q182" s="6">
        <v>152</v>
      </c>
      <c r="R182" s="7">
        <v>42819</v>
      </c>
      <c r="S182" s="210">
        <v>3.5</v>
      </c>
      <c r="T182" s="8">
        <v>1.0000972222222222</v>
      </c>
      <c r="U182" s="98">
        <v>3.6121470212091111</v>
      </c>
      <c r="V182" s="106">
        <v>26598.310660969757</v>
      </c>
      <c r="W182" s="10">
        <v>0.38079678439590925</v>
      </c>
      <c r="X182" s="413">
        <v>0.37516392247252817</v>
      </c>
      <c r="Y182" s="414">
        <v>0.29381802603972279</v>
      </c>
      <c r="Z182" s="1"/>
      <c r="AA182" s="1"/>
      <c r="AB182" s="1"/>
      <c r="AC182" s="1"/>
      <c r="AD182" s="1"/>
      <c r="AF182" s="176">
        <v>47119</v>
      </c>
      <c r="AG182" s="177">
        <v>2.5000000000000001E-3</v>
      </c>
      <c r="AH182" s="177">
        <v>2.5000000000000001E-3</v>
      </c>
      <c r="AI182" s="100">
        <v>47127</v>
      </c>
      <c r="AJ182" s="102">
        <v>37928.699952903313</v>
      </c>
      <c r="AL182" s="23"/>
      <c r="AM182" s="23"/>
      <c r="BL182" s="299"/>
    </row>
    <row r="183" spans="17:64">
      <c r="Q183" s="6">
        <v>153</v>
      </c>
      <c r="R183" s="7">
        <v>42820</v>
      </c>
      <c r="S183" s="210">
        <v>3.5</v>
      </c>
      <c r="T183" s="8">
        <v>1.0000972222222222</v>
      </c>
      <c r="U183" s="98">
        <v>3.6121470212091555</v>
      </c>
      <c r="V183" s="106">
        <v>26599.884312684146</v>
      </c>
      <c r="W183" s="10">
        <v>0.38741660869925365</v>
      </c>
      <c r="X183" s="413">
        <v>0.38168049578089208</v>
      </c>
      <c r="Y183" s="414">
        <v>0.2938323438052331</v>
      </c>
      <c r="Z183" s="1"/>
      <c r="AA183" s="1"/>
      <c r="AB183" s="1"/>
      <c r="AC183" s="1"/>
      <c r="AD183" s="1"/>
      <c r="AF183" s="176">
        <v>47150</v>
      </c>
      <c r="AG183" s="177">
        <v>2.5000000000000001E-3</v>
      </c>
      <c r="AH183" s="177">
        <v>2.5000000000000001E-3</v>
      </c>
      <c r="AI183" s="100">
        <v>47158</v>
      </c>
      <c r="AJ183" s="102">
        <v>38023.521702785569</v>
      </c>
      <c r="AL183" s="23"/>
      <c r="AM183" s="23"/>
      <c r="BL183" s="299"/>
    </row>
    <row r="184" spans="17:64">
      <c r="Q184" s="6">
        <v>154</v>
      </c>
      <c r="R184" s="7">
        <v>42821</v>
      </c>
      <c r="S184" s="210">
        <v>3.5</v>
      </c>
      <c r="T184" s="8">
        <v>1.0000972222222222</v>
      </c>
      <c r="U184" s="98">
        <v>3.6121470212091777</v>
      </c>
      <c r="V184" s="106">
        <v>26601.45805750143</v>
      </c>
      <c r="W184" s="10">
        <v>0.39395088934897071</v>
      </c>
      <c r="X184" s="413">
        <v>0.38811277736402777</v>
      </c>
      <c r="Y184" s="414">
        <v>0.29384666249988056</v>
      </c>
      <c r="Z184" s="1"/>
      <c r="AA184" s="1"/>
      <c r="AB184" s="1"/>
      <c r="AC184" s="1"/>
      <c r="AD184" s="1"/>
      <c r="AF184" s="176">
        <v>47178</v>
      </c>
      <c r="AG184" s="177">
        <v>2.5000000000000001E-3</v>
      </c>
      <c r="AH184" s="177">
        <v>2.5000000000000001E-3</v>
      </c>
      <c r="AI184" s="100">
        <v>47186</v>
      </c>
      <c r="AJ184" s="102">
        <v>38118.580507042534</v>
      </c>
      <c r="AL184" s="23"/>
      <c r="AM184" s="23"/>
      <c r="BL184" s="299"/>
    </row>
    <row r="185" spans="17:64">
      <c r="Q185" s="6">
        <v>155</v>
      </c>
      <c r="R185" s="7">
        <v>42822</v>
      </c>
      <c r="S185" s="210">
        <v>3.5</v>
      </c>
      <c r="T185" s="8">
        <v>1.0000972222222222</v>
      </c>
      <c r="U185" s="98">
        <v>3.6121470212091777</v>
      </c>
      <c r="V185" s="106">
        <v>26603.031895427113</v>
      </c>
      <c r="W185" s="10">
        <v>0.40040127382379165</v>
      </c>
      <c r="X185" s="413">
        <v>0.394462398687626</v>
      </c>
      <c r="Y185" s="414">
        <v>0.29386098212373207</v>
      </c>
      <c r="Z185" s="1"/>
      <c r="AA185" s="1"/>
      <c r="AB185" s="1"/>
      <c r="AC185" s="1"/>
      <c r="AD185" s="1"/>
      <c r="AF185" s="176">
        <v>47209</v>
      </c>
      <c r="AG185" s="177">
        <v>2.5000000000000001E-3</v>
      </c>
      <c r="AH185" s="177">
        <v>2.5000000000000001E-3</v>
      </c>
      <c r="AI185" s="100">
        <v>47217</v>
      </c>
      <c r="AJ185" s="102">
        <v>38213.876958310138</v>
      </c>
      <c r="AL185" s="23"/>
      <c r="AM185" s="23"/>
      <c r="BL185" s="299"/>
    </row>
    <row r="186" spans="17:64">
      <c r="Q186" s="6">
        <v>156</v>
      </c>
      <c r="R186" s="7">
        <v>42823</v>
      </c>
      <c r="S186" s="210">
        <v>3.5</v>
      </c>
      <c r="T186" s="8">
        <v>1.0000972222222222</v>
      </c>
      <c r="U186" s="98">
        <v>3.6121470212091777</v>
      </c>
      <c r="V186" s="106">
        <v>26604.605826466712</v>
      </c>
      <c r="W186" s="10">
        <v>0.40676936756751658</v>
      </c>
      <c r="X186" s="413">
        <v>0.40073094938471915</v>
      </c>
      <c r="Y186" s="414">
        <v>0.29387530267685691</v>
      </c>
      <c r="Z186" s="1"/>
      <c r="AA186" s="1"/>
      <c r="AB186" s="1"/>
      <c r="AC186" s="1"/>
      <c r="AD186" s="1"/>
      <c r="AF186" s="176">
        <v>47239</v>
      </c>
      <c r="AG186" s="177">
        <v>2.5000000000000001E-3</v>
      </c>
      <c r="AH186" s="177">
        <v>2.5000000000000001E-3</v>
      </c>
      <c r="AI186" s="100">
        <v>47247</v>
      </c>
      <c r="AJ186" s="102">
        <v>38309.411650705915</v>
      </c>
      <c r="AL186" s="23"/>
      <c r="AM186" s="23"/>
      <c r="BL186" s="299"/>
    </row>
    <row r="187" spans="17:64">
      <c r="Q187" s="6">
        <v>157</v>
      </c>
      <c r="R187" s="7">
        <v>42824</v>
      </c>
      <c r="S187" s="210">
        <v>3.5</v>
      </c>
      <c r="T187" s="8">
        <v>1.0000972222222222</v>
      </c>
      <c r="U187" s="98">
        <v>3.6121470212091999</v>
      </c>
      <c r="V187" s="106">
        <v>26606.179850625733</v>
      </c>
      <c r="W187" s="10">
        <v>0.41305673532157083</v>
      </c>
      <c r="X187" s="413">
        <v>0.40691997858828749</v>
      </c>
      <c r="Y187" s="414">
        <v>0.29388962415932274</v>
      </c>
      <c r="Z187" s="1"/>
      <c r="AA187" s="1"/>
      <c r="AB187" s="1"/>
      <c r="AC187" s="1"/>
      <c r="AD187" s="1"/>
      <c r="AF187" s="176">
        <v>47270</v>
      </c>
      <c r="AG187" s="177">
        <v>2.5000000000000001E-3</v>
      </c>
      <c r="AH187" s="177">
        <v>2.5000000000000001E-3</v>
      </c>
      <c r="AI187" s="100">
        <v>47278</v>
      </c>
      <c r="AJ187" s="102">
        <v>38405.185179832675</v>
      </c>
      <c r="AL187" s="23"/>
      <c r="AM187" s="23"/>
      <c r="BL187" s="299"/>
    </row>
    <row r="188" spans="17:64">
      <c r="Q188" s="6">
        <v>158</v>
      </c>
      <c r="R188" s="7">
        <v>42825</v>
      </c>
      <c r="S188" s="210">
        <v>3.5</v>
      </c>
      <c r="T188" s="8">
        <v>1.0000972222222222</v>
      </c>
      <c r="U188" s="98">
        <v>3.6121470212091999</v>
      </c>
      <c r="V188" s="106">
        <v>26607.753967909677</v>
      </c>
      <c r="W188" s="10">
        <v>0.41926490240644654</v>
      </c>
      <c r="X188" s="413">
        <v>0.41303099621265371</v>
      </c>
      <c r="Y188" s="414">
        <v>0.29390394657119528</v>
      </c>
      <c r="Z188" s="1"/>
      <c r="AA188" s="1"/>
      <c r="AB188" s="1"/>
      <c r="AC188" s="1"/>
      <c r="AD188" s="1"/>
      <c r="AF188" s="176">
        <v>47300</v>
      </c>
      <c r="AG188" s="177">
        <v>2.5000000000000001E-3</v>
      </c>
      <c r="AH188" s="177">
        <v>2.5000000000000001E-3</v>
      </c>
      <c r="AI188" s="100">
        <v>47308</v>
      </c>
      <c r="AJ188" s="102">
        <v>38501.198142782254</v>
      </c>
      <c r="AL188" s="23"/>
      <c r="AM188" s="23"/>
      <c r="BL188" s="299"/>
    </row>
    <row r="189" spans="17:64">
      <c r="Q189" s="6">
        <v>159</v>
      </c>
      <c r="R189" s="7">
        <v>42826</v>
      </c>
      <c r="S189" s="210">
        <v>3.5</v>
      </c>
      <c r="T189" s="8">
        <v>1.0000972222222222</v>
      </c>
      <c r="U189" s="98">
        <v>3.6121470212092222</v>
      </c>
      <c r="V189" s="106">
        <v>26609.328178324067</v>
      </c>
      <c r="W189" s="10">
        <v>0.42539535595542688</v>
      </c>
      <c r="X189" s="413">
        <v>0.41906547418682444</v>
      </c>
      <c r="Y189" s="414">
        <v>0.29391826991254721</v>
      </c>
      <c r="Z189" s="1"/>
      <c r="AA189" s="1"/>
      <c r="AB189" s="1"/>
      <c r="AC189" s="1"/>
      <c r="AD189" s="1"/>
      <c r="AF189" s="176">
        <v>47331</v>
      </c>
      <c r="AG189" s="177">
        <v>2.5000000000000001E-3</v>
      </c>
      <c r="AH189" s="177">
        <v>2.5000000000000001E-3</v>
      </c>
      <c r="AI189" s="100">
        <v>47339</v>
      </c>
      <c r="AJ189" s="102">
        <v>38597.451138139208</v>
      </c>
      <c r="AL189" s="23"/>
      <c r="AM189" s="23"/>
      <c r="BL189" s="299"/>
    </row>
    <row r="190" spans="17:64">
      <c r="Q190" s="6">
        <v>160</v>
      </c>
      <c r="R190" s="7">
        <v>42827</v>
      </c>
      <c r="S190" s="210">
        <v>3.5</v>
      </c>
      <c r="T190" s="8">
        <v>1.0000972222222222</v>
      </c>
      <c r="U190" s="98">
        <v>3.6121470212091999</v>
      </c>
      <c r="V190" s="106">
        <v>26610.902481874404</v>
      </c>
      <c r="W190" s="10">
        <v>0.43144954610245811</v>
      </c>
      <c r="X190" s="413">
        <v>0.42502484764183057</v>
      </c>
      <c r="Y190" s="414">
        <v>0.29393259418344087</v>
      </c>
      <c r="Z190" s="1"/>
      <c r="AA190" s="1"/>
      <c r="AB190" s="1"/>
      <c r="AC190" s="1"/>
      <c r="AD190" s="1"/>
      <c r="AF190" s="176">
        <v>47362</v>
      </c>
      <c r="AG190" s="177">
        <v>2.5000000000000001E-3</v>
      </c>
      <c r="AH190" s="177">
        <v>2.5000000000000001E-3</v>
      </c>
      <c r="AI190" s="100">
        <v>47370</v>
      </c>
      <c r="AJ190" s="102">
        <v>38693.944765984554</v>
      </c>
      <c r="AL190" s="23"/>
      <c r="AM190" s="23"/>
      <c r="BL190" s="299"/>
    </row>
    <row r="191" spans="17:64">
      <c r="Q191" s="6">
        <v>161</v>
      </c>
      <c r="R191" s="7">
        <v>42828</v>
      </c>
      <c r="S191" s="210">
        <v>3.5</v>
      </c>
      <c r="T191" s="8">
        <v>1.0000972222222222</v>
      </c>
      <c r="U191" s="98">
        <v>3.6121470212091777</v>
      </c>
      <c r="V191" s="106">
        <v>26612.476878566198</v>
      </c>
      <c r="W191" s="10">
        <v>0.437428887125213</v>
      </c>
      <c r="X191" s="413">
        <v>0.43091051605297609</v>
      </c>
      <c r="Y191" s="414">
        <v>0.29394691938394552</v>
      </c>
      <c r="Z191" s="1"/>
      <c r="AA191" s="1"/>
      <c r="AB191" s="1"/>
      <c r="AC191" s="1"/>
      <c r="AD191" s="1"/>
      <c r="AF191" s="176">
        <v>47392</v>
      </c>
      <c r="AG191" s="177">
        <v>2.5000000000000001E-3</v>
      </c>
      <c r="AH191" s="177">
        <v>2.5000000000000001E-3</v>
      </c>
      <c r="AI191" s="100">
        <v>47400</v>
      </c>
      <c r="AJ191" s="102">
        <v>38790.67962789951</v>
      </c>
      <c r="AL191" s="23"/>
      <c r="AM191" s="23"/>
      <c r="BL191" s="299"/>
    </row>
    <row r="192" spans="17:64">
      <c r="Q192" s="6">
        <v>162</v>
      </c>
      <c r="R192" s="7">
        <v>42829</v>
      </c>
      <c r="S192" s="210">
        <v>3.5</v>
      </c>
      <c r="T192" s="8">
        <v>1.0000972222222222</v>
      </c>
      <c r="U192" s="98">
        <v>3.6121470212091999</v>
      </c>
      <c r="V192" s="106">
        <v>26614.051368404969</v>
      </c>
      <c r="W192" s="10">
        <v>0.4433347585468761</v>
      </c>
      <c r="X192" s="413">
        <v>0.43672384434076705</v>
      </c>
      <c r="Y192" s="414">
        <v>0.29396124551413266</v>
      </c>
      <c r="Z192" s="1"/>
      <c r="AA192" s="1"/>
      <c r="AB192" s="1"/>
      <c r="AC192" s="1"/>
      <c r="AD192" s="1"/>
      <c r="AF192" s="176">
        <v>47423</v>
      </c>
      <c r="AG192" s="177">
        <v>2.5000000000000001E-3</v>
      </c>
      <c r="AH192" s="177">
        <v>2.5000000000000001E-3</v>
      </c>
      <c r="AI192" s="100">
        <v>47431</v>
      </c>
      <c r="AJ192" s="102">
        <v>38887.656326969256</v>
      </c>
      <c r="AL192" s="23"/>
      <c r="AM192" s="23"/>
      <c r="BL192" s="299"/>
    </row>
    <row r="193" spans="17:64">
      <c r="Q193" s="6">
        <v>163</v>
      </c>
      <c r="R193" s="7">
        <v>42830</v>
      </c>
      <c r="S193" s="210">
        <v>3.5</v>
      </c>
      <c r="T193" s="8">
        <v>1.0000972222222222</v>
      </c>
      <c r="U193" s="98">
        <v>3.6121470212091999</v>
      </c>
      <c r="V193" s="106">
        <v>26615.625951396218</v>
      </c>
      <c r="W193" s="10">
        <v>0.44916850619722837</v>
      </c>
      <c r="X193" s="413">
        <v>0.44246616393082588</v>
      </c>
      <c r="Y193" s="414">
        <v>0.29397557257406809</v>
      </c>
      <c r="Z193" s="1"/>
      <c r="AA193" s="1"/>
      <c r="AB193" s="1"/>
      <c r="AC193" s="1"/>
      <c r="AD193" s="1"/>
      <c r="AF193" s="176">
        <v>47453</v>
      </c>
      <c r="AG193" s="177">
        <v>2.5000000000000001E-3</v>
      </c>
      <c r="AH193" s="177">
        <v>2.5000000000000001E-3</v>
      </c>
      <c r="AI193" s="100">
        <v>47461</v>
      </c>
      <c r="AJ193" s="102">
        <v>38984.875467786675</v>
      </c>
      <c r="AL193" s="23"/>
      <c r="AM193" s="23"/>
      <c r="BL193" s="299"/>
    </row>
    <row r="194" spans="17:64">
      <c r="Q194" s="6">
        <v>164</v>
      </c>
      <c r="R194" s="7">
        <v>42831</v>
      </c>
      <c r="S194" s="210">
        <v>3.5</v>
      </c>
      <c r="T194" s="8">
        <v>1.0000972222222222</v>
      </c>
      <c r="U194" s="98">
        <v>3.6121470212092222</v>
      </c>
      <c r="V194" s="106">
        <v>26617.200627545455</v>
      </c>
      <c r="W194" s="10">
        <v>0.45493144323465184</v>
      </c>
      <c r="X194" s="413">
        <v>0.44813877377478445</v>
      </c>
      <c r="Y194" s="414">
        <v>0.29398990056381991</v>
      </c>
      <c r="Z194" s="1"/>
      <c r="AA194" s="1"/>
      <c r="AB194" s="1"/>
      <c r="AC194" s="1"/>
      <c r="AD194" s="1"/>
      <c r="AF194" s="176">
        <v>47484</v>
      </c>
      <c r="AG194" s="177">
        <v>2.5000000000000001E-3</v>
      </c>
      <c r="AH194" s="177">
        <v>2.5000000000000001E-3</v>
      </c>
      <c r="AI194" s="100">
        <v>47492</v>
      </c>
      <c r="AJ194" s="102">
        <v>39082.33765645614</v>
      </c>
      <c r="AL194" s="23"/>
      <c r="AM194" s="23"/>
      <c r="BL194" s="299"/>
    </row>
    <row r="195" spans="17:64">
      <c r="Q195" s="6">
        <v>165</v>
      </c>
      <c r="R195" s="7">
        <v>42832</v>
      </c>
      <c r="S195" s="210">
        <v>3.5</v>
      </c>
      <c r="T195" s="8">
        <v>1.0000972222222222</v>
      </c>
      <c r="U195" s="98">
        <v>3.6121470212092444</v>
      </c>
      <c r="V195" s="106">
        <v>26618.775396858204</v>
      </c>
      <c r="W195" s="10">
        <v>0.46062485113183005</v>
      </c>
      <c r="X195" s="413">
        <v>0.45374294133453802</v>
      </c>
      <c r="Y195" s="414">
        <v>0.29400422948345473</v>
      </c>
      <c r="Z195" s="1"/>
      <c r="AA195" s="1"/>
      <c r="AB195" s="1"/>
      <c r="AC195" s="1"/>
      <c r="AD195" s="1"/>
      <c r="AF195" s="176">
        <v>47515</v>
      </c>
      <c r="AG195" s="177">
        <v>2.5000000000000001E-3</v>
      </c>
      <c r="AH195" s="177">
        <v>2.5000000000000001E-3</v>
      </c>
      <c r="AI195" s="100">
        <v>47523</v>
      </c>
      <c r="AJ195" s="102">
        <v>39180.043500597276</v>
      </c>
      <c r="AL195" s="23"/>
      <c r="AM195" s="23"/>
      <c r="BL195" s="299"/>
    </row>
    <row r="196" spans="17:64">
      <c r="Q196" s="6">
        <v>166</v>
      </c>
      <c r="R196" s="7">
        <v>42833</v>
      </c>
      <c r="S196" s="210">
        <v>3.5</v>
      </c>
      <c r="T196" s="8">
        <v>1.0000972222222222</v>
      </c>
      <c r="U196" s="98">
        <v>3.6121470212092666</v>
      </c>
      <c r="V196" s="106">
        <v>26620.350259339964</v>
      </c>
      <c r="W196" s="10">
        <v>0.46624998062601009</v>
      </c>
      <c r="X196" s="413">
        <v>0.45927990353102027</v>
      </c>
      <c r="Y196" s="414">
        <v>0.29401855933304138</v>
      </c>
      <c r="Z196" s="1"/>
      <c r="AA196" s="1"/>
      <c r="AB196" s="1"/>
      <c r="AC196" s="1"/>
      <c r="AD196" s="1"/>
      <c r="AF196" s="176">
        <v>47543</v>
      </c>
      <c r="AG196" s="177">
        <v>2.5000000000000001E-3</v>
      </c>
      <c r="AH196" s="177">
        <v>2.5000000000000001E-3</v>
      </c>
      <c r="AI196" s="100">
        <v>47551</v>
      </c>
      <c r="AJ196" s="102">
        <v>39277.99360934877</v>
      </c>
      <c r="AL196" s="23"/>
      <c r="AM196" s="23"/>
      <c r="BL196" s="299"/>
    </row>
    <row r="197" spans="17:64">
      <c r="Q197" s="6">
        <v>167</v>
      </c>
      <c r="R197" s="7">
        <v>42834</v>
      </c>
      <c r="S197" s="210">
        <v>3.5</v>
      </c>
      <c r="T197" s="8">
        <v>1.0000972222222222</v>
      </c>
      <c r="U197" s="98">
        <v>3.6121470212092888</v>
      </c>
      <c r="V197" s="106">
        <v>26621.925214996252</v>
      </c>
      <c r="W197" s="10">
        <v>0.47180805263413728</v>
      </c>
      <c r="X197" s="413">
        <v>0.46475086765788548</v>
      </c>
      <c r="Y197" s="414">
        <v>0.29403289011264722</v>
      </c>
      <c r="Z197" s="1"/>
      <c r="AA197" s="1"/>
      <c r="AB197" s="1"/>
      <c r="AC197" s="1"/>
      <c r="AD197" s="1"/>
      <c r="AF197" s="176">
        <v>47574</v>
      </c>
      <c r="AG197" s="177">
        <v>2.5000000000000001E-3</v>
      </c>
      <c r="AH197" s="177">
        <v>2.5000000000000001E-3</v>
      </c>
      <c r="AI197" s="100">
        <v>47582</v>
      </c>
      <c r="AJ197" s="102">
        <v>39376.188593372142</v>
      </c>
      <c r="AL197" s="23"/>
      <c r="AM197" s="23"/>
      <c r="BL197" s="299"/>
    </row>
    <row r="198" spans="17:64">
      <c r="Q198" s="6">
        <v>168</v>
      </c>
      <c r="R198" s="7">
        <v>42835</v>
      </c>
      <c r="S198" s="210">
        <v>3.5</v>
      </c>
      <c r="T198" s="8">
        <v>1.0000972222222222</v>
      </c>
      <c r="U198" s="98">
        <v>3.6121470212092888</v>
      </c>
      <c r="V198" s="106">
        <v>26626.33565631005</v>
      </c>
      <c r="W198" s="10">
        <v>0.45405543822403249</v>
      </c>
      <c r="X198" s="413">
        <v>0.44728803059757016</v>
      </c>
      <c r="Y198" s="414">
        <v>0.29404722182233795</v>
      </c>
      <c r="Z198" s="1"/>
      <c r="AA198" s="1"/>
      <c r="AB198" s="1"/>
      <c r="AC198" s="1"/>
      <c r="AD198" s="1"/>
      <c r="AF198" s="176">
        <v>47604</v>
      </c>
      <c r="AG198" s="177">
        <v>2.5000000000000001E-3</v>
      </c>
      <c r="AH198" s="177">
        <v>2.5000000000000001E-3</v>
      </c>
      <c r="AI198" s="100">
        <v>47612</v>
      </c>
      <c r="AJ198" s="102">
        <v>39474.629064855573</v>
      </c>
      <c r="AL198" s="23"/>
      <c r="AM198" s="23"/>
      <c r="BL198" s="299"/>
    </row>
    <row r="199" spans="17:64">
      <c r="Q199" s="6">
        <v>169</v>
      </c>
      <c r="R199" s="7">
        <v>42836</v>
      </c>
      <c r="S199" s="210">
        <v>3.5</v>
      </c>
      <c r="T199" s="8">
        <v>1.0000972222222222</v>
      </c>
      <c r="U199" s="98">
        <v>3.612147021209311</v>
      </c>
      <c r="V199" s="106">
        <v>26630.746828299492</v>
      </c>
      <c r="W199" s="10">
        <v>0.43651599521887796</v>
      </c>
      <c r="X199" s="413">
        <v>0.43003285414605724</v>
      </c>
      <c r="Y199" s="414">
        <v>0.29406155446218551</v>
      </c>
      <c r="Z199" s="1"/>
      <c r="AA199" s="1"/>
      <c r="AB199" s="1"/>
      <c r="AC199" s="1"/>
      <c r="AD199" s="1"/>
      <c r="AF199" s="176">
        <v>47635</v>
      </c>
      <c r="AG199" s="177">
        <v>2.5000000000000001E-3</v>
      </c>
      <c r="AH199" s="177">
        <v>2.5000000000000001E-3</v>
      </c>
      <c r="AI199" s="100">
        <v>47643</v>
      </c>
      <c r="AJ199" s="102">
        <v>39573.315637517713</v>
      </c>
      <c r="AL199" s="23"/>
      <c r="AM199" s="23"/>
      <c r="BL199" s="299"/>
    </row>
    <row r="200" spans="17:64">
      <c r="Q200" s="6">
        <v>170</v>
      </c>
      <c r="R200" s="7">
        <v>42837</v>
      </c>
      <c r="S200" s="210">
        <v>3.5</v>
      </c>
      <c r="T200" s="8">
        <v>1.0000972222222222</v>
      </c>
      <c r="U200" s="98">
        <v>3.6121470212093332</v>
      </c>
      <c r="V200" s="106">
        <v>26635.158731085645</v>
      </c>
      <c r="W200" s="10">
        <v>0.41918590718887927</v>
      </c>
      <c r="X200" s="413">
        <v>0.41298167363623417</v>
      </c>
      <c r="Y200" s="414">
        <v>0.29407588803225643</v>
      </c>
      <c r="Z200" s="1"/>
      <c r="AA200" s="1"/>
      <c r="AB200" s="1"/>
      <c r="AC200" s="1"/>
      <c r="AD200" s="1"/>
      <c r="AF200" s="176">
        <v>47665</v>
      </c>
      <c r="AG200" s="177">
        <v>2.5000000000000001E-3</v>
      </c>
      <c r="AH200" s="177">
        <v>2.5000000000000001E-3</v>
      </c>
      <c r="AI200" s="100">
        <v>47673</v>
      </c>
      <c r="AJ200" s="102">
        <v>39672.248926611508</v>
      </c>
      <c r="AL200" s="23"/>
      <c r="AM200" s="23"/>
      <c r="BL200" s="299"/>
    </row>
    <row r="201" spans="17:64">
      <c r="Q201" s="6">
        <v>171</v>
      </c>
      <c r="R201" s="7">
        <v>42838</v>
      </c>
      <c r="S201" s="210">
        <v>3.5</v>
      </c>
      <c r="T201" s="8">
        <v>1.0000972222222222</v>
      </c>
      <c r="U201" s="98">
        <v>3.612147021209311</v>
      </c>
      <c r="V201" s="106">
        <v>26639.571364789568</v>
      </c>
      <c r="W201" s="10">
        <v>0.40206144825918333</v>
      </c>
      <c r="X201" s="413">
        <v>0.39613091012438267</v>
      </c>
      <c r="Y201" s="414">
        <v>0.29409022253261541</v>
      </c>
      <c r="Z201" s="1"/>
      <c r="AA201" s="1"/>
      <c r="AB201" s="1"/>
      <c r="AC201" s="1"/>
      <c r="AD201" s="1"/>
      <c r="AF201" s="176">
        <v>47696</v>
      </c>
      <c r="AG201" s="177">
        <v>2.5000000000000001E-3</v>
      </c>
      <c r="AH201" s="177">
        <v>2.5000000000000001E-3</v>
      </c>
      <c r="AI201" s="100">
        <v>47704</v>
      </c>
      <c r="AJ201" s="102">
        <v>39771.429548928034</v>
      </c>
      <c r="AL201" s="23"/>
      <c r="AM201" s="23"/>
      <c r="BL201" s="299"/>
    </row>
    <row r="202" spans="17:64">
      <c r="Q202" s="6">
        <v>172</v>
      </c>
      <c r="R202" s="7">
        <v>42839</v>
      </c>
      <c r="S202" s="210">
        <v>3.5</v>
      </c>
      <c r="T202" s="8">
        <v>1.0000972222222222</v>
      </c>
      <c r="U202" s="98">
        <v>3.612147021209311</v>
      </c>
      <c r="V202" s="106">
        <v>26643.98472953236</v>
      </c>
      <c r="W202" s="10">
        <v>0.38513898043965877</v>
      </c>
      <c r="X202" s="413">
        <v>0.37947706789784769</v>
      </c>
      <c r="Y202" s="414">
        <v>0.29410455796333362</v>
      </c>
      <c r="Z202" s="1"/>
      <c r="AA202" s="1"/>
      <c r="AB202" s="1"/>
      <c r="AC202" s="1"/>
      <c r="AD202" s="1"/>
      <c r="AF202" s="176">
        <v>47727</v>
      </c>
      <c r="AG202" s="177">
        <v>2.5000000000000001E-3</v>
      </c>
      <c r="AH202" s="177">
        <v>2.5000000000000001E-3</v>
      </c>
      <c r="AI202" s="100">
        <v>47735</v>
      </c>
      <c r="AJ202" s="102">
        <v>39870.858122800353</v>
      </c>
      <c r="AL202" s="23"/>
      <c r="AM202" s="23"/>
      <c r="BL202" s="299"/>
    </row>
    <row r="203" spans="17:64">
      <c r="Q203" s="6">
        <v>173</v>
      </c>
      <c r="R203" s="7">
        <v>42840</v>
      </c>
      <c r="S203" s="210">
        <v>3.5</v>
      </c>
      <c r="T203" s="8">
        <v>1.0000972222222222</v>
      </c>
      <c r="U203" s="98">
        <v>3.6121470212093332</v>
      </c>
      <c r="V203" s="106">
        <v>26648.398825435124</v>
      </c>
      <c r="W203" s="10">
        <v>0.36841495104960043</v>
      </c>
      <c r="X203" s="413">
        <v>0.36301673207002394</v>
      </c>
      <c r="Y203" s="414">
        <v>0.29411889432448046</v>
      </c>
      <c r="Z203" s="1"/>
      <c r="AA203" s="1"/>
      <c r="AB203" s="1"/>
      <c r="AC203" s="1"/>
      <c r="AD203" s="1"/>
      <c r="AF203" s="176">
        <v>47757</v>
      </c>
      <c r="AG203" s="177">
        <v>2.5000000000000001E-3</v>
      </c>
      <c r="AH203" s="177">
        <v>2.5000000000000001E-3</v>
      </c>
      <c r="AI203" s="100">
        <v>47765</v>
      </c>
      <c r="AJ203" s="102">
        <v>39970.535268107349</v>
      </c>
      <c r="AL203" s="23"/>
      <c r="AM203" s="23"/>
      <c r="BL203" s="299"/>
    </row>
    <row r="204" spans="17:64">
      <c r="Q204" s="6">
        <v>174</v>
      </c>
      <c r="R204" s="7">
        <v>42841</v>
      </c>
      <c r="S204" s="210">
        <v>3.5</v>
      </c>
      <c r="T204" s="8">
        <v>1.0000972222222222</v>
      </c>
      <c r="U204" s="98">
        <v>3.6121470212093332</v>
      </c>
      <c r="V204" s="106">
        <v>26652.813652618992</v>
      </c>
      <c r="W204" s="10">
        <v>0.35188589023107397</v>
      </c>
      <c r="X204" s="413">
        <v>0.3467465662571248</v>
      </c>
      <c r="Y204" s="414">
        <v>0.29413323161612004</v>
      </c>
      <c r="Z204" s="1"/>
      <c r="AA204" s="1"/>
      <c r="AB204" s="1"/>
      <c r="AC204" s="1"/>
      <c r="AD204" s="1"/>
      <c r="AF204" s="176">
        <v>47788</v>
      </c>
      <c r="AG204" s="177">
        <v>2.5000000000000001E-3</v>
      </c>
      <c r="AH204" s="177">
        <v>2.5000000000000001E-3</v>
      </c>
      <c r="AI204" s="100">
        <v>47796</v>
      </c>
      <c r="AJ204" s="102">
        <v>40070.461606277619</v>
      </c>
      <c r="AL204" s="23"/>
      <c r="AM204" s="23"/>
      <c r="BL204" s="299"/>
    </row>
    <row r="205" spans="17:64">
      <c r="Q205" s="6">
        <v>175</v>
      </c>
      <c r="R205" s="7">
        <v>42842</v>
      </c>
      <c r="S205" s="210">
        <v>3.5</v>
      </c>
      <c r="T205" s="8">
        <v>1.0000972222222222</v>
      </c>
      <c r="U205" s="98">
        <v>3.6121470212093554</v>
      </c>
      <c r="V205" s="106">
        <v>26657.229211205122</v>
      </c>
      <c r="W205" s="10">
        <v>0.3355484085501681</v>
      </c>
      <c r="X205" s="413">
        <v>0.3306633103357472</v>
      </c>
      <c r="Y205" s="414">
        <v>0.29414756983832241</v>
      </c>
      <c r="Z205" s="1"/>
      <c r="AA205" s="1"/>
      <c r="AB205" s="1"/>
      <c r="AC205" s="1"/>
      <c r="AD205" s="1"/>
      <c r="AF205" s="176">
        <v>47818</v>
      </c>
      <c r="AG205" s="177">
        <v>2.5000000000000001E-3</v>
      </c>
      <c r="AH205" s="177">
        <v>2.5000000000000001E-3</v>
      </c>
      <c r="AI205" s="100">
        <v>47826</v>
      </c>
      <c r="AJ205" s="102">
        <v>40170.637760293313</v>
      </c>
      <c r="AL205" s="23"/>
      <c r="AM205" s="23"/>
      <c r="BL205" s="299"/>
    </row>
    <row r="206" spans="17:64">
      <c r="Q206" s="6">
        <v>176</v>
      </c>
      <c r="R206" s="7">
        <v>42843</v>
      </c>
      <c r="S206" s="210">
        <v>3.5</v>
      </c>
      <c r="T206" s="8">
        <v>1.0000972222222222</v>
      </c>
      <c r="U206" s="98">
        <v>3.6121470212093776</v>
      </c>
      <c r="V206" s="106">
        <v>26661.645501314681</v>
      </c>
      <c r="W206" s="10">
        <v>0.31939919468015887</v>
      </c>
      <c r="X206" s="413">
        <v>0.31476377827611096</v>
      </c>
      <c r="Y206" s="414">
        <v>0.29416190899115618</v>
      </c>
      <c r="Z206" s="1"/>
      <c r="AA206" s="1"/>
      <c r="AB206" s="1"/>
      <c r="AC206" s="1"/>
      <c r="AD206" s="1"/>
      <c r="AF206" s="176">
        <v>47849</v>
      </c>
      <c r="AG206" s="177">
        <v>2.5000000000000001E-3</v>
      </c>
      <c r="AH206" s="177">
        <v>2.5000000000000001E-3</v>
      </c>
      <c r="AI206" s="100">
        <v>47857</v>
      </c>
      <c r="AJ206" s="102">
        <v>40271.064354694048</v>
      </c>
      <c r="AL206" s="23"/>
      <c r="AM206" s="23"/>
      <c r="BL206" s="299"/>
    </row>
    <row r="207" spans="17:64">
      <c r="Q207" s="6">
        <v>177</v>
      </c>
      <c r="R207" s="7">
        <v>42844</v>
      </c>
      <c r="S207" s="210">
        <v>3.5</v>
      </c>
      <c r="T207" s="8">
        <v>1.0000972222222222</v>
      </c>
      <c r="U207" s="98">
        <v>3.6121470212093554</v>
      </c>
      <c r="V207" s="106">
        <v>26666.06252306886</v>
      </c>
      <c r="W207" s="10">
        <v>0.30343501316472121</v>
      </c>
      <c r="X207" s="413">
        <v>0.29904485604910891</v>
      </c>
      <c r="Y207" s="414">
        <v>0.29417624907468465</v>
      </c>
      <c r="Z207" s="1"/>
      <c r="AA207" s="1"/>
      <c r="AB207" s="1"/>
      <c r="AC207" s="1"/>
      <c r="AD207" s="1"/>
      <c r="AF207" s="176">
        <v>47880</v>
      </c>
      <c r="AG207" s="177">
        <v>2.5000000000000001E-3</v>
      </c>
      <c r="AH207" s="177">
        <v>2.5000000000000001E-3</v>
      </c>
      <c r="AI207" s="100">
        <v>47888</v>
      </c>
      <c r="AJ207" s="102">
        <v>40371.742015580778</v>
      </c>
      <c r="AL207" s="23"/>
      <c r="AM207" s="23"/>
      <c r="BL207" s="299"/>
    </row>
    <row r="208" spans="17:64">
      <c r="Q208" s="6">
        <v>178</v>
      </c>
      <c r="R208" s="7">
        <v>42845</v>
      </c>
      <c r="S208" s="210">
        <v>3.5</v>
      </c>
      <c r="T208" s="8">
        <v>1.0000972222222222</v>
      </c>
      <c r="U208" s="98">
        <v>3.6121470212093554</v>
      </c>
      <c r="V208" s="106">
        <v>26670.480276588867</v>
      </c>
      <c r="W208" s="10">
        <v>0.28765270225765693</v>
      </c>
      <c r="X208" s="413">
        <v>0.28350349960399568</v>
      </c>
      <c r="Y208" s="414">
        <v>0.29419059008898085</v>
      </c>
      <c r="Z208" s="1"/>
      <c r="AA208" s="1"/>
      <c r="AB208" s="1"/>
      <c r="AC208" s="1"/>
      <c r="AD208" s="1"/>
      <c r="AF208" s="176">
        <v>47908</v>
      </c>
      <c r="AG208" s="177">
        <v>2.5000000000000001E-3</v>
      </c>
      <c r="AH208" s="177">
        <v>2.5000000000000001E-3</v>
      </c>
      <c r="AI208" s="100">
        <v>47916</v>
      </c>
      <c r="AJ208" s="102">
        <v>40472.671370619726</v>
      </c>
      <c r="AL208" s="23"/>
      <c r="AM208" s="23"/>
      <c r="BL208" s="299"/>
    </row>
    <row r="209" spans="17:64">
      <c r="Q209" s="6">
        <v>179</v>
      </c>
      <c r="R209" s="7">
        <v>42846</v>
      </c>
      <c r="S209" s="210">
        <v>3.5</v>
      </c>
      <c r="T209" s="8">
        <v>1.0000972222222222</v>
      </c>
      <c r="U209" s="98">
        <v>3.6121470212093776</v>
      </c>
      <c r="V209" s="106">
        <v>26674.898761995937</v>
      </c>
      <c r="W209" s="10">
        <v>0.272049171835409</v>
      </c>
      <c r="X209" s="413">
        <v>0.26813673291332762</v>
      </c>
      <c r="Y209" s="414">
        <v>0.29420493203411247</v>
      </c>
      <c r="Z209" s="1"/>
      <c r="AA209" s="1"/>
      <c r="AB209" s="1"/>
      <c r="AC209" s="1"/>
      <c r="AD209" s="1"/>
      <c r="AF209" s="176">
        <v>47939</v>
      </c>
      <c r="AG209" s="177">
        <v>2.5000000000000001E-3</v>
      </c>
      <c r="AH209" s="177">
        <v>2.5000000000000001E-3</v>
      </c>
      <c r="AI209" s="100">
        <v>47947</v>
      </c>
      <c r="AJ209" s="102">
        <v>40573.853049046273</v>
      </c>
      <c r="AL209" s="23"/>
      <c r="AM209" s="23"/>
      <c r="BL209" s="299"/>
    </row>
    <row r="210" spans="17:64">
      <c r="Q210" s="6">
        <v>180</v>
      </c>
      <c r="R210" s="7">
        <v>42847</v>
      </c>
      <c r="S210" s="210">
        <v>3.5</v>
      </c>
      <c r="T210" s="8">
        <v>1.0000972222222222</v>
      </c>
      <c r="U210" s="98">
        <v>3.6121470212093776</v>
      </c>
      <c r="V210" s="106">
        <v>26679.31797941132</v>
      </c>
      <c r="W210" s="10">
        <v>0.25662140138091871</v>
      </c>
      <c r="X210" s="413">
        <v>0.25294164608369307</v>
      </c>
      <c r="Y210" s="414">
        <v>0.29421927491014577</v>
      </c>
      <c r="Z210" s="1"/>
      <c r="AA210" s="1"/>
      <c r="AB210" s="1"/>
      <c r="AC210" s="1"/>
      <c r="AD210" s="1"/>
      <c r="AF210" s="176">
        <v>47969</v>
      </c>
      <c r="AG210" s="177">
        <v>2.5000000000000001E-3</v>
      </c>
      <c r="AH210" s="177">
        <v>2.5000000000000001E-3</v>
      </c>
      <c r="AI210" s="100">
        <v>47977</v>
      </c>
      <c r="AJ210" s="102">
        <v>40675.287681668888</v>
      </c>
      <c r="AL210" s="23"/>
      <c r="AM210" s="23"/>
      <c r="BL210" s="299"/>
    </row>
    <row r="211" spans="17:64">
      <c r="Q211" s="6">
        <v>181</v>
      </c>
      <c r="R211" s="7">
        <v>42848</v>
      </c>
      <c r="S211" s="210">
        <v>3.5</v>
      </c>
      <c r="T211" s="8">
        <v>1.0000972222222222</v>
      </c>
      <c r="U211" s="98">
        <v>3.6121470212093998</v>
      </c>
      <c r="V211" s="106">
        <v>26683.737928956292</v>
      </c>
      <c r="W211" s="10">
        <v>0.24136643803456259</v>
      </c>
      <c r="X211" s="413">
        <v>0.23791539352862881</v>
      </c>
      <c r="Y211" s="414">
        <v>0.29423361871714915</v>
      </c>
      <c r="Z211" s="1"/>
      <c r="AA211" s="1"/>
      <c r="AB211" s="1"/>
      <c r="AC211" s="1"/>
      <c r="AD211" s="1"/>
      <c r="AF211" s="176">
        <v>48000</v>
      </c>
      <c r="AG211" s="177">
        <v>2.5000000000000001E-3</v>
      </c>
      <c r="AH211" s="177">
        <v>2.5000000000000001E-3</v>
      </c>
      <c r="AI211" s="100">
        <v>48008</v>
      </c>
      <c r="AJ211" s="102">
        <v>40776.975900873054</v>
      </c>
      <c r="AL211" s="23"/>
      <c r="AM211" s="23"/>
      <c r="BL211" s="299"/>
    </row>
    <row r="212" spans="17:64">
      <c r="Q212" s="6">
        <v>182</v>
      </c>
      <c r="R212" s="7">
        <v>42849</v>
      </c>
      <c r="S212" s="210">
        <v>3.5</v>
      </c>
      <c r="T212" s="8">
        <v>1.0000972222222222</v>
      </c>
      <c r="U212" s="98">
        <v>3.612147021209422</v>
      </c>
      <c r="V212" s="106">
        <v>26688.15861075214</v>
      </c>
      <c r="W212" s="10">
        <v>0.226281394710659</v>
      </c>
      <c r="X212" s="413">
        <v>0.22305519220216516</v>
      </c>
      <c r="Y212" s="414">
        <v>0.29424796345518944</v>
      </c>
      <c r="Z212" s="1"/>
      <c r="AA212" s="1"/>
      <c r="AB212" s="1"/>
      <c r="AC212" s="1"/>
      <c r="AD212" s="1"/>
      <c r="AF212" s="176">
        <v>48030</v>
      </c>
      <c r="AG212" s="177">
        <v>2.5000000000000001E-3</v>
      </c>
      <c r="AH212" s="177">
        <v>2.5000000000000001E-3</v>
      </c>
      <c r="AI212" s="100">
        <v>48038</v>
      </c>
      <c r="AJ212" s="102">
        <v>40878.918340625234</v>
      </c>
      <c r="AL212" s="23"/>
      <c r="AM212" s="23"/>
      <c r="BL212" s="299"/>
    </row>
    <row r="213" spans="17:64">
      <c r="Q213" s="6">
        <v>183</v>
      </c>
      <c r="R213" s="7">
        <v>42850</v>
      </c>
      <c r="S213" s="210">
        <v>3.5</v>
      </c>
      <c r="T213" s="8">
        <v>1.0000972222222222</v>
      </c>
      <c r="U213" s="98">
        <v>3.612147021209422</v>
      </c>
      <c r="V213" s="106">
        <v>26692.580024920175</v>
      </c>
      <c r="W213" s="10">
        <v>0.2113634482762583</v>
      </c>
      <c r="X213" s="413">
        <v>0.20835831988989464</v>
      </c>
      <c r="Y213" s="414">
        <v>0.29426230912433593</v>
      </c>
      <c r="Z213" s="1"/>
      <c r="AA213" s="1"/>
      <c r="AB213" s="1"/>
      <c r="AC213" s="1"/>
      <c r="AD213" s="1"/>
      <c r="AF213" s="176">
        <v>48061</v>
      </c>
      <c r="AG213" s="177">
        <v>2.5000000000000001E-3</v>
      </c>
      <c r="AH213" s="177">
        <v>2.5000000000000001E-3</v>
      </c>
      <c r="AI213" s="100">
        <v>48069</v>
      </c>
      <c r="AJ213" s="102">
        <v>40981.115636476796</v>
      </c>
      <c r="AL213" s="23"/>
      <c r="AM213" s="23"/>
      <c r="BL213" s="299"/>
    </row>
    <row r="214" spans="17:64">
      <c r="Q214" s="6">
        <v>184</v>
      </c>
      <c r="R214" s="7">
        <v>42851</v>
      </c>
      <c r="S214" s="210">
        <v>3.5</v>
      </c>
      <c r="T214" s="8">
        <v>1.0000972222222222</v>
      </c>
      <c r="U214" s="98">
        <v>3.612147021209422</v>
      </c>
      <c r="V214" s="106">
        <v>26697.002171581731</v>
      </c>
      <c r="W214" s="10">
        <v>0.19660983779001828</v>
      </c>
      <c r="X214" s="413">
        <v>0.1938221135558536</v>
      </c>
      <c r="Y214" s="414">
        <v>0.29427665572465606</v>
      </c>
      <c r="Z214" s="1"/>
      <c r="AA214" s="1"/>
      <c r="AB214" s="1"/>
      <c r="AC214" s="1"/>
      <c r="AD214" s="1"/>
      <c r="AF214" s="176">
        <v>48092</v>
      </c>
      <c r="AG214" s="177">
        <v>2.5000000000000001E-3</v>
      </c>
      <c r="AH214" s="177">
        <v>2.5000000000000001E-3</v>
      </c>
      <c r="AI214" s="100">
        <v>48100</v>
      </c>
      <c r="AJ214" s="102">
        <v>41083.568425567988</v>
      </c>
      <c r="AL214" s="23"/>
      <c r="AM214" s="23"/>
      <c r="BL214" s="299"/>
    </row>
    <row r="215" spans="17:64">
      <c r="Q215" s="6">
        <v>185</v>
      </c>
      <c r="R215" s="7">
        <v>42852</v>
      </c>
      <c r="S215" s="210">
        <v>3.5</v>
      </c>
      <c r="T215" s="8">
        <v>1.0000972222222222</v>
      </c>
      <c r="U215" s="98">
        <v>3.612147021209422</v>
      </c>
      <c r="V215" s="106">
        <v>26701.425050858154</v>
      </c>
      <c r="W215" s="10">
        <v>0.18201786279961052</v>
      </c>
      <c r="X215" s="413">
        <v>0.17944396774349358</v>
      </c>
      <c r="Y215" s="414">
        <v>0.29429100325621604</v>
      </c>
      <c r="Z215" s="1"/>
      <c r="AA215" s="1"/>
      <c r="AB215" s="1"/>
      <c r="AC215" s="1"/>
      <c r="AD215" s="1"/>
      <c r="AF215" s="176">
        <v>48122</v>
      </c>
      <c r="AG215" s="177">
        <v>2.5000000000000001E-3</v>
      </c>
      <c r="AH215" s="177">
        <v>2.5000000000000001E-3</v>
      </c>
      <c r="AI215" s="100">
        <v>48130</v>
      </c>
      <c r="AJ215" s="102">
        <v>41186.277346631905</v>
      </c>
      <c r="AL215" s="23"/>
      <c r="AM215" s="23"/>
      <c r="BL215" s="299"/>
    </row>
    <row r="216" spans="17:64">
      <c r="Q216" s="6">
        <v>186</v>
      </c>
      <c r="R216" s="7">
        <v>42853</v>
      </c>
      <c r="S216" s="210">
        <v>3.5</v>
      </c>
      <c r="T216" s="8">
        <v>1.0000972222222222</v>
      </c>
      <c r="U216" s="98">
        <v>3.612147021209422</v>
      </c>
      <c r="V216" s="106">
        <v>26705.848662870827</v>
      </c>
      <c r="W216" s="10">
        <v>0.16758488169379415</v>
      </c>
      <c r="X216" s="413">
        <v>0.16522133302741782</v>
      </c>
      <c r="Y216" s="414">
        <v>0.29430535171908762</v>
      </c>
      <c r="Z216" s="1"/>
      <c r="AA216" s="1"/>
      <c r="AB216" s="1"/>
      <c r="AC216" s="1"/>
      <c r="AD216" s="1"/>
      <c r="AF216" s="176">
        <v>48153</v>
      </c>
      <c r="AG216" s="177">
        <v>2.5000000000000001E-3</v>
      </c>
      <c r="AH216" s="177">
        <v>2.5000000000000001E-3</v>
      </c>
      <c r="AI216" s="100">
        <v>48161</v>
      </c>
      <c r="AJ216" s="102">
        <v>41289.243039998481</v>
      </c>
      <c r="AL216" s="23"/>
      <c r="AM216" s="23"/>
      <c r="BL216" s="299"/>
    </row>
    <row r="217" spans="17:64">
      <c r="Q217" s="6">
        <v>187</v>
      </c>
      <c r="R217" s="7">
        <v>42854</v>
      </c>
      <c r="S217" s="210">
        <v>3.5</v>
      </c>
      <c r="T217" s="8">
        <v>1.0000972222222222</v>
      </c>
      <c r="U217" s="98">
        <v>3.612147021209422</v>
      </c>
      <c r="V217" s="106">
        <v>26710.273007741136</v>
      </c>
      <c r="W217" s="10">
        <v>0.15330831010873514</v>
      </c>
      <c r="X217" s="413">
        <v>0.15115171451539305</v>
      </c>
      <c r="Y217" s="414">
        <v>0.29431970111333416</v>
      </c>
      <c r="Z217" s="1"/>
      <c r="AA217" s="1"/>
      <c r="AB217" s="1"/>
      <c r="AC217" s="1"/>
      <c r="AD217" s="1"/>
      <c r="AF217" s="176">
        <v>48183</v>
      </c>
      <c r="AG217" s="177">
        <v>2.5000000000000001E-3</v>
      </c>
      <c r="AH217" s="177">
        <v>2.5000000000000001E-3</v>
      </c>
      <c r="AI217" s="100">
        <v>48191</v>
      </c>
      <c r="AJ217" s="102">
        <v>41392.466147598476</v>
      </c>
      <c r="AL217" s="23"/>
      <c r="AM217" s="23"/>
      <c r="BL217" s="299"/>
    </row>
    <row r="218" spans="17:64">
      <c r="Q218" s="6">
        <v>188</v>
      </c>
      <c r="R218" s="7">
        <v>42855</v>
      </c>
      <c r="S218" s="210">
        <v>3.5</v>
      </c>
      <c r="T218" s="8">
        <v>1.0000972222222222</v>
      </c>
      <c r="U218" s="98">
        <v>3.612147021209422</v>
      </c>
      <c r="V218" s="106">
        <v>26714.698085590488</v>
      </c>
      <c r="W218" s="10">
        <v>0.13918561938579543</v>
      </c>
      <c r="X218" s="413">
        <v>0.13723267039812723</v>
      </c>
      <c r="Y218" s="414">
        <v>0.29433405143902808</v>
      </c>
      <c r="Z218" s="1"/>
      <c r="AA218" s="1"/>
      <c r="AB218" s="1"/>
      <c r="AC218" s="1"/>
      <c r="AD218" s="1"/>
      <c r="AF218" s="176">
        <v>48214</v>
      </c>
      <c r="AG218" s="177">
        <v>2.5000000000000001E-3</v>
      </c>
      <c r="AH218" s="177">
        <v>2.5000000000000001E-3</v>
      </c>
      <c r="AI218" s="100">
        <v>48222</v>
      </c>
      <c r="AJ218" s="102">
        <v>41495.947312967473</v>
      </c>
      <c r="AL218" s="23"/>
      <c r="AM218" s="23"/>
      <c r="BL218" s="299"/>
    </row>
    <row r="219" spans="17:64">
      <c r="Q219" s="6">
        <v>189</v>
      </c>
      <c r="R219" s="7">
        <v>42856</v>
      </c>
      <c r="S219" s="210">
        <v>3.5</v>
      </c>
      <c r="T219" s="8">
        <v>1.0000972222222222</v>
      </c>
      <c r="U219" s="98">
        <v>3.612147021209422</v>
      </c>
      <c r="V219" s="106">
        <v>26719.123896540321</v>
      </c>
      <c r="W219" s="10">
        <v>0.12521433507859392</v>
      </c>
      <c r="X219" s="413">
        <v>0.12346181054474704</v>
      </c>
      <c r="Y219" s="414">
        <v>0.29434840269623685</v>
      </c>
      <c r="Z219" s="1"/>
      <c r="AA219" s="1"/>
      <c r="AB219" s="1"/>
      <c r="AC219" s="1"/>
      <c r="AD219" s="1"/>
      <c r="AF219" s="176">
        <v>48245</v>
      </c>
      <c r="AG219" s="177">
        <v>2.5000000000000001E-3</v>
      </c>
      <c r="AH219" s="177">
        <v>2.5000000000000001E-3</v>
      </c>
      <c r="AI219" s="100">
        <v>48253</v>
      </c>
      <c r="AJ219" s="102">
        <v>41599.687181249887</v>
      </c>
      <c r="AL219" s="23"/>
      <c r="AM219" s="23"/>
      <c r="BL219" s="299"/>
    </row>
    <row r="220" spans="17:64">
      <c r="Q220" s="6">
        <v>190</v>
      </c>
      <c r="R220" s="7">
        <v>42857</v>
      </c>
      <c r="S220" s="210">
        <v>3.5</v>
      </c>
      <c r="T220" s="8">
        <v>1.0000972222222222</v>
      </c>
      <c r="U220" s="98">
        <v>3.6121470212094442</v>
      </c>
      <c r="V220" s="106">
        <v>26723.55044071209</v>
      </c>
      <c r="W220" s="10">
        <v>0.11139203550791787</v>
      </c>
      <c r="X220" s="413">
        <v>0.10983679514283988</v>
      </c>
      <c r="Y220" s="414">
        <v>0.29436275488502645</v>
      </c>
      <c r="Z220" s="1"/>
      <c r="AA220" s="1"/>
      <c r="AB220" s="1"/>
      <c r="AC220" s="1"/>
      <c r="AD220" s="1"/>
      <c r="AF220" s="176">
        <v>48274</v>
      </c>
      <c r="AG220" s="177">
        <v>2.5000000000000001E-3</v>
      </c>
      <c r="AH220" s="177">
        <v>2.5000000000000001E-3</v>
      </c>
      <c r="AI220" s="100">
        <v>48282</v>
      </c>
      <c r="AJ220" s="102">
        <v>41703.686399203012</v>
      </c>
      <c r="AL220" s="23"/>
      <c r="AM220" s="23"/>
      <c r="BL220" s="299"/>
    </row>
    <row r="221" spans="17:64">
      <c r="Q221" s="6">
        <v>191</v>
      </c>
      <c r="R221" s="7">
        <v>42858</v>
      </c>
      <c r="S221" s="210">
        <v>3.5</v>
      </c>
      <c r="T221" s="8">
        <v>1.0000972222222222</v>
      </c>
      <c r="U221" s="98">
        <v>3.6121470212094442</v>
      </c>
      <c r="V221" s="106">
        <v>26727.977718227266</v>
      </c>
      <c r="W221" s="10">
        <v>9.7716350363041826E-2</v>
      </c>
      <c r="X221" s="413">
        <v>9.6355333381509395E-2</v>
      </c>
      <c r="Y221" s="414">
        <v>0.29437710800546507</v>
      </c>
      <c r="Z221" s="1"/>
      <c r="AA221" s="1"/>
      <c r="AB221" s="1"/>
      <c r="AC221" s="1"/>
      <c r="AD221" s="1"/>
      <c r="AF221" s="176">
        <v>48305</v>
      </c>
      <c r="AG221" s="177">
        <v>2.5000000000000001E-3</v>
      </c>
      <c r="AH221" s="177">
        <v>2.5000000000000001E-3</v>
      </c>
      <c r="AI221" s="100">
        <v>48313</v>
      </c>
      <c r="AJ221" s="102">
        <v>41807.945615201017</v>
      </c>
      <c r="AL221" s="23"/>
      <c r="AM221" s="23"/>
      <c r="BL221" s="299"/>
    </row>
    <row r="222" spans="17:64">
      <c r="Q222" s="6">
        <v>192</v>
      </c>
      <c r="R222" s="7">
        <v>42859</v>
      </c>
      <c r="S222" s="210">
        <v>3.5</v>
      </c>
      <c r="T222" s="8">
        <v>1.0000972222222222</v>
      </c>
      <c r="U222" s="98">
        <v>3.612147021209422</v>
      </c>
      <c r="V222" s="106">
        <v>26732.405729207338</v>
      </c>
      <c r="W222" s="10">
        <v>8.4184959346544908E-2</v>
      </c>
      <c r="X222" s="413">
        <v>8.3015182174919766E-2</v>
      </c>
      <c r="Y222" s="414">
        <v>0.29439146205761935</v>
      </c>
      <c r="Z222" s="1"/>
      <c r="AA222" s="1"/>
      <c r="AB222" s="1"/>
      <c r="AC222" s="1"/>
      <c r="AD222" s="1"/>
      <c r="AF222" s="176">
        <v>48335</v>
      </c>
      <c r="AG222" s="177">
        <v>2.5000000000000001E-3</v>
      </c>
      <c r="AH222" s="177">
        <v>2.5000000000000001E-3</v>
      </c>
      <c r="AI222" s="100">
        <v>48343</v>
      </c>
      <c r="AJ222" s="102">
        <v>41912.465479239014</v>
      </c>
      <c r="AL222" s="23"/>
      <c r="AM222" s="23"/>
      <c r="BL222" s="299"/>
    </row>
    <row r="223" spans="17:64">
      <c r="Q223" s="6">
        <v>193</v>
      </c>
      <c r="R223" s="7">
        <v>42860</v>
      </c>
      <c r="S223" s="210">
        <v>3.5</v>
      </c>
      <c r="T223" s="8">
        <v>1.0000972222222222</v>
      </c>
      <c r="U223" s="98">
        <v>3.612147021209422</v>
      </c>
      <c r="V223" s="106">
        <v>26736.834473773819</v>
      </c>
      <c r="W223" s="10">
        <v>7.0795590862604563E-2</v>
      </c>
      <c r="X223" s="413">
        <v>6.9814144926226396E-2</v>
      </c>
      <c r="Y223" s="414">
        <v>0.29440581704156155</v>
      </c>
      <c r="Z223" s="1"/>
      <c r="AA223" s="1"/>
      <c r="AB223" s="1"/>
      <c r="AC223" s="1"/>
      <c r="AD223" s="1"/>
      <c r="AF223" s="176">
        <v>48366</v>
      </c>
      <c r="AG223" s="177">
        <v>2.5000000000000001E-3</v>
      </c>
      <c r="AH223" s="177">
        <v>2.5000000000000001E-3</v>
      </c>
      <c r="AI223" s="100">
        <v>48374</v>
      </c>
      <c r="AJ223" s="102">
        <v>42017.246642937112</v>
      </c>
      <c r="AL223" s="23"/>
      <c r="AM223" s="23"/>
      <c r="BL223" s="299"/>
    </row>
    <row r="224" spans="17:64">
      <c r="Q224" s="6">
        <v>194</v>
      </c>
      <c r="R224" s="7">
        <v>42861</v>
      </c>
      <c r="S224" s="210">
        <v>3.5</v>
      </c>
      <c r="T224" s="8">
        <v>1.0000972222222222</v>
      </c>
      <c r="U224" s="98">
        <v>3.612147021209422</v>
      </c>
      <c r="V224" s="106">
        <v>26741.263952048241</v>
      </c>
      <c r="W224" s="10">
        <v>5.7546020745591342E-2</v>
      </c>
      <c r="X224" s="413">
        <v>5.6750070329076495E-2</v>
      </c>
      <c r="Y224" s="414">
        <v>0.29442017295735545</v>
      </c>
      <c r="Z224" s="1"/>
      <c r="AA224" s="1"/>
      <c r="AB224" s="1"/>
      <c r="AC224" s="1"/>
      <c r="AD224" s="1"/>
      <c r="AF224" s="176">
        <v>48396</v>
      </c>
      <c r="AG224" s="177">
        <v>2.5000000000000001E-3</v>
      </c>
      <c r="AH224" s="177">
        <v>2.5000000000000001E-3</v>
      </c>
      <c r="AI224" s="100">
        <v>48404</v>
      </c>
      <c r="AJ224" s="102">
        <v>42122.289759544452</v>
      </c>
      <c r="AL224" s="23"/>
      <c r="AM224" s="23"/>
      <c r="BL224" s="299"/>
    </row>
    <row r="225" spans="17:64">
      <c r="Q225" s="6">
        <v>195</v>
      </c>
      <c r="R225" s="7">
        <v>42862</v>
      </c>
      <c r="S225" s="210">
        <v>3.5</v>
      </c>
      <c r="T225" s="8">
        <v>1.0000972222222222</v>
      </c>
      <c r="U225" s="98">
        <v>3.6121470212093998</v>
      </c>
      <c r="V225" s="106">
        <v>26745.694164152166</v>
      </c>
      <c r="W225" s="10">
        <v>4.4434071028787159E-2</v>
      </c>
      <c r="X225" s="413">
        <v>4.3820851206519344E-2</v>
      </c>
      <c r="Y225" s="414">
        <v>0.29443452980507057</v>
      </c>
      <c r="Z225" s="1"/>
      <c r="AA225" s="1"/>
      <c r="AB225" s="1"/>
      <c r="AC225" s="1"/>
      <c r="AD225" s="1"/>
      <c r="AF225" s="176">
        <v>48427</v>
      </c>
      <c r="AG225" s="177">
        <v>2.5000000000000001E-3</v>
      </c>
      <c r="AH225" s="177">
        <v>2.5000000000000001E-3</v>
      </c>
      <c r="AI225" s="100">
        <v>48435</v>
      </c>
      <c r="AJ225" s="102">
        <v>42227.595483943311</v>
      </c>
      <c r="AL225" s="23"/>
      <c r="AM225" s="23"/>
      <c r="BL225" s="299"/>
    </row>
    <row r="226" spans="17:64">
      <c r="Q226" s="6">
        <v>196</v>
      </c>
      <c r="R226" s="7">
        <v>42863</v>
      </c>
      <c r="S226" s="210">
        <v>3.5</v>
      </c>
      <c r="T226" s="8">
        <v>1.0000972222222222</v>
      </c>
      <c r="U226" s="98">
        <v>3.612147021209422</v>
      </c>
      <c r="V226" s="106">
        <v>26750.125110207158</v>
      </c>
      <c r="W226" s="10">
        <v>3.1457608751339627E-2</v>
      </c>
      <c r="X226" s="413">
        <v>3.1024423385337802E-2</v>
      </c>
      <c r="Y226" s="414">
        <v>0.29444888758477822</v>
      </c>
      <c r="Z226" s="1"/>
      <c r="AA226" s="1"/>
      <c r="AB226" s="1"/>
      <c r="AC226" s="1"/>
      <c r="AD226" s="1"/>
      <c r="AF226" s="176">
        <v>48458</v>
      </c>
      <c r="AG226" s="177">
        <v>2.5000000000000001E-3</v>
      </c>
      <c r="AH226" s="177">
        <v>2.5000000000000001E-3</v>
      </c>
      <c r="AI226" s="100">
        <v>48466</v>
      </c>
      <c r="AJ226" s="102">
        <v>42333.164472653167</v>
      </c>
      <c r="AL226" s="23"/>
      <c r="AM226" s="23"/>
      <c r="BL226" s="299"/>
    </row>
    <row r="227" spans="17:64">
      <c r="Q227" s="6">
        <v>197</v>
      </c>
      <c r="R227" s="7">
        <v>42864</v>
      </c>
      <c r="S227" s="210">
        <v>3.5</v>
      </c>
      <c r="T227" s="8">
        <v>1.0000972222222222</v>
      </c>
      <c r="U227" s="98">
        <v>3.612147021209422</v>
      </c>
      <c r="V227" s="106">
        <v>26754.556790334813</v>
      </c>
      <c r="W227" s="10">
        <v>1.861454480145408E-2</v>
      </c>
      <c r="X227" s="413">
        <v>1.8358764604380136E-2</v>
      </c>
      <c r="Y227" s="414">
        <v>0.29446324629654158</v>
      </c>
      <c r="Z227" s="1"/>
      <c r="AA227" s="1"/>
      <c r="AB227" s="1"/>
      <c r="AC227" s="1"/>
      <c r="AD227" s="1"/>
      <c r="AF227" s="176">
        <v>48488</v>
      </c>
      <c r="AG227" s="177">
        <v>2.5000000000000001E-3</v>
      </c>
      <c r="AH227" s="177">
        <v>2.5000000000000001E-3</v>
      </c>
      <c r="AI227" s="100">
        <v>48496</v>
      </c>
      <c r="AJ227" s="102">
        <v>42438.997383834794</v>
      </c>
      <c r="AL227" s="23"/>
      <c r="AM227" s="23"/>
      <c r="BL227" s="299"/>
    </row>
    <row r="228" spans="17:64">
      <c r="Q228" s="6">
        <v>198</v>
      </c>
      <c r="R228" s="7">
        <v>42865</v>
      </c>
      <c r="S228" s="210">
        <v>3.5</v>
      </c>
      <c r="T228" s="8">
        <v>1.0000972222222222</v>
      </c>
      <c r="U228" s="98">
        <v>3.6121470212093998</v>
      </c>
      <c r="V228" s="106">
        <v>26756.816100905224</v>
      </c>
      <c r="W228" s="10">
        <v>2.0876018515769701E-2</v>
      </c>
      <c r="X228" s="413">
        <v>2.0589062430681985E-2</v>
      </c>
      <c r="Y228" s="414">
        <v>0.29447760594042921</v>
      </c>
      <c r="Z228" s="1"/>
      <c r="AA228" s="1"/>
      <c r="AB228" s="1"/>
      <c r="AC228" s="1"/>
      <c r="AD228" s="1"/>
      <c r="AF228" s="176">
        <v>48519</v>
      </c>
      <c r="AG228" s="177">
        <v>2.5000000000000001E-3</v>
      </c>
      <c r="AH228" s="177">
        <v>2.5000000000000001E-3</v>
      </c>
      <c r="AI228" s="100">
        <v>48527</v>
      </c>
      <c r="AJ228" s="102">
        <v>42545.094877294381</v>
      </c>
      <c r="AL228" s="23"/>
      <c r="AM228" s="23"/>
      <c r="BL228" s="299"/>
    </row>
    <row r="229" spans="17:64">
      <c r="Q229" s="6">
        <v>199</v>
      </c>
      <c r="R229" s="7">
        <v>42866</v>
      </c>
      <c r="S229" s="210">
        <v>3.5</v>
      </c>
      <c r="T229" s="8">
        <v>1.0000972222222222</v>
      </c>
      <c r="U229" s="98">
        <v>3.6121470212093776</v>
      </c>
      <c r="V229" s="106">
        <v>26759.075602264977</v>
      </c>
      <c r="W229" s="10">
        <v>2.311481421588546E-2</v>
      </c>
      <c r="X229" s="413">
        <v>2.2796974731632062E-2</v>
      </c>
      <c r="Y229" s="414">
        <v>0.29449196651651172</v>
      </c>
      <c r="Z229" s="1"/>
      <c r="AA229" s="1"/>
      <c r="AB229" s="1"/>
      <c r="AC229" s="1"/>
      <c r="AD229" s="1"/>
      <c r="AF229" s="176">
        <v>48549</v>
      </c>
      <c r="AG229" s="177">
        <v>2.5000000000000001E-3</v>
      </c>
      <c r="AH229" s="177">
        <v>2.5000000000000001E-3</v>
      </c>
      <c r="AI229" s="100">
        <v>48557</v>
      </c>
      <c r="AJ229" s="102">
        <v>42651.457614487612</v>
      </c>
      <c r="AL229" s="23"/>
      <c r="AM229" s="23"/>
      <c r="BL229" s="299"/>
    </row>
    <row r="230" spans="17:64">
      <c r="Q230" s="6">
        <v>200</v>
      </c>
      <c r="R230" s="7">
        <v>42867</v>
      </c>
      <c r="S230" s="210">
        <v>3.5</v>
      </c>
      <c r="T230" s="8">
        <v>1.0000972222222222</v>
      </c>
      <c r="U230" s="98">
        <v>3.6121470212093776</v>
      </c>
      <c r="V230" s="106">
        <v>26761.335294430181</v>
      </c>
      <c r="W230" s="10">
        <v>2.53312713214493E-2</v>
      </c>
      <c r="X230" s="413">
        <v>2.4982837290510318E-2</v>
      </c>
      <c r="Y230" s="414">
        <v>0.29450632802485499</v>
      </c>
      <c r="Z230" s="1"/>
      <c r="AA230" s="1"/>
      <c r="AB230" s="1"/>
      <c r="AC230" s="1"/>
      <c r="AD230" s="1"/>
      <c r="AF230" s="176">
        <v>48580</v>
      </c>
      <c r="AG230" s="177">
        <v>2.5000000000000001E-3</v>
      </c>
      <c r="AH230" s="177">
        <v>2.5000000000000001E-3</v>
      </c>
      <c r="AI230" s="100">
        <v>48588</v>
      </c>
      <c r="AJ230" s="102">
        <v>42758.086258523828</v>
      </c>
      <c r="AL230" s="23"/>
      <c r="AM230" s="23"/>
      <c r="BL230" s="299"/>
    </row>
    <row r="231" spans="17:64">
      <c r="Q231" s="6">
        <v>201</v>
      </c>
      <c r="R231" s="7">
        <v>42868</v>
      </c>
      <c r="S231" s="210">
        <v>3.5</v>
      </c>
      <c r="T231" s="8">
        <v>1.0000972222222222</v>
      </c>
      <c r="U231" s="98">
        <v>3.6121470212093776</v>
      </c>
      <c r="V231" s="106">
        <v>26763.595177416948</v>
      </c>
      <c r="W231" s="10">
        <v>2.7525722512300455E-2</v>
      </c>
      <c r="X231" s="413">
        <v>2.7146979208302616E-2</v>
      </c>
      <c r="Y231" s="414">
        <v>0.29452069046553014</v>
      </c>
      <c r="Z231" s="1"/>
      <c r="AA231" s="1"/>
      <c r="AB231" s="1"/>
      <c r="AC231" s="1"/>
      <c r="AD231" s="1"/>
      <c r="AF231" s="176">
        <v>48611</v>
      </c>
      <c r="AG231" s="177">
        <v>2.5000000000000001E-3</v>
      </c>
      <c r="AH231" s="177">
        <v>2.5000000000000001E-3</v>
      </c>
      <c r="AI231" s="100">
        <v>48619</v>
      </c>
      <c r="AJ231" s="102">
        <v>42864.981474170134</v>
      </c>
      <c r="AL231" s="23"/>
      <c r="AM231" s="23"/>
      <c r="BL231" s="299"/>
    </row>
    <row r="232" spans="17:64">
      <c r="Q232" s="6">
        <v>202</v>
      </c>
      <c r="R232" s="7">
        <v>42869</v>
      </c>
      <c r="S232" s="210">
        <v>3.5</v>
      </c>
      <c r="T232" s="8">
        <v>1.0000972222222222</v>
      </c>
      <c r="U232" s="98">
        <v>3.6121470212093998</v>
      </c>
      <c r="V232" s="106">
        <v>26765.855251241395</v>
      </c>
      <c r="W232" s="10">
        <v>2.9698493894958489E-2</v>
      </c>
      <c r="X232" s="413">
        <v>2.9289723069183187E-2</v>
      </c>
      <c r="Y232" s="414">
        <v>0.29453505383860362</v>
      </c>
      <c r="Z232" s="1"/>
      <c r="AA232" s="1"/>
      <c r="AB232" s="1"/>
      <c r="AC232" s="1"/>
      <c r="AD232" s="1"/>
      <c r="AF232" s="176">
        <v>48639</v>
      </c>
      <c r="AG232" s="177">
        <v>2.5000000000000001E-3</v>
      </c>
      <c r="AH232" s="177">
        <v>2.5000000000000001E-3</v>
      </c>
      <c r="AI232" s="100">
        <v>48647</v>
      </c>
      <c r="AJ232" s="102">
        <v>42972.143927855555</v>
      </c>
      <c r="AL232" s="23"/>
      <c r="AM232" s="23"/>
      <c r="BL232" s="299"/>
    </row>
    <row r="233" spans="17:64">
      <c r="Q233" s="6">
        <v>203</v>
      </c>
      <c r="R233" s="7">
        <v>42870</v>
      </c>
      <c r="S233" s="210">
        <v>3.5</v>
      </c>
      <c r="T233" s="8">
        <v>1.0000972222222222</v>
      </c>
      <c r="U233" s="98">
        <v>3.6121470212093776</v>
      </c>
      <c r="V233" s="106">
        <v>26768.115515919631</v>
      </c>
      <c r="W233" s="10">
        <v>3.1849905164227366E-2</v>
      </c>
      <c r="X233" s="413">
        <v>3.1411385100948465E-2</v>
      </c>
      <c r="Y233" s="414">
        <v>0.29454941814414054</v>
      </c>
      <c r="Z233" s="1"/>
      <c r="AA233" s="1"/>
      <c r="AB233" s="1"/>
      <c r="AC233" s="1"/>
      <c r="AD233" s="1"/>
      <c r="AF233" s="176">
        <v>48670</v>
      </c>
      <c r="AG233" s="177">
        <v>2.5000000000000001E-3</v>
      </c>
      <c r="AH233" s="177">
        <v>2.5000000000000001E-3</v>
      </c>
      <c r="AI233" s="100">
        <v>48678</v>
      </c>
      <c r="AJ233" s="102">
        <v>43079.57428767519</v>
      </c>
      <c r="AL233" s="23"/>
      <c r="AM233" s="23"/>
      <c r="BL233" s="299"/>
    </row>
    <row r="234" spans="17:64">
      <c r="Q234" s="6">
        <v>204</v>
      </c>
      <c r="R234" s="7">
        <v>42871</v>
      </c>
      <c r="S234" s="210">
        <v>3.5</v>
      </c>
      <c r="T234" s="8">
        <v>1.0000972222222222</v>
      </c>
      <c r="U234" s="98">
        <v>3.6121470212093776</v>
      </c>
      <c r="V234" s="106">
        <v>26770.375971467787</v>
      </c>
      <c r="W234" s="10">
        <v>3.3980269759781301E-2</v>
      </c>
      <c r="X234" s="413">
        <v>3.3512275330771502E-2</v>
      </c>
      <c r="Y234" s="414">
        <v>0.29456378338221134</v>
      </c>
      <c r="Z234" s="1"/>
      <c r="AA234" s="1"/>
      <c r="AB234" s="1"/>
      <c r="AC234" s="1"/>
      <c r="AD234" s="1"/>
      <c r="AF234" s="176">
        <v>48700</v>
      </c>
      <c r="AG234" s="177">
        <v>2.5000000000000001E-3</v>
      </c>
      <c r="AH234" s="177">
        <v>2.5000000000000001E-3</v>
      </c>
      <c r="AI234" s="100">
        <v>48708</v>
      </c>
      <c r="AJ234" s="102">
        <v>43187.273223394375</v>
      </c>
      <c r="AL234" s="23"/>
      <c r="AM234" s="23"/>
      <c r="BL234" s="299"/>
    </row>
    <row r="235" spans="17:64">
      <c r="Q235" s="6">
        <v>205</v>
      </c>
      <c r="R235" s="7">
        <v>42872</v>
      </c>
      <c r="S235" s="210">
        <v>3.5</v>
      </c>
      <c r="T235" s="8">
        <v>1.0000972222222222</v>
      </c>
      <c r="U235" s="98">
        <v>3.6121470212093776</v>
      </c>
      <c r="V235" s="106">
        <v>26772.636617901968</v>
      </c>
      <c r="W235" s="10">
        <v>3.6089895018753815E-2</v>
      </c>
      <c r="X235" s="413">
        <v>3.559269773667062E-2</v>
      </c>
      <c r="Y235" s="414">
        <v>0.29457814955288508</v>
      </c>
      <c r="Z235" s="1"/>
      <c r="AA235" s="1"/>
      <c r="AB235" s="1"/>
      <c r="AC235" s="1"/>
      <c r="AD235" s="1"/>
      <c r="AF235" s="176">
        <v>48731</v>
      </c>
      <c r="AG235" s="177">
        <v>2.5000000000000001E-3</v>
      </c>
      <c r="AH235" s="177">
        <v>2.5000000000000001E-3</v>
      </c>
      <c r="AI235" s="100">
        <v>48739</v>
      </c>
      <c r="AJ235" s="102">
        <v>43295.241406452857</v>
      </c>
      <c r="AL235" s="23"/>
      <c r="AM235" s="23"/>
      <c r="BL235" s="299"/>
    </row>
    <row r="236" spans="17:64">
      <c r="Q236" s="6">
        <v>206</v>
      </c>
      <c r="R236" s="7">
        <v>42873</v>
      </c>
      <c r="S236" s="210">
        <v>3.5</v>
      </c>
      <c r="T236" s="8">
        <v>1.0000972222222222</v>
      </c>
      <c r="U236" s="98">
        <v>3.6121470212093776</v>
      </c>
      <c r="V236" s="106">
        <v>26774.897455238301</v>
      </c>
      <c r="W236" s="10">
        <v>3.81790823234196E-2</v>
      </c>
      <c r="X236" s="413">
        <v>3.7652950394178347E-2</v>
      </c>
      <c r="Y236" s="414">
        <v>0.29459251665622938</v>
      </c>
      <c r="Z236" s="1"/>
      <c r="AA236" s="1"/>
      <c r="AB236" s="1"/>
      <c r="AC236" s="1"/>
      <c r="AD236" s="1"/>
      <c r="AF236" s="176">
        <v>48761</v>
      </c>
      <c r="AG236" s="177">
        <v>2.5000000000000001E-3</v>
      </c>
      <c r="AH236" s="177">
        <v>2.5000000000000001E-3</v>
      </c>
      <c r="AI236" s="100">
        <v>48769</v>
      </c>
      <c r="AJ236" s="102">
        <v>43403.479509968987</v>
      </c>
      <c r="AL236" s="23"/>
      <c r="AM236" s="23"/>
      <c r="BL236" s="299"/>
    </row>
    <row r="237" spans="17:64">
      <c r="Q237" s="6">
        <v>207</v>
      </c>
      <c r="R237" s="7">
        <v>42874</v>
      </c>
      <c r="S237" s="210">
        <v>3.5</v>
      </c>
      <c r="T237" s="8">
        <v>1.0000972222222222</v>
      </c>
      <c r="U237" s="98">
        <v>3.6121470212093776</v>
      </c>
      <c r="V237" s="106">
        <v>26777.158483492902</v>
      </c>
      <c r="W237" s="10">
        <v>4.0248127244479903E-2</v>
      </c>
      <c r="X237" s="413">
        <v>3.9693325618797695E-2</v>
      </c>
      <c r="Y237" s="414">
        <v>0.29460688469231056</v>
      </c>
      <c r="Z237" s="1"/>
      <c r="AA237" s="1"/>
      <c r="AB237" s="1"/>
      <c r="AC237" s="1"/>
      <c r="AD237" s="1"/>
      <c r="AF237" s="176">
        <v>48792</v>
      </c>
      <c r="AG237" s="177">
        <v>2.5000000000000001E-3</v>
      </c>
      <c r="AH237" s="177">
        <v>2.5000000000000001E-3</v>
      </c>
      <c r="AI237" s="100">
        <v>48800</v>
      </c>
      <c r="AJ237" s="102">
        <v>43511.988208743911</v>
      </c>
      <c r="AL237" s="23"/>
      <c r="AM237" s="23"/>
      <c r="BL237" s="299"/>
    </row>
    <row r="238" spans="17:64">
      <c r="Q238" s="6">
        <v>208</v>
      </c>
      <c r="R238" s="7">
        <v>42875</v>
      </c>
      <c r="S238" s="210">
        <v>3.5</v>
      </c>
      <c r="T238" s="8">
        <v>1.0000972222222222</v>
      </c>
      <c r="U238" s="98">
        <v>3.6121470212093554</v>
      </c>
      <c r="V238" s="106">
        <v>26779.419702681891</v>
      </c>
      <c r="W238" s="10">
        <v>4.229731968070638E-2</v>
      </c>
      <c r="X238" s="413">
        <v>4.1714110104618118E-2</v>
      </c>
      <c r="Y238" s="414">
        <v>0.29462125366119701</v>
      </c>
      <c r="Z238" s="1"/>
      <c r="AA238" s="1"/>
      <c r="AB238" s="1"/>
      <c r="AC238" s="1"/>
      <c r="AD238" s="1"/>
      <c r="AF238" s="176">
        <v>48823</v>
      </c>
      <c r="AG238" s="177">
        <v>2.5000000000000001E-3</v>
      </c>
      <c r="AH238" s="177">
        <v>2.5000000000000001E-3</v>
      </c>
      <c r="AI238" s="100">
        <v>48831</v>
      </c>
      <c r="AJ238" s="102">
        <v>43620.768179265768</v>
      </c>
      <c r="AL238" s="23"/>
      <c r="AM238" s="23"/>
      <c r="BL238" s="299"/>
    </row>
    <row r="239" spans="17:64">
      <c r="Q239" s="6">
        <v>209</v>
      </c>
      <c r="R239" s="7">
        <v>42876</v>
      </c>
      <c r="S239" s="210">
        <v>3.5</v>
      </c>
      <c r="T239" s="8">
        <v>1.0000972222222222</v>
      </c>
      <c r="U239" s="98">
        <v>3.6121470212093554</v>
      </c>
      <c r="V239" s="106">
        <v>26781.681112821399</v>
      </c>
      <c r="W239" s="10">
        <v>4.4326943994388301E-2</v>
      </c>
      <c r="X239" s="413">
        <v>4.371558505883736E-2</v>
      </c>
      <c r="Y239" s="414">
        <v>0.29463562356295886</v>
      </c>
      <c r="Z239" s="1"/>
      <c r="AA239" s="1"/>
      <c r="AB239" s="1"/>
      <c r="AC239" s="1"/>
      <c r="AD239" s="1"/>
      <c r="AF239" s="176">
        <v>48853</v>
      </c>
      <c r="AG239" s="177">
        <v>2.5000000000000001E-3</v>
      </c>
      <c r="AH239" s="177">
        <v>2.5000000000000001E-3</v>
      </c>
      <c r="AI239" s="100">
        <v>48861</v>
      </c>
      <c r="AJ239" s="102">
        <v>43729.820099713928</v>
      </c>
      <c r="AL239" s="23"/>
      <c r="AM239" s="23"/>
      <c r="BL239" s="299"/>
    </row>
    <row r="240" spans="17:64">
      <c r="Q240" s="6">
        <v>210</v>
      </c>
      <c r="R240" s="7">
        <v>42877</v>
      </c>
      <c r="S240" s="210">
        <v>3.5</v>
      </c>
      <c r="T240" s="8">
        <v>1.0000972222222222</v>
      </c>
      <c r="U240" s="98">
        <v>3.6121470212093776</v>
      </c>
      <c r="V240" s="106">
        <v>26783.94271392755</v>
      </c>
      <c r="W240" s="10">
        <v>4.6337279142605325E-2</v>
      </c>
      <c r="X240" s="413">
        <v>4.5698026332173312E-2</v>
      </c>
      <c r="Y240" s="414">
        <v>0.29464999439766504</v>
      </c>
      <c r="Z240" s="1"/>
      <c r="AA240" s="1"/>
      <c r="AB240" s="1"/>
      <c r="AC240" s="1"/>
      <c r="AD240" s="1"/>
      <c r="AF240" s="176">
        <v>48884</v>
      </c>
      <c r="AG240" s="177">
        <v>2.5000000000000001E-3</v>
      </c>
      <c r="AH240" s="177">
        <v>2.5000000000000001E-3</v>
      </c>
      <c r="AI240" s="100">
        <v>48892</v>
      </c>
      <c r="AJ240" s="102">
        <v>43839.144649963207</v>
      </c>
      <c r="AL240" s="23"/>
      <c r="AM240" s="23"/>
      <c r="BL240" s="299"/>
    </row>
    <row r="241" spans="17:64">
      <c r="Q241" s="6">
        <v>211</v>
      </c>
      <c r="R241" s="7">
        <v>42878</v>
      </c>
      <c r="S241" s="210">
        <v>3.5</v>
      </c>
      <c r="T241" s="8">
        <v>1.0000972222222222</v>
      </c>
      <c r="U241" s="98">
        <v>3.6121470212093554</v>
      </c>
      <c r="V241" s="106">
        <v>26786.204506016467</v>
      </c>
      <c r="W241" s="10">
        <v>4.8328598805413847E-2</v>
      </c>
      <c r="X241" s="413">
        <v>4.7661704546097923E-2</v>
      </c>
      <c r="Y241" s="414">
        <v>0.29466436616537978</v>
      </c>
      <c r="Z241" s="1"/>
      <c r="AA241" s="1"/>
      <c r="AB241" s="1"/>
      <c r="AC241" s="1"/>
      <c r="AD241" s="1"/>
      <c r="AF241" s="176">
        <v>48914</v>
      </c>
      <c r="AG241" s="177">
        <v>2.5000000000000001E-3</v>
      </c>
      <c r="AH241" s="177">
        <v>2.5000000000000001E-3</v>
      </c>
      <c r="AI241" s="100">
        <v>48922</v>
      </c>
      <c r="AJ241" s="102">
        <v>43948.742511588112</v>
      </c>
      <c r="AL241" s="23"/>
      <c r="AM241" s="23"/>
      <c r="BL241" s="299"/>
    </row>
    <row r="242" spans="17:64">
      <c r="Q242" s="6">
        <v>212</v>
      </c>
      <c r="R242" s="7">
        <v>42879</v>
      </c>
      <c r="S242" s="210">
        <v>3.5</v>
      </c>
      <c r="T242" s="8">
        <v>1.0000972222222222</v>
      </c>
      <c r="U242" s="98">
        <v>3.6121470212093554</v>
      </c>
      <c r="V242" s="106">
        <v>26788.466489104274</v>
      </c>
      <c r="W242" s="10">
        <v>5.0301171509747888E-2</v>
      </c>
      <c r="X242" s="413">
        <v>4.9606885215979911E-2</v>
      </c>
      <c r="Y242" s="414">
        <v>0.29467873886617263</v>
      </c>
      <c r="Z242" s="1"/>
      <c r="AA242" s="1"/>
      <c r="AB242" s="1"/>
      <c r="AC242" s="1"/>
      <c r="AD242" s="1"/>
      <c r="AF242" s="176">
        <v>48945</v>
      </c>
      <c r="AG242" s="177">
        <v>2.5000000000000001E-3</v>
      </c>
      <c r="AH242" s="177">
        <v>2.5000000000000001E-3</v>
      </c>
      <c r="AI242" s="100">
        <v>48953</v>
      </c>
      <c r="AJ242" s="102">
        <v>44058.614367867078</v>
      </c>
      <c r="AL242" s="23"/>
      <c r="AM242" s="23"/>
      <c r="BL242" s="299"/>
    </row>
    <row r="243" spans="17:64">
      <c r="Q243" s="6">
        <v>213</v>
      </c>
      <c r="R243" s="7">
        <v>42880</v>
      </c>
      <c r="S243" s="210">
        <v>3.5</v>
      </c>
      <c r="T243" s="8">
        <v>1.0000972222222222</v>
      </c>
      <c r="U243" s="98">
        <v>3.6121470212093332</v>
      </c>
      <c r="V243" s="106">
        <v>26790.728663207112</v>
      </c>
      <c r="W243" s="10">
        <v>5.225526075014475E-2</v>
      </c>
      <c r="X243" s="413">
        <v>5.1533828870833791E-2</v>
      </c>
      <c r="Y243" s="414">
        <v>0.29469311250011176</v>
      </c>
      <c r="Z243" s="1"/>
      <c r="AA243" s="1"/>
      <c r="AB243" s="1"/>
      <c r="AC243" s="1"/>
      <c r="AD243" s="1"/>
      <c r="AF243" s="176">
        <v>48976</v>
      </c>
      <c r="AG243" s="177">
        <v>2.5000000000000001E-3</v>
      </c>
      <c r="AH243" s="177">
        <v>2.5000000000000001E-3</v>
      </c>
      <c r="AI243" s="100">
        <v>48984</v>
      </c>
      <c r="AJ243" s="102">
        <v>44168.760903786744</v>
      </c>
      <c r="AL243" s="23"/>
      <c r="AM243" s="23"/>
      <c r="BL243" s="299"/>
    </row>
    <row r="244" spans="17:64">
      <c r="Q244" s="6">
        <v>214</v>
      </c>
      <c r="R244" s="7">
        <v>42881</v>
      </c>
      <c r="S244" s="210">
        <v>3.5</v>
      </c>
      <c r="T244" s="8">
        <v>1.0000972222222222</v>
      </c>
      <c r="U244" s="98">
        <v>3.6121470212093554</v>
      </c>
      <c r="V244" s="106">
        <v>26792.991028341105</v>
      </c>
      <c r="W244" s="10">
        <v>5.4191125106450855E-2</v>
      </c>
      <c r="X244" s="413">
        <v>5.3442791170271675E-2</v>
      </c>
      <c r="Y244" s="414">
        <v>0.29470748706726707</v>
      </c>
      <c r="Z244" s="1"/>
      <c r="AA244" s="1"/>
      <c r="AB244" s="1"/>
      <c r="AC244" s="1"/>
      <c r="AD244" s="1"/>
      <c r="AF244" s="176">
        <v>49004</v>
      </c>
      <c r="AG244" s="177">
        <v>2.5000000000000001E-3</v>
      </c>
      <c r="AH244" s="177">
        <v>2.5000000000000001E-3</v>
      </c>
      <c r="AI244" s="100">
        <v>49012</v>
      </c>
      <c r="AJ244" s="102">
        <v>44279.182806046207</v>
      </c>
      <c r="AL244" s="23"/>
      <c r="AM244" s="23"/>
      <c r="BL244" s="299"/>
    </row>
    <row r="245" spans="17:64">
      <c r="Q245" s="6">
        <v>215</v>
      </c>
      <c r="R245" s="7">
        <v>42882</v>
      </c>
      <c r="S245" s="210">
        <v>3.5</v>
      </c>
      <c r="T245" s="8">
        <v>1.0000972222222222</v>
      </c>
      <c r="U245" s="98">
        <v>3.6121470212093332</v>
      </c>
      <c r="V245" s="106">
        <v>26795.253584522376</v>
      </c>
      <c r="W245" s="10">
        <v>5.6109018357308749E-2</v>
      </c>
      <c r="X245" s="413">
        <v>5.5334023017187553E-2</v>
      </c>
      <c r="Y245" s="414">
        <v>0.29472186256770422</v>
      </c>
      <c r="Z245" s="1"/>
      <c r="AA245" s="1"/>
      <c r="AB245" s="1"/>
      <c r="AC245" s="1"/>
      <c r="AD245" s="1"/>
      <c r="AF245" s="176">
        <v>49035</v>
      </c>
      <c r="AG245" s="177">
        <v>2.5000000000000001E-3</v>
      </c>
      <c r="AH245" s="177">
        <v>2.5000000000000001E-3</v>
      </c>
      <c r="AI245" s="100">
        <v>49043</v>
      </c>
      <c r="AJ245" s="102">
        <v>44389.880763061323</v>
      </c>
      <c r="AL245" s="23"/>
      <c r="AM245" s="23"/>
      <c r="BL245" s="299"/>
    </row>
    <row r="246" spans="17:64">
      <c r="Q246" s="6">
        <v>216</v>
      </c>
      <c r="R246" s="7">
        <v>42883</v>
      </c>
      <c r="S246" s="210">
        <v>3.5</v>
      </c>
      <c r="T246" s="8">
        <v>1.0000972222222222</v>
      </c>
      <c r="U246" s="98">
        <v>3.6121470212093554</v>
      </c>
      <c r="V246" s="106">
        <v>26797.51633176707</v>
      </c>
      <c r="W246" s="10">
        <v>5.8009189591556876E-2</v>
      </c>
      <c r="X246" s="413">
        <v>5.7207770668236492E-2</v>
      </c>
      <c r="Y246" s="414">
        <v>0.29473623900149365</v>
      </c>
      <c r="Z246" s="1"/>
      <c r="AA246" s="1"/>
      <c r="AB246" s="1"/>
      <c r="AC246" s="1"/>
      <c r="AD246" s="1"/>
      <c r="AF246" s="176">
        <v>49065</v>
      </c>
      <c r="AG246" s="177">
        <v>2.5000000000000001E-3</v>
      </c>
      <c r="AH246" s="177">
        <v>2.5000000000000001E-3</v>
      </c>
      <c r="AI246" s="100">
        <v>49073</v>
      </c>
      <c r="AJ246" s="102">
        <v>44500.855464968976</v>
      </c>
      <c r="AL246" s="23"/>
      <c r="AM246" s="23"/>
      <c r="BL246" s="299"/>
    </row>
    <row r="247" spans="17:64">
      <c r="Q247" s="6">
        <v>217</v>
      </c>
      <c r="R247" s="7">
        <v>42884</v>
      </c>
      <c r="S247" s="210">
        <v>3.5</v>
      </c>
      <c r="T247" s="8">
        <v>1.0000972222222222</v>
      </c>
      <c r="U247" s="98">
        <v>3.6121470212093554</v>
      </c>
      <c r="V247" s="106">
        <v>26799.77927009132</v>
      </c>
      <c r="W247" s="10">
        <v>5.9891883315721373E-2</v>
      </c>
      <c r="X247" s="413">
        <v>5.9064275840706774E-2</v>
      </c>
      <c r="Y247" s="414">
        <v>0.29475061636870165</v>
      </c>
      <c r="Z247" s="1"/>
      <c r="AA247" s="1"/>
      <c r="AB247" s="1"/>
      <c r="AC247" s="1"/>
      <c r="AD247" s="1"/>
      <c r="AF247" s="176">
        <v>49096</v>
      </c>
      <c r="AG247" s="177">
        <v>2.5000000000000001E-3</v>
      </c>
      <c r="AH247" s="177">
        <v>2.5000000000000001E-3</v>
      </c>
      <c r="AI247" s="100">
        <v>49104</v>
      </c>
      <c r="AJ247" s="102">
        <v>44612.107603631397</v>
      </c>
      <c r="AL247" s="23"/>
      <c r="AM247" s="23"/>
      <c r="BL247" s="299"/>
    </row>
    <row r="248" spans="17:64">
      <c r="Q248" s="6">
        <v>218</v>
      </c>
      <c r="R248" s="7">
        <v>42885</v>
      </c>
      <c r="S248" s="210">
        <v>3.5</v>
      </c>
      <c r="T248" s="8">
        <v>1.0000972222222222</v>
      </c>
      <c r="U248" s="98">
        <v>3.6121470212093332</v>
      </c>
      <c r="V248" s="106">
        <v>26802.042399511254</v>
      </c>
      <c r="W248" s="10">
        <v>6.1757339559243007E-2</v>
      </c>
      <c r="X248" s="413">
        <v>6.0903775816817024E-2</v>
      </c>
      <c r="Y248" s="414">
        <v>0.29476499466939615</v>
      </c>
      <c r="Z248" s="1"/>
      <c r="AA248" s="1"/>
      <c r="AB248" s="1"/>
      <c r="AC248" s="1"/>
      <c r="AD248" s="1"/>
      <c r="AF248" s="176">
        <v>49126</v>
      </c>
      <c r="AG248" s="177">
        <v>2.5000000000000001E-3</v>
      </c>
      <c r="AH248" s="177">
        <v>2.5000000000000001E-3</v>
      </c>
      <c r="AI248" s="100">
        <v>49134</v>
      </c>
      <c r="AJ248" s="102">
        <v>44723.637872640473</v>
      </c>
      <c r="AL248" s="23"/>
      <c r="AM248" s="23"/>
      <c r="BL248" s="299"/>
    </row>
    <row r="249" spans="17:64">
      <c r="Q249" s="6">
        <v>219</v>
      </c>
      <c r="R249" s="7">
        <v>42886</v>
      </c>
      <c r="S249" s="210">
        <v>3.5</v>
      </c>
      <c r="T249" s="8">
        <v>1.0000972222222222</v>
      </c>
      <c r="U249" s="98">
        <v>3.6121470212093554</v>
      </c>
      <c r="V249" s="106">
        <v>26804.305720043016</v>
      </c>
      <c r="W249" s="10">
        <v>6.3605793976129199E-2</v>
      </c>
      <c r="X249" s="413">
        <v>6.2726503544791104E-2</v>
      </c>
      <c r="Y249" s="414">
        <v>0.29477937390364695</v>
      </c>
      <c r="Z249" s="1"/>
      <c r="AA249" s="1"/>
      <c r="AB249" s="1"/>
      <c r="AC249" s="1"/>
      <c r="AD249" s="1"/>
      <c r="AF249" s="176">
        <v>49157</v>
      </c>
      <c r="AG249" s="177">
        <v>2.5000000000000001E-3</v>
      </c>
      <c r="AH249" s="177">
        <v>2.5000000000000001E-3</v>
      </c>
      <c r="AI249" s="100">
        <v>49165</v>
      </c>
      <c r="AJ249" s="102">
        <v>44835.446967322074</v>
      </c>
      <c r="AL249" s="23"/>
      <c r="AM249" s="23"/>
      <c r="BL249" s="299"/>
    </row>
    <row r="250" spans="17:64">
      <c r="Q250" s="6">
        <v>220</v>
      </c>
      <c r="R250" s="7">
        <v>42887</v>
      </c>
      <c r="S250" s="210">
        <v>3.5</v>
      </c>
      <c r="T250" s="8">
        <v>1.0000972222222222</v>
      </c>
      <c r="U250" s="98">
        <v>3.6121470212093332</v>
      </c>
      <c r="V250" s="106">
        <v>26806.569231702746</v>
      </c>
      <c r="W250" s="10">
        <v>6.5437477944452205E-2</v>
      </c>
      <c r="X250" s="413">
        <v>6.4532687737394276E-2</v>
      </c>
      <c r="Y250" s="414">
        <v>0.29479375407151964</v>
      </c>
      <c r="Z250" s="1"/>
      <c r="AA250" s="1"/>
      <c r="AB250" s="1"/>
      <c r="AC250" s="1"/>
      <c r="AD250" s="1"/>
      <c r="AF250" s="176">
        <v>49188</v>
      </c>
      <c r="AG250" s="177">
        <v>2.5000000000000001E-3</v>
      </c>
      <c r="AH250" s="177">
        <v>2.5000000000000001E-3</v>
      </c>
      <c r="AI250" s="100">
        <v>49196</v>
      </c>
      <c r="AJ250" s="102">
        <v>44947.535584740377</v>
      </c>
      <c r="AL250" s="23"/>
      <c r="AM250" s="23"/>
      <c r="BL250" s="299"/>
    </row>
    <row r="251" spans="17:64">
      <c r="Q251" s="6">
        <v>221</v>
      </c>
      <c r="R251" s="7">
        <v>42888</v>
      </c>
      <c r="S251" s="210">
        <v>3.5</v>
      </c>
      <c r="T251" s="8">
        <v>1.0000972222222222</v>
      </c>
      <c r="U251" s="98">
        <v>3.612147021209311</v>
      </c>
      <c r="V251" s="106">
        <v>26808.832934506583</v>
      </c>
      <c r="W251" s="10">
        <v>6.7252618662849706E-2</v>
      </c>
      <c r="X251" s="413">
        <v>6.6322552967902737E-2</v>
      </c>
      <c r="Y251" s="414">
        <v>0.29480813517308446</v>
      </c>
      <c r="Z251" s="1"/>
      <c r="AA251" s="1"/>
      <c r="AB251" s="1"/>
      <c r="AC251" s="1"/>
      <c r="AD251" s="1"/>
      <c r="AF251" s="176">
        <v>49218</v>
      </c>
      <c r="AG251" s="177">
        <v>2.5000000000000001E-3</v>
      </c>
      <c r="AH251" s="177">
        <v>2.5000000000000001E-3</v>
      </c>
      <c r="AI251" s="100">
        <v>49226</v>
      </c>
      <c r="AJ251" s="102">
        <v>45059.904423702224</v>
      </c>
      <c r="AL251" s="23"/>
      <c r="AM251" s="23"/>
      <c r="BL251" s="299"/>
    </row>
    <row r="252" spans="17:64">
      <c r="Q252" s="6">
        <v>222</v>
      </c>
      <c r="R252" s="7">
        <v>42889</v>
      </c>
      <c r="S252" s="210">
        <v>3.5</v>
      </c>
      <c r="T252" s="8">
        <v>1.0000972222222222</v>
      </c>
      <c r="U252" s="98">
        <v>3.6121470212093332</v>
      </c>
      <c r="V252" s="106">
        <v>26811.096828470661</v>
      </c>
      <c r="W252" s="10">
        <v>6.9051439244338653E-2</v>
      </c>
      <c r="X252" s="413">
        <v>6.8096319763155361E-2</v>
      </c>
      <c r="Y252" s="414">
        <v>0.29482251720841063</v>
      </c>
      <c r="Z252" s="1"/>
      <c r="AA252" s="1"/>
      <c r="AB252" s="1"/>
      <c r="AC252" s="1"/>
      <c r="AD252" s="1"/>
      <c r="AF252" s="176">
        <v>49249</v>
      </c>
      <c r="AG252" s="177">
        <v>2.5000000000000001E-3</v>
      </c>
      <c r="AH252" s="177">
        <v>2.5000000000000001E-3</v>
      </c>
      <c r="AI252" s="100">
        <v>49257</v>
      </c>
      <c r="AJ252" s="102">
        <v>45172.55418476148</v>
      </c>
      <c r="AL252" s="23"/>
      <c r="AM252" s="23"/>
      <c r="BL252" s="299"/>
    </row>
    <row r="253" spans="17:64">
      <c r="Q253" s="6">
        <v>223</v>
      </c>
      <c r="R253" s="7">
        <v>42890</v>
      </c>
      <c r="S253" s="210">
        <v>3.5</v>
      </c>
      <c r="T253" s="8">
        <v>1.0000972222222222</v>
      </c>
      <c r="U253" s="98">
        <v>3.612147021209311</v>
      </c>
      <c r="V253" s="106">
        <v>26813.36091361113</v>
      </c>
      <c r="W253" s="10">
        <v>7.0834158807953074E-2</v>
      </c>
      <c r="X253" s="413">
        <v>6.985420469438848E-2</v>
      </c>
      <c r="Y253" s="414">
        <v>0.29483690017756287</v>
      </c>
      <c r="Z253" s="1"/>
      <c r="AA253" s="1"/>
      <c r="AB253" s="1"/>
      <c r="AC253" s="1"/>
      <c r="AD253" s="1"/>
      <c r="AF253" s="176">
        <v>49279</v>
      </c>
      <c r="AG253" s="177">
        <v>2.5000000000000001E-3</v>
      </c>
      <c r="AH253" s="177">
        <v>2.5000000000000001E-3</v>
      </c>
      <c r="AI253" s="100">
        <v>49287</v>
      </c>
      <c r="AJ253" s="102">
        <v>45285.485570223384</v>
      </c>
      <c r="AL253" s="23"/>
      <c r="AM253" s="23"/>
      <c r="BL253" s="299"/>
    </row>
    <row r="254" spans="17:64">
      <c r="Q254" s="6">
        <v>224</v>
      </c>
      <c r="R254" s="7">
        <v>42891</v>
      </c>
      <c r="S254" s="210">
        <v>3.5</v>
      </c>
      <c r="T254" s="8">
        <v>1.0000972222222222</v>
      </c>
      <c r="U254" s="98">
        <v>3.6121470212093332</v>
      </c>
      <c r="V254" s="106">
        <v>26815.625189944138</v>
      </c>
      <c r="W254" s="10">
        <v>7.2600992567495304E-2</v>
      </c>
      <c r="X254" s="413">
        <v>7.1596420465459235E-2</v>
      </c>
      <c r="Y254" s="414">
        <v>0.29485128408061395</v>
      </c>
      <c r="Z254" s="1"/>
      <c r="AA254" s="1"/>
      <c r="AB254" s="1"/>
      <c r="AC254" s="1"/>
      <c r="AD254" s="1"/>
      <c r="AF254" s="176">
        <v>49310</v>
      </c>
      <c r="AG254" s="177">
        <v>2.5000000000000001E-3</v>
      </c>
      <c r="AH254" s="177">
        <v>2.5000000000000001E-3</v>
      </c>
      <c r="AI254" s="100">
        <v>49318</v>
      </c>
      <c r="AJ254" s="102">
        <v>45398.699284148941</v>
      </c>
      <c r="AL254" s="23"/>
      <c r="AM254" s="23"/>
      <c r="BL254" s="299"/>
    </row>
    <row r="255" spans="17:64">
      <c r="Q255" s="6">
        <v>225</v>
      </c>
      <c r="R255" s="7">
        <v>42892</v>
      </c>
      <c r="S255" s="210">
        <v>3.5</v>
      </c>
      <c r="T255" s="8">
        <v>1.0000972222222222</v>
      </c>
      <c r="U255" s="98">
        <v>3.6121470212093332</v>
      </c>
      <c r="V255" s="106">
        <v>26817.889657485815</v>
      </c>
      <c r="W255" s="10">
        <v>7.4352151918311016E-2</v>
      </c>
      <c r="X255" s="413">
        <v>7.3323175998858403E-2</v>
      </c>
      <c r="Y255" s="414">
        <v>0.29486566891762916</v>
      </c>
      <c r="Z255" s="1"/>
      <c r="AA255" s="1"/>
      <c r="AB255" s="1"/>
      <c r="AC255" s="1"/>
      <c r="AD255" s="1"/>
      <c r="AF255" s="176">
        <v>49341</v>
      </c>
      <c r="AG255" s="177">
        <v>2.5000000000000001E-3</v>
      </c>
      <c r="AH255" s="177">
        <v>2.5000000000000001E-3</v>
      </c>
      <c r="AI255" s="100">
        <v>49349</v>
      </c>
      <c r="AJ255" s="102">
        <v>45512.196032359308</v>
      </c>
      <c r="AL255" s="23"/>
      <c r="AM255" s="23"/>
      <c r="BL255" s="299"/>
    </row>
    <row r="256" spans="17:64">
      <c r="Q256" s="6">
        <v>226</v>
      </c>
      <c r="R256" s="7">
        <v>42893</v>
      </c>
      <c r="S256" s="210">
        <v>3.5</v>
      </c>
      <c r="T256" s="8">
        <v>1.0000972222222222</v>
      </c>
      <c r="U256" s="98">
        <v>3.6121470212093332</v>
      </c>
      <c r="V256" s="106">
        <v>26820.154316252323</v>
      </c>
      <c r="W256" s="10">
        <v>7.6087844521421921E-2</v>
      </c>
      <c r="X256" s="413">
        <v>7.5034676519227447E-2</v>
      </c>
      <c r="Y256" s="414">
        <v>0.29488005468867573</v>
      </c>
      <c r="Z256" s="1"/>
      <c r="AA256" s="1"/>
      <c r="AB256" s="1"/>
      <c r="AC256" s="1"/>
      <c r="AD256" s="1"/>
      <c r="AF256" s="176">
        <v>49369</v>
      </c>
      <c r="AG256" s="177">
        <v>2.5000000000000001E-3</v>
      </c>
      <c r="AH256" s="177">
        <v>2.5000000000000001E-3</v>
      </c>
      <c r="AI256" s="100">
        <v>49377</v>
      </c>
      <c r="AJ256" s="102">
        <v>45625.976522440207</v>
      </c>
      <c r="AL256" s="23"/>
      <c r="AM256" s="23"/>
      <c r="BL256" s="299"/>
    </row>
    <row r="257" spans="17:64">
      <c r="Q257" s="6">
        <v>227</v>
      </c>
      <c r="R257" s="7">
        <v>42894</v>
      </c>
      <c r="S257" s="210">
        <v>3.5</v>
      </c>
      <c r="T257" s="8">
        <v>1.0000972222222222</v>
      </c>
      <c r="U257" s="98">
        <v>3.6121470212093332</v>
      </c>
      <c r="V257" s="106">
        <v>26822.419166259806</v>
      </c>
      <c r="W257" s="10">
        <v>7.7808274385926524E-2</v>
      </c>
      <c r="X257" s="413">
        <v>7.6731123635055423E-2</v>
      </c>
      <c r="Y257" s="414">
        <v>0.29489444139382265</v>
      </c>
      <c r="Z257" s="1"/>
      <c r="AA257" s="1"/>
      <c r="AB257" s="1"/>
      <c r="AC257" s="1"/>
      <c r="AD257" s="1"/>
      <c r="AF257" s="176">
        <v>49400</v>
      </c>
      <c r="AG257" s="177">
        <v>2.5000000000000001E-3</v>
      </c>
      <c r="AH257" s="177">
        <v>2.5000000000000001E-3</v>
      </c>
      <c r="AI257" s="100">
        <v>49408</v>
      </c>
      <c r="AJ257" s="102">
        <v>45740.041463746304</v>
      </c>
      <c r="AL257" s="23"/>
      <c r="AM257" s="23"/>
      <c r="BL257" s="299"/>
    </row>
    <row r="258" spans="17:64">
      <c r="Q258" s="6">
        <v>228</v>
      </c>
      <c r="R258" s="7">
        <v>42895</v>
      </c>
      <c r="S258" s="210">
        <v>3.5</v>
      </c>
      <c r="T258" s="8">
        <v>1.0000972222222222</v>
      </c>
      <c r="U258" s="98">
        <v>3.612147021209311</v>
      </c>
      <c r="V258" s="106">
        <v>26824.684207524409</v>
      </c>
      <c r="W258" s="10">
        <v>7.9513641948669722E-2</v>
      </c>
      <c r="X258" s="413">
        <v>7.8412715417805326E-2</v>
      </c>
      <c r="Y258" s="414">
        <v>0.29490882903313759</v>
      </c>
      <c r="Z258" s="1"/>
      <c r="AA258" s="1"/>
      <c r="AB258" s="1"/>
      <c r="AC258" s="1"/>
      <c r="AD258" s="1"/>
      <c r="AF258" s="176">
        <v>49430</v>
      </c>
      <c r="AG258" s="177">
        <v>2.5000000000000001E-3</v>
      </c>
      <c r="AH258" s="177">
        <v>2.5000000000000001E-3</v>
      </c>
      <c r="AI258" s="100">
        <v>49438</v>
      </c>
      <c r="AJ258" s="102">
        <v>45854.39156740567</v>
      </c>
      <c r="AL258" s="23"/>
      <c r="AM258" s="23"/>
      <c r="BL258" s="299"/>
    </row>
    <row r="259" spans="17:64">
      <c r="Q259" s="6">
        <v>229</v>
      </c>
      <c r="R259" s="7">
        <v>42896</v>
      </c>
      <c r="S259" s="210">
        <v>3.5</v>
      </c>
      <c r="T259" s="8">
        <v>1.0000972222222222</v>
      </c>
      <c r="U259" s="98">
        <v>3.612147021209311</v>
      </c>
      <c r="V259" s="106">
        <v>26826.852478410205</v>
      </c>
      <c r="W259" s="10">
        <v>8.1780699036593241E-2</v>
      </c>
      <c r="X259" s="413">
        <v>8.0648130779299818E-2</v>
      </c>
      <c r="Y259" s="414">
        <v>0.2949232176066901</v>
      </c>
      <c r="Z259" s="1"/>
      <c r="AA259" s="1"/>
      <c r="AB259" s="1"/>
      <c r="AC259" s="1"/>
      <c r="AD259" s="1"/>
      <c r="AF259" s="176">
        <v>49461</v>
      </c>
      <c r="AG259" s="177">
        <v>2.5000000000000001E-3</v>
      </c>
      <c r="AH259" s="177">
        <v>2.5000000000000001E-3</v>
      </c>
      <c r="AI259" s="100">
        <v>49469</v>
      </c>
      <c r="AJ259" s="102">
        <v>45969.027546324185</v>
      </c>
      <c r="AL259" s="23"/>
      <c r="AM259" s="23"/>
      <c r="BL259" s="299"/>
    </row>
    <row r="260" spans="17:64">
      <c r="Q260" s="6">
        <v>230</v>
      </c>
      <c r="R260" s="7">
        <v>42897</v>
      </c>
      <c r="S260" s="210">
        <v>3.5</v>
      </c>
      <c r="T260" s="8">
        <v>1.0000972222222222</v>
      </c>
      <c r="U260" s="98">
        <v>3.612147021209311</v>
      </c>
      <c r="V260" s="106">
        <v>26829.020924559889</v>
      </c>
      <c r="W260" s="10">
        <v>8.402809327145988E-2</v>
      </c>
      <c r="X260" s="413">
        <v>8.2864149812627408E-2</v>
      </c>
      <c r="Y260" s="414">
        <v>0.29493760711454842</v>
      </c>
      <c r="Z260" s="1"/>
      <c r="AA260" s="1"/>
      <c r="AB260" s="1"/>
      <c r="AC260" s="1"/>
      <c r="AD260" s="1"/>
      <c r="AF260" s="176">
        <v>49491</v>
      </c>
      <c r="AG260" s="177">
        <v>2.5000000000000001E-3</v>
      </c>
      <c r="AH260" s="177">
        <v>2.5000000000000001E-3</v>
      </c>
      <c r="AI260" s="100">
        <v>49499</v>
      </c>
      <c r="AJ260" s="102">
        <v>46083.950115189997</v>
      </c>
      <c r="AL260" s="23"/>
      <c r="AM260" s="23"/>
      <c r="BL260" s="299"/>
    </row>
    <row r="261" spans="17:64">
      <c r="Q261" s="6">
        <v>231</v>
      </c>
      <c r="R261" s="7">
        <v>42898</v>
      </c>
      <c r="S261" s="210">
        <v>3.5</v>
      </c>
      <c r="T261" s="8">
        <v>1.0000972222222222</v>
      </c>
      <c r="U261" s="98">
        <v>3.612147021209311</v>
      </c>
      <c r="V261" s="106">
        <v>26831.189545987636</v>
      </c>
      <c r="W261" s="10">
        <v>8.6256079360569338E-2</v>
      </c>
      <c r="X261" s="413">
        <v>8.5061024418742193E-2</v>
      </c>
      <c r="Y261" s="414">
        <v>0.29495199755677959</v>
      </c>
      <c r="Z261" s="1"/>
      <c r="AA261" s="1"/>
      <c r="AB261" s="1"/>
      <c r="AC261" s="1"/>
      <c r="AD261" s="1"/>
      <c r="AF261" s="176">
        <v>49522</v>
      </c>
      <c r="AG261" s="177">
        <v>2.5000000000000001E-3</v>
      </c>
      <c r="AH261" s="177">
        <v>2.5000000000000001E-3</v>
      </c>
      <c r="AI261" s="100">
        <v>49530</v>
      </c>
      <c r="AJ261" s="102">
        <v>46199.159990477972</v>
      </c>
      <c r="AL261" s="23"/>
      <c r="AM261" s="23"/>
      <c r="BL261" s="299"/>
    </row>
    <row r="262" spans="17:64">
      <c r="Q262" s="6">
        <v>232</v>
      </c>
      <c r="R262" s="7">
        <v>42899</v>
      </c>
      <c r="S262" s="210">
        <v>3.5</v>
      </c>
      <c r="T262" s="8">
        <v>1.0000972222222222</v>
      </c>
      <c r="U262" s="98">
        <v>3.6121470212092888</v>
      </c>
      <c r="V262" s="106">
        <v>26833.358342707616</v>
      </c>
      <c r="W262" s="10">
        <v>8.8464907631058409E-2</v>
      </c>
      <c r="X262" s="413">
        <v>8.7239002155547266E-2</v>
      </c>
      <c r="Y262" s="414">
        <v>0.29496638893345245</v>
      </c>
      <c r="Z262" s="1"/>
      <c r="AA262" s="1"/>
      <c r="AB262" s="1"/>
      <c r="AC262" s="1"/>
      <c r="AD262" s="1"/>
      <c r="AF262" s="176">
        <v>49553</v>
      </c>
      <c r="AG262" s="177">
        <v>2.5000000000000001E-3</v>
      </c>
      <c r="AH262" s="177">
        <v>2.5000000000000001E-3</v>
      </c>
      <c r="AI262" s="100">
        <v>49561</v>
      </c>
      <c r="AJ262" s="102">
        <v>46314.657890454168</v>
      </c>
      <c r="AL262" s="23"/>
      <c r="AM262" s="23"/>
      <c r="BL262" s="299"/>
    </row>
    <row r="263" spans="17:64">
      <c r="Q263" s="6">
        <v>233</v>
      </c>
      <c r="R263" s="7">
        <v>42900</v>
      </c>
      <c r="S263" s="210">
        <v>3.5</v>
      </c>
      <c r="T263" s="8">
        <v>1.0000972222222222</v>
      </c>
      <c r="U263" s="98">
        <v>3.6121470212092888</v>
      </c>
      <c r="V263" s="106">
        <v>26835.527314733994</v>
      </c>
      <c r="W263" s="10">
        <v>9.0654824123559408E-2</v>
      </c>
      <c r="X263" s="413">
        <v>8.9398326331093236E-2</v>
      </c>
      <c r="Y263" s="414">
        <v>0.29498078124463456</v>
      </c>
      <c r="Z263" s="1"/>
      <c r="AA263" s="1"/>
      <c r="AB263" s="1"/>
      <c r="AC263" s="1"/>
      <c r="AD263" s="1"/>
      <c r="AF263" s="176">
        <v>49583</v>
      </c>
      <c r="AG263" s="177">
        <v>2.5000000000000001E-3</v>
      </c>
      <c r="AH263" s="177">
        <v>2.5000000000000001E-3</v>
      </c>
      <c r="AI263" s="100">
        <v>49591</v>
      </c>
      <c r="AJ263" s="102">
        <v>46430.444535180301</v>
      </c>
      <c r="AL263" s="23"/>
      <c r="AM263" s="23"/>
      <c r="BL263" s="299"/>
    </row>
    <row r="264" spans="17:64">
      <c r="Q264" s="6">
        <v>234</v>
      </c>
      <c r="R264" s="7">
        <v>42901</v>
      </c>
      <c r="S264" s="210">
        <v>3.5</v>
      </c>
      <c r="T264" s="8">
        <v>1.0000972222222222</v>
      </c>
      <c r="U264" s="98">
        <v>3.6121470212092666</v>
      </c>
      <c r="V264" s="106">
        <v>26837.696462080934</v>
      </c>
      <c r="W264" s="10">
        <v>9.2826070683504902E-2</v>
      </c>
      <c r="X264" s="413">
        <v>9.1539236094318757E-2</v>
      </c>
      <c r="Y264" s="414">
        <v>0.29499517449039525</v>
      </c>
      <c r="Z264" s="1"/>
      <c r="AA264" s="1"/>
      <c r="AB264" s="1"/>
      <c r="AC264" s="1"/>
      <c r="AD264" s="1"/>
      <c r="AF264" s="176">
        <v>49614</v>
      </c>
      <c r="AG264" s="177">
        <v>2.5000000000000001E-3</v>
      </c>
      <c r="AH264" s="177">
        <v>2.5000000000000001E-3</v>
      </c>
      <c r="AI264" s="100">
        <v>49622</v>
      </c>
      <c r="AJ264" s="102">
        <v>46546.520646518249</v>
      </c>
      <c r="AL264" s="23"/>
      <c r="AM264" s="23"/>
      <c r="BL264" s="299"/>
    </row>
    <row r="265" spans="17:64">
      <c r="Q265" s="6">
        <v>235</v>
      </c>
      <c r="R265" s="7">
        <v>42902</v>
      </c>
      <c r="S265" s="210">
        <v>3.5</v>
      </c>
      <c r="T265" s="8">
        <v>1.0000972222222222</v>
      </c>
      <c r="U265" s="98">
        <v>3.6121470212092666</v>
      </c>
      <c r="V265" s="106">
        <v>26839.865784762624</v>
      </c>
      <c r="W265" s="10">
        <v>9.4978885050123196E-2</v>
      </c>
      <c r="X265" s="413">
        <v>9.3661966523406207E-2</v>
      </c>
      <c r="Y265" s="414">
        <v>0.29500956867080264</v>
      </c>
      <c r="Z265" s="1"/>
      <c r="AA265" s="1"/>
      <c r="AB265" s="1"/>
      <c r="AC265" s="1"/>
      <c r="AD265" s="1"/>
      <c r="AF265" s="176">
        <v>49644</v>
      </c>
      <c r="AG265" s="177">
        <v>2.5000000000000001E-3</v>
      </c>
      <c r="AH265" s="177">
        <v>2.5000000000000001E-3</v>
      </c>
      <c r="AI265" s="100">
        <v>49652</v>
      </c>
      <c r="AJ265" s="102">
        <v>46662.886948134539</v>
      </c>
      <c r="AL265" s="23"/>
      <c r="AM265" s="23"/>
      <c r="BL265" s="299"/>
    </row>
    <row r="266" spans="17:64">
      <c r="Q266" s="6">
        <v>236</v>
      </c>
      <c r="R266" s="7">
        <v>42903</v>
      </c>
      <c r="S266" s="210">
        <v>3.5</v>
      </c>
      <c r="T266" s="8">
        <v>1.0000972222222222</v>
      </c>
      <c r="U266" s="98">
        <v>3.6121470212092444</v>
      </c>
      <c r="V266" s="106">
        <v>26842.035282793226</v>
      </c>
      <c r="W266" s="10">
        <v>9.7113500943390996E-2</v>
      </c>
      <c r="X266" s="413">
        <v>9.5766748712331262E-2</v>
      </c>
      <c r="Y266" s="414">
        <v>0.29502396378592366</v>
      </c>
      <c r="Z266" s="1"/>
      <c r="AA266" s="1"/>
      <c r="AB266" s="1"/>
      <c r="AC266" s="1"/>
      <c r="AD266" s="1"/>
      <c r="AF266" s="176">
        <v>49675</v>
      </c>
      <c r="AG266" s="177">
        <v>2.5000000000000001E-3</v>
      </c>
      <c r="AH266" s="177">
        <v>2.5000000000000001E-3</v>
      </c>
      <c r="AI266" s="100">
        <v>49683</v>
      </c>
      <c r="AJ266" s="102">
        <v>46779.544165504871</v>
      </c>
      <c r="AL266" s="23"/>
      <c r="AM266" s="23"/>
      <c r="BL266" s="299"/>
    </row>
    <row r="267" spans="17:64">
      <c r="Q267" s="6">
        <v>237</v>
      </c>
      <c r="R267" s="7">
        <v>42904</v>
      </c>
      <c r="S267" s="210">
        <v>3.5</v>
      </c>
      <c r="T267" s="8">
        <v>1.0000972222222222</v>
      </c>
      <c r="U267" s="98">
        <v>3.6121470212092666</v>
      </c>
      <c r="V267" s="106">
        <v>26844.204956186906</v>
      </c>
      <c r="W267" s="10">
        <v>9.9230148148476971E-2</v>
      </c>
      <c r="X267" s="413">
        <v>9.7853809854715715E-2</v>
      </c>
      <c r="Y267" s="414">
        <v>0.29503835983582982</v>
      </c>
      <c r="Z267" s="1"/>
      <c r="AA267" s="1"/>
      <c r="AB267" s="1"/>
      <c r="AC267" s="1"/>
      <c r="AD267" s="1"/>
      <c r="AF267" s="176">
        <v>49706</v>
      </c>
      <c r="AG267" s="177">
        <v>2.5000000000000001E-3</v>
      </c>
      <c r="AH267" s="177">
        <v>2.5000000000000001E-3</v>
      </c>
      <c r="AI267" s="100">
        <v>49714</v>
      </c>
      <c r="AJ267" s="102">
        <v>46896.493025918629</v>
      </c>
      <c r="AL267" s="23"/>
      <c r="AM267" s="23"/>
      <c r="BL267" s="299"/>
    </row>
    <row r="268" spans="17:64">
      <c r="Q268" s="6">
        <v>238</v>
      </c>
      <c r="R268" s="7">
        <v>42905</v>
      </c>
      <c r="S268" s="210">
        <v>3.5</v>
      </c>
      <c r="T268" s="8">
        <v>1.0000972222222222</v>
      </c>
      <c r="U268" s="98">
        <v>3.6121470212092666</v>
      </c>
      <c r="V268" s="106">
        <v>26846.374804957853</v>
      </c>
      <c r="W268" s="10">
        <v>0.10132905259812031</v>
      </c>
      <c r="X268" s="413">
        <v>9.9923373325666726E-2</v>
      </c>
      <c r="Y268" s="414">
        <v>0.29505275682058579</v>
      </c>
      <c r="Z268" s="1"/>
      <c r="AA268" s="1"/>
      <c r="AB268" s="1"/>
      <c r="AC268" s="1"/>
      <c r="AD268" s="1"/>
      <c r="AF268" s="176">
        <v>49735</v>
      </c>
      <c r="AG268" s="177">
        <v>2.5000000000000001E-3</v>
      </c>
      <c r="AH268" s="177">
        <v>2.5000000000000001E-3</v>
      </c>
      <c r="AI268" s="100">
        <v>49743</v>
      </c>
      <c r="AJ268" s="102">
        <v>47013.734258483426</v>
      </c>
      <c r="AL268" s="23"/>
      <c r="AM268" s="23"/>
      <c r="BL268" s="299"/>
    </row>
    <row r="269" spans="17:64">
      <c r="Q269" s="6">
        <v>239</v>
      </c>
      <c r="R269" s="7">
        <v>42906</v>
      </c>
      <c r="S269" s="210">
        <v>3.5</v>
      </c>
      <c r="T269" s="8">
        <v>1.0000972222222222</v>
      </c>
      <c r="U269" s="98">
        <v>3.6121470212092444</v>
      </c>
      <c r="V269" s="106">
        <v>26848.544829120241</v>
      </c>
      <c r="W269" s="10">
        <v>0.10341043645321069</v>
      </c>
      <c r="X269" s="413">
        <v>0.10197565876192978</v>
      </c>
      <c r="Y269" s="414">
        <v>0.29506715474026068</v>
      </c>
      <c r="Z269" s="1"/>
      <c r="AA269" s="1"/>
      <c r="AB269" s="1"/>
      <c r="AC269" s="1"/>
      <c r="AD269" s="1"/>
      <c r="AF269" s="176">
        <v>49766</v>
      </c>
      <c r="AG269" s="177">
        <v>2.5000000000000001E-3</v>
      </c>
      <c r="AH269" s="177">
        <v>2.5000000000000001E-3</v>
      </c>
      <c r="AI269" s="100">
        <v>49774</v>
      </c>
      <c r="AJ269" s="102">
        <v>47131.268594129629</v>
      </c>
      <c r="AL269" s="23"/>
      <c r="AM269" s="23"/>
      <c r="BL269" s="299"/>
    </row>
    <row r="270" spans="17:64">
      <c r="Q270" s="6">
        <v>240</v>
      </c>
      <c r="R270" s="7">
        <v>42907</v>
      </c>
      <c r="S270" s="210">
        <v>3.5</v>
      </c>
      <c r="T270" s="8">
        <v>1.0000972222222222</v>
      </c>
      <c r="U270" s="98">
        <v>3.6121470212092444</v>
      </c>
      <c r="V270" s="106">
        <v>26850.715028688235</v>
      </c>
      <c r="W270" s="10">
        <v>0.10547451818110343</v>
      </c>
      <c r="X270" s="413">
        <v>0.10401088213960463</v>
      </c>
      <c r="Y270" s="414">
        <v>0.2950815535949225</v>
      </c>
      <c r="Z270" s="1"/>
      <c r="AA270" s="1"/>
      <c r="AB270" s="1"/>
      <c r="AC270" s="1"/>
      <c r="AD270" s="1"/>
      <c r="AF270" s="176">
        <v>49796</v>
      </c>
      <c r="AG270" s="177">
        <v>2.5000000000000001E-3</v>
      </c>
      <c r="AH270" s="177">
        <v>2.5000000000000001E-3</v>
      </c>
      <c r="AI270" s="100">
        <v>49804</v>
      </c>
      <c r="AJ270" s="102">
        <v>47249.096765614951</v>
      </c>
      <c r="AL270" s="23"/>
      <c r="AM270" s="23"/>
      <c r="BL270" s="299"/>
    </row>
    <row r="271" spans="17:64">
      <c r="Q271" s="6">
        <v>241</v>
      </c>
      <c r="R271" s="7">
        <v>42908</v>
      </c>
      <c r="S271" s="210">
        <v>3.5</v>
      </c>
      <c r="T271" s="8">
        <v>1.0000972222222222</v>
      </c>
      <c r="U271" s="98">
        <v>3.6121470212092444</v>
      </c>
      <c r="V271" s="106">
        <v>26852.885403676028</v>
      </c>
      <c r="W271" s="10">
        <v>0.10752151263202503</v>
      </c>
      <c r="X271" s="413">
        <v>0.10602925585009226</v>
      </c>
      <c r="Y271" s="414">
        <v>0.2950959533846409</v>
      </c>
      <c r="Z271" s="1"/>
      <c r="AA271" s="1"/>
      <c r="AB271" s="1"/>
      <c r="AC271" s="1"/>
      <c r="AD271" s="1"/>
      <c r="AF271" s="176">
        <v>49827</v>
      </c>
      <c r="AG271" s="177">
        <v>2.5000000000000001E-3</v>
      </c>
      <c r="AH271" s="177">
        <v>2.5000000000000001E-3</v>
      </c>
      <c r="AI271" s="100">
        <v>49835</v>
      </c>
      <c r="AJ271" s="102">
        <v>47367.219507528986</v>
      </c>
      <c r="AL271" s="23"/>
      <c r="AM271" s="23"/>
      <c r="BL271" s="299"/>
    </row>
    <row r="272" spans="17:64">
      <c r="Q272" s="6">
        <v>242</v>
      </c>
      <c r="R272" s="7">
        <v>42909</v>
      </c>
      <c r="S272" s="210">
        <v>3.5</v>
      </c>
      <c r="T272" s="8">
        <v>1.0000972222222222</v>
      </c>
      <c r="U272" s="98">
        <v>3.6121470212092444</v>
      </c>
      <c r="V272" s="106">
        <v>26855.055954097788</v>
      </c>
      <c r="W272" s="10">
        <v>0.10955163111372457</v>
      </c>
      <c r="X272" s="413">
        <v>0.1080309887742911</v>
      </c>
      <c r="Y272" s="414">
        <v>0.29511035410948433</v>
      </c>
      <c r="Z272" s="1"/>
      <c r="AA272" s="1"/>
      <c r="AB272" s="1"/>
      <c r="AC272" s="1"/>
      <c r="AD272" s="1"/>
      <c r="AF272" s="176">
        <v>49857</v>
      </c>
      <c r="AG272" s="177">
        <v>2.5000000000000001E-3</v>
      </c>
      <c r="AH272" s="177">
        <v>2.5000000000000001E-3</v>
      </c>
      <c r="AI272" s="100">
        <v>49865</v>
      </c>
      <c r="AJ272" s="102">
        <v>47485.637556297806</v>
      </c>
      <c r="AL272" s="23"/>
      <c r="AM272" s="23"/>
      <c r="BL272" s="299"/>
    </row>
    <row r="273" spans="17:64">
      <c r="Q273" s="6">
        <v>243</v>
      </c>
      <c r="R273" s="7">
        <v>42910</v>
      </c>
      <c r="S273" s="210">
        <v>3.5</v>
      </c>
      <c r="T273" s="8">
        <v>1.0000972222222222</v>
      </c>
      <c r="U273" s="98">
        <v>3.6121470212092666</v>
      </c>
      <c r="V273" s="106">
        <v>26857.226679967705</v>
      </c>
      <c r="W273" s="10">
        <v>0.11156508146397126</v>
      </c>
      <c r="X273" s="413">
        <v>0.11001628635456642</v>
      </c>
      <c r="Y273" s="414">
        <v>0.29512475576952019</v>
      </c>
      <c r="Z273" s="1"/>
      <c r="AA273" s="1"/>
      <c r="AB273" s="1"/>
      <c r="AC273" s="1"/>
      <c r="AD273" s="1"/>
      <c r="AF273" s="176">
        <v>49888</v>
      </c>
      <c r="AG273" s="177">
        <v>2.5000000000000001E-3</v>
      </c>
      <c r="AH273" s="177">
        <v>2.5000000000000001E-3</v>
      </c>
      <c r="AI273" s="100">
        <v>49896</v>
      </c>
      <c r="AJ273" s="102">
        <v>47604.351650188546</v>
      </c>
      <c r="AL273" s="23"/>
      <c r="AM273" s="23"/>
      <c r="BL273" s="299"/>
    </row>
    <row r="274" spans="17:64">
      <c r="Q274" s="6">
        <v>244</v>
      </c>
      <c r="R274" s="7">
        <v>42911</v>
      </c>
      <c r="S274" s="210">
        <v>3.5</v>
      </c>
      <c r="T274" s="8">
        <v>1.0000972222222222</v>
      </c>
      <c r="U274" s="98">
        <v>3.6121470212092444</v>
      </c>
      <c r="V274" s="106">
        <v>26859.397581299952</v>
      </c>
      <c r="W274" s="10">
        <v>0.11356206812176417</v>
      </c>
      <c r="X274" s="413">
        <v>0.11198535066553965</v>
      </c>
      <c r="Y274" s="414">
        <v>0.29513915836481469</v>
      </c>
      <c r="Z274" s="1"/>
      <c r="AA274" s="1"/>
      <c r="AB274" s="1"/>
      <c r="AC274" s="1"/>
      <c r="AD274" s="1"/>
      <c r="AF274" s="176">
        <v>49919</v>
      </c>
      <c r="AG274" s="177">
        <v>2.5000000000000001E-3</v>
      </c>
      <c r="AH274" s="177">
        <v>2.5000000000000001E-3</v>
      </c>
      <c r="AI274" s="100">
        <v>49927</v>
      </c>
      <c r="AJ274" s="102">
        <v>47723.362529314014</v>
      </c>
      <c r="AL274" s="23"/>
      <c r="AM274" s="23"/>
      <c r="BL274" s="299"/>
    </row>
    <row r="275" spans="17:64">
      <c r="Q275" s="6">
        <v>245</v>
      </c>
      <c r="R275" s="7">
        <v>42912</v>
      </c>
      <c r="S275" s="210">
        <v>3.5</v>
      </c>
      <c r="T275" s="8">
        <v>1.0000972222222222</v>
      </c>
      <c r="U275" s="98">
        <v>3.6121470212092444</v>
      </c>
      <c r="V275" s="106">
        <v>26861.568658108717</v>
      </c>
      <c r="W275" s="10">
        <v>0.11554279219632146</v>
      </c>
      <c r="X275" s="413">
        <v>0.11393838048255686</v>
      </c>
      <c r="Y275" s="414">
        <v>0.29515356189543845</v>
      </c>
      <c r="Z275" s="1"/>
      <c r="AA275" s="1"/>
      <c r="AB275" s="1"/>
      <c r="AC275" s="1"/>
      <c r="AD275" s="1"/>
      <c r="AF275" s="176">
        <v>49949</v>
      </c>
      <c r="AG275" s="177">
        <v>2.5000000000000001E-3</v>
      </c>
      <c r="AH275" s="177">
        <v>2.5000000000000001E-3</v>
      </c>
      <c r="AI275" s="100">
        <v>49957</v>
      </c>
      <c r="AJ275" s="102">
        <v>47842.670935637296</v>
      </c>
      <c r="AL275" s="23"/>
      <c r="AM275" s="23"/>
      <c r="BL275" s="299"/>
    </row>
    <row r="276" spans="17:64">
      <c r="Q276" s="6">
        <v>246</v>
      </c>
      <c r="R276" s="7">
        <v>42913</v>
      </c>
      <c r="S276" s="210">
        <v>3.5</v>
      </c>
      <c r="T276" s="8">
        <v>1.0000972222222222</v>
      </c>
      <c r="U276" s="98">
        <v>3.6121470212092444</v>
      </c>
      <c r="V276" s="106">
        <v>26863.739910408185</v>
      </c>
      <c r="W276" s="10">
        <v>0.11750745153467079</v>
      </c>
      <c r="X276" s="413">
        <v>0.11587557134887713</v>
      </c>
      <c r="Y276" s="414">
        <v>0.29516796636146103</v>
      </c>
      <c r="Z276" s="1"/>
      <c r="AA276" s="1"/>
      <c r="AB276" s="1"/>
      <c r="AC276" s="1"/>
      <c r="AD276" s="1"/>
      <c r="AF276" s="176">
        <v>49980</v>
      </c>
      <c r="AG276" s="177">
        <v>2.5000000000000001E-3</v>
      </c>
      <c r="AH276" s="177">
        <v>2.5000000000000001E-3</v>
      </c>
      <c r="AI276" s="100">
        <v>49988</v>
      </c>
      <c r="AJ276" s="102">
        <v>47962.277612976388</v>
      </c>
      <c r="AL276" s="23"/>
      <c r="AM276" s="23"/>
      <c r="BL276" s="299"/>
    </row>
    <row r="277" spans="17:64">
      <c r="Q277" s="6">
        <v>247</v>
      </c>
      <c r="R277" s="7">
        <v>42914</v>
      </c>
      <c r="S277" s="210">
        <v>3.5</v>
      </c>
      <c r="T277" s="8">
        <v>1.0000972222222222</v>
      </c>
      <c r="U277" s="98">
        <v>3.6121470212092444</v>
      </c>
      <c r="V277" s="106">
        <v>26865.911338212543</v>
      </c>
      <c r="W277" s="10">
        <v>0.11945624078750772</v>
      </c>
      <c r="X277" s="413">
        <v>0.1177971156410024</v>
      </c>
      <c r="Y277" s="414">
        <v>0.29518237176294793</v>
      </c>
      <c r="Z277" s="1"/>
      <c r="AA277" s="1"/>
      <c r="AB277" s="1"/>
      <c r="AC277" s="1"/>
      <c r="AD277" s="1"/>
      <c r="AF277" s="176">
        <v>50010</v>
      </c>
      <c r="AG277" s="177">
        <v>2.5000000000000001E-3</v>
      </c>
      <c r="AH277" s="177">
        <v>2.5000000000000001E-3</v>
      </c>
      <c r="AI277" s="100">
        <v>50018</v>
      </c>
      <c r="AJ277" s="102">
        <v>48082.183307008825</v>
      </c>
      <c r="AL277" s="23"/>
      <c r="AM277" s="23"/>
      <c r="BL277" s="299"/>
    </row>
    <row r="278" spans="17:64">
      <c r="Q278" s="6">
        <v>248</v>
      </c>
      <c r="R278" s="7">
        <v>42915</v>
      </c>
      <c r="S278" s="210">
        <v>3.5</v>
      </c>
      <c r="T278" s="8">
        <v>1.0000972222222222</v>
      </c>
      <c r="U278" s="98">
        <v>3.6121470212092666</v>
      </c>
      <c r="V278" s="106">
        <v>26868.082941535969</v>
      </c>
      <c r="W278" s="10">
        <v>0.12138935147361085</v>
      </c>
      <c r="X278" s="413">
        <v>0.11970320263274896</v>
      </c>
      <c r="Y278" s="414">
        <v>0.29519677809996914</v>
      </c>
      <c r="Z278" s="1"/>
      <c r="AA278" s="1"/>
      <c r="AB278" s="1"/>
      <c r="AC278" s="1"/>
      <c r="AD278" s="1"/>
      <c r="AF278" s="176">
        <v>50041</v>
      </c>
      <c r="AG278" s="177">
        <v>2.5000000000000001E-3</v>
      </c>
      <c r="AH278" s="177">
        <v>2.5000000000000001E-3</v>
      </c>
      <c r="AI278" s="100">
        <v>50049</v>
      </c>
      <c r="AJ278" s="102">
        <v>48202.388765276344</v>
      </c>
      <c r="AL278" s="23"/>
      <c r="AM278" s="23"/>
      <c r="BL278" s="299"/>
    </row>
    <row r="279" spans="17:64">
      <c r="Q279" s="6">
        <v>249</v>
      </c>
      <c r="R279" s="7">
        <v>42916</v>
      </c>
      <c r="S279" s="210">
        <v>3.5</v>
      </c>
      <c r="T279" s="8">
        <v>1.0000972222222222</v>
      </c>
      <c r="U279" s="98">
        <v>3.6121470212092444</v>
      </c>
      <c r="V279" s="106">
        <v>26870.254720392655</v>
      </c>
      <c r="W279" s="10">
        <v>0.12330697204230301</v>
      </c>
      <c r="X279" s="413">
        <v>0.12159401855722936</v>
      </c>
      <c r="Y279" s="414">
        <v>0.29521118537259083</v>
      </c>
      <c r="Z279" s="1"/>
      <c r="AA279" s="1"/>
      <c r="AB279" s="1"/>
      <c r="AC279" s="1"/>
      <c r="AD279" s="1"/>
      <c r="AF279" s="176">
        <v>50072</v>
      </c>
      <c r="AG279" s="177">
        <v>2.5000000000000001E-3</v>
      </c>
      <c r="AH279" s="177">
        <v>2.5000000000000001E-3</v>
      </c>
      <c r="AI279" s="100">
        <v>50080</v>
      </c>
      <c r="AJ279" s="102">
        <v>48322.894737189534</v>
      </c>
      <c r="AL279" s="23"/>
      <c r="AM279" s="23"/>
      <c r="BL279" s="299"/>
    </row>
    <row r="280" spans="17:64">
      <c r="Q280" s="6">
        <v>250</v>
      </c>
      <c r="R280" s="7">
        <v>42917</v>
      </c>
      <c r="S280" s="210">
        <v>3.5</v>
      </c>
      <c r="T280" s="8">
        <v>1.0000972222222222</v>
      </c>
      <c r="U280" s="98">
        <v>3.6121470212092444</v>
      </c>
      <c r="V280" s="106">
        <v>26872.426674796785</v>
      </c>
      <c r="W280" s="10">
        <v>0.12520928793506858</v>
      </c>
      <c r="X280" s="413">
        <v>0.12346974666795418</v>
      </c>
      <c r="Y280" s="414">
        <v>0.29522559358088341</v>
      </c>
      <c r="Z280" s="1"/>
      <c r="AA280" s="1"/>
      <c r="AB280" s="1"/>
      <c r="AC280" s="1"/>
      <c r="AD280" s="1"/>
      <c r="AF280" s="176">
        <v>50100</v>
      </c>
      <c r="AG280" s="177">
        <v>2.5000000000000001E-3</v>
      </c>
      <c r="AH280" s="177">
        <v>2.5000000000000001E-3</v>
      </c>
      <c r="AI280" s="100">
        <v>50108</v>
      </c>
      <c r="AJ280" s="102">
        <v>48443.701974032505</v>
      </c>
      <c r="AL280" s="23"/>
      <c r="AM280" s="23"/>
      <c r="BL280" s="299"/>
    </row>
    <row r="281" spans="17:64">
      <c r="Q281" s="6">
        <v>251</v>
      </c>
      <c r="R281" s="7">
        <v>42918</v>
      </c>
      <c r="S281" s="210">
        <v>3.5</v>
      </c>
      <c r="T281" s="8">
        <v>1.0000972222222222</v>
      </c>
      <c r="U281" s="98">
        <v>3.6121470212092222</v>
      </c>
      <c r="V281" s="106">
        <v>26874.598804762558</v>
      </c>
      <c r="W281" s="10">
        <v>0.12709648164488385</v>
      </c>
      <c r="X281" s="413">
        <v>0.12533056729790018</v>
      </c>
      <c r="Y281" s="414">
        <v>0.29524000272491352</v>
      </c>
      <c r="Z281" s="1"/>
      <c r="AA281" s="1"/>
      <c r="AB281" s="1"/>
      <c r="AC281" s="1"/>
      <c r="AD281" s="1"/>
      <c r="AF281" s="176">
        <v>50131</v>
      </c>
      <c r="AG281" s="177">
        <v>2.5000000000000001E-3</v>
      </c>
      <c r="AH281" s="177">
        <v>2.5000000000000001E-3</v>
      </c>
      <c r="AI281" s="100">
        <v>50139</v>
      </c>
      <c r="AJ281" s="102">
        <v>48564.811228967585</v>
      </c>
      <c r="AL281" s="23"/>
      <c r="AM281" s="23"/>
      <c r="BL281" s="299"/>
    </row>
    <row r="282" spans="17:64">
      <c r="Q282" s="6">
        <v>252</v>
      </c>
      <c r="R282" s="7">
        <v>42919</v>
      </c>
      <c r="S282" s="210">
        <v>3.5</v>
      </c>
      <c r="T282" s="8">
        <v>1.0000972222222222</v>
      </c>
      <c r="U282" s="98">
        <v>3.6121470212092444</v>
      </c>
      <c r="V282" s="106">
        <v>26876.771110304158</v>
      </c>
      <c r="W282" s="10">
        <v>0.1289687327749256</v>
      </c>
      <c r="X282" s="413">
        <v>0.12717665791771107</v>
      </c>
      <c r="Y282" s="414">
        <v>0.29525441280475212</v>
      </c>
      <c r="Z282" s="1"/>
      <c r="AA282" s="1"/>
      <c r="AB282" s="1"/>
      <c r="AC282" s="1"/>
      <c r="AD282" s="1"/>
      <c r="AF282" s="176">
        <v>50161</v>
      </c>
      <c r="AG282" s="177">
        <v>2.5000000000000001E-3</v>
      </c>
      <c r="AH282" s="177">
        <v>2.5000000000000001E-3</v>
      </c>
      <c r="AI282" s="100">
        <v>50169</v>
      </c>
      <c r="AJ282" s="102">
        <v>48686.223257040001</v>
      </c>
      <c r="AL282" s="23"/>
      <c r="AM282" s="23"/>
      <c r="BL282" s="299"/>
    </row>
    <row r="283" spans="17:64">
      <c r="Q283" s="6">
        <v>253</v>
      </c>
      <c r="R283" s="7">
        <v>42920</v>
      </c>
      <c r="S283" s="210">
        <v>3.5</v>
      </c>
      <c r="T283" s="8">
        <v>1.0000972222222222</v>
      </c>
      <c r="U283" s="98">
        <v>3.6121470212092444</v>
      </c>
      <c r="V283" s="106">
        <v>26878.943591435778</v>
      </c>
      <c r="W283" s="10">
        <v>0.13082621809552553</v>
      </c>
      <c r="X283" s="413">
        <v>0.12900819319223367</v>
      </c>
      <c r="Y283" s="414">
        <v>0.29526882382046626</v>
      </c>
      <c r="Z283" s="1"/>
      <c r="AA283" s="1"/>
      <c r="AB283" s="1"/>
      <c r="AC283" s="1"/>
      <c r="AD283" s="1"/>
      <c r="AF283" s="176">
        <v>50192</v>
      </c>
      <c r="AG283" s="177">
        <v>2.5000000000000001E-3</v>
      </c>
      <c r="AH283" s="177">
        <v>2.5000000000000001E-3</v>
      </c>
      <c r="AI283" s="100">
        <v>50200</v>
      </c>
      <c r="AJ283" s="102">
        <v>48807.938815182599</v>
      </c>
      <c r="AL283" s="23"/>
      <c r="AM283" s="23"/>
      <c r="BL283" s="299"/>
    </row>
    <row r="284" spans="17:64">
      <c r="Q284" s="6">
        <v>254</v>
      </c>
      <c r="R284" s="7">
        <v>42921</v>
      </c>
      <c r="S284" s="210">
        <v>3.5</v>
      </c>
      <c r="T284" s="8">
        <v>1.0000972222222222</v>
      </c>
      <c r="U284" s="98">
        <v>3.6121470212092666</v>
      </c>
      <c r="V284" s="106">
        <v>26881.116248171616</v>
      </c>
      <c r="W284" s="10">
        <v>0.13266911159963701</v>
      </c>
      <c r="X284" s="413">
        <v>0.13082534503559304</v>
      </c>
      <c r="Y284" s="414">
        <v>0.29528323577212456</v>
      </c>
      <c r="Z284" s="1"/>
      <c r="AA284" s="1"/>
      <c r="AB284" s="1"/>
      <c r="AC284" s="1"/>
      <c r="AD284" s="1"/>
      <c r="AF284" s="176">
        <v>50222</v>
      </c>
      <c r="AG284" s="177">
        <v>2.5000000000000001E-3</v>
      </c>
      <c r="AH284" s="177">
        <v>2.5000000000000001E-3</v>
      </c>
      <c r="AI284" s="100">
        <v>50230</v>
      </c>
      <c r="AJ284" s="102">
        <v>48929.958662220553</v>
      </c>
      <c r="AL284" s="23"/>
      <c r="AM284" s="23"/>
      <c r="BL284" s="299"/>
    </row>
    <row r="285" spans="17:64">
      <c r="Q285" s="6">
        <v>255</v>
      </c>
      <c r="R285" s="7">
        <v>42922</v>
      </c>
      <c r="S285" s="210">
        <v>3.5</v>
      </c>
      <c r="T285" s="8">
        <v>1.0000972222222222</v>
      </c>
      <c r="U285" s="98">
        <v>3.6121470212092666</v>
      </c>
      <c r="V285" s="106">
        <v>26883.289080525865</v>
      </c>
      <c r="W285" s="10">
        <v>0.13449758455719163</v>
      </c>
      <c r="X285" s="413">
        <v>0.13262828266519061</v>
      </c>
      <c r="Y285" s="414">
        <v>0.2952976486597948</v>
      </c>
      <c r="Z285" s="1"/>
      <c r="AA285" s="1"/>
      <c r="AB285" s="1"/>
      <c r="AC285" s="1"/>
      <c r="AD285" s="1"/>
      <c r="AF285" s="176">
        <v>50253</v>
      </c>
      <c r="AG285" s="177">
        <v>2.5000000000000001E-3</v>
      </c>
      <c r="AH285" s="177">
        <v>2.5000000000000001E-3</v>
      </c>
      <c r="AI285" s="100">
        <v>50261</v>
      </c>
      <c r="AJ285" s="102">
        <v>49052.283558876101</v>
      </c>
      <c r="AL285" s="23"/>
      <c r="AM285" s="23"/>
      <c r="BL285" s="299"/>
    </row>
    <row r="286" spans="17:64">
      <c r="Q286" s="6">
        <v>256</v>
      </c>
      <c r="R286" s="7">
        <v>42923</v>
      </c>
      <c r="S286" s="210">
        <v>3.5</v>
      </c>
      <c r="T286" s="8">
        <v>1.0000972222222222</v>
      </c>
      <c r="U286" s="98">
        <v>3.6121470212092666</v>
      </c>
      <c r="V286" s="106">
        <v>26885.462088512708</v>
      </c>
      <c r="W286" s="10">
        <v>0.13631180556841205</v>
      </c>
      <c r="X286" s="413">
        <v>0.13441717265456204</v>
      </c>
      <c r="Y286" s="414">
        <v>0.29531206248354336</v>
      </c>
      <c r="Z286" s="1"/>
      <c r="AA286" s="1"/>
      <c r="AB286" s="1"/>
      <c r="AC286" s="1"/>
      <c r="AD286" s="1"/>
      <c r="AF286" s="176">
        <v>50284</v>
      </c>
      <c r="AG286" s="177">
        <v>2.5000000000000001E-3</v>
      </c>
      <c r="AH286" s="177">
        <v>2.5000000000000001E-3</v>
      </c>
      <c r="AI286" s="100">
        <v>50292</v>
      </c>
      <c r="AJ286" s="102">
        <v>49174.914267773289</v>
      </c>
      <c r="AL286" s="23"/>
      <c r="AM286" s="23"/>
      <c r="BL286" s="299"/>
    </row>
    <row r="287" spans="17:64">
      <c r="Q287" s="6">
        <v>257</v>
      </c>
      <c r="R287" s="7">
        <v>42924</v>
      </c>
      <c r="S287" s="210">
        <v>3.5</v>
      </c>
      <c r="T287" s="8">
        <v>1.0000972222222222</v>
      </c>
      <c r="U287" s="98">
        <v>3.6121470212092666</v>
      </c>
      <c r="V287" s="106">
        <v>26887.635272146363</v>
      </c>
      <c r="W287" s="10">
        <v>0.13811194061517096</v>
      </c>
      <c r="X287" s="413">
        <v>0.13619217898444116</v>
      </c>
      <c r="Y287" s="414">
        <v>0.29532647724344102</v>
      </c>
      <c r="Z287" s="1"/>
      <c r="AA287" s="1"/>
      <c r="AB287" s="1"/>
      <c r="AC287" s="1"/>
      <c r="AD287" s="1"/>
      <c r="AF287" s="176">
        <v>50314</v>
      </c>
      <c r="AG287" s="177">
        <v>2.5000000000000001E-3</v>
      </c>
      <c r="AH287" s="177">
        <v>2.5000000000000001E-3</v>
      </c>
      <c r="AI287" s="100">
        <v>50322</v>
      </c>
      <c r="AJ287" s="102">
        <v>49297.851553442721</v>
      </c>
      <c r="AL287" s="23"/>
      <c r="AM287" s="23"/>
      <c r="BL287" s="299"/>
    </row>
    <row r="288" spans="17:64">
      <c r="Q288" s="6">
        <v>258</v>
      </c>
      <c r="R288" s="7">
        <v>42925</v>
      </c>
      <c r="S288" s="210">
        <v>3.5</v>
      </c>
      <c r="T288" s="8">
        <v>1.0000972222222222</v>
      </c>
      <c r="U288" s="98">
        <v>3.6121470212092444</v>
      </c>
      <c r="V288" s="106">
        <v>26889.808631441007</v>
      </c>
      <c r="W288" s="10">
        <v>0.13989815311215015</v>
      </c>
      <c r="X288" s="413">
        <v>0.13795346309344159</v>
      </c>
      <c r="Y288" s="414">
        <v>0.29534089293955484</v>
      </c>
      <c r="Z288" s="1"/>
      <c r="AA288" s="1"/>
      <c r="AB288" s="1"/>
      <c r="AC288" s="1"/>
      <c r="AD288" s="1"/>
      <c r="AF288" s="176">
        <v>50345</v>
      </c>
      <c r="AG288" s="177">
        <v>2.5000000000000001E-3</v>
      </c>
      <c r="AH288" s="177">
        <v>2.5000000000000001E-3</v>
      </c>
      <c r="AI288" s="100">
        <v>50353</v>
      </c>
      <c r="AJ288" s="102">
        <v>49421.096182326328</v>
      </c>
      <c r="AL288" s="23"/>
      <c r="AM288" s="23"/>
      <c r="BL288" s="299"/>
    </row>
    <row r="289" spans="17:64">
      <c r="Q289" s="6">
        <v>259</v>
      </c>
      <c r="R289" s="7">
        <v>42926</v>
      </c>
      <c r="S289" s="210">
        <v>3.5</v>
      </c>
      <c r="T289" s="8">
        <v>1.0000972222222222</v>
      </c>
      <c r="U289" s="98">
        <v>3.6121470212092666</v>
      </c>
      <c r="V289" s="106">
        <v>26892.101706828496</v>
      </c>
      <c r="W289" s="10">
        <v>0.1410432717826593</v>
      </c>
      <c r="X289" s="413">
        <v>0.13908269911568999</v>
      </c>
      <c r="Y289" s="414">
        <v>0.29535530957195594</v>
      </c>
      <c r="Z289" s="1"/>
      <c r="AA289" s="1"/>
      <c r="AB289" s="1"/>
      <c r="AC289" s="1"/>
      <c r="AD289" s="1"/>
      <c r="AF289" s="176">
        <v>50375</v>
      </c>
      <c r="AG289" s="177">
        <v>2.5000000000000001E-3</v>
      </c>
      <c r="AH289" s="177">
        <v>2.5000000000000001E-3</v>
      </c>
      <c r="AI289" s="100">
        <v>50383</v>
      </c>
      <c r="AJ289" s="102">
        <v>49544.648922782144</v>
      </c>
      <c r="AL289" s="23"/>
      <c r="AM289" s="23"/>
      <c r="BL289" s="299"/>
    </row>
    <row r="290" spans="17:64">
      <c r="Q290" s="6">
        <v>260</v>
      </c>
      <c r="R290" s="7">
        <v>42927</v>
      </c>
      <c r="S290" s="210">
        <v>3.5</v>
      </c>
      <c r="T290" s="8">
        <v>1.0000972222222222</v>
      </c>
      <c r="U290" s="98">
        <v>3.6121470212092666</v>
      </c>
      <c r="V290" s="106">
        <v>26894.394977761996</v>
      </c>
      <c r="W290" s="10">
        <v>0.14217959479192466</v>
      </c>
      <c r="X290" s="413">
        <v>0.14020326848081135</v>
      </c>
      <c r="Y290" s="414">
        <v>0.29536972714070919</v>
      </c>
      <c r="Z290" s="1"/>
      <c r="AA290" s="1"/>
      <c r="AB290" s="1"/>
      <c r="AC290" s="1"/>
      <c r="AD290" s="1"/>
      <c r="AF290" s="176">
        <v>50406</v>
      </c>
      <c r="AG290" s="177">
        <v>2.5000000000000001E-3</v>
      </c>
      <c r="AH290" s="177">
        <v>2.5000000000000001E-3</v>
      </c>
      <c r="AI290" s="100">
        <v>50414</v>
      </c>
      <c r="AJ290" s="102">
        <v>49668.510545089099</v>
      </c>
      <c r="AL290" s="23"/>
      <c r="AM290" s="23"/>
      <c r="BL290" s="299"/>
    </row>
    <row r="291" spans="17:64">
      <c r="Q291" s="6">
        <v>261</v>
      </c>
      <c r="R291" s="7">
        <v>42928</v>
      </c>
      <c r="S291" s="210">
        <v>3.5</v>
      </c>
      <c r="T291" s="8">
        <v>1.0000972222222222</v>
      </c>
      <c r="U291" s="98">
        <v>3.6121470212092444</v>
      </c>
      <c r="V291" s="106">
        <v>26896.688444258176</v>
      </c>
      <c r="W291" s="10">
        <v>0.14330722309150445</v>
      </c>
      <c r="X291" s="413">
        <v>0.14131527080586059</v>
      </c>
      <c r="Y291" s="414">
        <v>0.29538414564588367</v>
      </c>
      <c r="Z291" s="1"/>
      <c r="AA291" s="1"/>
      <c r="AB291" s="1"/>
      <c r="AC291" s="1"/>
      <c r="AD291" s="1"/>
      <c r="AF291" s="176">
        <v>50437</v>
      </c>
      <c r="AG291" s="177">
        <v>2.5000000000000001E-3</v>
      </c>
      <c r="AH291" s="177">
        <v>2.5000000000000001E-3</v>
      </c>
      <c r="AI291" s="100">
        <v>50445</v>
      </c>
      <c r="AJ291" s="102">
        <v>49792.681821451821</v>
      </c>
      <c r="AL291" s="23"/>
      <c r="AM291" s="23"/>
      <c r="BL291" s="299"/>
    </row>
    <row r="292" spans="17:64">
      <c r="Q292" s="6">
        <v>262</v>
      </c>
      <c r="R292" s="7">
        <v>42929</v>
      </c>
      <c r="S292" s="210">
        <v>3.5</v>
      </c>
      <c r="T292" s="8">
        <v>1.0000972222222222</v>
      </c>
      <c r="U292" s="98">
        <v>3.6121470212092444</v>
      </c>
      <c r="V292" s="106">
        <v>26898.982106333715</v>
      </c>
      <c r="W292" s="10">
        <v>0.14442625609385473</v>
      </c>
      <c r="X292" s="413">
        <v>0.14241880418692993</v>
      </c>
      <c r="Y292" s="414">
        <v>0.29539856508754986</v>
      </c>
      <c r="Z292" s="1"/>
      <c r="AA292" s="1"/>
      <c r="AB292" s="1"/>
      <c r="AC292" s="1"/>
      <c r="AD292" s="1"/>
      <c r="AF292" s="176">
        <v>50465</v>
      </c>
      <c r="AG292" s="177">
        <v>2.5000000000000001E-3</v>
      </c>
      <c r="AH292" s="177">
        <v>2.5000000000000001E-3</v>
      </c>
      <c r="AI292" s="100">
        <v>50473</v>
      </c>
      <c r="AJ292" s="102">
        <v>49917.163526005446</v>
      </c>
      <c r="AL292" s="23"/>
      <c r="AM292" s="23"/>
      <c r="BL292" s="299"/>
    </row>
    <row r="293" spans="17:64">
      <c r="Q293" s="6">
        <v>263</v>
      </c>
      <c r="R293" s="7">
        <v>42930</v>
      </c>
      <c r="S293" s="210">
        <v>3.5</v>
      </c>
      <c r="T293" s="8">
        <v>1.0000972222222222</v>
      </c>
      <c r="U293" s="98">
        <v>3.6121470212092666</v>
      </c>
      <c r="V293" s="106">
        <v>26901.275964005301</v>
      </c>
      <c r="W293" s="10">
        <v>0.14553679170163925</v>
      </c>
      <c r="X293" s="413">
        <v>0.14351396522809504</v>
      </c>
      <c r="Y293" s="414">
        <v>0.29541298546577466</v>
      </c>
      <c r="Z293" s="1"/>
      <c r="AA293" s="1"/>
      <c r="AB293" s="1"/>
      <c r="AC293" s="1"/>
      <c r="AD293" s="1"/>
      <c r="AF293" s="176">
        <v>50496</v>
      </c>
      <c r="AG293" s="177">
        <v>2.5000000000000001E-3</v>
      </c>
      <c r="AH293" s="177">
        <v>2.5000000000000001E-3</v>
      </c>
      <c r="AI293" s="100">
        <v>50504</v>
      </c>
      <c r="AJ293" s="102">
        <v>50041.956434820459</v>
      </c>
      <c r="AL293" s="23"/>
      <c r="AM293" s="23"/>
      <c r="BL293" s="299"/>
    </row>
    <row r="294" spans="17:64">
      <c r="Q294" s="6">
        <v>264</v>
      </c>
      <c r="R294" s="7">
        <v>42931</v>
      </c>
      <c r="S294" s="210">
        <v>3.5</v>
      </c>
      <c r="T294" s="8">
        <v>1.0000972222222222</v>
      </c>
      <c r="U294" s="98">
        <v>3.6121470212092666</v>
      </c>
      <c r="V294" s="106">
        <v>26903.570017289596</v>
      </c>
      <c r="W294" s="10">
        <v>0.14663892633641762</v>
      </c>
      <c r="X294" s="413">
        <v>0.14460084906991519</v>
      </c>
      <c r="Y294" s="414">
        <v>0.29542740678062646</v>
      </c>
      <c r="Z294" s="1"/>
      <c r="AA294" s="1"/>
      <c r="AB294" s="1"/>
      <c r="AC294" s="1"/>
      <c r="AD294" s="1"/>
      <c r="AF294" s="176">
        <v>50526</v>
      </c>
      <c r="AG294" s="177">
        <v>2.5000000000000001E-3</v>
      </c>
      <c r="AH294" s="177">
        <v>2.5000000000000001E-3</v>
      </c>
      <c r="AI294" s="100">
        <v>50534</v>
      </c>
      <c r="AJ294" s="102">
        <v>50167.061325907503</v>
      </c>
      <c r="AL294" s="23"/>
      <c r="AM294" s="23"/>
      <c r="BL294" s="299"/>
    </row>
    <row r="295" spans="17:64">
      <c r="Q295" s="6">
        <v>265</v>
      </c>
      <c r="R295" s="7">
        <v>42932</v>
      </c>
      <c r="S295" s="210">
        <v>3.5</v>
      </c>
      <c r="T295" s="8">
        <v>1.0000972222222222</v>
      </c>
      <c r="U295" s="98">
        <v>3.6121470212092444</v>
      </c>
      <c r="V295" s="106">
        <v>26905.864266203294</v>
      </c>
      <c r="W295" s="10">
        <v>0.14773275496633431</v>
      </c>
      <c r="X295" s="413">
        <v>0.14567954941671488</v>
      </c>
      <c r="Y295" s="414">
        <v>0.2954418290321727</v>
      </c>
      <c r="Z295" s="1"/>
      <c r="AA295" s="1"/>
      <c r="AB295" s="1"/>
      <c r="AC295" s="1"/>
      <c r="AD295" s="1"/>
      <c r="AF295" s="176">
        <v>50557</v>
      </c>
      <c r="AG295" s="177">
        <v>2.5000000000000001E-3</v>
      </c>
      <c r="AH295" s="177">
        <v>2.5000000000000001E-3</v>
      </c>
      <c r="AI295" s="100">
        <v>50565</v>
      </c>
      <c r="AJ295" s="102">
        <v>50292.478979222273</v>
      </c>
      <c r="AL295" s="23"/>
      <c r="AM295" s="23"/>
      <c r="BL295" s="299"/>
    </row>
    <row r="296" spans="17:64">
      <c r="Q296" s="6">
        <v>266</v>
      </c>
      <c r="R296" s="7">
        <v>42933</v>
      </c>
      <c r="S296" s="210">
        <v>3.5</v>
      </c>
      <c r="T296" s="8">
        <v>1.0000972222222222</v>
      </c>
      <c r="U296" s="98">
        <v>3.6121470212092666</v>
      </c>
      <c r="V296" s="106">
        <v>26908.158710763077</v>
      </c>
      <c r="W296" s="10">
        <v>0.14881837113354113</v>
      </c>
      <c r="X296" s="413">
        <v>0.1467501585638212</v>
      </c>
      <c r="Y296" s="414">
        <v>0.29545625222048483</v>
      </c>
      <c r="Z296" s="1"/>
      <c r="AA296" s="1"/>
      <c r="AB296" s="1"/>
      <c r="AC296" s="1"/>
      <c r="AD296" s="1"/>
      <c r="AF296" s="176">
        <v>50587</v>
      </c>
      <c r="AG296" s="177">
        <v>2.5000000000000001E-3</v>
      </c>
      <c r="AH296" s="177">
        <v>2.5000000000000001E-3</v>
      </c>
      <c r="AI296" s="100">
        <v>50595</v>
      </c>
      <c r="AJ296" s="102">
        <v>50418.210176670327</v>
      </c>
      <c r="AL296" s="23"/>
      <c r="AM296" s="23"/>
      <c r="BL296" s="299"/>
    </row>
    <row r="297" spans="17:64">
      <c r="Q297" s="6">
        <v>267</v>
      </c>
      <c r="R297" s="7">
        <v>42934</v>
      </c>
      <c r="S297" s="210">
        <v>3.5</v>
      </c>
      <c r="T297" s="8">
        <v>1.0000972222222222</v>
      </c>
      <c r="U297" s="98">
        <v>3.6121470212092666</v>
      </c>
      <c r="V297" s="106">
        <v>26910.453350985623</v>
      </c>
      <c r="W297" s="10">
        <v>0.14989586698079815</v>
      </c>
      <c r="X297" s="413">
        <v>0.1478127674237999</v>
      </c>
      <c r="Y297" s="414">
        <v>0.29547067634562801</v>
      </c>
      <c r="Z297" s="1"/>
      <c r="AA297" s="1"/>
      <c r="AB297" s="1"/>
      <c r="AC297" s="1"/>
      <c r="AD297" s="1"/>
      <c r="AF297" s="176">
        <v>50618</v>
      </c>
      <c r="AG297" s="177">
        <v>2.5000000000000001E-3</v>
      </c>
      <c r="AH297" s="177">
        <v>2.5000000000000001E-3</v>
      </c>
      <c r="AI297" s="100">
        <v>50626</v>
      </c>
      <c r="AJ297" s="102">
        <v>50544.255702112001</v>
      </c>
      <c r="AL297" s="23"/>
      <c r="AM297" s="23"/>
      <c r="BL297" s="299"/>
    </row>
    <row r="298" spans="17:64">
      <c r="Q298" s="6">
        <v>268</v>
      </c>
      <c r="R298" s="7">
        <v>42935</v>
      </c>
      <c r="S298" s="210">
        <v>3.5</v>
      </c>
      <c r="T298" s="8">
        <v>1.0000972222222222</v>
      </c>
      <c r="U298" s="98">
        <v>3.6121470212092666</v>
      </c>
      <c r="V298" s="106">
        <v>26912.748186887624</v>
      </c>
      <c r="W298" s="10">
        <v>0.1509653332775196</v>
      </c>
      <c r="X298" s="413">
        <v>0.14886746555231259</v>
      </c>
      <c r="Y298" s="414">
        <v>0.29548510140767159</v>
      </c>
      <c r="Z298" s="1"/>
      <c r="AA298" s="1"/>
      <c r="AB298" s="1"/>
      <c r="AC298" s="1"/>
      <c r="AD298" s="1"/>
      <c r="AF298" s="176">
        <v>50649</v>
      </c>
      <c r="AG298" s="177">
        <v>2.5000000000000001E-3</v>
      </c>
      <c r="AH298" s="177">
        <v>2.5000000000000001E-3</v>
      </c>
      <c r="AI298" s="100">
        <v>50657</v>
      </c>
      <c r="AJ298" s="102">
        <v>50670.616341367277</v>
      </c>
      <c r="AL298" s="23"/>
      <c r="AM298" s="23"/>
      <c r="BL298" s="299"/>
    </row>
    <row r="299" spans="17:64">
      <c r="Q299" s="6">
        <v>269</v>
      </c>
      <c r="R299" s="7">
        <v>42936</v>
      </c>
      <c r="S299" s="210">
        <v>3.5</v>
      </c>
      <c r="T299" s="8">
        <v>1.0000972222222222</v>
      </c>
      <c r="U299" s="98">
        <v>3.6121470212092444</v>
      </c>
      <c r="V299" s="106">
        <v>26915.043218485764</v>
      </c>
      <c r="W299" s="10">
        <v>0.15202685944537553</v>
      </c>
      <c r="X299" s="413">
        <v>0.14991434117336799</v>
      </c>
      <c r="Y299" s="414">
        <v>0.29549952740668395</v>
      </c>
      <c r="Z299" s="1"/>
      <c r="AA299" s="1"/>
      <c r="AB299" s="1"/>
      <c r="AC299" s="1"/>
      <c r="AD299" s="1"/>
      <c r="AF299" s="176">
        <v>50679</v>
      </c>
      <c r="AG299" s="177">
        <v>2.5000000000000001E-3</v>
      </c>
      <c r="AH299" s="177">
        <v>2.5000000000000001E-3</v>
      </c>
      <c r="AI299" s="100">
        <v>50687</v>
      </c>
      <c r="AJ299" s="102">
        <v>50797.292882220689</v>
      </c>
      <c r="AL299" s="23"/>
      <c r="AM299" s="23"/>
      <c r="BL299" s="299"/>
    </row>
    <row r="300" spans="17:64">
      <c r="Q300" s="6">
        <v>270</v>
      </c>
      <c r="R300" s="7">
        <v>42937</v>
      </c>
      <c r="S300" s="210">
        <v>3.5</v>
      </c>
      <c r="T300" s="8">
        <v>1.0000972222222222</v>
      </c>
      <c r="U300" s="98">
        <v>3.6121470212092666</v>
      </c>
      <c r="V300" s="106">
        <v>26917.338445796733</v>
      </c>
      <c r="W300" s="10">
        <v>0.15308053358309426</v>
      </c>
      <c r="X300" s="413">
        <v>0.15095348120395258</v>
      </c>
      <c r="Y300" s="414">
        <v>0.29551395434273481</v>
      </c>
      <c r="Z300" s="1"/>
      <c r="AA300" s="1"/>
      <c r="AB300" s="1"/>
      <c r="AC300" s="1"/>
      <c r="AD300" s="1"/>
      <c r="AF300" s="176">
        <v>50710</v>
      </c>
      <c r="AG300" s="177">
        <v>2.5000000000000001E-3</v>
      </c>
      <c r="AH300" s="177">
        <v>2.5000000000000001E-3</v>
      </c>
      <c r="AI300" s="100">
        <v>50718</v>
      </c>
      <c r="AJ300" s="102">
        <v>50924.286114426235</v>
      </c>
      <c r="AL300" s="23"/>
      <c r="AM300" s="23"/>
      <c r="BL300" s="299"/>
    </row>
    <row r="301" spans="17:64">
      <c r="Q301" s="6">
        <v>271</v>
      </c>
      <c r="R301" s="7">
        <v>42938</v>
      </c>
      <c r="S301" s="210">
        <v>3.5</v>
      </c>
      <c r="T301" s="8">
        <v>1.0000972222222222</v>
      </c>
      <c r="U301" s="98">
        <v>3.6121470212092444</v>
      </c>
      <c r="V301" s="106">
        <v>26919.633868837216</v>
      </c>
      <c r="W301" s="10">
        <v>0.15412644249095386</v>
      </c>
      <c r="X301" s="413">
        <v>0.15198497127811561</v>
      </c>
      <c r="Y301" s="414">
        <v>0.29552838221589034</v>
      </c>
      <c r="Z301" s="1"/>
      <c r="AA301" s="1"/>
      <c r="AB301" s="1"/>
      <c r="AC301" s="1"/>
      <c r="AD301" s="1"/>
      <c r="AF301" s="176">
        <v>50740</v>
      </c>
      <c r="AG301" s="177">
        <v>2.5000000000000001E-3</v>
      </c>
      <c r="AH301" s="177">
        <v>2.5000000000000001E-3</v>
      </c>
      <c r="AI301" s="100">
        <v>50748</v>
      </c>
      <c r="AJ301" s="102">
        <v>51051.596829712296</v>
      </c>
      <c r="AL301" s="23"/>
      <c r="AM301" s="23"/>
      <c r="BL301" s="299"/>
    </row>
    <row r="302" spans="17:64">
      <c r="Q302" s="6">
        <v>272</v>
      </c>
      <c r="R302" s="7">
        <v>42939</v>
      </c>
      <c r="S302" s="210">
        <v>3.5</v>
      </c>
      <c r="T302" s="8">
        <v>1.0000972222222222</v>
      </c>
      <c r="U302" s="98">
        <v>3.6121470212092444</v>
      </c>
      <c r="V302" s="106">
        <v>26921.929487623907</v>
      </c>
      <c r="W302" s="10">
        <v>0.15516467169449655</v>
      </c>
      <c r="X302" s="413">
        <v>0.15300889577064089</v>
      </c>
      <c r="Y302" s="414">
        <v>0.29554281102622082</v>
      </c>
      <c r="Z302" s="1"/>
      <c r="AA302" s="1"/>
      <c r="AB302" s="1"/>
      <c r="AC302" s="1"/>
      <c r="AD302" s="1"/>
      <c r="AF302" s="176">
        <v>50771</v>
      </c>
      <c r="AG302" s="177">
        <v>2.5000000000000001E-3</v>
      </c>
      <c r="AH302" s="177">
        <v>2.5000000000000001E-3</v>
      </c>
      <c r="AI302" s="100">
        <v>50779</v>
      </c>
      <c r="AJ302" s="102">
        <v>51179.225821786575</v>
      </c>
      <c r="AL302" s="23"/>
      <c r="AM302" s="23"/>
      <c r="BL302" s="299"/>
    </row>
    <row r="303" spans="17:64">
      <c r="Q303" s="6">
        <v>273</v>
      </c>
      <c r="R303" s="7">
        <v>42940</v>
      </c>
      <c r="S303" s="210">
        <v>3.5</v>
      </c>
      <c r="T303" s="8">
        <v>1.0000972222222222</v>
      </c>
      <c r="U303" s="98">
        <v>3.6121470212092444</v>
      </c>
      <c r="V303" s="106">
        <v>26924.225302173498</v>
      </c>
      <c r="W303" s="10">
        <v>0.15619530546793214</v>
      </c>
      <c r="X303" s="413">
        <v>0.15402533781999322</v>
      </c>
      <c r="Y303" s="414">
        <v>0.29555724077379286</v>
      </c>
      <c r="Z303" s="1"/>
      <c r="AA303" s="1"/>
      <c r="AB303" s="1"/>
      <c r="AC303" s="1"/>
      <c r="AD303" s="1"/>
      <c r="AF303" s="176">
        <v>50802</v>
      </c>
      <c r="AG303" s="177">
        <v>2.5000000000000001E-3</v>
      </c>
      <c r="AH303" s="177">
        <v>2.5000000000000001E-3</v>
      </c>
      <c r="AI303" s="100">
        <v>50810</v>
      </c>
      <c r="AJ303" s="102">
        <v>51307.173886341036</v>
      </c>
      <c r="AL303" s="23"/>
      <c r="AM303" s="23"/>
      <c r="BL303" s="299"/>
    </row>
    <row r="304" spans="17:64">
      <c r="Q304" s="6">
        <v>274</v>
      </c>
      <c r="R304" s="7">
        <v>42941</v>
      </c>
      <c r="S304" s="210">
        <v>3.5</v>
      </c>
      <c r="T304" s="8">
        <v>1.0000972222222222</v>
      </c>
      <c r="U304" s="98">
        <v>3.6121470212092444</v>
      </c>
      <c r="V304" s="106">
        <v>26926.521312502682</v>
      </c>
      <c r="W304" s="10">
        <v>0.15721842685687548</v>
      </c>
      <c r="X304" s="413">
        <v>0.15503437935096626</v>
      </c>
      <c r="Y304" s="414">
        <v>0.29557167145867713</v>
      </c>
      <c r="Z304" s="1"/>
      <c r="AA304" s="1"/>
      <c r="AB304" s="1"/>
      <c r="AC304" s="1"/>
      <c r="AD304" s="1"/>
      <c r="AF304" s="176">
        <v>50830</v>
      </c>
      <c r="AG304" s="177">
        <v>2.5000000000000001E-3</v>
      </c>
      <c r="AH304" s="177">
        <v>2.5000000000000001E-3</v>
      </c>
      <c r="AI304" s="100">
        <v>50838</v>
      </c>
      <c r="AJ304" s="102">
        <v>51435.441821056884</v>
      </c>
      <c r="AL304" s="23"/>
      <c r="AM304" s="23"/>
      <c r="BL304" s="299"/>
    </row>
    <row r="305" spans="17:64">
      <c r="Q305" s="6">
        <v>275</v>
      </c>
      <c r="R305" s="7">
        <v>42942</v>
      </c>
      <c r="S305" s="210">
        <v>3.5</v>
      </c>
      <c r="T305" s="8">
        <v>1.0000972222222222</v>
      </c>
      <c r="U305" s="98">
        <v>3.6121470212092444</v>
      </c>
      <c r="V305" s="106">
        <v>26928.817518628159</v>
      </c>
      <c r="W305" s="10">
        <v>0.15823411770068407</v>
      </c>
      <c r="X305" s="413">
        <v>0.15603610109669122</v>
      </c>
      <c r="Y305" s="414">
        <v>0.29558610308094074</v>
      </c>
      <c r="Z305" s="1"/>
      <c r="AA305" s="1"/>
      <c r="AB305" s="1"/>
      <c r="AC305" s="1"/>
      <c r="AD305" s="1"/>
      <c r="AF305" s="176">
        <v>50861</v>
      </c>
      <c r="AG305" s="177">
        <v>2.5000000000000001E-3</v>
      </c>
      <c r="AH305" s="177">
        <v>2.5000000000000001E-3</v>
      </c>
      <c r="AI305" s="100">
        <v>50869</v>
      </c>
      <c r="AJ305" s="102">
        <v>51564.030425609526</v>
      </c>
      <c r="AL305" s="23"/>
      <c r="AM305" s="23"/>
      <c r="BL305" s="299"/>
    </row>
    <row r="306" spans="17:64">
      <c r="Q306" s="6">
        <v>276</v>
      </c>
      <c r="R306" s="7">
        <v>42943</v>
      </c>
      <c r="S306" s="210">
        <v>3.5</v>
      </c>
      <c r="T306" s="8">
        <v>1.0000972222222222</v>
      </c>
      <c r="U306" s="98">
        <v>3.6121470212092222</v>
      </c>
      <c r="V306" s="106">
        <v>26931.113920566626</v>
      </c>
      <c r="W306" s="10">
        <v>0.15924245865430731</v>
      </c>
      <c r="X306" s="413">
        <v>0.15703058262025402</v>
      </c>
      <c r="Y306" s="414">
        <v>0.29560053564065236</v>
      </c>
      <c r="Z306" s="1"/>
      <c r="AA306" s="1"/>
      <c r="AB306" s="1"/>
      <c r="AC306" s="1"/>
      <c r="AD306" s="1"/>
      <c r="AF306" s="176">
        <v>50891</v>
      </c>
      <c r="AG306" s="177">
        <v>2.5000000000000001E-3</v>
      </c>
      <c r="AH306" s="177">
        <v>2.5000000000000001E-3</v>
      </c>
      <c r="AI306" s="100">
        <v>50899</v>
      </c>
      <c r="AJ306" s="102">
        <v>51692.940501673547</v>
      </c>
      <c r="AL306" s="23"/>
      <c r="AM306" s="23"/>
      <c r="BL306" s="299"/>
    </row>
    <row r="307" spans="17:64">
      <c r="Q307" s="6">
        <v>277</v>
      </c>
      <c r="R307" s="7">
        <v>42944</v>
      </c>
      <c r="S307" s="210">
        <v>3.5</v>
      </c>
      <c r="T307" s="8">
        <v>1.0000972222222222</v>
      </c>
      <c r="U307" s="98">
        <v>3.6121470212092444</v>
      </c>
      <c r="V307" s="106">
        <v>26933.410518334775</v>
      </c>
      <c r="W307" s="10">
        <v>0.16024352920962492</v>
      </c>
      <c r="X307" s="413">
        <v>0.1580179023359016</v>
      </c>
      <c r="Y307" s="414">
        <v>0.29561496913788182</v>
      </c>
      <c r="Z307" s="1"/>
      <c r="AA307" s="1"/>
      <c r="AB307" s="1"/>
      <c r="AC307" s="1"/>
      <c r="AD307" s="1"/>
      <c r="AF307" s="176">
        <v>50922</v>
      </c>
      <c r="AG307" s="177">
        <v>2.5000000000000001E-3</v>
      </c>
      <c r="AH307" s="177">
        <v>2.5000000000000001E-3</v>
      </c>
      <c r="AI307" s="100">
        <v>50930</v>
      </c>
      <c r="AJ307" s="102">
        <v>51822.172852927732</v>
      </c>
      <c r="AL307" s="23"/>
      <c r="AM307" s="23"/>
      <c r="BL307" s="299"/>
    </row>
    <row r="308" spans="17:64">
      <c r="Q308" s="6">
        <v>278</v>
      </c>
      <c r="R308" s="7">
        <v>42945</v>
      </c>
      <c r="S308" s="210">
        <v>3.5</v>
      </c>
      <c r="T308" s="8">
        <v>1.0000972222222222</v>
      </c>
      <c r="U308" s="98">
        <v>3.6121470212092444</v>
      </c>
      <c r="V308" s="106">
        <v>26935.707311949311</v>
      </c>
      <c r="W308" s="10">
        <v>0.16123740771625261</v>
      </c>
      <c r="X308" s="413">
        <v>0.15899813752950351</v>
      </c>
      <c r="Y308" s="414">
        <v>0.29562940357269596</v>
      </c>
      <c r="Z308" s="1"/>
      <c r="AA308" s="1"/>
      <c r="AB308" s="1"/>
      <c r="AC308" s="1"/>
      <c r="AD308" s="1"/>
      <c r="AF308" s="176">
        <v>50952</v>
      </c>
      <c r="AG308" s="177">
        <v>2.5000000000000001E-3</v>
      </c>
      <c r="AH308" s="177">
        <v>2.5000000000000001E-3</v>
      </c>
      <c r="AI308" s="100">
        <v>50960</v>
      </c>
      <c r="AJ308" s="102">
        <v>51951.728285060046</v>
      </c>
      <c r="AL308" s="23"/>
      <c r="AM308" s="23"/>
      <c r="BL308" s="299"/>
    </row>
    <row r="309" spans="17:64">
      <c r="Q309" s="6">
        <v>279</v>
      </c>
      <c r="R309" s="7">
        <v>42946</v>
      </c>
      <c r="S309" s="210">
        <v>3.5</v>
      </c>
      <c r="T309" s="8">
        <v>1.0000972222222222</v>
      </c>
      <c r="U309" s="98">
        <v>3.6121470212092444</v>
      </c>
      <c r="V309" s="106">
        <v>26938.004301426929</v>
      </c>
      <c r="W309" s="10">
        <v>0.16222417140216994</v>
      </c>
      <c r="X309" s="413">
        <v>0.15997136437897391</v>
      </c>
      <c r="Y309" s="414">
        <v>0.29564383894516255</v>
      </c>
      <c r="Z309" s="1"/>
      <c r="AA309" s="1"/>
      <c r="AB309" s="1"/>
      <c r="AC309" s="1"/>
      <c r="AD309" s="1"/>
      <c r="AF309" s="176">
        <v>50983</v>
      </c>
      <c r="AG309" s="177">
        <v>2.5000000000000001E-3</v>
      </c>
      <c r="AH309" s="177">
        <v>2.5000000000000001E-3</v>
      </c>
      <c r="AI309" s="100">
        <v>50991</v>
      </c>
      <c r="AJ309" s="102">
        <v>52081.607605772697</v>
      </c>
      <c r="AL309" s="23"/>
      <c r="AM309" s="23"/>
      <c r="BL309" s="299"/>
    </row>
    <row r="310" spans="17:64">
      <c r="Q310" s="6">
        <v>280</v>
      </c>
      <c r="R310" s="7">
        <v>42947</v>
      </c>
      <c r="S310" s="210">
        <v>3.5</v>
      </c>
      <c r="T310" s="8">
        <v>1.0000972222222222</v>
      </c>
      <c r="U310" s="98">
        <v>3.6121470212092444</v>
      </c>
      <c r="V310" s="106">
        <v>26940.301486784341</v>
      </c>
      <c r="W310" s="10">
        <v>0.16320389639343791</v>
      </c>
      <c r="X310" s="413">
        <v>0.16093765797385703</v>
      </c>
      <c r="Y310" s="414">
        <v>0.29565827525535127</v>
      </c>
      <c r="Z310" s="1"/>
      <c r="AA310" s="1"/>
      <c r="AB310" s="1"/>
      <c r="AC310" s="1"/>
      <c r="AD310" s="1"/>
      <c r="AF310" s="176">
        <v>51014</v>
      </c>
      <c r="AG310" s="177">
        <v>2.5000000000000001E-3</v>
      </c>
      <c r="AH310" s="177">
        <v>2.5000000000000001E-3</v>
      </c>
      <c r="AI310" s="100">
        <v>51022</v>
      </c>
      <c r="AJ310" s="102">
        <v>52211.811624787129</v>
      </c>
      <c r="AL310" s="23"/>
      <c r="AM310" s="23"/>
      <c r="BL310" s="299"/>
    </row>
    <row r="311" spans="17:64">
      <c r="Q311" s="6">
        <v>281</v>
      </c>
      <c r="R311" s="7">
        <v>42948</v>
      </c>
      <c r="S311" s="210">
        <v>3.5</v>
      </c>
      <c r="T311" s="8">
        <v>1.0000972222222222</v>
      </c>
      <c r="U311" s="98">
        <v>3.6121470212092666</v>
      </c>
      <c r="V311" s="106">
        <v>26942.598868038243</v>
      </c>
      <c r="W311" s="10">
        <v>0.16417665773411638</v>
      </c>
      <c r="X311" s="413">
        <v>0.16189709233497734</v>
      </c>
      <c r="Y311" s="414">
        <v>0.29567271250333044</v>
      </c>
      <c r="Z311" s="1"/>
      <c r="AA311" s="1"/>
      <c r="AB311" s="1"/>
      <c r="AC311" s="1"/>
      <c r="AD311" s="1"/>
      <c r="AF311" s="176">
        <v>51044</v>
      </c>
      <c r="AG311" s="177">
        <v>2.5000000000000001E-3</v>
      </c>
      <c r="AH311" s="177">
        <v>2.5000000000000001E-3</v>
      </c>
      <c r="AI311" s="100">
        <v>51052</v>
      </c>
      <c r="AJ311" s="102">
        <v>52342.341153849091</v>
      </c>
      <c r="AL311" s="23"/>
      <c r="AM311" s="23"/>
      <c r="BL311" s="299"/>
    </row>
    <row r="312" spans="17:64">
      <c r="Q312" s="6">
        <v>282</v>
      </c>
      <c r="R312" s="7">
        <v>42949</v>
      </c>
      <c r="S312" s="210">
        <v>3.5</v>
      </c>
      <c r="T312" s="8">
        <v>1.0000972222222222</v>
      </c>
      <c r="U312" s="98">
        <v>3.6121470212092444</v>
      </c>
      <c r="V312" s="106">
        <v>26944.896445205341</v>
      </c>
      <c r="W312" s="10">
        <v>0.16514252940518226</v>
      </c>
      <c r="X312" s="413">
        <v>0.16284974043307693</v>
      </c>
      <c r="Y312" s="414">
        <v>0.29568715068916757</v>
      </c>
      <c r="Z312" s="1"/>
      <c r="AA312" s="1"/>
      <c r="AB312" s="1"/>
      <c r="AC312" s="1"/>
      <c r="AD312" s="1"/>
      <c r="AF312" s="176">
        <v>51075</v>
      </c>
      <c r="AG312" s="177">
        <v>2.5000000000000001E-3</v>
      </c>
      <c r="AH312" s="177">
        <v>2.5000000000000001E-3</v>
      </c>
      <c r="AI312" s="100">
        <v>51083</v>
      </c>
      <c r="AJ312" s="102">
        <v>52473.19700673371</v>
      </c>
      <c r="AL312" s="23"/>
      <c r="AM312" s="23"/>
      <c r="BL312" s="299"/>
    </row>
    <row r="313" spans="17:64">
      <c r="Q313" s="6">
        <v>283</v>
      </c>
      <c r="R313" s="7">
        <v>42950</v>
      </c>
      <c r="S313" s="210">
        <v>3.5</v>
      </c>
      <c r="T313" s="8">
        <v>1.0000972222222222</v>
      </c>
      <c r="U313" s="98">
        <v>3.6121470212092444</v>
      </c>
      <c r="V313" s="106">
        <v>26947.194218302353</v>
      </c>
      <c r="W313" s="10">
        <v>0.16610158434322564</v>
      </c>
      <c r="X313" s="413">
        <v>0.16379567420748092</v>
      </c>
      <c r="Y313" s="414">
        <v>0.29570158981293154</v>
      </c>
      <c r="Z313" s="1"/>
      <c r="AA313" s="1"/>
      <c r="AB313" s="1"/>
      <c r="AC313" s="1"/>
      <c r="AD313" s="1"/>
      <c r="AF313" s="176">
        <v>51105</v>
      </c>
      <c r="AG313" s="177">
        <v>2.5000000000000001E-3</v>
      </c>
      <c r="AH313" s="177">
        <v>2.5000000000000001E-3</v>
      </c>
      <c r="AI313" s="100">
        <v>51113</v>
      </c>
      <c r="AJ313" s="102">
        <v>52604.379999250545</v>
      </c>
      <c r="AL313" s="23"/>
      <c r="AM313" s="23"/>
      <c r="BL313" s="299"/>
    </row>
    <row r="314" spans="17:64">
      <c r="Q314" s="6">
        <v>284</v>
      </c>
      <c r="R314" s="7">
        <v>42951</v>
      </c>
      <c r="S314" s="210">
        <v>3.5</v>
      </c>
      <c r="T314" s="8">
        <v>1.0000972222222222</v>
      </c>
      <c r="U314" s="98">
        <v>3.6121470212092444</v>
      </c>
      <c r="V314" s="106">
        <v>26949.492187345968</v>
      </c>
      <c r="W314" s="10">
        <v>0.16705389445930141</v>
      </c>
      <c r="X314" s="413">
        <v>0.16473496458453793</v>
      </c>
      <c r="Y314" s="414">
        <v>0.29571602987469253</v>
      </c>
      <c r="Z314" s="1"/>
      <c r="AA314" s="1"/>
      <c r="AB314" s="1"/>
      <c r="AC314" s="1"/>
      <c r="AD314" s="1"/>
      <c r="AF314" s="176">
        <v>51136</v>
      </c>
      <c r="AG314" s="177">
        <v>2.5000000000000001E-3</v>
      </c>
      <c r="AH314" s="177">
        <v>2.5000000000000001E-3</v>
      </c>
      <c r="AI314" s="100">
        <v>51144</v>
      </c>
      <c r="AJ314" s="102">
        <v>52735.890949248671</v>
      </c>
      <c r="AL314" s="23"/>
      <c r="AM314" s="23"/>
      <c r="BL314" s="299"/>
    </row>
    <row r="315" spans="17:64">
      <c r="Q315" s="6">
        <v>285</v>
      </c>
      <c r="R315" s="7">
        <v>42952</v>
      </c>
      <c r="S315" s="210">
        <v>3.5</v>
      </c>
      <c r="T315" s="8">
        <v>1.0000972222222222</v>
      </c>
      <c r="U315" s="98">
        <v>3.6121470212092444</v>
      </c>
      <c r="V315" s="106">
        <v>26951.790352352913</v>
      </c>
      <c r="W315" s="10">
        <v>0.16799953065613771</v>
      </c>
      <c r="X315" s="413">
        <v>0.16566768149483049</v>
      </c>
      <c r="Y315" s="414">
        <v>0.29573047087451765</v>
      </c>
      <c r="Z315" s="1"/>
      <c r="AA315" s="1"/>
      <c r="AB315" s="1"/>
      <c r="AC315" s="1"/>
      <c r="AD315" s="1"/>
      <c r="AF315" s="176">
        <v>51167</v>
      </c>
      <c r="AG315" s="177">
        <v>2.5000000000000001E-3</v>
      </c>
      <c r="AH315" s="177">
        <v>2.5000000000000001E-3</v>
      </c>
      <c r="AI315" s="100">
        <v>51175</v>
      </c>
      <c r="AJ315" s="102">
        <v>52867.730676621788</v>
      </c>
      <c r="AL315" s="23"/>
      <c r="AM315" s="23"/>
      <c r="BL315" s="299"/>
    </row>
    <row r="316" spans="17:64">
      <c r="Q316" s="6">
        <v>286</v>
      </c>
      <c r="R316" s="7">
        <v>42953</v>
      </c>
      <c r="S316" s="210">
        <v>3.5</v>
      </c>
      <c r="T316" s="8">
        <v>1.0000972222222222</v>
      </c>
      <c r="U316" s="98">
        <v>3.6121470212092444</v>
      </c>
      <c r="V316" s="106">
        <v>26954.088713339886</v>
      </c>
      <c r="W316" s="10">
        <v>0.16893856284636577</v>
      </c>
      <c r="X316" s="413">
        <v>0.1665938938910308</v>
      </c>
      <c r="Y316" s="414">
        <v>0.29574491281247506</v>
      </c>
      <c r="Z316" s="1"/>
      <c r="AA316" s="1"/>
      <c r="AB316" s="1"/>
      <c r="AC316" s="1"/>
      <c r="AD316" s="1"/>
      <c r="AF316" s="176">
        <v>51196</v>
      </c>
      <c r="AG316" s="177">
        <v>2.5000000000000001E-3</v>
      </c>
      <c r="AH316" s="177">
        <v>2.5000000000000001E-3</v>
      </c>
      <c r="AI316" s="100">
        <v>51204</v>
      </c>
      <c r="AJ316" s="102">
        <v>52999.900003313342</v>
      </c>
      <c r="AL316" s="23"/>
      <c r="AM316" s="23"/>
      <c r="BL316" s="299"/>
    </row>
    <row r="317" spans="17:64">
      <c r="Q317" s="6">
        <v>287</v>
      </c>
      <c r="R317" s="7">
        <v>42954</v>
      </c>
      <c r="S317" s="210">
        <v>3.5</v>
      </c>
      <c r="T317" s="8">
        <v>1.0000972222222222</v>
      </c>
      <c r="U317" s="98">
        <v>3.6121470212092444</v>
      </c>
      <c r="V317" s="106">
        <v>26956.387270323608</v>
      </c>
      <c r="W317" s="10">
        <v>0.16987105996952856</v>
      </c>
      <c r="X317" s="413">
        <v>0.1675136697648538</v>
      </c>
      <c r="Y317" s="414">
        <v>0.29575935568863454</v>
      </c>
      <c r="Z317" s="1"/>
      <c r="AA317" s="1"/>
      <c r="AB317" s="1"/>
      <c r="AC317" s="1"/>
      <c r="AD317" s="1"/>
      <c r="AF317" s="176">
        <v>51227</v>
      </c>
      <c r="AG317" s="177">
        <v>2.5000000000000001E-3</v>
      </c>
      <c r="AH317" s="177">
        <v>2.5000000000000001E-3</v>
      </c>
      <c r="AI317" s="100">
        <v>51235</v>
      </c>
      <c r="AJ317" s="102">
        <v>53132.399753321624</v>
      </c>
      <c r="AL317" s="23"/>
      <c r="AM317" s="23"/>
      <c r="BL317" s="299"/>
    </row>
    <row r="318" spans="17:64">
      <c r="Q318" s="6">
        <v>288</v>
      </c>
      <c r="R318" s="7">
        <v>42955</v>
      </c>
      <c r="S318" s="210">
        <v>3.5</v>
      </c>
      <c r="T318" s="8">
        <v>1.0000972222222222</v>
      </c>
      <c r="U318" s="98">
        <v>3.6121470212092444</v>
      </c>
      <c r="V318" s="106">
        <v>26958.686023320792</v>
      </c>
      <c r="W318" s="10">
        <v>0.17079709000882293</v>
      </c>
      <c r="X318" s="413">
        <v>0.16842707616354646</v>
      </c>
      <c r="Y318" s="414">
        <v>0.29577379950306243</v>
      </c>
      <c r="Z318" s="1"/>
      <c r="AA318" s="1"/>
      <c r="AB318" s="1"/>
      <c r="AC318" s="1"/>
      <c r="AD318" s="1"/>
      <c r="AF318" s="176">
        <v>51257</v>
      </c>
      <c r="AG318" s="177">
        <v>2.5000000000000001E-3</v>
      </c>
      <c r="AH318" s="177">
        <v>2.5000000000000001E-3</v>
      </c>
      <c r="AI318" s="100">
        <v>51265</v>
      </c>
      <c r="AJ318" s="102">
        <v>53265.230752704927</v>
      </c>
      <c r="AL318" s="23"/>
      <c r="AM318" s="23"/>
      <c r="BL318" s="299"/>
    </row>
    <row r="319" spans="17:64">
      <c r="Q319" s="6">
        <v>289</v>
      </c>
      <c r="R319" s="7">
        <v>42956</v>
      </c>
      <c r="S319" s="210">
        <v>3.5</v>
      </c>
      <c r="T319" s="8">
        <v>1.0000972222222222</v>
      </c>
      <c r="U319" s="98">
        <v>3.6121470212092444</v>
      </c>
      <c r="V319" s="106">
        <v>26960.984972348153</v>
      </c>
      <c r="W319" s="10">
        <v>0.17171672000788618</v>
      </c>
      <c r="X319" s="413">
        <v>0.16933417920650434</v>
      </c>
      <c r="Y319" s="414">
        <v>0.29578824425582895</v>
      </c>
      <c r="Z319" s="1"/>
      <c r="AA319" s="1"/>
      <c r="AB319" s="1"/>
      <c r="AC319" s="1"/>
      <c r="AD319" s="1"/>
      <c r="AF319" s="176">
        <v>51288</v>
      </c>
      <c r="AG319" s="177">
        <v>2.5000000000000001E-3</v>
      </c>
      <c r="AH319" s="177">
        <v>2.5000000000000001E-3</v>
      </c>
      <c r="AI319" s="100">
        <v>51296</v>
      </c>
      <c r="AJ319" s="102">
        <v>53398.393829586683</v>
      </c>
      <c r="AL319" s="23"/>
      <c r="AM319" s="23"/>
      <c r="BL319" s="299"/>
    </row>
    <row r="320" spans="17:64">
      <c r="Q320" s="6">
        <v>290</v>
      </c>
      <c r="R320" s="7">
        <v>42957</v>
      </c>
      <c r="S320" s="210">
        <v>3.5</v>
      </c>
      <c r="T320" s="8">
        <v>1.0000972222222222</v>
      </c>
      <c r="U320" s="98">
        <v>3.6121470212092444</v>
      </c>
      <c r="V320" s="106">
        <v>26962.881638358649</v>
      </c>
      <c r="W320" s="10">
        <v>0.17451202540723632</v>
      </c>
      <c r="X320" s="413">
        <v>0.17209061113467489</v>
      </c>
      <c r="Y320" s="414">
        <v>0.29580268994700315</v>
      </c>
      <c r="Z320" s="1"/>
      <c r="AA320" s="1"/>
      <c r="AB320" s="1"/>
      <c r="AC320" s="1"/>
      <c r="AD320" s="1"/>
      <c r="AF320" s="176">
        <v>51318</v>
      </c>
      <c r="AG320" s="177">
        <v>2.5000000000000001E-3</v>
      </c>
      <c r="AH320" s="177">
        <v>2.5000000000000001E-3</v>
      </c>
      <c r="AI320" s="100">
        <v>51326</v>
      </c>
      <c r="AJ320" s="102">
        <v>53531.889814160648</v>
      </c>
      <c r="AL320" s="23"/>
      <c r="AM320" s="23"/>
      <c r="BL320" s="299"/>
    </row>
    <row r="321" spans="17:64">
      <c r="Q321" s="6">
        <v>291</v>
      </c>
      <c r="R321" s="7">
        <v>42958</v>
      </c>
      <c r="S321" s="210">
        <v>3.5</v>
      </c>
      <c r="T321" s="8">
        <v>1.0000972222222222</v>
      </c>
      <c r="U321" s="98">
        <v>3.6121470212092444</v>
      </c>
      <c r="V321" s="106">
        <v>26964.778437796835</v>
      </c>
      <c r="W321" s="10">
        <v>0.17728819628668457</v>
      </c>
      <c r="X321" s="413">
        <v>0.17482818796605254</v>
      </c>
      <c r="Y321" s="414">
        <v>0.29581713657665099</v>
      </c>
      <c r="Z321" s="1"/>
      <c r="AA321" s="1"/>
      <c r="AB321" s="1"/>
      <c r="AC321" s="1"/>
      <c r="AD321" s="1"/>
      <c r="AF321" s="176">
        <v>51349</v>
      </c>
      <c r="AG321" s="177">
        <v>2.5000000000000001E-3</v>
      </c>
      <c r="AH321" s="177">
        <v>2.5000000000000001E-3</v>
      </c>
      <c r="AI321" s="100">
        <v>51357</v>
      </c>
      <c r="AJ321" s="102">
        <v>53665.719538696045</v>
      </c>
      <c r="AL321" s="23"/>
      <c r="AM321" s="23"/>
      <c r="BL321" s="299"/>
    </row>
    <row r="322" spans="17:64">
      <c r="Q322" s="6">
        <v>292</v>
      </c>
      <c r="R322" s="7">
        <v>42959</v>
      </c>
      <c r="S322" s="210">
        <v>3.5</v>
      </c>
      <c r="T322" s="8">
        <v>1.0000972222222222</v>
      </c>
      <c r="U322" s="98">
        <v>3.6121470212092444</v>
      </c>
      <c r="V322" s="106">
        <v>26966.675370672096</v>
      </c>
      <c r="W322" s="10">
        <v>0.18004542844543003</v>
      </c>
      <c r="X322" s="413">
        <v>0.17754710341976679</v>
      </c>
      <c r="Y322" s="414">
        <v>0.29583158414484417</v>
      </c>
      <c r="Z322" s="1"/>
      <c r="AA322" s="1"/>
      <c r="AB322" s="1"/>
      <c r="AC322" s="1"/>
      <c r="AD322" s="1"/>
      <c r="AF322" s="176">
        <v>51380</v>
      </c>
      <c r="AG322" s="177">
        <v>2.5000000000000001E-3</v>
      </c>
      <c r="AH322" s="177">
        <v>2.5000000000000001E-3</v>
      </c>
      <c r="AI322" s="100">
        <v>51388</v>
      </c>
      <c r="AJ322" s="102">
        <v>53799.88383754278</v>
      </c>
      <c r="AL322" s="23"/>
      <c r="AM322" s="23"/>
      <c r="BL322" s="299"/>
    </row>
    <row r="323" spans="17:64">
      <c r="Q323" s="6">
        <v>293</v>
      </c>
      <c r="R323" s="7">
        <v>42960</v>
      </c>
      <c r="S323" s="210">
        <v>3.5</v>
      </c>
      <c r="T323" s="8">
        <v>1.0000972222222222</v>
      </c>
      <c r="U323" s="98">
        <v>3.6121470212092444</v>
      </c>
      <c r="V323" s="106">
        <v>26968.572436993829</v>
      </c>
      <c r="W323" s="10">
        <v>0.18278391502033475</v>
      </c>
      <c r="X323" s="413">
        <v>0.18024754857031744</v>
      </c>
      <c r="Y323" s="414">
        <v>0.29584603265164916</v>
      </c>
      <c r="Z323" s="1"/>
      <c r="AA323" s="1"/>
      <c r="AB323" s="1"/>
      <c r="AC323" s="1"/>
      <c r="AD323" s="1"/>
      <c r="AF323" s="176">
        <v>51410</v>
      </c>
      <c r="AG323" s="177">
        <v>2.5000000000000001E-3</v>
      </c>
      <c r="AH323" s="177">
        <v>2.5000000000000001E-3</v>
      </c>
      <c r="AI323" s="100">
        <v>51418</v>
      </c>
      <c r="AJ323" s="102">
        <v>53934.383547136633</v>
      </c>
      <c r="AL323" s="23"/>
      <c r="AM323" s="23"/>
      <c r="BL323" s="299"/>
    </row>
    <row r="324" spans="17:64">
      <c r="Q324" s="6">
        <v>294</v>
      </c>
      <c r="R324" s="7">
        <v>42961</v>
      </c>
      <c r="S324" s="210">
        <v>3.5</v>
      </c>
      <c r="T324" s="8">
        <v>1.0000972222222222</v>
      </c>
      <c r="U324" s="98">
        <v>3.6121470212092666</v>
      </c>
      <c r="V324" s="106">
        <v>26970.469636771406</v>
      </c>
      <c r="W324" s="10">
        <v>0.18550384653106544</v>
      </c>
      <c r="X324" s="413">
        <v>0.18292971189260557</v>
      </c>
      <c r="Y324" s="414">
        <v>0.29586048209713584</v>
      </c>
      <c r="Z324" s="1"/>
      <c r="AA324" s="1"/>
      <c r="AB324" s="1"/>
      <c r="AC324" s="1"/>
      <c r="AD324" s="1"/>
      <c r="AF324" s="176">
        <v>51441</v>
      </c>
      <c r="AG324" s="177">
        <v>2.5000000000000001E-3</v>
      </c>
      <c r="AH324" s="177">
        <v>2.5000000000000001E-3</v>
      </c>
      <c r="AI324" s="100">
        <v>51449</v>
      </c>
      <c r="AJ324" s="102">
        <v>54069.219506004469</v>
      </c>
      <c r="AL324" s="23"/>
      <c r="AM324" s="23"/>
      <c r="BL324" s="299"/>
    </row>
    <row r="325" spans="17:64">
      <c r="Q325" s="6">
        <v>295</v>
      </c>
      <c r="R325" s="7">
        <v>42962</v>
      </c>
      <c r="S325" s="210">
        <v>3.5</v>
      </c>
      <c r="T325" s="8">
        <v>1.0000972222222222</v>
      </c>
      <c r="U325" s="98">
        <v>3.6121470212092666</v>
      </c>
      <c r="V325" s="106">
        <v>26972.36697001422</v>
      </c>
      <c r="W325" s="10">
        <v>0.18820541092421372</v>
      </c>
      <c r="X325" s="413">
        <v>0.18559377930591331</v>
      </c>
      <c r="Y325" s="414">
        <v>0.29587493248137092</v>
      </c>
      <c r="Z325" s="1"/>
      <c r="AA325" s="1"/>
      <c r="AB325" s="1"/>
      <c r="AC325" s="1"/>
      <c r="AD325" s="1"/>
      <c r="AF325" s="176">
        <v>51471</v>
      </c>
      <c r="AG325" s="177">
        <v>2.5000000000000001E-3</v>
      </c>
      <c r="AH325" s="177">
        <v>2.5000000000000001E-3</v>
      </c>
      <c r="AI325" s="100">
        <v>51479</v>
      </c>
      <c r="AJ325" s="102">
        <v>54204.392554769474</v>
      </c>
      <c r="AL325" s="23"/>
      <c r="AM325" s="23"/>
    </row>
    <row r="326" spans="17:64">
      <c r="Q326" s="6">
        <v>296</v>
      </c>
      <c r="R326" s="7">
        <v>42963</v>
      </c>
      <c r="S326" s="210">
        <v>3.5</v>
      </c>
      <c r="T326" s="8">
        <v>1.0000972222222222</v>
      </c>
      <c r="U326" s="98">
        <v>3.6121470212092666</v>
      </c>
      <c r="V326" s="106">
        <v>26974.264436731672</v>
      </c>
      <c r="W326" s="10">
        <v>0.19088879361655042</v>
      </c>
      <c r="X326" s="413">
        <v>0.18823993421701901</v>
      </c>
      <c r="Y326" s="414">
        <v>0.29588938380442481</v>
      </c>
      <c r="Z326" s="1"/>
      <c r="AA326" s="1"/>
      <c r="AB326" s="1"/>
      <c r="AC326" s="1"/>
      <c r="AD326" s="1"/>
      <c r="AL326" s="23"/>
      <c r="AM326" s="23"/>
    </row>
    <row r="327" spans="17:64">
      <c r="Q327" s="6">
        <v>297</v>
      </c>
      <c r="R327" s="7">
        <v>42964</v>
      </c>
      <c r="S327" s="210">
        <v>3.5</v>
      </c>
      <c r="T327" s="8">
        <v>1.0000972222222222</v>
      </c>
      <c r="U327" s="98">
        <v>3.6121470212092666</v>
      </c>
      <c r="V327" s="106">
        <v>26976.162036933136</v>
      </c>
      <c r="W327" s="10">
        <v>0.19355417753756932</v>
      </c>
      <c r="X327" s="413">
        <v>0.19086835756265685</v>
      </c>
      <c r="Y327" s="414">
        <v>0.29590383606636456</v>
      </c>
      <c r="Z327" s="1"/>
      <c r="AA327" s="1"/>
      <c r="AB327" s="1"/>
      <c r="AC327" s="1"/>
      <c r="AD327" s="1"/>
      <c r="AL327" s="23"/>
      <c r="AM327" s="23"/>
    </row>
    <row r="328" spans="17:64">
      <c r="Q328" s="6">
        <v>298</v>
      </c>
      <c r="R328" s="7">
        <v>42965</v>
      </c>
      <c r="S328" s="210">
        <v>3.5</v>
      </c>
      <c r="T328" s="8">
        <v>1.0000972222222222</v>
      </c>
      <c r="U328" s="98">
        <v>3.6121470212092666</v>
      </c>
      <c r="V328" s="106">
        <v>26978.059770628017</v>
      </c>
      <c r="W328" s="10">
        <v>0.19620174317100947</v>
      </c>
      <c r="X328" s="413">
        <v>0.19347922785087998</v>
      </c>
      <c r="Y328" s="414">
        <v>0.29591828926725866</v>
      </c>
      <c r="Z328" s="1"/>
      <c r="AA328" s="1"/>
      <c r="AB328" s="1"/>
      <c r="AC328" s="1"/>
      <c r="AD328" s="1"/>
      <c r="AL328" s="23"/>
      <c r="AM328" s="23"/>
    </row>
    <row r="329" spans="17:64">
      <c r="Q329" s="6">
        <v>299</v>
      </c>
      <c r="R329" s="7">
        <v>42966</v>
      </c>
      <c r="S329" s="210">
        <v>3.5</v>
      </c>
      <c r="T329" s="8">
        <v>1.0000972222222222</v>
      </c>
      <c r="U329" s="98">
        <v>3.6121470212092666</v>
      </c>
      <c r="V329" s="106">
        <v>26979.957637825686</v>
      </c>
      <c r="W329" s="10">
        <v>0.19883166859562262</v>
      </c>
      <c r="X329" s="413">
        <v>0.19607272120172742</v>
      </c>
      <c r="Y329" s="414">
        <v>0.29593274340717701</v>
      </c>
      <c r="Z329" s="1"/>
      <c r="AA329" s="1"/>
      <c r="AB329" s="1"/>
      <c r="AC329" s="1"/>
      <c r="AD329" s="1"/>
      <c r="AL329" s="23"/>
      <c r="AM329" s="23"/>
    </row>
    <row r="330" spans="17:64">
      <c r="Q330" s="6">
        <v>300</v>
      </c>
      <c r="R330" s="7">
        <v>42967</v>
      </c>
      <c r="S330" s="210">
        <v>3.5</v>
      </c>
      <c r="T330" s="8">
        <v>1.0000972222222222</v>
      </c>
      <c r="U330" s="98">
        <v>3.6121470212092666</v>
      </c>
      <c r="V330" s="106">
        <v>26981.855638535562</v>
      </c>
      <c r="W330" s="10">
        <v>0.20144412952489699</v>
      </c>
      <c r="X330" s="413">
        <v>0.19864901138678448</v>
      </c>
      <c r="Y330" s="414">
        <v>0.29594719848618833</v>
      </c>
      <c r="Z330" s="1"/>
      <c r="AA330" s="1"/>
      <c r="AB330" s="1"/>
      <c r="AC330" s="1"/>
      <c r="AD330" s="1"/>
      <c r="AL330" s="23"/>
      <c r="AM330" s="23"/>
    </row>
    <row r="331" spans="17:64">
      <c r="Q331" s="6">
        <v>301</v>
      </c>
      <c r="R331" s="7">
        <v>42968</v>
      </c>
      <c r="S331" s="210">
        <v>3.5</v>
      </c>
      <c r="T331" s="8">
        <v>1.0000972222222222</v>
      </c>
      <c r="U331" s="98">
        <v>3.6121470212092888</v>
      </c>
      <c r="V331" s="106">
        <v>26983.753772767013</v>
      </c>
      <c r="W331" s="10">
        <v>0.20403929934653675</v>
      </c>
      <c r="X331" s="413">
        <v>0.20120826986859203</v>
      </c>
      <c r="Y331" s="414">
        <v>0.29596165450436063</v>
      </c>
      <c r="Z331" s="1"/>
      <c r="AA331" s="1"/>
      <c r="AB331" s="1"/>
      <c r="AC331" s="1"/>
      <c r="AD331" s="1"/>
      <c r="AL331" s="23"/>
      <c r="AM331" s="23"/>
    </row>
    <row r="332" spans="17:64">
      <c r="Q332" s="6">
        <v>302</v>
      </c>
      <c r="R332" s="7">
        <v>42969</v>
      </c>
      <c r="S332" s="210">
        <v>3.5</v>
      </c>
      <c r="T332" s="8">
        <v>1.0000972222222222</v>
      </c>
      <c r="U332" s="98">
        <v>3.6121470212092888</v>
      </c>
      <c r="V332" s="106">
        <v>26985.652040529447</v>
      </c>
      <c r="W332" s="10">
        <v>0.20661734916047614</v>
      </c>
      <c r="X332" s="413">
        <v>0.20375066583850496</v>
      </c>
      <c r="Y332" s="414">
        <v>0.29597611146176095</v>
      </c>
      <c r="Z332" s="1"/>
      <c r="AA332" s="1"/>
      <c r="AB332" s="1"/>
      <c r="AC332" s="1"/>
      <c r="AD332" s="1"/>
      <c r="AL332" s="23"/>
      <c r="AM332" s="23"/>
    </row>
    <row r="333" spans="17:64">
      <c r="Q333" s="6">
        <v>303</v>
      </c>
      <c r="R333" s="7">
        <v>42970</v>
      </c>
      <c r="S333" s="210">
        <v>3.5</v>
      </c>
      <c r="T333" s="8">
        <v>1.0000972222222222</v>
      </c>
      <c r="U333" s="98">
        <v>3.6121470212092888</v>
      </c>
      <c r="V333" s="106">
        <v>26987.550441832249</v>
      </c>
      <c r="W333" s="10">
        <v>0.20917844781678241</v>
      </c>
      <c r="X333" s="413">
        <v>0.20627636625446105</v>
      </c>
      <c r="Y333" s="414">
        <v>0.2959905693584598</v>
      </c>
      <c r="Z333" s="1"/>
      <c r="AA333" s="1"/>
      <c r="AB333" s="1"/>
      <c r="AC333" s="1"/>
      <c r="AD333" s="1"/>
      <c r="AL333" s="23"/>
      <c r="AM333" s="23"/>
    </row>
    <row r="334" spans="17:64">
      <c r="Q334" s="6">
        <v>304</v>
      </c>
      <c r="R334" s="7">
        <v>42971</v>
      </c>
      <c r="S334" s="210">
        <v>3.5</v>
      </c>
      <c r="T334" s="8">
        <v>1.0000972222222222</v>
      </c>
      <c r="U334" s="98">
        <v>3.6121470212092888</v>
      </c>
      <c r="V334" s="106">
        <v>26989.448976684813</v>
      </c>
      <c r="W334" s="10">
        <v>0.21172276195231543</v>
      </c>
      <c r="X334" s="413">
        <v>0.20878553587750398</v>
      </c>
      <c r="Y334" s="414">
        <v>0.29600502819452468</v>
      </c>
      <c r="Z334" s="1"/>
      <c r="AA334" s="1"/>
      <c r="AB334" s="1"/>
      <c r="AC334" s="1"/>
      <c r="AD334" s="1"/>
      <c r="AL334" s="23"/>
      <c r="AM334" s="23"/>
    </row>
    <row r="335" spans="17:64">
      <c r="Q335" s="6">
        <v>305</v>
      </c>
      <c r="R335" s="7">
        <v>42972</v>
      </c>
      <c r="S335" s="210">
        <v>3.5</v>
      </c>
      <c r="T335" s="8">
        <v>1.0000972222222222</v>
      </c>
      <c r="U335" s="98">
        <v>3.6121470212092666</v>
      </c>
      <c r="V335" s="106">
        <v>26991.347645096543</v>
      </c>
      <c r="W335" s="10">
        <v>0.21425045602689874</v>
      </c>
      <c r="X335" s="413">
        <v>0.21127833730785084</v>
      </c>
      <c r="Y335" s="414">
        <v>0.29601948797002431</v>
      </c>
      <c r="Z335" s="1"/>
      <c r="AA335" s="1"/>
      <c r="AB335" s="1"/>
      <c r="AC335" s="1"/>
      <c r="AD335" s="1"/>
      <c r="AL335" s="23"/>
      <c r="AM335" s="23"/>
    </row>
    <row r="336" spans="17:64">
      <c r="Q336" s="6">
        <v>306</v>
      </c>
      <c r="R336" s="7">
        <v>42973</v>
      </c>
      <c r="S336" s="210">
        <v>3.5</v>
      </c>
      <c r="T336" s="8">
        <v>1.0000972222222222</v>
      </c>
      <c r="U336" s="98">
        <v>3.6121470212092666</v>
      </c>
      <c r="V336" s="106">
        <v>26993.246447076828</v>
      </c>
      <c r="W336" s="10">
        <v>0.21676169235884668</v>
      </c>
      <c r="X336" s="413">
        <v>0.21375493102027784</v>
      </c>
      <c r="Y336" s="414">
        <v>0.29603394868502869</v>
      </c>
      <c r="Z336" s="1"/>
      <c r="AA336" s="1"/>
      <c r="AB336" s="1"/>
      <c r="AC336" s="1"/>
      <c r="AD336" s="1"/>
      <c r="AL336" s="23"/>
      <c r="AM336" s="23"/>
    </row>
    <row r="337" spans="17:39">
      <c r="Q337" s="6">
        <v>307</v>
      </c>
      <c r="R337" s="7">
        <v>42974</v>
      </c>
      <c r="S337" s="210">
        <v>3.5</v>
      </c>
      <c r="T337" s="8">
        <v>1.0000972222222222</v>
      </c>
      <c r="U337" s="98">
        <v>3.6121470212092666</v>
      </c>
      <c r="V337" s="106">
        <v>26995.145382635063</v>
      </c>
      <c r="W337" s="10">
        <v>0.21925663115964777</v>
      </c>
      <c r="X337" s="413">
        <v>0.21621547539871067</v>
      </c>
      <c r="Y337" s="414">
        <v>0.29604841033960477</v>
      </c>
      <c r="Z337" s="1"/>
      <c r="AA337" s="1"/>
      <c r="AB337" s="1"/>
      <c r="AC337" s="1"/>
      <c r="AD337" s="1"/>
      <c r="AL337" s="23"/>
      <c r="AM337" s="23"/>
    </row>
    <row r="338" spans="17:39">
      <c r="Q338" s="6">
        <v>308</v>
      </c>
      <c r="R338" s="7">
        <v>42975</v>
      </c>
      <c r="S338" s="210">
        <v>3.5</v>
      </c>
      <c r="T338" s="8">
        <v>1.0000972222222222</v>
      </c>
      <c r="U338" s="98">
        <v>3.6121470212092888</v>
      </c>
      <c r="V338" s="106">
        <v>26997.044451780654</v>
      </c>
      <c r="W338" s="10">
        <v>0.22173543056800415</v>
      </c>
      <c r="X338" s="413">
        <v>0.21866012677006311</v>
      </c>
      <c r="Y338" s="414">
        <v>0.29606287293382288</v>
      </c>
      <c r="Z338" s="1"/>
      <c r="AA338" s="1"/>
      <c r="AB338" s="1"/>
      <c r="AC338" s="1"/>
      <c r="AD338" s="1"/>
      <c r="AL338" s="23"/>
      <c r="AM338" s="23"/>
    </row>
    <row r="339" spans="17:39">
      <c r="Q339" s="6">
        <v>309</v>
      </c>
      <c r="R339" s="7">
        <v>42976</v>
      </c>
      <c r="S339" s="210">
        <v>3.5</v>
      </c>
      <c r="T339" s="8">
        <v>1.0000972222222222</v>
      </c>
      <c r="U339" s="98">
        <v>3.6121470212092888</v>
      </c>
      <c r="V339" s="106">
        <v>26998.943654522984</v>
      </c>
      <c r="W339" s="10">
        <v>0.2241982466833603</v>
      </c>
      <c r="X339" s="413">
        <v>0.22108903943770294</v>
      </c>
      <c r="Y339" s="414">
        <v>0.29607733646775036</v>
      </c>
      <c r="Z339" s="1"/>
      <c r="AA339" s="1"/>
      <c r="AB339" s="1"/>
      <c r="AC339" s="1"/>
      <c r="AD339" s="1"/>
      <c r="AL339" s="23"/>
      <c r="AM339" s="23"/>
    </row>
    <row r="340" spans="17:39">
      <c r="Q340" s="6">
        <v>310</v>
      </c>
      <c r="R340" s="7">
        <v>42977</v>
      </c>
      <c r="S340" s="210">
        <v>3.5</v>
      </c>
      <c r="T340" s="8">
        <v>1.0000972222222222</v>
      </c>
      <c r="U340" s="98">
        <v>3.612147021209311</v>
      </c>
      <c r="V340" s="106">
        <v>27000.842990871468</v>
      </c>
      <c r="W340" s="10">
        <v>0.22664523359847699</v>
      </c>
      <c r="X340" s="413">
        <v>0.22350236571383211</v>
      </c>
      <c r="Y340" s="414">
        <v>0.29609180094145593</v>
      </c>
      <c r="Z340" s="1"/>
      <c r="AA340" s="1"/>
      <c r="AB340" s="1"/>
      <c r="AC340" s="1"/>
      <c r="AD340" s="1"/>
      <c r="AL340" s="23"/>
      <c r="AM340" s="23"/>
    </row>
    <row r="341" spans="17:39">
      <c r="Q341" s="6">
        <v>311</v>
      </c>
      <c r="R341" s="7">
        <v>42978</v>
      </c>
      <c r="S341" s="210">
        <v>3.5</v>
      </c>
      <c r="T341" s="8">
        <v>1.0000972222222222</v>
      </c>
      <c r="U341" s="98">
        <v>3.6121470212092888</v>
      </c>
      <c r="V341" s="106">
        <v>27002.742460835496</v>
      </c>
      <c r="W341" s="10">
        <v>0.22907654343173878</v>
      </c>
      <c r="X341" s="413">
        <v>0.22590025595175606</v>
      </c>
      <c r="Y341" s="414">
        <v>0.29610626635500714</v>
      </c>
      <c r="Z341" s="1"/>
      <c r="AA341" s="1"/>
      <c r="AB341" s="1"/>
      <c r="AC341" s="1"/>
      <c r="AD341" s="1"/>
      <c r="AL341" s="23"/>
      <c r="AM341" s="23"/>
    </row>
    <row r="342" spans="17:39">
      <c r="Q342" s="6">
        <v>312</v>
      </c>
      <c r="R342" s="7">
        <v>42979</v>
      </c>
      <c r="S342" s="210">
        <v>3.5</v>
      </c>
      <c r="T342" s="8">
        <v>1.0000972222222222</v>
      </c>
      <c r="U342" s="98">
        <v>3.612147021209311</v>
      </c>
      <c r="V342" s="106">
        <v>27004.642064424464</v>
      </c>
      <c r="W342" s="10">
        <v>0.23149232635870653</v>
      </c>
      <c r="X342" s="413">
        <v>0.2282828585772505</v>
      </c>
      <c r="Y342" s="414">
        <v>0.29612073270847522</v>
      </c>
      <c r="Z342" s="1"/>
      <c r="AA342" s="1"/>
      <c r="AB342" s="1"/>
      <c r="AC342" s="1"/>
      <c r="AD342" s="1"/>
      <c r="AL342" s="23"/>
      <c r="AM342" s="23"/>
    </row>
    <row r="343" spans="17:39">
      <c r="Q343" s="6">
        <v>313</v>
      </c>
      <c r="R343" s="7">
        <v>42980</v>
      </c>
      <c r="S343" s="210">
        <v>3.5</v>
      </c>
      <c r="T343" s="8">
        <v>1.0000972222222222</v>
      </c>
      <c r="U343" s="98">
        <v>3.6121470212092888</v>
      </c>
      <c r="V343" s="106">
        <v>27006.541801647778</v>
      </c>
      <c r="W343" s="10">
        <v>0.23389273064280403</v>
      </c>
      <c r="X343" s="413">
        <v>0.23065032011909734</v>
      </c>
      <c r="Y343" s="414">
        <v>0.29613520000192606</v>
      </c>
      <c r="Z343" s="1"/>
      <c r="AA343" s="1"/>
      <c r="AB343" s="1"/>
      <c r="AC343" s="1"/>
      <c r="AD343" s="1"/>
      <c r="AL343" s="23"/>
      <c r="AM343" s="23"/>
    </row>
    <row r="344" spans="17:39">
      <c r="Q344" s="6">
        <v>314</v>
      </c>
      <c r="R344" s="7">
        <v>42981</v>
      </c>
      <c r="S344" s="210">
        <v>3.5</v>
      </c>
      <c r="T344" s="8">
        <v>1.0000972222222222</v>
      </c>
      <c r="U344" s="98">
        <v>3.6121470212092888</v>
      </c>
      <c r="V344" s="106">
        <v>27008.441672514837</v>
      </c>
      <c r="W344" s="10">
        <v>0.23627790266589344</v>
      </c>
      <c r="X344" s="413">
        <v>0.23300278523959719</v>
      </c>
      <c r="Y344" s="414">
        <v>0.2961496682354291</v>
      </c>
      <c r="Z344" s="1"/>
      <c r="AA344" s="1"/>
      <c r="AB344" s="1"/>
      <c r="AC344" s="1"/>
      <c r="AD344" s="1"/>
      <c r="AL344" s="23"/>
      <c r="AM344" s="23"/>
    </row>
    <row r="345" spans="17:39">
      <c r="Q345" s="6">
        <v>315</v>
      </c>
      <c r="R345" s="7">
        <v>42982</v>
      </c>
      <c r="S345" s="210">
        <v>3.5</v>
      </c>
      <c r="T345" s="8">
        <v>1.0000972222222222</v>
      </c>
      <c r="U345" s="98">
        <v>3.6121470212092888</v>
      </c>
      <c r="V345" s="106">
        <v>27010.341677035045</v>
      </c>
      <c r="W345" s="10">
        <v>0.23864798695794054</v>
      </c>
      <c r="X345" s="413">
        <v>0.23534039676404361</v>
      </c>
      <c r="Y345" s="414">
        <v>0.29616413740905484</v>
      </c>
      <c r="Z345" s="1"/>
      <c r="AA345" s="1"/>
      <c r="AB345" s="1"/>
      <c r="AC345" s="1"/>
      <c r="AD345" s="1"/>
      <c r="AL345" s="23"/>
      <c r="AM345" s="23"/>
    </row>
    <row r="346" spans="17:39">
      <c r="Q346" s="6">
        <v>316</v>
      </c>
      <c r="R346" s="7">
        <v>42983</v>
      </c>
      <c r="S346" s="210">
        <v>3.5</v>
      </c>
      <c r="T346" s="8">
        <v>1.0000972222222222</v>
      </c>
      <c r="U346" s="98">
        <v>3.612147021209311</v>
      </c>
      <c r="V346" s="106">
        <v>27012.241815217803</v>
      </c>
      <c r="W346" s="10">
        <v>0.24100312622614695</v>
      </c>
      <c r="X346" s="413">
        <v>0.23766329570976447</v>
      </c>
      <c r="Y346" s="414">
        <v>0.29617860752287095</v>
      </c>
      <c r="Z346" s="1"/>
      <c r="AA346" s="1"/>
      <c r="AB346" s="1"/>
      <c r="AC346" s="1"/>
      <c r="AD346" s="1"/>
      <c r="AL346" s="23"/>
      <c r="AM346" s="23"/>
    </row>
    <row r="347" spans="17:39">
      <c r="Q347" s="6">
        <v>317</v>
      </c>
      <c r="R347" s="7">
        <v>42984</v>
      </c>
      <c r="S347" s="210">
        <v>3.5</v>
      </c>
      <c r="T347" s="8">
        <v>1.0000972222222222</v>
      </c>
      <c r="U347" s="98">
        <v>3.6121470212092888</v>
      </c>
      <c r="V347" s="106">
        <v>27014.142087072516</v>
      </c>
      <c r="W347" s="10">
        <v>0.24334346138372709</v>
      </c>
      <c r="X347" s="413">
        <v>0.23997162131476485</v>
      </c>
      <c r="Y347" s="414">
        <v>0.2961930785769441</v>
      </c>
      <c r="Z347" s="1"/>
      <c r="AA347" s="1"/>
      <c r="AB347" s="1"/>
      <c r="AC347" s="1"/>
      <c r="AD347" s="1"/>
      <c r="AL347" s="23"/>
      <c r="AM347" s="23"/>
    </row>
    <row r="348" spans="17:39">
      <c r="Q348" s="6">
        <v>318</v>
      </c>
      <c r="R348" s="7">
        <v>42985</v>
      </c>
      <c r="S348" s="210">
        <v>3.5</v>
      </c>
      <c r="T348" s="8">
        <v>1.0000972222222222</v>
      </c>
      <c r="U348" s="98">
        <v>3.612147021209311</v>
      </c>
      <c r="V348" s="106">
        <v>27016.04249260858</v>
      </c>
      <c r="W348" s="10">
        <v>0.24566913157788584</v>
      </c>
      <c r="X348" s="413">
        <v>0.24226551106560326</v>
      </c>
      <c r="Y348" s="414">
        <v>0.29620755057134651</v>
      </c>
      <c r="Z348" s="1"/>
      <c r="AA348" s="1"/>
      <c r="AB348" s="1"/>
      <c r="AC348" s="1"/>
      <c r="AD348" s="1"/>
      <c r="AL348" s="23"/>
      <c r="AM348" s="23"/>
    </row>
    <row r="349" spans="17:39">
      <c r="Q349" s="6">
        <v>319</v>
      </c>
      <c r="R349" s="7">
        <v>42986</v>
      </c>
      <c r="S349" s="210">
        <v>3.5</v>
      </c>
      <c r="T349" s="8">
        <v>1.0000972222222222</v>
      </c>
      <c r="U349" s="98">
        <v>3.6121470212092888</v>
      </c>
      <c r="V349" s="106">
        <v>27017.943031835406</v>
      </c>
      <c r="W349" s="10">
        <v>0.24798027421744084</v>
      </c>
      <c r="X349" s="413">
        <v>0.24454510072481866</v>
      </c>
      <c r="Y349" s="414">
        <v>0.29622202350614318</v>
      </c>
      <c r="Z349" s="1"/>
      <c r="AA349" s="1"/>
      <c r="AB349" s="1"/>
      <c r="AC349" s="1"/>
      <c r="AD349" s="1"/>
      <c r="AL349" s="23"/>
      <c r="AM349" s="23"/>
    </row>
    <row r="350" spans="17:39">
      <c r="Q350" s="6">
        <v>320</v>
      </c>
      <c r="R350" s="7">
        <v>42987</v>
      </c>
      <c r="S350" s="210">
        <v>3.5</v>
      </c>
      <c r="T350" s="8">
        <v>1.0000972222222222</v>
      </c>
      <c r="U350" s="98">
        <v>3.6121470212092888</v>
      </c>
      <c r="V350" s="106">
        <v>27019.843704762399</v>
      </c>
      <c r="W350" s="10">
        <v>0.2502770249998898</v>
      </c>
      <c r="X350" s="413">
        <v>0.24681052435796824</v>
      </c>
      <c r="Y350" s="414">
        <v>0.29623649738140456</v>
      </c>
      <c r="Z350" s="1"/>
      <c r="AA350" s="1"/>
      <c r="AB350" s="1"/>
      <c r="AC350" s="1"/>
      <c r="AD350" s="1"/>
      <c r="AL350" s="23"/>
      <c r="AM350" s="23"/>
    </row>
    <row r="351" spans="17:39">
      <c r="Q351" s="6">
        <v>321</v>
      </c>
      <c r="R351" s="7">
        <v>42988</v>
      </c>
      <c r="S351" s="210">
        <v>3.5</v>
      </c>
      <c r="T351" s="8">
        <v>1.0000972222222222</v>
      </c>
      <c r="U351" s="98">
        <v>3.6121470212092888</v>
      </c>
      <c r="V351" s="106">
        <v>27022.172969456507</v>
      </c>
      <c r="W351" s="10">
        <v>0.25075204886759739</v>
      </c>
      <c r="X351" s="413">
        <v>0.24727974519183193</v>
      </c>
      <c r="Y351" s="414">
        <v>0.2962509721972002</v>
      </c>
      <c r="Z351" s="1"/>
      <c r="AA351" s="1"/>
      <c r="AB351" s="1"/>
      <c r="AC351" s="1"/>
      <c r="AD351" s="1"/>
      <c r="AL351" s="23"/>
      <c r="AM351" s="23"/>
    </row>
    <row r="352" spans="17:39">
      <c r="Q352" s="6">
        <v>322</v>
      </c>
      <c r="R352" s="7">
        <v>42989</v>
      </c>
      <c r="S352" s="210">
        <v>3.5</v>
      </c>
      <c r="T352" s="8">
        <v>1.0000972222222222</v>
      </c>
      <c r="U352" s="98">
        <v>3.6121470212092888</v>
      </c>
      <c r="V352" s="106">
        <v>27024.502434946517</v>
      </c>
      <c r="W352" s="10">
        <v>0.25122412450642173</v>
      </c>
      <c r="X352" s="413">
        <v>0.24774606520663447</v>
      </c>
      <c r="Y352" s="414">
        <v>0.29626544795359883</v>
      </c>
      <c r="Z352" s="1"/>
      <c r="AA352" s="1"/>
      <c r="AB352" s="1"/>
      <c r="AC352" s="1"/>
      <c r="AD352" s="1"/>
      <c r="AL352" s="23"/>
      <c r="AM352" s="23"/>
    </row>
    <row r="353" spans="17:39">
      <c r="Q353" s="6">
        <v>323</v>
      </c>
      <c r="R353" s="7">
        <v>42990</v>
      </c>
      <c r="S353" s="210">
        <v>3.5</v>
      </c>
      <c r="T353" s="8">
        <v>1.0000972222222222</v>
      </c>
      <c r="U353" s="98">
        <v>3.6121470212092888</v>
      </c>
      <c r="V353" s="106">
        <v>27026.832101249747</v>
      </c>
      <c r="W353" s="10">
        <v>0.25169327927863083</v>
      </c>
      <c r="X353" s="413">
        <v>0.24820951134504191</v>
      </c>
      <c r="Y353" s="414">
        <v>0.29627992465066627</v>
      </c>
      <c r="Z353" s="1"/>
      <c r="AA353" s="1"/>
      <c r="AB353" s="1"/>
      <c r="AC353" s="1"/>
      <c r="AD353" s="1"/>
      <c r="AL353" s="23"/>
      <c r="AM353" s="23"/>
    </row>
    <row r="354" spans="17:39">
      <c r="Q354" s="6">
        <v>324</v>
      </c>
      <c r="R354" s="7">
        <v>42991</v>
      </c>
      <c r="S354" s="210">
        <v>3.5</v>
      </c>
      <c r="T354" s="8">
        <v>1.0000972222222222</v>
      </c>
      <c r="U354" s="98">
        <v>3.6121470212092888</v>
      </c>
      <c r="V354" s="106">
        <v>27029.161968383505</v>
      </c>
      <c r="W354" s="10">
        <v>0.2521595402090071</v>
      </c>
      <c r="X354" s="413">
        <v>0.24867011021724297</v>
      </c>
      <c r="Y354" s="414">
        <v>0.29629440228847354</v>
      </c>
      <c r="Z354" s="1"/>
      <c r="AA354" s="1"/>
      <c r="AB354" s="1"/>
      <c r="AC354" s="1"/>
      <c r="AD354" s="1"/>
      <c r="AL354" s="23"/>
      <c r="AM354" s="23"/>
    </row>
    <row r="355" spans="17:39">
      <c r="Q355" s="6">
        <v>325</v>
      </c>
      <c r="R355" s="7">
        <v>42992</v>
      </c>
      <c r="S355" s="210">
        <v>3.5</v>
      </c>
      <c r="T355" s="8">
        <v>1.0000972222222222</v>
      </c>
      <c r="U355" s="98">
        <v>3.6121470212092666</v>
      </c>
      <c r="V355" s="106">
        <v>27031.4920363651</v>
      </c>
      <c r="W355" s="10">
        <v>0.25262293398988778</v>
      </c>
      <c r="X355" s="413">
        <v>0.24912788810581787</v>
      </c>
      <c r="Y355" s="414">
        <v>0.29630888086708901</v>
      </c>
      <c r="Z355" s="1"/>
      <c r="AA355" s="1"/>
      <c r="AB355" s="1"/>
      <c r="AC355" s="1"/>
      <c r="AD355" s="1"/>
      <c r="AL355" s="23"/>
      <c r="AM355" s="23"/>
    </row>
    <row r="356" spans="17:39">
      <c r="Q356" s="6">
        <v>326</v>
      </c>
      <c r="R356" s="7">
        <v>42993</v>
      </c>
      <c r="S356" s="210">
        <v>3.5</v>
      </c>
      <c r="T356" s="8">
        <v>1.0000972222222222</v>
      </c>
      <c r="U356" s="98">
        <v>3.6121470212092666</v>
      </c>
      <c r="V356" s="106">
        <v>27033.822305211848</v>
      </c>
      <c r="W356" s="10">
        <v>0.25308348698644956</v>
      </c>
      <c r="X356" s="413">
        <v>0.24958287097091031</v>
      </c>
      <c r="Y356" s="414">
        <v>0.29632336038658202</v>
      </c>
      <c r="Z356" s="1"/>
      <c r="AA356" s="1"/>
      <c r="AB356" s="1"/>
      <c r="AC356" s="1"/>
      <c r="AD356" s="1"/>
      <c r="AL356" s="23"/>
      <c r="AM356" s="23"/>
    </row>
    <row r="357" spans="17:39">
      <c r="Q357" s="6">
        <v>327</v>
      </c>
      <c r="R357" s="7">
        <v>42994</v>
      </c>
      <c r="S357" s="210">
        <v>3.5</v>
      </c>
      <c r="T357" s="8">
        <v>1.0000972222222222</v>
      </c>
      <c r="U357" s="98">
        <v>3.6121470212092888</v>
      </c>
      <c r="V357" s="106">
        <v>27036.152774941071</v>
      </c>
      <c r="W357" s="10">
        <v>0.25354122524143818</v>
      </c>
      <c r="X357" s="413">
        <v>0.25003508445503536</v>
      </c>
      <c r="Y357" s="414">
        <v>0.29633784084702119</v>
      </c>
      <c r="Z357" s="1"/>
      <c r="AA357" s="1"/>
      <c r="AB357" s="1"/>
      <c r="AC357" s="1"/>
      <c r="AD357" s="1"/>
      <c r="AL357" s="23"/>
      <c r="AM357" s="23"/>
    </row>
    <row r="358" spans="17:39">
      <c r="Q358" s="6">
        <v>328</v>
      </c>
      <c r="R358" s="7">
        <v>42995</v>
      </c>
      <c r="S358" s="210">
        <v>3.5</v>
      </c>
      <c r="T358" s="8">
        <v>1.0000972222222222</v>
      </c>
      <c r="U358" s="98">
        <v>3.6121470212092888</v>
      </c>
      <c r="V358" s="106">
        <v>27038.48344557008</v>
      </c>
      <c r="W358" s="10">
        <v>0.25399617448043088</v>
      </c>
      <c r="X358" s="413">
        <v>0.25048455388809188</v>
      </c>
      <c r="Y358" s="414">
        <v>0.29635232224847424</v>
      </c>
      <c r="Z358" s="1"/>
      <c r="AA358" s="1"/>
      <c r="AB358" s="1"/>
      <c r="AC358" s="1"/>
      <c r="AD358" s="1"/>
      <c r="AL358" s="23"/>
      <c r="AM358" s="23"/>
    </row>
    <row r="359" spans="17:39">
      <c r="Q359" s="6">
        <v>329</v>
      </c>
      <c r="R359" s="7">
        <v>42996</v>
      </c>
      <c r="S359" s="210">
        <v>3.5</v>
      </c>
      <c r="T359" s="8">
        <v>1.0000972222222222</v>
      </c>
      <c r="U359" s="98">
        <v>3.6121470212092888</v>
      </c>
      <c r="V359" s="106">
        <v>27040.814317116194</v>
      </c>
      <c r="W359" s="10">
        <v>0.25444836011629945</v>
      </c>
      <c r="X359" s="413">
        <v>0.25093130429194371</v>
      </c>
      <c r="Y359" s="414">
        <v>0.29636680459101011</v>
      </c>
      <c r="Z359" s="1"/>
      <c r="AA359" s="1"/>
      <c r="AB359" s="1"/>
      <c r="AC359" s="1"/>
      <c r="AD359" s="1"/>
      <c r="AL359" s="23"/>
      <c r="AM359" s="23"/>
    </row>
    <row r="360" spans="17:39">
      <c r="Q360" s="6">
        <v>330</v>
      </c>
      <c r="R360" s="7">
        <v>42997</v>
      </c>
      <c r="S360" s="210">
        <v>3.5</v>
      </c>
      <c r="T360" s="8">
        <v>1.0000972222222222</v>
      </c>
      <c r="U360" s="98">
        <v>3.6121470212092888</v>
      </c>
      <c r="V360" s="106">
        <v>27043.145389596739</v>
      </c>
      <c r="W360" s="10">
        <v>0.25489780725418409</v>
      </c>
      <c r="X360" s="413">
        <v>0.25137536038515923</v>
      </c>
      <c r="Y360" s="414">
        <v>0.29638128787469692</v>
      </c>
      <c r="Z360" s="1"/>
      <c r="AA360" s="1"/>
      <c r="AB360" s="1"/>
      <c r="AC360" s="1"/>
      <c r="AD360" s="1"/>
      <c r="AL360" s="23"/>
      <c r="AM360" s="23"/>
    </row>
    <row r="361" spans="17:39">
      <c r="Q361" s="6">
        <v>331</v>
      </c>
      <c r="R361" s="7">
        <v>42998</v>
      </c>
      <c r="S361" s="210">
        <v>3.5</v>
      </c>
      <c r="T361" s="8">
        <v>1.0000972222222222</v>
      </c>
      <c r="U361" s="98">
        <v>3.6121470212092666</v>
      </c>
      <c r="V361" s="106">
        <v>27045.476663029025</v>
      </c>
      <c r="W361" s="10">
        <v>0.25534454069604529</v>
      </c>
      <c r="X361" s="413">
        <v>0.25181674658764136</v>
      </c>
      <c r="Y361" s="414">
        <v>0.29639577209960394</v>
      </c>
      <c r="Z361" s="1"/>
      <c r="AA361" s="1"/>
      <c r="AB361" s="1"/>
      <c r="AC361" s="1"/>
      <c r="AD361" s="1"/>
      <c r="AL361" s="23"/>
      <c r="AM361" s="23"/>
    </row>
    <row r="362" spans="17:39">
      <c r="Q362" s="6">
        <v>332</v>
      </c>
      <c r="R362" s="7">
        <v>42999</v>
      </c>
      <c r="S362" s="210">
        <v>3.5</v>
      </c>
      <c r="T362" s="8">
        <v>1.0000972222222222</v>
      </c>
      <c r="U362" s="98">
        <v>3.6121470212092888</v>
      </c>
      <c r="V362" s="106">
        <v>27047.808137430391</v>
      </c>
      <c r="W362" s="10">
        <v>0.25578858494530454</v>
      </c>
      <c r="X362" s="413">
        <v>0.25225548702507733</v>
      </c>
      <c r="Y362" s="414">
        <v>0.29641025726580167</v>
      </c>
      <c r="Z362" s="1"/>
      <c r="AA362" s="1"/>
      <c r="AB362" s="1"/>
      <c r="AC362" s="1"/>
      <c r="AD362" s="1"/>
      <c r="AL362" s="23"/>
      <c r="AM362" s="23"/>
    </row>
    <row r="363" spans="17:39">
      <c r="Q363" s="6">
        <v>333</v>
      </c>
      <c r="R363" s="7">
        <v>43000</v>
      </c>
      <c r="S363" s="210">
        <v>3.5</v>
      </c>
      <c r="T363" s="8">
        <v>1.0000972222222222</v>
      </c>
      <c r="U363" s="98">
        <v>3.6121470212092888</v>
      </c>
      <c r="V363" s="106">
        <v>27050.139812818146</v>
      </c>
      <c r="W363" s="10">
        <v>0.25622996421121869</v>
      </c>
      <c r="X363" s="413">
        <v>0.25269160553335629</v>
      </c>
      <c r="Y363" s="414">
        <v>0.29642474337335772</v>
      </c>
      <c r="Z363" s="1"/>
      <c r="AA363" s="1"/>
      <c r="AB363" s="1"/>
      <c r="AC363" s="1"/>
      <c r="AD363" s="1"/>
      <c r="AL363" s="23"/>
      <c r="AM363" s="23"/>
    </row>
    <row r="364" spans="17:39">
      <c r="Q364" s="6">
        <v>334</v>
      </c>
      <c r="R364" s="7">
        <v>43001</v>
      </c>
      <c r="S364" s="210">
        <v>3.5</v>
      </c>
      <c r="T364" s="8">
        <v>1.0000972222222222</v>
      </c>
      <c r="U364" s="98">
        <v>3.6121470212092888</v>
      </c>
      <c r="V364" s="106">
        <v>27052.471689209629</v>
      </c>
      <c r="W364" s="10">
        <v>0.25666870241320972</v>
      </c>
      <c r="X364" s="413">
        <v>0.25312512566276407</v>
      </c>
      <c r="Y364" s="414">
        <v>0.29643923042233888</v>
      </c>
      <c r="Z364" s="1"/>
      <c r="AA364" s="1"/>
      <c r="AB364" s="1"/>
      <c r="AC364" s="1"/>
      <c r="AD364" s="1"/>
      <c r="AL364" s="23"/>
      <c r="AM364" s="23"/>
    </row>
    <row r="365" spans="17:39">
      <c r="Q365" s="6">
        <v>335</v>
      </c>
      <c r="R365" s="7">
        <v>43002</v>
      </c>
      <c r="S365" s="210">
        <v>3.5</v>
      </c>
      <c r="T365" s="8">
        <v>1.0000972222222222</v>
      </c>
      <c r="U365" s="98">
        <v>3.6121470212092888</v>
      </c>
      <c r="V365" s="106">
        <v>27054.803766622157</v>
      </c>
      <c r="W365" s="10">
        <v>0.25710482318554995</v>
      </c>
      <c r="X365" s="413">
        <v>0.25355607068265151</v>
      </c>
      <c r="Y365" s="414">
        <v>0.29645371841281709</v>
      </c>
      <c r="Z365" s="1"/>
      <c r="AA365" s="1"/>
      <c r="AB365" s="1"/>
      <c r="AC365" s="1"/>
      <c r="AD365" s="1"/>
      <c r="AL365" s="23"/>
      <c r="AM365" s="23"/>
    </row>
    <row r="366" spans="17:39">
      <c r="Q366" s="6">
        <v>336</v>
      </c>
      <c r="R366" s="7">
        <v>43003</v>
      </c>
      <c r="S366" s="210">
        <v>3.5</v>
      </c>
      <c r="T366" s="8">
        <v>1.0000972222222222</v>
      </c>
      <c r="U366" s="98">
        <v>3.6121470212092888</v>
      </c>
      <c r="V366" s="106">
        <v>27057.136045073064</v>
      </c>
      <c r="W366" s="10">
        <v>0.25753834988111457</v>
      </c>
      <c r="X366" s="413">
        <v>0.25398446358511551</v>
      </c>
      <c r="Y366" s="414">
        <v>0.29646820734485768</v>
      </c>
      <c r="Z366" s="1"/>
      <c r="AA366" s="1"/>
      <c r="AB366" s="1"/>
      <c r="AC366" s="1"/>
      <c r="AD366" s="1"/>
      <c r="AL366" s="23"/>
      <c r="AM366" s="23"/>
    </row>
    <row r="367" spans="17:39">
      <c r="Q367" s="6">
        <v>337</v>
      </c>
      <c r="R367" s="7">
        <v>43004</v>
      </c>
      <c r="S367" s="210">
        <v>3.5</v>
      </c>
      <c r="T367" s="8">
        <v>1.0000972222222222</v>
      </c>
      <c r="U367" s="98">
        <v>3.6121470212092888</v>
      </c>
      <c r="V367" s="106">
        <v>27059.468524579683</v>
      </c>
      <c r="W367" s="10">
        <v>0.25796930557595577</v>
      </c>
      <c r="X367" s="413">
        <v>0.25441032708951572</v>
      </c>
      <c r="Y367" s="414">
        <v>0.29648269721853276</v>
      </c>
      <c r="Z367" s="1"/>
      <c r="AA367" s="1"/>
      <c r="AB367" s="1"/>
      <c r="AC367" s="1"/>
      <c r="AD367" s="1"/>
      <c r="AL367" s="23"/>
      <c r="AM367" s="23"/>
    </row>
    <row r="368" spans="17:39">
      <c r="Q368" s="6">
        <v>338</v>
      </c>
      <c r="R368" s="7">
        <v>43005</v>
      </c>
      <c r="S368" s="210">
        <v>3.5</v>
      </c>
      <c r="T368" s="8">
        <v>1.0000972222222222</v>
      </c>
      <c r="U368" s="98">
        <v>3.612147021209311</v>
      </c>
      <c r="V368" s="106">
        <v>27061.801205159347</v>
      </c>
      <c r="W368" s="10">
        <v>0.25839771307312187</v>
      </c>
      <c r="X368" s="413">
        <v>0.25483368364620179</v>
      </c>
      <c r="Y368" s="414">
        <v>0.29649718803391006</v>
      </c>
      <c r="Z368" s="1"/>
      <c r="AA368" s="1"/>
      <c r="AB368" s="1"/>
      <c r="AC368" s="1"/>
      <c r="AD368" s="1"/>
      <c r="AL368" s="23"/>
      <c r="AM368" s="23"/>
    </row>
    <row r="369" spans="17:39">
      <c r="Q369" s="6">
        <v>339</v>
      </c>
      <c r="R369" s="7">
        <v>43006</v>
      </c>
      <c r="S369" s="210">
        <v>3.5</v>
      </c>
      <c r="T369" s="8">
        <v>1.0000972222222222</v>
      </c>
      <c r="U369" s="98">
        <v>3.6121470212092888</v>
      </c>
      <c r="V369" s="106">
        <v>27064.134086829381</v>
      </c>
      <c r="W369" s="10">
        <v>0.25882359490687623</v>
      </c>
      <c r="X369" s="413">
        <v>0.25525455544071679</v>
      </c>
      <c r="Y369" s="414">
        <v>0.29651167979105608</v>
      </c>
      <c r="Z369" s="1"/>
      <c r="AA369" s="1"/>
      <c r="AB369" s="1"/>
      <c r="AC369" s="1"/>
      <c r="AD369" s="1"/>
      <c r="AL369" s="23"/>
      <c r="AM369" s="23"/>
    </row>
    <row r="370" spans="17:39">
      <c r="Q370" s="6">
        <v>340</v>
      </c>
      <c r="R370" s="7">
        <v>43007</v>
      </c>
      <c r="S370" s="210">
        <v>3.5</v>
      </c>
      <c r="T370" s="8">
        <v>1.0000972222222222</v>
      </c>
      <c r="U370" s="98">
        <v>3.6121470212092888</v>
      </c>
      <c r="V370" s="106">
        <v>27066.467169607127</v>
      </c>
      <c r="W370" s="10">
        <v>0.25924697334653857</v>
      </c>
      <c r="X370" s="413">
        <v>0.25567296439762083</v>
      </c>
      <c r="Y370" s="414">
        <v>0.29652617249004276</v>
      </c>
      <c r="Z370" s="1"/>
      <c r="AA370" s="1"/>
      <c r="AB370" s="1"/>
      <c r="AC370" s="1"/>
      <c r="AD370" s="1"/>
      <c r="AL370" s="23"/>
      <c r="AM370" s="23"/>
    </row>
    <row r="371" spans="17:39">
      <c r="Q371" s="6">
        <v>341</v>
      </c>
      <c r="R371" s="7">
        <v>43008</v>
      </c>
      <c r="S371" s="210">
        <v>3.5</v>
      </c>
      <c r="T371" s="8">
        <v>1.0000972222222222</v>
      </c>
      <c r="U371" s="98">
        <v>3.6121470212092888</v>
      </c>
      <c r="V371" s="106">
        <v>27068.800453509917</v>
      </c>
      <c r="W371" s="10">
        <v>0.25966787040034855</v>
      </c>
      <c r="X371" s="413">
        <v>0.25608893218420087</v>
      </c>
      <c r="Y371" s="414">
        <v>0.29654066613093705</v>
      </c>
      <c r="Z371" s="1"/>
      <c r="AA371" s="1"/>
      <c r="AB371" s="1"/>
      <c r="AC371" s="1"/>
      <c r="AD371" s="1"/>
      <c r="AL371" s="23"/>
      <c r="AM371" s="23"/>
    </row>
    <row r="372" spans="17:39">
      <c r="Q372" s="6">
        <v>342</v>
      </c>
      <c r="R372" s="7">
        <v>43009</v>
      </c>
      <c r="S372" s="210">
        <v>3.5</v>
      </c>
      <c r="T372" s="8">
        <v>1.0000972222222222</v>
      </c>
      <c r="U372" s="98">
        <v>3.612147021209311</v>
      </c>
      <c r="V372" s="106">
        <v>27071.1339385551</v>
      </c>
      <c r="W372" s="10">
        <v>0.26008630781937381</v>
      </c>
      <c r="X372" s="413">
        <v>0.25650248021439509</v>
      </c>
      <c r="Y372" s="414">
        <v>0.29655516071380922</v>
      </c>
      <c r="Z372" s="1"/>
      <c r="AA372" s="1"/>
      <c r="AB372" s="1"/>
      <c r="AC372" s="1"/>
      <c r="AD372" s="1"/>
      <c r="AL372" s="23"/>
      <c r="AM372" s="23"/>
    </row>
    <row r="373" spans="17:39">
      <c r="Q373" s="6">
        <v>343</v>
      </c>
      <c r="R373" s="7">
        <v>43010</v>
      </c>
      <c r="S373" s="210">
        <v>3.5</v>
      </c>
      <c r="T373" s="8">
        <v>1.0000972222222222</v>
      </c>
      <c r="U373" s="98">
        <v>3.612147021209311</v>
      </c>
      <c r="V373" s="106">
        <v>27073.467624760007</v>
      </c>
      <c r="W373" s="10">
        <v>0.26050230710119582</v>
      </c>
      <c r="X373" s="413">
        <v>0.25691362965237025</v>
      </c>
      <c r="Y373" s="414">
        <v>0.29656965623872666</v>
      </c>
      <c r="Z373" s="1"/>
      <c r="AA373" s="1"/>
      <c r="AB373" s="1"/>
      <c r="AC373" s="1"/>
      <c r="AD373" s="1"/>
      <c r="AL373" s="23"/>
      <c r="AM373" s="23"/>
    </row>
    <row r="374" spans="17:39">
      <c r="Q374" s="6">
        <v>344</v>
      </c>
      <c r="R374" s="7">
        <v>43011</v>
      </c>
      <c r="S374" s="210">
        <v>3.5</v>
      </c>
      <c r="T374" s="8">
        <v>1.0000972222222222</v>
      </c>
      <c r="U374" s="98">
        <v>3.612147021209311</v>
      </c>
      <c r="V374" s="106">
        <v>27075.801512141974</v>
      </c>
      <c r="W374" s="10">
        <v>0.26091588949357369</v>
      </c>
      <c r="X374" s="413">
        <v>0.2573224014162443</v>
      </c>
      <c r="Y374" s="414">
        <v>0.29658415270575783</v>
      </c>
      <c r="Z374" s="1"/>
      <c r="AA374" s="1"/>
      <c r="AB374" s="1"/>
      <c r="AC374" s="1"/>
      <c r="AD374" s="1"/>
      <c r="AL374" s="23"/>
      <c r="AM374" s="23"/>
    </row>
    <row r="375" spans="17:39">
      <c r="Q375" s="6">
        <v>345</v>
      </c>
      <c r="R375" s="7">
        <v>43012</v>
      </c>
      <c r="S375" s="210">
        <v>3.5</v>
      </c>
      <c r="T375" s="8">
        <v>1.0000972222222222</v>
      </c>
      <c r="U375" s="98">
        <v>3.612147021209311</v>
      </c>
      <c r="V375" s="106">
        <v>27078.135600718353</v>
      </c>
      <c r="W375" s="10">
        <v>0.26132707599810789</v>
      </c>
      <c r="X375" s="413">
        <v>0.25772881618156007</v>
      </c>
      <c r="Y375" s="414">
        <v>0.29659865011497255</v>
      </c>
      <c r="Z375" s="1"/>
      <c r="AA375" s="1"/>
      <c r="AB375" s="1"/>
      <c r="AC375" s="1"/>
      <c r="AD375" s="1"/>
      <c r="AL375" s="23"/>
      <c r="AM375" s="23"/>
    </row>
    <row r="376" spans="17:39">
      <c r="Q376" s="6">
        <v>346</v>
      </c>
      <c r="R376" s="7">
        <v>43013</v>
      </c>
      <c r="S376" s="210">
        <v>3.5</v>
      </c>
      <c r="T376" s="8">
        <v>1.0000972222222222</v>
      </c>
      <c r="U376" s="98">
        <v>3.612147021209311</v>
      </c>
      <c r="V376" s="106">
        <v>27080.469890506487</v>
      </c>
      <c r="W376" s="10">
        <v>0.26173588737379294</v>
      </c>
      <c r="X376" s="413">
        <v>0.25813289438488302</v>
      </c>
      <c r="Y376" s="414">
        <v>0.29661314846643971</v>
      </c>
      <c r="Z376" s="1"/>
      <c r="AA376" s="1"/>
      <c r="AB376" s="1"/>
      <c r="AC376" s="1"/>
      <c r="AD376" s="1"/>
      <c r="AL376" s="23"/>
      <c r="AM376" s="23"/>
    </row>
    <row r="377" spans="17:39">
      <c r="Q377" s="6">
        <v>347</v>
      </c>
      <c r="R377" s="7">
        <v>43014</v>
      </c>
      <c r="S377" s="210">
        <v>3.5</v>
      </c>
      <c r="T377" s="8">
        <v>1.0000972222222222</v>
      </c>
      <c r="U377" s="98">
        <v>3.612147021209311</v>
      </c>
      <c r="V377" s="106">
        <v>27082.804381523714</v>
      </c>
      <c r="W377" s="10">
        <v>0.26214234414048132</v>
      </c>
      <c r="X377" s="413">
        <v>0.25853465622717536</v>
      </c>
      <c r="Y377" s="414">
        <v>0.29662764776022732</v>
      </c>
      <c r="Z377" s="1"/>
      <c r="AA377" s="1"/>
      <c r="AB377" s="1"/>
      <c r="AC377" s="1"/>
      <c r="AD377" s="1"/>
      <c r="AL377" s="23"/>
      <c r="AM377" s="23"/>
    </row>
    <row r="378" spans="17:39">
      <c r="Q378" s="6">
        <v>348</v>
      </c>
      <c r="R378" s="7">
        <v>43015</v>
      </c>
      <c r="S378" s="210">
        <v>3.5</v>
      </c>
      <c r="T378" s="8">
        <v>1.0000972222222222</v>
      </c>
      <c r="U378" s="98">
        <v>3.612147021209311</v>
      </c>
      <c r="V378" s="106">
        <v>27085.139073787392</v>
      </c>
      <c r="W378" s="10">
        <v>0.26254646658232517</v>
      </c>
      <c r="X378" s="413">
        <v>0.25893412167720464</v>
      </c>
      <c r="Y378" s="414">
        <v>0.29664214799640465</v>
      </c>
      <c r="Z378" s="1"/>
      <c r="AA378" s="1"/>
      <c r="AB378" s="1"/>
      <c r="AC378" s="1"/>
      <c r="AD378" s="1"/>
      <c r="AL378" s="23"/>
      <c r="AM378" s="23"/>
    </row>
    <row r="379" spans="17:39">
      <c r="Q379" s="6">
        <v>349</v>
      </c>
      <c r="R379" s="7">
        <v>43016</v>
      </c>
      <c r="S379" s="210">
        <v>3.5</v>
      </c>
      <c r="T379" s="8">
        <v>1.0000972222222222</v>
      </c>
      <c r="U379" s="98">
        <v>3.612147021209311</v>
      </c>
      <c r="V379" s="106">
        <v>27087.473967314865</v>
      </c>
      <c r="W379" s="10">
        <v>0.26294827475110694</v>
      </c>
      <c r="X379" s="413">
        <v>0.259331310474824</v>
      </c>
      <c r="Y379" s="414">
        <v>0.29665664917504014</v>
      </c>
      <c r="Z379" s="1"/>
      <c r="AA379" s="1"/>
      <c r="AB379" s="1"/>
      <c r="AC379" s="1"/>
      <c r="AD379" s="1"/>
      <c r="AL379" s="23"/>
      <c r="AM379" s="23"/>
    </row>
    <row r="380" spans="17:39">
      <c r="Q380" s="6">
        <v>350</v>
      </c>
      <c r="R380" s="7">
        <v>43017</v>
      </c>
      <c r="S380" s="210">
        <v>3.5</v>
      </c>
      <c r="T380" s="8">
        <v>1.0000972222222222</v>
      </c>
      <c r="U380" s="98">
        <v>3.6121470212092888</v>
      </c>
      <c r="V380" s="106">
        <v>27089.809062123477</v>
      </c>
      <c r="W380" s="10">
        <v>0.26334778846976992</v>
      </c>
      <c r="X380" s="413">
        <v>0.25972624213442536</v>
      </c>
      <c r="Y380" s="414">
        <v>0.29667115129620325</v>
      </c>
      <c r="Z380" s="1"/>
      <c r="AA380" s="1"/>
      <c r="AB380" s="1"/>
      <c r="AC380" s="1"/>
      <c r="AD380" s="1"/>
      <c r="AL380" s="23"/>
      <c r="AM380" s="23"/>
    </row>
    <row r="381" spans="17:39">
      <c r="Q381" s="6">
        <v>351</v>
      </c>
      <c r="R381" s="7">
        <v>43018</v>
      </c>
      <c r="S381" s="210">
        <v>3.5</v>
      </c>
      <c r="T381" s="8">
        <v>1.0000972222222222</v>
      </c>
      <c r="U381" s="98">
        <v>3.6121470212092888</v>
      </c>
      <c r="V381" s="106">
        <v>27094.257294018546</v>
      </c>
      <c r="W381" s="10">
        <v>0.25561413813106615</v>
      </c>
      <c r="X381" s="413">
        <v>0.25210022648041858</v>
      </c>
      <c r="Y381" s="414">
        <v>0.29668565435996291</v>
      </c>
      <c r="Z381" s="1"/>
      <c r="AA381" s="1"/>
      <c r="AB381" s="1"/>
      <c r="AC381" s="1"/>
      <c r="AD381" s="1"/>
      <c r="AL381" s="23"/>
      <c r="AM381" s="23"/>
    </row>
    <row r="382" spans="17:39">
      <c r="Q382" s="6">
        <v>352</v>
      </c>
      <c r="R382" s="7">
        <v>43019</v>
      </c>
      <c r="S382" s="210">
        <v>3.5</v>
      </c>
      <c r="T382" s="8">
        <v>1.0000972222222222</v>
      </c>
      <c r="U382" s="98">
        <v>3.612147021209311</v>
      </c>
      <c r="V382" s="106">
        <v>27098.706256327288</v>
      </c>
      <c r="W382" s="10">
        <v>0.24792502043577969</v>
      </c>
      <c r="X382" s="413">
        <v>0.24451800030933249</v>
      </c>
      <c r="Y382" s="414">
        <v>0.29670015836638897</v>
      </c>
      <c r="Z382" s="1"/>
      <c r="AA382" s="1"/>
      <c r="AB382" s="1"/>
      <c r="AC382" s="1"/>
      <c r="AD382" s="1"/>
      <c r="AL382" s="23"/>
      <c r="AM382" s="23"/>
    </row>
    <row r="383" spans="17:39">
      <c r="Q383" s="6">
        <v>353</v>
      </c>
      <c r="R383" s="7">
        <v>43020</v>
      </c>
      <c r="S383" s="210">
        <v>3.5</v>
      </c>
      <c r="T383" s="8">
        <v>1.0000972222222222</v>
      </c>
      <c r="U383" s="98">
        <v>3.612147021209311</v>
      </c>
      <c r="V383" s="106">
        <v>27103.155949169643</v>
      </c>
      <c r="W383" s="10">
        <v>0.24028005186236268</v>
      </c>
      <c r="X383" s="413">
        <v>0.23697919144183541</v>
      </c>
      <c r="Y383" s="414">
        <v>0.29671466331554847</v>
      </c>
      <c r="Z383" s="1"/>
      <c r="AA383" s="1"/>
      <c r="AB383" s="1"/>
      <c r="AC383" s="1"/>
      <c r="AD383" s="1"/>
      <c r="AL383" s="23"/>
      <c r="AM383" s="23"/>
    </row>
    <row r="384" spans="17:39">
      <c r="Q384" s="6">
        <v>354</v>
      </c>
      <c r="R384" s="7">
        <v>43021</v>
      </c>
      <c r="S384" s="210">
        <v>3.5</v>
      </c>
      <c r="T384" s="8">
        <v>1.0000972222222222</v>
      </c>
      <c r="U384" s="98">
        <v>3.612147021209311</v>
      </c>
      <c r="V384" s="106">
        <v>27107.606372665563</v>
      </c>
      <c r="W384" s="10">
        <v>0.23267885328039917</v>
      </c>
      <c r="X384" s="413">
        <v>0.22948343190403439</v>
      </c>
      <c r="Y384" s="414">
        <v>0.29672916920750991</v>
      </c>
      <c r="Z384" s="1"/>
      <c r="AA384" s="1"/>
      <c r="AB384" s="1"/>
      <c r="AC384" s="1"/>
      <c r="AD384" s="1"/>
      <c r="AL384" s="23"/>
      <c r="AM384" s="23"/>
    </row>
    <row r="385" spans="17:39">
      <c r="Q385" s="6">
        <v>355</v>
      </c>
      <c r="R385" s="7">
        <v>43022</v>
      </c>
      <c r="S385" s="210">
        <v>3.5</v>
      </c>
      <c r="T385" s="8">
        <v>1.0000972222222222</v>
      </c>
      <c r="U385" s="98">
        <v>3.612147021209311</v>
      </c>
      <c r="V385" s="106">
        <v>27112.057526935027</v>
      </c>
      <c r="W385" s="10">
        <v>0.22512104988796633</v>
      </c>
      <c r="X385" s="413">
        <v>0.22203035786831135</v>
      </c>
      <c r="Y385" s="414">
        <v>0.29674367604234442</v>
      </c>
      <c r="Z385" s="1"/>
      <c r="AA385" s="1"/>
      <c r="AB385" s="1"/>
      <c r="AC385" s="1"/>
      <c r="AD385" s="1"/>
      <c r="AL385" s="23"/>
      <c r="AM385" s="23"/>
    </row>
    <row r="386" spans="17:39">
      <c r="Q386" s="6">
        <v>356</v>
      </c>
      <c r="R386" s="7">
        <v>43023</v>
      </c>
      <c r="S386" s="210">
        <v>3.5</v>
      </c>
      <c r="T386" s="8">
        <v>1.0000972222222222</v>
      </c>
      <c r="U386" s="98">
        <v>3.612147021209311</v>
      </c>
      <c r="V386" s="106">
        <v>27116.509412098028</v>
      </c>
      <c r="W386" s="10">
        <v>0.21760627114981723</v>
      </c>
      <c r="X386" s="413">
        <v>0.21461960959488657</v>
      </c>
      <c r="Y386" s="414">
        <v>0.29675818382011893</v>
      </c>
      <c r="Z386" s="1"/>
      <c r="AA386" s="1"/>
      <c r="AB386" s="1"/>
      <c r="AC386" s="1"/>
      <c r="AD386" s="1"/>
      <c r="AL386" s="23"/>
      <c r="AM386" s="23"/>
    </row>
    <row r="387" spans="17:39">
      <c r="Q387" s="6">
        <v>357</v>
      </c>
      <c r="R387" s="7">
        <v>43024</v>
      </c>
      <c r="S387" s="210">
        <v>3.5</v>
      </c>
      <c r="T387" s="8">
        <v>1.0000972222222222</v>
      </c>
      <c r="U387" s="98">
        <v>3.612147021209311</v>
      </c>
      <c r="V387" s="106">
        <v>27120.962028274582</v>
      </c>
      <c r="W387" s="10">
        <v>0.21013415073700692</v>
      </c>
      <c r="X387" s="413">
        <v>0.20725083137474551</v>
      </c>
      <c r="Y387" s="414">
        <v>0.29677269254090305</v>
      </c>
      <c r="Z387" s="1"/>
      <c r="AA387" s="1"/>
      <c r="AB387" s="1"/>
      <c r="AC387" s="1"/>
      <c r="AD387" s="1"/>
      <c r="AL387" s="23"/>
      <c r="AM387" s="23"/>
    </row>
    <row r="388" spans="17:39">
      <c r="Q388" s="168">
        <v>358</v>
      </c>
      <c r="R388" s="169">
        <v>43025</v>
      </c>
      <c r="S388" s="211">
        <v>3.5</v>
      </c>
      <c r="T388" s="170">
        <v>1.0000972222222222</v>
      </c>
      <c r="U388" s="171">
        <v>3.6121470212093332</v>
      </c>
      <c r="V388" s="172">
        <v>27125.415375584726</v>
      </c>
      <c r="W388" s="173">
        <v>0.20270432646742886</v>
      </c>
      <c r="X388" s="415">
        <v>0.19992367147325352</v>
      </c>
      <c r="Y388" s="414">
        <v>0.29678720220476573</v>
      </c>
      <c r="Z388" s="1"/>
      <c r="AA388" s="1"/>
      <c r="AB388" s="1"/>
      <c r="AC388" s="1"/>
      <c r="AD388" s="1"/>
      <c r="AL388" s="23"/>
      <c r="AM388" s="23"/>
    </row>
    <row r="389" spans="17:39">
      <c r="Q389" s="168">
        <v>359</v>
      </c>
      <c r="R389" s="169">
        <v>43026</v>
      </c>
      <c r="S389" s="211">
        <v>3.5</v>
      </c>
      <c r="T389" s="170">
        <v>1.0000972222222222</v>
      </c>
      <c r="U389" s="171">
        <v>3.6121470212093332</v>
      </c>
      <c r="V389" s="172">
        <v>27129.869454148513</v>
      </c>
      <c r="W389" s="173">
        <v>0.19531644024708417</v>
      </c>
      <c r="X389" s="415">
        <v>0.1926377820748249</v>
      </c>
      <c r="Y389" s="414">
        <v>0.29680171281177531</v>
      </c>
      <c r="Z389" s="1"/>
      <c r="AA389" s="1"/>
      <c r="AB389" s="1"/>
      <c r="AC389" s="1"/>
      <c r="AD389" s="1"/>
      <c r="AL389" s="23"/>
      <c r="AM389" s="23"/>
    </row>
    <row r="390" spans="17:39">
      <c r="Q390" s="168">
        <v>360</v>
      </c>
      <c r="R390" s="169">
        <v>43027</v>
      </c>
      <c r="S390" s="211">
        <v>3.5</v>
      </c>
      <c r="T390" s="170">
        <v>1.0000972222222222</v>
      </c>
      <c r="U390" s="171">
        <v>3.6121470212093332</v>
      </c>
      <c r="V390" s="172">
        <v>27134.324264086012</v>
      </c>
      <c r="W390" s="173">
        <v>0.18797013801290507</v>
      </c>
      <c r="X390" s="415">
        <v>0.1853928192285581</v>
      </c>
      <c r="Y390" s="414">
        <v>0.29681622436200095</v>
      </c>
      <c r="Z390" s="1"/>
      <c r="AA390" s="1"/>
      <c r="AB390" s="1"/>
      <c r="AC390" s="1"/>
      <c r="AD390" s="1"/>
      <c r="AL390" s="23"/>
      <c r="AM390" s="23"/>
    </row>
    <row r="391" spans="17:39">
      <c r="Q391" s="168">
        <v>361</v>
      </c>
      <c r="R391" s="169">
        <v>43028</v>
      </c>
      <c r="S391" s="211">
        <v>3.5</v>
      </c>
      <c r="T391" s="170">
        <v>1.0000972222222222</v>
      </c>
      <c r="U391" s="171">
        <v>3.6121470212093332</v>
      </c>
      <c r="V391" s="172">
        <v>27138.779805517326</v>
      </c>
      <c r="W391" s="173">
        <v>0.18066506967575613</v>
      </c>
      <c r="X391" s="415">
        <v>0.17818844279448701</v>
      </c>
      <c r="Y391" s="414">
        <v>0.2968307368555112</v>
      </c>
      <c r="Z391" s="1"/>
      <c r="AA391" s="1"/>
      <c r="AB391" s="1"/>
      <c r="AC391" s="1"/>
      <c r="AD391" s="1"/>
      <c r="AL391" s="23"/>
      <c r="AM391" s="23"/>
    </row>
    <row r="392" spans="17:39">
      <c r="Q392" s="168">
        <v>362</v>
      </c>
      <c r="R392" s="169">
        <v>43029</v>
      </c>
      <c r="S392" s="211">
        <v>3.5</v>
      </c>
      <c r="T392" s="170">
        <v>1.0000972222222222</v>
      </c>
      <c r="U392" s="171">
        <v>3.6121470212093332</v>
      </c>
      <c r="V392" s="172">
        <v>27143.236078562561</v>
      </c>
      <c r="W392" s="173">
        <v>0.17340088906532269</v>
      </c>
      <c r="X392" s="415">
        <v>0.17102431639129681</v>
      </c>
      <c r="Y392" s="414">
        <v>0.29684525029237568</v>
      </c>
      <c r="Z392" s="1"/>
      <c r="AA392" s="1"/>
      <c r="AB392" s="1"/>
      <c r="AC392" s="1"/>
      <c r="AD392" s="1"/>
      <c r="AL392" s="23"/>
      <c r="AM392" s="23"/>
    </row>
    <row r="393" spans="17:39">
      <c r="Q393" s="168">
        <v>363</v>
      </c>
      <c r="R393" s="169">
        <v>43030</v>
      </c>
      <c r="S393" s="211">
        <v>3.5</v>
      </c>
      <c r="T393" s="170">
        <v>1.0000972222222222</v>
      </c>
      <c r="U393" s="171">
        <v>3.6121470212093332</v>
      </c>
      <c r="V393" s="172">
        <v>27147.693083341852</v>
      </c>
      <c r="W393" s="173">
        <v>0.16617725387502169</v>
      </c>
      <c r="X393" s="415">
        <v>0.16390010734422178</v>
      </c>
      <c r="Y393" s="414">
        <v>0.29685976467266317</v>
      </c>
      <c r="Z393" s="1"/>
      <c r="AA393" s="1"/>
      <c r="AB393" s="1"/>
      <c r="AC393" s="1"/>
      <c r="AD393" s="1"/>
      <c r="AL393" s="23"/>
      <c r="AM393" s="23"/>
    </row>
    <row r="394" spans="17:39">
      <c r="Q394" s="168">
        <v>364</v>
      </c>
      <c r="R394" s="169">
        <v>43031</v>
      </c>
      <c r="S394" s="211">
        <v>3.5</v>
      </c>
      <c r="T394" s="170">
        <v>1.0000972222222222</v>
      </c>
      <c r="U394" s="171">
        <v>3.6121470212093332</v>
      </c>
      <c r="V394" s="172">
        <v>27152.150819975359</v>
      </c>
      <c r="W394" s="173">
        <v>0.15899382560851105</v>
      </c>
      <c r="X394" s="415">
        <v>0.15681548663430675</v>
      </c>
      <c r="Y394" s="414">
        <v>0.29687427999644184</v>
      </c>
      <c r="Z394" s="1"/>
      <c r="AA394" s="1"/>
      <c r="AB394" s="1"/>
      <c r="AC394" s="1"/>
      <c r="AD394" s="1"/>
      <c r="AL394" s="23"/>
      <c r="AM394" s="23"/>
    </row>
    <row r="395" spans="17:39">
      <c r="Q395" s="168">
        <v>365</v>
      </c>
      <c r="R395" s="169">
        <v>43032</v>
      </c>
      <c r="S395" s="211">
        <v>3.5</v>
      </c>
      <c r="T395" s="170">
        <v>1.0000972222222222</v>
      </c>
      <c r="U395" s="171">
        <v>3.6121470212093332</v>
      </c>
      <c r="V395" s="172">
        <v>27156.609288583244</v>
      </c>
      <c r="W395" s="173">
        <v>0.15185026952673208</v>
      </c>
      <c r="X395" s="415">
        <v>0.1497701288482837</v>
      </c>
      <c r="Y395" s="414">
        <v>0.29688879626378084</v>
      </c>
      <c r="Z395" s="1"/>
      <c r="AA395" s="1"/>
      <c r="AB395" s="1"/>
      <c r="AC395" s="1"/>
      <c r="AD395" s="1"/>
      <c r="AL395" s="23"/>
      <c r="AM395" s="23"/>
    </row>
    <row r="396" spans="17:39">
      <c r="Q396" s="168">
        <v>366</v>
      </c>
      <c r="R396" s="169">
        <v>43033</v>
      </c>
      <c r="S396" s="211">
        <v>3.5</v>
      </c>
      <c r="T396" s="170">
        <v>1.0000972222222222</v>
      </c>
      <c r="U396" s="171">
        <v>3.6121470212093332</v>
      </c>
      <c r="V396" s="172">
        <v>27161.068489285706</v>
      </c>
      <c r="W396" s="173">
        <v>0.14474625459588442</v>
      </c>
      <c r="X396" s="415">
        <v>0.14276371212931382</v>
      </c>
      <c r="Y396" s="414">
        <v>0.29690331347475024</v>
      </c>
      <c r="Z396" s="1"/>
      <c r="AA396" s="1"/>
      <c r="AB396" s="1"/>
      <c r="AC396" s="1"/>
      <c r="AD396" s="1"/>
      <c r="AL396" s="23"/>
      <c r="AM396" s="23"/>
    </row>
    <row r="397" spans="17:39">
      <c r="Q397" s="6">
        <v>367</v>
      </c>
      <c r="R397" s="7">
        <v>43034</v>
      </c>
      <c r="S397" s="210">
        <v>3.5</v>
      </c>
      <c r="T397" s="8">
        <v>1.0000972222222222</v>
      </c>
      <c r="U397" s="98">
        <v>3.6121470212093332</v>
      </c>
      <c r="V397" s="106">
        <v>27165.528422202955</v>
      </c>
      <c r="W397" s="10">
        <v>0.13768145343642235</v>
      </c>
      <c r="X397" s="413">
        <v>0.13579591812855654</v>
      </c>
      <c r="Y397" s="414">
        <v>0.29691783162941787</v>
      </c>
      <c r="Z397" s="1"/>
      <c r="AA397" s="1"/>
      <c r="AB397" s="1"/>
      <c r="AC397" s="1"/>
      <c r="AD397" s="1"/>
      <c r="AL397" s="23"/>
      <c r="AM397" s="23"/>
    </row>
    <row r="398" spans="17:39">
      <c r="Q398" s="6">
        <v>368</v>
      </c>
      <c r="R398" s="7">
        <v>43035</v>
      </c>
      <c r="S398" s="210">
        <v>3.5</v>
      </c>
      <c r="T398" s="8">
        <v>1.0000972222222222</v>
      </c>
      <c r="U398" s="98">
        <v>3.6121470212093332</v>
      </c>
      <c r="V398" s="106">
        <v>27169.989087455222</v>
      </c>
      <c r="W398" s="10">
        <v>0.13065554227260634</v>
      </c>
      <c r="X398" s="413">
        <v>0.12886643195744124</v>
      </c>
      <c r="Y398" s="414">
        <v>0.29693235072785229</v>
      </c>
      <c r="Z398" s="1"/>
      <c r="AA398" s="1"/>
      <c r="AB398" s="1"/>
      <c r="AC398" s="1"/>
      <c r="AD398" s="1"/>
      <c r="AL398" s="23"/>
      <c r="AM398" s="23"/>
    </row>
    <row r="399" spans="17:39">
      <c r="Q399" s="6">
        <v>369</v>
      </c>
      <c r="R399" s="7">
        <v>43036</v>
      </c>
      <c r="S399" s="210">
        <v>3.5</v>
      </c>
      <c r="T399" s="8">
        <v>1.0000972222222222</v>
      </c>
      <c r="U399" s="98">
        <v>3.6121470212093332</v>
      </c>
      <c r="V399" s="106">
        <v>27174.450485162764</v>
      </c>
      <c r="W399" s="10">
        <v>0.12366820088320907</v>
      </c>
      <c r="X399" s="413">
        <v>0.12197494214086699</v>
      </c>
      <c r="Y399" s="414">
        <v>0.29694687077012344</v>
      </c>
      <c r="Z399" s="1"/>
      <c r="AA399" s="1"/>
      <c r="AB399" s="1"/>
      <c r="AC399" s="1"/>
      <c r="AD399" s="1"/>
      <c r="AL399" s="23"/>
      <c r="AM399" s="23"/>
    </row>
    <row r="400" spans="17:39">
      <c r="Q400" s="6">
        <v>370</v>
      </c>
      <c r="R400" s="7">
        <v>43037</v>
      </c>
      <c r="S400" s="210">
        <v>3.5</v>
      </c>
      <c r="T400" s="8">
        <v>1.0000972222222222</v>
      </c>
      <c r="U400" s="98">
        <v>3.6121470212093332</v>
      </c>
      <c r="V400" s="106">
        <v>27178.912615445846</v>
      </c>
      <c r="W400" s="10">
        <v>0.11671911255279888</v>
      </c>
      <c r="X400" s="413">
        <v>0.11512114057103109</v>
      </c>
      <c r="Y400" s="414">
        <v>0.29696139175630021</v>
      </c>
      <c r="Z400" s="1"/>
      <c r="AA400" s="1"/>
      <c r="AB400" s="1"/>
      <c r="AC400" s="1"/>
      <c r="AD400" s="1"/>
      <c r="AL400" s="23"/>
      <c r="AM400" s="23"/>
    </row>
    <row r="401" spans="17:39">
      <c r="Q401" s="6">
        <v>371</v>
      </c>
      <c r="R401" s="7">
        <v>43038</v>
      </c>
      <c r="S401" s="210">
        <v>3.5</v>
      </c>
      <c r="T401" s="8">
        <v>1.0000972222222222</v>
      </c>
      <c r="U401" s="98">
        <v>3.6121470212093332</v>
      </c>
      <c r="V401" s="106">
        <v>27183.375478424761</v>
      </c>
      <c r="W401" s="10">
        <v>0.10980796402386694</v>
      </c>
      <c r="X401" s="413">
        <v>0.10830472246200494</v>
      </c>
      <c r="Y401" s="414">
        <v>0.29697591368645082</v>
      </c>
      <c r="Z401" s="1"/>
      <c r="AA401" s="1"/>
      <c r="AB401" s="1"/>
      <c r="AC401" s="1"/>
      <c r="AD401" s="1"/>
      <c r="AL401" s="23"/>
      <c r="AM401" s="23"/>
    </row>
    <row r="402" spans="17:39">
      <c r="Q402" s="6">
        <v>372</v>
      </c>
      <c r="R402" s="7">
        <v>43039</v>
      </c>
      <c r="S402" s="210">
        <v>3.5</v>
      </c>
      <c r="T402" s="8">
        <v>1.0000972222222222</v>
      </c>
      <c r="U402" s="98">
        <v>3.6121470212093332</v>
      </c>
      <c r="V402" s="106">
        <v>27187.839074219824</v>
      </c>
      <c r="W402" s="10">
        <v>0.10293444544988706</v>
      </c>
      <c r="X402" s="413">
        <v>0.1015253863051923</v>
      </c>
      <c r="Y402" s="414">
        <v>0.29699043656064483</v>
      </c>
      <c r="Z402" s="1"/>
      <c r="AA402" s="1"/>
      <c r="AB402" s="1"/>
      <c r="AC402" s="1"/>
      <c r="AD402" s="1"/>
      <c r="AL402" s="23"/>
      <c r="AM402" s="23"/>
    </row>
    <row r="403" spans="17:39">
      <c r="Q403" s="6">
        <v>373</v>
      </c>
      <c r="R403" s="7">
        <v>43040</v>
      </c>
      <c r="S403" s="210">
        <v>3.5</v>
      </c>
      <c r="T403" s="8">
        <v>1.0000972222222222</v>
      </c>
      <c r="U403" s="98">
        <v>3.6121470212093332</v>
      </c>
      <c r="V403" s="106">
        <v>27192.303402951362</v>
      </c>
      <c r="W403" s="10">
        <v>9.6098250348841674E-2</v>
      </c>
      <c r="X403" s="413">
        <v>9.4782833825290305E-2</v>
      </c>
      <c r="Y403" s="414">
        <v>0.29700496037895063</v>
      </c>
      <c r="Z403" s="1"/>
      <c r="AA403" s="1"/>
      <c r="AB403" s="1"/>
      <c r="AC403" s="1"/>
      <c r="AD403" s="1"/>
      <c r="AL403" s="23"/>
      <c r="AM403" s="23"/>
    </row>
    <row r="404" spans="17:39">
      <c r="Q404" s="6">
        <v>374</v>
      </c>
      <c r="R404" s="7">
        <v>43041</v>
      </c>
      <c r="S404" s="210">
        <v>3.5</v>
      </c>
      <c r="T404" s="8">
        <v>1.0000972222222222</v>
      </c>
      <c r="U404" s="98">
        <v>3.6121470212093332</v>
      </c>
      <c r="V404" s="106">
        <v>27196.768464739729</v>
      </c>
      <c r="W404" s="10">
        <v>8.9299075557836005E-2</v>
      </c>
      <c r="X404" s="413">
        <v>8.8076769937127625E-2</v>
      </c>
      <c r="Y404" s="414">
        <v>0.297019485141438</v>
      </c>
      <c r="Z404" s="1"/>
      <c r="AA404" s="1"/>
      <c r="AB404" s="1"/>
      <c r="AC404" s="1"/>
      <c r="AD404" s="1"/>
      <c r="AL404" s="23"/>
      <c r="AM404" s="23"/>
    </row>
    <row r="405" spans="17:39">
      <c r="Q405" s="6">
        <v>375</v>
      </c>
      <c r="R405" s="7">
        <v>43042</v>
      </c>
      <c r="S405" s="210">
        <v>3.5</v>
      </c>
      <c r="T405" s="8">
        <v>1.0000972222222222</v>
      </c>
      <c r="U405" s="98">
        <v>3.6121470212093332</v>
      </c>
      <c r="V405" s="106">
        <v>27201.234259705288</v>
      </c>
      <c r="W405" s="10">
        <v>8.2536621188200598E-2</v>
      </c>
      <c r="X405" s="413">
        <v>8.140690270310813E-2</v>
      </c>
      <c r="Y405" s="414">
        <v>0.29703401084817571</v>
      </c>
      <c r="Z405" s="1"/>
      <c r="AA405" s="1"/>
      <c r="AB405" s="1"/>
      <c r="AC405" s="1"/>
      <c r="AD405" s="1"/>
      <c r="AL405" s="23"/>
      <c r="AM405" s="23"/>
    </row>
    <row r="406" spans="17:39">
      <c r="Q406" s="6">
        <v>376</v>
      </c>
      <c r="R406" s="7">
        <v>43043</v>
      </c>
      <c r="S406" s="210">
        <v>3.5</v>
      </c>
      <c r="T406" s="8">
        <v>1.0000972222222222</v>
      </c>
      <c r="U406" s="98">
        <v>3.6121470212093332</v>
      </c>
      <c r="V406" s="106">
        <v>27205.700787968432</v>
      </c>
      <c r="W406" s="10">
        <v>7.58105905815043E-2</v>
      </c>
      <c r="X406" s="413">
        <v>7.4772943291376001E-2</v>
      </c>
      <c r="Y406" s="414">
        <v>0.29704853749923199</v>
      </c>
      <c r="Z406" s="1"/>
      <c r="AA406" s="1"/>
      <c r="AB406" s="1"/>
      <c r="AC406" s="1"/>
      <c r="AD406" s="1"/>
      <c r="AL406" s="23"/>
      <c r="AM406" s="23"/>
    </row>
    <row r="407" spans="17:39">
      <c r="Q407" s="6">
        <v>377</v>
      </c>
      <c r="R407" s="7">
        <v>43044</v>
      </c>
      <c r="S407" s="210">
        <v>3.5</v>
      </c>
      <c r="T407" s="8">
        <v>1.0000972222222222</v>
      </c>
      <c r="U407" s="98">
        <v>3.6121470212093332</v>
      </c>
      <c r="V407" s="106">
        <v>27210.168049649576</v>
      </c>
      <c r="W407" s="10">
        <v>6.9120690265944695E-2</v>
      </c>
      <c r="X407" s="413">
        <v>6.81746059345196E-2</v>
      </c>
      <c r="Y407" s="414">
        <v>0.29706306509467606</v>
      </c>
      <c r="Z407" s="1"/>
      <c r="AA407" s="1"/>
      <c r="AB407" s="1"/>
      <c r="AC407" s="1"/>
      <c r="AD407" s="1"/>
      <c r="AL407" s="23"/>
      <c r="AM407" s="23"/>
    </row>
    <row r="408" spans="17:39">
      <c r="Q408" s="6">
        <v>378</v>
      </c>
      <c r="R408" s="7">
        <v>43045</v>
      </c>
      <c r="S408" s="210">
        <v>3.5</v>
      </c>
      <c r="T408" s="8">
        <v>1.0000972222222222</v>
      </c>
      <c r="U408" s="98">
        <v>3.6121470212093332</v>
      </c>
      <c r="V408" s="106">
        <v>27214.636044869148</v>
      </c>
      <c r="W408" s="10">
        <v>6.246662991404861E-2</v>
      </c>
      <c r="X408" s="413">
        <v>6.1611607889247973E-2</v>
      </c>
      <c r="Y408" s="414">
        <v>0.29707759363457809</v>
      </c>
      <c r="Z408" s="1"/>
      <c r="AA408" s="1"/>
      <c r="AB408" s="1"/>
      <c r="AC408" s="1"/>
      <c r="AD408" s="1"/>
      <c r="AL408" s="23"/>
      <c r="AM408" s="23"/>
    </row>
    <row r="409" spans="17:39">
      <c r="Q409" s="6">
        <v>379</v>
      </c>
      <c r="R409" s="7">
        <v>43046</v>
      </c>
      <c r="S409" s="210">
        <v>3.5</v>
      </c>
      <c r="T409" s="8">
        <v>1.0000972222222222</v>
      </c>
      <c r="U409" s="98">
        <v>3.6121470212093332</v>
      </c>
      <c r="V409" s="106">
        <v>27219.104773747589</v>
      </c>
      <c r="W409" s="10">
        <v>5.5848122300372616E-2</v>
      </c>
      <c r="X409" s="413">
        <v>5.5083669396304914E-2</v>
      </c>
      <c r="Y409" s="414">
        <v>0.29709212311900585</v>
      </c>
      <c r="Z409" s="1"/>
      <c r="AA409" s="1"/>
      <c r="AB409" s="1"/>
      <c r="AC409" s="1"/>
      <c r="AD409" s="1"/>
      <c r="AL409" s="23"/>
      <c r="AM409" s="23"/>
    </row>
    <row r="410" spans="17:39">
      <c r="Q410" s="6">
        <v>380</v>
      </c>
      <c r="R410" s="7">
        <v>43047</v>
      </c>
      <c r="S410" s="210">
        <v>3.5</v>
      </c>
      <c r="T410" s="8">
        <v>1.0000972222222222</v>
      </c>
      <c r="U410" s="98">
        <v>3.6121470212093332</v>
      </c>
      <c r="V410" s="106">
        <v>27223.57423640538</v>
      </c>
      <c r="W410" s="10">
        <v>4.9264883260247139E-2</v>
      </c>
      <c r="X410" s="413">
        <v>4.8590513641247488E-2</v>
      </c>
      <c r="Y410" s="414">
        <v>0.29710665354802818</v>
      </c>
      <c r="Z410" s="1"/>
      <c r="AA410" s="1"/>
      <c r="AB410" s="1"/>
      <c r="AC410" s="1"/>
      <c r="AD410" s="1"/>
      <c r="AL410" s="23"/>
      <c r="AM410" s="23"/>
    </row>
    <row r="411" spans="17:39">
      <c r="Q411" s="6">
        <v>381</v>
      </c>
      <c r="R411" s="7">
        <v>43048</v>
      </c>
      <c r="S411" s="210">
        <v>3.5</v>
      </c>
      <c r="T411" s="8">
        <v>1.0000972222222222</v>
      </c>
      <c r="U411" s="98">
        <v>3.6121470212093332</v>
      </c>
      <c r="V411" s="106">
        <v>27228.044432963001</v>
      </c>
      <c r="W411" s="10">
        <v>4.2716631649231118E-2</v>
      </c>
      <c r="X411" s="413">
        <v>4.2131866715863053E-2</v>
      </c>
      <c r="Y411" s="414">
        <v>0.2971211849217148</v>
      </c>
      <c r="Z411" s="1"/>
      <c r="AA411" s="1"/>
      <c r="AB411" s="1"/>
      <c r="AC411" s="1"/>
      <c r="AD411" s="1"/>
      <c r="AL411" s="23"/>
      <c r="AM411" s="23"/>
    </row>
    <row r="412" spans="17:39">
      <c r="Q412" s="6">
        <v>382</v>
      </c>
      <c r="R412" s="7">
        <v>43049</v>
      </c>
      <c r="S412" s="210">
        <v>3.5</v>
      </c>
      <c r="T412" s="8">
        <v>1.0000972222222222</v>
      </c>
      <c r="U412" s="98">
        <v>3.6121470212093332</v>
      </c>
      <c r="V412" s="106">
        <v>27230.324554372306</v>
      </c>
      <c r="W412" s="10">
        <v>4.3893289676399938E-2</v>
      </c>
      <c r="X412" s="413">
        <v>4.3292454192958296E-2</v>
      </c>
      <c r="Y412" s="414">
        <v>0.29713571724013477</v>
      </c>
      <c r="Z412" s="1"/>
      <c r="AA412" s="1"/>
      <c r="AB412" s="1"/>
      <c r="AC412" s="1"/>
      <c r="AD412" s="1"/>
      <c r="AL412" s="23"/>
      <c r="AM412" s="23"/>
    </row>
    <row r="413" spans="17:39">
      <c r="Q413" s="6">
        <v>383</v>
      </c>
      <c r="R413" s="7">
        <v>43050</v>
      </c>
      <c r="S413" s="210">
        <v>3.5</v>
      </c>
      <c r="T413" s="8">
        <v>1.0000972222222222</v>
      </c>
      <c r="U413" s="98">
        <v>3.6121470212093332</v>
      </c>
      <c r="V413" s="106">
        <v>27232.604866722751</v>
      </c>
      <c r="W413" s="10">
        <v>4.5063817006352203E-2</v>
      </c>
      <c r="X413" s="413">
        <v>4.4446998247043616E-2</v>
      </c>
      <c r="Y413" s="414">
        <v>0.29715025050335653</v>
      </c>
      <c r="Z413" s="1"/>
      <c r="AA413" s="1"/>
      <c r="AB413" s="1"/>
      <c r="AC413" s="1"/>
      <c r="AD413" s="1"/>
      <c r="AL413" s="23"/>
      <c r="AM413" s="23"/>
    </row>
    <row r="414" spans="17:39">
      <c r="Q414" s="6">
        <v>384</v>
      </c>
      <c r="R414" s="7">
        <v>43051</v>
      </c>
      <c r="S414" s="210">
        <v>3.5</v>
      </c>
      <c r="T414" s="8">
        <v>1.0000972222222222</v>
      </c>
      <c r="U414" s="98">
        <v>3.6121470212093332</v>
      </c>
      <c r="V414" s="106">
        <v>27234.885370030315</v>
      </c>
      <c r="W414" s="10">
        <v>4.6228261428327144E-2</v>
      </c>
      <c r="X414" s="413">
        <v>4.5595546092631889E-2</v>
      </c>
      <c r="Y414" s="414">
        <v>0.29716478471144941</v>
      </c>
      <c r="Z414" s="1"/>
      <c r="AA414" s="1"/>
      <c r="AB414" s="1"/>
      <c r="AC414" s="1"/>
      <c r="AD414" s="1"/>
      <c r="AL414" s="23"/>
      <c r="AM414" s="23"/>
    </row>
    <row r="415" spans="17:39">
      <c r="Q415" s="6">
        <v>385</v>
      </c>
      <c r="R415" s="7">
        <v>43052</v>
      </c>
      <c r="S415" s="210">
        <v>3.5</v>
      </c>
      <c r="T415" s="8">
        <v>1.0000972222222222</v>
      </c>
      <c r="U415" s="98">
        <v>3.6121470212093332</v>
      </c>
      <c r="V415" s="106">
        <v>27237.166064310986</v>
      </c>
      <c r="W415" s="10">
        <v>4.7386670236138073E-2</v>
      </c>
      <c r="X415" s="413">
        <v>4.6738144453654082E-2</v>
      </c>
      <c r="Y415" s="414">
        <v>0.29717931986448204</v>
      </c>
      <c r="Z415" s="1"/>
      <c r="AA415" s="1"/>
      <c r="AB415" s="1"/>
      <c r="AC415" s="1"/>
      <c r="AD415" s="1"/>
      <c r="AL415" s="23"/>
      <c r="AM415" s="23"/>
    </row>
    <row r="416" spans="17:39">
      <c r="Q416" s="6">
        <v>386</v>
      </c>
      <c r="R416" s="7">
        <v>43053</v>
      </c>
      <c r="S416" s="210">
        <v>3.5</v>
      </c>
      <c r="T416" s="8">
        <v>1.0000972222222222</v>
      </c>
      <c r="U416" s="98">
        <v>3.6121470212093332</v>
      </c>
      <c r="V416" s="106">
        <v>27239.446949580772</v>
      </c>
      <c r="W416" s="10">
        <v>4.8539090234633875E-2</v>
      </c>
      <c r="X416" s="413">
        <v>4.7874839569813928E-2</v>
      </c>
      <c r="Y416" s="414">
        <v>0.29719385596252407</v>
      </c>
      <c r="Z416" s="1"/>
      <c r="AA416" s="1"/>
      <c r="AB416" s="1"/>
      <c r="AC416" s="1"/>
      <c r="AD416" s="1"/>
      <c r="AL416" s="23"/>
      <c r="AM416" s="23"/>
    </row>
    <row r="417" spans="17:39">
      <c r="Q417" s="6">
        <v>387</v>
      </c>
      <c r="R417" s="7">
        <v>43054</v>
      </c>
      <c r="S417" s="210">
        <v>3.5</v>
      </c>
      <c r="T417" s="8">
        <v>1.0000972222222222</v>
      </c>
      <c r="U417" s="98">
        <v>3.6121470212093332</v>
      </c>
      <c r="V417" s="106">
        <v>27241.728025855649</v>
      </c>
      <c r="W417" s="10">
        <v>4.9685567745916259E-2</v>
      </c>
      <c r="X417" s="413">
        <v>4.9005677202968015E-2</v>
      </c>
      <c r="Y417" s="414">
        <v>0.2972083930056445</v>
      </c>
      <c r="Z417" s="1"/>
      <c r="AA417" s="1"/>
      <c r="AB417" s="1"/>
      <c r="AC417" s="1"/>
      <c r="AD417" s="1"/>
      <c r="AL417" s="23"/>
      <c r="AM417" s="23"/>
    </row>
    <row r="418" spans="17:39">
      <c r="Q418" s="6">
        <v>388</v>
      </c>
      <c r="R418" s="7">
        <v>43055</v>
      </c>
      <c r="S418" s="210">
        <v>3.5</v>
      </c>
      <c r="T418" s="8">
        <v>1.0000972222222222</v>
      </c>
      <c r="U418" s="98">
        <v>3.6121470212093332</v>
      </c>
      <c r="V418" s="106">
        <v>27244.00929315163</v>
      </c>
      <c r="W418" s="10">
        <v>5.0826148615579214E-2</v>
      </c>
      <c r="X418" s="413">
        <v>5.0130702643098234E-2</v>
      </c>
      <c r="Y418" s="414">
        <v>0.29722293099391162</v>
      </c>
      <c r="Z418" s="1"/>
      <c r="AA418" s="1"/>
      <c r="AB418" s="1"/>
      <c r="AC418" s="1"/>
      <c r="AD418" s="1"/>
      <c r="AL418" s="23"/>
      <c r="AM418" s="23"/>
    </row>
    <row r="419" spans="17:39">
      <c r="Q419" s="6">
        <v>389</v>
      </c>
      <c r="R419" s="7">
        <v>43056</v>
      </c>
      <c r="S419" s="210">
        <v>3.5</v>
      </c>
      <c r="T419" s="8">
        <v>1.0000972222222222</v>
      </c>
      <c r="U419" s="98">
        <v>3.612147021209311</v>
      </c>
      <c r="V419" s="106">
        <v>27246.290751484696</v>
      </c>
      <c r="W419" s="10">
        <v>5.1960878218970663E-2</v>
      </c>
      <c r="X419" s="413">
        <v>5.1249960714602985E-2</v>
      </c>
      <c r="Y419" s="414">
        <v>0.29723746992739453</v>
      </c>
      <c r="Z419" s="1"/>
      <c r="AA419" s="1"/>
      <c r="AB419" s="1"/>
      <c r="AC419" s="1"/>
      <c r="AD419" s="1"/>
      <c r="AL419" s="23"/>
      <c r="AM419" s="23"/>
    </row>
    <row r="420" spans="17:39">
      <c r="Q420" s="6">
        <v>390</v>
      </c>
      <c r="R420" s="7">
        <v>43057</v>
      </c>
      <c r="S420" s="210">
        <v>3.5</v>
      </c>
      <c r="T420" s="8">
        <v>1.0000972222222222</v>
      </c>
      <c r="U420" s="98">
        <v>3.612147021209311</v>
      </c>
      <c r="V420" s="106">
        <v>27248.572400870849</v>
      </c>
      <c r="W420" s="10">
        <v>5.308980146694342E-2</v>
      </c>
      <c r="X420" s="413">
        <v>5.2363495782102268E-2</v>
      </c>
      <c r="Y420" s="414">
        <v>0.29725200980616356</v>
      </c>
      <c r="Z420" s="1"/>
      <c r="AA420" s="1"/>
      <c r="AB420" s="1"/>
      <c r="AC420" s="1"/>
      <c r="AD420" s="1"/>
      <c r="AL420" s="23"/>
      <c r="AM420" s="23"/>
    </row>
    <row r="421" spans="17:39">
      <c r="Q421" s="6">
        <v>391</v>
      </c>
      <c r="R421" s="7">
        <v>43058</v>
      </c>
      <c r="S421" s="210">
        <v>3.5</v>
      </c>
      <c r="T421" s="8">
        <v>1.0000972222222222</v>
      </c>
      <c r="U421" s="98">
        <v>3.612147021209311</v>
      </c>
      <c r="V421" s="106">
        <v>27250.854241326095</v>
      </c>
      <c r="W421" s="10">
        <v>5.4212962811917009E-2</v>
      </c>
      <c r="X421" s="413">
        <v>5.3471351756255857E-2</v>
      </c>
      <c r="Y421" s="414">
        <v>0.29726655063028651</v>
      </c>
      <c r="Z421" s="1"/>
      <c r="AA421" s="1"/>
      <c r="AB421" s="1"/>
      <c r="AC421" s="1"/>
      <c r="AD421" s="1"/>
      <c r="AL421" s="23"/>
      <c r="AM421" s="23"/>
    </row>
    <row r="422" spans="17:39">
      <c r="Q422" s="6">
        <v>392</v>
      </c>
      <c r="R422" s="7">
        <v>43059</v>
      </c>
      <c r="S422" s="210">
        <v>3.5</v>
      </c>
      <c r="T422" s="8">
        <v>1.0000972222222222</v>
      </c>
      <c r="U422" s="98">
        <v>3.612147021209311</v>
      </c>
      <c r="V422" s="106">
        <v>27253.136272866428</v>
      </c>
      <c r="W422" s="10">
        <v>5.5330406253761844E-2</v>
      </c>
      <c r="X422" s="413">
        <v>5.4573572099798309E-2</v>
      </c>
      <c r="Y422" s="414">
        <v>0.29728109239983397</v>
      </c>
      <c r="Z422" s="1"/>
      <c r="AA422" s="1"/>
      <c r="AB422" s="1"/>
      <c r="AC422" s="1"/>
      <c r="AD422" s="1"/>
      <c r="AL422" s="23"/>
      <c r="AM422" s="23"/>
    </row>
    <row r="423" spans="17:39">
      <c r="Q423" s="6">
        <v>393</v>
      </c>
      <c r="R423" s="7">
        <v>43060</v>
      </c>
      <c r="S423" s="210">
        <v>3.5</v>
      </c>
      <c r="T423" s="8">
        <v>1.0000972222222222</v>
      </c>
      <c r="U423" s="98">
        <v>3.6121470212093332</v>
      </c>
      <c r="V423" s="106">
        <v>27255.418495507849</v>
      </c>
      <c r="W423" s="10">
        <v>5.644217534548357E-2</v>
      </c>
      <c r="X423" s="413">
        <v>5.5670199833054712E-2</v>
      </c>
      <c r="Y423" s="414">
        <v>0.297295635114874</v>
      </c>
      <c r="Z423" s="1"/>
      <c r="AA423" s="1"/>
      <c r="AB423" s="1"/>
      <c r="AC423" s="1"/>
      <c r="AD423" s="1"/>
      <c r="AL423" s="23"/>
      <c r="AM423" s="23"/>
    </row>
    <row r="424" spans="17:39">
      <c r="Q424" s="6">
        <v>394</v>
      </c>
      <c r="R424" s="7">
        <v>43061</v>
      </c>
      <c r="S424" s="210">
        <v>3.5</v>
      </c>
      <c r="T424" s="8">
        <v>1.0000972222222222</v>
      </c>
      <c r="U424" s="98">
        <v>3.612147021209311</v>
      </c>
      <c r="V424" s="106">
        <v>27257.700909266361</v>
      </c>
      <c r="W424" s="10">
        <v>5.7548313198840795E-2</v>
      </c>
      <c r="X424" s="413">
        <v>5.6761277539534707E-2</v>
      </c>
      <c r="Y424" s="414">
        <v>0.297310178775474</v>
      </c>
      <c r="Z424" s="1"/>
      <c r="AA424" s="1"/>
      <c r="AB424" s="1"/>
      <c r="AC424" s="1"/>
      <c r="AD424" s="1"/>
      <c r="AL424" s="23"/>
      <c r="AM424" s="23"/>
    </row>
    <row r="425" spans="17:39">
      <c r="Q425" s="6">
        <v>395</v>
      </c>
      <c r="R425" s="7">
        <v>43062</v>
      </c>
      <c r="S425" s="210">
        <v>3.5</v>
      </c>
      <c r="T425" s="8">
        <v>1.0000972222222222</v>
      </c>
      <c r="U425" s="98">
        <v>3.6121470212093332</v>
      </c>
      <c r="V425" s="106">
        <v>27259.983514157975</v>
      </c>
      <c r="W425" s="10">
        <v>5.8648862489985021E-2</v>
      </c>
      <c r="X425" s="413">
        <v>5.7846847371563009E-2</v>
      </c>
      <c r="Y425" s="414">
        <v>0.29732472338170746</v>
      </c>
      <c r="Z425" s="1"/>
      <c r="AA425" s="1"/>
      <c r="AB425" s="1"/>
      <c r="AC425" s="1"/>
      <c r="AD425" s="1"/>
      <c r="AL425" s="23"/>
      <c r="AM425" s="23"/>
    </row>
    <row r="426" spans="17:39">
      <c r="Q426" s="6">
        <v>396</v>
      </c>
      <c r="R426" s="7">
        <v>43063</v>
      </c>
      <c r="S426" s="210">
        <v>3.5</v>
      </c>
      <c r="T426" s="8">
        <v>1.0000972222222222</v>
      </c>
      <c r="U426" s="98">
        <v>3.6121470212093554</v>
      </c>
      <c r="V426" s="106">
        <v>27262.266310198695</v>
      </c>
      <c r="W426" s="10">
        <v>5.9743865464945145E-2</v>
      </c>
      <c r="X426" s="413">
        <v>5.8926951055683248E-2</v>
      </c>
      <c r="Y426" s="414">
        <v>0.29733926893363882</v>
      </c>
      <c r="Z426" s="1"/>
      <c r="AA426" s="1"/>
      <c r="AB426" s="1"/>
      <c r="AC426" s="1"/>
      <c r="AD426" s="1"/>
      <c r="AL426" s="23"/>
      <c r="AM426" s="23"/>
    </row>
    <row r="427" spans="17:39">
      <c r="Q427" s="6">
        <v>397</v>
      </c>
      <c r="R427" s="7">
        <v>43064</v>
      </c>
      <c r="S427" s="210">
        <v>3.5</v>
      </c>
      <c r="T427" s="8">
        <v>1.0000972222222222</v>
      </c>
      <c r="U427" s="98">
        <v>3.6121470212093332</v>
      </c>
      <c r="V427" s="106">
        <v>27264.549297404519</v>
      </c>
      <c r="W427" s="10">
        <v>6.083336394500094E-2</v>
      </c>
      <c r="X427" s="413">
        <v>6.000162989802052E-2</v>
      </c>
      <c r="Y427" s="414">
        <v>0.29735381543133838</v>
      </c>
      <c r="Z427" s="1"/>
      <c r="AA427" s="1"/>
      <c r="AB427" s="1"/>
      <c r="AC427" s="1"/>
      <c r="AD427" s="1"/>
      <c r="AL427" s="23"/>
      <c r="AM427" s="23"/>
    </row>
    <row r="428" spans="17:39">
      <c r="Q428" s="6">
        <v>398</v>
      </c>
      <c r="R428" s="7">
        <v>43065</v>
      </c>
      <c r="S428" s="210">
        <v>3.5</v>
      </c>
      <c r="T428" s="8">
        <v>1.0000972222222222</v>
      </c>
      <c r="U428" s="98">
        <v>3.6121470212093332</v>
      </c>
      <c r="V428" s="106">
        <v>27266.832475791467</v>
      </c>
      <c r="W428" s="10">
        <v>6.1917399332034329E-2</v>
      </c>
      <c r="X428" s="413">
        <v>6.1070924789583023E-2</v>
      </c>
      <c r="Y428" s="414">
        <v>0.29736836287487584</v>
      </c>
      <c r="Z428" s="1"/>
      <c r="AA428" s="1"/>
      <c r="AB428" s="1"/>
      <c r="AC428" s="1"/>
      <c r="AD428" s="1"/>
      <c r="AL428" s="23"/>
      <c r="AM428" s="23"/>
    </row>
    <row r="429" spans="17:39">
      <c r="Q429" s="6">
        <v>399</v>
      </c>
      <c r="R429" s="7">
        <v>43066</v>
      </c>
      <c r="S429" s="210">
        <v>3.5</v>
      </c>
      <c r="T429" s="8">
        <v>1.0000972222222222</v>
      </c>
      <c r="U429" s="98">
        <v>3.6121470212093332</v>
      </c>
      <c r="V429" s="106">
        <v>27269.115845375542</v>
      </c>
      <c r="W429" s="10">
        <v>6.2996012613769636E-2</v>
      </c>
      <c r="X429" s="413">
        <v>6.2134876211424044E-2</v>
      </c>
      <c r="Y429" s="414">
        <v>0.2973829112643202</v>
      </c>
      <c r="Z429" s="1"/>
      <c r="AA429" s="1"/>
      <c r="AB429" s="1"/>
      <c r="AC429" s="1"/>
      <c r="AD429" s="1"/>
      <c r="AL429" s="23"/>
      <c r="AM429" s="23"/>
    </row>
    <row r="430" spans="17:39">
      <c r="Q430" s="6">
        <v>400</v>
      </c>
      <c r="R430" s="7">
        <v>43067</v>
      </c>
      <c r="S430" s="210">
        <v>3.5</v>
      </c>
      <c r="T430" s="8">
        <v>1.0000972222222222</v>
      </c>
      <c r="U430" s="98">
        <v>3.6121470212093332</v>
      </c>
      <c r="V430" s="106">
        <v>27271.399406172757</v>
      </c>
      <c r="W430" s="10">
        <v>6.4069244368880618E-2</v>
      </c>
      <c r="X430" s="413">
        <v>6.3193524239766319E-2</v>
      </c>
      <c r="Y430" s="414">
        <v>0.29739746059974148</v>
      </c>
      <c r="Z430" s="1"/>
      <c r="AA430" s="1"/>
      <c r="AB430" s="1"/>
      <c r="AC430" s="1"/>
      <c r="AD430" s="1"/>
      <c r="AL430" s="23"/>
      <c r="AM430" s="23"/>
    </row>
    <row r="431" spans="17:39">
      <c r="Q431" s="6">
        <v>401</v>
      </c>
      <c r="R431" s="7">
        <v>43068</v>
      </c>
      <c r="S431" s="210">
        <v>3.5</v>
      </c>
      <c r="T431" s="8">
        <v>1.0000972222222222</v>
      </c>
      <c r="U431" s="98">
        <v>3.6121470212093332</v>
      </c>
      <c r="V431" s="106">
        <v>27273.683158199125</v>
      </c>
      <c r="W431" s="10">
        <v>6.5137134772230709E-2</v>
      </c>
      <c r="X431" s="413">
        <v>6.4246908551109649E-2</v>
      </c>
      <c r="Y431" s="414">
        <v>0.29741201088120722</v>
      </c>
      <c r="Z431" s="1"/>
      <c r="AA431" s="1"/>
      <c r="AB431" s="1"/>
      <c r="AC431" s="1"/>
      <c r="AD431" s="1"/>
      <c r="AL431" s="23"/>
      <c r="AM431" s="23"/>
    </row>
    <row r="432" spans="17:39">
      <c r="Q432" s="6">
        <v>402</v>
      </c>
      <c r="R432" s="7">
        <v>43069</v>
      </c>
      <c r="S432" s="210">
        <v>3.5</v>
      </c>
      <c r="T432" s="8">
        <v>1.0000972222222222</v>
      </c>
      <c r="U432" s="98">
        <v>3.6121470212093332</v>
      </c>
      <c r="V432" s="106">
        <v>27275.967101470658</v>
      </c>
      <c r="W432" s="10">
        <v>6.6199723599646987E-2</v>
      </c>
      <c r="X432" s="413">
        <v>6.5295068427103156E-2</v>
      </c>
      <c r="Y432" s="414">
        <v>0.29742656210878771</v>
      </c>
      <c r="Z432" s="1"/>
      <c r="AA432" s="1"/>
      <c r="AB432" s="1"/>
      <c r="AC432" s="1"/>
      <c r="AD432" s="1"/>
      <c r="AL432" s="23"/>
      <c r="AM432" s="23"/>
    </row>
    <row r="433" spans="17:39">
      <c r="Q433" s="6">
        <v>403</v>
      </c>
      <c r="R433" s="7">
        <v>43070</v>
      </c>
      <c r="S433" s="210">
        <v>3.5</v>
      </c>
      <c r="T433" s="8">
        <v>1.0000972222222222</v>
      </c>
      <c r="U433" s="98">
        <v>3.6121470212093332</v>
      </c>
      <c r="V433" s="106">
        <v>27278.251236003372</v>
      </c>
      <c r="W433" s="10">
        <v>6.7257050233182625E-2</v>
      </c>
      <c r="X433" s="413">
        <v>6.6338042759642474E-2</v>
      </c>
      <c r="Y433" s="414">
        <v>0.29744111428255243</v>
      </c>
      <c r="Z433" s="1"/>
      <c r="AA433" s="1"/>
      <c r="AB433" s="1"/>
      <c r="AC433" s="1"/>
      <c r="AD433" s="1"/>
      <c r="AL433" s="23"/>
      <c r="AM433" s="23"/>
    </row>
    <row r="434" spans="17:39">
      <c r="Q434" s="6">
        <v>404</v>
      </c>
      <c r="R434" s="7">
        <v>43071</v>
      </c>
      <c r="S434" s="210">
        <v>3.5</v>
      </c>
      <c r="T434" s="8">
        <v>1.0000972222222222</v>
      </c>
      <c r="U434" s="98">
        <v>3.6121470212093332</v>
      </c>
      <c r="V434" s="106">
        <v>27280.535561813285</v>
      </c>
      <c r="W434" s="10">
        <v>6.8309153665579991E-2</v>
      </c>
      <c r="X434" s="413">
        <v>6.7375870055357126E-2</v>
      </c>
      <c r="Y434" s="414">
        <v>0.29745566740256868</v>
      </c>
      <c r="Z434" s="1"/>
      <c r="AA434" s="1"/>
      <c r="AB434" s="1"/>
      <c r="AC434" s="1"/>
      <c r="AD434" s="1"/>
      <c r="AL434" s="23"/>
      <c r="AM434" s="23"/>
    </row>
    <row r="435" spans="17:39">
      <c r="Q435" s="6">
        <v>405</v>
      </c>
      <c r="R435" s="7">
        <v>43072</v>
      </c>
      <c r="S435" s="210">
        <v>3.5</v>
      </c>
      <c r="T435" s="8">
        <v>1.0000972222222222</v>
      </c>
      <c r="U435" s="98">
        <v>3.6121470212093332</v>
      </c>
      <c r="V435" s="106">
        <v>27282.820078916415</v>
      </c>
      <c r="W435" s="10">
        <v>6.9356072505466493E-2</v>
      </c>
      <c r="X435" s="413">
        <v>6.8408588440702384E-2</v>
      </c>
      <c r="Y435" s="414">
        <v>0.29747022146890628</v>
      </c>
      <c r="Z435" s="1"/>
      <c r="AA435" s="1"/>
      <c r="AB435" s="1"/>
      <c r="AC435" s="1"/>
      <c r="AD435" s="1"/>
      <c r="AL435" s="23"/>
      <c r="AM435" s="23"/>
    </row>
    <row r="436" spans="17:39">
      <c r="Q436" s="6">
        <v>406</v>
      </c>
      <c r="R436" s="7">
        <v>43073</v>
      </c>
      <c r="S436" s="210">
        <v>3.5</v>
      </c>
      <c r="T436" s="8">
        <v>1.0000972222222222</v>
      </c>
      <c r="U436" s="98">
        <v>3.6121470212093332</v>
      </c>
      <c r="V436" s="106">
        <v>27285.104787328783</v>
      </c>
      <c r="W436" s="10">
        <v>7.0397844981795465E-2</v>
      </c>
      <c r="X436" s="413">
        <v>6.9436235666464077E-2</v>
      </c>
      <c r="Y436" s="414">
        <v>0.29748477648163602</v>
      </c>
      <c r="Z436" s="1"/>
      <c r="AA436" s="1"/>
      <c r="AB436" s="1"/>
      <c r="AC436" s="1"/>
      <c r="AD436" s="1"/>
      <c r="AL436" s="23"/>
      <c r="AM436" s="23"/>
    </row>
    <row r="437" spans="17:39">
      <c r="Q437" s="6">
        <v>407</v>
      </c>
      <c r="R437" s="7">
        <v>43074</v>
      </c>
      <c r="S437" s="210">
        <v>3.5</v>
      </c>
      <c r="T437" s="8">
        <v>1.0000972222222222</v>
      </c>
      <c r="U437" s="98">
        <v>3.6121470212093332</v>
      </c>
      <c r="V437" s="106">
        <v>27287.389687066403</v>
      </c>
      <c r="W437" s="10">
        <v>7.143450894859793E-2</v>
      </c>
      <c r="X437" s="413">
        <v>7.0458849112373614E-2</v>
      </c>
      <c r="Y437" s="414">
        <v>0.29749933244082466</v>
      </c>
      <c r="Z437" s="1"/>
      <c r="AA437" s="1"/>
      <c r="AB437" s="1"/>
      <c r="AC437" s="1"/>
      <c r="AD437" s="1"/>
      <c r="AL437" s="23"/>
      <c r="AM437" s="23"/>
    </row>
    <row r="438" spans="17:39">
      <c r="Q438" s="6">
        <v>408</v>
      </c>
      <c r="R438" s="7">
        <v>43075</v>
      </c>
      <c r="S438" s="210">
        <v>3.5</v>
      </c>
      <c r="T438" s="8">
        <v>1.0000972222222222</v>
      </c>
      <c r="U438" s="98">
        <v>3.6121470212093332</v>
      </c>
      <c r="V438" s="106">
        <v>27289.674778145298</v>
      </c>
      <c r="W438" s="10">
        <v>7.2466101889645529E-2</v>
      </c>
      <c r="X438" s="413">
        <v>7.1476465791831631E-2</v>
      </c>
      <c r="Y438" s="414">
        <v>0.29751388934654338</v>
      </c>
      <c r="Z438" s="1"/>
      <c r="AA438" s="1"/>
      <c r="AB438" s="1"/>
      <c r="AC438" s="1"/>
      <c r="AD438" s="1"/>
      <c r="AL438" s="23"/>
      <c r="AM438" s="23"/>
    </row>
    <row r="439" spans="17:39">
      <c r="Q439" s="6">
        <v>409</v>
      </c>
      <c r="R439" s="7">
        <v>43076</v>
      </c>
      <c r="S439" s="210">
        <v>3.5</v>
      </c>
      <c r="T439" s="8">
        <v>1.0000972222222222</v>
      </c>
      <c r="U439" s="98">
        <v>3.6121470212093332</v>
      </c>
      <c r="V439" s="106">
        <v>27291.960060581503</v>
      </c>
      <c r="W439" s="10">
        <v>7.34926609228026E-2</v>
      </c>
      <c r="X439" s="413">
        <v>7.2489122356073604E-2</v>
      </c>
      <c r="Y439" s="414">
        <v>0.29752844719885918</v>
      </c>
      <c r="Z439" s="1"/>
      <c r="AA439" s="1"/>
      <c r="AB439" s="1"/>
      <c r="AC439" s="1"/>
      <c r="AD439" s="1"/>
      <c r="AL439" s="23"/>
      <c r="AM439" s="23"/>
    </row>
    <row r="440" spans="17:39">
      <c r="Q440" s="6">
        <v>410</v>
      </c>
      <c r="R440" s="7">
        <v>43077</v>
      </c>
      <c r="S440" s="210">
        <v>3.5</v>
      </c>
      <c r="T440" s="8">
        <v>1.0000972222222222</v>
      </c>
      <c r="U440" s="98">
        <v>3.6121470212093332</v>
      </c>
      <c r="V440" s="106">
        <v>27294.245534391026</v>
      </c>
      <c r="W440" s="10">
        <v>7.4514222804555885E-2</v>
      </c>
      <c r="X440" s="413">
        <v>7.3496855098820479E-2</v>
      </c>
      <c r="Y440" s="414">
        <v>0.29754300599784356</v>
      </c>
      <c r="Z440" s="1"/>
      <c r="AA440" s="1"/>
      <c r="AB440" s="1"/>
      <c r="AC440" s="1"/>
      <c r="AD440" s="1"/>
      <c r="AL440" s="23"/>
      <c r="AM440" s="23"/>
    </row>
    <row r="441" spans="17:39">
      <c r="Q441" s="6">
        <v>411</v>
      </c>
      <c r="R441" s="7">
        <v>43078</v>
      </c>
      <c r="S441" s="210">
        <v>3.5</v>
      </c>
      <c r="T441" s="8">
        <v>1.0000972222222222</v>
      </c>
      <c r="U441" s="98">
        <v>3.6121470212093332</v>
      </c>
      <c r="V441" s="106">
        <v>27296.531199589899</v>
      </c>
      <c r="W441" s="10">
        <v>7.5530823934566449E-2</v>
      </c>
      <c r="X441" s="413">
        <v>7.4499699960686297E-2</v>
      </c>
      <c r="Y441" s="414">
        <v>0.29755756574356373</v>
      </c>
      <c r="Z441" s="1"/>
      <c r="AA441" s="1"/>
      <c r="AB441" s="1"/>
      <c r="AC441" s="1"/>
      <c r="AD441" s="1"/>
      <c r="AL441" s="23"/>
      <c r="AM441" s="23"/>
    </row>
    <row r="442" spans="17:39">
      <c r="Q442" s="6">
        <v>412</v>
      </c>
      <c r="R442" s="7">
        <v>43079</v>
      </c>
      <c r="S442" s="210">
        <v>3.5</v>
      </c>
      <c r="T442" s="8">
        <v>1.0000972222222222</v>
      </c>
      <c r="U442" s="98">
        <v>3.6121470212093332</v>
      </c>
      <c r="V442" s="106">
        <v>27297.459164923337</v>
      </c>
      <c r="W442" s="10">
        <v>8.0952814049406463E-2</v>
      </c>
      <c r="X442" s="413">
        <v>7.9848031900148594E-2</v>
      </c>
      <c r="Y442" s="414">
        <v>0.29757212643608977</v>
      </c>
      <c r="Z442" s="1"/>
      <c r="AA442" s="1"/>
      <c r="AB442" s="1"/>
      <c r="AC442" s="1"/>
      <c r="AD442" s="1"/>
      <c r="AL442" s="23"/>
      <c r="AM442" s="23"/>
    </row>
    <row r="443" spans="17:39">
      <c r="Q443" s="6">
        <v>413</v>
      </c>
      <c r="R443" s="7">
        <v>43080</v>
      </c>
      <c r="S443" s="210">
        <v>3.5</v>
      </c>
      <c r="T443" s="8">
        <v>1.0000972222222222</v>
      </c>
      <c r="U443" s="98">
        <v>3.6121470212093332</v>
      </c>
      <c r="V443" s="106">
        <v>27298.387161803632</v>
      </c>
      <c r="W443" s="10">
        <v>8.6348839181016324E-2</v>
      </c>
      <c r="X443" s="413">
        <v>8.517081265795548E-2</v>
      </c>
      <c r="Y443" s="414">
        <v>0.29758668807549093</v>
      </c>
      <c r="Z443" s="1"/>
      <c r="AA443" s="1"/>
      <c r="AB443" s="1"/>
      <c r="AC443" s="1"/>
      <c r="AD443" s="1"/>
      <c r="AL443" s="23"/>
      <c r="AM443" s="23"/>
    </row>
    <row r="444" spans="17:39">
      <c r="Q444" s="6">
        <v>414</v>
      </c>
      <c r="R444" s="7">
        <v>43081</v>
      </c>
      <c r="S444" s="210">
        <v>3.5</v>
      </c>
      <c r="T444" s="8">
        <v>1.0000972222222222</v>
      </c>
      <c r="U444" s="98">
        <v>3.612147021209311</v>
      </c>
      <c r="V444" s="106">
        <v>27299.315190231846</v>
      </c>
      <c r="W444" s="10">
        <v>9.1719085388852761E-2</v>
      </c>
      <c r="X444" s="413">
        <v>9.0468227409589305E-2</v>
      </c>
      <c r="Y444" s="414">
        <v>0.2976012506618359</v>
      </c>
      <c r="Z444" s="1"/>
      <c r="AA444" s="1"/>
      <c r="AB444" s="1"/>
      <c r="AC444" s="1"/>
      <c r="AD444" s="1"/>
      <c r="AL444" s="23"/>
      <c r="AM444" s="23"/>
    </row>
    <row r="445" spans="17:39">
      <c r="Q445" s="6">
        <v>415</v>
      </c>
      <c r="R445" s="7">
        <v>43082</v>
      </c>
      <c r="S445" s="210">
        <v>3.5</v>
      </c>
      <c r="T445" s="8">
        <v>1.0000972222222222</v>
      </c>
      <c r="U445" s="98">
        <v>3.612147021209311</v>
      </c>
      <c r="V445" s="106">
        <v>27300.243250209063</v>
      </c>
      <c r="W445" s="10">
        <v>9.7063736959057678E-2</v>
      </c>
      <c r="X445" s="413">
        <v>9.5740459545727685E-2</v>
      </c>
      <c r="Y445" s="414">
        <v>0.29761581419519423</v>
      </c>
      <c r="Z445" s="1"/>
      <c r="AA445" s="1"/>
      <c r="AB445" s="1"/>
      <c r="AC445" s="1"/>
      <c r="AD445" s="1"/>
      <c r="AL445" s="23"/>
      <c r="AM445" s="23"/>
    </row>
    <row r="446" spans="17:39">
      <c r="Q446" s="6">
        <v>416</v>
      </c>
      <c r="R446" s="7">
        <v>43083</v>
      </c>
      <c r="S446" s="210">
        <v>3.5</v>
      </c>
      <c r="T446" s="8">
        <v>1.0000972222222222</v>
      </c>
      <c r="U446" s="98">
        <v>3.612147021209311</v>
      </c>
      <c r="V446" s="106">
        <v>27301.17134173635</v>
      </c>
      <c r="W446" s="10">
        <v>0.10238297642544136</v>
      </c>
      <c r="X446" s="413">
        <v>0.10098769069365721</v>
      </c>
      <c r="Y446" s="414">
        <v>0.2976303786756348</v>
      </c>
      <c r="Z446" s="1"/>
      <c r="AA446" s="1"/>
      <c r="AB446" s="1"/>
      <c r="AC446" s="1"/>
      <c r="AD446" s="1"/>
      <c r="AL446" s="23"/>
      <c r="AM446" s="23"/>
    </row>
    <row r="447" spans="17:39">
      <c r="Q447" s="6">
        <v>417</v>
      </c>
      <c r="R447" s="7">
        <v>43084</v>
      </c>
      <c r="S447" s="210">
        <v>3.5</v>
      </c>
      <c r="T447" s="8">
        <v>1.0000972222222222</v>
      </c>
      <c r="U447" s="98">
        <v>3.612147021209311</v>
      </c>
      <c r="V447" s="106">
        <v>27302.099464814779</v>
      </c>
      <c r="W447" s="10">
        <v>0.10767698459028807</v>
      </c>
      <c r="X447" s="413">
        <v>0.10621010073843624</v>
      </c>
      <c r="Y447" s="414">
        <v>0.297644944103229</v>
      </c>
      <c r="Z447" s="1"/>
      <c r="AA447" s="1"/>
      <c r="AB447" s="1"/>
      <c r="AC447" s="1"/>
      <c r="AD447" s="1"/>
      <c r="AL447" s="23"/>
      <c r="AM447" s="23"/>
    </row>
    <row r="448" spans="17:39">
      <c r="Q448" s="6">
        <v>418</v>
      </c>
      <c r="R448" s="7">
        <v>43085</v>
      </c>
      <c r="S448" s="210">
        <v>3.5</v>
      </c>
      <c r="T448" s="8">
        <v>1.0000972222222222</v>
      </c>
      <c r="U448" s="98">
        <v>3.612147021209311</v>
      </c>
      <c r="V448" s="106">
        <v>27303.027619445424</v>
      </c>
      <c r="W448" s="10">
        <v>0.11294594054482854</v>
      </c>
      <c r="X448" s="413">
        <v>0.11140786784371592</v>
      </c>
      <c r="Y448" s="414">
        <v>0.29765951047804134</v>
      </c>
      <c r="Z448" s="1"/>
      <c r="AA448" s="1"/>
      <c r="AB448" s="1"/>
      <c r="AC448" s="1"/>
      <c r="AD448" s="1"/>
      <c r="AL448" s="23"/>
      <c r="AM448" s="23"/>
    </row>
    <row r="449" spans="17:39">
      <c r="Q449" s="6">
        <v>419</v>
      </c>
      <c r="R449" s="7">
        <v>43086</v>
      </c>
      <c r="S449" s="210">
        <v>3.5</v>
      </c>
      <c r="T449" s="8">
        <v>1.0000972222222222</v>
      </c>
      <c r="U449" s="98">
        <v>3.6121470212092888</v>
      </c>
      <c r="V449" s="106">
        <v>27303.955805629357</v>
      </c>
      <c r="W449" s="10">
        <v>0.11819002168953485</v>
      </c>
      <c r="X449" s="413">
        <v>0.1165811684723583</v>
      </c>
      <c r="Y449" s="414">
        <v>0.29767407780014354</v>
      </c>
      <c r="Z449" s="1"/>
      <c r="AA449" s="1"/>
      <c r="AB449" s="1"/>
      <c r="AC449" s="1"/>
      <c r="AD449" s="1"/>
      <c r="AL449" s="23"/>
      <c r="AM449" s="23"/>
    </row>
    <row r="450" spans="17:39">
      <c r="Q450" s="6">
        <v>420</v>
      </c>
      <c r="R450" s="7">
        <v>43087</v>
      </c>
      <c r="S450" s="210">
        <v>3.5</v>
      </c>
      <c r="T450" s="8">
        <v>1.0000972222222222</v>
      </c>
      <c r="U450" s="98">
        <v>3.6121470212092666</v>
      </c>
      <c r="V450" s="106">
        <v>27304.884023367653</v>
      </c>
      <c r="W450" s="10">
        <v>0.12340940375388243</v>
      </c>
      <c r="X450" s="413">
        <v>0.1217301774066077</v>
      </c>
      <c r="Y450" s="414">
        <v>0.29768864606960649</v>
      </c>
      <c r="Z450" s="1"/>
      <c r="AA450" s="1"/>
      <c r="AB450" s="1"/>
      <c r="AC450" s="1"/>
      <c r="AD450" s="1"/>
      <c r="AL450" s="23"/>
      <c r="AM450" s="23"/>
    </row>
    <row r="451" spans="17:39">
      <c r="Q451" s="6">
        <v>421</v>
      </c>
      <c r="R451" s="7">
        <v>43088</v>
      </c>
      <c r="S451" s="210">
        <v>3.5</v>
      </c>
      <c r="T451" s="8">
        <v>1.0000972222222222</v>
      </c>
      <c r="U451" s="98">
        <v>3.6121470212092888</v>
      </c>
      <c r="V451" s="106">
        <v>27305.812272661376</v>
      </c>
      <c r="W451" s="10">
        <v>0.12860426081606757</v>
      </c>
      <c r="X451" s="413">
        <v>0.12685506776808858</v>
      </c>
      <c r="Y451" s="414">
        <v>0.29770321528649901</v>
      </c>
      <c r="Z451" s="1"/>
      <c r="AA451" s="1"/>
      <c r="AB451" s="1"/>
      <c r="AC451" s="1"/>
      <c r="AD451" s="1"/>
      <c r="AL451" s="23"/>
      <c r="AM451" s="23"/>
    </row>
    <row r="452" spans="17:39">
      <c r="Q452" s="6">
        <v>422</v>
      </c>
      <c r="R452" s="7">
        <v>43089</v>
      </c>
      <c r="S452" s="210">
        <v>3.5</v>
      </c>
      <c r="T452" s="8">
        <v>1.0000972222222222</v>
      </c>
      <c r="U452" s="98">
        <v>3.6121470212092888</v>
      </c>
      <c r="V452" s="106">
        <v>27306.740553511612</v>
      </c>
      <c r="W452" s="10">
        <v>0.13377476532225874</v>
      </c>
      <c r="X452" s="413">
        <v>0.13195601103738633</v>
      </c>
      <c r="Y452" s="414">
        <v>0.29771778545088928</v>
      </c>
      <c r="Z452" s="1"/>
      <c r="AA452" s="1"/>
      <c r="AB452" s="1"/>
      <c r="AC452" s="1"/>
      <c r="AD452" s="1"/>
      <c r="AL452" s="23"/>
      <c r="AM452" s="23"/>
    </row>
    <row r="453" spans="17:39">
      <c r="Q453" s="6">
        <v>423</v>
      </c>
      <c r="R453" s="7">
        <v>43090</v>
      </c>
      <c r="S453" s="210">
        <v>3.5</v>
      </c>
      <c r="T453" s="8">
        <v>1.0000972222222222</v>
      </c>
      <c r="U453" s="98">
        <v>3.6121470212092888</v>
      </c>
      <c r="V453" s="106">
        <v>27307.668865919426</v>
      </c>
      <c r="W453" s="10">
        <v>0.13892108810578119</v>
      </c>
      <c r="X453" s="413">
        <v>0.13703317707359608</v>
      </c>
      <c r="Y453" s="414">
        <v>0.29773235656284636</v>
      </c>
      <c r="Z453" s="1"/>
      <c r="AA453" s="1"/>
      <c r="AB453" s="1"/>
      <c r="AC453" s="1"/>
      <c r="AD453" s="1"/>
      <c r="AL453" s="23"/>
      <c r="AM453" s="23"/>
    </row>
    <row r="454" spans="17:39">
      <c r="Q454" s="6">
        <v>424</v>
      </c>
      <c r="R454" s="7">
        <v>43091</v>
      </c>
      <c r="S454" s="210">
        <v>3.5</v>
      </c>
      <c r="T454" s="8">
        <v>1.0000972222222222</v>
      </c>
      <c r="U454" s="98">
        <v>3.6121470212092888</v>
      </c>
      <c r="V454" s="106">
        <v>27308.597209885895</v>
      </c>
      <c r="W454" s="10">
        <v>0.14404339840590197</v>
      </c>
      <c r="X454" s="413">
        <v>0.14208673413333103</v>
      </c>
      <c r="Y454" s="414">
        <v>0.29774692862243857</v>
      </c>
      <c r="Z454" s="1"/>
      <c r="AA454" s="1"/>
      <c r="AB454" s="1"/>
      <c r="AC454" s="1"/>
      <c r="AD454" s="1"/>
      <c r="AL454" s="23"/>
      <c r="AM454" s="23"/>
    </row>
    <row r="455" spans="17:39">
      <c r="Q455" s="6">
        <v>425</v>
      </c>
      <c r="R455" s="7">
        <v>43092</v>
      </c>
      <c r="S455" s="210">
        <v>3.5</v>
      </c>
      <c r="T455" s="8">
        <v>1.0000972222222222</v>
      </c>
      <c r="U455" s="98">
        <v>3.6121470212092888</v>
      </c>
      <c r="V455" s="106">
        <v>27309.525585412088</v>
      </c>
      <c r="W455" s="10">
        <v>0.14914186388634842</v>
      </c>
      <c r="X455" s="413">
        <v>0.14711684888963147</v>
      </c>
      <c r="Y455" s="414">
        <v>0.29776150162973686</v>
      </c>
      <c r="Z455" s="1"/>
      <c r="AA455" s="1"/>
      <c r="AB455" s="1"/>
      <c r="AC455" s="1"/>
      <c r="AD455" s="1"/>
      <c r="AL455" s="23"/>
      <c r="AM455" s="23"/>
    </row>
    <row r="456" spans="17:39">
      <c r="Q456" s="6">
        <v>426</v>
      </c>
      <c r="R456" s="7">
        <v>43093</v>
      </c>
      <c r="S456" s="210">
        <v>3.5</v>
      </c>
      <c r="T456" s="8">
        <v>1.0000972222222222</v>
      </c>
      <c r="U456" s="98">
        <v>3.6121470212092888</v>
      </c>
      <c r="V456" s="106">
        <v>27310.453992499075</v>
      </c>
      <c r="W456" s="10">
        <v>0.15421665065364909</v>
      </c>
      <c r="X456" s="413">
        <v>0.15212368645055141</v>
      </c>
      <c r="Y456" s="414">
        <v>0.29777607558480995</v>
      </c>
      <c r="Z456" s="1"/>
      <c r="AA456" s="1"/>
      <c r="AB456" s="1"/>
      <c r="AC456" s="1"/>
      <c r="AD456" s="1"/>
      <c r="AL456" s="23"/>
      <c r="AM456" s="23"/>
    </row>
    <row r="457" spans="17:39">
      <c r="Q457" s="6">
        <v>427</v>
      </c>
      <c r="R457" s="7">
        <v>43094</v>
      </c>
      <c r="S457" s="210">
        <v>3.5</v>
      </c>
      <c r="T457" s="8">
        <v>1.0000972222222222</v>
      </c>
      <c r="U457" s="98">
        <v>3.6121470212092888</v>
      </c>
      <c r="V457" s="106">
        <v>27311.382431147937</v>
      </c>
      <c r="W457" s="10">
        <v>0.15926792327509709</v>
      </c>
      <c r="X457" s="413">
        <v>0.15710741037744652</v>
      </c>
      <c r="Y457" s="414">
        <v>0.29779065048772724</v>
      </c>
      <c r="Z457" s="1"/>
      <c r="AA457" s="1"/>
      <c r="AB457" s="1"/>
      <c r="AC457" s="1"/>
      <c r="AD457" s="1"/>
      <c r="AL457" s="23"/>
      <c r="AM457" s="23"/>
    </row>
    <row r="458" spans="17:39">
      <c r="Q458" s="6">
        <v>428</v>
      </c>
      <c r="R458" s="7">
        <v>43095</v>
      </c>
      <c r="S458" s="210">
        <v>3.5</v>
      </c>
      <c r="T458" s="8">
        <v>1.0000972222222222</v>
      </c>
      <c r="U458" s="98">
        <v>3.6121470212092888</v>
      </c>
      <c r="V458" s="106">
        <v>27312.310901359739</v>
      </c>
      <c r="W458" s="10">
        <v>0.16429584479662473</v>
      </c>
      <c r="X458" s="413">
        <v>0.16206818270308024</v>
      </c>
      <c r="Y458" s="414">
        <v>0.29780522633855783</v>
      </c>
      <c r="Z458" s="1"/>
      <c r="AA458" s="1"/>
      <c r="AB458" s="1"/>
      <c r="AC458" s="1"/>
      <c r="AD458" s="1"/>
      <c r="AL458" s="23"/>
      <c r="AM458" s="23"/>
    </row>
    <row r="459" spans="17:39">
      <c r="Q459" s="6">
        <v>429</v>
      </c>
      <c r="R459" s="7">
        <v>43096</v>
      </c>
      <c r="S459" s="210">
        <v>3.5</v>
      </c>
      <c r="T459" s="8">
        <v>1.0000972222222222</v>
      </c>
      <c r="U459" s="98">
        <v>3.6121470212092888</v>
      </c>
      <c r="V459" s="106">
        <v>27313.239403135558</v>
      </c>
      <c r="W459" s="10">
        <v>0.16930057676021182</v>
      </c>
      <c r="X459" s="413">
        <v>0.16700616394936521</v>
      </c>
      <c r="Y459" s="414">
        <v>0.29781980313737</v>
      </c>
      <c r="Z459" s="1"/>
      <c r="AA459" s="1"/>
      <c r="AB459" s="1"/>
      <c r="AC459" s="1"/>
      <c r="AD459" s="1"/>
      <c r="AL459" s="23"/>
      <c r="AM459" s="23"/>
    </row>
    <row r="460" spans="17:39">
      <c r="Q460" s="6">
        <v>430</v>
      </c>
      <c r="R460" s="7">
        <v>43097</v>
      </c>
      <c r="S460" s="210">
        <v>3.5</v>
      </c>
      <c r="T460" s="8">
        <v>1.0000972222222222</v>
      </c>
      <c r="U460" s="98">
        <v>3.6121470212092888</v>
      </c>
      <c r="V460" s="106">
        <v>27314.167936476468</v>
      </c>
      <c r="W460" s="10">
        <v>0.17428227922133832</v>
      </c>
      <c r="X460" s="413">
        <v>0.1719215131450241</v>
      </c>
      <c r="Y460" s="414">
        <v>0.29783438088423442</v>
      </c>
      <c r="Z460" s="1"/>
      <c r="AA460" s="1"/>
      <c r="AB460" s="1"/>
      <c r="AC460" s="1"/>
      <c r="AD460" s="1"/>
      <c r="AL460" s="23"/>
      <c r="AM460" s="23"/>
    </row>
    <row r="461" spans="17:39">
      <c r="Q461" s="6">
        <v>431</v>
      </c>
      <c r="R461" s="7">
        <v>43098</v>
      </c>
      <c r="S461" s="210">
        <v>3.5</v>
      </c>
      <c r="T461" s="8">
        <v>1.0000972222222222</v>
      </c>
      <c r="U461" s="98">
        <v>3.6121470212092888</v>
      </c>
      <c r="V461" s="106">
        <v>27315.096501383541</v>
      </c>
      <c r="W461" s="10">
        <v>0.17924111076599303</v>
      </c>
      <c r="X461" s="413">
        <v>0.17681438784293063</v>
      </c>
      <c r="Y461" s="414">
        <v>0.29784895957921964</v>
      </c>
      <c r="Z461" s="1"/>
      <c r="AA461" s="1"/>
      <c r="AB461" s="1"/>
      <c r="AC461" s="1"/>
      <c r="AD461" s="1"/>
      <c r="AL461" s="23"/>
      <c r="AM461" s="23"/>
    </row>
    <row r="462" spans="17:39">
      <c r="Q462" s="6">
        <v>432</v>
      </c>
      <c r="R462" s="7">
        <v>43099</v>
      </c>
      <c r="S462" s="210">
        <v>3.5</v>
      </c>
      <c r="T462" s="8">
        <v>1.0000972222222222</v>
      </c>
      <c r="U462" s="98">
        <v>3.6121470212092888</v>
      </c>
      <c r="V462" s="106">
        <v>27316.025097857848</v>
      </c>
      <c r="W462" s="10">
        <v>0.1841772285274379</v>
      </c>
      <c r="X462" s="413">
        <v>0.18168494413708008</v>
      </c>
      <c r="Y462" s="414">
        <v>0.29786353922239522</v>
      </c>
      <c r="Z462" s="1"/>
      <c r="AA462" s="1"/>
      <c r="AB462" s="1"/>
      <c r="AC462" s="1"/>
      <c r="AD462" s="1"/>
      <c r="AL462" s="23"/>
      <c r="AM462" s="23"/>
    </row>
    <row r="463" spans="17:39">
      <c r="Q463" s="6">
        <v>433</v>
      </c>
      <c r="R463" s="7">
        <v>43100</v>
      </c>
      <c r="S463" s="210">
        <v>3.5</v>
      </c>
      <c r="T463" s="8">
        <v>1.0000972222222222</v>
      </c>
      <c r="U463" s="98">
        <v>3.6121470212092666</v>
      </c>
      <c r="V463" s="106">
        <v>27316.953725900468</v>
      </c>
      <c r="W463" s="10">
        <v>0.1890907882028392</v>
      </c>
      <c r="X463" s="413">
        <v>0.18653333667945404</v>
      </c>
      <c r="Y463" s="414">
        <v>0.29787811981382983</v>
      </c>
      <c r="Z463" s="1"/>
      <c r="AA463" s="1"/>
      <c r="AB463" s="1"/>
      <c r="AC463" s="1"/>
      <c r="AD463" s="1"/>
      <c r="AL463" s="23"/>
      <c r="AM463" s="23"/>
    </row>
    <row r="464" spans="17:39">
      <c r="Q464" s="6">
        <v>434</v>
      </c>
      <c r="R464" s="7">
        <v>43101</v>
      </c>
      <c r="S464" s="210">
        <v>3.5</v>
      </c>
      <c r="T464" s="8">
        <v>1.0000972222222222</v>
      </c>
      <c r="U464" s="98">
        <v>3.6121470212092888</v>
      </c>
      <c r="V464" s="106">
        <v>27317.882385512472</v>
      </c>
      <c r="W464" s="10">
        <v>0.19398194406967662</v>
      </c>
      <c r="X464" s="413">
        <v>0.19135971869678053</v>
      </c>
      <c r="Y464" s="414">
        <v>0.2978927013535948</v>
      </c>
      <c r="Z464" s="1"/>
      <c r="AA464" s="1"/>
      <c r="AB464" s="1"/>
      <c r="AC464" s="1"/>
      <c r="AD464" s="1"/>
      <c r="AL464" s="23"/>
      <c r="AM464" s="23"/>
    </row>
    <row r="465" spans="17:39">
      <c r="Q465" s="6">
        <v>435</v>
      </c>
      <c r="R465" s="7">
        <v>43102</v>
      </c>
      <c r="S465" s="210">
        <v>3.5</v>
      </c>
      <c r="T465" s="8">
        <v>1.0000972222222222</v>
      </c>
      <c r="U465" s="98">
        <v>3.6121470212092888</v>
      </c>
      <c r="V465" s="106">
        <v>27318.811076694925</v>
      </c>
      <c r="W465" s="10">
        <v>0.19885084900188588</v>
      </c>
      <c r="X465" s="413">
        <v>0.19616424200673288</v>
      </c>
      <c r="Y465" s="414">
        <v>0.29790728384175769</v>
      </c>
      <c r="Z465" s="1"/>
      <c r="AA465" s="1"/>
      <c r="AB465" s="1"/>
      <c r="AC465" s="1"/>
      <c r="AD465" s="1"/>
      <c r="AL465" s="23"/>
      <c r="AM465" s="23"/>
    </row>
    <row r="466" spans="17:39">
      <c r="Q466" s="6">
        <v>436</v>
      </c>
      <c r="R466" s="7">
        <v>43103</v>
      </c>
      <c r="S466" s="210">
        <v>3.5</v>
      </c>
      <c r="T466" s="8">
        <v>1.0000972222222222</v>
      </c>
      <c r="U466" s="98">
        <v>3.6121470212092888</v>
      </c>
      <c r="V466" s="106">
        <v>27319.739799448915</v>
      </c>
      <c r="W466" s="10">
        <v>0.20369765448555732</v>
      </c>
      <c r="X466" s="413">
        <v>0.20094705703408819</v>
      </c>
      <c r="Y466" s="414">
        <v>0.29792186727838688</v>
      </c>
      <c r="Z466" s="1"/>
      <c r="AA466" s="1"/>
      <c r="AB466" s="1"/>
      <c r="AC466" s="1"/>
      <c r="AD466" s="1"/>
      <c r="AL466" s="23"/>
      <c r="AM466" s="23"/>
    </row>
    <row r="467" spans="17:39">
      <c r="Q467" s="6">
        <v>437</v>
      </c>
      <c r="R467" s="7">
        <v>43104</v>
      </c>
      <c r="S467" s="210">
        <v>3.5</v>
      </c>
      <c r="T467" s="8">
        <v>1.0000972222222222</v>
      </c>
      <c r="U467" s="98">
        <v>3.6121470212092888</v>
      </c>
      <c r="V467" s="106">
        <v>27320.6685537755</v>
      </c>
      <c r="W467" s="10">
        <v>0.20852251063514515</v>
      </c>
      <c r="X467" s="413">
        <v>0.2057083128269391</v>
      </c>
      <c r="Y467" s="414">
        <v>0.29793645166355481</v>
      </c>
      <c r="Z467" s="1"/>
      <c r="AA467" s="1"/>
      <c r="AB467" s="1"/>
      <c r="AC467" s="1"/>
      <c r="AD467" s="1"/>
      <c r="AL467" s="23"/>
      <c r="AM467" s="23"/>
    </row>
    <row r="468" spans="17:39">
      <c r="Q468" s="6">
        <v>438</v>
      </c>
      <c r="R468" s="7">
        <v>43105</v>
      </c>
      <c r="S468" s="210">
        <v>3.5</v>
      </c>
      <c r="T468" s="8">
        <v>1.0000972222222222</v>
      </c>
      <c r="U468" s="98">
        <v>3.6121470212092888</v>
      </c>
      <c r="V468" s="106">
        <v>27321.597339675762</v>
      </c>
      <c r="W468" s="10">
        <v>0.21332556620843324</v>
      </c>
      <c r="X468" s="413">
        <v>0.21044815707206241</v>
      </c>
      <c r="Y468" s="414">
        <v>0.29795103699732706</v>
      </c>
      <c r="Z468" s="1"/>
      <c r="AA468" s="1"/>
      <c r="AB468" s="1"/>
      <c r="AC468" s="1"/>
      <c r="AD468" s="1"/>
      <c r="AL468" s="23"/>
      <c r="AM468" s="23"/>
    </row>
    <row r="469" spans="17:39">
      <c r="Q469" s="6">
        <v>439</v>
      </c>
      <c r="R469" s="7">
        <v>43106</v>
      </c>
      <c r="S469" s="210">
        <v>3.5</v>
      </c>
      <c r="T469" s="8">
        <v>1.0000972222222222</v>
      </c>
      <c r="U469" s="98">
        <v>3.6121470212092888</v>
      </c>
      <c r="V469" s="106">
        <v>27322.526157150776</v>
      </c>
      <c r="W469" s="10">
        <v>0.21810696862207823</v>
      </c>
      <c r="X469" s="413">
        <v>0.21516673611056947</v>
      </c>
      <c r="Y469" s="414">
        <v>0.29796562327977483</v>
      </c>
      <c r="Z469" s="1"/>
      <c r="AA469" s="1"/>
      <c r="AB469" s="1"/>
      <c r="AC469" s="1"/>
      <c r="AD469" s="1"/>
      <c r="AL469" s="23"/>
      <c r="AM469" s="23"/>
    </row>
    <row r="470" spans="17:39">
      <c r="Q470" s="6">
        <v>440</v>
      </c>
      <c r="R470" s="7">
        <v>43107</v>
      </c>
      <c r="S470" s="210">
        <v>3.5</v>
      </c>
      <c r="T470" s="8">
        <v>1.0000972222222222</v>
      </c>
      <c r="U470" s="98">
        <v>3.6121470212092888</v>
      </c>
      <c r="V470" s="106">
        <v>27323.455006201613</v>
      </c>
      <c r="W470" s="10">
        <v>0.22286686396670863</v>
      </c>
      <c r="X470" s="413">
        <v>0.21986419495325243</v>
      </c>
      <c r="Y470" s="414">
        <v>0.29798021051096696</v>
      </c>
      <c r="Z470" s="1"/>
      <c r="AA470" s="1"/>
      <c r="AB470" s="1"/>
      <c r="AC470" s="1"/>
      <c r="AD470" s="1"/>
      <c r="AL470" s="23"/>
      <c r="AM470" s="23"/>
    </row>
    <row r="471" spans="17:39">
      <c r="Q471" s="6">
        <v>441</v>
      </c>
      <c r="R471" s="7">
        <v>43108</v>
      </c>
      <c r="S471" s="210">
        <v>3.5</v>
      </c>
      <c r="T471" s="8">
        <v>1.0000972222222222</v>
      </c>
      <c r="U471" s="98">
        <v>3.6121470212092666</v>
      </c>
      <c r="V471" s="106">
        <v>27324.383886829342</v>
      </c>
      <c r="W471" s="10">
        <v>0.2276053970217351</v>
      </c>
      <c r="X471" s="413">
        <v>0.22454067729561283</v>
      </c>
      <c r="Y471" s="414">
        <v>0.29799479869097334</v>
      </c>
      <c r="Z471" s="1"/>
      <c r="AA471" s="1"/>
      <c r="AB471" s="1"/>
      <c r="AC471" s="1"/>
      <c r="AD471" s="1"/>
      <c r="AL471" s="23"/>
      <c r="AM471" s="23"/>
    </row>
    <row r="472" spans="17:39">
      <c r="Q472" s="6">
        <v>442</v>
      </c>
      <c r="R472" s="7">
        <v>43109</v>
      </c>
      <c r="S472" s="210">
        <v>3.5</v>
      </c>
      <c r="T472" s="8">
        <v>1.0000972222222222</v>
      </c>
      <c r="U472" s="98">
        <v>3.6121470212092666</v>
      </c>
      <c r="V472" s="106">
        <v>27325.31279903504</v>
      </c>
      <c r="W472" s="10">
        <v>0.23232271127004989</v>
      </c>
      <c r="X472" s="413">
        <v>0.22919632553272232</v>
      </c>
      <c r="Y472" s="414">
        <v>0.29800938781986325</v>
      </c>
      <c r="Z472" s="1"/>
      <c r="AA472" s="1"/>
      <c r="AB472" s="1"/>
      <c r="AC472" s="1"/>
      <c r="AD472" s="1"/>
      <c r="AL472" s="23"/>
      <c r="AM472" s="23"/>
    </row>
    <row r="473" spans="17:39">
      <c r="Q473" s="6">
        <v>443</v>
      </c>
      <c r="R473" s="7">
        <v>43110</v>
      </c>
      <c r="S473" s="210">
        <v>3.5</v>
      </c>
      <c r="T473" s="8">
        <v>1.0000972222222222</v>
      </c>
      <c r="U473" s="98">
        <v>3.6121470212092666</v>
      </c>
      <c r="V473" s="106">
        <v>27326.020880084528</v>
      </c>
      <c r="W473" s="10">
        <v>0.23768646697508444</v>
      </c>
      <c r="X473" s="413">
        <v>0.23448998838243099</v>
      </c>
      <c r="Y473" s="414">
        <v>0.29802397789770513</v>
      </c>
      <c r="Z473" s="1"/>
      <c r="AA473" s="1"/>
      <c r="AB473" s="1"/>
      <c r="AC473" s="1"/>
      <c r="AD473" s="1"/>
      <c r="AL473" s="23"/>
      <c r="AM473" s="23"/>
    </row>
    <row r="474" spans="17:39">
      <c r="Q474" s="6">
        <v>444</v>
      </c>
      <c r="R474" s="7">
        <v>43111</v>
      </c>
      <c r="S474" s="210">
        <v>3.5</v>
      </c>
      <c r="T474" s="8">
        <v>1.0000972222222222</v>
      </c>
      <c r="U474" s="98">
        <v>3.6121470212092666</v>
      </c>
      <c r="V474" s="106">
        <v>27326.72897948253</v>
      </c>
      <c r="W474" s="10">
        <v>0.24302634671382606</v>
      </c>
      <c r="X474" s="413">
        <v>0.23976021934042596</v>
      </c>
      <c r="Y474" s="414">
        <v>0.29803856892457009</v>
      </c>
      <c r="Z474" s="1"/>
      <c r="AA474" s="1"/>
      <c r="AB474" s="1"/>
      <c r="AC474" s="1"/>
      <c r="AD474" s="1"/>
      <c r="AL474" s="23"/>
      <c r="AM474" s="23"/>
    </row>
    <row r="475" spans="17:39">
      <c r="Q475" s="6">
        <v>445</v>
      </c>
      <c r="R475" s="7">
        <v>43112</v>
      </c>
      <c r="S475" s="210">
        <v>3.5</v>
      </c>
      <c r="T475" s="8">
        <v>1.0000972222222222</v>
      </c>
      <c r="U475" s="98">
        <v>3.6121470212092666</v>
      </c>
      <c r="V475" s="106">
        <v>27327.437097229507</v>
      </c>
      <c r="W475" s="10">
        <v>0.24834250954517412</v>
      </c>
      <c r="X475" s="413">
        <v>0.24500717640392242</v>
      </c>
      <c r="Y475" s="414">
        <v>0.29805316090052686</v>
      </c>
      <c r="Z475" s="1"/>
      <c r="AA475" s="1"/>
      <c r="AB475" s="1"/>
      <c r="AC475" s="1"/>
      <c r="AD475" s="1"/>
      <c r="AL475" s="23"/>
      <c r="AM475" s="23"/>
    </row>
    <row r="476" spans="17:39">
      <c r="Q476" s="6">
        <v>446</v>
      </c>
      <c r="R476" s="7">
        <v>43113</v>
      </c>
      <c r="S476" s="210">
        <v>3.5</v>
      </c>
      <c r="T476" s="8">
        <v>1.0000972222222222</v>
      </c>
      <c r="U476" s="98">
        <v>3.6121470212092666</v>
      </c>
      <c r="V476" s="106">
        <v>27328.145233325955</v>
      </c>
      <c r="W476" s="10">
        <v>0.25363511311842224</v>
      </c>
      <c r="X476" s="413">
        <v>0.25023101615308396</v>
      </c>
      <c r="Y476" s="414">
        <v>0.29806775382564366</v>
      </c>
      <c r="Z476" s="1"/>
      <c r="AA476" s="1"/>
      <c r="AB476" s="1"/>
      <c r="AC476" s="1"/>
      <c r="AD476" s="1"/>
      <c r="AL476" s="23"/>
      <c r="AM476" s="23"/>
    </row>
    <row r="477" spans="17:39">
      <c r="Q477" s="6">
        <v>447</v>
      </c>
      <c r="R477" s="7">
        <v>43114</v>
      </c>
      <c r="S477" s="210">
        <v>3.5</v>
      </c>
      <c r="T477" s="8">
        <v>1.0000972222222222</v>
      </c>
      <c r="U477" s="98">
        <v>3.6121470212092666</v>
      </c>
      <c r="V477" s="106">
        <v>27328.853387772335</v>
      </c>
      <c r="W477" s="10">
        <v>0.25890431368884581</v>
      </c>
      <c r="X477" s="413">
        <v>0.25543189376701697</v>
      </c>
      <c r="Y477" s="414">
        <v>0.29808234769999115</v>
      </c>
      <c r="Z477" s="1"/>
      <c r="AA477" s="1"/>
      <c r="AB477" s="1"/>
      <c r="AC477" s="1"/>
      <c r="AD477" s="1"/>
      <c r="AL477" s="23"/>
      <c r="AM477" s="23"/>
    </row>
    <row r="478" spans="17:39">
      <c r="Q478" s="6">
        <v>448</v>
      </c>
      <c r="R478" s="7">
        <v>43115</v>
      </c>
      <c r="S478" s="210">
        <v>3.5</v>
      </c>
      <c r="T478" s="8">
        <v>1.0000972222222222</v>
      </c>
      <c r="U478" s="98">
        <v>3.6121470212092666</v>
      </c>
      <c r="V478" s="106">
        <v>27329.561560569124</v>
      </c>
      <c r="W478" s="10">
        <v>0.26415026613295645</v>
      </c>
      <c r="X478" s="413">
        <v>0.26060996303919298</v>
      </c>
      <c r="Y478" s="414">
        <v>0.29809694252363766</v>
      </c>
      <c r="Z478" s="1"/>
      <c r="AA478" s="1"/>
      <c r="AB478" s="1"/>
      <c r="AC478" s="1"/>
      <c r="AD478" s="1"/>
      <c r="AL478" s="23"/>
      <c r="AM478" s="23"/>
    </row>
    <row r="479" spans="17:39">
      <c r="Q479" s="6">
        <v>449</v>
      </c>
      <c r="R479" s="7">
        <v>43116</v>
      </c>
      <c r="S479" s="210">
        <v>3.5</v>
      </c>
      <c r="T479" s="8">
        <v>1.0000972222222222</v>
      </c>
      <c r="U479" s="98">
        <v>3.6121470212092666</v>
      </c>
      <c r="V479" s="106">
        <v>27330.269751716805</v>
      </c>
      <c r="W479" s="10">
        <v>0.26937312396382307</v>
      </c>
      <c r="X479" s="413">
        <v>0.26576537639307468</v>
      </c>
      <c r="Y479" s="414">
        <v>0.29811153829665415</v>
      </c>
      <c r="Z479" s="1"/>
      <c r="AA479" s="1"/>
      <c r="AB479" s="1"/>
      <c r="AC479" s="1"/>
      <c r="AD479" s="1"/>
      <c r="AL479" s="23"/>
      <c r="AM479" s="23"/>
    </row>
    <row r="480" spans="17:39">
      <c r="Q480" s="6">
        <v>450</v>
      </c>
      <c r="R480" s="7">
        <v>43117</v>
      </c>
      <c r="S480" s="210">
        <v>3.5</v>
      </c>
      <c r="T480" s="8">
        <v>1.0000972222222222</v>
      </c>
      <c r="U480" s="98">
        <v>3.6121470212092666</v>
      </c>
      <c r="V480" s="106">
        <v>27330.977961215849</v>
      </c>
      <c r="W480" s="10">
        <v>0.27457303934590449</v>
      </c>
      <c r="X480" s="413">
        <v>0.27089828489719636</v>
      </c>
      <c r="Y480" s="414">
        <v>0.29812613501910779</v>
      </c>
      <c r="Z480" s="1"/>
      <c r="AA480" s="1"/>
      <c r="AB480" s="1"/>
      <c r="AC480" s="1"/>
      <c r="AD480" s="1"/>
      <c r="AL480" s="23"/>
      <c r="AM480" s="23"/>
    </row>
    <row r="481" spans="17:39">
      <c r="Q481" s="6">
        <v>451</v>
      </c>
      <c r="R481" s="7">
        <v>43118</v>
      </c>
      <c r="S481" s="210">
        <v>3.5</v>
      </c>
      <c r="T481" s="8">
        <v>1.0000972222222222</v>
      </c>
      <c r="U481" s="98">
        <v>3.6121470212092888</v>
      </c>
      <c r="V481" s="106">
        <v>27331.686189066731</v>
      </c>
      <c r="W481" s="10">
        <v>0.27975016310988199</v>
      </c>
      <c r="X481" s="413">
        <v>0.27600883828023831</v>
      </c>
      <c r="Y481" s="414">
        <v>0.29814073269106967</v>
      </c>
      <c r="Z481" s="1"/>
      <c r="AA481" s="1"/>
      <c r="AB481" s="1"/>
      <c r="AC481" s="1"/>
      <c r="AD481" s="1"/>
      <c r="AL481" s="23"/>
      <c r="AM481" s="23"/>
    </row>
    <row r="482" spans="17:39">
      <c r="Q482" s="6">
        <v>452</v>
      </c>
      <c r="R482" s="7">
        <v>43119</v>
      </c>
      <c r="S482" s="210">
        <v>3.5</v>
      </c>
      <c r="T482" s="8">
        <v>1.0000972222222222</v>
      </c>
      <c r="U482" s="98">
        <v>3.6121470212092666</v>
      </c>
      <c r="V482" s="106">
        <v>27332.394435269925</v>
      </c>
      <c r="W482" s="10">
        <v>0.28490464476733646</v>
      </c>
      <c r="X482" s="413">
        <v>0.28109718494593672</v>
      </c>
      <c r="Y482" s="414">
        <v>0.29815533131260719</v>
      </c>
      <c r="Z482" s="1"/>
      <c r="AA482" s="1"/>
      <c r="AB482" s="1"/>
      <c r="AC482" s="1"/>
      <c r="AD482" s="1"/>
      <c r="AL482" s="23"/>
      <c r="AM482" s="23"/>
    </row>
    <row r="483" spans="17:39">
      <c r="Q483" s="6">
        <v>453</v>
      </c>
      <c r="R483" s="7">
        <v>43120</v>
      </c>
      <c r="S483" s="210">
        <v>3.5</v>
      </c>
      <c r="T483" s="8">
        <v>1.0000972222222222</v>
      </c>
      <c r="U483" s="98">
        <v>3.6121470212092666</v>
      </c>
      <c r="V483" s="106">
        <v>27333.102699825911</v>
      </c>
      <c r="W483" s="10">
        <v>0.29003663252495926</v>
      </c>
      <c r="X483" s="413">
        <v>0.28616347198749587</v>
      </c>
      <c r="Y483" s="414">
        <v>0.29816993088379179</v>
      </c>
      <c r="Z483" s="1"/>
      <c r="AA483" s="1"/>
      <c r="AB483" s="1"/>
      <c r="AC483" s="1"/>
      <c r="AD483" s="1"/>
      <c r="AL483" s="23"/>
      <c r="AM483" s="23"/>
    </row>
    <row r="484" spans="17:39">
      <c r="Q484" s="6">
        <v>454</v>
      </c>
      <c r="R484" s="7">
        <v>43121</v>
      </c>
      <c r="S484" s="210">
        <v>3.5</v>
      </c>
      <c r="T484" s="8">
        <v>1.0000972222222222</v>
      </c>
      <c r="U484" s="98">
        <v>3.6121470212092666</v>
      </c>
      <c r="V484" s="106">
        <v>27333.810982735162</v>
      </c>
      <c r="W484" s="10">
        <v>0.29514627329887411</v>
      </c>
      <c r="X484" s="413">
        <v>0.29120784520223286</v>
      </c>
      <c r="Y484" s="414">
        <v>0.29818453140469253</v>
      </c>
      <c r="Z484" s="1"/>
      <c r="AA484" s="1"/>
      <c r="AB484" s="1"/>
      <c r="AC484" s="1"/>
      <c r="AD484" s="1"/>
      <c r="AL484" s="23"/>
      <c r="AM484" s="23"/>
    </row>
    <row r="485" spans="17:39">
      <c r="Q485" s="6">
        <v>455</v>
      </c>
      <c r="R485" s="7">
        <v>43122</v>
      </c>
      <c r="S485" s="210">
        <v>3.5</v>
      </c>
      <c r="T485" s="8">
        <v>1.0000972222222222</v>
      </c>
      <c r="U485" s="98">
        <v>3.6121470212092666</v>
      </c>
      <c r="V485" s="106">
        <v>27334.519283998154</v>
      </c>
      <c r="W485" s="10">
        <v>0.30023371272862587</v>
      </c>
      <c r="X485" s="413">
        <v>0.29623044910573004</v>
      </c>
      <c r="Y485" s="414">
        <v>0.29819913287537819</v>
      </c>
      <c r="Z485" s="1"/>
      <c r="AA485" s="1"/>
      <c r="AB485" s="1"/>
      <c r="AC485" s="1"/>
      <c r="AD485" s="1"/>
      <c r="AL485" s="23"/>
      <c r="AM485" s="23"/>
    </row>
    <row r="486" spans="17:39">
      <c r="Q486" s="6">
        <v>456</v>
      </c>
      <c r="R486" s="7">
        <v>43123</v>
      </c>
      <c r="S486" s="210">
        <v>3.5</v>
      </c>
      <c r="T486" s="8">
        <v>1.0000972222222222</v>
      </c>
      <c r="U486" s="98">
        <v>3.6121470212092666</v>
      </c>
      <c r="V486" s="106">
        <v>27335.227603615356</v>
      </c>
      <c r="W486" s="10">
        <v>0.30529909519101395</v>
      </c>
      <c r="X486" s="413">
        <v>0.3012314269458366</v>
      </c>
      <c r="Y486" s="414">
        <v>0.2982137352959181</v>
      </c>
      <c r="Z486" s="1"/>
      <c r="AA486" s="1"/>
      <c r="AB486" s="1"/>
      <c r="AC486" s="1"/>
      <c r="AD486" s="1"/>
      <c r="AL486" s="23"/>
      <c r="AM486" s="23"/>
    </row>
    <row r="487" spans="17:39">
      <c r="Q487" s="6">
        <v>457</v>
      </c>
      <c r="R487" s="7">
        <v>43124</v>
      </c>
      <c r="S487" s="210">
        <v>3.5</v>
      </c>
      <c r="T487" s="8">
        <v>1.0000972222222222</v>
      </c>
      <c r="U487" s="98">
        <v>3.6121470212092888</v>
      </c>
      <c r="V487" s="106">
        <v>27335.935941587257</v>
      </c>
      <c r="W487" s="10">
        <v>0.31034256381370362</v>
      </c>
      <c r="X487" s="413">
        <v>0.30621092071659139</v>
      </c>
      <c r="Y487" s="414">
        <v>0.2982283386663841</v>
      </c>
      <c r="Z487" s="1"/>
      <c r="AA487" s="1"/>
      <c r="AB487" s="1"/>
      <c r="AC487" s="1"/>
      <c r="AD487" s="1"/>
      <c r="AL487" s="23"/>
      <c r="AM487" s="23"/>
    </row>
    <row r="488" spans="17:39">
      <c r="Q488" s="6">
        <v>458</v>
      </c>
      <c r="R488" s="7">
        <v>43125</v>
      </c>
      <c r="S488" s="210">
        <v>3.5</v>
      </c>
      <c r="T488" s="8">
        <v>1.0000972222222222</v>
      </c>
      <c r="U488" s="98">
        <v>3.6121470212092888</v>
      </c>
      <c r="V488" s="106">
        <v>27336.644297914321</v>
      </c>
      <c r="W488" s="10">
        <v>0.31536426048883737</v>
      </c>
      <c r="X488" s="413">
        <v>0.31116907117203263</v>
      </c>
      <c r="Y488" s="414">
        <v>0.29824294298684145</v>
      </c>
      <c r="Z488" s="1"/>
      <c r="AA488" s="1"/>
      <c r="AB488" s="1"/>
      <c r="AC488" s="1"/>
      <c r="AD488" s="1"/>
      <c r="AL488" s="23"/>
      <c r="AM488" s="23"/>
    </row>
    <row r="489" spans="17:39">
      <c r="Q489" s="6">
        <v>459</v>
      </c>
      <c r="R489" s="7">
        <v>43126</v>
      </c>
      <c r="S489" s="210">
        <v>3.5</v>
      </c>
      <c r="T489" s="8">
        <v>1.0000972222222222</v>
      </c>
      <c r="U489" s="98">
        <v>3.6121470212092888</v>
      </c>
      <c r="V489" s="106">
        <v>27337.352672597033</v>
      </c>
      <c r="W489" s="10">
        <v>0.3203643258861355</v>
      </c>
      <c r="X489" s="413">
        <v>0.31610601783942721</v>
      </c>
      <c r="Y489" s="414">
        <v>0.29825754825736073</v>
      </c>
      <c r="Z489" s="1"/>
      <c r="AA489" s="1"/>
      <c r="AB489" s="1"/>
      <c r="AC489" s="1"/>
      <c r="AD489" s="1"/>
      <c r="AL489" s="23"/>
      <c r="AM489" s="23"/>
    </row>
    <row r="490" spans="17:39">
      <c r="Q490" s="6">
        <v>460</v>
      </c>
      <c r="R490" s="7">
        <v>43127</v>
      </c>
      <c r="S490" s="210">
        <v>3.5</v>
      </c>
      <c r="T490" s="8">
        <v>1.0000972222222222</v>
      </c>
      <c r="U490" s="98">
        <v>3.6121470212092888</v>
      </c>
      <c r="V490" s="106">
        <v>27338.061065635859</v>
      </c>
      <c r="W490" s="10">
        <v>0.32534289946624106</v>
      </c>
      <c r="X490" s="413">
        <v>0.32102189903284822</v>
      </c>
      <c r="Y490" s="414">
        <v>0.29827215447801336</v>
      </c>
      <c r="Z490" s="1"/>
      <c r="AA490" s="1"/>
      <c r="AB490" s="1"/>
      <c r="AC490" s="1"/>
      <c r="AD490" s="1"/>
      <c r="AL490" s="23"/>
      <c r="AM490" s="23"/>
    </row>
    <row r="491" spans="17:39">
      <c r="Q491" s="6">
        <v>461</v>
      </c>
      <c r="R491" s="7">
        <v>43128</v>
      </c>
      <c r="S491" s="210">
        <v>3.5</v>
      </c>
      <c r="T491" s="8">
        <v>1.0000972222222222</v>
      </c>
      <c r="U491" s="98">
        <v>3.6121470212092666</v>
      </c>
      <c r="V491" s="106">
        <v>27338.769477031281</v>
      </c>
      <c r="W491" s="10">
        <v>0.33030011949353177</v>
      </c>
      <c r="X491" s="413">
        <v>0.32591685186622948</v>
      </c>
      <c r="Y491" s="414">
        <v>0.29828676164886581</v>
      </c>
      <c r="Z491" s="1"/>
      <c r="AA491" s="1"/>
      <c r="AB491" s="1"/>
      <c r="AC491" s="1"/>
      <c r="AD491" s="1"/>
      <c r="AL491" s="23"/>
      <c r="AM491" s="23"/>
    </row>
    <row r="492" spans="17:39">
      <c r="Q492" s="6">
        <v>462</v>
      </c>
      <c r="R492" s="7">
        <v>43129</v>
      </c>
      <c r="S492" s="210">
        <v>3.5</v>
      </c>
      <c r="T492" s="8">
        <v>1.0000972222222222</v>
      </c>
      <c r="U492" s="98">
        <v>3.6121470212092666</v>
      </c>
      <c r="V492" s="106">
        <v>27339.477906783777</v>
      </c>
      <c r="W492" s="10">
        <v>0.33523612304902084</v>
      </c>
      <c r="X492" s="413">
        <v>0.3307910122664402</v>
      </c>
      <c r="Y492" s="414">
        <v>0.2983013697699925</v>
      </c>
      <c r="Z492" s="1"/>
      <c r="AA492" s="1"/>
      <c r="AB492" s="1"/>
      <c r="AC492" s="1"/>
      <c r="AD492" s="1"/>
      <c r="AL492" s="23"/>
      <c r="AM492" s="23"/>
    </row>
    <row r="493" spans="17:39">
      <c r="Q493" s="6">
        <v>463</v>
      </c>
      <c r="R493" s="7">
        <v>43130</v>
      </c>
      <c r="S493" s="210">
        <v>3.5</v>
      </c>
      <c r="T493" s="8">
        <v>1.0000972222222222</v>
      </c>
      <c r="U493" s="98">
        <v>3.6121470212092666</v>
      </c>
      <c r="V493" s="106">
        <v>27340.186354893816</v>
      </c>
      <c r="W493" s="10">
        <v>0.34015104604288027</v>
      </c>
      <c r="X493" s="413">
        <v>0.33564451498591469</v>
      </c>
      <c r="Y493" s="414">
        <v>0.29831597884145727</v>
      </c>
      <c r="Z493" s="1"/>
      <c r="AA493" s="1"/>
      <c r="AB493" s="1"/>
      <c r="AC493" s="1"/>
      <c r="AD493" s="1"/>
      <c r="AL493" s="23"/>
      <c r="AM493" s="23"/>
    </row>
    <row r="494" spans="17:39">
      <c r="Q494" s="6">
        <v>464</v>
      </c>
      <c r="R494" s="7">
        <v>43131</v>
      </c>
      <c r="S494" s="210">
        <v>3.5</v>
      </c>
      <c r="T494" s="8">
        <v>1.0000972222222222</v>
      </c>
      <c r="U494" s="98">
        <v>3.6121470212092666</v>
      </c>
      <c r="V494" s="106">
        <v>27340.894821361875</v>
      </c>
      <c r="W494" s="10">
        <v>0.34504502322700858</v>
      </c>
      <c r="X494" s="413">
        <v>0.34047749361551433</v>
      </c>
      <c r="Y494" s="414">
        <v>0.29833058886333347</v>
      </c>
      <c r="Z494" s="1"/>
      <c r="AA494" s="1"/>
      <c r="AB494" s="1"/>
      <c r="AC494" s="1"/>
      <c r="AD494" s="1"/>
      <c r="AL494" s="23"/>
      <c r="AM494" s="23"/>
    </row>
    <row r="495" spans="17:39">
      <c r="Q495" s="6">
        <v>465</v>
      </c>
      <c r="R495" s="7">
        <v>43132</v>
      </c>
      <c r="S495" s="210">
        <v>3.5</v>
      </c>
      <c r="T495" s="8">
        <v>1.0000972222222222</v>
      </c>
      <c r="U495" s="98">
        <v>3.6121470212092666</v>
      </c>
      <c r="V495" s="106">
        <v>27341.60330618843</v>
      </c>
      <c r="W495" s="10">
        <v>0.34991818820730991</v>
      </c>
      <c r="X495" s="413">
        <v>0.34529008059693189</v>
      </c>
      <c r="Y495" s="414">
        <v>0.29834519983568941</v>
      </c>
      <c r="Z495" s="1"/>
      <c r="AA495" s="1"/>
      <c r="AB495" s="1"/>
      <c r="AC495" s="1"/>
      <c r="AD495" s="1"/>
      <c r="AL495" s="23"/>
      <c r="AM495" s="23"/>
    </row>
    <row r="496" spans="17:39">
      <c r="Q496" s="6">
        <v>466</v>
      </c>
      <c r="R496" s="7">
        <v>43133</v>
      </c>
      <c r="S496" s="210">
        <v>3.5</v>
      </c>
      <c r="T496" s="8">
        <v>1.0000972222222222</v>
      </c>
      <c r="U496" s="98">
        <v>3.6121470212092666</v>
      </c>
      <c r="V496" s="106">
        <v>27342.311809373965</v>
      </c>
      <c r="W496" s="10">
        <v>0.35477067345581759</v>
      </c>
      <c r="X496" s="413">
        <v>0.35008240723495299</v>
      </c>
      <c r="Y496" s="414">
        <v>0.29835981175859438</v>
      </c>
      <c r="Z496" s="1"/>
      <c r="AA496" s="1"/>
      <c r="AB496" s="1"/>
      <c r="AC496" s="1"/>
      <c r="AD496" s="1"/>
      <c r="AL496" s="23"/>
      <c r="AM496" s="23"/>
    </row>
    <row r="497" spans="17:39">
      <c r="Q497" s="6">
        <v>467</v>
      </c>
      <c r="R497" s="7">
        <v>43134</v>
      </c>
      <c r="S497" s="210">
        <v>3.5</v>
      </c>
      <c r="T497" s="8">
        <v>1.0000972222222222</v>
      </c>
      <c r="U497" s="98">
        <v>3.6121470212092666</v>
      </c>
      <c r="V497" s="106">
        <v>27343.020330918942</v>
      </c>
      <c r="W497" s="10">
        <v>0.35960261032277341</v>
      </c>
      <c r="X497" s="413">
        <v>0.3548546037097996</v>
      </c>
      <c r="Y497" s="414">
        <v>0.29837442463211689</v>
      </c>
      <c r="Z497" s="1"/>
      <c r="AA497" s="1"/>
      <c r="AB497" s="1"/>
      <c r="AC497" s="1"/>
      <c r="AD497" s="1"/>
      <c r="AL497" s="23"/>
      <c r="AM497" s="23"/>
    </row>
    <row r="498" spans="17:39">
      <c r="Q498" s="6">
        <v>468</v>
      </c>
      <c r="R498" s="7">
        <v>43135</v>
      </c>
      <c r="S498" s="210">
        <v>3.5</v>
      </c>
      <c r="T498" s="8">
        <v>1.0000972222222222</v>
      </c>
      <c r="U498" s="98">
        <v>3.6121470212092666</v>
      </c>
      <c r="V498" s="106">
        <v>27343.728870823841</v>
      </c>
      <c r="W498" s="10">
        <v>0.36441412904837378</v>
      </c>
      <c r="X498" s="413">
        <v>0.35960679908895687</v>
      </c>
      <c r="Y498" s="414">
        <v>0.29838903845632653</v>
      </c>
      <c r="Z498" s="1"/>
      <c r="AA498" s="1"/>
      <c r="AB498" s="1"/>
      <c r="AC498" s="1"/>
      <c r="AD498" s="1"/>
      <c r="AL498" s="23"/>
      <c r="AM498" s="23"/>
    </row>
    <row r="499" spans="17:39">
      <c r="Q499" s="6">
        <v>469</v>
      </c>
      <c r="R499" s="7">
        <v>43136</v>
      </c>
      <c r="S499" s="210">
        <v>3.5</v>
      </c>
      <c r="T499" s="8">
        <v>1.0000972222222222</v>
      </c>
      <c r="U499" s="98">
        <v>3.6121470212092666</v>
      </c>
      <c r="V499" s="106">
        <v>27344.43742908915</v>
      </c>
      <c r="W499" s="10">
        <v>0.3692053587746269</v>
      </c>
      <c r="X499" s="413">
        <v>0.36433912133920648</v>
      </c>
      <c r="Y499" s="414">
        <v>0.29840365323129481</v>
      </c>
      <c r="Z499" s="1"/>
      <c r="AA499" s="1"/>
      <c r="AB499" s="1"/>
      <c r="AC499" s="1"/>
      <c r="AD499" s="1"/>
      <c r="AL499" s="23"/>
      <c r="AM499" s="23"/>
    </row>
    <row r="500" spans="17:39">
      <c r="Q500" s="6">
        <v>470</v>
      </c>
      <c r="R500" s="7">
        <v>43137</v>
      </c>
      <c r="S500" s="210">
        <v>3.5</v>
      </c>
      <c r="T500" s="8">
        <v>1.0000972222222222</v>
      </c>
      <c r="U500" s="98">
        <v>3.6121470212092666</v>
      </c>
      <c r="V500" s="106">
        <v>27345.146005715327</v>
      </c>
      <c r="W500" s="10">
        <v>0.37397642755665483</v>
      </c>
      <c r="X500" s="413">
        <v>0.36905169733811483</v>
      </c>
      <c r="Y500" s="414">
        <v>0.29841826895709023</v>
      </c>
      <c r="Z500" s="1"/>
      <c r="AA500" s="1"/>
      <c r="AB500" s="1"/>
      <c r="AC500" s="1"/>
      <c r="AD500" s="1"/>
      <c r="AL500" s="23"/>
      <c r="AM500" s="23"/>
    </row>
    <row r="501" spans="17:39">
      <c r="Q501" s="6">
        <v>471</v>
      </c>
      <c r="R501" s="7">
        <v>43138</v>
      </c>
      <c r="S501" s="210">
        <v>3.5</v>
      </c>
      <c r="T501" s="8">
        <v>1.0000972222222222</v>
      </c>
      <c r="U501" s="98">
        <v>3.6121470212092666</v>
      </c>
      <c r="V501" s="106">
        <v>27345.85460070286</v>
      </c>
      <c r="W501" s="10">
        <v>0.37872746237441746</v>
      </c>
      <c r="X501" s="413">
        <v>0.37374465288595266</v>
      </c>
      <c r="Y501" s="414">
        <v>0.29843288563378173</v>
      </c>
      <c r="Z501" s="1"/>
      <c r="AA501" s="1"/>
      <c r="AB501" s="1"/>
      <c r="AC501" s="1"/>
      <c r="AD501" s="1"/>
      <c r="AL501" s="23"/>
      <c r="AM501" s="23"/>
    </row>
    <row r="502" spans="17:39">
      <c r="Q502" s="6">
        <v>472</v>
      </c>
      <c r="R502" s="7">
        <v>43139</v>
      </c>
      <c r="S502" s="210">
        <v>3.5</v>
      </c>
      <c r="T502" s="8">
        <v>1.0000972222222222</v>
      </c>
      <c r="U502" s="98">
        <v>3.6121470212092888</v>
      </c>
      <c r="V502" s="106">
        <v>27346.563214052221</v>
      </c>
      <c r="W502" s="10">
        <v>0.38345858914370368</v>
      </c>
      <c r="X502" s="413">
        <v>0.37841811271668341</v>
      </c>
      <c r="Y502" s="414">
        <v>0.29844750326144071</v>
      </c>
      <c r="Z502" s="1"/>
      <c r="AA502" s="1"/>
      <c r="AB502" s="1"/>
      <c r="AC502" s="1"/>
      <c r="AD502" s="1"/>
      <c r="AL502" s="23"/>
      <c r="AM502" s="23"/>
    </row>
    <row r="503" spans="17:39">
      <c r="Q503" s="6">
        <v>473</v>
      </c>
      <c r="R503" s="7">
        <v>43140</v>
      </c>
      <c r="S503" s="210">
        <v>3.5</v>
      </c>
      <c r="T503" s="8">
        <v>1.0000972222222222</v>
      </c>
      <c r="U503" s="98">
        <v>3.612147021209311</v>
      </c>
      <c r="V503" s="106">
        <v>27347.271845763884</v>
      </c>
      <c r="W503" s="10">
        <v>0.38816993272736688</v>
      </c>
      <c r="X503" s="413">
        <v>0.38307220050953927</v>
      </c>
      <c r="Y503" s="414">
        <v>0.29846212184013365</v>
      </c>
      <c r="Z503" s="1"/>
      <c r="AA503" s="1"/>
      <c r="AB503" s="1"/>
      <c r="AC503" s="1"/>
      <c r="AD503" s="1"/>
      <c r="AL503" s="23"/>
      <c r="AM503" s="23"/>
    </row>
    <row r="504" spans="17:39">
      <c r="Q504" s="6">
        <v>474</v>
      </c>
      <c r="R504" s="7">
        <v>43141</v>
      </c>
      <c r="S504" s="210">
        <v>3.5</v>
      </c>
      <c r="T504" s="8">
        <v>1.0000972222222222</v>
      </c>
      <c r="U504" s="98">
        <v>3.612147021209311</v>
      </c>
      <c r="V504" s="106">
        <v>27349.71062812765</v>
      </c>
      <c r="W504" s="10">
        <v>0.38797118644942064</v>
      </c>
      <c r="X504" s="413">
        <v>0.38287798463261191</v>
      </c>
      <c r="Y504" s="414">
        <v>0.29847674136993069</v>
      </c>
      <c r="Z504" s="1"/>
      <c r="AA504" s="1"/>
      <c r="AB504" s="1"/>
      <c r="AC504" s="1"/>
      <c r="AD504" s="1"/>
      <c r="AL504" s="23"/>
      <c r="AM504" s="23"/>
    </row>
    <row r="505" spans="17:39">
      <c r="Q505" s="6">
        <v>475</v>
      </c>
      <c r="R505" s="7">
        <v>43142</v>
      </c>
      <c r="S505" s="210">
        <v>3.5</v>
      </c>
      <c r="T505" s="8">
        <v>1.0000972222222222</v>
      </c>
      <c r="U505" s="98">
        <v>3.612147021209311</v>
      </c>
      <c r="V505" s="106">
        <v>27352.149627977811</v>
      </c>
      <c r="W505" s="10">
        <v>0.3877732773889031</v>
      </c>
      <c r="X505" s="413">
        <v>0.38268459143454242</v>
      </c>
      <c r="Y505" s="414">
        <v>0.29849136185090286</v>
      </c>
      <c r="Z505" s="1"/>
      <c r="AA505" s="1"/>
      <c r="AB505" s="1"/>
      <c r="AC505" s="1"/>
      <c r="AD505" s="1"/>
      <c r="AL505" s="23"/>
      <c r="AM505" s="23"/>
    </row>
    <row r="506" spans="17:39">
      <c r="Q506" s="6">
        <v>476</v>
      </c>
      <c r="R506" s="7">
        <v>43143</v>
      </c>
      <c r="S506" s="210">
        <v>3.5</v>
      </c>
      <c r="T506" s="8">
        <v>1.0000972222222222</v>
      </c>
      <c r="U506" s="98">
        <v>3.612147021209311</v>
      </c>
      <c r="V506" s="106">
        <v>27354.58884533375</v>
      </c>
      <c r="W506" s="10">
        <v>0.38757620026674822</v>
      </c>
      <c r="X506" s="413">
        <v>0.38249201573034647</v>
      </c>
      <c r="Y506" s="414">
        <v>0.29850598328311767</v>
      </c>
      <c r="Z506" s="1"/>
      <c r="AA506" s="1"/>
      <c r="AB506" s="1"/>
      <c r="AC506" s="1"/>
      <c r="AD506" s="1"/>
      <c r="AL506" s="23"/>
      <c r="AM506" s="23"/>
    </row>
    <row r="507" spans="17:39">
      <c r="Q507" s="6">
        <v>477</v>
      </c>
      <c r="R507" s="7">
        <v>43144</v>
      </c>
      <c r="S507" s="210">
        <v>3.5</v>
      </c>
      <c r="T507" s="8">
        <v>1.0000972222222222</v>
      </c>
      <c r="U507" s="98">
        <v>3.612147021209311</v>
      </c>
      <c r="V507" s="106">
        <v>27357.028280214876</v>
      </c>
      <c r="W507" s="10">
        <v>0.38737994984825441</v>
      </c>
      <c r="X507" s="413">
        <v>0.38230025237868714</v>
      </c>
      <c r="Y507" s="414">
        <v>0.29852060566664634</v>
      </c>
      <c r="Z507" s="1"/>
      <c r="AA507" s="1"/>
      <c r="AB507" s="1"/>
      <c r="AC507" s="1"/>
      <c r="AD507" s="1"/>
      <c r="AL507" s="23"/>
      <c r="AM507" s="23"/>
    </row>
    <row r="508" spans="17:39">
      <c r="Q508" s="6">
        <v>478</v>
      </c>
      <c r="R508" s="7">
        <v>43145</v>
      </c>
      <c r="S508" s="210">
        <v>3.5</v>
      </c>
      <c r="T508" s="8">
        <v>1.0000972222222222</v>
      </c>
      <c r="U508" s="98">
        <v>3.612147021209311</v>
      </c>
      <c r="V508" s="106">
        <v>27359.467932640579</v>
      </c>
      <c r="W508" s="10">
        <v>0.38718452094246292</v>
      </c>
      <c r="X508" s="413">
        <v>0.38210929628111751</v>
      </c>
      <c r="Y508" s="414">
        <v>0.2985352290015581</v>
      </c>
      <c r="Z508" s="1"/>
      <c r="AA508" s="1"/>
      <c r="AB508" s="1"/>
      <c r="AC508" s="1"/>
      <c r="AD508" s="1"/>
      <c r="AL508" s="23"/>
      <c r="AM508" s="23"/>
    </row>
    <row r="509" spans="17:39">
      <c r="Q509" s="6">
        <v>479</v>
      </c>
      <c r="R509" s="7">
        <v>43146</v>
      </c>
      <c r="S509" s="210">
        <v>3.5</v>
      </c>
      <c r="T509" s="8">
        <v>1.0000972222222222</v>
      </c>
      <c r="U509" s="98">
        <v>3.612147021209311</v>
      </c>
      <c r="V509" s="106">
        <v>27361.907802630263</v>
      </c>
      <c r="W509" s="10">
        <v>0.38698990840182468</v>
      </c>
      <c r="X509" s="413">
        <v>0.38191914238178332</v>
      </c>
      <c r="Y509" s="414">
        <v>0.29854985328792161</v>
      </c>
      <c r="Z509" s="1"/>
      <c r="AA509" s="1"/>
      <c r="AB509" s="1"/>
      <c r="AC509" s="1"/>
      <c r="AD509" s="1"/>
      <c r="AL509" s="23"/>
      <c r="AM509" s="23"/>
    </row>
    <row r="510" spans="17:39">
      <c r="Q510" s="6">
        <v>480</v>
      </c>
      <c r="R510" s="7">
        <v>43147</v>
      </c>
      <c r="S510" s="210">
        <v>3.5</v>
      </c>
      <c r="T510" s="8">
        <v>1.0000972222222222</v>
      </c>
      <c r="U510" s="98">
        <v>3.612147021209311</v>
      </c>
      <c r="V510" s="106">
        <v>27364.347890203331</v>
      </c>
      <c r="W510" s="10">
        <v>0.38679610712166745</v>
      </c>
      <c r="X510" s="413">
        <v>0.38172978566697879</v>
      </c>
      <c r="Y510" s="414">
        <v>0.29856447852580764</v>
      </c>
      <c r="Z510" s="1"/>
      <c r="AA510" s="1"/>
      <c r="AB510" s="1"/>
      <c r="AC510" s="1"/>
      <c r="AD510" s="1"/>
      <c r="AL510" s="23"/>
      <c r="AM510" s="23"/>
    </row>
    <row r="511" spans="17:39">
      <c r="Q511" s="6">
        <v>481</v>
      </c>
      <c r="R511" s="7">
        <v>43148</v>
      </c>
      <c r="S511" s="210">
        <v>3.5</v>
      </c>
      <c r="T511" s="8">
        <v>1.0000972222222222</v>
      </c>
      <c r="U511" s="98">
        <v>3.612147021209311</v>
      </c>
      <c r="V511" s="106">
        <v>27366.78819537918</v>
      </c>
      <c r="W511" s="10">
        <v>0.38660311203988496</v>
      </c>
      <c r="X511" s="413">
        <v>0.38154122116475869</v>
      </c>
      <c r="Y511" s="414">
        <v>0.29857910471528509</v>
      </c>
      <c r="Z511" s="1"/>
      <c r="AA511" s="1"/>
      <c r="AB511" s="1"/>
      <c r="AC511" s="1"/>
      <c r="AD511" s="1"/>
      <c r="AL511" s="23"/>
      <c r="AM511" s="23"/>
    </row>
    <row r="512" spans="17:39">
      <c r="Q512" s="6">
        <v>482</v>
      </c>
      <c r="R512" s="7">
        <v>43149</v>
      </c>
      <c r="S512" s="210">
        <v>3.5</v>
      </c>
      <c r="T512" s="8">
        <v>1.0000972222222222</v>
      </c>
      <c r="U512" s="98">
        <v>3.612147021209311</v>
      </c>
      <c r="V512" s="106">
        <v>27369.228718177223</v>
      </c>
      <c r="W512" s="10">
        <v>0.38641091813631512</v>
      </c>
      <c r="X512" s="413">
        <v>0.38135344394437265</v>
      </c>
      <c r="Y512" s="414">
        <v>0.29859373185642363</v>
      </c>
      <c r="Z512" s="1"/>
      <c r="AA512" s="1"/>
      <c r="AB512" s="1"/>
      <c r="AC512" s="1"/>
      <c r="AD512" s="1"/>
      <c r="AL512" s="23"/>
      <c r="AM512" s="23"/>
    </row>
    <row r="513" spans="17:39">
      <c r="Q513" s="6">
        <v>483</v>
      </c>
      <c r="R513" s="7">
        <v>43150</v>
      </c>
      <c r="S513" s="210">
        <v>3.5</v>
      </c>
      <c r="T513" s="8">
        <v>1.0000972222222222</v>
      </c>
      <c r="U513" s="98">
        <v>3.612147021209311</v>
      </c>
      <c r="V513" s="106">
        <v>27371.669458616867</v>
      </c>
      <c r="W513" s="10">
        <v>0.38621952043236263</v>
      </c>
      <c r="X513" s="413">
        <v>0.38116644911582154</v>
      </c>
      <c r="Y513" s="414">
        <v>0.29860835994929369</v>
      </c>
      <c r="Z513" s="1"/>
      <c r="AA513" s="1"/>
      <c r="AB513" s="1"/>
      <c r="AC513" s="1"/>
      <c r="AD513" s="1"/>
      <c r="AL513" s="23"/>
      <c r="AM513" s="23"/>
    </row>
    <row r="514" spans="17:39">
      <c r="Q514" s="6">
        <v>484</v>
      </c>
      <c r="R514" s="7">
        <v>43151</v>
      </c>
      <c r="S514" s="210">
        <v>3.5</v>
      </c>
      <c r="T514" s="8">
        <v>1.0000972222222222</v>
      </c>
      <c r="U514" s="98">
        <v>3.612147021209311</v>
      </c>
      <c r="V514" s="106">
        <v>27374.110416717514</v>
      </c>
      <c r="W514" s="10">
        <v>0.38602891399068806</v>
      </c>
      <c r="X514" s="413">
        <v>0.38098023182970142</v>
      </c>
      <c r="Y514" s="414">
        <v>0.2986229889939625</v>
      </c>
      <c r="Z514" s="1"/>
      <c r="AA514" s="1"/>
      <c r="AB514" s="1"/>
      <c r="AC514" s="1"/>
      <c r="AD514" s="1"/>
      <c r="AL514" s="23"/>
      <c r="AM514" s="23"/>
    </row>
    <row r="515" spans="17:39">
      <c r="Q515" s="6">
        <v>485</v>
      </c>
      <c r="R515" s="7">
        <v>43152</v>
      </c>
      <c r="S515" s="210">
        <v>3.5</v>
      </c>
      <c r="T515" s="8">
        <v>1.0000972222222222</v>
      </c>
      <c r="U515" s="98">
        <v>3.612147021209311</v>
      </c>
      <c r="V515" s="106">
        <v>27376.551592498581</v>
      </c>
      <c r="W515" s="10">
        <v>0.38583909391463056</v>
      </c>
      <c r="X515" s="413">
        <v>0.38079478727647154</v>
      </c>
      <c r="Y515" s="414">
        <v>0.29863761899050068</v>
      </c>
      <c r="Z515" s="1"/>
      <c r="AA515" s="1"/>
      <c r="AB515" s="1"/>
      <c r="AC515" s="1"/>
      <c r="AD515" s="1"/>
      <c r="AL515" s="23"/>
      <c r="AM515" s="23"/>
    </row>
    <row r="516" spans="17:39">
      <c r="Q516" s="6">
        <v>486</v>
      </c>
      <c r="R516" s="7">
        <v>43153</v>
      </c>
      <c r="S516" s="210">
        <v>3.5</v>
      </c>
      <c r="T516" s="8">
        <v>1.0000972222222222</v>
      </c>
      <c r="U516" s="98">
        <v>3.6121470212092888</v>
      </c>
      <c r="V516" s="106">
        <v>27378.992985979479</v>
      </c>
      <c r="W516" s="10">
        <v>0.38565005534783037</v>
      </c>
      <c r="X516" s="413">
        <v>0.38061011068615919</v>
      </c>
      <c r="Y516" s="414">
        <v>0.29865224993897699</v>
      </c>
      <c r="Z516" s="1"/>
      <c r="AA516" s="1"/>
      <c r="AB516" s="1"/>
      <c r="AC516" s="1"/>
      <c r="AD516" s="1"/>
      <c r="AL516" s="23"/>
      <c r="AM516" s="23"/>
    </row>
    <row r="517" spans="17:39">
      <c r="Q517" s="6">
        <v>487</v>
      </c>
      <c r="R517" s="7">
        <v>43154</v>
      </c>
      <c r="S517" s="210">
        <v>3.5</v>
      </c>
      <c r="T517" s="8">
        <v>1.0000972222222222</v>
      </c>
      <c r="U517" s="98">
        <v>3.6121470212092888</v>
      </c>
      <c r="V517" s="106">
        <v>27381.434597179625</v>
      </c>
      <c r="W517" s="10">
        <v>0.38546179347394016</v>
      </c>
      <c r="X517" s="413">
        <v>0.38042619732813443</v>
      </c>
      <c r="Y517" s="414">
        <v>0.29866688183946516</v>
      </c>
      <c r="Z517" s="1"/>
      <c r="AA517" s="1"/>
      <c r="AB517" s="1"/>
      <c r="AC517" s="1"/>
      <c r="AD517" s="1"/>
      <c r="AL517" s="23"/>
      <c r="AM517" s="23"/>
    </row>
    <row r="518" spans="17:39">
      <c r="Q518" s="6">
        <v>488</v>
      </c>
      <c r="R518" s="7">
        <v>43155</v>
      </c>
      <c r="S518" s="210">
        <v>3.5</v>
      </c>
      <c r="T518" s="8">
        <v>1.0000972222222222</v>
      </c>
      <c r="U518" s="98">
        <v>3.612147021209311</v>
      </c>
      <c r="V518" s="106">
        <v>27383.876426118426</v>
      </c>
      <c r="W518" s="10">
        <v>0.38527430351600334</v>
      </c>
      <c r="X518" s="413">
        <v>0.38024304251039553</v>
      </c>
      <c r="Y518" s="414">
        <v>0.29868151469203136</v>
      </c>
      <c r="Z518" s="1"/>
      <c r="AA518" s="1"/>
      <c r="AB518" s="1"/>
      <c r="AC518" s="1"/>
      <c r="AD518" s="1"/>
      <c r="AL518" s="23"/>
      <c r="AM518" s="23"/>
    </row>
    <row r="519" spans="17:39">
      <c r="Q519" s="6">
        <v>489</v>
      </c>
      <c r="R519" s="7">
        <v>43156</v>
      </c>
      <c r="S519" s="210">
        <v>3.5</v>
      </c>
      <c r="T519" s="8">
        <v>1.0000972222222222</v>
      </c>
      <c r="U519" s="98">
        <v>3.612147021209311</v>
      </c>
      <c r="V519" s="106">
        <v>27386.318472815306</v>
      </c>
      <c r="W519" s="10">
        <v>0.38508758073620974</v>
      </c>
      <c r="X519" s="413">
        <v>0.38006064157935376</v>
      </c>
      <c r="Y519" s="414">
        <v>0.29869614849674536</v>
      </c>
      <c r="Z519" s="1"/>
      <c r="AA519" s="1"/>
      <c r="AB519" s="1"/>
      <c r="AC519" s="1"/>
      <c r="AD519" s="1"/>
      <c r="AL519" s="23"/>
      <c r="AM519" s="23"/>
    </row>
    <row r="520" spans="17:39">
      <c r="Q520" s="6">
        <v>490</v>
      </c>
      <c r="R520" s="7">
        <v>43157</v>
      </c>
      <c r="S520" s="210">
        <v>3.5</v>
      </c>
      <c r="T520" s="8">
        <v>1.0000972222222222</v>
      </c>
      <c r="U520" s="98">
        <v>3.612147021209311</v>
      </c>
      <c r="V520" s="106">
        <v>27388.760737289682</v>
      </c>
      <c r="W520" s="10">
        <v>0.38490162043538501</v>
      </c>
      <c r="X520" s="413">
        <v>0.37987898991939267</v>
      </c>
      <c r="Y520" s="414">
        <v>0.29871078325367639</v>
      </c>
      <c r="Z520" s="1"/>
      <c r="AA520" s="1"/>
      <c r="AB520" s="1"/>
      <c r="AC520" s="1"/>
      <c r="AD520" s="1"/>
      <c r="AL520" s="23"/>
      <c r="AM520" s="23"/>
    </row>
    <row r="521" spans="17:39">
      <c r="Q521" s="6">
        <v>491</v>
      </c>
      <c r="R521" s="7">
        <v>43158</v>
      </c>
      <c r="S521" s="210">
        <v>3.5</v>
      </c>
      <c r="T521" s="8">
        <v>1.0000972222222222</v>
      </c>
      <c r="U521" s="98">
        <v>3.612147021209311</v>
      </c>
      <c r="V521" s="106">
        <v>27391.203219560979</v>
      </c>
      <c r="W521" s="10">
        <v>0.38471641795270184</v>
      </c>
      <c r="X521" s="413">
        <v>0.37969808295252994</v>
      </c>
      <c r="Y521" s="414">
        <v>0.29872541896289451</v>
      </c>
      <c r="Z521" s="1"/>
      <c r="AA521" s="1"/>
      <c r="AB521" s="1"/>
      <c r="AC521" s="1"/>
      <c r="AD521" s="1"/>
      <c r="AL521" s="23"/>
      <c r="AM521" s="23"/>
    </row>
    <row r="522" spans="17:39">
      <c r="Q522" s="6">
        <v>492</v>
      </c>
      <c r="R522" s="7">
        <v>43159</v>
      </c>
      <c r="S522" s="210">
        <v>3.5</v>
      </c>
      <c r="T522" s="8">
        <v>1.0000972222222222</v>
      </c>
      <c r="U522" s="98">
        <v>3.612147021209311</v>
      </c>
      <c r="V522" s="106">
        <v>27393.645919648614</v>
      </c>
      <c r="W522" s="10">
        <v>0.38453196866525818</v>
      </c>
      <c r="X522" s="413">
        <v>0.37951791613801905</v>
      </c>
      <c r="Y522" s="414">
        <v>0.29874005562447037</v>
      </c>
      <c r="Z522" s="1"/>
      <c r="AA522" s="1"/>
      <c r="AB522" s="1"/>
      <c r="AC522" s="1"/>
      <c r="AD522" s="1"/>
      <c r="AL522" s="23"/>
      <c r="AM522" s="23"/>
    </row>
    <row r="523" spans="17:39">
      <c r="Q523" s="6">
        <v>493</v>
      </c>
      <c r="R523" s="7">
        <v>43160</v>
      </c>
      <c r="S523" s="210">
        <v>3.5</v>
      </c>
      <c r="T523" s="8">
        <v>1.0000972222222222</v>
      </c>
      <c r="U523" s="98">
        <v>3.612147021209311</v>
      </c>
      <c r="V523" s="106">
        <v>27396.088837572013</v>
      </c>
      <c r="W523" s="10">
        <v>0.38434826798763311</v>
      </c>
      <c r="X523" s="413">
        <v>0.37933848497189027</v>
      </c>
      <c r="Y523" s="414">
        <v>0.29875469323847159</v>
      </c>
      <c r="Z523" s="1"/>
      <c r="AA523" s="1"/>
      <c r="AB523" s="1"/>
      <c r="AC523" s="1"/>
      <c r="AD523" s="1"/>
      <c r="AL523" s="23"/>
      <c r="AM523" s="23"/>
    </row>
    <row r="524" spans="17:39">
      <c r="Q524" s="6">
        <v>494</v>
      </c>
      <c r="R524" s="7">
        <v>43161</v>
      </c>
      <c r="S524" s="210">
        <v>3.5</v>
      </c>
      <c r="T524" s="8">
        <v>1.0000972222222222</v>
      </c>
      <c r="U524" s="98">
        <v>3.612147021209311</v>
      </c>
      <c r="V524" s="106">
        <v>27398.531973350611</v>
      </c>
      <c r="W524" s="10">
        <v>0.38416531137155374</v>
      </c>
      <c r="X524" s="413">
        <v>0.37915978498667574</v>
      </c>
      <c r="Y524" s="414">
        <v>0.29876933180496912</v>
      </c>
      <c r="Z524" s="1"/>
      <c r="AA524" s="1"/>
      <c r="AB524" s="1"/>
      <c r="AC524" s="1"/>
      <c r="AD524" s="1"/>
      <c r="AL524" s="23"/>
      <c r="AM524" s="23"/>
    </row>
    <row r="525" spans="17:39">
      <c r="Q525" s="6">
        <v>495</v>
      </c>
      <c r="R525" s="7">
        <v>43162</v>
      </c>
      <c r="S525" s="210">
        <v>3.5</v>
      </c>
      <c r="T525" s="8">
        <v>1.0000972222222222</v>
      </c>
      <c r="U525" s="98">
        <v>3.612147021209311</v>
      </c>
      <c r="V525" s="106">
        <v>27400.97532700382</v>
      </c>
      <c r="W525" s="10">
        <v>0.38398309430560662</v>
      </c>
      <c r="X525" s="413">
        <v>0.37898181175110524</v>
      </c>
      <c r="Y525" s="414">
        <v>0.29878397132403345</v>
      </c>
      <c r="Z525" s="1"/>
      <c r="AA525" s="1"/>
      <c r="AB525" s="1"/>
      <c r="AC525" s="1"/>
      <c r="AD525" s="1"/>
      <c r="AL525" s="23"/>
      <c r="AM525" s="23"/>
    </row>
    <row r="526" spans="17:39">
      <c r="Q526" s="6">
        <v>496</v>
      </c>
      <c r="R526" s="7">
        <v>43163</v>
      </c>
      <c r="S526" s="210">
        <v>3.5</v>
      </c>
      <c r="T526" s="8">
        <v>1.0000972222222222</v>
      </c>
      <c r="U526" s="98">
        <v>3.612147021209311</v>
      </c>
      <c r="V526" s="106">
        <v>27403.418898551085</v>
      </c>
      <c r="W526" s="10">
        <v>0.38380161231461596</v>
      </c>
      <c r="X526" s="413">
        <v>0.3788045608694347</v>
      </c>
      <c r="Y526" s="414">
        <v>0.29879861179573169</v>
      </c>
      <c r="Z526" s="1"/>
      <c r="AA526" s="1"/>
      <c r="AB526" s="1"/>
      <c r="AC526" s="1"/>
      <c r="AD526" s="1"/>
      <c r="AL526" s="23"/>
      <c r="AM526" s="23"/>
    </row>
    <row r="527" spans="17:39">
      <c r="Q527" s="6">
        <v>497</v>
      </c>
      <c r="R527" s="7">
        <v>43164</v>
      </c>
      <c r="S527" s="210">
        <v>3.5</v>
      </c>
      <c r="T527" s="8">
        <v>1.0000972222222222</v>
      </c>
      <c r="U527" s="98">
        <v>3.612147021209311</v>
      </c>
      <c r="V527" s="106">
        <v>27405.862688011825</v>
      </c>
      <c r="W527" s="10">
        <v>0.38362086095957704</v>
      </c>
      <c r="X527" s="413">
        <v>0.37862802798147582</v>
      </c>
      <c r="Y527" s="414">
        <v>0.29881325322013447</v>
      </c>
      <c r="Z527" s="1"/>
      <c r="AA527" s="1"/>
      <c r="AB527" s="1"/>
      <c r="AC527" s="1"/>
      <c r="AD527" s="1"/>
      <c r="AL527" s="23"/>
      <c r="AM527" s="23"/>
    </row>
    <row r="528" spans="17:39">
      <c r="Q528" s="6">
        <v>498</v>
      </c>
      <c r="R528" s="7">
        <v>43165</v>
      </c>
      <c r="S528" s="210">
        <v>3.5</v>
      </c>
      <c r="T528" s="8">
        <v>1.0000972222222222</v>
      </c>
      <c r="U528" s="98">
        <v>3.6121470212092888</v>
      </c>
      <c r="V528" s="106">
        <v>27408.306695405485</v>
      </c>
      <c r="W528" s="10">
        <v>0.38344083583705668</v>
      </c>
      <c r="X528" s="413">
        <v>0.37845220876196523</v>
      </c>
      <c r="Y528" s="414">
        <v>0.29882789559731071</v>
      </c>
      <c r="Z528" s="1"/>
      <c r="AA528" s="1"/>
      <c r="AB528" s="1"/>
      <c r="AC528" s="1"/>
      <c r="AD528" s="1"/>
      <c r="AL528" s="23"/>
      <c r="AM528" s="23"/>
    </row>
    <row r="529" spans="17:39">
      <c r="Q529" s="6">
        <v>499</v>
      </c>
      <c r="R529" s="7">
        <v>43166</v>
      </c>
      <c r="S529" s="210">
        <v>3.5</v>
      </c>
      <c r="T529" s="8">
        <v>1.0000972222222222</v>
      </c>
      <c r="U529" s="98">
        <v>3.6121470212092666</v>
      </c>
      <c r="V529" s="106">
        <v>27410.750920751485</v>
      </c>
      <c r="W529" s="10">
        <v>0.38326153257906004</v>
      </c>
      <c r="X529" s="413">
        <v>0.37827709892040706</v>
      </c>
      <c r="Y529" s="414">
        <v>0.29884253892733104</v>
      </c>
      <c r="Z529" s="1"/>
      <c r="AA529" s="1"/>
      <c r="AB529" s="1"/>
      <c r="AC529" s="1"/>
      <c r="AD529" s="1"/>
      <c r="AL529" s="23"/>
      <c r="AM529" s="23"/>
    </row>
    <row r="530" spans="17:39">
      <c r="Q530" s="6">
        <v>500</v>
      </c>
      <c r="R530" s="7">
        <v>43167</v>
      </c>
      <c r="S530" s="210">
        <v>3.5</v>
      </c>
      <c r="T530" s="8">
        <v>1.0000972222222222</v>
      </c>
      <c r="U530" s="98">
        <v>3.6121470212092666</v>
      </c>
      <c r="V530" s="106">
        <v>27413.195364069274</v>
      </c>
      <c r="W530" s="10">
        <v>0.38308294685245325</v>
      </c>
      <c r="X530" s="413">
        <v>0.37810269420053366</v>
      </c>
      <c r="Y530" s="414">
        <v>0.29885718321026733</v>
      </c>
      <c r="Z530" s="1"/>
      <c r="AA530" s="1"/>
      <c r="AB530" s="1"/>
      <c r="AC530" s="1"/>
      <c r="AD530" s="1"/>
      <c r="AL530" s="23"/>
      <c r="AM530" s="23"/>
    </row>
    <row r="531" spans="17:39">
      <c r="Q531" s="6">
        <v>501</v>
      </c>
      <c r="R531" s="7">
        <v>43168</v>
      </c>
      <c r="S531" s="210">
        <v>3.5</v>
      </c>
      <c r="T531" s="8">
        <v>1.0000972222222222</v>
      </c>
      <c r="U531" s="98">
        <v>3.6121470212092666</v>
      </c>
      <c r="V531" s="106">
        <v>27415.640025378292</v>
      </c>
      <c r="W531" s="10">
        <v>0.38290507435876364</v>
      </c>
      <c r="X531" s="413">
        <v>0.37792899038015526</v>
      </c>
      <c r="Y531" s="414">
        <v>0.29887182844618787</v>
      </c>
      <c r="Z531" s="1"/>
      <c r="AA531" s="1"/>
      <c r="AB531" s="1"/>
      <c r="AC531" s="1"/>
      <c r="AD531" s="1"/>
      <c r="AL531" s="23"/>
      <c r="AM531" s="23"/>
    </row>
    <row r="532" spans="17:39">
      <c r="Q532" s="6">
        <v>502</v>
      </c>
      <c r="R532" s="7">
        <v>43169</v>
      </c>
      <c r="S532" s="210">
        <v>3.5</v>
      </c>
      <c r="T532" s="8">
        <v>1.0000972222222222</v>
      </c>
      <c r="U532" s="98">
        <v>3.6121470212092666</v>
      </c>
      <c r="V532" s="106">
        <v>27417.848293944902</v>
      </c>
      <c r="W532" s="10">
        <v>0.38335777766358436</v>
      </c>
      <c r="X532" s="413">
        <v>0.37837811388998499</v>
      </c>
      <c r="Y532" s="414">
        <v>0.29888647463516049</v>
      </c>
      <c r="Z532" s="1"/>
      <c r="AA532" s="1"/>
      <c r="AB532" s="1"/>
      <c r="AC532" s="1"/>
      <c r="AD532" s="1"/>
      <c r="AL532" s="23"/>
      <c r="AM532" s="23"/>
    </row>
    <row r="533" spans="17:39">
      <c r="Q533" s="6">
        <v>503</v>
      </c>
      <c r="R533" s="7">
        <v>43170</v>
      </c>
      <c r="S533" s="210">
        <v>3.5</v>
      </c>
      <c r="T533" s="8">
        <v>1.0000972222222222</v>
      </c>
      <c r="U533" s="98">
        <v>3.6121470212092888</v>
      </c>
      <c r="V533" s="106">
        <v>27420.056740382617</v>
      </c>
      <c r="W533" s="10">
        <v>0.38380868298468762</v>
      </c>
      <c r="X533" s="413">
        <v>0.37882547162116847</v>
      </c>
      <c r="Y533" s="414">
        <v>0.29890112177725786</v>
      </c>
      <c r="Z533" s="1"/>
      <c r="AA533" s="1"/>
      <c r="AB533" s="1"/>
      <c r="AC533" s="1"/>
      <c r="AD533" s="1"/>
      <c r="AL533" s="23"/>
      <c r="AM533" s="23"/>
    </row>
    <row r="534" spans="17:39">
      <c r="Q534" s="6">
        <v>504</v>
      </c>
      <c r="R534" s="7">
        <v>43171</v>
      </c>
      <c r="S534" s="210">
        <v>3.5</v>
      </c>
      <c r="T534" s="8">
        <v>1.0000972222222222</v>
      </c>
      <c r="U534" s="98">
        <v>3.6121470212092888</v>
      </c>
      <c r="V534" s="106">
        <v>27422.26536470576</v>
      </c>
      <c r="W534" s="10">
        <v>0.38425780101229989</v>
      </c>
      <c r="X534" s="413">
        <v>0.37927107408465754</v>
      </c>
      <c r="Y534" s="414">
        <v>0.29891576987254548</v>
      </c>
      <c r="Z534" s="1"/>
      <c r="AA534" s="1"/>
      <c r="AB534" s="1"/>
      <c r="AC534" s="1"/>
      <c r="AD534" s="1"/>
      <c r="AL534" s="23"/>
      <c r="AM534" s="23"/>
    </row>
    <row r="535" spans="17:39">
      <c r="Q535" s="6">
        <v>505</v>
      </c>
      <c r="R535" s="7">
        <v>43172</v>
      </c>
      <c r="S535" s="210">
        <v>3.5</v>
      </c>
      <c r="T535" s="8">
        <v>1.0000972222222222</v>
      </c>
      <c r="U535" s="98">
        <v>3.6121470212092888</v>
      </c>
      <c r="V535" s="106">
        <v>27424.474166928652</v>
      </c>
      <c r="W535" s="10">
        <v>0.38470514235209308</v>
      </c>
      <c r="X535" s="413">
        <v>0.37971493170808585</v>
      </c>
      <c r="Y535" s="414">
        <v>0.29893041892109473</v>
      </c>
      <c r="Z535" s="1"/>
      <c r="AA535" s="1"/>
      <c r="AB535" s="1"/>
      <c r="AC535" s="1"/>
      <c r="AD535" s="1"/>
      <c r="AL535" s="23"/>
      <c r="AM535" s="23"/>
    </row>
    <row r="536" spans="17:39">
      <c r="Q536" s="6">
        <v>506</v>
      </c>
      <c r="R536" s="7">
        <v>43173</v>
      </c>
      <c r="S536" s="210">
        <v>3.5</v>
      </c>
      <c r="T536" s="8">
        <v>1.0000972222222222</v>
      </c>
      <c r="U536" s="98">
        <v>3.6121470212092888</v>
      </c>
      <c r="V536" s="106">
        <v>27426.683147065633</v>
      </c>
      <c r="W536" s="10">
        <v>0.38515071752598384</v>
      </c>
      <c r="X536" s="413">
        <v>0.3801570548367339</v>
      </c>
      <c r="Y536" s="414">
        <v>0.29894506892297668</v>
      </c>
      <c r="Z536" s="1"/>
      <c r="AA536" s="1"/>
      <c r="AB536" s="1"/>
      <c r="AC536" s="1"/>
      <c r="AD536" s="1"/>
      <c r="AL536" s="23"/>
      <c r="AM536" s="23"/>
    </row>
    <row r="537" spans="17:39">
      <c r="Q537" s="6">
        <v>507</v>
      </c>
      <c r="R537" s="7">
        <v>43174</v>
      </c>
      <c r="S537" s="210">
        <v>3.5</v>
      </c>
      <c r="T537" s="8">
        <v>1.0000972222222222</v>
      </c>
      <c r="U537" s="98">
        <v>3.6121470212092888</v>
      </c>
      <c r="V537" s="106">
        <v>27428.89230513103</v>
      </c>
      <c r="W537" s="10">
        <v>0.3855945369729552</v>
      </c>
      <c r="X537" s="413">
        <v>0.3805974537341843</v>
      </c>
      <c r="Y537" s="414">
        <v>0.29895971987826025</v>
      </c>
      <c r="Z537" s="1"/>
      <c r="AA537" s="1"/>
      <c r="AB537" s="1"/>
      <c r="AC537" s="1"/>
      <c r="AD537" s="1"/>
      <c r="AL537" s="23"/>
      <c r="AM537" s="23"/>
    </row>
    <row r="538" spans="17:39">
      <c r="Q538" s="6">
        <v>508</v>
      </c>
      <c r="R538" s="7">
        <v>43175</v>
      </c>
      <c r="S538" s="210">
        <v>3.5</v>
      </c>
      <c r="T538" s="8">
        <v>1.0000972222222222</v>
      </c>
      <c r="U538" s="98">
        <v>3.6121470212092888</v>
      </c>
      <c r="V538" s="106">
        <v>27431.101641139176</v>
      </c>
      <c r="W538" s="10">
        <v>0.38603661104990028</v>
      </c>
      <c r="X538" s="413">
        <v>0.38103613858325069</v>
      </c>
      <c r="Y538" s="414">
        <v>0.29897437178701541</v>
      </c>
      <c r="Z538" s="1"/>
      <c r="AA538" s="1"/>
      <c r="AB538" s="1"/>
      <c r="AC538" s="1"/>
      <c r="AD538" s="1"/>
      <c r="AL538" s="23"/>
      <c r="AM538" s="23"/>
    </row>
    <row r="539" spans="17:39">
      <c r="Q539" s="6">
        <v>509</v>
      </c>
      <c r="R539" s="7">
        <v>43176</v>
      </c>
      <c r="S539" s="210">
        <v>3.5</v>
      </c>
      <c r="T539" s="8">
        <v>1.0000972222222222</v>
      </c>
      <c r="U539" s="98">
        <v>3.612147021209311</v>
      </c>
      <c r="V539" s="106">
        <v>27433.311155104406</v>
      </c>
      <c r="W539" s="10">
        <v>0.38647695003239946</v>
      </c>
      <c r="X539" s="413">
        <v>0.38147311948669349</v>
      </c>
      <c r="Y539" s="414">
        <v>0.29898902464931271</v>
      </c>
      <c r="Z539" s="1"/>
      <c r="AA539" s="1"/>
      <c r="AB539" s="1"/>
      <c r="AC539" s="1"/>
      <c r="AD539" s="1"/>
      <c r="AL539" s="23"/>
      <c r="AM539" s="23"/>
    </row>
    <row r="540" spans="17:39">
      <c r="Q540" s="6">
        <v>510</v>
      </c>
      <c r="R540" s="7">
        <v>43177</v>
      </c>
      <c r="S540" s="210">
        <v>3.5</v>
      </c>
      <c r="T540" s="8">
        <v>1.0000972222222222</v>
      </c>
      <c r="U540" s="98">
        <v>3.612147021209311</v>
      </c>
      <c r="V540" s="106">
        <v>27435.520847041047</v>
      </c>
      <c r="W540" s="10">
        <v>0.38691556411554195</v>
      </c>
      <c r="X540" s="413">
        <v>0.38190840646806717</v>
      </c>
      <c r="Y540" s="414">
        <v>0.2990036784652183</v>
      </c>
      <c r="Z540" s="1"/>
      <c r="AA540" s="1"/>
      <c r="AB540" s="1"/>
      <c r="AC540" s="1"/>
      <c r="AD540" s="1"/>
      <c r="AL540" s="23"/>
      <c r="AM540" s="23"/>
    </row>
    <row r="541" spans="17:39">
      <c r="Q541" s="6">
        <v>511</v>
      </c>
      <c r="R541" s="7">
        <v>43178</v>
      </c>
      <c r="S541" s="210">
        <v>3.5</v>
      </c>
      <c r="T541" s="8">
        <v>1.0000972222222222</v>
      </c>
      <c r="U541" s="98">
        <v>3.612147021209311</v>
      </c>
      <c r="V541" s="106">
        <v>27437.730716963433</v>
      </c>
      <c r="W541" s="10">
        <v>0.38735246341468077</v>
      </c>
      <c r="X541" s="413">
        <v>0.38234200947241676</v>
      </c>
      <c r="Y541" s="414">
        <v>0.29901833323480431</v>
      </c>
      <c r="Z541" s="1"/>
      <c r="AA541" s="1"/>
      <c r="AB541" s="1"/>
      <c r="AC541" s="1"/>
      <c r="AD541" s="1"/>
      <c r="AL541" s="23"/>
      <c r="AM541" s="23"/>
    </row>
    <row r="542" spans="17:39">
      <c r="Q542" s="6">
        <v>512</v>
      </c>
      <c r="R542" s="7">
        <v>43179</v>
      </c>
      <c r="S542" s="210">
        <v>3.5</v>
      </c>
      <c r="T542" s="8">
        <v>1.0000972222222222</v>
      </c>
      <c r="U542" s="98">
        <v>3.612147021209311</v>
      </c>
      <c r="V542" s="106">
        <v>27439.940764885912</v>
      </c>
      <c r="W542" s="10">
        <v>0.38778765796627646</v>
      </c>
      <c r="X542" s="413">
        <v>0.38277393836716989</v>
      </c>
      <c r="Y542" s="414">
        <v>0.29903298895814096</v>
      </c>
      <c r="Z542" s="1"/>
      <c r="AA542" s="1"/>
      <c r="AB542" s="1"/>
      <c r="AC542" s="1"/>
      <c r="AD542" s="1"/>
      <c r="AL542" s="23"/>
      <c r="AM542" s="23"/>
    </row>
    <row r="543" spans="17:39">
      <c r="Q543" s="6">
        <v>513</v>
      </c>
      <c r="R543" s="7">
        <v>43180</v>
      </c>
      <c r="S543" s="210">
        <v>3.5</v>
      </c>
      <c r="T543" s="8">
        <v>1.0000972222222222</v>
      </c>
      <c r="U543" s="98">
        <v>3.612147021209311</v>
      </c>
      <c r="V543" s="106">
        <v>27442.150990822807</v>
      </c>
      <c r="W543" s="10">
        <v>0.38822115772858545</v>
      </c>
      <c r="X543" s="413">
        <v>0.38320420294275281</v>
      </c>
      <c r="Y543" s="414">
        <v>0.29904764563529668</v>
      </c>
      <c r="Z543" s="1"/>
      <c r="AA543" s="1"/>
      <c r="AB543" s="1"/>
      <c r="AC543" s="1"/>
      <c r="AD543" s="1"/>
      <c r="AL543" s="23"/>
      <c r="AM543" s="23"/>
    </row>
    <row r="544" spans="17:39">
      <c r="Q544" s="6">
        <v>514</v>
      </c>
      <c r="R544" s="7">
        <v>43181</v>
      </c>
      <c r="S544" s="210">
        <v>3.5</v>
      </c>
      <c r="T544" s="8">
        <v>1.0000972222222222</v>
      </c>
      <c r="U544" s="98">
        <v>3.612147021209311</v>
      </c>
      <c r="V544" s="106">
        <v>27444.36139478847</v>
      </c>
      <c r="W544" s="10">
        <v>0.38865297258239284</v>
      </c>
      <c r="X544" s="413">
        <v>0.38363281291337065</v>
      </c>
      <c r="Y544" s="414">
        <v>0.29906230326634192</v>
      </c>
      <c r="Z544" s="1"/>
      <c r="AA544" s="1"/>
      <c r="AB544" s="1"/>
      <c r="AC544" s="1"/>
      <c r="AD544" s="1"/>
      <c r="AL544" s="23"/>
      <c r="AM544" s="23"/>
    </row>
    <row r="545" spans="17:39">
      <c r="Q545" s="6">
        <v>515</v>
      </c>
      <c r="R545" s="7">
        <v>43182</v>
      </c>
      <c r="S545" s="210">
        <v>3.5</v>
      </c>
      <c r="T545" s="8">
        <v>1.0000972222222222</v>
      </c>
      <c r="U545" s="98">
        <v>3.612147021209311</v>
      </c>
      <c r="V545" s="106">
        <v>27446.571976797233</v>
      </c>
      <c r="W545" s="10">
        <v>0.38908311233196713</v>
      </c>
      <c r="X545" s="413">
        <v>0.38405977791788676</v>
      </c>
      <c r="Y545" s="414">
        <v>0.29907696185134675</v>
      </c>
      <c r="Z545" s="1"/>
      <c r="AA545" s="1"/>
      <c r="AB545" s="1"/>
      <c r="AC545" s="1"/>
      <c r="AD545" s="1"/>
      <c r="AL545" s="23"/>
      <c r="AM545" s="23"/>
    </row>
    <row r="546" spans="17:39">
      <c r="Q546" s="6">
        <v>516</v>
      </c>
      <c r="R546" s="7">
        <v>43183</v>
      </c>
      <c r="S546" s="210">
        <v>3.5</v>
      </c>
      <c r="T546" s="8">
        <v>1.0000972222222222</v>
      </c>
      <c r="U546" s="98">
        <v>3.612147021209311</v>
      </c>
      <c r="V546" s="106">
        <v>27448.782736863443</v>
      </c>
      <c r="W546" s="10">
        <v>0.38951158670554875</v>
      </c>
      <c r="X546" s="413">
        <v>0.38448510752035209</v>
      </c>
      <c r="Y546" s="414">
        <v>0.29909162139038037</v>
      </c>
      <c r="Z546" s="1"/>
      <c r="AA546" s="1"/>
      <c r="AB546" s="1"/>
      <c r="AC546" s="1"/>
      <c r="AD546" s="1"/>
      <c r="AL546" s="23"/>
      <c r="AM546" s="23"/>
    </row>
    <row r="547" spans="17:39">
      <c r="Q547" s="6">
        <v>517</v>
      </c>
      <c r="R547" s="7">
        <v>43184</v>
      </c>
      <c r="S547" s="210">
        <v>3.5</v>
      </c>
      <c r="T547" s="8">
        <v>1.0000972222222222</v>
      </c>
      <c r="U547" s="98">
        <v>3.612147021209311</v>
      </c>
      <c r="V547" s="106">
        <v>27450.993675001435</v>
      </c>
      <c r="W547" s="10">
        <v>0.38993840535619384</v>
      </c>
      <c r="X547" s="413">
        <v>0.38490881121083625</v>
      </c>
      <c r="Y547" s="414">
        <v>0.29910628188351179</v>
      </c>
      <c r="Z547" s="1"/>
      <c r="AA547" s="1"/>
      <c r="AB547" s="1"/>
      <c r="AC547" s="1"/>
      <c r="AD547" s="1"/>
      <c r="AL547" s="23"/>
      <c r="AM547" s="23"/>
    </row>
    <row r="548" spans="17:39">
      <c r="Q548" s="6">
        <v>518</v>
      </c>
      <c r="R548" s="7">
        <v>43185</v>
      </c>
      <c r="S548" s="210">
        <v>3.5</v>
      </c>
      <c r="T548" s="8">
        <v>1.0000972222222222</v>
      </c>
      <c r="U548" s="98">
        <v>3.612147021209311</v>
      </c>
      <c r="V548" s="106">
        <v>27453.204791225558</v>
      </c>
      <c r="W548" s="10">
        <v>0.39036357786259579</v>
      </c>
      <c r="X548" s="413">
        <v>0.38533089840618823</v>
      </c>
      <c r="Y548" s="414">
        <v>0.29912094333081307</v>
      </c>
      <c r="Z548" s="1"/>
      <c r="AA548" s="1"/>
      <c r="AB548" s="1"/>
      <c r="AC548" s="1"/>
      <c r="AD548" s="1"/>
      <c r="AL548" s="23"/>
      <c r="AM548" s="23"/>
    </row>
    <row r="549" spans="17:39">
      <c r="Q549" s="6">
        <v>519</v>
      </c>
      <c r="R549" s="7">
        <v>43186</v>
      </c>
      <c r="S549" s="210">
        <v>3.5</v>
      </c>
      <c r="T549" s="8">
        <v>1.0000972222222222</v>
      </c>
      <c r="U549" s="98">
        <v>3.612147021209311</v>
      </c>
      <c r="V549" s="106">
        <v>27455.41608555015</v>
      </c>
      <c r="W549" s="10">
        <v>0.39078711372957375</v>
      </c>
      <c r="X549" s="413">
        <v>0.38575137845058782</v>
      </c>
      <c r="Y549" s="414">
        <v>0.29913560573235076</v>
      </c>
      <c r="Z549" s="1"/>
      <c r="AA549" s="1"/>
      <c r="AB549" s="1"/>
      <c r="AC549" s="1"/>
      <c r="AD549" s="1"/>
      <c r="AL549" s="23"/>
      <c r="AM549" s="23"/>
    </row>
    <row r="550" spans="17:39">
      <c r="Q550" s="6">
        <v>520</v>
      </c>
      <c r="R550" s="7">
        <v>43187</v>
      </c>
      <c r="S550" s="210">
        <v>3.5</v>
      </c>
      <c r="T550" s="8">
        <v>1.0000972222222222</v>
      </c>
      <c r="U550" s="98">
        <v>3.612147021209311</v>
      </c>
      <c r="V550" s="106">
        <v>27457.627557989566</v>
      </c>
      <c r="W550" s="10">
        <v>0.39120902238900523</v>
      </c>
      <c r="X550" s="413">
        <v>0.38617026061641324</v>
      </c>
      <c r="Y550" s="414">
        <v>0.2991502690881972</v>
      </c>
      <c r="Z550" s="1"/>
      <c r="AA550" s="1"/>
      <c r="AB550" s="1"/>
      <c r="AC550" s="1"/>
      <c r="AD550" s="1"/>
      <c r="AL550" s="23"/>
      <c r="AM550" s="23"/>
    </row>
    <row r="551" spans="17:39">
      <c r="Q551" s="6">
        <v>521</v>
      </c>
      <c r="R551" s="7">
        <v>43188</v>
      </c>
      <c r="S551" s="210">
        <v>3.5</v>
      </c>
      <c r="T551" s="8">
        <v>1.0000972222222222</v>
      </c>
      <c r="U551" s="98">
        <v>3.612147021209311</v>
      </c>
      <c r="V551" s="106">
        <v>27459.839208558144</v>
      </c>
      <c r="W551" s="10">
        <v>0.3916293132004256</v>
      </c>
      <c r="X551" s="413">
        <v>0.38658755410482315</v>
      </c>
      <c r="Y551" s="414">
        <v>0.29916493339842165</v>
      </c>
      <c r="Z551" s="1"/>
      <c r="AA551" s="1"/>
      <c r="AB551" s="1"/>
      <c r="AC551" s="1"/>
      <c r="AD551" s="1"/>
      <c r="AL551" s="23"/>
      <c r="AM551" s="23"/>
    </row>
    <row r="552" spans="17:39">
      <c r="Q552" s="6">
        <v>522</v>
      </c>
      <c r="R552" s="7">
        <v>43189</v>
      </c>
      <c r="S552" s="210">
        <v>3.5</v>
      </c>
      <c r="T552" s="8">
        <v>1.0000972222222222</v>
      </c>
      <c r="U552" s="98">
        <v>3.612147021209311</v>
      </c>
      <c r="V552" s="106">
        <v>27462.05103727023</v>
      </c>
      <c r="W552" s="10">
        <v>0.39204799545167202</v>
      </c>
      <c r="X552" s="413">
        <v>0.38700326804645357</v>
      </c>
      <c r="Y552" s="414">
        <v>0.2991795986630929</v>
      </c>
      <c r="Z552" s="1"/>
      <c r="AA552" s="1"/>
      <c r="AB552" s="1"/>
      <c r="AC552" s="1"/>
      <c r="AD552" s="1"/>
      <c r="AL552" s="23"/>
      <c r="AM552" s="23"/>
    </row>
    <row r="553" spans="17:39">
      <c r="Q553" s="6">
        <v>523</v>
      </c>
      <c r="R553" s="7">
        <v>43190</v>
      </c>
      <c r="S553" s="210">
        <v>3.5</v>
      </c>
      <c r="T553" s="8">
        <v>1.0000972222222222</v>
      </c>
      <c r="U553" s="98">
        <v>3.612147021209311</v>
      </c>
      <c r="V553" s="106">
        <v>27464.263044140185</v>
      </c>
      <c r="W553" s="10">
        <v>0.3924650783596606</v>
      </c>
      <c r="X553" s="413">
        <v>0.38741741150212339</v>
      </c>
      <c r="Y553" s="414">
        <v>0.29919426488228168</v>
      </c>
      <c r="Z553" s="1"/>
      <c r="AA553" s="1"/>
      <c r="AB553" s="1"/>
      <c r="AC553" s="1"/>
      <c r="AD553" s="1"/>
      <c r="AL553" s="23"/>
      <c r="AM553" s="23"/>
    </row>
    <row r="554" spans="17:39">
      <c r="Q554" s="6">
        <v>524</v>
      </c>
      <c r="R554" s="7">
        <v>43191</v>
      </c>
      <c r="S554" s="210">
        <v>3.5</v>
      </c>
      <c r="T554" s="8">
        <v>1.0000972222222222</v>
      </c>
      <c r="U554" s="98">
        <v>3.612147021209311</v>
      </c>
      <c r="V554" s="106">
        <v>27466.475229182353</v>
      </c>
      <c r="W554" s="10">
        <v>0.39288057107103036</v>
      </c>
      <c r="X554" s="413">
        <v>0.38782999346346958</v>
      </c>
      <c r="Y554" s="414">
        <v>0.29920893205605692</v>
      </c>
      <c r="Z554" s="1"/>
      <c r="AA554" s="1"/>
      <c r="AB554" s="1"/>
      <c r="AC554" s="1"/>
      <c r="AD554" s="1"/>
      <c r="AL554" s="23"/>
      <c r="AM554" s="23"/>
    </row>
    <row r="555" spans="17:39">
      <c r="Q555" s="6">
        <v>525</v>
      </c>
      <c r="R555" s="7">
        <v>43192</v>
      </c>
      <c r="S555" s="210">
        <v>3.5</v>
      </c>
      <c r="T555" s="8">
        <v>1.0000972222222222</v>
      </c>
      <c r="U555" s="98">
        <v>3.612147021209311</v>
      </c>
      <c r="V555" s="106">
        <v>27468.687592411083</v>
      </c>
      <c r="W555" s="10">
        <v>0.39329448266280931</v>
      </c>
      <c r="X555" s="413">
        <v>0.38824102285368206</v>
      </c>
      <c r="Y555" s="414">
        <v>0.29922360018448962</v>
      </c>
      <c r="Z555" s="1"/>
      <c r="AA555" s="1"/>
      <c r="AB555" s="1"/>
      <c r="AC555" s="1"/>
      <c r="AD555" s="1"/>
      <c r="AL555" s="23"/>
      <c r="AM555" s="23"/>
    </row>
    <row r="556" spans="17:39">
      <c r="Q556" s="6">
        <v>526</v>
      </c>
      <c r="R556" s="7">
        <v>43193</v>
      </c>
      <c r="S556" s="210">
        <v>3.5</v>
      </c>
      <c r="T556" s="8">
        <v>1.0000972222222222</v>
      </c>
      <c r="U556" s="98">
        <v>3.612147021209311</v>
      </c>
      <c r="V556" s="106">
        <v>27470.900133840729</v>
      </c>
      <c r="W556" s="10">
        <v>0.39370682214305841</v>
      </c>
      <c r="X556" s="413">
        <v>0.38865050852800309</v>
      </c>
      <c r="Y556" s="414">
        <v>0.29923826926764763</v>
      </c>
      <c r="Z556" s="1"/>
      <c r="AA556" s="1"/>
      <c r="AB556" s="1"/>
      <c r="AC556" s="1"/>
      <c r="AD556" s="1"/>
      <c r="AL556" s="23"/>
      <c r="AM556" s="23"/>
    </row>
    <row r="557" spans="17:39">
      <c r="Q557" s="6">
        <v>527</v>
      </c>
      <c r="R557" s="7">
        <v>43194</v>
      </c>
      <c r="S557" s="210">
        <v>3.5</v>
      </c>
      <c r="T557" s="8">
        <v>1.0000972222222222</v>
      </c>
      <c r="U557" s="98">
        <v>3.6121470212092888</v>
      </c>
      <c r="V557" s="106">
        <v>27473.112853485643</v>
      </c>
      <c r="W557" s="10">
        <v>0.39411759845153771</v>
      </c>
      <c r="X557" s="413">
        <v>0.38905845927453786</v>
      </c>
      <c r="Y557" s="414">
        <v>0.29925293930560082</v>
      </c>
      <c r="Z557" s="1"/>
      <c r="AA557" s="1"/>
      <c r="AB557" s="1"/>
      <c r="AC557" s="1"/>
      <c r="AD557" s="1"/>
      <c r="AL557" s="23"/>
      <c r="AM557" s="23"/>
    </row>
    <row r="558" spans="17:39">
      <c r="Q558" s="6">
        <v>528</v>
      </c>
      <c r="R558" s="7">
        <v>43195</v>
      </c>
      <c r="S558" s="210">
        <v>3.5</v>
      </c>
      <c r="T558" s="8">
        <v>1.0000972222222222</v>
      </c>
      <c r="U558" s="98">
        <v>3.6121470212092888</v>
      </c>
      <c r="V558" s="106">
        <v>27475.325751360186</v>
      </c>
      <c r="W558" s="10">
        <v>0.39452682046037246</v>
      </c>
      <c r="X558" s="413">
        <v>0.38946488381475469</v>
      </c>
      <c r="Y558" s="414">
        <v>0.29926761029842242</v>
      </c>
      <c r="Z558" s="1"/>
      <c r="AA558" s="1"/>
      <c r="AB558" s="1"/>
      <c r="AC558" s="1"/>
      <c r="AD558" s="1"/>
      <c r="AL558" s="23"/>
      <c r="AM558" s="23"/>
    </row>
    <row r="559" spans="17:39">
      <c r="Q559" s="6">
        <v>529</v>
      </c>
      <c r="R559" s="7">
        <v>43196</v>
      </c>
      <c r="S559" s="210">
        <v>3.5</v>
      </c>
      <c r="T559" s="8">
        <v>1.0000972222222222</v>
      </c>
      <c r="U559" s="98">
        <v>3.6121470212092888</v>
      </c>
      <c r="V559" s="106">
        <v>27477.538827478707</v>
      </c>
      <c r="W559" s="10">
        <v>0.39493449697467486</v>
      </c>
      <c r="X559" s="413">
        <v>0.38986979080426565</v>
      </c>
      <c r="Y559" s="414">
        <v>0.29928228224617998</v>
      </c>
      <c r="Z559" s="1"/>
      <c r="AA559" s="1"/>
      <c r="AB559" s="1"/>
      <c r="AC559" s="1"/>
      <c r="AD559" s="1"/>
      <c r="AL559" s="23"/>
      <c r="AM559" s="23"/>
    </row>
    <row r="560" spans="17:39">
      <c r="Q560" s="6">
        <v>530</v>
      </c>
      <c r="R560" s="7">
        <v>43197</v>
      </c>
      <c r="S560" s="210">
        <v>3.5</v>
      </c>
      <c r="T560" s="8">
        <v>1.0000972222222222</v>
      </c>
      <c r="U560" s="98">
        <v>3.6121470212092888</v>
      </c>
      <c r="V560" s="106">
        <v>27479.752081855568</v>
      </c>
      <c r="W560" s="10">
        <v>0.39534063673312136</v>
      </c>
      <c r="X560" s="413">
        <v>0.39027318883320661</v>
      </c>
      <c r="Y560" s="414">
        <v>0.29929695514894172</v>
      </c>
      <c r="Z560" s="1"/>
      <c r="AA560" s="1"/>
      <c r="AB560" s="1"/>
      <c r="AC560" s="1"/>
      <c r="AD560" s="1"/>
      <c r="AL560" s="23"/>
      <c r="AM560" s="23"/>
    </row>
    <row r="561" spans="17:39">
      <c r="Q561" s="6">
        <v>531</v>
      </c>
      <c r="R561" s="7">
        <v>43198</v>
      </c>
      <c r="S561" s="210">
        <v>3.5</v>
      </c>
      <c r="T561" s="8">
        <v>1.0000972222222222</v>
      </c>
      <c r="U561" s="98">
        <v>3.6121470212092888</v>
      </c>
      <c r="V561" s="106">
        <v>27481.965514505122</v>
      </c>
      <c r="W561" s="10">
        <v>0.39574524840872982</v>
      </c>
      <c r="X561" s="413">
        <v>0.39067508642718507</v>
      </c>
      <c r="Y561" s="414">
        <v>0.2993116290067806</v>
      </c>
      <c r="Z561" s="1"/>
      <c r="AA561" s="1"/>
      <c r="AB561" s="1"/>
      <c r="AC561" s="1"/>
      <c r="AD561" s="1"/>
      <c r="AL561" s="23"/>
      <c r="AM561" s="23"/>
    </row>
    <row r="562" spans="17:39">
      <c r="Q562" s="6">
        <v>532</v>
      </c>
      <c r="R562" s="7">
        <v>43199</v>
      </c>
      <c r="S562" s="210">
        <v>3.5</v>
      </c>
      <c r="T562" s="8">
        <v>1.0000972222222222</v>
      </c>
      <c r="U562" s="98">
        <v>3.6121470212092888</v>
      </c>
      <c r="V562" s="106">
        <v>27484.179125441737</v>
      </c>
      <c r="W562" s="10">
        <v>0.39614834060925919</v>
      </c>
      <c r="X562" s="413">
        <v>0.39107549204754066</v>
      </c>
      <c r="Y562" s="414">
        <v>0.29932630381976377</v>
      </c>
      <c r="Z562" s="1"/>
      <c r="AA562" s="1"/>
      <c r="AB562" s="1"/>
      <c r="AC562" s="1"/>
      <c r="AD562" s="1"/>
      <c r="AL562" s="23"/>
      <c r="AM562" s="23"/>
    </row>
    <row r="563" spans="17:39">
      <c r="Q563" s="6">
        <v>533</v>
      </c>
      <c r="R563" s="7">
        <v>43200</v>
      </c>
      <c r="S563" s="210">
        <v>3.5</v>
      </c>
      <c r="T563" s="8">
        <v>1.0000972222222222</v>
      </c>
      <c r="U563" s="98">
        <v>3.6121470212092888</v>
      </c>
      <c r="V563" s="106">
        <v>27486.466710725279</v>
      </c>
      <c r="W563" s="10">
        <v>0.39636533585982736</v>
      </c>
      <c r="X563" s="413">
        <v>0.3912920247874937</v>
      </c>
      <c r="Y563" s="414">
        <v>0.29934097958796296</v>
      </c>
      <c r="Z563" s="1"/>
      <c r="AA563" s="1"/>
      <c r="AB563" s="1"/>
      <c r="AC563" s="1"/>
      <c r="AD563" s="1"/>
      <c r="AL563" s="23"/>
      <c r="AM563" s="23"/>
    </row>
    <row r="564" spans="17:39">
      <c r="Q564" s="6">
        <v>534</v>
      </c>
      <c r="R564" s="7">
        <v>43201</v>
      </c>
      <c r="S564" s="210">
        <v>3.5</v>
      </c>
      <c r="T564" s="8">
        <v>1.0000972222222222</v>
      </c>
      <c r="U564" s="98">
        <v>3.6121470212092888</v>
      </c>
      <c r="V564" s="106">
        <v>27488.754486410962</v>
      </c>
      <c r="W564" s="10">
        <v>0.39658151886046156</v>
      </c>
      <c r="X564" s="413">
        <v>0.39150775981094643</v>
      </c>
      <c r="Y564" s="414">
        <v>0.29935565631144706</v>
      </c>
      <c r="Z564" s="1"/>
      <c r="AA564" s="1"/>
      <c r="AB564" s="1"/>
      <c r="AC564" s="1"/>
      <c r="AD564" s="1"/>
      <c r="AL564" s="23"/>
      <c r="AM564" s="23"/>
    </row>
    <row r="565" spans="17:39">
      <c r="Q565" s="6">
        <v>535</v>
      </c>
      <c r="R565" s="7">
        <v>43202</v>
      </c>
      <c r="S565" s="210">
        <v>3.5</v>
      </c>
      <c r="T565" s="8">
        <v>1.0000972222222222</v>
      </c>
      <c r="U565" s="98">
        <v>3.6121470212092888</v>
      </c>
      <c r="V565" s="106">
        <v>27491.04245251463</v>
      </c>
      <c r="W565" s="10">
        <v>0.39679689416323161</v>
      </c>
      <c r="X565" s="413">
        <v>0.39172270159125461</v>
      </c>
      <c r="Y565" s="414">
        <v>0.29937033399028529</v>
      </c>
      <c r="Z565" s="1"/>
      <c r="AA565" s="1"/>
      <c r="AB565" s="1"/>
      <c r="AC565" s="1"/>
      <c r="AD565" s="1"/>
      <c r="AL565" s="23"/>
      <c r="AM565" s="23"/>
    </row>
    <row r="566" spans="17:39">
      <c r="Q566" s="6">
        <v>536</v>
      </c>
      <c r="R566" s="7">
        <v>43203</v>
      </c>
      <c r="S566" s="210">
        <v>3.5</v>
      </c>
      <c r="T566" s="8">
        <v>1.0000972222222222</v>
      </c>
      <c r="U566" s="98">
        <v>3.6121470212092888</v>
      </c>
      <c r="V566" s="106">
        <v>27493.330609052126</v>
      </c>
      <c r="W566" s="10">
        <v>0.39701146628627892</v>
      </c>
      <c r="X566" s="413">
        <v>0.3919368545684358</v>
      </c>
      <c r="Y566" s="414">
        <v>0.29938501262454803</v>
      </c>
      <c r="Z566" s="1"/>
      <c r="AA566" s="1"/>
      <c r="AB566" s="1"/>
      <c r="AC566" s="1"/>
      <c r="AD566" s="1"/>
      <c r="AL566" s="23"/>
      <c r="AM566" s="23"/>
    </row>
    <row r="567" spans="17:39">
      <c r="Q567" s="6">
        <v>537</v>
      </c>
      <c r="R567" s="7">
        <v>43204</v>
      </c>
      <c r="S567" s="210">
        <v>3.5</v>
      </c>
      <c r="T567" s="8">
        <v>1.0000972222222222</v>
      </c>
      <c r="U567" s="98">
        <v>3.6121470212092888</v>
      </c>
      <c r="V567" s="106">
        <v>27495.618956039307</v>
      </c>
      <c r="W567" s="10">
        <v>0.39722523971406076</v>
      </c>
      <c r="X567" s="413">
        <v>0.3921502231493601</v>
      </c>
      <c r="Y567" s="414">
        <v>0.29939969221430607</v>
      </c>
      <c r="Z567" s="1"/>
      <c r="AA567" s="1"/>
      <c r="AB567" s="1"/>
      <c r="AC567" s="1"/>
      <c r="AD567" s="1"/>
      <c r="AL567" s="23"/>
      <c r="AM567" s="23"/>
    </row>
    <row r="568" spans="17:39">
      <c r="Q568" s="6">
        <v>538</v>
      </c>
      <c r="R568" s="7">
        <v>43205</v>
      </c>
      <c r="S568" s="210">
        <v>3.5</v>
      </c>
      <c r="T568" s="8">
        <v>1.0000972222222222</v>
      </c>
      <c r="U568" s="98">
        <v>3.6121470212092888</v>
      </c>
      <c r="V568" s="106">
        <v>27497.907493492021</v>
      </c>
      <c r="W568" s="10">
        <v>0.39743821889774988</v>
      </c>
      <c r="X568" s="413">
        <v>0.3923628117082073</v>
      </c>
      <c r="Y568" s="414">
        <v>0.29941437275962851</v>
      </c>
      <c r="Z568" s="1"/>
      <c r="AA568" s="1"/>
      <c r="AB568" s="1"/>
      <c r="AC568" s="1"/>
      <c r="AD568" s="1"/>
      <c r="AL568" s="23"/>
      <c r="AM568" s="23"/>
    </row>
    <row r="569" spans="17:39">
      <c r="Q569" s="6">
        <v>539</v>
      </c>
      <c r="R569" s="7">
        <v>43206</v>
      </c>
      <c r="S569" s="210">
        <v>3.5020547945205478</v>
      </c>
      <c r="T569" s="8">
        <v>1.0000972792998477</v>
      </c>
      <c r="U569" s="98">
        <v>3.6121510256184486</v>
      </c>
      <c r="V569" s="106">
        <v>27500.196221426126</v>
      </c>
      <c r="W569" s="10">
        <v>0.39765428843052675</v>
      </c>
      <c r="X569" s="413">
        <v>0.39257845885580572</v>
      </c>
      <c r="Y569" s="414">
        <v>0.29942938900496718</v>
      </c>
      <c r="Z569" s="1"/>
      <c r="AA569" s="1"/>
      <c r="AB569" s="1"/>
      <c r="AC569" s="1"/>
      <c r="AD569" s="1"/>
      <c r="AL569" s="23"/>
      <c r="AM569" s="23"/>
    </row>
    <row r="570" spans="17:39">
      <c r="Q570" s="6">
        <v>540</v>
      </c>
      <c r="R570" s="7">
        <v>43207</v>
      </c>
      <c r="S570" s="210">
        <v>3.504109589041096</v>
      </c>
      <c r="T570" s="8">
        <v>1.0000973363774734</v>
      </c>
      <c r="U570" s="98">
        <v>3.6121590121902969</v>
      </c>
      <c r="V570" s="106">
        <v>27502.485139857479</v>
      </c>
      <c r="W570" s="10">
        <v>0.39787343116601814</v>
      </c>
      <c r="X570" s="413">
        <v>0.3927971477612443</v>
      </c>
      <c r="Y570" s="414">
        <v>0.29944473918819514</v>
      </c>
      <c r="Z570" s="1"/>
      <c r="AA570" s="1"/>
      <c r="AB570" s="1"/>
      <c r="AC570" s="1"/>
      <c r="AD570" s="1"/>
      <c r="AL570" s="23"/>
      <c r="AM570" s="23"/>
    </row>
    <row r="571" spans="17:39">
      <c r="Q571" s="6">
        <v>541</v>
      </c>
      <c r="R571" s="7">
        <v>43208</v>
      </c>
      <c r="S571" s="210">
        <v>3.5061643835616438</v>
      </c>
      <c r="T571" s="8">
        <v>1.000097393455099</v>
      </c>
      <c r="U571" s="98">
        <v>3.6121709588432527</v>
      </c>
      <c r="V571" s="106">
        <v>27504.774248801925</v>
      </c>
      <c r="W571" s="10">
        <v>0.39809563008488258</v>
      </c>
      <c r="X571" s="413">
        <v>0.39301886171869038</v>
      </c>
      <c r="Y571" s="414">
        <v>0.29946042156028208</v>
      </c>
      <c r="Z571" s="1"/>
      <c r="AA571" s="1"/>
      <c r="AB571" s="1"/>
      <c r="AC571" s="1"/>
      <c r="AD571" s="1"/>
      <c r="AL571" s="23"/>
      <c r="AM571" s="23"/>
    </row>
    <row r="572" spans="17:39">
      <c r="Q572" s="6">
        <v>542</v>
      </c>
      <c r="R572" s="7">
        <v>43209</v>
      </c>
      <c r="S572" s="210">
        <v>3.5082191780821916</v>
      </c>
      <c r="T572" s="8">
        <v>1.0000974505327245</v>
      </c>
      <c r="U572" s="98">
        <v>3.6121868436592042</v>
      </c>
      <c r="V572" s="106">
        <v>27507.063548275324</v>
      </c>
      <c r="W572" s="10">
        <v>0.39832086829358904</v>
      </c>
      <c r="X572" s="413">
        <v>0.39324358414620653</v>
      </c>
      <c r="Y572" s="414">
        <v>0.29947643438519145</v>
      </c>
      <c r="Z572" s="1"/>
      <c r="AA572" s="1"/>
      <c r="AB572" s="1"/>
      <c r="AC572" s="1"/>
      <c r="AD572" s="1"/>
      <c r="AL572" s="23"/>
      <c r="AM572" s="23"/>
    </row>
    <row r="573" spans="17:39">
      <c r="Q573" s="6">
        <v>543</v>
      </c>
      <c r="R573" s="7">
        <v>43210</v>
      </c>
      <c r="S573" s="210">
        <v>3.5102739726027399</v>
      </c>
      <c r="T573" s="8">
        <v>1.00009750761035</v>
      </c>
      <c r="U573" s="98">
        <v>3.6122066448819545</v>
      </c>
      <c r="V573" s="106">
        <v>27509.353038293542</v>
      </c>
      <c r="W573" s="10">
        <v>0.39854912902346218</v>
      </c>
      <c r="X573" s="413">
        <v>0.39347129858477087</v>
      </c>
      <c r="Y573" s="414">
        <v>0.29949277593974649</v>
      </c>
      <c r="Z573" s="1"/>
      <c r="AA573" s="1"/>
      <c r="AB573" s="1"/>
      <c r="AC573" s="1"/>
      <c r="AD573" s="1"/>
      <c r="AL573" s="23"/>
      <c r="AM573" s="23"/>
    </row>
    <row r="574" spans="17:39">
      <c r="Q574" s="6">
        <v>544</v>
      </c>
      <c r="R574" s="7">
        <v>43211</v>
      </c>
      <c r="S574" s="210">
        <v>3.5123287671232877</v>
      </c>
      <c r="T574" s="8">
        <v>1.0000975646879757</v>
      </c>
      <c r="U574" s="98">
        <v>3.6122303409156897</v>
      </c>
      <c r="V574" s="106">
        <v>27511.64271887243</v>
      </c>
      <c r="W574" s="10">
        <v>0.39878039562932788</v>
      </c>
      <c r="X574" s="413">
        <v>0.39370198869700124</v>
      </c>
      <c r="Y574" s="414">
        <v>0.29950944451352046</v>
      </c>
      <c r="Z574" s="1"/>
      <c r="AA574" s="1"/>
      <c r="AB574" s="1"/>
      <c r="AC574" s="1"/>
      <c r="AD574" s="1"/>
      <c r="AL574" s="23"/>
      <c r="AM574" s="23"/>
    </row>
    <row r="575" spans="17:39">
      <c r="Q575" s="6">
        <v>545</v>
      </c>
      <c r="R575" s="7">
        <v>43212</v>
      </c>
      <c r="S575" s="210">
        <v>3.5143835616438355</v>
      </c>
      <c r="T575" s="8">
        <v>1.0000976217656012</v>
      </c>
      <c r="U575" s="98">
        <v>3.6122579103235353</v>
      </c>
      <c r="V575" s="106">
        <v>27513.932590027856</v>
      </c>
      <c r="W575" s="10">
        <v>0.39901465158840299</v>
      </c>
      <c r="X575" s="413">
        <v>0.39393563826600964</v>
      </c>
      <c r="Y575" s="414">
        <v>0.29952643840871096</v>
      </c>
      <c r="Z575" s="1"/>
      <c r="AA575" s="1"/>
      <c r="AB575" s="1"/>
      <c r="AC575" s="1"/>
      <c r="AD575" s="1"/>
      <c r="AL575" s="23"/>
      <c r="AM575" s="23"/>
    </row>
    <row r="576" spans="17:39">
      <c r="Q576" s="6">
        <v>546</v>
      </c>
      <c r="R576" s="7">
        <v>43213</v>
      </c>
      <c r="S576" s="210">
        <v>3.5164383561643837</v>
      </c>
      <c r="T576" s="8">
        <v>1.0000976788432268</v>
      </c>
      <c r="U576" s="98">
        <v>3.6122893318260907</v>
      </c>
      <c r="V576" s="106">
        <v>27516.222651775675</v>
      </c>
      <c r="W576" s="10">
        <v>0.39925188049927396</v>
      </c>
      <c r="X576" s="413">
        <v>0.39417223119443018</v>
      </c>
      <c r="Y576" s="414">
        <v>0.29954375594003319</v>
      </c>
      <c r="Z576" s="1"/>
      <c r="AA576" s="1"/>
      <c r="AB576" s="1"/>
      <c r="AC576" s="1"/>
      <c r="AD576" s="1"/>
      <c r="AL576" s="23"/>
      <c r="AM576" s="23"/>
    </row>
    <row r="577" spans="17:39">
      <c r="Q577" s="6">
        <v>547</v>
      </c>
      <c r="R577" s="7">
        <v>43214</v>
      </c>
      <c r="S577" s="210">
        <v>3.5184931506849315</v>
      </c>
      <c r="T577" s="8">
        <v>1.0000977359208523</v>
      </c>
      <c r="U577" s="98">
        <v>3.6123245843000307</v>
      </c>
      <c r="V577" s="106">
        <v>27518.512904131752</v>
      </c>
      <c r="W577" s="10">
        <v>0.39949206608076437</v>
      </c>
      <c r="X577" s="413">
        <v>0.39441175150328328</v>
      </c>
      <c r="Y577" s="414">
        <v>0.29956139543460397</v>
      </c>
      <c r="Z577" s="1"/>
      <c r="AA577" s="1"/>
      <c r="AB577" s="1"/>
      <c r="AC577" s="1"/>
      <c r="AD577" s="1"/>
      <c r="AL577" s="23"/>
      <c r="AM577" s="23"/>
    </row>
    <row r="578" spans="17:39">
      <c r="Q578" s="6">
        <v>548</v>
      </c>
      <c r="R578" s="7">
        <v>43215</v>
      </c>
      <c r="S578" s="210">
        <v>3.5205479452054793</v>
      </c>
      <c r="T578" s="8">
        <v>1.000097792998478</v>
      </c>
      <c r="U578" s="98">
        <v>3.6123636467766174</v>
      </c>
      <c r="V578" s="106">
        <v>27520.803347111952</v>
      </c>
      <c r="W578" s="10">
        <v>0.39973519217069153</v>
      </c>
      <c r="X578" s="413">
        <v>0.39465418333079294</v>
      </c>
      <c r="Y578" s="414">
        <v>0.299579355231824</v>
      </c>
      <c r="Z578" s="1"/>
      <c r="AA578" s="1"/>
      <c r="AB578" s="1"/>
      <c r="AC578" s="1"/>
      <c r="AD578" s="1"/>
      <c r="AL578" s="23"/>
      <c r="AM578" s="23"/>
    </row>
    <row r="579" spans="17:39">
      <c r="Q579" s="6">
        <v>549</v>
      </c>
      <c r="R579" s="7">
        <v>43216</v>
      </c>
      <c r="S579" s="210">
        <v>3.5226027397260276</v>
      </c>
      <c r="T579" s="8">
        <v>1.0000978500761035</v>
      </c>
      <c r="U579" s="98">
        <v>3.6124064984402793</v>
      </c>
      <c r="V579" s="106">
        <v>27523.093980732145</v>
      </c>
      <c r="W579" s="10">
        <v>0.39998124272495605</v>
      </c>
      <c r="X579" s="413">
        <v>0.39489951093145059</v>
      </c>
      <c r="Y579" s="414">
        <v>0.29959763368326703</v>
      </c>
      <c r="Z579" s="1"/>
      <c r="AA579" s="1"/>
      <c r="AB579" s="1"/>
      <c r="AC579" s="1"/>
      <c r="AD579" s="1"/>
      <c r="AL579" s="23"/>
      <c r="AM579" s="23"/>
    </row>
    <row r="580" spans="17:39">
      <c r="Q580" s="6">
        <v>550</v>
      </c>
      <c r="R580" s="7">
        <v>43217</v>
      </c>
      <c r="S580" s="210">
        <v>3.5246575342465754</v>
      </c>
      <c r="T580" s="8">
        <v>1.000097907153729</v>
      </c>
      <c r="U580" s="98">
        <v>3.612453118627279</v>
      </c>
      <c r="V580" s="106">
        <v>27525.384805008202</v>
      </c>
      <c r="W580" s="10">
        <v>0.40023020181638724</v>
      </c>
      <c r="X580" s="413">
        <v>0.39514771867491466</v>
      </c>
      <c r="Y580" s="414">
        <v>0.29961622915257641</v>
      </c>
      <c r="Z580" s="1"/>
      <c r="AA580" s="1"/>
      <c r="AB580" s="1"/>
      <c r="AC580" s="1"/>
      <c r="AD580" s="1"/>
      <c r="AL580" s="23"/>
      <c r="AM580" s="23"/>
    </row>
    <row r="581" spans="17:39">
      <c r="Q581" s="6">
        <v>551</v>
      </c>
      <c r="R581" s="7">
        <v>43218</v>
      </c>
      <c r="S581" s="210">
        <v>3.5267123287671232</v>
      </c>
      <c r="T581" s="8">
        <v>1.0000979642313546</v>
      </c>
      <c r="U581" s="98">
        <v>3.6125034868243144</v>
      </c>
      <c r="V581" s="106">
        <v>27527.675819955977</v>
      </c>
      <c r="W581" s="10">
        <v>0.40048205363372169</v>
      </c>
      <c r="X581" s="413">
        <v>0.39539879104496506</v>
      </c>
      <c r="Y581" s="414">
        <v>0.29963514001534619</v>
      </c>
      <c r="Z581" s="1"/>
      <c r="AA581" s="1"/>
      <c r="AB581" s="1"/>
      <c r="AC581" s="1"/>
      <c r="AD581" s="1"/>
      <c r="AL581" s="23"/>
      <c r="AM581" s="23"/>
    </row>
    <row r="582" spans="17:39">
      <c r="Q582" s="6">
        <v>552</v>
      </c>
      <c r="R582" s="7">
        <v>43219</v>
      </c>
      <c r="S582" s="210">
        <v>3.5287671232876714</v>
      </c>
      <c r="T582" s="8">
        <v>1.0000980213089803</v>
      </c>
      <c r="U582" s="98">
        <v>3.6125575826670975</v>
      </c>
      <c r="V582" s="106">
        <v>27529.967025591355</v>
      </c>
      <c r="W582" s="10">
        <v>0.40073678248047084</v>
      </c>
      <c r="X582" s="413">
        <v>0.39565271263845547</v>
      </c>
      <c r="Y582" s="414">
        <v>0.2996543646590174</v>
      </c>
      <c r="Z582" s="1"/>
      <c r="AA582" s="1"/>
      <c r="AB582" s="1"/>
      <c r="AC582" s="1"/>
      <c r="AD582" s="1"/>
      <c r="AL582" s="23"/>
      <c r="AM582" s="23"/>
    </row>
    <row r="583" spans="17:39">
      <c r="Q583" s="6">
        <v>553</v>
      </c>
      <c r="R583" s="7">
        <v>43220</v>
      </c>
      <c r="S583" s="210">
        <v>3.5308219178082192</v>
      </c>
      <c r="T583" s="8">
        <v>1.0000980783866058</v>
      </c>
      <c r="U583" s="98">
        <v>3.6126153859390664</v>
      </c>
      <c r="V583" s="106">
        <v>27532.258421930201</v>
      </c>
      <c r="W583" s="10">
        <v>0.40099437277394401</v>
      </c>
      <c r="X583" s="413">
        <v>0.39590946816427608</v>
      </c>
      <c r="Y583" s="414">
        <v>0.29967390148277218</v>
      </c>
      <c r="Z583" s="1"/>
      <c r="AA583" s="1"/>
      <c r="AB583" s="1"/>
      <c r="AC583" s="1"/>
      <c r="AD583" s="1"/>
      <c r="AL583" s="23"/>
      <c r="AM583" s="23"/>
    </row>
    <row r="584" spans="17:39">
      <c r="Q584" s="6">
        <v>554</v>
      </c>
      <c r="R584" s="7">
        <v>43221</v>
      </c>
      <c r="S584" s="210">
        <v>3.532876712328767</v>
      </c>
      <c r="T584" s="8">
        <v>1.0000981354642313</v>
      </c>
      <c r="U584" s="98">
        <v>3.6126768765699868</v>
      </c>
      <c r="V584" s="106">
        <v>27534.550008988383</v>
      </c>
      <c r="W584" s="10">
        <v>0.40125480904420474</v>
      </c>
      <c r="X584" s="413">
        <v>0.3961690424423861</v>
      </c>
      <c r="Y584" s="414">
        <v>0.29969374889742201</v>
      </c>
      <c r="Z584" s="1"/>
      <c r="AA584" s="1"/>
      <c r="AB584" s="1"/>
      <c r="AC584" s="1"/>
      <c r="AD584" s="1"/>
      <c r="AL584" s="23"/>
      <c r="AM584" s="23"/>
    </row>
    <row r="585" spans="17:39">
      <c r="Q585" s="6">
        <v>555</v>
      </c>
      <c r="R585" s="7">
        <v>43222</v>
      </c>
      <c r="S585" s="210">
        <v>3.5349315068493152</v>
      </c>
      <c r="T585" s="8">
        <v>1.0000981925418568</v>
      </c>
      <c r="U585" s="98">
        <v>3.6127420346347083</v>
      </c>
      <c r="V585" s="106">
        <v>27536.841786781788</v>
      </c>
      <c r="W585" s="10">
        <v>0.40151807593304945</v>
      </c>
      <c r="X585" s="413">
        <v>0.39643142040279861</v>
      </c>
      <c r="Y585" s="414">
        <v>0.29971390532531106</v>
      </c>
      <c r="Z585" s="1"/>
      <c r="AA585" s="1"/>
      <c r="AB585" s="1"/>
      <c r="AC585" s="1"/>
      <c r="AD585" s="1"/>
      <c r="AL585" s="23"/>
      <c r="AM585" s="23"/>
    </row>
    <row r="586" spans="17:39">
      <c r="Q586" s="6">
        <v>556</v>
      </c>
      <c r="R586" s="7">
        <v>43223</v>
      </c>
      <c r="S586" s="210">
        <v>3.536986301369863</v>
      </c>
      <c r="T586" s="8">
        <v>1.0000982496194826</v>
      </c>
      <c r="U586" s="98">
        <v>3.61281084035181</v>
      </c>
      <c r="V586" s="106">
        <v>27539.133755326282</v>
      </c>
      <c r="W586" s="10">
        <v>0.40178415819300817</v>
      </c>
      <c r="X586" s="413">
        <v>0.39669658708454741</v>
      </c>
      <c r="Y586" s="414">
        <v>0.29973436920020674</v>
      </c>
      <c r="Z586" s="1"/>
      <c r="AA586" s="1"/>
      <c r="AB586" s="1"/>
      <c r="AC586" s="1"/>
      <c r="AD586" s="1"/>
      <c r="AL586" s="23"/>
      <c r="AM586" s="23"/>
    </row>
    <row r="587" spans="17:39">
      <c r="Q587" s="6">
        <v>557</v>
      </c>
      <c r="R587" s="7">
        <v>43224</v>
      </c>
      <c r="S587" s="210">
        <v>3.5390410958904108</v>
      </c>
      <c r="T587" s="8">
        <v>1.0000983066971081</v>
      </c>
      <c r="U587" s="98">
        <v>3.6128832740822681</v>
      </c>
      <c r="V587" s="106">
        <v>27541.425914637741</v>
      </c>
      <c r="W587" s="10">
        <v>0.4020530406863454</v>
      </c>
      <c r="X587" s="413">
        <v>0.39696452763478074</v>
      </c>
      <c r="Y587" s="414">
        <v>0.29975513896719935</v>
      </c>
      <c r="Z587" s="1"/>
      <c r="AA587" s="1"/>
      <c r="AB587" s="1"/>
      <c r="AC587" s="1"/>
      <c r="AD587" s="1"/>
      <c r="AL587" s="23"/>
      <c r="AM587" s="23"/>
    </row>
    <row r="588" spans="17:39">
      <c r="Q588" s="6">
        <v>558</v>
      </c>
      <c r="R588" s="7">
        <v>43225</v>
      </c>
      <c r="S588" s="210">
        <v>3.5410958904109591</v>
      </c>
      <c r="T588" s="8">
        <v>1.0000983637747336</v>
      </c>
      <c r="U588" s="98">
        <v>3.6129593163282792</v>
      </c>
      <c r="V588" s="106">
        <v>27543.718264732051</v>
      </c>
      <c r="W588" s="10">
        <v>0.40232470838408307</v>
      </c>
      <c r="X588" s="413">
        <v>0.39723522730779204</v>
      </c>
      <c r="Y588" s="414">
        <v>0.29977621308259944</v>
      </c>
      <c r="Z588" s="1"/>
      <c r="AA588" s="1"/>
      <c r="AB588" s="1"/>
      <c r="AC588" s="1"/>
      <c r="AD588" s="1"/>
      <c r="AL588" s="23"/>
      <c r="AM588" s="23"/>
    </row>
    <row r="589" spans="17:39">
      <c r="Q589" s="6">
        <v>559</v>
      </c>
      <c r="R589" s="7">
        <v>43226</v>
      </c>
      <c r="S589" s="210">
        <v>3.5431506849315069</v>
      </c>
      <c r="T589" s="8">
        <v>1.0000984208523591</v>
      </c>
      <c r="U589" s="98">
        <v>3.6130389477319058</v>
      </c>
      <c r="V589" s="106">
        <v>27546.010805625079</v>
      </c>
      <c r="W589" s="10">
        <v>0.40259914636500138</v>
      </c>
      <c r="X589" s="413">
        <v>0.39750867146394742</v>
      </c>
      <c r="Y589" s="414">
        <v>0.29979759001383899</v>
      </c>
      <c r="Z589" s="1"/>
      <c r="AA589" s="1"/>
      <c r="AB589" s="1"/>
      <c r="AC589" s="1"/>
      <c r="AD589" s="1"/>
      <c r="AL589" s="23"/>
      <c r="AM589" s="23"/>
    </row>
    <row r="590" spans="17:39">
      <c r="Q590" s="6">
        <v>560</v>
      </c>
      <c r="R590" s="7">
        <v>43227</v>
      </c>
      <c r="S590" s="210">
        <v>3.5452054794520547</v>
      </c>
      <c r="T590" s="8">
        <v>1.0000984779299849</v>
      </c>
      <c r="U590" s="98">
        <v>3.6131221490738552</v>
      </c>
      <c r="V590" s="106">
        <v>27548.303537332715</v>
      </c>
      <c r="W590" s="10">
        <v>0.40287633981470616</v>
      </c>
      <c r="X590" s="413">
        <v>0.39778484556890958</v>
      </c>
      <c r="Y590" s="414">
        <v>0.29981926823937394</v>
      </c>
      <c r="Z590" s="1"/>
      <c r="AA590" s="1"/>
      <c r="AB590" s="1"/>
      <c r="AC590" s="1"/>
      <c r="AD590" s="1"/>
      <c r="AL590" s="23"/>
      <c r="AM590" s="23"/>
    </row>
    <row r="591" spans="17:39">
      <c r="Q591" s="6">
        <v>561</v>
      </c>
      <c r="R591" s="7">
        <v>43228</v>
      </c>
      <c r="S591" s="210">
        <v>3.5472602739726029</v>
      </c>
      <c r="T591" s="8">
        <v>1.0000985350076104</v>
      </c>
      <c r="U591" s="98">
        <v>3.6132089012722357</v>
      </c>
      <c r="V591" s="106">
        <v>27550.596459870845</v>
      </c>
      <c r="W591" s="10">
        <v>0.40315627402460752</v>
      </c>
      <c r="X591" s="413">
        <v>0.39806373519248611</v>
      </c>
      <c r="Y591" s="414">
        <v>0.299841246248578</v>
      </c>
      <c r="Z591" s="1"/>
      <c r="AA591" s="1"/>
      <c r="AB591" s="1"/>
      <c r="AC591" s="1"/>
      <c r="AD591" s="1"/>
      <c r="AL591" s="23"/>
      <c r="AM591" s="23"/>
    </row>
    <row r="592" spans="17:39">
      <c r="Q592" s="6">
        <v>562</v>
      </c>
      <c r="R592" s="7">
        <v>43229</v>
      </c>
      <c r="S592" s="210">
        <v>3.5493150684931507</v>
      </c>
      <c r="T592" s="8">
        <v>1.0000985920852359</v>
      </c>
      <c r="U592" s="98">
        <v>3.6132991853813357</v>
      </c>
      <c r="V592" s="106">
        <v>27552.889573255339</v>
      </c>
      <c r="W592" s="10">
        <v>0.40343893439112044</v>
      </c>
      <c r="X592" s="413">
        <v>0.39834532600798689</v>
      </c>
      <c r="Y592" s="414">
        <v>0.29986352254165494</v>
      </c>
      <c r="Z592" s="1"/>
      <c r="AA592" s="1"/>
      <c r="AB592" s="1"/>
      <c r="AC592" s="1"/>
      <c r="AD592" s="1"/>
      <c r="AL592" s="23"/>
      <c r="AM592" s="23"/>
    </row>
    <row r="593" spans="17:39">
      <c r="Q593" s="6">
        <v>563</v>
      </c>
      <c r="R593" s="7">
        <v>43230</v>
      </c>
      <c r="S593" s="210">
        <v>3.5513698630136985</v>
      </c>
      <c r="T593" s="8">
        <v>1.0000986491628614</v>
      </c>
      <c r="U593" s="98">
        <v>3.6133929825904021</v>
      </c>
      <c r="V593" s="106">
        <v>27555.10889696646</v>
      </c>
      <c r="W593" s="10">
        <v>0.40389906938855802</v>
      </c>
      <c r="X593" s="413">
        <v>0.3988023499846694</v>
      </c>
      <c r="Y593" s="414">
        <v>0.29988609562953633</v>
      </c>
      <c r="Z593" s="1"/>
      <c r="AA593" s="1"/>
      <c r="AB593" s="1"/>
      <c r="AC593" s="1"/>
      <c r="AD593" s="1"/>
      <c r="AL593" s="23"/>
      <c r="AM593" s="23"/>
    </row>
    <row r="594" spans="17:39">
      <c r="Q594" s="6">
        <v>564</v>
      </c>
      <c r="R594" s="7">
        <v>43231</v>
      </c>
      <c r="S594" s="210">
        <v>3.5534246575342467</v>
      </c>
      <c r="T594" s="8">
        <v>1.0000987062404871</v>
      </c>
      <c r="U594" s="98">
        <v>3.6134902742224861</v>
      </c>
      <c r="V594" s="106">
        <v>27557.328399439157</v>
      </c>
      <c r="W594" s="10">
        <v>0.40436128322307585</v>
      </c>
      <c r="X594" s="413">
        <v>0.39926144002989494</v>
      </c>
      <c r="Y594" s="414">
        <v>0.29990896403379252</v>
      </c>
      <c r="Z594" s="1"/>
      <c r="AA594" s="1"/>
      <c r="AB594" s="1"/>
      <c r="AC594" s="1"/>
      <c r="AD594" s="1"/>
      <c r="AL594" s="23"/>
      <c r="AM594" s="23"/>
    </row>
    <row r="595" spans="17:39">
      <c r="Q595" s="6">
        <v>565</v>
      </c>
      <c r="R595" s="7">
        <v>43232</v>
      </c>
      <c r="S595" s="210">
        <v>3.5554794520547945</v>
      </c>
      <c r="T595" s="8">
        <v>1.0000987633181126</v>
      </c>
      <c r="U595" s="98">
        <v>3.6135910417331774</v>
      </c>
      <c r="V595" s="106">
        <v>27559.548080687815</v>
      </c>
      <c r="W595" s="10">
        <v>0.40482556489624955</v>
      </c>
      <c r="X595" s="413">
        <v>0.39972258537290295</v>
      </c>
      <c r="Y595" s="414">
        <v>0.29993212628653149</v>
      </c>
      <c r="Z595" s="1"/>
      <c r="AA595" s="1"/>
      <c r="AB595" s="1"/>
      <c r="AC595" s="1"/>
      <c r="AD595" s="1"/>
      <c r="AL595" s="23"/>
      <c r="AM595" s="23"/>
    </row>
    <row r="596" spans="17:39">
      <c r="Q596" s="6">
        <v>566</v>
      </c>
      <c r="R596" s="7">
        <v>43233</v>
      </c>
      <c r="S596" s="210">
        <v>3.5575342465753423</v>
      </c>
      <c r="T596" s="8">
        <v>1.0000988203957382</v>
      </c>
      <c r="U596" s="98">
        <v>3.6136952667094491</v>
      </c>
      <c r="V596" s="106">
        <v>27561.767940726837</v>
      </c>
      <c r="W596" s="10">
        <v>0.40529190348745914</v>
      </c>
      <c r="X596" s="413">
        <v>0.40018577531963012</v>
      </c>
      <c r="Y596" s="414">
        <v>0.29995558093030661</v>
      </c>
      <c r="Z596" s="1"/>
      <c r="AA596" s="1"/>
      <c r="AB596" s="1"/>
      <c r="AC596" s="1"/>
      <c r="AD596" s="1"/>
      <c r="AL596" s="23"/>
      <c r="AM596" s="23"/>
    </row>
    <row r="597" spans="17:39">
      <c r="Q597" s="6">
        <v>567</v>
      </c>
      <c r="R597" s="7">
        <v>43234</v>
      </c>
      <c r="S597" s="210">
        <v>3.5595890410958906</v>
      </c>
      <c r="T597" s="8">
        <v>1.0000988774733637</v>
      </c>
      <c r="U597" s="98">
        <v>3.6138029308685704</v>
      </c>
      <c r="V597" s="106">
        <v>27563.987979570629</v>
      </c>
      <c r="W597" s="10">
        <v>0.40576028815326737</v>
      </c>
      <c r="X597" s="413">
        <v>0.40065099925210501</v>
      </c>
      <c r="Y597" s="414">
        <v>0.29997932651803177</v>
      </c>
      <c r="Z597" s="1"/>
      <c r="AA597" s="1"/>
      <c r="AB597" s="1"/>
      <c r="AC597" s="1"/>
      <c r="AD597" s="1"/>
      <c r="AL597" s="23"/>
      <c r="AM597" s="23"/>
    </row>
    <row r="598" spans="17:39">
      <c r="Q598" s="6">
        <v>568</v>
      </c>
      <c r="R598" s="7">
        <v>43235</v>
      </c>
      <c r="S598" s="210">
        <v>3.5616438356164384</v>
      </c>
      <c r="T598" s="8">
        <v>1.0000989345509894</v>
      </c>
      <c r="U598" s="98">
        <v>3.6139140160569072</v>
      </c>
      <c r="V598" s="106">
        <v>27566.208197233591</v>
      </c>
      <c r="W598" s="10">
        <v>0.40623070812675355</v>
      </c>
      <c r="X598" s="413">
        <v>0.40111824662780582</v>
      </c>
      <c r="Y598" s="414">
        <v>0.30000336161288454</v>
      </c>
      <c r="Z598" s="1"/>
      <c r="AA598" s="1"/>
      <c r="AB598" s="1"/>
      <c r="AC598" s="1"/>
      <c r="AD598" s="1"/>
      <c r="AL598" s="23"/>
      <c r="AM598" s="23"/>
    </row>
    <row r="599" spans="17:39">
      <c r="Q599" s="6">
        <v>569</v>
      </c>
      <c r="R599" s="7">
        <v>43236</v>
      </c>
      <c r="S599" s="210">
        <v>3.5636986301369862</v>
      </c>
      <c r="T599" s="8">
        <v>1.0000989916286149</v>
      </c>
      <c r="U599" s="98">
        <v>3.6140285042487008</v>
      </c>
      <c r="V599" s="106">
        <v>27568.428593730125</v>
      </c>
      <c r="W599" s="10">
        <v>0.40670315271678081</v>
      </c>
      <c r="X599" s="413">
        <v>0.40158750697889967</v>
      </c>
      <c r="Y599" s="414">
        <v>0.30002768478821212</v>
      </c>
      <c r="Z599" s="1"/>
      <c r="AA599" s="1"/>
      <c r="AB599" s="1"/>
      <c r="AC599" s="1"/>
      <c r="AD599" s="1"/>
      <c r="AL599" s="23"/>
      <c r="AM599" s="23"/>
    </row>
    <row r="600" spans="17:39">
      <c r="Q600" s="6">
        <v>570</v>
      </c>
      <c r="R600" s="7">
        <v>43237</v>
      </c>
      <c r="S600" s="210">
        <v>3.5657534246575344</v>
      </c>
      <c r="T600" s="8">
        <v>1.0000990487062404</v>
      </c>
      <c r="U600" s="98">
        <v>3.6141463775451133</v>
      </c>
      <c r="V600" s="106">
        <v>27570.649169074644</v>
      </c>
      <c r="W600" s="10">
        <v>0.40717761130735219</v>
      </c>
      <c r="X600" s="413">
        <v>0.40205876991162903</v>
      </c>
      <c r="Y600" s="414">
        <v>0.30005229462745381</v>
      </c>
      <c r="Z600" s="1"/>
      <c r="AA600" s="1"/>
      <c r="AB600" s="1"/>
      <c r="AC600" s="1"/>
      <c r="AD600" s="1"/>
      <c r="AL600" s="23"/>
      <c r="AM600" s="23"/>
    </row>
    <row r="601" spans="17:39">
      <c r="Q601" s="6">
        <v>571</v>
      </c>
      <c r="R601" s="7">
        <v>43238</v>
      </c>
      <c r="S601" s="210">
        <v>3.5678082191780822</v>
      </c>
      <c r="T601" s="8">
        <v>1.000099105783866</v>
      </c>
      <c r="U601" s="98">
        <v>3.6142676181729838</v>
      </c>
      <c r="V601" s="106">
        <v>27572.869923281542</v>
      </c>
      <c r="W601" s="10">
        <v>0.4076540733570333</v>
      </c>
      <c r="X601" s="413">
        <v>0.40253202510578939</v>
      </c>
      <c r="Y601" s="414">
        <v>0.30007718972404007</v>
      </c>
      <c r="Z601" s="1"/>
      <c r="AA601" s="1"/>
      <c r="AB601" s="1"/>
      <c r="AC601" s="1"/>
      <c r="AD601" s="1"/>
      <c r="AL601" s="23"/>
      <c r="AM601" s="23"/>
    </row>
    <row r="602" spans="17:39">
      <c r="Q602" s="6">
        <v>572</v>
      </c>
      <c r="R602" s="7">
        <v>43239</v>
      </c>
      <c r="S602" s="210">
        <v>3.56986301369863</v>
      </c>
      <c r="T602" s="8">
        <v>1.0000991628614917</v>
      </c>
      <c r="U602" s="98">
        <v>3.6143922084837632</v>
      </c>
      <c r="V602" s="106">
        <v>27575.090856365227</v>
      </c>
      <c r="W602" s="10">
        <v>0.40813252839813075</v>
      </c>
      <c r="X602" s="413">
        <v>0.40300726231384848</v>
      </c>
      <c r="Y602" s="414">
        <v>0.3001023686813134</v>
      </c>
      <c r="Z602" s="1"/>
      <c r="AA602" s="1"/>
      <c r="AB602" s="1"/>
      <c r="AC602" s="1"/>
      <c r="AD602" s="1"/>
      <c r="AL602" s="23"/>
      <c r="AM602" s="23"/>
    </row>
    <row r="603" spans="17:39">
      <c r="Q603" s="6">
        <v>573</v>
      </c>
      <c r="R603" s="7">
        <v>43240</v>
      </c>
      <c r="S603" s="210">
        <v>3.5719178082191783</v>
      </c>
      <c r="T603" s="8">
        <v>1.0000992199391172</v>
      </c>
      <c r="U603" s="98">
        <v>3.6145201309524255</v>
      </c>
      <c r="V603" s="106">
        <v>27577.311968340116</v>
      </c>
      <c r="W603" s="10">
        <v>0.40861296603620367</v>
      </c>
      <c r="X603" s="413">
        <v>0.40348447136046567</v>
      </c>
      <c r="Y603" s="414">
        <v>0.30012783011243888</v>
      </c>
      <c r="Z603" s="1"/>
      <c r="AA603" s="1"/>
      <c r="AB603" s="1"/>
      <c r="AC603" s="1"/>
      <c r="AD603" s="1"/>
      <c r="AL603" s="23"/>
      <c r="AM603" s="23"/>
    </row>
    <row r="604" spans="17:39">
      <c r="Q604" s="6">
        <v>574</v>
      </c>
      <c r="R604" s="7">
        <v>43241</v>
      </c>
      <c r="S604" s="210">
        <v>3.5739726027397261</v>
      </c>
      <c r="T604" s="8">
        <v>1.0000992770167427</v>
      </c>
      <c r="U604" s="98">
        <v>3.6146513681764247</v>
      </c>
      <c r="V604" s="106">
        <v>27579.53325922061</v>
      </c>
      <c r="W604" s="10">
        <v>0.40909537594933099</v>
      </c>
      <c r="X604" s="413">
        <v>0.40396364214187724</v>
      </c>
      <c r="Y604" s="414">
        <v>0.30015357264031944</v>
      </c>
      <c r="Z604" s="1"/>
      <c r="AA604" s="1"/>
      <c r="AB604" s="1"/>
      <c r="AC604" s="1"/>
      <c r="AD604" s="1"/>
      <c r="AL604" s="23"/>
      <c r="AM604" s="23"/>
    </row>
    <row r="605" spans="17:39">
      <c r="Q605" s="6">
        <v>575</v>
      </c>
      <c r="R605" s="7">
        <v>43242</v>
      </c>
      <c r="S605" s="210">
        <v>3.5760273972602739</v>
      </c>
      <c r="T605" s="8">
        <v>1.0000993340943682</v>
      </c>
      <c r="U605" s="98">
        <v>3.6147859028745399</v>
      </c>
      <c r="V605" s="106">
        <v>27581.754729021126</v>
      </c>
      <c r="W605" s="10">
        <v>0.40957974788751184</v>
      </c>
      <c r="X605" s="413">
        <v>0.40444476462514856</v>
      </c>
      <c r="Y605" s="414">
        <v>0.30017959489750956</v>
      </c>
      <c r="Z605" s="1"/>
      <c r="AA605" s="1"/>
      <c r="AB605" s="1"/>
      <c r="AC605" s="1"/>
      <c r="AD605" s="1"/>
      <c r="AL605" s="23"/>
      <c r="AM605" s="23"/>
    </row>
    <row r="606" spans="17:39">
      <c r="Q606" s="6">
        <v>576</v>
      </c>
      <c r="R606" s="7">
        <v>43243</v>
      </c>
      <c r="S606" s="210">
        <v>3.5780821917808221</v>
      </c>
      <c r="T606" s="8">
        <v>1.000099391171994</v>
      </c>
      <c r="U606" s="98">
        <v>3.6149237178859206</v>
      </c>
      <c r="V606" s="106">
        <v>27583.976377756073</v>
      </c>
      <c r="W606" s="10">
        <v>0.4100660716720661</v>
      </c>
      <c r="X606" s="413">
        <v>0.40492782884771206</v>
      </c>
      <c r="Y606" s="414">
        <v>0.30020589552613486</v>
      </c>
      <c r="Z606" s="1"/>
      <c r="AA606" s="1"/>
      <c r="AB606" s="1"/>
      <c r="AC606" s="1"/>
      <c r="AD606" s="1"/>
      <c r="AL606" s="23"/>
      <c r="AM606" s="23"/>
    </row>
    <row r="607" spans="17:39">
      <c r="Q607" s="6">
        <v>577</v>
      </c>
      <c r="R607" s="7">
        <v>43244</v>
      </c>
      <c r="S607" s="210">
        <v>3.5801369863013699</v>
      </c>
      <c r="T607" s="8">
        <v>1.0000994482496195</v>
      </c>
      <c r="U607" s="98">
        <v>3.6150647961689542</v>
      </c>
      <c r="V607" s="106">
        <v>27586.198205439861</v>
      </c>
      <c r="W607" s="10">
        <v>0.41055433719499046</v>
      </c>
      <c r="X607" s="413">
        <v>0.40541282491668823</v>
      </c>
      <c r="Y607" s="414">
        <v>0.30023247317780494</v>
      </c>
      <c r="Z607" s="1"/>
      <c r="AA607" s="1"/>
      <c r="AB607" s="1"/>
      <c r="AC607" s="1"/>
      <c r="AD607" s="1"/>
      <c r="AL607" s="23"/>
      <c r="AM607" s="23"/>
    </row>
    <row r="608" spans="17:39">
      <c r="Q608" s="6">
        <v>578</v>
      </c>
      <c r="R608" s="7">
        <v>43245</v>
      </c>
      <c r="S608" s="210">
        <v>3.5821917808219177</v>
      </c>
      <c r="T608" s="8">
        <v>1.000099505327245</v>
      </c>
      <c r="U608" s="98">
        <v>3.615209120800289</v>
      </c>
      <c r="V608" s="106">
        <v>27588.420212086909</v>
      </c>
      <c r="W608" s="10">
        <v>0.41104453441829225</v>
      </c>
      <c r="X608" s="413">
        <v>0.40589974300821363</v>
      </c>
      <c r="Y608" s="414">
        <v>0.30025932651353454</v>
      </c>
      <c r="Z608" s="1"/>
      <c r="AA608" s="1"/>
      <c r="AB608" s="1"/>
      <c r="AC608" s="1"/>
      <c r="AD608" s="1"/>
      <c r="AL608" s="23"/>
      <c r="AM608" s="23"/>
    </row>
    <row r="609" spans="17:39">
      <c r="Q609" s="6">
        <v>579</v>
      </c>
      <c r="R609" s="7">
        <v>43246</v>
      </c>
      <c r="S609" s="210">
        <v>3.5842465753424659</v>
      </c>
      <c r="T609" s="8">
        <v>1.0000995624048705</v>
      </c>
      <c r="U609" s="98">
        <v>3.6153566749737909</v>
      </c>
      <c r="V609" s="106">
        <v>27590.642397711628</v>
      </c>
      <c r="W609" s="10">
        <v>0.41153665337350098</v>
      </c>
      <c r="X609" s="413">
        <v>0.40638857336696893</v>
      </c>
      <c r="Y609" s="414">
        <v>0.30028645420366223</v>
      </c>
      <c r="Z609" s="1"/>
      <c r="AA609" s="1"/>
      <c r="AB609" s="1"/>
      <c r="AC609" s="1"/>
      <c r="AD609" s="1"/>
      <c r="AL609" s="23"/>
      <c r="AM609" s="23"/>
    </row>
    <row r="610" spans="17:39">
      <c r="Q610" s="6">
        <v>580</v>
      </c>
      <c r="R610" s="7">
        <v>43247</v>
      </c>
      <c r="S610" s="210">
        <v>3.5863013698630137</v>
      </c>
      <c r="T610" s="8">
        <v>1.0000996194824963</v>
      </c>
      <c r="U610" s="98">
        <v>3.6155074419995437</v>
      </c>
      <c r="V610" s="106">
        <v>27592.864762328431</v>
      </c>
      <c r="W610" s="10">
        <v>0.41203068416097999</v>
      </c>
      <c r="X610" s="413">
        <v>0.40687930630551949</v>
      </c>
      <c r="Y610" s="414">
        <v>0.30031385492776685</v>
      </c>
      <c r="Z610" s="1"/>
      <c r="AA610" s="1"/>
      <c r="AB610" s="1"/>
      <c r="AC610" s="1"/>
      <c r="AD610" s="1"/>
      <c r="AL610" s="23"/>
      <c r="AM610" s="23"/>
    </row>
    <row r="611" spans="17:39">
      <c r="Q611" s="6">
        <v>581</v>
      </c>
      <c r="R611" s="7">
        <v>43248</v>
      </c>
      <c r="S611" s="210">
        <v>3.5883561643835615</v>
      </c>
      <c r="T611" s="8">
        <v>1.0000996765601218</v>
      </c>
      <c r="U611" s="98">
        <v>3.6156614053028058</v>
      </c>
      <c r="V611" s="106">
        <v>27595.087305951751</v>
      </c>
      <c r="W611" s="10">
        <v>0.41252661694932691</v>
      </c>
      <c r="X611" s="413">
        <v>0.40737193220371698</v>
      </c>
      <c r="Y611" s="414">
        <v>0.30034152737459352</v>
      </c>
      <c r="Z611" s="1"/>
      <c r="AA611" s="1"/>
      <c r="AB611" s="1"/>
      <c r="AC611" s="1"/>
      <c r="AD611" s="1"/>
      <c r="AL611" s="23"/>
      <c r="AM611" s="23"/>
    </row>
    <row r="612" spans="17:39">
      <c r="Q612" s="6">
        <v>582</v>
      </c>
      <c r="R612" s="7">
        <v>43249</v>
      </c>
      <c r="S612" s="210">
        <v>3.5904109589041098</v>
      </c>
      <c r="T612" s="8">
        <v>1.0000997336377473</v>
      </c>
      <c r="U612" s="98">
        <v>3.6158185484230776</v>
      </c>
      <c r="V612" s="106">
        <v>27597.310028595984</v>
      </c>
      <c r="W612" s="10">
        <v>0.4130244419749296</v>
      </c>
      <c r="X612" s="413">
        <v>0.40786644150824536</v>
      </c>
      <c r="Y612" s="414">
        <v>0.30036947024197158</v>
      </c>
      <c r="Z612" s="1"/>
      <c r="AA612" s="1"/>
      <c r="AB612" s="1"/>
      <c r="AC612" s="1"/>
      <c r="AD612" s="1"/>
      <c r="AL612" s="23"/>
      <c r="AM612" s="23"/>
    </row>
    <row r="613" spans="17:39">
      <c r="Q613" s="6">
        <v>583</v>
      </c>
      <c r="R613" s="7">
        <v>43250</v>
      </c>
      <c r="S613" s="210">
        <v>3.5924657534246576</v>
      </c>
      <c r="T613" s="8">
        <v>1.0000997907153728</v>
      </c>
      <c r="U613" s="98">
        <v>3.6159788550130578</v>
      </c>
      <c r="V613" s="106">
        <v>27599.532930275564</v>
      </c>
      <c r="W613" s="10">
        <v>0.41352414954110017</v>
      </c>
      <c r="X613" s="413">
        <v>0.40836282473177299</v>
      </c>
      <c r="Y613" s="414">
        <v>0.30039768223673202</v>
      </c>
      <c r="Z613" s="1"/>
      <c r="AA613" s="1"/>
      <c r="AB613" s="1"/>
      <c r="AC613" s="1"/>
      <c r="AD613" s="1"/>
      <c r="AL613" s="23"/>
      <c r="AM613" s="23"/>
    </row>
    <row r="614" spans="17:39">
      <c r="Q614" s="6">
        <v>584</v>
      </c>
      <c r="R614" s="7">
        <v>43251</v>
      </c>
      <c r="S614" s="210">
        <v>3.5945205479452054</v>
      </c>
      <c r="T614" s="8">
        <v>1.0000998477929985</v>
      </c>
      <c r="U614" s="98">
        <v>3.6161423088377331</v>
      </c>
      <c r="V614" s="106">
        <v>27601.756011004909</v>
      </c>
      <c r="W614" s="10">
        <v>0.41402573001780851</v>
      </c>
      <c r="X614" s="413">
        <v>0.4088610724527304</v>
      </c>
      <c r="Y614" s="414">
        <v>0.30042616207464301</v>
      </c>
      <c r="Z614" s="1"/>
      <c r="AA614" s="1"/>
      <c r="AB614" s="1"/>
      <c r="AC614" s="1"/>
      <c r="AD614" s="1"/>
      <c r="AL614" s="23"/>
      <c r="AM614" s="23"/>
    </row>
    <row r="615" spans="17:39">
      <c r="Q615" s="6">
        <v>585</v>
      </c>
      <c r="R615" s="7">
        <v>43252</v>
      </c>
      <c r="S615" s="210">
        <v>3.5965753424657536</v>
      </c>
      <c r="T615" s="8">
        <v>1.0000999048706241</v>
      </c>
      <c r="U615" s="98">
        <v>3.6163088937733567</v>
      </c>
      <c r="V615" s="106">
        <v>27603.979270798445</v>
      </c>
      <c r="W615" s="10">
        <v>0.41452917384090515</v>
      </c>
      <c r="X615" s="413">
        <v>0.40936117531448812</v>
      </c>
      <c r="Y615" s="414">
        <v>0.30045490848031875</v>
      </c>
      <c r="Z615" s="1"/>
      <c r="AA615" s="1"/>
      <c r="AB615" s="1"/>
      <c r="AC615" s="1"/>
      <c r="AD615" s="1"/>
      <c r="AL615" s="23"/>
      <c r="AM615" s="23"/>
    </row>
    <row r="616" spans="17:39">
      <c r="Q616" s="6">
        <v>586</v>
      </c>
      <c r="R616" s="7">
        <v>43253</v>
      </c>
      <c r="S616" s="210">
        <v>3.5986301369863014</v>
      </c>
      <c r="T616" s="8">
        <v>1.0000999619482496</v>
      </c>
      <c r="U616" s="98">
        <v>3.6164785938065158</v>
      </c>
      <c r="V616" s="106">
        <v>27606.202709670586</v>
      </c>
      <c r="W616" s="10">
        <v>0.41503447151165496</v>
      </c>
      <c r="X616" s="413">
        <v>0.40986312402492581</v>
      </c>
      <c r="Y616" s="414">
        <v>0.30048392018715403</v>
      </c>
      <c r="Z616" s="1"/>
      <c r="AA616" s="1"/>
      <c r="AB616" s="1"/>
      <c r="AC616" s="1"/>
      <c r="AD616" s="1"/>
      <c r="AL616" s="23"/>
      <c r="AM616" s="23"/>
    </row>
    <row r="617" spans="17:39">
      <c r="Q617" s="6">
        <v>587</v>
      </c>
      <c r="R617" s="7">
        <v>43254</v>
      </c>
      <c r="S617" s="210">
        <v>3.6006849315068492</v>
      </c>
      <c r="T617" s="8">
        <v>1.0001000190258751</v>
      </c>
      <c r="U617" s="98">
        <v>3.6166513930332433</v>
      </c>
      <c r="V617" s="106">
        <v>27608.426327635767</v>
      </c>
      <c r="W617" s="10">
        <v>0.41554161359613762</v>
      </c>
      <c r="X617" s="413">
        <v>0.41036690935584152</v>
      </c>
      <c r="Y617" s="414">
        <v>0.30051319593724862</v>
      </c>
      <c r="Z617" s="1"/>
      <c r="AA617" s="1"/>
      <c r="AB617" s="1"/>
      <c r="AC617" s="1"/>
      <c r="AD617" s="1"/>
      <c r="AL617" s="23"/>
      <c r="AM617" s="23"/>
    </row>
    <row r="618" spans="17:39">
      <c r="Q618" s="6">
        <v>588</v>
      </c>
      <c r="R618" s="7">
        <v>43255</v>
      </c>
      <c r="S618" s="210">
        <v>3.6027397260273974</v>
      </c>
      <c r="T618" s="8">
        <v>1.0001000761035008</v>
      </c>
      <c r="U618" s="98">
        <v>3.6168272756579967</v>
      </c>
      <c r="V618" s="106">
        <v>27610.650124708402</v>
      </c>
      <c r="W618" s="10">
        <v>0.41605059072478134</v>
      </c>
      <c r="X618" s="413">
        <v>0.41087252214248998</v>
      </c>
      <c r="Y618" s="414">
        <v>0.3005427344813284</v>
      </c>
      <c r="Z618" s="1"/>
      <c r="AA618" s="1"/>
      <c r="AB618" s="1"/>
      <c r="AC618" s="1"/>
      <c r="AD618" s="1"/>
      <c r="AL618" s="23"/>
      <c r="AM618" s="23"/>
    </row>
    <row r="619" spans="17:39">
      <c r="Q619" s="6">
        <v>589</v>
      </c>
      <c r="R619" s="7">
        <v>43256</v>
      </c>
      <c r="S619" s="210">
        <v>3.6047945205479452</v>
      </c>
      <c r="T619" s="8">
        <v>1.0001001331811263</v>
      </c>
      <c r="U619" s="98">
        <v>3.6170062259928137</v>
      </c>
      <c r="V619" s="106">
        <v>27612.874100902933</v>
      </c>
      <c r="W619" s="10">
        <v>0.41656139359158573</v>
      </c>
      <c r="X619" s="413">
        <v>0.41137995328282678</v>
      </c>
      <c r="Y619" s="414">
        <v>0.30057253457867572</v>
      </c>
      <c r="Z619" s="1"/>
      <c r="AA619" s="1"/>
      <c r="AB619" s="1"/>
      <c r="AC619" s="1"/>
      <c r="AD619" s="1"/>
      <c r="AL619" s="23"/>
      <c r="AM619" s="23"/>
    </row>
    <row r="620" spans="17:39">
      <c r="Q620" s="6">
        <v>590</v>
      </c>
      <c r="R620" s="7">
        <v>43257</v>
      </c>
      <c r="S620" s="210">
        <v>3.606849315068493</v>
      </c>
      <c r="T620" s="8">
        <v>1.0001001902587519</v>
      </c>
      <c r="U620" s="98">
        <v>3.6171882284563361</v>
      </c>
      <c r="V620" s="106">
        <v>27615.09825623377</v>
      </c>
      <c r="W620" s="10">
        <v>0.41707401295392188</v>
      </c>
      <c r="X620" s="413">
        <v>0.41188919373728849</v>
      </c>
      <c r="Y620" s="414">
        <v>0.30060259499705794</v>
      </c>
      <c r="Z620" s="1"/>
      <c r="AA620" s="1"/>
      <c r="AB620" s="1"/>
      <c r="AC620" s="1"/>
      <c r="AD620" s="1"/>
      <c r="AL620" s="23"/>
      <c r="AM620" s="23"/>
    </row>
    <row r="621" spans="17:39">
      <c r="Q621" s="6">
        <v>591</v>
      </c>
      <c r="R621" s="7">
        <v>43258</v>
      </c>
      <c r="S621" s="210">
        <v>3.6089041095890413</v>
      </c>
      <c r="T621" s="8">
        <v>1.0001002473363774</v>
      </c>
      <c r="U621" s="98">
        <v>3.6173732675729209</v>
      </c>
      <c r="V621" s="106">
        <v>27617.322590715354</v>
      </c>
      <c r="W621" s="10">
        <v>0.41758843963171088</v>
      </c>
      <c r="X621" s="413">
        <v>0.41240023452799351</v>
      </c>
      <c r="Y621" s="414">
        <v>0.30063291451264895</v>
      </c>
      <c r="Z621" s="1"/>
      <c r="AA621" s="1"/>
      <c r="AB621" s="1"/>
      <c r="AC621" s="1"/>
      <c r="AD621" s="1"/>
      <c r="AL621" s="23"/>
      <c r="AM621" s="23"/>
    </row>
    <row r="622" spans="17:39">
      <c r="Q622" s="6">
        <v>592</v>
      </c>
      <c r="R622" s="7">
        <v>43259</v>
      </c>
      <c r="S622" s="210">
        <v>3.6109589041095891</v>
      </c>
      <c r="T622" s="8">
        <v>1.0001003044140031</v>
      </c>
      <c r="U622" s="98">
        <v>3.6175613279717966</v>
      </c>
      <c r="V622" s="106">
        <v>27619.547104362111</v>
      </c>
      <c r="W622" s="10">
        <v>0.4181046645070019</v>
      </c>
      <c r="X622" s="413">
        <v>0.41291306673836986</v>
      </c>
      <c r="Y622" s="414">
        <v>0.30066349190996938</v>
      </c>
      <c r="Z622" s="1"/>
      <c r="AA622" s="1"/>
      <c r="AB622" s="1"/>
      <c r="AC622" s="1"/>
      <c r="AD622" s="1"/>
      <c r="AL622" s="23"/>
      <c r="AM622" s="23"/>
    </row>
    <row r="623" spans="17:39">
      <c r="Q623" s="6">
        <v>593</v>
      </c>
      <c r="R623" s="7">
        <v>43260</v>
      </c>
      <c r="S623" s="210">
        <v>3.6130136986301369</v>
      </c>
      <c r="T623" s="8">
        <v>1.0001003614916286</v>
      </c>
      <c r="U623" s="98">
        <v>3.617752394386109</v>
      </c>
      <c r="V623" s="106">
        <v>27621.771797188478</v>
      </c>
      <c r="W623" s="10">
        <v>0.41862267852348367</v>
      </c>
      <c r="X623" s="413">
        <v>0.41342768151257059</v>
      </c>
      <c r="Y623" s="414">
        <v>0.30069432598180834</v>
      </c>
      <c r="Z623" s="1"/>
      <c r="AA623" s="1"/>
      <c r="AB623" s="1"/>
      <c r="AC623" s="1"/>
      <c r="AD623" s="1"/>
      <c r="AL623" s="23"/>
      <c r="AM623" s="23"/>
    </row>
    <row r="624" spans="17:39">
      <c r="Q624" s="6">
        <v>594</v>
      </c>
      <c r="R624" s="7">
        <v>43261</v>
      </c>
      <c r="S624" s="210">
        <v>3.6150684931506851</v>
      </c>
      <c r="T624" s="8">
        <v>1.0001004185692541</v>
      </c>
      <c r="U624" s="98">
        <v>3.6179464516520543</v>
      </c>
      <c r="V624" s="106">
        <v>27624.070834695845</v>
      </c>
      <c r="W624" s="10">
        <v>0.41897680518292457</v>
      </c>
      <c r="X624" s="413">
        <v>0.41378024270352054</v>
      </c>
      <c r="Y624" s="414">
        <v>0.30072541552914922</v>
      </c>
      <c r="Z624" s="1"/>
      <c r="AA624" s="1"/>
      <c r="AB624" s="1"/>
      <c r="AC624" s="1"/>
      <c r="AD624" s="1"/>
      <c r="AL624" s="23"/>
      <c r="AM624" s="23"/>
    </row>
    <row r="625" spans="17:39">
      <c r="Q625" s="6">
        <v>595</v>
      </c>
      <c r="R625" s="7">
        <v>43262</v>
      </c>
      <c r="S625" s="210">
        <v>3.6171232876712329</v>
      </c>
      <c r="T625" s="8">
        <v>1.0001004756468796</v>
      </c>
      <c r="U625" s="98">
        <v>3.6181434847080585</v>
      </c>
      <c r="V625" s="106">
        <v>27626.370063558556</v>
      </c>
      <c r="W625" s="10">
        <v>0.41933325847307579</v>
      </c>
      <c r="X625" s="413">
        <v>0.41413511352816917</v>
      </c>
      <c r="Y625" s="414">
        <v>0.30075675936111579</v>
      </c>
      <c r="Z625" s="1"/>
      <c r="AA625" s="1"/>
      <c r="AB625" s="1"/>
      <c r="AC625" s="1"/>
      <c r="AD625" s="1"/>
      <c r="AL625" s="23"/>
      <c r="AM625" s="23"/>
    </row>
    <row r="626" spans="17:39">
      <c r="Q626" s="6">
        <v>596</v>
      </c>
      <c r="R626" s="7">
        <v>43263</v>
      </c>
      <c r="S626" s="210">
        <v>3.6191780821917807</v>
      </c>
      <c r="T626" s="8">
        <v>1.0001005327245054</v>
      </c>
      <c r="U626" s="98">
        <v>3.6183434785939106</v>
      </c>
      <c r="V626" s="106">
        <v>27628.669483792528</v>
      </c>
      <c r="W626" s="10">
        <v>0.41969202671354733</v>
      </c>
      <c r="X626" s="413">
        <v>0.41449228254051196</v>
      </c>
      <c r="Y626" s="414">
        <v>0.30078835629489326</v>
      </c>
      <c r="Z626" s="1"/>
      <c r="AA626" s="1"/>
      <c r="AB626" s="1"/>
      <c r="AC626" s="1"/>
      <c r="AD626" s="1"/>
      <c r="AL626" s="23"/>
      <c r="AM626" s="23"/>
    </row>
    <row r="627" spans="17:39">
      <c r="Q627" s="6">
        <v>597</v>
      </c>
      <c r="R627" s="7">
        <v>43264</v>
      </c>
      <c r="S627" s="210">
        <v>3.621232876712329</v>
      </c>
      <c r="T627" s="8">
        <v>1.0001005898021309</v>
      </c>
      <c r="U627" s="98">
        <v>3.6185464184498306</v>
      </c>
      <c r="V627" s="106">
        <v>27630.969095413693</v>
      </c>
      <c r="W627" s="10">
        <v>0.42005309830230875</v>
      </c>
      <c r="X627" s="413">
        <v>0.41485173837178335</v>
      </c>
      <c r="Y627" s="414">
        <v>0.30082020515566027</v>
      </c>
      <c r="Z627" s="1"/>
      <c r="AA627" s="1"/>
      <c r="AB627" s="1"/>
      <c r="AC627" s="1"/>
      <c r="AD627" s="1"/>
      <c r="AL627" s="23"/>
      <c r="AM627" s="23"/>
    </row>
    <row r="628" spans="17:39">
      <c r="Q628" s="6">
        <v>598</v>
      </c>
      <c r="R628" s="7">
        <v>43265</v>
      </c>
      <c r="S628" s="210">
        <v>3.6232876712328768</v>
      </c>
      <c r="T628" s="8">
        <v>1.0001006468797564</v>
      </c>
      <c r="U628" s="98">
        <v>3.6187522895157365</v>
      </c>
      <c r="V628" s="106">
        <v>27633.268898437975</v>
      </c>
      <c r="W628" s="10">
        <v>0.42041646171517844</v>
      </c>
      <c r="X628" s="413">
        <v>0.41521346972990464</v>
      </c>
      <c r="Y628" s="414">
        <v>0.30085230477652819</v>
      </c>
      <c r="Z628" s="1"/>
      <c r="AA628" s="1"/>
      <c r="AB628" s="1"/>
      <c r="AC628" s="1"/>
      <c r="AD628" s="1"/>
      <c r="AL628" s="23"/>
      <c r="AM628" s="23"/>
    </row>
    <row r="629" spans="17:39">
      <c r="Q629" s="6">
        <v>599</v>
      </c>
      <c r="R629" s="7">
        <v>43266</v>
      </c>
      <c r="S629" s="210">
        <v>3.6253424657534246</v>
      </c>
      <c r="T629" s="8">
        <v>1.0001007039573819</v>
      </c>
      <c r="U629" s="98">
        <v>3.6189610771303338</v>
      </c>
      <c r="V629" s="106">
        <v>27635.568892881314</v>
      </c>
      <c r="W629" s="10">
        <v>0.42078210550500206</v>
      </c>
      <c r="X629" s="413">
        <v>0.41557746539877743</v>
      </c>
      <c r="Y629" s="414">
        <v>0.30088465399846742</v>
      </c>
      <c r="Z629" s="1"/>
      <c r="AA629" s="1"/>
      <c r="AB629" s="1"/>
      <c r="AC629" s="1"/>
      <c r="AD629" s="1"/>
      <c r="AL629" s="23"/>
      <c r="AM629" s="23"/>
    </row>
    <row r="630" spans="17:39">
      <c r="Q630" s="6">
        <v>600</v>
      </c>
      <c r="R630" s="7">
        <v>43267</v>
      </c>
      <c r="S630" s="210">
        <v>3.6273972602739728</v>
      </c>
      <c r="T630" s="8">
        <v>1.0001007610350077</v>
      </c>
      <c r="U630" s="98">
        <v>3.6191727667302942</v>
      </c>
      <c r="V630" s="106">
        <v>27637.869078759639</v>
      </c>
      <c r="W630" s="10">
        <v>0.42115001830109744</v>
      </c>
      <c r="X630" s="413">
        <v>0.41594371423763654</v>
      </c>
      <c r="Y630" s="414">
        <v>0.3009172516702463</v>
      </c>
      <c r="Z630" s="1"/>
      <c r="AA630" s="1"/>
      <c r="AB630" s="1"/>
      <c r="AC630" s="1"/>
      <c r="AD630" s="1"/>
      <c r="AL630" s="23"/>
      <c r="AM630" s="23"/>
    </row>
    <row r="631" spans="17:39">
      <c r="Q631" s="6">
        <v>601</v>
      </c>
      <c r="R631" s="7">
        <v>43268</v>
      </c>
      <c r="S631" s="210">
        <v>3.6294520547945206</v>
      </c>
      <c r="T631" s="8">
        <v>1.0001008181126332</v>
      </c>
      <c r="U631" s="98">
        <v>3.6193873438495006</v>
      </c>
      <c r="V631" s="106">
        <v>27640.16945608889</v>
      </c>
      <c r="W631" s="10">
        <v>0.42152018880865505</v>
      </c>
      <c r="X631" s="413">
        <v>0.4163122051805036</v>
      </c>
      <c r="Y631" s="414">
        <v>0.30095009664837075</v>
      </c>
      <c r="Z631" s="1"/>
      <c r="AA631" s="1"/>
      <c r="AB631" s="1"/>
      <c r="AC631" s="1"/>
      <c r="AD631" s="1"/>
      <c r="AL631" s="23"/>
      <c r="AM631" s="23"/>
    </row>
    <row r="632" spans="17:39">
      <c r="Q632" s="6">
        <v>602</v>
      </c>
      <c r="R632" s="7">
        <v>43269</v>
      </c>
      <c r="S632" s="210">
        <v>3.6315068493150684</v>
      </c>
      <c r="T632" s="8">
        <v>1.0001008751902587</v>
      </c>
      <c r="U632" s="98">
        <v>3.6196047941181586</v>
      </c>
      <c r="V632" s="106">
        <v>27642.470024884988</v>
      </c>
      <c r="W632" s="10">
        <v>0.42189260580809407</v>
      </c>
      <c r="X632" s="413">
        <v>0.41668292723556566</v>
      </c>
      <c r="Y632" s="414">
        <v>0.30098318779700861</v>
      </c>
      <c r="Z632" s="1"/>
      <c r="AA632" s="1"/>
      <c r="AB632" s="1"/>
      <c r="AC632" s="1"/>
      <c r="AD632" s="1"/>
      <c r="AL632" s="23"/>
      <c r="AM632" s="23"/>
    </row>
    <row r="633" spans="17:39">
      <c r="Q633" s="6">
        <v>603</v>
      </c>
      <c r="R633" s="7">
        <v>43270</v>
      </c>
      <c r="S633" s="210">
        <v>3.6335616438356166</v>
      </c>
      <c r="T633" s="8">
        <v>1.0001009322678842</v>
      </c>
      <c r="U633" s="98">
        <v>3.6198251032620643</v>
      </c>
      <c r="V633" s="106">
        <v>27644.770785163877</v>
      </c>
      <c r="W633" s="10">
        <v>0.42226725815432964</v>
      </c>
      <c r="X633" s="413">
        <v>0.41705586948442758</v>
      </c>
      <c r="Y633" s="414">
        <v>0.3010165239879376</v>
      </c>
      <c r="Z633" s="1"/>
      <c r="AA633" s="1"/>
      <c r="AB633" s="1"/>
      <c r="AC633" s="1"/>
      <c r="AD633" s="1"/>
      <c r="AL633" s="23"/>
      <c r="AM633" s="23"/>
    </row>
    <row r="634" spans="17:39">
      <c r="Q634" s="6">
        <v>604</v>
      </c>
      <c r="R634" s="7">
        <v>43271</v>
      </c>
      <c r="S634" s="210">
        <v>3.6356164383561644</v>
      </c>
      <c r="T634" s="8">
        <v>1.0001009893455099</v>
      </c>
      <c r="U634" s="98">
        <v>3.6200482571017822</v>
      </c>
      <c r="V634" s="106">
        <v>27647.071736941496</v>
      </c>
      <c r="W634" s="10">
        <v>0.42264413477628437</v>
      </c>
      <c r="X634" s="413">
        <v>0.41743102108165014</v>
      </c>
      <c r="Y634" s="414">
        <v>0.3010501041004765</v>
      </c>
      <c r="Z634" s="1"/>
      <c r="AA634" s="1"/>
      <c r="AB634" s="1"/>
      <c r="AC634" s="1"/>
      <c r="AD634" s="1"/>
      <c r="AL634" s="23"/>
      <c r="AM634" s="23"/>
    </row>
    <row r="635" spans="17:39">
      <c r="Q635" s="6">
        <v>605</v>
      </c>
      <c r="R635" s="7">
        <v>43272</v>
      </c>
      <c r="S635" s="210">
        <v>3.6376712328767122</v>
      </c>
      <c r="T635" s="8">
        <v>1.0001010464231355</v>
      </c>
      <c r="U635" s="98">
        <v>3.6202742415518463</v>
      </c>
      <c r="V635" s="106">
        <v>27649.372880233783</v>
      </c>
      <c r="W635" s="10">
        <v>0.42302322467622222</v>
      </c>
      <c r="X635" s="413">
        <v>0.41780837125408077</v>
      </c>
      <c r="Y635" s="414">
        <v>0.30108392702142289</v>
      </c>
      <c r="Z635" s="1"/>
      <c r="AA635" s="1"/>
      <c r="AB635" s="1"/>
      <c r="AC635" s="1"/>
      <c r="AD635" s="1"/>
      <c r="AL635" s="23"/>
      <c r="AM635" s="23"/>
    </row>
    <row r="636" spans="17:39">
      <c r="Q636" s="6">
        <v>606</v>
      </c>
      <c r="R636" s="7">
        <v>43273</v>
      </c>
      <c r="S636" s="210">
        <v>3.6397260273972605</v>
      </c>
      <c r="T636" s="8">
        <v>1.000101103500761</v>
      </c>
      <c r="U636" s="98">
        <v>3.6205030426200047</v>
      </c>
      <c r="V636" s="106">
        <v>27651.674215056679</v>
      </c>
      <c r="W636" s="10">
        <v>0.42340451692917114</v>
      </c>
      <c r="X636" s="413">
        <v>0.41818790930030997</v>
      </c>
      <c r="Y636" s="414">
        <v>0.30111799164499364</v>
      </c>
      <c r="Z636" s="1"/>
      <c r="AA636" s="1"/>
      <c r="AB636" s="1"/>
      <c r="AC636" s="1"/>
      <c r="AD636" s="1"/>
      <c r="AL636" s="23"/>
      <c r="AM636" s="23"/>
    </row>
    <row r="637" spans="17:39">
      <c r="Q637" s="6">
        <v>607</v>
      </c>
      <c r="R637" s="7">
        <v>43274</v>
      </c>
      <c r="S637" s="210">
        <v>3.6417808219178083</v>
      </c>
      <c r="T637" s="8">
        <v>1.0001011605783867</v>
      </c>
      <c r="U637" s="98">
        <v>3.6207346464064205</v>
      </c>
      <c r="V637" s="106">
        <v>27653.975741426126</v>
      </c>
      <c r="W637" s="10">
        <v>0.42378800068223477</v>
      </c>
      <c r="X637" s="413">
        <v>0.41856962458996183</v>
      </c>
      <c r="Y637" s="414">
        <v>0.30115229687276179</v>
      </c>
      <c r="Z637" s="1"/>
      <c r="AA637" s="1"/>
      <c r="AB637" s="1"/>
      <c r="AC637" s="1"/>
      <c r="AD637" s="1"/>
      <c r="AL637" s="23"/>
      <c r="AM637" s="23"/>
    </row>
    <row r="638" spans="17:39">
      <c r="Q638" s="6">
        <v>608</v>
      </c>
      <c r="R638" s="7">
        <v>43275</v>
      </c>
      <c r="S638" s="210">
        <v>3.6438356164383561</v>
      </c>
      <c r="T638" s="8">
        <v>1.0001012176560122</v>
      </c>
      <c r="U638" s="98">
        <v>3.6209690391029392</v>
      </c>
      <c r="V638" s="106">
        <v>27656.277459358062</v>
      </c>
      <c r="W638" s="10">
        <v>0.42417366515408172</v>
      </c>
      <c r="X638" s="413">
        <v>0.41895350656320191</v>
      </c>
      <c r="Y638" s="414">
        <v>0.30118684161359466</v>
      </c>
      <c r="Z638" s="1"/>
      <c r="AA638" s="1"/>
      <c r="AB638" s="1"/>
      <c r="AC638" s="1"/>
      <c r="AD638" s="1"/>
      <c r="AL638" s="23"/>
      <c r="AM638" s="23"/>
    </row>
    <row r="639" spans="17:39">
      <c r="Q639" s="6">
        <v>609</v>
      </c>
      <c r="R639" s="7">
        <v>43276</v>
      </c>
      <c r="S639" s="210">
        <v>3.6458904109589043</v>
      </c>
      <c r="T639" s="8">
        <v>1.0001012747336377</v>
      </c>
      <c r="U639" s="98">
        <v>3.6212062069923334</v>
      </c>
      <c r="V639" s="106">
        <v>27658.579368868428</v>
      </c>
      <c r="W639" s="10">
        <v>0.42456149963436829</v>
      </c>
      <c r="X639" s="413">
        <v>0.41933954473019741</v>
      </c>
      <c r="Y639" s="414">
        <v>0.30122162478359965</v>
      </c>
      <c r="Z639" s="1"/>
      <c r="AA639" s="1"/>
      <c r="AB639" s="1"/>
      <c r="AC639" s="1"/>
      <c r="AD639" s="1"/>
      <c r="AL639" s="23"/>
      <c r="AM639" s="23"/>
    </row>
    <row r="640" spans="17:39">
      <c r="Q640" s="6">
        <v>610</v>
      </c>
      <c r="R640" s="7">
        <v>43277</v>
      </c>
      <c r="S640" s="210">
        <v>3.6479452054794521</v>
      </c>
      <c r="T640" s="8">
        <v>1.0001013318112633</v>
      </c>
      <c r="U640" s="98">
        <v>3.6214461364475259</v>
      </c>
      <c r="V640" s="106">
        <v>27660.881469973185</v>
      </c>
      <c r="W640" s="10">
        <v>0.42495149348305006</v>
      </c>
      <c r="X640" s="413">
        <v>0.41972772867039937</v>
      </c>
      <c r="Y640" s="414">
        <v>0.30125664530605928</v>
      </c>
      <c r="Z640" s="1"/>
      <c r="AA640" s="1"/>
      <c r="AB640" s="1"/>
      <c r="AC640" s="1"/>
      <c r="AD640" s="1"/>
      <c r="AL640" s="23"/>
      <c r="AM640" s="23"/>
    </row>
    <row r="641" spans="17:39">
      <c r="Q641" s="6">
        <v>611</v>
      </c>
      <c r="R641" s="7">
        <v>43278</v>
      </c>
      <c r="S641" s="210">
        <v>3.65</v>
      </c>
      <c r="T641" s="8">
        <v>1.000101388888889</v>
      </c>
      <c r="U641" s="98">
        <v>3.6216888139309011</v>
      </c>
      <c r="V641" s="106">
        <v>27663.18376268827</v>
      </c>
      <c r="W641" s="10">
        <v>0.42534363612998227</v>
      </c>
      <c r="X641" s="413">
        <v>0.4201180480321719</v>
      </c>
      <c r="Y641" s="414">
        <v>0.30129190211137691</v>
      </c>
      <c r="Z641" s="1"/>
      <c r="AA641" s="1"/>
      <c r="AB641" s="1"/>
      <c r="AC641" s="1"/>
      <c r="AD641" s="1"/>
      <c r="AL641" s="23"/>
      <c r="AM641" s="23"/>
    </row>
    <row r="642" spans="17:39">
      <c r="Q642" s="6">
        <v>612</v>
      </c>
      <c r="R642" s="7">
        <v>43279</v>
      </c>
      <c r="S642" s="210">
        <v>3.6520547945205482</v>
      </c>
      <c r="T642" s="8">
        <v>1.0001014459665145</v>
      </c>
      <c r="U642" s="98">
        <v>3.6219342259935283</v>
      </c>
      <c r="V642" s="106">
        <v>27665.486247029628</v>
      </c>
      <c r="W642" s="10">
        <v>0.42573791707416486</v>
      </c>
      <c r="X642" s="413">
        <v>0.42051049253204592</v>
      </c>
      <c r="Y642" s="414">
        <v>0.30132739413701437</v>
      </c>
      <c r="Z642" s="1"/>
      <c r="AA642" s="1"/>
      <c r="AB642" s="1"/>
      <c r="AC642" s="1"/>
      <c r="AD642" s="1"/>
      <c r="AL642" s="23"/>
      <c r="AM642" s="23"/>
    </row>
    <row r="643" spans="17:39">
      <c r="Q643" s="6">
        <v>613</v>
      </c>
      <c r="R643" s="7">
        <v>43280</v>
      </c>
      <c r="S643" s="210">
        <v>3.654109589041096</v>
      </c>
      <c r="T643" s="8">
        <v>1.00010150304414</v>
      </c>
      <c r="U643" s="98">
        <v>3.6221823592744284</v>
      </c>
      <c r="V643" s="106">
        <v>27667.78892301322</v>
      </c>
      <c r="W643" s="10">
        <v>0.42613432588325395</v>
      </c>
      <c r="X643" s="413">
        <v>0.42090505195424222</v>
      </c>
      <c r="Y643" s="414">
        <v>0.30136312032743728</v>
      </c>
      <c r="Z643" s="1"/>
      <c r="AA643" s="1"/>
      <c r="AB643" s="1"/>
      <c r="AC643" s="1"/>
      <c r="AD643" s="1"/>
      <c r="AL643" s="23"/>
      <c r="AM643" s="23"/>
    </row>
    <row r="644" spans="17:39">
      <c r="Q644" s="6">
        <v>614</v>
      </c>
      <c r="R644" s="7">
        <v>43281</v>
      </c>
      <c r="S644" s="210">
        <v>3.6561643835616437</v>
      </c>
      <c r="T644" s="8">
        <v>1.0001015601217655</v>
      </c>
      <c r="U644" s="98">
        <v>3.6224332004999082</v>
      </c>
      <c r="V644" s="106">
        <v>27670.091790654988</v>
      </c>
      <c r="W644" s="10">
        <v>0.42653285219305115</v>
      </c>
      <c r="X644" s="413">
        <v>0.42130171615014539</v>
      </c>
      <c r="Y644" s="414">
        <v>0.30139907963405621</v>
      </c>
      <c r="Z644" s="1"/>
      <c r="AA644" s="1"/>
      <c r="AB644" s="1"/>
      <c r="AC644" s="1"/>
      <c r="AD644" s="1"/>
      <c r="AL644" s="23"/>
      <c r="AM644" s="23"/>
    </row>
    <row r="645" spans="17:39">
      <c r="Q645" s="6">
        <v>615</v>
      </c>
      <c r="R645" s="7">
        <v>43282</v>
      </c>
      <c r="S645" s="210">
        <v>3.658219178082192</v>
      </c>
      <c r="T645" s="8">
        <v>1.0001016171993913</v>
      </c>
      <c r="U645" s="98">
        <v>3.6226867364828275</v>
      </c>
      <c r="V645" s="106">
        <v>27672.394849970879</v>
      </c>
      <c r="W645" s="10">
        <v>0.42693348570690404</v>
      </c>
      <c r="X645" s="413">
        <v>0.42170047503774538</v>
      </c>
      <c r="Y645" s="414">
        <v>0.30143527101517537</v>
      </c>
      <c r="Z645" s="1"/>
      <c r="AA645" s="1"/>
      <c r="AB645" s="1"/>
      <c r="AC645" s="1"/>
      <c r="AD645" s="1"/>
      <c r="AL645" s="23"/>
      <c r="AM645" s="23"/>
    </row>
    <row r="646" spans="17:39">
      <c r="Q646" s="6">
        <v>616</v>
      </c>
      <c r="R646" s="7">
        <v>43283</v>
      </c>
      <c r="S646" s="210">
        <v>3.6602739726027398</v>
      </c>
      <c r="T646" s="8">
        <v>1.0001016742770168</v>
      </c>
      <c r="U646" s="98">
        <v>3.6229429541218661</v>
      </c>
      <c r="V646" s="106">
        <v>27674.698100976861</v>
      </c>
      <c r="W646" s="10">
        <v>0.42733621619512885</v>
      </c>
      <c r="X646" s="413">
        <v>0.42210131860108357</v>
      </c>
      <c r="Y646" s="414">
        <v>0.30147169343592711</v>
      </c>
      <c r="Z646" s="1"/>
      <c r="AA646" s="1"/>
      <c r="AB646" s="1"/>
      <c r="AC646" s="1"/>
      <c r="AD646" s="1"/>
      <c r="AL646" s="23"/>
      <c r="AM646" s="23"/>
    </row>
    <row r="647" spans="17:39">
      <c r="Q647" s="6">
        <v>617</v>
      </c>
      <c r="R647" s="7">
        <v>43284</v>
      </c>
      <c r="S647" s="210">
        <v>3.6623287671232876</v>
      </c>
      <c r="T647" s="8">
        <v>1.0001017313546423</v>
      </c>
      <c r="U647" s="98">
        <v>3.6232018404008359</v>
      </c>
      <c r="V647" s="106">
        <v>27677.001543688883</v>
      </c>
      <c r="W647" s="10">
        <v>0.42774103349441095</v>
      </c>
      <c r="X647" s="413">
        <v>0.42250423688957522</v>
      </c>
      <c r="Y647" s="414">
        <v>0.30150834586822406</v>
      </c>
      <c r="Z647" s="1"/>
      <c r="AA647" s="1"/>
      <c r="AB647" s="1"/>
      <c r="AC647" s="1"/>
      <c r="AD647" s="1"/>
      <c r="AL647" s="23"/>
      <c r="AM647" s="23"/>
    </row>
    <row r="648" spans="17:39">
      <c r="Q648" s="6">
        <v>618</v>
      </c>
      <c r="R648" s="7">
        <v>43285</v>
      </c>
      <c r="S648" s="210">
        <v>3.6643835616438358</v>
      </c>
      <c r="T648" s="8">
        <v>1.0001017884322678</v>
      </c>
      <c r="U648" s="98">
        <v>3.6234633823880147</v>
      </c>
      <c r="V648" s="106">
        <v>27679.305178122893</v>
      </c>
      <c r="W648" s="10">
        <v>0.42814792750751618</v>
      </c>
      <c r="X648" s="413">
        <v>0.42290922001785552</v>
      </c>
      <c r="Y648" s="414">
        <v>0.30154522729070204</v>
      </c>
      <c r="Z648" s="1"/>
      <c r="AA648" s="1"/>
      <c r="AB648" s="1"/>
      <c r="AC648" s="1"/>
      <c r="AD648" s="1"/>
      <c r="AL648" s="23"/>
      <c r="AM648" s="23"/>
    </row>
    <row r="649" spans="17:39">
      <c r="Q649" s="6">
        <v>619</v>
      </c>
      <c r="R649" s="7">
        <v>43286</v>
      </c>
      <c r="S649" s="210">
        <v>3.6664383561643836</v>
      </c>
      <c r="T649" s="8">
        <v>1.0001018455098936</v>
      </c>
      <c r="U649" s="98">
        <v>3.6237275672354574</v>
      </c>
      <c r="V649" s="106">
        <v>27681.609004294864</v>
      </c>
      <c r="W649" s="10">
        <v>0.42855688820244708</v>
      </c>
      <c r="X649" s="413">
        <v>0.42331625816482649</v>
      </c>
      <c r="Y649" s="414">
        <v>0.30158233668866913</v>
      </c>
      <c r="Z649" s="1"/>
      <c r="AA649" s="1"/>
      <c r="AB649" s="1"/>
      <c r="AC649" s="1"/>
      <c r="AD649" s="1"/>
      <c r="AL649" s="23"/>
      <c r="AM649" s="23"/>
    </row>
    <row r="650" spans="17:39">
      <c r="Q650" s="6">
        <v>620</v>
      </c>
      <c r="R650" s="7">
        <v>43287</v>
      </c>
      <c r="S650" s="210">
        <v>3.6684931506849314</v>
      </c>
      <c r="T650" s="8">
        <v>1.0001019025875191</v>
      </c>
      <c r="U650" s="98">
        <v>3.6239943821783083</v>
      </c>
      <c r="V650" s="106">
        <v>27683.913022220739</v>
      </c>
      <c r="W650" s="10">
        <v>0.42896790561215425</v>
      </c>
      <c r="X650" s="413">
        <v>0.42372534157346148</v>
      </c>
      <c r="Y650" s="414">
        <v>0.30161967305404436</v>
      </c>
      <c r="Z650" s="1"/>
      <c r="AA650" s="1"/>
      <c r="AB650" s="1"/>
      <c r="AC650" s="1"/>
      <c r="AD650" s="1"/>
      <c r="AL650" s="23"/>
      <c r="AM650" s="23"/>
    </row>
    <row r="651" spans="17:39">
      <c r="Q651" s="6">
        <v>621</v>
      </c>
      <c r="R651" s="7">
        <v>43288</v>
      </c>
      <c r="S651" s="210">
        <v>3.6705479452054797</v>
      </c>
      <c r="T651" s="8">
        <v>1.0001019596651446</v>
      </c>
      <c r="U651" s="98">
        <v>3.6242638145341122</v>
      </c>
      <c r="V651" s="106">
        <v>27686.217231916486</v>
      </c>
      <c r="W651" s="10">
        <v>0.42938096983382579</v>
      </c>
      <c r="X651" s="413">
        <v>0.4241364605500571</v>
      </c>
      <c r="Y651" s="414">
        <v>0.30165723538531053</v>
      </c>
      <c r="Z651" s="1"/>
      <c r="AA651" s="1"/>
      <c r="AB651" s="1"/>
      <c r="AC651" s="1"/>
      <c r="AD651" s="1"/>
      <c r="AL651" s="23"/>
      <c r="AM651" s="23"/>
    </row>
    <row r="652" spans="17:39">
      <c r="Q652" s="6">
        <v>622</v>
      </c>
      <c r="R652" s="7">
        <v>43289</v>
      </c>
      <c r="S652" s="210">
        <v>3.6726027397260275</v>
      </c>
      <c r="T652" s="8">
        <v>1.0001020167427701</v>
      </c>
      <c r="U652" s="98">
        <v>3.6245358517021931</v>
      </c>
      <c r="V652" s="106">
        <v>27688.521633398072</v>
      </c>
      <c r="W652" s="10">
        <v>0.42979607102850981</v>
      </c>
      <c r="X652" s="413">
        <v>0.42454960546386578</v>
      </c>
      <c r="Y652" s="414">
        <v>0.30169502268746107</v>
      </c>
      <c r="Z652" s="1"/>
      <c r="AA652" s="1"/>
      <c r="AB652" s="1"/>
      <c r="AC652" s="1"/>
      <c r="AD652" s="1"/>
      <c r="AL652" s="23"/>
      <c r="AM652" s="23"/>
    </row>
    <row r="653" spans="17:39">
      <c r="Q653" s="6">
        <v>623</v>
      </c>
      <c r="R653" s="7">
        <v>43290</v>
      </c>
      <c r="S653" s="210">
        <v>3.6746575342465753</v>
      </c>
      <c r="T653" s="8">
        <v>1.0001020738203958</v>
      </c>
      <c r="U653" s="98">
        <v>3.6248104811629656</v>
      </c>
      <c r="V653" s="106">
        <v>27690.826226681449</v>
      </c>
      <c r="W653" s="10">
        <v>0.43021319942051495</v>
      </c>
      <c r="X653" s="413">
        <v>0.42496476674652628</v>
      </c>
      <c r="Y653" s="414">
        <v>0.30173303397194495</v>
      </c>
      <c r="Z653" s="1"/>
      <c r="AA653" s="1"/>
      <c r="AB653" s="1"/>
      <c r="AC653" s="1"/>
      <c r="AD653" s="1"/>
      <c r="AL653" s="23"/>
      <c r="AM653" s="23"/>
    </row>
    <row r="654" spans="17:39">
      <c r="Q654" s="6">
        <v>624</v>
      </c>
      <c r="R654" s="7">
        <v>43291</v>
      </c>
      <c r="S654" s="210">
        <v>3.6767123287671235</v>
      </c>
      <c r="T654" s="8">
        <v>1.0001021308980214</v>
      </c>
      <c r="U654" s="98">
        <v>3.6250876904773133</v>
      </c>
      <c r="V654" s="106">
        <v>27693.056660881899</v>
      </c>
      <c r="W654" s="10">
        <v>0.43079006631436823</v>
      </c>
      <c r="X654" s="413">
        <v>0.42553797048659853</v>
      </c>
      <c r="Y654" s="414">
        <v>0.30177126825662076</v>
      </c>
      <c r="Z654" s="1"/>
      <c r="AA654" s="1"/>
      <c r="AB654" s="1"/>
      <c r="AC654" s="1"/>
      <c r="AD654" s="1"/>
      <c r="AL654" s="23"/>
      <c r="AM654" s="23"/>
    </row>
    <row r="655" spans="17:39">
      <c r="Q655" s="6">
        <v>625</v>
      </c>
      <c r="R655" s="7">
        <v>43292</v>
      </c>
      <c r="S655" s="210">
        <v>3.6787671232876713</v>
      </c>
      <c r="T655" s="8">
        <v>1.0001021879756469</v>
      </c>
      <c r="U655" s="98">
        <v>3.6253674672858782</v>
      </c>
      <c r="V655" s="106">
        <v>27695.28727473885</v>
      </c>
      <c r="W655" s="10">
        <v>0.43136843790199109</v>
      </c>
      <c r="X655" s="413">
        <v>0.42611267865384689</v>
      </c>
      <c r="Y655" s="414">
        <v>0.3018097245656946</v>
      </c>
      <c r="Z655" s="1"/>
      <c r="AA655" s="1"/>
      <c r="AB655" s="1"/>
      <c r="AC655" s="1"/>
      <c r="AD655" s="1"/>
      <c r="AL655" s="23"/>
      <c r="AM655" s="23"/>
    </row>
    <row r="656" spans="17:39">
      <c r="Q656" s="6">
        <v>626</v>
      </c>
      <c r="R656" s="7">
        <v>43293</v>
      </c>
      <c r="S656" s="210">
        <v>3.6808219178082191</v>
      </c>
      <c r="T656" s="8">
        <v>1.0001022450532724</v>
      </c>
      <c r="U656" s="98">
        <v>3.6256497993084835</v>
      </c>
      <c r="V656" s="106">
        <v>27697.518068266756</v>
      </c>
      <c r="W656" s="10">
        <v>0.43194830701402953</v>
      </c>
      <c r="X656" s="413">
        <v>0.42668888425363044</v>
      </c>
      <c r="Y656" s="414">
        <v>0.30184840192967999</v>
      </c>
      <c r="Z656" s="1"/>
      <c r="AA656" s="1"/>
      <c r="AB656" s="1"/>
      <c r="AC656" s="1"/>
      <c r="AD656" s="1"/>
      <c r="AL656" s="23"/>
      <c r="AM656" s="23"/>
    </row>
    <row r="657" spans="17:39">
      <c r="Q657" s="6">
        <v>627</v>
      </c>
      <c r="R657" s="7">
        <v>43294</v>
      </c>
      <c r="S657" s="210">
        <v>3.6828767123287673</v>
      </c>
      <c r="T657" s="8">
        <v>1.0001023021308981</v>
      </c>
      <c r="U657" s="98">
        <v>3.6259346743435117</v>
      </c>
      <c r="V657" s="106">
        <v>27699.7490414801</v>
      </c>
      <c r="W657" s="10">
        <v>0.43252966652691516</v>
      </c>
      <c r="X657" s="413">
        <v>0.4272665803364793</v>
      </c>
      <c r="Y657" s="414">
        <v>0.30188729938534548</v>
      </c>
      <c r="Z657" s="1"/>
      <c r="AA657" s="1"/>
      <c r="AB657" s="1"/>
      <c r="AC657" s="1"/>
      <c r="AD657" s="1"/>
      <c r="AL657" s="23"/>
      <c r="AM657" s="23"/>
    </row>
    <row r="658" spans="17:39">
      <c r="Q658" s="6">
        <v>628</v>
      </c>
      <c r="R658" s="7">
        <v>43295</v>
      </c>
      <c r="S658" s="210">
        <v>3.6849315068493151</v>
      </c>
      <c r="T658" s="8">
        <v>1.0001023592085236</v>
      </c>
      <c r="U658" s="98">
        <v>3.6262220802672385</v>
      </c>
      <c r="V658" s="106">
        <v>27701.980194393353</v>
      </c>
      <c r="W658" s="10">
        <v>0.43311250936253209</v>
      </c>
      <c r="X658" s="413">
        <v>0.42784575999774799</v>
      </c>
      <c r="Y658" s="414">
        <v>0.30192641597566278</v>
      </c>
      <c r="Z658" s="1"/>
      <c r="AA658" s="1"/>
      <c r="AB658" s="1"/>
      <c r="AC658" s="1"/>
      <c r="AD658" s="1"/>
      <c r="AL658" s="23"/>
      <c r="AM658" s="23"/>
    </row>
    <row r="659" spans="17:39">
      <c r="Q659" s="6">
        <v>629</v>
      </c>
      <c r="R659" s="7">
        <v>43296</v>
      </c>
      <c r="S659" s="210">
        <v>3.6869863013698629</v>
      </c>
      <c r="T659" s="8">
        <v>1.0001024162861492</v>
      </c>
      <c r="U659" s="98">
        <v>3.6265120050331889</v>
      </c>
      <c r="V659" s="106">
        <v>27704.211527020991</v>
      </c>
      <c r="W659" s="10">
        <v>0.43369682848775071</v>
      </c>
      <c r="X659" s="413">
        <v>0.42842641637722051</v>
      </c>
      <c r="Y659" s="414">
        <v>0.30196575074975313</v>
      </c>
      <c r="Z659" s="1"/>
      <c r="AA659" s="1"/>
      <c r="AB659" s="1"/>
      <c r="AC659" s="1"/>
      <c r="AD659" s="1"/>
      <c r="AL659" s="23"/>
      <c r="AM659" s="23"/>
    </row>
    <row r="660" spans="17:39">
      <c r="Q660" s="6">
        <v>630</v>
      </c>
      <c r="R660" s="7">
        <v>43297</v>
      </c>
      <c r="S660" s="210">
        <v>3.6890410958904107</v>
      </c>
      <c r="T660" s="8">
        <v>1.0001024733637747</v>
      </c>
      <c r="U660" s="98">
        <v>3.6268044366715602</v>
      </c>
      <c r="V660" s="106">
        <v>27706.443039377486</v>
      </c>
      <c r="W660" s="10">
        <v>0.43428261691422776</v>
      </c>
      <c r="X660" s="413">
        <v>0.42900854265884703</v>
      </c>
      <c r="Y660" s="414">
        <v>0.30200530276284593</v>
      </c>
      <c r="Z660" s="1"/>
      <c r="AA660" s="1"/>
      <c r="AB660" s="1"/>
      <c r="AC660" s="1"/>
      <c r="AD660" s="1"/>
      <c r="AL660" s="23"/>
      <c r="AM660" s="23"/>
    </row>
    <row r="661" spans="17:39">
      <c r="Q661" s="6">
        <v>631</v>
      </c>
      <c r="R661" s="7">
        <v>43298</v>
      </c>
      <c r="S661" s="210">
        <v>3.691095890410959</v>
      </c>
      <c r="T661" s="8">
        <v>1.0001025304414004</v>
      </c>
      <c r="U661" s="98">
        <v>3.6270993632886661</v>
      </c>
      <c r="V661" s="106">
        <v>27708.674731477324</v>
      </c>
      <c r="W661" s="10">
        <v>0.43486986769802893</v>
      </c>
      <c r="X661" s="413">
        <v>0.42959213207043156</v>
      </c>
      <c r="Y661" s="414">
        <v>0.30204507107623146</v>
      </c>
      <c r="Z661" s="1"/>
      <c r="AA661" s="1"/>
      <c r="AB661" s="1"/>
      <c r="AC661" s="1"/>
      <c r="AD661" s="1"/>
      <c r="AL661" s="23"/>
      <c r="AM661" s="23"/>
    </row>
    <row r="662" spans="17:39">
      <c r="Q662" s="6">
        <v>632</v>
      </c>
      <c r="R662" s="7">
        <v>43299</v>
      </c>
      <c r="S662" s="210">
        <v>3.6931506849315068</v>
      </c>
      <c r="T662" s="8">
        <v>1.0001025875190259</v>
      </c>
      <c r="U662" s="98">
        <v>3.6273967730662271</v>
      </c>
      <c r="V662" s="106">
        <v>27710.90660333497</v>
      </c>
      <c r="W662" s="10">
        <v>0.43545857393916254</v>
      </c>
      <c r="X662" s="413">
        <v>0.43017717788309567</v>
      </c>
      <c r="Y662" s="414">
        <v>0.3020850547572056</v>
      </c>
      <c r="Z662" s="1"/>
      <c r="AA662" s="1"/>
      <c r="AB662" s="1"/>
      <c r="AC662" s="1"/>
      <c r="AD662" s="1"/>
      <c r="AL662" s="23"/>
      <c r="AM662" s="23"/>
    </row>
    <row r="663" spans="17:39">
      <c r="Q663" s="6">
        <v>633</v>
      </c>
      <c r="R663" s="7">
        <v>43300</v>
      </c>
      <c r="S663" s="210">
        <v>3.6952054794520546</v>
      </c>
      <c r="T663" s="8">
        <v>1.0001026445966514</v>
      </c>
      <c r="U663" s="98">
        <v>3.6276966542608369</v>
      </c>
      <c r="V663" s="106">
        <v>27713.138654964907</v>
      </c>
      <c r="W663" s="10">
        <v>0.43604872878133527</v>
      </c>
      <c r="X663" s="413">
        <v>0.43076367341112531</v>
      </c>
      <c r="Y663" s="414">
        <v>0.30212525287902614</v>
      </c>
      <c r="Z663" s="1"/>
      <c r="AA663" s="1"/>
      <c r="AB663" s="1"/>
      <c r="AC663" s="1"/>
      <c r="AD663" s="1"/>
      <c r="AL663" s="23"/>
      <c r="AM663" s="23"/>
    </row>
    <row r="664" spans="17:39">
      <c r="Q664" s="6">
        <v>634</v>
      </c>
      <c r="R664" s="7">
        <v>43301</v>
      </c>
      <c r="S664" s="210">
        <v>3.6972602739726028</v>
      </c>
      <c r="T664" s="8">
        <v>1.000102701674277</v>
      </c>
      <c r="U664" s="98">
        <v>3.6279989952033409</v>
      </c>
      <c r="V664" s="106">
        <v>27715.370886381621</v>
      </c>
      <c r="W664" s="10">
        <v>0.43664032541153031</v>
      </c>
      <c r="X664" s="413">
        <v>0.43135161201149202</v>
      </c>
      <c r="Y664" s="414">
        <v>0.30216566452086546</v>
      </c>
      <c r="Z664" s="1"/>
      <c r="AA664" s="1"/>
      <c r="AB664" s="1"/>
      <c r="AC664" s="1"/>
      <c r="AD664" s="1"/>
      <c r="AL664" s="23"/>
      <c r="AM664" s="23"/>
    </row>
    <row r="665" spans="17:39">
      <c r="Q665" s="6">
        <v>635</v>
      </c>
      <c r="R665" s="7">
        <v>43302</v>
      </c>
      <c r="S665" s="210">
        <v>3.6993150684931506</v>
      </c>
      <c r="T665" s="8">
        <v>1.0001027587519027</v>
      </c>
      <c r="U665" s="98">
        <v>3.6283037842982813</v>
      </c>
      <c r="V665" s="106">
        <v>27717.603297599584</v>
      </c>
      <c r="W665" s="10">
        <v>0.43723335705976307</v>
      </c>
      <c r="X665" s="413">
        <v>0.43194098708364259</v>
      </c>
      <c r="Y665" s="414">
        <v>0.30220628876776545</v>
      </c>
      <c r="Z665" s="1"/>
      <c r="AA665" s="1"/>
      <c r="AB665" s="1"/>
      <c r="AC665" s="1"/>
      <c r="AD665" s="1"/>
      <c r="AL665" s="23"/>
      <c r="AM665" s="23"/>
    </row>
    <row r="666" spans="17:39">
      <c r="Q666" s="6">
        <v>636</v>
      </c>
      <c r="R666" s="7">
        <v>43303</v>
      </c>
      <c r="S666" s="210">
        <v>3.7013698630136984</v>
      </c>
      <c r="T666" s="8">
        <v>1.0001028158295282</v>
      </c>
      <c r="U666" s="98">
        <v>3.6286110100233193</v>
      </c>
      <c r="V666" s="106">
        <v>27719.83588863329</v>
      </c>
      <c r="W666" s="10">
        <v>0.43782781699870377</v>
      </c>
      <c r="X666" s="413">
        <v>0.43253179206910231</v>
      </c>
      <c r="Y666" s="414">
        <v>0.30224712471059167</v>
      </c>
      <c r="Z666" s="1"/>
      <c r="AA666" s="1"/>
      <c r="AB666" s="1"/>
      <c r="AC666" s="1"/>
      <c r="AD666" s="1"/>
      <c r="AL666" s="23"/>
      <c r="AM666" s="23"/>
    </row>
    <row r="667" spans="17:39">
      <c r="Q667" s="6">
        <v>637</v>
      </c>
      <c r="R667" s="7">
        <v>43304</v>
      </c>
      <c r="S667" s="210">
        <v>3.7034246575342467</v>
      </c>
      <c r="T667" s="8">
        <v>1.0001028729071537</v>
      </c>
      <c r="U667" s="98">
        <v>3.628920660928614</v>
      </c>
      <c r="V667" s="106">
        <v>27722.068659497214</v>
      </c>
      <c r="W667" s="10">
        <v>0.43842369854323326</v>
      </c>
      <c r="X667" s="413">
        <v>0.43312402045109438</v>
      </c>
      <c r="Y667" s="414">
        <v>0.30228817144598225</v>
      </c>
      <c r="Z667" s="1"/>
      <c r="AA667" s="1"/>
      <c r="AB667" s="1"/>
      <c r="AC667" s="1"/>
      <c r="AD667" s="1"/>
      <c r="AL667" s="23"/>
      <c r="AM667" s="23"/>
    </row>
    <row r="668" spans="17:39">
      <c r="Q668" s="6">
        <v>638</v>
      </c>
      <c r="R668" s="7">
        <v>43305</v>
      </c>
      <c r="S668" s="210">
        <v>3.7054794520547945</v>
      </c>
      <c r="T668" s="8">
        <v>1.0001029299847792</v>
      </c>
      <c r="U668" s="98">
        <v>3.6292327256362666</v>
      </c>
      <c r="V668" s="106">
        <v>27724.301610205843</v>
      </c>
      <c r="W668" s="10">
        <v>0.43902099505030989</v>
      </c>
      <c r="X668" s="413">
        <v>0.4337176657543137</v>
      </c>
      <c r="Y668" s="414">
        <v>0.30232942807630797</v>
      </c>
      <c r="Z668" s="1"/>
      <c r="AA668" s="1"/>
      <c r="AB668" s="1"/>
      <c r="AC668" s="1"/>
      <c r="AD668" s="1"/>
      <c r="AL668" s="23"/>
      <c r="AM668" s="23"/>
    </row>
    <row r="669" spans="17:39">
      <c r="Q669" s="6">
        <v>639</v>
      </c>
      <c r="R669" s="7">
        <v>43306</v>
      </c>
      <c r="S669" s="210">
        <v>3.7075342465753423</v>
      </c>
      <c r="T669" s="8">
        <v>1.000102987062405</v>
      </c>
      <c r="U669" s="98">
        <v>3.6295471928398104</v>
      </c>
      <c r="V669" s="106">
        <v>27726.53474077367</v>
      </c>
      <c r="W669" s="10">
        <v>0.43961969991843652</v>
      </c>
      <c r="X669" s="413">
        <v>0.43431272154448936</v>
      </c>
      <c r="Y669" s="414">
        <v>0.30237089370962944</v>
      </c>
      <c r="Z669" s="1"/>
      <c r="AA669" s="1"/>
      <c r="AB669" s="1"/>
      <c r="AC669" s="1"/>
      <c r="AD669" s="1"/>
      <c r="AL669" s="23"/>
      <c r="AM669" s="23"/>
    </row>
    <row r="670" spans="17:39">
      <c r="Q670" s="6">
        <v>640</v>
      </c>
      <c r="R670" s="7">
        <v>43307</v>
      </c>
      <c r="S670" s="210">
        <v>3.7095890410958905</v>
      </c>
      <c r="T670" s="8">
        <v>1.0001030441400305</v>
      </c>
      <c r="U670" s="98">
        <v>3.6298640513035663</v>
      </c>
      <c r="V670" s="106">
        <v>27728.768051215171</v>
      </c>
      <c r="W670" s="10">
        <v>0.44021980658752735</v>
      </c>
      <c r="X670" s="413">
        <v>0.43490918142820162</v>
      </c>
      <c r="Y670" s="414">
        <v>0.30241256745964229</v>
      </c>
      <c r="Z670" s="1"/>
      <c r="AA670" s="1"/>
      <c r="AB670" s="1"/>
      <c r="AC670" s="1"/>
      <c r="AD670" s="1"/>
      <c r="AL670" s="23"/>
      <c r="AM670" s="23"/>
    </row>
    <row r="671" spans="17:39">
      <c r="Q671" s="6">
        <v>641</v>
      </c>
      <c r="R671" s="7">
        <v>43308</v>
      </c>
      <c r="S671" s="210">
        <v>3.7116438356164383</v>
      </c>
      <c r="T671" s="8">
        <v>1.000103101217656</v>
      </c>
      <c r="U671" s="98">
        <v>3.6301832898621766</v>
      </c>
      <c r="V671" s="106">
        <v>27731.00154154484</v>
      </c>
      <c r="W671" s="10">
        <v>0.4408213085384638</v>
      </c>
      <c r="X671" s="413">
        <v>0.43550703905248861</v>
      </c>
      <c r="Y671" s="414">
        <v>0.30245444844564878</v>
      </c>
      <c r="Z671" s="1"/>
      <c r="AA671" s="1"/>
      <c r="AB671" s="1"/>
      <c r="AC671" s="1"/>
      <c r="AD671" s="1"/>
      <c r="AL671" s="23"/>
      <c r="AM671" s="23"/>
    </row>
    <row r="672" spans="17:39">
      <c r="Q672" s="6">
        <v>642</v>
      </c>
      <c r="R672" s="7">
        <v>43309</v>
      </c>
      <c r="S672" s="210">
        <v>3.7136986301369861</v>
      </c>
      <c r="T672" s="8">
        <v>1.0001031582952815</v>
      </c>
      <c r="U672" s="98">
        <v>3.6305048974199838</v>
      </c>
      <c r="V672" s="106">
        <v>27733.23521177717</v>
      </c>
      <c r="W672" s="10">
        <v>0.44142419929273924</v>
      </c>
      <c r="X672" s="413">
        <v>0.43610628810445612</v>
      </c>
      <c r="Y672" s="414">
        <v>0.30249653579249758</v>
      </c>
      <c r="Z672" s="1"/>
      <c r="AA672" s="1"/>
      <c r="AB672" s="1"/>
      <c r="AC672" s="1"/>
      <c r="AD672" s="1"/>
      <c r="AL672" s="23"/>
      <c r="AM672" s="23"/>
    </row>
    <row r="673" spans="17:39">
      <c r="Q673" s="6">
        <v>643</v>
      </c>
      <c r="R673" s="7">
        <v>43310</v>
      </c>
      <c r="S673" s="210">
        <v>3.7157534246575343</v>
      </c>
      <c r="T673" s="8">
        <v>1.0001032153729073</v>
      </c>
      <c r="U673" s="98">
        <v>3.6308288629505414</v>
      </c>
      <c r="V673" s="106">
        <v>27735.469061926644</v>
      </c>
      <c r="W673" s="10">
        <v>0.44202847241232579</v>
      </c>
      <c r="X673" s="413">
        <v>0.43670692231114067</v>
      </c>
      <c r="Y673" s="414">
        <v>0.30253882863055592</v>
      </c>
      <c r="Z673" s="1"/>
      <c r="AA673" s="1"/>
      <c r="AB673" s="1"/>
      <c r="AC673" s="1"/>
      <c r="AD673" s="1"/>
      <c r="AL673" s="23"/>
      <c r="AM673" s="23"/>
    </row>
    <row r="674" spans="17:39">
      <c r="Q674" s="6">
        <v>644</v>
      </c>
      <c r="R674" s="7">
        <v>43311</v>
      </c>
      <c r="S674" s="210">
        <v>3.7178082191780821</v>
      </c>
      <c r="T674" s="8">
        <v>1.0001032724505328</v>
      </c>
      <c r="U674" s="98">
        <v>3.6311551754960369</v>
      </c>
      <c r="V674" s="106">
        <v>27737.703092007756</v>
      </c>
      <c r="W674" s="10">
        <v>0.44263412149914139</v>
      </c>
      <c r="X674" s="413">
        <v>0.43730893543902505</v>
      </c>
      <c r="Y674" s="414">
        <v>0.30258132609565586</v>
      </c>
      <c r="Z674" s="1"/>
      <c r="AA674" s="1"/>
      <c r="AB674" s="1"/>
      <c r="AC674" s="1"/>
      <c r="AD674" s="1"/>
      <c r="AL674" s="23"/>
      <c r="AM674" s="23"/>
    </row>
    <row r="675" spans="17:39">
      <c r="Q675" s="6">
        <v>645</v>
      </c>
      <c r="R675" s="7">
        <v>43312</v>
      </c>
      <c r="S675" s="210">
        <v>3.7198630136986299</v>
      </c>
      <c r="T675" s="8">
        <v>1.0001033295281583</v>
      </c>
      <c r="U675" s="98">
        <v>3.6314838241667369</v>
      </c>
      <c r="V675" s="106">
        <v>27739.937302035003</v>
      </c>
      <c r="W675" s="10">
        <v>0.44324114019487215</v>
      </c>
      <c r="X675" s="413">
        <v>0.43791232129385688</v>
      </c>
      <c r="Y675" s="414">
        <v>0.30262402732905241</v>
      </c>
      <c r="Z675" s="1"/>
      <c r="AA675" s="1"/>
      <c r="AB675" s="1"/>
      <c r="AC675" s="1"/>
      <c r="AD675" s="1"/>
      <c r="AL675" s="23"/>
      <c r="AM675" s="23"/>
    </row>
    <row r="676" spans="17:39">
      <c r="Q676" s="6">
        <v>646</v>
      </c>
      <c r="R676" s="7">
        <v>43313</v>
      </c>
      <c r="S676" s="210">
        <v>3.7219178082191782</v>
      </c>
      <c r="T676" s="8">
        <v>1.0001033866057838</v>
      </c>
      <c r="U676" s="98">
        <v>3.6318147981405424</v>
      </c>
      <c r="V676" s="106">
        <v>27742.171692022879</v>
      </c>
      <c r="W676" s="10">
        <v>0.44384952218057272</v>
      </c>
      <c r="X676" s="413">
        <v>0.43851707372019622</v>
      </c>
      <c r="Y676" s="414">
        <v>0.30266693147739021</v>
      </c>
      <c r="Z676" s="1"/>
      <c r="AA676" s="1"/>
      <c r="AB676" s="1"/>
      <c r="AC676" s="1"/>
      <c r="AD676" s="1"/>
      <c r="AL676" s="23"/>
      <c r="AM676" s="23"/>
    </row>
    <row r="677" spans="17:39">
      <c r="Q677" s="6">
        <v>647</v>
      </c>
      <c r="R677" s="7">
        <v>43314</v>
      </c>
      <c r="S677" s="210">
        <v>3.723972602739726</v>
      </c>
      <c r="T677" s="8">
        <v>1.0001034436834095</v>
      </c>
      <c r="U677" s="98">
        <v>3.6321480866624345</v>
      </c>
      <c r="V677" s="106">
        <v>27744.406261985874</v>
      </c>
      <c r="W677" s="10">
        <v>0.44445926117657741</v>
      </c>
      <c r="X677" s="413">
        <v>0.43912318660141203</v>
      </c>
      <c r="Y677" s="414">
        <v>0.30271003769265653</v>
      </c>
      <c r="Z677" s="1"/>
      <c r="AA677" s="1"/>
      <c r="AB677" s="1"/>
      <c r="AC677" s="1"/>
      <c r="AD677" s="1"/>
      <c r="AL677" s="23"/>
      <c r="AM677" s="23"/>
    </row>
    <row r="678" spans="17:39">
      <c r="Q678" s="6">
        <v>648</v>
      </c>
      <c r="R678" s="7">
        <v>43315</v>
      </c>
      <c r="S678" s="210">
        <v>3.7260273972602738</v>
      </c>
      <c r="T678" s="8">
        <v>1.000103500761035</v>
      </c>
      <c r="U678" s="98">
        <v>3.6324836790438741</v>
      </c>
      <c r="V678" s="106">
        <v>27746.641011938493</v>
      </c>
      <c r="W678" s="10">
        <v>0.44507035094187852</v>
      </c>
      <c r="X678" s="413">
        <v>0.43973065385902488</v>
      </c>
      <c r="Y678" s="414">
        <v>0.30275334513213609</v>
      </c>
      <c r="Z678" s="1"/>
      <c r="AA678" s="1"/>
      <c r="AB678" s="1"/>
      <c r="AC678" s="1"/>
      <c r="AD678" s="1"/>
      <c r="AL678" s="23"/>
      <c r="AM678" s="23"/>
    </row>
    <row r="679" spans="17:39">
      <c r="Q679" s="6">
        <v>649</v>
      </c>
      <c r="R679" s="7">
        <v>43316</v>
      </c>
      <c r="S679" s="210">
        <v>3.728082191780822</v>
      </c>
      <c r="T679" s="8">
        <v>1.0001035578386606</v>
      </c>
      <c r="U679" s="98">
        <v>3.6328215646623807</v>
      </c>
      <c r="V679" s="106">
        <v>27748.875941895225</v>
      </c>
      <c r="W679" s="10">
        <v>0.44568278527401528</v>
      </c>
      <c r="X679" s="413">
        <v>0.44033946945256097</v>
      </c>
      <c r="Y679" s="414">
        <v>0.30279685295837627</v>
      </c>
      <c r="Z679" s="1"/>
      <c r="AA679" s="1"/>
      <c r="AB679" s="1"/>
      <c r="AC679" s="1"/>
      <c r="AD679" s="1"/>
      <c r="AL679" s="23"/>
      <c r="AM679" s="23"/>
    </row>
    <row r="680" spans="17:39">
      <c r="Q680" s="6">
        <v>650</v>
      </c>
      <c r="R680" s="7">
        <v>43317</v>
      </c>
      <c r="S680" s="210">
        <v>3.7301369863013698</v>
      </c>
      <c r="T680" s="8">
        <v>1.0001036149162861</v>
      </c>
      <c r="U680" s="98">
        <v>3.6331617329610211</v>
      </c>
      <c r="V680" s="106">
        <v>27751.111051870575</v>
      </c>
      <c r="W680" s="10">
        <v>0.44629655800885182</v>
      </c>
      <c r="X680" s="413">
        <v>0.44094962737944438</v>
      </c>
      <c r="Y680" s="414">
        <v>0.30284056033914647</v>
      </c>
      <c r="Z680" s="1"/>
      <c r="AA680" s="1"/>
      <c r="AB680" s="1"/>
      <c r="AC680" s="1"/>
      <c r="AD680" s="1"/>
      <c r="AL680" s="23"/>
      <c r="AM680" s="23"/>
    </row>
    <row r="681" spans="17:39">
      <c r="Q681" s="6">
        <v>651</v>
      </c>
      <c r="R681" s="7">
        <v>43318</v>
      </c>
      <c r="S681" s="210">
        <v>3.7321917808219176</v>
      </c>
      <c r="T681" s="8">
        <v>1.0001036719939118</v>
      </c>
      <c r="U681" s="98">
        <v>3.6335041734478324</v>
      </c>
      <c r="V681" s="106">
        <v>27753.346341879042</v>
      </c>
      <c r="W681" s="10">
        <v>0.44691166302006646</v>
      </c>
      <c r="X681" s="413">
        <v>0.44156112167434947</v>
      </c>
      <c r="Y681" s="414">
        <v>0.30288446644739342</v>
      </c>
      <c r="Z681" s="1"/>
      <c r="AA681" s="1"/>
      <c r="AB681" s="1"/>
      <c r="AC681" s="1"/>
      <c r="AD681" s="1"/>
      <c r="AL681" s="23"/>
      <c r="AM681" s="23"/>
    </row>
    <row r="682" spans="17:39">
      <c r="Q682" s="6">
        <v>652</v>
      </c>
      <c r="R682" s="7">
        <v>43319</v>
      </c>
      <c r="S682" s="210">
        <v>3.7342465753424658</v>
      </c>
      <c r="T682" s="8">
        <v>1.0001037290715373</v>
      </c>
      <c r="U682" s="98">
        <v>3.6338488756954002</v>
      </c>
      <c r="V682" s="106">
        <v>27755.581811935121</v>
      </c>
      <c r="W682" s="10">
        <v>0.44752809421904072</v>
      </c>
      <c r="X682" s="413">
        <v>0.44217394640923458</v>
      </c>
      <c r="Y682" s="414">
        <v>0.30292857046120508</v>
      </c>
      <c r="Z682" s="1"/>
      <c r="AA682" s="1"/>
      <c r="AB682" s="1"/>
      <c r="AC682" s="1"/>
      <c r="AD682" s="1"/>
      <c r="AL682" s="23"/>
      <c r="AM682" s="23"/>
    </row>
    <row r="683" spans="17:39">
      <c r="Q683" s="6">
        <v>653</v>
      </c>
      <c r="R683" s="7">
        <v>43320</v>
      </c>
      <c r="S683" s="210">
        <v>3.7363013698630136</v>
      </c>
      <c r="T683" s="8">
        <v>1.0001037861491628</v>
      </c>
      <c r="U683" s="98">
        <v>3.6341958293403254</v>
      </c>
      <c r="V683" s="106">
        <v>27757.817462053325</v>
      </c>
      <c r="W683" s="10">
        <v>0.44814584555445958</v>
      </c>
      <c r="X683" s="413">
        <v>0.4427880956928234</v>
      </c>
      <c r="Y683" s="414">
        <v>0.30297287156377228</v>
      </c>
      <c r="Z683" s="1"/>
      <c r="AA683" s="1"/>
      <c r="AB683" s="1"/>
      <c r="AC683" s="1"/>
      <c r="AD683" s="1"/>
      <c r="AL683" s="23"/>
      <c r="AM683" s="23"/>
    </row>
    <row r="684" spans="17:39">
      <c r="Q684" s="6">
        <v>654</v>
      </c>
      <c r="R684" s="7">
        <v>43321</v>
      </c>
      <c r="S684" s="210">
        <v>3.7383561643835614</v>
      </c>
      <c r="T684" s="8">
        <v>1.0001038432267884</v>
      </c>
      <c r="U684" s="98">
        <v>3.6345450240827581</v>
      </c>
      <c r="V684" s="106">
        <v>27760.053292248151</v>
      </c>
      <c r="W684" s="10">
        <v>0.44876491101211169</v>
      </c>
      <c r="X684" s="413">
        <v>0.44340356367049533</v>
      </c>
      <c r="Y684" s="414">
        <v>0.30301736894334708</v>
      </c>
      <c r="Z684" s="1"/>
      <c r="AA684" s="1"/>
      <c r="AB684" s="1"/>
      <c r="AC684" s="1"/>
      <c r="AD684" s="1"/>
      <c r="AL684" s="23"/>
      <c r="AM684" s="23"/>
    </row>
    <row r="685" spans="17:39">
      <c r="Q685" s="6">
        <v>655</v>
      </c>
      <c r="R685" s="7">
        <v>43322</v>
      </c>
      <c r="S685" s="210">
        <v>3.7404109589041097</v>
      </c>
      <c r="T685" s="8">
        <v>1.0001039003044141</v>
      </c>
      <c r="U685" s="98">
        <v>3.6348964496858649</v>
      </c>
      <c r="V685" s="106">
        <v>27762.289302534104</v>
      </c>
      <c r="W685" s="10">
        <v>0.44938528461455629</v>
      </c>
      <c r="X685" s="413">
        <v>0.44402034452392014</v>
      </c>
      <c r="Y685" s="414">
        <v>0.30306206179320361</v>
      </c>
      <c r="Z685" s="1"/>
      <c r="AA685" s="1"/>
      <c r="AB685" s="1"/>
      <c r="AC685" s="1"/>
      <c r="AD685" s="1"/>
      <c r="AL685" s="23"/>
      <c r="AM685" s="23"/>
    </row>
    <row r="686" spans="17:39">
      <c r="Q686" s="6">
        <v>656</v>
      </c>
      <c r="R686" s="7">
        <v>43323</v>
      </c>
      <c r="S686" s="210">
        <v>3.7424657534246575</v>
      </c>
      <c r="T686" s="8">
        <v>1.0001039573820396</v>
      </c>
      <c r="U686" s="98">
        <v>3.635250095975362</v>
      </c>
      <c r="V686" s="106">
        <v>27764.525492925695</v>
      </c>
      <c r="W686" s="10">
        <v>0.45000696042083455</v>
      </c>
      <c r="X686" s="413">
        <v>0.44463843247076912</v>
      </c>
      <c r="Y686" s="414">
        <v>0.30310694931160237</v>
      </c>
      <c r="Z686" s="1"/>
      <c r="AA686" s="1"/>
      <c r="AB686" s="1"/>
      <c r="AC686" s="1"/>
      <c r="AD686" s="1"/>
      <c r="AL686" s="23"/>
      <c r="AM686" s="23"/>
    </row>
    <row r="687" spans="17:39">
      <c r="Q687" s="6">
        <v>657</v>
      </c>
      <c r="R687" s="7">
        <v>43324</v>
      </c>
      <c r="S687" s="210">
        <v>3.7445205479452053</v>
      </c>
      <c r="T687" s="8">
        <v>1.0001040144596651</v>
      </c>
      <c r="U687" s="98">
        <v>3.6356059528390716</v>
      </c>
      <c r="V687" s="106">
        <v>27766.761863437423</v>
      </c>
      <c r="W687" s="10">
        <v>0.45062993252620309</v>
      </c>
      <c r="X687" s="413">
        <v>0.44525782176447787</v>
      </c>
      <c r="Y687" s="414">
        <v>0.30315203070174973</v>
      </c>
      <c r="Z687" s="1"/>
      <c r="AA687" s="1"/>
      <c r="AB687" s="1"/>
      <c r="AC687" s="1"/>
      <c r="AD687" s="1"/>
      <c r="AL687" s="23"/>
      <c r="AM687" s="23"/>
    </row>
    <row r="688" spans="17:39">
      <c r="Q688" s="6">
        <v>658</v>
      </c>
      <c r="R688" s="7">
        <v>43325</v>
      </c>
      <c r="S688" s="210">
        <v>3.7465753424657535</v>
      </c>
      <c r="T688" s="8">
        <v>1.0001040715372906</v>
      </c>
      <c r="U688" s="98">
        <v>3.6359640102264557</v>
      </c>
      <c r="V688" s="106">
        <v>27768.998414083799</v>
      </c>
      <c r="W688" s="10">
        <v>0.4512541950618898</v>
      </c>
      <c r="X688" s="413">
        <v>0.44587850669398638</v>
      </c>
      <c r="Y688" s="414">
        <v>0.30319730517176469</v>
      </c>
      <c r="Z688" s="1"/>
      <c r="AA688" s="1"/>
      <c r="AB688" s="1"/>
      <c r="AC688" s="1"/>
      <c r="AD688" s="1"/>
      <c r="AL688" s="23"/>
      <c r="AM688" s="23"/>
    </row>
    <row r="689" spans="17:39">
      <c r="Q689" s="6">
        <v>659</v>
      </c>
      <c r="R689" s="7">
        <v>43326</v>
      </c>
      <c r="S689" s="210">
        <v>3.7486301369863013</v>
      </c>
      <c r="T689" s="8">
        <v>1.0001041286149164</v>
      </c>
      <c r="U689" s="98">
        <v>3.6363242581481048</v>
      </c>
      <c r="V689" s="106">
        <v>27771.235144879334</v>
      </c>
      <c r="W689" s="10">
        <v>0.45187974219480509</v>
      </c>
      <c r="X689" s="413">
        <v>0.44650048158345751</v>
      </c>
      <c r="Y689" s="414">
        <v>0.30324277193463856</v>
      </c>
      <c r="Z689" s="1"/>
      <c r="AA689" s="1"/>
      <c r="AB689" s="1"/>
      <c r="AC689" s="1"/>
      <c r="AD689" s="1"/>
      <c r="AL689" s="23"/>
      <c r="AM689" s="23"/>
    </row>
    <row r="690" spans="17:39">
      <c r="Q690" s="6">
        <v>660</v>
      </c>
      <c r="R690" s="7">
        <v>43327</v>
      </c>
      <c r="S690" s="210">
        <v>3.7506849315068491</v>
      </c>
      <c r="T690" s="8">
        <v>1.0001041856925419</v>
      </c>
      <c r="U690" s="98">
        <v>3.6366866866752501</v>
      </c>
      <c r="V690" s="106">
        <v>27773.472055838542</v>
      </c>
      <c r="W690" s="10">
        <v>0.4525065681271867</v>
      </c>
      <c r="X690" s="413">
        <v>0.44712374079191347</v>
      </c>
      <c r="Y690" s="414">
        <v>0.3032884302081949</v>
      </c>
      <c r="Z690" s="1"/>
      <c r="AA690" s="1"/>
      <c r="AB690" s="1"/>
      <c r="AC690" s="1"/>
      <c r="AD690" s="1"/>
      <c r="AL690" s="23"/>
      <c r="AM690" s="23"/>
    </row>
    <row r="691" spans="17:39">
      <c r="Q691" s="6">
        <v>661</v>
      </c>
      <c r="R691" s="7">
        <v>43328</v>
      </c>
      <c r="S691" s="210">
        <v>3.7527397260273974</v>
      </c>
      <c r="T691" s="8">
        <v>1.0001042427701674</v>
      </c>
      <c r="U691" s="98">
        <v>3.6370512859393633</v>
      </c>
      <c r="V691" s="106">
        <v>27775.709146975929</v>
      </c>
      <c r="W691" s="10">
        <v>0.45313466709648864</v>
      </c>
      <c r="X691" s="413">
        <v>0.44774827871315342</v>
      </c>
      <c r="Y691" s="414">
        <v>0.30333427921505712</v>
      </c>
      <c r="Z691" s="1"/>
      <c r="AA691" s="1"/>
      <c r="AB691" s="1"/>
      <c r="AC691" s="1"/>
      <c r="AD691" s="1"/>
      <c r="AL691" s="23"/>
      <c r="AM691" s="23"/>
    </row>
    <row r="692" spans="17:39">
      <c r="Q692" s="6">
        <v>662</v>
      </c>
      <c r="R692" s="7">
        <v>43329</v>
      </c>
      <c r="S692" s="210">
        <v>3.7547945205479452</v>
      </c>
      <c r="T692" s="8">
        <v>1.0001042998477929</v>
      </c>
      <c r="U692" s="98">
        <v>3.6374180461317129</v>
      </c>
      <c r="V692" s="106">
        <v>27777.946418306015</v>
      </c>
      <c r="W692" s="10">
        <v>0.4537640333749815</v>
      </c>
      <c r="X692" s="413">
        <v>0.44837408977537019</v>
      </c>
      <c r="Y692" s="414">
        <v>0.30338031818261535</v>
      </c>
      <c r="Z692" s="1"/>
      <c r="AA692" s="1"/>
      <c r="AB692" s="1"/>
      <c r="AC692" s="1"/>
      <c r="AD692" s="1"/>
      <c r="AL692" s="23"/>
      <c r="AM692" s="23"/>
    </row>
    <row r="693" spans="17:39">
      <c r="Q693" s="6">
        <v>663</v>
      </c>
      <c r="R693" s="7">
        <v>43330</v>
      </c>
      <c r="S693" s="210">
        <v>3.756849315068493</v>
      </c>
      <c r="T693" s="8">
        <v>1.0001043569254187</v>
      </c>
      <c r="U693" s="98">
        <v>3.6377869575028754</v>
      </c>
      <c r="V693" s="106">
        <v>27780.183869843306</v>
      </c>
      <c r="W693" s="10">
        <v>0.45439466126957484</v>
      </c>
      <c r="X693" s="413">
        <v>0.44900116844090265</v>
      </c>
      <c r="Y693" s="414">
        <v>0.30342654634298499</v>
      </c>
      <c r="Z693" s="1"/>
      <c r="AA693" s="1"/>
      <c r="AB693" s="1"/>
      <c r="AC693" s="1"/>
      <c r="AD693" s="1"/>
      <c r="AL693" s="23"/>
      <c r="AM693" s="23"/>
    </row>
    <row r="694" spans="17:39">
      <c r="Q694" s="6">
        <v>664</v>
      </c>
      <c r="R694" s="7">
        <v>43331</v>
      </c>
      <c r="S694" s="210">
        <v>3.7589041095890412</v>
      </c>
      <c r="T694" s="8">
        <v>1.0001044140030442</v>
      </c>
      <c r="U694" s="98">
        <v>3.6381580103622468</v>
      </c>
      <c r="V694" s="106">
        <v>27782.421501602315</v>
      </c>
      <c r="W694" s="10">
        <v>0.45502654512150631</v>
      </c>
      <c r="X694" s="413">
        <v>0.44962950920602701</v>
      </c>
      <c r="Y694" s="414">
        <v>0.30347296293296971</v>
      </c>
      <c r="Z694" s="1"/>
      <c r="AA694" s="1"/>
      <c r="AB694" s="1"/>
      <c r="AC694" s="1"/>
      <c r="AD694" s="1"/>
      <c r="AL694" s="23"/>
      <c r="AM694" s="23"/>
    </row>
    <row r="695" spans="17:39">
      <c r="Q695" s="6">
        <v>665</v>
      </c>
      <c r="R695" s="7">
        <v>43332</v>
      </c>
      <c r="S695" s="210">
        <v>3.760958904109589</v>
      </c>
      <c r="T695" s="8">
        <v>1.0001044710806697</v>
      </c>
      <c r="U695" s="98">
        <v>3.6385311950776877</v>
      </c>
      <c r="V695" s="106">
        <v>27784.659313597575</v>
      </c>
      <c r="W695" s="10">
        <v>0.45565967930609741</v>
      </c>
      <c r="X695" s="413">
        <v>0.45025910660062934</v>
      </c>
      <c r="Y695" s="414">
        <v>0.30351956719403389</v>
      </c>
      <c r="Z695" s="1"/>
      <c r="AA695" s="1"/>
      <c r="AB695" s="1"/>
      <c r="AC695" s="1"/>
      <c r="AD695" s="1"/>
      <c r="AL695" s="23"/>
      <c r="AM695" s="23"/>
    </row>
    <row r="696" spans="17:39">
      <c r="Q696" s="6">
        <v>666</v>
      </c>
      <c r="R696" s="7">
        <v>43333</v>
      </c>
      <c r="S696" s="210">
        <v>3.7630136986301368</v>
      </c>
      <c r="T696" s="8">
        <v>1.0001045281582952</v>
      </c>
      <c r="U696" s="98">
        <v>3.6389065020750344</v>
      </c>
      <c r="V696" s="106">
        <v>27786.89730584358</v>
      </c>
      <c r="W696" s="10">
        <v>0.45629405823253144</v>
      </c>
      <c r="X696" s="413">
        <v>0.45088995518803765</v>
      </c>
      <c r="Y696" s="414">
        <v>0.30356635837226165</v>
      </c>
      <c r="Z696" s="1"/>
      <c r="AA696" s="1"/>
      <c r="AB696" s="1"/>
      <c r="AC696" s="1"/>
      <c r="AD696" s="1"/>
      <c r="AL696" s="23"/>
      <c r="AM696" s="23"/>
    </row>
    <row r="697" spans="17:39">
      <c r="Q697" s="6">
        <v>667</v>
      </c>
      <c r="R697" s="7">
        <v>43334</v>
      </c>
      <c r="S697" s="210">
        <v>3.765068493150685</v>
      </c>
      <c r="T697" s="8">
        <v>1.0001045852359209</v>
      </c>
      <c r="U697" s="98">
        <v>3.6392839218376549</v>
      </c>
      <c r="V697" s="106">
        <v>27789.13547835487</v>
      </c>
      <c r="W697" s="10">
        <v>0.45692967634347603</v>
      </c>
      <c r="X697" s="413">
        <v>0.45152204956466269</v>
      </c>
      <c r="Y697" s="414">
        <v>0.30361333571832327</v>
      </c>
      <c r="Z697" s="1"/>
      <c r="AA697" s="1"/>
      <c r="AB697" s="1"/>
      <c r="AC697" s="1"/>
      <c r="AD697" s="1"/>
      <c r="AL697" s="23"/>
      <c r="AM697" s="23"/>
    </row>
    <row r="698" spans="17:39">
      <c r="Q698" s="6">
        <v>668</v>
      </c>
      <c r="R698" s="7">
        <v>43335</v>
      </c>
      <c r="S698" s="210">
        <v>3.7671232876712328</v>
      </c>
      <c r="T698" s="8">
        <v>1.0001046423135465</v>
      </c>
      <c r="U698" s="98">
        <v>3.6396634449060494</v>
      </c>
      <c r="V698" s="106">
        <v>27791.373831145953</v>
      </c>
      <c r="W698" s="10">
        <v>0.45756652811503873</v>
      </c>
      <c r="X698" s="413">
        <v>0.45215538435989455</v>
      </c>
      <c r="Y698" s="414">
        <v>0.30366049848744098</v>
      </c>
      <c r="Z698" s="1"/>
      <c r="AA698" s="1"/>
      <c r="AB698" s="1"/>
      <c r="AC698" s="1"/>
      <c r="AD698" s="1"/>
      <c r="AL698" s="23"/>
      <c r="AM698" s="23"/>
    </row>
    <row r="699" spans="17:39">
      <c r="Q699" s="6">
        <v>669</v>
      </c>
      <c r="R699" s="7">
        <v>43336</v>
      </c>
      <c r="S699" s="210">
        <v>3.7691780821917806</v>
      </c>
      <c r="T699" s="8">
        <v>1.000104699391172</v>
      </c>
      <c r="U699" s="98">
        <v>3.6400450618773617</v>
      </c>
      <c r="V699" s="106">
        <v>27793.612364231358</v>
      </c>
      <c r="W699" s="10">
        <v>0.4582046080562785</v>
      </c>
      <c r="X699" s="413">
        <v>0.45278995423567653</v>
      </c>
      <c r="Y699" s="414">
        <v>0.30370784593935451</v>
      </c>
      <c r="Z699" s="1"/>
      <c r="AA699" s="1"/>
      <c r="AB699" s="1"/>
      <c r="AC699" s="1"/>
      <c r="AD699" s="1"/>
      <c r="AL699" s="23"/>
      <c r="AM699" s="23"/>
    </row>
    <row r="700" spans="17:39">
      <c r="Q700" s="6">
        <v>670</v>
      </c>
      <c r="R700" s="7">
        <v>43337</v>
      </c>
      <c r="S700" s="210">
        <v>3.7712328767123289</v>
      </c>
      <c r="T700" s="8">
        <v>1.0001047564687975</v>
      </c>
      <c r="U700" s="98">
        <v>3.6404287634050458</v>
      </c>
      <c r="V700" s="106">
        <v>27795.851077625601</v>
      </c>
      <c r="W700" s="10">
        <v>0.45884391070916131</v>
      </c>
      <c r="X700" s="413">
        <v>0.45342575388641765</v>
      </c>
      <c r="Y700" s="414">
        <v>0.30375537733829</v>
      </c>
      <c r="Z700" s="1"/>
      <c r="AA700" s="1"/>
      <c r="AB700" s="1"/>
      <c r="AC700" s="1"/>
      <c r="AD700" s="1"/>
      <c r="AL700" s="23"/>
      <c r="AM700" s="23"/>
    </row>
    <row r="701" spans="17:39">
      <c r="Q701" s="6">
        <v>671</v>
      </c>
      <c r="R701" s="7">
        <v>43338</v>
      </c>
      <c r="S701" s="210">
        <v>3.7732876712328767</v>
      </c>
      <c r="T701" s="8">
        <v>1.0001048135464232</v>
      </c>
      <c r="U701" s="98">
        <v>3.6408145401984227</v>
      </c>
      <c r="V701" s="106">
        <v>27798.089971343208</v>
      </c>
      <c r="W701" s="10">
        <v>0.45948443064827149</v>
      </c>
      <c r="X701" s="413">
        <v>0.45406277803875034</v>
      </c>
      <c r="Y701" s="414">
        <v>0.30380309195292815</v>
      </c>
      <c r="Z701" s="1"/>
      <c r="AA701" s="1"/>
      <c r="AB701" s="1"/>
      <c r="AC701" s="1"/>
      <c r="AD701" s="1"/>
      <c r="AL701" s="23"/>
      <c r="AM701" s="23"/>
    </row>
    <row r="702" spans="17:39">
      <c r="Q702" s="6">
        <v>672</v>
      </c>
      <c r="R702" s="7">
        <v>43339</v>
      </c>
      <c r="S702" s="210">
        <v>3.7753424657534245</v>
      </c>
      <c r="T702" s="8">
        <v>1.0001048706240487</v>
      </c>
      <c r="U702" s="98">
        <v>3.6412023830221685</v>
      </c>
      <c r="V702" s="106">
        <v>27800.329045398699</v>
      </c>
      <c r="W702" s="10">
        <v>0.46012616248045646</v>
      </c>
      <c r="X702" s="413">
        <v>0.45470102145116009</v>
      </c>
      <c r="Y702" s="414">
        <v>0.30385098905636199</v>
      </c>
      <c r="Z702" s="1"/>
      <c r="AA702" s="1"/>
      <c r="AB702" s="1"/>
      <c r="AC702" s="1"/>
      <c r="AD702" s="1"/>
      <c r="AL702" s="23"/>
      <c r="AM702" s="23"/>
    </row>
    <row r="703" spans="17:39">
      <c r="Q703" s="6">
        <v>673</v>
      </c>
      <c r="R703" s="7">
        <v>43340</v>
      </c>
      <c r="S703" s="210">
        <v>3.7773972602739727</v>
      </c>
      <c r="T703" s="8">
        <v>1.0001049277016743</v>
      </c>
      <c r="U703" s="98">
        <v>3.6415922826959823</v>
      </c>
      <c r="V703" s="106">
        <v>27802.568299806611</v>
      </c>
      <c r="W703" s="10">
        <v>0.46076910084460465</v>
      </c>
      <c r="X703" s="413">
        <v>0.45534047891377266</v>
      </c>
      <c r="Y703" s="414">
        <v>0.30389906792606852</v>
      </c>
      <c r="Z703" s="1"/>
      <c r="AA703" s="1"/>
      <c r="AB703" s="1"/>
      <c r="AC703" s="1"/>
      <c r="AD703" s="1"/>
      <c r="AL703" s="23"/>
      <c r="AM703" s="23"/>
    </row>
    <row r="704" spans="17:39">
      <c r="Q704" s="6">
        <v>674</v>
      </c>
      <c r="R704" s="7">
        <v>43341</v>
      </c>
      <c r="S704" s="210">
        <v>3.7794520547945205</v>
      </c>
      <c r="T704" s="8">
        <v>1.0001049847792998</v>
      </c>
      <c r="U704" s="98">
        <v>3.6419842300942307</v>
      </c>
      <c r="V704" s="106">
        <v>27804.80773458146</v>
      </c>
      <c r="W704" s="10">
        <v>0.46141324041164555</v>
      </c>
      <c r="X704" s="413">
        <v>0.45598114524830874</v>
      </c>
      <c r="Y704" s="414">
        <v>0.30394732784388578</v>
      </c>
      <c r="Z704" s="1"/>
      <c r="AA704" s="1"/>
      <c r="AB704" s="1"/>
      <c r="AC704" s="1"/>
      <c r="AD704" s="1"/>
      <c r="AL704" s="23"/>
      <c r="AM704" s="23"/>
    </row>
    <row r="705" spans="17:39">
      <c r="Q705" s="6">
        <v>675</v>
      </c>
      <c r="R705" s="7">
        <v>43342</v>
      </c>
      <c r="S705" s="210">
        <v>3.7815068493150683</v>
      </c>
      <c r="T705" s="8">
        <v>1.0001050418569255</v>
      </c>
      <c r="U705" s="98">
        <v>3.6423782161454143</v>
      </c>
      <c r="V705" s="106">
        <v>27807.047349737772</v>
      </c>
      <c r="W705" s="10">
        <v>0.46205857588401678</v>
      </c>
      <c r="X705" s="413">
        <v>0.45662301530766081</v>
      </c>
      <c r="Y705" s="414">
        <v>0.30399576809596696</v>
      </c>
      <c r="Z705" s="1"/>
      <c r="AA705" s="1"/>
      <c r="AB705" s="1"/>
      <c r="AC705" s="1"/>
      <c r="AD705" s="1"/>
      <c r="AL705" s="23"/>
      <c r="AM705" s="23"/>
    </row>
    <row r="706" spans="17:39">
      <c r="Q706" s="6">
        <v>676</v>
      </c>
      <c r="R706" s="7">
        <v>43343</v>
      </c>
      <c r="S706" s="210">
        <v>3.7835616438356166</v>
      </c>
      <c r="T706" s="8">
        <v>1.000105098934551</v>
      </c>
      <c r="U706" s="98">
        <v>3.6427742318318801</v>
      </c>
      <c r="V706" s="106">
        <v>27809.287145290091</v>
      </c>
      <c r="W706" s="10">
        <v>0.46270510199548642</v>
      </c>
      <c r="X706" s="413">
        <v>0.45726608397560314</v>
      </c>
      <c r="Y706" s="414">
        <v>0.30404438797275485</v>
      </c>
      <c r="Z706" s="1"/>
      <c r="AA706" s="1"/>
      <c r="AB706" s="1"/>
      <c r="AC706" s="1"/>
      <c r="AD706" s="1"/>
      <c r="AL706" s="23"/>
      <c r="AM706" s="23"/>
    </row>
    <row r="707" spans="17:39">
      <c r="Q707" s="6">
        <v>677</v>
      </c>
      <c r="R707" s="7">
        <v>43344</v>
      </c>
      <c r="S707" s="210">
        <v>3.7856164383561643</v>
      </c>
      <c r="T707" s="8">
        <v>1.0001051560121765</v>
      </c>
      <c r="U707" s="98">
        <v>3.6431722681893319</v>
      </c>
      <c r="V707" s="106">
        <v>27811.527121252937</v>
      </c>
      <c r="W707" s="10">
        <v>0.46335281351113089</v>
      </c>
      <c r="X707" s="413">
        <v>0.45791034616684756</v>
      </c>
      <c r="Y707" s="414">
        <v>0.30409318676894892</v>
      </c>
      <c r="Z707" s="1"/>
      <c r="AA707" s="1"/>
      <c r="AB707" s="1"/>
      <c r="AC707" s="1"/>
      <c r="AD707" s="1"/>
      <c r="AL707" s="23"/>
      <c r="AM707" s="23"/>
    </row>
    <row r="708" spans="17:39">
      <c r="Q708" s="6">
        <v>678</v>
      </c>
      <c r="R708" s="7">
        <v>43345</v>
      </c>
      <c r="S708" s="210">
        <v>3.7876712328767121</v>
      </c>
      <c r="T708" s="8">
        <v>1.000105213089802</v>
      </c>
      <c r="U708" s="98">
        <v>3.6435723163064981</v>
      </c>
      <c r="V708" s="106">
        <v>27813.767277640836</v>
      </c>
      <c r="W708" s="10">
        <v>0.46400170522682416</v>
      </c>
      <c r="X708" s="413">
        <v>0.45855579682651981</v>
      </c>
      <c r="Y708" s="414">
        <v>0.30414216378347436</v>
      </c>
      <c r="Z708" s="1"/>
      <c r="AA708" s="1"/>
      <c r="AB708" s="1"/>
      <c r="AC708" s="1"/>
      <c r="AD708" s="1"/>
      <c r="AL708" s="23"/>
      <c r="AM708" s="23"/>
    </row>
    <row r="709" spans="17:39">
      <c r="Q709" s="6">
        <v>679</v>
      </c>
      <c r="R709" s="7">
        <v>43346</v>
      </c>
      <c r="S709" s="210">
        <v>3.7897260273972604</v>
      </c>
      <c r="T709" s="8">
        <v>1.0001052701674278</v>
      </c>
      <c r="U709" s="98">
        <v>3.6439743673247094</v>
      </c>
      <c r="V709" s="106">
        <v>27816.007614468337</v>
      </c>
      <c r="W709" s="10">
        <v>0.46465177196919338</v>
      </c>
      <c r="X709" s="413">
        <v>0.45920243093007779</v>
      </c>
      <c r="Y709" s="414">
        <v>0.30419131831945218</v>
      </c>
      <c r="Z709" s="1"/>
      <c r="AA709" s="1"/>
      <c r="AB709" s="1"/>
      <c r="AC709" s="1"/>
      <c r="AD709" s="1"/>
      <c r="AL709" s="23"/>
      <c r="AM709" s="23"/>
    </row>
    <row r="710" spans="17:39">
      <c r="Q710" s="6">
        <v>680</v>
      </c>
      <c r="R710" s="7">
        <v>43347</v>
      </c>
      <c r="S710" s="210">
        <v>3.7917808219178082</v>
      </c>
      <c r="T710" s="8">
        <v>1.0001053272450533</v>
      </c>
      <c r="U710" s="98">
        <v>3.6443784124375433</v>
      </c>
      <c r="V710" s="106">
        <v>27818.248131749962</v>
      </c>
      <c r="W710" s="10">
        <v>0.46530300859535245</v>
      </c>
      <c r="X710" s="413">
        <v>0.45985024348313447</v>
      </c>
      <c r="Y710" s="414">
        <v>0.30424064968416636</v>
      </c>
      <c r="Z710" s="1"/>
      <c r="AA710" s="1"/>
      <c r="AB710" s="1"/>
      <c r="AC710" s="1"/>
      <c r="AD710" s="1"/>
      <c r="AL710" s="23"/>
      <c r="AM710" s="23"/>
    </row>
    <row r="711" spans="17:39">
      <c r="Q711" s="6">
        <v>681</v>
      </c>
      <c r="R711" s="7">
        <v>43348</v>
      </c>
      <c r="S711" s="210">
        <v>3.793835616438356</v>
      </c>
      <c r="T711" s="8">
        <v>1.0001053843226788</v>
      </c>
      <c r="U711" s="98">
        <v>3.6447844428903808</v>
      </c>
      <c r="V711" s="106">
        <v>27820.488829500253</v>
      </c>
      <c r="W711" s="10">
        <v>0.46595540999261331</v>
      </c>
      <c r="X711" s="413">
        <v>0.46049922952106165</v>
      </c>
      <c r="Y711" s="414">
        <v>0.30429015718903318</v>
      </c>
      <c r="Z711" s="1"/>
      <c r="AA711" s="1"/>
      <c r="AB711" s="1"/>
      <c r="AC711" s="1"/>
      <c r="AD711" s="1"/>
      <c r="AL711" s="23"/>
      <c r="AM711" s="23"/>
    </row>
    <row r="712" spans="17:39">
      <c r="Q712" s="6">
        <v>682</v>
      </c>
      <c r="R712" s="7">
        <v>43349</v>
      </c>
      <c r="S712" s="210">
        <v>3.7958904109589042</v>
      </c>
      <c r="T712" s="8">
        <v>1.0001054414003043</v>
      </c>
      <c r="U712" s="98">
        <v>3.6451924499801169</v>
      </c>
      <c r="V712" s="106">
        <v>27822.729707733735</v>
      </c>
      <c r="W712" s="10">
        <v>0.46660897107837496</v>
      </c>
      <c r="X712" s="413">
        <v>0.46114938410899331</v>
      </c>
      <c r="Y712" s="414">
        <v>0.30433984014957516</v>
      </c>
      <c r="Z712" s="1"/>
      <c r="AA712" s="1"/>
      <c r="AB712" s="1"/>
      <c r="AC712" s="1"/>
      <c r="AD712" s="1"/>
      <c r="AL712" s="23"/>
      <c r="AM712" s="23"/>
    </row>
    <row r="713" spans="17:39">
      <c r="Q713" s="6">
        <v>683</v>
      </c>
      <c r="R713" s="7">
        <v>43350</v>
      </c>
      <c r="S713" s="210">
        <v>3.797945205479452</v>
      </c>
      <c r="T713" s="8">
        <v>1.0001054984779301</v>
      </c>
      <c r="U713" s="98">
        <v>3.645602425054717</v>
      </c>
      <c r="V713" s="106">
        <v>27824.970766464958</v>
      </c>
      <c r="W713" s="10">
        <v>0.46726368679983477</v>
      </c>
      <c r="X713" s="413">
        <v>0.46180070234145632</v>
      </c>
      <c r="Y713" s="414">
        <v>0.30438969788538572</v>
      </c>
      <c r="Z713" s="1"/>
      <c r="AA713" s="1"/>
      <c r="AB713" s="1"/>
      <c r="AC713" s="1"/>
      <c r="AD713" s="1"/>
      <c r="AL713" s="23"/>
      <c r="AM713" s="23"/>
    </row>
    <row r="714" spans="17:39">
      <c r="Q714" s="6">
        <v>684</v>
      </c>
      <c r="R714" s="7">
        <v>43351</v>
      </c>
      <c r="S714" s="210">
        <v>3.8</v>
      </c>
      <c r="T714" s="8">
        <v>1.0001055555555556</v>
      </c>
      <c r="U714" s="98">
        <v>3.6460143595128169</v>
      </c>
      <c r="V714" s="106">
        <v>27827.212005708454</v>
      </c>
      <c r="W714" s="10">
        <v>0.46791955213372205</v>
      </c>
      <c r="X714" s="413">
        <v>0.46245317934214353</v>
      </c>
      <c r="Y714" s="414">
        <v>0.30443972972010153</v>
      </c>
      <c r="Z714" s="1"/>
      <c r="AA714" s="1"/>
      <c r="AB714" s="1"/>
      <c r="AC714" s="1"/>
      <c r="AD714" s="1"/>
      <c r="AL714" s="23"/>
      <c r="AM714" s="23"/>
    </row>
    <row r="715" spans="17:39">
      <c r="Q715" s="6">
        <v>685</v>
      </c>
      <c r="R715" s="7">
        <v>43352</v>
      </c>
      <c r="S715" s="210">
        <v>3.8020547945205481</v>
      </c>
      <c r="T715" s="8">
        <v>1.0001056126331811</v>
      </c>
      <c r="U715" s="98">
        <v>3.6464282448034124</v>
      </c>
      <c r="V715" s="106">
        <v>27829.453425478769</v>
      </c>
      <c r="W715" s="10">
        <v>0.46857656208618703</v>
      </c>
      <c r="X715" s="413">
        <v>0.46310681026379474</v>
      </c>
      <c r="Y715" s="414">
        <v>0.30448993498137106</v>
      </c>
      <c r="Z715" s="1"/>
      <c r="AA715" s="1"/>
      <c r="AB715" s="1"/>
      <c r="AC715" s="1"/>
      <c r="AD715" s="1"/>
      <c r="AL715" s="23"/>
      <c r="AM715" s="23"/>
    </row>
    <row r="716" spans="17:39">
      <c r="Q716" s="6">
        <v>686</v>
      </c>
      <c r="R716" s="7">
        <v>43353</v>
      </c>
      <c r="S716" s="210">
        <v>3.8041095890410959</v>
      </c>
      <c r="T716" s="8">
        <v>1.0001056697108066</v>
      </c>
      <c r="U716" s="98">
        <v>3.6468440724254592</v>
      </c>
      <c r="V716" s="106">
        <v>27831.769748910319</v>
      </c>
      <c r="W716" s="10">
        <v>0.46909119041569358</v>
      </c>
      <c r="X716" s="413">
        <v>0.46361945115505404</v>
      </c>
      <c r="Y716" s="414">
        <v>0.30454031300083034</v>
      </c>
      <c r="Z716" s="1"/>
      <c r="AA716" s="1"/>
      <c r="AB716" s="1"/>
      <c r="AC716" s="1"/>
      <c r="AD716" s="1"/>
      <c r="AL716" s="23"/>
      <c r="AM716" s="23"/>
    </row>
    <row r="717" spans="17:39">
      <c r="Q717" s="6">
        <v>687</v>
      </c>
      <c r="R717" s="7">
        <v>43354</v>
      </c>
      <c r="S717" s="210">
        <v>3.8061643835616437</v>
      </c>
      <c r="T717" s="8">
        <v>1.0001057267884323</v>
      </c>
      <c r="U717" s="98">
        <v>3.6472618339275398</v>
      </c>
      <c r="V717" s="106">
        <v>27834.086265135964</v>
      </c>
      <c r="W717" s="10">
        <v>0.46960736960690586</v>
      </c>
      <c r="X717" s="413">
        <v>0.46413364338973523</v>
      </c>
      <c r="Y717" s="414">
        <v>0.30459086311406985</v>
      </c>
      <c r="Z717" s="1"/>
      <c r="AA717" s="1"/>
      <c r="AB717" s="1"/>
      <c r="AC717" s="1"/>
      <c r="AD717" s="1"/>
      <c r="AL717" s="23"/>
      <c r="AM717" s="23"/>
    </row>
    <row r="718" spans="17:39">
      <c r="Q718" s="6">
        <v>688</v>
      </c>
      <c r="R718" s="7">
        <v>43355</v>
      </c>
      <c r="S718" s="210">
        <v>3.8082191780821919</v>
      </c>
      <c r="T718" s="8">
        <v>1.0001057838660579</v>
      </c>
      <c r="U718" s="98">
        <v>3.6476815209074642</v>
      </c>
      <c r="V718" s="106">
        <v>27836.40297417175</v>
      </c>
      <c r="W718" s="10">
        <v>0.47012509293249405</v>
      </c>
      <c r="X718" s="413">
        <v>0.46464938040696863</v>
      </c>
      <c r="Y718" s="414">
        <v>0.30464158466060659</v>
      </c>
      <c r="Z718" s="1"/>
      <c r="AA718" s="1"/>
      <c r="AB718" s="1"/>
      <c r="AC718" s="1"/>
      <c r="AD718" s="1"/>
      <c r="AL718" s="23"/>
      <c r="AM718" s="23"/>
    </row>
    <row r="719" spans="17:39">
      <c r="Q719" s="6">
        <v>689</v>
      </c>
      <c r="R719" s="7">
        <v>43356</v>
      </c>
      <c r="S719" s="210">
        <v>3.8102739726027397</v>
      </c>
      <c r="T719" s="8">
        <v>1.0001058409436834</v>
      </c>
      <c r="U719" s="98">
        <v>3.6481031250119367</v>
      </c>
      <c r="V719" s="106">
        <v>27838.719876033723</v>
      </c>
      <c r="W719" s="10">
        <v>0.47064435370429702</v>
      </c>
      <c r="X719" s="413">
        <v>0.46516665568453064</v>
      </c>
      <c r="Y719" s="414">
        <v>0.30469247698385626</v>
      </c>
      <c r="Z719" s="1"/>
      <c r="AA719" s="1"/>
      <c r="AB719" s="1"/>
      <c r="AC719" s="1"/>
      <c r="AD719" s="1"/>
      <c r="AL719" s="23"/>
      <c r="AM719" s="23"/>
    </row>
    <row r="720" spans="17:39">
      <c r="Q720" s="6">
        <v>690</v>
      </c>
      <c r="R720" s="7">
        <v>43357</v>
      </c>
      <c r="S720" s="210">
        <v>3.8123287671232875</v>
      </c>
      <c r="T720" s="8">
        <v>1.0001058980213089</v>
      </c>
      <c r="U720" s="98">
        <v>3.6485266379362002</v>
      </c>
      <c r="V720" s="106">
        <v>27841.036970737929</v>
      </c>
      <c r="W720" s="10">
        <v>0.47116514527298925</v>
      </c>
      <c r="X720" s="413">
        <v>0.46568546273851724</v>
      </c>
      <c r="Y720" s="414">
        <v>0.3047435394311061</v>
      </c>
      <c r="Z720" s="1"/>
      <c r="AA720" s="1"/>
      <c r="AB720" s="1"/>
      <c r="AC720" s="1"/>
      <c r="AD720" s="1"/>
      <c r="AL720" s="23"/>
      <c r="AM720" s="23"/>
    </row>
    <row r="721" spans="17:39">
      <c r="Q721" s="6">
        <v>691</v>
      </c>
      <c r="R721" s="7">
        <v>43358</v>
      </c>
      <c r="S721" s="210">
        <v>3.8143835616438357</v>
      </c>
      <c r="T721" s="8">
        <v>1.0001059550989346</v>
      </c>
      <c r="U721" s="98">
        <v>3.6489520514236595</v>
      </c>
      <c r="V721" s="106">
        <v>27843.354258300424</v>
      </c>
      <c r="W721" s="10">
        <v>0.47168746102772552</v>
      </c>
      <c r="X721" s="413">
        <v>0.46620579512302091</v>
      </c>
      <c r="Y721" s="414">
        <v>0.30479477135348365</v>
      </c>
      <c r="Z721" s="1"/>
      <c r="AA721" s="1"/>
      <c r="AB721" s="1"/>
      <c r="AC721" s="1"/>
      <c r="AD721" s="1"/>
      <c r="AL721" s="23"/>
      <c r="AM721" s="23"/>
    </row>
    <row r="722" spans="17:39">
      <c r="Q722" s="6">
        <v>692</v>
      </c>
      <c r="R722" s="7">
        <v>43359</v>
      </c>
      <c r="S722" s="210">
        <v>3.8164383561643835</v>
      </c>
      <c r="T722" s="8">
        <v>1.0001060121765601</v>
      </c>
      <c r="U722" s="98">
        <v>3.6493793572655697</v>
      </c>
      <c r="V722" s="106">
        <v>27845.671738737263</v>
      </c>
      <c r="W722" s="10">
        <v>0.47221129439605214</v>
      </c>
      <c r="X722" s="413">
        <v>0.46672764642999415</v>
      </c>
      <c r="Y722" s="414">
        <v>0.30484617210593151</v>
      </c>
      <c r="Z722" s="1"/>
      <c r="AA722" s="1"/>
      <c r="AB722" s="1"/>
      <c r="AC722" s="1"/>
      <c r="AD722" s="1"/>
      <c r="AL722" s="23"/>
      <c r="AM722" s="23"/>
    </row>
    <row r="723" spans="17:39">
      <c r="Q723" s="6">
        <v>693</v>
      </c>
      <c r="R723" s="7">
        <v>43360</v>
      </c>
      <c r="S723" s="210">
        <v>3.8184931506849313</v>
      </c>
      <c r="T723" s="8">
        <v>1.0001060692541857</v>
      </c>
      <c r="U723" s="98">
        <v>3.649808547300637</v>
      </c>
      <c r="V723" s="106">
        <v>27847.9894120645</v>
      </c>
      <c r="W723" s="10">
        <v>0.47273663884341843</v>
      </c>
      <c r="X723" s="413">
        <v>0.46725101028883803</v>
      </c>
      <c r="Y723" s="414">
        <v>0.30489774104717815</v>
      </c>
      <c r="Z723" s="1"/>
      <c r="AA723" s="1"/>
      <c r="AB723" s="1"/>
      <c r="AC723" s="1"/>
      <c r="AD723" s="1"/>
      <c r="AL723" s="23"/>
      <c r="AM723" s="23"/>
    </row>
    <row r="724" spans="17:39">
      <c r="Q724" s="6">
        <v>694</v>
      </c>
      <c r="R724" s="7">
        <v>43361</v>
      </c>
      <c r="S724" s="210">
        <v>3.8205479452054796</v>
      </c>
      <c r="T724" s="8">
        <v>1.0001061263318112</v>
      </c>
      <c r="U724" s="98">
        <v>3.6502396134147297</v>
      </c>
      <c r="V724" s="106">
        <v>27850.30727829818</v>
      </c>
      <c r="W724" s="10">
        <v>0.47326348787311012</v>
      </c>
      <c r="X724" s="413">
        <v>0.46777588036624795</v>
      </c>
      <c r="Y724" s="414">
        <v>0.30494947753971235</v>
      </c>
      <c r="Z724" s="1"/>
      <c r="AA724" s="1"/>
      <c r="AB724" s="1"/>
      <c r="AC724" s="1"/>
      <c r="AD724" s="1"/>
      <c r="AL724" s="23"/>
      <c r="AM724" s="23"/>
    </row>
    <row r="725" spans="17:39">
      <c r="Q725" s="6">
        <v>695</v>
      </c>
      <c r="R725" s="7">
        <v>43362</v>
      </c>
      <c r="S725" s="210">
        <v>3.8226027397260274</v>
      </c>
      <c r="T725" s="8">
        <v>1.0001061834094369</v>
      </c>
      <c r="U725" s="98">
        <v>3.6506725475405233</v>
      </c>
      <c r="V725" s="106">
        <v>27852.625337454367</v>
      </c>
      <c r="W725" s="10">
        <v>0.47379183502576083</v>
      </c>
      <c r="X725" s="413">
        <v>0.46830225036580692</v>
      </c>
      <c r="Y725" s="414">
        <v>0.30500138094975715</v>
      </c>
      <c r="Z725" s="1"/>
      <c r="AA725" s="1"/>
      <c r="AB725" s="1"/>
      <c r="AC725" s="1"/>
      <c r="AD725" s="1"/>
      <c r="AL725" s="23"/>
      <c r="AM725" s="23"/>
    </row>
    <row r="726" spans="17:39">
      <c r="Q726" s="6">
        <v>696</v>
      </c>
      <c r="R726" s="7">
        <v>43363</v>
      </c>
      <c r="S726" s="210">
        <v>3.8246575342465752</v>
      </c>
      <c r="T726" s="8">
        <v>1.0001062404870624</v>
      </c>
      <c r="U726" s="98">
        <v>3.6511073416571671</v>
      </c>
      <c r="V726" s="106">
        <v>27854.943589549119</v>
      </c>
      <c r="W726" s="10">
        <v>0.47432167387932989</v>
      </c>
      <c r="X726" s="413">
        <v>0.46883011402796193</v>
      </c>
      <c r="Y726" s="414">
        <v>0.30505345064724038</v>
      </c>
      <c r="Z726" s="1"/>
      <c r="AA726" s="1"/>
      <c r="AB726" s="1"/>
      <c r="AC726" s="1"/>
      <c r="AD726" s="1"/>
      <c r="AL726" s="23"/>
      <c r="AM726" s="23"/>
    </row>
    <row r="727" spans="17:39">
      <c r="Q727" s="6">
        <v>697</v>
      </c>
      <c r="R727" s="7">
        <v>43364</v>
      </c>
      <c r="S727" s="210">
        <v>3.8267123287671234</v>
      </c>
      <c r="T727" s="8">
        <v>1.0001062975646879</v>
      </c>
      <c r="U727" s="98">
        <v>3.651543987789907</v>
      </c>
      <c r="V727" s="106">
        <v>27857.262034598487</v>
      </c>
      <c r="W727" s="10">
        <v>0.4748529980485694</v>
      </c>
      <c r="X727" s="413">
        <v>0.46935946512942672</v>
      </c>
      <c r="Y727" s="414">
        <v>0.30510568600576771</v>
      </c>
      <c r="Z727" s="1"/>
      <c r="AA727" s="1"/>
      <c r="AB727" s="1"/>
      <c r="AC727" s="1"/>
      <c r="AD727" s="1"/>
      <c r="AL727" s="23"/>
      <c r="AM727" s="23"/>
    </row>
    <row r="728" spans="17:39">
      <c r="Q728" s="6">
        <v>698</v>
      </c>
      <c r="R728" s="7">
        <v>43365</v>
      </c>
      <c r="S728" s="210">
        <v>3.8287671232876712</v>
      </c>
      <c r="T728" s="8">
        <v>1.0001063546423135</v>
      </c>
      <c r="U728" s="98">
        <v>3.6519824780097965</v>
      </c>
      <c r="V728" s="106">
        <v>27859.580672618544</v>
      </c>
      <c r="W728" s="10">
        <v>0.47538580118489104</v>
      </c>
      <c r="X728" s="413">
        <v>0.46989029748311695</v>
      </c>
      <c r="Y728" s="414">
        <v>0.30515808640259862</v>
      </c>
      <c r="Z728" s="1"/>
      <c r="AA728" s="1"/>
      <c r="AB728" s="1"/>
      <c r="AC728" s="1"/>
      <c r="AD728" s="1"/>
      <c r="AL728" s="23"/>
      <c r="AM728" s="23"/>
    </row>
    <row r="729" spans="17:39">
      <c r="Q729" s="6">
        <v>699</v>
      </c>
      <c r="R729" s="7">
        <v>43366</v>
      </c>
      <c r="S729" s="210">
        <v>3.830821917808219</v>
      </c>
      <c r="T729" s="8">
        <v>1.0001064117199392</v>
      </c>
      <c r="U729" s="98">
        <v>3.6524228044334084</v>
      </c>
      <c r="V729" s="106">
        <v>27861.89950362534</v>
      </c>
      <c r="W729" s="10">
        <v>0.47592007697625505</v>
      </c>
      <c r="X729" s="413">
        <v>0.47042260493803972</v>
      </c>
      <c r="Y729" s="414">
        <v>0.30521065121862262</v>
      </c>
      <c r="Z729" s="1"/>
      <c r="AA729" s="1"/>
      <c r="AB729" s="1"/>
      <c r="AC729" s="1"/>
      <c r="AD729" s="1"/>
      <c r="AL729" s="23"/>
      <c r="AM729" s="23"/>
    </row>
    <row r="730" spans="17:39">
      <c r="Q730" s="6">
        <v>700</v>
      </c>
      <c r="R730" s="7">
        <v>43367</v>
      </c>
      <c r="S730" s="210">
        <v>3.8328767123287673</v>
      </c>
      <c r="T730" s="8">
        <v>1.0001064687975647</v>
      </c>
      <c r="U730" s="98">
        <v>3.6528649592223905</v>
      </c>
      <c r="V730" s="106">
        <v>27864.218527634941</v>
      </c>
      <c r="W730" s="10">
        <v>0.47645581914657065</v>
      </c>
      <c r="X730" s="413">
        <v>0.47095638137867041</v>
      </c>
      <c r="Y730" s="414">
        <v>0.3052633798383253</v>
      </c>
      <c r="Z730" s="1"/>
      <c r="AA730" s="1"/>
      <c r="AB730" s="1"/>
      <c r="AC730" s="1"/>
      <c r="AD730" s="1"/>
      <c r="AL730" s="23"/>
      <c r="AM730" s="23"/>
    </row>
    <row r="731" spans="17:39">
      <c r="Q731" s="6">
        <v>701</v>
      </c>
      <c r="R731" s="7">
        <v>43368</v>
      </c>
      <c r="S731" s="210">
        <v>3.8349315068493151</v>
      </c>
      <c r="T731" s="8">
        <v>1.0001065258751902</v>
      </c>
      <c r="U731" s="98">
        <v>3.6533089345832437</v>
      </c>
      <c r="V731" s="106">
        <v>27866.537744663408</v>
      </c>
      <c r="W731" s="10">
        <v>0.47699302145574052</v>
      </c>
      <c r="X731" s="413">
        <v>0.47149162072501888</v>
      </c>
      <c r="Y731" s="414">
        <v>0.30531627164976893</v>
      </c>
      <c r="Z731" s="1"/>
      <c r="AA731" s="1"/>
      <c r="AB731" s="1"/>
      <c r="AC731" s="1"/>
      <c r="AD731" s="1"/>
      <c r="AL731" s="23"/>
      <c r="AM731" s="23"/>
    </row>
    <row r="732" spans="17:39">
      <c r="Q732" s="6">
        <v>702</v>
      </c>
      <c r="R732" s="7">
        <v>43369</v>
      </c>
      <c r="S732" s="210">
        <v>3.8369863013698629</v>
      </c>
      <c r="T732" s="8">
        <v>1.0001065829528157</v>
      </c>
      <c r="U732" s="98">
        <v>3.6537547227669886</v>
      </c>
      <c r="V732" s="106">
        <v>27868.857154726815</v>
      </c>
      <c r="W732" s="10">
        <v>0.47753167769921667</v>
      </c>
      <c r="X732" s="413">
        <v>0.47202831693216041</v>
      </c>
      <c r="Y732" s="414">
        <v>0.30536932604456812</v>
      </c>
      <c r="Z732" s="1"/>
      <c r="AA732" s="1"/>
      <c r="AB732" s="1"/>
      <c r="AC732" s="1"/>
      <c r="AD732" s="1"/>
      <c r="AL732" s="23"/>
      <c r="AM732" s="23"/>
    </row>
    <row r="733" spans="17:39">
      <c r="Q733" s="6">
        <v>703</v>
      </c>
      <c r="R733" s="7">
        <v>43370</v>
      </c>
      <c r="S733" s="210">
        <v>3.8390410958904111</v>
      </c>
      <c r="T733" s="8">
        <v>1.0001066400304415</v>
      </c>
      <c r="U733" s="98">
        <v>3.6542023160688331</v>
      </c>
      <c r="V733" s="106">
        <v>27871.176757841225</v>
      </c>
      <c r="W733" s="10">
        <v>0.47807178170788944</v>
      </c>
      <c r="X733" s="413">
        <v>0.47256646399019037</v>
      </c>
      <c r="Y733" s="414">
        <v>0.30542254241786171</v>
      </c>
      <c r="Z733" s="1"/>
      <c r="AA733" s="1"/>
      <c r="AB733" s="1"/>
      <c r="AC733" s="1"/>
      <c r="AD733" s="1"/>
      <c r="AL733" s="23"/>
      <c r="AM733" s="23"/>
    </row>
    <row r="734" spans="17:39">
      <c r="Q734" s="6">
        <v>704</v>
      </c>
      <c r="R734" s="7">
        <v>43371</v>
      </c>
      <c r="S734" s="210">
        <v>3.8410958904109589</v>
      </c>
      <c r="T734" s="8">
        <v>1.000106697108067</v>
      </c>
      <c r="U734" s="98">
        <v>3.6546517068278384</v>
      </c>
      <c r="V734" s="106">
        <v>27873.496554022702</v>
      </c>
      <c r="W734" s="10">
        <v>0.47861332734771</v>
      </c>
      <c r="X734" s="413">
        <v>0.47310605592377153</v>
      </c>
      <c r="Y734" s="414">
        <v>0.30547592016828767</v>
      </c>
      <c r="Z734" s="1"/>
      <c r="AA734" s="1"/>
      <c r="AB734" s="1"/>
      <c r="AC734" s="1"/>
      <c r="AD734" s="1"/>
      <c r="AL734" s="23"/>
      <c r="AM734" s="23"/>
    </row>
    <row r="735" spans="17:39">
      <c r="Q735" s="6">
        <v>705</v>
      </c>
      <c r="R735" s="7">
        <v>43372</v>
      </c>
      <c r="S735" s="210">
        <v>3.8431506849315067</v>
      </c>
      <c r="T735" s="8">
        <v>1.0001067541856925</v>
      </c>
      <c r="U735" s="98">
        <v>3.6551028874266089</v>
      </c>
      <c r="V735" s="106">
        <v>27875.816543287325</v>
      </c>
      <c r="W735" s="10">
        <v>0.47915630851946833</v>
      </c>
      <c r="X735" s="413">
        <v>0.4736470867920024</v>
      </c>
      <c r="Y735" s="414">
        <v>0.30552945869795445</v>
      </c>
      <c r="Z735" s="1"/>
      <c r="AA735" s="1"/>
      <c r="AB735" s="1"/>
      <c r="AC735" s="1"/>
      <c r="AD735" s="1"/>
      <c r="AL735" s="23"/>
      <c r="AM735" s="23"/>
    </row>
    <row r="736" spans="17:39">
      <c r="Q736" s="6">
        <v>706</v>
      </c>
      <c r="R736" s="7">
        <v>43373</v>
      </c>
      <c r="S736" s="210">
        <v>3.8452054794520549</v>
      </c>
      <c r="T736" s="8">
        <v>1.000106811263318</v>
      </c>
      <c r="U736" s="98">
        <v>3.6555558502910257</v>
      </c>
      <c r="V736" s="106">
        <v>27878.136725651155</v>
      </c>
      <c r="W736" s="10">
        <v>0.47970071915865997</v>
      </c>
      <c r="X736" s="413">
        <v>0.47418955068819546</v>
      </c>
      <c r="Y736" s="414">
        <v>0.30558315741242797</v>
      </c>
      <c r="Z736" s="1"/>
      <c r="AA736" s="1"/>
      <c r="AB736" s="1"/>
      <c r="AC736" s="1"/>
      <c r="AD736" s="1"/>
      <c r="AL736" s="23"/>
      <c r="AM736" s="23"/>
    </row>
    <row r="737" spans="17:39">
      <c r="Q737" s="6">
        <v>707</v>
      </c>
      <c r="R737" s="7">
        <v>43374</v>
      </c>
      <c r="S737" s="210">
        <v>3.8472602739726027</v>
      </c>
      <c r="T737" s="8">
        <v>1.0001068683409438</v>
      </c>
      <c r="U737" s="98">
        <v>3.6560105878899352</v>
      </c>
      <c r="V737" s="106">
        <v>27880.457101130265</v>
      </c>
      <c r="W737" s="10">
        <v>0.48024655323510856</v>
      </c>
      <c r="X737" s="413">
        <v>0.47473344173957915</v>
      </c>
      <c r="Y737" s="414">
        <v>0.30563701572069746</v>
      </c>
      <c r="Z737" s="1"/>
      <c r="AA737" s="1"/>
      <c r="AB737" s="1"/>
      <c r="AC737" s="1"/>
      <c r="AD737" s="1"/>
      <c r="AL737" s="23"/>
      <c r="AM737" s="23"/>
    </row>
    <row r="738" spans="17:39">
      <c r="Q738" s="6">
        <v>708</v>
      </c>
      <c r="R738" s="7">
        <v>43375</v>
      </c>
      <c r="S738" s="210">
        <v>3.8493150684931505</v>
      </c>
      <c r="T738" s="8">
        <v>1.0001069254185693</v>
      </c>
      <c r="U738" s="98">
        <v>3.656467092734772</v>
      </c>
      <c r="V738" s="106">
        <v>27882.777669740735</v>
      </c>
      <c r="W738" s="10">
        <v>0.4807938047527438</v>
      </c>
      <c r="X738" s="413">
        <v>0.47527875410702436</v>
      </c>
      <c r="Y738" s="414">
        <v>0.30569103303515244</v>
      </c>
      <c r="Z738" s="1"/>
      <c r="AA738" s="1"/>
      <c r="AB738" s="1"/>
      <c r="AC738" s="1"/>
      <c r="AD738" s="1"/>
      <c r="AL738" s="23"/>
      <c r="AM738" s="23"/>
    </row>
    <row r="739" spans="17:39">
      <c r="Q739" s="6">
        <v>709</v>
      </c>
      <c r="R739" s="7">
        <v>43376</v>
      </c>
      <c r="S739" s="210">
        <v>3.8513698630136988</v>
      </c>
      <c r="T739" s="8">
        <v>1.0001069824961948</v>
      </c>
      <c r="U739" s="98">
        <v>3.656925357379337</v>
      </c>
      <c r="V739" s="106">
        <v>27885.098431498638</v>
      </c>
      <c r="W739" s="10">
        <v>0.48134246774937939</v>
      </c>
      <c r="X739" s="413">
        <v>0.47582548198489721</v>
      </c>
      <c r="Y739" s="414">
        <v>0.30574520877155942</v>
      </c>
      <c r="Z739" s="1"/>
      <c r="AA739" s="1"/>
      <c r="AB739" s="1"/>
      <c r="AC739" s="1"/>
      <c r="AD739" s="1"/>
      <c r="AL739" s="23"/>
      <c r="AM739" s="23"/>
    </row>
    <row r="740" spans="17:39">
      <c r="Q740" s="6">
        <v>710</v>
      </c>
      <c r="R740" s="7">
        <v>43377</v>
      </c>
      <c r="S740" s="210">
        <v>3.8534246575342466</v>
      </c>
      <c r="T740" s="8">
        <v>1.0001070395738203</v>
      </c>
      <c r="U740" s="98">
        <v>3.6573853744194418</v>
      </c>
      <c r="V740" s="106">
        <v>27887.419386420046</v>
      </c>
      <c r="W740" s="10">
        <v>0.48189253629651319</v>
      </c>
      <c r="X740" s="413">
        <v>0.47637361960075592</v>
      </c>
      <c r="Y740" s="414">
        <v>0.3057995423490405</v>
      </c>
      <c r="Z740" s="1"/>
      <c r="AA740" s="1"/>
      <c r="AB740" s="1"/>
      <c r="AC740" s="1"/>
      <c r="AD740" s="1"/>
      <c r="AL740" s="23"/>
      <c r="AM740" s="23"/>
    </row>
    <row r="741" spans="17:39">
      <c r="Q741" s="6">
        <v>711</v>
      </c>
      <c r="R741" s="7">
        <v>43378</v>
      </c>
      <c r="S741" s="210">
        <v>3.8554794520547944</v>
      </c>
      <c r="T741" s="8">
        <v>1.000107096651446</v>
      </c>
      <c r="U741" s="98">
        <v>3.657847136492709</v>
      </c>
      <c r="V741" s="106">
        <v>27889.740534521043</v>
      </c>
      <c r="W741" s="10">
        <v>0.48244400449908298</v>
      </c>
      <c r="X741" s="413">
        <v>0.47692316121521811</v>
      </c>
      <c r="Y741" s="414">
        <v>0.30585403319005189</v>
      </c>
      <c r="Z741" s="1"/>
      <c r="AA741" s="1"/>
      <c r="AB741" s="1"/>
      <c r="AC741" s="1"/>
      <c r="AD741" s="1"/>
      <c r="AL741" s="23"/>
      <c r="AM741" s="23"/>
    </row>
    <row r="742" spans="17:39">
      <c r="Q742" s="6">
        <v>712</v>
      </c>
      <c r="R742" s="7">
        <v>43379</v>
      </c>
      <c r="S742" s="210">
        <v>3.8575342465753426</v>
      </c>
      <c r="T742" s="8">
        <v>1.0001071537290716</v>
      </c>
      <c r="U742" s="98">
        <v>3.6583106362781503</v>
      </c>
      <c r="V742" s="106">
        <v>27892.061875817697</v>
      </c>
      <c r="W742" s="10">
        <v>0.48299686649515561</v>
      </c>
      <c r="X742" s="413">
        <v>0.47747410112158317</v>
      </c>
      <c r="Y742" s="414">
        <v>0.30590868072035077</v>
      </c>
      <c r="Z742" s="1"/>
      <c r="AA742" s="1"/>
      <c r="AB742" s="1"/>
      <c r="AC742" s="1"/>
      <c r="AD742" s="1"/>
      <c r="AL742" s="23"/>
      <c r="AM742" s="23"/>
    </row>
    <row r="743" spans="17:39">
      <c r="Q743" s="6">
        <v>713</v>
      </c>
      <c r="R743" s="7">
        <v>43380</v>
      </c>
      <c r="S743" s="210">
        <v>3.8595890410958904</v>
      </c>
      <c r="T743" s="8">
        <v>1.0001072108066971</v>
      </c>
      <c r="U743" s="98">
        <v>3.6587758664959447</v>
      </c>
      <c r="V743" s="106">
        <v>27894.383410326096</v>
      </c>
      <c r="W743" s="10">
        <v>0.48355111645570492</v>
      </c>
      <c r="X743" s="413">
        <v>0.4780264336456479</v>
      </c>
      <c r="Y743" s="414">
        <v>0.30596348436898019</v>
      </c>
      <c r="Z743" s="1"/>
      <c r="AA743" s="1"/>
      <c r="AB743" s="1"/>
      <c r="AC743" s="1"/>
      <c r="AD743" s="1"/>
      <c r="AL743" s="23"/>
      <c r="AM743" s="23"/>
    </row>
    <row r="744" spans="17:39">
      <c r="Q744" s="6">
        <v>714</v>
      </c>
      <c r="R744" s="7">
        <v>43381</v>
      </c>
      <c r="S744" s="210">
        <v>3.8616438356164382</v>
      </c>
      <c r="T744" s="8">
        <v>1.0001072678843226</v>
      </c>
      <c r="U744" s="98">
        <v>3.6592428199071714</v>
      </c>
      <c r="V744" s="106">
        <v>27896.705138062331</v>
      </c>
      <c r="W744" s="10">
        <v>0.48410674858447855</v>
      </c>
      <c r="X744" s="413">
        <v>0.47858015314555663</v>
      </c>
      <c r="Y744" s="414">
        <v>0.30601844356824642</v>
      </c>
      <c r="Z744" s="1"/>
      <c r="AA744" s="1"/>
      <c r="AB744" s="1"/>
      <c r="AC744" s="1"/>
      <c r="AD744" s="1"/>
      <c r="AL744" s="23"/>
      <c r="AM744" s="23"/>
    </row>
    <row r="745" spans="17:39">
      <c r="Q745" s="6">
        <v>715</v>
      </c>
      <c r="R745" s="7">
        <v>43382</v>
      </c>
      <c r="S745" s="210">
        <v>3.8636986301369864</v>
      </c>
      <c r="T745" s="8">
        <v>1.0001073249619483</v>
      </c>
      <c r="U745" s="98">
        <v>3.6597114893134552</v>
      </c>
      <c r="V745" s="106">
        <v>27899.027059042462</v>
      </c>
      <c r="W745" s="10">
        <v>0.48466375711770926</v>
      </c>
      <c r="X745" s="413">
        <v>0.47913525401152002</v>
      </c>
      <c r="Y745" s="414">
        <v>0.30607355775369205</v>
      </c>
      <c r="Z745" s="1"/>
      <c r="AA745" s="1"/>
      <c r="AB745" s="1"/>
      <c r="AC745" s="1"/>
      <c r="AD745" s="1"/>
      <c r="AL745" s="23"/>
      <c r="AM745" s="23"/>
    </row>
    <row r="746" spans="17:39">
      <c r="Q746" s="6">
        <v>716</v>
      </c>
      <c r="R746" s="7">
        <v>43383</v>
      </c>
      <c r="S746" s="210">
        <v>3.8657534246575342</v>
      </c>
      <c r="T746" s="8">
        <v>1.0001073820395738</v>
      </c>
      <c r="U746" s="98">
        <v>3.6601818675567444</v>
      </c>
      <c r="V746" s="106">
        <v>27901.27426335491</v>
      </c>
      <c r="W746" s="10">
        <v>0.4853596662129922</v>
      </c>
      <c r="X746" s="413">
        <v>0.47982800955313976</v>
      </c>
      <c r="Y746" s="414">
        <v>0.30612882636407635</v>
      </c>
      <c r="Z746" s="1"/>
      <c r="AA746" s="1"/>
      <c r="AB746" s="1"/>
      <c r="AC746" s="1"/>
      <c r="AD746" s="1"/>
      <c r="AL746" s="23"/>
      <c r="AM746" s="23"/>
    </row>
    <row r="747" spans="17:39">
      <c r="Q747" s="6">
        <v>717</v>
      </c>
      <c r="R747" s="7">
        <v>43384</v>
      </c>
      <c r="S747" s="210">
        <v>3.867808219178082</v>
      </c>
      <c r="T747" s="8">
        <v>1.0001074391171993</v>
      </c>
      <c r="U747" s="98">
        <v>3.6606539475189992</v>
      </c>
      <c r="V747" s="106">
        <v>27903.521648674647</v>
      </c>
      <c r="W747" s="10">
        <v>0.48605655837330453</v>
      </c>
      <c r="X747" s="413">
        <v>0.4805217621534163</v>
      </c>
      <c r="Y747" s="414">
        <v>0.30618424884134909</v>
      </c>
      <c r="Z747" s="1"/>
      <c r="AA747" s="1"/>
      <c r="AB747" s="1"/>
      <c r="AC747" s="1"/>
      <c r="AD747" s="1"/>
      <c r="AL747" s="23"/>
      <c r="AM747" s="23"/>
    </row>
    <row r="748" spans="17:39">
      <c r="Q748" s="6">
        <v>718</v>
      </c>
      <c r="R748" s="7">
        <v>43385</v>
      </c>
      <c r="S748" s="210">
        <v>3.8698630136986303</v>
      </c>
      <c r="T748" s="8">
        <v>1.0001074961948249</v>
      </c>
      <c r="U748" s="98">
        <v>3.6611277221219263</v>
      </c>
      <c r="V748" s="106">
        <v>27905.769215016251</v>
      </c>
      <c r="W748" s="10">
        <v>0.486754429531433</v>
      </c>
      <c r="X748" s="413">
        <v>0.48121650788020731</v>
      </c>
      <c r="Y748" s="414">
        <v>0.30623982463063676</v>
      </c>
      <c r="Z748" s="1"/>
      <c r="AA748" s="1"/>
      <c r="AB748" s="1"/>
      <c r="AC748" s="1"/>
      <c r="AD748" s="1"/>
      <c r="AL748" s="23"/>
      <c r="AM748" s="23"/>
    </row>
    <row r="749" spans="17:39">
      <c r="Q749" s="6">
        <v>719</v>
      </c>
      <c r="R749" s="7">
        <v>43386</v>
      </c>
      <c r="S749" s="210">
        <v>3.8719178082191781</v>
      </c>
      <c r="T749" s="8">
        <v>1.0001075532724506</v>
      </c>
      <c r="U749" s="98">
        <v>3.6616031843266672</v>
      </c>
      <c r="V749" s="106">
        <v>27908.0169623943</v>
      </c>
      <c r="W749" s="10">
        <v>0.48745327564287955</v>
      </c>
      <c r="X749" s="413">
        <v>0.48191224282380174</v>
      </c>
      <c r="Y749" s="414">
        <v>0.30629555318020729</v>
      </c>
      <c r="Z749" s="1"/>
      <c r="AA749" s="1"/>
      <c r="AB749" s="1"/>
      <c r="AC749" s="1"/>
      <c r="AD749" s="1"/>
      <c r="AL749" s="23"/>
      <c r="AM749" s="23"/>
    </row>
    <row r="750" spans="17:39">
      <c r="Q750" s="6">
        <v>720</v>
      </c>
      <c r="R750" s="7">
        <v>43387</v>
      </c>
      <c r="S750" s="210">
        <v>3.8739726027397259</v>
      </c>
      <c r="T750" s="8">
        <v>1.0001076103500761</v>
      </c>
      <c r="U750" s="98">
        <v>3.6620803271335767</v>
      </c>
      <c r="V750" s="106">
        <v>27910.264890823382</v>
      </c>
      <c r="W750" s="10">
        <v>0.48815309268559481</v>
      </c>
      <c r="X750" s="413">
        <v>0.48260896309664236</v>
      </c>
      <c r="Y750" s="414">
        <v>0.30635143394146247</v>
      </c>
      <c r="Z750" s="1"/>
      <c r="AA750" s="1"/>
      <c r="AB750" s="1"/>
      <c r="AC750" s="1"/>
      <c r="AD750" s="1"/>
      <c r="AL750" s="23"/>
      <c r="AM750" s="23"/>
    </row>
    <row r="751" spans="17:39">
      <c r="Q751" s="6">
        <v>721</v>
      </c>
      <c r="R751" s="7">
        <v>43388</v>
      </c>
      <c r="S751" s="210">
        <v>3.8760273972602741</v>
      </c>
      <c r="T751" s="8">
        <v>1.0001076674277016</v>
      </c>
      <c r="U751" s="98">
        <v>3.6625591435819338</v>
      </c>
      <c r="V751" s="106">
        <v>27912.513000318078</v>
      </c>
      <c r="W751" s="10">
        <v>0.48885387665988933</v>
      </c>
      <c r="X751" s="413">
        <v>0.48330666483330481</v>
      </c>
      <c r="Y751" s="414">
        <v>0.30640746636890648</v>
      </c>
      <c r="Z751" s="1"/>
      <c r="AA751" s="1"/>
      <c r="AB751" s="1"/>
      <c r="AC751" s="1"/>
      <c r="AD751" s="1"/>
      <c r="AL751" s="23"/>
      <c r="AM751" s="23"/>
    </row>
    <row r="752" spans="17:39">
      <c r="Q752" s="6">
        <v>722</v>
      </c>
      <c r="R752" s="7">
        <v>43389</v>
      </c>
      <c r="S752" s="210">
        <v>3.8780821917808219</v>
      </c>
      <c r="T752" s="8">
        <v>1.0001077245053271</v>
      </c>
      <c r="U752" s="98">
        <v>3.663039626749609</v>
      </c>
      <c r="V752" s="106">
        <v>27914.761290892973</v>
      </c>
      <c r="W752" s="10">
        <v>0.48955562358827809</v>
      </c>
      <c r="X752" s="413">
        <v>0.48400534419026697</v>
      </c>
      <c r="Y752" s="414">
        <v>0.30646364992012587</v>
      </c>
      <c r="Z752" s="1"/>
      <c r="AA752" s="1"/>
      <c r="AB752" s="1"/>
      <c r="AC752" s="1"/>
      <c r="AD752" s="1"/>
      <c r="AL752" s="23"/>
      <c r="AM752" s="23"/>
    </row>
    <row r="753" spans="17:39">
      <c r="Q753" s="6">
        <v>723</v>
      </c>
      <c r="R753" s="7">
        <v>43390</v>
      </c>
      <c r="S753" s="210">
        <v>3.8801369863013697</v>
      </c>
      <c r="T753" s="8">
        <v>1.0001077815829529</v>
      </c>
      <c r="U753" s="98">
        <v>3.6635217697529088</v>
      </c>
      <c r="V753" s="106">
        <v>27917.009762562655</v>
      </c>
      <c r="W753" s="10">
        <v>0.4902583295152585</v>
      </c>
      <c r="X753" s="413">
        <v>0.48470499734573547</v>
      </c>
      <c r="Y753" s="414">
        <v>0.3065199840557733</v>
      </c>
      <c r="Z753" s="1"/>
      <c r="AA753" s="1"/>
      <c r="AB753" s="1"/>
      <c r="AC753" s="1"/>
      <c r="AD753" s="1"/>
      <c r="AL753" s="23"/>
      <c r="AM753" s="23"/>
    </row>
    <row r="754" spans="17:39">
      <c r="Q754" s="6">
        <v>724</v>
      </c>
      <c r="R754" s="7">
        <v>43391</v>
      </c>
      <c r="S754" s="210">
        <v>3.882191780821918</v>
      </c>
      <c r="T754" s="8">
        <v>1.0001078386605784</v>
      </c>
      <c r="U754" s="98">
        <v>3.6640055657462201</v>
      </c>
      <c r="V754" s="106">
        <v>27919.258415341705</v>
      </c>
      <c r="W754" s="10">
        <v>0.49096199050726597</v>
      </c>
      <c r="X754" s="413">
        <v>0.48540562049959474</v>
      </c>
      <c r="Y754" s="414">
        <v>0.3065764682395421</v>
      </c>
      <c r="Z754" s="1"/>
      <c r="AA754" s="1"/>
      <c r="AB754" s="1"/>
      <c r="AC754" s="1"/>
      <c r="AD754" s="1"/>
      <c r="AL754" s="23"/>
      <c r="AM754" s="23"/>
    </row>
    <row r="755" spans="17:39">
      <c r="Q755" s="6">
        <v>725</v>
      </c>
      <c r="R755" s="7">
        <v>43392</v>
      </c>
      <c r="S755" s="210">
        <v>3.8842465753424658</v>
      </c>
      <c r="T755" s="8">
        <v>1.0001078957382039</v>
      </c>
      <c r="U755" s="98">
        <v>3.6644910079217885</v>
      </c>
      <c r="V755" s="106">
        <v>27921.507249244707</v>
      </c>
      <c r="W755" s="10">
        <v>0.49166660265245188</v>
      </c>
      <c r="X755" s="413">
        <v>0.48610720987316969</v>
      </c>
      <c r="Y755" s="414">
        <v>0.30663310193814419</v>
      </c>
      <c r="Z755" s="1"/>
      <c r="AA755" s="1"/>
      <c r="AB755" s="1"/>
      <c r="AC755" s="1"/>
      <c r="AD755" s="1"/>
      <c r="AL755" s="23"/>
      <c r="AM755" s="23"/>
    </row>
    <row r="756" spans="17:39">
      <c r="Q756" s="6">
        <v>726</v>
      </c>
      <c r="R756" s="7">
        <v>43393</v>
      </c>
      <c r="S756" s="210">
        <v>3.8863013698630136</v>
      </c>
      <c r="T756" s="8">
        <v>1.0001079528158294</v>
      </c>
      <c r="U756" s="98">
        <v>3.6649780895094075</v>
      </c>
      <c r="V756" s="106">
        <v>27923.756264286265</v>
      </c>
      <c r="W756" s="10">
        <v>0.49237216206050594</v>
      </c>
      <c r="X756" s="413">
        <v>0.48680976170909973</v>
      </c>
      <c r="Y756" s="414">
        <v>0.30668988462129221</v>
      </c>
      <c r="Z756" s="1"/>
      <c r="AA756" s="1"/>
      <c r="AB756" s="1"/>
      <c r="AC756" s="1"/>
      <c r="AD756" s="1"/>
      <c r="AL756" s="23"/>
      <c r="AM756" s="23"/>
    </row>
    <row r="757" spans="17:39">
      <c r="Q757" s="6">
        <v>727</v>
      </c>
      <c r="R757" s="7">
        <v>43394</v>
      </c>
      <c r="S757" s="210">
        <v>3.8883561643835618</v>
      </c>
      <c r="T757" s="8">
        <v>1.0001080098934552</v>
      </c>
      <c r="U757" s="98">
        <v>3.665466803776285</v>
      </c>
      <c r="V757" s="106">
        <v>27926.005460480956</v>
      </c>
      <c r="W757" s="10">
        <v>0.49307866486263396</v>
      </c>
      <c r="X757" s="413">
        <v>0.4875132722712362</v>
      </c>
      <c r="Y757" s="414">
        <v>0.30674681576168233</v>
      </c>
      <c r="Z757" s="1"/>
      <c r="AA757" s="1"/>
      <c r="AB757" s="1"/>
      <c r="AC757" s="1"/>
      <c r="AD757" s="1"/>
      <c r="AL757" s="23"/>
      <c r="AM757" s="23"/>
    </row>
    <row r="758" spans="17:39">
      <c r="Q758" s="6">
        <v>728</v>
      </c>
      <c r="R758" s="7">
        <v>43395</v>
      </c>
      <c r="S758" s="210">
        <v>3.8904109589041096</v>
      </c>
      <c r="T758" s="8">
        <v>1.0001080669710807</v>
      </c>
      <c r="U758" s="98">
        <v>3.6659571440266214</v>
      </c>
      <c r="V758" s="106">
        <v>27928.254837843378</v>
      </c>
      <c r="W758" s="10">
        <v>0.49378610721120264</v>
      </c>
      <c r="X758" s="413">
        <v>0.48821773784437617</v>
      </c>
      <c r="Y758" s="414">
        <v>0.30680389483496301</v>
      </c>
      <c r="Z758" s="1"/>
      <c r="AA758" s="1"/>
      <c r="AB758" s="1"/>
      <c r="AC758" s="1"/>
      <c r="AD758" s="1"/>
      <c r="AL758" s="23"/>
      <c r="AM758" s="23"/>
    </row>
    <row r="759" spans="17:39">
      <c r="Q759" s="6">
        <v>729</v>
      </c>
      <c r="R759" s="7">
        <v>43396</v>
      </c>
      <c r="S759" s="210">
        <v>3.8924657534246574</v>
      </c>
      <c r="T759" s="8">
        <v>1.0001081240487062</v>
      </c>
      <c r="U759" s="98">
        <v>3.6664491036014546</v>
      </c>
      <c r="V759" s="106">
        <v>27930.504396388122</v>
      </c>
      <c r="W759" s="10">
        <v>0.49449448527985052</v>
      </c>
      <c r="X759" s="413">
        <v>0.48892315473431569</v>
      </c>
      <c r="Y759" s="414">
        <v>0.30686112131972454</v>
      </c>
      <c r="Z759" s="1"/>
      <c r="AA759" s="1"/>
      <c r="AB759" s="1"/>
      <c r="AC759" s="1"/>
      <c r="AD759" s="1"/>
      <c r="AL759" s="23"/>
      <c r="AM759" s="23"/>
    </row>
    <row r="760" spans="17:39" ht="15.75" thickBot="1">
      <c r="Q760" s="6">
        <v>730</v>
      </c>
      <c r="R760" s="7">
        <v>43397</v>
      </c>
      <c r="S760" s="210">
        <v>3.8945205479452056</v>
      </c>
      <c r="T760" s="8">
        <v>1.0001081811263317</v>
      </c>
      <c r="U760" s="98">
        <v>3.666942675878393</v>
      </c>
      <c r="V760" s="106">
        <v>27932.754136129784</v>
      </c>
      <c r="W760" s="10">
        <v>0.49520379526308833</v>
      </c>
      <c r="X760" s="418">
        <v>0.48962951926747661</v>
      </c>
      <c r="Y760" s="419">
        <v>0.30691849469747556</v>
      </c>
      <c r="Z760" s="1"/>
      <c r="AA760" s="1"/>
      <c r="AB760" s="1"/>
      <c r="AC760" s="1"/>
      <c r="AD760" s="1"/>
      <c r="AL760" s="23"/>
      <c r="AM760" s="23"/>
    </row>
    <row r="761" spans="17:39">
      <c r="Q761" s="6">
        <v>731</v>
      </c>
      <c r="R761" s="7">
        <v>43398</v>
      </c>
      <c r="S761" s="210">
        <v>3.8965753424657534</v>
      </c>
      <c r="T761" s="8">
        <v>1.0001082382039574</v>
      </c>
      <c r="U761" s="98">
        <v>3.6674378542713493</v>
      </c>
      <c r="V761" s="106">
        <v>27935.004057082959</v>
      </c>
      <c r="W761" s="10">
        <v>0.49591403337636564</v>
      </c>
      <c r="X761" s="420"/>
      <c r="Y761" s="420"/>
      <c r="Z761" s="1"/>
      <c r="AA761" s="1"/>
      <c r="AB761" s="1"/>
      <c r="AC761" s="1"/>
      <c r="AD761" s="1"/>
      <c r="AL761" s="23"/>
      <c r="AM761" s="23"/>
    </row>
    <row r="762" spans="17:39">
      <c r="Q762" s="6">
        <v>732</v>
      </c>
      <c r="R762" s="7">
        <v>43399</v>
      </c>
      <c r="S762" s="210">
        <v>3.8986301369863012</v>
      </c>
      <c r="T762" s="8">
        <v>1.000108295281583</v>
      </c>
      <c r="U762" s="98">
        <v>3.6679346322303186</v>
      </c>
      <c r="V762" s="106">
        <v>27937.25415926224</v>
      </c>
      <c r="W762" s="10">
        <v>0.49662519585582654</v>
      </c>
      <c r="X762" s="420"/>
      <c r="Y762" s="420"/>
      <c r="Z762" s="1"/>
      <c r="AA762" s="1"/>
      <c r="AB762" s="1"/>
      <c r="AC762" s="1"/>
      <c r="AD762" s="1"/>
      <c r="AL762" s="23"/>
      <c r="AM762" s="23"/>
    </row>
    <row r="763" spans="17:39">
      <c r="Q763" s="6">
        <v>733</v>
      </c>
      <c r="R763" s="7">
        <v>43400</v>
      </c>
      <c r="S763" s="210">
        <v>3.9006849315068495</v>
      </c>
      <c r="T763" s="8">
        <v>1.0001083523592085</v>
      </c>
      <c r="U763" s="98">
        <v>3.6684330032410895</v>
      </c>
      <c r="V763" s="106">
        <v>27939.504442682221</v>
      </c>
      <c r="W763" s="10">
        <v>0.49733727895815427</v>
      </c>
      <c r="X763" s="420"/>
      <c r="Y763" s="420"/>
      <c r="Z763" s="1"/>
      <c r="AA763" s="1"/>
      <c r="AB763" s="1"/>
      <c r="AC763" s="1"/>
      <c r="AD763" s="1"/>
      <c r="AL763" s="23"/>
      <c r="AM763" s="23"/>
    </row>
    <row r="764" spans="17:39">
      <c r="Q764" s="6">
        <v>734</v>
      </c>
      <c r="R764" s="7">
        <v>43401</v>
      </c>
      <c r="S764" s="210">
        <v>3.9027397260273973</v>
      </c>
      <c r="T764" s="8">
        <v>1.000108409436834</v>
      </c>
      <c r="U764" s="98">
        <v>3.6689329608250221</v>
      </c>
      <c r="V764" s="106">
        <v>27941.754907357514</v>
      </c>
      <c r="W764" s="10">
        <v>0.49805027896039356</v>
      </c>
      <c r="X764" s="420"/>
      <c r="Y764" s="420"/>
      <c r="Z764" s="1"/>
      <c r="AA764" s="1"/>
      <c r="AB764" s="1"/>
      <c r="AC764" s="1"/>
      <c r="AD764" s="1"/>
      <c r="AL764" s="23"/>
      <c r="AM764" s="23"/>
    </row>
    <row r="765" spans="17:39">
      <c r="Q765" s="6">
        <v>735</v>
      </c>
      <c r="R765" s="7">
        <v>43402</v>
      </c>
      <c r="S765" s="210">
        <v>3.9047945205479451</v>
      </c>
      <c r="T765" s="8">
        <v>1.0001084665144597</v>
      </c>
      <c r="U765" s="98">
        <v>3.6694344985388483</v>
      </c>
      <c r="V765" s="106">
        <v>27944.005553302701</v>
      </c>
      <c r="W765" s="10">
        <v>0.49876419216003942</v>
      </c>
      <c r="X765" s="420"/>
      <c r="Y765" s="420"/>
      <c r="Z765" s="1"/>
      <c r="AA765" s="1"/>
      <c r="AB765" s="1"/>
      <c r="AC765" s="1"/>
      <c r="AD765" s="1"/>
      <c r="AL765" s="23"/>
      <c r="AM765" s="23"/>
    </row>
    <row r="766" spans="17:39">
      <c r="Q766" s="6">
        <v>736</v>
      </c>
      <c r="R766" s="7">
        <v>43403</v>
      </c>
      <c r="S766" s="210">
        <v>3.9068493150684933</v>
      </c>
      <c r="T766" s="8">
        <v>1.0001085235920852</v>
      </c>
      <c r="U766" s="98">
        <v>3.6699376099743386</v>
      </c>
      <c r="V766" s="106">
        <v>27946.256380532392</v>
      </c>
      <c r="W766" s="10">
        <v>0.49947901487459312</v>
      </c>
      <c r="X766" s="420"/>
      <c r="Y766" s="420"/>
      <c r="Z766" s="1"/>
      <c r="AA766" s="1"/>
      <c r="AB766" s="1"/>
      <c r="AC766" s="1"/>
      <c r="AD766" s="1"/>
      <c r="AL766" s="23"/>
      <c r="AM766" s="23"/>
    </row>
    <row r="767" spans="17:39">
      <c r="Q767" s="6">
        <v>737</v>
      </c>
      <c r="R767" s="7">
        <v>43404</v>
      </c>
      <c r="S767" s="210">
        <v>3.9089041095890411</v>
      </c>
      <c r="T767" s="8">
        <v>1.0001085806697108</v>
      </c>
      <c r="U767" s="98">
        <v>3.6704422887581467</v>
      </c>
      <c r="V767" s="106">
        <v>27948.507389061193</v>
      </c>
      <c r="W767" s="10">
        <v>0.50019474344162873</v>
      </c>
      <c r="X767" s="420"/>
      <c r="Y767" s="420"/>
      <c r="Z767" s="1"/>
      <c r="AA767" s="1"/>
      <c r="AB767" s="1"/>
      <c r="AC767" s="1"/>
      <c r="AD767" s="1"/>
      <c r="AL767" s="23"/>
      <c r="AM767" s="23"/>
    </row>
    <row r="768" spans="17:39">
      <c r="Q768" s="6">
        <v>738</v>
      </c>
      <c r="R768" s="7">
        <v>43405</v>
      </c>
      <c r="S768" s="210">
        <v>3.9109589041095889</v>
      </c>
      <c r="T768" s="8">
        <v>1.0001086377473363</v>
      </c>
      <c r="U768" s="98">
        <v>3.6709485285515209</v>
      </c>
      <c r="V768" s="106">
        <v>27950.758578903704</v>
      </c>
      <c r="W768" s="10">
        <v>0.50091137421854892</v>
      </c>
      <c r="X768" s="420"/>
      <c r="Y768" s="420"/>
      <c r="Z768" s="1"/>
      <c r="AA768" s="1"/>
      <c r="AB768" s="1"/>
      <c r="AC768" s="1"/>
      <c r="AD768" s="1"/>
      <c r="AL768" s="23"/>
      <c r="AM768" s="23"/>
    </row>
    <row r="769" spans="17:39">
      <c r="Q769" s="6">
        <v>739</v>
      </c>
      <c r="R769" s="7">
        <v>43406</v>
      </c>
      <c r="S769" s="210">
        <v>3.9130136986301371</v>
      </c>
      <c r="T769" s="8">
        <v>1.000108694824962</v>
      </c>
      <c r="U769" s="98">
        <v>3.6714563230501263</v>
      </c>
      <c r="V769" s="106">
        <v>27953.00995007452</v>
      </c>
      <c r="W769" s="10">
        <v>0.50162890358258494</v>
      </c>
      <c r="X769" s="420"/>
      <c r="Y769" s="420"/>
      <c r="Z769" s="1"/>
      <c r="AA769" s="1"/>
      <c r="AB769" s="1"/>
      <c r="AC769" s="1"/>
      <c r="AD769" s="1"/>
      <c r="AL769" s="23"/>
      <c r="AM769" s="23"/>
    </row>
    <row r="770" spans="17:39">
      <c r="Q770" s="6">
        <v>740</v>
      </c>
      <c r="R770" s="7">
        <v>43407</v>
      </c>
      <c r="S770" s="210">
        <v>3.9150684931506849</v>
      </c>
      <c r="T770" s="8">
        <v>1.0001087519025875</v>
      </c>
      <c r="U770" s="98">
        <v>3.6719656659837119</v>
      </c>
      <c r="V770" s="106">
        <v>27955.261502588262</v>
      </c>
      <c r="W770" s="10">
        <v>0.50234732793044135</v>
      </c>
      <c r="X770" s="420"/>
      <c r="Y770" s="420"/>
      <c r="Z770" s="1"/>
      <c r="AA770" s="1"/>
      <c r="AB770" s="1"/>
      <c r="AC770" s="1"/>
      <c r="AD770" s="1"/>
      <c r="AL770" s="23"/>
      <c r="AM770" s="23"/>
    </row>
    <row r="771" spans="17:39">
      <c r="Q771" s="6">
        <v>741</v>
      </c>
      <c r="R771" s="7">
        <v>43408</v>
      </c>
      <c r="S771" s="210">
        <v>3.9171232876712327</v>
      </c>
      <c r="T771" s="8">
        <v>1.000108808980213</v>
      </c>
      <c r="U771" s="98">
        <v>3.6724765511159996</v>
      </c>
      <c r="V771" s="106">
        <v>27957.51323645953</v>
      </c>
      <c r="W771" s="10">
        <v>0.50306664367845144</v>
      </c>
      <c r="X771" s="420"/>
      <c r="Y771" s="420"/>
      <c r="Z771" s="1"/>
      <c r="AA771" s="1"/>
      <c r="AB771" s="1"/>
      <c r="AC771" s="1"/>
      <c r="AD771" s="1"/>
      <c r="AL771" s="23"/>
      <c r="AM771" s="23"/>
    </row>
    <row r="772" spans="17:39">
      <c r="Q772" s="6">
        <v>742</v>
      </c>
      <c r="R772" s="7">
        <v>43409</v>
      </c>
      <c r="S772" s="210">
        <v>3.919178082191781</v>
      </c>
      <c r="T772" s="8">
        <v>1.0001088660578386</v>
      </c>
      <c r="U772" s="98">
        <v>3.6729889722443954</v>
      </c>
      <c r="V772" s="106">
        <v>27959.76515170293</v>
      </c>
      <c r="W772" s="10">
        <v>0.5037868472621776</v>
      </c>
      <c r="X772" s="420"/>
      <c r="Y772" s="420"/>
      <c r="Z772" s="1"/>
      <c r="AA772" s="1"/>
      <c r="AB772" s="1"/>
      <c r="AC772" s="1"/>
      <c r="AD772" s="1"/>
      <c r="AL772" s="23"/>
      <c r="AM772" s="23"/>
    </row>
    <row r="773" spans="17:39">
      <c r="Q773" s="6">
        <v>743</v>
      </c>
      <c r="R773" s="7">
        <v>43410</v>
      </c>
      <c r="S773" s="210">
        <v>3.9212328767123288</v>
      </c>
      <c r="T773" s="8">
        <v>1.0001089231354643</v>
      </c>
      <c r="U773" s="98">
        <v>3.6735029231997229</v>
      </c>
      <c r="V773" s="106">
        <v>27962.017248333072</v>
      </c>
      <c r="W773" s="10">
        <v>0.50450793513641123</v>
      </c>
      <c r="X773" s="420"/>
      <c r="Y773" s="420"/>
      <c r="Z773" s="1"/>
      <c r="AA773" s="1"/>
      <c r="AB773" s="1"/>
      <c r="AC773" s="1"/>
      <c r="AD773" s="1"/>
      <c r="AL773" s="23"/>
      <c r="AM773" s="23"/>
    </row>
    <row r="774" spans="17:39">
      <c r="Q774" s="6">
        <v>744</v>
      </c>
      <c r="R774" s="7">
        <v>43411</v>
      </c>
      <c r="S774" s="210">
        <v>3.9232876712328766</v>
      </c>
      <c r="T774" s="8">
        <v>1.0001089802130898</v>
      </c>
      <c r="U774" s="98">
        <v>3.6740183978460905</v>
      </c>
      <c r="V774" s="106">
        <v>27964.269526364569</v>
      </c>
      <c r="W774" s="10">
        <v>0.50522990377510624</v>
      </c>
      <c r="X774" s="420"/>
      <c r="Y774" s="420"/>
      <c r="Z774" s="1"/>
      <c r="AA774" s="1"/>
      <c r="AB774" s="1"/>
      <c r="AC774" s="1"/>
      <c r="AD774" s="1"/>
      <c r="AL774" s="23"/>
      <c r="AM774" s="23"/>
    </row>
    <row r="775" spans="17:39">
      <c r="Q775" s="6">
        <v>745</v>
      </c>
      <c r="R775" s="7">
        <v>43412</v>
      </c>
      <c r="S775" s="210">
        <v>3.9253424657534248</v>
      </c>
      <c r="T775" s="8">
        <v>1.0001090372907153</v>
      </c>
      <c r="U775" s="98">
        <v>3.6745353900805799</v>
      </c>
      <c r="V775" s="106">
        <v>27966.521985812029</v>
      </c>
      <c r="W775" s="10">
        <v>0.50595274967109027</v>
      </c>
      <c r="X775" s="420"/>
      <c r="Y775" s="420"/>
      <c r="Z775" s="1"/>
      <c r="AA775" s="1"/>
      <c r="AB775" s="1"/>
      <c r="AC775" s="1"/>
      <c r="AD775" s="1"/>
      <c r="AL775" s="23"/>
      <c r="AM775" s="23"/>
    </row>
    <row r="776" spans="17:39">
      <c r="Q776" s="6">
        <v>746</v>
      </c>
      <c r="R776" s="7">
        <v>43413</v>
      </c>
      <c r="S776" s="210">
        <v>3.9273972602739726</v>
      </c>
      <c r="T776" s="8">
        <v>1.0001090943683408</v>
      </c>
      <c r="U776" s="98">
        <v>3.6750538938330912</v>
      </c>
      <c r="V776" s="106">
        <v>27968.774626690069</v>
      </c>
      <c r="W776" s="10">
        <v>0.50667646933599819</v>
      </c>
      <c r="X776" s="420"/>
      <c r="Y776" s="420"/>
      <c r="Z776" s="1"/>
      <c r="AA776" s="1"/>
      <c r="AB776" s="1"/>
      <c r="AC776" s="1"/>
      <c r="AD776" s="1"/>
      <c r="AL776" s="23"/>
      <c r="AM776" s="23"/>
    </row>
    <row r="777" spans="17:39">
      <c r="Q777" s="6">
        <v>747</v>
      </c>
      <c r="R777" s="7">
        <v>43414</v>
      </c>
      <c r="S777" s="210">
        <v>3.9294520547945204</v>
      </c>
      <c r="T777" s="8">
        <v>1.0001091514459666</v>
      </c>
      <c r="U777" s="98">
        <v>3.6755739030660761</v>
      </c>
      <c r="V777" s="106">
        <v>27971.102546215796</v>
      </c>
      <c r="W777" s="10">
        <v>0.50726920789057051</v>
      </c>
      <c r="X777" s="420"/>
      <c r="Y777" s="420"/>
      <c r="Z777" s="1"/>
      <c r="AA777" s="1"/>
      <c r="AB777" s="1"/>
      <c r="AC777" s="1"/>
      <c r="AD777" s="1"/>
      <c r="AL777" s="23"/>
      <c r="AM777" s="23"/>
    </row>
    <row r="778" spans="17:39">
      <c r="Q778" s="6">
        <v>748</v>
      </c>
      <c r="R778" s="7">
        <v>43415</v>
      </c>
      <c r="S778" s="210">
        <v>3.9315068493150687</v>
      </c>
      <c r="T778" s="8">
        <v>1.0001092085235921</v>
      </c>
      <c r="U778" s="98">
        <v>3.6760954117743383</v>
      </c>
      <c r="V778" s="106">
        <v>27973.430659500798</v>
      </c>
      <c r="W778" s="10">
        <v>0.50786316410871279</v>
      </c>
      <c r="X778" s="420"/>
      <c r="Y778" s="420"/>
      <c r="Z778" s="1"/>
      <c r="AA778" s="1"/>
      <c r="AB778" s="1"/>
      <c r="AC778" s="1"/>
      <c r="AD778" s="1"/>
      <c r="AL778" s="23"/>
      <c r="AM778" s="23"/>
    </row>
    <row r="779" spans="17:39">
      <c r="Q779" s="6">
        <v>749</v>
      </c>
      <c r="R779" s="7">
        <v>43416</v>
      </c>
      <c r="S779" s="210">
        <v>3.9335616438356165</v>
      </c>
      <c r="T779" s="8">
        <v>1.0001092656012176</v>
      </c>
      <c r="U779" s="98">
        <v>3.6766184139848335</v>
      </c>
      <c r="V779" s="106">
        <v>27975.758966561192</v>
      </c>
      <c r="W779" s="10">
        <v>0.50845833314869804</v>
      </c>
      <c r="X779" s="420"/>
      <c r="Y779" s="420"/>
      <c r="Z779" s="1"/>
      <c r="AA779" s="1"/>
      <c r="AB779" s="1"/>
      <c r="AC779" s="1"/>
      <c r="AD779" s="1"/>
      <c r="AL779" s="23"/>
      <c r="AM779" s="23"/>
    </row>
    <row r="780" spans="17:39">
      <c r="Q780" s="6">
        <v>750</v>
      </c>
      <c r="R780" s="7">
        <v>43417</v>
      </c>
      <c r="S780" s="210">
        <v>3.9356164383561643</v>
      </c>
      <c r="T780" s="8">
        <v>1.0001093226788433</v>
      </c>
      <c r="U780" s="98">
        <v>3.6771429037564252</v>
      </c>
      <c r="V780" s="106">
        <v>27978.087467413112</v>
      </c>
      <c r="W780" s="10">
        <v>0.50905471019455639</v>
      </c>
      <c r="X780" s="420"/>
      <c r="Y780" s="420"/>
      <c r="Z780" s="1"/>
      <c r="AA780" s="1"/>
      <c r="AB780" s="1"/>
      <c r="AC780" s="1"/>
      <c r="AD780" s="1"/>
      <c r="AL780" s="23"/>
      <c r="AM780" s="23"/>
    </row>
    <row r="781" spans="17:39">
      <c r="Q781" s="6">
        <v>751</v>
      </c>
      <c r="R781" s="7">
        <v>43418</v>
      </c>
      <c r="S781" s="210">
        <v>3.9376712328767125</v>
      </c>
      <c r="T781" s="8">
        <v>1.0001093797564689</v>
      </c>
      <c r="U781" s="98">
        <v>3.6776688751796849</v>
      </c>
      <c r="V781" s="106">
        <v>27980.416162072681</v>
      </c>
      <c r="W781" s="10">
        <v>0.50965229045607519</v>
      </c>
      <c r="X781" s="420"/>
      <c r="Y781" s="420"/>
      <c r="Z781" s="1"/>
      <c r="AA781" s="1"/>
      <c r="AB781" s="1"/>
      <c r="AC781" s="1"/>
      <c r="AD781" s="1"/>
      <c r="AL781" s="23"/>
      <c r="AM781" s="23"/>
    </row>
    <row r="782" spans="17:39">
      <c r="Q782" s="6">
        <v>752</v>
      </c>
      <c r="R782" s="7">
        <v>43419</v>
      </c>
      <c r="S782" s="210">
        <v>3.9397260273972603</v>
      </c>
      <c r="T782" s="8">
        <v>1.0001094368340944</v>
      </c>
      <c r="U782" s="98">
        <v>3.67819632237667</v>
      </c>
      <c r="V782" s="106">
        <v>27982.745050556037</v>
      </c>
      <c r="W782" s="10">
        <v>0.51025106916848806</v>
      </c>
      <c r="X782" s="420"/>
      <c r="Y782" s="420"/>
      <c r="Z782" s="1"/>
      <c r="AA782" s="1"/>
      <c r="AB782" s="1"/>
      <c r="AC782" s="1"/>
      <c r="AD782" s="1"/>
      <c r="AL782" s="23"/>
      <c r="AM782" s="23"/>
    </row>
    <row r="783" spans="17:39">
      <c r="Q783" s="6">
        <v>753</v>
      </c>
      <c r="R783" s="7">
        <v>43420</v>
      </c>
      <c r="S783" s="210">
        <v>3.9417808219178081</v>
      </c>
      <c r="T783" s="8">
        <v>1.0001094939117199</v>
      </c>
      <c r="U783" s="98">
        <v>3.6787252395007464</v>
      </c>
      <c r="V783" s="106">
        <v>27985.074132879316</v>
      </c>
      <c r="W783" s="10">
        <v>0.51085104159247496</v>
      </c>
      <c r="X783" s="420"/>
      <c r="Y783" s="420"/>
      <c r="Z783" s="1"/>
      <c r="AA783" s="1"/>
      <c r="AB783" s="1"/>
      <c r="AC783" s="1"/>
      <c r="AD783" s="1"/>
      <c r="AL783" s="23"/>
      <c r="AM783" s="23"/>
    </row>
    <row r="784" spans="17:39">
      <c r="Q784" s="6">
        <v>754</v>
      </c>
      <c r="R784" s="7">
        <v>43421</v>
      </c>
      <c r="S784" s="210">
        <v>3.9438356164383563</v>
      </c>
      <c r="T784" s="8">
        <v>1.0001095509893456</v>
      </c>
      <c r="U784" s="98">
        <v>3.6792556207363658</v>
      </c>
      <c r="V784" s="106">
        <v>27987.403409058647</v>
      </c>
      <c r="W784" s="10">
        <v>0.51145220301387351</v>
      </c>
      <c r="X784" s="420"/>
      <c r="Y784" s="420"/>
      <c r="Z784" s="1"/>
      <c r="AA784" s="1"/>
      <c r="AB784" s="1"/>
      <c r="AC784" s="1"/>
      <c r="AD784" s="1"/>
      <c r="AL784" s="23"/>
      <c r="AM784" s="23"/>
    </row>
    <row r="785" spans="17:39">
      <c r="Q785" s="6">
        <v>755</v>
      </c>
      <c r="R785" s="7">
        <v>43422</v>
      </c>
      <c r="S785" s="210">
        <v>3.9458904109589041</v>
      </c>
      <c r="T785" s="8">
        <v>1.0001096080669711</v>
      </c>
      <c r="U785" s="98">
        <v>3.6797874602988223</v>
      </c>
      <c r="V785" s="106">
        <v>27989.732879110157</v>
      </c>
      <c r="W785" s="10">
        <v>0.51205454874350131</v>
      </c>
      <c r="X785" s="420"/>
      <c r="Y785" s="420"/>
      <c r="Z785" s="1"/>
      <c r="AA785" s="1"/>
      <c r="AB785" s="1"/>
      <c r="AC785" s="1"/>
      <c r="AD785" s="1"/>
      <c r="AL785" s="23"/>
      <c r="AM785" s="23"/>
    </row>
    <row r="786" spans="17:39">
      <c r="Q786" s="6">
        <v>756</v>
      </c>
      <c r="R786" s="7">
        <v>43423</v>
      </c>
      <c r="S786" s="210">
        <v>3.9479452054794519</v>
      </c>
      <c r="T786" s="8">
        <v>1.0001096651445966</v>
      </c>
      <c r="U786" s="98">
        <v>3.6803207524340742</v>
      </c>
      <c r="V786" s="106">
        <v>27992.062543049993</v>
      </c>
      <c r="W786" s="10">
        <v>0.512658074117045</v>
      </c>
      <c r="X786" s="420"/>
      <c r="Y786" s="420"/>
      <c r="Z786" s="1"/>
      <c r="AA786" s="1"/>
      <c r="AB786" s="1"/>
      <c r="AC786" s="1"/>
      <c r="AD786" s="1"/>
      <c r="AL786" s="23"/>
      <c r="AM786" s="23"/>
    </row>
    <row r="787" spans="17:39">
      <c r="Q787" s="6">
        <v>757</v>
      </c>
      <c r="R787" s="7">
        <v>43424</v>
      </c>
      <c r="S787" s="210">
        <v>3.95</v>
      </c>
      <c r="T787" s="8">
        <v>1.0001097222222222</v>
      </c>
      <c r="U787" s="98">
        <v>3.6808554914185887</v>
      </c>
      <c r="V787" s="106">
        <v>27994.392400894296</v>
      </c>
      <c r="W787" s="10">
        <v>0.51326277449490476</v>
      </c>
      <c r="X787" s="420"/>
      <c r="Y787" s="420"/>
      <c r="Z787" s="1"/>
      <c r="AA787" s="1"/>
      <c r="AB787" s="1"/>
      <c r="AC787" s="1"/>
      <c r="AD787" s="1"/>
      <c r="AL787" s="23"/>
      <c r="AM787" s="23"/>
    </row>
    <row r="788" spans="17:39">
      <c r="Q788" s="6">
        <v>758</v>
      </c>
      <c r="R788" s="7">
        <v>43425</v>
      </c>
      <c r="S788" s="210">
        <v>3.952054794520548</v>
      </c>
      <c r="T788" s="8">
        <v>1.0001097792998479</v>
      </c>
      <c r="U788" s="98">
        <v>3.6813916715590755</v>
      </c>
      <c r="V788" s="106">
        <v>27996.722452659193</v>
      </c>
      <c r="W788" s="10">
        <v>0.51386864526199449</v>
      </c>
      <c r="X788" s="420"/>
      <c r="Y788" s="420"/>
      <c r="Z788" s="1"/>
      <c r="AA788" s="1"/>
      <c r="AB788" s="1"/>
      <c r="AC788" s="1"/>
      <c r="AD788" s="1"/>
      <c r="AL788" s="23"/>
      <c r="AM788" s="23"/>
    </row>
    <row r="789" spans="17:39">
      <c r="Q789" s="6">
        <v>759</v>
      </c>
      <c r="R789" s="7">
        <v>43426</v>
      </c>
      <c r="S789" s="210">
        <v>3.9541095890410958</v>
      </c>
      <c r="T789" s="8">
        <v>1.0001098363774734</v>
      </c>
      <c r="U789" s="98">
        <v>3.6819292871922871</v>
      </c>
      <c r="V789" s="106">
        <v>27999.052698360836</v>
      </c>
      <c r="W789" s="10">
        <v>0.5144756818275642</v>
      </c>
      <c r="X789" s="420"/>
      <c r="Y789" s="420"/>
      <c r="Z789" s="1"/>
      <c r="AA789" s="1"/>
      <c r="AB789" s="1"/>
      <c r="AC789" s="1"/>
      <c r="AD789" s="1"/>
      <c r="AL789" s="23"/>
      <c r="AM789" s="23"/>
    </row>
    <row r="790" spans="17:39">
      <c r="Q790" s="6">
        <v>760</v>
      </c>
      <c r="R790" s="7">
        <v>43427</v>
      </c>
      <c r="S790" s="210">
        <v>3.956164383561644</v>
      </c>
      <c r="T790" s="8">
        <v>1.0001098934550989</v>
      </c>
      <c r="U790" s="98">
        <v>3.6824683326848628</v>
      </c>
      <c r="V790" s="106">
        <v>28001.383138015361</v>
      </c>
      <c r="W790" s="10">
        <v>0.51508387962511115</v>
      </c>
      <c r="X790" s="420"/>
      <c r="Y790" s="420"/>
      <c r="Z790" s="1"/>
      <c r="AA790" s="1"/>
      <c r="AB790" s="1"/>
      <c r="AC790" s="1"/>
      <c r="AD790" s="1"/>
      <c r="AL790" s="23"/>
      <c r="AM790" s="23"/>
    </row>
    <row r="791" spans="17:39">
      <c r="Q791" s="6">
        <v>761</v>
      </c>
      <c r="R791" s="7">
        <v>43428</v>
      </c>
      <c r="S791" s="210">
        <v>3.9582191780821918</v>
      </c>
      <c r="T791" s="8">
        <v>1.0001099505327244</v>
      </c>
      <c r="U791" s="98">
        <v>3.6830088024331298</v>
      </c>
      <c r="V791" s="106">
        <v>28003.713771638908</v>
      </c>
      <c r="W791" s="10">
        <v>0.51569323411213563</v>
      </c>
      <c r="X791" s="420"/>
      <c r="Y791" s="420"/>
      <c r="Z791" s="1"/>
      <c r="AA791" s="1"/>
      <c r="AB791" s="1"/>
      <c r="AC791" s="1"/>
      <c r="AD791" s="1"/>
      <c r="AL791" s="23"/>
      <c r="AM791" s="23"/>
    </row>
    <row r="792" spans="17:39">
      <c r="Q792" s="6">
        <v>762</v>
      </c>
      <c r="R792" s="7">
        <v>43429</v>
      </c>
      <c r="S792" s="210">
        <v>3.9602739726027396</v>
      </c>
      <c r="T792" s="8">
        <v>1.0001100076103502</v>
      </c>
      <c r="U792" s="98">
        <v>3.6835506908628357</v>
      </c>
      <c r="V792" s="106">
        <v>28006.044599247627</v>
      </c>
      <c r="W792" s="10">
        <v>0.51630374077002994</v>
      </c>
      <c r="X792" s="420"/>
      <c r="Y792" s="420"/>
      <c r="Z792" s="1"/>
      <c r="AA792" s="1"/>
      <c r="AB792" s="1"/>
      <c r="AC792" s="1"/>
      <c r="AD792" s="1"/>
      <c r="AL792" s="23"/>
      <c r="AM792" s="23"/>
    </row>
    <row r="793" spans="17:39">
      <c r="Q793" s="6">
        <v>763</v>
      </c>
      <c r="R793" s="7">
        <v>43430</v>
      </c>
      <c r="S793" s="210">
        <v>3.9623287671232879</v>
      </c>
      <c r="T793" s="8">
        <v>1.0001100646879757</v>
      </c>
      <c r="U793" s="98">
        <v>3.6840939924290605</v>
      </c>
      <c r="V793" s="106">
        <v>28008.375620857663</v>
      </c>
      <c r="W793" s="10">
        <v>0.51691539510392293</v>
      </c>
      <c r="X793" s="420"/>
      <c r="Y793" s="420"/>
      <c r="Z793" s="1"/>
      <c r="AA793" s="1"/>
      <c r="AB793" s="1"/>
      <c r="AC793" s="1"/>
      <c r="AD793" s="1"/>
      <c r="AL793" s="23"/>
      <c r="AM793" s="23"/>
    </row>
    <row r="794" spans="17:39">
      <c r="Q794" s="6">
        <v>764</v>
      </c>
      <c r="R794" s="7">
        <v>43431</v>
      </c>
      <c r="S794" s="210">
        <v>3.9643835616438357</v>
      </c>
      <c r="T794" s="8">
        <v>1.0001101217656012</v>
      </c>
      <c r="U794" s="98">
        <v>3.6846387016159499</v>
      </c>
      <c r="V794" s="106">
        <v>28010.706836485166</v>
      </c>
      <c r="W794" s="10">
        <v>0.51752819264254679</v>
      </c>
      <c r="X794" s="420"/>
      <c r="Y794" s="420"/>
      <c r="Z794" s="1"/>
      <c r="AA794" s="1"/>
      <c r="AB794" s="1"/>
      <c r="AC794" s="1"/>
      <c r="AD794" s="1"/>
      <c r="AL794" s="23"/>
      <c r="AM794" s="23"/>
    </row>
    <row r="795" spans="17:39">
      <c r="Q795" s="6">
        <v>765</v>
      </c>
      <c r="R795" s="7">
        <v>43432</v>
      </c>
      <c r="S795" s="210">
        <v>3.9664383561643834</v>
      </c>
      <c r="T795" s="8">
        <v>1.0001101788432267</v>
      </c>
      <c r="U795" s="98">
        <v>3.6851848129365594</v>
      </c>
      <c r="V795" s="106">
        <v>28013.038246146276</v>
      </c>
      <c r="W795" s="10">
        <v>0.51814212893799283</v>
      </c>
      <c r="X795" s="420"/>
      <c r="Y795" s="420"/>
      <c r="Z795" s="1"/>
      <c r="AA795" s="1"/>
      <c r="AB795" s="1"/>
      <c r="AC795" s="1"/>
      <c r="AD795" s="1"/>
      <c r="AL795" s="23"/>
      <c r="AM795" s="23"/>
    </row>
    <row r="796" spans="17:39">
      <c r="Q796" s="6">
        <v>766</v>
      </c>
      <c r="R796" s="7">
        <v>43433</v>
      </c>
      <c r="S796" s="210">
        <v>3.9684931506849317</v>
      </c>
      <c r="T796" s="8">
        <v>1.0001102359208525</v>
      </c>
      <c r="U796" s="98">
        <v>3.6857323209326553</v>
      </c>
      <c r="V796" s="106">
        <v>28015.369849857154</v>
      </c>
      <c r="W796" s="10">
        <v>0.51875719956564481</v>
      </c>
      <c r="X796" s="420"/>
      <c r="Y796" s="420"/>
      <c r="Z796" s="1"/>
      <c r="AA796" s="1"/>
      <c r="AB796" s="1"/>
      <c r="AC796" s="1"/>
      <c r="AD796" s="1"/>
      <c r="AL796" s="23"/>
      <c r="AM796" s="23"/>
    </row>
    <row r="797" spans="17:39">
      <c r="Q797" s="6">
        <v>767</v>
      </c>
      <c r="R797" s="7">
        <v>43434</v>
      </c>
      <c r="S797" s="210">
        <v>3.9705479452054795</v>
      </c>
      <c r="T797" s="8">
        <v>1.000110292998478</v>
      </c>
      <c r="U797" s="98">
        <v>3.6862812201744921</v>
      </c>
      <c r="V797" s="106">
        <v>28017.701647633945</v>
      </c>
      <c r="W797" s="10">
        <v>0.51937340012402355</v>
      </c>
      <c r="X797" s="420"/>
      <c r="Y797" s="420"/>
      <c r="Z797" s="1"/>
      <c r="AA797" s="1"/>
      <c r="AB797" s="1"/>
      <c r="AC797" s="1"/>
      <c r="AD797" s="1"/>
      <c r="AL797" s="23"/>
      <c r="AM797" s="23"/>
    </row>
    <row r="798" spans="17:39">
      <c r="Q798" s="6">
        <v>768</v>
      </c>
      <c r="R798" s="7">
        <v>43435</v>
      </c>
      <c r="S798" s="210">
        <v>3.9726027397260273</v>
      </c>
      <c r="T798" s="8">
        <v>1.0001103500761035</v>
      </c>
      <c r="U798" s="98">
        <v>3.6868315052607015</v>
      </c>
      <c r="V798" s="106">
        <v>28020.033639492794</v>
      </c>
      <c r="W798" s="10">
        <v>0.51999072623458709</v>
      </c>
      <c r="X798" s="420"/>
      <c r="Y798" s="420"/>
      <c r="Z798" s="1"/>
      <c r="AA798" s="1"/>
      <c r="AB798" s="1"/>
      <c r="AC798" s="1"/>
      <c r="AD798" s="1"/>
      <c r="AL798" s="23"/>
      <c r="AM798" s="23"/>
    </row>
    <row r="799" spans="17:39">
      <c r="Q799" s="6">
        <v>769</v>
      </c>
      <c r="R799" s="7">
        <v>43436</v>
      </c>
      <c r="S799" s="210">
        <v>3.9746575342465755</v>
      </c>
      <c r="T799" s="8">
        <v>1.000110407153729</v>
      </c>
      <c r="U799" s="98">
        <v>3.687383170818026</v>
      </c>
      <c r="V799" s="106">
        <v>28022.36582544987</v>
      </c>
      <c r="W799" s="10">
        <v>0.52060917354157521</v>
      </c>
      <c r="X799" s="420"/>
      <c r="Y799" s="420"/>
      <c r="Z799" s="1"/>
      <c r="AA799" s="1"/>
      <c r="AB799" s="1"/>
      <c r="AC799" s="1"/>
      <c r="AD799" s="1"/>
      <c r="AL799" s="23"/>
      <c r="AM799" s="23"/>
    </row>
    <row r="800" spans="17:39">
      <c r="Q800" s="6">
        <v>770</v>
      </c>
      <c r="R800" s="7">
        <v>43437</v>
      </c>
      <c r="S800" s="210">
        <v>3.9767123287671233</v>
      </c>
      <c r="T800" s="8">
        <v>1.0001104642313547</v>
      </c>
      <c r="U800" s="98">
        <v>3.6879362115012304</v>
      </c>
      <c r="V800" s="106">
        <v>28024.698205521327</v>
      </c>
      <c r="W800" s="10">
        <v>0.5212287377119651</v>
      </c>
      <c r="X800" s="420"/>
      <c r="Y800" s="420"/>
      <c r="Z800" s="1"/>
      <c r="AA800" s="1"/>
      <c r="AB800" s="1"/>
      <c r="AC800" s="1"/>
      <c r="AD800" s="1"/>
      <c r="AL800" s="23"/>
      <c r="AM800" s="23"/>
    </row>
    <row r="801" spans="17:39">
      <c r="Q801" s="6">
        <v>771</v>
      </c>
      <c r="R801" s="7">
        <v>43438</v>
      </c>
      <c r="S801" s="210">
        <v>3.9787671232876711</v>
      </c>
      <c r="T801" s="8">
        <v>1.0001105213089803</v>
      </c>
      <c r="U801" s="98">
        <v>3.6884906219928348</v>
      </c>
      <c r="V801" s="106">
        <v>28027.030779723307</v>
      </c>
      <c r="W801" s="10">
        <v>0.52184941443520483</v>
      </c>
      <c r="X801" s="420"/>
      <c r="Y801" s="420"/>
      <c r="Z801" s="1"/>
      <c r="AA801" s="1"/>
      <c r="AB801" s="1"/>
      <c r="AC801" s="1"/>
      <c r="AD801" s="1"/>
      <c r="AL801" s="23"/>
      <c r="AM801" s="23"/>
    </row>
    <row r="802" spans="17:39">
      <c r="Q802" s="6">
        <v>772</v>
      </c>
      <c r="R802" s="7">
        <v>43439</v>
      </c>
      <c r="S802" s="210">
        <v>3.9808219178082194</v>
      </c>
      <c r="T802" s="8">
        <v>1.0001105783866058</v>
      </c>
      <c r="U802" s="98">
        <v>3.6890463970029375</v>
      </c>
      <c r="V802" s="106">
        <v>28029.363548071986</v>
      </c>
      <c r="W802" s="10">
        <v>0.52247119942310238</v>
      </c>
      <c r="X802" s="420"/>
      <c r="Y802" s="420"/>
      <c r="Z802" s="1"/>
      <c r="AA802" s="1"/>
      <c r="AB802" s="1"/>
      <c r="AC802" s="1"/>
      <c r="AD802" s="1"/>
      <c r="AL802" s="23"/>
      <c r="AM802" s="23"/>
    </row>
    <row r="803" spans="17:39">
      <c r="Q803" s="6">
        <v>773</v>
      </c>
      <c r="R803" s="7">
        <v>43440</v>
      </c>
      <c r="S803" s="210">
        <v>3.9828767123287672</v>
      </c>
      <c r="T803" s="8">
        <v>1.0001106354642313</v>
      </c>
      <c r="U803" s="98">
        <v>3.6896035312691033</v>
      </c>
      <c r="V803" s="106">
        <v>28031.696510583508</v>
      </c>
      <c r="W803" s="10">
        <v>0.52309408840973681</v>
      </c>
      <c r="X803" s="420"/>
      <c r="Y803" s="420"/>
      <c r="Z803" s="1"/>
      <c r="AA803" s="1"/>
      <c r="AB803" s="1"/>
      <c r="AC803" s="1"/>
      <c r="AD803" s="1"/>
      <c r="AL803" s="23"/>
      <c r="AM803" s="23"/>
    </row>
    <row r="804" spans="17:39">
      <c r="Q804" s="6">
        <v>774</v>
      </c>
      <c r="R804" s="7">
        <v>43441</v>
      </c>
      <c r="S804" s="210">
        <v>3.984931506849315</v>
      </c>
      <c r="T804" s="8">
        <v>1.000110692541857</v>
      </c>
      <c r="U804" s="98">
        <v>3.6901620195561424</v>
      </c>
      <c r="V804" s="106">
        <v>28034.029667274037</v>
      </c>
      <c r="W804" s="10">
        <v>0.52371807715123619</v>
      </c>
      <c r="X804" s="420"/>
      <c r="Y804" s="420"/>
      <c r="Z804" s="1"/>
      <c r="AA804" s="1"/>
      <c r="AB804" s="1"/>
      <c r="AC804" s="1"/>
      <c r="AD804" s="1"/>
      <c r="AL804" s="23"/>
      <c r="AM804" s="23"/>
    </row>
    <row r="805" spans="17:39">
      <c r="Q805" s="6">
        <v>775</v>
      </c>
      <c r="R805" s="7">
        <v>43442</v>
      </c>
      <c r="S805" s="210">
        <v>3.9869863013698632</v>
      </c>
      <c r="T805" s="8">
        <v>1.0001107496194825</v>
      </c>
      <c r="U805" s="98">
        <v>3.6907218566559319</v>
      </c>
      <c r="V805" s="106">
        <v>28036.363018159751</v>
      </c>
      <c r="W805" s="10">
        <v>0.52434316142566662</v>
      </c>
      <c r="X805" s="420"/>
      <c r="Y805" s="420"/>
      <c r="Z805" s="1"/>
      <c r="AA805" s="1"/>
      <c r="AB805" s="1"/>
      <c r="AC805" s="1"/>
      <c r="AD805" s="1"/>
      <c r="AL805" s="23"/>
      <c r="AM805" s="23"/>
    </row>
    <row r="806" spans="17:39">
      <c r="Q806" s="6">
        <v>776</v>
      </c>
      <c r="R806" s="7">
        <v>43443</v>
      </c>
      <c r="S806" s="210">
        <v>3.989041095890411</v>
      </c>
      <c r="T806" s="8">
        <v>1.0001108066971081</v>
      </c>
      <c r="U806" s="98">
        <v>3.6912830373872385</v>
      </c>
      <c r="V806" s="106">
        <v>28038.696563256792</v>
      </c>
      <c r="W806" s="10">
        <v>0.52496933703292115</v>
      </c>
      <c r="X806" s="420"/>
      <c r="Y806" s="420"/>
      <c r="Z806" s="1"/>
      <c r="AA806" s="1"/>
      <c r="AB806" s="1"/>
      <c r="AC806" s="1"/>
      <c r="AD806" s="1"/>
      <c r="AL806" s="23"/>
      <c r="AM806" s="23"/>
    </row>
    <row r="807" spans="17:39">
      <c r="Q807" s="6">
        <v>777</v>
      </c>
      <c r="R807" s="7">
        <v>43444</v>
      </c>
      <c r="S807" s="210">
        <v>3.9910958904109588</v>
      </c>
      <c r="T807" s="8">
        <v>1.0001108637747336</v>
      </c>
      <c r="U807" s="98">
        <v>3.6918455565955632</v>
      </c>
      <c r="V807" s="106">
        <v>28040.955017635828</v>
      </c>
      <c r="W807" s="10">
        <v>0.52572338352765424</v>
      </c>
      <c r="X807" s="420"/>
      <c r="Y807" s="420"/>
      <c r="Z807" s="1"/>
      <c r="AA807" s="1"/>
      <c r="AB807" s="1"/>
      <c r="AC807" s="1"/>
      <c r="AD807" s="1"/>
      <c r="AL807" s="23"/>
      <c r="AM807" s="23"/>
    </row>
    <row r="808" spans="17:39">
      <c r="Q808" s="6">
        <v>778</v>
      </c>
      <c r="R808" s="7">
        <v>43445</v>
      </c>
      <c r="S808" s="210">
        <v>3.993150684931507</v>
      </c>
      <c r="T808" s="8">
        <v>1.0001109208523593</v>
      </c>
      <c r="U808" s="98">
        <v>3.6924094091529636</v>
      </c>
      <c r="V808" s="106">
        <v>28043.213653928324</v>
      </c>
      <c r="W808" s="10">
        <v>0.52647818883979625</v>
      </c>
      <c r="X808" s="420"/>
      <c r="Y808" s="420"/>
      <c r="Z808" s="1"/>
      <c r="AA808" s="1"/>
      <c r="AB808" s="1"/>
      <c r="AC808" s="1"/>
      <c r="AD808" s="1"/>
      <c r="AL808" s="23"/>
      <c r="AM808" s="23"/>
    </row>
    <row r="809" spans="17:39">
      <c r="Q809" s="6">
        <v>779</v>
      </c>
      <c r="R809" s="7">
        <v>43446</v>
      </c>
      <c r="S809" s="210">
        <v>3.9952054794520548</v>
      </c>
      <c r="T809" s="8">
        <v>1.0001109779299848</v>
      </c>
      <c r="U809" s="98">
        <v>3.6929745899578759</v>
      </c>
      <c r="V809" s="106">
        <v>28045.472472148922</v>
      </c>
      <c r="W809" s="10">
        <v>0.52723375008569828</v>
      </c>
      <c r="X809" s="420"/>
      <c r="Y809" s="420"/>
      <c r="Z809" s="1"/>
      <c r="AA809" s="1"/>
      <c r="AB809" s="1"/>
      <c r="AC809" s="1"/>
      <c r="AD809" s="1"/>
      <c r="AL809" s="23"/>
      <c r="AM809" s="23"/>
    </row>
    <row r="810" spans="17:39">
      <c r="Q810" s="6">
        <v>780</v>
      </c>
      <c r="R810" s="7">
        <v>43447</v>
      </c>
      <c r="S810" s="210">
        <v>3.9972602739726026</v>
      </c>
      <c r="T810" s="8">
        <v>1.0001110350076103</v>
      </c>
      <c r="U810" s="98">
        <v>3.6935410939349378</v>
      </c>
      <c r="V810" s="106">
        <v>28047.731472312284</v>
      </c>
      <c r="W810" s="10">
        <v>0.52799006439647744</v>
      </c>
      <c r="X810" s="420"/>
      <c r="Y810" s="420"/>
      <c r="Z810" s="1"/>
      <c r="AA810" s="1"/>
      <c r="AB810" s="1"/>
      <c r="AC810" s="1"/>
      <c r="AD810" s="1"/>
      <c r="AL810" s="23"/>
      <c r="AM810" s="23"/>
    </row>
    <row r="811" spans="17:39">
      <c r="Q811" s="6">
        <v>781</v>
      </c>
      <c r="R811" s="7">
        <v>43448</v>
      </c>
      <c r="S811" s="210">
        <v>3.9993150684931509</v>
      </c>
      <c r="T811" s="8">
        <v>1.0001110920852359</v>
      </c>
      <c r="U811" s="98">
        <v>3.6941089160348328</v>
      </c>
      <c r="V811" s="106">
        <v>28049.990654433066</v>
      </c>
      <c r="W811" s="10">
        <v>0.52874712891797238</v>
      </c>
      <c r="X811" s="420"/>
      <c r="Y811" s="420"/>
      <c r="Z811" s="1"/>
      <c r="AA811" s="1"/>
      <c r="AB811" s="1"/>
      <c r="AC811" s="1"/>
      <c r="AD811" s="1"/>
      <c r="AL811" s="23"/>
      <c r="AM811" s="23"/>
    </row>
    <row r="812" spans="17:39">
      <c r="Q812" s="6">
        <v>782</v>
      </c>
      <c r="R812" s="7">
        <v>43449</v>
      </c>
      <c r="S812" s="210">
        <v>4.0013698630136982</v>
      </c>
      <c r="T812" s="8">
        <v>1.0001111491628616</v>
      </c>
      <c r="U812" s="98">
        <v>3.694678051234157</v>
      </c>
      <c r="V812" s="106">
        <v>28052.250018525916</v>
      </c>
      <c r="W812" s="10">
        <v>0.52950494081069888</v>
      </c>
      <c r="X812" s="420"/>
      <c r="Y812" s="420"/>
      <c r="Z812" s="1"/>
      <c r="AA812" s="1"/>
      <c r="AB812" s="1"/>
      <c r="AC812" s="1"/>
      <c r="AD812" s="1"/>
      <c r="AL812" s="23"/>
      <c r="AM812" s="23"/>
    </row>
    <row r="813" spans="17:39">
      <c r="Q813" s="6">
        <v>783</v>
      </c>
      <c r="R813" s="7">
        <v>43450</v>
      </c>
      <c r="S813" s="210">
        <v>4.0034246575342465</v>
      </c>
      <c r="T813" s="8">
        <v>1.0001112062404871</v>
      </c>
      <c r="U813" s="98">
        <v>3.6952484945351971</v>
      </c>
      <c r="V813" s="106">
        <v>28054.509564605502</v>
      </c>
      <c r="W813" s="10">
        <v>0.53026349724967226</v>
      </c>
      <c r="X813" s="420"/>
      <c r="Y813" s="420"/>
      <c r="Z813" s="1"/>
      <c r="AA813" s="1"/>
      <c r="AB813" s="1"/>
      <c r="AC813" s="1"/>
      <c r="AD813" s="1"/>
      <c r="AL813" s="23"/>
      <c r="AM813" s="23"/>
    </row>
    <row r="814" spans="17:39">
      <c r="Q814" s="6">
        <v>784</v>
      </c>
      <c r="R814" s="7">
        <v>43451</v>
      </c>
      <c r="S814" s="210">
        <v>4.0054794520547947</v>
      </c>
      <c r="T814" s="8">
        <v>1.0001112633181126</v>
      </c>
      <c r="U814" s="98">
        <v>3.6958202409657526</v>
      </c>
      <c r="V814" s="106">
        <v>28056.769292686484</v>
      </c>
      <c r="W814" s="10">
        <v>0.53102279542420749</v>
      </c>
      <c r="X814" s="420"/>
      <c r="Y814" s="420"/>
      <c r="Z814" s="1"/>
      <c r="AA814" s="1"/>
      <c r="AB814" s="1"/>
      <c r="AC814" s="1"/>
      <c r="AD814" s="1"/>
      <c r="AL814" s="23"/>
      <c r="AM814" s="23"/>
    </row>
    <row r="815" spans="17:39">
      <c r="Q815" s="6">
        <v>785</v>
      </c>
      <c r="R815" s="7">
        <v>43452</v>
      </c>
      <c r="S815" s="210">
        <v>4.0075342465753421</v>
      </c>
      <c r="T815" s="8">
        <v>1.0001113203957381</v>
      </c>
      <c r="U815" s="98">
        <v>3.6963932855790471</v>
      </c>
      <c r="V815" s="106">
        <v>28059.029202783506</v>
      </c>
      <c r="W815" s="10">
        <v>0.5317828325381857</v>
      </c>
      <c r="X815" s="420"/>
      <c r="Y815" s="420"/>
      <c r="Z815" s="1"/>
      <c r="AA815" s="1"/>
      <c r="AB815" s="1"/>
      <c r="AC815" s="1"/>
      <c r="AD815" s="1"/>
      <c r="AL815" s="23"/>
      <c r="AM815" s="23"/>
    </row>
    <row r="816" spans="17:39">
      <c r="Q816" s="6">
        <v>786</v>
      </c>
      <c r="R816" s="7">
        <v>43453</v>
      </c>
      <c r="S816" s="210">
        <v>4.0095890410958903</v>
      </c>
      <c r="T816" s="8">
        <v>1.0001113774733639</v>
      </c>
      <c r="U816" s="98">
        <v>3.6969676234535509</v>
      </c>
      <c r="V816" s="106">
        <v>28061.289294911236</v>
      </c>
      <c r="W816" s="10">
        <v>0.53254360580956561</v>
      </c>
      <c r="X816" s="420"/>
      <c r="Y816" s="420"/>
      <c r="Z816" s="1"/>
      <c r="AA816" s="1"/>
      <c r="AB816" s="1"/>
      <c r="AC816" s="1"/>
      <c r="AD816" s="1"/>
      <c r="AL816" s="23"/>
      <c r="AM816" s="23"/>
    </row>
    <row r="817" spans="17:39">
      <c r="Q817" s="6">
        <v>787</v>
      </c>
      <c r="R817" s="7">
        <v>43454</v>
      </c>
      <c r="S817" s="210">
        <v>4.0116438356164386</v>
      </c>
      <c r="T817" s="8">
        <v>1.0001114345509894</v>
      </c>
      <c r="U817" s="98">
        <v>3.6975432496927363</v>
      </c>
      <c r="V817" s="106">
        <v>28063.549569084345</v>
      </c>
      <c r="W817" s="10">
        <v>0.53330511247051682</v>
      </c>
      <c r="X817" s="420"/>
      <c r="Y817" s="420"/>
      <c r="Z817" s="1"/>
      <c r="AA817" s="1"/>
      <c r="AB817" s="1"/>
      <c r="AC817" s="1"/>
      <c r="AD817" s="1"/>
      <c r="AL817" s="23"/>
      <c r="AM817" s="23"/>
    </row>
    <row r="818" spans="17:39">
      <c r="Q818" s="6">
        <v>788</v>
      </c>
      <c r="R818" s="7">
        <v>43455</v>
      </c>
      <c r="S818" s="210">
        <v>4.0136986301369859</v>
      </c>
      <c r="T818" s="8">
        <v>1.0001114916286149</v>
      </c>
      <c r="U818" s="98">
        <v>3.6981201594250335</v>
      </c>
      <c r="V818" s="106">
        <v>28065.810025317485</v>
      </c>
      <c r="W818" s="10">
        <v>0.53406734976730874</v>
      </c>
      <c r="X818" s="420"/>
      <c r="Y818" s="420"/>
      <c r="Z818" s="1"/>
      <c r="AA818" s="1"/>
      <c r="AB818" s="1"/>
      <c r="AC818" s="1"/>
      <c r="AD818" s="1"/>
      <c r="AL818" s="23"/>
      <c r="AM818" s="23"/>
    </row>
    <row r="819" spans="17:39">
      <c r="Q819" s="6">
        <v>789</v>
      </c>
      <c r="R819" s="7">
        <v>43456</v>
      </c>
      <c r="S819" s="210">
        <v>4.0157534246575342</v>
      </c>
      <c r="T819" s="8">
        <v>1.0001115487062404</v>
      </c>
      <c r="U819" s="98">
        <v>3.698698347803564</v>
      </c>
      <c r="V819" s="106">
        <v>28068.070663625331</v>
      </c>
      <c r="W819" s="10">
        <v>0.53483031496006639</v>
      </c>
      <c r="X819" s="420"/>
      <c r="Y819" s="420"/>
      <c r="Z819" s="1"/>
      <c r="AA819" s="1"/>
      <c r="AB819" s="1"/>
      <c r="AC819" s="1"/>
      <c r="AD819" s="1"/>
      <c r="AL819" s="23"/>
      <c r="AM819" s="23"/>
    </row>
    <row r="820" spans="17:39">
      <c r="Q820" s="6">
        <v>790</v>
      </c>
      <c r="R820" s="7">
        <v>43457</v>
      </c>
      <c r="S820" s="210">
        <v>4.0178082191780824</v>
      </c>
      <c r="T820" s="8">
        <v>1.0001116057838662</v>
      </c>
      <c r="U820" s="98">
        <v>3.6992778100060963</v>
      </c>
      <c r="V820" s="106">
        <v>28070.331484022539</v>
      </c>
      <c r="W820" s="10">
        <v>0.53559400532297019</v>
      </c>
      <c r="X820" s="420"/>
      <c r="Y820" s="420"/>
      <c r="Z820" s="1"/>
      <c r="AA820" s="1"/>
      <c r="AB820" s="1"/>
      <c r="AC820" s="1"/>
      <c r="AD820" s="1"/>
      <c r="AL820" s="23"/>
      <c r="AM820" s="23"/>
    </row>
    <row r="821" spans="17:39">
      <c r="Q821" s="6">
        <v>791</v>
      </c>
      <c r="R821" s="7">
        <v>43458</v>
      </c>
      <c r="S821" s="210">
        <v>4.0198630136986298</v>
      </c>
      <c r="T821" s="8">
        <v>1.0001116628614917</v>
      </c>
      <c r="U821" s="98">
        <v>3.6998585412347795</v>
      </c>
      <c r="V821" s="106">
        <v>28072.592486523783</v>
      </c>
      <c r="W821" s="10">
        <v>0.53635841814387852</v>
      </c>
      <c r="X821" s="420"/>
      <c r="Y821" s="420"/>
      <c r="Z821" s="1"/>
      <c r="AA821" s="1"/>
      <c r="AB821" s="1"/>
      <c r="AC821" s="1"/>
      <c r="AD821" s="1"/>
      <c r="AL821" s="23"/>
      <c r="AM821" s="23"/>
    </row>
    <row r="822" spans="17:39">
      <c r="Q822" s="6">
        <v>792</v>
      </c>
      <c r="R822" s="7">
        <v>43459</v>
      </c>
      <c r="S822" s="210">
        <v>4.021917808219178</v>
      </c>
      <c r="T822" s="8">
        <v>1.0001117199391172</v>
      </c>
      <c r="U822" s="98">
        <v>3.7004405367160542</v>
      </c>
      <c r="V822" s="106">
        <v>28074.853671143726</v>
      </c>
      <c r="W822" s="10">
        <v>0.53712355072437212</v>
      </c>
      <c r="X822" s="420"/>
      <c r="Y822" s="420"/>
      <c r="Z822" s="1"/>
      <c r="AA822" s="1"/>
      <c r="AB822" s="1"/>
      <c r="AC822" s="1"/>
      <c r="AD822" s="1"/>
      <c r="AL822" s="23"/>
      <c r="AM822" s="23"/>
    </row>
    <row r="823" spans="17:39">
      <c r="Q823" s="6">
        <v>793</v>
      </c>
      <c r="R823" s="7">
        <v>43460</v>
      </c>
      <c r="S823" s="210">
        <v>4.0239726027397262</v>
      </c>
      <c r="T823" s="8">
        <v>1.0001117770167427</v>
      </c>
      <c r="U823" s="98">
        <v>3.7010237917005195</v>
      </c>
      <c r="V823" s="106">
        <v>28077.115037897041</v>
      </c>
      <c r="W823" s="10">
        <v>0.53788940037975408</v>
      </c>
      <c r="X823" s="420"/>
      <c r="Y823" s="420"/>
      <c r="Z823" s="1"/>
      <c r="AA823" s="1"/>
      <c r="AB823" s="1"/>
      <c r="AC823" s="1"/>
      <c r="AD823" s="1"/>
      <c r="AL823" s="23"/>
      <c r="AM823" s="23"/>
    </row>
    <row r="824" spans="17:39">
      <c r="Q824" s="6">
        <v>794</v>
      </c>
      <c r="R824" s="7">
        <v>43461</v>
      </c>
      <c r="S824" s="210">
        <v>4.0260273972602736</v>
      </c>
      <c r="T824" s="8">
        <v>1.0001118340943684</v>
      </c>
      <c r="U824" s="98">
        <v>3.701608301462711</v>
      </c>
      <c r="V824" s="106">
        <v>28079.376586798397</v>
      </c>
      <c r="W824" s="10">
        <v>0.53865596443873898</v>
      </c>
      <c r="X824" s="420"/>
      <c r="Y824" s="420"/>
      <c r="Z824" s="1"/>
      <c r="AA824" s="1"/>
      <c r="AB824" s="1"/>
      <c r="AC824" s="1"/>
      <c r="AD824" s="1"/>
      <c r="AL824" s="23"/>
      <c r="AM824" s="23"/>
    </row>
    <row r="825" spans="17:39">
      <c r="Q825" s="6">
        <v>795</v>
      </c>
      <c r="R825" s="7">
        <v>43462</v>
      </c>
      <c r="S825" s="210">
        <v>4.0280821917808218</v>
      </c>
      <c r="T825" s="8">
        <v>1.0001118911719939</v>
      </c>
      <c r="U825" s="98">
        <v>3.7021940613009896</v>
      </c>
      <c r="V825" s="106">
        <v>28081.638317862467</v>
      </c>
      <c r="W825" s="10">
        <v>0.53942324024360833</v>
      </c>
      <c r="X825" s="420"/>
      <c r="Y825" s="420"/>
      <c r="Z825" s="1"/>
      <c r="AA825" s="1"/>
      <c r="AB825" s="1"/>
      <c r="AC825" s="1"/>
      <c r="AD825" s="1"/>
      <c r="AL825" s="23"/>
      <c r="AM825" s="23"/>
    </row>
    <row r="826" spans="17:39">
      <c r="Q826" s="6">
        <v>796</v>
      </c>
      <c r="R826" s="7">
        <v>43463</v>
      </c>
      <c r="S826" s="210">
        <v>4.0301369863013701</v>
      </c>
      <c r="T826" s="8">
        <v>1.0001119482496195</v>
      </c>
      <c r="U826" s="98">
        <v>3.7027810665374083</v>
      </c>
      <c r="V826" s="106">
        <v>28083.900231103922</v>
      </c>
      <c r="W826" s="10">
        <v>0.54019122514994411</v>
      </c>
      <c r="X826" s="420"/>
      <c r="Y826" s="420"/>
      <c r="Z826" s="1"/>
      <c r="AA826" s="1"/>
      <c r="AB826" s="1"/>
      <c r="AC826" s="1"/>
      <c r="AD826" s="1"/>
      <c r="AL826" s="23"/>
      <c r="AM826" s="23"/>
    </row>
    <row r="827" spans="17:39">
      <c r="Q827" s="6">
        <v>797</v>
      </c>
      <c r="R827" s="7">
        <v>43464</v>
      </c>
      <c r="S827" s="210">
        <v>4.0321917808219174</v>
      </c>
      <c r="T827" s="8">
        <v>1.000112005327245</v>
      </c>
      <c r="U827" s="98">
        <v>3.7033693125175127</v>
      </c>
      <c r="V827" s="106">
        <v>28086.162326537429</v>
      </c>
      <c r="W827" s="10">
        <v>0.54095991652665099</v>
      </c>
      <c r="X827" s="420"/>
      <c r="Y827" s="420"/>
      <c r="Z827" s="1"/>
      <c r="AA827" s="1"/>
      <c r="AB827" s="1"/>
      <c r="AC827" s="1"/>
      <c r="AD827" s="1"/>
      <c r="AL827" s="23"/>
      <c r="AM827" s="23"/>
    </row>
    <row r="828" spans="17:39">
      <c r="Q828" s="6">
        <v>798</v>
      </c>
      <c r="R828" s="7">
        <v>43465</v>
      </c>
      <c r="S828" s="210">
        <v>4.0342465753424657</v>
      </c>
      <c r="T828" s="8">
        <v>1.0001120624048707</v>
      </c>
      <c r="U828" s="98">
        <v>3.7039587946102515</v>
      </c>
      <c r="V828" s="106">
        <v>28088.424604177679</v>
      </c>
      <c r="W828" s="10">
        <v>0.54172931175580086</v>
      </c>
      <c r="X828" s="420"/>
      <c r="Y828" s="420"/>
      <c r="Z828" s="1"/>
      <c r="AA828" s="1"/>
      <c r="AB828" s="1"/>
      <c r="AC828" s="1"/>
      <c r="AD828" s="1"/>
      <c r="AL828" s="23"/>
      <c r="AM828" s="23"/>
    </row>
    <row r="829" spans="17:39">
      <c r="Q829" s="6">
        <v>799</v>
      </c>
      <c r="R829" s="7">
        <v>43466</v>
      </c>
      <c r="S829" s="210">
        <v>4.0363013698630139</v>
      </c>
      <c r="T829" s="8">
        <v>1.0001121194824962</v>
      </c>
      <c r="U829" s="98">
        <v>3.7045495082077773</v>
      </c>
      <c r="V829" s="106">
        <v>28090.687064039335</v>
      </c>
      <c r="W829" s="10">
        <v>0.54249940823263287</v>
      </c>
      <c r="X829" s="420"/>
      <c r="Y829" s="420"/>
      <c r="Z829" s="1"/>
      <c r="AA829" s="1"/>
      <c r="AB829" s="1"/>
      <c r="AC829" s="1"/>
      <c r="AD829" s="1"/>
      <c r="AL829" s="23"/>
      <c r="AM829" s="23"/>
    </row>
    <row r="830" spans="17:39">
      <c r="Q830" s="6">
        <v>800</v>
      </c>
      <c r="R830" s="7">
        <v>43467</v>
      </c>
      <c r="S830" s="210">
        <v>4.0383561643835613</v>
      </c>
      <c r="T830" s="8">
        <v>1.0001121765601217</v>
      </c>
      <c r="U830" s="98">
        <v>3.7051414487253576</v>
      </c>
      <c r="V830" s="106">
        <v>28092.949706137078</v>
      </c>
      <c r="W830" s="10">
        <v>0.54327020336537579</v>
      </c>
      <c r="X830" s="420"/>
      <c r="Y830" s="420"/>
      <c r="Z830" s="1"/>
      <c r="AA830" s="1"/>
      <c r="AB830" s="1"/>
      <c r="AC830" s="1"/>
      <c r="AD830" s="1"/>
      <c r="AL830" s="23"/>
      <c r="AM830" s="23"/>
    </row>
    <row r="831" spans="17:39">
      <c r="Q831" s="6">
        <v>801</v>
      </c>
      <c r="R831" s="7">
        <v>43468</v>
      </c>
      <c r="S831" s="210">
        <v>4.0404109589041095</v>
      </c>
      <c r="T831" s="8">
        <v>1.0001122336377473</v>
      </c>
      <c r="U831" s="98">
        <v>3.7057346116011525</v>
      </c>
      <c r="V831" s="106">
        <v>28095.212530485594</v>
      </c>
      <c r="W831" s="10">
        <v>0.54404169457527018</v>
      </c>
      <c r="X831" s="420"/>
      <c r="Y831" s="420"/>
      <c r="Z831" s="1"/>
      <c r="AA831" s="1"/>
      <c r="AB831" s="1"/>
      <c r="AC831" s="1"/>
      <c r="AD831" s="1"/>
      <c r="AL831" s="23"/>
      <c r="AM831" s="23"/>
    </row>
    <row r="832" spans="17:39">
      <c r="Q832" s="6">
        <v>802</v>
      </c>
      <c r="R832" s="7">
        <v>43469</v>
      </c>
      <c r="S832" s="210">
        <v>4.0424657534246577</v>
      </c>
      <c r="T832" s="8">
        <v>1.000112290715373</v>
      </c>
      <c r="U832" s="98">
        <v>3.7063289922961706</v>
      </c>
      <c r="V832" s="106">
        <v>28097.475537099552</v>
      </c>
      <c r="W832" s="10">
        <v>0.5448138792963686</v>
      </c>
      <c r="X832" s="420"/>
      <c r="Y832" s="420"/>
      <c r="Z832" s="1"/>
      <c r="AA832" s="1"/>
      <c r="AB832" s="1"/>
      <c r="AC832" s="1"/>
      <c r="AD832" s="1"/>
      <c r="AL832" s="23"/>
      <c r="AM832" s="23"/>
    </row>
    <row r="833" spans="17:39">
      <c r="Q833" s="6">
        <v>803</v>
      </c>
      <c r="R833" s="7">
        <v>43470</v>
      </c>
      <c r="S833" s="210">
        <v>4.0445205479452051</v>
      </c>
      <c r="T833" s="8">
        <v>1.0001123477929985</v>
      </c>
      <c r="U833" s="98">
        <v>3.706924586294047</v>
      </c>
      <c r="V833" s="106">
        <v>28099.73872599364</v>
      </c>
      <c r="W833" s="10">
        <v>0.54558675497562437</v>
      </c>
      <c r="X833" s="420"/>
      <c r="Y833" s="420"/>
      <c r="Z833" s="1"/>
      <c r="AA833" s="1"/>
      <c r="AB833" s="1"/>
      <c r="AC833" s="1"/>
      <c r="AD833" s="1"/>
      <c r="AL833" s="23"/>
      <c r="AM833" s="23"/>
    </row>
    <row r="834" spans="17:39">
      <c r="Q834" s="6">
        <v>804</v>
      </c>
      <c r="R834" s="7">
        <v>43471</v>
      </c>
      <c r="S834" s="210">
        <v>4.0465753424657533</v>
      </c>
      <c r="T834" s="8">
        <v>1.000112404870624</v>
      </c>
      <c r="U834" s="98">
        <v>3.7075213891009096</v>
      </c>
      <c r="V834" s="106">
        <v>28102.00209718254</v>
      </c>
      <c r="W834" s="10">
        <v>0.54636031907253635</v>
      </c>
      <c r="X834" s="420"/>
      <c r="Y834" s="420"/>
      <c r="Z834" s="1"/>
      <c r="AA834" s="1"/>
      <c r="AB834" s="1"/>
      <c r="AC834" s="1"/>
      <c r="AD834" s="1"/>
      <c r="AL834" s="23"/>
      <c r="AM834" s="23"/>
    </row>
    <row r="835" spans="17:39">
      <c r="Q835" s="6">
        <v>805</v>
      </c>
      <c r="R835" s="7">
        <v>43472</v>
      </c>
      <c r="S835" s="210">
        <v>4.0486301369863016</v>
      </c>
      <c r="T835" s="8">
        <v>1.0001124619482495</v>
      </c>
      <c r="U835" s="98">
        <v>3.7081193962452907</v>
      </c>
      <c r="V835" s="106">
        <v>28104.265650680929</v>
      </c>
      <c r="W835" s="10">
        <v>0.54713456905943758</v>
      </c>
      <c r="X835" s="420"/>
      <c r="Y835" s="420"/>
      <c r="Z835" s="1"/>
      <c r="AA835" s="1"/>
      <c r="AB835" s="1"/>
      <c r="AC835" s="1"/>
      <c r="AD835" s="1"/>
      <c r="AL835" s="23"/>
      <c r="AM835" s="23"/>
    </row>
    <row r="836" spans="17:39">
      <c r="Q836" s="6">
        <v>806</v>
      </c>
      <c r="R836" s="7">
        <v>43473</v>
      </c>
      <c r="S836" s="210">
        <v>4.0506849315068489</v>
      </c>
      <c r="T836" s="8">
        <v>1.0001125190258753</v>
      </c>
      <c r="U836" s="98">
        <v>3.7087186032779496</v>
      </c>
      <c r="V836" s="106">
        <v>28106.529386503498</v>
      </c>
      <c r="W836" s="10">
        <v>0.54790950242107339</v>
      </c>
      <c r="X836" s="420"/>
      <c r="Y836" s="420"/>
      <c r="Z836" s="1"/>
      <c r="AA836" s="1"/>
      <c r="AB836" s="1"/>
      <c r="AC836" s="1"/>
      <c r="AD836" s="1"/>
      <c r="AL836" s="23"/>
      <c r="AM836" s="23"/>
    </row>
    <row r="837" spans="17:39">
      <c r="Q837" s="6">
        <v>807</v>
      </c>
      <c r="R837" s="7">
        <v>43474</v>
      </c>
      <c r="S837" s="210">
        <v>4.0527397260273972</v>
      </c>
      <c r="T837" s="8">
        <v>1.0001125761035008</v>
      </c>
      <c r="U837" s="98">
        <v>3.7093190057717162</v>
      </c>
      <c r="V837" s="106">
        <v>28108.79330466493</v>
      </c>
      <c r="W837" s="10">
        <v>0.54868511665473463</v>
      </c>
      <c r="X837" s="420"/>
      <c r="Y837" s="420"/>
      <c r="Z837" s="1"/>
      <c r="AA837" s="1"/>
      <c r="AB837" s="1"/>
      <c r="AC837" s="1"/>
      <c r="AD837" s="1"/>
      <c r="AL837" s="23"/>
      <c r="AM837" s="23"/>
    </row>
    <row r="838" spans="17:39">
      <c r="Q838" s="6">
        <v>808</v>
      </c>
      <c r="R838" s="7">
        <v>43475</v>
      </c>
      <c r="S838" s="210">
        <v>4.0547945205479454</v>
      </c>
      <c r="T838" s="8">
        <v>1.0001126331811263</v>
      </c>
      <c r="U838" s="98">
        <v>3.7099205993214035</v>
      </c>
      <c r="V838" s="106">
        <v>28111.057405179912</v>
      </c>
      <c r="W838" s="10">
        <v>0.54946140927012443</v>
      </c>
      <c r="X838" s="420"/>
      <c r="Y838" s="420"/>
      <c r="Z838" s="1"/>
      <c r="AA838" s="1"/>
      <c r="AB838" s="1"/>
      <c r="AC838" s="1"/>
      <c r="AD838" s="1"/>
      <c r="AL838" s="23"/>
      <c r="AM838" s="23"/>
    </row>
    <row r="839" spans="17:39">
      <c r="Q839" s="6">
        <v>809</v>
      </c>
      <c r="R839" s="7">
        <v>43476</v>
      </c>
      <c r="S839" s="210">
        <v>4.0568493150684928</v>
      </c>
      <c r="T839" s="8">
        <v>1.0001126902587518</v>
      </c>
      <c r="U839" s="98">
        <v>3.710523379543651</v>
      </c>
      <c r="V839" s="106">
        <v>28113.321688063141</v>
      </c>
      <c r="W839" s="10">
        <v>0.55023837778920281</v>
      </c>
      <c r="X839" s="420"/>
      <c r="Y839" s="420"/>
      <c r="Z839" s="1"/>
      <c r="AA839" s="1"/>
      <c r="AB839" s="1"/>
      <c r="AC839" s="1"/>
      <c r="AD839" s="1"/>
      <c r="AL839" s="23"/>
      <c r="AM839" s="23"/>
    </row>
    <row r="840" spans="17:39">
      <c r="Q840" s="6">
        <v>810</v>
      </c>
      <c r="R840" s="7">
        <v>43477</v>
      </c>
      <c r="S840" s="210">
        <v>4.058904109589041</v>
      </c>
      <c r="T840" s="8">
        <v>1.0001127473363776</v>
      </c>
      <c r="U840" s="98">
        <v>3.7111273420767699</v>
      </c>
      <c r="V840" s="106">
        <v>28115.586153329292</v>
      </c>
      <c r="W840" s="10">
        <v>0.55101601974627545</v>
      </c>
      <c r="X840" s="420"/>
      <c r="Y840" s="420"/>
      <c r="Z840" s="1"/>
      <c r="AA840" s="1"/>
      <c r="AB840" s="1"/>
      <c r="AC840" s="1"/>
      <c r="AD840" s="1"/>
      <c r="AL840" s="23"/>
      <c r="AM840" s="23"/>
    </row>
    <row r="841" spans="17:39">
      <c r="Q841" s="6">
        <v>811</v>
      </c>
      <c r="R841" s="7">
        <v>43478</v>
      </c>
      <c r="S841" s="210">
        <v>4.0609589041095893</v>
      </c>
      <c r="T841" s="8">
        <v>1.0001128044140031</v>
      </c>
      <c r="U841" s="98">
        <v>3.7117324825806097</v>
      </c>
      <c r="V841" s="106">
        <v>28117.850800993059</v>
      </c>
      <c r="W841" s="10">
        <v>0.55179433268777167</v>
      </c>
      <c r="X841" s="420"/>
      <c r="Y841" s="420"/>
      <c r="Z841" s="1"/>
      <c r="AA841" s="1"/>
      <c r="AB841" s="1"/>
      <c r="AC841" s="1"/>
      <c r="AD841" s="1"/>
      <c r="AL841" s="23"/>
      <c r="AM841" s="23"/>
    </row>
    <row r="842" spans="17:39">
      <c r="Q842" s="6">
        <v>812</v>
      </c>
      <c r="R842" s="7">
        <v>43479</v>
      </c>
      <c r="S842" s="210">
        <v>4.0630136986301366</v>
      </c>
      <c r="T842" s="8">
        <v>1.0001128614916286</v>
      </c>
      <c r="U842" s="98">
        <v>3.7123387967364696</v>
      </c>
      <c r="V842" s="106">
        <v>28120.115631069144</v>
      </c>
      <c r="W842" s="10">
        <v>0.55257331417220001</v>
      </c>
      <c r="X842" s="420"/>
      <c r="Y842" s="420"/>
      <c r="Z842" s="1"/>
      <c r="AA842" s="1"/>
      <c r="AB842" s="1"/>
      <c r="AC842" s="1"/>
      <c r="AD842" s="1"/>
      <c r="AL842" s="23"/>
      <c r="AM842" s="23"/>
    </row>
    <row r="843" spans="17:39">
      <c r="Q843" s="6">
        <v>813</v>
      </c>
      <c r="R843" s="7">
        <v>43480</v>
      </c>
      <c r="S843" s="210">
        <v>4.0650684931506849</v>
      </c>
      <c r="T843" s="8">
        <v>1.0001129185692541</v>
      </c>
      <c r="U843" s="98">
        <v>3.7129462802469204</v>
      </c>
      <c r="V843" s="106">
        <v>28122.380643572229</v>
      </c>
      <c r="W843" s="10">
        <v>0.55335296177014826</v>
      </c>
      <c r="X843" s="420"/>
      <c r="Y843" s="420"/>
      <c r="Z843" s="1"/>
      <c r="AA843" s="1"/>
      <c r="AB843" s="1"/>
      <c r="AC843" s="1"/>
      <c r="AD843" s="1"/>
      <c r="AL843" s="23"/>
      <c r="AM843" s="23"/>
    </row>
    <row r="844" spans="17:39">
      <c r="Q844" s="6">
        <v>814</v>
      </c>
      <c r="R844" s="7">
        <v>43481</v>
      </c>
      <c r="S844" s="210">
        <v>4.0671232876712331</v>
      </c>
      <c r="T844" s="8">
        <v>1.0001129756468798</v>
      </c>
      <c r="U844" s="98">
        <v>3.7135549288357161</v>
      </c>
      <c r="V844" s="106">
        <v>28124.645838517012</v>
      </c>
      <c r="W844" s="10">
        <v>0.55413327306412796</v>
      </c>
      <c r="X844" s="420"/>
      <c r="Y844" s="420"/>
      <c r="Z844" s="1"/>
      <c r="AA844" s="1"/>
      <c r="AB844" s="1"/>
      <c r="AC844" s="1"/>
      <c r="AD844" s="1"/>
      <c r="AL844" s="23"/>
      <c r="AM844" s="23"/>
    </row>
    <row r="845" spans="17:39">
      <c r="Q845" s="6">
        <v>815</v>
      </c>
      <c r="R845" s="7">
        <v>43482</v>
      </c>
      <c r="S845" s="210">
        <v>4.0691780821917805</v>
      </c>
      <c r="T845" s="8">
        <v>1.0001130327245054</v>
      </c>
      <c r="U845" s="98">
        <v>3.714164738247594</v>
      </c>
      <c r="V845" s="106">
        <v>28126.911215918197</v>
      </c>
      <c r="W845" s="10">
        <v>0.55491424564848568</v>
      </c>
      <c r="X845" s="420"/>
      <c r="Y845" s="420"/>
      <c r="Z845" s="1"/>
      <c r="AA845" s="1"/>
      <c r="AB845" s="1"/>
      <c r="AC845" s="1"/>
      <c r="AD845" s="1"/>
      <c r="AL845" s="23"/>
      <c r="AM845" s="23"/>
    </row>
    <row r="846" spans="17:39">
      <c r="Q846" s="6">
        <v>816</v>
      </c>
      <c r="R846" s="7">
        <v>43483</v>
      </c>
      <c r="S846" s="210">
        <v>4.0712328767123287</v>
      </c>
      <c r="T846" s="8">
        <v>1.0001130898021309</v>
      </c>
      <c r="U846" s="98">
        <v>3.7147757042482077</v>
      </c>
      <c r="V846" s="106">
        <v>28129.176775790464</v>
      </c>
      <c r="W846" s="10">
        <v>0.55569587712946955</v>
      </c>
      <c r="X846" s="420"/>
      <c r="Y846" s="420"/>
      <c r="Z846" s="1"/>
      <c r="AA846" s="1"/>
      <c r="AB846" s="1"/>
      <c r="AC846" s="1"/>
      <c r="AD846" s="1"/>
      <c r="AL846" s="23"/>
      <c r="AM846" s="23"/>
    </row>
    <row r="847" spans="17:39">
      <c r="Q847" s="6">
        <v>817</v>
      </c>
      <c r="R847" s="7">
        <v>43484</v>
      </c>
      <c r="S847" s="210">
        <v>4.0732876712328769</v>
      </c>
      <c r="T847" s="8">
        <v>1.0001131468797564</v>
      </c>
      <c r="U847" s="98">
        <v>3.7153878226239945</v>
      </c>
      <c r="V847" s="106">
        <v>28131.442518148509</v>
      </c>
      <c r="W847" s="10">
        <v>0.55647816512498505</v>
      </c>
      <c r="X847" s="420"/>
      <c r="Y847" s="420"/>
      <c r="Z847" s="1"/>
      <c r="AA847" s="1"/>
      <c r="AB847" s="1"/>
      <c r="AC847" s="1"/>
      <c r="AD847" s="1"/>
      <c r="AL847" s="23"/>
      <c r="AM847" s="23"/>
    </row>
    <row r="848" spans="17:39">
      <c r="Q848" s="6">
        <v>818</v>
      </c>
      <c r="R848" s="7">
        <v>43485</v>
      </c>
      <c r="S848" s="210">
        <v>4.0753424657534243</v>
      </c>
      <c r="T848" s="8">
        <v>1.0001132039573821</v>
      </c>
      <c r="U848" s="98">
        <v>3.7160010891820194</v>
      </c>
      <c r="V848" s="106">
        <v>28133.708443007054</v>
      </c>
      <c r="W848" s="10">
        <v>0.55726110726461719</v>
      </c>
      <c r="X848" s="420"/>
      <c r="Y848" s="420"/>
      <c r="Z848" s="1"/>
      <c r="AA848" s="1"/>
      <c r="AB848" s="1"/>
      <c r="AC848" s="1"/>
      <c r="AD848" s="1"/>
      <c r="AL848" s="23"/>
      <c r="AM848" s="23"/>
    </row>
    <row r="849" spans="17:39">
      <c r="Q849" s="6">
        <v>819</v>
      </c>
      <c r="R849" s="7">
        <v>43486</v>
      </c>
      <c r="S849" s="210">
        <v>4.0773972602739725</v>
      </c>
      <c r="T849" s="8">
        <v>1.0001132610350076</v>
      </c>
      <c r="U849" s="98">
        <v>3.7166154997498868</v>
      </c>
      <c r="V849" s="106">
        <v>28135.974550380775</v>
      </c>
      <c r="W849" s="10">
        <v>0.55804470118958616</v>
      </c>
      <c r="X849" s="420"/>
      <c r="Y849" s="420"/>
      <c r="Z849" s="1"/>
      <c r="AA849" s="1"/>
      <c r="AB849" s="1"/>
      <c r="AC849" s="1"/>
      <c r="AD849" s="1"/>
      <c r="AL849" s="23"/>
      <c r="AM849" s="23"/>
    </row>
    <row r="850" spans="17:39">
      <c r="Q850" s="6">
        <v>820</v>
      </c>
      <c r="R850" s="7">
        <v>43487</v>
      </c>
      <c r="S850" s="210">
        <v>4.0794520547945208</v>
      </c>
      <c r="T850" s="8">
        <v>1.0001133181126332</v>
      </c>
      <c r="U850" s="98">
        <v>3.7172310501755623</v>
      </c>
      <c r="V850" s="106">
        <v>28138.24084028439</v>
      </c>
      <c r="W850" s="10">
        <v>0.55882894455254739</v>
      </c>
      <c r="X850" s="420"/>
      <c r="Y850" s="420"/>
      <c r="Z850" s="1"/>
      <c r="AA850" s="1"/>
      <c r="AB850" s="1"/>
      <c r="AC850" s="1"/>
      <c r="AD850" s="1"/>
      <c r="AL850" s="23"/>
      <c r="AM850" s="23"/>
    </row>
    <row r="851" spans="17:39">
      <c r="Q851" s="6">
        <v>821</v>
      </c>
      <c r="R851" s="7">
        <v>43488</v>
      </c>
      <c r="S851" s="210">
        <v>4.0815068493150681</v>
      </c>
      <c r="T851" s="8">
        <v>1.0001133751902587</v>
      </c>
      <c r="U851" s="98">
        <v>3.7178477363272844</v>
      </c>
      <c r="V851" s="106">
        <v>28140.507312732592</v>
      </c>
      <c r="W851" s="10">
        <v>0.55961383501768047</v>
      </c>
      <c r="X851" s="420"/>
      <c r="Y851" s="420"/>
      <c r="Z851" s="1"/>
      <c r="AA851" s="1"/>
      <c r="AB851" s="1"/>
      <c r="AC851" s="1"/>
      <c r="AD851" s="1"/>
      <c r="AL851" s="23"/>
      <c r="AM851" s="23"/>
    </row>
    <row r="852" spans="17:39">
      <c r="Q852" s="6">
        <v>822</v>
      </c>
      <c r="R852" s="7">
        <v>43489</v>
      </c>
      <c r="S852" s="210">
        <v>4.0835616438356164</v>
      </c>
      <c r="T852" s="8">
        <v>1.0001134322678844</v>
      </c>
      <c r="U852" s="98">
        <v>3.718465554093453</v>
      </c>
      <c r="V852" s="106">
        <v>28142.77396774009</v>
      </c>
      <c r="W852" s="10">
        <v>0.56039937026051145</v>
      </c>
      <c r="X852" s="420"/>
      <c r="Y852" s="420"/>
      <c r="Z852" s="1"/>
      <c r="AA852" s="1"/>
      <c r="AB852" s="1"/>
      <c r="AC852" s="1"/>
      <c r="AD852" s="1"/>
      <c r="AL852" s="23"/>
      <c r="AM852" s="23"/>
    </row>
    <row r="853" spans="17:39">
      <c r="Q853" s="6">
        <v>823</v>
      </c>
      <c r="R853" s="7">
        <v>43490</v>
      </c>
      <c r="S853" s="210">
        <v>4.0856164383561646</v>
      </c>
      <c r="T853" s="8">
        <v>1.0001134893455099</v>
      </c>
      <c r="U853" s="98">
        <v>3.7190844993824745</v>
      </c>
      <c r="V853" s="106">
        <v>28145.040805321583</v>
      </c>
      <c r="W853" s="10">
        <v>0.56118554796784625</v>
      </c>
      <c r="X853" s="420"/>
      <c r="Y853" s="420"/>
      <c r="Z853" s="1"/>
      <c r="AA853" s="1"/>
      <c r="AB853" s="1"/>
      <c r="AC853" s="1"/>
      <c r="AD853" s="1"/>
      <c r="AL853" s="23"/>
      <c r="AM853" s="23"/>
    </row>
    <row r="854" spans="17:39">
      <c r="Q854" s="6">
        <v>824</v>
      </c>
      <c r="R854" s="7">
        <v>43491</v>
      </c>
      <c r="S854" s="210">
        <v>4.087671232876712</v>
      </c>
      <c r="T854" s="8">
        <v>1.0001135464231354</v>
      </c>
      <c r="U854" s="98">
        <v>3.7197045681226504</v>
      </c>
      <c r="V854" s="106">
        <v>28147.307825491782</v>
      </c>
      <c r="W854" s="10">
        <v>0.56197236583779286</v>
      </c>
      <c r="X854" s="420"/>
      <c r="Y854" s="420"/>
      <c r="Z854" s="1"/>
      <c r="AA854" s="1"/>
      <c r="AB854" s="1"/>
      <c r="AC854" s="1"/>
      <c r="AD854" s="1"/>
      <c r="AL854" s="23"/>
      <c r="AM854" s="23"/>
    </row>
    <row r="855" spans="17:39">
      <c r="Q855" s="6">
        <v>825</v>
      </c>
      <c r="R855" s="7">
        <v>43492</v>
      </c>
      <c r="S855" s="210">
        <v>4.0897260273972602</v>
      </c>
      <c r="T855" s="8">
        <v>1.000113603500761</v>
      </c>
      <c r="U855" s="98">
        <v>3.7203257562620662</v>
      </c>
      <c r="V855" s="106">
        <v>28149.57502826539</v>
      </c>
      <c r="W855" s="10">
        <v>0.56275982157958371</v>
      </c>
      <c r="X855" s="420"/>
      <c r="Y855" s="420"/>
      <c r="Z855" s="1"/>
      <c r="AA855" s="1"/>
      <c r="AB855" s="1"/>
      <c r="AC855" s="1"/>
      <c r="AD855" s="1"/>
      <c r="AL855" s="23"/>
      <c r="AM855" s="23"/>
    </row>
    <row r="856" spans="17:39">
      <c r="Q856" s="6">
        <v>826</v>
      </c>
      <c r="R856" s="7">
        <v>43493</v>
      </c>
      <c r="S856" s="210">
        <v>4.0917808219178085</v>
      </c>
      <c r="T856" s="8">
        <v>1.0001136605783867</v>
      </c>
      <c r="U856" s="98">
        <v>3.7209480597684585</v>
      </c>
      <c r="V856" s="106">
        <v>28151.842413657123</v>
      </c>
      <c r="W856" s="10">
        <v>0.56354791291359785</v>
      </c>
      <c r="X856" s="420"/>
      <c r="Y856" s="420"/>
      <c r="Z856" s="1"/>
      <c r="AA856" s="1"/>
      <c r="AB856" s="1"/>
      <c r="AC856" s="1"/>
      <c r="AD856" s="1"/>
      <c r="AL856" s="23"/>
      <c r="AM856" s="23"/>
    </row>
    <row r="857" spans="17:39">
      <c r="Q857" s="6">
        <v>827</v>
      </c>
      <c r="R857" s="7">
        <v>43494</v>
      </c>
      <c r="S857" s="210">
        <v>4.0938356164383558</v>
      </c>
      <c r="T857" s="8">
        <v>1.0001137176560122</v>
      </c>
      <c r="U857" s="98">
        <v>3.7215714746291262</v>
      </c>
      <c r="V857" s="106">
        <v>28154.109981681679</v>
      </c>
      <c r="W857" s="10">
        <v>0.56433663757124997</v>
      </c>
      <c r="X857" s="420"/>
      <c r="Y857" s="420"/>
      <c r="Z857" s="1"/>
      <c r="AA857" s="1"/>
      <c r="AB857" s="1"/>
      <c r="AC857" s="1"/>
      <c r="AD857" s="1"/>
      <c r="AL857" s="23"/>
      <c r="AM857" s="23"/>
    </row>
    <row r="858" spans="17:39">
      <c r="Q858" s="6">
        <v>828</v>
      </c>
      <c r="R858" s="7">
        <v>43495</v>
      </c>
      <c r="S858" s="210">
        <v>4.095890410958904</v>
      </c>
      <c r="T858" s="8">
        <v>1.0001137747336377</v>
      </c>
      <c r="U858" s="98">
        <v>3.7221959968507745</v>
      </c>
      <c r="V858" s="106">
        <v>28156.377732353769</v>
      </c>
      <c r="W858" s="10">
        <v>0.56512599329487934</v>
      </c>
      <c r="X858" s="420"/>
      <c r="Y858" s="420"/>
      <c r="Z858" s="1"/>
      <c r="AA858" s="1"/>
      <c r="AB858" s="1"/>
      <c r="AC858" s="1"/>
      <c r="AD858" s="1"/>
      <c r="AL858" s="23"/>
      <c r="AM858" s="23"/>
    </row>
    <row r="859" spans="17:39">
      <c r="Q859" s="6">
        <v>829</v>
      </c>
      <c r="R859" s="7">
        <v>43496</v>
      </c>
      <c r="S859" s="210">
        <v>4.0979452054794523</v>
      </c>
      <c r="T859" s="8">
        <v>1.0001138318112632</v>
      </c>
      <c r="U859" s="98">
        <v>3.7228216224593824</v>
      </c>
      <c r="V859" s="106">
        <v>28158.64566568812</v>
      </c>
      <c r="W859" s="10">
        <v>0.56591597783774983</v>
      </c>
      <c r="X859" s="420"/>
      <c r="Y859" s="420"/>
      <c r="Z859" s="1"/>
      <c r="AA859" s="1"/>
      <c r="AB859" s="1"/>
      <c r="AC859" s="1"/>
      <c r="AD859" s="1"/>
      <c r="AL859" s="23"/>
      <c r="AM859" s="23"/>
    </row>
    <row r="860" spans="17:39">
      <c r="Q860" s="6">
        <v>830</v>
      </c>
      <c r="R860" s="7">
        <v>43497</v>
      </c>
      <c r="S860" s="210">
        <v>4.0999999999999996</v>
      </c>
      <c r="T860" s="8">
        <v>1.000113888888889</v>
      </c>
      <c r="U860" s="98">
        <v>3.7234483475001801</v>
      </c>
      <c r="V860" s="106">
        <v>28160.913781699433</v>
      </c>
      <c r="W860" s="10">
        <v>0.5667065889640055</v>
      </c>
      <c r="X860" s="420"/>
      <c r="Y860" s="420"/>
      <c r="Z860" s="1"/>
      <c r="AA860" s="1"/>
      <c r="AB860" s="1"/>
      <c r="AC860" s="1"/>
      <c r="AD860" s="1"/>
      <c r="AL860" s="23"/>
      <c r="AM860" s="23"/>
    </row>
    <row r="861" spans="17:39">
      <c r="Q861" s="6">
        <v>831</v>
      </c>
      <c r="R861" s="7">
        <v>43498</v>
      </c>
      <c r="S861" s="210">
        <v>4.1020547945205479</v>
      </c>
      <c r="T861" s="8">
        <v>1.0001139459665145</v>
      </c>
      <c r="U861" s="98">
        <v>3.7240761680374046</v>
      </c>
      <c r="V861" s="106">
        <v>28163.182080402421</v>
      </c>
      <c r="W861" s="10">
        <v>0.56749782444851515</v>
      </c>
      <c r="X861" s="420"/>
      <c r="Y861" s="420"/>
      <c r="Z861" s="1"/>
      <c r="AA861" s="1"/>
      <c r="AB861" s="1"/>
      <c r="AC861" s="1"/>
      <c r="AD861" s="1"/>
      <c r="AL861" s="23"/>
      <c r="AM861" s="23"/>
    </row>
    <row r="862" spans="17:39">
      <c r="Q862" s="6">
        <v>832</v>
      </c>
      <c r="R862" s="7">
        <v>43499</v>
      </c>
      <c r="S862" s="210">
        <v>4.1041095890410961</v>
      </c>
      <c r="T862" s="8">
        <v>1.00011400304414</v>
      </c>
      <c r="U862" s="98">
        <v>3.724705080154278</v>
      </c>
      <c r="V862" s="106">
        <v>28165.450561811806</v>
      </c>
      <c r="W862" s="10">
        <v>0.56828968207689456</v>
      </c>
      <c r="X862" s="420"/>
      <c r="Y862" s="420"/>
      <c r="Z862" s="1"/>
      <c r="AA862" s="1"/>
      <c r="AB862" s="1"/>
      <c r="AC862" s="1"/>
      <c r="AD862" s="1"/>
      <c r="AL862" s="23"/>
      <c r="AM862" s="23"/>
    </row>
    <row r="863" spans="17:39">
      <c r="Q863" s="6">
        <v>833</v>
      </c>
      <c r="R863" s="7">
        <v>43500</v>
      </c>
      <c r="S863" s="210">
        <v>4.1061643835616435</v>
      </c>
      <c r="T863" s="8">
        <v>1.0001140601217655</v>
      </c>
      <c r="U863" s="98">
        <v>3.7253350799528961</v>
      </c>
      <c r="V863" s="106">
        <v>28167.719225942299</v>
      </c>
      <c r="W863" s="10">
        <v>0.56908215964537323</v>
      </c>
      <c r="X863" s="420"/>
      <c r="Y863" s="420"/>
      <c r="Z863" s="1"/>
      <c r="AA863" s="1"/>
      <c r="AB863" s="1"/>
      <c r="AC863" s="1"/>
      <c r="AD863" s="1"/>
      <c r="AL863" s="23"/>
      <c r="AM863" s="23"/>
    </row>
    <row r="864" spans="17:39">
      <c r="Q864" s="6">
        <v>834</v>
      </c>
      <c r="R864" s="7">
        <v>43501</v>
      </c>
      <c r="S864" s="210">
        <v>4.1082191780821917</v>
      </c>
      <c r="T864" s="8">
        <v>1.0001141171993913</v>
      </c>
      <c r="U864" s="98">
        <v>3.7259661635540287</v>
      </c>
      <c r="V864" s="106">
        <v>28169.988072808625</v>
      </c>
      <c r="W864" s="10">
        <v>0.56987525496079439</v>
      </c>
      <c r="X864" s="420"/>
      <c r="Y864" s="420"/>
      <c r="Z864" s="1"/>
      <c r="AA864" s="1"/>
      <c r="AB864" s="1"/>
      <c r="AC864" s="1"/>
      <c r="AD864" s="1"/>
      <c r="AL864" s="23"/>
      <c r="AM864" s="23"/>
    </row>
    <row r="865" spans="17:39">
      <c r="Q865" s="6">
        <v>835</v>
      </c>
      <c r="R865" s="7">
        <v>43502</v>
      </c>
      <c r="S865" s="210">
        <v>4.11027397260274</v>
      </c>
      <c r="T865" s="8">
        <v>1.0001141742770168</v>
      </c>
      <c r="U865" s="98">
        <v>3.7265983270970748</v>
      </c>
      <c r="V865" s="106">
        <v>28172.25710242549</v>
      </c>
      <c r="W865" s="10">
        <v>0.57066896584045956</v>
      </c>
      <c r="X865" s="420"/>
      <c r="Y865" s="420"/>
      <c r="Z865" s="1"/>
      <c r="AA865" s="1"/>
      <c r="AB865" s="1"/>
      <c r="AC865" s="1"/>
      <c r="AD865" s="1"/>
      <c r="AL865" s="23"/>
      <c r="AM865" s="23"/>
    </row>
    <row r="866" spans="17:39">
      <c r="Q866" s="6">
        <v>836</v>
      </c>
      <c r="R866" s="7">
        <v>43503</v>
      </c>
      <c r="S866" s="210">
        <v>4.1123287671232873</v>
      </c>
      <c r="T866" s="8">
        <v>1.0001142313546423</v>
      </c>
      <c r="U866" s="98">
        <v>3.7272315667399747</v>
      </c>
      <c r="V866" s="106">
        <v>28174.526314807626</v>
      </c>
      <c r="W866" s="10">
        <v>0.57146329011219521</v>
      </c>
      <c r="X866" s="420"/>
      <c r="Y866" s="420"/>
      <c r="Z866" s="1"/>
      <c r="AA866" s="1"/>
      <c r="AB866" s="1"/>
      <c r="AC866" s="1"/>
      <c r="AD866" s="1"/>
      <c r="AL866" s="23"/>
      <c r="AM866" s="23"/>
    </row>
    <row r="867" spans="17:39">
      <c r="Q867" s="6">
        <v>837</v>
      </c>
      <c r="R867" s="7">
        <v>43504</v>
      </c>
      <c r="S867" s="210">
        <v>4.1143835616438356</v>
      </c>
      <c r="T867" s="8">
        <v>1.0001142884322678</v>
      </c>
      <c r="U867" s="98">
        <v>3.7278658786590313</v>
      </c>
      <c r="V867" s="106">
        <v>28176.795709969752</v>
      </c>
      <c r="W867" s="10">
        <v>0.57225822561417505</v>
      </c>
      <c r="X867" s="420"/>
      <c r="Y867" s="420"/>
      <c r="Z867" s="1"/>
      <c r="AA867" s="1"/>
      <c r="AB867" s="1"/>
      <c r="AC867" s="1"/>
      <c r="AD867" s="1"/>
      <c r="AL867" s="23"/>
      <c r="AM867" s="23"/>
    </row>
    <row r="868" spans="17:39">
      <c r="Q868" s="6">
        <v>838</v>
      </c>
      <c r="R868" s="7">
        <v>43505</v>
      </c>
      <c r="S868" s="210">
        <v>4.1164383561643838</v>
      </c>
      <c r="T868" s="8">
        <v>1.0001143455098935</v>
      </c>
      <c r="U868" s="98">
        <v>3.7285012590488442</v>
      </c>
      <c r="V868" s="106">
        <v>28179.065287926591</v>
      </c>
      <c r="W868" s="10">
        <v>0.5730537701949201</v>
      </c>
      <c r="X868" s="420"/>
      <c r="Y868" s="420"/>
      <c r="Z868" s="1"/>
      <c r="AA868" s="1"/>
      <c r="AB868" s="1"/>
      <c r="AC868" s="1"/>
      <c r="AD868" s="1"/>
      <c r="AL868" s="23"/>
      <c r="AM868" s="23"/>
    </row>
    <row r="869" spans="17:39">
      <c r="Q869" s="6">
        <v>839</v>
      </c>
      <c r="R869" s="7">
        <v>43506</v>
      </c>
      <c r="S869" s="210">
        <v>4.1184931506849312</v>
      </c>
      <c r="T869" s="8">
        <v>1.000114402587519</v>
      </c>
      <c r="U869" s="98">
        <v>3.7291377041221763</v>
      </c>
      <c r="V869" s="106">
        <v>28181.578248189657</v>
      </c>
      <c r="W869" s="10">
        <v>0.57347233700446587</v>
      </c>
      <c r="X869" s="420"/>
      <c r="Y869" s="420"/>
      <c r="Z869" s="1"/>
      <c r="AA869" s="1"/>
      <c r="AB869" s="1"/>
      <c r="AC869" s="1"/>
      <c r="AD869" s="1"/>
      <c r="AL869" s="23"/>
      <c r="AM869" s="23"/>
    </row>
    <row r="870" spans="17:39">
      <c r="Q870" s="6">
        <v>840</v>
      </c>
      <c r="R870" s="7">
        <v>43507</v>
      </c>
      <c r="S870" s="210">
        <v>4.1205479452054794</v>
      </c>
      <c r="T870" s="8">
        <v>1.0001144596651446</v>
      </c>
      <c r="U870" s="98">
        <v>3.7297752101098647</v>
      </c>
      <c r="V870" s="106">
        <v>28184.091432554167</v>
      </c>
      <c r="W870" s="10">
        <v>0.57389240306884304</v>
      </c>
      <c r="X870" s="420"/>
      <c r="Y870" s="420"/>
      <c r="Z870" s="1"/>
      <c r="AA870" s="1"/>
      <c r="AB870" s="1"/>
      <c r="AC870" s="1"/>
      <c r="AD870" s="1"/>
      <c r="AL870" s="23"/>
      <c r="AM870" s="23"/>
    </row>
    <row r="871" spans="17:39">
      <c r="Q871" s="6">
        <v>841</v>
      </c>
      <c r="R871" s="7">
        <v>43508</v>
      </c>
      <c r="S871" s="210">
        <v>4.1226027397260276</v>
      </c>
      <c r="T871" s="8">
        <v>1.0001145167427701</v>
      </c>
      <c r="U871" s="98">
        <v>3.7304137732607101</v>
      </c>
      <c r="V871" s="106">
        <v>28186.604841040113</v>
      </c>
      <c r="W871" s="10">
        <v>0.57431396306482085</v>
      </c>
      <c r="X871" s="420"/>
      <c r="Y871" s="420"/>
      <c r="Z871" s="1"/>
      <c r="AA871" s="1"/>
      <c r="AB871" s="1"/>
      <c r="AC871" s="1"/>
      <c r="AD871" s="1"/>
      <c r="AL871" s="23"/>
      <c r="AM871" s="23"/>
    </row>
    <row r="872" spans="17:39">
      <c r="Q872" s="6">
        <v>842</v>
      </c>
      <c r="R872" s="7">
        <v>43509</v>
      </c>
      <c r="S872" s="210">
        <v>4.124657534246575</v>
      </c>
      <c r="T872" s="8">
        <v>1.0001145738203958</v>
      </c>
      <c r="U872" s="98">
        <v>3.7310533898413656</v>
      </c>
      <c r="V872" s="106">
        <v>28189.118473667473</v>
      </c>
      <c r="W872" s="10">
        <v>0.57473701169443725</v>
      </c>
      <c r="X872" s="420"/>
      <c r="Y872" s="420"/>
      <c r="Z872" s="1"/>
      <c r="AA872" s="1"/>
      <c r="AB872" s="1"/>
      <c r="AC872" s="1"/>
      <c r="AD872" s="1"/>
      <c r="AL872" s="23"/>
      <c r="AM872" s="23"/>
    </row>
    <row r="873" spans="17:39">
      <c r="Q873" s="6">
        <v>843</v>
      </c>
      <c r="R873" s="7">
        <v>43510</v>
      </c>
      <c r="S873" s="210">
        <v>4.1267123287671232</v>
      </c>
      <c r="T873" s="8">
        <v>1.0001146308980213</v>
      </c>
      <c r="U873" s="98">
        <v>3.7316940561362255</v>
      </c>
      <c r="V873" s="106">
        <v>28191.632330456239</v>
      </c>
      <c r="W873" s="10">
        <v>0.57516154368497663</v>
      </c>
      <c r="X873" s="420"/>
      <c r="Y873" s="420"/>
      <c r="Z873" s="1"/>
      <c r="AA873" s="1"/>
      <c r="AB873" s="1"/>
      <c r="AC873" s="1"/>
      <c r="AD873" s="1"/>
      <c r="AL873" s="23"/>
      <c r="AM873" s="23"/>
    </row>
    <row r="874" spans="17:39">
      <c r="Q874" s="6">
        <v>844</v>
      </c>
      <c r="R874" s="7">
        <v>43511</v>
      </c>
      <c r="S874" s="210">
        <v>4.1287671232876715</v>
      </c>
      <c r="T874" s="8">
        <v>1.0001146879756468</v>
      </c>
      <c r="U874" s="98">
        <v>3.7323357684473368</v>
      </c>
      <c r="V874" s="106">
        <v>28194.146411426409</v>
      </c>
      <c r="W874" s="10">
        <v>0.57558755378872561</v>
      </c>
      <c r="X874" s="420"/>
      <c r="Y874" s="420"/>
      <c r="Z874" s="1"/>
      <c r="AA874" s="1"/>
      <c r="AB874" s="1"/>
      <c r="AC874" s="1"/>
      <c r="AD874" s="1"/>
      <c r="AL874" s="23"/>
      <c r="AM874" s="23"/>
    </row>
    <row r="875" spans="17:39">
      <c r="Q875" s="6">
        <v>845</v>
      </c>
      <c r="R875" s="7">
        <v>43512</v>
      </c>
      <c r="S875" s="210">
        <v>4.1308219178082188</v>
      </c>
      <c r="T875" s="8">
        <v>1.0001147450532724</v>
      </c>
      <c r="U875" s="98">
        <v>3.7329785230942658</v>
      </c>
      <c r="V875" s="106">
        <v>28196.660716597962</v>
      </c>
      <c r="W875" s="10">
        <v>0.57601503678295085</v>
      </c>
      <c r="X875" s="420"/>
      <c r="Y875" s="420"/>
      <c r="Z875" s="1"/>
      <c r="AA875" s="1"/>
      <c r="AB875" s="1"/>
      <c r="AC875" s="1"/>
      <c r="AD875" s="1"/>
      <c r="AL875" s="23"/>
      <c r="AM875" s="23"/>
    </row>
    <row r="876" spans="17:39">
      <c r="Q876" s="6">
        <v>846</v>
      </c>
      <c r="R876" s="7">
        <v>43513</v>
      </c>
      <c r="S876" s="210">
        <v>4.1328767123287671</v>
      </c>
      <c r="T876" s="8">
        <v>1.0001148021308981</v>
      </c>
      <c r="U876" s="98">
        <v>3.7336223164140314</v>
      </c>
      <c r="V876" s="106">
        <v>28199.175245990897</v>
      </c>
      <c r="W876" s="10">
        <v>0.57644398746961034</v>
      </c>
      <c r="X876" s="420"/>
      <c r="Y876" s="420"/>
      <c r="Z876" s="1"/>
      <c r="AA876" s="1"/>
      <c r="AB876" s="1"/>
      <c r="AC876" s="1"/>
      <c r="AD876" s="1"/>
      <c r="AL876" s="23"/>
      <c r="AM876" s="23"/>
    </row>
    <row r="877" spans="17:39">
      <c r="Q877" s="6">
        <v>847</v>
      </c>
      <c r="R877" s="7">
        <v>43514</v>
      </c>
      <c r="S877" s="210">
        <v>4.1349315068493153</v>
      </c>
      <c r="T877" s="8">
        <v>1.0001148592085236</v>
      </c>
      <c r="U877" s="98">
        <v>3.7342671447609721</v>
      </c>
      <c r="V877" s="106">
        <v>28201.68999962521</v>
      </c>
      <c r="W877" s="10">
        <v>0.57687440067533124</v>
      </c>
      <c r="X877" s="420"/>
      <c r="Y877" s="420"/>
      <c r="Z877" s="1"/>
      <c r="AA877" s="1"/>
      <c r="AB877" s="1"/>
      <c r="AC877" s="1"/>
      <c r="AD877" s="1"/>
      <c r="AL877" s="23"/>
      <c r="AM877" s="23"/>
    </row>
    <row r="878" spans="17:39">
      <c r="Q878" s="6">
        <v>848</v>
      </c>
      <c r="R878" s="7">
        <v>43515</v>
      </c>
      <c r="S878" s="210">
        <v>4.1369863013698627</v>
      </c>
      <c r="T878" s="8">
        <v>1.0001149162861491</v>
      </c>
      <c r="U878" s="98">
        <v>3.7349130045066348</v>
      </c>
      <c r="V878" s="106">
        <v>28204.204977520905</v>
      </c>
      <c r="W878" s="10">
        <v>0.57730627125114342</v>
      </c>
      <c r="X878" s="420"/>
      <c r="Y878" s="420"/>
      <c r="Z878" s="1"/>
      <c r="AA878" s="1"/>
      <c r="AB878" s="1"/>
      <c r="AC878" s="1"/>
      <c r="AD878" s="1"/>
      <c r="AL878" s="23"/>
      <c r="AM878" s="23"/>
    </row>
    <row r="879" spans="17:39">
      <c r="Q879" s="6">
        <v>849</v>
      </c>
      <c r="R879" s="7">
        <v>43516</v>
      </c>
      <c r="S879" s="210">
        <v>4.1390410958904109</v>
      </c>
      <c r="T879" s="8">
        <v>1.0001149733637746</v>
      </c>
      <c r="U879" s="98">
        <v>3.7355598920397304</v>
      </c>
      <c r="V879" s="106">
        <v>28206.720179697968</v>
      </c>
      <c r="W879" s="10">
        <v>0.57773959407243503</v>
      </c>
      <c r="X879" s="420"/>
      <c r="Y879" s="420"/>
      <c r="Z879" s="1"/>
      <c r="AA879" s="1"/>
      <c r="AB879" s="1"/>
      <c r="AC879" s="1"/>
      <c r="AD879" s="1"/>
      <c r="AL879" s="23"/>
      <c r="AM879" s="23"/>
    </row>
    <row r="880" spans="17:39">
      <c r="Q880" s="6">
        <v>850</v>
      </c>
      <c r="R880" s="7">
        <v>43517</v>
      </c>
      <c r="S880" s="210">
        <v>4.1410958904109592</v>
      </c>
      <c r="T880" s="8">
        <v>1.0001150304414004</v>
      </c>
      <c r="U880" s="98">
        <v>3.7362078037659785</v>
      </c>
      <c r="V880" s="106">
        <v>28209.235606176411</v>
      </c>
      <c r="W880" s="10">
        <v>0.57817436403877487</v>
      </c>
      <c r="X880" s="420"/>
      <c r="Y880" s="420"/>
      <c r="Z880" s="1"/>
      <c r="AA880" s="1"/>
      <c r="AB880" s="1"/>
      <c r="AC880" s="1"/>
      <c r="AD880" s="1"/>
      <c r="AL880" s="23"/>
      <c r="AM880" s="23"/>
    </row>
    <row r="881" spans="17:39">
      <c r="Q881" s="6">
        <v>851</v>
      </c>
      <c r="R881" s="7">
        <v>43518</v>
      </c>
      <c r="S881" s="210">
        <v>4.1431506849315065</v>
      </c>
      <c r="T881" s="8">
        <v>1.0001150875190259</v>
      </c>
      <c r="U881" s="98">
        <v>3.7368567361080185</v>
      </c>
      <c r="V881" s="106">
        <v>28211.751256976233</v>
      </c>
      <c r="W881" s="10">
        <v>0.57861057607377919</v>
      </c>
      <c r="X881" s="420"/>
      <c r="Y881" s="420"/>
      <c r="Z881" s="1"/>
      <c r="AA881" s="1"/>
      <c r="AB881" s="1"/>
      <c r="AC881" s="1"/>
      <c r="AD881" s="1"/>
      <c r="AL881" s="23"/>
      <c r="AM881" s="23"/>
    </row>
    <row r="882" spans="17:39">
      <c r="Q882" s="6">
        <v>852</v>
      </c>
      <c r="R882" s="7">
        <v>43519</v>
      </c>
      <c r="S882" s="210">
        <v>4.1452054794520548</v>
      </c>
      <c r="T882" s="8">
        <v>1.0001151445966514</v>
      </c>
      <c r="U882" s="98">
        <v>3.7375066855052985</v>
      </c>
      <c r="V882" s="106">
        <v>28214.267132117438</v>
      </c>
      <c r="W882" s="10">
        <v>0.57904822512493404</v>
      </c>
      <c r="X882" s="420"/>
      <c r="Y882" s="420"/>
      <c r="Z882" s="1"/>
      <c r="AA882" s="1"/>
      <c r="AB882" s="1"/>
      <c r="AC882" s="1"/>
      <c r="AD882" s="1"/>
      <c r="AL882" s="23"/>
      <c r="AM882" s="23"/>
    </row>
    <row r="883" spans="17:39">
      <c r="Q883" s="6">
        <v>853</v>
      </c>
      <c r="R883" s="7">
        <v>43520</v>
      </c>
      <c r="S883" s="210">
        <v>4.147260273972603</v>
      </c>
      <c r="T883" s="8">
        <v>1.0001152016742769</v>
      </c>
      <c r="U883" s="98">
        <v>3.7381576484140311</v>
      </c>
      <c r="V883" s="106">
        <v>28216.783231620033</v>
      </c>
      <c r="W883" s="10">
        <v>0.57948730616348421</v>
      </c>
      <c r="X883" s="420"/>
      <c r="Y883" s="420"/>
      <c r="Z883" s="1"/>
      <c r="AA883" s="1"/>
      <c r="AB883" s="1"/>
      <c r="AC883" s="1"/>
      <c r="AD883" s="1"/>
      <c r="AL883" s="23"/>
      <c r="AM883" s="23"/>
    </row>
    <row r="884" spans="17:39">
      <c r="Q884" s="6">
        <v>854</v>
      </c>
      <c r="R884" s="7">
        <v>43521</v>
      </c>
      <c r="S884" s="210">
        <v>4.1493150684931503</v>
      </c>
      <c r="T884" s="8">
        <v>1.0001152587519027</v>
      </c>
      <c r="U884" s="98">
        <v>3.7388096213070598</v>
      </c>
      <c r="V884" s="106">
        <v>28219.299555504025</v>
      </c>
      <c r="W884" s="10">
        <v>0.57992781418432227</v>
      </c>
      <c r="X884" s="420"/>
      <c r="Y884" s="420"/>
      <c r="Z884" s="1"/>
      <c r="AA884" s="1"/>
      <c r="AB884" s="1"/>
      <c r="AC884" s="1"/>
      <c r="AD884" s="1"/>
      <c r="AL884" s="23"/>
      <c r="AM884" s="23"/>
    </row>
    <row r="885" spans="17:39">
      <c r="Q885" s="6">
        <v>855</v>
      </c>
      <c r="R885" s="7">
        <v>43522</v>
      </c>
      <c r="S885" s="210">
        <v>4.1513698630136986</v>
      </c>
      <c r="T885" s="8">
        <v>1.0001153158295282</v>
      </c>
      <c r="U885" s="98">
        <v>3.7394626006737042</v>
      </c>
      <c r="V885" s="106">
        <v>28221.816103789424</v>
      </c>
      <c r="W885" s="10">
        <v>0.58036974420574428</v>
      </c>
      <c r="X885" s="420"/>
      <c r="Y885" s="420"/>
      <c r="Z885" s="1"/>
      <c r="AA885" s="1"/>
      <c r="AB885" s="1"/>
      <c r="AC885" s="1"/>
      <c r="AD885" s="1"/>
      <c r="AL885" s="23"/>
      <c r="AM885" s="23"/>
    </row>
    <row r="886" spans="17:39">
      <c r="Q886" s="6">
        <v>856</v>
      </c>
      <c r="R886" s="7">
        <v>43523</v>
      </c>
      <c r="S886" s="210">
        <v>4.1534246575342468</v>
      </c>
      <c r="T886" s="8">
        <v>1.0001153729071537</v>
      </c>
      <c r="U886" s="98">
        <v>3.7401165830197591</v>
      </c>
      <c r="V886" s="106">
        <v>28224.33287649625</v>
      </c>
      <c r="W886" s="10">
        <v>0.5808130912694498</v>
      </c>
      <c r="X886" s="420"/>
      <c r="Y886" s="420"/>
      <c r="Z886" s="1"/>
      <c r="AA886" s="1"/>
      <c r="AB886" s="1"/>
      <c r="AC886" s="1"/>
      <c r="AD886" s="1"/>
      <c r="AL886" s="23"/>
      <c r="AM886" s="23"/>
    </row>
    <row r="887" spans="17:39">
      <c r="Q887" s="6">
        <v>857</v>
      </c>
      <c r="R887" s="7">
        <v>43524</v>
      </c>
      <c r="S887" s="210">
        <v>4.1554794520547942</v>
      </c>
      <c r="T887" s="8">
        <v>1.0001154299847792</v>
      </c>
      <c r="U887" s="98">
        <v>3.7407715648673401</v>
      </c>
      <c r="V887" s="106">
        <v>28226.8498736445</v>
      </c>
      <c r="W887" s="10">
        <v>0.58125785044031986</v>
      </c>
      <c r="X887" s="420"/>
      <c r="Y887" s="420"/>
      <c r="Z887" s="1"/>
      <c r="AA887" s="1"/>
      <c r="AB887" s="1"/>
      <c r="AC887" s="1"/>
      <c r="AD887" s="1"/>
      <c r="AL887" s="23"/>
      <c r="AM887" s="23"/>
    </row>
    <row r="888" spans="17:39">
      <c r="Q888" s="6">
        <v>858</v>
      </c>
      <c r="R888" s="7">
        <v>43525</v>
      </c>
      <c r="S888" s="210">
        <v>4.1575342465753424</v>
      </c>
      <c r="T888" s="8">
        <v>1.0001154870624049</v>
      </c>
      <c r="U888" s="98">
        <v>3.7414275427548382</v>
      </c>
      <c r="V888" s="106">
        <v>28229.367095254205</v>
      </c>
      <c r="W888" s="10">
        <v>0.5817040168063059</v>
      </c>
      <c r="X888" s="420"/>
      <c r="Y888" s="420"/>
      <c r="Z888" s="1"/>
      <c r="AA888" s="1"/>
      <c r="AB888" s="1"/>
      <c r="AC888" s="1"/>
      <c r="AD888" s="1"/>
      <c r="AL888" s="23"/>
      <c r="AM888" s="23"/>
    </row>
    <row r="889" spans="17:39">
      <c r="Q889" s="6">
        <v>859</v>
      </c>
      <c r="R889" s="7">
        <v>43526</v>
      </c>
      <c r="S889" s="210">
        <v>4.1595890410958907</v>
      </c>
      <c r="T889" s="8">
        <v>1.0001155441400305</v>
      </c>
      <c r="U889" s="98">
        <v>3.7420845132367653</v>
      </c>
      <c r="V889" s="106">
        <v>28231.884541345375</v>
      </c>
      <c r="W889" s="10">
        <v>0.5821515854782966</v>
      </c>
      <c r="X889" s="420"/>
      <c r="Y889" s="420"/>
      <c r="Z889" s="1"/>
      <c r="AA889" s="1"/>
      <c r="AB889" s="1"/>
      <c r="AC889" s="1"/>
      <c r="AD889" s="1"/>
      <c r="AL889" s="23"/>
      <c r="AM889" s="23"/>
    </row>
    <row r="890" spans="17:39">
      <c r="Q890" s="6">
        <v>860</v>
      </c>
      <c r="R890" s="7">
        <v>43527</v>
      </c>
      <c r="S890" s="210">
        <v>4.161643835616438</v>
      </c>
      <c r="T890" s="8">
        <v>1.000115601217656</v>
      </c>
      <c r="U890" s="98">
        <v>3.7427424728836867</v>
      </c>
      <c r="V890" s="106">
        <v>28234.402211938028</v>
      </c>
      <c r="W890" s="10">
        <v>0.58260055158998458</v>
      </c>
      <c r="X890" s="420"/>
      <c r="Y890" s="420"/>
      <c r="Z890" s="1"/>
      <c r="AA890" s="1"/>
      <c r="AB890" s="1"/>
      <c r="AC890" s="1"/>
      <c r="AD890" s="1"/>
      <c r="AL890" s="23"/>
      <c r="AM890" s="23"/>
    </row>
    <row r="891" spans="17:39">
      <c r="Q891" s="6">
        <v>861</v>
      </c>
      <c r="R891" s="7">
        <v>43528</v>
      </c>
      <c r="S891" s="210">
        <v>4.1636986301369863</v>
      </c>
      <c r="T891" s="8">
        <v>1.0001156582952815</v>
      </c>
      <c r="U891" s="98">
        <v>3.7434014182821329</v>
      </c>
      <c r="V891" s="106">
        <v>28236.920107052189</v>
      </c>
      <c r="W891" s="10">
        <v>0.58305091029768885</v>
      </c>
      <c r="X891" s="420"/>
      <c r="Y891" s="420"/>
      <c r="Z891" s="1"/>
      <c r="AA891" s="1"/>
      <c r="AB891" s="1"/>
      <c r="AC891" s="1"/>
      <c r="AD891" s="1"/>
      <c r="AL891" s="23"/>
      <c r="AM891" s="23"/>
    </row>
    <row r="892" spans="17:39">
      <c r="Q892" s="6">
        <v>862</v>
      </c>
      <c r="R892" s="7">
        <v>43529</v>
      </c>
      <c r="S892" s="210">
        <v>4.1657534246575345</v>
      </c>
      <c r="T892" s="8">
        <v>1.0001157153729072</v>
      </c>
      <c r="U892" s="98">
        <v>3.7440613460345107</v>
      </c>
      <c r="V892" s="106">
        <v>28239.438226707869</v>
      </c>
      <c r="W892" s="10">
        <v>0.58350265678028812</v>
      </c>
      <c r="X892" s="420"/>
      <c r="Y892" s="420"/>
      <c r="Z892" s="1"/>
      <c r="AA892" s="1"/>
      <c r="AB892" s="1"/>
      <c r="AC892" s="1"/>
      <c r="AD892" s="1"/>
      <c r="AL892" s="23"/>
      <c r="AM892" s="23"/>
    </row>
    <row r="893" spans="17:39">
      <c r="Q893" s="6">
        <v>863</v>
      </c>
      <c r="R893" s="7">
        <v>43530</v>
      </c>
      <c r="S893" s="210">
        <v>4.1678082191780819</v>
      </c>
      <c r="T893" s="8">
        <v>1.0001157724505327</v>
      </c>
      <c r="U893" s="98">
        <v>3.7447222527589696</v>
      </c>
      <c r="V893" s="106">
        <v>28241.956570925115</v>
      </c>
      <c r="W893" s="10">
        <v>0.58395578623908762</v>
      </c>
      <c r="X893" s="420"/>
      <c r="Y893" s="420"/>
      <c r="Z893" s="1"/>
      <c r="AA893" s="1"/>
      <c r="AB893" s="1"/>
      <c r="AC893" s="1"/>
      <c r="AD893" s="1"/>
      <c r="AL893" s="23"/>
      <c r="AM893" s="23"/>
    </row>
    <row r="894" spans="17:39">
      <c r="Q894" s="6">
        <v>864</v>
      </c>
      <c r="R894" s="7">
        <v>43531</v>
      </c>
      <c r="S894" s="210">
        <v>4.1698630136986301</v>
      </c>
      <c r="T894" s="8">
        <v>1.0001158295281583</v>
      </c>
      <c r="U894" s="98">
        <v>3.7453841350894024</v>
      </c>
      <c r="V894" s="106">
        <v>28244.475139723923</v>
      </c>
      <c r="W894" s="10">
        <v>0.58441029389761923</v>
      </c>
      <c r="X894" s="420"/>
      <c r="Y894" s="420"/>
      <c r="Z894" s="1"/>
      <c r="AA894" s="1"/>
      <c r="AB894" s="1"/>
      <c r="AC894" s="1"/>
      <c r="AD894" s="1"/>
      <c r="AL894" s="23"/>
      <c r="AM894" s="23"/>
    </row>
    <row r="895" spans="17:39">
      <c r="Q895" s="6">
        <v>865</v>
      </c>
      <c r="R895" s="7">
        <v>43532</v>
      </c>
      <c r="S895" s="210">
        <v>4.1719178082191783</v>
      </c>
      <c r="T895" s="8">
        <v>1.0001158866057838</v>
      </c>
      <c r="U895" s="98">
        <v>3.7460469896752224</v>
      </c>
      <c r="V895" s="106">
        <v>28246.993933124344</v>
      </c>
      <c r="W895" s="10">
        <v>0.5848661750015971</v>
      </c>
      <c r="X895" s="420"/>
      <c r="Y895" s="420"/>
      <c r="Z895" s="1"/>
      <c r="AA895" s="1"/>
      <c r="AB895" s="1"/>
      <c r="AC895" s="1"/>
      <c r="AD895" s="1"/>
      <c r="AL895" s="23"/>
      <c r="AM895" s="23"/>
    </row>
    <row r="896" spans="17:39">
      <c r="Q896" s="6">
        <v>866</v>
      </c>
      <c r="R896" s="7">
        <v>43533</v>
      </c>
      <c r="S896" s="210">
        <v>4.1739726027397257</v>
      </c>
      <c r="T896" s="8">
        <v>1.0001159436834095</v>
      </c>
      <c r="U896" s="98">
        <v>3.7467108131814308</v>
      </c>
      <c r="V896" s="106">
        <v>28249.512951146407</v>
      </c>
      <c r="W896" s="10">
        <v>0.58532342481874</v>
      </c>
      <c r="X896" s="420"/>
      <c r="Y896" s="420"/>
      <c r="Z896" s="1"/>
      <c r="AA896" s="1"/>
      <c r="AB896" s="1"/>
      <c r="AC896" s="1"/>
      <c r="AD896" s="1"/>
      <c r="AL896" s="23"/>
      <c r="AM896" s="23"/>
    </row>
    <row r="897" spans="17:39">
      <c r="Q897" s="6">
        <v>867</v>
      </c>
      <c r="R897" s="7">
        <v>43534</v>
      </c>
      <c r="S897" s="210">
        <v>4.1760273972602739</v>
      </c>
      <c r="T897" s="8">
        <v>1.000116000761035</v>
      </c>
      <c r="U897" s="98">
        <v>3.747375602288372</v>
      </c>
      <c r="V897" s="106">
        <v>28251.788386314594</v>
      </c>
      <c r="W897" s="10">
        <v>0.58614747384679866</v>
      </c>
      <c r="X897" s="420"/>
      <c r="Y897" s="420"/>
      <c r="Z897" s="1"/>
      <c r="AA897" s="1"/>
      <c r="AB897" s="1"/>
      <c r="AC897" s="1"/>
      <c r="AD897" s="1"/>
      <c r="AL897" s="23"/>
      <c r="AM897" s="23"/>
    </row>
    <row r="898" spans="17:39">
      <c r="Q898" s="6">
        <v>868</v>
      </c>
      <c r="R898" s="7">
        <v>43535</v>
      </c>
      <c r="S898" s="210">
        <v>4.1780821917808222</v>
      </c>
      <c r="T898" s="8">
        <v>1.0001160578386605</v>
      </c>
      <c r="U898" s="98">
        <v>3.7480413536917334</v>
      </c>
      <c r="V898" s="106">
        <v>28254.064004764004</v>
      </c>
      <c r="W898" s="10">
        <v>0.58697204483384446</v>
      </c>
      <c r="X898" s="420"/>
      <c r="Y898" s="420"/>
      <c r="Z898" s="1"/>
      <c r="AA898" s="1"/>
      <c r="AB898" s="1"/>
      <c r="AC898" s="1"/>
      <c r="AD898" s="1"/>
      <c r="AL898" s="23"/>
      <c r="AM898" s="23"/>
    </row>
    <row r="899" spans="17:39">
      <c r="Q899" s="6">
        <v>869</v>
      </c>
      <c r="R899" s="7">
        <v>43536</v>
      </c>
      <c r="S899" s="210">
        <v>4.1801369863013695</v>
      </c>
      <c r="T899" s="8">
        <v>1.000116114916286</v>
      </c>
      <c r="U899" s="98">
        <v>3.7487080641024573</v>
      </c>
      <c r="V899" s="106">
        <v>28256.339806509397</v>
      </c>
      <c r="W899" s="10">
        <v>0.58779713601380124</v>
      </c>
      <c r="X899" s="420"/>
      <c r="Y899" s="420"/>
      <c r="Z899" s="1"/>
      <c r="AA899" s="1"/>
      <c r="AB899" s="1"/>
      <c r="AC899" s="1"/>
      <c r="AD899" s="1"/>
      <c r="AL899" s="23"/>
      <c r="AM899" s="23"/>
    </row>
    <row r="900" spans="17:39">
      <c r="Q900" s="6">
        <v>870</v>
      </c>
      <c r="R900" s="7">
        <v>43537</v>
      </c>
      <c r="S900" s="210">
        <v>4.1821917808219178</v>
      </c>
      <c r="T900" s="8">
        <v>1.0001161719939118</v>
      </c>
      <c r="U900" s="98">
        <v>3.7493757302466291</v>
      </c>
      <c r="V900" s="106">
        <v>28258.615791565531</v>
      </c>
      <c r="W900" s="10">
        <v>0.58862274562876404</v>
      </c>
      <c r="X900" s="420"/>
      <c r="Y900" s="420"/>
      <c r="Z900" s="1"/>
      <c r="AA900" s="1"/>
      <c r="AB900" s="1"/>
      <c r="AC900" s="1"/>
      <c r="AD900" s="1"/>
      <c r="AL900" s="23"/>
      <c r="AM900" s="23"/>
    </row>
    <row r="901" spans="17:39">
      <c r="Q901" s="6">
        <v>871</v>
      </c>
      <c r="R901" s="7">
        <v>43538</v>
      </c>
      <c r="S901" s="210">
        <v>4.184246575342466</v>
      </c>
      <c r="T901" s="8">
        <v>1.0001162290715373</v>
      </c>
      <c r="U901" s="98">
        <v>3.750044348865389</v>
      </c>
      <c r="V901" s="106">
        <v>28260.891959947181</v>
      </c>
      <c r="W901" s="10">
        <v>0.58944887192891038</v>
      </c>
      <c r="X901" s="420"/>
      <c r="Y901" s="420"/>
      <c r="Z901" s="1"/>
      <c r="AA901" s="1"/>
      <c r="AB901" s="1"/>
      <c r="AC901" s="1"/>
      <c r="AD901" s="1"/>
      <c r="AL901" s="23"/>
      <c r="AM901" s="23"/>
    </row>
    <row r="902" spans="17:39">
      <c r="Q902" s="6">
        <v>872</v>
      </c>
      <c r="R902" s="7">
        <v>43539</v>
      </c>
      <c r="S902" s="210">
        <v>4.1863013698630134</v>
      </c>
      <c r="T902" s="8">
        <v>1.0001162861491628</v>
      </c>
      <c r="U902" s="98">
        <v>3.7507139167148429</v>
      </c>
      <c r="V902" s="106">
        <v>28263.168311669109</v>
      </c>
      <c r="W902" s="10">
        <v>0.59027551317241134</v>
      </c>
      <c r="X902" s="420"/>
      <c r="Y902" s="420"/>
      <c r="Z902" s="1"/>
      <c r="AA902" s="1"/>
      <c r="AB902" s="1"/>
      <c r="AC902" s="1"/>
      <c r="AD902" s="1"/>
      <c r="AL902" s="23"/>
      <c r="AM902" s="23"/>
    </row>
    <row r="903" spans="17:39">
      <c r="Q903" s="6">
        <v>873</v>
      </c>
      <c r="R903" s="7">
        <v>43540</v>
      </c>
      <c r="S903" s="210">
        <v>4.1883561643835616</v>
      </c>
      <c r="T903" s="8">
        <v>1.0001163432267883</v>
      </c>
      <c r="U903" s="98">
        <v>3.7513844305660182</v>
      </c>
      <c r="V903" s="106">
        <v>28265.444846746086</v>
      </c>
      <c r="W903" s="10">
        <v>0.59110266762547603</v>
      </c>
      <c r="X903" s="420"/>
      <c r="Y903" s="420"/>
      <c r="Z903" s="1"/>
      <c r="AA903" s="1"/>
      <c r="AB903" s="1"/>
      <c r="AC903" s="1"/>
      <c r="AD903" s="1"/>
      <c r="AL903" s="23"/>
      <c r="AM903" s="23"/>
    </row>
    <row r="904" spans="17:39">
      <c r="Q904" s="6">
        <v>874</v>
      </c>
      <c r="R904" s="7">
        <v>43541</v>
      </c>
      <c r="S904" s="210">
        <v>4.1904109589041099</v>
      </c>
      <c r="T904" s="8">
        <v>1.0001164003044141</v>
      </c>
      <c r="U904" s="98">
        <v>3.7520558872047083</v>
      </c>
      <c r="V904" s="106">
        <v>28267.721565192885</v>
      </c>
      <c r="W904" s="10">
        <v>0.59193033356217395</v>
      </c>
      <c r="X904" s="420"/>
      <c r="Y904" s="420"/>
      <c r="Z904" s="1"/>
      <c r="AA904" s="1"/>
      <c r="AB904" s="1"/>
      <c r="AC904" s="1"/>
      <c r="AD904" s="1"/>
      <c r="AL904" s="23"/>
      <c r="AM904" s="23"/>
    </row>
    <row r="905" spans="17:39">
      <c r="Q905" s="6">
        <v>875</v>
      </c>
      <c r="R905" s="7">
        <v>43542</v>
      </c>
      <c r="S905" s="210">
        <v>4.1924657534246572</v>
      </c>
      <c r="T905" s="8">
        <v>1.0001164573820396</v>
      </c>
      <c r="U905" s="98">
        <v>3.7527282834314502</v>
      </c>
      <c r="V905" s="106">
        <v>28269.998467024259</v>
      </c>
      <c r="W905" s="10">
        <v>0.5927585092646126</v>
      </c>
      <c r="X905" s="420"/>
      <c r="Y905" s="420"/>
      <c r="Z905" s="1"/>
      <c r="AA905" s="1"/>
      <c r="AB905" s="1"/>
      <c r="AC905" s="1"/>
      <c r="AD905" s="1"/>
      <c r="AL905" s="23"/>
      <c r="AM905" s="23"/>
    </row>
    <row r="906" spans="17:39">
      <c r="Q906" s="6">
        <v>876</v>
      </c>
      <c r="R906" s="7">
        <v>43543</v>
      </c>
      <c r="S906" s="210">
        <v>4.1945205479452055</v>
      </c>
      <c r="T906" s="8">
        <v>1.0001165144596651</v>
      </c>
      <c r="U906" s="98">
        <v>3.7534016160613914</v>
      </c>
      <c r="V906" s="106">
        <v>28272.275552254989</v>
      </c>
      <c r="W906" s="10">
        <v>0.59358719302260443</v>
      </c>
      <c r="X906" s="420"/>
      <c r="Y906" s="420"/>
      <c r="Z906" s="1"/>
      <c r="AA906" s="1"/>
      <c r="AB906" s="1"/>
      <c r="AC906" s="1"/>
      <c r="AD906" s="1"/>
      <c r="AL906" s="23"/>
      <c r="AM906" s="23"/>
    </row>
    <row r="907" spans="17:39">
      <c r="Q907" s="6">
        <v>877</v>
      </c>
      <c r="R907" s="7">
        <v>43544</v>
      </c>
      <c r="S907" s="210">
        <v>4.1965753424657537</v>
      </c>
      <c r="T907" s="8">
        <v>1.0001165715372906</v>
      </c>
      <c r="U907" s="98">
        <v>3.7540758819242681</v>
      </c>
      <c r="V907" s="106">
        <v>28274.552820899855</v>
      </c>
      <c r="W907" s="10">
        <v>0.59441638313384448</v>
      </c>
      <c r="X907" s="420"/>
      <c r="Y907" s="420"/>
      <c r="Z907" s="1"/>
      <c r="AA907" s="1"/>
      <c r="AB907" s="1"/>
      <c r="AC907" s="1"/>
      <c r="AD907" s="1"/>
      <c r="AL907" s="23"/>
      <c r="AM907" s="23"/>
    </row>
    <row r="908" spans="17:39">
      <c r="Q908" s="6">
        <v>878</v>
      </c>
      <c r="R908" s="7">
        <v>43545</v>
      </c>
      <c r="S908" s="210">
        <v>4.1986301369863011</v>
      </c>
      <c r="T908" s="8">
        <v>1.0001166286149163</v>
      </c>
      <c r="U908" s="98">
        <v>3.754751077864249</v>
      </c>
      <c r="V908" s="106">
        <v>28276.830272973617</v>
      </c>
      <c r="W908" s="10">
        <v>0.59524607790379935</v>
      </c>
      <c r="X908" s="420"/>
      <c r="Y908" s="420"/>
      <c r="Z908" s="1"/>
      <c r="AA908" s="1"/>
      <c r="AB908" s="1"/>
      <c r="AC908" s="1"/>
      <c r="AD908" s="1"/>
      <c r="AL908" s="23"/>
      <c r="AM908" s="23"/>
    </row>
    <row r="909" spans="17:39">
      <c r="Q909" s="6">
        <v>879</v>
      </c>
      <c r="R909" s="7">
        <v>43546</v>
      </c>
      <c r="S909" s="210">
        <v>4.2006849315068493</v>
      </c>
      <c r="T909" s="8">
        <v>1.0001166856925419</v>
      </c>
      <c r="U909" s="98">
        <v>3.7554272007399137</v>
      </c>
      <c r="V909" s="106">
        <v>28279.107908491063</v>
      </c>
      <c r="W909" s="10">
        <v>0.59607627564561838</v>
      </c>
      <c r="X909" s="420"/>
      <c r="Y909" s="420"/>
      <c r="Z909" s="1"/>
      <c r="AA909" s="1"/>
      <c r="AB909" s="1"/>
      <c r="AC909" s="1"/>
      <c r="AD909" s="1"/>
      <c r="AL909" s="23"/>
      <c r="AM909" s="23"/>
    </row>
    <row r="910" spans="17:39">
      <c r="Q910" s="6">
        <v>880</v>
      </c>
      <c r="R910" s="7">
        <v>43547</v>
      </c>
      <c r="S910" s="210">
        <v>4.2027397260273975</v>
      </c>
      <c r="T910" s="8">
        <v>1.0001167427701674</v>
      </c>
      <c r="U910" s="98">
        <v>3.7561042474241413</v>
      </c>
      <c r="V910" s="106">
        <v>28281.385727466957</v>
      </c>
      <c r="W910" s="10">
        <v>0.59690697468015586</v>
      </c>
      <c r="X910" s="420"/>
      <c r="Y910" s="420"/>
      <c r="Z910" s="1"/>
      <c r="AA910" s="1"/>
      <c r="AB910" s="1"/>
      <c r="AC910" s="1"/>
      <c r="AD910" s="1"/>
      <c r="AL910" s="23"/>
      <c r="AM910" s="23"/>
    </row>
    <row r="911" spans="17:39">
      <c r="Q911" s="6">
        <v>881</v>
      </c>
      <c r="R911" s="7">
        <v>43548</v>
      </c>
      <c r="S911" s="210">
        <v>4.2047945205479449</v>
      </c>
      <c r="T911" s="8">
        <v>1.0001167998477929</v>
      </c>
      <c r="U911" s="98">
        <v>3.756782214804022</v>
      </c>
      <c r="V911" s="106">
        <v>28283.663729916087</v>
      </c>
      <c r="W911" s="10">
        <v>0.59773817333588219</v>
      </c>
      <c r="X911" s="420"/>
      <c r="Y911" s="420"/>
      <c r="Z911" s="1"/>
      <c r="AA911" s="1"/>
      <c r="AB911" s="1"/>
      <c r="AC911" s="1"/>
      <c r="AD911" s="1"/>
      <c r="AL911" s="23"/>
      <c r="AM911" s="23"/>
    </row>
    <row r="912" spans="17:39">
      <c r="Q912" s="6">
        <v>882</v>
      </c>
      <c r="R912" s="7">
        <v>43549</v>
      </c>
      <c r="S912" s="210">
        <v>4.2068493150684931</v>
      </c>
      <c r="T912" s="8">
        <v>1.0001168569254186</v>
      </c>
      <c r="U912" s="98">
        <v>3.7574610997808122</v>
      </c>
      <c r="V912" s="106">
        <v>28285.941915853222</v>
      </c>
      <c r="W912" s="10">
        <v>0.59856986994888395</v>
      </c>
      <c r="X912" s="420"/>
      <c r="Y912" s="420"/>
      <c r="Z912" s="1"/>
      <c r="AA912" s="1"/>
      <c r="AB912" s="1"/>
      <c r="AC912" s="1"/>
      <c r="AD912" s="1"/>
      <c r="AL912" s="23"/>
      <c r="AM912" s="23"/>
    </row>
    <row r="913" spans="17:39">
      <c r="Q913" s="6">
        <v>883</v>
      </c>
      <c r="R913" s="7">
        <v>43550</v>
      </c>
      <c r="S913" s="210">
        <v>4.2089041095890414</v>
      </c>
      <c r="T913" s="8">
        <v>1.0001169140030441</v>
      </c>
      <c r="U913" s="98">
        <v>3.7581408992698018</v>
      </c>
      <c r="V913" s="106">
        <v>28288.220285293148</v>
      </c>
      <c r="W913" s="10">
        <v>0.59940206286275277</v>
      </c>
      <c r="X913" s="420"/>
      <c r="Y913" s="420"/>
      <c r="Z913" s="1"/>
      <c r="AA913" s="1"/>
      <c r="AB913" s="1"/>
      <c r="AC913" s="1"/>
      <c r="AD913" s="1"/>
      <c r="AL913" s="23"/>
      <c r="AM913" s="23"/>
    </row>
    <row r="914" spans="17:39">
      <c r="Q914" s="6">
        <v>884</v>
      </c>
      <c r="R914" s="7">
        <v>43551</v>
      </c>
      <c r="S914" s="210">
        <v>4.2109589041095887</v>
      </c>
      <c r="T914" s="8">
        <v>1.0001169710806697</v>
      </c>
      <c r="U914" s="98">
        <v>3.758821610200247</v>
      </c>
      <c r="V914" s="106">
        <v>28290.498838250642</v>
      </c>
      <c r="W914" s="10">
        <v>0.60023475042854102</v>
      </c>
      <c r="X914" s="420"/>
      <c r="Y914" s="420"/>
      <c r="Z914" s="1"/>
      <c r="AA914" s="1"/>
      <c r="AB914" s="1"/>
      <c r="AC914" s="1"/>
      <c r="AD914" s="1"/>
      <c r="AL914" s="23"/>
      <c r="AM914" s="23"/>
    </row>
    <row r="915" spans="17:39">
      <c r="Q915" s="6">
        <v>885</v>
      </c>
      <c r="R915" s="7">
        <v>43552</v>
      </c>
      <c r="S915" s="210">
        <v>4.213013698630137</v>
      </c>
      <c r="T915" s="8">
        <v>1.0001170281582952</v>
      </c>
      <c r="U915" s="98">
        <v>3.7595032295153485</v>
      </c>
      <c r="V915" s="106">
        <v>28292.777574740492</v>
      </c>
      <c r="W915" s="10">
        <v>0.60106793100489497</v>
      </c>
      <c r="X915" s="420"/>
      <c r="Y915" s="420"/>
      <c r="Z915" s="1"/>
      <c r="AA915" s="1"/>
      <c r="AB915" s="1"/>
      <c r="AC915" s="1"/>
      <c r="AD915" s="1"/>
      <c r="AL915" s="23"/>
      <c r="AM915" s="23"/>
    </row>
    <row r="916" spans="17:39">
      <c r="Q916" s="6">
        <v>886</v>
      </c>
      <c r="R916" s="7">
        <v>43553</v>
      </c>
      <c r="S916" s="210">
        <v>4.2150684931506852</v>
      </c>
      <c r="T916" s="8">
        <v>1.0001170852359209</v>
      </c>
      <c r="U916" s="98">
        <v>3.7601857541721406</v>
      </c>
      <c r="V916" s="106">
        <v>28295.056494777469</v>
      </c>
      <c r="W916" s="10">
        <v>0.60190160295776618</v>
      </c>
      <c r="X916" s="420"/>
      <c r="Y916" s="420"/>
      <c r="Z916" s="1"/>
      <c r="AA916" s="1"/>
      <c r="AB916" s="1"/>
      <c r="AC916" s="1"/>
      <c r="AD916" s="1"/>
      <c r="AL916" s="23"/>
      <c r="AM916" s="23"/>
    </row>
    <row r="917" spans="17:39">
      <c r="Q917" s="6">
        <v>887</v>
      </c>
      <c r="R917" s="7">
        <v>43554</v>
      </c>
      <c r="S917" s="210">
        <v>4.2171232876712326</v>
      </c>
      <c r="T917" s="8">
        <v>1.0001171423135464</v>
      </c>
      <c r="U917" s="98">
        <v>3.7608691811413797</v>
      </c>
      <c r="V917" s="106">
        <v>28297.335598376365</v>
      </c>
      <c r="W917" s="10">
        <v>0.60273576466054468</v>
      </c>
      <c r="X917" s="420"/>
      <c r="Y917" s="420"/>
      <c r="Z917" s="1"/>
      <c r="AA917" s="1"/>
      <c r="AB917" s="1"/>
      <c r="AC917" s="1"/>
      <c r="AD917" s="1"/>
      <c r="AL917" s="23"/>
      <c r="AM917" s="23"/>
    </row>
    <row r="918" spans="17:39">
      <c r="Q918" s="6">
        <v>888</v>
      </c>
      <c r="R918" s="7">
        <v>43555</v>
      </c>
      <c r="S918" s="210">
        <v>4.2191780821917808</v>
      </c>
      <c r="T918" s="8">
        <v>1.0001171993911719</v>
      </c>
      <c r="U918" s="98">
        <v>3.761553507407478</v>
      </c>
      <c r="V918" s="106">
        <v>28299.614885551968</v>
      </c>
      <c r="W918" s="10">
        <v>0.60357041449392579</v>
      </c>
      <c r="X918" s="420"/>
      <c r="Y918" s="420"/>
      <c r="Z918" s="1"/>
      <c r="AA918" s="1"/>
      <c r="AB918" s="1"/>
      <c r="AC918" s="1"/>
      <c r="AD918" s="1"/>
      <c r="AL918" s="23"/>
      <c r="AM918" s="23"/>
    </row>
    <row r="919" spans="17:39">
      <c r="Q919" s="6">
        <v>889</v>
      </c>
      <c r="R919" s="7">
        <v>43556</v>
      </c>
      <c r="S919" s="210">
        <v>4.2212328767123291</v>
      </c>
      <c r="T919" s="8">
        <v>1.0001172564687975</v>
      </c>
      <c r="U919" s="98">
        <v>3.7622387299684368</v>
      </c>
      <c r="V919" s="106">
        <v>28301.894356319062</v>
      </c>
      <c r="W919" s="10">
        <v>0.60440555084586567</v>
      </c>
      <c r="X919" s="420"/>
      <c r="Y919" s="420"/>
      <c r="Z919" s="1"/>
      <c r="AA919" s="1"/>
      <c r="AB919" s="1"/>
      <c r="AC919" s="1"/>
      <c r="AD919" s="1"/>
      <c r="AL919" s="23"/>
      <c r="AM919" s="23"/>
    </row>
    <row r="920" spans="17:39">
      <c r="Q920" s="6">
        <v>890</v>
      </c>
      <c r="R920" s="7">
        <v>43557</v>
      </c>
      <c r="S920" s="210">
        <v>4.2232876712328764</v>
      </c>
      <c r="T920" s="8">
        <v>1.0001173135464232</v>
      </c>
      <c r="U920" s="98">
        <v>3.7629248458358244</v>
      </c>
      <c r="V920" s="106">
        <v>28304.174010692434</v>
      </c>
      <c r="W920" s="10">
        <v>0.60524117211167017</v>
      </c>
      <c r="X920" s="420"/>
      <c r="Y920" s="420"/>
      <c r="Z920" s="1"/>
      <c r="AA920" s="1"/>
      <c r="AB920" s="1"/>
      <c r="AC920" s="1"/>
      <c r="AD920" s="1"/>
      <c r="AL920" s="23"/>
      <c r="AM920" s="23"/>
    </row>
    <row r="921" spans="17:39">
      <c r="Q921" s="6">
        <v>891</v>
      </c>
      <c r="R921" s="7">
        <v>43558</v>
      </c>
      <c r="S921" s="210">
        <v>4.2253424657534246</v>
      </c>
      <c r="T921" s="8">
        <v>1.0001173706240487</v>
      </c>
      <c r="U921" s="98">
        <v>3.7636118520345985</v>
      </c>
      <c r="V921" s="106">
        <v>28306.453848686873</v>
      </c>
      <c r="W921" s="10">
        <v>0.60607727669372835</v>
      </c>
      <c r="X921" s="420"/>
      <c r="Y921" s="420"/>
      <c r="Z921" s="1"/>
      <c r="AA921" s="1"/>
      <c r="AB921" s="1"/>
      <c r="AC921" s="1"/>
      <c r="AD921" s="1"/>
      <c r="AL921" s="23"/>
      <c r="AM921" s="23"/>
    </row>
    <row r="922" spans="17:39">
      <c r="Q922" s="6">
        <v>892</v>
      </c>
      <c r="R922" s="7">
        <v>43559</v>
      </c>
      <c r="S922" s="210">
        <v>4.2273972602739729</v>
      </c>
      <c r="T922" s="8">
        <v>1.0001174277016742</v>
      </c>
      <c r="U922" s="98">
        <v>3.7642997456030836</v>
      </c>
      <c r="V922" s="106">
        <v>28308.73387031717</v>
      </c>
      <c r="W922" s="10">
        <v>0.60691386300171235</v>
      </c>
      <c r="X922" s="420"/>
      <c r="Y922" s="420"/>
      <c r="Z922" s="1"/>
      <c r="AA922" s="1"/>
      <c r="AB922" s="1"/>
      <c r="AC922" s="1"/>
      <c r="AD922" s="1"/>
      <c r="AL922" s="23"/>
      <c r="AM922" s="23"/>
    </row>
    <row r="923" spans="17:39">
      <c r="Q923" s="6">
        <v>893</v>
      </c>
      <c r="R923" s="7">
        <v>43560</v>
      </c>
      <c r="S923" s="210">
        <v>4.2294520547945202</v>
      </c>
      <c r="T923" s="8">
        <v>1.0001174847792997</v>
      </c>
      <c r="U923" s="98">
        <v>3.764988523592927</v>
      </c>
      <c r="V923" s="106">
        <v>28311.014075598119</v>
      </c>
      <c r="W923" s="10">
        <v>0.60775092945235532</v>
      </c>
      <c r="X923" s="420"/>
      <c r="Y923" s="420"/>
      <c r="Z923" s="1"/>
      <c r="AA923" s="1"/>
      <c r="AB923" s="1"/>
      <c r="AC923" s="1"/>
      <c r="AD923" s="1"/>
      <c r="AL923" s="23"/>
      <c r="AM923" s="23"/>
    </row>
    <row r="924" spans="17:39">
      <c r="Q924" s="6">
        <v>894</v>
      </c>
      <c r="R924" s="7">
        <v>43561</v>
      </c>
      <c r="S924" s="210">
        <v>4.2315068493150685</v>
      </c>
      <c r="T924" s="8">
        <v>1.0001175418569255</v>
      </c>
      <c r="U924" s="98">
        <v>3.7656781830689434</v>
      </c>
      <c r="V924" s="106">
        <v>28313.294464544506</v>
      </c>
      <c r="W924" s="10">
        <v>0.60858847446954023</v>
      </c>
      <c r="X924" s="420"/>
      <c r="Y924" s="420"/>
      <c r="Z924" s="1"/>
      <c r="AA924" s="1"/>
      <c r="AB924" s="1"/>
      <c r="AC924" s="1"/>
      <c r="AD924" s="1"/>
      <c r="AL924" s="23"/>
      <c r="AM924" s="23"/>
    </row>
    <row r="925" spans="17:39">
      <c r="Q925" s="6">
        <v>895</v>
      </c>
      <c r="R925" s="7">
        <v>43562</v>
      </c>
      <c r="S925" s="210">
        <v>4.2335616438356167</v>
      </c>
      <c r="T925" s="8">
        <v>1.000117598934551</v>
      </c>
      <c r="U925" s="98">
        <v>3.7663687211091368</v>
      </c>
      <c r="V925" s="106">
        <v>28315.575037171129</v>
      </c>
      <c r="W925" s="10">
        <v>0.60942649648414449</v>
      </c>
      <c r="X925" s="420"/>
      <c r="Y925" s="420"/>
      <c r="Z925" s="1"/>
      <c r="AA925" s="1"/>
      <c r="AB925" s="1"/>
      <c r="AC925" s="1"/>
      <c r="AD925" s="1"/>
      <c r="AL925" s="23"/>
      <c r="AM925" s="23"/>
    </row>
    <row r="926" spans="17:39">
      <c r="Q926" s="6">
        <v>896</v>
      </c>
      <c r="R926" s="7">
        <v>43563</v>
      </c>
      <c r="S926" s="210">
        <v>4.2356164383561641</v>
      </c>
      <c r="T926" s="8">
        <v>1.0001176560121765</v>
      </c>
      <c r="U926" s="98">
        <v>3.7670601348045452</v>
      </c>
      <c r="V926" s="106">
        <v>28317.855793492785</v>
      </c>
      <c r="W926" s="10">
        <v>0.61026499393406208</v>
      </c>
      <c r="X926" s="420"/>
      <c r="Y926" s="420"/>
      <c r="Z926" s="1"/>
      <c r="AA926" s="1"/>
      <c r="AB926" s="1"/>
      <c r="AC926" s="1"/>
      <c r="AD926" s="1"/>
      <c r="AL926" s="23"/>
      <c r="AM926" s="23"/>
    </row>
    <row r="927" spans="17:39">
      <c r="Q927" s="6">
        <v>897</v>
      </c>
      <c r="R927" s="7">
        <v>43564</v>
      </c>
      <c r="S927" s="210">
        <v>4.2376712328767123</v>
      </c>
      <c r="T927" s="8">
        <v>1.0001177130898022</v>
      </c>
      <c r="U927" s="98">
        <v>3.7677524212592184</v>
      </c>
      <c r="V927" s="106">
        <v>28320.136733524272</v>
      </c>
      <c r="W927" s="10">
        <v>0.61110396526420363</v>
      </c>
      <c r="X927" s="420"/>
      <c r="Y927" s="420"/>
      <c r="Z927" s="1"/>
      <c r="AA927" s="1"/>
      <c r="AB927" s="1"/>
      <c r="AC927" s="1"/>
      <c r="AD927" s="1"/>
      <c r="AL927" s="23"/>
      <c r="AM927" s="23"/>
    </row>
    <row r="928" spans="17:39">
      <c r="Q928" s="6">
        <v>898</v>
      </c>
      <c r="R928" s="7">
        <v>43565</v>
      </c>
      <c r="S928" s="210">
        <v>4.2397260273972606</v>
      </c>
      <c r="T928" s="8">
        <v>1.0001177701674278</v>
      </c>
      <c r="U928" s="98">
        <v>3.7684455775901071</v>
      </c>
      <c r="V928" s="106">
        <v>28322.493897903234</v>
      </c>
      <c r="W928" s="10">
        <v>0.61183361442638251</v>
      </c>
      <c r="X928" s="420"/>
      <c r="Y928" s="420"/>
      <c r="Z928" s="1"/>
      <c r="AA928" s="1"/>
      <c r="AB928" s="1"/>
      <c r="AC928" s="1"/>
      <c r="AD928" s="1"/>
      <c r="AL928" s="23"/>
      <c r="AM928" s="23"/>
    </row>
    <row r="929" spans="17:39">
      <c r="Q929" s="6">
        <v>899</v>
      </c>
      <c r="R929" s="7">
        <v>43566</v>
      </c>
      <c r="S929" s="210">
        <v>4.2417808219178079</v>
      </c>
      <c r="T929" s="8">
        <v>1.0001178272450533</v>
      </c>
      <c r="U929" s="98">
        <v>3.7691396009270184</v>
      </c>
      <c r="V929" s="106">
        <v>28324.851258475603</v>
      </c>
      <c r="W929" s="10">
        <v>0.61256397692677211</v>
      </c>
      <c r="X929" s="420"/>
      <c r="Y929" s="420"/>
      <c r="Z929" s="1"/>
      <c r="AA929" s="1"/>
      <c r="AB929" s="1"/>
      <c r="AC929" s="1"/>
      <c r="AD929" s="1"/>
      <c r="AL929" s="23"/>
      <c r="AM929" s="23"/>
    </row>
    <row r="930" spans="17:39">
      <c r="Q930" s="6">
        <v>900</v>
      </c>
      <c r="R930" s="7">
        <v>43567</v>
      </c>
      <c r="S930" s="210">
        <v>4.2438356164383562</v>
      </c>
      <c r="T930" s="8">
        <v>1.0001178843226788</v>
      </c>
      <c r="U930" s="98">
        <v>3.7698344884125712</v>
      </c>
      <c r="V930" s="106">
        <v>28327.208815257694</v>
      </c>
      <c r="W930" s="10">
        <v>0.61329505042058141</v>
      </c>
      <c r="X930" s="420"/>
      <c r="Y930" s="420"/>
      <c r="Z930" s="1"/>
      <c r="AA930" s="1"/>
      <c r="AB930" s="1"/>
      <c r="AC930" s="1"/>
      <c r="AD930" s="1"/>
      <c r="AL930" s="23"/>
      <c r="AM930" s="23"/>
    </row>
    <row r="931" spans="17:39">
      <c r="Q931" s="6">
        <v>901</v>
      </c>
      <c r="R931" s="7">
        <v>43568</v>
      </c>
      <c r="S931" s="210">
        <v>4.2458904109589044</v>
      </c>
      <c r="T931" s="8">
        <v>1.0001179414003045</v>
      </c>
      <c r="U931" s="98">
        <v>3.7705302372020633</v>
      </c>
      <c r="V931" s="106">
        <v>28329.566568265851</v>
      </c>
      <c r="W931" s="10">
        <v>0.61402683257336665</v>
      </c>
      <c r="X931" s="420"/>
      <c r="Y931" s="420"/>
      <c r="Z931" s="1"/>
      <c r="AA931" s="1"/>
      <c r="AB931" s="1"/>
      <c r="AC931" s="1"/>
      <c r="AD931" s="1"/>
      <c r="AL931" s="23"/>
      <c r="AM931" s="23"/>
    </row>
    <row r="932" spans="17:39">
      <c r="Q932" s="6">
        <v>902</v>
      </c>
      <c r="R932" s="7">
        <v>43569</v>
      </c>
      <c r="S932" s="210">
        <v>4.2479452054794518</v>
      </c>
      <c r="T932" s="8">
        <v>1.00011799847793</v>
      </c>
      <c r="U932" s="98">
        <v>3.7712268444634045</v>
      </c>
      <c r="V932" s="106">
        <v>28331.924517516396</v>
      </c>
      <c r="W932" s="10">
        <v>0.61475932106105358</v>
      </c>
      <c r="X932" s="420"/>
      <c r="Y932" s="420"/>
      <c r="Z932" s="1"/>
      <c r="AA932" s="1"/>
      <c r="AB932" s="1"/>
      <c r="AC932" s="1"/>
      <c r="AD932" s="1"/>
      <c r="AL932" s="23"/>
      <c r="AM932" s="23"/>
    </row>
    <row r="933" spans="17:39">
      <c r="Q933" s="6">
        <v>903</v>
      </c>
      <c r="R933" s="7">
        <v>43570</v>
      </c>
      <c r="S933" s="210">
        <v>4.25</v>
      </c>
      <c r="T933" s="8">
        <v>1.0001180555555556</v>
      </c>
      <c r="U933" s="98">
        <v>3.7719243073771169</v>
      </c>
      <c r="V933" s="106">
        <v>28334.282663025668</v>
      </c>
      <c r="W933" s="10">
        <v>0.61549251356993739</v>
      </c>
      <c r="X933" s="420"/>
      <c r="Y933" s="420"/>
      <c r="Z933" s="1"/>
      <c r="AA933" s="1"/>
      <c r="AB933" s="1"/>
      <c r="AC933" s="1"/>
      <c r="AD933" s="1"/>
      <c r="AL933" s="23"/>
      <c r="AM933" s="23"/>
    </row>
    <row r="934" spans="17:39">
      <c r="Q934" s="6">
        <v>904</v>
      </c>
      <c r="R934" s="7">
        <v>43571</v>
      </c>
      <c r="S934" s="210">
        <v>4.25</v>
      </c>
      <c r="T934" s="8">
        <v>1.0001180555555556</v>
      </c>
      <c r="U934" s="98">
        <v>3.7726202319035007</v>
      </c>
      <c r="V934" s="106">
        <v>28336.641004810004</v>
      </c>
      <c r="W934" s="10">
        <v>0.6162240892966464</v>
      </c>
      <c r="X934" s="420"/>
      <c r="Y934" s="420"/>
      <c r="Z934" s="1"/>
      <c r="AA934" s="1"/>
      <c r="AB934" s="1"/>
      <c r="AC934" s="1"/>
      <c r="AD934" s="1"/>
      <c r="AL934" s="23"/>
      <c r="AM934" s="23"/>
    </row>
    <row r="935" spans="17:39">
      <c r="Q935" s="6">
        <v>905</v>
      </c>
      <c r="R935" s="7">
        <v>43572</v>
      </c>
      <c r="S935" s="210">
        <v>4.25</v>
      </c>
      <c r="T935" s="8">
        <v>1.0001180555555556</v>
      </c>
      <c r="U935" s="98">
        <v>3.7733146231267334</v>
      </c>
      <c r="V935" s="106">
        <v>28338.99954288574</v>
      </c>
      <c r="W935" s="10">
        <v>0.6169540535830631</v>
      </c>
      <c r="X935" s="420"/>
      <c r="Y935" s="420"/>
      <c r="Z935" s="1"/>
      <c r="AA935" s="1"/>
      <c r="AB935" s="1"/>
      <c r="AC935" s="1"/>
      <c r="AD935" s="1"/>
      <c r="AL935" s="23"/>
      <c r="AM935" s="23"/>
    </row>
    <row r="936" spans="17:39">
      <c r="Q936" s="6">
        <v>906</v>
      </c>
      <c r="R936" s="7">
        <v>43573</v>
      </c>
      <c r="S936" s="210">
        <v>4.25</v>
      </c>
      <c r="T936" s="8">
        <v>1.0001180555555556</v>
      </c>
      <c r="U936" s="98">
        <v>3.7740074861086326</v>
      </c>
      <c r="V936" s="106">
        <v>28341.35827726921</v>
      </c>
      <c r="W936" s="10">
        <v>0.61768241174764427</v>
      </c>
      <c r="X936" s="420"/>
      <c r="Y936" s="420"/>
      <c r="Z936" s="1"/>
      <c r="AA936" s="1"/>
      <c r="AB936" s="1"/>
      <c r="AC936" s="1"/>
      <c r="AD936" s="1"/>
      <c r="AL936" s="23"/>
      <c r="AM936" s="23"/>
    </row>
    <row r="937" spans="17:39">
      <c r="Q937" s="6">
        <v>907</v>
      </c>
      <c r="R937" s="7">
        <v>43574</v>
      </c>
      <c r="S937" s="210">
        <v>4.25</v>
      </c>
      <c r="T937" s="8">
        <v>1.0001180555555556</v>
      </c>
      <c r="U937" s="98">
        <v>3.7746988258887448</v>
      </c>
      <c r="V937" s="106">
        <v>28343.717207976759</v>
      </c>
      <c r="W937" s="10">
        <v>0.61840916908533217</v>
      </c>
      <c r="X937" s="420"/>
      <c r="Y937" s="420"/>
      <c r="Z937" s="1"/>
      <c r="AA937" s="1"/>
      <c r="AB937" s="1"/>
      <c r="AC937" s="1"/>
      <c r="AD937" s="1"/>
      <c r="AL937" s="23"/>
      <c r="AM937" s="23"/>
    </row>
    <row r="938" spans="17:39">
      <c r="Q938" s="6">
        <v>908</v>
      </c>
      <c r="R938" s="7">
        <v>43575</v>
      </c>
      <c r="S938" s="210">
        <v>4.25</v>
      </c>
      <c r="T938" s="8">
        <v>1.0001180555555556</v>
      </c>
      <c r="U938" s="98">
        <v>3.7753886474845011</v>
      </c>
      <c r="V938" s="106">
        <v>28346.076335024722</v>
      </c>
      <c r="W938" s="10">
        <v>0.61913433086797642</v>
      </c>
      <c r="X938" s="420"/>
      <c r="Y938" s="420"/>
      <c r="Z938" s="1"/>
      <c r="AA938" s="1"/>
      <c r="AB938" s="1"/>
      <c r="AC938" s="1"/>
      <c r="AD938" s="1"/>
      <c r="AL938" s="23"/>
      <c r="AM938" s="23"/>
    </row>
    <row r="939" spans="17:39">
      <c r="Q939" s="6">
        <v>909</v>
      </c>
      <c r="R939" s="7">
        <v>43576</v>
      </c>
      <c r="S939" s="210">
        <v>4.25</v>
      </c>
      <c r="T939" s="8">
        <v>1.0001180555555556</v>
      </c>
      <c r="U939" s="98">
        <v>3.7760769558913054</v>
      </c>
      <c r="V939" s="106">
        <v>28348.435658429444</v>
      </c>
      <c r="W939" s="10">
        <v>0.61985790234417859</v>
      </c>
      <c r="X939" s="420"/>
      <c r="Y939" s="420"/>
      <c r="Z939" s="1"/>
      <c r="AA939" s="1"/>
      <c r="AB939" s="1"/>
      <c r="AC939" s="1"/>
      <c r="AD939" s="1"/>
      <c r="AL939" s="23"/>
      <c r="AM939" s="23"/>
    </row>
    <row r="940" spans="17:39">
      <c r="Q940" s="6">
        <v>910</v>
      </c>
      <c r="R940" s="7">
        <v>43577</v>
      </c>
      <c r="S940" s="210">
        <v>4.25</v>
      </c>
      <c r="T940" s="8">
        <v>1.0001180555555556</v>
      </c>
      <c r="U940" s="98">
        <v>3.7767637560826461</v>
      </c>
      <c r="V940" s="106">
        <v>28350.795178207271</v>
      </c>
      <c r="W940" s="10">
        <v>0.62057988873958081</v>
      </c>
      <c r="X940" s="420"/>
      <c r="Y940" s="420"/>
      <c r="Z940" s="1"/>
      <c r="AA940" s="1"/>
      <c r="AB940" s="1"/>
      <c r="AC940" s="1"/>
      <c r="AD940" s="1"/>
      <c r="AL940" s="23"/>
      <c r="AM940" s="23"/>
    </row>
    <row r="941" spans="17:39">
      <c r="Q941" s="6">
        <v>911</v>
      </c>
      <c r="R941" s="7">
        <v>43578</v>
      </c>
      <c r="S941" s="210">
        <v>4.25</v>
      </c>
      <c r="T941" s="8">
        <v>1.0001180555555556</v>
      </c>
      <c r="U941" s="98">
        <v>3.7774490530102955</v>
      </c>
      <c r="V941" s="106">
        <v>28353.15489437454</v>
      </c>
      <c r="W941" s="10">
        <v>0.62130029525697683</v>
      </c>
      <c r="X941" s="420"/>
      <c r="Y941" s="420"/>
      <c r="Z941" s="1"/>
      <c r="AA941" s="1"/>
      <c r="AB941" s="1"/>
      <c r="AC941" s="1"/>
      <c r="AD941" s="1"/>
      <c r="AL941" s="23"/>
      <c r="AM941" s="23"/>
    </row>
    <row r="942" spans="17:39">
      <c r="Q942" s="6">
        <v>912</v>
      </c>
      <c r="R942" s="7">
        <v>43579</v>
      </c>
      <c r="S942" s="210">
        <v>4.25</v>
      </c>
      <c r="T942" s="8">
        <v>1.0001180555555556</v>
      </c>
      <c r="U942" s="98">
        <v>3.7781328516043322</v>
      </c>
      <c r="V942" s="106">
        <v>28355.514806947602</v>
      </c>
      <c r="W942" s="10">
        <v>0.62201912707644524</v>
      </c>
      <c r="X942" s="420"/>
      <c r="Y942" s="420"/>
      <c r="Z942" s="1"/>
      <c r="AA942" s="1"/>
      <c r="AB942" s="1"/>
      <c r="AC942" s="1"/>
      <c r="AD942" s="1"/>
      <c r="AL942" s="23"/>
      <c r="AM942" s="23"/>
    </row>
    <row r="943" spans="17:39">
      <c r="Q943" s="6">
        <v>913</v>
      </c>
      <c r="R943" s="7">
        <v>43580</v>
      </c>
      <c r="S943" s="210">
        <v>4.25</v>
      </c>
      <c r="T943" s="8">
        <v>1.0001180555555556</v>
      </c>
      <c r="U943" s="98">
        <v>3.7788151567733186</v>
      </c>
      <c r="V943" s="106">
        <v>28357.874915942801</v>
      </c>
      <c r="W943" s="10">
        <v>0.62273638935534947</v>
      </c>
      <c r="X943" s="420"/>
      <c r="Y943" s="420"/>
      <c r="Z943" s="1"/>
      <c r="AA943" s="1"/>
      <c r="AB943" s="1"/>
      <c r="AC943" s="1"/>
      <c r="AD943" s="1"/>
      <c r="AL943" s="23"/>
      <c r="AM943" s="23"/>
    </row>
    <row r="944" spans="17:39">
      <c r="Q944" s="6">
        <v>914</v>
      </c>
      <c r="R944" s="7">
        <v>43581</v>
      </c>
      <c r="S944" s="210">
        <v>4.25</v>
      </c>
      <c r="T944" s="8">
        <v>1.0001180555555556</v>
      </c>
      <c r="U944" s="98">
        <v>3.7794959734043898</v>
      </c>
      <c r="V944" s="106">
        <v>28360.23522137649</v>
      </c>
      <c r="W944" s="10">
        <v>0.62345208722864864</v>
      </c>
      <c r="X944" s="420"/>
      <c r="Y944" s="420"/>
      <c r="Z944" s="1"/>
      <c r="AA944" s="1"/>
      <c r="AB944" s="1"/>
      <c r="AC944" s="1"/>
      <c r="AD944" s="1"/>
      <c r="AL944" s="23"/>
      <c r="AM944" s="23"/>
    </row>
    <row r="945" spans="17:39">
      <c r="Q945" s="6">
        <v>915</v>
      </c>
      <c r="R945" s="7">
        <v>43582</v>
      </c>
      <c r="S945" s="210">
        <v>4.25</v>
      </c>
      <c r="T945" s="8">
        <v>1.0001180555555556</v>
      </c>
      <c r="U945" s="98">
        <v>3.7801753063633869</v>
      </c>
      <c r="V945" s="106">
        <v>28362.595723265022</v>
      </c>
      <c r="W945" s="10">
        <v>0.62416622580885317</v>
      </c>
      <c r="X945" s="420"/>
      <c r="Y945" s="420"/>
      <c r="Z945" s="1"/>
      <c r="AA945" s="1"/>
      <c r="AB945" s="1"/>
      <c r="AC945" s="1"/>
      <c r="AD945" s="1"/>
      <c r="AL945" s="23"/>
      <c r="AM945" s="23"/>
    </row>
    <row r="946" spans="17:39">
      <c r="Q946" s="6">
        <v>916</v>
      </c>
      <c r="R946" s="7">
        <v>43583</v>
      </c>
      <c r="S946" s="210">
        <v>4.25</v>
      </c>
      <c r="T946" s="8">
        <v>1.0001180555555556</v>
      </c>
      <c r="U946" s="98">
        <v>3.7808531604949458</v>
      </c>
      <c r="V946" s="106">
        <v>28364.956421624738</v>
      </c>
      <c r="W946" s="10">
        <v>0.6248788101862468</v>
      </c>
      <c r="X946" s="420"/>
      <c r="Y946" s="420"/>
      <c r="Z946" s="1"/>
      <c r="AA946" s="1"/>
      <c r="AB946" s="1"/>
      <c r="AC946" s="1"/>
      <c r="AD946" s="1"/>
      <c r="AL946" s="23"/>
      <c r="AM946" s="23"/>
    </row>
    <row r="947" spans="17:39">
      <c r="Q947" s="6">
        <v>917</v>
      </c>
      <c r="R947" s="7">
        <v>43584</v>
      </c>
      <c r="S947" s="210">
        <v>4.25</v>
      </c>
      <c r="T947" s="8">
        <v>1.0001180555555556</v>
      </c>
      <c r="U947" s="98">
        <v>3.7815295406226745</v>
      </c>
      <c r="V947" s="106">
        <v>28367.317316472003</v>
      </c>
      <c r="W947" s="10">
        <v>0.62558984542904206</v>
      </c>
      <c r="X947" s="420"/>
      <c r="Y947" s="420"/>
      <c r="Z947" s="1"/>
      <c r="AA947" s="1"/>
      <c r="AB947" s="1"/>
      <c r="AC947" s="1"/>
      <c r="AD947" s="1"/>
      <c r="AL947" s="23"/>
      <c r="AM947" s="23"/>
    </row>
    <row r="948" spans="17:39">
      <c r="Q948" s="6">
        <v>918</v>
      </c>
      <c r="R948" s="7">
        <v>43585</v>
      </c>
      <c r="S948" s="210">
        <v>4.25</v>
      </c>
      <c r="T948" s="8">
        <v>1.0001180555555556</v>
      </c>
      <c r="U948" s="98">
        <v>3.7822044515491759</v>
      </c>
      <c r="V948" s="106">
        <v>28369.678407823161</v>
      </c>
      <c r="W948" s="10">
        <v>0.62629933658333581</v>
      </c>
      <c r="X948" s="420"/>
      <c r="Y948" s="420"/>
      <c r="Z948" s="1"/>
      <c r="AA948" s="1"/>
      <c r="AB948" s="1"/>
      <c r="AC948" s="1"/>
      <c r="AD948" s="1"/>
      <c r="AL948" s="23"/>
      <c r="AM948" s="23"/>
    </row>
    <row r="949" spans="17:39">
      <c r="Q949" s="6">
        <v>919</v>
      </c>
      <c r="R949" s="7">
        <v>43586</v>
      </c>
      <c r="S949" s="210">
        <v>4.25</v>
      </c>
      <c r="T949" s="8">
        <v>1.0001180555555556</v>
      </c>
      <c r="U949" s="98">
        <v>3.7828778980562472</v>
      </c>
      <c r="V949" s="106">
        <v>28372.03969569457</v>
      </c>
      <c r="W949" s="10">
        <v>0.62700728867342015</v>
      </c>
      <c r="X949" s="420"/>
      <c r="Y949" s="420"/>
      <c r="Z949" s="1"/>
      <c r="AA949" s="1"/>
      <c r="AB949" s="1"/>
      <c r="AC949" s="1"/>
      <c r="AD949" s="1"/>
      <c r="AL949" s="23"/>
      <c r="AM949" s="23"/>
    </row>
    <row r="950" spans="17:39">
      <c r="Q950" s="6">
        <v>920</v>
      </c>
      <c r="R950" s="7">
        <v>43587</v>
      </c>
      <c r="S950" s="210">
        <v>4.25</v>
      </c>
      <c r="T950" s="8">
        <v>1.0001180555555556</v>
      </c>
      <c r="U950" s="98">
        <v>3.7835498849049687</v>
      </c>
      <c r="V950" s="106">
        <v>28374.401180102592</v>
      </c>
      <c r="W950" s="10">
        <v>0.62771370670176019</v>
      </c>
      <c r="X950" s="420"/>
      <c r="Y950" s="420"/>
      <c r="Z950" s="1"/>
      <c r="AA950" s="1"/>
      <c r="AB950" s="1"/>
      <c r="AC950" s="1"/>
      <c r="AD950" s="1"/>
      <c r="AL950" s="23"/>
      <c r="AM950" s="23"/>
    </row>
    <row r="951" spans="17:39">
      <c r="Q951" s="6">
        <v>921</v>
      </c>
      <c r="R951" s="7">
        <v>43588</v>
      </c>
      <c r="S951" s="210">
        <v>4.25</v>
      </c>
      <c r="T951" s="8">
        <v>1.0001180555555556</v>
      </c>
      <c r="U951" s="98">
        <v>3.7842204168357707</v>
      </c>
      <c r="V951" s="106">
        <v>28376.762861063584</v>
      </c>
      <c r="W951" s="10">
        <v>0.62841859564917169</v>
      </c>
      <c r="X951" s="420"/>
      <c r="Y951" s="420"/>
      <c r="Z951" s="1"/>
      <c r="AA951" s="1"/>
      <c r="AB951" s="1"/>
      <c r="AC951" s="1"/>
      <c r="AD951" s="1"/>
      <c r="AL951" s="23"/>
      <c r="AM951" s="23"/>
    </row>
    <row r="952" spans="17:39">
      <c r="Q952" s="6">
        <v>922</v>
      </c>
      <c r="R952" s="7">
        <v>43589</v>
      </c>
      <c r="S952" s="210">
        <v>4.25</v>
      </c>
      <c r="T952" s="8">
        <v>1.0001180555555556</v>
      </c>
      <c r="U952" s="98">
        <v>3.7848894985685888</v>
      </c>
      <c r="V952" s="106">
        <v>28379.124738593899</v>
      </c>
      <c r="W952" s="10">
        <v>0.62912196047495428</v>
      </c>
      <c r="X952" s="420"/>
      <c r="Y952" s="420"/>
      <c r="Z952" s="1"/>
      <c r="AA952" s="1"/>
      <c r="AB952" s="1"/>
      <c r="AC952" s="1"/>
      <c r="AD952" s="1"/>
      <c r="AL952" s="23"/>
      <c r="AM952" s="23"/>
    </row>
    <row r="953" spans="17:39">
      <c r="Q953" s="6">
        <v>923</v>
      </c>
      <c r="R953" s="7">
        <v>43590</v>
      </c>
      <c r="S953" s="210">
        <v>4.25</v>
      </c>
      <c r="T953" s="8">
        <v>1.0001180555555556</v>
      </c>
      <c r="U953" s="98">
        <v>3.7855571348029526</v>
      </c>
      <c r="V953" s="106">
        <v>28381.486812709907</v>
      </c>
      <c r="W953" s="10">
        <v>0.6298238061169581</v>
      </c>
      <c r="X953" s="420"/>
      <c r="Y953" s="420"/>
      <c r="Z953" s="1"/>
      <c r="AA953" s="1"/>
      <c r="AB953" s="1"/>
      <c r="AC953" s="1"/>
      <c r="AD953" s="1"/>
      <c r="AL953" s="23"/>
      <c r="AM953" s="23"/>
    </row>
    <row r="954" spans="17:39">
      <c r="Q954" s="6">
        <v>924</v>
      </c>
      <c r="R954" s="7">
        <v>43591</v>
      </c>
      <c r="S954" s="210">
        <v>4.25</v>
      </c>
      <c r="T954" s="8">
        <v>1.0001180555555556</v>
      </c>
      <c r="U954" s="98">
        <v>3.7862233302181414</v>
      </c>
      <c r="V954" s="106">
        <v>28383.849083427962</v>
      </c>
      <c r="W954" s="10">
        <v>0.63052413749173919</v>
      </c>
      <c r="X954" s="420"/>
      <c r="Y954" s="420"/>
      <c r="Z954" s="1"/>
      <c r="AA954" s="1"/>
      <c r="AB954" s="1"/>
      <c r="AC954" s="1"/>
      <c r="AD954" s="1"/>
      <c r="AL954" s="23"/>
      <c r="AM954" s="23"/>
    </row>
    <row r="955" spans="17:39">
      <c r="Q955" s="6">
        <v>925</v>
      </c>
      <c r="R955" s="7">
        <v>43592</v>
      </c>
      <c r="S955" s="210">
        <v>4.25</v>
      </c>
      <c r="T955" s="8">
        <v>1.0001180555555556</v>
      </c>
      <c r="U955" s="98">
        <v>3.7868880894732282</v>
      </c>
      <c r="V955" s="106">
        <v>28386.21155076443</v>
      </c>
      <c r="W955" s="10">
        <v>0.63122295949469276</v>
      </c>
      <c r="X955" s="420"/>
      <c r="Y955" s="420"/>
      <c r="Z955" s="1"/>
      <c r="AA955" s="1"/>
      <c r="AB955" s="1"/>
      <c r="AC955" s="1"/>
      <c r="AD955" s="1"/>
      <c r="AL955" s="23"/>
      <c r="AM955" s="23"/>
    </row>
    <row r="956" spans="17:39">
      <c r="Q956" s="6">
        <v>926</v>
      </c>
      <c r="R956" s="7">
        <v>43593</v>
      </c>
      <c r="S956" s="210">
        <v>4.25</v>
      </c>
      <c r="T956" s="8">
        <v>1.0001180555555556</v>
      </c>
      <c r="U956" s="98">
        <v>3.7875514172072355</v>
      </c>
      <c r="V956" s="106">
        <v>28388.574214735687</v>
      </c>
      <c r="W956" s="10">
        <v>0.63192027700005315</v>
      </c>
      <c r="X956" s="420"/>
      <c r="Y956" s="420"/>
      <c r="Z956" s="1"/>
      <c r="AA956" s="1"/>
      <c r="AB956" s="1"/>
      <c r="AC956" s="1"/>
      <c r="AD956" s="1"/>
      <c r="AL956" s="23"/>
      <c r="AM956" s="23"/>
    </row>
    <row r="957" spans="17:39">
      <c r="Q957" s="6">
        <v>927</v>
      </c>
      <c r="R957" s="7">
        <v>43594</v>
      </c>
      <c r="S957" s="210">
        <v>4.25</v>
      </c>
      <c r="T957" s="8">
        <v>1.0001180555555556</v>
      </c>
      <c r="U957" s="98">
        <v>3.7882133180392241</v>
      </c>
      <c r="V957" s="106">
        <v>28390.937075358081</v>
      </c>
      <c r="W957" s="10">
        <v>0.63261609486116033</v>
      </c>
      <c r="X957" s="420"/>
      <c r="Y957" s="420"/>
      <c r="Z957" s="1"/>
      <c r="AA957" s="1"/>
      <c r="AB957" s="1"/>
      <c r="AC957" s="1"/>
      <c r="AD957" s="1"/>
      <c r="AL957" s="23"/>
      <c r="AM957" s="23"/>
    </row>
    <row r="958" spans="17:39">
      <c r="Q958" s="6">
        <v>928</v>
      </c>
      <c r="R958" s="7">
        <v>43595</v>
      </c>
      <c r="S958" s="210">
        <v>4.25</v>
      </c>
      <c r="T958" s="8">
        <v>1.0001180555555556</v>
      </c>
      <c r="U958" s="98">
        <v>3.7888737965684038</v>
      </c>
      <c r="V958" s="106">
        <v>28393.223901923579</v>
      </c>
      <c r="W958" s="10">
        <v>0.63341668569674159</v>
      </c>
      <c r="X958" s="420"/>
      <c r="Y958" s="420"/>
      <c r="Z958" s="1"/>
      <c r="AA958" s="1"/>
      <c r="AB958" s="1"/>
      <c r="AC958" s="1"/>
      <c r="AD958" s="1"/>
      <c r="AL958" s="23"/>
      <c r="AM958" s="23"/>
    </row>
    <row r="959" spans="17:39">
      <c r="Q959" s="6">
        <v>929</v>
      </c>
      <c r="R959" s="7">
        <v>43596</v>
      </c>
      <c r="S959" s="210">
        <v>4.25</v>
      </c>
      <c r="T959" s="8">
        <v>1.0001180555555556</v>
      </c>
      <c r="U959" s="98">
        <v>3.7895328573742448</v>
      </c>
      <c r="V959" s="106">
        <v>28395.510912687852</v>
      </c>
      <c r="W959" s="10">
        <v>0.63421555932696716</v>
      </c>
      <c r="X959" s="420"/>
      <c r="Y959" s="420"/>
      <c r="Z959" s="1"/>
      <c r="AA959" s="1"/>
      <c r="AB959" s="1"/>
      <c r="AC959" s="1"/>
      <c r="AD959" s="1"/>
      <c r="AL959" s="23"/>
      <c r="AM959" s="23"/>
    </row>
    <row r="960" spans="17:39">
      <c r="Q960" s="6">
        <v>930</v>
      </c>
      <c r="R960" s="7">
        <v>43597</v>
      </c>
      <c r="S960" s="210">
        <v>4.25</v>
      </c>
      <c r="T960" s="8">
        <v>1.0001180555555556</v>
      </c>
      <c r="U960" s="98">
        <v>3.7901905050165885</v>
      </c>
      <c r="V960" s="106">
        <v>28397.798107665731</v>
      </c>
      <c r="W960" s="10">
        <v>0.6350127212707557</v>
      </c>
      <c r="X960" s="420"/>
      <c r="Y960" s="420"/>
      <c r="Z960" s="1"/>
      <c r="AA960" s="1"/>
      <c r="AB960" s="1"/>
      <c r="AC960" s="1"/>
      <c r="AD960" s="1"/>
      <c r="AL960" s="23"/>
      <c r="AM960" s="23"/>
    </row>
    <row r="961" spans="17:39">
      <c r="Q961" s="6">
        <v>931</v>
      </c>
      <c r="R961" s="7">
        <v>43598</v>
      </c>
      <c r="S961" s="210">
        <v>4.25</v>
      </c>
      <c r="T961" s="8">
        <v>1.0001180555555556</v>
      </c>
      <c r="U961" s="98">
        <v>3.7908467440357141</v>
      </c>
      <c r="V961" s="106">
        <v>28400.085486872053</v>
      </c>
      <c r="W961" s="10">
        <v>0.63580817702346692</v>
      </c>
      <c r="X961" s="420"/>
      <c r="Y961" s="420"/>
      <c r="Z961" s="1"/>
      <c r="AA961" s="1"/>
      <c r="AB961" s="1"/>
      <c r="AC961" s="1"/>
      <c r="AD961" s="1"/>
      <c r="AL961" s="23"/>
      <c r="AM961" s="23"/>
    </row>
    <row r="962" spans="17:39">
      <c r="Q962" s="6">
        <v>932</v>
      </c>
      <c r="R962" s="7">
        <v>43599</v>
      </c>
      <c r="S962" s="210">
        <v>4.25</v>
      </c>
      <c r="T962" s="8">
        <v>1.0001180555555556</v>
      </c>
      <c r="U962" s="98">
        <v>3.7915015789524942</v>
      </c>
      <c r="V962" s="106">
        <v>28402.373050321665</v>
      </c>
      <c r="W962" s="10">
        <v>0.63660193205692384</v>
      </c>
      <c r="X962" s="420"/>
      <c r="Y962" s="420"/>
      <c r="Z962" s="1"/>
      <c r="AA962" s="1"/>
      <c r="AB962" s="1"/>
      <c r="AC962" s="1"/>
      <c r="AD962" s="1"/>
      <c r="AL962" s="23"/>
      <c r="AM962" s="23"/>
    </row>
    <row r="963" spans="17:39">
      <c r="Q963" s="6">
        <v>933</v>
      </c>
      <c r="R963" s="7">
        <v>43600</v>
      </c>
      <c r="S963" s="210">
        <v>4.25</v>
      </c>
      <c r="T963" s="8">
        <v>1.0001180555555556</v>
      </c>
      <c r="U963" s="98">
        <v>3.792155014268439</v>
      </c>
      <c r="V963" s="106">
        <v>28404.660798029399</v>
      </c>
      <c r="W963" s="10">
        <v>0.63739399181959033</v>
      </c>
      <c r="X963" s="420"/>
      <c r="Y963" s="420"/>
      <c r="Z963" s="1"/>
      <c r="AA963" s="1"/>
      <c r="AB963" s="1"/>
      <c r="AC963" s="1"/>
      <c r="AD963" s="1"/>
      <c r="AL963" s="23"/>
      <c r="AM963" s="23"/>
    </row>
    <row r="964" spans="17:39">
      <c r="Q964" s="6">
        <v>934</v>
      </c>
      <c r="R964" s="7">
        <v>43601</v>
      </c>
      <c r="S964" s="210">
        <v>4.25</v>
      </c>
      <c r="T964" s="8">
        <v>1.0001180555555556</v>
      </c>
      <c r="U964" s="98">
        <v>3.7928070544658965</v>
      </c>
      <c r="V964" s="106">
        <v>28406.948730010106</v>
      </c>
      <c r="W964" s="10">
        <v>0.63818436173668225</v>
      </c>
      <c r="X964" s="420"/>
      <c r="Y964" s="420"/>
      <c r="Z964" s="1"/>
      <c r="AA964" s="1"/>
      <c r="AB964" s="1"/>
      <c r="AC964" s="1"/>
      <c r="AD964" s="1"/>
      <c r="AL964" s="23"/>
      <c r="AM964" s="23"/>
    </row>
    <row r="965" spans="17:39">
      <c r="Q965" s="6">
        <v>935</v>
      </c>
      <c r="R965" s="7">
        <v>43602</v>
      </c>
      <c r="S965" s="210">
        <v>4.25</v>
      </c>
      <c r="T965" s="8">
        <v>1.0001180555555556</v>
      </c>
      <c r="U965" s="98">
        <v>3.7934577040080519</v>
      </c>
      <c r="V965" s="106">
        <v>28409.236846278629</v>
      </c>
      <c r="W965" s="10">
        <v>0.63897304721032278</v>
      </c>
      <c r="X965" s="420"/>
      <c r="Y965" s="420"/>
      <c r="Z965" s="1"/>
      <c r="AA965" s="1"/>
      <c r="AB965" s="1"/>
      <c r="AC965" s="1"/>
      <c r="AD965" s="1"/>
      <c r="AL965" s="23"/>
      <c r="AM965" s="23"/>
    </row>
    <row r="966" spans="17:39">
      <c r="Q966" s="6">
        <v>936</v>
      </c>
      <c r="R966" s="7">
        <v>43603</v>
      </c>
      <c r="S966" s="210">
        <v>4.25</v>
      </c>
      <c r="T966" s="8">
        <v>1.0001180555555556</v>
      </c>
      <c r="U966" s="98">
        <v>3.7941069673391059</v>
      </c>
      <c r="V966" s="106">
        <v>28411.525146849799</v>
      </c>
      <c r="W966" s="10">
        <v>0.63976005361960908</v>
      </c>
      <c r="X966" s="420"/>
      <c r="Y966" s="420"/>
      <c r="Z966" s="1"/>
      <c r="AA966" s="1"/>
      <c r="AB966" s="1"/>
      <c r="AC966" s="1"/>
      <c r="AD966" s="1"/>
      <c r="AL966" s="23"/>
      <c r="AM966" s="23"/>
    </row>
    <row r="967" spans="17:39">
      <c r="Q967" s="6">
        <v>937</v>
      </c>
      <c r="R967" s="7">
        <v>43604</v>
      </c>
      <c r="S967" s="210">
        <v>4.25</v>
      </c>
      <c r="T967" s="8">
        <v>1.0001180555555556</v>
      </c>
      <c r="U967" s="98">
        <v>3.7947548488843186</v>
      </c>
      <c r="V967" s="106">
        <v>28413.813631738463</v>
      </c>
      <c r="W967" s="10">
        <v>0.64054538632076774</v>
      </c>
      <c r="X967" s="420"/>
      <c r="Y967" s="420"/>
      <c r="Z967" s="1"/>
      <c r="AA967" s="1"/>
      <c r="AB967" s="1"/>
      <c r="AC967" s="1"/>
      <c r="AD967" s="1"/>
      <c r="AL967" s="23"/>
      <c r="AM967" s="23"/>
    </row>
    <row r="968" spans="17:39">
      <c r="Q968" s="6">
        <v>938</v>
      </c>
      <c r="R968" s="7">
        <v>43605</v>
      </c>
      <c r="S968" s="210">
        <v>4.25</v>
      </c>
      <c r="T968" s="8">
        <v>1.0001180555555556</v>
      </c>
      <c r="U968" s="98">
        <v>3.7954013530501207</v>
      </c>
      <c r="V968" s="106">
        <v>28416.102300959483</v>
      </c>
      <c r="W968" s="10">
        <v>0.64132905064722134</v>
      </c>
      <c r="X968" s="420"/>
      <c r="Y968" s="420"/>
      <c r="Z968" s="1"/>
      <c r="AA968" s="1"/>
      <c r="AB968" s="1"/>
      <c r="AC968" s="1"/>
      <c r="AD968" s="1"/>
      <c r="AL968" s="23"/>
      <c r="AM968" s="23"/>
    </row>
    <row r="969" spans="17:39">
      <c r="Q969" s="6">
        <v>939</v>
      </c>
      <c r="R969" s="7">
        <v>43606</v>
      </c>
      <c r="S969" s="210">
        <v>4.25</v>
      </c>
      <c r="T969" s="8">
        <v>1.0001180555555556</v>
      </c>
      <c r="U969" s="98">
        <v>3.796046484224247</v>
      </c>
      <c r="V969" s="106">
        <v>28418.39115452769</v>
      </c>
      <c r="W969" s="10">
        <v>0.64211105190978834</v>
      </c>
      <c r="X969" s="420"/>
      <c r="Y969" s="420"/>
      <c r="Z969" s="1"/>
      <c r="AA969" s="1"/>
      <c r="AB969" s="1"/>
      <c r="AC969" s="1"/>
      <c r="AD969" s="1"/>
      <c r="AL969" s="23"/>
      <c r="AM969" s="23"/>
    </row>
    <row r="970" spans="17:39">
      <c r="Q970" s="6">
        <v>940</v>
      </c>
      <c r="R970" s="7">
        <v>43607</v>
      </c>
      <c r="S970" s="210">
        <v>4.25</v>
      </c>
      <c r="T970" s="8">
        <v>1.0001180555555556</v>
      </c>
      <c r="U970" s="98">
        <v>3.7966902467758246</v>
      </c>
      <c r="V970" s="106">
        <v>28420.680192457941</v>
      </c>
      <c r="W970" s="10">
        <v>0.64289139539681628</v>
      </c>
      <c r="X970" s="420"/>
      <c r="Y970" s="420"/>
      <c r="Z970" s="1"/>
      <c r="AA970" s="1"/>
      <c r="AB970" s="1"/>
      <c r="AC970" s="1"/>
      <c r="AD970" s="1"/>
      <c r="AL970" s="23"/>
      <c r="AM970" s="23"/>
    </row>
    <row r="971" spans="17:39">
      <c r="Q971" s="6">
        <v>941</v>
      </c>
      <c r="R971" s="7">
        <v>43608</v>
      </c>
      <c r="S971" s="210">
        <v>4.25</v>
      </c>
      <c r="T971" s="8">
        <v>1.0001180555555556</v>
      </c>
      <c r="U971" s="98">
        <v>3.7973326450554623</v>
      </c>
      <c r="V971" s="106">
        <v>28422.969414765084</v>
      </c>
      <c r="W971" s="10">
        <v>0.64367008637420398</v>
      </c>
      <c r="X971" s="420"/>
      <c r="Y971" s="420"/>
      <c r="Z971" s="1"/>
      <c r="AA971" s="1"/>
      <c r="AB971" s="1"/>
      <c r="AC971" s="1"/>
      <c r="AD971" s="1"/>
      <c r="AL971" s="23"/>
      <c r="AM971" s="23"/>
    </row>
    <row r="972" spans="17:39">
      <c r="Q972" s="6">
        <v>942</v>
      </c>
      <c r="R972" s="7">
        <v>43609</v>
      </c>
      <c r="S972" s="210">
        <v>4.25</v>
      </c>
      <c r="T972" s="8">
        <v>1.0001180555555556</v>
      </c>
      <c r="U972" s="98">
        <v>3.797973683395317</v>
      </c>
      <c r="V972" s="106">
        <v>28425.258821463976</v>
      </c>
      <c r="W972" s="10">
        <v>0.64444713008553478</v>
      </c>
      <c r="X972" s="420"/>
      <c r="Y972" s="420"/>
      <c r="Z972" s="1"/>
      <c r="AA972" s="1"/>
      <c r="AB972" s="1"/>
      <c r="AC972" s="1"/>
      <c r="AD972" s="1"/>
      <c r="AL972" s="23"/>
      <c r="AM972" s="23"/>
    </row>
    <row r="973" spans="17:39">
      <c r="Q973" s="6">
        <v>943</v>
      </c>
      <c r="R973" s="7">
        <v>43610</v>
      </c>
      <c r="S973" s="210">
        <v>4.25</v>
      </c>
      <c r="T973" s="8">
        <v>1.0001180555555556</v>
      </c>
      <c r="U973" s="98">
        <v>3.7986133661092492</v>
      </c>
      <c r="V973" s="106">
        <v>28427.54841256946</v>
      </c>
      <c r="W973" s="10">
        <v>0.6452225317523208</v>
      </c>
      <c r="X973" s="420"/>
      <c r="Y973" s="420"/>
      <c r="Z973" s="1"/>
      <c r="AA973" s="1"/>
      <c r="AB973" s="1"/>
      <c r="AC973" s="1"/>
      <c r="AD973" s="1"/>
      <c r="AL973" s="23"/>
      <c r="AM973" s="23"/>
    </row>
    <row r="974" spans="17:39">
      <c r="Q974" s="6">
        <v>944</v>
      </c>
      <c r="R974" s="7">
        <v>43611</v>
      </c>
      <c r="S974" s="210">
        <v>4.25</v>
      </c>
      <c r="T974" s="8">
        <v>1.0001180555555556</v>
      </c>
      <c r="U974" s="98">
        <v>3.7992516974928892</v>
      </c>
      <c r="V974" s="106">
        <v>28429.838188096393</v>
      </c>
      <c r="W974" s="10">
        <v>0.64599629657395852</v>
      </c>
      <c r="X974" s="420"/>
      <c r="Y974" s="420"/>
      <c r="Z974" s="1"/>
      <c r="AA974" s="1"/>
      <c r="AB974" s="1"/>
      <c r="AC974" s="1"/>
      <c r="AD974" s="1"/>
      <c r="AL974" s="23"/>
      <c r="AM974" s="23"/>
    </row>
    <row r="975" spans="17:39">
      <c r="Q975" s="6">
        <v>945</v>
      </c>
      <c r="R975" s="7">
        <v>43612</v>
      </c>
      <c r="S975" s="210">
        <v>4.25</v>
      </c>
      <c r="T975" s="8">
        <v>1.0001180555555556</v>
      </c>
      <c r="U975" s="98">
        <v>3.7998886818237487</v>
      </c>
      <c r="V975" s="106">
        <v>28432.12814805963</v>
      </c>
      <c r="W975" s="10">
        <v>0.6467684297279952</v>
      </c>
      <c r="X975" s="420"/>
      <c r="Y975" s="420"/>
      <c r="Z975" s="1"/>
      <c r="AA975" s="1"/>
      <c r="AB975" s="1"/>
      <c r="AC975" s="1"/>
      <c r="AD975" s="1"/>
      <c r="AL975" s="23"/>
      <c r="AM975" s="23"/>
    </row>
    <row r="976" spans="17:39">
      <c r="Q976" s="6">
        <v>946</v>
      </c>
      <c r="R976" s="7">
        <v>43613</v>
      </c>
      <c r="S976" s="210">
        <v>4.25</v>
      </c>
      <c r="T976" s="8">
        <v>1.0001180555555556</v>
      </c>
      <c r="U976" s="98">
        <v>3.8005243233612651</v>
      </c>
      <c r="V976" s="106">
        <v>28434.418292474031</v>
      </c>
      <c r="W976" s="10">
        <v>0.64753893637004012</v>
      </c>
      <c r="X976" s="420"/>
      <c r="Y976" s="420"/>
      <c r="Z976" s="1"/>
      <c r="AA976" s="1"/>
      <c r="AB976" s="1"/>
      <c r="AC976" s="1"/>
      <c r="AD976" s="1"/>
      <c r="AL976" s="23"/>
      <c r="AM976" s="23"/>
    </row>
    <row r="977" spans="17:39">
      <c r="Q977" s="6">
        <v>947</v>
      </c>
      <c r="R977" s="7">
        <v>43614</v>
      </c>
      <c r="S977" s="210">
        <v>4.25</v>
      </c>
      <c r="T977" s="8">
        <v>1.0001180555555556</v>
      </c>
      <c r="U977" s="98">
        <v>3.801158626347001</v>
      </c>
      <c r="V977" s="106">
        <v>28436.708621354446</v>
      </c>
      <c r="W977" s="10">
        <v>0.64830782163411982</v>
      </c>
      <c r="X977" s="420"/>
      <c r="Y977" s="420"/>
      <c r="Z977" s="1"/>
      <c r="AA977" s="1"/>
      <c r="AB977" s="1"/>
      <c r="AC977" s="1"/>
      <c r="AD977" s="1"/>
      <c r="AL977" s="23"/>
      <c r="AM977" s="23"/>
    </row>
    <row r="978" spans="17:39">
      <c r="Q978" s="6">
        <v>948</v>
      </c>
      <c r="R978" s="7">
        <v>43615</v>
      </c>
      <c r="S978" s="210">
        <v>4.25</v>
      </c>
      <c r="T978" s="8">
        <v>1.0001180555555556</v>
      </c>
      <c r="U978" s="98">
        <v>3.8017915950046</v>
      </c>
      <c r="V978" s="106">
        <v>28438.99913471573</v>
      </c>
      <c r="W978" s="10">
        <v>0.64907509063263369</v>
      </c>
      <c r="X978" s="420"/>
      <c r="Y978" s="420"/>
      <c r="Z978" s="1"/>
      <c r="AA978" s="1"/>
      <c r="AB978" s="1"/>
      <c r="AC978" s="1"/>
      <c r="AD978" s="1"/>
      <c r="AL978" s="23"/>
      <c r="AM978" s="23"/>
    </row>
    <row r="979" spans="17:39">
      <c r="Q979" s="6">
        <v>949</v>
      </c>
      <c r="R979" s="7">
        <v>43616</v>
      </c>
      <c r="S979" s="210">
        <v>4.25</v>
      </c>
      <c r="T979" s="8">
        <v>1.0001180555555556</v>
      </c>
      <c r="U979" s="98">
        <v>3.802423233540031</v>
      </c>
      <c r="V979" s="106">
        <v>28441.289832572758</v>
      </c>
      <c r="W979" s="10">
        <v>0.6498407484564872</v>
      </c>
      <c r="X979" s="420"/>
      <c r="Y979" s="420"/>
      <c r="Z979" s="1"/>
      <c r="AA979" s="1"/>
      <c r="AB979" s="1"/>
      <c r="AC979" s="1"/>
      <c r="AD979" s="1"/>
      <c r="AL979" s="23"/>
      <c r="AM979" s="23"/>
    </row>
    <row r="980" spans="17:39">
      <c r="Q980" s="6">
        <v>950</v>
      </c>
      <c r="R980" s="7">
        <v>43617</v>
      </c>
      <c r="S980" s="210">
        <v>4.25</v>
      </c>
      <c r="T980" s="8">
        <v>1.0001180555555556</v>
      </c>
      <c r="U980" s="98">
        <v>3.8030535461415216</v>
      </c>
      <c r="V980" s="106">
        <v>28443.580714940381</v>
      </c>
      <c r="W980" s="10">
        <v>0.65060480017526956</v>
      </c>
      <c r="X980" s="420"/>
      <c r="Y980" s="420"/>
      <c r="Z980" s="1"/>
      <c r="AA980" s="1"/>
      <c r="AB980" s="1"/>
      <c r="AC980" s="1"/>
      <c r="AD980" s="1"/>
      <c r="AL980" s="23"/>
      <c r="AM980" s="23"/>
    </row>
    <row r="981" spans="17:39">
      <c r="Q981" s="6">
        <v>951</v>
      </c>
      <c r="R981" s="7">
        <v>43618</v>
      </c>
      <c r="S981" s="210">
        <v>4.25</v>
      </c>
      <c r="T981" s="8">
        <v>1.0001180555555556</v>
      </c>
      <c r="U981" s="98">
        <v>3.8036825369798022</v>
      </c>
      <c r="V981" s="106">
        <v>28445.871781833459</v>
      </c>
      <c r="W981" s="10">
        <v>0.65136725083729807</v>
      </c>
      <c r="X981" s="420"/>
      <c r="Y981" s="420"/>
      <c r="Z981" s="1"/>
      <c r="AA981" s="1"/>
      <c r="AB981" s="1"/>
      <c r="AC981" s="1"/>
      <c r="AD981" s="1"/>
      <c r="AL981" s="23"/>
      <c r="AM981" s="23"/>
    </row>
    <row r="982" spans="17:39">
      <c r="Q982" s="6">
        <v>952</v>
      </c>
      <c r="R982" s="7">
        <v>43619</v>
      </c>
      <c r="S982" s="210">
        <v>4.25</v>
      </c>
      <c r="T982" s="8">
        <v>1.0001180555555556</v>
      </c>
      <c r="U982" s="98">
        <v>3.8043102102081061</v>
      </c>
      <c r="V982" s="106">
        <v>28448.163033266857</v>
      </c>
      <c r="W982" s="10">
        <v>0.65212810546977362</v>
      </c>
      <c r="X982" s="420"/>
      <c r="Y982" s="420"/>
      <c r="Z982" s="1"/>
      <c r="AA982" s="1"/>
      <c r="AB982" s="1"/>
      <c r="AC982" s="1"/>
      <c r="AD982" s="1"/>
      <c r="AL982" s="23"/>
      <c r="AM982" s="23"/>
    </row>
    <row r="983" spans="17:39">
      <c r="Q983" s="6">
        <v>953</v>
      </c>
      <c r="R983" s="7">
        <v>43620</v>
      </c>
      <c r="S983" s="210">
        <v>4.25</v>
      </c>
      <c r="T983" s="8">
        <v>1.0001180555555556</v>
      </c>
      <c r="U983" s="98">
        <v>3.8049365699622806</v>
      </c>
      <c r="V983" s="106">
        <v>28450.454469255441</v>
      </c>
      <c r="W983" s="10">
        <v>0.65288736907884726</v>
      </c>
      <c r="X983" s="420"/>
      <c r="Y983" s="420"/>
      <c r="Z983" s="1"/>
      <c r="AA983" s="1"/>
      <c r="AB983" s="1"/>
      <c r="AC983" s="1"/>
      <c r="AD983" s="1"/>
      <c r="AL983" s="23"/>
      <c r="AM983" s="23"/>
    </row>
    <row r="984" spans="17:39">
      <c r="Q984" s="6">
        <v>954</v>
      </c>
      <c r="R984" s="7">
        <v>43621</v>
      </c>
      <c r="S984" s="210">
        <v>4.25</v>
      </c>
      <c r="T984" s="8">
        <v>1.0001180555555556</v>
      </c>
      <c r="U984" s="98">
        <v>3.8055616203608977</v>
      </c>
      <c r="V984" s="106">
        <v>28452.746089814078</v>
      </c>
      <c r="W984" s="10">
        <v>0.65364504664977563</v>
      </c>
      <c r="X984" s="420"/>
      <c r="Y984" s="420"/>
      <c r="Z984" s="1"/>
      <c r="AA984" s="1"/>
      <c r="AB984" s="1"/>
      <c r="AC984" s="1"/>
      <c r="AD984" s="1"/>
      <c r="AL984" s="23"/>
      <c r="AM984" s="23"/>
    </row>
    <row r="985" spans="17:39">
      <c r="Q985" s="6">
        <v>955</v>
      </c>
      <c r="R985" s="7">
        <v>43622</v>
      </c>
      <c r="S985" s="210">
        <v>4.25</v>
      </c>
      <c r="T985" s="8">
        <v>1.0001180555555556</v>
      </c>
      <c r="U985" s="98">
        <v>3.8061853655052991</v>
      </c>
      <c r="V985" s="106">
        <v>28455.03789495763</v>
      </c>
      <c r="W985" s="10">
        <v>0.65440114314700981</v>
      </c>
      <c r="X985" s="420"/>
      <c r="Y985" s="420"/>
      <c r="Z985" s="1"/>
      <c r="AA985" s="1"/>
      <c r="AB985" s="1"/>
      <c r="AC985" s="1"/>
      <c r="AD985" s="1"/>
      <c r="AL985" s="23"/>
      <c r="AM985" s="23"/>
    </row>
    <row r="986" spans="17:39">
      <c r="Q986" s="6">
        <v>956</v>
      </c>
      <c r="R986" s="7">
        <v>43623</v>
      </c>
      <c r="S986" s="210">
        <v>4.25</v>
      </c>
      <c r="T986" s="8">
        <v>1.0001180555555556</v>
      </c>
      <c r="U986" s="98">
        <v>3.8068078094797286</v>
      </c>
      <c r="V986" s="106">
        <v>28457.329884700965</v>
      </c>
      <c r="W986" s="10">
        <v>0.65515566351428411</v>
      </c>
      <c r="X986" s="420"/>
      <c r="Y986" s="420"/>
      <c r="Z986" s="1"/>
      <c r="AA986" s="1"/>
      <c r="AB986" s="1"/>
      <c r="AC986" s="1"/>
      <c r="AD986" s="1"/>
      <c r="AL986" s="23"/>
      <c r="AM986" s="23"/>
    </row>
    <row r="987" spans="17:39">
      <c r="Q987" s="6">
        <v>957</v>
      </c>
      <c r="R987" s="7">
        <v>43624</v>
      </c>
      <c r="S987" s="210">
        <v>4.25</v>
      </c>
      <c r="T987" s="8">
        <v>1.0001180555555556</v>
      </c>
      <c r="U987" s="98">
        <v>3.8074289563514219</v>
      </c>
      <c r="V987" s="106">
        <v>28459.622059058955</v>
      </c>
      <c r="W987" s="10">
        <v>0.65590861267477152</v>
      </c>
      <c r="X987" s="420"/>
      <c r="Y987" s="420"/>
      <c r="Z987" s="1"/>
      <c r="AA987" s="1"/>
      <c r="AB987" s="1"/>
      <c r="AC987" s="1"/>
      <c r="AD987" s="1"/>
      <c r="AL987" s="23"/>
      <c r="AM987" s="23"/>
    </row>
    <row r="988" spans="17:39">
      <c r="Q988" s="6">
        <v>958</v>
      </c>
      <c r="R988" s="7">
        <v>43625</v>
      </c>
      <c r="S988" s="210">
        <v>4.25</v>
      </c>
      <c r="T988" s="8">
        <v>1.0001180555555556</v>
      </c>
      <c r="U988" s="98">
        <v>3.8080488101706722</v>
      </c>
      <c r="V988" s="106">
        <v>28461.914418046475</v>
      </c>
      <c r="W988" s="10">
        <v>0.65665999553115029</v>
      </c>
      <c r="X988" s="420"/>
      <c r="Y988" s="420"/>
      <c r="Z988" s="1"/>
      <c r="AA988" s="1"/>
      <c r="AB988" s="1"/>
      <c r="AC988" s="1"/>
      <c r="AD988" s="1"/>
      <c r="AL988" s="23"/>
      <c r="AM988" s="23"/>
    </row>
    <row r="989" spans="17:39">
      <c r="Q989" s="6">
        <v>959</v>
      </c>
      <c r="R989" s="7">
        <v>43626</v>
      </c>
      <c r="S989" s="210">
        <v>4.25</v>
      </c>
      <c r="T989" s="8">
        <v>1.0001180555555556</v>
      </c>
      <c r="U989" s="98">
        <v>3.8086673749709199</v>
      </c>
      <c r="V989" s="106">
        <v>28464.283382979611</v>
      </c>
      <c r="W989" s="10">
        <v>0.65730695980241727</v>
      </c>
      <c r="X989" s="420"/>
      <c r="Y989" s="420"/>
      <c r="Z989" s="1"/>
      <c r="AA989" s="1"/>
      <c r="AB989" s="1"/>
      <c r="AC989" s="1"/>
      <c r="AD989" s="1"/>
      <c r="AL989" s="23"/>
      <c r="AM989" s="23"/>
    </row>
    <row r="990" spans="17:39">
      <c r="Q990" s="6">
        <v>960</v>
      </c>
      <c r="R990" s="7">
        <v>43627</v>
      </c>
      <c r="S990" s="210">
        <v>4.25</v>
      </c>
      <c r="T990" s="8">
        <v>1.0001180555555556</v>
      </c>
      <c r="U990" s="98">
        <v>3.809284654768863</v>
      </c>
      <c r="V990" s="106">
        <v>28466.652545088342</v>
      </c>
      <c r="W990" s="10">
        <v>0.65795258037677495</v>
      </c>
      <c r="X990" s="420"/>
      <c r="Y990" s="420"/>
      <c r="Z990" s="1"/>
      <c r="AA990" s="1"/>
      <c r="AB990" s="1"/>
      <c r="AC990" s="1"/>
      <c r="AD990" s="1"/>
      <c r="AL990" s="23"/>
      <c r="AM990" s="23"/>
    </row>
    <row r="991" spans="17:39">
      <c r="Q991" s="6">
        <v>961</v>
      </c>
      <c r="R991" s="7">
        <v>43628</v>
      </c>
      <c r="S991" s="210">
        <v>4.25</v>
      </c>
      <c r="T991" s="8">
        <v>1.0001180555555556</v>
      </c>
      <c r="U991" s="98">
        <v>3.8099006535645019</v>
      </c>
      <c r="V991" s="106">
        <v>28469.021904389076</v>
      </c>
      <c r="W991" s="10">
        <v>0.6585968614360338</v>
      </c>
      <c r="X991" s="420"/>
      <c r="Y991" s="420"/>
      <c r="Z991" s="1"/>
      <c r="AA991" s="1"/>
      <c r="AB991" s="1"/>
      <c r="AC991" s="1"/>
      <c r="AD991" s="1"/>
      <c r="AL991" s="23"/>
      <c r="AM991" s="23"/>
    </row>
    <row r="992" spans="17:39">
      <c r="Q992" s="6">
        <v>962</v>
      </c>
      <c r="R992" s="7">
        <v>43629</v>
      </c>
      <c r="S992" s="210">
        <v>4.25</v>
      </c>
      <c r="T992" s="8">
        <v>1.0001180555555556</v>
      </c>
      <c r="U992" s="98">
        <v>3.8105153753412724</v>
      </c>
      <c r="V992" s="106">
        <v>28471.39146089823</v>
      </c>
      <c r="W992" s="10">
        <v>0.65923980714459596</v>
      </c>
      <c r="X992" s="420"/>
      <c r="Y992" s="420"/>
      <c r="Z992" s="1"/>
      <c r="AA992" s="1"/>
      <c r="AB992" s="1"/>
      <c r="AC992" s="1"/>
      <c r="AD992" s="1"/>
      <c r="AL992" s="23"/>
      <c r="AM992" s="23"/>
    </row>
    <row r="993" spans="17:39">
      <c r="Q993" s="6">
        <v>963</v>
      </c>
      <c r="R993" s="7">
        <v>43630</v>
      </c>
      <c r="S993" s="210">
        <v>4.25</v>
      </c>
      <c r="T993" s="8">
        <v>1.0001180555555556</v>
      </c>
      <c r="U993" s="98">
        <v>3.8111288240661123</v>
      </c>
      <c r="V993" s="106">
        <v>28473.76121463221</v>
      </c>
      <c r="W993" s="10">
        <v>0.65988142164972174</v>
      </c>
      <c r="X993" s="420"/>
      <c r="Y993" s="420"/>
      <c r="Z993" s="1"/>
      <c r="AA993" s="1"/>
      <c r="AB993" s="1"/>
      <c r="AC993" s="1"/>
      <c r="AD993" s="1"/>
      <c r="AL993" s="23"/>
      <c r="AM993" s="23"/>
    </row>
    <row r="994" spans="17:39">
      <c r="Q994" s="6">
        <v>964</v>
      </c>
      <c r="R994" s="7">
        <v>43631</v>
      </c>
      <c r="S994" s="210">
        <v>4.25</v>
      </c>
      <c r="T994" s="8">
        <v>1.0001180555555556</v>
      </c>
      <c r="U994" s="98">
        <v>3.8117410036895505</v>
      </c>
      <c r="V994" s="106">
        <v>28476.131165607436</v>
      </c>
      <c r="W994" s="10">
        <v>0.66052170908144081</v>
      </c>
      <c r="X994" s="420"/>
      <c r="Y994" s="420"/>
      <c r="Z994" s="1"/>
      <c r="AA994" s="1"/>
      <c r="AB994" s="1"/>
      <c r="AC994" s="1"/>
      <c r="AD994" s="1"/>
      <c r="AL994" s="23"/>
      <c r="AM994" s="23"/>
    </row>
    <row r="995" spans="17:39">
      <c r="Q995" s="6">
        <v>965</v>
      </c>
      <c r="R995" s="7">
        <v>43632</v>
      </c>
      <c r="S995" s="210">
        <v>4.25</v>
      </c>
      <c r="T995" s="8">
        <v>1.0001180555555556</v>
      </c>
      <c r="U995" s="98">
        <v>3.8123519181457732</v>
      </c>
      <c r="V995" s="106">
        <v>28478.50131384033</v>
      </c>
      <c r="W995" s="10">
        <v>0.66116067355272978</v>
      </c>
      <c r="X995" s="420"/>
      <c r="Y995" s="420"/>
      <c r="Z995" s="1"/>
      <c r="AA995" s="1"/>
      <c r="AB995" s="1"/>
      <c r="AC995" s="1"/>
      <c r="AD995" s="1"/>
      <c r="AL995" s="23"/>
      <c r="AM995" s="23"/>
    </row>
    <row r="996" spans="17:39">
      <c r="Q996" s="6">
        <v>966</v>
      </c>
      <c r="R996" s="7">
        <v>43633</v>
      </c>
      <c r="S996" s="210">
        <v>4.25</v>
      </c>
      <c r="T996" s="8">
        <v>1.0001180555555556</v>
      </c>
      <c r="U996" s="98">
        <v>3.8129615713527132</v>
      </c>
      <c r="V996" s="106">
        <v>28480.871659347311</v>
      </c>
      <c r="W996" s="10">
        <v>0.66179831915955667</v>
      </c>
      <c r="X996" s="420"/>
      <c r="Y996" s="420"/>
      <c r="Z996" s="1"/>
      <c r="AA996" s="1"/>
      <c r="AB996" s="1"/>
      <c r="AC996" s="1"/>
      <c r="AD996" s="1"/>
      <c r="AL996" s="23"/>
      <c r="AM996" s="23"/>
    </row>
    <row r="997" spans="17:39">
      <c r="Q997" s="6">
        <v>967</v>
      </c>
      <c r="R997" s="7">
        <v>43634</v>
      </c>
      <c r="S997" s="210">
        <v>4.25</v>
      </c>
      <c r="T997" s="8">
        <v>1.0001180555555556</v>
      </c>
      <c r="U997" s="98">
        <v>3.8135699672121826</v>
      </c>
      <c r="V997" s="106">
        <v>28483.242202144789</v>
      </c>
      <c r="W997" s="10">
        <v>0.66243464998110291</v>
      </c>
      <c r="X997" s="420"/>
      <c r="Y997" s="420"/>
      <c r="Z997" s="1"/>
      <c r="AA997" s="1"/>
      <c r="AB997" s="1"/>
      <c r="AC997" s="1"/>
      <c r="AD997" s="1"/>
      <c r="AL997" s="23"/>
      <c r="AM997" s="23"/>
    </row>
    <row r="998" spans="17:39">
      <c r="Q998" s="6">
        <v>968</v>
      </c>
      <c r="R998" s="7">
        <v>43635</v>
      </c>
      <c r="S998" s="210">
        <v>4.25</v>
      </c>
      <c r="T998" s="8">
        <v>1.0001180555555556</v>
      </c>
      <c r="U998" s="98">
        <v>3.8141771096098509</v>
      </c>
      <c r="V998" s="106">
        <v>28485.612942249187</v>
      </c>
      <c r="W998" s="10">
        <v>0.66306967007960793</v>
      </c>
      <c r="X998" s="420"/>
      <c r="Y998" s="420"/>
      <c r="Z998" s="1"/>
      <c r="AA998" s="1"/>
      <c r="AB998" s="1"/>
      <c r="AC998" s="1"/>
      <c r="AD998" s="1"/>
      <c r="AL998" s="23"/>
      <c r="AM998" s="23"/>
    </row>
    <row r="999" spans="17:39">
      <c r="Q999" s="6">
        <v>969</v>
      </c>
      <c r="R999" s="7">
        <v>43636</v>
      </c>
      <c r="S999" s="210">
        <v>4.25</v>
      </c>
      <c r="T999" s="8">
        <v>1.0001180555555556</v>
      </c>
      <c r="U999" s="98">
        <v>3.8147830024154672</v>
      </c>
      <c r="V999" s="106">
        <v>28487.983879676936</v>
      </c>
      <c r="W999" s="10">
        <v>0.66370338350070224</v>
      </c>
      <c r="X999" s="420"/>
      <c r="Y999" s="420"/>
      <c r="Z999" s="1"/>
      <c r="AA999" s="1"/>
      <c r="AB999" s="1"/>
      <c r="AC999" s="1"/>
      <c r="AD999" s="1"/>
      <c r="AL999" s="23"/>
      <c r="AM999" s="23"/>
    </row>
    <row r="1000" spans="17:39">
      <c r="Q1000" s="6">
        <v>970</v>
      </c>
      <c r="R1000" s="7">
        <v>43637</v>
      </c>
      <c r="S1000" s="210">
        <v>4.25</v>
      </c>
      <c r="T1000" s="8">
        <v>1.0001180555555556</v>
      </c>
      <c r="U1000" s="98">
        <v>3.8153876494828376</v>
      </c>
      <c r="V1000" s="106">
        <v>28490.355014444453</v>
      </c>
      <c r="W1000" s="10">
        <v>0.66433579427334077</v>
      </c>
      <c r="X1000" s="420"/>
      <c r="Y1000" s="420"/>
      <c r="Z1000" s="1"/>
      <c r="AA1000" s="1"/>
      <c r="AB1000" s="1"/>
      <c r="AC1000" s="1"/>
      <c r="AD1000" s="1"/>
      <c r="AL1000" s="23"/>
      <c r="AM1000" s="23"/>
    </row>
    <row r="1001" spans="17:39">
      <c r="Q1001" s="6">
        <v>971</v>
      </c>
      <c r="R1001" s="7">
        <v>43638</v>
      </c>
      <c r="S1001" s="210">
        <v>4.25</v>
      </c>
      <c r="T1001" s="8">
        <v>1.0001180555555556</v>
      </c>
      <c r="U1001" s="98">
        <v>3.8159910546499143</v>
      </c>
      <c r="V1001" s="106">
        <v>28492.726346568168</v>
      </c>
      <c r="W1001" s="10">
        <v>0.66496690640991396</v>
      </c>
      <c r="X1001" s="420"/>
      <c r="Y1001" s="420"/>
      <c r="Z1001" s="1"/>
      <c r="AA1001" s="1"/>
      <c r="AB1001" s="1"/>
      <c r="AC1001" s="1"/>
      <c r="AD1001" s="1"/>
      <c r="AL1001" s="23"/>
      <c r="AM1001" s="23"/>
    </row>
    <row r="1002" spans="17:39">
      <c r="Q1002" s="6">
        <v>972</v>
      </c>
      <c r="R1002" s="7">
        <v>43639</v>
      </c>
      <c r="S1002" s="210">
        <v>4.25</v>
      </c>
      <c r="T1002" s="8">
        <v>1.0001180555555556</v>
      </c>
      <c r="U1002" s="98">
        <v>3.8165932217389287</v>
      </c>
      <c r="V1002" s="106">
        <v>28495.097876064498</v>
      </c>
      <c r="W1002" s="10">
        <v>0.66559672390638092</v>
      </c>
      <c r="X1002" s="420"/>
      <c r="Y1002" s="420"/>
      <c r="Z1002" s="1"/>
      <c r="AA1002" s="1"/>
      <c r="AB1002" s="1"/>
      <c r="AC1002" s="1"/>
      <c r="AD1002" s="1"/>
      <c r="AL1002" s="23"/>
      <c r="AM1002" s="23"/>
    </row>
    <row r="1003" spans="17:39">
      <c r="Q1003" s="6">
        <v>973</v>
      </c>
      <c r="R1003" s="7">
        <v>43640</v>
      </c>
      <c r="S1003" s="210">
        <v>4.25</v>
      </c>
      <c r="T1003" s="8">
        <v>1.0001180555555556</v>
      </c>
      <c r="U1003" s="98">
        <v>3.8171941545564136</v>
      </c>
      <c r="V1003" s="106">
        <v>28497.469602949881</v>
      </c>
      <c r="W1003" s="10">
        <v>0.66622525074231387</v>
      </c>
      <c r="X1003" s="420"/>
      <c r="Y1003" s="420"/>
      <c r="Z1003" s="1"/>
      <c r="AA1003" s="1"/>
      <c r="AB1003" s="1"/>
      <c r="AC1003" s="1"/>
      <c r="AD1003" s="1"/>
      <c r="AL1003" s="23"/>
      <c r="AM1003" s="23"/>
    </row>
    <row r="1004" spans="17:39">
      <c r="Q1004" s="6">
        <v>974</v>
      </c>
      <c r="R1004" s="7">
        <v>43641</v>
      </c>
      <c r="S1004" s="210">
        <v>4.25</v>
      </c>
      <c r="T1004" s="8">
        <v>1.0001180555555556</v>
      </c>
      <c r="U1004" s="98">
        <v>3.8177938568933367</v>
      </c>
      <c r="V1004" s="106">
        <v>28499.841527240736</v>
      </c>
      <c r="W1004" s="10">
        <v>0.66685249088098697</v>
      </c>
      <c r="X1004" s="420"/>
      <c r="Y1004" s="420"/>
      <c r="Z1004" s="1"/>
      <c r="AA1004" s="1"/>
      <c r="AB1004" s="1"/>
      <c r="AC1004" s="1"/>
      <c r="AD1004" s="1"/>
      <c r="AL1004" s="23"/>
      <c r="AM1004" s="23"/>
    </row>
    <row r="1005" spans="17:39">
      <c r="Q1005" s="6">
        <v>975</v>
      </c>
      <c r="R1005" s="7">
        <v>43642</v>
      </c>
      <c r="S1005" s="210">
        <v>4.25</v>
      </c>
      <c r="T1005" s="8">
        <v>1.0001180555555556</v>
      </c>
      <c r="U1005" s="98">
        <v>3.8183923325251667</v>
      </c>
      <c r="V1005" s="106">
        <v>28502.213648953504</v>
      </c>
      <c r="W1005" s="10">
        <v>0.66747844826944291</v>
      </c>
      <c r="X1005" s="420"/>
      <c r="Y1005" s="420"/>
      <c r="Z1005" s="1"/>
      <c r="AA1005" s="1"/>
      <c r="AB1005" s="1"/>
      <c r="AC1005" s="1"/>
      <c r="AD1005" s="1"/>
      <c r="AL1005" s="23"/>
      <c r="AM1005" s="23"/>
    </row>
    <row r="1006" spans="17:39">
      <c r="Q1006" s="6">
        <v>976</v>
      </c>
      <c r="R1006" s="7">
        <v>43643</v>
      </c>
      <c r="S1006" s="210">
        <v>4.25</v>
      </c>
      <c r="T1006" s="8">
        <v>1.0001180555555556</v>
      </c>
      <c r="U1006" s="98">
        <v>3.8189895852119182</v>
      </c>
      <c r="V1006" s="106">
        <v>28504.585968104613</v>
      </c>
      <c r="W1006" s="10">
        <v>0.66810312683867057</v>
      </c>
      <c r="X1006" s="420"/>
      <c r="Y1006" s="420"/>
      <c r="Z1006" s="1"/>
      <c r="AA1006" s="1"/>
      <c r="AB1006" s="1"/>
      <c r="AC1006" s="1"/>
      <c r="AD1006" s="1"/>
      <c r="AL1006" s="23"/>
      <c r="AM1006" s="23"/>
    </row>
    <row r="1007" spans="17:39">
      <c r="Q1007" s="6">
        <v>977</v>
      </c>
      <c r="R1007" s="7">
        <v>43644</v>
      </c>
      <c r="S1007" s="210">
        <v>4.25</v>
      </c>
      <c r="T1007" s="8">
        <v>1.0001180555555556</v>
      </c>
      <c r="U1007" s="98">
        <v>3.8195856186982846</v>
      </c>
      <c r="V1007" s="106">
        <v>28506.958484710492</v>
      </c>
      <c r="W1007" s="10">
        <v>0.66872653050353836</v>
      </c>
      <c r="X1007" s="420"/>
      <c r="Y1007" s="420"/>
      <c r="Z1007" s="1"/>
      <c r="AA1007" s="1"/>
      <c r="AB1007" s="1"/>
      <c r="AC1007" s="1"/>
      <c r="AD1007" s="1"/>
      <c r="AL1007" s="23"/>
      <c r="AM1007" s="23"/>
    </row>
    <row r="1008" spans="17:39">
      <c r="Q1008" s="6">
        <v>978</v>
      </c>
      <c r="R1008" s="7">
        <v>43645</v>
      </c>
      <c r="S1008" s="210">
        <v>4.25</v>
      </c>
      <c r="T1008" s="8">
        <v>1.0001180555555556</v>
      </c>
      <c r="U1008" s="98">
        <v>3.8201804367136383</v>
      </c>
      <c r="V1008" s="106">
        <v>28509.331198787586</v>
      </c>
      <c r="W1008" s="10">
        <v>0.66934866316297192</v>
      </c>
      <c r="X1008" s="420"/>
      <c r="Y1008" s="420"/>
      <c r="Z1008" s="1"/>
      <c r="AA1008" s="1"/>
      <c r="AB1008" s="1"/>
      <c r="AC1008" s="1"/>
      <c r="AD1008" s="1"/>
      <c r="AL1008" s="23"/>
      <c r="AM1008" s="23"/>
    </row>
    <row r="1009" spans="17:39">
      <c r="Q1009" s="6">
        <v>979</v>
      </c>
      <c r="R1009" s="7">
        <v>43646</v>
      </c>
      <c r="S1009" s="210">
        <v>4.25</v>
      </c>
      <c r="T1009" s="8">
        <v>1.0001180555555556</v>
      </c>
      <c r="U1009" s="98">
        <v>3.8207740429722081</v>
      </c>
      <c r="V1009" s="106">
        <v>28511.704110352322</v>
      </c>
      <c r="W1009" s="10">
        <v>0.66996952870004289</v>
      </c>
      <c r="X1009" s="420"/>
      <c r="Y1009" s="420"/>
      <c r="Z1009" s="1"/>
      <c r="AA1009" s="1"/>
      <c r="AB1009" s="1"/>
      <c r="AC1009" s="1"/>
      <c r="AD1009" s="1"/>
      <c r="AL1009" s="23"/>
      <c r="AM1009" s="23"/>
    </row>
    <row r="1010" spans="17:39">
      <c r="Q1010" s="6">
        <v>980</v>
      </c>
      <c r="R1010" s="7">
        <v>43647</v>
      </c>
      <c r="S1010" s="210">
        <v>4.25</v>
      </c>
      <c r="T1010" s="8">
        <v>1.0001180555555556</v>
      </c>
      <c r="U1010" s="98">
        <v>3.8213664411730797</v>
      </c>
      <c r="V1010" s="106">
        <v>28514.077219421139</v>
      </c>
      <c r="W1010" s="10">
        <v>0.67058913098196893</v>
      </c>
      <c r="X1010" s="420"/>
      <c r="Y1010" s="420"/>
      <c r="Z1010" s="1"/>
      <c r="AA1010" s="1"/>
      <c r="AB1010" s="1"/>
      <c r="AC1010" s="1"/>
      <c r="AD1010" s="1"/>
      <c r="AL1010" s="23"/>
      <c r="AM1010" s="23"/>
    </row>
    <row r="1011" spans="17:39">
      <c r="Q1011" s="6">
        <v>981</v>
      </c>
      <c r="R1011" s="7">
        <v>43648</v>
      </c>
      <c r="S1011" s="210">
        <v>4.25</v>
      </c>
      <c r="T1011" s="8">
        <v>1.0001180555555556</v>
      </c>
      <c r="U1011" s="98">
        <v>3.8219576350003059</v>
      </c>
      <c r="V1011" s="106">
        <v>28516.450526010478</v>
      </c>
      <c r="W1011" s="10">
        <v>0.67120747386031354</v>
      </c>
      <c r="X1011" s="420"/>
      <c r="Y1011" s="420"/>
      <c r="Z1011" s="1"/>
      <c r="AA1011" s="1"/>
      <c r="AB1011" s="1"/>
      <c r="AC1011" s="1"/>
      <c r="AD1011" s="1"/>
      <c r="AL1011" s="23"/>
      <c r="AM1011" s="23"/>
    </row>
    <row r="1012" spans="17:39">
      <c r="Q1012" s="6">
        <v>982</v>
      </c>
      <c r="R1012" s="7">
        <v>43649</v>
      </c>
      <c r="S1012" s="210">
        <v>4.25</v>
      </c>
      <c r="T1012" s="8">
        <v>1.0001180555555556</v>
      </c>
      <c r="U1012" s="98">
        <v>3.822547628122952</v>
      </c>
      <c r="V1012" s="106">
        <v>28518.82403013678</v>
      </c>
      <c r="W1012" s="10">
        <v>0.67182456117091949</v>
      </c>
      <c r="X1012" s="420"/>
      <c r="Y1012" s="420"/>
      <c r="Z1012" s="1"/>
      <c r="AA1012" s="1"/>
      <c r="AB1012" s="1"/>
      <c r="AC1012" s="1"/>
      <c r="AD1012" s="1"/>
      <c r="AL1012" s="23"/>
      <c r="AM1012" s="23"/>
    </row>
    <row r="1013" spans="17:39">
      <c r="Q1013" s="6">
        <v>983</v>
      </c>
      <c r="R1013" s="7">
        <v>43650</v>
      </c>
      <c r="S1013" s="210">
        <v>4.25</v>
      </c>
      <c r="T1013" s="8">
        <v>1.0001180555555556</v>
      </c>
      <c r="U1013" s="98">
        <v>3.8231364241952281</v>
      </c>
      <c r="V1013" s="106">
        <v>28521.197731816483</v>
      </c>
      <c r="W1013" s="10">
        <v>0.67244039673415301</v>
      </c>
      <c r="X1013" s="420"/>
      <c r="Y1013" s="420"/>
      <c r="Z1013" s="1"/>
      <c r="AA1013" s="1"/>
      <c r="AB1013" s="1"/>
      <c r="AC1013" s="1"/>
      <c r="AD1013" s="1"/>
      <c r="AL1013" s="23"/>
      <c r="AM1013" s="23"/>
    </row>
    <row r="1014" spans="17:39">
      <c r="Q1014" s="6">
        <v>984</v>
      </c>
      <c r="R1014" s="7">
        <v>43651</v>
      </c>
      <c r="S1014" s="210">
        <v>4.25</v>
      </c>
      <c r="T1014" s="8">
        <v>1.0001180555555556</v>
      </c>
      <c r="U1014" s="98">
        <v>3.823724026856512</v>
      </c>
      <c r="V1014" s="106">
        <v>28523.571631066035</v>
      </c>
      <c r="W1014" s="10">
        <v>0.67305498435481503</v>
      </c>
      <c r="X1014" s="420"/>
      <c r="Y1014" s="420"/>
      <c r="Z1014" s="1"/>
      <c r="AA1014" s="1"/>
      <c r="AB1014" s="1"/>
      <c r="AC1014" s="1"/>
      <c r="AD1014" s="1"/>
      <c r="AL1014" s="23"/>
      <c r="AM1014" s="23"/>
    </row>
    <row r="1015" spans="17:39">
      <c r="Q1015" s="6">
        <v>985</v>
      </c>
      <c r="R1015" s="7">
        <v>43652</v>
      </c>
      <c r="S1015" s="210">
        <v>4.25</v>
      </c>
      <c r="T1015" s="8">
        <v>1.0001180555555556</v>
      </c>
      <c r="U1015" s="98">
        <v>3.8243104397314598</v>
      </c>
      <c r="V1015" s="106">
        <v>28525.945727901872</v>
      </c>
      <c r="W1015" s="10">
        <v>0.67366832782238539</v>
      </c>
      <c r="X1015" s="420"/>
      <c r="Y1015" s="420"/>
      <c r="Z1015" s="1"/>
      <c r="AA1015" s="1"/>
      <c r="AB1015" s="1"/>
      <c r="AC1015" s="1"/>
      <c r="AD1015" s="1"/>
      <c r="AL1015" s="23"/>
      <c r="AM1015" s="23"/>
    </row>
    <row r="1016" spans="17:39">
      <c r="Q1016" s="6">
        <v>986</v>
      </c>
      <c r="R1016" s="7">
        <v>43653</v>
      </c>
      <c r="S1016" s="210">
        <v>4.25</v>
      </c>
      <c r="T1016" s="8">
        <v>1.0001180555555556</v>
      </c>
      <c r="U1016" s="98">
        <v>3.8248956664300282</v>
      </c>
      <c r="V1016" s="106">
        <v>28528.320022340442</v>
      </c>
      <c r="W1016" s="10">
        <v>0.67428043091093404</v>
      </c>
      <c r="X1016" s="420"/>
      <c r="Y1016" s="420"/>
      <c r="Z1016" s="1"/>
      <c r="AA1016" s="1"/>
      <c r="AB1016" s="1"/>
      <c r="AC1016" s="1"/>
      <c r="AD1016" s="1"/>
      <c r="AL1016" s="23"/>
      <c r="AM1016" s="23"/>
    </row>
    <row r="1017" spans="17:39">
      <c r="Q1017" s="6">
        <v>987</v>
      </c>
      <c r="R1017" s="7">
        <v>43654</v>
      </c>
      <c r="S1017" s="210">
        <v>4.25</v>
      </c>
      <c r="T1017" s="8">
        <v>1.0001180555555556</v>
      </c>
      <c r="U1017" s="98">
        <v>3.8254797105476301</v>
      </c>
      <c r="V1017" s="106">
        <v>28530.694514398205</v>
      </c>
      <c r="W1017" s="10">
        <v>0.67489129737934306</v>
      </c>
      <c r="X1017" s="420"/>
      <c r="Y1017" s="420"/>
      <c r="Z1017" s="1"/>
      <c r="AA1017" s="1"/>
      <c r="AB1017" s="1"/>
      <c r="AC1017" s="1"/>
      <c r="AD1017" s="1"/>
      <c r="AL1017" s="23"/>
      <c r="AM1017" s="23"/>
    </row>
    <row r="1018" spans="17:39">
      <c r="Q1018" s="6">
        <v>988</v>
      </c>
      <c r="R1018" s="7">
        <v>43655</v>
      </c>
      <c r="S1018" s="210">
        <v>4.25</v>
      </c>
      <c r="T1018" s="8">
        <v>1.0001180555555556</v>
      </c>
      <c r="U1018" s="98">
        <v>3.8260625756651345</v>
      </c>
      <c r="V1018" s="106">
        <v>28533.069204091589</v>
      </c>
      <c r="W1018" s="10">
        <v>0.6755009309712845</v>
      </c>
      <c r="X1018" s="420"/>
      <c r="Y1018" s="420"/>
      <c r="Z1018" s="1"/>
      <c r="AA1018" s="1"/>
      <c r="AB1018" s="1"/>
      <c r="AC1018" s="1"/>
      <c r="AD1018" s="1"/>
      <c r="AL1018" s="23"/>
      <c r="AM1018" s="23"/>
    </row>
    <row r="1019" spans="17:39">
      <c r="Q1019" s="6">
        <v>989</v>
      </c>
      <c r="R1019" s="7">
        <v>43656</v>
      </c>
      <c r="S1019" s="210">
        <v>4.25</v>
      </c>
      <c r="T1019" s="8">
        <v>1.0001180555555556</v>
      </c>
      <c r="U1019" s="98">
        <v>3.8266442653489774</v>
      </c>
      <c r="V1019" s="106">
        <v>28535.367479082579</v>
      </c>
      <c r="W1019" s="10">
        <v>0.67620909117234174</v>
      </c>
      <c r="X1019" s="420"/>
      <c r="Y1019" s="420"/>
      <c r="Z1019" s="1"/>
      <c r="AA1019" s="1"/>
      <c r="AB1019" s="1"/>
      <c r="AC1019" s="1"/>
      <c r="AD1019" s="1"/>
      <c r="AL1019" s="23"/>
      <c r="AM1019" s="23"/>
    </row>
    <row r="1020" spans="17:39">
      <c r="Q1020" s="6">
        <v>990</v>
      </c>
      <c r="R1020" s="7">
        <v>43657</v>
      </c>
      <c r="S1020" s="210">
        <v>4.25</v>
      </c>
      <c r="T1020" s="8">
        <v>1.0001180555555556</v>
      </c>
      <c r="U1020" s="98">
        <v>3.8272247831512063</v>
      </c>
      <c r="V1020" s="106">
        <v>28537.665939194492</v>
      </c>
      <c r="W1020" s="10">
        <v>0.6769158257128538</v>
      </c>
      <c r="X1020" s="420"/>
      <c r="Y1020" s="420"/>
      <c r="Z1020" s="1"/>
      <c r="AA1020" s="1"/>
      <c r="AB1020" s="1"/>
      <c r="AC1020" s="1"/>
      <c r="AD1020" s="1"/>
      <c r="AL1020" s="23"/>
      <c r="AM1020" s="23"/>
    </row>
    <row r="1021" spans="17:39">
      <c r="Q1021" s="6">
        <v>991</v>
      </c>
      <c r="R1021" s="7">
        <v>43658</v>
      </c>
      <c r="S1021" s="210">
        <v>4.25</v>
      </c>
      <c r="T1021" s="8">
        <v>1.0001180555555556</v>
      </c>
      <c r="U1021" s="98">
        <v>3.8278041326095913</v>
      </c>
      <c r="V1021" s="106">
        <v>28539.964584442227</v>
      </c>
      <c r="W1021" s="10">
        <v>0.67762113889373587</v>
      </c>
      <c r="X1021" s="420"/>
      <c r="Y1021" s="420"/>
      <c r="Z1021" s="1"/>
      <c r="AA1021" s="1"/>
      <c r="AB1021" s="1"/>
      <c r="AC1021" s="1"/>
      <c r="AD1021" s="1"/>
      <c r="AL1021" s="23"/>
      <c r="AM1021" s="23"/>
    </row>
    <row r="1022" spans="17:39">
      <c r="Q1022" s="6">
        <v>992</v>
      </c>
      <c r="R1022" s="7">
        <v>43659</v>
      </c>
      <c r="S1022" s="210">
        <v>4.25</v>
      </c>
      <c r="T1022" s="8">
        <v>1.0001180555555556</v>
      </c>
      <c r="U1022" s="98">
        <v>3.8283823172476916</v>
      </c>
      <c r="V1022" s="106">
        <v>28542.263414840701</v>
      </c>
      <c r="W1022" s="10">
        <v>0.67832503499851704</v>
      </c>
      <c r="X1022" s="420"/>
      <c r="Y1022" s="420"/>
      <c r="Z1022" s="1"/>
      <c r="AA1022" s="1"/>
      <c r="AB1022" s="1"/>
      <c r="AC1022" s="1"/>
      <c r="AD1022" s="1"/>
      <c r="AL1022" s="23"/>
      <c r="AM1022" s="23"/>
    </row>
    <row r="1023" spans="17:39">
      <c r="Q1023" s="6">
        <v>993</v>
      </c>
      <c r="R1023" s="7">
        <v>43660</v>
      </c>
      <c r="S1023" s="210">
        <v>4.25</v>
      </c>
      <c r="T1023" s="8">
        <v>1.0001180555555556</v>
      </c>
      <c r="U1023" s="98">
        <v>3.8289593405748779</v>
      </c>
      <c r="V1023" s="106">
        <v>28544.562430404836</v>
      </c>
      <c r="W1023" s="10">
        <v>0.67902751829358454</v>
      </c>
      <c r="X1023" s="420"/>
      <c r="Y1023" s="420"/>
      <c r="Z1023" s="1"/>
      <c r="AA1023" s="1"/>
      <c r="AB1023" s="1"/>
      <c r="AC1023" s="1"/>
      <c r="AD1023" s="1"/>
      <c r="AL1023" s="23"/>
      <c r="AM1023" s="23"/>
    </row>
    <row r="1024" spans="17:39">
      <c r="Q1024" s="6">
        <v>994</v>
      </c>
      <c r="R1024" s="7">
        <v>43661</v>
      </c>
      <c r="S1024" s="210">
        <v>4.25</v>
      </c>
      <c r="T1024" s="8">
        <v>1.0001180555555556</v>
      </c>
      <c r="U1024" s="98">
        <v>3.8295352060864429</v>
      </c>
      <c r="V1024" s="106">
        <v>28546.861631149532</v>
      </c>
      <c r="W1024" s="10">
        <v>0.67972859302816158</v>
      </c>
      <c r="X1024" s="420"/>
      <c r="Y1024" s="420"/>
      <c r="Z1024" s="1"/>
      <c r="AA1024" s="1"/>
      <c r="AB1024" s="1"/>
      <c r="AC1024" s="1"/>
      <c r="AD1024" s="1"/>
      <c r="AL1024" s="23"/>
      <c r="AM1024" s="23"/>
    </row>
    <row r="1025" spans="17:39">
      <c r="Q1025" s="6">
        <v>995</v>
      </c>
      <c r="R1025" s="7">
        <v>43662</v>
      </c>
      <c r="S1025" s="210">
        <v>4.25</v>
      </c>
      <c r="T1025" s="8">
        <v>1.0001180555555556</v>
      </c>
      <c r="U1025" s="98">
        <v>3.830109917263691</v>
      </c>
      <c r="V1025" s="106">
        <v>28549.161017089715</v>
      </c>
      <c r="W1025" s="10">
        <v>0.68042826343448493</v>
      </c>
      <c r="X1025" s="420"/>
      <c r="Y1025" s="420"/>
      <c r="Z1025" s="1"/>
      <c r="AA1025" s="1"/>
      <c r="AB1025" s="1"/>
      <c r="AC1025" s="1"/>
      <c r="AD1025" s="1"/>
      <c r="AL1025" s="23"/>
      <c r="AM1025" s="23"/>
    </row>
    <row r="1026" spans="17:39">
      <c r="Q1026" s="6">
        <v>996</v>
      </c>
      <c r="R1026" s="7">
        <v>43663</v>
      </c>
      <c r="S1026" s="210">
        <v>4.25</v>
      </c>
      <c r="T1026" s="8">
        <v>1.0001180555555556</v>
      </c>
      <c r="U1026" s="98">
        <v>3.8306834775739595</v>
      </c>
      <c r="V1026" s="106">
        <v>28551.460588240308</v>
      </c>
      <c r="W1026" s="10">
        <v>0.68112653372784937</v>
      </c>
      <c r="X1026" s="420"/>
      <c r="Y1026" s="420"/>
      <c r="Z1026" s="1"/>
      <c r="AA1026" s="1"/>
      <c r="AB1026" s="1"/>
      <c r="AC1026" s="1"/>
      <c r="AD1026" s="1"/>
      <c r="AL1026" s="23"/>
      <c r="AM1026" s="23"/>
    </row>
    <row r="1027" spans="17:39">
      <c r="Q1027" s="6">
        <v>997</v>
      </c>
      <c r="R1027" s="7">
        <v>43664</v>
      </c>
      <c r="S1027" s="210">
        <v>4.25</v>
      </c>
      <c r="T1027" s="8">
        <v>1.0001180555555556</v>
      </c>
      <c r="U1027" s="98">
        <v>3.8312558904707306</v>
      </c>
      <c r="V1027" s="106">
        <v>28553.76034461621</v>
      </c>
      <c r="W1027" s="10">
        <v>0.68182340810671871</v>
      </c>
      <c r="X1027" s="420"/>
      <c r="Y1027" s="420"/>
      <c r="Z1027" s="1"/>
      <c r="AA1027" s="1"/>
      <c r="AB1027" s="1"/>
      <c r="AC1027" s="1"/>
      <c r="AD1027" s="1"/>
      <c r="AL1027" s="23"/>
      <c r="AM1027" s="23"/>
    </row>
    <row r="1028" spans="17:39">
      <c r="Q1028" s="6">
        <v>998</v>
      </c>
      <c r="R1028" s="7">
        <v>43665</v>
      </c>
      <c r="S1028" s="210">
        <v>4.25</v>
      </c>
      <c r="T1028" s="8">
        <v>1.0001180555555556</v>
      </c>
      <c r="U1028" s="98">
        <v>3.8318271593936748</v>
      </c>
      <c r="V1028" s="106">
        <v>28556.06028623235</v>
      </c>
      <c r="W1028" s="10">
        <v>0.68251889075272576</v>
      </c>
      <c r="X1028" s="420"/>
      <c r="Y1028" s="420"/>
      <c r="Z1028" s="1"/>
      <c r="AA1028" s="1"/>
      <c r="AB1028" s="1"/>
      <c r="AC1028" s="1"/>
      <c r="AD1028" s="1"/>
      <c r="AL1028" s="23"/>
      <c r="AM1028" s="23"/>
    </row>
    <row r="1029" spans="17:39">
      <c r="Q1029" s="6">
        <v>999</v>
      </c>
      <c r="R1029" s="7">
        <v>43666</v>
      </c>
      <c r="S1029" s="210">
        <v>4.25</v>
      </c>
      <c r="T1029" s="8">
        <v>1.0001180555555556</v>
      </c>
      <c r="U1029" s="98">
        <v>3.8323972877687185</v>
      </c>
      <c r="V1029" s="106">
        <v>28558.360413103659</v>
      </c>
      <c r="W1029" s="10">
        <v>0.6832129858308722</v>
      </c>
      <c r="X1029" s="420"/>
      <c r="Y1029" s="420"/>
      <c r="Z1029" s="1"/>
      <c r="AA1029" s="1"/>
      <c r="AB1029" s="1"/>
      <c r="AC1029" s="1"/>
      <c r="AD1029" s="1"/>
      <c r="AL1029" s="23"/>
      <c r="AM1029" s="23"/>
    </row>
    <row r="1030" spans="17:39">
      <c r="Q1030" s="6">
        <v>1000</v>
      </c>
      <c r="R1030" s="7">
        <v>43667</v>
      </c>
      <c r="S1030" s="210">
        <v>4.25</v>
      </c>
      <c r="T1030" s="8">
        <v>1.0001180555555556</v>
      </c>
      <c r="U1030" s="98">
        <v>3.832966279008132</v>
      </c>
      <c r="V1030" s="106">
        <v>28560.660725245041</v>
      </c>
      <c r="W1030" s="10">
        <v>0.68390569748955077</v>
      </c>
      <c r="X1030" s="420"/>
      <c r="Y1030" s="420"/>
      <c r="Z1030" s="1"/>
      <c r="AA1030" s="1"/>
      <c r="AB1030" s="1"/>
      <c r="AC1030" s="1"/>
      <c r="AD1030" s="1"/>
      <c r="AL1030" s="23"/>
      <c r="AM1030" s="23"/>
    </row>
    <row r="1031" spans="17:39">
      <c r="Q1031" s="6">
        <v>1001</v>
      </c>
      <c r="R1031" s="7">
        <v>43668</v>
      </c>
      <c r="S1031" s="210">
        <v>4.25</v>
      </c>
      <c r="T1031" s="8">
        <v>1.0001180555555556</v>
      </c>
      <c r="U1031" s="98">
        <v>3.8335341365105746</v>
      </c>
      <c r="V1031" s="106">
        <v>28562.961222671431</v>
      </c>
      <c r="W1031" s="10">
        <v>0.68459702986058968</v>
      </c>
      <c r="X1031" s="420"/>
      <c r="Y1031" s="420"/>
      <c r="Z1031" s="1"/>
      <c r="AA1031" s="1"/>
      <c r="AB1031" s="1"/>
      <c r="AC1031" s="1"/>
      <c r="AD1031" s="1"/>
      <c r="AL1031" s="23"/>
      <c r="AM1031" s="23"/>
    </row>
    <row r="1032" spans="17:39">
      <c r="Q1032" s="6">
        <v>1002</v>
      </c>
      <c r="R1032" s="7">
        <v>43669</v>
      </c>
      <c r="S1032" s="210">
        <v>4.25</v>
      </c>
      <c r="T1032" s="8">
        <v>1.0001180555555556</v>
      </c>
      <c r="U1032" s="98">
        <v>3.8341008636612273</v>
      </c>
      <c r="V1032" s="106">
        <v>28565.261905397751</v>
      </c>
      <c r="W1032" s="10">
        <v>0.68528698705945246</v>
      </c>
      <c r="X1032" s="420"/>
      <c r="Y1032" s="420"/>
      <c r="Z1032" s="1"/>
      <c r="AA1032" s="1"/>
      <c r="AB1032" s="1"/>
      <c r="AC1032" s="1"/>
      <c r="AD1032" s="1"/>
      <c r="AL1032" s="23"/>
      <c r="AM1032" s="23"/>
    </row>
    <row r="1033" spans="17:39">
      <c r="Q1033" s="6">
        <v>1003</v>
      </c>
      <c r="R1033" s="7">
        <v>43670</v>
      </c>
      <c r="S1033" s="210">
        <v>4.25</v>
      </c>
      <c r="T1033" s="8">
        <v>1.0001180555555556</v>
      </c>
      <c r="U1033" s="98">
        <v>3.8346664638317263</v>
      </c>
      <c r="V1033" s="106">
        <v>28567.562773438927</v>
      </c>
      <c r="W1033" s="10">
        <v>0.68597557318519353</v>
      </c>
      <c r="X1033" s="420"/>
      <c r="Y1033" s="420"/>
      <c r="Z1033" s="1"/>
      <c r="AA1033" s="1"/>
      <c r="AB1033" s="1"/>
      <c r="AC1033" s="1"/>
      <c r="AD1033" s="1"/>
      <c r="AL1033" s="23"/>
      <c r="AM1033" s="23"/>
    </row>
    <row r="1034" spans="17:39">
      <c r="Q1034" s="6">
        <v>1004</v>
      </c>
      <c r="R1034" s="7">
        <v>43671</v>
      </c>
      <c r="S1034" s="210">
        <v>4.25</v>
      </c>
      <c r="T1034" s="8">
        <v>1.0001180555555556</v>
      </c>
      <c r="U1034" s="98">
        <v>3.8352309403803853</v>
      </c>
      <c r="V1034" s="106">
        <v>28569.863826809884</v>
      </c>
      <c r="W1034" s="10">
        <v>0.68666279232056926</v>
      </c>
      <c r="X1034" s="420"/>
      <c r="Y1034" s="420"/>
      <c r="Z1034" s="1"/>
      <c r="AA1034" s="1"/>
      <c r="AB1034" s="1"/>
      <c r="AC1034" s="1"/>
      <c r="AD1034" s="1"/>
      <c r="AL1034" s="23"/>
      <c r="AM1034" s="23"/>
    </row>
    <row r="1035" spans="17:39">
      <c r="Q1035" s="6">
        <v>1005</v>
      </c>
      <c r="R1035" s="7">
        <v>43672</v>
      </c>
      <c r="S1035" s="210">
        <v>4.25</v>
      </c>
      <c r="T1035" s="8">
        <v>1.0001180555555556</v>
      </c>
      <c r="U1035" s="98">
        <v>3.8357942966521286</v>
      </c>
      <c r="V1035" s="106">
        <v>28572.165065525551</v>
      </c>
      <c r="W1035" s="10">
        <v>0.68734864853223776</v>
      </c>
      <c r="X1035" s="420"/>
      <c r="Y1035" s="420"/>
      <c r="Z1035" s="1"/>
      <c r="AA1035" s="1"/>
      <c r="AB1035" s="1"/>
      <c r="AC1035" s="1"/>
      <c r="AD1035" s="1"/>
      <c r="AL1035" s="23"/>
      <c r="AM1035" s="23"/>
    </row>
    <row r="1036" spans="17:39">
      <c r="Q1036" s="6">
        <v>1006</v>
      </c>
      <c r="R1036" s="7">
        <v>43673</v>
      </c>
      <c r="S1036" s="210">
        <v>4.25</v>
      </c>
      <c r="T1036" s="8">
        <v>1.0001180555555556</v>
      </c>
      <c r="U1036" s="98">
        <v>3.8363565359786467</v>
      </c>
      <c r="V1036" s="106">
        <v>28574.466489600851</v>
      </c>
      <c r="W1036" s="10">
        <v>0.6880331458706257</v>
      </c>
      <c r="X1036" s="420"/>
      <c r="Y1036" s="420"/>
      <c r="Z1036" s="1"/>
      <c r="AA1036" s="1"/>
      <c r="AB1036" s="1"/>
      <c r="AC1036" s="1"/>
      <c r="AD1036" s="1"/>
      <c r="AL1036" s="23"/>
      <c r="AM1036" s="23"/>
    </row>
    <row r="1037" spans="17:39">
      <c r="Q1037" s="6">
        <v>1007</v>
      </c>
      <c r="R1037" s="7">
        <v>43674</v>
      </c>
      <c r="S1037" s="210">
        <v>4.25</v>
      </c>
      <c r="T1037" s="8">
        <v>1.0001180555555556</v>
      </c>
      <c r="U1037" s="98">
        <v>3.8369176616784406</v>
      </c>
      <c r="V1037" s="106">
        <v>28576.768099050729</v>
      </c>
      <c r="W1037" s="10">
        <v>0.68871628837023913</v>
      </c>
      <c r="X1037" s="420"/>
      <c r="Y1037" s="420"/>
      <c r="Z1037" s="1"/>
      <c r="AA1037" s="1"/>
      <c r="AB1037" s="1"/>
      <c r="AC1037" s="1"/>
      <c r="AD1037" s="1"/>
      <c r="AL1037" s="23"/>
      <c r="AM1037" s="23"/>
    </row>
    <row r="1038" spans="17:39">
      <c r="Q1038" s="6">
        <v>1008</v>
      </c>
      <c r="R1038" s="7">
        <v>43675</v>
      </c>
      <c r="S1038" s="210">
        <v>4.25</v>
      </c>
      <c r="T1038" s="8">
        <v>1.0001180555555556</v>
      </c>
      <c r="U1038" s="98">
        <v>3.8374776770568664</v>
      </c>
      <c r="V1038" s="106">
        <v>28579.069893890101</v>
      </c>
      <c r="W1038" s="10">
        <v>0.68939808004953029</v>
      </c>
      <c r="X1038" s="420"/>
      <c r="Y1038" s="420"/>
      <c r="Z1038" s="1"/>
      <c r="AA1038" s="1"/>
      <c r="AB1038" s="1"/>
      <c r="AC1038" s="1"/>
      <c r="AD1038" s="1"/>
      <c r="AL1038" s="23"/>
      <c r="AM1038" s="23"/>
    </row>
    <row r="1039" spans="17:39">
      <c r="Q1039" s="6">
        <v>1009</v>
      </c>
      <c r="R1039" s="7">
        <v>43676</v>
      </c>
      <c r="S1039" s="210">
        <v>4.25</v>
      </c>
      <c r="T1039" s="8">
        <v>1.0001180555555556</v>
      </c>
      <c r="U1039" s="98">
        <v>3.8380365854062237</v>
      </c>
      <c r="V1039" s="106">
        <v>28581.3718741339</v>
      </c>
      <c r="W1039" s="10">
        <v>0.69007852491114186</v>
      </c>
      <c r="X1039" s="420"/>
      <c r="Y1039" s="420"/>
      <c r="Z1039" s="1"/>
      <c r="AA1039" s="1"/>
      <c r="AB1039" s="1"/>
      <c r="AC1039" s="1"/>
      <c r="AD1039" s="1"/>
      <c r="AL1039" s="23"/>
      <c r="AM1039" s="23"/>
    </row>
    <row r="1040" spans="17:39">
      <c r="Q1040" s="6">
        <v>1010</v>
      </c>
      <c r="R1040" s="7">
        <v>43677</v>
      </c>
      <c r="S1040" s="210">
        <v>4.25</v>
      </c>
      <c r="T1040" s="8">
        <v>1.0001180555555556</v>
      </c>
      <c r="U1040" s="98">
        <v>3.8385943900057784</v>
      </c>
      <c r="V1040" s="106">
        <v>28583.674039797075</v>
      </c>
      <c r="W1040" s="10">
        <v>0.69075762694188469</v>
      </c>
      <c r="X1040" s="420"/>
      <c r="Y1040" s="420"/>
      <c r="Z1040" s="1"/>
      <c r="AA1040" s="1"/>
      <c r="AB1040" s="1"/>
      <c r="AC1040" s="1"/>
      <c r="AD1040" s="1"/>
      <c r="AL1040" s="23"/>
      <c r="AM1040" s="23"/>
    </row>
    <row r="1041" spans="17:39">
      <c r="Q1041" s="6">
        <v>1011</v>
      </c>
      <c r="R1041" s="7">
        <v>43678</v>
      </c>
      <c r="S1041" s="210">
        <v>4.25</v>
      </c>
      <c r="T1041" s="8">
        <v>1.0001180555555556</v>
      </c>
      <c r="U1041" s="98">
        <v>3.8391510941218954</v>
      </c>
      <c r="V1041" s="106">
        <v>28585.97639089455</v>
      </c>
      <c r="W1041" s="10">
        <v>0.69143539011287114</v>
      </c>
      <c r="X1041" s="420"/>
      <c r="Y1041" s="420"/>
      <c r="Z1041" s="1"/>
      <c r="AA1041" s="1"/>
      <c r="AB1041" s="1"/>
      <c r="AC1041" s="1"/>
      <c r="AD1041" s="1"/>
      <c r="AL1041" s="23"/>
      <c r="AM1041" s="23"/>
    </row>
    <row r="1042" spans="17:39">
      <c r="Q1042" s="6">
        <v>1012</v>
      </c>
      <c r="R1042" s="7">
        <v>43679</v>
      </c>
      <c r="S1042" s="210">
        <v>4.25</v>
      </c>
      <c r="T1042" s="8">
        <v>1.0001180555555556</v>
      </c>
      <c r="U1042" s="98">
        <v>3.8397067010080166</v>
      </c>
      <c r="V1042" s="106">
        <v>28588.278927441257</v>
      </c>
      <c r="W1042" s="10">
        <v>0.69211181837955937</v>
      </c>
      <c r="X1042" s="420"/>
      <c r="Y1042" s="420"/>
      <c r="Z1042" s="1"/>
      <c r="AA1042" s="1"/>
      <c r="AB1042" s="1"/>
      <c r="AC1042" s="1"/>
      <c r="AD1042" s="1"/>
      <c r="AL1042" s="23"/>
      <c r="AM1042" s="23"/>
    </row>
    <row r="1043" spans="17:39">
      <c r="Q1043" s="6">
        <v>1013</v>
      </c>
      <c r="R1043" s="7">
        <v>43680</v>
      </c>
      <c r="S1043" s="210">
        <v>4.25</v>
      </c>
      <c r="T1043" s="8">
        <v>1.0001180555555556</v>
      </c>
      <c r="U1043" s="98">
        <v>3.8402612139048165</v>
      </c>
      <c r="V1043" s="106">
        <v>28590.581649452146</v>
      </c>
      <c r="W1043" s="10">
        <v>0.69278691568179784</v>
      </c>
      <c r="X1043" s="420"/>
      <c r="Y1043" s="420"/>
      <c r="Z1043" s="1"/>
      <c r="AA1043" s="1"/>
      <c r="AB1043" s="1"/>
      <c r="AC1043" s="1"/>
      <c r="AD1043" s="1"/>
      <c r="AL1043" s="23"/>
      <c r="AM1043" s="23"/>
    </row>
    <row r="1044" spans="17:39">
      <c r="Q1044" s="6">
        <v>1014</v>
      </c>
      <c r="R1044" s="7">
        <v>43681</v>
      </c>
      <c r="S1044" s="210">
        <v>4.25</v>
      </c>
      <c r="T1044" s="8">
        <v>1.0001180555555556</v>
      </c>
      <c r="U1044" s="98">
        <v>3.8408146360402018</v>
      </c>
      <c r="V1044" s="106">
        <v>28592.884556942146</v>
      </c>
      <c r="W1044" s="10">
        <v>0.69346068594404731</v>
      </c>
      <c r="X1044" s="420"/>
      <c r="Y1044" s="420"/>
      <c r="Z1044" s="1"/>
      <c r="AA1044" s="1"/>
      <c r="AB1044" s="1"/>
      <c r="AC1044" s="1"/>
      <c r="AD1044" s="1"/>
      <c r="AL1044" s="23"/>
      <c r="AM1044" s="23"/>
    </row>
    <row r="1045" spans="17:39">
      <c r="Q1045" s="6">
        <v>1015</v>
      </c>
      <c r="R1045" s="7">
        <v>43682</v>
      </c>
      <c r="S1045" s="210">
        <v>4.25</v>
      </c>
      <c r="T1045" s="8">
        <v>1.0001180555555556</v>
      </c>
      <c r="U1045" s="98">
        <v>3.8413669706294007</v>
      </c>
      <c r="V1045" s="106">
        <v>28595.187649926207</v>
      </c>
      <c r="W1045" s="10">
        <v>0.6941331330752476</v>
      </c>
      <c r="X1045" s="420"/>
      <c r="Y1045" s="420"/>
      <c r="Z1045" s="1"/>
      <c r="AA1045" s="1"/>
      <c r="AB1045" s="1"/>
      <c r="AC1045" s="1"/>
      <c r="AD1045" s="1"/>
      <c r="AL1045" s="23"/>
      <c r="AM1045" s="23"/>
    </row>
    <row r="1046" spans="17:39">
      <c r="Q1046" s="6">
        <v>1016</v>
      </c>
      <c r="R1046" s="7">
        <v>43683</v>
      </c>
      <c r="S1046" s="210">
        <v>4.25</v>
      </c>
      <c r="T1046" s="8">
        <v>1.0001180555555556</v>
      </c>
      <c r="U1046" s="98">
        <v>3.8419182208750291</v>
      </c>
      <c r="V1046" s="106">
        <v>28597.490928419258</v>
      </c>
      <c r="W1046" s="10">
        <v>0.69480426096912851</v>
      </c>
      <c r="X1046" s="420"/>
      <c r="Y1046" s="420"/>
      <c r="Z1046" s="1"/>
      <c r="AA1046" s="1"/>
      <c r="AB1046" s="1"/>
      <c r="AC1046" s="1"/>
      <c r="AD1046" s="1"/>
      <c r="AL1046" s="23"/>
      <c r="AM1046" s="23"/>
    </row>
    <row r="1047" spans="17:39">
      <c r="Q1047" s="6">
        <v>1017</v>
      </c>
      <c r="R1047" s="7">
        <v>43684</v>
      </c>
      <c r="S1047" s="210">
        <v>4.25</v>
      </c>
      <c r="T1047" s="8">
        <v>1.0001180555555556</v>
      </c>
      <c r="U1047" s="98">
        <v>3.842468389967113</v>
      </c>
      <c r="V1047" s="106">
        <v>28599.794392436248</v>
      </c>
      <c r="W1047" s="10">
        <v>0.69547407350403212</v>
      </c>
      <c r="X1047" s="420"/>
      <c r="Y1047" s="420"/>
      <c r="Z1047" s="1"/>
      <c r="AA1047" s="1"/>
      <c r="AB1047" s="1"/>
      <c r="AC1047" s="1"/>
      <c r="AD1047" s="1"/>
      <c r="AL1047" s="23"/>
      <c r="AM1047" s="23"/>
    </row>
    <row r="1048" spans="17:39">
      <c r="Q1048" s="6">
        <v>1018</v>
      </c>
      <c r="R1048" s="7">
        <v>43685</v>
      </c>
      <c r="S1048" s="210">
        <v>4.25</v>
      </c>
      <c r="T1048" s="8">
        <v>1.0001180555555556</v>
      </c>
      <c r="U1048" s="98">
        <v>3.8430174810831774</v>
      </c>
      <c r="V1048" s="106">
        <v>28602.098041992118</v>
      </c>
      <c r="W1048" s="10">
        <v>0.69614257454313488</v>
      </c>
      <c r="X1048" s="420"/>
      <c r="Y1048" s="420"/>
      <c r="Z1048" s="1"/>
      <c r="AA1048" s="1"/>
      <c r="AB1048" s="1"/>
      <c r="AC1048" s="1"/>
      <c r="AD1048" s="1"/>
      <c r="AL1048" s="23"/>
      <c r="AM1048" s="23"/>
    </row>
    <row r="1049" spans="17:39">
      <c r="Q1049" s="6">
        <v>1019</v>
      </c>
      <c r="R1049" s="7">
        <v>43686</v>
      </c>
      <c r="S1049" s="210">
        <v>4.25</v>
      </c>
      <c r="T1049" s="8">
        <v>1.0001180555555556</v>
      </c>
      <c r="U1049" s="98">
        <v>3.8435654973883127</v>
      </c>
      <c r="V1049" s="106">
        <v>28604.401877101816</v>
      </c>
      <c r="W1049" s="10">
        <v>0.69680976793455862</v>
      </c>
      <c r="X1049" s="420"/>
      <c r="Y1049" s="420"/>
      <c r="Z1049" s="1"/>
      <c r="AA1049" s="1"/>
      <c r="AB1049" s="1"/>
      <c r="AC1049" s="1"/>
      <c r="AD1049" s="1"/>
      <c r="AL1049" s="23"/>
      <c r="AM1049" s="23"/>
    </row>
    <row r="1050" spans="17:39">
      <c r="Q1050" s="6">
        <v>1020</v>
      </c>
      <c r="R1050" s="7">
        <v>43687</v>
      </c>
      <c r="S1050" s="210">
        <v>4.25</v>
      </c>
      <c r="T1050" s="8">
        <v>1.0001180555555556</v>
      </c>
      <c r="U1050" s="98">
        <v>3.8441124420352635</v>
      </c>
      <c r="V1050" s="106">
        <v>28606.705897780284</v>
      </c>
      <c r="W1050" s="10">
        <v>0.69747565751137053</v>
      </c>
      <c r="X1050" s="420"/>
      <c r="Y1050" s="420"/>
      <c r="Z1050" s="1"/>
      <c r="AA1050" s="1"/>
      <c r="AB1050" s="1"/>
      <c r="AC1050" s="1"/>
      <c r="AD1050" s="1"/>
      <c r="AL1050" s="23"/>
      <c r="AM1050" s="23"/>
    </row>
    <row r="1051" spans="17:39">
      <c r="Q1051" s="6">
        <v>1021</v>
      </c>
      <c r="R1051" s="7">
        <v>43688</v>
      </c>
      <c r="S1051" s="210">
        <v>4.25</v>
      </c>
      <c r="T1051" s="8">
        <v>1.0001180555555556</v>
      </c>
      <c r="U1051" s="98">
        <v>3.8446583181644067</v>
      </c>
      <c r="V1051" s="106">
        <v>28609.010104042478</v>
      </c>
      <c r="W1051" s="10">
        <v>0.69814024709160538</v>
      </c>
      <c r="X1051" s="420"/>
      <c r="Y1051" s="420"/>
      <c r="Z1051" s="1"/>
      <c r="AA1051" s="1"/>
      <c r="AB1051" s="1"/>
      <c r="AC1051" s="1"/>
      <c r="AD1051" s="1"/>
      <c r="AL1051" s="23"/>
      <c r="AM1051" s="23"/>
    </row>
    <row r="1052" spans="17:39">
      <c r="Q1052" s="6">
        <v>1022</v>
      </c>
      <c r="R1052" s="7">
        <v>43689</v>
      </c>
      <c r="S1052" s="210">
        <v>4.25</v>
      </c>
      <c r="T1052" s="8">
        <v>1.0001180555555556</v>
      </c>
      <c r="U1052" s="98">
        <v>3.8452031289038846</v>
      </c>
      <c r="V1052" s="106">
        <v>28611.314495903331</v>
      </c>
      <c r="W1052" s="10">
        <v>0.69880354047848758</v>
      </c>
      <c r="X1052" s="420"/>
      <c r="Y1052" s="420"/>
      <c r="Z1052" s="1"/>
      <c r="AA1052" s="1"/>
      <c r="AB1052" s="1"/>
      <c r="AC1052" s="1"/>
      <c r="AD1052" s="1"/>
      <c r="AL1052" s="23"/>
      <c r="AM1052" s="23"/>
    </row>
    <row r="1053" spans="17:39">
      <c r="Q1053" s="6">
        <v>1023</v>
      </c>
      <c r="R1053" s="7">
        <v>43690</v>
      </c>
      <c r="S1053" s="210">
        <v>4.25</v>
      </c>
      <c r="T1053" s="8">
        <v>1.0001180555555556</v>
      </c>
      <c r="U1053" s="98">
        <v>3.845746877369649</v>
      </c>
      <c r="V1053" s="106">
        <v>28613.619073377802</v>
      </c>
      <c r="W1053" s="10">
        <v>0.69946554146038675</v>
      </c>
      <c r="X1053" s="420"/>
      <c r="Y1053" s="420"/>
      <c r="Z1053" s="1"/>
      <c r="AA1053" s="1"/>
      <c r="AB1053" s="1"/>
      <c r="AC1053" s="1"/>
      <c r="AD1053" s="1"/>
      <c r="AL1053" s="23"/>
      <c r="AM1053" s="23"/>
    </row>
    <row r="1054" spans="17:39">
      <c r="Q1054" s="6">
        <v>1024</v>
      </c>
      <c r="R1054" s="7">
        <v>43691</v>
      </c>
      <c r="S1054" s="210">
        <v>4.25</v>
      </c>
      <c r="T1054" s="8">
        <v>1.0001180555555556</v>
      </c>
      <c r="U1054" s="98">
        <v>3.8462895666655061</v>
      </c>
      <c r="V1054" s="106">
        <v>28615.923836480844</v>
      </c>
      <c r="W1054" s="10">
        <v>0.70012625381092874</v>
      </c>
      <c r="X1054" s="420"/>
      <c r="Y1054" s="420"/>
      <c r="Z1054" s="1"/>
      <c r="AA1054" s="1"/>
      <c r="AB1054" s="1"/>
      <c r="AC1054" s="1"/>
      <c r="AD1054" s="1"/>
      <c r="AL1054" s="23"/>
      <c r="AM1054" s="23"/>
    </row>
    <row r="1055" spans="17:39">
      <c r="Q1055" s="6">
        <v>1025</v>
      </c>
      <c r="R1055" s="7">
        <v>43692</v>
      </c>
      <c r="S1055" s="210">
        <v>4.25</v>
      </c>
      <c r="T1055" s="8">
        <v>1.0001180555555556</v>
      </c>
      <c r="U1055" s="98">
        <v>3.8468311998831828</v>
      </c>
      <c r="V1055" s="106">
        <v>28618.228785227406</v>
      </c>
      <c r="W1055" s="10">
        <v>0.70078568128904006</v>
      </c>
      <c r="X1055" s="420"/>
      <c r="Y1055" s="420"/>
      <c r="Z1055" s="1"/>
      <c r="AA1055" s="1"/>
      <c r="AB1055" s="1"/>
      <c r="AC1055" s="1"/>
      <c r="AD1055" s="1"/>
      <c r="AL1055" s="23"/>
      <c r="AM1055" s="23"/>
    </row>
    <row r="1056" spans="17:39">
      <c r="Q1056" s="6">
        <v>1026</v>
      </c>
      <c r="R1056" s="7">
        <v>43693</v>
      </c>
      <c r="S1056" s="210">
        <v>4.25</v>
      </c>
      <c r="T1056" s="8">
        <v>1.0001180555555556</v>
      </c>
      <c r="U1056" s="98">
        <v>3.847371780102371</v>
      </c>
      <c r="V1056" s="106">
        <v>28620.533919632438</v>
      </c>
      <c r="W1056" s="10">
        <v>0.70144382763905888</v>
      </c>
      <c r="X1056" s="420"/>
      <c r="Y1056" s="420"/>
      <c r="Z1056" s="1"/>
      <c r="AA1056" s="1"/>
      <c r="AB1056" s="1"/>
      <c r="AC1056" s="1"/>
      <c r="AD1056" s="1"/>
      <c r="AL1056" s="23"/>
      <c r="AM1056" s="23"/>
    </row>
    <row r="1057" spans="17:39">
      <c r="Q1057" s="6">
        <v>1027</v>
      </c>
      <c r="R1057" s="7">
        <v>43694</v>
      </c>
      <c r="S1057" s="210">
        <v>4.25</v>
      </c>
      <c r="T1057" s="8">
        <v>1.0001180555555556</v>
      </c>
      <c r="U1057" s="98">
        <v>3.8479113103907947</v>
      </c>
      <c r="V1057" s="106">
        <v>28622.839239710906</v>
      </c>
      <c r="W1057" s="10">
        <v>0.70210069659077945</v>
      </c>
      <c r="X1057" s="420"/>
      <c r="Y1057" s="420"/>
      <c r="Z1057" s="1"/>
      <c r="AA1057" s="1"/>
      <c r="AB1057" s="1"/>
      <c r="AC1057" s="1"/>
      <c r="AD1057" s="1"/>
      <c r="AL1057" s="23"/>
      <c r="AM1057" s="23"/>
    </row>
    <row r="1058" spans="17:39">
      <c r="Q1058" s="6">
        <v>1028</v>
      </c>
      <c r="R1058" s="7">
        <v>43695</v>
      </c>
      <c r="S1058" s="210">
        <v>4.25</v>
      </c>
      <c r="T1058" s="8">
        <v>1.0001180555555556</v>
      </c>
      <c r="U1058" s="98">
        <v>3.8484497938042983</v>
      </c>
      <c r="V1058" s="106">
        <v>28625.144745477752</v>
      </c>
      <c r="W1058" s="10">
        <v>0.70275629185956312</v>
      </c>
      <c r="X1058" s="420"/>
      <c r="Y1058" s="420"/>
      <c r="Z1058" s="1"/>
      <c r="AA1058" s="1"/>
      <c r="AB1058" s="1"/>
      <c r="AC1058" s="1"/>
      <c r="AD1058" s="1"/>
      <c r="AL1058" s="23"/>
      <c r="AM1058" s="23"/>
    </row>
    <row r="1059" spans="17:39">
      <c r="Q1059" s="6">
        <v>1029</v>
      </c>
      <c r="R1059" s="7">
        <v>43696</v>
      </c>
      <c r="S1059" s="210">
        <v>4.25</v>
      </c>
      <c r="T1059" s="8">
        <v>1.0001180555555556</v>
      </c>
      <c r="U1059" s="98">
        <v>3.8489872333868913</v>
      </c>
      <c r="V1059" s="106">
        <v>28627.450436947929</v>
      </c>
      <c r="W1059" s="10">
        <v>0.70341061714636055</v>
      </c>
      <c r="X1059" s="420"/>
      <c r="Y1059" s="420"/>
      <c r="Z1059" s="1"/>
      <c r="AA1059" s="1"/>
      <c r="AB1059" s="1"/>
      <c r="AC1059" s="1"/>
      <c r="AD1059" s="1"/>
      <c r="AL1059" s="23"/>
      <c r="AM1059" s="23"/>
    </row>
    <row r="1060" spans="17:39">
      <c r="Q1060" s="6">
        <v>1030</v>
      </c>
      <c r="R1060" s="7">
        <v>43697</v>
      </c>
      <c r="S1060" s="210">
        <v>4.25</v>
      </c>
      <c r="T1060" s="8">
        <v>1.0001180555555556</v>
      </c>
      <c r="U1060" s="98">
        <v>3.8495236321707704</v>
      </c>
      <c r="V1060" s="106">
        <v>28629.756314136415</v>
      </c>
      <c r="W1060" s="10">
        <v>0.70406367613780052</v>
      </c>
      <c r="X1060" s="420"/>
      <c r="Y1060" s="420"/>
      <c r="Z1060" s="1"/>
      <c r="AA1060" s="1"/>
      <c r="AB1060" s="1"/>
      <c r="AC1060" s="1"/>
      <c r="AD1060" s="1"/>
      <c r="AL1060" s="23"/>
      <c r="AM1060" s="23"/>
    </row>
    <row r="1061" spans="17:39">
      <c r="Q1061" s="6">
        <v>1031</v>
      </c>
      <c r="R1061" s="7">
        <v>43698</v>
      </c>
      <c r="S1061" s="210">
        <v>4.25</v>
      </c>
      <c r="T1061" s="8">
        <v>1.0001180555555556</v>
      </c>
      <c r="U1061" s="98">
        <v>3.850058993176364</v>
      </c>
      <c r="V1061" s="106">
        <v>28632.062377058151</v>
      </c>
      <c r="W1061" s="10">
        <v>0.70471547250621214</v>
      </c>
      <c r="X1061" s="420"/>
      <c r="Y1061" s="420"/>
      <c r="Z1061" s="1"/>
      <c r="AA1061" s="1"/>
      <c r="AB1061" s="1"/>
      <c r="AC1061" s="1"/>
      <c r="AD1061" s="1"/>
      <c r="AL1061" s="23"/>
      <c r="AM1061" s="23"/>
    </row>
    <row r="1062" spans="17:39">
      <c r="Q1062" s="6">
        <v>1032</v>
      </c>
      <c r="R1062" s="7">
        <v>43699</v>
      </c>
      <c r="S1062" s="210">
        <v>4.25</v>
      </c>
      <c r="T1062" s="8">
        <v>1.0001180555555556</v>
      </c>
      <c r="U1062" s="98">
        <v>3.8505933194124875</v>
      </c>
      <c r="V1062" s="106">
        <v>28634.368625728108</v>
      </c>
      <c r="W1062" s="10">
        <v>0.70536600990978027</v>
      </c>
      <c r="X1062" s="420"/>
      <c r="Y1062" s="420"/>
      <c r="Z1062" s="1"/>
      <c r="AA1062" s="1"/>
      <c r="AB1062" s="1"/>
      <c r="AC1062" s="1"/>
      <c r="AD1062" s="1"/>
      <c r="AL1062" s="23"/>
      <c r="AM1062" s="23"/>
    </row>
    <row r="1063" spans="17:39">
      <c r="Q1063" s="6">
        <v>1033</v>
      </c>
      <c r="R1063" s="7">
        <v>43700</v>
      </c>
      <c r="S1063" s="210">
        <v>4.25</v>
      </c>
      <c r="T1063" s="8">
        <v>1.0001180555555556</v>
      </c>
      <c r="U1063" s="98">
        <v>3.851126613876299</v>
      </c>
      <c r="V1063" s="106">
        <v>28636.675060161244</v>
      </c>
      <c r="W1063" s="10">
        <v>0.70601529199258994</v>
      </c>
      <c r="X1063" s="420"/>
      <c r="Y1063" s="420"/>
      <c r="Z1063" s="1"/>
      <c r="AA1063" s="1"/>
      <c r="AB1063" s="1"/>
      <c r="AC1063" s="1"/>
      <c r="AD1063" s="1"/>
      <c r="AL1063" s="23"/>
      <c r="AM1063" s="23"/>
    </row>
    <row r="1064" spans="17:39">
      <c r="Q1064" s="6">
        <v>1034</v>
      </c>
      <c r="R1064" s="7">
        <v>43701</v>
      </c>
      <c r="S1064" s="210">
        <v>4.25</v>
      </c>
      <c r="T1064" s="8">
        <v>1.0001180555555556</v>
      </c>
      <c r="U1064" s="98">
        <v>3.8516588795534323</v>
      </c>
      <c r="V1064" s="106">
        <v>28638.981680372523</v>
      </c>
      <c r="W1064" s="10">
        <v>0.70666332238464857</v>
      </c>
      <c r="X1064" s="420"/>
      <c r="Y1064" s="420"/>
      <c r="Z1064" s="1"/>
      <c r="AA1064" s="1"/>
      <c r="AB1064" s="1"/>
      <c r="AC1064" s="1"/>
      <c r="AD1064" s="1"/>
      <c r="AL1064" s="23"/>
      <c r="AM1064" s="23"/>
    </row>
    <row r="1065" spans="17:39">
      <c r="Q1065" s="6">
        <v>1035</v>
      </c>
      <c r="R1065" s="7">
        <v>43702</v>
      </c>
      <c r="S1065" s="210">
        <v>4.25</v>
      </c>
      <c r="T1065" s="8">
        <v>1.0001180555555556</v>
      </c>
      <c r="U1065" s="98">
        <v>3.8521901194179531</v>
      </c>
      <c r="V1065" s="106">
        <v>28641.288486376907</v>
      </c>
      <c r="W1065" s="10">
        <v>0.70731010470199696</v>
      </c>
      <c r="X1065" s="420"/>
      <c r="Y1065" s="420"/>
      <c r="Z1065" s="1"/>
      <c r="AA1065" s="1"/>
      <c r="AB1065" s="1"/>
      <c r="AC1065" s="1"/>
      <c r="AD1065" s="1"/>
      <c r="AL1065" s="23"/>
      <c r="AM1065" s="23"/>
    </row>
    <row r="1066" spans="17:39">
      <c r="Q1066" s="6">
        <v>1036</v>
      </c>
      <c r="R1066" s="7">
        <v>43703</v>
      </c>
      <c r="S1066" s="210">
        <v>4.25</v>
      </c>
      <c r="T1066" s="8">
        <v>1.0001180555555556</v>
      </c>
      <c r="U1066" s="98">
        <v>3.8527203364325135</v>
      </c>
      <c r="V1066" s="106">
        <v>28643.59547818936</v>
      </c>
      <c r="W1066" s="10">
        <v>0.70795564254670929</v>
      </c>
      <c r="X1066" s="420"/>
      <c r="Y1066" s="420"/>
      <c r="Z1066" s="1"/>
      <c r="AA1066" s="1"/>
      <c r="AB1066" s="1"/>
      <c r="AC1066" s="1"/>
      <c r="AD1066" s="1"/>
      <c r="AL1066" s="23"/>
      <c r="AM1066" s="23"/>
    </row>
    <row r="1067" spans="17:39">
      <c r="Q1067" s="6">
        <v>1037</v>
      </c>
      <c r="R1067" s="7">
        <v>43704</v>
      </c>
      <c r="S1067" s="210">
        <v>4.25</v>
      </c>
      <c r="T1067" s="8">
        <v>1.0001180555555556</v>
      </c>
      <c r="U1067" s="98">
        <v>3.853249533548353</v>
      </c>
      <c r="V1067" s="106">
        <v>28645.902655824852</v>
      </c>
      <c r="W1067" s="10">
        <v>0.70859993950707079</v>
      </c>
      <c r="X1067" s="420"/>
      <c r="Y1067" s="420"/>
      <c r="Z1067" s="1"/>
      <c r="AA1067" s="1"/>
      <c r="AB1067" s="1"/>
      <c r="AC1067" s="1"/>
      <c r="AD1067" s="1"/>
      <c r="AL1067" s="23"/>
      <c r="AM1067" s="23"/>
    </row>
    <row r="1068" spans="17:39">
      <c r="Q1068" s="6">
        <v>1038</v>
      </c>
      <c r="R1068" s="7">
        <v>43705</v>
      </c>
      <c r="S1068" s="210">
        <v>4.25</v>
      </c>
      <c r="T1068" s="8">
        <v>1.0001180555555556</v>
      </c>
      <c r="U1068" s="98">
        <v>3.8537777137053864</v>
      </c>
      <c r="V1068" s="106">
        <v>28648.210019298353</v>
      </c>
      <c r="W1068" s="10">
        <v>0.70924299915755551</v>
      </c>
      <c r="X1068" s="420"/>
      <c r="Y1068" s="420"/>
      <c r="Z1068" s="1"/>
      <c r="AA1068" s="1"/>
      <c r="AB1068" s="1"/>
      <c r="AC1068" s="1"/>
      <c r="AD1068" s="1"/>
      <c r="AL1068" s="23"/>
      <c r="AM1068" s="23"/>
    </row>
    <row r="1069" spans="17:39">
      <c r="Q1069" s="6">
        <v>1039</v>
      </c>
      <c r="R1069" s="7">
        <v>43706</v>
      </c>
      <c r="S1069" s="210">
        <v>4.25</v>
      </c>
      <c r="T1069" s="8">
        <v>1.0001180555555556</v>
      </c>
      <c r="U1069" s="98">
        <v>3.8543048798322488</v>
      </c>
      <c r="V1069" s="106">
        <v>28650.517568624822</v>
      </c>
      <c r="W1069" s="10">
        <v>0.70988482505898176</v>
      </c>
      <c r="X1069" s="420"/>
      <c r="Y1069" s="420"/>
      <c r="Z1069" s="1"/>
      <c r="AA1069" s="1"/>
      <c r="AB1069" s="1"/>
      <c r="AC1069" s="1"/>
      <c r="AD1069" s="1"/>
      <c r="AL1069" s="23"/>
      <c r="AM1069" s="23"/>
    </row>
    <row r="1070" spans="17:39">
      <c r="Q1070" s="6">
        <v>1040</v>
      </c>
      <c r="R1070" s="7">
        <v>43707</v>
      </c>
      <c r="S1070" s="210">
        <v>4.25</v>
      </c>
      <c r="T1070" s="8">
        <v>1.0001180555555556</v>
      </c>
      <c r="U1070" s="98">
        <v>3.8548310348462955</v>
      </c>
      <c r="V1070" s="106">
        <v>28652.825303819234</v>
      </c>
      <c r="W1070" s="10">
        <v>0.71052542075842329</v>
      </c>
      <c r="X1070" s="420"/>
      <c r="Y1070" s="420"/>
      <c r="Z1070" s="1"/>
      <c r="AA1070" s="1"/>
      <c r="AB1070" s="1"/>
      <c r="AC1070" s="1"/>
      <c r="AD1070" s="1"/>
      <c r="AL1070" s="23"/>
      <c r="AM1070" s="23"/>
    </row>
    <row r="1071" spans="17:39">
      <c r="Q1071" s="6">
        <v>1041</v>
      </c>
      <c r="R1071" s="7">
        <v>43708</v>
      </c>
      <c r="S1071" s="210">
        <v>4.25</v>
      </c>
      <c r="T1071" s="8">
        <v>1.0001180555555556</v>
      </c>
      <c r="U1071" s="98">
        <v>3.8553561816537352</v>
      </c>
      <c r="V1071" s="106">
        <v>28655.133224896566</v>
      </c>
      <c r="W1071" s="10">
        <v>0.71116478978940911</v>
      </c>
      <c r="X1071" s="420"/>
      <c r="Y1071" s="420"/>
      <c r="Z1071" s="1"/>
      <c r="AA1071" s="1"/>
      <c r="AB1071" s="1"/>
      <c r="AC1071" s="1"/>
      <c r="AD1071" s="1"/>
      <c r="AL1071" s="23"/>
      <c r="AM1071" s="23"/>
    </row>
    <row r="1072" spans="17:39">
      <c r="Q1072" s="6">
        <v>1042</v>
      </c>
      <c r="R1072" s="7">
        <v>43709</v>
      </c>
      <c r="S1072" s="210">
        <v>4.25</v>
      </c>
      <c r="T1072" s="8">
        <v>1.0001180555555556</v>
      </c>
      <c r="U1072" s="98">
        <v>3.8558803231496297</v>
      </c>
      <c r="V1072" s="106">
        <v>28657.441331871785</v>
      </c>
      <c r="W1072" s="10">
        <v>0.71180293567196795</v>
      </c>
      <c r="X1072" s="420"/>
      <c r="Y1072" s="420"/>
      <c r="Z1072" s="1"/>
      <c r="AA1072" s="1"/>
      <c r="AB1072" s="1"/>
      <c r="AC1072" s="1"/>
      <c r="AD1072" s="1"/>
      <c r="AL1072" s="23"/>
      <c r="AM1072" s="23"/>
    </row>
    <row r="1073" spans="17:39">
      <c r="Q1073" s="6">
        <v>1043</v>
      </c>
      <c r="R1073" s="7">
        <v>43710</v>
      </c>
      <c r="S1073" s="210">
        <v>4.25</v>
      </c>
      <c r="T1073" s="8">
        <v>1.0001180555555556</v>
      </c>
      <c r="U1073" s="98">
        <v>3.8564034622180055</v>
      </c>
      <c r="V1073" s="106">
        <v>28659.749624759861</v>
      </c>
      <c r="W1073" s="10">
        <v>0.71243986191267261</v>
      </c>
      <c r="X1073" s="420"/>
      <c r="Y1073" s="420"/>
      <c r="Z1073" s="1"/>
      <c r="AA1073" s="1"/>
      <c r="AB1073" s="1"/>
      <c r="AC1073" s="1"/>
      <c r="AD1073" s="1"/>
      <c r="AL1073" s="23"/>
      <c r="AM1073" s="23"/>
    </row>
    <row r="1074" spans="17:39">
      <c r="Q1074" s="6">
        <v>1044</v>
      </c>
      <c r="R1074" s="7">
        <v>43711</v>
      </c>
      <c r="S1074" s="210">
        <v>4.25</v>
      </c>
      <c r="T1074" s="8">
        <v>1.0001180555555556</v>
      </c>
      <c r="U1074" s="98">
        <v>3.8569256017318088</v>
      </c>
      <c r="V1074" s="106">
        <v>28662.058103575775</v>
      </c>
      <c r="W1074" s="10">
        <v>0.71307557200466221</v>
      </c>
      <c r="X1074" s="420"/>
      <c r="Y1074" s="420"/>
      <c r="Z1074" s="1"/>
      <c r="AA1074" s="1"/>
      <c r="AB1074" s="1"/>
      <c r="AC1074" s="1"/>
      <c r="AD1074" s="1"/>
      <c r="AL1074" s="23"/>
      <c r="AM1074" s="23"/>
    </row>
    <row r="1075" spans="17:39">
      <c r="Q1075" s="6">
        <v>1045</v>
      </c>
      <c r="R1075" s="7">
        <v>43712</v>
      </c>
      <c r="S1075" s="210">
        <v>4.25</v>
      </c>
      <c r="T1075" s="8">
        <v>1.0001180555555556</v>
      </c>
      <c r="U1075" s="98">
        <v>3.8574467445530836</v>
      </c>
      <c r="V1075" s="106">
        <v>28664.366768334501</v>
      </c>
      <c r="W1075" s="10">
        <v>0.71371006942779758</v>
      </c>
      <c r="X1075" s="420"/>
      <c r="Y1075" s="420"/>
      <c r="Z1075" s="1"/>
      <c r="AA1075" s="1"/>
      <c r="AB1075" s="1"/>
      <c r="AC1075" s="1"/>
      <c r="AD1075" s="1"/>
      <c r="AL1075" s="23"/>
      <c r="AM1075" s="23"/>
    </row>
    <row r="1076" spans="17:39">
      <c r="Q1076" s="6">
        <v>1046</v>
      </c>
      <c r="R1076" s="7">
        <v>43713</v>
      </c>
      <c r="S1076" s="210">
        <v>4.25</v>
      </c>
      <c r="T1076" s="8">
        <v>1.0001180555555556</v>
      </c>
      <c r="U1076" s="98">
        <v>3.8579668935329048</v>
      </c>
      <c r="V1076" s="106">
        <v>28666.67561905102</v>
      </c>
      <c r="W1076" s="10">
        <v>0.7143433576486391</v>
      </c>
      <c r="X1076" s="420"/>
      <c r="Y1076" s="420"/>
      <c r="Z1076" s="1"/>
      <c r="AA1076" s="1"/>
      <c r="AB1076" s="1"/>
      <c r="AC1076" s="1"/>
      <c r="AD1076" s="1"/>
      <c r="AL1076" s="23"/>
      <c r="AM1076" s="23"/>
    </row>
    <row r="1077" spans="17:39">
      <c r="Q1077" s="6">
        <v>1047</v>
      </c>
      <c r="R1077" s="7">
        <v>43714</v>
      </c>
      <c r="S1077" s="210">
        <v>4.25</v>
      </c>
      <c r="T1077" s="8">
        <v>1.0001180555555556</v>
      </c>
      <c r="U1077" s="98">
        <v>3.8584860515115116</v>
      </c>
      <c r="V1077" s="106">
        <v>28668.984655740303</v>
      </c>
      <c r="W1077" s="10">
        <v>0.7149754401205799</v>
      </c>
      <c r="X1077" s="420"/>
      <c r="Y1077" s="420"/>
      <c r="Z1077" s="1"/>
      <c r="AA1077" s="1"/>
      <c r="AB1077" s="1"/>
      <c r="AC1077" s="1"/>
      <c r="AD1077" s="1"/>
      <c r="AL1077" s="23"/>
      <c r="AM1077" s="23"/>
    </row>
    <row r="1078" spans="17:39">
      <c r="Q1078" s="6">
        <v>1048</v>
      </c>
      <c r="R1078" s="7">
        <v>43715</v>
      </c>
      <c r="S1078" s="210">
        <v>4.25</v>
      </c>
      <c r="T1078" s="8">
        <v>1.0001180555555556</v>
      </c>
      <c r="U1078" s="98">
        <v>3.8590042213183295</v>
      </c>
      <c r="V1078" s="106">
        <v>28671.293878417335</v>
      </c>
      <c r="W1078" s="10">
        <v>0.71560632028386806</v>
      </c>
      <c r="X1078" s="420"/>
      <c r="Y1078" s="420"/>
      <c r="Z1078" s="1"/>
      <c r="AA1078" s="1"/>
      <c r="AB1078" s="1"/>
      <c r="AC1078" s="1"/>
      <c r="AD1078" s="1"/>
      <c r="AL1078" s="23"/>
      <c r="AM1078" s="23"/>
    </row>
    <row r="1079" spans="17:39">
      <c r="Q1079" s="6">
        <v>1049</v>
      </c>
      <c r="R1079" s="7">
        <v>43716</v>
      </c>
      <c r="S1079" s="210">
        <v>4.25</v>
      </c>
      <c r="T1079" s="8">
        <v>1.0001180555555556</v>
      </c>
      <c r="U1079" s="98">
        <v>3.8595214057720151</v>
      </c>
      <c r="V1079" s="106">
        <v>28673.603287097096</v>
      </c>
      <c r="W1079" s="10">
        <v>0.71623600156565104</v>
      </c>
      <c r="X1079" s="420"/>
      <c r="Y1079" s="420"/>
      <c r="Z1079" s="1"/>
      <c r="AA1079" s="1"/>
      <c r="AB1079" s="1"/>
      <c r="AC1079" s="1"/>
      <c r="AD1079" s="1"/>
      <c r="AL1079" s="23"/>
      <c r="AM1079" s="23"/>
    </row>
    <row r="1080" spans="17:39">
      <c r="Q1080" s="6">
        <v>1050</v>
      </c>
      <c r="R1080" s="7">
        <v>43717</v>
      </c>
      <c r="S1080" s="210">
        <v>4.25</v>
      </c>
      <c r="T1080" s="8">
        <v>1.0001180555555556</v>
      </c>
      <c r="U1080" s="98">
        <v>3.8600376076804999</v>
      </c>
      <c r="V1080" s="106">
        <v>28675.912881794571</v>
      </c>
      <c r="W1080" s="10">
        <v>0.71686448738008668</v>
      </c>
      <c r="X1080" s="420"/>
      <c r="Y1080" s="420"/>
      <c r="Z1080" s="1"/>
      <c r="AA1080" s="1"/>
      <c r="AB1080" s="1"/>
      <c r="AC1080" s="1"/>
      <c r="AD1080" s="1"/>
      <c r="AL1080" s="23"/>
      <c r="AM1080" s="23"/>
    </row>
    <row r="1081" spans="17:39">
      <c r="Q1081" s="6">
        <v>1051</v>
      </c>
      <c r="R1081" s="7">
        <v>43718</v>
      </c>
      <c r="S1081" s="210">
        <v>4.25</v>
      </c>
      <c r="T1081" s="8">
        <v>1.0001180555555556</v>
      </c>
      <c r="U1081" s="98">
        <v>3.8605528298411018</v>
      </c>
      <c r="V1081" s="106">
        <v>28678.299658419812</v>
      </c>
      <c r="W1081" s="10">
        <v>0.71739787161193558</v>
      </c>
      <c r="X1081" s="420"/>
      <c r="Y1081" s="420"/>
      <c r="Z1081" s="1"/>
      <c r="AA1081" s="1"/>
      <c r="AB1081" s="1"/>
      <c r="AC1081" s="1"/>
      <c r="AD1081" s="1"/>
      <c r="AL1081" s="23"/>
      <c r="AM1081" s="23"/>
    </row>
    <row r="1082" spans="17:39">
      <c r="Q1082" s="6">
        <v>1052</v>
      </c>
      <c r="R1082" s="7">
        <v>43719</v>
      </c>
      <c r="S1082" s="210">
        <v>4.25</v>
      </c>
      <c r="T1082" s="8">
        <v>1.0001180555555556</v>
      </c>
      <c r="U1082" s="98">
        <v>3.8610670750404807</v>
      </c>
      <c r="V1082" s="106">
        <v>28680.686633703168</v>
      </c>
      <c r="W1082" s="10">
        <v>0.71793024462196708</v>
      </c>
      <c r="X1082" s="420"/>
      <c r="Y1082" s="420"/>
      <c r="Z1082" s="1"/>
      <c r="AA1082" s="1"/>
      <c r="AB1082" s="1"/>
      <c r="AC1082" s="1"/>
      <c r="AD1082" s="1"/>
      <c r="AL1082" s="23"/>
      <c r="AM1082" s="23"/>
    </row>
    <row r="1083" spans="17:39">
      <c r="Q1083" s="6">
        <v>1053</v>
      </c>
      <c r="R1083" s="7">
        <v>43720</v>
      </c>
      <c r="S1083" s="210">
        <v>4.25</v>
      </c>
      <c r="T1083" s="8">
        <v>1.0001180555555556</v>
      </c>
      <c r="U1083" s="98">
        <v>3.8615803460547715</v>
      </c>
      <c r="V1083" s="106">
        <v>28683.073807661167</v>
      </c>
      <c r="W1083" s="10">
        <v>0.71846160928321634</v>
      </c>
      <c r="X1083" s="420"/>
      <c r="Y1083" s="420"/>
      <c r="Z1083" s="1"/>
      <c r="AA1083" s="1"/>
      <c r="AB1083" s="1"/>
      <c r="AC1083" s="1"/>
      <c r="AD1083" s="1"/>
      <c r="AL1083" s="23"/>
      <c r="AM1083" s="23"/>
    </row>
    <row r="1084" spans="17:39">
      <c r="Q1084" s="6">
        <v>1054</v>
      </c>
      <c r="R1084" s="7">
        <v>43721</v>
      </c>
      <c r="S1084" s="210">
        <v>4.25</v>
      </c>
      <c r="T1084" s="8">
        <v>1.0001180555555556</v>
      </c>
      <c r="U1084" s="98">
        <v>3.8620926456495841</v>
      </c>
      <c r="V1084" s="106">
        <v>28685.461180310343</v>
      </c>
      <c r="W1084" s="10">
        <v>0.71899196845774949</v>
      </c>
      <c r="X1084" s="420"/>
      <c r="Y1084" s="420"/>
      <c r="Z1084" s="1"/>
      <c r="AA1084" s="1"/>
      <c r="AB1084" s="1"/>
      <c r="AC1084" s="1"/>
      <c r="AD1084" s="1"/>
      <c r="AL1084" s="23"/>
      <c r="AM1084" s="23"/>
    </row>
    <row r="1085" spans="17:39">
      <c r="Q1085" s="6">
        <v>1055</v>
      </c>
      <c r="R1085" s="7">
        <v>43722</v>
      </c>
      <c r="S1085" s="210">
        <v>4.25</v>
      </c>
      <c r="T1085" s="8">
        <v>1.0001180555555556</v>
      </c>
      <c r="U1085" s="98">
        <v>3.8626039765800924</v>
      </c>
      <c r="V1085" s="106">
        <v>28687.848751667239</v>
      </c>
      <c r="W1085" s="10">
        <v>0.7195213249968857</v>
      </c>
      <c r="X1085" s="420"/>
      <c r="Y1085" s="420"/>
      <c r="Z1085" s="1"/>
      <c r="AA1085" s="1"/>
      <c r="AB1085" s="1"/>
      <c r="AC1085" s="1"/>
      <c r="AD1085" s="1"/>
      <c r="AL1085" s="23"/>
      <c r="AM1085" s="23"/>
    </row>
    <row r="1086" spans="17:39">
      <c r="Q1086" s="6">
        <v>1056</v>
      </c>
      <c r="R1086" s="7">
        <v>43723</v>
      </c>
      <c r="S1086" s="210">
        <v>4.25</v>
      </c>
      <c r="T1086" s="8">
        <v>1.0001180555555556</v>
      </c>
      <c r="U1086" s="98">
        <v>3.8631143415910119</v>
      </c>
      <c r="V1086" s="106">
        <v>28690.236521748393</v>
      </c>
      <c r="W1086" s="10">
        <v>0.72004968174106398</v>
      </c>
      <c r="X1086" s="420"/>
      <c r="Y1086" s="420"/>
      <c r="Z1086" s="1"/>
      <c r="AA1086" s="1"/>
      <c r="AB1086" s="1"/>
      <c r="AC1086" s="1"/>
      <c r="AD1086" s="1"/>
      <c r="AL1086" s="23"/>
      <c r="AM1086" s="23"/>
    </row>
    <row r="1087" spans="17:39">
      <c r="Q1087" s="6">
        <v>1057</v>
      </c>
      <c r="R1087" s="7">
        <v>43724</v>
      </c>
      <c r="S1087" s="210">
        <v>4.25</v>
      </c>
      <c r="T1087" s="8">
        <v>1.0001180555555556</v>
      </c>
      <c r="U1087" s="98">
        <v>3.8636237434167553</v>
      </c>
      <c r="V1087" s="106">
        <v>28692.624490570346</v>
      </c>
      <c r="W1087" s="10">
        <v>0.7205770415201318</v>
      </c>
      <c r="X1087" s="420"/>
      <c r="Y1087" s="420"/>
      <c r="Z1087" s="1"/>
      <c r="AA1087" s="1"/>
      <c r="AB1087" s="1"/>
      <c r="AC1087" s="1"/>
      <c r="AD1087" s="1"/>
      <c r="AL1087" s="23"/>
      <c r="AM1087" s="23"/>
    </row>
    <row r="1088" spans="17:39">
      <c r="Q1088" s="6">
        <v>1058</v>
      </c>
      <c r="R1088" s="7">
        <v>43725</v>
      </c>
      <c r="S1088" s="210">
        <v>4.25</v>
      </c>
      <c r="T1088" s="8">
        <v>1.0001180555555556</v>
      </c>
      <c r="U1088" s="98">
        <v>3.8641321847813881</v>
      </c>
      <c r="V1088" s="106">
        <v>28695.012658149644</v>
      </c>
      <c r="W1088" s="10">
        <v>0.72110340715314525</v>
      </c>
      <c r="X1088" s="420"/>
      <c r="Y1088" s="420"/>
      <c r="Z1088" s="1"/>
      <c r="AA1088" s="1"/>
      <c r="AB1088" s="1"/>
      <c r="AC1088" s="1"/>
      <c r="AD1088" s="1"/>
      <c r="AL1088" s="23"/>
      <c r="AM1088" s="23"/>
    </row>
    <row r="1089" spans="17:39">
      <c r="Q1089" s="6">
        <v>1059</v>
      </c>
      <c r="R1089" s="7">
        <v>43726</v>
      </c>
      <c r="S1089" s="210">
        <v>4.25</v>
      </c>
      <c r="T1089" s="8">
        <v>1.0001180555555556</v>
      </c>
      <c r="U1089" s="98">
        <v>3.8646396683987394</v>
      </c>
      <c r="V1089" s="106">
        <v>28697.401024502818</v>
      </c>
      <c r="W1089" s="10">
        <v>0.72162878144867992</v>
      </c>
      <c r="X1089" s="420"/>
      <c r="Y1089" s="420"/>
      <c r="Z1089" s="1"/>
      <c r="AA1089" s="1"/>
      <c r="AB1089" s="1"/>
      <c r="AC1089" s="1"/>
      <c r="AD1089" s="1"/>
      <c r="AL1089" s="23"/>
      <c r="AM1089" s="23"/>
    </row>
    <row r="1090" spans="17:39">
      <c r="Q1090" s="6">
        <v>1060</v>
      </c>
      <c r="R1090" s="7">
        <v>43727</v>
      </c>
      <c r="S1090" s="210">
        <v>4.25</v>
      </c>
      <c r="T1090" s="8">
        <v>1.0001180555555556</v>
      </c>
      <c r="U1090" s="98">
        <v>3.8651461969724021</v>
      </c>
      <c r="V1090" s="106">
        <v>28699.789589646422</v>
      </c>
      <c r="W1090" s="10">
        <v>0.72215316720460887</v>
      </c>
      <c r="X1090" s="420"/>
      <c r="Y1090" s="420"/>
      <c r="Z1090" s="1"/>
      <c r="AA1090" s="1"/>
      <c r="AB1090" s="1"/>
      <c r="AC1090" s="1"/>
      <c r="AD1090" s="1"/>
      <c r="AL1090" s="23"/>
      <c r="AM1090" s="23"/>
    </row>
    <row r="1091" spans="17:39">
      <c r="Q1091" s="6">
        <v>1061</v>
      </c>
      <c r="R1091" s="7">
        <v>43728</v>
      </c>
      <c r="S1091" s="210">
        <v>4.25</v>
      </c>
      <c r="T1091" s="8">
        <v>1.0001180555555556</v>
      </c>
      <c r="U1091" s="98">
        <v>3.8656517731957996</v>
      </c>
      <c r="V1091" s="106">
        <v>28702.178353597003</v>
      </c>
      <c r="W1091" s="10">
        <v>0.72267656720836904</v>
      </c>
      <c r="X1091" s="420"/>
      <c r="Y1091" s="420"/>
      <c r="Z1091" s="1"/>
      <c r="AA1091" s="1"/>
      <c r="AB1091" s="1"/>
      <c r="AC1091" s="1"/>
      <c r="AD1091" s="1"/>
      <c r="AL1091" s="23"/>
      <c r="AM1091" s="23"/>
    </row>
    <row r="1092" spans="17:39">
      <c r="Q1092" s="6">
        <v>1062</v>
      </c>
      <c r="R1092" s="7">
        <v>43729</v>
      </c>
      <c r="S1092" s="210">
        <v>4.25</v>
      </c>
      <c r="T1092" s="8">
        <v>1.0001180555555556</v>
      </c>
      <c r="U1092" s="98">
        <v>3.8661563997522519</v>
      </c>
      <c r="V1092" s="106">
        <v>28704.5673163711</v>
      </c>
      <c r="W1092" s="10">
        <v>0.72319898423689466</v>
      </c>
      <c r="X1092" s="420"/>
      <c r="Y1092" s="420"/>
      <c r="Z1092" s="1"/>
      <c r="AA1092" s="1"/>
      <c r="AB1092" s="1"/>
      <c r="AC1092" s="1"/>
      <c r="AD1092" s="1"/>
      <c r="AL1092" s="23"/>
      <c r="AM1092" s="23"/>
    </row>
    <row r="1093" spans="17:39">
      <c r="Q1093" s="6">
        <v>1063</v>
      </c>
      <c r="R1093" s="7">
        <v>43730</v>
      </c>
      <c r="S1093" s="210">
        <v>4.25</v>
      </c>
      <c r="T1093" s="8">
        <v>1.0001180555555556</v>
      </c>
      <c r="U1093" s="98">
        <v>3.8666600793150208</v>
      </c>
      <c r="V1093" s="106">
        <v>28706.956477985274</v>
      </c>
      <c r="W1093" s="10">
        <v>0.72372042105670609</v>
      </c>
      <c r="X1093" s="420"/>
      <c r="Y1093" s="420"/>
      <c r="Z1093" s="1"/>
      <c r="AA1093" s="1"/>
      <c r="AB1093" s="1"/>
      <c r="AC1093" s="1"/>
      <c r="AD1093" s="1"/>
      <c r="AL1093" s="23"/>
      <c r="AM1093" s="23"/>
    </row>
    <row r="1094" spans="17:39">
      <c r="Q1094" s="6">
        <v>1064</v>
      </c>
      <c r="R1094" s="7">
        <v>43731</v>
      </c>
      <c r="S1094" s="210">
        <v>4.25</v>
      </c>
      <c r="T1094" s="8">
        <v>1.0001180555555556</v>
      </c>
      <c r="U1094" s="98">
        <v>3.8671628145473091</v>
      </c>
      <c r="V1094" s="106">
        <v>28709.345838456058</v>
      </c>
      <c r="W1094" s="10">
        <v>0.72424088042395418</v>
      </c>
      <c r="X1094" s="420"/>
      <c r="Y1094" s="420"/>
      <c r="Z1094" s="1"/>
      <c r="AA1094" s="1"/>
      <c r="AB1094" s="1"/>
      <c r="AC1094" s="1"/>
      <c r="AD1094" s="1"/>
      <c r="AL1094" s="23"/>
      <c r="AM1094" s="23"/>
    </row>
    <row r="1095" spans="17:39">
      <c r="Q1095" s="6">
        <v>1065</v>
      </c>
      <c r="R1095" s="7">
        <v>43732</v>
      </c>
      <c r="S1095" s="210">
        <v>4.25</v>
      </c>
      <c r="T1095" s="8">
        <v>1.0001180555555556</v>
      </c>
      <c r="U1095" s="98">
        <v>3.8676646081023724</v>
      </c>
      <c r="V1095" s="106">
        <v>28711.735397800017</v>
      </c>
      <c r="W1095" s="10">
        <v>0.72476036508448693</v>
      </c>
      <c r="X1095" s="420"/>
      <c r="Y1095" s="420"/>
      <c r="Z1095" s="1"/>
      <c r="AA1095" s="1"/>
      <c r="AB1095" s="1"/>
      <c r="AC1095" s="1"/>
      <c r="AD1095" s="1"/>
      <c r="AL1095" s="23"/>
      <c r="AM1095" s="23"/>
    </row>
    <row r="1096" spans="17:39">
      <c r="Q1096" s="6">
        <v>1066</v>
      </c>
      <c r="R1096" s="7">
        <v>43733</v>
      </c>
      <c r="S1096" s="210">
        <v>4.25</v>
      </c>
      <c r="T1096" s="8">
        <v>1.0001180555555556</v>
      </c>
      <c r="U1096" s="98">
        <v>3.8681654626234963</v>
      </c>
      <c r="V1096" s="106">
        <v>28714.125156033697</v>
      </c>
      <c r="W1096" s="10">
        <v>0.72527887777380506</v>
      </c>
      <c r="X1096" s="420"/>
      <c r="Y1096" s="420"/>
      <c r="Z1096" s="1"/>
      <c r="AA1096" s="1"/>
      <c r="AB1096" s="1"/>
      <c r="AC1096" s="1"/>
      <c r="AD1096" s="1"/>
      <c r="AL1096" s="23"/>
      <c r="AM1096" s="23"/>
    </row>
    <row r="1097" spans="17:39">
      <c r="Q1097" s="6">
        <v>1067</v>
      </c>
      <c r="R1097" s="7">
        <v>43734</v>
      </c>
      <c r="S1097" s="210">
        <v>4.25</v>
      </c>
      <c r="T1097" s="8">
        <v>1.0001180555555556</v>
      </c>
      <c r="U1097" s="98">
        <v>3.8686653807441296</v>
      </c>
      <c r="V1097" s="106">
        <v>28716.515113173657</v>
      </c>
      <c r="W1097" s="10">
        <v>0.72579642121726184</v>
      </c>
      <c r="X1097" s="420"/>
      <c r="Y1097" s="420"/>
      <c r="Z1097" s="1"/>
      <c r="AA1097" s="1"/>
      <c r="AB1097" s="1"/>
      <c r="AC1097" s="1"/>
      <c r="AD1097" s="1"/>
      <c r="AL1097" s="23"/>
      <c r="AM1097" s="23"/>
    </row>
    <row r="1098" spans="17:39">
      <c r="Q1098" s="6">
        <v>1068</v>
      </c>
      <c r="R1098" s="7">
        <v>43735</v>
      </c>
      <c r="S1098" s="210">
        <v>4.25</v>
      </c>
      <c r="T1098" s="8">
        <v>1.0001180555555556</v>
      </c>
      <c r="U1098" s="98">
        <v>3.8691643650878627</v>
      </c>
      <c r="V1098" s="106">
        <v>28718.905269236453</v>
      </c>
      <c r="W1098" s="10">
        <v>0.72631299813001871</v>
      </c>
      <c r="X1098" s="420"/>
      <c r="Y1098" s="420"/>
      <c r="Z1098" s="1"/>
      <c r="AA1098" s="1"/>
      <c r="AB1098" s="1"/>
      <c r="AC1098" s="1"/>
      <c r="AD1098" s="1"/>
      <c r="AL1098" s="23"/>
      <c r="AM1098" s="23"/>
    </row>
    <row r="1099" spans="17:39">
      <c r="Q1099" s="6">
        <v>1069</v>
      </c>
      <c r="R1099" s="7">
        <v>43736</v>
      </c>
      <c r="S1099" s="210">
        <v>4.25</v>
      </c>
      <c r="T1099" s="8">
        <v>1.0001180555555556</v>
      </c>
      <c r="U1099" s="98">
        <v>3.8696624182684936</v>
      </c>
      <c r="V1099" s="106">
        <v>28721.295624238632</v>
      </c>
      <c r="W1099" s="10">
        <v>0.72682861121704523</v>
      </c>
      <c r="X1099" s="420"/>
      <c r="Y1099" s="420"/>
      <c r="Z1099" s="1"/>
      <c r="AA1099" s="1"/>
      <c r="AB1099" s="1"/>
      <c r="AC1099" s="1"/>
      <c r="AD1099" s="1"/>
      <c r="AL1099" s="23"/>
      <c r="AM1099" s="23"/>
    </row>
    <row r="1100" spans="17:39">
      <c r="Q1100" s="6">
        <v>1070</v>
      </c>
      <c r="R1100" s="7">
        <v>43737</v>
      </c>
      <c r="S1100" s="210">
        <v>4.25</v>
      </c>
      <c r="T1100" s="8">
        <v>1.0001180555555556</v>
      </c>
      <c r="U1100" s="98">
        <v>3.8701595428900726</v>
      </c>
      <c r="V1100" s="106">
        <v>28723.686178196767</v>
      </c>
      <c r="W1100" s="10">
        <v>0.72734326317331899</v>
      </c>
      <c r="X1100" s="420"/>
      <c r="Y1100" s="420"/>
      <c r="Z1100" s="1"/>
      <c r="AA1100" s="1"/>
      <c r="AB1100" s="1"/>
      <c r="AC1100" s="1"/>
      <c r="AD1100" s="1"/>
      <c r="AL1100" s="23"/>
      <c r="AM1100" s="23"/>
    </row>
    <row r="1101" spans="17:39">
      <c r="Q1101" s="6">
        <v>1071</v>
      </c>
      <c r="R1101" s="7">
        <v>43738</v>
      </c>
      <c r="S1101" s="210">
        <v>4.25</v>
      </c>
      <c r="T1101" s="8">
        <v>1.0001180555555556</v>
      </c>
      <c r="U1101" s="98">
        <v>3.8706557415469689</v>
      </c>
      <c r="V1101" s="106">
        <v>28726.076931127409</v>
      </c>
      <c r="W1101" s="10">
        <v>0.72785695668369232</v>
      </c>
      <c r="X1101" s="420"/>
      <c r="Y1101" s="420"/>
      <c r="Z1101" s="1"/>
      <c r="AA1101" s="1"/>
      <c r="AB1101" s="1"/>
      <c r="AC1101" s="1"/>
      <c r="AD1101" s="1"/>
      <c r="AL1101" s="23"/>
      <c r="AM1101" s="23"/>
    </row>
    <row r="1102" spans="17:39">
      <c r="Q1102" s="6">
        <v>1072</v>
      </c>
      <c r="R1102" s="7">
        <v>43739</v>
      </c>
      <c r="S1102" s="210">
        <v>4.25</v>
      </c>
      <c r="T1102" s="8">
        <v>1.0001180555555556</v>
      </c>
      <c r="U1102" s="98">
        <v>3.8711510168238705</v>
      </c>
      <c r="V1102" s="106">
        <v>28728.467883047113</v>
      </c>
      <c r="W1102" s="10">
        <v>0.72836969442309218</v>
      </c>
      <c r="X1102" s="420"/>
      <c r="Y1102" s="420"/>
      <c r="Z1102" s="1"/>
      <c r="AA1102" s="1"/>
      <c r="AB1102" s="1"/>
      <c r="AC1102" s="1"/>
      <c r="AD1102" s="1"/>
      <c r="AL1102" s="23"/>
      <c r="AM1102" s="23"/>
    </row>
    <row r="1103" spans="17:39">
      <c r="Q1103" s="6">
        <v>1073</v>
      </c>
      <c r="R1103" s="7">
        <v>43740</v>
      </c>
      <c r="S1103" s="210">
        <v>4.25</v>
      </c>
      <c r="T1103" s="8">
        <v>1.0001180555555556</v>
      </c>
      <c r="U1103" s="98">
        <v>3.871645371295851</v>
      </c>
      <c r="V1103" s="106">
        <v>28730.859033972454</v>
      </c>
      <c r="W1103" s="10">
        <v>0.72888147905645351</v>
      </c>
      <c r="X1103" s="420"/>
      <c r="Y1103" s="420"/>
      <c r="Z1103" s="1"/>
      <c r="AA1103" s="1"/>
      <c r="AB1103" s="1"/>
      <c r="AC1103" s="1"/>
      <c r="AD1103" s="1"/>
      <c r="AL1103" s="23"/>
      <c r="AM1103" s="23"/>
    </row>
    <row r="1104" spans="17:39">
      <c r="Q1104" s="6">
        <v>1074</v>
      </c>
      <c r="R1104" s="7">
        <v>43741</v>
      </c>
      <c r="S1104" s="210">
        <v>4.25</v>
      </c>
      <c r="T1104" s="8">
        <v>1.0001180555555556</v>
      </c>
      <c r="U1104" s="98">
        <v>3.8721388075284358</v>
      </c>
      <c r="V1104" s="106">
        <v>28733.250383919993</v>
      </c>
      <c r="W1104" s="10">
        <v>0.72939231323885245</v>
      </c>
      <c r="X1104" s="420"/>
      <c r="Y1104" s="420"/>
      <c r="Z1104" s="1"/>
      <c r="AA1104" s="1"/>
      <c r="AB1104" s="1"/>
      <c r="AC1104" s="1"/>
      <c r="AD1104" s="1"/>
      <c r="AL1104" s="23"/>
      <c r="AM1104" s="23"/>
    </row>
    <row r="1105" spans="17:39">
      <c r="Q1105" s="6">
        <v>1075</v>
      </c>
      <c r="R1105" s="7">
        <v>43742</v>
      </c>
      <c r="S1105" s="210">
        <v>4.25</v>
      </c>
      <c r="T1105" s="8">
        <v>1.0001180555555556</v>
      </c>
      <c r="U1105" s="98">
        <v>3.8726313280776248</v>
      </c>
      <c r="V1105" s="106">
        <v>28735.641932906288</v>
      </c>
      <c r="W1105" s="10">
        <v>0.72990219961546199</v>
      </c>
      <c r="X1105" s="420"/>
      <c r="Y1105" s="420"/>
      <c r="Z1105" s="1"/>
      <c r="AA1105" s="1"/>
      <c r="AB1105" s="1"/>
      <c r="AC1105" s="1"/>
      <c r="AD1105" s="1"/>
      <c r="AL1105" s="23"/>
      <c r="AM1105" s="23"/>
    </row>
    <row r="1106" spans="17:39">
      <c r="Q1106" s="6">
        <v>1076</v>
      </c>
      <c r="R1106" s="7">
        <v>43743</v>
      </c>
      <c r="S1106" s="210">
        <v>4.25</v>
      </c>
      <c r="T1106" s="8">
        <v>1.0001180555555556</v>
      </c>
      <c r="U1106" s="98">
        <v>3.8731229354899366</v>
      </c>
      <c r="V1106" s="106">
        <v>28738.033680947916</v>
      </c>
      <c r="W1106" s="10">
        <v>0.73041114082170733</v>
      </c>
      <c r="X1106" s="420"/>
      <c r="Y1106" s="420"/>
      <c r="Z1106" s="1"/>
      <c r="AA1106" s="1"/>
      <c r="AB1106" s="1"/>
      <c r="AC1106" s="1"/>
      <c r="AD1106" s="1"/>
      <c r="AL1106" s="23"/>
      <c r="AM1106" s="23"/>
    </row>
    <row r="1107" spans="17:39">
      <c r="Q1107" s="6">
        <v>1077</v>
      </c>
      <c r="R1107" s="7">
        <v>43744</v>
      </c>
      <c r="S1107" s="210">
        <v>4.25</v>
      </c>
      <c r="T1107" s="8">
        <v>1.0001180555555556</v>
      </c>
      <c r="U1107" s="98">
        <v>3.873613632302475</v>
      </c>
      <c r="V1107" s="106">
        <v>28740.425628061432</v>
      </c>
      <c r="W1107" s="10">
        <v>0.73091913948324372</v>
      </c>
      <c r="X1107" s="420"/>
      <c r="Y1107" s="420"/>
      <c r="Z1107" s="1"/>
      <c r="AA1107" s="1"/>
      <c r="AB1107" s="1"/>
      <c r="AC1107" s="1"/>
      <c r="AD1107" s="1"/>
      <c r="AL1107" s="23"/>
      <c r="AM1107" s="23"/>
    </row>
    <row r="1108" spans="17:39">
      <c r="Q1108" s="6">
        <v>1078</v>
      </c>
      <c r="R1108" s="7">
        <v>43745</v>
      </c>
      <c r="S1108" s="210">
        <v>4.25</v>
      </c>
      <c r="T1108" s="8">
        <v>1.0001180555555556</v>
      </c>
      <c r="U1108" s="98">
        <v>3.8741034210429071</v>
      </c>
      <c r="V1108" s="106">
        <v>28742.817774263411</v>
      </c>
      <c r="W1108" s="10">
        <v>0.73142619821593424</v>
      </c>
      <c r="X1108" s="420"/>
      <c r="Y1108" s="420"/>
      <c r="Z1108" s="1"/>
      <c r="AA1108" s="1"/>
      <c r="AB1108" s="1"/>
      <c r="AC1108" s="1"/>
      <c r="AD1108" s="1"/>
      <c r="AL1108" s="23"/>
      <c r="AM1108" s="23"/>
    </row>
    <row r="1109" spans="17:39">
      <c r="Q1109" s="6">
        <v>1079</v>
      </c>
      <c r="R1109" s="7">
        <v>43746</v>
      </c>
      <c r="S1109" s="210">
        <v>4.25</v>
      </c>
      <c r="T1109" s="8">
        <v>1.0001180555555556</v>
      </c>
      <c r="U1109" s="98">
        <v>3.874592304229596</v>
      </c>
      <c r="V1109" s="106">
        <v>28745.210119570434</v>
      </c>
      <c r="W1109" s="10">
        <v>0.73193231962607186</v>
      </c>
      <c r="X1109" s="420"/>
      <c r="Y1109" s="420"/>
      <c r="Z1109" s="1"/>
      <c r="AA1109" s="1"/>
      <c r="AB1109" s="1"/>
      <c r="AC1109" s="1"/>
      <c r="AD1109" s="1"/>
      <c r="AL1109" s="23"/>
      <c r="AM1109" s="23"/>
    </row>
    <row r="1110" spans="17:39">
      <c r="Q1110" s="6">
        <v>1080</v>
      </c>
      <c r="R1110" s="7">
        <v>43747</v>
      </c>
      <c r="S1110" s="210">
        <v>4.25</v>
      </c>
      <c r="T1110" s="8">
        <v>1.0001180555555556</v>
      </c>
      <c r="U1110" s="98">
        <v>3.8750802843716015</v>
      </c>
      <c r="V1110" s="106">
        <v>28747.602663999056</v>
      </c>
      <c r="W1110" s="10">
        <v>0.73243750631026838</v>
      </c>
      <c r="X1110" s="420"/>
      <c r="Y1110" s="420"/>
      <c r="Z1110" s="1"/>
      <c r="AA1110" s="1"/>
      <c r="AB1110" s="1"/>
      <c r="AC1110" s="1"/>
      <c r="AD1110" s="1"/>
      <c r="AL1110" s="23"/>
      <c r="AM1110" s="23"/>
    </row>
    <row r="1111" spans="17:39">
      <c r="Q1111" s="6">
        <v>1081</v>
      </c>
      <c r="R1111" s="7">
        <v>43748</v>
      </c>
      <c r="S1111" s="210">
        <v>4.25</v>
      </c>
      <c r="T1111" s="8">
        <v>1.0001180555555556</v>
      </c>
      <c r="U1111" s="98">
        <v>3.8755673639687016</v>
      </c>
      <c r="V1111" s="106">
        <v>28749.918219181047</v>
      </c>
      <c r="W1111" s="10">
        <v>0.73303307827730091</v>
      </c>
      <c r="X1111" s="420"/>
      <c r="Y1111" s="420"/>
      <c r="Z1111" s="1"/>
      <c r="AA1111" s="1"/>
      <c r="AB1111" s="1"/>
      <c r="AC1111" s="1"/>
      <c r="AD1111" s="1"/>
      <c r="AL1111" s="23"/>
      <c r="AM1111" s="23"/>
    </row>
    <row r="1112" spans="17:39">
      <c r="Q1112" s="6">
        <v>1082</v>
      </c>
      <c r="R1112" s="7">
        <v>43749</v>
      </c>
      <c r="S1112" s="210">
        <v>4.25</v>
      </c>
      <c r="T1112" s="8">
        <v>1.0001180555555556</v>
      </c>
      <c r="U1112" s="98">
        <v>3.8760535455114598</v>
      </c>
      <c r="V1112" s="106">
        <v>28752.233960875838</v>
      </c>
      <c r="W1112" s="10">
        <v>0.7336275528834646</v>
      </c>
      <c r="X1112" s="420"/>
      <c r="Y1112" s="420"/>
      <c r="Z1112" s="1"/>
      <c r="AA1112" s="1"/>
      <c r="AB1112" s="1"/>
      <c r="AC1112" s="1"/>
      <c r="AD1112" s="1"/>
      <c r="AL1112" s="23"/>
      <c r="AM1112" s="23"/>
    </row>
    <row r="1113" spans="17:39">
      <c r="Q1113" s="6">
        <v>1083</v>
      </c>
      <c r="R1113" s="7">
        <v>43750</v>
      </c>
      <c r="S1113" s="210">
        <v>4.25</v>
      </c>
      <c r="T1113" s="8">
        <v>1.0001180555555556</v>
      </c>
      <c r="U1113" s="98">
        <v>3.8765388314812688</v>
      </c>
      <c r="V1113" s="106">
        <v>28754.549889098445</v>
      </c>
      <c r="W1113" s="10">
        <v>0.73422093315882453</v>
      </c>
      <c r="X1113" s="420"/>
      <c r="Y1113" s="420"/>
      <c r="Z1113" s="1"/>
      <c r="AA1113" s="1"/>
      <c r="AB1113" s="1"/>
      <c r="AC1113" s="1"/>
      <c r="AD1113" s="1"/>
      <c r="AL1113" s="23"/>
      <c r="AM1113" s="23"/>
    </row>
    <row r="1114" spans="17:39">
      <c r="Q1114" s="6">
        <v>1084</v>
      </c>
      <c r="R1114" s="7">
        <v>43751</v>
      </c>
      <c r="S1114" s="210">
        <v>4.25</v>
      </c>
      <c r="T1114" s="8">
        <v>1.0001180555555556</v>
      </c>
      <c r="U1114" s="98">
        <v>3.8770232243503733</v>
      </c>
      <c r="V1114" s="106">
        <v>28756.866003863899</v>
      </c>
      <c r="W1114" s="10">
        <v>0.73481322212229916</v>
      </c>
      <c r="X1114" s="420"/>
      <c r="Y1114" s="420"/>
      <c r="Z1114" s="1"/>
      <c r="AA1114" s="1"/>
      <c r="AB1114" s="1"/>
      <c r="AC1114" s="1"/>
      <c r="AD1114" s="1"/>
      <c r="AL1114" s="23"/>
      <c r="AM1114" s="23"/>
    </row>
    <row r="1115" spans="17:39">
      <c r="Q1115" s="6">
        <v>1085</v>
      </c>
      <c r="R1115" s="7">
        <v>43752</v>
      </c>
      <c r="S1115" s="210">
        <v>4.25</v>
      </c>
      <c r="T1115" s="8">
        <v>1.0001180555555556</v>
      </c>
      <c r="U1115" s="98">
        <v>3.8775067265819585</v>
      </c>
      <c r="V1115" s="106">
        <v>28759.182305187227</v>
      </c>
      <c r="W1115" s="10">
        <v>0.73540442278174911</v>
      </c>
      <c r="X1115" s="420"/>
      <c r="Y1115" s="420"/>
      <c r="Z1115" s="1"/>
      <c r="AA1115" s="1"/>
      <c r="AB1115" s="1"/>
      <c r="AC1115" s="1"/>
      <c r="AD1115" s="1"/>
      <c r="AL1115" s="23"/>
      <c r="AM1115" s="23"/>
    </row>
    <row r="1116" spans="17:39">
      <c r="Q1116" s="6">
        <v>1086</v>
      </c>
      <c r="R1116" s="7">
        <v>43753</v>
      </c>
      <c r="S1116" s="210">
        <v>4.25</v>
      </c>
      <c r="T1116" s="8">
        <v>1.0001180555555556</v>
      </c>
      <c r="U1116" s="98">
        <v>3.8779893406301502</v>
      </c>
      <c r="V1116" s="106">
        <v>28761.498793083447</v>
      </c>
      <c r="W1116" s="10">
        <v>0.7359945381339994</v>
      </c>
      <c r="X1116" s="420"/>
      <c r="Y1116" s="420"/>
      <c r="Z1116" s="1"/>
      <c r="AA1116" s="1"/>
      <c r="AB1116" s="1"/>
      <c r="AC1116" s="1"/>
      <c r="AD1116" s="1"/>
      <c r="AL1116" s="23"/>
      <c r="AM1116" s="23"/>
    </row>
    <row r="1117" spans="17:39">
      <c r="Q1117" s="6">
        <v>1087</v>
      </c>
      <c r="R1117" s="7">
        <v>43754</v>
      </c>
      <c r="S1117" s="210">
        <v>4.25</v>
      </c>
      <c r="T1117" s="8">
        <v>1.0001180555555556</v>
      </c>
      <c r="U1117" s="98">
        <v>3.878471068940037</v>
      </c>
      <c r="V1117" s="106">
        <v>28763.815467567598</v>
      </c>
      <c r="W1117" s="10">
        <v>0.73658357116481721</v>
      </c>
      <c r="X1117" s="420"/>
      <c r="Y1117" s="420"/>
      <c r="Z1117" s="1"/>
      <c r="AA1117" s="1"/>
      <c r="AB1117" s="1"/>
      <c r="AC1117" s="1"/>
      <c r="AD1117" s="1"/>
      <c r="AL1117" s="23"/>
      <c r="AM1117" s="23"/>
    </row>
    <row r="1118" spans="17:39">
      <c r="Q1118" s="6">
        <v>1088</v>
      </c>
      <c r="R1118" s="7">
        <v>43755</v>
      </c>
      <c r="S1118" s="210">
        <v>4.25</v>
      </c>
      <c r="T1118" s="8">
        <v>1.0001180555555556</v>
      </c>
      <c r="U1118" s="98">
        <v>3.8789519139477813</v>
      </c>
      <c r="V1118" s="106">
        <v>28766.132328654709</v>
      </c>
      <c r="W1118" s="10">
        <v>0.73717152484906734</v>
      </c>
      <c r="X1118" s="420"/>
      <c r="Y1118" s="420"/>
      <c r="Z1118" s="1"/>
      <c r="AA1118" s="1"/>
      <c r="AB1118" s="1"/>
      <c r="AC1118" s="1"/>
      <c r="AD1118" s="1"/>
      <c r="AL1118" s="23"/>
      <c r="AM1118" s="23"/>
    </row>
    <row r="1119" spans="17:39">
      <c r="Q1119" s="6">
        <v>1089</v>
      </c>
      <c r="R1119" s="7">
        <v>43756</v>
      </c>
      <c r="S1119" s="210">
        <v>4.25</v>
      </c>
      <c r="T1119" s="8">
        <v>1.0001180555555556</v>
      </c>
      <c r="U1119" s="98">
        <v>3.879431878080597</v>
      </c>
      <c r="V1119" s="106">
        <v>28768.449376359797</v>
      </c>
      <c r="W1119" s="10">
        <v>0.73775840215077881</v>
      </c>
      <c r="X1119" s="420"/>
      <c r="Y1119" s="420"/>
      <c r="Z1119" s="1"/>
      <c r="AA1119" s="1"/>
      <c r="AB1119" s="1"/>
      <c r="AC1119" s="1"/>
      <c r="AD1119" s="1"/>
      <c r="AL1119" s="23"/>
      <c r="AM1119" s="23"/>
    </row>
    <row r="1120" spans="17:39">
      <c r="Q1120" s="6">
        <v>1090</v>
      </c>
      <c r="R1120" s="7">
        <v>43757</v>
      </c>
      <c r="S1120" s="210">
        <v>4.25</v>
      </c>
      <c r="T1120" s="8">
        <v>1.0001180555555556</v>
      </c>
      <c r="U1120" s="98">
        <v>3.8799109637568163</v>
      </c>
      <c r="V1120" s="106">
        <v>28770.766610697898</v>
      </c>
      <c r="W1120" s="10">
        <v>0.73834420602305606</v>
      </c>
      <c r="X1120" s="420"/>
      <c r="Y1120" s="420"/>
      <c r="Z1120" s="1"/>
      <c r="AA1120" s="1"/>
      <c r="AB1120" s="1"/>
      <c r="AC1120" s="1"/>
      <c r="AD1120" s="1"/>
      <c r="AL1120" s="23"/>
      <c r="AM1120" s="23"/>
    </row>
    <row r="1121" spans="17:39">
      <c r="Q1121" s="6">
        <v>1091</v>
      </c>
      <c r="R1121" s="7">
        <v>43758</v>
      </c>
      <c r="S1121" s="210">
        <v>4.25</v>
      </c>
      <c r="T1121" s="8">
        <v>1.0001180555555556</v>
      </c>
      <c r="U1121" s="98">
        <v>3.8803891733859119</v>
      </c>
      <c r="V1121" s="106">
        <v>28773.084031684059</v>
      </c>
      <c r="W1121" s="10">
        <v>0.73892893940818993</v>
      </c>
      <c r="X1121" s="420"/>
      <c r="Y1121" s="420"/>
      <c r="Z1121" s="1"/>
      <c r="AA1121" s="1"/>
      <c r="AB1121" s="1"/>
      <c r="AC1121" s="1"/>
      <c r="AD1121" s="1"/>
      <c r="AL1121" s="23"/>
      <c r="AM1121" s="23"/>
    </row>
    <row r="1122" spans="17:39">
      <c r="Q1122" s="6">
        <v>1092</v>
      </c>
      <c r="R1122" s="7">
        <v>43759</v>
      </c>
      <c r="S1122" s="210">
        <v>4.25</v>
      </c>
      <c r="T1122" s="8">
        <v>1.0001180555555556</v>
      </c>
      <c r="U1122" s="98">
        <v>3.8808665093685857</v>
      </c>
      <c r="V1122" s="106">
        <v>28775.401639333297</v>
      </c>
      <c r="W1122" s="10">
        <v>0.73951260523783535</v>
      </c>
      <c r="X1122" s="420"/>
      <c r="Y1122" s="420"/>
      <c r="Z1122" s="1"/>
      <c r="AA1122" s="1"/>
      <c r="AB1122" s="1"/>
      <c r="AC1122" s="1"/>
      <c r="AD1122" s="1"/>
      <c r="AL1122" s="23"/>
      <c r="AM1122" s="23"/>
    </row>
    <row r="1123" spans="17:39">
      <c r="Q1123" s="6">
        <v>1093</v>
      </c>
      <c r="R1123" s="7">
        <v>43760</v>
      </c>
      <c r="S1123" s="210">
        <v>4.25</v>
      </c>
      <c r="T1123" s="8">
        <v>1.0001180555555556</v>
      </c>
      <c r="U1123" s="98">
        <v>3.8813429740967686</v>
      </c>
      <c r="V1123" s="106">
        <v>28777.719433660659</v>
      </c>
      <c r="W1123" s="10">
        <v>0.74009520643285587</v>
      </c>
      <c r="X1123" s="420"/>
      <c r="Y1123" s="420"/>
      <c r="Z1123" s="1"/>
      <c r="AA1123" s="1"/>
      <c r="AB1123" s="1"/>
      <c r="AC1123" s="1"/>
      <c r="AD1123" s="1"/>
      <c r="AL1123" s="23"/>
      <c r="AM1123" s="23"/>
    </row>
    <row r="1124" spans="17:39">
      <c r="Q1124" s="6">
        <v>1094</v>
      </c>
      <c r="R1124" s="7">
        <v>43761</v>
      </c>
      <c r="S1124" s="210">
        <v>4.25</v>
      </c>
      <c r="T1124" s="8">
        <v>1.0001180555555556</v>
      </c>
      <c r="U1124" s="98">
        <v>3.8818185699536434</v>
      </c>
      <c r="V1124" s="106">
        <v>28780.037414681174</v>
      </c>
      <c r="W1124" s="10">
        <v>0.7406767459035235</v>
      </c>
      <c r="X1124" s="420"/>
      <c r="Y1124" s="420"/>
      <c r="Z1124" s="1"/>
      <c r="AA1124" s="1"/>
      <c r="AB1124" s="1"/>
      <c r="AC1124" s="1"/>
      <c r="AD1124" s="1"/>
      <c r="AL1124" s="23"/>
      <c r="AM1124" s="23"/>
    </row>
    <row r="1125" spans="17:39">
      <c r="Q1125" s="6">
        <v>1095</v>
      </c>
      <c r="R1125" s="7">
        <v>43762</v>
      </c>
      <c r="S1125" s="210">
        <v>4.25</v>
      </c>
      <c r="T1125" s="8">
        <v>1.0001180555555556</v>
      </c>
      <c r="U1125" s="98">
        <v>3.8822932993137327</v>
      </c>
      <c r="V1125" s="106">
        <v>28782.355582409884</v>
      </c>
      <c r="W1125" s="10">
        <v>0.74125722654947435</v>
      </c>
      <c r="X1125" s="420"/>
      <c r="Y1125" s="420"/>
      <c r="Z1125" s="1"/>
      <c r="AA1125" s="1"/>
      <c r="AB1125" s="1"/>
      <c r="AC1125" s="1"/>
      <c r="AD1125" s="1"/>
      <c r="AL1125" s="23"/>
      <c r="AM1125" s="23"/>
    </row>
    <row r="1126" spans="17:39">
      <c r="Q1126" s="6">
        <v>1096</v>
      </c>
      <c r="R1126" s="7">
        <v>43763</v>
      </c>
      <c r="S1126" s="210">
        <v>4.25</v>
      </c>
      <c r="T1126" s="8">
        <v>1.0001180555555556</v>
      </c>
      <c r="U1126" s="98">
        <v>3.8827671645428774</v>
      </c>
      <c r="V1126" s="106">
        <v>28784.673936861829</v>
      </c>
      <c r="W1126" s="10">
        <v>0.74183665125984177</v>
      </c>
      <c r="X1126" s="420"/>
      <c r="Y1126" s="420"/>
      <c r="Z1126" s="1"/>
      <c r="AA1126" s="1"/>
      <c r="AB1126" s="1"/>
      <c r="AC1126" s="1"/>
      <c r="AD1126" s="1"/>
      <c r="AL1126" s="23"/>
      <c r="AM1126" s="23"/>
    </row>
    <row r="1127" spans="17:39">
      <c r="Q1127" s="6">
        <v>1097</v>
      </c>
      <c r="R1127" s="7">
        <v>43764</v>
      </c>
      <c r="S1127" s="210">
        <v>4.25</v>
      </c>
      <c r="T1127" s="8">
        <v>1.0001180555555556</v>
      </c>
      <c r="U1127" s="98">
        <v>3.8832401679983697</v>
      </c>
      <c r="V1127" s="106">
        <v>28786.992478052045</v>
      </c>
      <c r="W1127" s="10">
        <v>0.74241502291318984</v>
      </c>
      <c r="X1127" s="420"/>
      <c r="Y1127" s="420"/>
      <c r="Z1127" s="1"/>
      <c r="AA1127" s="1"/>
      <c r="AB1127" s="1"/>
      <c r="AC1127" s="1"/>
      <c r="AD1127" s="1"/>
      <c r="AL1127" s="23"/>
      <c r="AM1127" s="23"/>
    </row>
    <row r="1128" spans="17:39">
      <c r="Q1128" s="6">
        <v>1098</v>
      </c>
      <c r="R1128" s="7">
        <v>43765</v>
      </c>
      <c r="S1128" s="210">
        <v>4.25</v>
      </c>
      <c r="T1128" s="8">
        <v>1.0001180555555556</v>
      </c>
      <c r="U1128" s="98">
        <v>3.8837123120289085</v>
      </c>
      <c r="V1128" s="106">
        <v>28789.311205995571</v>
      </c>
      <c r="W1128" s="10">
        <v>0.74299234437771311</v>
      </c>
      <c r="X1128" s="420"/>
      <c r="Y1128" s="420"/>
      <c r="Z1128" s="1"/>
      <c r="AA1128" s="1"/>
      <c r="AB1128" s="1"/>
      <c r="AC1128" s="1"/>
      <c r="AD1128" s="1"/>
      <c r="AL1128" s="23"/>
      <c r="AM1128" s="23"/>
    </row>
    <row r="1129" spans="17:39">
      <c r="Q1129" s="6">
        <v>1099</v>
      </c>
      <c r="R1129" s="7">
        <v>43766</v>
      </c>
      <c r="S1129" s="210">
        <v>4.25</v>
      </c>
      <c r="T1129" s="8">
        <v>1.0001180555555556</v>
      </c>
      <c r="U1129" s="98">
        <v>3.8841835989746443</v>
      </c>
      <c r="V1129" s="106">
        <v>28791.630120707465</v>
      </c>
      <c r="W1129" s="10">
        <v>0.74356861851112566</v>
      </c>
      <c r="X1129" s="420"/>
      <c r="Y1129" s="420"/>
      <c r="Z1129" s="1"/>
      <c r="AA1129" s="1"/>
      <c r="AB1129" s="1"/>
      <c r="AC1129" s="1"/>
      <c r="AD1129" s="1"/>
      <c r="AL1129" s="23"/>
      <c r="AM1129" s="23"/>
    </row>
    <row r="1130" spans="17:39">
      <c r="Q1130" s="6">
        <v>1100</v>
      </c>
      <c r="R1130" s="7">
        <v>43767</v>
      </c>
      <c r="S1130" s="210">
        <v>4.25</v>
      </c>
      <c r="T1130" s="8">
        <v>1.0001180555555556</v>
      </c>
      <c r="U1130" s="98">
        <v>3.8846540311672895</v>
      </c>
      <c r="V1130" s="106">
        <v>28793.949222202751</v>
      </c>
      <c r="W1130" s="10">
        <v>0.74414384816083867</v>
      </c>
      <c r="X1130" s="420"/>
      <c r="Y1130" s="420"/>
      <c r="Z1130" s="1"/>
      <c r="AA1130" s="1"/>
      <c r="AB1130" s="1"/>
      <c r="AC1130" s="1"/>
      <c r="AD1130" s="1"/>
      <c r="AL1130" s="23"/>
      <c r="AM1130" s="23"/>
    </row>
    <row r="1131" spans="17:39">
      <c r="Q1131" s="6">
        <v>1101</v>
      </c>
      <c r="R1131" s="7">
        <v>43768</v>
      </c>
      <c r="S1131" s="210">
        <v>4.25</v>
      </c>
      <c r="T1131" s="8">
        <v>1.0001180555555556</v>
      </c>
      <c r="U1131" s="98">
        <v>3.8851236109300524</v>
      </c>
      <c r="V1131" s="106">
        <v>28796.268510496477</v>
      </c>
      <c r="W1131" s="10">
        <v>0.74471803616393828</v>
      </c>
      <c r="X1131" s="420"/>
      <c r="Y1131" s="420"/>
      <c r="Z1131" s="1"/>
      <c r="AA1131" s="1"/>
      <c r="AB1131" s="1"/>
      <c r="AC1131" s="1"/>
      <c r="AD1131" s="1"/>
      <c r="AL1131" s="23"/>
      <c r="AM1131" s="23"/>
    </row>
    <row r="1132" spans="17:39">
      <c r="Q1132" s="6">
        <v>1102</v>
      </c>
      <c r="R1132" s="7">
        <v>43769</v>
      </c>
      <c r="S1132" s="210">
        <v>4.25</v>
      </c>
      <c r="T1132" s="8">
        <v>1.0001180555555556</v>
      </c>
      <c r="U1132" s="98">
        <v>3.8855923405777704</v>
      </c>
      <c r="V1132" s="106">
        <v>28798.587985603703</v>
      </c>
      <c r="W1132" s="10">
        <v>0.74529118534718553</v>
      </c>
      <c r="X1132" s="420"/>
      <c r="Y1132" s="420"/>
      <c r="Z1132" s="1"/>
      <c r="AA1132" s="1"/>
      <c r="AB1132" s="1"/>
      <c r="AC1132" s="1"/>
      <c r="AD1132" s="1"/>
      <c r="AL1132" s="23"/>
      <c r="AM1132" s="23"/>
    </row>
    <row r="1133" spans="17:39">
      <c r="Q1133" s="6">
        <v>1103</v>
      </c>
      <c r="R1133" s="7">
        <v>43770</v>
      </c>
      <c r="S1133" s="210">
        <v>4.25</v>
      </c>
      <c r="T1133" s="8">
        <v>1.0001180555555556</v>
      </c>
      <c r="U1133" s="98">
        <v>3.8860602224168872</v>
      </c>
      <c r="V1133" s="106">
        <v>28800.907647539465</v>
      </c>
      <c r="W1133" s="10">
        <v>0.74586329852721622</v>
      </c>
      <c r="X1133" s="420"/>
      <c r="Y1133" s="420"/>
      <c r="Z1133" s="1"/>
      <c r="AA1133" s="1"/>
      <c r="AB1133" s="1"/>
      <c r="AC1133" s="1"/>
      <c r="AD1133" s="1"/>
      <c r="AL1133" s="23"/>
      <c r="AM1133" s="23"/>
    </row>
    <row r="1134" spans="17:39">
      <c r="Q1134" s="6">
        <v>1104</v>
      </c>
      <c r="R1134" s="7">
        <v>43771</v>
      </c>
      <c r="S1134" s="210">
        <v>4.25</v>
      </c>
      <c r="T1134" s="8">
        <v>1.0001180555555556</v>
      </c>
      <c r="U1134" s="98">
        <v>3.886527258745498</v>
      </c>
      <c r="V1134" s="106">
        <v>28803.227496318814</v>
      </c>
      <c r="W1134" s="10">
        <v>0.74643437851040773</v>
      </c>
      <c r="X1134" s="420"/>
      <c r="Y1134" s="420"/>
      <c r="Z1134" s="1"/>
      <c r="AA1134" s="1"/>
      <c r="AB1134" s="1"/>
      <c r="AC1134" s="1"/>
      <c r="AD1134" s="1"/>
      <c r="AL1134" s="23"/>
      <c r="AM1134" s="23"/>
    </row>
    <row r="1135" spans="17:39">
      <c r="Q1135" s="6">
        <v>1105</v>
      </c>
      <c r="R1135" s="7">
        <v>43772</v>
      </c>
      <c r="S1135" s="210">
        <v>4.25</v>
      </c>
      <c r="T1135" s="8">
        <v>1.0001180555555556</v>
      </c>
      <c r="U1135" s="98">
        <v>3.8869934518534155</v>
      </c>
      <c r="V1135" s="106">
        <v>28805.5475319568</v>
      </c>
      <c r="W1135" s="10">
        <v>0.74700442809305656</v>
      </c>
      <c r="X1135" s="420"/>
      <c r="Y1135" s="420"/>
      <c r="Z1135" s="1"/>
      <c r="AA1135" s="1"/>
      <c r="AB1135" s="1"/>
      <c r="AC1135" s="1"/>
      <c r="AD1135" s="1"/>
      <c r="AL1135" s="23"/>
      <c r="AM1135" s="23"/>
    </row>
    <row r="1136" spans="17:39">
      <c r="Q1136" s="6">
        <v>1106</v>
      </c>
      <c r="R1136" s="7">
        <v>43773</v>
      </c>
      <c r="S1136" s="210">
        <v>4.25</v>
      </c>
      <c r="T1136" s="8">
        <v>1.0001180555555556</v>
      </c>
      <c r="U1136" s="98">
        <v>3.8874588040222147</v>
      </c>
      <c r="V1136" s="106">
        <v>28807.867754468476</v>
      </c>
      <c r="W1136" s="10">
        <v>0.74757345006140064</v>
      </c>
      <c r="X1136" s="420"/>
      <c r="Y1136" s="420"/>
      <c r="Z1136" s="1"/>
      <c r="AA1136" s="1"/>
      <c r="AB1136" s="1"/>
      <c r="AC1136" s="1"/>
      <c r="AD1136" s="1"/>
      <c r="AL1136" s="23"/>
      <c r="AM1136" s="23"/>
    </row>
    <row r="1137" spans="17:39">
      <c r="Q1137" s="6">
        <v>1107</v>
      </c>
      <c r="R1137" s="7">
        <v>43774</v>
      </c>
      <c r="S1137" s="210">
        <v>4.25</v>
      </c>
      <c r="T1137" s="8">
        <v>1.0001180555555556</v>
      </c>
      <c r="U1137" s="98">
        <v>3.8879233175252104</v>
      </c>
      <c r="V1137" s="106">
        <v>28810.188163868894</v>
      </c>
      <c r="W1137" s="10">
        <v>0.74814144719155262</v>
      </c>
      <c r="X1137" s="420"/>
      <c r="Y1137" s="420"/>
      <c r="Z1137" s="1"/>
      <c r="AA1137" s="1"/>
      <c r="AB1137" s="1"/>
      <c r="AC1137" s="1"/>
      <c r="AD1137" s="1"/>
      <c r="AL1137" s="23"/>
      <c r="AM1137" s="23"/>
    </row>
    <row r="1138" spans="17:39">
      <c r="Q1138" s="6">
        <v>1108</v>
      </c>
      <c r="R1138" s="7">
        <v>43775</v>
      </c>
      <c r="S1138" s="210">
        <v>4.25</v>
      </c>
      <c r="T1138" s="8">
        <v>1.0001180555555556</v>
      </c>
      <c r="U1138" s="98">
        <v>3.8883869946275462</v>
      </c>
      <c r="V1138" s="106">
        <v>28812.508760173103</v>
      </c>
      <c r="W1138" s="10">
        <v>0.74870842224976641</v>
      </c>
      <c r="X1138" s="420"/>
      <c r="Y1138" s="420"/>
      <c r="Z1138" s="1"/>
      <c r="AA1138" s="1"/>
      <c r="AB1138" s="1"/>
      <c r="AC1138" s="1"/>
      <c r="AD1138" s="1"/>
      <c r="AL1138" s="23"/>
      <c r="AM1138" s="23"/>
    </row>
    <row r="1139" spans="17:39">
      <c r="Q1139" s="6">
        <v>1109</v>
      </c>
      <c r="R1139" s="7">
        <v>43776</v>
      </c>
      <c r="S1139" s="210">
        <v>4.25</v>
      </c>
      <c r="T1139" s="8">
        <v>1.0001180555555556</v>
      </c>
      <c r="U1139" s="98">
        <v>3.8888498375862168</v>
      </c>
      <c r="V1139" s="106">
        <v>28814.829543396161</v>
      </c>
      <c r="W1139" s="10">
        <v>0.74927437799223728</v>
      </c>
      <c r="X1139" s="420"/>
      <c r="Y1139" s="420"/>
      <c r="Z1139" s="1"/>
      <c r="AA1139" s="1"/>
      <c r="AB1139" s="1"/>
      <c r="AC1139" s="1"/>
      <c r="AD1139" s="1"/>
      <c r="AL1139" s="23"/>
      <c r="AM1139" s="23"/>
    </row>
    <row r="1140" spans="17:39">
      <c r="Q1140" s="6">
        <v>1110</v>
      </c>
      <c r="R1140" s="7">
        <v>43777</v>
      </c>
      <c r="S1140" s="210">
        <v>4.25</v>
      </c>
      <c r="T1140" s="8">
        <v>1.0001180555555556</v>
      </c>
      <c r="U1140" s="98">
        <v>3.8893118486500899</v>
      </c>
      <c r="V1140" s="106">
        <v>28817.150513553126</v>
      </c>
      <c r="W1140" s="10">
        <v>0.74983931716530172</v>
      </c>
      <c r="X1140" s="420"/>
      <c r="Y1140" s="420"/>
      <c r="Z1140" s="1"/>
      <c r="AA1140" s="1"/>
      <c r="AB1140" s="1"/>
      <c r="AC1140" s="1"/>
      <c r="AD1140" s="1"/>
      <c r="AL1140" s="23"/>
      <c r="AM1140" s="23"/>
    </row>
    <row r="1141" spans="17:39">
      <c r="Q1141" s="6">
        <v>1111</v>
      </c>
      <c r="R1141" s="7">
        <v>43778</v>
      </c>
      <c r="S1141" s="210">
        <v>4.25</v>
      </c>
      <c r="T1141" s="8">
        <v>1.0001180555555556</v>
      </c>
      <c r="U1141" s="98">
        <v>3.8897730300599731</v>
      </c>
      <c r="V1141" s="106">
        <v>28819.471670659052</v>
      </c>
      <c r="W1141" s="10">
        <v>0.75040324250541524</v>
      </c>
      <c r="X1141" s="420"/>
      <c r="Y1141" s="420"/>
      <c r="Z1141" s="1"/>
      <c r="AA1141" s="1"/>
      <c r="AB1141" s="1"/>
      <c r="AC1141" s="1"/>
      <c r="AD1141" s="1"/>
      <c r="AL1141" s="23"/>
      <c r="AM1141" s="23"/>
    </row>
    <row r="1142" spans="17:39">
      <c r="Q1142" s="6">
        <v>1112</v>
      </c>
      <c r="R1142" s="7">
        <v>43779</v>
      </c>
      <c r="S1142" s="210">
        <v>4.25</v>
      </c>
      <c r="T1142" s="8">
        <v>1.0001180555555556</v>
      </c>
      <c r="U1142" s="98">
        <v>3.8902333840486358</v>
      </c>
      <c r="V1142" s="106">
        <v>28821.870396084771</v>
      </c>
      <c r="W1142" s="10">
        <v>0.75087736923225012</v>
      </c>
      <c r="X1142" s="420"/>
      <c r="Y1142" s="420"/>
      <c r="Z1142" s="1"/>
      <c r="AA1142" s="1"/>
      <c r="AB1142" s="1"/>
      <c r="AC1142" s="1"/>
      <c r="AD1142" s="1"/>
      <c r="AL1142" s="23"/>
      <c r="AM1142" s="23"/>
    </row>
    <row r="1143" spans="17:39">
      <c r="Q1143" s="6">
        <v>1113</v>
      </c>
      <c r="R1143" s="7">
        <v>43780</v>
      </c>
      <c r="S1143" s="210">
        <v>4.25</v>
      </c>
      <c r="T1143" s="8">
        <v>1.0001180555555556</v>
      </c>
      <c r="U1143" s="98">
        <v>3.8906929128408096</v>
      </c>
      <c r="V1143" s="106">
        <v>28824.269321163141</v>
      </c>
      <c r="W1143" s="10">
        <v>0.7513506462045294</v>
      </c>
      <c r="X1143" s="420"/>
      <c r="Y1143" s="420"/>
      <c r="Z1143" s="1"/>
      <c r="AA1143" s="1"/>
      <c r="AB1143" s="1"/>
      <c r="AC1143" s="1"/>
      <c r="AD1143" s="1"/>
      <c r="AL1143" s="23"/>
      <c r="AM1143" s="23"/>
    </row>
    <row r="1144" spans="17:39">
      <c r="Q1144" s="6">
        <v>1114</v>
      </c>
      <c r="R1144" s="7">
        <v>43781</v>
      </c>
      <c r="S1144" s="210">
        <v>4.25</v>
      </c>
      <c r="T1144" s="8">
        <v>1.0001180555555556</v>
      </c>
      <c r="U1144" s="98">
        <v>3.8911516186533213</v>
      </c>
      <c r="V1144" s="106">
        <v>28826.668445910767</v>
      </c>
      <c r="W1144" s="10">
        <v>0.75182307570471618</v>
      </c>
      <c r="X1144" s="420"/>
      <c r="Y1144" s="420"/>
      <c r="Z1144" s="1"/>
      <c r="AA1144" s="1"/>
      <c r="AB1144" s="1"/>
      <c r="AC1144" s="1"/>
      <c r="AD1144" s="1"/>
      <c r="AL1144" s="23"/>
      <c r="AM1144" s="23"/>
    </row>
    <row r="1145" spans="17:39">
      <c r="Q1145" s="6">
        <v>1115</v>
      </c>
      <c r="R1145" s="7">
        <v>43782</v>
      </c>
      <c r="S1145" s="210">
        <v>4.25</v>
      </c>
      <c r="T1145" s="8">
        <v>1.0001180555555556</v>
      </c>
      <c r="U1145" s="98">
        <v>3.8916095036949816</v>
      </c>
      <c r="V1145" s="106">
        <v>28829.067770344271</v>
      </c>
      <c r="W1145" s="10">
        <v>0.7522946600069913</v>
      </c>
      <c r="X1145" s="420"/>
      <c r="Y1145" s="420"/>
      <c r="Z1145" s="1"/>
      <c r="AA1145" s="1"/>
      <c r="AB1145" s="1"/>
      <c r="AC1145" s="1"/>
      <c r="AD1145" s="1"/>
      <c r="AL1145" s="23"/>
      <c r="AM1145" s="23"/>
    </row>
    <row r="1146" spans="17:39">
      <c r="Q1146" s="6">
        <v>1116</v>
      </c>
      <c r="R1146" s="7">
        <v>43783</v>
      </c>
      <c r="S1146" s="210">
        <v>4.25</v>
      </c>
      <c r="T1146" s="8">
        <v>1.0001180555555556</v>
      </c>
      <c r="U1146" s="98">
        <v>3.8920665701667634</v>
      </c>
      <c r="V1146" s="106">
        <v>28831.46729448027</v>
      </c>
      <c r="W1146" s="10">
        <v>0.75276540137749759</v>
      </c>
      <c r="X1146" s="420"/>
      <c r="Y1146" s="420"/>
      <c r="Z1146" s="1"/>
      <c r="AA1146" s="1"/>
      <c r="AB1146" s="1"/>
      <c r="AC1146" s="1"/>
      <c r="AD1146" s="1"/>
      <c r="AL1146" s="23"/>
      <c r="AM1146" s="23"/>
    </row>
    <row r="1147" spans="17:39">
      <c r="Q1147" s="6">
        <v>1117</v>
      </c>
      <c r="R1147" s="7">
        <v>43784</v>
      </c>
      <c r="S1147" s="210">
        <v>4.25</v>
      </c>
      <c r="T1147" s="8">
        <v>1.0001180555555556</v>
      </c>
      <c r="U1147" s="98">
        <v>3.892522820261779</v>
      </c>
      <c r="V1147" s="106">
        <v>28833.867018335393</v>
      </c>
      <c r="W1147" s="10">
        <v>0.75323530207427325</v>
      </c>
      <c r="X1147" s="420"/>
      <c r="Y1147" s="420"/>
      <c r="Z1147" s="1"/>
      <c r="AA1147" s="1"/>
      <c r="AB1147" s="1"/>
      <c r="AC1147" s="1"/>
      <c r="AD1147" s="1"/>
      <c r="AL1147" s="23"/>
      <c r="AM1147" s="23"/>
    </row>
    <row r="1148" spans="17:39">
      <c r="Q1148" s="6">
        <v>1118</v>
      </c>
      <c r="R1148" s="7">
        <v>43785</v>
      </c>
      <c r="S1148" s="210">
        <v>4.25</v>
      </c>
      <c r="T1148" s="8">
        <v>1.0001180555555556</v>
      </c>
      <c r="U1148" s="98">
        <v>3.8929782561652804</v>
      </c>
      <c r="V1148" s="106">
        <v>28836.26694192626</v>
      </c>
      <c r="W1148" s="10">
        <v>0.75370436434727406</v>
      </c>
      <c r="X1148" s="420"/>
      <c r="Y1148" s="420"/>
      <c r="Z1148" s="1"/>
      <c r="AA1148" s="1"/>
      <c r="AB1148" s="1"/>
      <c r="AC1148" s="1"/>
      <c r="AD1148" s="1"/>
      <c r="AL1148" s="23"/>
      <c r="AM1148" s="23"/>
    </row>
    <row r="1149" spans="17:39">
      <c r="Q1149" s="6">
        <v>1119</v>
      </c>
      <c r="R1149" s="7">
        <v>43786</v>
      </c>
      <c r="S1149" s="210">
        <v>4.25</v>
      </c>
      <c r="T1149" s="8">
        <v>1.0001180555555556</v>
      </c>
      <c r="U1149" s="98">
        <v>3.893432880054748</v>
      </c>
      <c r="V1149" s="106">
        <v>28838.667065269503</v>
      </c>
      <c r="W1149" s="10">
        <v>0.75417259043841778</v>
      </c>
      <c r="X1149" s="420"/>
      <c r="Y1149" s="420"/>
      <c r="Z1149" s="1"/>
      <c r="AA1149" s="1"/>
      <c r="AB1149" s="1"/>
      <c r="AC1149" s="1"/>
      <c r="AD1149" s="1"/>
      <c r="AL1149" s="23"/>
      <c r="AM1149" s="23"/>
    </row>
    <row r="1150" spans="17:39">
      <c r="Q1150" s="6">
        <v>1120</v>
      </c>
      <c r="R1150" s="7">
        <v>43787</v>
      </c>
      <c r="S1150" s="210">
        <v>4.25</v>
      </c>
      <c r="T1150" s="8">
        <v>1.0001180555555556</v>
      </c>
      <c r="U1150" s="98">
        <v>3.8938866940999128</v>
      </c>
      <c r="V1150" s="106">
        <v>28841.067388381733</v>
      </c>
      <c r="W1150" s="10">
        <v>0.75463998258167297</v>
      </c>
      <c r="X1150" s="420"/>
      <c r="Y1150" s="420"/>
      <c r="Z1150" s="1"/>
      <c r="AA1150" s="1"/>
      <c r="AB1150" s="1"/>
      <c r="AC1150" s="1"/>
      <c r="AD1150" s="1"/>
      <c r="AL1150" s="23"/>
      <c r="AM1150" s="23"/>
    </row>
    <row r="1151" spans="17:39">
      <c r="Q1151" s="6">
        <v>1121</v>
      </c>
      <c r="R1151" s="7">
        <v>43788</v>
      </c>
      <c r="S1151" s="210">
        <v>4.25</v>
      </c>
      <c r="T1151" s="8">
        <v>1.0001180555555556</v>
      </c>
      <c r="U1151" s="98">
        <v>3.8943397004627345</v>
      </c>
      <c r="V1151" s="106">
        <v>28843.467911279586</v>
      </c>
      <c r="W1151" s="10">
        <v>0.75510654300303681</v>
      </c>
      <c r="X1151" s="420"/>
      <c r="Y1151" s="420"/>
      <c r="Z1151" s="1"/>
      <c r="AA1151" s="1"/>
      <c r="AB1151" s="1"/>
      <c r="AC1151" s="1"/>
      <c r="AD1151" s="1"/>
      <c r="AL1151" s="23"/>
      <c r="AM1151" s="23"/>
    </row>
    <row r="1152" spans="17:39">
      <c r="Q1152" s="6">
        <v>1122</v>
      </c>
      <c r="R1152" s="7">
        <v>43789</v>
      </c>
      <c r="S1152" s="210">
        <v>4.25</v>
      </c>
      <c r="T1152" s="8">
        <v>1.0001180555555556</v>
      </c>
      <c r="U1152" s="98">
        <v>3.8947919012975563</v>
      </c>
      <c r="V1152" s="106">
        <v>28845.868633979695</v>
      </c>
      <c r="W1152" s="10">
        <v>0.75557227392062387</v>
      </c>
      <c r="X1152" s="420"/>
      <c r="Y1152" s="420"/>
      <c r="Z1152" s="1"/>
      <c r="AA1152" s="1"/>
      <c r="AB1152" s="1"/>
      <c r="AC1152" s="1"/>
      <c r="AD1152" s="1"/>
      <c r="AL1152" s="23"/>
      <c r="AM1152" s="23"/>
    </row>
    <row r="1153" spans="17:39">
      <c r="Q1153" s="6">
        <v>1123</v>
      </c>
      <c r="R1153" s="7">
        <v>43790</v>
      </c>
      <c r="S1153" s="210">
        <v>4.25</v>
      </c>
      <c r="T1153" s="8">
        <v>1.0001180555555556</v>
      </c>
      <c r="U1153" s="98">
        <v>3.8952432987510166</v>
      </c>
      <c r="V1153" s="106">
        <v>28848.269556498679</v>
      </c>
      <c r="W1153" s="10">
        <v>0.75603717754464395</v>
      </c>
      <c r="X1153" s="420"/>
      <c r="Y1153" s="420"/>
      <c r="Z1153" s="1"/>
      <c r="AA1153" s="1"/>
      <c r="AB1153" s="1"/>
      <c r="AC1153" s="1"/>
      <c r="AD1153" s="1"/>
      <c r="AL1153" s="23"/>
      <c r="AM1153" s="23"/>
    </row>
    <row r="1154" spans="17:39">
      <c r="Q1154" s="6">
        <v>1124</v>
      </c>
      <c r="R1154" s="7">
        <v>43791</v>
      </c>
      <c r="S1154" s="210">
        <v>4.25</v>
      </c>
      <c r="T1154" s="8">
        <v>1.0001180555555556</v>
      </c>
      <c r="U1154" s="98">
        <v>3.8956938949621378</v>
      </c>
      <c r="V1154" s="106">
        <v>28850.670678853181</v>
      </c>
      <c r="W1154" s="10">
        <v>0.75650125607740204</v>
      </c>
      <c r="X1154" s="420"/>
      <c r="Y1154" s="420"/>
      <c r="Z1154" s="1"/>
      <c r="AA1154" s="1"/>
      <c r="AB1154" s="1"/>
      <c r="AC1154" s="1"/>
      <c r="AD1154" s="1"/>
      <c r="AL1154" s="23"/>
      <c r="AM1154" s="23"/>
    </row>
    <row r="1155" spans="17:39">
      <c r="Q1155" s="6">
        <v>1125</v>
      </c>
      <c r="R1155" s="7">
        <v>43792</v>
      </c>
      <c r="S1155" s="210">
        <v>4.25</v>
      </c>
      <c r="T1155" s="8">
        <v>1.0001180555555556</v>
      </c>
      <c r="U1155" s="98">
        <v>3.8961436920623704</v>
      </c>
      <c r="V1155" s="106">
        <v>28853.072001059827</v>
      </c>
      <c r="W1155" s="10">
        <v>0.75696451171352042</v>
      </c>
      <c r="X1155" s="420"/>
      <c r="Y1155" s="420"/>
      <c r="Z1155" s="1"/>
      <c r="AA1155" s="1"/>
      <c r="AB1155" s="1"/>
      <c r="AC1155" s="1"/>
      <c r="AD1155" s="1"/>
      <c r="AL1155" s="23"/>
      <c r="AM1155" s="23"/>
    </row>
    <row r="1156" spans="17:39">
      <c r="Q1156" s="6">
        <v>1126</v>
      </c>
      <c r="R1156" s="7">
        <v>43793</v>
      </c>
      <c r="S1156" s="210">
        <v>4.25</v>
      </c>
      <c r="T1156" s="8">
        <v>1.0001180555555556</v>
      </c>
      <c r="U1156" s="98">
        <v>3.8965926921755933</v>
      </c>
      <c r="V1156" s="106">
        <v>28855.47352313525</v>
      </c>
      <c r="W1156" s="10">
        <v>0.75742694663971655</v>
      </c>
      <c r="X1156" s="420"/>
      <c r="Y1156" s="420"/>
      <c r="Z1156" s="1"/>
      <c r="AA1156" s="1"/>
      <c r="AB1156" s="1"/>
      <c r="AC1156" s="1"/>
      <c r="AD1156" s="1"/>
      <c r="AL1156" s="23"/>
      <c r="AM1156" s="23"/>
    </row>
    <row r="1157" spans="17:39">
      <c r="Q1157" s="6">
        <v>1127</v>
      </c>
      <c r="R1157" s="7">
        <v>43794</v>
      </c>
      <c r="S1157" s="210">
        <v>4.25</v>
      </c>
      <c r="T1157" s="8">
        <v>1.0001180555555556</v>
      </c>
      <c r="U1157" s="98">
        <v>3.8970408974181803</v>
      </c>
      <c r="V1157" s="106">
        <v>28857.875245096086</v>
      </c>
      <c r="W1157" s="10">
        <v>0.75788856303506957</v>
      </c>
      <c r="X1157" s="420"/>
      <c r="Y1157" s="420"/>
      <c r="Z1157" s="1"/>
      <c r="AA1157" s="1"/>
      <c r="AB1157" s="1"/>
      <c r="AC1157" s="1"/>
      <c r="AD1157" s="1"/>
      <c r="AL1157" s="23"/>
      <c r="AM1157" s="23"/>
    </row>
    <row r="1158" spans="17:39">
      <c r="Q1158" s="6">
        <v>1128</v>
      </c>
      <c r="R1158" s="7">
        <v>43795</v>
      </c>
      <c r="S1158" s="210">
        <v>4.25</v>
      </c>
      <c r="T1158" s="8">
        <v>1.0001180555555556</v>
      </c>
      <c r="U1158" s="98">
        <v>3.8974883098990221</v>
      </c>
      <c r="V1158" s="106">
        <v>28860.277166958978</v>
      </c>
      <c r="W1158" s="10">
        <v>0.75834936307088707</v>
      </c>
      <c r="X1158" s="420"/>
      <c r="Y1158" s="420"/>
      <c r="Z1158" s="1"/>
      <c r="AA1158" s="1"/>
      <c r="AB1158" s="1"/>
      <c r="AC1158" s="1"/>
      <c r="AD1158" s="1"/>
      <c r="AL1158" s="23"/>
      <c r="AM1158" s="23"/>
    </row>
    <row r="1159" spans="17:39">
      <c r="Q1159" s="6">
        <v>1129</v>
      </c>
      <c r="R1159" s="7">
        <v>43796</v>
      </c>
      <c r="S1159" s="210">
        <v>4.25</v>
      </c>
      <c r="T1159" s="8">
        <v>1.0001180555555556</v>
      </c>
      <c r="U1159" s="98">
        <v>3.8979349317195489</v>
      </c>
      <c r="V1159" s="106">
        <v>28862.679288740565</v>
      </c>
      <c r="W1159" s="10">
        <v>0.75880934891083829</v>
      </c>
      <c r="X1159" s="420"/>
      <c r="Y1159" s="420"/>
      <c r="Z1159" s="1"/>
      <c r="AA1159" s="1"/>
      <c r="AB1159" s="1"/>
      <c r="AC1159" s="1"/>
      <c r="AD1159" s="1"/>
      <c r="AL1159" s="23"/>
      <c r="AM1159" s="23"/>
    </row>
    <row r="1160" spans="17:39">
      <c r="Q1160" s="6">
        <v>1130</v>
      </c>
      <c r="R1160" s="7">
        <v>43797</v>
      </c>
      <c r="S1160" s="210">
        <v>4.25</v>
      </c>
      <c r="T1160" s="8">
        <v>1.0001180555555556</v>
      </c>
      <c r="U1160" s="98">
        <v>3.8983807649737523</v>
      </c>
      <c r="V1160" s="106">
        <v>28865.081610457473</v>
      </c>
      <c r="W1160" s="10">
        <v>0.75926852271093193</v>
      </c>
      <c r="X1160" s="420"/>
      <c r="Y1160" s="420"/>
      <c r="Z1160" s="1"/>
      <c r="AA1160" s="1"/>
      <c r="AB1160" s="1"/>
      <c r="AC1160" s="1"/>
      <c r="AD1160" s="1"/>
      <c r="AL1160" s="23"/>
      <c r="AM1160" s="23"/>
    </row>
    <row r="1161" spans="17:39">
      <c r="Q1161" s="6">
        <v>1131</v>
      </c>
      <c r="R1161" s="7">
        <v>43798</v>
      </c>
      <c r="S1161" s="210">
        <v>4.25</v>
      </c>
      <c r="T1161" s="8">
        <v>1.0001180555555556</v>
      </c>
      <c r="U1161" s="98">
        <v>3.8988258117482744</v>
      </c>
      <c r="V1161" s="106">
        <v>28867.484132126359</v>
      </c>
      <c r="W1161" s="10">
        <v>0.75972688661956056</v>
      </c>
      <c r="X1161" s="420"/>
      <c r="Y1161" s="420"/>
      <c r="Z1161" s="1"/>
      <c r="AA1161" s="1"/>
      <c r="AB1161" s="1"/>
      <c r="AC1161" s="1"/>
      <c r="AD1161" s="1"/>
      <c r="AL1161" s="23"/>
      <c r="AM1161" s="23"/>
    </row>
    <row r="1162" spans="17:39">
      <c r="Q1162" s="6">
        <v>1132</v>
      </c>
      <c r="R1162" s="7">
        <v>43799</v>
      </c>
      <c r="S1162" s="210">
        <v>4.25</v>
      </c>
      <c r="T1162" s="8">
        <v>1.0001180555555556</v>
      </c>
      <c r="U1162" s="98">
        <v>3.8992700741223851</v>
      </c>
      <c r="V1162" s="106">
        <v>28869.886853763863</v>
      </c>
      <c r="W1162" s="10">
        <v>0.76018444277758945</v>
      </c>
      <c r="X1162" s="420"/>
      <c r="Y1162" s="420"/>
      <c r="Z1162" s="1"/>
      <c r="AA1162" s="1"/>
      <c r="AB1162" s="1"/>
      <c r="AC1162" s="1"/>
      <c r="AD1162" s="1"/>
      <c r="AL1162" s="23"/>
      <c r="AM1162" s="23"/>
    </row>
    <row r="1163" spans="17:39">
      <c r="Q1163" s="6">
        <v>1133</v>
      </c>
      <c r="R1163" s="7">
        <v>43800</v>
      </c>
      <c r="S1163" s="210">
        <v>4.25</v>
      </c>
      <c r="T1163" s="8">
        <v>1.0001180555555556</v>
      </c>
      <c r="U1163" s="98">
        <v>3.899713554168005</v>
      </c>
      <c r="V1163" s="106">
        <v>28872.289775386613</v>
      </c>
      <c r="W1163" s="10">
        <v>0.76064119331831215</v>
      </c>
      <c r="X1163" s="420"/>
      <c r="Y1163" s="420"/>
      <c r="Z1163" s="1"/>
      <c r="AA1163" s="1"/>
      <c r="AB1163" s="1"/>
      <c r="AC1163" s="1"/>
      <c r="AD1163" s="1"/>
    </row>
    <row r="1164" spans="17:39">
      <c r="Q1164" s="6">
        <v>1134</v>
      </c>
      <c r="R1164" s="7">
        <v>43801</v>
      </c>
      <c r="S1164" s="210">
        <v>4.25</v>
      </c>
      <c r="T1164" s="8">
        <v>1.0001180555555556</v>
      </c>
      <c r="U1164" s="98">
        <v>3.9001562539498158</v>
      </c>
      <c r="V1164" s="106">
        <v>28874.692897011275</v>
      </c>
      <c r="W1164" s="10">
        <v>0.76109714036753928</v>
      </c>
      <c r="X1164" s="420"/>
      <c r="Y1164" s="420"/>
      <c r="Z1164" s="1"/>
      <c r="AA1164" s="1"/>
      <c r="AB1164" s="1"/>
      <c r="AC1164" s="1"/>
      <c r="AD1164" s="1"/>
    </row>
    <row r="1165" spans="17:39">
      <c r="Q1165" s="6">
        <v>1135</v>
      </c>
      <c r="R1165" s="7">
        <v>43802</v>
      </c>
      <c r="S1165" s="210">
        <v>4.25</v>
      </c>
      <c r="T1165" s="8">
        <v>1.0001180555555556</v>
      </c>
      <c r="U1165" s="98">
        <v>3.9005981755251939</v>
      </c>
      <c r="V1165" s="106">
        <v>28877.096218654489</v>
      </c>
      <c r="W1165" s="10">
        <v>0.76155228604357639</v>
      </c>
      <c r="X1165" s="420"/>
      <c r="Y1165" s="420"/>
      <c r="Z1165" s="1"/>
      <c r="AA1165" s="1"/>
      <c r="AB1165" s="1"/>
      <c r="AC1165" s="1"/>
      <c r="AD1165" s="1"/>
    </row>
    <row r="1166" spans="17:39">
      <c r="Q1166" s="6">
        <v>1136</v>
      </c>
      <c r="R1166" s="7">
        <v>43803</v>
      </c>
      <c r="S1166" s="210">
        <v>4.25</v>
      </c>
      <c r="T1166" s="8">
        <v>1.0001180555555556</v>
      </c>
      <c r="U1166" s="98">
        <v>3.9010393209442995</v>
      </c>
      <c r="V1166" s="106">
        <v>28879.499740332896</v>
      </c>
      <c r="W1166" s="10">
        <v>0.7620066324572905</v>
      </c>
      <c r="X1166" s="420"/>
      <c r="Y1166" s="420"/>
      <c r="Z1166" s="1"/>
      <c r="AA1166" s="1"/>
      <c r="AB1166" s="1"/>
      <c r="AC1166" s="1"/>
      <c r="AD1166" s="1"/>
    </row>
    <row r="1167" spans="17:39">
      <c r="Q1167" s="6">
        <v>1137</v>
      </c>
      <c r="R1167" s="7">
        <v>43804</v>
      </c>
      <c r="S1167" s="210">
        <v>4.25</v>
      </c>
      <c r="T1167" s="8">
        <v>1.0001180555555556</v>
      </c>
      <c r="U1167" s="98">
        <v>3.9014796922501205</v>
      </c>
      <c r="V1167" s="106">
        <v>28881.903462063157</v>
      </c>
      <c r="W1167" s="10">
        <v>0.76246018171219898</v>
      </c>
      <c r="X1167" s="420"/>
      <c r="Y1167" s="420"/>
      <c r="Z1167" s="1"/>
      <c r="AA1167" s="1"/>
      <c r="AB1167" s="1"/>
      <c r="AC1167" s="1"/>
      <c r="AD1167" s="1"/>
    </row>
    <row r="1168" spans="17:39">
      <c r="Q1168" s="6">
        <v>1138</v>
      </c>
      <c r="R1168" s="7">
        <v>43805</v>
      </c>
      <c r="S1168" s="210">
        <v>4.25</v>
      </c>
      <c r="T1168" s="8">
        <v>1.0001180555555556</v>
      </c>
      <c r="U1168" s="98">
        <v>3.9019192914784506</v>
      </c>
      <c r="V1168" s="106">
        <v>28884.307383861909</v>
      </c>
      <c r="W1168" s="10">
        <v>0.76291293590435849</v>
      </c>
      <c r="X1168" s="420"/>
      <c r="Y1168" s="420"/>
      <c r="Z1168" s="1"/>
      <c r="AA1168" s="1"/>
      <c r="AB1168" s="1"/>
      <c r="AC1168" s="1"/>
      <c r="AD1168" s="1"/>
    </row>
    <row r="1169" spans="17:30">
      <c r="Q1169" s="6">
        <v>1139</v>
      </c>
      <c r="R1169" s="7">
        <v>43806</v>
      </c>
      <c r="S1169" s="210">
        <v>4.25</v>
      </c>
      <c r="T1169" s="8">
        <v>1.0001180555555556</v>
      </c>
      <c r="U1169" s="98">
        <v>3.9023581206579783</v>
      </c>
      <c r="V1169" s="106">
        <v>28886.711505745814</v>
      </c>
      <c r="W1169" s="10">
        <v>0.76336489712254263</v>
      </c>
      <c r="X1169" s="420"/>
      <c r="Y1169" s="420"/>
      <c r="Z1169" s="1"/>
      <c r="AA1169" s="1"/>
      <c r="AB1169" s="1"/>
      <c r="AC1169" s="1"/>
      <c r="AD1169" s="1"/>
    </row>
    <row r="1170" spans="17:30">
      <c r="Q1170" s="6">
        <v>1140</v>
      </c>
      <c r="R1170" s="7">
        <v>43807</v>
      </c>
      <c r="S1170" s="210">
        <v>4.25</v>
      </c>
      <c r="T1170" s="8">
        <v>1.0001180555555556</v>
      </c>
      <c r="U1170" s="98">
        <v>3.9027961818102641</v>
      </c>
      <c r="V1170" s="106">
        <v>28889.11582773153</v>
      </c>
      <c r="W1170" s="10">
        <v>0.76381606744819752</v>
      </c>
      <c r="X1170" s="420"/>
      <c r="Y1170" s="420"/>
      <c r="Z1170" s="1"/>
      <c r="AA1170" s="1"/>
      <c r="AB1170" s="1"/>
      <c r="AC1170" s="1"/>
      <c r="AD1170" s="1"/>
    </row>
    <row r="1171" spans="17:30">
      <c r="Q1171" s="6">
        <v>1141</v>
      </c>
      <c r="R1171" s="7">
        <v>43808</v>
      </c>
      <c r="S1171" s="210">
        <v>4.25</v>
      </c>
      <c r="T1171" s="8">
        <v>1.0001180555555556</v>
      </c>
      <c r="U1171" s="98">
        <v>3.9032334769498078</v>
      </c>
      <c r="V1171" s="106">
        <v>28891.520349835697</v>
      </c>
      <c r="W1171" s="10">
        <v>0.76426644895550844</v>
      </c>
      <c r="X1171" s="420"/>
      <c r="Y1171" s="420"/>
      <c r="Z1171" s="1"/>
      <c r="AA1171" s="1"/>
      <c r="AB1171" s="1"/>
      <c r="AC1171" s="1"/>
      <c r="AD1171" s="1"/>
    </row>
    <row r="1172" spans="17:30">
      <c r="Q1172" s="6">
        <v>1142</v>
      </c>
      <c r="R1172" s="7">
        <v>43809</v>
      </c>
      <c r="S1172" s="210">
        <v>4.25</v>
      </c>
      <c r="T1172" s="8">
        <v>1.0001180555555556</v>
      </c>
      <c r="U1172" s="98">
        <v>3.9036700080840925</v>
      </c>
      <c r="V1172" s="106">
        <v>28893.847497265815</v>
      </c>
      <c r="W1172" s="10">
        <v>0.76480251067108096</v>
      </c>
      <c r="X1172" s="420"/>
      <c r="Y1172" s="420"/>
      <c r="Z1172" s="1"/>
      <c r="AA1172" s="1"/>
      <c r="AB1172" s="1"/>
      <c r="AC1172" s="1"/>
      <c r="AD1172" s="1"/>
    </row>
    <row r="1173" spans="17:30">
      <c r="Q1173" s="6">
        <v>1143</v>
      </c>
      <c r="R1173" s="7">
        <v>43810</v>
      </c>
      <c r="S1173" s="210">
        <v>4.25</v>
      </c>
      <c r="T1173" s="8">
        <v>1.0001180555555556</v>
      </c>
      <c r="U1173" s="98">
        <v>3.9041057772135623</v>
      </c>
      <c r="V1173" s="106">
        <v>28896.174832142467</v>
      </c>
      <c r="W1173" s="10">
        <v>0.76533763724024872</v>
      </c>
      <c r="X1173" s="420"/>
      <c r="Y1173" s="420"/>
      <c r="Z1173" s="1"/>
      <c r="AA1173" s="1"/>
      <c r="AB1173" s="1"/>
      <c r="AC1173" s="1"/>
      <c r="AD1173" s="1"/>
    </row>
    <row r="1174" spans="17:30">
      <c r="Q1174" s="6">
        <v>1144</v>
      </c>
      <c r="R1174" s="7">
        <v>43811</v>
      </c>
      <c r="S1174" s="210">
        <v>4.25</v>
      </c>
      <c r="T1174" s="8">
        <v>1.0001180555555556</v>
      </c>
      <c r="U1174" s="98">
        <v>3.9045407863317116</v>
      </c>
      <c r="V1174" s="106">
        <v>28898.502354480741</v>
      </c>
      <c r="W1174" s="10">
        <v>0.76587183110790047</v>
      </c>
      <c r="X1174" s="420"/>
      <c r="Y1174" s="420"/>
      <c r="Z1174" s="1"/>
      <c r="AA1174" s="1"/>
      <c r="AB1174" s="1"/>
      <c r="AC1174" s="1"/>
      <c r="AD1174" s="1"/>
    </row>
    <row r="1175" spans="17:30">
      <c r="Q1175" s="6">
        <v>1145</v>
      </c>
      <c r="R1175" s="7">
        <v>43812</v>
      </c>
      <c r="S1175" s="210">
        <v>4.25</v>
      </c>
      <c r="T1175" s="8">
        <v>1.0001180555555556</v>
      </c>
      <c r="U1175" s="98">
        <v>3.9049750374250625</v>
      </c>
      <c r="V1175" s="106">
        <v>28900.830064295737</v>
      </c>
      <c r="W1175" s="10">
        <v>0.76640509471035401</v>
      </c>
      <c r="X1175" s="420"/>
      <c r="Y1175" s="420"/>
      <c r="Z1175" s="1"/>
      <c r="AA1175" s="1"/>
      <c r="AB1175" s="1"/>
      <c r="AC1175" s="1"/>
      <c r="AD1175" s="1"/>
    </row>
    <row r="1176" spans="17:30">
      <c r="Q1176" s="6">
        <v>1146</v>
      </c>
      <c r="R1176" s="7">
        <v>43813</v>
      </c>
      <c r="S1176" s="210">
        <v>4.25</v>
      </c>
      <c r="T1176" s="8">
        <v>1.0001180555555556</v>
      </c>
      <c r="U1176" s="98">
        <v>3.9054085324732313</v>
      </c>
      <c r="V1176" s="106">
        <v>28903.157961602563</v>
      </c>
      <c r="W1176" s="10">
        <v>0.76693743047548946</v>
      </c>
      <c r="X1176" s="420"/>
      <c r="Y1176" s="420"/>
      <c r="Z1176" s="1"/>
      <c r="AA1176" s="1"/>
      <c r="AB1176" s="1"/>
      <c r="AC1176" s="1"/>
      <c r="AD1176" s="1"/>
    </row>
    <row r="1177" spans="17:30">
      <c r="Q1177" s="6">
        <v>1147</v>
      </c>
      <c r="R1177" s="7">
        <v>43814</v>
      </c>
      <c r="S1177" s="210">
        <v>4.25</v>
      </c>
      <c r="T1177" s="8">
        <v>1.0001180555555556</v>
      </c>
      <c r="U1177" s="98">
        <v>3.9058412734489512</v>
      </c>
      <c r="V1177" s="106">
        <v>28905.486046416318</v>
      </c>
      <c r="W1177" s="10">
        <v>0.76746884082277145</v>
      </c>
      <c r="X1177" s="420"/>
      <c r="Y1177" s="420"/>
      <c r="Z1177" s="1"/>
      <c r="AA1177" s="1"/>
      <c r="AB1177" s="1"/>
      <c r="AC1177" s="1"/>
      <c r="AD1177" s="1"/>
    </row>
    <row r="1178" spans="17:30">
      <c r="Q1178" s="6">
        <v>1148</v>
      </c>
      <c r="R1178" s="7">
        <v>43815</v>
      </c>
      <c r="S1178" s="210">
        <v>4.25</v>
      </c>
      <c r="T1178" s="8">
        <v>1.0001180555555556</v>
      </c>
      <c r="U1178" s="98">
        <v>3.9062732623180718</v>
      </c>
      <c r="V1178" s="106">
        <v>28907.814318752102</v>
      </c>
      <c r="W1178" s="10">
        <v>0.7679993281631825</v>
      </c>
      <c r="X1178" s="420"/>
      <c r="Y1178" s="420"/>
      <c r="Z1178" s="1"/>
      <c r="AA1178" s="1"/>
      <c r="AB1178" s="1"/>
      <c r="AC1178" s="1"/>
      <c r="AD1178" s="1"/>
    </row>
    <row r="1179" spans="17:30">
      <c r="Q1179" s="6">
        <v>1149</v>
      </c>
      <c r="R1179" s="7">
        <v>43816</v>
      </c>
      <c r="S1179" s="210">
        <v>4.25</v>
      </c>
      <c r="T1179" s="8">
        <v>1.0001180555555556</v>
      </c>
      <c r="U1179" s="98">
        <v>3.9067045010396706</v>
      </c>
      <c r="V1179" s="106">
        <v>28910.142778625031</v>
      </c>
      <c r="W1179" s="10">
        <v>0.76852889489944509</v>
      </c>
      <c r="X1179" s="420"/>
      <c r="Y1179" s="420"/>
      <c r="Z1179" s="1"/>
      <c r="AA1179" s="1"/>
      <c r="AB1179" s="1"/>
      <c r="AC1179" s="1"/>
      <c r="AD1179" s="1"/>
    </row>
    <row r="1180" spans="17:30">
      <c r="Q1180" s="6">
        <v>1150</v>
      </c>
      <c r="R1180" s="7">
        <v>43817</v>
      </c>
      <c r="S1180" s="210">
        <v>4.25</v>
      </c>
      <c r="T1180" s="8">
        <v>1.0001180555555556</v>
      </c>
      <c r="U1180" s="98">
        <v>3.9071349915659637</v>
      </c>
      <c r="V1180" s="106">
        <v>28912.471426050193</v>
      </c>
      <c r="W1180" s="10">
        <v>0.76905754342584398</v>
      </c>
      <c r="X1180" s="420"/>
      <c r="Y1180" s="420"/>
      <c r="Z1180" s="1"/>
      <c r="AA1180" s="1"/>
      <c r="AB1180" s="1"/>
      <c r="AC1180" s="1"/>
      <c r="AD1180" s="1"/>
    </row>
    <row r="1181" spans="17:30">
      <c r="Q1181" s="6">
        <v>1151</v>
      </c>
      <c r="R1181" s="7">
        <v>43818</v>
      </c>
      <c r="S1181" s="210">
        <v>4.25</v>
      </c>
      <c r="T1181" s="8">
        <v>1.0001180555555556</v>
      </c>
      <c r="U1181" s="98">
        <v>3.9075647358424392</v>
      </c>
      <c r="V1181" s="106">
        <v>28914.800261042703</v>
      </c>
      <c r="W1181" s="10">
        <v>0.76958527612842609</v>
      </c>
      <c r="X1181" s="420"/>
      <c r="Y1181" s="420"/>
      <c r="Z1181" s="1"/>
      <c r="AA1181" s="1"/>
      <c r="AB1181" s="1"/>
      <c r="AC1181" s="1"/>
      <c r="AD1181" s="1"/>
    </row>
    <row r="1182" spans="17:30">
      <c r="Q1182" s="6">
        <v>1152</v>
      </c>
      <c r="R1182" s="7">
        <v>43819</v>
      </c>
      <c r="S1182" s="210">
        <v>4.25</v>
      </c>
      <c r="T1182" s="8">
        <v>1.0001180555555556</v>
      </c>
      <c r="U1182" s="98">
        <v>3.9079937358078354</v>
      </c>
      <c r="V1182" s="106">
        <v>28917.129283617673</v>
      </c>
      <c r="W1182" s="10">
        <v>0.77011209538497827</v>
      </c>
      <c r="X1182" s="420"/>
      <c r="Y1182" s="420"/>
      <c r="Z1182" s="1"/>
      <c r="AA1182" s="1"/>
      <c r="AB1182" s="1"/>
      <c r="AC1182" s="1"/>
      <c r="AD1182" s="1"/>
    </row>
    <row r="1183" spans="17:30">
      <c r="Q1183" s="6">
        <v>1153</v>
      </c>
      <c r="R1183" s="7">
        <v>43820</v>
      </c>
      <c r="S1183" s="210">
        <v>4.25</v>
      </c>
      <c r="T1183" s="8">
        <v>1.0001180555555556</v>
      </c>
      <c r="U1183" s="98">
        <v>3.9084219933941844</v>
      </c>
      <c r="V1183" s="106">
        <v>28919.458493790204</v>
      </c>
      <c r="W1183" s="10">
        <v>0.77063800356507173</v>
      </c>
      <c r="X1183" s="420"/>
      <c r="Y1183" s="420"/>
      <c r="Z1183" s="1"/>
      <c r="AA1183" s="1"/>
      <c r="AB1183" s="1"/>
      <c r="AC1183" s="1"/>
      <c r="AD1183" s="1"/>
    </row>
    <row r="1184" spans="17:30">
      <c r="Q1184" s="6">
        <v>1154</v>
      </c>
      <c r="R1184" s="7">
        <v>43821</v>
      </c>
      <c r="S1184" s="210">
        <v>4.25</v>
      </c>
      <c r="T1184" s="8">
        <v>1.0001180555555556</v>
      </c>
      <c r="U1184" s="98">
        <v>3.9088495105268128</v>
      </c>
      <c r="V1184" s="106">
        <v>28921.787891575419</v>
      </c>
      <c r="W1184" s="10">
        <v>0.77116300302999541</v>
      </c>
      <c r="X1184" s="420"/>
      <c r="Y1184" s="420"/>
      <c r="Z1184" s="1"/>
      <c r="AA1184" s="1"/>
      <c r="AB1184" s="1"/>
      <c r="AC1184" s="1"/>
      <c r="AD1184" s="1"/>
    </row>
    <row r="1185" spans="17:30">
      <c r="Q1185" s="6">
        <v>1155</v>
      </c>
      <c r="R1185" s="7">
        <v>43822</v>
      </c>
      <c r="S1185" s="210">
        <v>4.25</v>
      </c>
      <c r="T1185" s="8">
        <v>1.0001180555555556</v>
      </c>
      <c r="U1185" s="98">
        <v>3.9092762891244304</v>
      </c>
      <c r="V1185" s="106">
        <v>28924.117476988416</v>
      </c>
      <c r="W1185" s="10">
        <v>0.77168709613302244</v>
      </c>
      <c r="X1185" s="420"/>
      <c r="Y1185" s="420"/>
      <c r="Z1185" s="1"/>
      <c r="AA1185" s="1"/>
      <c r="AB1185" s="1"/>
      <c r="AC1185" s="1"/>
      <c r="AD1185" s="1"/>
    </row>
    <row r="1186" spans="17:30">
      <c r="Q1186" s="6">
        <v>1156</v>
      </c>
      <c r="R1186" s="7">
        <v>43823</v>
      </c>
      <c r="S1186" s="210">
        <v>4.25</v>
      </c>
      <c r="T1186" s="8">
        <v>1.0001180555555556</v>
      </c>
      <c r="U1186" s="98">
        <v>3.9097023310991075</v>
      </c>
      <c r="V1186" s="106">
        <v>28926.447250044319</v>
      </c>
      <c r="W1186" s="10">
        <v>0.77221028521921031</v>
      </c>
      <c r="X1186" s="420"/>
      <c r="Y1186" s="420"/>
      <c r="Z1186" s="1"/>
      <c r="AA1186" s="1"/>
      <c r="AB1186" s="1"/>
      <c r="AC1186" s="1"/>
      <c r="AD1186" s="1"/>
    </row>
    <row r="1187" spans="17:30">
      <c r="Q1187" s="6">
        <v>1157</v>
      </c>
      <c r="R1187" s="7">
        <v>43824</v>
      </c>
      <c r="S1187" s="210">
        <v>4.25</v>
      </c>
      <c r="T1187" s="8">
        <v>1.0001180555555556</v>
      </c>
      <c r="U1187" s="98">
        <v>3.9101276383563199</v>
      </c>
      <c r="V1187" s="106">
        <v>28928.777210758239</v>
      </c>
      <c r="W1187" s="10">
        <v>0.77273257262557848</v>
      </c>
      <c r="X1187" s="420"/>
      <c r="Y1187" s="420"/>
      <c r="Z1187" s="1"/>
      <c r="AA1187" s="1"/>
      <c r="AB1187" s="1"/>
      <c r="AC1187" s="1"/>
      <c r="AD1187" s="1"/>
    </row>
    <row r="1188" spans="17:30">
      <c r="Q1188" s="6">
        <v>1158</v>
      </c>
      <c r="R1188" s="7">
        <v>43825</v>
      </c>
      <c r="S1188" s="210">
        <v>4.25</v>
      </c>
      <c r="T1188" s="8">
        <v>1.0001180555555556</v>
      </c>
      <c r="U1188" s="98">
        <v>3.9105522127949932</v>
      </c>
      <c r="V1188" s="106">
        <v>28931.107359145288</v>
      </c>
      <c r="W1188" s="10">
        <v>0.77325396068110841</v>
      </c>
      <c r="X1188" s="420"/>
      <c r="Y1188" s="420"/>
      <c r="Z1188" s="1"/>
      <c r="AA1188" s="1"/>
      <c r="AB1188" s="1"/>
      <c r="AC1188" s="1"/>
      <c r="AD1188" s="1"/>
    </row>
    <row r="1189" spans="17:30">
      <c r="Q1189" s="6">
        <v>1159</v>
      </c>
      <c r="R1189" s="7">
        <v>43826</v>
      </c>
      <c r="S1189" s="210">
        <v>4.25</v>
      </c>
      <c r="T1189" s="8">
        <v>1.0001180555555556</v>
      </c>
      <c r="U1189" s="98">
        <v>3.9109760563074802</v>
      </c>
      <c r="V1189" s="106">
        <v>28933.437695220582</v>
      </c>
      <c r="W1189" s="10">
        <v>0.77377445170672132</v>
      </c>
      <c r="X1189" s="420"/>
      <c r="Y1189" s="420"/>
      <c r="Z1189" s="1"/>
      <c r="AA1189" s="1"/>
      <c r="AB1189" s="1"/>
      <c r="AC1189" s="1"/>
      <c r="AD1189" s="1"/>
    </row>
    <row r="1190" spans="17:30">
      <c r="Q1190" s="6">
        <v>1160</v>
      </c>
      <c r="R1190" s="7">
        <v>43827</v>
      </c>
      <c r="S1190" s="210">
        <v>4.25</v>
      </c>
      <c r="T1190" s="8">
        <v>1.0001180555555556</v>
      </c>
      <c r="U1190" s="98">
        <v>3.9113991707796503</v>
      </c>
      <c r="V1190" s="106">
        <v>28935.768218999252</v>
      </c>
      <c r="W1190" s="10">
        <v>0.77429404801536705</v>
      </c>
      <c r="X1190" s="420"/>
      <c r="Y1190" s="420"/>
      <c r="Z1190" s="1"/>
      <c r="AA1190" s="1"/>
      <c r="AB1190" s="1"/>
      <c r="AC1190" s="1"/>
      <c r="AD1190" s="1"/>
    </row>
    <row r="1191" spans="17:30">
      <c r="Q1191" s="6">
        <v>1161</v>
      </c>
      <c r="R1191" s="7">
        <v>43828</v>
      </c>
      <c r="S1191" s="210">
        <v>4.25</v>
      </c>
      <c r="T1191" s="8">
        <v>1.0001180555555556</v>
      </c>
      <c r="U1191" s="98">
        <v>3.9118215580908666</v>
      </c>
      <c r="V1191" s="106">
        <v>28938.098930496399</v>
      </c>
      <c r="W1191" s="10">
        <v>0.77481275191209065</v>
      </c>
      <c r="X1191" s="420"/>
      <c r="Y1191" s="420"/>
      <c r="Z1191" s="1"/>
      <c r="AA1191" s="1"/>
      <c r="AB1191" s="1"/>
      <c r="AC1191" s="1"/>
      <c r="AD1191" s="1"/>
    </row>
    <row r="1192" spans="17:30">
      <c r="Q1192" s="6">
        <v>1162</v>
      </c>
      <c r="R1192" s="7">
        <v>43829</v>
      </c>
      <c r="S1192" s="210">
        <v>4.25</v>
      </c>
      <c r="T1192" s="8">
        <v>1.0001180555555556</v>
      </c>
      <c r="U1192" s="98">
        <v>3.9122432201140755</v>
      </c>
      <c r="V1192" s="106">
        <v>28940.429829727145</v>
      </c>
      <c r="W1192" s="10">
        <v>0.77533056569401015</v>
      </c>
      <c r="X1192" s="420"/>
      <c r="Y1192" s="420"/>
      <c r="Z1192" s="1"/>
      <c r="AA1192" s="1"/>
      <c r="AB1192" s="1"/>
      <c r="AC1192" s="1"/>
      <c r="AD1192" s="1"/>
    </row>
    <row r="1193" spans="17:30">
      <c r="Q1193" s="6">
        <v>1163</v>
      </c>
      <c r="R1193" s="7">
        <v>43830</v>
      </c>
      <c r="S1193" s="210">
        <v>4.25</v>
      </c>
      <c r="T1193" s="8">
        <v>1.0001180555555556</v>
      </c>
      <c r="U1193" s="98">
        <v>3.9126641587157618</v>
      </c>
      <c r="V1193" s="106">
        <v>28942.760916706626</v>
      </c>
      <c r="W1193" s="10">
        <v>0.77584749165031663</v>
      </c>
      <c r="X1193" s="420"/>
      <c r="Y1193" s="420"/>
      <c r="Z1193" s="1"/>
      <c r="AA1193" s="1"/>
      <c r="AB1193" s="1"/>
      <c r="AC1193" s="1"/>
      <c r="AD1193" s="1"/>
    </row>
    <row r="1194" spans="17:30">
      <c r="Q1194" s="6">
        <v>1164</v>
      </c>
      <c r="R1194" s="7">
        <v>43831</v>
      </c>
      <c r="S1194" s="210">
        <v>4.25</v>
      </c>
      <c r="T1194" s="8">
        <v>1.0001180555555556</v>
      </c>
      <c r="U1194" s="98">
        <v>3.9130843757560596</v>
      </c>
      <c r="V1194" s="106">
        <v>28945.092191449956</v>
      </c>
      <c r="W1194" s="10">
        <v>0.77636353206247399</v>
      </c>
      <c r="X1194" s="420"/>
      <c r="Y1194" s="420"/>
      <c r="Z1194" s="1"/>
      <c r="AA1194" s="1"/>
      <c r="AB1194" s="1"/>
      <c r="AC1194" s="1"/>
      <c r="AD1194" s="1"/>
    </row>
    <row r="1195" spans="17:30">
      <c r="Q1195" s="6">
        <v>1165</v>
      </c>
      <c r="R1195" s="7">
        <v>43832</v>
      </c>
      <c r="S1195" s="210">
        <v>4.25</v>
      </c>
      <c r="T1195" s="8">
        <v>1.0001180555555556</v>
      </c>
      <c r="U1195" s="98">
        <v>3.913503873088664</v>
      </c>
      <c r="V1195" s="106">
        <v>28947.423653972255</v>
      </c>
      <c r="W1195" s="10">
        <v>0.77687868920399694</v>
      </c>
      <c r="X1195" s="420"/>
      <c r="Y1195" s="420"/>
      <c r="Z1195" s="1"/>
      <c r="AA1195" s="1"/>
      <c r="AB1195" s="1"/>
      <c r="AC1195" s="1"/>
      <c r="AD1195" s="1"/>
    </row>
    <row r="1196" spans="17:30">
      <c r="Q1196" s="6">
        <v>1166</v>
      </c>
      <c r="R1196" s="7">
        <v>43833</v>
      </c>
      <c r="S1196" s="210">
        <v>4.25</v>
      </c>
      <c r="T1196" s="8">
        <v>1.0001180555555556</v>
      </c>
      <c r="U1196" s="98">
        <v>3.9139226525609638</v>
      </c>
      <c r="V1196" s="106">
        <v>28949.755304288654</v>
      </c>
      <c r="W1196" s="10">
        <v>0.77739296534071745</v>
      </c>
      <c r="X1196" s="420"/>
      <c r="Y1196" s="420"/>
      <c r="Z1196" s="1"/>
      <c r="AA1196" s="1"/>
      <c r="AB1196" s="1"/>
      <c r="AC1196" s="1"/>
      <c r="AD1196" s="1"/>
    </row>
    <row r="1197" spans="17:30">
      <c r="Q1197" s="6">
        <v>1167</v>
      </c>
      <c r="R1197" s="7">
        <v>43834</v>
      </c>
      <c r="S1197" s="210">
        <v>4.25</v>
      </c>
      <c r="T1197" s="8">
        <v>1.0001180555555556</v>
      </c>
      <c r="U1197" s="98">
        <v>3.914340716014042</v>
      </c>
      <c r="V1197" s="106">
        <v>28952.087142414279</v>
      </c>
      <c r="W1197" s="10">
        <v>0.77790636273069591</v>
      </c>
      <c r="X1197" s="420"/>
      <c r="Y1197" s="420"/>
      <c r="Z1197" s="1"/>
      <c r="AA1197" s="1"/>
      <c r="AB1197" s="1"/>
      <c r="AC1197" s="1"/>
      <c r="AD1197" s="1"/>
    </row>
    <row r="1198" spans="17:30">
      <c r="Q1198" s="6">
        <v>1168</v>
      </c>
      <c r="R1198" s="7">
        <v>43835</v>
      </c>
      <c r="S1198" s="210">
        <v>4.25</v>
      </c>
      <c r="T1198" s="8">
        <v>1.0001180555555556</v>
      </c>
      <c r="U1198" s="98">
        <v>3.914758065282653</v>
      </c>
      <c r="V1198" s="106">
        <v>28954.41916836426</v>
      </c>
      <c r="W1198" s="10">
        <v>0.77841888362426559</v>
      </c>
      <c r="X1198" s="420"/>
      <c r="Y1198" s="420"/>
      <c r="Z1198" s="1"/>
      <c r="AA1198" s="1"/>
      <c r="AB1198" s="1"/>
      <c r="AC1198" s="1"/>
      <c r="AD1198" s="1"/>
    </row>
    <row r="1199" spans="17:30">
      <c r="Q1199" s="6">
        <v>1169</v>
      </c>
      <c r="R1199" s="7">
        <v>43836</v>
      </c>
      <c r="S1199" s="210">
        <v>4.25</v>
      </c>
      <c r="T1199" s="8">
        <v>1.0001180555555556</v>
      </c>
      <c r="U1199" s="98">
        <v>3.9151747021953343</v>
      </c>
      <c r="V1199" s="106">
        <v>28956.751382153714</v>
      </c>
      <c r="W1199" s="10">
        <v>0.7789305302641214</v>
      </c>
      <c r="X1199" s="420"/>
      <c r="Y1199" s="420"/>
      <c r="Z1199" s="1"/>
      <c r="AA1199" s="1"/>
      <c r="AB1199" s="1"/>
      <c r="AC1199" s="1"/>
      <c r="AD1199" s="1"/>
    </row>
    <row r="1200" spans="17:30">
      <c r="Q1200" s="6">
        <v>1170</v>
      </c>
      <c r="R1200" s="7">
        <v>43837</v>
      </c>
      <c r="S1200" s="210">
        <v>4.25</v>
      </c>
      <c r="T1200" s="8">
        <v>1.0001180555555556</v>
      </c>
      <c r="U1200" s="98">
        <v>3.9155906285743391</v>
      </c>
      <c r="V1200" s="106">
        <v>28959.083783797785</v>
      </c>
      <c r="W1200" s="10">
        <v>0.77944130488525332</v>
      </c>
      <c r="X1200" s="420"/>
      <c r="Y1200" s="420"/>
      <c r="Z1200" s="1"/>
      <c r="AA1200" s="1"/>
      <c r="AB1200" s="1"/>
      <c r="AC1200" s="1"/>
      <c r="AD1200" s="1"/>
    </row>
    <row r="1201" spans="17:30">
      <c r="Q1201" s="6">
        <v>1171</v>
      </c>
      <c r="R1201" s="7">
        <v>43838</v>
      </c>
      <c r="S1201" s="210">
        <v>4.25</v>
      </c>
      <c r="T1201" s="8">
        <v>1.0001180555555556</v>
      </c>
      <c r="U1201" s="98">
        <v>3.9160058462357483</v>
      </c>
      <c r="V1201" s="106">
        <v>28961.416373311597</v>
      </c>
      <c r="W1201" s="10">
        <v>0.77995120971512399</v>
      </c>
      <c r="X1201" s="420"/>
      <c r="Y1201" s="420"/>
      <c r="Z1201" s="1"/>
      <c r="AA1201" s="1"/>
      <c r="AB1201" s="1"/>
      <c r="AC1201" s="1"/>
      <c r="AD1201" s="1"/>
    </row>
    <row r="1202" spans="17:30">
      <c r="Q1202" s="6">
        <v>1172</v>
      </c>
      <c r="R1202" s="7">
        <v>43839</v>
      </c>
      <c r="S1202" s="210">
        <v>4.25</v>
      </c>
      <c r="T1202" s="8">
        <v>1.0001180555555556</v>
      </c>
      <c r="U1202" s="98">
        <v>3.9164203569894473</v>
      </c>
      <c r="V1202" s="106">
        <v>28963.749150710286</v>
      </c>
      <c r="W1202" s="10">
        <v>0.78046024697355776</v>
      </c>
      <c r="X1202" s="420"/>
      <c r="Y1202" s="420"/>
      <c r="Z1202" s="1"/>
      <c r="AA1202" s="1"/>
      <c r="AB1202" s="1"/>
      <c r="AC1202" s="1"/>
      <c r="AD1202" s="1"/>
    </row>
    <row r="1203" spans="17:30">
      <c r="Q1203" s="6">
        <v>1173</v>
      </c>
      <c r="R1203" s="7">
        <v>43840</v>
      </c>
      <c r="S1203" s="210">
        <v>4.25</v>
      </c>
      <c r="T1203" s="8">
        <v>1.0001180555555556</v>
      </c>
      <c r="U1203" s="98">
        <v>3.9168341626391712</v>
      </c>
      <c r="V1203" s="106">
        <v>28966.08211600898</v>
      </c>
      <c r="W1203" s="10">
        <v>0.78096841887285162</v>
      </c>
      <c r="X1203" s="420"/>
      <c r="Y1203" s="420"/>
      <c r="Z1203" s="1"/>
      <c r="AA1203" s="1"/>
      <c r="AB1203" s="1"/>
      <c r="AC1203" s="1"/>
      <c r="AD1203" s="1"/>
    </row>
    <row r="1204" spans="17:30">
      <c r="Q1204" s="6">
        <v>1174</v>
      </c>
      <c r="R1204" s="7">
        <v>43841</v>
      </c>
      <c r="S1204" s="210">
        <v>4.25</v>
      </c>
      <c r="T1204" s="8">
        <v>1.0001180555555556</v>
      </c>
      <c r="U1204" s="98">
        <v>3.9172472649825041</v>
      </c>
      <c r="V1204" s="106">
        <v>28968.415269222824</v>
      </c>
      <c r="W1204" s="10">
        <v>0.78147572761775308</v>
      </c>
      <c r="X1204" s="420"/>
      <c r="Y1204" s="420"/>
      <c r="Z1204" s="1"/>
      <c r="AA1204" s="1"/>
      <c r="AB1204" s="1"/>
      <c r="AC1204" s="1"/>
      <c r="AD1204" s="1"/>
    </row>
    <row r="1205" spans="17:30">
      <c r="Q1205" s="6">
        <v>1175</v>
      </c>
      <c r="R1205" s="7">
        <v>43842</v>
      </c>
      <c r="S1205" s="210">
        <v>4.25</v>
      </c>
      <c r="T1205" s="8">
        <v>1.0001180555555556</v>
      </c>
      <c r="U1205" s="98">
        <v>3.9176596658109242</v>
      </c>
      <c r="V1205" s="106">
        <v>28970.748610366943</v>
      </c>
      <c r="W1205" s="10">
        <v>0.78198217540559334</v>
      </c>
      <c r="X1205" s="420"/>
      <c r="Y1205" s="420"/>
      <c r="Z1205" s="1"/>
      <c r="AA1205" s="1"/>
      <c r="AB1205" s="1"/>
      <c r="AC1205" s="1"/>
      <c r="AD1205" s="1"/>
    </row>
    <row r="1206" spans="17:30">
      <c r="Q1206" s="6">
        <v>1176</v>
      </c>
      <c r="R1206" s="7">
        <v>43843</v>
      </c>
      <c r="S1206" s="210">
        <v>4.25</v>
      </c>
      <c r="T1206" s="8">
        <v>1.0001180555555556</v>
      </c>
      <c r="U1206" s="98">
        <v>3.9180713669098477</v>
      </c>
      <c r="V1206" s="106">
        <v>28973.082139456477</v>
      </c>
      <c r="W1206" s="10">
        <v>0.78248776442615409</v>
      </c>
      <c r="X1206" s="420"/>
      <c r="Y1206" s="420"/>
      <c r="Z1206" s="1"/>
      <c r="AA1206" s="1"/>
      <c r="AB1206" s="1"/>
      <c r="AC1206" s="1"/>
      <c r="AD1206" s="1"/>
    </row>
    <row r="1207" spans="17:30">
      <c r="Q1207" s="6">
        <v>1177</v>
      </c>
      <c r="R1207" s="7">
        <v>43844</v>
      </c>
      <c r="S1207" s="210">
        <v>4.25</v>
      </c>
      <c r="T1207" s="8">
        <v>1.0001180555555556</v>
      </c>
      <c r="U1207" s="98">
        <v>3.9184823700586513</v>
      </c>
      <c r="V1207" s="106">
        <v>28975.41585650657</v>
      </c>
      <c r="W1207" s="10">
        <v>0.78299249686191175</v>
      </c>
      <c r="X1207" s="420"/>
      <c r="Y1207" s="420"/>
      <c r="Z1207" s="1"/>
      <c r="AA1207" s="1"/>
      <c r="AB1207" s="1"/>
      <c r="AC1207" s="1"/>
      <c r="AD1207" s="1"/>
    </row>
    <row r="1208" spans="17:30">
      <c r="Q1208" s="6">
        <v>1178</v>
      </c>
      <c r="R1208" s="7">
        <v>43845</v>
      </c>
      <c r="S1208" s="210">
        <v>4.25</v>
      </c>
      <c r="T1208" s="8">
        <v>1.0001180555555556</v>
      </c>
      <c r="U1208" s="98">
        <v>3.9188926770306498</v>
      </c>
      <c r="V1208" s="106">
        <v>28977.749761532359</v>
      </c>
      <c r="W1208" s="10">
        <v>0.78349637488788204</v>
      </c>
      <c r="X1208" s="420"/>
      <c r="Y1208" s="420"/>
      <c r="Z1208" s="1"/>
      <c r="AA1208" s="1"/>
      <c r="AB1208" s="1"/>
      <c r="AC1208" s="1"/>
      <c r="AD1208" s="1"/>
    </row>
    <row r="1209" spans="17:30">
      <c r="Q1209" s="6">
        <v>1179</v>
      </c>
      <c r="R1209" s="7">
        <v>43846</v>
      </c>
      <c r="S1209" s="210">
        <v>4.25</v>
      </c>
      <c r="T1209" s="8">
        <v>1.0001180555555556</v>
      </c>
      <c r="U1209" s="98">
        <v>3.9193022895931628</v>
      </c>
      <c r="V1209" s="106">
        <v>28980.083854548982</v>
      </c>
      <c r="W1209" s="10">
        <v>0.78399940067173102</v>
      </c>
      <c r="X1209" s="420"/>
      <c r="Y1209" s="420"/>
      <c r="Z1209" s="1"/>
      <c r="AA1209" s="1"/>
      <c r="AB1209" s="1"/>
      <c r="AC1209" s="1"/>
      <c r="AD1209" s="1"/>
    </row>
    <row r="1210" spans="17:30">
      <c r="Q1210" s="6">
        <v>1180</v>
      </c>
      <c r="R1210" s="7">
        <v>43847</v>
      </c>
      <c r="S1210" s="210">
        <v>4.25</v>
      </c>
      <c r="T1210" s="8">
        <v>1.0001180555555556</v>
      </c>
      <c r="U1210" s="98">
        <v>3.919711209507537</v>
      </c>
      <c r="V1210" s="106">
        <v>28982.418135571592</v>
      </c>
      <c r="W1210" s="10">
        <v>0.78450157637377504</v>
      </c>
      <c r="X1210" s="420"/>
      <c r="Y1210" s="420"/>
      <c r="Z1210" s="1"/>
      <c r="AA1210" s="1"/>
      <c r="AB1210" s="1"/>
      <c r="AC1210" s="1"/>
      <c r="AD1210" s="1"/>
    </row>
    <row r="1211" spans="17:30">
      <c r="Q1211" s="6">
        <v>1181</v>
      </c>
      <c r="R1211" s="7">
        <v>43848</v>
      </c>
      <c r="S1211" s="210">
        <v>4.25</v>
      </c>
      <c r="T1211" s="8">
        <v>1.0001180555555556</v>
      </c>
      <c r="U1211" s="98">
        <v>3.9201194385291904</v>
      </c>
      <c r="V1211" s="106">
        <v>28984.752604615318</v>
      </c>
      <c r="W1211" s="10">
        <v>0.78500290414711404</v>
      </c>
      <c r="X1211" s="420"/>
      <c r="Y1211" s="420"/>
      <c r="Z1211" s="1"/>
      <c r="AA1211" s="1"/>
      <c r="AB1211" s="1"/>
      <c r="AC1211" s="1"/>
      <c r="AD1211" s="1"/>
    </row>
    <row r="1212" spans="17:30">
      <c r="Q1212" s="6">
        <v>1182</v>
      </c>
      <c r="R1212" s="7">
        <v>43849</v>
      </c>
      <c r="S1212" s="210">
        <v>4.25</v>
      </c>
      <c r="T1212" s="8">
        <v>1.0001180555555556</v>
      </c>
      <c r="U1212" s="98">
        <v>3.920526978407568</v>
      </c>
      <c r="V1212" s="106">
        <v>28987.087261695309</v>
      </c>
      <c r="W1212" s="10">
        <v>0.78550338613752047</v>
      </c>
      <c r="X1212" s="420"/>
      <c r="Y1212" s="420"/>
      <c r="Z1212" s="1"/>
      <c r="AA1212" s="1"/>
      <c r="AB1212" s="1"/>
      <c r="AC1212" s="1"/>
      <c r="AD1212" s="1"/>
    </row>
    <row r="1213" spans="17:30">
      <c r="Q1213" s="6">
        <v>1183</v>
      </c>
      <c r="R1213" s="7">
        <v>43850</v>
      </c>
      <c r="S1213" s="210">
        <v>4.25</v>
      </c>
      <c r="T1213" s="8">
        <v>1.0001180555555556</v>
      </c>
      <c r="U1213" s="98">
        <v>3.9209338308862529</v>
      </c>
      <c r="V1213" s="106">
        <v>28989.422106826718</v>
      </c>
      <c r="W1213" s="10">
        <v>0.7860030244835281</v>
      </c>
      <c r="X1213" s="420"/>
      <c r="Y1213" s="420"/>
      <c r="Z1213" s="1"/>
      <c r="AA1213" s="1"/>
      <c r="AB1213" s="1"/>
      <c r="AC1213" s="1"/>
      <c r="AD1213" s="1"/>
    </row>
    <row r="1214" spans="17:30">
      <c r="Q1214" s="6">
        <v>1184</v>
      </c>
      <c r="R1214" s="7">
        <v>43851</v>
      </c>
      <c r="S1214" s="210">
        <v>4.25</v>
      </c>
      <c r="T1214" s="8">
        <v>1.0001180555555556</v>
      </c>
      <c r="U1214" s="98">
        <v>3.9213399977029439</v>
      </c>
      <c r="V1214" s="106">
        <v>28991.757140024682</v>
      </c>
      <c r="W1214" s="10">
        <v>0.78650182131652091</v>
      </c>
      <c r="X1214" s="420"/>
      <c r="Y1214" s="420"/>
      <c r="Z1214" s="1"/>
      <c r="AA1214" s="1"/>
      <c r="AB1214" s="1"/>
      <c r="AC1214" s="1"/>
      <c r="AD1214" s="1"/>
    </row>
    <row r="1215" spans="17:30">
      <c r="Q1215" s="6">
        <v>1185</v>
      </c>
      <c r="R1215" s="7">
        <v>43852</v>
      </c>
      <c r="S1215" s="210">
        <v>4.25</v>
      </c>
      <c r="T1215" s="8">
        <v>1.0001180555555556</v>
      </c>
      <c r="U1215" s="98">
        <v>3.921745480589478</v>
      </c>
      <c r="V1215" s="106">
        <v>28994.092361304356</v>
      </c>
      <c r="W1215" s="10">
        <v>0.7869997787606442</v>
      </c>
      <c r="X1215" s="420"/>
      <c r="Y1215" s="420"/>
      <c r="Z1215" s="1"/>
      <c r="AA1215" s="1"/>
      <c r="AB1215" s="1"/>
      <c r="AC1215" s="1"/>
      <c r="AD1215" s="1"/>
    </row>
    <row r="1216" spans="17:30">
      <c r="Q1216" s="6">
        <v>1186</v>
      </c>
      <c r="R1216" s="7">
        <v>43853</v>
      </c>
      <c r="S1216" s="210">
        <v>4.25</v>
      </c>
      <c r="T1216" s="8">
        <v>1.0001180555555556</v>
      </c>
      <c r="U1216" s="98">
        <v>3.9221502812718523</v>
      </c>
      <c r="V1216" s="106">
        <v>28996.42777068089</v>
      </c>
      <c r="W1216" s="10">
        <v>0.78749689893291563</v>
      </c>
      <c r="X1216" s="420"/>
      <c r="Y1216" s="420"/>
      <c r="Z1216" s="1"/>
      <c r="AA1216" s="1"/>
      <c r="AB1216" s="1"/>
      <c r="AC1216" s="1"/>
      <c r="AD1216" s="1"/>
    </row>
    <row r="1217" spans="17:30">
      <c r="Q1217" s="6">
        <v>1187</v>
      </c>
      <c r="R1217" s="7">
        <v>43854</v>
      </c>
      <c r="S1217" s="210">
        <v>4.25</v>
      </c>
      <c r="T1217" s="8">
        <v>1.0001180555555556</v>
      </c>
      <c r="U1217" s="98">
        <v>3.9225544014702907</v>
      </c>
      <c r="V1217" s="106">
        <v>28998.763368169431</v>
      </c>
      <c r="W1217" s="10">
        <v>0.78799318394326967</v>
      </c>
      <c r="X1217" s="420"/>
      <c r="Y1217" s="420"/>
      <c r="Z1217" s="1"/>
      <c r="AA1217" s="1"/>
      <c r="AB1217" s="1"/>
      <c r="AC1217" s="1"/>
      <c r="AD1217" s="1"/>
    </row>
    <row r="1218" spans="17:30">
      <c r="Q1218" s="6">
        <v>1188</v>
      </c>
      <c r="R1218" s="7">
        <v>43855</v>
      </c>
      <c r="S1218" s="210">
        <v>4.25</v>
      </c>
      <c r="T1218" s="8">
        <v>1.0001180555555556</v>
      </c>
      <c r="U1218" s="98">
        <v>3.9229578428992218</v>
      </c>
      <c r="V1218" s="106">
        <v>29001.099153785133</v>
      </c>
      <c r="W1218" s="10">
        <v>0.78848863589457974</v>
      </c>
      <c r="X1218" s="420"/>
      <c r="Y1218" s="420"/>
      <c r="Z1218" s="1"/>
      <c r="AA1218" s="1"/>
      <c r="AB1218" s="1"/>
      <c r="AC1218" s="1"/>
      <c r="AD1218" s="1"/>
    </row>
    <row r="1219" spans="17:30">
      <c r="Q1219" s="6">
        <v>1189</v>
      </c>
      <c r="R1219" s="7">
        <v>43856</v>
      </c>
      <c r="S1219" s="210">
        <v>4.25</v>
      </c>
      <c r="T1219" s="8">
        <v>1.0001180555555556</v>
      </c>
      <c r="U1219" s="98">
        <v>3.9233606072673233</v>
      </c>
      <c r="V1219" s="106">
        <v>29003.435127543151</v>
      </c>
      <c r="W1219" s="10">
        <v>0.78898325688256943</v>
      </c>
      <c r="X1219" s="420"/>
      <c r="Y1219" s="420"/>
      <c r="Z1219" s="1"/>
      <c r="AA1219" s="1"/>
      <c r="AB1219" s="1"/>
      <c r="AC1219" s="1"/>
      <c r="AD1219" s="1"/>
    </row>
    <row r="1220" spans="17:30">
      <c r="Q1220" s="6">
        <v>1190</v>
      </c>
      <c r="R1220" s="7">
        <v>43857</v>
      </c>
      <c r="S1220" s="210">
        <v>4.25</v>
      </c>
      <c r="T1220" s="8">
        <v>1.0001180555555556</v>
      </c>
      <c r="U1220" s="98">
        <v>3.923762696277544</v>
      </c>
      <c r="V1220" s="106">
        <v>29005.771289458637</v>
      </c>
      <c r="W1220" s="10">
        <v>0.78947704899605675</v>
      </c>
      <c r="X1220" s="420"/>
      <c r="Y1220" s="420"/>
      <c r="Z1220" s="1"/>
      <c r="AA1220" s="1"/>
      <c r="AB1220" s="1"/>
      <c r="AC1220" s="1"/>
      <c r="AD1220" s="1"/>
    </row>
    <row r="1221" spans="17:30">
      <c r="Q1221" s="6">
        <v>1191</v>
      </c>
      <c r="R1221" s="7">
        <v>43858</v>
      </c>
      <c r="S1221" s="210">
        <v>4.25</v>
      </c>
      <c r="T1221" s="8">
        <v>1.0001180555555556</v>
      </c>
      <c r="U1221" s="98">
        <v>3.9241641116271264</v>
      </c>
      <c r="V1221" s="106">
        <v>29008.10763954675</v>
      </c>
      <c r="W1221" s="10">
        <v>0.78997001431673208</v>
      </c>
      <c r="X1221" s="420"/>
      <c r="Y1221" s="420"/>
      <c r="Z1221" s="1"/>
      <c r="AA1221" s="1"/>
      <c r="AB1221" s="1"/>
      <c r="AC1221" s="1"/>
      <c r="AD1221" s="1"/>
    </row>
    <row r="1222" spans="17:30">
      <c r="Q1222" s="6">
        <v>1192</v>
      </c>
      <c r="R1222" s="7">
        <v>43859</v>
      </c>
      <c r="S1222" s="210">
        <v>4.25</v>
      </c>
      <c r="T1222" s="8">
        <v>1.0001180555555556</v>
      </c>
      <c r="U1222" s="98">
        <v>3.9245648550076284</v>
      </c>
      <c r="V1222" s="106">
        <v>29010.444177822639</v>
      </c>
      <c r="W1222" s="10">
        <v>0.79046215491946903</v>
      </c>
      <c r="X1222" s="420"/>
      <c r="Y1222" s="420"/>
      <c r="Z1222" s="1"/>
      <c r="AA1222" s="1"/>
      <c r="AB1222" s="1"/>
      <c r="AC1222" s="1"/>
      <c r="AD1222" s="1"/>
    </row>
    <row r="1223" spans="17:30">
      <c r="Q1223" s="6">
        <v>1193</v>
      </c>
      <c r="R1223" s="7">
        <v>43860</v>
      </c>
      <c r="S1223" s="210">
        <v>4.25</v>
      </c>
      <c r="T1223" s="8">
        <v>1.0001180555555556</v>
      </c>
      <c r="U1223" s="98">
        <v>3.9249649281049459</v>
      </c>
      <c r="V1223" s="106">
        <v>29012.780904301464</v>
      </c>
      <c r="W1223" s="10">
        <v>0.79095347287208018</v>
      </c>
      <c r="X1223" s="420"/>
      <c r="Y1223" s="420"/>
      <c r="Z1223" s="1"/>
      <c r="AA1223" s="1"/>
      <c r="AB1223" s="1"/>
      <c r="AC1223" s="1"/>
      <c r="AD1223" s="1"/>
    </row>
    <row r="1224" spans="17:30">
      <c r="Q1224" s="6">
        <v>1194</v>
      </c>
      <c r="R1224" s="7">
        <v>43861</v>
      </c>
      <c r="S1224" s="210">
        <v>4.25</v>
      </c>
      <c r="T1224" s="8">
        <v>1.0001180555555556</v>
      </c>
      <c r="U1224" s="98">
        <v>3.925364332599357</v>
      </c>
      <c r="V1224" s="106">
        <v>29015.117818998391</v>
      </c>
      <c r="W1224" s="10">
        <v>0.79144397023556134</v>
      </c>
      <c r="X1224" s="420"/>
      <c r="Y1224" s="420"/>
      <c r="Z1224" s="1"/>
      <c r="AA1224" s="1"/>
      <c r="AB1224" s="1"/>
      <c r="AC1224" s="1"/>
      <c r="AD1224" s="1"/>
    </row>
    <row r="1225" spans="17:30">
      <c r="Q1225" s="6">
        <v>1195</v>
      </c>
      <c r="R1225" s="7">
        <v>43862</v>
      </c>
      <c r="S1225" s="210">
        <v>4.25</v>
      </c>
      <c r="T1225" s="8">
        <v>1.0001180555555556</v>
      </c>
      <c r="U1225" s="98">
        <v>3.9257630701655</v>
      </c>
      <c r="V1225" s="106">
        <v>29017.45492192858</v>
      </c>
      <c r="W1225" s="10">
        <v>0.79193364906393615</v>
      </c>
      <c r="X1225" s="420"/>
      <c r="Y1225" s="420"/>
      <c r="Z1225" s="1"/>
      <c r="AA1225" s="1"/>
      <c r="AB1225" s="1"/>
      <c r="AC1225" s="1"/>
      <c r="AD1225" s="1"/>
    </row>
    <row r="1226" spans="17:30">
      <c r="Q1226" s="6">
        <v>1196</v>
      </c>
      <c r="R1226" s="7">
        <v>43863</v>
      </c>
      <c r="S1226" s="210">
        <v>4.25</v>
      </c>
      <c r="T1226" s="8">
        <v>1.0001180555555556</v>
      </c>
      <c r="U1226" s="98">
        <v>3.9261611424724396</v>
      </c>
      <c r="V1226" s="106">
        <v>29019.792213107183</v>
      </c>
      <c r="W1226" s="10">
        <v>0.79242251140445585</v>
      </c>
      <c r="X1226" s="420"/>
      <c r="Y1226" s="420"/>
      <c r="Z1226" s="1"/>
      <c r="AA1226" s="1"/>
      <c r="AB1226" s="1"/>
      <c r="AC1226" s="1"/>
      <c r="AD1226" s="1"/>
    </row>
    <row r="1227" spans="17:30">
      <c r="Q1227" s="6">
        <v>1197</v>
      </c>
      <c r="R1227" s="7">
        <v>43864</v>
      </c>
      <c r="S1227" s="210">
        <v>4.25</v>
      </c>
      <c r="T1227" s="8">
        <v>1.0001180555555556</v>
      </c>
      <c r="U1227" s="98">
        <v>3.9265585511836676</v>
      </c>
      <c r="V1227" s="106">
        <v>29022.129692549377</v>
      </c>
      <c r="W1227" s="10">
        <v>0.79291055929751053</v>
      </c>
      <c r="X1227" s="420"/>
      <c r="Y1227" s="420"/>
      <c r="Z1227" s="1"/>
      <c r="AA1227" s="1"/>
      <c r="AB1227" s="1"/>
      <c r="AC1227" s="1"/>
      <c r="AD1227" s="1"/>
    </row>
    <row r="1228" spans="17:30">
      <c r="Q1228" s="6">
        <v>1198</v>
      </c>
      <c r="R1228" s="7">
        <v>43865</v>
      </c>
      <c r="S1228" s="210">
        <v>4.25</v>
      </c>
      <c r="T1228" s="8">
        <v>1.0001180555555556</v>
      </c>
      <c r="U1228" s="98">
        <v>3.9269552979571687</v>
      </c>
      <c r="V1228" s="106">
        <v>29024.467360270315</v>
      </c>
      <c r="W1228" s="10">
        <v>0.79339779477676231</v>
      </c>
      <c r="X1228" s="420"/>
      <c r="Y1228" s="420"/>
      <c r="Z1228" s="1"/>
      <c r="AA1228" s="1"/>
      <c r="AB1228" s="1"/>
      <c r="AC1228" s="1"/>
      <c r="AD1228" s="1"/>
    </row>
    <row r="1229" spans="17:30">
      <c r="Q1229" s="6">
        <v>1199</v>
      </c>
      <c r="R1229" s="7">
        <v>43866</v>
      </c>
      <c r="S1229" s="210">
        <v>4.25</v>
      </c>
      <c r="T1229" s="8">
        <v>1.0001180555555556</v>
      </c>
      <c r="U1229" s="98">
        <v>3.9273513844453767</v>
      </c>
      <c r="V1229" s="106">
        <v>29026.805216285167</v>
      </c>
      <c r="W1229" s="10">
        <v>0.79388421986898994</v>
      </c>
      <c r="X1229" s="420"/>
      <c r="Y1229" s="420"/>
      <c r="Z1229" s="1"/>
      <c r="AA1229" s="1"/>
      <c r="AB1229" s="1"/>
      <c r="AC1229" s="1"/>
      <c r="AD1229" s="1"/>
    </row>
    <row r="1230" spans="17:30">
      <c r="Q1230" s="6">
        <v>1200</v>
      </c>
      <c r="R1230" s="7">
        <v>43867</v>
      </c>
      <c r="S1230" s="210">
        <v>4.25</v>
      </c>
      <c r="T1230" s="8">
        <v>1.0001180555555556</v>
      </c>
      <c r="U1230" s="98">
        <v>3.9277468122952408</v>
      </c>
      <c r="V1230" s="106">
        <v>29029.1432606091</v>
      </c>
      <c r="W1230" s="10">
        <v>0.79436983659435523</v>
      </c>
      <c r="X1230" s="420"/>
      <c r="Y1230" s="420"/>
      <c r="Z1230" s="1"/>
      <c r="AA1230" s="1"/>
      <c r="AB1230" s="1"/>
      <c r="AC1230" s="1"/>
      <c r="AD1230" s="1"/>
    </row>
    <row r="1231" spans="17:30">
      <c r="Q1231" s="6">
        <v>1201</v>
      </c>
      <c r="R1231" s="7">
        <v>43868</v>
      </c>
      <c r="S1231" s="210">
        <v>4.25</v>
      </c>
      <c r="T1231" s="8">
        <v>1.0001180555555556</v>
      </c>
      <c r="U1231" s="98">
        <v>3.9281415831482036</v>
      </c>
      <c r="V1231" s="106">
        <v>29031.481493257277</v>
      </c>
      <c r="W1231" s="10">
        <v>0.79485464696622543</v>
      </c>
      <c r="X1231" s="420"/>
      <c r="Y1231" s="420"/>
      <c r="Z1231" s="1"/>
      <c r="AA1231" s="1"/>
      <c r="AB1231" s="1"/>
      <c r="AC1231" s="1"/>
      <c r="AD1231" s="1"/>
    </row>
    <row r="1232" spans="17:30">
      <c r="Q1232" s="6">
        <v>1202</v>
      </c>
      <c r="R1232" s="7">
        <v>43869</v>
      </c>
      <c r="S1232" s="210">
        <v>4.25</v>
      </c>
      <c r="T1232" s="8">
        <v>1.0001180555555556</v>
      </c>
      <c r="U1232" s="98">
        <v>3.9285356986403119</v>
      </c>
      <c r="V1232" s="106">
        <v>29033.819914244876</v>
      </c>
      <c r="W1232" s="10">
        <v>0.79533865299135087</v>
      </c>
      <c r="X1232" s="420"/>
      <c r="Y1232" s="420"/>
      <c r="Z1232" s="1"/>
      <c r="AA1232" s="1"/>
      <c r="AB1232" s="1"/>
      <c r="AC1232" s="1"/>
      <c r="AD1232" s="1"/>
    </row>
    <row r="1233" spans="17:30">
      <c r="Q1233" s="6">
        <v>1203</v>
      </c>
      <c r="R1233" s="7">
        <v>43870</v>
      </c>
      <c r="S1233" s="210">
        <v>4.25</v>
      </c>
      <c r="T1233" s="8">
        <v>1.0001180555555556</v>
      </c>
      <c r="U1233" s="98">
        <v>3.9289291604021503</v>
      </c>
      <c r="V1233" s="106">
        <v>29036.158523587059</v>
      </c>
      <c r="W1233" s="10">
        <v>0.79582185666975391</v>
      </c>
      <c r="X1233" s="420"/>
      <c r="Y1233" s="420"/>
      <c r="Z1233" s="1"/>
      <c r="AA1233" s="1"/>
      <c r="AB1233" s="1"/>
      <c r="AC1233" s="1"/>
      <c r="AD1233" s="1"/>
    </row>
    <row r="1234" spans="17:30">
      <c r="Q1234" s="6">
        <v>1204</v>
      </c>
      <c r="R1234" s="7">
        <v>43871</v>
      </c>
      <c r="S1234" s="210">
        <v>4.25</v>
      </c>
      <c r="T1234" s="8">
        <v>1.0001180555555556</v>
      </c>
      <c r="U1234" s="98">
        <v>3.9293219700589299</v>
      </c>
      <c r="V1234" s="106">
        <v>29038.658624636792</v>
      </c>
      <c r="W1234" s="10">
        <v>0.79613452217113245</v>
      </c>
      <c r="X1234" s="420"/>
      <c r="Y1234" s="420"/>
      <c r="Z1234" s="1"/>
      <c r="AA1234" s="1"/>
      <c r="AB1234" s="1"/>
      <c r="AC1234" s="1"/>
      <c r="AD1234" s="1"/>
    </row>
    <row r="1235" spans="17:30">
      <c r="Q1235" s="6">
        <v>1205</v>
      </c>
      <c r="R1235" s="7">
        <v>43872</v>
      </c>
      <c r="S1235" s="210">
        <v>4.25</v>
      </c>
      <c r="T1235" s="8">
        <v>1.0001180555555556</v>
      </c>
      <c r="U1235" s="98">
        <v>3.9297141292304438</v>
      </c>
      <c r="V1235" s="106">
        <v>29041.158940952784</v>
      </c>
      <c r="W1235" s="10">
        <v>0.79644666969307387</v>
      </c>
      <c r="X1235" s="420"/>
      <c r="Y1235" s="420"/>
      <c r="Z1235" s="1"/>
      <c r="AA1235" s="1"/>
      <c r="AB1235" s="1"/>
      <c r="AC1235" s="1"/>
      <c r="AD1235" s="1"/>
    </row>
    <row r="1236" spans="17:30">
      <c r="Q1236" s="6">
        <v>1206</v>
      </c>
      <c r="R1236" s="7">
        <v>43873</v>
      </c>
      <c r="S1236" s="210">
        <v>4.25</v>
      </c>
      <c r="T1236" s="8">
        <v>1.0001180555555556</v>
      </c>
      <c r="U1236" s="98">
        <v>3.930105639531134</v>
      </c>
      <c r="V1236" s="106">
        <v>29043.659472553565</v>
      </c>
      <c r="W1236" s="10">
        <v>0.79675830052170493</v>
      </c>
      <c r="X1236" s="420"/>
      <c r="Y1236" s="420"/>
      <c r="Z1236" s="1"/>
      <c r="AA1236" s="1"/>
      <c r="AB1236" s="1"/>
      <c r="AC1236" s="1"/>
      <c r="AD1236" s="1"/>
    </row>
    <row r="1237" spans="17:30">
      <c r="Q1237" s="6">
        <v>1207</v>
      </c>
      <c r="R1237" s="7">
        <v>43874</v>
      </c>
      <c r="S1237" s="210">
        <v>4.25</v>
      </c>
      <c r="T1237" s="8">
        <v>1.0001180555555556</v>
      </c>
      <c r="U1237" s="98">
        <v>3.9304965025701133</v>
      </c>
      <c r="V1237" s="106">
        <v>29046.160219457688</v>
      </c>
      <c r="W1237" s="10">
        <v>0.79706941593884473</v>
      </c>
      <c r="X1237" s="420"/>
      <c r="Y1237" s="420"/>
      <c r="Z1237" s="1"/>
      <c r="AA1237" s="1"/>
      <c r="AB1237" s="1"/>
      <c r="AC1237" s="1"/>
      <c r="AD1237" s="1"/>
    </row>
    <row r="1238" spans="17:30">
      <c r="Q1238" s="6">
        <v>1208</v>
      </c>
      <c r="R1238" s="7">
        <v>43875</v>
      </c>
      <c r="S1238" s="210">
        <v>4.25</v>
      </c>
      <c r="T1238" s="8">
        <v>1.0001180555555556</v>
      </c>
      <c r="U1238" s="98">
        <v>3.9308867199511655</v>
      </c>
      <c r="V1238" s="106">
        <v>29048.661181683674</v>
      </c>
      <c r="W1238" s="10">
        <v>0.79738001722213792</v>
      </c>
      <c r="X1238" s="420"/>
      <c r="Y1238" s="420"/>
      <c r="Z1238" s="1"/>
      <c r="AA1238" s="1"/>
      <c r="AB1238" s="1"/>
      <c r="AC1238" s="1"/>
      <c r="AD1238" s="1"/>
    </row>
    <row r="1239" spans="17:30">
      <c r="Q1239" s="6">
        <v>1209</v>
      </c>
      <c r="R1239" s="7">
        <v>43876</v>
      </c>
      <c r="S1239" s="210">
        <v>4.25</v>
      </c>
      <c r="T1239" s="8">
        <v>1.0001180555555556</v>
      </c>
      <c r="U1239" s="98">
        <v>3.9312762932728118</v>
      </c>
      <c r="V1239" s="106">
        <v>29051.162359250076</v>
      </c>
      <c r="W1239" s="10">
        <v>0.7976901056449659</v>
      </c>
      <c r="X1239" s="420"/>
      <c r="Y1239" s="420"/>
      <c r="Z1239" s="1"/>
      <c r="AA1239" s="1"/>
      <c r="AB1239" s="1"/>
      <c r="AC1239" s="1"/>
      <c r="AD1239" s="1"/>
    </row>
    <row r="1240" spans="17:30">
      <c r="Q1240" s="6">
        <v>1210</v>
      </c>
      <c r="R1240" s="7">
        <v>43877</v>
      </c>
      <c r="S1240" s="210">
        <v>4.25</v>
      </c>
      <c r="T1240" s="8">
        <v>1.0001180555555556</v>
      </c>
      <c r="U1240" s="98">
        <v>3.9316652241282668</v>
      </c>
      <c r="V1240" s="106">
        <v>29053.663752175427</v>
      </c>
      <c r="W1240" s="10">
        <v>0.79799968247653563</v>
      </c>
      <c r="X1240" s="420"/>
      <c r="Y1240" s="420"/>
      <c r="Z1240" s="1"/>
      <c r="AA1240" s="1"/>
      <c r="AB1240" s="1"/>
      <c r="AC1240" s="1"/>
      <c r="AD1240" s="1"/>
    </row>
    <row r="1241" spans="17:30">
      <c r="Q1241" s="6">
        <v>1211</v>
      </c>
      <c r="R1241" s="7">
        <v>43878</v>
      </c>
      <c r="S1241" s="210">
        <v>4.25</v>
      </c>
      <c r="T1241" s="8">
        <v>1.0001180555555556</v>
      </c>
      <c r="U1241" s="98">
        <v>3.9320535141055046</v>
      </c>
      <c r="V1241" s="106">
        <v>29056.16536047827</v>
      </c>
      <c r="W1241" s="10">
        <v>0.79830874898183524</v>
      </c>
      <c r="X1241" s="420"/>
      <c r="Y1241" s="420"/>
      <c r="Z1241" s="1"/>
      <c r="AA1241" s="1"/>
      <c r="AB1241" s="1"/>
      <c r="AC1241" s="1"/>
      <c r="AD1241" s="1"/>
    </row>
    <row r="1242" spans="17:30">
      <c r="Q1242" s="6">
        <v>1212</v>
      </c>
      <c r="R1242" s="7">
        <v>43879</v>
      </c>
      <c r="S1242" s="210">
        <v>4.25</v>
      </c>
      <c r="T1242" s="8">
        <v>1.0001180555555556</v>
      </c>
      <c r="U1242" s="98">
        <v>3.9324411647872592</v>
      </c>
      <c r="V1242" s="106">
        <v>29058.667184177157</v>
      </c>
      <c r="W1242" s="10">
        <v>0.79861730642170059</v>
      </c>
      <c r="X1242" s="420"/>
      <c r="Y1242" s="420"/>
      <c r="Z1242" s="1"/>
      <c r="AA1242" s="1"/>
      <c r="AB1242" s="1"/>
      <c r="AC1242" s="1"/>
      <c r="AD1242" s="1"/>
    </row>
    <row r="1243" spans="17:30">
      <c r="Q1243" s="6">
        <v>1213</v>
      </c>
      <c r="R1243" s="7">
        <v>43880</v>
      </c>
      <c r="S1243" s="210">
        <v>4.25</v>
      </c>
      <c r="T1243" s="8">
        <v>1.0001180555555556</v>
      </c>
      <c r="U1243" s="98">
        <v>3.9328281777510909</v>
      </c>
      <c r="V1243" s="106">
        <v>29061.169223290624</v>
      </c>
      <c r="W1243" s="10">
        <v>0.79892535605285975</v>
      </c>
      <c r="X1243" s="420"/>
      <c r="Y1243" s="420"/>
      <c r="Z1243" s="1"/>
      <c r="AA1243" s="1"/>
      <c r="AB1243" s="1"/>
      <c r="AC1243" s="1"/>
      <c r="AD1243" s="1"/>
    </row>
    <row r="1244" spans="17:30">
      <c r="Q1244" s="6">
        <v>1214</v>
      </c>
      <c r="R1244" s="7">
        <v>43881</v>
      </c>
      <c r="S1244" s="210">
        <v>4.25</v>
      </c>
      <c r="T1244" s="8">
        <v>1.0001180555555556</v>
      </c>
      <c r="U1244" s="98">
        <v>3.933214554569342</v>
      </c>
      <c r="V1244" s="106">
        <v>29063.67147783723</v>
      </c>
      <c r="W1244" s="10">
        <v>0.79923289912782192</v>
      </c>
      <c r="X1244" s="420"/>
      <c r="Y1244" s="420"/>
      <c r="Z1244" s="1"/>
      <c r="AA1244" s="1"/>
      <c r="AB1244" s="1"/>
      <c r="AC1244" s="1"/>
      <c r="AD1244" s="1"/>
    </row>
    <row r="1245" spans="17:30">
      <c r="Q1245" s="6">
        <v>1215</v>
      </c>
      <c r="R1245" s="7">
        <v>43882</v>
      </c>
      <c r="S1245" s="210">
        <v>4.25</v>
      </c>
      <c r="T1245" s="8">
        <v>1.0001180555555556</v>
      </c>
      <c r="U1245" s="98">
        <v>3.9336002968092032</v>
      </c>
      <c r="V1245" s="106">
        <v>29066.173947835516</v>
      </c>
      <c r="W1245" s="10">
        <v>0.7995399368950773</v>
      </c>
      <c r="X1245" s="420"/>
      <c r="Y1245" s="420"/>
      <c r="Z1245" s="1"/>
      <c r="AA1245" s="1"/>
      <c r="AB1245" s="1"/>
      <c r="AC1245" s="1"/>
      <c r="AD1245" s="1"/>
    </row>
    <row r="1246" spans="17:30">
      <c r="Q1246" s="6">
        <v>1216</v>
      </c>
      <c r="R1246" s="7">
        <v>43883</v>
      </c>
      <c r="S1246" s="210">
        <v>4.25</v>
      </c>
      <c r="T1246" s="8">
        <v>1.0001180555555556</v>
      </c>
      <c r="U1246" s="98">
        <v>3.9339854060327362</v>
      </c>
      <c r="V1246" s="106">
        <v>29068.676633304036</v>
      </c>
      <c r="W1246" s="10">
        <v>0.79984647059894165</v>
      </c>
      <c r="X1246" s="420"/>
      <c r="Y1246" s="420"/>
      <c r="Z1246" s="1"/>
      <c r="AA1246" s="1"/>
      <c r="AB1246" s="1"/>
      <c r="AC1246" s="1"/>
      <c r="AD1246" s="1"/>
    </row>
    <row r="1247" spans="17:30">
      <c r="Q1247" s="6">
        <v>1217</v>
      </c>
      <c r="R1247" s="7">
        <v>43884</v>
      </c>
      <c r="S1247" s="210">
        <v>4.25</v>
      </c>
      <c r="T1247" s="8">
        <v>1.0001180555555556</v>
      </c>
      <c r="U1247" s="98">
        <v>3.9343698837968288</v>
      </c>
      <c r="V1247" s="106">
        <v>29071.179534261348</v>
      </c>
      <c r="W1247" s="10">
        <v>0.80015250147966732</v>
      </c>
      <c r="X1247" s="420"/>
      <c r="Y1247" s="420"/>
      <c r="Z1247" s="1"/>
      <c r="AA1247" s="1"/>
      <c r="AB1247" s="1"/>
      <c r="AC1247" s="1"/>
      <c r="AD1247" s="1"/>
    </row>
    <row r="1248" spans="17:30">
      <c r="Q1248" s="6">
        <v>1218</v>
      </c>
      <c r="R1248" s="7">
        <v>43885</v>
      </c>
      <c r="S1248" s="210">
        <v>4.25</v>
      </c>
      <c r="T1248" s="8">
        <v>1.0001180555555556</v>
      </c>
      <c r="U1248" s="98">
        <v>3.9347537316533288</v>
      </c>
      <c r="V1248" s="106">
        <v>29073.68265072599</v>
      </c>
      <c r="W1248" s="10">
        <v>0.80045803077346545</v>
      </c>
      <c r="X1248" s="420"/>
      <c r="Y1248" s="420"/>
      <c r="Z1248" s="1"/>
      <c r="AA1248" s="1"/>
      <c r="AB1248" s="1"/>
      <c r="AC1248" s="1"/>
      <c r="AD1248" s="1"/>
    </row>
    <row r="1249" spans="17:30">
      <c r="Q1249" s="6">
        <v>1219</v>
      </c>
      <c r="R1249" s="7">
        <v>43886</v>
      </c>
      <c r="S1249" s="210">
        <v>4.25</v>
      </c>
      <c r="T1249" s="8">
        <v>1.0001180555555556</v>
      </c>
      <c r="U1249" s="98">
        <v>3.9351369511489764</v>
      </c>
      <c r="V1249" s="106">
        <v>29076.185982716535</v>
      </c>
      <c r="W1249" s="10">
        <v>0.80076305971248374</v>
      </c>
      <c r="X1249" s="420"/>
      <c r="Y1249" s="420"/>
      <c r="Z1249" s="1"/>
      <c r="AA1249" s="1"/>
      <c r="AB1249" s="1"/>
      <c r="AC1249" s="1"/>
      <c r="AD1249" s="1"/>
    </row>
    <row r="1250" spans="17:30">
      <c r="Q1250" s="6">
        <v>1220</v>
      </c>
      <c r="R1250" s="7">
        <v>43887</v>
      </c>
      <c r="S1250" s="210">
        <v>4.25</v>
      </c>
      <c r="T1250" s="8">
        <v>1.0001180555555556</v>
      </c>
      <c r="U1250" s="98">
        <v>3.9355195438254498</v>
      </c>
      <c r="V1250" s="106">
        <v>29078.689530251537</v>
      </c>
      <c r="W1250" s="10">
        <v>0.8010675895248287</v>
      </c>
      <c r="X1250" s="420"/>
      <c r="Y1250" s="420"/>
      <c r="Z1250" s="1"/>
      <c r="AA1250" s="1"/>
      <c r="AB1250" s="1"/>
      <c r="AC1250" s="1"/>
      <c r="AD1250" s="1"/>
    </row>
    <row r="1251" spans="17:30">
      <c r="Q1251" s="6">
        <v>1221</v>
      </c>
      <c r="R1251" s="7">
        <v>43888</v>
      </c>
      <c r="S1251" s="210">
        <v>4.25</v>
      </c>
      <c r="T1251" s="8">
        <v>1.0001180555555556</v>
      </c>
      <c r="U1251" s="98">
        <v>3.935901511219364</v>
      </c>
      <c r="V1251" s="106">
        <v>29081.193293349548</v>
      </c>
      <c r="W1251" s="10">
        <v>0.80137162143458784</v>
      </c>
      <c r="X1251" s="420"/>
      <c r="Y1251" s="420"/>
      <c r="Z1251" s="1"/>
      <c r="AA1251" s="1"/>
      <c r="AB1251" s="1"/>
      <c r="AC1251" s="1"/>
      <c r="AD1251" s="1"/>
    </row>
    <row r="1252" spans="17:30">
      <c r="Q1252" s="6">
        <v>1222</v>
      </c>
      <c r="R1252" s="7">
        <v>43889</v>
      </c>
      <c r="S1252" s="210">
        <v>4.25</v>
      </c>
      <c r="T1252" s="8">
        <v>1.0001180555555556</v>
      </c>
      <c r="U1252" s="98">
        <v>3.9362828548623829</v>
      </c>
      <c r="V1252" s="106">
        <v>29083.697272029134</v>
      </c>
      <c r="W1252" s="10">
        <v>0.80167515666189626</v>
      </c>
      <c r="X1252" s="420"/>
      <c r="Y1252" s="420"/>
      <c r="Z1252" s="1"/>
      <c r="AA1252" s="1"/>
      <c r="AB1252" s="1"/>
      <c r="AC1252" s="1"/>
      <c r="AD1252" s="1"/>
    </row>
    <row r="1253" spans="17:30">
      <c r="Q1253" s="6">
        <v>1223</v>
      </c>
      <c r="R1253" s="7">
        <v>43890</v>
      </c>
      <c r="S1253" s="210">
        <v>4.25</v>
      </c>
      <c r="T1253" s="8">
        <v>1.0001180555555556</v>
      </c>
      <c r="U1253" s="98">
        <v>3.9366635762810853</v>
      </c>
      <c r="V1253" s="106">
        <v>29086.201466308852</v>
      </c>
      <c r="W1253" s="10">
        <v>0.80197819642282564</v>
      </c>
      <c r="X1253" s="420"/>
      <c r="Y1253" s="420"/>
      <c r="Z1253" s="1"/>
      <c r="AA1253" s="1"/>
      <c r="AB1253" s="1"/>
      <c r="AC1253" s="1"/>
      <c r="AD1253" s="1"/>
    </row>
    <row r="1254" spans="17:30">
      <c r="Q1254" s="6">
        <v>1224</v>
      </c>
      <c r="R1254" s="7">
        <v>43891</v>
      </c>
      <c r="S1254" s="210">
        <v>4.25</v>
      </c>
      <c r="T1254" s="8">
        <v>1.0001180555555556</v>
      </c>
      <c r="U1254" s="98">
        <v>3.9370436769971651</v>
      </c>
      <c r="V1254" s="106">
        <v>29088.705876207277</v>
      </c>
      <c r="W1254" s="10">
        <v>0.80228074192956189</v>
      </c>
      <c r="X1254" s="420"/>
      <c r="Y1254" s="420"/>
      <c r="Z1254" s="1"/>
      <c r="AA1254" s="1"/>
      <c r="AB1254" s="1"/>
      <c r="AC1254" s="1"/>
      <c r="AD1254" s="1"/>
    </row>
    <row r="1255" spans="17:30">
      <c r="Q1255" s="6">
        <v>1225</v>
      </c>
      <c r="R1255" s="7">
        <v>43892</v>
      </c>
      <c r="S1255" s="210">
        <v>4.25</v>
      </c>
      <c r="T1255" s="8">
        <v>1.0001180555555556</v>
      </c>
      <c r="U1255" s="98">
        <v>3.9374231585272756</v>
      </c>
      <c r="V1255" s="106">
        <v>29091.210501742964</v>
      </c>
      <c r="W1255" s="10">
        <v>0.80258279439024971</v>
      </c>
      <c r="X1255" s="420"/>
      <c r="Y1255" s="420"/>
      <c r="Z1255" s="1"/>
      <c r="AA1255" s="1"/>
      <c r="AB1255" s="1"/>
      <c r="AC1255" s="1"/>
      <c r="AD1255" s="1"/>
    </row>
    <row r="1256" spans="17:30">
      <c r="Q1256" s="6">
        <v>1226</v>
      </c>
      <c r="R1256" s="7">
        <v>43893</v>
      </c>
      <c r="S1256" s="210">
        <v>4.25</v>
      </c>
      <c r="T1256" s="8">
        <v>1.0001180555555556</v>
      </c>
      <c r="U1256" s="98">
        <v>3.9378020223831856</v>
      </c>
      <c r="V1256" s="106">
        <v>29093.715342934483</v>
      </c>
      <c r="W1256" s="10">
        <v>0.80288435500919242</v>
      </c>
      <c r="X1256" s="420"/>
      <c r="Y1256" s="420"/>
      <c r="Z1256" s="1"/>
      <c r="AA1256" s="1"/>
      <c r="AB1256" s="1"/>
      <c r="AC1256" s="1"/>
      <c r="AD1256" s="1"/>
    </row>
    <row r="1257" spans="17:30">
      <c r="Q1257" s="6">
        <v>1227</v>
      </c>
      <c r="R1257" s="7">
        <v>43894</v>
      </c>
      <c r="S1257" s="210">
        <v>4.25</v>
      </c>
      <c r="T1257" s="8">
        <v>1.0001180555555556</v>
      </c>
      <c r="U1257" s="98">
        <v>3.9381802700717339</v>
      </c>
      <c r="V1257" s="106">
        <v>29096.220399800401</v>
      </c>
      <c r="W1257" s="10">
        <v>0.80318542498676315</v>
      </c>
      <c r="X1257" s="420"/>
      <c r="Y1257" s="420"/>
      <c r="Z1257" s="1"/>
      <c r="AA1257" s="1"/>
      <c r="AB1257" s="1"/>
      <c r="AC1257" s="1"/>
      <c r="AD1257" s="1"/>
    </row>
    <row r="1258" spans="17:30">
      <c r="Q1258" s="6">
        <v>1228</v>
      </c>
      <c r="R1258" s="7">
        <v>43895</v>
      </c>
      <c r="S1258" s="210">
        <v>4.25</v>
      </c>
      <c r="T1258" s="8">
        <v>1.0001180555555556</v>
      </c>
      <c r="U1258" s="98">
        <v>3.9385579030948525</v>
      </c>
      <c r="V1258" s="106">
        <v>29098.725672359291</v>
      </c>
      <c r="W1258" s="10">
        <v>0.80348600551933824</v>
      </c>
      <c r="X1258" s="420"/>
      <c r="Y1258" s="420"/>
      <c r="Z1258" s="1"/>
      <c r="AA1258" s="1"/>
      <c r="AB1258" s="1"/>
      <c r="AC1258" s="1"/>
      <c r="AD1258" s="1"/>
    </row>
    <row r="1259" spans="17:30">
      <c r="Q1259" s="6">
        <v>1229</v>
      </c>
      <c r="R1259" s="7">
        <v>43896</v>
      </c>
      <c r="S1259" s="210">
        <v>4.25</v>
      </c>
      <c r="T1259" s="8">
        <v>1.0001180555555556</v>
      </c>
      <c r="U1259" s="98">
        <v>3.9389349229495885</v>
      </c>
      <c r="V1259" s="106">
        <v>29101.231160629723</v>
      </c>
      <c r="W1259" s="10">
        <v>0.80378609779951926</v>
      </c>
      <c r="X1259" s="420"/>
      <c r="Y1259" s="420"/>
      <c r="Z1259" s="1"/>
      <c r="AA1259" s="1"/>
      <c r="AB1259" s="1"/>
      <c r="AC1259" s="1"/>
      <c r="AD1259" s="1"/>
    </row>
    <row r="1260" spans="17:30">
      <c r="Q1260" s="6">
        <v>1230</v>
      </c>
      <c r="R1260" s="7">
        <v>43897</v>
      </c>
      <c r="S1260" s="210">
        <v>4.25</v>
      </c>
      <c r="T1260" s="8">
        <v>1.0001180555555556</v>
      </c>
      <c r="U1260" s="98">
        <v>3.939311331128148</v>
      </c>
      <c r="V1260" s="106">
        <v>29103.736864630275</v>
      </c>
      <c r="W1260" s="10">
        <v>0.80408570301595539</v>
      </c>
      <c r="X1260" s="420"/>
      <c r="Y1260" s="420"/>
      <c r="Z1260" s="1"/>
      <c r="AA1260" s="1"/>
      <c r="AB1260" s="1"/>
      <c r="AC1260" s="1"/>
      <c r="AD1260" s="1"/>
    </row>
    <row r="1261" spans="17:30">
      <c r="Q1261" s="6">
        <v>1231</v>
      </c>
      <c r="R1261" s="7">
        <v>43898</v>
      </c>
      <c r="S1261" s="210">
        <v>4.25</v>
      </c>
      <c r="T1261" s="8">
        <v>1.0001180555555556</v>
      </c>
      <c r="U1261" s="98">
        <v>3.9396871291179192</v>
      </c>
      <c r="V1261" s="106">
        <v>29106.242784379516</v>
      </c>
      <c r="W1261" s="10">
        <v>0.80438482235349884</v>
      </c>
      <c r="X1261" s="420"/>
      <c r="Y1261" s="420"/>
      <c r="Z1261" s="1"/>
      <c r="AA1261" s="1"/>
      <c r="AB1261" s="1"/>
      <c r="AC1261" s="1"/>
      <c r="AD1261" s="1"/>
    </row>
    <row r="1262" spans="17:30">
      <c r="Q1262" s="6">
        <v>1232</v>
      </c>
      <c r="R1262" s="7">
        <v>43899</v>
      </c>
      <c r="S1262" s="210">
        <v>4.25</v>
      </c>
      <c r="T1262" s="8">
        <v>1.0001180555555556</v>
      </c>
      <c r="U1262" s="98">
        <v>3.9400623184014272</v>
      </c>
      <c r="V1262" s="106">
        <v>29108.748919896025</v>
      </c>
      <c r="W1262" s="10">
        <v>0.80468345699311605</v>
      </c>
      <c r="X1262" s="420"/>
      <c r="Y1262" s="420"/>
      <c r="Z1262" s="1"/>
      <c r="AA1262" s="1"/>
      <c r="AB1262" s="1"/>
      <c r="AC1262" s="1"/>
      <c r="AD1262" s="1"/>
    </row>
    <row r="1263" spans="17:30">
      <c r="Q1263" s="6">
        <v>1233</v>
      </c>
      <c r="R1263" s="7">
        <v>43900</v>
      </c>
      <c r="S1263" s="210">
        <v>4.25</v>
      </c>
      <c r="T1263" s="8">
        <v>1.0001180555555556</v>
      </c>
      <c r="U1263" s="98">
        <v>3.940436900456401</v>
      </c>
      <c r="V1263" s="106">
        <v>29111.093564602244</v>
      </c>
      <c r="W1263" s="10">
        <v>0.80514736826875488</v>
      </c>
      <c r="X1263" s="420"/>
      <c r="Y1263" s="420"/>
      <c r="Z1263" s="1"/>
      <c r="AA1263" s="1"/>
      <c r="AB1263" s="1"/>
      <c r="AC1263" s="1"/>
      <c r="AD1263" s="1"/>
    </row>
    <row r="1264" spans="17:30">
      <c r="Q1264" s="6">
        <v>1234</v>
      </c>
      <c r="R1264" s="7">
        <v>43901</v>
      </c>
      <c r="S1264" s="210">
        <v>4.25</v>
      </c>
      <c r="T1264" s="8">
        <v>1.0001180555555556</v>
      </c>
      <c r="U1264" s="98">
        <v>3.9408108767558403</v>
      </c>
      <c r="V1264" s="106">
        <v>29113.438398164366</v>
      </c>
      <c r="W1264" s="10">
        <v>0.80561052979204462</v>
      </c>
      <c r="X1264" s="420"/>
      <c r="Y1264" s="420"/>
      <c r="Z1264" s="1"/>
      <c r="AA1264" s="1"/>
      <c r="AB1264" s="1"/>
      <c r="AC1264" s="1"/>
      <c r="AD1264" s="1"/>
    </row>
    <row r="1265" spans="17:30">
      <c r="Q1265" s="6">
        <v>1235</v>
      </c>
      <c r="R1265" s="7">
        <v>43902</v>
      </c>
      <c r="S1265" s="210">
        <v>4.25</v>
      </c>
      <c r="T1265" s="8">
        <v>1.0001180555555556</v>
      </c>
      <c r="U1265" s="98">
        <v>3.9411842487679483</v>
      </c>
      <c r="V1265" s="106">
        <v>29115.783420597589</v>
      </c>
      <c r="W1265" s="10">
        <v>0.80607294337906588</v>
      </c>
      <c r="X1265" s="420"/>
      <c r="Y1265" s="420"/>
      <c r="Z1265" s="1"/>
      <c r="AA1265" s="1"/>
      <c r="AB1265" s="1"/>
      <c r="AC1265" s="1"/>
      <c r="AD1265" s="1"/>
    </row>
    <row r="1266" spans="17:30">
      <c r="Q1266" s="6">
        <v>1236</v>
      </c>
      <c r="R1266" s="7">
        <v>43903</v>
      </c>
      <c r="S1266" s="210">
        <v>4.25</v>
      </c>
      <c r="T1266" s="8">
        <v>1.0001180555555556</v>
      </c>
      <c r="U1266" s="98">
        <v>3.9415570179561765</v>
      </c>
      <c r="V1266" s="106">
        <v>29118.128631917127</v>
      </c>
      <c r="W1266" s="10">
        <v>0.80653461084005951</v>
      </c>
      <c r="X1266" s="420"/>
      <c r="Y1266" s="420"/>
      <c r="Z1266" s="1"/>
      <c r="AA1266" s="1"/>
      <c r="AB1266" s="1"/>
      <c r="AC1266" s="1"/>
      <c r="AD1266" s="1"/>
    </row>
    <row r="1267" spans="17:30">
      <c r="Q1267" s="6">
        <v>1237</v>
      </c>
      <c r="R1267" s="7">
        <v>43904</v>
      </c>
      <c r="S1267" s="210">
        <v>4.25</v>
      </c>
      <c r="T1267" s="8">
        <v>1.0001180555555556</v>
      </c>
      <c r="U1267" s="98">
        <v>3.9419291857792693</v>
      </c>
      <c r="V1267" s="106">
        <v>29120.474032138201</v>
      </c>
      <c r="W1267" s="10">
        <v>0.80699553397944879</v>
      </c>
      <c r="X1267" s="420"/>
      <c r="Y1267" s="420"/>
      <c r="Z1267" s="1"/>
      <c r="AA1267" s="1"/>
      <c r="AB1267" s="1"/>
      <c r="AC1267" s="1"/>
      <c r="AD1267" s="1"/>
    </row>
    <row r="1268" spans="17:30">
      <c r="Q1268" s="6">
        <v>1238</v>
      </c>
      <c r="R1268" s="7">
        <v>43905</v>
      </c>
      <c r="S1268" s="210">
        <v>4.25</v>
      </c>
      <c r="T1268" s="8">
        <v>1.0001180555555556</v>
      </c>
      <c r="U1268" s="98">
        <v>3.9423007536912857</v>
      </c>
      <c r="V1268" s="106">
        <v>29122.819621276023</v>
      </c>
      <c r="W1268" s="10">
        <v>0.80745571459579502</v>
      </c>
      <c r="X1268" s="420"/>
      <c r="Y1268" s="420"/>
      <c r="Z1268" s="1"/>
      <c r="AA1268" s="1"/>
      <c r="AB1268" s="1"/>
      <c r="AC1268" s="1"/>
      <c r="AD1268" s="1"/>
    </row>
    <row r="1269" spans="17:30">
      <c r="Q1269" s="6">
        <v>1239</v>
      </c>
      <c r="R1269" s="7">
        <v>43906</v>
      </c>
      <c r="S1269" s="210">
        <v>4.25</v>
      </c>
      <c r="T1269" s="8">
        <v>1.0001180555555556</v>
      </c>
      <c r="U1269" s="98">
        <v>3.9426717231415553</v>
      </c>
      <c r="V1269" s="106">
        <v>29125.165399345813</v>
      </c>
      <c r="W1269" s="10">
        <v>0.80791515448190854</v>
      </c>
      <c r="X1269" s="420"/>
      <c r="Y1269" s="420"/>
      <c r="Z1269" s="1"/>
      <c r="AA1269" s="1"/>
      <c r="AB1269" s="1"/>
      <c r="AC1269" s="1"/>
      <c r="AD1269" s="1"/>
    </row>
    <row r="1270" spans="17:30">
      <c r="Q1270" s="6">
        <v>1240</v>
      </c>
      <c r="R1270" s="7">
        <v>43907</v>
      </c>
      <c r="S1270" s="210">
        <v>4.25</v>
      </c>
      <c r="T1270" s="8">
        <v>1.0001180555555556</v>
      </c>
      <c r="U1270" s="98">
        <v>3.9430420955747891</v>
      </c>
      <c r="V1270" s="106">
        <v>29127.511366362793</v>
      </c>
      <c r="W1270" s="10">
        <v>0.80837385542482654</v>
      </c>
      <c r="X1270" s="420"/>
      <c r="Y1270" s="420"/>
      <c r="Z1270" s="1"/>
      <c r="AA1270" s="1"/>
      <c r="AB1270" s="1"/>
      <c r="AC1270" s="1"/>
      <c r="AD1270" s="1"/>
    </row>
    <row r="1271" spans="17:30">
      <c r="Q1271" s="6">
        <v>1241</v>
      </c>
      <c r="R1271" s="7">
        <v>43908</v>
      </c>
      <c r="S1271" s="210">
        <v>4.25</v>
      </c>
      <c r="T1271" s="8">
        <v>1.0001180555555556</v>
      </c>
      <c r="U1271" s="98">
        <v>3.9434118724310352</v>
      </c>
      <c r="V1271" s="106">
        <v>29129.857522342169</v>
      </c>
      <c r="W1271" s="10">
        <v>0.80883181920583525</v>
      </c>
      <c r="X1271" s="420"/>
      <c r="Y1271" s="420"/>
      <c r="Z1271" s="1"/>
      <c r="AA1271" s="1"/>
      <c r="AB1271" s="1"/>
      <c r="AC1271" s="1"/>
      <c r="AD1271" s="1"/>
    </row>
    <row r="1272" spans="17:30">
      <c r="Q1272" s="6">
        <v>1242</v>
      </c>
      <c r="R1272" s="7">
        <v>43909</v>
      </c>
      <c r="S1272" s="210">
        <v>4.25</v>
      </c>
      <c r="T1272" s="8">
        <v>1.0001180555555556</v>
      </c>
      <c r="U1272" s="98">
        <v>3.9437810551457231</v>
      </c>
      <c r="V1272" s="106">
        <v>29132.203867299166</v>
      </c>
      <c r="W1272" s="10">
        <v>0.80928904760053655</v>
      </c>
      <c r="X1272" s="420"/>
      <c r="Y1272" s="420"/>
      <c r="Z1272" s="1"/>
      <c r="AA1272" s="1"/>
      <c r="AB1272" s="1"/>
      <c r="AC1272" s="1"/>
      <c r="AD1272" s="1"/>
    </row>
    <row r="1273" spans="17:30">
      <c r="Q1273" s="6">
        <v>1243</v>
      </c>
      <c r="R1273" s="7">
        <v>43910</v>
      </c>
      <c r="S1273" s="210">
        <v>4.25</v>
      </c>
      <c r="T1273" s="8">
        <v>1.0001180555555556</v>
      </c>
      <c r="U1273" s="98">
        <v>3.9441496451496416</v>
      </c>
      <c r="V1273" s="106">
        <v>29134.550401249013</v>
      </c>
      <c r="W1273" s="10">
        <v>0.80974554237875918</v>
      </c>
      <c r="X1273" s="420"/>
      <c r="Y1273" s="420"/>
      <c r="Z1273" s="1"/>
      <c r="AA1273" s="1"/>
      <c r="AB1273" s="1"/>
      <c r="AC1273" s="1"/>
      <c r="AD1273" s="1"/>
    </row>
    <row r="1274" spans="17:30">
      <c r="Q1274" s="6">
        <v>1244</v>
      </c>
      <c r="R1274" s="7">
        <v>43911</v>
      </c>
      <c r="S1274" s="210">
        <v>4.25</v>
      </c>
      <c r="T1274" s="8">
        <v>1.0001180555555556</v>
      </c>
      <c r="U1274" s="98">
        <v>3.9445176438690277</v>
      </c>
      <c r="V1274" s="106">
        <v>29136.897124206924</v>
      </c>
      <c r="W1274" s="10">
        <v>0.81020130530471413</v>
      </c>
      <c r="X1274" s="420"/>
      <c r="Y1274" s="420"/>
      <c r="Z1274" s="1"/>
      <c r="AA1274" s="1"/>
      <c r="AB1274" s="1"/>
      <c r="AC1274" s="1"/>
      <c r="AD1274" s="1"/>
    </row>
    <row r="1275" spans="17:30">
      <c r="Q1275" s="6">
        <v>1245</v>
      </c>
      <c r="R1275" s="7">
        <v>43912</v>
      </c>
      <c r="S1275" s="210">
        <v>4.25</v>
      </c>
      <c r="T1275" s="8">
        <v>1.0001180555555556</v>
      </c>
      <c r="U1275" s="98">
        <v>3.9448850527254997</v>
      </c>
      <c r="V1275" s="106">
        <v>29139.244036188131</v>
      </c>
      <c r="W1275" s="10">
        <v>0.81065633813690585</v>
      </c>
      <c r="X1275" s="420"/>
      <c r="Y1275" s="420"/>
      <c r="Z1275" s="1"/>
      <c r="AA1275" s="1"/>
      <c r="AB1275" s="1"/>
      <c r="AC1275" s="1"/>
      <c r="AD1275" s="1"/>
    </row>
    <row r="1276" spans="17:30">
      <c r="Q1276" s="6">
        <v>1246</v>
      </c>
      <c r="R1276" s="7">
        <v>43913</v>
      </c>
      <c r="S1276" s="210">
        <v>4.25</v>
      </c>
      <c r="T1276" s="8">
        <v>1.0001180555555556</v>
      </c>
      <c r="U1276" s="98">
        <v>3.9452518731361907</v>
      </c>
      <c r="V1276" s="106">
        <v>29141.591137207855</v>
      </c>
      <c r="W1276" s="10">
        <v>0.8111106426283321</v>
      </c>
      <c r="X1276" s="420"/>
      <c r="Y1276" s="420"/>
      <c r="Z1276" s="1"/>
      <c r="AA1276" s="1"/>
      <c r="AB1276" s="1"/>
      <c r="AC1276" s="1"/>
      <c r="AD1276" s="1"/>
    </row>
    <row r="1277" spans="17:30">
      <c r="Q1277" s="6">
        <v>1247</v>
      </c>
      <c r="R1277" s="7">
        <v>43914</v>
      </c>
      <c r="S1277" s="210">
        <v>4.25</v>
      </c>
      <c r="T1277" s="8">
        <v>1.0001180555555556</v>
      </c>
      <c r="U1277" s="98">
        <v>3.9456181065136375</v>
      </c>
      <c r="V1277" s="106">
        <v>29143.938427281326</v>
      </c>
      <c r="W1277" s="10">
        <v>0.81156422052623967</v>
      </c>
      <c r="X1277" s="420"/>
      <c r="Y1277" s="420"/>
      <c r="Z1277" s="1"/>
      <c r="AA1277" s="1"/>
      <c r="AB1277" s="1"/>
      <c r="AC1277" s="1"/>
      <c r="AD1277" s="1"/>
    </row>
    <row r="1278" spans="17:30">
      <c r="Q1278" s="6">
        <v>1248</v>
      </c>
      <c r="R1278" s="7">
        <v>43915</v>
      </c>
      <c r="S1278" s="210">
        <v>4.25</v>
      </c>
      <c r="T1278" s="8">
        <v>1.0001180555555556</v>
      </c>
      <c r="U1278" s="98">
        <v>3.9459837542658693</v>
      </c>
      <c r="V1278" s="106">
        <v>29146.285906423767</v>
      </c>
      <c r="W1278" s="10">
        <v>0.81201707357234643</v>
      </c>
      <c r="X1278" s="420"/>
      <c r="Y1278" s="420"/>
      <c r="Z1278" s="1"/>
      <c r="AA1278" s="1"/>
      <c r="AB1278" s="1"/>
      <c r="AC1278" s="1"/>
      <c r="AD1278" s="1"/>
    </row>
    <row r="1279" spans="17:30">
      <c r="Q1279" s="6">
        <v>1249</v>
      </c>
      <c r="R1279" s="7">
        <v>43916</v>
      </c>
      <c r="S1279" s="210">
        <v>4.25</v>
      </c>
      <c r="T1279" s="8">
        <v>1.0001180555555556</v>
      </c>
      <c r="U1279" s="98">
        <v>3.9463488177964523</v>
      </c>
      <c r="V1279" s="106">
        <v>29148.633574650412</v>
      </c>
      <c r="W1279" s="10">
        <v>0.81246920350284135</v>
      </c>
      <c r="X1279" s="420"/>
      <c r="Y1279" s="420"/>
      <c r="Z1279" s="1"/>
      <c r="AA1279" s="1"/>
      <c r="AB1279" s="1"/>
      <c r="AC1279" s="1"/>
      <c r="AD1279" s="1"/>
    </row>
    <row r="1280" spans="17:30">
      <c r="Q1280" s="6">
        <v>1250</v>
      </c>
      <c r="R1280" s="7">
        <v>43917</v>
      </c>
      <c r="S1280" s="210">
        <v>4.25</v>
      </c>
      <c r="T1280" s="8">
        <v>1.0001180555555556</v>
      </c>
      <c r="U1280" s="98">
        <v>3.9467132985044229</v>
      </c>
      <c r="V1280" s="106">
        <v>29150.981431976485</v>
      </c>
      <c r="W1280" s="10">
        <v>0.8129206120483401</v>
      </c>
      <c r="X1280" s="420"/>
      <c r="Y1280" s="420"/>
      <c r="Z1280" s="1"/>
      <c r="AA1280" s="1"/>
      <c r="AB1280" s="1"/>
      <c r="AC1280" s="1"/>
      <c r="AD1280" s="1"/>
    </row>
    <row r="1281" spans="17:30">
      <c r="Q1281" s="6">
        <v>1251</v>
      </c>
      <c r="R1281" s="7">
        <v>43918</v>
      </c>
      <c r="S1281" s="210">
        <v>4.25</v>
      </c>
      <c r="T1281" s="8">
        <v>1.0001180555555556</v>
      </c>
      <c r="U1281" s="98">
        <v>3.9470771977843766</v>
      </c>
      <c r="V1281" s="106">
        <v>29153.329478417225</v>
      </c>
      <c r="W1281" s="10">
        <v>0.81337130093390719</v>
      </c>
      <c r="X1281" s="420"/>
      <c r="Y1281" s="420"/>
      <c r="Z1281" s="1"/>
      <c r="AA1281" s="1"/>
      <c r="AB1281" s="1"/>
      <c r="AC1281" s="1"/>
      <c r="AD1281" s="1"/>
    </row>
    <row r="1282" spans="17:30">
      <c r="Q1282" s="6">
        <v>1252</v>
      </c>
      <c r="R1282" s="7">
        <v>43919</v>
      </c>
      <c r="S1282" s="210">
        <v>4.25</v>
      </c>
      <c r="T1282" s="8">
        <v>1.0001180555555556</v>
      </c>
      <c r="U1282" s="98">
        <v>3.9474405170264681</v>
      </c>
      <c r="V1282" s="106">
        <v>29155.677713987858</v>
      </c>
      <c r="W1282" s="10">
        <v>0.81382127187918929</v>
      </c>
      <c r="X1282" s="420"/>
      <c r="Y1282" s="420"/>
      <c r="Z1282" s="1"/>
      <c r="AA1282" s="1"/>
      <c r="AB1282" s="1"/>
      <c r="AC1282" s="1"/>
      <c r="AD1282" s="1"/>
    </row>
    <row r="1283" spans="17:30">
      <c r="Q1283" s="6">
        <v>1253</v>
      </c>
      <c r="R1283" s="7">
        <v>43920</v>
      </c>
      <c r="S1283" s="210">
        <v>4.25</v>
      </c>
      <c r="T1283" s="8">
        <v>1.0001180555555556</v>
      </c>
      <c r="U1283" s="98">
        <v>3.9478032576164335</v>
      </c>
      <c r="V1283" s="106">
        <v>29158.026138703619</v>
      </c>
      <c r="W1283" s="10">
        <v>0.81427052659830412</v>
      </c>
      <c r="X1283" s="420"/>
      <c r="Y1283" s="420"/>
      <c r="Z1283" s="1"/>
      <c r="AA1283" s="1"/>
      <c r="AB1283" s="1"/>
      <c r="AC1283" s="1"/>
      <c r="AD1283" s="1"/>
    </row>
    <row r="1284" spans="17:30">
      <c r="Q1284" s="6">
        <v>1254</v>
      </c>
      <c r="R1284" s="7">
        <v>43921</v>
      </c>
      <c r="S1284" s="210">
        <v>4.25</v>
      </c>
      <c r="T1284" s="8">
        <v>1.0001180555555556</v>
      </c>
      <c r="U1284" s="98">
        <v>3.9481654209355899</v>
      </c>
      <c r="V1284" s="106">
        <v>29160.374752579748</v>
      </c>
      <c r="W1284" s="10">
        <v>0.81471906679995154</v>
      </c>
      <c r="X1284" s="420"/>
      <c r="Y1284" s="420"/>
      <c r="Z1284" s="1"/>
      <c r="AA1284" s="1"/>
      <c r="AB1284" s="1"/>
      <c r="AC1284" s="1"/>
      <c r="AD1284" s="1"/>
    </row>
    <row r="1285" spans="17:30">
      <c r="Q1285" s="6">
        <v>1255</v>
      </c>
      <c r="R1285" s="7">
        <v>43922</v>
      </c>
      <c r="S1285" s="210">
        <v>4.25</v>
      </c>
      <c r="T1285" s="8">
        <v>1.0001180555555556</v>
      </c>
      <c r="U1285" s="98">
        <v>3.9485270083608359</v>
      </c>
      <c r="V1285" s="106">
        <v>29162.723555631481</v>
      </c>
      <c r="W1285" s="10">
        <v>0.81516689418734689</v>
      </c>
      <c r="X1285" s="420"/>
      <c r="Y1285" s="420"/>
      <c r="Z1285" s="1"/>
      <c r="AA1285" s="1"/>
      <c r="AB1285" s="1"/>
      <c r="AC1285" s="1"/>
      <c r="AD1285" s="1"/>
    </row>
    <row r="1286" spans="17:30">
      <c r="Q1286" s="6">
        <v>1256</v>
      </c>
      <c r="R1286" s="7">
        <v>43923</v>
      </c>
      <c r="S1286" s="210">
        <v>4.25</v>
      </c>
      <c r="T1286" s="8">
        <v>1.0001180555555556</v>
      </c>
      <c r="U1286" s="98">
        <v>3.9488880212647182</v>
      </c>
      <c r="V1286" s="106">
        <v>29165.07254787405</v>
      </c>
      <c r="W1286" s="10">
        <v>0.81561401045835424</v>
      </c>
      <c r="X1286" s="420"/>
      <c r="Y1286" s="420"/>
      <c r="Z1286" s="1"/>
      <c r="AA1286" s="1"/>
      <c r="AB1286" s="1"/>
      <c r="AC1286" s="1"/>
      <c r="AD1286" s="1"/>
    </row>
    <row r="1287" spans="17:30">
      <c r="Q1287" s="6">
        <v>1257</v>
      </c>
      <c r="R1287" s="7">
        <v>43924</v>
      </c>
      <c r="S1287" s="210">
        <v>4.25</v>
      </c>
      <c r="T1287" s="8">
        <v>1.0001180555555556</v>
      </c>
      <c r="U1287" s="98">
        <v>3.9492484610154088</v>
      </c>
      <c r="V1287" s="106">
        <v>29167.421729322698</v>
      </c>
      <c r="W1287" s="10">
        <v>0.81606041730541978</v>
      </c>
      <c r="X1287" s="420"/>
      <c r="Y1287" s="420"/>
      <c r="Z1287" s="1"/>
      <c r="AA1287" s="1"/>
      <c r="AB1287" s="1"/>
      <c r="AC1287" s="1"/>
      <c r="AD1287" s="1"/>
    </row>
    <row r="1288" spans="17:30">
      <c r="Q1288" s="6">
        <v>1258</v>
      </c>
      <c r="R1288" s="7">
        <v>43925</v>
      </c>
      <c r="S1288" s="210">
        <v>4.25</v>
      </c>
      <c r="T1288" s="8">
        <v>1.0001180555555556</v>
      </c>
      <c r="U1288" s="98">
        <v>3.9496083289767725</v>
      </c>
      <c r="V1288" s="106">
        <v>29169.771099992664</v>
      </c>
      <c r="W1288" s="10">
        <v>0.81650611641561621</v>
      </c>
      <c r="X1288" s="420"/>
      <c r="Y1288" s="420"/>
      <c r="Z1288" s="1"/>
      <c r="AA1288" s="1"/>
      <c r="AB1288" s="1"/>
      <c r="AC1288" s="1"/>
      <c r="AD1288" s="1"/>
    </row>
    <row r="1289" spans="17:30">
      <c r="Q1289" s="6">
        <v>1259</v>
      </c>
      <c r="R1289" s="7">
        <v>43926</v>
      </c>
      <c r="S1289" s="210">
        <v>4.25</v>
      </c>
      <c r="T1289" s="8">
        <v>1.0001180555555556</v>
      </c>
      <c r="U1289" s="98">
        <v>3.9499676265083217</v>
      </c>
      <c r="V1289" s="106">
        <v>29172.120659899192</v>
      </c>
      <c r="W1289" s="10">
        <v>0.81695110947068716</v>
      </c>
      <c r="X1289" s="420"/>
      <c r="Y1289" s="420"/>
      <c r="Z1289" s="1"/>
      <c r="AA1289" s="1"/>
      <c r="AB1289" s="1"/>
      <c r="AC1289" s="1"/>
      <c r="AD1289" s="1"/>
    </row>
    <row r="1290" spans="17:30">
      <c r="Q1290" s="6">
        <v>1260</v>
      </c>
      <c r="R1290" s="7">
        <v>43927</v>
      </c>
      <c r="S1290" s="210">
        <v>4.25</v>
      </c>
      <c r="T1290" s="8">
        <v>1.0001180555555556</v>
      </c>
      <c r="U1290" s="98">
        <v>3.9503263549652834</v>
      </c>
      <c r="V1290" s="106">
        <v>29174.470409057518</v>
      </c>
      <c r="W1290" s="10">
        <v>0.81739539814706941</v>
      </c>
      <c r="X1290" s="420"/>
      <c r="Y1290" s="420"/>
      <c r="Z1290" s="1"/>
      <c r="AA1290" s="1"/>
      <c r="AB1290" s="1"/>
      <c r="AC1290" s="1"/>
      <c r="AD1290" s="1"/>
    </row>
    <row r="1291" spans="17:30">
      <c r="Q1291" s="6">
        <v>1261</v>
      </c>
      <c r="R1291" s="7">
        <v>43928</v>
      </c>
      <c r="S1291" s="210">
        <v>4.25</v>
      </c>
      <c r="T1291" s="8">
        <v>1.0001180555555556</v>
      </c>
      <c r="U1291" s="98">
        <v>3.9506845156985548</v>
      </c>
      <c r="V1291" s="106">
        <v>29176.820347482892</v>
      </c>
      <c r="W1291" s="10">
        <v>0.81783898411582623</v>
      </c>
      <c r="X1291" s="420"/>
      <c r="Y1291" s="420"/>
      <c r="Z1291" s="1"/>
      <c r="AA1291" s="1"/>
      <c r="AB1291" s="1"/>
      <c r="AC1291" s="1"/>
      <c r="AD1291" s="1"/>
    </row>
    <row r="1292" spans="17:30">
      <c r="Q1292" s="6">
        <v>1262</v>
      </c>
      <c r="R1292" s="7">
        <v>43929</v>
      </c>
      <c r="S1292" s="210">
        <v>4.25</v>
      </c>
      <c r="T1292" s="8">
        <v>1.0001180555555556</v>
      </c>
      <c r="U1292" s="98">
        <v>3.9510421100548143</v>
      </c>
      <c r="V1292" s="106">
        <v>29179.170475190556</v>
      </c>
      <c r="W1292" s="10">
        <v>0.81828186904284728</v>
      </c>
      <c r="X1292" s="420"/>
      <c r="Y1292" s="420"/>
      <c r="Z1292" s="1"/>
      <c r="AA1292" s="1"/>
      <c r="AB1292" s="1"/>
      <c r="AC1292" s="1"/>
      <c r="AD1292" s="1"/>
    </row>
    <row r="1293" spans="17:30">
      <c r="Q1293" s="6">
        <v>1263</v>
      </c>
      <c r="R1293" s="7">
        <v>43930</v>
      </c>
      <c r="S1293" s="210">
        <v>4.25</v>
      </c>
      <c r="T1293" s="8">
        <v>1.0001180555555556</v>
      </c>
      <c r="U1293" s="98">
        <v>3.9513991393764325</v>
      </c>
      <c r="V1293" s="106">
        <v>29181.520792195763</v>
      </c>
      <c r="W1293" s="10">
        <v>0.81872405458867092</v>
      </c>
      <c r="X1293" s="420"/>
      <c r="Y1293" s="420"/>
      <c r="Z1293" s="1"/>
      <c r="AA1293" s="1"/>
      <c r="AB1293" s="1"/>
      <c r="AC1293" s="1"/>
      <c r="AD1293" s="1"/>
    </row>
    <row r="1294" spans="17:30">
      <c r="Q1294" s="6">
        <v>1264</v>
      </c>
      <c r="R1294" s="7">
        <v>43931</v>
      </c>
      <c r="S1294" s="210">
        <v>4.25</v>
      </c>
      <c r="T1294" s="8">
        <v>1.0001180555555556</v>
      </c>
      <c r="U1294" s="98">
        <v>3.9517556050015834</v>
      </c>
      <c r="V1294" s="106">
        <v>29183.949651984913</v>
      </c>
      <c r="W1294" s="10">
        <v>0.81908737900233675</v>
      </c>
      <c r="X1294" s="420"/>
      <c r="Y1294" s="420"/>
      <c r="Z1294" s="1"/>
      <c r="AA1294" s="1"/>
      <c r="AB1294" s="1"/>
      <c r="AC1294" s="1"/>
      <c r="AD1294" s="1"/>
    </row>
    <row r="1295" spans="17:30">
      <c r="Q1295" s="6">
        <v>1265</v>
      </c>
      <c r="R1295" s="7">
        <v>43932</v>
      </c>
      <c r="S1295" s="210">
        <v>4.25</v>
      </c>
      <c r="T1295" s="8">
        <v>1.0001180555555556</v>
      </c>
      <c r="U1295" s="98">
        <v>3.9521115082642</v>
      </c>
      <c r="V1295" s="106">
        <v>29186.378713934879</v>
      </c>
      <c r="W1295" s="10">
        <v>0.81945013029625091</v>
      </c>
      <c r="X1295" s="420"/>
      <c r="Y1295" s="420"/>
      <c r="Z1295" s="1"/>
      <c r="AA1295" s="1"/>
      <c r="AB1295" s="1"/>
      <c r="AC1295" s="1"/>
      <c r="AD1295" s="1"/>
    </row>
    <row r="1296" spans="17:30">
      <c r="Q1296" s="6">
        <v>1266</v>
      </c>
      <c r="R1296" s="7">
        <v>43933</v>
      </c>
      <c r="S1296" s="210">
        <v>4.25</v>
      </c>
      <c r="T1296" s="8">
        <v>1.0001180555555556</v>
      </c>
      <c r="U1296" s="98">
        <v>3.9524668504939964</v>
      </c>
      <c r="V1296" s="106">
        <v>29188.807978062479</v>
      </c>
      <c r="W1296" s="10">
        <v>0.81981230982544062</v>
      </c>
      <c r="X1296" s="420"/>
      <c r="Y1296" s="420"/>
      <c r="Z1296" s="1"/>
      <c r="AA1296" s="1"/>
      <c r="AB1296" s="1"/>
      <c r="AC1296" s="1"/>
      <c r="AD1296" s="1"/>
    </row>
    <row r="1297" spans="17:30">
      <c r="Q1297" s="6">
        <v>1267</v>
      </c>
      <c r="R1297" s="7">
        <v>43934</v>
      </c>
      <c r="S1297" s="210">
        <v>4.25</v>
      </c>
      <c r="T1297" s="8">
        <v>1.0001180555555556</v>
      </c>
      <c r="U1297" s="98">
        <v>3.9528216330165344</v>
      </c>
      <c r="V1297" s="106">
        <v>29191.237444384544</v>
      </c>
      <c r="W1297" s="10">
        <v>0.82017391894069203</v>
      </c>
      <c r="X1297" s="420"/>
      <c r="Y1297" s="420"/>
      <c r="Z1297" s="1"/>
      <c r="AA1297" s="1"/>
      <c r="AB1297" s="1"/>
      <c r="AC1297" s="1"/>
      <c r="AD1297" s="1"/>
    </row>
    <row r="1298" spans="17:30">
      <c r="Q1298" s="6">
        <v>1268</v>
      </c>
      <c r="R1298" s="7">
        <v>43935</v>
      </c>
      <c r="S1298" s="210">
        <v>4.25</v>
      </c>
      <c r="T1298" s="8">
        <v>1.0001180555555556</v>
      </c>
      <c r="U1298" s="98">
        <v>3.9531758571531794</v>
      </c>
      <c r="V1298" s="106">
        <v>29193.667112917894</v>
      </c>
      <c r="W1298" s="10">
        <v>0.82053495898848361</v>
      </c>
      <c r="X1298" s="420"/>
      <c r="Y1298" s="420"/>
      <c r="Z1298" s="1"/>
      <c r="AA1298" s="1"/>
      <c r="AB1298" s="1"/>
      <c r="AC1298" s="1"/>
      <c r="AD1298" s="1"/>
    </row>
    <row r="1299" spans="17:30">
      <c r="Q1299" s="6">
        <v>1269</v>
      </c>
      <c r="R1299" s="7">
        <v>43936</v>
      </c>
      <c r="S1299" s="210">
        <v>4.25</v>
      </c>
      <c r="T1299" s="8">
        <v>1.0001180555555556</v>
      </c>
      <c r="U1299" s="98">
        <v>3.9535295242211221</v>
      </c>
      <c r="V1299" s="106">
        <v>29196.096983679374</v>
      </c>
      <c r="W1299" s="10">
        <v>0.8208954313110528</v>
      </c>
      <c r="X1299" s="420"/>
      <c r="Y1299" s="420"/>
      <c r="Z1299" s="1"/>
      <c r="AA1299" s="1"/>
      <c r="AB1299" s="1"/>
      <c r="AC1299" s="1"/>
      <c r="AD1299" s="1"/>
    </row>
    <row r="1300" spans="17:30">
      <c r="Q1300" s="6">
        <v>1270</v>
      </c>
      <c r="R1300" s="7">
        <v>43937</v>
      </c>
      <c r="S1300" s="210">
        <v>4.25</v>
      </c>
      <c r="T1300" s="8">
        <v>1.0001180555555556</v>
      </c>
      <c r="U1300" s="98">
        <v>3.9538826355334677</v>
      </c>
      <c r="V1300" s="106">
        <v>29198.527056685809</v>
      </c>
      <c r="W1300" s="10">
        <v>0.8212553372464626</v>
      </c>
      <c r="X1300" s="420"/>
      <c r="Y1300" s="420"/>
      <c r="Z1300" s="1"/>
      <c r="AA1300" s="1"/>
      <c r="AB1300" s="1"/>
      <c r="AC1300" s="1"/>
      <c r="AD1300" s="1"/>
    </row>
    <row r="1301" spans="17:30">
      <c r="Q1301" s="6">
        <v>1271</v>
      </c>
      <c r="R1301" s="7">
        <v>43938</v>
      </c>
      <c r="S1301" s="210">
        <v>4.25</v>
      </c>
      <c r="T1301" s="8">
        <v>1.0001180555555556</v>
      </c>
      <c r="U1301" s="98">
        <v>3.954235192399147</v>
      </c>
      <c r="V1301" s="106">
        <v>29200.95733195404</v>
      </c>
      <c r="W1301" s="10">
        <v>0.82161467812855715</v>
      </c>
      <c r="X1301" s="420"/>
      <c r="Y1301" s="420"/>
      <c r="Z1301" s="1"/>
      <c r="AA1301" s="1"/>
      <c r="AB1301" s="1"/>
      <c r="AC1301" s="1"/>
      <c r="AD1301" s="1"/>
    </row>
    <row r="1302" spans="17:30">
      <c r="Q1302" s="6">
        <v>1272</v>
      </c>
      <c r="R1302" s="7">
        <v>43939</v>
      </c>
      <c r="S1302" s="210">
        <v>4.25</v>
      </c>
      <c r="T1302" s="8">
        <v>1.0001180555555556</v>
      </c>
      <c r="U1302" s="98">
        <v>3.9545871961229828</v>
      </c>
      <c r="V1302" s="106">
        <v>29203.387809500888</v>
      </c>
      <c r="W1302" s="10">
        <v>0.82197345528696175</v>
      </c>
      <c r="X1302" s="420"/>
      <c r="Y1302" s="420"/>
      <c r="Z1302" s="1"/>
      <c r="AA1302" s="1"/>
      <c r="AB1302" s="1"/>
      <c r="AC1302" s="1"/>
      <c r="AD1302" s="1"/>
    </row>
    <row r="1303" spans="17:30">
      <c r="Q1303" s="6">
        <v>1273</v>
      </c>
      <c r="R1303" s="7">
        <v>43940</v>
      </c>
      <c r="S1303" s="210">
        <v>4.25</v>
      </c>
      <c r="T1303" s="8">
        <v>1.0001180555555556</v>
      </c>
      <c r="U1303" s="98">
        <v>3.9549386480057569</v>
      </c>
      <c r="V1303" s="106">
        <v>29205.818489343194</v>
      </c>
      <c r="W1303" s="10">
        <v>0.82233167004721608</v>
      </c>
      <c r="X1303" s="420"/>
      <c r="Y1303" s="420"/>
      <c r="Z1303" s="1"/>
      <c r="AA1303" s="1"/>
      <c r="AB1303" s="1"/>
      <c r="AC1303" s="1"/>
      <c r="AD1303" s="1"/>
    </row>
    <row r="1304" spans="17:30">
      <c r="Q1304" s="6">
        <v>1274</v>
      </c>
      <c r="R1304" s="7">
        <v>43941</v>
      </c>
      <c r="S1304" s="210">
        <v>4.25</v>
      </c>
      <c r="T1304" s="8">
        <v>1.0001180555555556</v>
      </c>
      <c r="U1304" s="98">
        <v>3.9552895493441209</v>
      </c>
      <c r="V1304" s="106">
        <v>29208.249371497805</v>
      </c>
      <c r="W1304" s="10">
        <v>0.82268932373061876</v>
      </c>
      <c r="X1304" s="420"/>
      <c r="Y1304" s="420"/>
      <c r="Z1304" s="1"/>
      <c r="AA1304" s="1"/>
      <c r="AB1304" s="1"/>
      <c r="AC1304" s="1"/>
      <c r="AD1304" s="1"/>
    </row>
    <row r="1305" spans="17:30">
      <c r="Q1305" s="6">
        <v>1275</v>
      </c>
      <c r="R1305" s="7">
        <v>43942</v>
      </c>
      <c r="S1305" s="210">
        <v>4.25</v>
      </c>
      <c r="T1305" s="8">
        <v>1.0001180555555556</v>
      </c>
      <c r="U1305" s="98">
        <v>3.9556399014307075</v>
      </c>
      <c r="V1305" s="106">
        <v>29210.680455981546</v>
      </c>
      <c r="W1305" s="10">
        <v>0.8230464176543828</v>
      </c>
      <c r="X1305" s="420"/>
      <c r="Y1305" s="420"/>
      <c r="Z1305" s="1"/>
      <c r="AA1305" s="1"/>
      <c r="AB1305" s="1"/>
      <c r="AC1305" s="1"/>
      <c r="AD1305" s="1"/>
    </row>
    <row r="1306" spans="17:30">
      <c r="Q1306" s="6">
        <v>1276</v>
      </c>
      <c r="R1306" s="7">
        <v>43943</v>
      </c>
      <c r="S1306" s="210">
        <v>4.25</v>
      </c>
      <c r="T1306" s="8">
        <v>1.0001180555555556</v>
      </c>
      <c r="U1306" s="98">
        <v>3.9559897055540638</v>
      </c>
      <c r="V1306" s="106">
        <v>29213.111742811274</v>
      </c>
      <c r="W1306" s="10">
        <v>0.82340295313154677</v>
      </c>
      <c r="X1306" s="420"/>
      <c r="Y1306" s="420"/>
      <c r="Z1306" s="1"/>
      <c r="AA1306" s="1"/>
      <c r="AB1306" s="1"/>
      <c r="AC1306" s="1"/>
      <c r="AD1306" s="1"/>
    </row>
    <row r="1307" spans="17:30">
      <c r="Q1307" s="6">
        <v>1277</v>
      </c>
      <c r="R1307" s="7">
        <v>43944</v>
      </c>
      <c r="S1307" s="210">
        <v>4.25</v>
      </c>
      <c r="T1307" s="8">
        <v>1.0001180555555556</v>
      </c>
      <c r="U1307" s="98">
        <v>3.9563389629987622</v>
      </c>
      <c r="V1307" s="106">
        <v>29215.543232003816</v>
      </c>
      <c r="W1307" s="10">
        <v>0.82375893147117463</v>
      </c>
      <c r="X1307" s="420"/>
      <c r="Y1307" s="420"/>
      <c r="Z1307" s="1"/>
      <c r="AA1307" s="1"/>
      <c r="AB1307" s="1"/>
      <c r="AC1307" s="1"/>
      <c r="AD1307" s="1"/>
    </row>
    <row r="1308" spans="17:30">
      <c r="Q1308" s="6">
        <v>1278</v>
      </c>
      <c r="R1308" s="7">
        <v>43945</v>
      </c>
      <c r="S1308" s="210">
        <v>4.25</v>
      </c>
      <c r="T1308" s="8">
        <v>1.0001180555555556</v>
      </c>
      <c r="U1308" s="98">
        <v>3.9566876750453339</v>
      </c>
      <c r="V1308" s="106">
        <v>29217.974923576017</v>
      </c>
      <c r="W1308" s="10">
        <v>0.8241143539780893</v>
      </c>
      <c r="X1308" s="420"/>
      <c r="Y1308" s="420"/>
      <c r="Z1308" s="1"/>
      <c r="AA1308" s="1"/>
      <c r="AB1308" s="1"/>
      <c r="AC1308" s="1"/>
      <c r="AD1308" s="1"/>
    </row>
    <row r="1309" spans="17:30">
      <c r="Q1309" s="6">
        <v>1279</v>
      </c>
      <c r="R1309" s="7">
        <v>43946</v>
      </c>
      <c r="S1309" s="210">
        <v>4.25</v>
      </c>
      <c r="T1309" s="8">
        <v>1.0001180555555556</v>
      </c>
      <c r="U1309" s="98">
        <v>3.9570358429702912</v>
      </c>
      <c r="V1309" s="106">
        <v>29220.406817544725</v>
      </c>
      <c r="W1309" s="10">
        <v>0.8244692219531391</v>
      </c>
      <c r="X1309" s="420"/>
      <c r="Y1309" s="420"/>
      <c r="Z1309" s="1"/>
      <c r="AA1309" s="1"/>
      <c r="AB1309" s="1"/>
      <c r="AC1309" s="1"/>
      <c r="AD1309" s="1"/>
    </row>
    <row r="1310" spans="17:30">
      <c r="Q1310" s="6">
        <v>1280</v>
      </c>
      <c r="R1310" s="7">
        <v>43947</v>
      </c>
      <c r="S1310" s="210">
        <v>4.25</v>
      </c>
      <c r="T1310" s="8">
        <v>1.0001180555555556</v>
      </c>
      <c r="U1310" s="98">
        <v>3.9573834680462161</v>
      </c>
      <c r="V1310" s="106">
        <v>29222.838913926789</v>
      </c>
      <c r="W1310" s="10">
        <v>0.82482353669304231</v>
      </c>
      <c r="X1310" s="420"/>
      <c r="Y1310" s="420"/>
      <c r="Z1310" s="1"/>
      <c r="AA1310" s="1"/>
      <c r="AB1310" s="1"/>
      <c r="AC1310" s="1"/>
      <c r="AD1310" s="1"/>
    </row>
    <row r="1311" spans="17:30">
      <c r="Q1311" s="6">
        <v>1281</v>
      </c>
      <c r="R1311" s="7">
        <v>43948</v>
      </c>
      <c r="S1311" s="210">
        <v>4.25</v>
      </c>
      <c r="T1311" s="8">
        <v>1.0001180555555556</v>
      </c>
      <c r="U1311" s="98">
        <v>3.9577305515416938</v>
      </c>
      <c r="V1311" s="106">
        <v>29225.271212739059</v>
      </c>
      <c r="W1311" s="10">
        <v>0.82517729949058705</v>
      </c>
      <c r="X1311" s="420"/>
      <c r="Y1311" s="420"/>
      <c r="Z1311" s="1"/>
      <c r="AA1311" s="1"/>
      <c r="AB1311" s="1"/>
      <c r="AC1311" s="1"/>
      <c r="AD1311" s="1"/>
    </row>
    <row r="1312" spans="17:30">
      <c r="Q1312" s="6">
        <v>1282</v>
      </c>
      <c r="R1312" s="7">
        <v>43949</v>
      </c>
      <c r="S1312" s="210">
        <v>4.25</v>
      </c>
      <c r="T1312" s="8">
        <v>1.0001180555555556</v>
      </c>
      <c r="U1312" s="98">
        <v>3.9580770947213573</v>
      </c>
      <c r="V1312" s="106">
        <v>29227.703713998369</v>
      </c>
      <c r="W1312" s="10">
        <v>0.82553051163440916</v>
      </c>
      <c r="X1312" s="420"/>
      <c r="Y1312" s="420"/>
      <c r="Z1312" s="1"/>
      <c r="AA1312" s="1"/>
      <c r="AB1312" s="1"/>
      <c r="AC1312" s="1"/>
      <c r="AD1312" s="1"/>
    </row>
    <row r="1313" spans="17:30">
      <c r="Q1313" s="6">
        <v>1283</v>
      </c>
      <c r="R1313" s="7">
        <v>43950</v>
      </c>
      <c r="S1313" s="210">
        <v>4.25</v>
      </c>
      <c r="T1313" s="8">
        <v>1.0001180555555556</v>
      </c>
      <c r="U1313" s="98">
        <v>3.958423098845909</v>
      </c>
      <c r="V1313" s="106">
        <v>29230.136417721584</v>
      </c>
      <c r="W1313" s="10">
        <v>0.82588317440921433</v>
      </c>
      <c r="X1313" s="420"/>
      <c r="Y1313" s="420"/>
      <c r="Z1313" s="1"/>
      <c r="AA1313" s="1"/>
      <c r="AB1313" s="1"/>
      <c r="AC1313" s="1"/>
      <c r="AD1313" s="1"/>
    </row>
    <row r="1314" spans="17:30">
      <c r="Q1314" s="6">
        <v>1284</v>
      </c>
      <c r="R1314" s="7">
        <v>43951</v>
      </c>
      <c r="S1314" s="210">
        <v>4.25</v>
      </c>
      <c r="T1314" s="8">
        <v>1.0001180555555556</v>
      </c>
      <c r="U1314" s="98">
        <v>3.9587685651721438</v>
      </c>
      <c r="V1314" s="106">
        <v>29232.569323925549</v>
      </c>
      <c r="W1314" s="10">
        <v>0.82623528909571142</v>
      </c>
      <c r="X1314" s="420"/>
      <c r="Y1314" s="420"/>
      <c r="Z1314" s="1"/>
      <c r="AA1314" s="1"/>
      <c r="AB1314" s="1"/>
      <c r="AC1314" s="1"/>
      <c r="AD1314" s="1"/>
    </row>
    <row r="1315" spans="17:30">
      <c r="Q1315" s="6">
        <v>1285</v>
      </c>
      <c r="R1315" s="7">
        <v>43952</v>
      </c>
      <c r="S1315" s="210">
        <v>4.25</v>
      </c>
      <c r="T1315" s="8">
        <v>1.0001180555555556</v>
      </c>
      <c r="U1315" s="98">
        <v>3.9591134949529483</v>
      </c>
      <c r="V1315" s="106">
        <v>29235.002432627116</v>
      </c>
      <c r="W1315" s="10">
        <v>0.82658685697061252</v>
      </c>
      <c r="X1315" s="420"/>
      <c r="Y1315" s="420"/>
      <c r="Z1315" s="1"/>
      <c r="AA1315" s="1"/>
      <c r="AB1315" s="1"/>
      <c r="AC1315" s="1"/>
      <c r="AD1315" s="1"/>
    </row>
    <row r="1316" spans="17:30">
      <c r="Q1316" s="6">
        <v>1286</v>
      </c>
      <c r="R1316" s="7">
        <v>43953</v>
      </c>
      <c r="S1316" s="210">
        <v>4.25</v>
      </c>
      <c r="T1316" s="8">
        <v>1.0001180555555556</v>
      </c>
      <c r="U1316" s="98">
        <v>3.9594578894373234</v>
      </c>
      <c r="V1316" s="106">
        <v>29237.435743843143</v>
      </c>
      <c r="W1316" s="10">
        <v>0.82693787930667728</v>
      </c>
      <c r="X1316" s="420"/>
      <c r="Y1316" s="420"/>
      <c r="Z1316" s="1"/>
      <c r="AA1316" s="1"/>
      <c r="AB1316" s="1"/>
      <c r="AC1316" s="1"/>
      <c r="AD1316" s="1"/>
    </row>
    <row r="1317" spans="17:30">
      <c r="Q1317" s="6">
        <v>1287</v>
      </c>
      <c r="R1317" s="7">
        <v>43954</v>
      </c>
      <c r="S1317" s="210">
        <v>4.25</v>
      </c>
      <c r="T1317" s="8">
        <v>1.0001180555555556</v>
      </c>
      <c r="U1317" s="98">
        <v>3.9598017498703841</v>
      </c>
      <c r="V1317" s="106">
        <v>29239.86925759049</v>
      </c>
      <c r="W1317" s="10">
        <v>0.8272883573726908</v>
      </c>
      <c r="X1317" s="420"/>
      <c r="Y1317" s="420"/>
      <c r="Z1317" s="1"/>
      <c r="AA1317" s="1"/>
      <c r="AB1317" s="1"/>
      <c r="AC1317" s="1"/>
      <c r="AD1317" s="1"/>
    </row>
    <row r="1318" spans="17:30">
      <c r="Q1318" s="6">
        <v>1288</v>
      </c>
      <c r="R1318" s="7">
        <v>43955</v>
      </c>
      <c r="S1318" s="210">
        <v>4.25</v>
      </c>
      <c r="T1318" s="8">
        <v>1.0001180555555556</v>
      </c>
      <c r="U1318" s="98">
        <v>3.9601450774933822</v>
      </c>
      <c r="V1318" s="106">
        <v>29242.302973885999</v>
      </c>
      <c r="W1318" s="10">
        <v>0.82763829243355236</v>
      </c>
      <c r="X1318" s="420"/>
      <c r="Y1318" s="420"/>
      <c r="Z1318" s="1"/>
      <c r="AA1318" s="1"/>
      <c r="AB1318" s="1"/>
      <c r="AC1318" s="1"/>
      <c r="AD1318" s="1"/>
    </row>
    <row r="1319" spans="17:30">
      <c r="Q1319" s="6">
        <v>1289</v>
      </c>
      <c r="R1319" s="7">
        <v>43956</v>
      </c>
      <c r="S1319" s="210">
        <v>4.25</v>
      </c>
      <c r="T1319" s="8">
        <v>1.0001180555555556</v>
      </c>
      <c r="U1319" s="98">
        <v>3.9604878735437499</v>
      </c>
      <c r="V1319" s="106">
        <v>29244.736892746547</v>
      </c>
      <c r="W1319" s="10">
        <v>0.82798768575020887</v>
      </c>
      <c r="X1319" s="420"/>
      <c r="Y1319" s="420"/>
      <c r="Z1319" s="1"/>
      <c r="AA1319" s="1"/>
      <c r="AB1319" s="1"/>
      <c r="AC1319" s="1"/>
      <c r="AD1319" s="1"/>
    </row>
    <row r="1320" spans="17:30">
      <c r="Q1320" s="6">
        <v>1290</v>
      </c>
      <c r="R1320" s="7">
        <v>43957</v>
      </c>
      <c r="S1320" s="210">
        <v>4.25</v>
      </c>
      <c r="T1320" s="8">
        <v>1.0001180555555556</v>
      </c>
      <c r="U1320" s="98">
        <v>3.9608301392550782</v>
      </c>
      <c r="V1320" s="106">
        <v>29247.171014188982</v>
      </c>
      <c r="W1320" s="10">
        <v>0.82833653857972145</v>
      </c>
      <c r="X1320" s="420"/>
      <c r="Y1320" s="420"/>
      <c r="Z1320" s="1"/>
      <c r="AA1320" s="1"/>
      <c r="AB1320" s="1"/>
      <c r="AC1320" s="1"/>
      <c r="AD1320" s="1"/>
    </row>
    <row r="1321" spans="17:30">
      <c r="Q1321" s="6">
        <v>1291</v>
      </c>
      <c r="R1321" s="7">
        <v>43958</v>
      </c>
      <c r="S1321" s="210">
        <v>4.25</v>
      </c>
      <c r="T1321" s="8">
        <v>1.0001180555555556</v>
      </c>
      <c r="U1321" s="98">
        <v>3.961171875857139</v>
      </c>
      <c r="V1321" s="106">
        <v>29249.605338230165</v>
      </c>
      <c r="W1321" s="10">
        <v>0.82868485217526544</v>
      </c>
      <c r="X1321" s="420"/>
      <c r="Y1321" s="420"/>
      <c r="Z1321" s="1"/>
      <c r="AA1321" s="1"/>
      <c r="AB1321" s="1"/>
      <c r="AC1321" s="1"/>
      <c r="AD1321" s="1"/>
    </row>
    <row r="1322" spans="17:30">
      <c r="Q1322" s="6">
        <v>1292</v>
      </c>
      <c r="R1322" s="7">
        <v>43959</v>
      </c>
      <c r="S1322" s="210">
        <v>4.25</v>
      </c>
      <c r="T1322" s="8">
        <v>1.0001180555555556</v>
      </c>
      <c r="U1322" s="98">
        <v>3.9615130845759072</v>
      </c>
      <c r="V1322" s="106">
        <v>29252.039864886974</v>
      </c>
      <c r="W1322" s="10">
        <v>0.8290326277861304</v>
      </c>
      <c r="X1322" s="420"/>
      <c r="Y1322" s="420"/>
      <c r="Z1322" s="1"/>
      <c r="AA1322" s="1"/>
      <c r="AB1322" s="1"/>
      <c r="AC1322" s="1"/>
      <c r="AD1322" s="1"/>
    </row>
    <row r="1323" spans="17:30">
      <c r="Q1323" s="6">
        <v>1293</v>
      </c>
      <c r="R1323" s="7">
        <v>43960</v>
      </c>
      <c r="S1323" s="210">
        <v>4.25</v>
      </c>
      <c r="T1323" s="8">
        <v>1.0001180555555556</v>
      </c>
      <c r="U1323" s="98">
        <v>3.9618537666335829</v>
      </c>
      <c r="V1323" s="106">
        <v>29254.474594176252</v>
      </c>
      <c r="W1323" s="10">
        <v>0.82937986665778674</v>
      </c>
      <c r="X1323" s="420"/>
      <c r="Y1323" s="420"/>
      <c r="Z1323" s="1"/>
      <c r="AA1323" s="1"/>
      <c r="AB1323" s="1"/>
      <c r="AC1323" s="1"/>
      <c r="AD1323" s="1"/>
    </row>
    <row r="1324" spans="17:30">
      <c r="Q1324" s="6">
        <v>1294</v>
      </c>
      <c r="R1324" s="7">
        <v>43961</v>
      </c>
      <c r="S1324" s="210">
        <v>4.25</v>
      </c>
      <c r="T1324" s="8">
        <v>1.0001180555555556</v>
      </c>
      <c r="U1324" s="98">
        <v>3.9621939232485692</v>
      </c>
      <c r="V1324" s="106">
        <v>29256.830976760033</v>
      </c>
      <c r="W1324" s="10">
        <v>0.82980292935999067</v>
      </c>
      <c r="X1324" s="420"/>
      <c r="Y1324" s="420"/>
      <c r="Z1324" s="1"/>
      <c r="AA1324" s="1"/>
      <c r="AB1324" s="1"/>
      <c r="AC1324" s="1"/>
      <c r="AD1324" s="1"/>
    </row>
    <row r="1325" spans="17:30">
      <c r="Q1325" s="6">
        <v>1295</v>
      </c>
      <c r="R1325" s="7">
        <v>43962</v>
      </c>
      <c r="S1325" s="210">
        <v>4.25</v>
      </c>
      <c r="T1325" s="8">
        <v>1.0001180555555556</v>
      </c>
      <c r="U1325" s="98">
        <v>3.9625335556355612</v>
      </c>
      <c r="V1325" s="106">
        <v>29259.187549145176</v>
      </c>
      <c r="W1325" s="10">
        <v>0.83022534045449348</v>
      </c>
      <c r="X1325" s="420"/>
      <c r="Y1325" s="420"/>
      <c r="Z1325" s="1"/>
      <c r="AA1325" s="1"/>
      <c r="AB1325" s="1"/>
      <c r="AC1325" s="1"/>
      <c r="AD1325" s="1"/>
    </row>
    <row r="1326" spans="17:30">
      <c r="Q1326" s="6">
        <v>1296</v>
      </c>
      <c r="R1326" s="7">
        <v>43963</v>
      </c>
      <c r="S1326" s="210">
        <v>4.25</v>
      </c>
      <c r="T1326" s="8">
        <v>1.0001180555555556</v>
      </c>
      <c r="U1326" s="98">
        <v>3.9628726650054569</v>
      </c>
      <c r="V1326" s="106">
        <v>29261.544311346952</v>
      </c>
      <c r="W1326" s="10">
        <v>0.83064710144553633</v>
      </c>
      <c r="X1326" s="420"/>
      <c r="Y1326" s="420"/>
      <c r="Z1326" s="1"/>
      <c r="AA1326" s="1"/>
      <c r="AB1326" s="1"/>
      <c r="AC1326" s="1"/>
      <c r="AD1326" s="1"/>
    </row>
    <row r="1327" spans="17:30">
      <c r="Q1327" s="6">
        <v>1297</v>
      </c>
      <c r="R1327" s="7">
        <v>43964</v>
      </c>
      <c r="S1327" s="210">
        <v>4.25</v>
      </c>
      <c r="T1327" s="8">
        <v>1.0001180555555556</v>
      </c>
      <c r="U1327" s="98">
        <v>3.9632112525654684</v>
      </c>
      <c r="V1327" s="106">
        <v>29263.90126338066</v>
      </c>
      <c r="W1327" s="10">
        <v>0.83106821383278628</v>
      </c>
      <c r="X1327" s="420"/>
      <c r="Y1327" s="420"/>
      <c r="Z1327" s="1"/>
      <c r="AA1327" s="1"/>
      <c r="AB1327" s="1"/>
      <c r="AC1327" s="1"/>
      <c r="AD1327" s="1"/>
    </row>
    <row r="1328" spans="17:30">
      <c r="Q1328" s="6">
        <v>1298</v>
      </c>
      <c r="R1328" s="7">
        <v>43965</v>
      </c>
      <c r="S1328" s="210">
        <v>4.25</v>
      </c>
      <c r="T1328" s="8">
        <v>1.0001180555555556</v>
      </c>
      <c r="U1328" s="98">
        <v>3.9635493195190996</v>
      </c>
      <c r="V1328" s="106">
        <v>29266.258405261593</v>
      </c>
      <c r="W1328" s="10">
        <v>0.83148867911126967</v>
      </c>
      <c r="X1328" s="420"/>
      <c r="Y1328" s="420"/>
      <c r="Z1328" s="1"/>
      <c r="AA1328" s="1"/>
      <c r="AB1328" s="1"/>
      <c r="AC1328" s="1"/>
      <c r="AD1328" s="1"/>
    </row>
    <row r="1329" spans="17:30">
      <c r="Q1329" s="6">
        <v>1299</v>
      </c>
      <c r="R1329" s="7">
        <v>43966</v>
      </c>
      <c r="S1329" s="210">
        <v>4.25</v>
      </c>
      <c r="T1329" s="8">
        <v>1.0001180555555556</v>
      </c>
      <c r="U1329" s="98">
        <v>3.9638868670661243</v>
      </c>
      <c r="V1329" s="106">
        <v>29268.615737005035</v>
      </c>
      <c r="W1329" s="10">
        <v>0.83190849877139428</v>
      </c>
      <c r="X1329" s="420"/>
      <c r="Y1329" s="420"/>
      <c r="Z1329" s="1"/>
      <c r="AA1329" s="1"/>
      <c r="AB1329" s="1"/>
      <c r="AC1329" s="1"/>
      <c r="AD1329" s="1"/>
    </row>
    <row r="1330" spans="17:30">
      <c r="Q1330" s="6">
        <v>1300</v>
      </c>
      <c r="R1330" s="7">
        <v>43967</v>
      </c>
      <c r="S1330" s="210">
        <v>4.25</v>
      </c>
      <c r="T1330" s="8">
        <v>1.0001180555555556</v>
      </c>
      <c r="U1330" s="98">
        <v>3.96422389640263</v>
      </c>
      <c r="V1330" s="106">
        <v>29270.973258626287</v>
      </c>
      <c r="W1330" s="10">
        <v>0.8323276742990382</v>
      </c>
      <c r="X1330" s="420"/>
      <c r="Y1330" s="420"/>
      <c r="Z1330" s="1"/>
      <c r="AA1330" s="1"/>
      <c r="AB1330" s="1"/>
      <c r="AC1330" s="1"/>
      <c r="AD1330" s="1"/>
    </row>
    <row r="1331" spans="17:30">
      <c r="Q1331" s="6">
        <v>1301</v>
      </c>
      <c r="R1331" s="7">
        <v>43968</v>
      </c>
      <c r="S1331" s="210">
        <v>4.25</v>
      </c>
      <c r="T1331" s="8">
        <v>1.0001180555555556</v>
      </c>
      <c r="U1331" s="98">
        <v>3.9645604087210851</v>
      </c>
      <c r="V1331" s="106">
        <v>29273.330970140647</v>
      </c>
      <c r="W1331" s="10">
        <v>0.8327462071755054</v>
      </c>
      <c r="X1331" s="420"/>
      <c r="Y1331" s="420"/>
      <c r="Z1331" s="1"/>
      <c r="AA1331" s="1"/>
      <c r="AB1331" s="1"/>
      <c r="AC1331" s="1"/>
      <c r="AD1331" s="1"/>
    </row>
    <row r="1332" spans="17:30">
      <c r="Q1332" s="6">
        <v>1302</v>
      </c>
      <c r="R1332" s="7">
        <v>43969</v>
      </c>
      <c r="S1332" s="210">
        <v>4.25</v>
      </c>
      <c r="T1332" s="8">
        <v>1.0001180555555556</v>
      </c>
      <c r="U1332" s="98">
        <v>3.9648964052102498</v>
      </c>
      <c r="V1332" s="106">
        <v>29275.688871563394</v>
      </c>
      <c r="W1332" s="10">
        <v>0.83316409887757015</v>
      </c>
      <c r="X1332" s="420"/>
      <c r="Y1332" s="420"/>
      <c r="Z1332" s="1"/>
      <c r="AA1332" s="1"/>
      <c r="AB1332" s="1"/>
      <c r="AC1332" s="1"/>
      <c r="AD1332" s="1"/>
    </row>
    <row r="1333" spans="17:30">
      <c r="Q1333" s="6">
        <v>1303</v>
      </c>
      <c r="R1333" s="7">
        <v>43970</v>
      </c>
      <c r="S1333" s="210">
        <v>4.25</v>
      </c>
      <c r="T1333" s="8">
        <v>1.0001180555555556</v>
      </c>
      <c r="U1333" s="98">
        <v>3.965231887055265</v>
      </c>
      <c r="V1333" s="106">
        <v>29278.04696290983</v>
      </c>
      <c r="W1333" s="10">
        <v>0.83358135087747698</v>
      </c>
      <c r="X1333" s="420"/>
      <c r="Y1333" s="420"/>
      <c r="Z1333" s="1"/>
      <c r="AA1333" s="1"/>
      <c r="AB1333" s="1"/>
      <c r="AC1333" s="1"/>
      <c r="AD1333" s="1"/>
    </row>
    <row r="1334" spans="17:30">
      <c r="Q1334" s="6">
        <v>1304</v>
      </c>
      <c r="R1334" s="7">
        <v>43971</v>
      </c>
      <c r="S1334" s="210">
        <v>4.25</v>
      </c>
      <c r="T1334" s="8">
        <v>1.0001180555555556</v>
      </c>
      <c r="U1334" s="98">
        <v>3.9655668554376522</v>
      </c>
      <c r="V1334" s="106">
        <v>29280.405244195266</v>
      </c>
      <c r="W1334" s="10">
        <v>0.83399796464298515</v>
      </c>
      <c r="X1334" s="420"/>
      <c r="Y1334" s="420"/>
      <c r="Z1334" s="1"/>
      <c r="AA1334" s="1"/>
      <c r="AB1334" s="1"/>
      <c r="AC1334" s="1"/>
      <c r="AD1334" s="1"/>
    </row>
    <row r="1335" spans="17:30">
      <c r="Q1335" s="6">
        <v>1305</v>
      </c>
      <c r="R1335" s="7">
        <v>43972</v>
      </c>
      <c r="S1335" s="210">
        <v>4.25</v>
      </c>
      <c r="T1335" s="8">
        <v>1.0001180555555556</v>
      </c>
      <c r="U1335" s="98">
        <v>3.9659013115352915</v>
      </c>
      <c r="V1335" s="106">
        <v>29282.763715434983</v>
      </c>
      <c r="W1335" s="10">
        <v>0.83441394163730198</v>
      </c>
      <c r="X1335" s="420"/>
      <c r="Y1335" s="420"/>
      <c r="Z1335" s="1"/>
      <c r="AA1335" s="1"/>
      <c r="AB1335" s="1"/>
      <c r="AC1335" s="1"/>
      <c r="AD1335" s="1"/>
    </row>
    <row r="1336" spans="17:30">
      <c r="Q1336" s="6">
        <v>1306</v>
      </c>
      <c r="R1336" s="7">
        <v>43973</v>
      </c>
      <c r="S1336" s="210">
        <v>4.25</v>
      </c>
      <c r="T1336" s="8">
        <v>1.0001180555555556</v>
      </c>
      <c r="U1336" s="98">
        <v>3.9662352565224879</v>
      </c>
      <c r="V1336" s="106">
        <v>29285.122376644296</v>
      </c>
      <c r="W1336" s="10">
        <v>0.83482928331926054</v>
      </c>
      <c r="X1336" s="420"/>
      <c r="Y1336" s="420"/>
      <c r="Z1336" s="1"/>
      <c r="AA1336" s="1"/>
      <c r="AB1336" s="1"/>
      <c r="AC1336" s="1"/>
      <c r="AD1336" s="1"/>
    </row>
    <row r="1337" spans="17:30">
      <c r="Q1337" s="6">
        <v>1307</v>
      </c>
      <c r="R1337" s="7">
        <v>43974</v>
      </c>
      <c r="S1337" s="210">
        <v>4.25</v>
      </c>
      <c r="T1337" s="8">
        <v>1.0001180555555556</v>
      </c>
      <c r="U1337" s="98">
        <v>3.9665686915699494</v>
      </c>
      <c r="V1337" s="106">
        <v>29287.4812278385</v>
      </c>
      <c r="W1337" s="10">
        <v>0.83524399114316417</v>
      </c>
      <c r="X1337" s="420"/>
      <c r="Y1337" s="420"/>
      <c r="Z1337" s="1"/>
      <c r="AA1337" s="1"/>
      <c r="AB1337" s="1"/>
      <c r="AC1337" s="1"/>
      <c r="AD1337" s="1"/>
    </row>
    <row r="1338" spans="17:30">
      <c r="Q1338" s="6">
        <v>1308</v>
      </c>
      <c r="R1338" s="7">
        <v>43975</v>
      </c>
      <c r="S1338" s="210">
        <v>4.25</v>
      </c>
      <c r="T1338" s="8">
        <v>1.0001180555555556</v>
      </c>
      <c r="U1338" s="98">
        <v>3.9669016178448091</v>
      </c>
      <c r="V1338" s="106">
        <v>29289.840269032899</v>
      </c>
      <c r="W1338" s="10">
        <v>0.83565806655894193</v>
      </c>
      <c r="X1338" s="420"/>
      <c r="Y1338" s="420"/>
      <c r="Z1338" s="1"/>
      <c r="AA1338" s="1"/>
      <c r="AB1338" s="1"/>
      <c r="AC1338" s="1"/>
      <c r="AD1338" s="1"/>
    </row>
    <row r="1339" spans="17:30">
      <c r="Q1339" s="6">
        <v>1309</v>
      </c>
      <c r="R1339" s="7">
        <v>43976</v>
      </c>
      <c r="S1339" s="210">
        <v>4.25</v>
      </c>
      <c r="T1339" s="8">
        <v>1.0001180555555556</v>
      </c>
      <c r="U1339" s="98">
        <v>3.9672340365106473</v>
      </c>
      <c r="V1339" s="106">
        <v>29292.199500242798</v>
      </c>
      <c r="W1339" s="10">
        <v>0.83607151101203758</v>
      </c>
      <c r="X1339" s="420"/>
      <c r="Y1339" s="420"/>
      <c r="Z1339" s="1"/>
      <c r="AA1339" s="1"/>
      <c r="AB1339" s="1"/>
      <c r="AC1339" s="1"/>
      <c r="AD1339" s="1"/>
    </row>
    <row r="1340" spans="17:30">
      <c r="Q1340" s="6">
        <v>1310</v>
      </c>
      <c r="R1340" s="7">
        <v>43977</v>
      </c>
      <c r="S1340" s="210">
        <v>4.25</v>
      </c>
      <c r="T1340" s="8">
        <v>1.0001180555555556</v>
      </c>
      <c r="U1340" s="98">
        <v>3.9675659487275139</v>
      </c>
      <c r="V1340" s="106">
        <v>29294.558921483502</v>
      </c>
      <c r="W1340" s="10">
        <v>0.83648432594354283</v>
      </c>
      <c r="X1340" s="420"/>
      <c r="Y1340" s="420"/>
      <c r="Z1340" s="1"/>
      <c r="AA1340" s="1"/>
      <c r="AB1340" s="1"/>
      <c r="AC1340" s="1"/>
      <c r="AD1340" s="1"/>
    </row>
    <row r="1341" spans="17:30">
      <c r="Q1341" s="6">
        <v>1311</v>
      </c>
      <c r="R1341" s="7">
        <v>43978</v>
      </c>
      <c r="S1341" s="210">
        <v>4.25</v>
      </c>
      <c r="T1341" s="8">
        <v>1.0001180555555556</v>
      </c>
      <c r="U1341" s="98">
        <v>3.9678973556518837</v>
      </c>
      <c r="V1341" s="106">
        <v>29296.918532770313</v>
      </c>
      <c r="W1341" s="10">
        <v>0.83689651279015287</v>
      </c>
      <c r="X1341" s="420"/>
      <c r="Y1341" s="420"/>
      <c r="Z1341" s="1"/>
      <c r="AA1341" s="1"/>
      <c r="AB1341" s="1"/>
      <c r="AC1341" s="1"/>
      <c r="AD1341" s="1"/>
    </row>
    <row r="1342" spans="17:30">
      <c r="Q1342" s="6">
        <v>1312</v>
      </c>
      <c r="R1342" s="7">
        <v>43979</v>
      </c>
      <c r="S1342" s="210">
        <v>4.25</v>
      </c>
      <c r="T1342" s="8">
        <v>1.0001180555555556</v>
      </c>
      <c r="U1342" s="98">
        <v>3.9682282584367456</v>
      </c>
      <c r="V1342" s="106">
        <v>29299.27833411855</v>
      </c>
      <c r="W1342" s="10">
        <v>0.83730807298421084</v>
      </c>
      <c r="X1342" s="420"/>
      <c r="Y1342" s="420"/>
      <c r="Z1342" s="1"/>
      <c r="AA1342" s="1"/>
      <c r="AB1342" s="1"/>
      <c r="AC1342" s="1"/>
      <c r="AD1342" s="1"/>
    </row>
    <row r="1343" spans="17:30">
      <c r="Q1343" s="6">
        <v>1313</v>
      </c>
      <c r="R1343" s="7">
        <v>43980</v>
      </c>
      <c r="S1343" s="210">
        <v>4.25</v>
      </c>
      <c r="T1343" s="8">
        <v>1.0001180555555556</v>
      </c>
      <c r="U1343" s="98">
        <v>3.9685586582315802</v>
      </c>
      <c r="V1343" s="106">
        <v>29301.638325543507</v>
      </c>
      <c r="W1343" s="10">
        <v>0.83771900795364118</v>
      </c>
      <c r="X1343" s="420"/>
      <c r="Y1343" s="420"/>
      <c r="Z1343" s="1"/>
      <c r="AA1343" s="1"/>
      <c r="AB1343" s="1"/>
      <c r="AC1343" s="1"/>
      <c r="AD1343" s="1"/>
    </row>
    <row r="1344" spans="17:30">
      <c r="Q1344" s="6">
        <v>1314</v>
      </c>
      <c r="R1344" s="7">
        <v>43981</v>
      </c>
      <c r="S1344" s="210">
        <v>4.25</v>
      </c>
      <c r="T1344" s="8">
        <v>1.0001180555555556</v>
      </c>
      <c r="U1344" s="98">
        <v>3.9688885561823817</v>
      </c>
      <c r="V1344" s="106">
        <v>29303.9985070605</v>
      </c>
      <c r="W1344" s="10">
        <v>0.83812931912212729</v>
      </c>
      <c r="X1344" s="420"/>
      <c r="Y1344" s="420"/>
      <c r="Z1344" s="1"/>
      <c r="AA1344" s="1"/>
      <c r="AB1344" s="1"/>
      <c r="AC1344" s="1"/>
      <c r="AD1344" s="1"/>
    </row>
    <row r="1345" spans="17:30">
      <c r="Q1345" s="6">
        <v>1315</v>
      </c>
      <c r="R1345" s="7">
        <v>43982</v>
      </c>
      <c r="S1345" s="210">
        <v>4.25</v>
      </c>
      <c r="T1345" s="8">
        <v>1.0001180555555556</v>
      </c>
      <c r="U1345" s="98">
        <v>3.9692179534316363</v>
      </c>
      <c r="V1345" s="106">
        <v>29306.358878684849</v>
      </c>
      <c r="W1345" s="10">
        <v>0.83853900790895608</v>
      </c>
      <c r="X1345" s="420"/>
      <c r="Y1345" s="420"/>
      <c r="Z1345" s="1"/>
      <c r="AA1345" s="1"/>
      <c r="AB1345" s="1"/>
      <c r="AC1345" s="1"/>
      <c r="AD1345" s="1"/>
    </row>
    <row r="1346" spans="17:30">
      <c r="Q1346" s="6">
        <v>1316</v>
      </c>
      <c r="R1346" s="7">
        <v>43983</v>
      </c>
      <c r="S1346" s="210">
        <v>4.25</v>
      </c>
      <c r="T1346" s="8">
        <v>1.0001180555555556</v>
      </c>
      <c r="U1346" s="98">
        <v>3.9695468511183885</v>
      </c>
      <c r="V1346" s="106">
        <v>29308.719440431858</v>
      </c>
      <c r="W1346" s="10">
        <v>0.83894807572912899</v>
      </c>
      <c r="X1346" s="420"/>
      <c r="Y1346" s="420"/>
      <c r="Z1346" s="1"/>
      <c r="AA1346" s="1"/>
      <c r="AB1346" s="1"/>
      <c r="AC1346" s="1"/>
      <c r="AD1346" s="1"/>
    </row>
    <row r="1347" spans="17:30">
      <c r="Q1347" s="6">
        <v>1317</v>
      </c>
      <c r="R1347" s="7">
        <v>43984</v>
      </c>
      <c r="S1347" s="210">
        <v>4.25</v>
      </c>
      <c r="T1347" s="8">
        <v>1.0001180555555556</v>
      </c>
      <c r="U1347" s="98">
        <v>3.9698752503782408</v>
      </c>
      <c r="V1347" s="106">
        <v>29311.08019231684</v>
      </c>
      <c r="W1347" s="10">
        <v>0.83935652399342864</v>
      </c>
      <c r="X1347" s="420"/>
      <c r="Y1347" s="420"/>
      <c r="Z1347" s="1"/>
      <c r="AA1347" s="1"/>
      <c r="AB1347" s="1"/>
      <c r="AC1347" s="1"/>
      <c r="AD1347" s="1"/>
    </row>
    <row r="1348" spans="17:30">
      <c r="Q1348" s="6">
        <v>1318</v>
      </c>
      <c r="R1348" s="7">
        <v>43985</v>
      </c>
      <c r="S1348" s="210">
        <v>4.25</v>
      </c>
      <c r="T1348" s="8">
        <v>1.0001180555555556</v>
      </c>
      <c r="U1348" s="98">
        <v>3.9702031523433323</v>
      </c>
      <c r="V1348" s="106">
        <v>29313.441134355118</v>
      </c>
      <c r="W1348" s="10">
        <v>0.83976435410828554</v>
      </c>
      <c r="X1348" s="420"/>
      <c r="Y1348" s="420"/>
      <c r="Z1348" s="1"/>
      <c r="AA1348" s="1"/>
      <c r="AB1348" s="1"/>
      <c r="AC1348" s="1"/>
      <c r="AD1348" s="1"/>
    </row>
    <row r="1349" spans="17:30">
      <c r="Q1349" s="6">
        <v>1319</v>
      </c>
      <c r="R1349" s="7">
        <v>43986</v>
      </c>
      <c r="S1349" s="210">
        <v>4.25</v>
      </c>
      <c r="T1349" s="8">
        <v>1.0001180555555556</v>
      </c>
      <c r="U1349" s="98">
        <v>3.9705305581424044</v>
      </c>
      <c r="V1349" s="106">
        <v>29315.802266561997</v>
      </c>
      <c r="W1349" s="10">
        <v>0.84017156747591137</v>
      </c>
      <c r="X1349" s="420"/>
      <c r="Y1349" s="420"/>
      <c r="Z1349" s="1"/>
      <c r="AA1349" s="1"/>
      <c r="AB1349" s="1"/>
      <c r="AC1349" s="1"/>
      <c r="AD1349" s="1"/>
    </row>
    <row r="1350" spans="17:30">
      <c r="Q1350" s="6">
        <v>1320</v>
      </c>
      <c r="R1350" s="7">
        <v>43987</v>
      </c>
      <c r="S1350" s="210">
        <v>4.25</v>
      </c>
      <c r="T1350" s="8">
        <v>1.0001180555555556</v>
      </c>
      <c r="U1350" s="98">
        <v>3.970857468900757</v>
      </c>
      <c r="V1350" s="106">
        <v>29318.163588952812</v>
      </c>
      <c r="W1350" s="10">
        <v>0.84057816549425457</v>
      </c>
      <c r="X1350" s="420"/>
      <c r="Y1350" s="420"/>
      <c r="Z1350" s="1"/>
      <c r="AA1350" s="1"/>
      <c r="AB1350" s="1"/>
      <c r="AC1350" s="1"/>
      <c r="AD1350" s="1"/>
    </row>
    <row r="1351" spans="17:30">
      <c r="Q1351" s="6">
        <v>1321</v>
      </c>
      <c r="R1351" s="7">
        <v>43988</v>
      </c>
      <c r="S1351" s="210">
        <v>4.25</v>
      </c>
      <c r="T1351" s="8">
        <v>1.0001180555555556</v>
      </c>
      <c r="U1351" s="98">
        <v>3.9711838857402926</v>
      </c>
      <c r="V1351" s="106">
        <v>29320.525101542862</v>
      </c>
      <c r="W1351" s="10">
        <v>0.84098414955708911</v>
      </c>
      <c r="X1351" s="420"/>
      <c r="Y1351" s="420"/>
      <c r="Z1351" s="1"/>
      <c r="AA1351" s="1"/>
      <c r="AB1351" s="1"/>
      <c r="AC1351" s="1"/>
      <c r="AD1351" s="1"/>
    </row>
    <row r="1352" spans="17:30">
      <c r="Q1352" s="6">
        <v>1322</v>
      </c>
      <c r="R1352" s="7">
        <v>43989</v>
      </c>
      <c r="S1352" s="210">
        <v>4.25</v>
      </c>
      <c r="T1352" s="8">
        <v>1.0001180555555556</v>
      </c>
      <c r="U1352" s="98">
        <v>3.9715098097795387</v>
      </c>
      <c r="V1352" s="106">
        <v>29322.886804347476</v>
      </c>
      <c r="W1352" s="10">
        <v>0.84138952105394793</v>
      </c>
      <c r="X1352" s="420"/>
      <c r="Y1352" s="420"/>
      <c r="Z1352" s="1"/>
      <c r="AA1352" s="1"/>
      <c r="AB1352" s="1"/>
      <c r="AC1352" s="1"/>
      <c r="AD1352" s="1"/>
    </row>
    <row r="1353" spans="17:30">
      <c r="Q1353" s="6">
        <v>1323</v>
      </c>
      <c r="R1353" s="7">
        <v>43990</v>
      </c>
      <c r="S1353" s="210">
        <v>4.25</v>
      </c>
      <c r="T1353" s="8">
        <v>1.0001180555555556</v>
      </c>
      <c r="U1353" s="98">
        <v>3.9718352421336478</v>
      </c>
      <c r="V1353" s="106">
        <v>29325.24869738198</v>
      </c>
      <c r="W1353" s="10">
        <v>0.84179428137016732</v>
      </c>
      <c r="X1353" s="420"/>
      <c r="Y1353" s="420"/>
      <c r="Z1353" s="1"/>
      <c r="AA1353" s="1"/>
      <c r="AB1353" s="1"/>
      <c r="AC1353" s="1"/>
      <c r="AD1353" s="1"/>
    </row>
    <row r="1354" spans="17:30">
      <c r="Q1354" s="6">
        <v>1324</v>
      </c>
      <c r="R1354" s="7">
        <v>43991</v>
      </c>
      <c r="S1354" s="210">
        <v>4.25</v>
      </c>
      <c r="T1354" s="8">
        <v>1.0001180555555556</v>
      </c>
      <c r="U1354" s="98">
        <v>3.9721601839143972</v>
      </c>
      <c r="V1354" s="106">
        <v>29327.610780661693</v>
      </c>
      <c r="W1354" s="10">
        <v>0.84219843188693133</v>
      </c>
      <c r="X1354" s="420"/>
      <c r="Y1354" s="420"/>
      <c r="Z1354" s="1"/>
      <c r="AA1354" s="1"/>
      <c r="AB1354" s="1"/>
      <c r="AC1354" s="1"/>
      <c r="AD1354" s="1"/>
    </row>
    <row r="1355" spans="17:30">
      <c r="Q1355" s="6">
        <v>1325</v>
      </c>
      <c r="R1355" s="7">
        <v>43992</v>
      </c>
      <c r="S1355" s="210">
        <v>4.25</v>
      </c>
      <c r="T1355" s="8">
        <v>1.0001180555555556</v>
      </c>
      <c r="U1355" s="98">
        <v>3.9724846362302335</v>
      </c>
      <c r="V1355" s="106">
        <v>29330.051799930163</v>
      </c>
      <c r="W1355" s="10">
        <v>0.84252739170651569</v>
      </c>
      <c r="X1355" s="420"/>
      <c r="Y1355" s="420"/>
      <c r="Z1355" s="1"/>
      <c r="AA1355" s="1"/>
      <c r="AB1355" s="1"/>
      <c r="AC1355" s="1"/>
      <c r="AD1355" s="1"/>
    </row>
    <row r="1356" spans="17:30">
      <c r="Q1356" s="6">
        <v>1326</v>
      </c>
      <c r="R1356" s="7">
        <v>43993</v>
      </c>
      <c r="S1356" s="210">
        <v>4.25</v>
      </c>
      <c r="T1356" s="8">
        <v>1.0001180555555556</v>
      </c>
      <c r="U1356" s="98">
        <v>3.9728086001862284</v>
      </c>
      <c r="V1356" s="106">
        <v>29332.493022371516</v>
      </c>
      <c r="W1356" s="10">
        <v>0.84285585642809302</v>
      </c>
      <c r="X1356" s="420"/>
      <c r="Y1356" s="420"/>
      <c r="Z1356" s="1"/>
      <c r="AA1356" s="1"/>
      <c r="AB1356" s="1"/>
      <c r="AC1356" s="1"/>
      <c r="AD1356" s="1"/>
    </row>
    <row r="1357" spans="17:30">
      <c r="Q1357" s="6">
        <v>1327</v>
      </c>
      <c r="R1357" s="7">
        <v>43994</v>
      </c>
      <c r="S1357" s="210">
        <v>4.25</v>
      </c>
      <c r="T1357" s="8">
        <v>1.0001180555555556</v>
      </c>
      <c r="U1357" s="98">
        <v>3.9731320768841893</v>
      </c>
      <c r="V1357" s="106">
        <v>29334.934448002656</v>
      </c>
      <c r="W1357" s="10">
        <v>0.84318382716856988</v>
      </c>
      <c r="X1357" s="420"/>
      <c r="Y1357" s="420"/>
      <c r="Z1357" s="1"/>
      <c r="AA1357" s="1"/>
      <c r="AB1357" s="1"/>
      <c r="AC1357" s="1"/>
      <c r="AD1357" s="1"/>
    </row>
    <row r="1358" spans="17:30">
      <c r="Q1358" s="6">
        <v>1328</v>
      </c>
      <c r="R1358" s="7">
        <v>43995</v>
      </c>
      <c r="S1358" s="210">
        <v>4.25</v>
      </c>
      <c r="T1358" s="8">
        <v>1.0001180555555556</v>
      </c>
      <c r="U1358" s="98">
        <v>3.9734550674225488</v>
      </c>
      <c r="V1358" s="106">
        <v>29337.376076840494</v>
      </c>
      <c r="W1358" s="10">
        <v>0.84351130504145555</v>
      </c>
      <c r="X1358" s="420"/>
      <c r="Y1358" s="420"/>
      <c r="Z1358" s="1"/>
      <c r="AA1358" s="1"/>
      <c r="AB1358" s="1"/>
      <c r="AC1358" s="1"/>
      <c r="AD1358" s="1"/>
    </row>
    <row r="1359" spans="17:30">
      <c r="Q1359" s="6">
        <v>1329</v>
      </c>
      <c r="R1359" s="7">
        <v>43996</v>
      </c>
      <c r="S1359" s="210">
        <v>4.25</v>
      </c>
      <c r="T1359" s="8">
        <v>1.0001180555555556</v>
      </c>
      <c r="U1359" s="98">
        <v>3.9737775728964975</v>
      </c>
      <c r="V1359" s="106">
        <v>29339.81790890194</v>
      </c>
      <c r="W1359" s="10">
        <v>0.84383829115695086</v>
      </c>
      <c r="X1359" s="420"/>
      <c r="Y1359" s="420"/>
      <c r="Z1359" s="1"/>
      <c r="AA1359" s="1"/>
      <c r="AB1359" s="1"/>
      <c r="AC1359" s="1"/>
      <c r="AD1359" s="1"/>
    </row>
    <row r="1360" spans="17:30">
      <c r="Q1360" s="6">
        <v>1330</v>
      </c>
      <c r="R1360" s="7">
        <v>43997</v>
      </c>
      <c r="S1360" s="210">
        <v>4.25</v>
      </c>
      <c r="T1360" s="8">
        <v>1.0001180555555556</v>
      </c>
      <c r="U1360" s="98">
        <v>3.9740995943978952</v>
      </c>
      <c r="V1360" s="106">
        <v>29342.259944203917</v>
      </c>
      <c r="W1360" s="10">
        <v>0.84416478662183714</v>
      </c>
      <c r="X1360" s="420"/>
      <c r="Y1360" s="420"/>
      <c r="Z1360" s="1"/>
      <c r="AA1360" s="1"/>
      <c r="AB1360" s="1"/>
      <c r="AC1360" s="1"/>
      <c r="AD1360" s="1"/>
    </row>
    <row r="1361" spans="17:30">
      <c r="Q1361" s="6">
        <v>1331</v>
      </c>
      <c r="R1361" s="7">
        <v>43998</v>
      </c>
      <c r="S1361" s="210">
        <v>4.25</v>
      </c>
      <c r="T1361" s="8">
        <v>1.0001180555555556</v>
      </c>
      <c r="U1361" s="98">
        <v>3.97442113301536</v>
      </c>
      <c r="V1361" s="106">
        <v>29344.702182763343</v>
      </c>
      <c r="W1361" s="10">
        <v>0.84449079253967607</v>
      </c>
      <c r="X1361" s="420"/>
      <c r="Y1361" s="420"/>
      <c r="Z1361" s="1"/>
      <c r="AA1361" s="1"/>
      <c r="AB1361" s="1"/>
      <c r="AC1361" s="1"/>
      <c r="AD1361" s="1"/>
    </row>
    <row r="1362" spans="17:30">
      <c r="Q1362" s="6">
        <v>1332</v>
      </c>
      <c r="R1362" s="7">
        <v>43999</v>
      </c>
      <c r="S1362" s="210">
        <v>4.25</v>
      </c>
      <c r="T1362" s="8">
        <v>1.0001180555555556</v>
      </c>
      <c r="U1362" s="98">
        <v>3.9747421898342239</v>
      </c>
      <c r="V1362" s="106">
        <v>29347.144624597135</v>
      </c>
      <c r="W1362" s="10">
        <v>0.84481631001067647</v>
      </c>
      <c r="X1362" s="420"/>
      <c r="Y1362" s="420"/>
      <c r="Z1362" s="1"/>
      <c r="AA1362" s="1"/>
      <c r="AB1362" s="1"/>
      <c r="AC1362" s="1"/>
      <c r="AD1362" s="1"/>
    </row>
    <row r="1363" spans="17:30">
      <c r="Q1363" s="6">
        <v>1333</v>
      </c>
      <c r="R1363" s="7">
        <v>44000</v>
      </c>
      <c r="S1363" s="210">
        <v>4.25</v>
      </c>
      <c r="T1363" s="8">
        <v>1.0001180555555556</v>
      </c>
      <c r="U1363" s="98">
        <v>3.9750627659365767</v>
      </c>
      <c r="V1363" s="106">
        <v>29349.5872697222</v>
      </c>
      <c r="W1363" s="10">
        <v>0.84514134013173869</v>
      </c>
      <c r="X1363" s="420"/>
      <c r="Y1363" s="420"/>
      <c r="Z1363" s="1"/>
      <c r="AA1363" s="1"/>
      <c r="AB1363" s="1"/>
      <c r="AC1363" s="1"/>
      <c r="AD1363" s="1"/>
    </row>
    <row r="1364" spans="17:30">
      <c r="Q1364" s="6">
        <v>1334</v>
      </c>
      <c r="R1364" s="7">
        <v>44001</v>
      </c>
      <c r="S1364" s="210">
        <v>4.25</v>
      </c>
      <c r="T1364" s="8">
        <v>1.0001180555555556</v>
      </c>
      <c r="U1364" s="98">
        <v>3.9753828624012666</v>
      </c>
      <c r="V1364" s="106">
        <v>29352.030118155468</v>
      </c>
      <c r="W1364" s="10">
        <v>0.84546588399649902</v>
      </c>
      <c r="X1364" s="420"/>
      <c r="Y1364" s="420"/>
      <c r="Z1364" s="1"/>
      <c r="AA1364" s="1"/>
      <c r="AB1364" s="1"/>
      <c r="AC1364" s="1"/>
      <c r="AD1364" s="1"/>
    </row>
    <row r="1365" spans="17:30">
      <c r="Q1365" s="6">
        <v>1335</v>
      </c>
      <c r="R1365" s="7">
        <v>44002</v>
      </c>
      <c r="S1365" s="210">
        <v>4.25</v>
      </c>
      <c r="T1365" s="8">
        <v>1.0001180555555556</v>
      </c>
      <c r="U1365" s="98">
        <v>3.975702480303922</v>
      </c>
      <c r="V1365" s="106">
        <v>29354.473169913865</v>
      </c>
      <c r="W1365" s="10">
        <v>0.8457899426953519</v>
      </c>
      <c r="X1365" s="420"/>
      <c r="Y1365" s="420"/>
      <c r="Z1365" s="1"/>
      <c r="AA1365" s="1"/>
      <c r="AB1365" s="1"/>
      <c r="AC1365" s="1"/>
      <c r="AD1365" s="1"/>
    </row>
    <row r="1366" spans="17:30">
      <c r="Q1366" s="6">
        <v>1336</v>
      </c>
      <c r="R1366" s="7">
        <v>44003</v>
      </c>
      <c r="S1366" s="210">
        <v>4.25</v>
      </c>
      <c r="T1366" s="8">
        <v>1.0001180555555556</v>
      </c>
      <c r="U1366" s="98">
        <v>3.9760216207169519</v>
      </c>
      <c r="V1366" s="106">
        <v>29356.916425014304</v>
      </c>
      <c r="W1366" s="10">
        <v>0.84611351731538331</v>
      </c>
      <c r="X1366" s="420"/>
      <c r="Y1366" s="420"/>
      <c r="Z1366" s="1"/>
      <c r="AA1366" s="1"/>
      <c r="AB1366" s="1"/>
      <c r="AC1366" s="1"/>
      <c r="AD1366" s="1"/>
    </row>
    <row r="1367" spans="17:30">
      <c r="Q1367" s="6">
        <v>1337</v>
      </c>
      <c r="R1367" s="7">
        <v>44004</v>
      </c>
      <c r="S1367" s="210">
        <v>4.25</v>
      </c>
      <c r="T1367" s="8">
        <v>1.0001180555555556</v>
      </c>
      <c r="U1367" s="98">
        <v>3.9763402847095897</v>
      </c>
      <c r="V1367" s="106">
        <v>29359.359883473724</v>
      </c>
      <c r="W1367" s="10">
        <v>0.84643660894048178</v>
      </c>
      <c r="X1367" s="420"/>
      <c r="Y1367" s="420"/>
      <c r="Z1367" s="1"/>
      <c r="AA1367" s="1"/>
      <c r="AB1367" s="1"/>
      <c r="AC1367" s="1"/>
      <c r="AD1367" s="1"/>
    </row>
    <row r="1368" spans="17:30">
      <c r="Q1368" s="6">
        <v>1338</v>
      </c>
      <c r="R1368" s="7">
        <v>44005</v>
      </c>
      <c r="S1368" s="210">
        <v>4.25</v>
      </c>
      <c r="T1368" s="8">
        <v>1.0001180555555556</v>
      </c>
      <c r="U1368" s="98">
        <v>3.9766584733478272</v>
      </c>
      <c r="V1368" s="106">
        <v>29361.803545309034</v>
      </c>
      <c r="W1368" s="10">
        <v>0.84675921865124959</v>
      </c>
      <c r="X1368" s="420"/>
      <c r="Y1368" s="420"/>
      <c r="Z1368" s="1"/>
      <c r="AA1368" s="1"/>
      <c r="AB1368" s="1"/>
      <c r="AC1368" s="1"/>
      <c r="AD1368" s="1"/>
    </row>
    <row r="1369" spans="17:30">
      <c r="Q1369" s="6">
        <v>1339</v>
      </c>
      <c r="R1369" s="7">
        <v>44006</v>
      </c>
      <c r="S1369" s="210">
        <v>4.25</v>
      </c>
      <c r="T1369" s="8">
        <v>1.0001180555555556</v>
      </c>
      <c r="U1369" s="98">
        <v>3.9769761876945031</v>
      </c>
      <c r="V1369" s="106">
        <v>29364.247410537173</v>
      </c>
      <c r="W1369" s="10">
        <v>0.84708134752511377</v>
      </c>
      <c r="X1369" s="420"/>
      <c r="Y1369" s="420"/>
      <c r="Z1369" s="1"/>
      <c r="AA1369" s="1"/>
      <c r="AB1369" s="1"/>
      <c r="AC1369" s="1"/>
      <c r="AD1369" s="1"/>
    </row>
    <row r="1370" spans="17:30">
      <c r="Q1370" s="6">
        <v>1340</v>
      </c>
      <c r="R1370" s="7">
        <v>44007</v>
      </c>
      <c r="S1370" s="210">
        <v>4.25</v>
      </c>
      <c r="T1370" s="8">
        <v>1.0001180555555556</v>
      </c>
      <c r="U1370" s="98">
        <v>3.9772934288093253</v>
      </c>
      <c r="V1370" s="106">
        <v>29366.691479175061</v>
      </c>
      <c r="W1370" s="10">
        <v>0.84740299663628171</v>
      </c>
      <c r="X1370" s="420"/>
      <c r="Y1370" s="420"/>
      <c r="Z1370" s="1"/>
      <c r="AA1370" s="1"/>
      <c r="AB1370" s="1"/>
      <c r="AC1370" s="1"/>
      <c r="AD1370" s="1"/>
    </row>
    <row r="1371" spans="17:30">
      <c r="Q1371" s="6">
        <v>1341</v>
      </c>
      <c r="R1371" s="7">
        <v>44008</v>
      </c>
      <c r="S1371" s="210">
        <v>4.25</v>
      </c>
      <c r="T1371" s="8">
        <v>1.0001180555555556</v>
      </c>
      <c r="U1371" s="98">
        <v>3.9776101977487821</v>
      </c>
      <c r="V1371" s="106">
        <v>29369.135751239635</v>
      </c>
      <c r="W1371" s="10">
        <v>0.84772416705571896</v>
      </c>
      <c r="X1371" s="420"/>
      <c r="Y1371" s="420"/>
      <c r="Z1371" s="1"/>
      <c r="AA1371" s="1"/>
      <c r="AB1371" s="1"/>
      <c r="AC1371" s="1"/>
      <c r="AD1371" s="1"/>
    </row>
    <row r="1372" spans="17:30">
      <c r="Q1372" s="6">
        <v>1342</v>
      </c>
      <c r="R1372" s="7">
        <v>44009</v>
      </c>
      <c r="S1372" s="210">
        <v>4.25</v>
      </c>
      <c r="T1372" s="8">
        <v>1.0001180555555556</v>
      </c>
      <c r="U1372" s="98">
        <v>3.9779264955662752</v>
      </c>
      <c r="V1372" s="106">
        <v>29371.580226747832</v>
      </c>
      <c r="W1372" s="10">
        <v>0.84804485985126021</v>
      </c>
      <c r="X1372" s="420"/>
      <c r="Y1372" s="420"/>
      <c r="Z1372" s="1"/>
      <c r="AA1372" s="1"/>
      <c r="AB1372" s="1"/>
      <c r="AC1372" s="1"/>
      <c r="AD1372" s="1"/>
    </row>
    <row r="1373" spans="17:30">
      <c r="Q1373" s="6">
        <v>1343</v>
      </c>
      <c r="R1373" s="7">
        <v>44010</v>
      </c>
      <c r="S1373" s="210">
        <v>4.25</v>
      </c>
      <c r="T1373" s="8">
        <v>1.0001180555555556</v>
      </c>
      <c r="U1373" s="98">
        <v>3.9782423233120534</v>
      </c>
      <c r="V1373" s="106">
        <v>29374.024905716575</v>
      </c>
      <c r="W1373" s="10">
        <v>0.84836507608758716</v>
      </c>
      <c r="X1373" s="420"/>
      <c r="Y1373" s="420"/>
      <c r="Z1373" s="1"/>
      <c r="AA1373" s="1"/>
      <c r="AB1373" s="1"/>
      <c r="AC1373" s="1"/>
      <c r="AD1373" s="1"/>
    </row>
    <row r="1374" spans="17:30">
      <c r="Q1374" s="6">
        <v>1344</v>
      </c>
      <c r="R1374" s="7">
        <v>44011</v>
      </c>
      <c r="S1374" s="210">
        <v>4.25</v>
      </c>
      <c r="T1374" s="8">
        <v>1.0001180555555556</v>
      </c>
      <c r="U1374" s="98">
        <v>3.9785576820332347</v>
      </c>
      <c r="V1374" s="106">
        <v>29376.469788162802</v>
      </c>
      <c r="W1374" s="10">
        <v>0.84868481682613961</v>
      </c>
      <c r="X1374" s="420"/>
      <c r="Y1374" s="420"/>
      <c r="Z1374" s="1"/>
      <c r="AA1374" s="1"/>
      <c r="AB1374" s="1"/>
      <c r="AC1374" s="1"/>
      <c r="AD1374" s="1"/>
    </row>
    <row r="1375" spans="17:30">
      <c r="Q1375" s="6">
        <v>1345</v>
      </c>
      <c r="R1375" s="7">
        <v>44012</v>
      </c>
      <c r="S1375" s="210">
        <v>4.25</v>
      </c>
      <c r="T1375" s="8">
        <v>1.0001180555555556</v>
      </c>
      <c r="U1375" s="98">
        <v>3.9788725727738505</v>
      </c>
      <c r="V1375" s="106">
        <v>29378.914874103451</v>
      </c>
      <c r="W1375" s="10">
        <v>0.84900408312524878</v>
      </c>
      <c r="X1375" s="420"/>
      <c r="Y1375" s="420"/>
      <c r="Z1375" s="1"/>
      <c r="AA1375" s="1"/>
      <c r="AB1375" s="1"/>
      <c r="AC1375" s="1"/>
      <c r="AD1375" s="1"/>
    </row>
    <row r="1376" spans="17:30">
      <c r="Q1376" s="6">
        <v>1346</v>
      </c>
      <c r="R1376" s="7">
        <v>44013</v>
      </c>
      <c r="S1376" s="210">
        <v>4.25</v>
      </c>
      <c r="T1376" s="8">
        <v>1.0001180555555556</v>
      </c>
      <c r="U1376" s="98">
        <v>3.9791869965748017</v>
      </c>
      <c r="V1376" s="106">
        <v>29381.360163555455</v>
      </c>
      <c r="W1376" s="10">
        <v>0.84932287604013723</v>
      </c>
      <c r="X1376" s="420"/>
      <c r="Y1376" s="420"/>
      <c r="Z1376" s="1"/>
      <c r="AA1376" s="1"/>
      <c r="AB1376" s="1"/>
      <c r="AC1376" s="1"/>
      <c r="AD1376" s="1"/>
    </row>
    <row r="1377" spans="17:30">
      <c r="Q1377" s="6">
        <v>1347</v>
      </c>
      <c r="R1377" s="7">
        <v>44014</v>
      </c>
      <c r="S1377" s="210">
        <v>4.25</v>
      </c>
      <c r="T1377" s="8">
        <v>1.0001180555555556</v>
      </c>
      <c r="U1377" s="98">
        <v>3.9795009544739468</v>
      </c>
      <c r="V1377" s="106">
        <v>29383.805656535758</v>
      </c>
      <c r="W1377" s="10">
        <v>0.84964119662285231</v>
      </c>
      <c r="X1377" s="420"/>
      <c r="Y1377" s="420"/>
      <c r="Z1377" s="1"/>
      <c r="AA1377" s="1"/>
      <c r="AB1377" s="1"/>
      <c r="AC1377" s="1"/>
      <c r="AD1377" s="1"/>
    </row>
    <row r="1378" spans="17:30">
      <c r="Q1378" s="6">
        <v>1348</v>
      </c>
      <c r="R1378" s="7">
        <v>44015</v>
      </c>
      <c r="S1378" s="210">
        <v>4.25</v>
      </c>
      <c r="T1378" s="8">
        <v>1.0001180555555556</v>
      </c>
      <c r="U1378" s="98">
        <v>3.9798144475060582</v>
      </c>
      <c r="V1378" s="106">
        <v>29386.251353061303</v>
      </c>
      <c r="W1378" s="10">
        <v>0.84995904592233273</v>
      </c>
      <c r="X1378" s="420"/>
      <c r="Y1378" s="420"/>
      <c r="Z1378" s="1"/>
      <c r="AA1378" s="1"/>
      <c r="AB1378" s="1"/>
      <c r="AC1378" s="1"/>
      <c r="AD1378" s="1"/>
    </row>
    <row r="1379" spans="17:30">
      <c r="Q1379" s="6">
        <v>1349</v>
      </c>
      <c r="R1379" s="7">
        <v>44016</v>
      </c>
      <c r="S1379" s="210">
        <v>4.25</v>
      </c>
      <c r="T1379" s="8">
        <v>1.0001180555555556</v>
      </c>
      <c r="U1379" s="98">
        <v>3.9801274767028216</v>
      </c>
      <c r="V1379" s="106">
        <v>29388.697253149017</v>
      </c>
      <c r="W1379" s="10">
        <v>0.85027642498445299</v>
      </c>
      <c r="X1379" s="420"/>
      <c r="Y1379" s="420"/>
      <c r="Z1379" s="1"/>
      <c r="AA1379" s="1"/>
      <c r="AB1379" s="1"/>
      <c r="AC1379" s="1"/>
      <c r="AD1379" s="1"/>
    </row>
    <row r="1380" spans="17:30">
      <c r="Q1380" s="6">
        <v>1350</v>
      </c>
      <c r="R1380" s="7">
        <v>44017</v>
      </c>
      <c r="S1380" s="210">
        <v>4.25</v>
      </c>
      <c r="T1380" s="8">
        <v>1.0001180555555556</v>
      </c>
      <c r="U1380" s="98">
        <v>3.9804400430929032</v>
      </c>
      <c r="V1380" s="106">
        <v>29391.143356815861</v>
      </c>
      <c r="W1380" s="10">
        <v>0.85059333485193456</v>
      </c>
      <c r="X1380" s="420"/>
      <c r="Y1380" s="420"/>
      <c r="Z1380" s="1"/>
      <c r="AA1380" s="1"/>
      <c r="AB1380" s="1"/>
      <c r="AC1380" s="1"/>
      <c r="AD1380" s="1"/>
    </row>
    <row r="1381" spans="17:30">
      <c r="Q1381" s="6">
        <v>1351</v>
      </c>
      <c r="R1381" s="7">
        <v>44018</v>
      </c>
      <c r="S1381" s="210">
        <v>4.25</v>
      </c>
      <c r="T1381" s="8">
        <v>1.0001180555555556</v>
      </c>
      <c r="U1381" s="98">
        <v>3.980752147701927</v>
      </c>
      <c r="V1381" s="106">
        <v>29393.589664078765</v>
      </c>
      <c r="W1381" s="10">
        <v>0.85090977656450129</v>
      </c>
      <c r="X1381" s="420"/>
      <c r="Y1381" s="420"/>
      <c r="Z1381" s="1"/>
      <c r="AA1381" s="1"/>
      <c r="AB1381" s="1"/>
      <c r="AC1381" s="1"/>
      <c r="AD1381" s="1"/>
    </row>
    <row r="1382" spans="17:30">
      <c r="Q1382" s="6">
        <v>1352</v>
      </c>
      <c r="R1382" s="7">
        <v>44019</v>
      </c>
      <c r="S1382" s="210">
        <v>4.25</v>
      </c>
      <c r="T1382" s="8">
        <v>1.0001180555555556</v>
      </c>
      <c r="U1382" s="98">
        <v>3.9810637915524527</v>
      </c>
      <c r="V1382" s="106">
        <v>29396.036174954679</v>
      </c>
      <c r="W1382" s="10">
        <v>0.85122575115872401</v>
      </c>
      <c r="X1382" s="420"/>
      <c r="Y1382" s="420"/>
      <c r="Z1382" s="1"/>
      <c r="AA1382" s="1"/>
      <c r="AB1382" s="1"/>
      <c r="AC1382" s="1"/>
      <c r="AD1382" s="1"/>
    </row>
    <row r="1383" spans="17:30">
      <c r="Q1383" s="6">
        <v>1353</v>
      </c>
      <c r="R1383" s="7">
        <v>44020</v>
      </c>
      <c r="S1383" s="210">
        <v>4.25</v>
      </c>
      <c r="T1383" s="8">
        <v>1.0001180555555556</v>
      </c>
      <c r="U1383" s="98">
        <v>3.981374975664087</v>
      </c>
      <c r="V1383" s="106">
        <v>29398.482889460563</v>
      </c>
      <c r="W1383" s="10">
        <v>0.85154125966815375</v>
      </c>
      <c r="X1383" s="420"/>
      <c r="Y1383" s="420"/>
      <c r="Z1383" s="1"/>
      <c r="AA1383" s="1"/>
      <c r="AB1383" s="1"/>
      <c r="AC1383" s="1"/>
      <c r="AD1383" s="1"/>
    </row>
    <row r="1384" spans="17:30">
      <c r="Q1384" s="6">
        <v>1354</v>
      </c>
      <c r="R1384" s="7">
        <v>44021</v>
      </c>
      <c r="S1384" s="210">
        <v>4.25</v>
      </c>
      <c r="T1384" s="8">
        <v>1.0001180555555556</v>
      </c>
      <c r="U1384" s="98">
        <v>3.9816857010533502</v>
      </c>
      <c r="V1384" s="106">
        <v>29400.929807613345</v>
      </c>
      <c r="W1384" s="10">
        <v>0.85185630312329952</v>
      </c>
      <c r="X1384" s="420"/>
      <c r="Y1384" s="420"/>
      <c r="Z1384" s="1"/>
      <c r="AA1384" s="1"/>
      <c r="AB1384" s="1"/>
      <c r="AC1384" s="1"/>
      <c r="AD1384" s="1"/>
    </row>
    <row r="1385" spans="17:30">
      <c r="Q1385" s="6">
        <v>1355</v>
      </c>
      <c r="R1385" s="7">
        <v>44022</v>
      </c>
      <c r="S1385" s="210">
        <v>4.25</v>
      </c>
      <c r="T1385" s="8">
        <v>1.0001180555555556</v>
      </c>
      <c r="U1385" s="98">
        <v>3.9819959687338313</v>
      </c>
      <c r="V1385" s="106">
        <v>29403.297986837439</v>
      </c>
      <c r="W1385" s="10">
        <v>0.85224382053201708</v>
      </c>
      <c r="X1385" s="420"/>
      <c r="Y1385" s="420"/>
      <c r="Z1385" s="1"/>
      <c r="AA1385" s="1"/>
      <c r="AB1385" s="1"/>
      <c r="AC1385" s="1"/>
      <c r="AD1385" s="1"/>
    </row>
    <row r="1386" spans="17:30">
      <c r="Q1386" s="6">
        <v>1356</v>
      </c>
      <c r="R1386" s="7">
        <v>44023</v>
      </c>
      <c r="S1386" s="210">
        <v>4.25</v>
      </c>
      <c r="T1386" s="8">
        <v>1.0001180555555556</v>
      </c>
      <c r="U1386" s="98">
        <v>3.9823057797161221</v>
      </c>
      <c r="V1386" s="106">
        <v>29405.666356813083</v>
      </c>
      <c r="W1386" s="10">
        <v>0.85263076786687986</v>
      </c>
      <c r="X1386" s="420"/>
      <c r="Y1386" s="420"/>
      <c r="Z1386" s="1"/>
      <c r="AA1386" s="1"/>
      <c r="AB1386" s="1"/>
      <c r="AC1386" s="1"/>
      <c r="AD1386" s="1"/>
    </row>
    <row r="1387" spans="17:30">
      <c r="Q1387" s="6">
        <v>1357</v>
      </c>
      <c r="R1387" s="7">
        <v>44024</v>
      </c>
      <c r="S1387" s="210">
        <v>4.25</v>
      </c>
      <c r="T1387" s="8">
        <v>1.0001180555555556</v>
      </c>
      <c r="U1387" s="98">
        <v>3.9826151350078387</v>
      </c>
      <c r="V1387" s="106">
        <v>29408.034917555633</v>
      </c>
      <c r="W1387" s="10">
        <v>0.85301714638488235</v>
      </c>
      <c r="X1387" s="420"/>
      <c r="Y1387" s="420"/>
      <c r="Z1387" s="1"/>
      <c r="AA1387" s="1"/>
      <c r="AB1387" s="1"/>
      <c r="AC1387" s="1"/>
      <c r="AD1387" s="1"/>
    </row>
    <row r="1388" spans="17:30">
      <c r="Q1388" s="6">
        <v>1358</v>
      </c>
      <c r="R1388" s="7">
        <v>44025</v>
      </c>
      <c r="S1388" s="210">
        <v>4.25</v>
      </c>
      <c r="T1388" s="8">
        <v>1.0001180555555556</v>
      </c>
      <c r="U1388" s="98">
        <v>3.982924035613622</v>
      </c>
      <c r="V1388" s="106">
        <v>29410.403669080457</v>
      </c>
      <c r="W1388" s="10">
        <v>0.85340295733935534</v>
      </c>
      <c r="X1388" s="420"/>
      <c r="Y1388" s="420"/>
      <c r="Z1388" s="1"/>
      <c r="AA1388" s="1"/>
      <c r="AB1388" s="1"/>
      <c r="AC1388" s="1"/>
      <c r="AD1388" s="1"/>
    </row>
    <row r="1389" spans="17:30">
      <c r="Q1389" s="6">
        <v>1359</v>
      </c>
      <c r="R1389" s="7">
        <v>44026</v>
      </c>
      <c r="S1389" s="210">
        <v>4.25</v>
      </c>
      <c r="T1389" s="8">
        <v>1.0001180555555556</v>
      </c>
      <c r="U1389" s="98">
        <v>3.9832324825351595</v>
      </c>
      <c r="V1389" s="106">
        <v>29412.772611402932</v>
      </c>
      <c r="W1389" s="10">
        <v>0.85378820197994365</v>
      </c>
      <c r="X1389" s="420"/>
      <c r="Y1389" s="420"/>
      <c r="Z1389" s="1"/>
      <c r="AA1389" s="1"/>
      <c r="AB1389" s="1"/>
      <c r="AC1389" s="1"/>
      <c r="AD1389" s="1"/>
    </row>
    <row r="1390" spans="17:30">
      <c r="Q1390" s="6">
        <v>1360</v>
      </c>
      <c r="R1390" s="7">
        <v>44027</v>
      </c>
      <c r="S1390" s="210">
        <v>4.25</v>
      </c>
      <c r="T1390" s="8">
        <v>1.0001180555555556</v>
      </c>
      <c r="U1390" s="98">
        <v>3.9835404767712079</v>
      </c>
      <c r="V1390" s="106">
        <v>29415.141744538414</v>
      </c>
      <c r="W1390" s="10">
        <v>0.85417288155260618</v>
      </c>
      <c r="X1390" s="420"/>
      <c r="Y1390" s="420"/>
      <c r="Z1390" s="1"/>
      <c r="AA1390" s="1"/>
      <c r="AB1390" s="1"/>
      <c r="AC1390" s="1"/>
      <c r="AD1390" s="1"/>
    </row>
    <row r="1391" spans="17:30">
      <c r="Q1391" s="6">
        <v>1361</v>
      </c>
      <c r="R1391" s="7">
        <v>44028</v>
      </c>
      <c r="S1391" s="210">
        <v>4.25</v>
      </c>
      <c r="T1391" s="8">
        <v>1.0001180555555556</v>
      </c>
      <c r="U1391" s="98">
        <v>3.9838480193176151</v>
      </c>
      <c r="V1391" s="106">
        <v>29417.511068502285</v>
      </c>
      <c r="W1391" s="10">
        <v>0.85455699729970469</v>
      </c>
      <c r="X1391" s="420"/>
      <c r="Y1391" s="420"/>
      <c r="Z1391" s="1"/>
      <c r="AA1391" s="1"/>
      <c r="AB1391" s="1"/>
      <c r="AC1391" s="1"/>
      <c r="AD1391" s="1"/>
    </row>
    <row r="1392" spans="17:30">
      <c r="Q1392" s="6">
        <v>1362</v>
      </c>
      <c r="R1392" s="7">
        <v>44029</v>
      </c>
      <c r="S1392" s="210">
        <v>4.25</v>
      </c>
      <c r="T1392" s="8">
        <v>1.0001180555555556</v>
      </c>
      <c r="U1392" s="98">
        <v>3.9841551111672979</v>
      </c>
      <c r="V1392" s="106">
        <v>29419.88058330991</v>
      </c>
      <c r="W1392" s="10">
        <v>0.85494055045991502</v>
      </c>
      <c r="X1392" s="420"/>
      <c r="Y1392" s="420"/>
      <c r="Z1392" s="1"/>
      <c r="AA1392" s="1"/>
      <c r="AB1392" s="1"/>
      <c r="AC1392" s="1"/>
      <c r="AD1392" s="1"/>
    </row>
    <row r="1393" spans="17:30">
      <c r="Q1393" s="6">
        <v>1363</v>
      </c>
      <c r="R1393" s="7">
        <v>44030</v>
      </c>
      <c r="S1393" s="210">
        <v>4.25</v>
      </c>
      <c r="T1393" s="8">
        <v>1.0001180555555556</v>
      </c>
      <c r="U1393" s="98">
        <v>3.9844617533102422</v>
      </c>
      <c r="V1393" s="106">
        <v>29422.250288976655</v>
      </c>
      <c r="W1393" s="10">
        <v>0.85532354226831586</v>
      </c>
      <c r="X1393" s="420"/>
      <c r="Y1393" s="420"/>
      <c r="Z1393" s="1"/>
      <c r="AA1393" s="1"/>
      <c r="AB1393" s="1"/>
      <c r="AC1393" s="1"/>
      <c r="AD1393" s="1"/>
    </row>
    <row r="1394" spans="17:30">
      <c r="Q1394" s="6">
        <v>1364</v>
      </c>
      <c r="R1394" s="7">
        <v>44031</v>
      </c>
      <c r="S1394" s="210">
        <v>4.25</v>
      </c>
      <c r="T1394" s="8">
        <v>1.0001180555555556</v>
      </c>
      <c r="U1394" s="98">
        <v>3.9847679467335473</v>
      </c>
      <c r="V1394" s="106">
        <v>29424.620185517895</v>
      </c>
      <c r="W1394" s="10">
        <v>0.8557059739563444</v>
      </c>
      <c r="X1394" s="420"/>
      <c r="Y1394" s="420"/>
      <c r="Z1394" s="1"/>
      <c r="AA1394" s="1"/>
      <c r="AB1394" s="1"/>
      <c r="AC1394" s="1"/>
      <c r="AD1394" s="1"/>
    </row>
    <row r="1395" spans="17:30">
      <c r="Q1395" s="6">
        <v>1365</v>
      </c>
      <c r="R1395" s="7">
        <v>44032</v>
      </c>
      <c r="S1395" s="210">
        <v>4.25</v>
      </c>
      <c r="T1395" s="8">
        <v>1.0001180555555556</v>
      </c>
      <c r="U1395" s="98">
        <v>3.985073692421448</v>
      </c>
      <c r="V1395" s="106">
        <v>29426.990272949017</v>
      </c>
      <c r="W1395" s="10">
        <v>0.85608784675184069</v>
      </c>
      <c r="X1395" s="420"/>
      <c r="Y1395" s="420"/>
      <c r="Z1395" s="1"/>
      <c r="AA1395" s="1"/>
      <c r="AB1395" s="1"/>
      <c r="AC1395" s="1"/>
      <c r="AD1395" s="1"/>
    </row>
    <row r="1396" spans="17:30">
      <c r="Q1396" s="6">
        <v>1366</v>
      </c>
      <c r="R1396" s="7">
        <v>44033</v>
      </c>
      <c r="S1396" s="210">
        <v>4.25</v>
      </c>
      <c r="T1396" s="8">
        <v>1.0001180555555556</v>
      </c>
      <c r="U1396" s="98">
        <v>3.9853789913552706</v>
      </c>
      <c r="V1396" s="106">
        <v>29429.360551285379</v>
      </c>
      <c r="W1396" s="10">
        <v>0.85646916187911426</v>
      </c>
      <c r="X1396" s="420"/>
      <c r="Y1396" s="420"/>
      <c r="Z1396" s="1"/>
      <c r="AA1396" s="1"/>
      <c r="AB1396" s="1"/>
      <c r="AC1396" s="1"/>
      <c r="AD1396" s="1"/>
    </row>
    <row r="1397" spans="17:30">
      <c r="Q1397" s="6">
        <v>1367</v>
      </c>
      <c r="R1397" s="7">
        <v>44034</v>
      </c>
      <c r="S1397" s="210">
        <v>4.25</v>
      </c>
      <c r="T1397" s="8">
        <v>1.0001180555555556</v>
      </c>
      <c r="U1397" s="98">
        <v>3.985683844513499</v>
      </c>
      <c r="V1397" s="106">
        <v>29431.731020542371</v>
      </c>
      <c r="W1397" s="10">
        <v>0.85684992055881093</v>
      </c>
      <c r="X1397" s="420"/>
      <c r="Y1397" s="420"/>
      <c r="Z1397" s="1"/>
      <c r="AA1397" s="1"/>
      <c r="AB1397" s="1"/>
      <c r="AC1397" s="1"/>
      <c r="AD1397" s="1"/>
    </row>
    <row r="1398" spans="17:30">
      <c r="Q1398" s="6">
        <v>1368</v>
      </c>
      <c r="R1398" s="7">
        <v>44035</v>
      </c>
      <c r="S1398" s="210">
        <v>4.25</v>
      </c>
      <c r="T1398" s="8">
        <v>1.0001180555555556</v>
      </c>
      <c r="U1398" s="98">
        <v>3.9859882528717527</v>
      </c>
      <c r="V1398" s="106">
        <v>29434.101680735366</v>
      </c>
      <c r="W1398" s="10">
        <v>0.85723012400806819</v>
      </c>
      <c r="X1398" s="420"/>
      <c r="Y1398" s="420"/>
      <c r="Z1398" s="1"/>
      <c r="AA1398" s="1"/>
      <c r="AB1398" s="1"/>
      <c r="AC1398" s="1"/>
      <c r="AD1398" s="1"/>
    </row>
    <row r="1399" spans="17:30">
      <c r="Q1399" s="6">
        <v>1369</v>
      </c>
      <c r="R1399" s="7">
        <v>44036</v>
      </c>
      <c r="S1399" s="210">
        <v>4.25</v>
      </c>
      <c r="T1399" s="8">
        <v>1.0001180555555556</v>
      </c>
      <c r="U1399" s="98">
        <v>3.9862922174028093</v>
      </c>
      <c r="V1399" s="106">
        <v>29436.472531879743</v>
      </c>
      <c r="W1399" s="10">
        <v>0.85760977344051526</v>
      </c>
      <c r="X1399" s="420"/>
      <c r="Y1399" s="420"/>
      <c r="Z1399" s="1"/>
      <c r="AA1399" s="1"/>
      <c r="AB1399" s="1"/>
      <c r="AC1399" s="1"/>
      <c r="AD1399" s="1"/>
    </row>
    <row r="1400" spans="17:30">
      <c r="Q1400" s="6">
        <v>1370</v>
      </c>
      <c r="R1400" s="7">
        <v>44037</v>
      </c>
      <c r="S1400" s="210">
        <v>4.25</v>
      </c>
      <c r="T1400" s="8">
        <v>1.0001180555555556</v>
      </c>
      <c r="U1400" s="98">
        <v>3.9865957390766038</v>
      </c>
      <c r="V1400" s="106">
        <v>29438.843573990889</v>
      </c>
      <c r="W1400" s="10">
        <v>0.85798887006613977</v>
      </c>
      <c r="X1400" s="420"/>
      <c r="Y1400" s="420"/>
      <c r="Z1400" s="1"/>
      <c r="AA1400" s="1"/>
      <c r="AB1400" s="1"/>
      <c r="AC1400" s="1"/>
      <c r="AD1400" s="1"/>
    </row>
    <row r="1401" spans="17:30">
      <c r="Q1401" s="6">
        <v>1371</v>
      </c>
      <c r="R1401" s="7">
        <v>44038</v>
      </c>
      <c r="S1401" s="210">
        <v>4.25</v>
      </c>
      <c r="T1401" s="8">
        <v>1.0001180555555556</v>
      </c>
      <c r="U1401" s="98">
        <v>3.9868988188602517</v>
      </c>
      <c r="V1401" s="106">
        <v>29441.214807084176</v>
      </c>
      <c r="W1401" s="10">
        <v>0.85836741509150993</v>
      </c>
      <c r="X1401" s="420"/>
      <c r="Y1401" s="420"/>
      <c r="Z1401" s="1"/>
      <c r="AA1401" s="1"/>
      <c r="AB1401" s="1"/>
      <c r="AC1401" s="1"/>
      <c r="AD1401" s="1"/>
    </row>
    <row r="1402" spans="17:30">
      <c r="Q1402" s="6">
        <v>1372</v>
      </c>
      <c r="R1402" s="7">
        <v>44039</v>
      </c>
      <c r="S1402" s="210">
        <v>4.25</v>
      </c>
      <c r="T1402" s="8">
        <v>1.0001180555555556</v>
      </c>
      <c r="U1402" s="98">
        <v>3.9872014577180703</v>
      </c>
      <c r="V1402" s="106">
        <v>29443.586231174992</v>
      </c>
      <c r="W1402" s="10">
        <v>0.8587454097196412</v>
      </c>
      <c r="X1402" s="420"/>
      <c r="Y1402" s="420"/>
      <c r="Z1402" s="1"/>
      <c r="AA1402" s="1"/>
      <c r="AB1402" s="1"/>
      <c r="AC1402" s="1"/>
      <c r="AD1402" s="1"/>
    </row>
    <row r="1403" spans="17:30">
      <c r="Q1403" s="6">
        <v>1373</v>
      </c>
      <c r="R1403" s="7">
        <v>44040</v>
      </c>
      <c r="S1403" s="210">
        <v>4.25</v>
      </c>
      <c r="T1403" s="8">
        <v>1.0001180555555556</v>
      </c>
      <c r="U1403" s="98">
        <v>3.9875036566115352</v>
      </c>
      <c r="V1403" s="106">
        <v>29445.957846278729</v>
      </c>
      <c r="W1403" s="10">
        <v>0.85912285515006293</v>
      </c>
      <c r="X1403" s="420"/>
      <c r="Y1403" s="420"/>
      <c r="Z1403" s="1"/>
      <c r="AA1403" s="1"/>
      <c r="AB1403" s="1"/>
      <c r="AC1403" s="1"/>
      <c r="AD1403" s="1"/>
    </row>
    <row r="1404" spans="17:30">
      <c r="Q1404" s="6">
        <v>1374</v>
      </c>
      <c r="R1404" s="7">
        <v>44041</v>
      </c>
      <c r="S1404" s="210">
        <v>4.25</v>
      </c>
      <c r="T1404" s="8">
        <v>1.0001180555555556</v>
      </c>
      <c r="U1404" s="98">
        <v>3.9878054164993681</v>
      </c>
      <c r="V1404" s="106">
        <v>29448.329652410757</v>
      </c>
      <c r="W1404" s="10">
        <v>0.85949975257881839</v>
      </c>
      <c r="X1404" s="420"/>
      <c r="Y1404" s="420"/>
      <c r="Z1404" s="1"/>
      <c r="AA1404" s="1"/>
      <c r="AB1404" s="1"/>
      <c r="AC1404" s="1"/>
      <c r="AD1404" s="1"/>
    </row>
    <row r="1405" spans="17:30">
      <c r="Q1405" s="6">
        <v>1375</v>
      </c>
      <c r="R1405" s="7">
        <v>44042</v>
      </c>
      <c r="S1405" s="210">
        <v>4.25</v>
      </c>
      <c r="T1405" s="8">
        <v>1.0001180555555556</v>
      </c>
      <c r="U1405" s="98">
        <v>3.9881067383374935</v>
      </c>
      <c r="V1405" s="106">
        <v>29450.70164958647</v>
      </c>
      <c r="W1405" s="10">
        <v>0.85987610319846475</v>
      </c>
      <c r="X1405" s="420"/>
      <c r="Y1405" s="420"/>
      <c r="Z1405" s="1"/>
      <c r="AA1405" s="1"/>
      <c r="AB1405" s="1"/>
      <c r="AC1405" s="1"/>
      <c r="AD1405" s="1"/>
    </row>
    <row r="1406" spans="17:30">
      <c r="Q1406" s="6">
        <v>1376</v>
      </c>
      <c r="R1406" s="7">
        <v>44043</v>
      </c>
      <c r="S1406" s="210">
        <v>4.25</v>
      </c>
      <c r="T1406" s="8">
        <v>1.0001180555555556</v>
      </c>
      <c r="U1406" s="98">
        <v>3.9884076230790599</v>
      </c>
      <c r="V1406" s="106">
        <v>29453.073837821263</v>
      </c>
      <c r="W1406" s="10">
        <v>0.86025190819813968</v>
      </c>
      <c r="X1406" s="420"/>
      <c r="Y1406" s="420"/>
      <c r="Z1406" s="1"/>
      <c r="AA1406" s="1"/>
      <c r="AB1406" s="1"/>
      <c r="AC1406" s="1"/>
      <c r="AD1406" s="1"/>
    </row>
    <row r="1407" spans="17:30">
      <c r="Q1407" s="6">
        <v>1377</v>
      </c>
      <c r="R1407" s="7">
        <v>44044</v>
      </c>
      <c r="S1407" s="210">
        <v>4.25</v>
      </c>
      <c r="T1407" s="8">
        <v>1.0001180555555556</v>
      </c>
      <c r="U1407" s="98">
        <v>3.9887080716744627</v>
      </c>
      <c r="V1407" s="106">
        <v>29455.44621713052</v>
      </c>
      <c r="W1407" s="10">
        <v>0.86062716876349477</v>
      </c>
      <c r="X1407" s="420"/>
      <c r="Y1407" s="420"/>
      <c r="Z1407" s="1"/>
      <c r="AA1407" s="1"/>
      <c r="AB1407" s="1"/>
      <c r="AC1407" s="1"/>
      <c r="AD1407" s="1"/>
    </row>
    <row r="1408" spans="17:30">
      <c r="Q1408" s="6">
        <v>1378</v>
      </c>
      <c r="R1408" s="7">
        <v>44045</v>
      </c>
      <c r="S1408" s="210">
        <v>4.25</v>
      </c>
      <c r="T1408" s="8">
        <v>1.0001180555555556</v>
      </c>
      <c r="U1408" s="98">
        <v>3.9890080850713217</v>
      </c>
      <c r="V1408" s="106">
        <v>29457.818787529624</v>
      </c>
      <c r="W1408" s="10">
        <v>0.8610018860768065</v>
      </c>
      <c r="X1408" s="420"/>
      <c r="Y1408" s="420"/>
      <c r="Z1408" s="1"/>
      <c r="AA1408" s="1"/>
      <c r="AB1408" s="1"/>
      <c r="AC1408" s="1"/>
      <c r="AD1408" s="1"/>
    </row>
    <row r="1409" spans="17:30">
      <c r="Q1409" s="6">
        <v>1379</v>
      </c>
      <c r="R1409" s="7">
        <v>44046</v>
      </c>
      <c r="S1409" s="210">
        <v>4.25</v>
      </c>
      <c r="T1409" s="8">
        <v>1.0001180555555556</v>
      </c>
      <c r="U1409" s="98">
        <v>3.9893076642145253</v>
      </c>
      <c r="V1409" s="106">
        <v>29460.191549033982</v>
      </c>
      <c r="W1409" s="10">
        <v>0.86137606131682087</v>
      </c>
      <c r="X1409" s="420"/>
      <c r="Y1409" s="420"/>
      <c r="Z1409" s="1"/>
      <c r="AA1409" s="1"/>
      <c r="AB1409" s="1"/>
      <c r="AC1409" s="1"/>
      <c r="AD1409" s="1"/>
    </row>
    <row r="1410" spans="17:30">
      <c r="Q1410" s="6">
        <v>1380</v>
      </c>
      <c r="R1410" s="7">
        <v>44047</v>
      </c>
      <c r="S1410" s="210">
        <v>4.25</v>
      </c>
      <c r="T1410" s="8">
        <v>1.0001180555555556</v>
      </c>
      <c r="U1410" s="98">
        <v>3.9896068100462312</v>
      </c>
      <c r="V1410" s="106">
        <v>29462.564501658973</v>
      </c>
      <c r="W1410" s="10">
        <v>0.86174969565899762</v>
      </c>
      <c r="X1410" s="420"/>
      <c r="Y1410" s="420"/>
      <c r="Z1410" s="1"/>
      <c r="AA1410" s="1"/>
      <c r="AB1410" s="1"/>
      <c r="AC1410" s="1"/>
      <c r="AD1410" s="1"/>
    </row>
    <row r="1411" spans="17:30">
      <c r="Q1411" s="6">
        <v>1381</v>
      </c>
      <c r="R1411" s="7">
        <v>44048</v>
      </c>
      <c r="S1411" s="210">
        <v>4.25</v>
      </c>
      <c r="T1411" s="8">
        <v>1.0001180555555556</v>
      </c>
      <c r="U1411" s="98">
        <v>3.9899055235058656</v>
      </c>
      <c r="V1411" s="106">
        <v>29464.937645420003</v>
      </c>
      <c r="W1411" s="10">
        <v>0.86212279027533256</v>
      </c>
      <c r="X1411" s="420"/>
      <c r="Y1411" s="420"/>
      <c r="Z1411" s="1"/>
      <c r="AA1411" s="1"/>
      <c r="AB1411" s="1"/>
      <c r="AC1411" s="1"/>
      <c r="AD1411" s="1"/>
    </row>
    <row r="1412" spans="17:30">
      <c r="Q1412" s="6">
        <v>1382</v>
      </c>
      <c r="R1412" s="7">
        <v>44049</v>
      </c>
      <c r="S1412" s="210">
        <v>4.25</v>
      </c>
      <c r="T1412" s="8">
        <v>1.0001180555555556</v>
      </c>
      <c r="U1412" s="98">
        <v>3.9902038055301459</v>
      </c>
      <c r="V1412" s="106">
        <v>29467.310980332459</v>
      </c>
      <c r="W1412" s="10">
        <v>0.86249534633442426</v>
      </c>
      <c r="X1412" s="420"/>
      <c r="Y1412" s="420"/>
      <c r="Z1412" s="1"/>
      <c r="AA1412" s="1"/>
      <c r="AB1412" s="1"/>
      <c r="AC1412" s="1"/>
      <c r="AD1412" s="1"/>
    </row>
    <row r="1413" spans="17:30">
      <c r="Q1413" s="6">
        <v>1383</v>
      </c>
      <c r="R1413" s="7">
        <v>44050</v>
      </c>
      <c r="S1413" s="210">
        <v>4.25</v>
      </c>
      <c r="T1413" s="8">
        <v>1.0001180555555556</v>
      </c>
      <c r="U1413" s="98">
        <v>3.9905016570531027</v>
      </c>
      <c r="V1413" s="106">
        <v>29469.684506411741</v>
      </c>
      <c r="W1413" s="10">
        <v>0.86286736500158501</v>
      </c>
      <c r="X1413" s="420"/>
      <c r="Y1413" s="420"/>
      <c r="Z1413" s="1"/>
      <c r="AA1413" s="1"/>
      <c r="AB1413" s="1"/>
      <c r="AC1413" s="1"/>
      <c r="AD1413" s="1"/>
    </row>
    <row r="1414" spans="17:30">
      <c r="Q1414" s="6">
        <v>1384</v>
      </c>
      <c r="R1414" s="7">
        <v>44051</v>
      </c>
      <c r="S1414" s="210">
        <v>4.25</v>
      </c>
      <c r="T1414" s="8">
        <v>1.0001180555555556</v>
      </c>
      <c r="U1414" s="98">
        <v>3.9907990790060577</v>
      </c>
      <c r="V1414" s="106">
        <v>29472.058223673244</v>
      </c>
      <c r="W1414" s="10">
        <v>0.8632388474387076</v>
      </c>
      <c r="X1414" s="420"/>
      <c r="Y1414" s="420"/>
      <c r="Z1414" s="1"/>
      <c r="AA1414" s="1"/>
      <c r="AB1414" s="1"/>
      <c r="AC1414" s="1"/>
      <c r="AD1414" s="1"/>
    </row>
    <row r="1415" spans="17:30">
      <c r="Q1415" s="6">
        <v>1385</v>
      </c>
      <c r="R1415" s="7">
        <v>44052</v>
      </c>
      <c r="S1415" s="210">
        <v>4.25</v>
      </c>
      <c r="T1415" s="8">
        <v>1.0001180555555556</v>
      </c>
      <c r="U1415" s="98">
        <v>3.9910960723176458</v>
      </c>
      <c r="V1415" s="106">
        <v>29474.432132132377</v>
      </c>
      <c r="W1415" s="10">
        <v>0.86360979480428757</v>
      </c>
      <c r="X1415" s="420"/>
      <c r="Y1415" s="420"/>
      <c r="Z1415" s="1"/>
      <c r="AA1415" s="1"/>
      <c r="AB1415" s="1"/>
      <c r="AC1415" s="1"/>
      <c r="AD1415" s="1"/>
    </row>
    <row r="1416" spans="17:30">
      <c r="Q1416" s="6">
        <v>1386</v>
      </c>
      <c r="R1416" s="7">
        <v>44053</v>
      </c>
      <c r="S1416" s="210">
        <v>4.25</v>
      </c>
      <c r="T1416" s="8">
        <v>1.0001180555555556</v>
      </c>
      <c r="U1416" s="98">
        <v>3.9913926379138154</v>
      </c>
      <c r="V1416" s="106">
        <v>29476.80623180453</v>
      </c>
      <c r="W1416" s="10">
        <v>0.86398020825360078</v>
      </c>
      <c r="X1416" s="420"/>
      <c r="Y1416" s="420"/>
      <c r="Z1416" s="1"/>
      <c r="AA1416" s="1"/>
      <c r="AB1416" s="1"/>
      <c r="AC1416" s="1"/>
      <c r="AD1416" s="1"/>
    </row>
    <row r="1417" spans="17:30">
      <c r="Q1417" s="6">
        <v>1387</v>
      </c>
      <c r="R1417" s="7">
        <v>44054</v>
      </c>
      <c r="S1417" s="210">
        <v>4.25</v>
      </c>
      <c r="T1417" s="8">
        <v>1.0001180555555556</v>
      </c>
      <c r="U1417" s="98">
        <v>3.9916887767178721</v>
      </c>
      <c r="V1417" s="106">
        <v>29479.180522705112</v>
      </c>
      <c r="W1417" s="10">
        <v>0.86435008893850362</v>
      </c>
      <c r="X1417" s="420"/>
      <c r="Y1417" s="420"/>
      <c r="Z1417" s="1"/>
      <c r="AA1417" s="1"/>
      <c r="AB1417" s="1"/>
      <c r="AC1417" s="1"/>
      <c r="AD1417" s="1"/>
    </row>
    <row r="1418" spans="17:30">
      <c r="Q1418" s="6">
        <v>1388</v>
      </c>
      <c r="R1418" s="7">
        <v>44055</v>
      </c>
      <c r="S1418" s="210">
        <v>4.25</v>
      </c>
      <c r="T1418" s="8">
        <v>1.0001180555555556</v>
      </c>
      <c r="U1418" s="98">
        <v>3.9919844896504575</v>
      </c>
      <c r="V1418" s="106">
        <v>29481.555004849521</v>
      </c>
      <c r="W1418" s="10">
        <v>0.86471943800761064</v>
      </c>
      <c r="X1418" s="420"/>
      <c r="Y1418" s="420"/>
      <c r="Z1418" s="1"/>
      <c r="AA1418" s="1"/>
      <c r="AB1418" s="1"/>
      <c r="AC1418" s="1"/>
      <c r="AD1418" s="1"/>
    </row>
    <row r="1419" spans="17:30">
      <c r="Q1419" s="6">
        <v>1389</v>
      </c>
      <c r="R1419" s="7">
        <v>44056</v>
      </c>
      <c r="S1419" s="210">
        <v>4.25</v>
      </c>
      <c r="T1419" s="8">
        <v>1.0001180555555556</v>
      </c>
      <c r="U1419" s="98">
        <v>3.9922797776295482</v>
      </c>
      <c r="V1419" s="106">
        <v>29483.929678253156</v>
      </c>
      <c r="W1419" s="10">
        <v>0.86508825660613908</v>
      </c>
      <c r="X1419" s="420"/>
      <c r="Y1419" s="420"/>
      <c r="Z1419" s="1"/>
      <c r="AA1419" s="1"/>
      <c r="AB1419" s="1"/>
      <c r="AC1419" s="1"/>
      <c r="AD1419" s="1"/>
    </row>
    <row r="1420" spans="17:30">
      <c r="Q1420" s="6">
        <v>1390</v>
      </c>
      <c r="R1420" s="7">
        <v>44057</v>
      </c>
      <c r="S1420" s="210">
        <v>4.25</v>
      </c>
      <c r="T1420" s="8">
        <v>1.0001180555555556</v>
      </c>
      <c r="U1420" s="98">
        <v>3.9925746415705232</v>
      </c>
      <c r="V1420" s="106">
        <v>29486.304542931437</v>
      </c>
      <c r="W1420" s="10">
        <v>0.86545654587615317</v>
      </c>
      <c r="X1420" s="420"/>
      <c r="Y1420" s="420"/>
      <c r="Z1420" s="1"/>
      <c r="AA1420" s="1"/>
      <c r="AB1420" s="1"/>
      <c r="AC1420" s="1"/>
      <c r="AD1420" s="1"/>
    </row>
    <row r="1421" spans="17:30">
      <c r="Q1421" s="6">
        <v>1391</v>
      </c>
      <c r="R1421" s="7">
        <v>44058</v>
      </c>
      <c r="S1421" s="210">
        <v>4.25</v>
      </c>
      <c r="T1421" s="8">
        <v>1.0001180555555556</v>
      </c>
      <c r="U1421" s="98">
        <v>3.992869082386119</v>
      </c>
      <c r="V1421" s="106">
        <v>29488.679598899758</v>
      </c>
      <c r="W1421" s="10">
        <v>0.86582430695634205</v>
      </c>
      <c r="X1421" s="420"/>
      <c r="Y1421" s="420"/>
      <c r="Z1421" s="1"/>
      <c r="AA1421" s="1"/>
      <c r="AB1421" s="1"/>
      <c r="AC1421" s="1"/>
      <c r="AD1421" s="1"/>
    </row>
    <row r="1422" spans="17:30">
      <c r="Q1422" s="6">
        <v>1392</v>
      </c>
      <c r="R1422" s="7">
        <v>44059</v>
      </c>
      <c r="S1422" s="210">
        <v>4.25</v>
      </c>
      <c r="T1422" s="8">
        <v>1.0001180555555556</v>
      </c>
      <c r="U1422" s="98">
        <v>3.9931631009864299</v>
      </c>
      <c r="V1422" s="106">
        <v>29491.054846173538</v>
      </c>
      <c r="W1422" s="10">
        <v>0.86619154098215301</v>
      </c>
      <c r="X1422" s="420"/>
      <c r="Y1422" s="420"/>
      <c r="Z1422" s="1"/>
      <c r="AA1422" s="1"/>
      <c r="AB1422" s="1"/>
      <c r="AC1422" s="1"/>
      <c r="AD1422" s="1"/>
    </row>
    <row r="1423" spans="17:30">
      <c r="Q1423" s="6">
        <v>1393</v>
      </c>
      <c r="R1423" s="7">
        <v>44060</v>
      </c>
      <c r="S1423" s="210">
        <v>4.25</v>
      </c>
      <c r="T1423" s="8">
        <v>1.0001180555555556</v>
      </c>
      <c r="U1423" s="98">
        <v>3.9934566982789743</v>
      </c>
      <c r="V1423" s="106">
        <v>29493.430284768183</v>
      </c>
      <c r="W1423" s="10">
        <v>0.86655824908579149</v>
      </c>
      <c r="X1423" s="420"/>
      <c r="Y1423" s="420"/>
      <c r="Z1423" s="1"/>
      <c r="AA1423" s="1"/>
      <c r="AB1423" s="1"/>
      <c r="AC1423" s="1"/>
      <c r="AD1423" s="1"/>
    </row>
    <row r="1424" spans="17:30">
      <c r="Q1424" s="6">
        <v>1394</v>
      </c>
      <c r="R1424" s="7">
        <v>44061</v>
      </c>
      <c r="S1424" s="210">
        <v>4.25</v>
      </c>
      <c r="T1424" s="8">
        <v>1.0001180555555556</v>
      </c>
      <c r="U1424" s="98">
        <v>3.9937498751686507</v>
      </c>
      <c r="V1424" s="106">
        <v>29495.805914699096</v>
      </c>
      <c r="W1424" s="10">
        <v>0.86692443239624328</v>
      </c>
      <c r="X1424" s="420"/>
      <c r="Y1424" s="420"/>
      <c r="Z1424" s="1"/>
      <c r="AA1424" s="1"/>
      <c r="AB1424" s="1"/>
      <c r="AC1424" s="1"/>
      <c r="AD1424" s="1"/>
    </row>
    <row r="1425" spans="17:30">
      <c r="Q1425" s="6">
        <v>1395</v>
      </c>
      <c r="R1425" s="7">
        <v>44062</v>
      </c>
      <c r="S1425" s="210">
        <v>4.25</v>
      </c>
      <c r="T1425" s="8">
        <v>1.0001180555555556</v>
      </c>
      <c r="U1425" s="98">
        <v>3.9940426325577816</v>
      </c>
      <c r="V1425" s="106">
        <v>29498.181735981689</v>
      </c>
      <c r="W1425" s="10">
        <v>0.86729009203923013</v>
      </c>
      <c r="X1425" s="420"/>
      <c r="Y1425" s="420"/>
      <c r="Z1425" s="1"/>
      <c r="AA1425" s="1"/>
      <c r="AB1425" s="1"/>
      <c r="AC1425" s="1"/>
      <c r="AD1425" s="1"/>
    </row>
    <row r="1426" spans="17:30">
      <c r="Q1426" s="6">
        <v>1396</v>
      </c>
      <c r="R1426" s="7">
        <v>44063</v>
      </c>
      <c r="S1426" s="210">
        <v>4.25</v>
      </c>
      <c r="T1426" s="8">
        <v>1.0001180555555556</v>
      </c>
      <c r="U1426" s="98">
        <v>3.994334971346114</v>
      </c>
      <c r="V1426" s="106">
        <v>29500.557748631385</v>
      </c>
      <c r="W1426" s="10">
        <v>0.86765522913725412</v>
      </c>
      <c r="X1426" s="420"/>
      <c r="Y1426" s="420"/>
      <c r="Z1426" s="1"/>
      <c r="AA1426" s="1"/>
      <c r="AB1426" s="1"/>
      <c r="AC1426" s="1"/>
      <c r="AD1426" s="1"/>
    </row>
    <row r="1427" spans="17:30">
      <c r="Q1427" s="6">
        <v>1397</v>
      </c>
      <c r="R1427" s="7">
        <v>44064</v>
      </c>
      <c r="S1427" s="210">
        <v>4.25</v>
      </c>
      <c r="T1427" s="8">
        <v>1.0001180555555556</v>
      </c>
      <c r="U1427" s="98">
        <v>3.994626892430797</v>
      </c>
      <c r="V1427" s="106">
        <v>29502.933952663589</v>
      </c>
      <c r="W1427" s="10">
        <v>0.86801984480966432</v>
      </c>
      <c r="X1427" s="420"/>
      <c r="Y1427" s="420"/>
      <c r="Z1427" s="1"/>
      <c r="AA1427" s="1"/>
      <c r="AB1427" s="1"/>
      <c r="AC1427" s="1"/>
      <c r="AD1427" s="1"/>
    </row>
    <row r="1428" spans="17:30">
      <c r="Q1428" s="6">
        <v>1398</v>
      </c>
      <c r="R1428" s="7">
        <v>44065</v>
      </c>
      <c r="S1428" s="210">
        <v>4.25</v>
      </c>
      <c r="T1428" s="8">
        <v>1.0001180555555556</v>
      </c>
      <c r="U1428" s="98">
        <v>3.9949183967064261</v>
      </c>
      <c r="V1428" s="106">
        <v>29505.310348093724</v>
      </c>
      <c r="W1428" s="10">
        <v>0.86838394017250131</v>
      </c>
      <c r="X1428" s="420"/>
      <c r="Y1428" s="420"/>
      <c r="Z1428" s="1"/>
      <c r="AA1428" s="1"/>
      <c r="AB1428" s="1"/>
      <c r="AC1428" s="1"/>
      <c r="AD1428" s="1"/>
    </row>
    <row r="1429" spans="17:30">
      <c r="Q1429" s="6">
        <v>1399</v>
      </c>
      <c r="R1429" s="7">
        <v>44066</v>
      </c>
      <c r="S1429" s="210">
        <v>4.25</v>
      </c>
      <c r="T1429" s="8">
        <v>1.0001180555555556</v>
      </c>
      <c r="U1429" s="98">
        <v>3.9952094850650655</v>
      </c>
      <c r="V1429" s="106">
        <v>29507.686934937203</v>
      </c>
      <c r="W1429" s="10">
        <v>0.86874751633874148</v>
      </c>
      <c r="X1429" s="420"/>
      <c r="Y1429" s="420"/>
      <c r="Z1429" s="1"/>
      <c r="AA1429" s="1"/>
      <c r="AB1429" s="1"/>
      <c r="AC1429" s="1"/>
      <c r="AD1429" s="1"/>
    </row>
    <row r="1430" spans="17:30">
      <c r="Q1430" s="6">
        <v>1400</v>
      </c>
      <c r="R1430" s="7">
        <v>44067</v>
      </c>
      <c r="S1430" s="210">
        <v>4.25</v>
      </c>
      <c r="T1430" s="8">
        <v>1.0001180555555556</v>
      </c>
      <c r="U1430" s="98">
        <v>3.9955001583962257</v>
      </c>
      <c r="V1430" s="106">
        <v>29510.063713209442</v>
      </c>
      <c r="W1430" s="10">
        <v>0.86911057441818595</v>
      </c>
      <c r="X1430" s="420"/>
      <c r="Y1430" s="420"/>
      <c r="Z1430" s="1"/>
      <c r="AA1430" s="1"/>
      <c r="AB1430" s="1"/>
      <c r="AC1430" s="1"/>
      <c r="AD1430" s="1"/>
    </row>
    <row r="1431" spans="17:30">
      <c r="Q1431" s="6">
        <v>1401</v>
      </c>
      <c r="R1431" s="7">
        <v>44068</v>
      </c>
      <c r="S1431" s="210">
        <v>4.25</v>
      </c>
      <c r="T1431" s="8">
        <v>1.0001180555555556</v>
      </c>
      <c r="U1431" s="98">
        <v>3.9957904175868864</v>
      </c>
      <c r="V1431" s="106">
        <v>29512.440682925862</v>
      </c>
      <c r="W1431" s="10">
        <v>0.86947311551737183</v>
      </c>
      <c r="X1431" s="420"/>
      <c r="Y1431" s="420"/>
      <c r="Z1431" s="1"/>
      <c r="AA1431" s="1"/>
      <c r="AB1431" s="1"/>
      <c r="AC1431" s="1"/>
      <c r="AD1431" s="1"/>
    </row>
    <row r="1432" spans="17:30">
      <c r="Q1432" s="6">
        <v>1402</v>
      </c>
      <c r="R1432" s="7">
        <v>44069</v>
      </c>
      <c r="S1432" s="210">
        <v>4.25</v>
      </c>
      <c r="T1432" s="8">
        <v>1.0001180555555556</v>
      </c>
      <c r="U1432" s="98">
        <v>3.9960802635214732</v>
      </c>
      <c r="V1432" s="106">
        <v>29514.817844101886</v>
      </c>
      <c r="W1432" s="10">
        <v>0.86983514073977197</v>
      </c>
      <c r="X1432" s="420"/>
      <c r="Y1432" s="420"/>
      <c r="Z1432" s="1"/>
      <c r="AA1432" s="1"/>
      <c r="AB1432" s="1"/>
      <c r="AC1432" s="1"/>
      <c r="AD1432" s="1"/>
    </row>
    <row r="1433" spans="17:30">
      <c r="Q1433" s="6">
        <v>1403</v>
      </c>
      <c r="R1433" s="7">
        <v>44070</v>
      </c>
      <c r="S1433" s="210">
        <v>4.25</v>
      </c>
      <c r="T1433" s="8">
        <v>1.0001180555555556</v>
      </c>
      <c r="U1433" s="98">
        <v>3.9963696970819251</v>
      </c>
      <c r="V1433" s="106">
        <v>29517.195196752928</v>
      </c>
      <c r="W1433" s="10">
        <v>0.87019665118572842</v>
      </c>
      <c r="X1433" s="420"/>
      <c r="Y1433" s="420"/>
      <c r="Z1433" s="1"/>
      <c r="AA1433" s="1"/>
      <c r="AB1433" s="1"/>
      <c r="AC1433" s="1"/>
      <c r="AD1433" s="1"/>
    </row>
    <row r="1434" spans="17:30">
      <c r="Q1434" s="6">
        <v>1404</v>
      </c>
      <c r="R1434" s="7">
        <v>44071</v>
      </c>
      <c r="S1434" s="210">
        <v>4.25</v>
      </c>
      <c r="T1434" s="8">
        <v>1.0001180555555556</v>
      </c>
      <c r="U1434" s="98">
        <v>3.9966587191476721</v>
      </c>
      <c r="V1434" s="106">
        <v>29519.572740894422</v>
      </c>
      <c r="W1434" s="10">
        <v>0.87055764795238577</v>
      </c>
      <c r="X1434" s="420"/>
      <c r="Y1434" s="420"/>
      <c r="Z1434" s="1"/>
      <c r="AA1434" s="1"/>
      <c r="AB1434" s="1"/>
      <c r="AC1434" s="1"/>
      <c r="AD1434" s="1"/>
    </row>
    <row r="1435" spans="17:30">
      <c r="Q1435" s="6">
        <v>1405</v>
      </c>
      <c r="R1435" s="7">
        <v>44072</v>
      </c>
      <c r="S1435" s="210">
        <v>4.25</v>
      </c>
      <c r="T1435" s="8">
        <v>1.0001180555555556</v>
      </c>
      <c r="U1435" s="98">
        <v>3.9969473305956349</v>
      </c>
      <c r="V1435" s="106">
        <v>29521.950476541784</v>
      </c>
      <c r="W1435" s="10">
        <v>0.87091813213382441</v>
      </c>
      <c r="X1435" s="420"/>
      <c r="Y1435" s="420"/>
      <c r="Z1435" s="1"/>
      <c r="AA1435" s="1"/>
      <c r="AB1435" s="1"/>
      <c r="AC1435" s="1"/>
      <c r="AD1435" s="1"/>
    </row>
    <row r="1436" spans="17:30">
      <c r="Q1436" s="6">
        <v>1406</v>
      </c>
      <c r="R1436" s="7">
        <v>44073</v>
      </c>
      <c r="S1436" s="210">
        <v>4.25</v>
      </c>
      <c r="T1436" s="8">
        <v>1.0001180555555556</v>
      </c>
      <c r="U1436" s="98">
        <v>3.9972355323002473</v>
      </c>
      <c r="V1436" s="106">
        <v>29524.328403710435</v>
      </c>
      <c r="W1436" s="10">
        <v>0.87127810482101609</v>
      </c>
      <c r="X1436" s="420"/>
      <c r="Y1436" s="420"/>
      <c r="Z1436" s="1"/>
      <c r="AA1436" s="1"/>
      <c r="AB1436" s="1"/>
      <c r="AC1436" s="1"/>
      <c r="AD1436" s="1"/>
    </row>
    <row r="1437" spans="17:30">
      <c r="Q1437" s="6">
        <v>1407</v>
      </c>
      <c r="R1437" s="7">
        <v>44074</v>
      </c>
      <c r="S1437" s="210">
        <v>4.25</v>
      </c>
      <c r="T1437" s="8">
        <v>1.0001180555555556</v>
      </c>
      <c r="U1437" s="98">
        <v>3.9975233251334563</v>
      </c>
      <c r="V1437" s="106">
        <v>29526.706522415814</v>
      </c>
      <c r="W1437" s="10">
        <v>0.87163756710184614</v>
      </c>
      <c r="X1437" s="420"/>
      <c r="Y1437" s="420"/>
      <c r="Z1437" s="1"/>
      <c r="AA1437" s="1"/>
      <c r="AB1437" s="1"/>
      <c r="AC1437" s="1"/>
      <c r="AD1437" s="1"/>
    </row>
    <row r="1438" spans="17:30">
      <c r="Q1438" s="6">
        <v>1408</v>
      </c>
      <c r="R1438" s="7">
        <v>44075</v>
      </c>
      <c r="S1438" s="210">
        <v>4.25</v>
      </c>
      <c r="T1438" s="8">
        <v>1.0001180555555556</v>
      </c>
      <c r="U1438" s="98">
        <v>3.9978107099647442</v>
      </c>
      <c r="V1438" s="106">
        <v>29529.084832673343</v>
      </c>
      <c r="W1438" s="10">
        <v>0.8719965200610913</v>
      </c>
      <c r="X1438" s="420"/>
      <c r="Y1438" s="420"/>
      <c r="Z1438" s="1"/>
      <c r="AA1438" s="1"/>
      <c r="AB1438" s="1"/>
      <c r="AC1438" s="1"/>
      <c r="AD1438" s="1"/>
    </row>
    <row r="1439" spans="17:30">
      <c r="Q1439" s="6">
        <v>1409</v>
      </c>
      <c r="R1439" s="7">
        <v>44076</v>
      </c>
      <c r="S1439" s="210">
        <v>4.25</v>
      </c>
      <c r="T1439" s="8">
        <v>1.0001180555555556</v>
      </c>
      <c r="U1439" s="98">
        <v>3.9980976876611285</v>
      </c>
      <c r="V1439" s="106">
        <v>29531.463334498447</v>
      </c>
      <c r="W1439" s="10">
        <v>0.87235496478046404</v>
      </c>
      <c r="X1439" s="420"/>
      <c r="Y1439" s="420"/>
      <c r="Z1439" s="1"/>
      <c r="AA1439" s="1"/>
      <c r="AB1439" s="1"/>
      <c r="AC1439" s="1"/>
      <c r="AD1439" s="1"/>
    </row>
    <row r="1440" spans="17:30">
      <c r="Q1440" s="6">
        <v>1410</v>
      </c>
      <c r="R1440" s="7">
        <v>44077</v>
      </c>
      <c r="S1440" s="210">
        <v>4.25</v>
      </c>
      <c r="T1440" s="8">
        <v>1.0001180555555556</v>
      </c>
      <c r="U1440" s="98">
        <v>3.9983842590871621</v>
      </c>
      <c r="V1440" s="106">
        <v>29533.842027906565</v>
      </c>
      <c r="W1440" s="10">
        <v>0.87271290233859045</v>
      </c>
      <c r="X1440" s="420"/>
      <c r="Y1440" s="420"/>
      <c r="Z1440" s="1"/>
      <c r="AA1440" s="1"/>
      <c r="AB1440" s="1"/>
      <c r="AC1440" s="1"/>
      <c r="AD1440" s="1"/>
    </row>
    <row r="1441" spans="17:30">
      <c r="Q1441" s="6">
        <v>1411</v>
      </c>
      <c r="R1441" s="7">
        <v>44078</v>
      </c>
      <c r="S1441" s="210">
        <v>4.25</v>
      </c>
      <c r="T1441" s="8">
        <v>1.0001180555555556</v>
      </c>
      <c r="U1441" s="98">
        <v>3.9986704251049554</v>
      </c>
      <c r="V1441" s="106">
        <v>29536.220912913119</v>
      </c>
      <c r="W1441" s="10">
        <v>0.8730703338111212</v>
      </c>
      <c r="X1441" s="420"/>
      <c r="Y1441" s="420"/>
      <c r="Z1441" s="1"/>
      <c r="AA1441" s="1"/>
      <c r="AB1441" s="1"/>
      <c r="AC1441" s="1"/>
      <c r="AD1441" s="1"/>
    </row>
    <row r="1442" spans="17:30">
      <c r="Q1442" s="6">
        <v>1412</v>
      </c>
      <c r="R1442" s="7">
        <v>44079</v>
      </c>
      <c r="S1442" s="210">
        <v>4.25</v>
      </c>
      <c r="T1442" s="8">
        <v>1.0001180555555556</v>
      </c>
      <c r="U1442" s="98">
        <v>3.9989561865742207</v>
      </c>
      <c r="V1442" s="106">
        <v>29538.599989533552</v>
      </c>
      <c r="W1442" s="10">
        <v>0.87342726027059836</v>
      </c>
      <c r="X1442" s="420"/>
      <c r="Y1442" s="420"/>
      <c r="Z1442" s="1"/>
      <c r="AA1442" s="1"/>
      <c r="AB1442" s="1"/>
      <c r="AC1442" s="1"/>
      <c r="AD1442" s="1"/>
    </row>
    <row r="1443" spans="17:30">
      <c r="Q1443" s="6">
        <v>1413</v>
      </c>
      <c r="R1443" s="7">
        <v>44080</v>
      </c>
      <c r="S1443" s="210">
        <v>4.25</v>
      </c>
      <c r="T1443" s="8">
        <v>1.0001180555555556</v>
      </c>
      <c r="U1443" s="98">
        <v>3.9992415443521834</v>
      </c>
      <c r="V1443" s="106">
        <v>29540.979257783289</v>
      </c>
      <c r="W1443" s="10">
        <v>0.87378368278658858</v>
      </c>
      <c r="X1443" s="420"/>
      <c r="Y1443" s="420"/>
      <c r="Z1443" s="1"/>
      <c r="AA1443" s="1"/>
      <c r="AB1443" s="1"/>
      <c r="AC1443" s="1"/>
      <c r="AD1443" s="1"/>
    </row>
    <row r="1444" spans="17:30">
      <c r="Q1444" s="6">
        <v>1414</v>
      </c>
      <c r="R1444" s="7">
        <v>44081</v>
      </c>
      <c r="S1444" s="210">
        <v>4.25</v>
      </c>
      <c r="T1444" s="8">
        <v>1.0001180555555556</v>
      </c>
      <c r="U1444" s="98">
        <v>3.9995264992936708</v>
      </c>
      <c r="V1444" s="106">
        <v>29543.358717677766</v>
      </c>
      <c r="W1444" s="10">
        <v>0.8741396024256165</v>
      </c>
      <c r="X1444" s="420"/>
      <c r="Y1444" s="420"/>
      <c r="Z1444" s="1"/>
      <c r="AA1444" s="1"/>
      <c r="AB1444" s="1"/>
      <c r="AC1444" s="1"/>
      <c r="AD1444" s="1"/>
    </row>
    <row r="1445" spans="17:30">
      <c r="Q1445" s="6">
        <v>1415</v>
      </c>
      <c r="R1445" s="7">
        <v>44082</v>
      </c>
      <c r="S1445" s="210">
        <v>4.25</v>
      </c>
      <c r="T1445" s="8">
        <v>1.0001180555555556</v>
      </c>
      <c r="U1445" s="98">
        <v>3.9998110522511121</v>
      </c>
      <c r="V1445" s="106">
        <v>29545.738369232426</v>
      </c>
      <c r="W1445" s="10">
        <v>0.87449502025114256</v>
      </c>
      <c r="X1445" s="420"/>
      <c r="Y1445" s="420"/>
      <c r="Z1445" s="1"/>
      <c r="AA1445" s="1"/>
      <c r="AB1445" s="1"/>
      <c r="AC1445" s="1"/>
      <c r="AD1445" s="1"/>
    </row>
    <row r="1446" spans="17:30">
      <c r="Q1446" s="6">
        <v>1416</v>
      </c>
      <c r="R1446" s="7">
        <v>44083</v>
      </c>
      <c r="S1446" s="210">
        <v>4.25</v>
      </c>
      <c r="T1446" s="8">
        <v>1.0001180555555556</v>
      </c>
      <c r="U1446" s="98">
        <v>4.0000952040744941</v>
      </c>
      <c r="V1446" s="106">
        <v>29548.118212462705</v>
      </c>
      <c r="W1446" s="10">
        <v>0.8748499373236962</v>
      </c>
      <c r="X1446" s="420"/>
      <c r="Y1446" s="420"/>
      <c r="Z1446" s="1"/>
      <c r="AA1446" s="1"/>
      <c r="AB1446" s="1"/>
      <c r="AC1446" s="1"/>
      <c r="AD1446" s="1"/>
    </row>
    <row r="1447" spans="17:30">
      <c r="Q1447" s="6">
        <v>1417</v>
      </c>
      <c r="R1447" s="7">
        <v>44084</v>
      </c>
      <c r="S1447" s="210">
        <v>4.25</v>
      </c>
      <c r="T1447" s="8">
        <v>1.0001180555555556</v>
      </c>
      <c r="U1447" s="98">
        <v>4.0003789556114722</v>
      </c>
      <c r="V1447" s="106">
        <v>29550.577585182942</v>
      </c>
      <c r="W1447" s="10">
        <v>0.87513459219878964</v>
      </c>
      <c r="X1447" s="420"/>
      <c r="Y1447" s="420"/>
      <c r="Z1447" s="1"/>
      <c r="AA1447" s="1"/>
      <c r="AB1447" s="1"/>
      <c r="AC1447" s="1"/>
      <c r="AD1447" s="1"/>
    </row>
    <row r="1448" spans="17:30">
      <c r="Q1448" s="6">
        <v>1418</v>
      </c>
      <c r="R1448" s="7">
        <v>44085</v>
      </c>
      <c r="S1448" s="210">
        <v>4.25</v>
      </c>
      <c r="T1448" s="8">
        <v>1.0001180555555556</v>
      </c>
      <c r="U1448" s="98">
        <v>4.0006623077072589</v>
      </c>
      <c r="V1448" s="106">
        <v>29553.037162603669</v>
      </c>
      <c r="W1448" s="10">
        <v>0.87541884638762113</v>
      </c>
      <c r="X1448" s="420"/>
      <c r="Y1448" s="420"/>
      <c r="Z1448" s="1"/>
      <c r="AA1448" s="1"/>
      <c r="AB1448" s="1"/>
      <c r="AC1448" s="1"/>
      <c r="AD1448" s="1"/>
    </row>
    <row r="1449" spans="17:30">
      <c r="Q1449" s="6">
        <v>1419</v>
      </c>
      <c r="R1449" s="7">
        <v>44086</v>
      </c>
      <c r="S1449" s="210">
        <v>4.25</v>
      </c>
      <c r="T1449" s="8">
        <v>1.0001180555555556</v>
      </c>
      <c r="U1449" s="98">
        <v>4.0009452612047136</v>
      </c>
      <c r="V1449" s="106">
        <v>29555.496944741917</v>
      </c>
      <c r="W1449" s="10">
        <v>0.8757027007356033</v>
      </c>
      <c r="X1449" s="420"/>
      <c r="Y1449" s="420"/>
      <c r="Z1449" s="1"/>
      <c r="AA1449" s="1"/>
      <c r="AB1449" s="1"/>
      <c r="AC1449" s="1"/>
      <c r="AD1449" s="1"/>
    </row>
    <row r="1450" spans="17:30">
      <c r="Q1450" s="6">
        <v>1420</v>
      </c>
      <c r="R1450" s="7">
        <v>44087</v>
      </c>
      <c r="S1450" s="210">
        <v>4.25</v>
      </c>
      <c r="T1450" s="8">
        <v>1.0001180555555556</v>
      </c>
      <c r="U1450" s="98">
        <v>4.0012278169443194</v>
      </c>
      <c r="V1450" s="106">
        <v>29557.956931614732</v>
      </c>
      <c r="W1450" s="10">
        <v>0.8759861560857729</v>
      </c>
      <c r="X1450" s="420"/>
      <c r="Y1450" s="420"/>
      <c r="Z1450" s="1"/>
      <c r="AA1450" s="1"/>
      <c r="AB1450" s="1"/>
      <c r="AC1450" s="1"/>
      <c r="AD1450" s="1"/>
    </row>
    <row r="1451" spans="17:30">
      <c r="Q1451" s="6">
        <v>1421</v>
      </c>
      <c r="R1451" s="7">
        <v>44088</v>
      </c>
      <c r="S1451" s="210">
        <v>4.25</v>
      </c>
      <c r="T1451" s="8">
        <v>1.0001180555555556</v>
      </c>
      <c r="U1451" s="98">
        <v>4.0015099757641837</v>
      </c>
      <c r="V1451" s="106">
        <v>29560.417123239145</v>
      </c>
      <c r="W1451" s="10">
        <v>0.87626921327881302</v>
      </c>
      <c r="X1451" s="420"/>
      <c r="Y1451" s="420"/>
      <c r="Z1451" s="1"/>
      <c r="AA1451" s="1"/>
      <c r="AB1451" s="1"/>
      <c r="AC1451" s="1"/>
      <c r="AD1451" s="1"/>
    </row>
    <row r="1452" spans="17:30">
      <c r="Q1452" s="6">
        <v>1422</v>
      </c>
      <c r="R1452" s="7">
        <v>44089</v>
      </c>
      <c r="S1452" s="210">
        <v>4.25</v>
      </c>
      <c r="T1452" s="8">
        <v>1.0001180555555556</v>
      </c>
      <c r="U1452" s="98">
        <v>4.0017917385001045</v>
      </c>
      <c r="V1452" s="106">
        <v>29562.877519632206</v>
      </c>
      <c r="W1452" s="10">
        <v>0.87655187315307526</v>
      </c>
      <c r="X1452" s="420"/>
      <c r="Y1452" s="420"/>
      <c r="Z1452" s="1"/>
      <c r="AA1452" s="1"/>
      <c r="AB1452" s="1"/>
      <c r="AC1452" s="1"/>
      <c r="AD1452" s="1"/>
    </row>
    <row r="1453" spans="17:30">
      <c r="Q1453" s="6">
        <v>1423</v>
      </c>
      <c r="R1453" s="7">
        <v>44090</v>
      </c>
      <c r="S1453" s="210">
        <v>4.25</v>
      </c>
      <c r="T1453" s="8">
        <v>1.0001180555555556</v>
      </c>
      <c r="U1453" s="98">
        <v>4.0020731059854819</v>
      </c>
      <c r="V1453" s="106">
        <v>29565.33812081096</v>
      </c>
      <c r="W1453" s="10">
        <v>0.87683413654446873</v>
      </c>
      <c r="X1453" s="420"/>
      <c r="Y1453" s="420"/>
      <c r="Z1453" s="1"/>
      <c r="AA1453" s="1"/>
      <c r="AB1453" s="1"/>
      <c r="AC1453" s="1"/>
      <c r="AD1453" s="1"/>
    </row>
    <row r="1454" spans="17:30">
      <c r="Q1454" s="6">
        <v>1424</v>
      </c>
      <c r="R1454" s="7">
        <v>44091</v>
      </c>
      <c r="S1454" s="210">
        <v>4.25</v>
      </c>
      <c r="T1454" s="8">
        <v>1.0001180555555556</v>
      </c>
      <c r="U1454" s="98">
        <v>4.0023540790514289</v>
      </c>
      <c r="V1454" s="106">
        <v>29567.798926792449</v>
      </c>
      <c r="W1454" s="10">
        <v>0.87711600428668213</v>
      </c>
      <c r="X1454" s="420"/>
      <c r="Y1454" s="420"/>
      <c r="Z1454" s="1"/>
      <c r="AA1454" s="1"/>
      <c r="AB1454" s="1"/>
      <c r="AC1454" s="1"/>
      <c r="AD1454" s="1"/>
    </row>
    <row r="1455" spans="17:30">
      <c r="Q1455" s="6">
        <v>1425</v>
      </c>
      <c r="R1455" s="7">
        <v>44092</v>
      </c>
      <c r="S1455" s="210">
        <v>4.25</v>
      </c>
      <c r="T1455" s="8">
        <v>1.0001180555555556</v>
      </c>
      <c r="U1455" s="98">
        <v>4.0026346585266825</v>
      </c>
      <c r="V1455" s="106">
        <v>29570.259937593717</v>
      </c>
      <c r="W1455" s="10">
        <v>0.87739747721096162</v>
      </c>
      <c r="X1455" s="420"/>
      <c r="Y1455" s="420"/>
      <c r="Z1455" s="1"/>
      <c r="AA1455" s="1"/>
      <c r="AB1455" s="1"/>
      <c r="AC1455" s="1"/>
      <c r="AD1455" s="1"/>
    </row>
    <row r="1456" spans="17:30">
      <c r="Q1456" s="6">
        <v>1426</v>
      </c>
      <c r="R1456" s="7">
        <v>44093</v>
      </c>
      <c r="S1456" s="210">
        <v>4.25</v>
      </c>
      <c r="T1456" s="8">
        <v>1.0001180555555556</v>
      </c>
      <c r="U1456" s="98">
        <v>4.0029148452376928</v>
      </c>
      <c r="V1456" s="106">
        <v>29572.721153231814</v>
      </c>
      <c r="W1456" s="10">
        <v>0.87767855614626633</v>
      </c>
      <c r="X1456" s="420"/>
      <c r="Y1456" s="420"/>
      <c r="Z1456" s="1"/>
      <c r="AA1456" s="1"/>
      <c r="AB1456" s="1"/>
      <c r="AC1456" s="1"/>
      <c r="AD1456" s="1"/>
    </row>
    <row r="1457" spans="17:30">
      <c r="Q1457" s="6">
        <v>1427</v>
      </c>
      <c r="R1457" s="7">
        <v>44094</v>
      </c>
      <c r="S1457" s="210">
        <v>4.25</v>
      </c>
      <c r="T1457" s="8">
        <v>1.0001180555555556</v>
      </c>
      <c r="U1457" s="98">
        <v>4.0031946400086005</v>
      </c>
      <c r="V1457" s="106">
        <v>29575.182573723792</v>
      </c>
      <c r="W1457" s="10">
        <v>0.87795924191929053</v>
      </c>
      <c r="X1457" s="420"/>
      <c r="Y1457" s="420"/>
      <c r="Z1457" s="1"/>
      <c r="AA1457" s="1"/>
      <c r="AB1457" s="1"/>
      <c r="AC1457" s="1"/>
      <c r="AD1457" s="1"/>
    </row>
    <row r="1458" spans="17:30">
      <c r="Q1458" s="6">
        <v>1428</v>
      </c>
      <c r="R1458" s="7">
        <v>44095</v>
      </c>
      <c r="S1458" s="210">
        <v>4.25</v>
      </c>
      <c r="T1458" s="8">
        <v>1.0001180555555556</v>
      </c>
      <c r="U1458" s="98">
        <v>4.0034740436612148</v>
      </c>
      <c r="V1458" s="106">
        <v>29577.644199086695</v>
      </c>
      <c r="W1458" s="10">
        <v>0.87823953535433041</v>
      </c>
      <c r="X1458" s="420"/>
      <c r="Y1458" s="420"/>
      <c r="Z1458" s="1"/>
      <c r="AA1458" s="1"/>
      <c r="AB1458" s="1"/>
      <c r="AC1458" s="1"/>
      <c r="AD1458" s="1"/>
    </row>
    <row r="1459" spans="17:30">
      <c r="Q1459" s="6">
        <v>1429</v>
      </c>
      <c r="R1459" s="7">
        <v>44096</v>
      </c>
      <c r="S1459" s="210">
        <v>4.25</v>
      </c>
      <c r="T1459" s="8">
        <v>1.0001180555555556</v>
      </c>
      <c r="U1459" s="98">
        <v>4.0037530570150803</v>
      </c>
      <c r="V1459" s="106">
        <v>29580.106029337581</v>
      </c>
      <c r="W1459" s="10">
        <v>0.8785194372734173</v>
      </c>
      <c r="X1459" s="420"/>
      <c r="Y1459" s="420"/>
      <c r="Z1459" s="1"/>
      <c r="AA1459" s="1"/>
      <c r="AB1459" s="1"/>
      <c r="AC1459" s="1"/>
      <c r="AD1459" s="1"/>
    </row>
    <row r="1460" spans="17:30">
      <c r="Q1460" s="6">
        <v>1430</v>
      </c>
      <c r="R1460" s="7">
        <v>44097</v>
      </c>
      <c r="S1460" s="210">
        <v>4.25</v>
      </c>
      <c r="T1460" s="8">
        <v>1.0001180555555556</v>
      </c>
      <c r="U1460" s="98">
        <v>4.0040316808874321</v>
      </c>
      <c r="V1460" s="106">
        <v>29582.568064493502</v>
      </c>
      <c r="W1460" s="10">
        <v>0.87879894849629547</v>
      </c>
      <c r="X1460" s="420"/>
      <c r="Y1460" s="420"/>
      <c r="Z1460" s="1"/>
      <c r="AA1460" s="1"/>
      <c r="AB1460" s="1"/>
      <c r="AC1460" s="1"/>
      <c r="AD1460" s="1"/>
    </row>
    <row r="1461" spans="17:30">
      <c r="Q1461" s="6">
        <v>1431</v>
      </c>
      <c r="R1461" s="7">
        <v>44098</v>
      </c>
      <c r="S1461" s="210">
        <v>4.25</v>
      </c>
      <c r="T1461" s="8">
        <v>1.0001180555555556</v>
      </c>
      <c r="U1461" s="98">
        <v>4.0043099160932183</v>
      </c>
      <c r="V1461" s="106">
        <v>29585.030304571508</v>
      </c>
      <c r="W1461" s="10">
        <v>0.87907806984039993</v>
      </c>
      <c r="X1461" s="420"/>
      <c r="Y1461" s="420"/>
      <c r="Z1461" s="1"/>
      <c r="AA1461" s="1"/>
      <c r="AB1461" s="1"/>
      <c r="AC1461" s="1"/>
      <c r="AD1461" s="1"/>
    </row>
    <row r="1462" spans="17:30">
      <c r="Q1462" s="6">
        <v>1432</v>
      </c>
      <c r="R1462" s="7">
        <v>44099</v>
      </c>
      <c r="S1462" s="210">
        <v>4.25</v>
      </c>
      <c r="T1462" s="8">
        <v>1.0001180555555556</v>
      </c>
      <c r="U1462" s="98">
        <v>4.0045877634451221</v>
      </c>
      <c r="V1462" s="106">
        <v>29587.492749588655</v>
      </c>
      <c r="W1462" s="10">
        <v>0.87935680212090084</v>
      </c>
      <c r="X1462" s="420"/>
      <c r="Y1462" s="420"/>
      <c r="Z1462" s="1"/>
      <c r="AA1462" s="1"/>
      <c r="AB1462" s="1"/>
      <c r="AC1462" s="1"/>
      <c r="AD1462" s="1"/>
    </row>
    <row r="1463" spans="17:30">
      <c r="Q1463" s="6">
        <v>1433</v>
      </c>
      <c r="R1463" s="7">
        <v>44100</v>
      </c>
      <c r="S1463" s="210">
        <v>4.25</v>
      </c>
      <c r="T1463" s="8">
        <v>1.0001180555555556</v>
      </c>
      <c r="U1463" s="98">
        <v>4.0048652237535842</v>
      </c>
      <c r="V1463" s="106">
        <v>29589.955399562008</v>
      </c>
      <c r="W1463" s="10">
        <v>0.87963514615070348</v>
      </c>
      <c r="X1463" s="420"/>
      <c r="Y1463" s="420"/>
      <c r="Z1463" s="1"/>
      <c r="AA1463" s="1"/>
      <c r="AB1463" s="1"/>
      <c r="AC1463" s="1"/>
      <c r="AD1463" s="1"/>
    </row>
    <row r="1464" spans="17:30">
      <c r="Q1464" s="6">
        <v>1434</v>
      </c>
      <c r="R1464" s="7">
        <v>44101</v>
      </c>
      <c r="S1464" s="210">
        <v>4.25</v>
      </c>
      <c r="T1464" s="8">
        <v>1.0001180555555556</v>
      </c>
      <c r="U1464" s="98">
        <v>4.0051422978267803</v>
      </c>
      <c r="V1464" s="106">
        <v>29592.418254508626</v>
      </c>
      <c r="W1464" s="10">
        <v>0.87991310274047052</v>
      </c>
      <c r="X1464" s="420"/>
      <c r="Y1464" s="420"/>
      <c r="Z1464" s="1"/>
      <c r="AA1464" s="1"/>
      <c r="AB1464" s="1"/>
      <c r="AC1464" s="1"/>
      <c r="AD1464" s="1"/>
    </row>
    <row r="1465" spans="17:30">
      <c r="Q1465" s="6">
        <v>1435</v>
      </c>
      <c r="R1465" s="7">
        <v>44102</v>
      </c>
      <c r="S1465" s="210">
        <v>4.25</v>
      </c>
      <c r="T1465" s="8">
        <v>1.0001180555555556</v>
      </c>
      <c r="U1465" s="98">
        <v>4.0054189864706213</v>
      </c>
      <c r="V1465" s="106">
        <v>29594.881314445563</v>
      </c>
      <c r="W1465" s="10">
        <v>0.88019067269855533</v>
      </c>
      <c r="X1465" s="420"/>
      <c r="Y1465" s="420"/>
      <c r="Z1465" s="1"/>
      <c r="AA1465" s="1"/>
      <c r="AB1465" s="1"/>
      <c r="AC1465" s="1"/>
      <c r="AD1465" s="1"/>
    </row>
    <row r="1466" spans="17:30">
      <c r="Q1466" s="6">
        <v>1436</v>
      </c>
      <c r="R1466" s="7">
        <v>44103</v>
      </c>
      <c r="S1466" s="210">
        <v>4.25</v>
      </c>
      <c r="T1466" s="8">
        <v>1.0001180555555556</v>
      </c>
      <c r="U1466" s="98">
        <v>4.0056952904887755</v>
      </c>
      <c r="V1466" s="106">
        <v>29597.344579389886</v>
      </c>
      <c r="W1466" s="10">
        <v>0.88046785683106865</v>
      </c>
      <c r="X1466" s="420"/>
      <c r="Y1466" s="420"/>
      <c r="Z1466" s="1"/>
      <c r="AA1466" s="1"/>
      <c r="AB1466" s="1"/>
      <c r="AC1466" s="1"/>
      <c r="AD1466" s="1"/>
    </row>
    <row r="1467" spans="17:30">
      <c r="Q1467" s="6">
        <v>1437</v>
      </c>
      <c r="R1467" s="7">
        <v>44104</v>
      </c>
      <c r="S1467" s="210">
        <v>4.25</v>
      </c>
      <c r="T1467" s="8">
        <v>1.0001180555555556</v>
      </c>
      <c r="U1467" s="98">
        <v>4.0059712106826906</v>
      </c>
      <c r="V1467" s="106">
        <v>29599.808049358657</v>
      </c>
      <c r="W1467" s="10">
        <v>0.88074465594194518</v>
      </c>
      <c r="X1467" s="420"/>
      <c r="Y1467" s="420"/>
      <c r="Z1467" s="1"/>
      <c r="AA1467" s="1"/>
      <c r="AB1467" s="1"/>
      <c r="AC1467" s="1"/>
      <c r="AD1467" s="1"/>
    </row>
    <row r="1468" spans="17:30">
      <c r="Q1468" s="6">
        <v>1438</v>
      </c>
      <c r="R1468" s="7">
        <v>44105</v>
      </c>
      <c r="S1468" s="210">
        <v>4.25</v>
      </c>
      <c r="T1468" s="8">
        <v>1.0001180555555556</v>
      </c>
      <c r="U1468" s="98">
        <v>4.006246747851594</v>
      </c>
      <c r="V1468" s="106">
        <v>29602.271724368933</v>
      </c>
      <c r="W1468" s="10">
        <v>0.88102107083281034</v>
      </c>
      <c r="X1468" s="420"/>
      <c r="Y1468" s="420"/>
      <c r="Z1468" s="1"/>
      <c r="AA1468" s="1"/>
      <c r="AB1468" s="1"/>
      <c r="AC1468" s="1"/>
      <c r="AD1468" s="1"/>
    </row>
    <row r="1469" spans="17:30">
      <c r="Q1469" s="6">
        <v>1439</v>
      </c>
      <c r="R1469" s="7">
        <v>44106</v>
      </c>
      <c r="S1469" s="210">
        <v>4.25</v>
      </c>
      <c r="T1469" s="8">
        <v>1.0001180555555556</v>
      </c>
      <c r="U1469" s="98">
        <v>4.0065219027924925</v>
      </c>
      <c r="V1469" s="106">
        <v>29604.735604437792</v>
      </c>
      <c r="W1469" s="10">
        <v>0.88129710230313574</v>
      </c>
      <c r="X1469" s="420"/>
      <c r="Y1469" s="420"/>
      <c r="Z1469" s="1"/>
      <c r="AA1469" s="1"/>
      <c r="AB1469" s="1"/>
      <c r="AC1469" s="1"/>
      <c r="AD1469" s="1"/>
    </row>
    <row r="1470" spans="17:30">
      <c r="Q1470" s="6">
        <v>1440</v>
      </c>
      <c r="R1470" s="7">
        <v>44107</v>
      </c>
      <c r="S1470" s="210">
        <v>4.25</v>
      </c>
      <c r="T1470" s="8">
        <v>1.0001180555555556</v>
      </c>
      <c r="U1470" s="98">
        <v>4.0067966763001728</v>
      </c>
      <c r="V1470" s="106">
        <v>29607.199689582303</v>
      </c>
      <c r="W1470" s="10">
        <v>0.88157275115010592</v>
      </c>
      <c r="X1470" s="420"/>
      <c r="Y1470" s="420"/>
      <c r="Z1470" s="1"/>
      <c r="AA1470" s="1"/>
      <c r="AB1470" s="1"/>
      <c r="AC1470" s="1"/>
      <c r="AD1470" s="1"/>
    </row>
    <row r="1471" spans="17:30">
      <c r="Q1471" s="6">
        <v>1441</v>
      </c>
      <c r="R1471" s="7">
        <v>44108</v>
      </c>
      <c r="S1471" s="210">
        <v>4.25</v>
      </c>
      <c r="T1471" s="8">
        <v>1.0001180555555556</v>
      </c>
      <c r="U1471" s="98">
        <v>4.0070710691672229</v>
      </c>
      <c r="V1471" s="106">
        <v>29609.663979819517</v>
      </c>
      <c r="W1471" s="10">
        <v>0.88184801816877378</v>
      </c>
      <c r="X1471" s="420"/>
      <c r="Y1471" s="420"/>
      <c r="Z1471" s="1"/>
      <c r="AA1471" s="1"/>
      <c r="AB1471" s="1"/>
      <c r="AC1471" s="1"/>
      <c r="AD1471" s="1"/>
    </row>
    <row r="1472" spans="17:30">
      <c r="Q1472" s="6">
        <v>1442</v>
      </c>
      <c r="R1472" s="7">
        <v>44109</v>
      </c>
      <c r="S1472" s="210">
        <v>4.25</v>
      </c>
      <c r="T1472" s="8">
        <v>1.0001180555555556</v>
      </c>
      <c r="U1472" s="98">
        <v>4.0073450821840551</v>
      </c>
      <c r="V1472" s="106">
        <v>29612.12847516653</v>
      </c>
      <c r="W1472" s="10">
        <v>0.8821229041519052</v>
      </c>
      <c r="X1472" s="420"/>
      <c r="Y1472" s="420"/>
      <c r="Z1472" s="1"/>
      <c r="AA1472" s="1"/>
      <c r="AB1472" s="1"/>
      <c r="AC1472" s="1"/>
      <c r="AD1472" s="1"/>
    </row>
    <row r="1473" spans="17:30">
      <c r="Q1473" s="6">
        <v>1443</v>
      </c>
      <c r="R1473" s="7">
        <v>44110</v>
      </c>
      <c r="S1473" s="210">
        <v>4.25</v>
      </c>
      <c r="T1473" s="8">
        <v>1.0001180555555556</v>
      </c>
      <c r="U1473" s="98">
        <v>4.007618716138861</v>
      </c>
      <c r="V1473" s="106">
        <v>29614.593175640388</v>
      </c>
      <c r="W1473" s="10">
        <v>0.88239740989017879</v>
      </c>
      <c r="X1473" s="420"/>
      <c r="Y1473" s="420"/>
      <c r="Z1473" s="1"/>
      <c r="AA1473" s="1"/>
      <c r="AB1473" s="1"/>
      <c r="AC1473" s="1"/>
      <c r="AD1473" s="1"/>
    </row>
    <row r="1474" spans="17:30">
      <c r="Q1474" s="6">
        <v>1444</v>
      </c>
      <c r="R1474" s="7">
        <v>44111</v>
      </c>
      <c r="S1474" s="210">
        <v>4.25</v>
      </c>
      <c r="T1474" s="8">
        <v>1.0001180555555556</v>
      </c>
      <c r="U1474" s="98">
        <v>4.0078919718176786</v>
      </c>
      <c r="V1474" s="106">
        <v>29617.058081258179</v>
      </c>
      <c r="W1474" s="10">
        <v>0.88267153617196392</v>
      </c>
      <c r="X1474" s="420"/>
      <c r="Y1474" s="420"/>
      <c r="Z1474" s="1"/>
      <c r="AA1474" s="1"/>
      <c r="AB1474" s="1"/>
      <c r="AC1474" s="1"/>
      <c r="AD1474" s="1"/>
    </row>
    <row r="1475" spans="17:30">
      <c r="Q1475" s="6">
        <v>1445</v>
      </c>
      <c r="R1475" s="7">
        <v>44112</v>
      </c>
      <c r="S1475" s="210">
        <v>4.25</v>
      </c>
      <c r="T1475" s="8">
        <v>1.0001180555555556</v>
      </c>
      <c r="U1475" s="98">
        <v>4.0081648500043698</v>
      </c>
      <c r="V1475" s="106">
        <v>29619.523192036984</v>
      </c>
      <c r="W1475" s="10">
        <v>0.88294528378354276</v>
      </c>
      <c r="X1475" s="420"/>
      <c r="Y1475" s="420"/>
      <c r="Z1475" s="1"/>
      <c r="AA1475" s="1"/>
      <c r="AB1475" s="1"/>
      <c r="AC1475" s="1"/>
      <c r="AD1475" s="1"/>
    </row>
    <row r="1476" spans="17:30">
      <c r="Q1476" s="6">
        <v>1446</v>
      </c>
      <c r="R1476" s="7">
        <v>44113</v>
      </c>
      <c r="S1476" s="210">
        <v>4.25</v>
      </c>
      <c r="T1476" s="8">
        <v>1.0001180555555556</v>
      </c>
      <c r="U1476" s="98">
        <v>4.0084373514806426</v>
      </c>
      <c r="V1476" s="106">
        <v>29621.988507993861</v>
      </c>
      <c r="W1476" s="10">
        <v>0.8832186535090214</v>
      </c>
      <c r="X1476" s="420"/>
      <c r="Y1476" s="420"/>
      <c r="Z1476" s="1"/>
      <c r="AA1476" s="1"/>
      <c r="AB1476" s="1"/>
      <c r="AC1476" s="1"/>
      <c r="AD1476" s="1"/>
    </row>
    <row r="1477" spans="17:30">
      <c r="Q1477" s="6">
        <v>1447</v>
      </c>
      <c r="R1477" s="7">
        <v>44114</v>
      </c>
      <c r="S1477" s="210">
        <v>4.25</v>
      </c>
      <c r="T1477" s="8">
        <v>1.0001180555555556</v>
      </c>
      <c r="U1477" s="98">
        <v>4.0087094770260068</v>
      </c>
      <c r="V1477" s="106">
        <v>29624.374493002499</v>
      </c>
      <c r="W1477" s="10">
        <v>0.88355996793696434</v>
      </c>
      <c r="X1477" s="420"/>
      <c r="Y1477" s="420"/>
      <c r="Z1477" s="1"/>
      <c r="AA1477" s="1"/>
      <c r="AB1477" s="1"/>
      <c r="AC1477" s="1"/>
      <c r="AD1477" s="1"/>
    </row>
    <row r="1478" spans="17:30">
      <c r="Q1478" s="6">
        <v>1448</v>
      </c>
      <c r="R1478" s="7">
        <v>44115</v>
      </c>
      <c r="S1478" s="210">
        <v>4.25</v>
      </c>
      <c r="T1478" s="8">
        <v>1.0001180555555556</v>
      </c>
      <c r="U1478" s="98">
        <v>4.0089812274178627</v>
      </c>
      <c r="V1478" s="106">
        <v>29626.760670196902</v>
      </c>
      <c r="W1478" s="10">
        <v>0.88390081208846727</v>
      </c>
      <c r="X1478" s="420"/>
      <c r="Y1478" s="420"/>
      <c r="Z1478" s="1"/>
      <c r="AA1478" s="1"/>
      <c r="AB1478" s="1"/>
      <c r="AC1478" s="1"/>
      <c r="AD1478" s="1"/>
    </row>
    <row r="1479" spans="17:30">
      <c r="Q1479" s="6">
        <v>1449</v>
      </c>
      <c r="R1479" s="7">
        <v>44116</v>
      </c>
      <c r="S1479" s="210">
        <v>4.25</v>
      </c>
      <c r="T1479" s="8">
        <v>1.0001180555555556</v>
      </c>
      <c r="U1479" s="98">
        <v>4.009252603431479</v>
      </c>
      <c r="V1479" s="106">
        <v>29629.147039592543</v>
      </c>
      <c r="W1479" s="10">
        <v>0.88424118693488651</v>
      </c>
      <c r="X1479" s="420"/>
      <c r="Y1479" s="420"/>
      <c r="Z1479" s="1"/>
      <c r="AA1479" s="1"/>
      <c r="AB1479" s="1"/>
      <c r="AC1479" s="1"/>
      <c r="AD1479" s="1"/>
    </row>
    <row r="1480" spans="17:30">
      <c r="Q1480" s="6">
        <v>1450</v>
      </c>
      <c r="R1480" s="7">
        <v>44117</v>
      </c>
      <c r="S1480" s="210">
        <v>4.25</v>
      </c>
      <c r="T1480" s="8">
        <v>1.0001180555555556</v>
      </c>
      <c r="U1480" s="98">
        <v>4.0095236058399486</v>
      </c>
      <c r="V1480" s="106">
        <v>29631.533601204908</v>
      </c>
      <c r="W1480" s="10">
        <v>0.88458109344478064</v>
      </c>
      <c r="X1480" s="420"/>
      <c r="Y1480" s="420"/>
      <c r="Z1480" s="1"/>
      <c r="AA1480" s="1"/>
      <c r="AB1480" s="1"/>
      <c r="AC1480" s="1"/>
      <c r="AD1480" s="1"/>
    </row>
    <row r="1481" spans="17:30">
      <c r="Q1481" s="6">
        <v>1451</v>
      </c>
      <c r="R1481" s="7">
        <v>44118</v>
      </c>
      <c r="S1481" s="210">
        <v>4.25</v>
      </c>
      <c r="T1481" s="8">
        <v>1.0001180555555556</v>
      </c>
      <c r="U1481" s="98">
        <v>4.0097942354142546</v>
      </c>
      <c r="V1481" s="106">
        <v>29633.920355049486</v>
      </c>
      <c r="W1481" s="10">
        <v>0.88492053258408809</v>
      </c>
      <c r="X1481" s="420"/>
      <c r="Y1481" s="420"/>
      <c r="Z1481" s="1"/>
      <c r="AA1481" s="1"/>
      <c r="AB1481" s="1"/>
      <c r="AC1481" s="1"/>
      <c r="AD1481" s="1"/>
    </row>
    <row r="1482" spans="17:30">
      <c r="Q1482" s="6">
        <v>1452</v>
      </c>
      <c r="R1482" s="7">
        <v>44119</v>
      </c>
      <c r="S1482" s="210">
        <v>4.25</v>
      </c>
      <c r="T1482" s="8">
        <v>1.0001180555555556</v>
      </c>
      <c r="U1482" s="98">
        <v>4.0100644929232709</v>
      </c>
      <c r="V1482" s="106">
        <v>29636.307301141747</v>
      </c>
      <c r="W1482" s="10">
        <v>0.88525950531608277</v>
      </c>
      <c r="X1482" s="420"/>
      <c r="Y1482" s="420"/>
      <c r="Z1482" s="1"/>
      <c r="AA1482" s="1"/>
      <c r="AB1482" s="1"/>
      <c r="AC1482" s="1"/>
      <c r="AD1482" s="1"/>
    </row>
    <row r="1483" spans="17:30">
      <c r="Q1483" s="6">
        <v>1453</v>
      </c>
      <c r="R1483" s="7">
        <v>44120</v>
      </c>
      <c r="S1483" s="210">
        <v>4.25</v>
      </c>
      <c r="T1483" s="8">
        <v>1.0001180555555556</v>
      </c>
      <c r="U1483" s="98">
        <v>4.0103343791337398</v>
      </c>
      <c r="V1483" s="106">
        <v>29638.694439497191</v>
      </c>
      <c r="W1483" s="10">
        <v>0.88559801260144067</v>
      </c>
      <c r="X1483" s="420"/>
      <c r="Y1483" s="420"/>
      <c r="Z1483" s="1"/>
      <c r="AA1483" s="1"/>
      <c r="AB1483" s="1"/>
      <c r="AC1483" s="1"/>
      <c r="AD1483" s="1"/>
    </row>
    <row r="1484" spans="17:30">
      <c r="Q1484" s="6">
        <v>1454</v>
      </c>
      <c r="R1484" s="7">
        <v>44121</v>
      </c>
      <c r="S1484" s="210">
        <v>4.25</v>
      </c>
      <c r="T1484" s="8">
        <v>1.0001180555555556</v>
      </c>
      <c r="U1484" s="98">
        <v>4.0106038948103162</v>
      </c>
      <c r="V1484" s="106">
        <v>29641.081770131299</v>
      </c>
      <c r="W1484" s="10">
        <v>0.88593605539812881</v>
      </c>
      <c r="X1484" s="420"/>
      <c r="Y1484" s="420"/>
      <c r="Z1484" s="1"/>
      <c r="AA1484" s="1"/>
      <c r="AB1484" s="1"/>
      <c r="AC1484" s="1"/>
      <c r="AD1484" s="1"/>
    </row>
    <row r="1485" spans="17:30">
      <c r="Q1485" s="6">
        <v>1455</v>
      </c>
      <c r="R1485" s="7">
        <v>44122</v>
      </c>
      <c r="S1485" s="210">
        <v>4.25</v>
      </c>
      <c r="T1485" s="8">
        <v>1.0001180555555556</v>
      </c>
      <c r="U1485" s="98">
        <v>4.0108730407155457</v>
      </c>
      <c r="V1485" s="106">
        <v>29643.469293059556</v>
      </c>
      <c r="W1485" s="10">
        <v>0.88627363466153852</v>
      </c>
      <c r="X1485" s="420"/>
      <c r="Y1485" s="420"/>
      <c r="Z1485" s="1"/>
      <c r="AA1485" s="1"/>
      <c r="AB1485" s="1"/>
      <c r="AC1485" s="1"/>
      <c r="AD1485" s="1"/>
    </row>
    <row r="1486" spans="17:30">
      <c r="Q1486" s="6">
        <v>1456</v>
      </c>
      <c r="R1486" s="7">
        <v>44123</v>
      </c>
      <c r="S1486" s="210">
        <v>4.25</v>
      </c>
      <c r="T1486" s="8">
        <v>1.0001180555555556</v>
      </c>
      <c r="U1486" s="98">
        <v>4.0111418176098868</v>
      </c>
      <c r="V1486" s="106">
        <v>29645.857008297444</v>
      </c>
      <c r="W1486" s="10">
        <v>0.88661075134444101</v>
      </c>
      <c r="X1486" s="420"/>
      <c r="Y1486" s="420"/>
      <c r="Z1486" s="1"/>
      <c r="AA1486" s="1"/>
      <c r="AB1486" s="1"/>
      <c r="AC1486" s="1"/>
      <c r="AD1486" s="1"/>
    </row>
    <row r="1487" spans="17:30">
      <c r="Q1487" s="6">
        <v>1457</v>
      </c>
      <c r="R1487" s="7">
        <v>44124</v>
      </c>
      <c r="S1487" s="210">
        <v>4.25</v>
      </c>
      <c r="T1487" s="8">
        <v>1.0001180555555556</v>
      </c>
      <c r="U1487" s="98">
        <v>4.0114102262517326</v>
      </c>
      <c r="V1487" s="106">
        <v>29648.244915860469</v>
      </c>
      <c r="W1487" s="10">
        <v>0.88694740639698733</v>
      </c>
      <c r="X1487" s="420"/>
      <c r="Y1487" s="420"/>
      <c r="Z1487" s="1"/>
      <c r="AA1487" s="1"/>
      <c r="AB1487" s="1"/>
      <c r="AC1487" s="1"/>
      <c r="AD1487" s="1"/>
    </row>
    <row r="1488" spans="17:30">
      <c r="Q1488" s="6">
        <v>1458</v>
      </c>
      <c r="R1488" s="7">
        <v>44125</v>
      </c>
      <c r="S1488" s="210">
        <v>4.25</v>
      </c>
      <c r="T1488" s="8">
        <v>1.0001180555555556</v>
      </c>
      <c r="U1488" s="98">
        <v>4.0116782673973672</v>
      </c>
      <c r="V1488" s="106">
        <v>29650.63301576411</v>
      </c>
      <c r="W1488" s="10">
        <v>0.88728360076673063</v>
      </c>
      <c r="X1488" s="420"/>
      <c r="Y1488" s="420"/>
      <c r="Z1488" s="1"/>
      <c r="AA1488" s="1"/>
      <c r="AB1488" s="1"/>
      <c r="AC1488" s="1"/>
      <c r="AD1488" s="1"/>
    </row>
    <row r="1489" spans="17:30">
      <c r="Q1489" s="6">
        <v>1459</v>
      </c>
      <c r="R1489" s="7">
        <v>44126</v>
      </c>
      <c r="S1489" s="210">
        <v>4.25</v>
      </c>
      <c r="T1489" s="8">
        <v>1.0001180555555556</v>
      </c>
      <c r="U1489" s="98">
        <v>4.0119459418010095</v>
      </c>
      <c r="V1489" s="106">
        <v>29653.021308023865</v>
      </c>
      <c r="W1489" s="10">
        <v>0.88761933539860394</v>
      </c>
      <c r="X1489" s="420"/>
      <c r="Y1489" s="420"/>
      <c r="Z1489" s="1"/>
      <c r="AA1489" s="1"/>
      <c r="AB1489" s="1"/>
      <c r="AC1489" s="1"/>
      <c r="AD1489" s="1"/>
    </row>
    <row r="1490" spans="17:30">
      <c r="Q1490" s="6">
        <v>1460</v>
      </c>
      <c r="R1490" s="7">
        <v>44127</v>
      </c>
      <c r="S1490" s="210">
        <v>4.25</v>
      </c>
      <c r="T1490" s="8">
        <v>1.0001180555555556</v>
      </c>
      <c r="U1490" s="98">
        <v>4.0122132502148355</v>
      </c>
      <c r="V1490" s="106">
        <v>29655.409792655228</v>
      </c>
      <c r="W1490" s="10">
        <v>0.88795461123498676</v>
      </c>
      <c r="X1490" s="420"/>
      <c r="Y1490" s="420"/>
      <c r="Z1490" s="1"/>
      <c r="AA1490" s="1"/>
      <c r="AB1490" s="1"/>
      <c r="AC1490" s="1"/>
      <c r="AD1490" s="1"/>
    </row>
    <row r="1491" spans="17:30">
      <c r="Q1491" s="6">
        <v>1461</v>
      </c>
      <c r="R1491" s="7">
        <v>44128</v>
      </c>
      <c r="S1491" s="210">
        <v>4.25</v>
      </c>
      <c r="T1491" s="8">
        <v>1.0001180555555556</v>
      </c>
      <c r="U1491" s="98">
        <v>4.0124801933889565</v>
      </c>
      <c r="V1491" s="106">
        <v>29657.798469673693</v>
      </c>
      <c r="W1491" s="10">
        <v>0.88828942921568288</v>
      </c>
      <c r="X1491" s="420"/>
      <c r="Y1491" s="420"/>
      <c r="Z1491" s="1"/>
      <c r="AA1491" s="1"/>
      <c r="AB1491" s="1"/>
      <c r="AC1491" s="1"/>
      <c r="AD1491" s="1"/>
    </row>
    <row r="1492" spans="17:30">
      <c r="Q1492" s="6">
        <v>1462</v>
      </c>
      <c r="R1492" s="7">
        <v>44129</v>
      </c>
      <c r="S1492" s="210">
        <v>4.25</v>
      </c>
      <c r="T1492" s="8">
        <v>1.0001180555555556</v>
      </c>
      <c r="U1492" s="98">
        <v>4.0127467720714183</v>
      </c>
      <c r="V1492" s="106">
        <v>29660.187339094758</v>
      </c>
      <c r="W1492" s="10">
        <v>0.88862379027792038</v>
      </c>
      <c r="X1492" s="420"/>
      <c r="Y1492" s="420"/>
      <c r="Z1492" s="1"/>
      <c r="AA1492" s="1"/>
      <c r="AB1492" s="1"/>
      <c r="AC1492" s="1"/>
      <c r="AD1492" s="1"/>
    </row>
    <row r="1493" spans="17:30">
      <c r="Q1493" s="6">
        <v>1463</v>
      </c>
      <c r="R1493" s="7">
        <v>44130</v>
      </c>
      <c r="S1493" s="210">
        <v>4.25</v>
      </c>
      <c r="T1493" s="8">
        <v>1.0001180555555556</v>
      </c>
      <c r="U1493" s="98">
        <v>4.0130129870082687</v>
      </c>
      <c r="V1493" s="106">
        <v>29662.576400933918</v>
      </c>
      <c r="W1493" s="10">
        <v>0.88895769535639602</v>
      </c>
      <c r="X1493" s="420"/>
      <c r="Y1493" s="420"/>
      <c r="Z1493" s="1"/>
      <c r="AA1493" s="1"/>
      <c r="AB1493" s="1"/>
      <c r="AC1493" s="1"/>
      <c r="AD1493" s="1"/>
    </row>
    <row r="1494" spans="17:30">
      <c r="Q1494" s="6">
        <v>1464</v>
      </c>
      <c r="R1494" s="7">
        <v>44131</v>
      </c>
      <c r="S1494" s="210">
        <v>4.25</v>
      </c>
      <c r="T1494" s="8">
        <v>1.0001180555555556</v>
      </c>
      <c r="U1494" s="98">
        <v>4.0132788389434682</v>
      </c>
      <c r="V1494" s="106">
        <v>29664.96565520667</v>
      </c>
      <c r="W1494" s="10">
        <v>0.88929114538325305</v>
      </c>
      <c r="X1494" s="420"/>
      <c r="Y1494" s="420"/>
      <c r="Z1494" s="1"/>
      <c r="AA1494" s="1"/>
      <c r="AB1494" s="1"/>
      <c r="AC1494" s="1"/>
      <c r="AD1494" s="1"/>
    </row>
    <row r="1495" spans="17:30">
      <c r="Q1495" s="6">
        <v>1465</v>
      </c>
      <c r="R1495" s="7">
        <v>44132</v>
      </c>
      <c r="S1495" s="210">
        <v>4.25</v>
      </c>
      <c r="T1495" s="8">
        <v>1.0001180555555556</v>
      </c>
      <c r="U1495" s="98">
        <v>4.0135443286189787</v>
      </c>
      <c r="V1495" s="106">
        <v>29667.355101928522</v>
      </c>
      <c r="W1495" s="10">
        <v>0.8896241412880368</v>
      </c>
      <c r="X1495" s="420"/>
      <c r="Y1495" s="420"/>
      <c r="Z1495" s="1"/>
      <c r="AA1495" s="1"/>
      <c r="AB1495" s="1"/>
      <c r="AC1495" s="1"/>
      <c r="AD1495" s="1"/>
    </row>
    <row r="1496" spans="17:30">
      <c r="Q1496" s="6">
        <v>1466</v>
      </c>
      <c r="R1496" s="7">
        <v>44133</v>
      </c>
      <c r="S1496" s="210">
        <v>4.25</v>
      </c>
      <c r="T1496" s="8">
        <v>1.0001180555555556</v>
      </c>
      <c r="U1496" s="98">
        <v>4.013809456774764</v>
      </c>
      <c r="V1496" s="106">
        <v>29669.744741114966</v>
      </c>
      <c r="W1496" s="10">
        <v>0.88995668399787231</v>
      </c>
      <c r="X1496" s="420"/>
      <c r="Y1496" s="420"/>
      <c r="Z1496" s="1"/>
      <c r="AA1496" s="1"/>
      <c r="AB1496" s="1"/>
      <c r="AC1496" s="1"/>
      <c r="AD1496" s="1"/>
    </row>
    <row r="1497" spans="17:30">
      <c r="Q1497" s="6">
        <v>1467</v>
      </c>
      <c r="R1497" s="7">
        <v>44134</v>
      </c>
      <c r="S1497" s="210">
        <v>4.25</v>
      </c>
      <c r="T1497" s="8">
        <v>1.0001180555555556</v>
      </c>
      <c r="U1497" s="98">
        <v>4.0140742241487226</v>
      </c>
      <c r="V1497" s="106">
        <v>29672.134572781506</v>
      </c>
      <c r="W1497" s="10">
        <v>0.8902887744372423</v>
      </c>
      <c r="X1497" s="420"/>
      <c r="Y1497" s="420"/>
      <c r="Z1497" s="1"/>
      <c r="AA1497" s="1"/>
      <c r="AB1497" s="1"/>
      <c r="AC1497" s="1"/>
      <c r="AD1497" s="1"/>
    </row>
    <row r="1498" spans="17:30">
      <c r="Q1498" s="6">
        <v>1468</v>
      </c>
      <c r="R1498" s="7">
        <v>44135</v>
      </c>
      <c r="S1498" s="210">
        <v>4.25</v>
      </c>
      <c r="T1498" s="8">
        <v>1.0001180555555556</v>
      </c>
      <c r="U1498" s="98">
        <v>4.0143386314767771</v>
      </c>
      <c r="V1498" s="106">
        <v>29674.524596943655</v>
      </c>
      <c r="W1498" s="10">
        <v>0.8906204135282314</v>
      </c>
      <c r="X1498" s="420"/>
      <c r="Y1498" s="420"/>
      <c r="Z1498" s="1"/>
      <c r="AA1498" s="1"/>
      <c r="AB1498" s="1"/>
      <c r="AC1498" s="1"/>
      <c r="AD1498" s="1"/>
    </row>
    <row r="1499" spans="17:30">
      <c r="Q1499" s="6">
        <v>1469</v>
      </c>
      <c r="R1499" s="7">
        <v>44136</v>
      </c>
      <c r="S1499" s="210">
        <v>4.25</v>
      </c>
      <c r="T1499" s="8">
        <v>1.0001180555555556</v>
      </c>
      <c r="U1499" s="98">
        <v>4.0146026794928291</v>
      </c>
      <c r="V1499" s="106">
        <v>29676.91481361691</v>
      </c>
      <c r="W1499" s="10">
        <v>0.89095160219030411</v>
      </c>
      <c r="X1499" s="420"/>
      <c r="Y1499" s="420"/>
      <c r="Z1499" s="1"/>
      <c r="AA1499" s="1"/>
      <c r="AB1499" s="1"/>
      <c r="AC1499" s="1"/>
      <c r="AD1499" s="1"/>
    </row>
    <row r="1500" spans="17:30">
      <c r="Q1500" s="6">
        <v>1470</v>
      </c>
      <c r="R1500" s="7">
        <v>44137</v>
      </c>
      <c r="S1500" s="210">
        <v>4.25</v>
      </c>
      <c r="T1500" s="8">
        <v>1.0001180555555556</v>
      </c>
      <c r="U1500" s="98">
        <v>4.0148663689288266</v>
      </c>
      <c r="V1500" s="106">
        <v>29679.305222816776</v>
      </c>
      <c r="W1500" s="10">
        <v>0.89128234134052686</v>
      </c>
      <c r="X1500" s="420"/>
      <c r="Y1500" s="420"/>
      <c r="Z1500" s="1"/>
      <c r="AA1500" s="1"/>
      <c r="AB1500" s="1"/>
      <c r="AC1500" s="1"/>
      <c r="AD1500" s="1"/>
    </row>
    <row r="1501" spans="17:30">
      <c r="Q1501" s="6">
        <v>1471</v>
      </c>
      <c r="R1501" s="7">
        <v>44138</v>
      </c>
      <c r="S1501" s="210">
        <v>4.25</v>
      </c>
      <c r="T1501" s="8">
        <v>1.0001180555555556</v>
      </c>
      <c r="U1501" s="98">
        <v>4.0151297005146969</v>
      </c>
      <c r="V1501" s="106">
        <v>29681.695824558767</v>
      </c>
      <c r="W1501" s="10">
        <v>0.89161263189341255</v>
      </c>
      <c r="X1501" s="420"/>
      <c r="Y1501" s="420"/>
      <c r="Z1501" s="1"/>
      <c r="AA1501" s="1"/>
      <c r="AB1501" s="1"/>
      <c r="AC1501" s="1"/>
      <c r="AD1501" s="1"/>
    </row>
    <row r="1502" spans="17:30">
      <c r="Q1502" s="6">
        <v>1472</v>
      </c>
      <c r="R1502" s="7">
        <v>44139</v>
      </c>
      <c r="S1502" s="210">
        <v>4.25</v>
      </c>
      <c r="T1502" s="8">
        <v>1.0001180555555556</v>
      </c>
      <c r="U1502" s="98">
        <v>4.0153926749783908</v>
      </c>
      <c r="V1502" s="106">
        <v>29684.086618858386</v>
      </c>
      <c r="W1502" s="10">
        <v>0.89194247476105382</v>
      </c>
      <c r="X1502" s="420"/>
      <c r="Y1502" s="420"/>
      <c r="Z1502" s="1"/>
      <c r="AA1502" s="1"/>
      <c r="AB1502" s="1"/>
      <c r="AC1502" s="1"/>
      <c r="AD1502" s="1"/>
    </row>
    <row r="1503" spans="17:30">
      <c r="Q1503" s="6">
        <v>1473</v>
      </c>
      <c r="R1503" s="7">
        <v>44140</v>
      </c>
      <c r="S1503" s="210">
        <v>4.25</v>
      </c>
      <c r="T1503" s="8">
        <v>1.0001180555555556</v>
      </c>
      <c r="U1503" s="98">
        <v>4.0156552930459055</v>
      </c>
      <c r="V1503" s="106">
        <v>29686.47760573115</v>
      </c>
      <c r="W1503" s="10">
        <v>0.89227187085301196</v>
      </c>
      <c r="X1503" s="420"/>
      <c r="Y1503" s="420"/>
      <c r="Z1503" s="1"/>
      <c r="AA1503" s="1"/>
      <c r="AB1503" s="1"/>
      <c r="AC1503" s="1"/>
      <c r="AD1503" s="1"/>
    </row>
    <row r="1504" spans="17:30">
      <c r="Q1504" s="6">
        <v>1474</v>
      </c>
      <c r="R1504" s="7">
        <v>44141</v>
      </c>
      <c r="S1504" s="210">
        <v>4.25</v>
      </c>
      <c r="T1504" s="8">
        <v>1.0001180555555556</v>
      </c>
      <c r="U1504" s="98">
        <v>4.0159175554412618</v>
      </c>
      <c r="V1504" s="106">
        <v>29688.868785192564</v>
      </c>
      <c r="W1504" s="10">
        <v>0.89260082107645022</v>
      </c>
      <c r="X1504" s="420"/>
      <c r="Y1504" s="420"/>
      <c r="Z1504" s="1"/>
      <c r="AA1504" s="1"/>
      <c r="AB1504" s="1"/>
      <c r="AC1504" s="1"/>
      <c r="AD1504" s="1"/>
    </row>
    <row r="1505" spans="17:30">
      <c r="Q1505" s="6">
        <v>1475</v>
      </c>
      <c r="R1505" s="7">
        <v>44142</v>
      </c>
      <c r="S1505" s="210">
        <v>4.25</v>
      </c>
      <c r="T1505" s="8">
        <v>1.0001180555555556</v>
      </c>
      <c r="U1505" s="98">
        <v>4.0161794628865044</v>
      </c>
      <c r="V1505" s="106">
        <v>29691.260157258137</v>
      </c>
      <c r="W1505" s="10">
        <v>0.89292932633602273</v>
      </c>
      <c r="X1505" s="420"/>
      <c r="Y1505" s="420"/>
      <c r="Z1505" s="1"/>
      <c r="AA1505" s="1"/>
      <c r="AB1505" s="1"/>
      <c r="AC1505" s="1"/>
      <c r="AD1505" s="1"/>
    </row>
    <row r="1506" spans="17:30">
      <c r="Q1506" s="6">
        <v>1476</v>
      </c>
      <c r="R1506" s="7">
        <v>44143</v>
      </c>
      <c r="S1506" s="210">
        <v>4.25</v>
      </c>
      <c r="T1506" s="8">
        <v>1.0001180555555556</v>
      </c>
      <c r="U1506" s="98">
        <v>4.0164410161017239</v>
      </c>
      <c r="V1506" s="106">
        <v>29693.651721943392</v>
      </c>
      <c r="W1506" s="10">
        <v>0.89325738753391892</v>
      </c>
      <c r="X1506" s="420"/>
      <c r="Y1506" s="420"/>
      <c r="Z1506" s="1"/>
      <c r="AA1506" s="1"/>
      <c r="AB1506" s="1"/>
      <c r="AC1506" s="1"/>
      <c r="AD1506" s="1"/>
    </row>
    <row r="1507" spans="17:30">
      <c r="Q1507" s="6">
        <v>1477</v>
      </c>
      <c r="R1507" s="7">
        <v>44144</v>
      </c>
      <c r="S1507" s="210">
        <v>4.25</v>
      </c>
      <c r="T1507" s="8">
        <v>1.0001180555555556</v>
      </c>
      <c r="U1507" s="98">
        <v>4.0167022158051013</v>
      </c>
      <c r="V1507" s="106">
        <v>29696.043479263844</v>
      </c>
      <c r="W1507" s="10">
        <v>0.89358500556999676</v>
      </c>
      <c r="X1507" s="420"/>
      <c r="Y1507" s="420"/>
      <c r="Z1507" s="1"/>
      <c r="AA1507" s="1"/>
      <c r="AB1507" s="1"/>
      <c r="AC1507" s="1"/>
      <c r="AD1507" s="1"/>
    </row>
    <row r="1508" spans="17:30">
      <c r="Q1508" s="6">
        <v>1478</v>
      </c>
      <c r="R1508" s="7">
        <v>44145</v>
      </c>
      <c r="S1508" s="210">
        <v>4.25</v>
      </c>
      <c r="T1508" s="8">
        <v>1.0001180555555556</v>
      </c>
      <c r="U1508" s="98">
        <v>4.0169630627128639</v>
      </c>
      <c r="V1508" s="106">
        <v>29698.515164218763</v>
      </c>
      <c r="W1508" s="10">
        <v>0.89384528567195698</v>
      </c>
      <c r="X1508" s="420"/>
      <c r="Y1508" s="420"/>
      <c r="Z1508" s="1"/>
      <c r="AA1508" s="1"/>
      <c r="AB1508" s="1"/>
      <c r="AC1508" s="1"/>
      <c r="AD1508" s="1"/>
    </row>
    <row r="1509" spans="17:30">
      <c r="Q1509" s="6">
        <v>1479</v>
      </c>
      <c r="R1509" s="7">
        <v>44146</v>
      </c>
      <c r="S1509" s="210">
        <v>4.25</v>
      </c>
      <c r="T1509" s="8">
        <v>1.0001180555555556</v>
      </c>
      <c r="U1509" s="98">
        <v>4.0172235575392845</v>
      </c>
      <c r="V1509" s="106">
        <v>29700.987054898949</v>
      </c>
      <c r="W1509" s="10">
        <v>0.89410521447634839</v>
      </c>
      <c r="X1509" s="420"/>
      <c r="Y1509" s="420"/>
      <c r="Z1509" s="1"/>
      <c r="AA1509" s="1"/>
      <c r="AB1509" s="1"/>
      <c r="AC1509" s="1"/>
      <c r="AD1509" s="1"/>
    </row>
    <row r="1510" spans="17:30">
      <c r="Q1510" s="6">
        <v>1480</v>
      </c>
      <c r="R1510" s="7">
        <v>44147</v>
      </c>
      <c r="S1510" s="210">
        <v>4.25</v>
      </c>
      <c r="T1510" s="8">
        <v>1.0001180555555556</v>
      </c>
      <c r="U1510" s="98">
        <v>4.0174837009967046</v>
      </c>
      <c r="V1510" s="106">
        <v>29703.459151321531</v>
      </c>
      <c r="W1510" s="10">
        <v>0.89436479269386915</v>
      </c>
      <c r="X1510" s="420"/>
      <c r="Y1510" s="420"/>
      <c r="Z1510" s="1"/>
      <c r="AA1510" s="1"/>
      <c r="AB1510" s="1"/>
      <c r="AC1510" s="1"/>
      <c r="AD1510" s="1"/>
    </row>
    <row r="1511" spans="17:30">
      <c r="Q1511" s="6">
        <v>1481</v>
      </c>
      <c r="R1511" s="7">
        <v>44148</v>
      </c>
      <c r="S1511" s="210">
        <v>4.25</v>
      </c>
      <c r="T1511" s="8">
        <v>1.0001180555555556</v>
      </c>
      <c r="U1511" s="98">
        <v>4.017743493795578</v>
      </c>
      <c r="V1511" s="106">
        <v>29705.931453503625</v>
      </c>
      <c r="W1511" s="10">
        <v>0.89462402103335226</v>
      </c>
      <c r="X1511" s="420"/>
      <c r="Y1511" s="420"/>
      <c r="Z1511" s="1"/>
      <c r="AA1511" s="1"/>
      <c r="AB1511" s="1"/>
      <c r="AC1511" s="1"/>
      <c r="AD1511" s="1"/>
    </row>
    <row r="1512" spans="17:30">
      <c r="Q1512" s="6">
        <v>1482</v>
      </c>
      <c r="R1512" s="7">
        <v>44149</v>
      </c>
      <c r="S1512" s="210">
        <v>4.25</v>
      </c>
      <c r="T1512" s="8">
        <v>1.0001180555555556</v>
      </c>
      <c r="U1512" s="98">
        <v>4.018002936644427</v>
      </c>
      <c r="V1512" s="106">
        <v>29708.403961462362</v>
      </c>
      <c r="W1512" s="10">
        <v>0.89488290020172112</v>
      </c>
      <c r="X1512" s="420"/>
      <c r="Y1512" s="420"/>
      <c r="Z1512" s="1"/>
      <c r="AA1512" s="1"/>
      <c r="AB1512" s="1"/>
      <c r="AC1512" s="1"/>
      <c r="AD1512" s="1"/>
    </row>
    <row r="1513" spans="17:30">
      <c r="Q1513" s="6">
        <v>1483</v>
      </c>
      <c r="R1513" s="7">
        <v>44150</v>
      </c>
      <c r="S1513" s="210">
        <v>4.25</v>
      </c>
      <c r="T1513" s="8">
        <v>1.0001180555555556</v>
      </c>
      <c r="U1513" s="98">
        <v>4.0182620302498639</v>
      </c>
      <c r="V1513" s="106">
        <v>29710.876675214862</v>
      </c>
      <c r="W1513" s="10">
        <v>0.89514143090396736</v>
      </c>
      <c r="X1513" s="420"/>
      <c r="Y1513" s="420"/>
      <c r="Z1513" s="1"/>
      <c r="AA1513" s="1"/>
      <c r="AB1513" s="1"/>
      <c r="AC1513" s="1"/>
      <c r="AD1513" s="1"/>
    </row>
    <row r="1514" spans="17:30">
      <c r="Q1514" s="6">
        <v>1484</v>
      </c>
      <c r="R1514" s="7">
        <v>44151</v>
      </c>
      <c r="S1514" s="210">
        <v>4.25</v>
      </c>
      <c r="T1514" s="8">
        <v>1.0001180555555556</v>
      </c>
      <c r="U1514" s="98">
        <v>4.0185207753165919</v>
      </c>
      <c r="V1514" s="106">
        <v>29713.349594778269</v>
      </c>
      <c r="W1514" s="10">
        <v>0.89539961384317301</v>
      </c>
      <c r="X1514" s="420"/>
      <c r="Y1514" s="420"/>
      <c r="Z1514" s="1"/>
      <c r="AA1514" s="1"/>
      <c r="AB1514" s="1"/>
      <c r="AC1514" s="1"/>
      <c r="AD1514" s="1"/>
    </row>
    <row r="1515" spans="17:30">
      <c r="Q1515" s="6">
        <v>1485</v>
      </c>
      <c r="R1515" s="7">
        <v>44152</v>
      </c>
      <c r="S1515" s="210">
        <v>4.25</v>
      </c>
      <c r="T1515" s="8">
        <v>1.0001180555555556</v>
      </c>
      <c r="U1515" s="98">
        <v>4.0187791725474487</v>
      </c>
      <c r="V1515" s="106">
        <v>29715.822720169705</v>
      </c>
      <c r="W1515" s="10">
        <v>0.89565744972059935</v>
      </c>
      <c r="X1515" s="420"/>
      <c r="Y1515" s="420"/>
      <c r="Z1515" s="1"/>
      <c r="AA1515" s="1"/>
      <c r="AB1515" s="1"/>
      <c r="AC1515" s="1"/>
      <c r="AD1515" s="1"/>
    </row>
    <row r="1516" spans="17:30">
      <c r="Q1516" s="6">
        <v>1486</v>
      </c>
      <c r="R1516" s="7">
        <v>44153</v>
      </c>
      <c r="S1516" s="210">
        <v>4.25</v>
      </c>
      <c r="T1516" s="8">
        <v>1.0001180555555556</v>
      </c>
      <c r="U1516" s="98">
        <v>4.0190372226433624</v>
      </c>
      <c r="V1516" s="106">
        <v>29718.296051406294</v>
      </c>
      <c r="W1516" s="10">
        <v>0.89591493923557586</v>
      </c>
      <c r="X1516" s="420"/>
      <c r="Y1516" s="420"/>
      <c r="Z1516" s="1"/>
      <c r="AA1516" s="1"/>
      <c r="AB1516" s="1"/>
      <c r="AC1516" s="1"/>
      <c r="AD1516" s="1"/>
    </row>
    <row r="1517" spans="17:30">
      <c r="Q1517" s="6">
        <v>1487</v>
      </c>
      <c r="R1517" s="7">
        <v>44154</v>
      </c>
      <c r="S1517" s="210">
        <v>4.25</v>
      </c>
      <c r="T1517" s="8">
        <v>1.0001180555555556</v>
      </c>
      <c r="U1517" s="98">
        <v>4.0192949263033961</v>
      </c>
      <c r="V1517" s="106">
        <v>29720.76958850518</v>
      </c>
      <c r="W1517" s="10">
        <v>0.89617208308556684</v>
      </c>
      <c r="X1517" s="420"/>
      <c r="Y1517" s="420"/>
      <c r="Z1517" s="1"/>
      <c r="AA1517" s="1"/>
      <c r="AB1517" s="1"/>
      <c r="AC1517" s="1"/>
      <c r="AD1517" s="1"/>
    </row>
    <row r="1518" spans="17:30">
      <c r="Q1518" s="6">
        <v>1488</v>
      </c>
      <c r="R1518" s="7">
        <v>44155</v>
      </c>
      <c r="S1518" s="210">
        <v>4.25</v>
      </c>
      <c r="T1518" s="8">
        <v>1.0001180555555556</v>
      </c>
      <c r="U1518" s="98">
        <v>4.0195522842247033</v>
      </c>
      <c r="V1518" s="106">
        <v>29723.243331483493</v>
      </c>
      <c r="W1518" s="10">
        <v>0.89642888196612702</v>
      </c>
      <c r="X1518" s="420"/>
      <c r="Y1518" s="420"/>
      <c r="Z1518" s="1"/>
      <c r="AA1518" s="1"/>
      <c r="AB1518" s="1"/>
      <c r="AC1518" s="1"/>
      <c r="AD1518" s="1"/>
    </row>
    <row r="1519" spans="17:30">
      <c r="Q1519" s="6">
        <v>1489</v>
      </c>
      <c r="R1519" s="7">
        <v>44156</v>
      </c>
      <c r="S1519" s="210">
        <v>4.25</v>
      </c>
      <c r="T1519" s="8">
        <v>1.0001180555555556</v>
      </c>
      <c r="U1519" s="98">
        <v>4.0198092971025945</v>
      </c>
      <c r="V1519" s="106">
        <v>29725.717280358371</v>
      </c>
      <c r="W1519" s="10">
        <v>0.89668533657099037</v>
      </c>
      <c r="X1519" s="420"/>
      <c r="Y1519" s="420"/>
      <c r="Z1519" s="1"/>
      <c r="AA1519" s="1"/>
      <c r="AB1519" s="1"/>
      <c r="AC1519" s="1"/>
      <c r="AD1519" s="1"/>
    </row>
    <row r="1520" spans="17:30">
      <c r="Q1520" s="6">
        <v>1490</v>
      </c>
      <c r="R1520" s="7">
        <v>44157</v>
      </c>
      <c r="S1520" s="210">
        <v>4.25</v>
      </c>
      <c r="T1520" s="8">
        <v>1.0001180555555556</v>
      </c>
      <c r="U1520" s="98">
        <v>4.0200659656304927</v>
      </c>
      <c r="V1520" s="106">
        <v>29728.191435146953</v>
      </c>
      <c r="W1520" s="10">
        <v>0.89694144759200345</v>
      </c>
      <c r="X1520" s="420"/>
      <c r="Y1520" s="420"/>
      <c r="Z1520" s="1"/>
      <c r="AA1520" s="1"/>
      <c r="AB1520" s="1"/>
      <c r="AC1520" s="1"/>
      <c r="AD1520" s="1"/>
    </row>
    <row r="1521" spans="17:30">
      <c r="Q1521" s="6">
        <v>1491</v>
      </c>
      <c r="R1521" s="7">
        <v>44158</v>
      </c>
      <c r="S1521" s="210">
        <v>4.25</v>
      </c>
      <c r="T1521" s="8">
        <v>1.0001180555555556</v>
      </c>
      <c r="U1521" s="98">
        <v>4.0203222905000002</v>
      </c>
      <c r="V1521" s="106">
        <v>29730.665795866367</v>
      </c>
      <c r="W1521" s="10">
        <v>0.89719721571919209</v>
      </c>
      <c r="X1521" s="420"/>
      <c r="Y1521" s="420"/>
      <c r="Z1521" s="1"/>
      <c r="AA1521" s="1"/>
      <c r="AB1521" s="1"/>
      <c r="AC1521" s="1"/>
      <c r="AD1521" s="1"/>
    </row>
    <row r="1522" spans="17:30">
      <c r="Q1522" s="6">
        <v>1492</v>
      </c>
      <c r="R1522" s="7">
        <v>44159</v>
      </c>
      <c r="S1522" s="210">
        <v>4.25</v>
      </c>
      <c r="T1522" s="8">
        <v>1.0001180555555556</v>
      </c>
      <c r="U1522" s="98">
        <v>4.0205782724008543</v>
      </c>
      <c r="V1522" s="106">
        <v>29733.140362533766</v>
      </c>
      <c r="W1522" s="10">
        <v>0.89745264164071692</v>
      </c>
      <c r="X1522" s="420"/>
      <c r="Y1522" s="420"/>
      <c r="Z1522" s="1"/>
      <c r="AA1522" s="1"/>
      <c r="AB1522" s="1"/>
      <c r="AC1522" s="1"/>
      <c r="AD1522" s="1"/>
    </row>
    <row r="1523" spans="17:30">
      <c r="Q1523" s="6">
        <v>1493</v>
      </c>
      <c r="R1523" s="7">
        <v>44160</v>
      </c>
      <c r="S1523" s="210">
        <v>4.25</v>
      </c>
      <c r="T1523" s="8">
        <v>1.0001180555555556</v>
      </c>
      <c r="U1523" s="98">
        <v>4.0208339120209491</v>
      </c>
      <c r="V1523" s="106">
        <v>29735.615135166281</v>
      </c>
      <c r="W1523" s="10">
        <v>0.89770772604294002</v>
      </c>
      <c r="X1523" s="420"/>
      <c r="Y1523" s="420"/>
      <c r="Z1523" s="1"/>
      <c r="AA1523" s="1"/>
      <c r="AB1523" s="1"/>
      <c r="AC1523" s="1"/>
      <c r="AD1523" s="1"/>
    </row>
    <row r="1524" spans="17:30">
      <c r="Q1524" s="6">
        <v>1494</v>
      </c>
      <c r="R1524" s="7">
        <v>44161</v>
      </c>
      <c r="S1524" s="210">
        <v>4.25</v>
      </c>
      <c r="T1524" s="8">
        <v>1.0001180555555556</v>
      </c>
      <c r="U1524" s="98">
        <v>4.0210892100463136</v>
      </c>
      <c r="V1524" s="106">
        <v>29738.090113781065</v>
      </c>
      <c r="W1524" s="10">
        <v>0.89796246961026949</v>
      </c>
      <c r="X1524" s="420"/>
      <c r="Y1524" s="420"/>
      <c r="Z1524" s="1"/>
      <c r="AA1524" s="1"/>
      <c r="AB1524" s="1"/>
      <c r="AC1524" s="1"/>
      <c r="AD1524" s="1"/>
    </row>
    <row r="1525" spans="17:30">
      <c r="Q1525" s="6">
        <v>1495</v>
      </c>
      <c r="R1525" s="7">
        <v>44162</v>
      </c>
      <c r="S1525" s="210">
        <v>4.25</v>
      </c>
      <c r="T1525" s="8">
        <v>1.0001180555555556</v>
      </c>
      <c r="U1525" s="98">
        <v>4.0213441671611783</v>
      </c>
      <c r="V1525" s="106">
        <v>29740.56529839526</v>
      </c>
      <c r="W1525" s="10">
        <v>0.89821687302540365</v>
      </c>
      <c r="X1525" s="420"/>
      <c r="Y1525" s="420"/>
      <c r="Z1525" s="1"/>
      <c r="AA1525" s="1"/>
      <c r="AB1525" s="1"/>
      <c r="AC1525" s="1"/>
      <c r="AD1525" s="1"/>
    </row>
    <row r="1526" spans="17:30">
      <c r="Q1526" s="6">
        <v>1496</v>
      </c>
      <c r="R1526" s="7">
        <v>44163</v>
      </c>
      <c r="S1526" s="210">
        <v>4.25</v>
      </c>
      <c r="T1526" s="8">
        <v>1.0001180555555556</v>
      </c>
      <c r="U1526" s="98">
        <v>4.0215987840479306</v>
      </c>
      <c r="V1526" s="106">
        <v>29743.040689026002</v>
      </c>
      <c r="W1526" s="10">
        <v>0.89847093696922009</v>
      </c>
      <c r="X1526" s="420"/>
      <c r="Y1526" s="420"/>
      <c r="Z1526" s="1"/>
      <c r="AA1526" s="1"/>
      <c r="AB1526" s="1"/>
      <c r="AC1526" s="1"/>
      <c r="AD1526" s="1"/>
    </row>
    <row r="1527" spans="17:30">
      <c r="Q1527" s="6">
        <v>1497</v>
      </c>
      <c r="R1527" s="7">
        <v>44164</v>
      </c>
      <c r="S1527" s="210">
        <v>4.25</v>
      </c>
      <c r="T1527" s="8">
        <v>1.0001180555555556</v>
      </c>
      <c r="U1527" s="98">
        <v>4.0218530613871595</v>
      </c>
      <c r="V1527" s="106">
        <v>29745.516285690454</v>
      </c>
      <c r="W1527" s="10">
        <v>0.8987246621206646</v>
      </c>
      <c r="X1527" s="420"/>
      <c r="Y1527" s="420"/>
      <c r="Z1527" s="1"/>
      <c r="AA1527" s="1"/>
      <c r="AB1527" s="1"/>
      <c r="AC1527" s="1"/>
      <c r="AD1527" s="1"/>
    </row>
    <row r="1528" spans="17:30">
      <c r="Q1528" s="6">
        <v>1498</v>
      </c>
      <c r="R1528" s="7">
        <v>44165</v>
      </c>
      <c r="S1528" s="210">
        <v>4.25</v>
      </c>
      <c r="T1528" s="8">
        <v>1.0001180555555556</v>
      </c>
      <c r="U1528" s="98">
        <v>4.0221069998576109</v>
      </c>
      <c r="V1528" s="106">
        <v>29747.992088405757</v>
      </c>
      <c r="W1528" s="10">
        <v>0.89897804915703983</v>
      </c>
      <c r="X1528" s="420"/>
      <c r="Y1528" s="420"/>
      <c r="Z1528" s="1"/>
      <c r="AA1528" s="1"/>
      <c r="AB1528" s="1"/>
      <c r="AC1528" s="1"/>
      <c r="AD1528" s="1"/>
    </row>
    <row r="1529" spans="17:30">
      <c r="Q1529" s="6">
        <v>1499</v>
      </c>
      <c r="R1529" s="7">
        <v>44166</v>
      </c>
      <c r="S1529" s="210">
        <v>4.25</v>
      </c>
      <c r="T1529" s="8">
        <v>1.0001180555555556</v>
      </c>
      <c r="U1529" s="98">
        <v>4.0223606001362322</v>
      </c>
      <c r="V1529" s="106">
        <v>29750.468097189052</v>
      </c>
      <c r="W1529" s="10">
        <v>0.89923109875367224</v>
      </c>
      <c r="X1529" s="420"/>
      <c r="Y1529" s="420"/>
      <c r="Z1529" s="1"/>
      <c r="AA1529" s="1"/>
      <c r="AB1529" s="1"/>
      <c r="AC1529" s="1"/>
      <c r="AD1529" s="1"/>
    </row>
    <row r="1530" spans="17:30">
      <c r="Q1530" s="6">
        <v>1500</v>
      </c>
      <c r="R1530" s="7">
        <v>44167</v>
      </c>
      <c r="S1530" s="210">
        <v>4.25</v>
      </c>
      <c r="T1530" s="8">
        <v>1.0001180555555556</v>
      </c>
      <c r="U1530" s="98">
        <v>4.0226138628981722</v>
      </c>
      <c r="V1530" s="106">
        <v>29752.944312057509</v>
      </c>
      <c r="W1530" s="10">
        <v>0.89948381158422297</v>
      </c>
      <c r="X1530" s="420"/>
      <c r="Y1530" s="420"/>
      <c r="Z1530" s="1"/>
      <c r="AA1530" s="1"/>
      <c r="AB1530" s="1"/>
      <c r="AC1530" s="1"/>
      <c r="AD1530" s="1"/>
    </row>
    <row r="1531" spans="17:30">
      <c r="Q1531" s="6">
        <v>1501</v>
      </c>
      <c r="R1531" s="7">
        <v>44168</v>
      </c>
      <c r="S1531" s="210">
        <v>4.25</v>
      </c>
      <c r="T1531" s="8">
        <v>1.0001180555555556</v>
      </c>
      <c r="U1531" s="98">
        <v>4.0228667888168035</v>
      </c>
      <c r="V1531" s="106">
        <v>29755.420733028273</v>
      </c>
      <c r="W1531" s="10">
        <v>0.89973618832051017</v>
      </c>
      <c r="X1531" s="420"/>
      <c r="Y1531" s="420"/>
      <c r="Z1531" s="1"/>
      <c r="AA1531" s="1"/>
      <c r="AB1531" s="1"/>
      <c r="AC1531" s="1"/>
      <c r="AD1531" s="1"/>
    </row>
    <row r="1532" spans="17:30">
      <c r="Q1532" s="6">
        <v>1502</v>
      </c>
      <c r="R1532" s="7">
        <v>44169</v>
      </c>
      <c r="S1532" s="210">
        <v>4.25</v>
      </c>
      <c r="T1532" s="8">
        <v>1.0001180555555556</v>
      </c>
      <c r="U1532" s="98">
        <v>4.0231193785636776</v>
      </c>
      <c r="V1532" s="106">
        <v>29757.897360118488</v>
      </c>
      <c r="W1532" s="10">
        <v>0.89998822963255343</v>
      </c>
      <c r="X1532" s="420"/>
      <c r="Y1532" s="420"/>
      <c r="Z1532" s="1"/>
      <c r="AA1532" s="1"/>
      <c r="AB1532" s="1"/>
      <c r="AC1532" s="1"/>
      <c r="AD1532" s="1"/>
    </row>
    <row r="1533" spans="17:30">
      <c r="Q1533" s="6">
        <v>1503</v>
      </c>
      <c r="R1533" s="7">
        <v>44170</v>
      </c>
      <c r="S1533" s="210">
        <v>4.25</v>
      </c>
      <c r="T1533" s="8">
        <v>1.0001180555555556</v>
      </c>
      <c r="U1533" s="98">
        <v>4.0233716328085478</v>
      </c>
      <c r="V1533" s="106">
        <v>29760.374193345328</v>
      </c>
      <c r="W1533" s="10">
        <v>0.90023993618859599</v>
      </c>
      <c r="X1533" s="420"/>
      <c r="Y1533" s="420"/>
      <c r="Z1533" s="1"/>
      <c r="AA1533" s="1"/>
      <c r="AB1533" s="1"/>
      <c r="AC1533" s="1"/>
      <c r="AD1533" s="1"/>
    </row>
    <row r="1534" spans="17:30">
      <c r="Q1534" s="6">
        <v>1504</v>
      </c>
      <c r="R1534" s="7">
        <v>44171</v>
      </c>
      <c r="S1534" s="210">
        <v>4.25</v>
      </c>
      <c r="T1534" s="8">
        <v>1.0001180555555556</v>
      </c>
      <c r="U1534" s="98">
        <v>4.0236235522194352</v>
      </c>
      <c r="V1534" s="106">
        <v>29762.851232725938</v>
      </c>
      <c r="W1534" s="10">
        <v>0.90049130865512694</v>
      </c>
      <c r="X1534" s="420"/>
      <c r="Y1534" s="420"/>
      <c r="Z1534" s="1"/>
      <c r="AA1534" s="1"/>
      <c r="AB1534" s="1"/>
      <c r="AC1534" s="1"/>
      <c r="AD1534" s="1"/>
    </row>
    <row r="1535" spans="17:30">
      <c r="Q1535" s="6">
        <v>1505</v>
      </c>
      <c r="R1535" s="7">
        <v>44172</v>
      </c>
      <c r="S1535" s="210">
        <v>4.25</v>
      </c>
      <c r="T1535" s="8">
        <v>1.0001180555555556</v>
      </c>
      <c r="U1535" s="98">
        <v>4.0238751374625847</v>
      </c>
      <c r="V1535" s="106">
        <v>29765.328478277475</v>
      </c>
      <c r="W1535" s="10">
        <v>0.90074234769688122</v>
      </c>
      <c r="X1535" s="420"/>
      <c r="Y1535" s="420"/>
      <c r="Z1535" s="1"/>
      <c r="AA1535" s="1"/>
      <c r="AB1535" s="1"/>
      <c r="AC1535" s="1"/>
      <c r="AD1535" s="1"/>
    </row>
    <row r="1536" spans="17:30">
      <c r="Q1536" s="6">
        <v>1506</v>
      </c>
      <c r="R1536" s="7">
        <v>44173</v>
      </c>
      <c r="S1536" s="210">
        <v>4.25</v>
      </c>
      <c r="T1536" s="8">
        <v>1.0001180555555556</v>
      </c>
      <c r="U1536" s="98">
        <v>4.0241263892024426</v>
      </c>
      <c r="V1536" s="106">
        <v>29767.805930017115</v>
      </c>
      <c r="W1536" s="10">
        <v>0.90099305397679519</v>
      </c>
      <c r="X1536" s="420"/>
      <c r="Y1536" s="420"/>
      <c r="Z1536" s="1"/>
      <c r="AA1536" s="1"/>
      <c r="AB1536" s="1"/>
      <c r="AC1536" s="1"/>
      <c r="AD1536" s="1"/>
    </row>
    <row r="1537" spans="17:30">
      <c r="Q1537" s="6">
        <v>1507</v>
      </c>
      <c r="R1537" s="7">
        <v>44174</v>
      </c>
      <c r="S1537" s="210">
        <v>4.25</v>
      </c>
      <c r="T1537" s="8">
        <v>1.0001180555555556</v>
      </c>
      <c r="U1537" s="98">
        <v>4.0243773081017009</v>
      </c>
      <c r="V1537" s="106">
        <v>29770.283587962003</v>
      </c>
      <c r="W1537" s="10">
        <v>0.90124342815602887</v>
      </c>
      <c r="X1537" s="420"/>
      <c r="Y1537" s="420"/>
      <c r="Z1537" s="1"/>
      <c r="AA1537" s="1"/>
      <c r="AB1537" s="1"/>
      <c r="AC1537" s="1"/>
      <c r="AD1537" s="1"/>
    </row>
    <row r="1538" spans="17:30">
      <c r="Q1538" s="6">
        <v>1508</v>
      </c>
      <c r="R1538" s="7">
        <v>44175</v>
      </c>
      <c r="S1538" s="210">
        <v>4.25</v>
      </c>
      <c r="T1538" s="8">
        <v>1.0001180555555556</v>
      </c>
      <c r="U1538" s="98">
        <v>4.0246278948213199</v>
      </c>
      <c r="V1538" s="106">
        <v>29772.681517808087</v>
      </c>
      <c r="W1538" s="10">
        <v>0.9015590407176477</v>
      </c>
      <c r="X1538" s="420"/>
      <c r="Y1538" s="420"/>
      <c r="Z1538" s="1"/>
      <c r="AA1538" s="1"/>
      <c r="AB1538" s="1"/>
      <c r="AC1538" s="1"/>
      <c r="AD1538" s="1"/>
    </row>
    <row r="1539" spans="17:30">
      <c r="Q1539" s="6">
        <v>1509</v>
      </c>
      <c r="R1539" s="7">
        <v>44176</v>
      </c>
      <c r="S1539" s="210">
        <v>4.25</v>
      </c>
      <c r="T1539" s="8">
        <v>1.0001180555555556</v>
      </c>
      <c r="U1539" s="98">
        <v>4.0248781500205055</v>
      </c>
      <c r="V1539" s="106">
        <v>29775.079640802072</v>
      </c>
      <c r="W1539" s="10">
        <v>0.90187423595762262</v>
      </c>
      <c r="X1539" s="420"/>
      <c r="Y1539" s="420"/>
      <c r="Z1539" s="1"/>
      <c r="AA1539" s="1"/>
      <c r="AB1539" s="1"/>
      <c r="AC1539" s="1"/>
      <c r="AD1539" s="1"/>
    </row>
    <row r="1540" spans="17:30">
      <c r="Q1540" s="6">
        <v>1510</v>
      </c>
      <c r="R1540" s="7">
        <v>44177</v>
      </c>
      <c r="S1540" s="210">
        <v>4.25</v>
      </c>
      <c r="T1540" s="8">
        <v>1.0001180555555556</v>
      </c>
      <c r="U1540" s="98">
        <v>4.0251280743566875</v>
      </c>
      <c r="V1540" s="106">
        <v>29777.477956959501</v>
      </c>
      <c r="W1540" s="10">
        <v>0.90218901470309198</v>
      </c>
      <c r="X1540" s="420"/>
      <c r="Y1540" s="420"/>
      <c r="Z1540" s="1"/>
      <c r="AA1540" s="1"/>
      <c r="AB1540" s="1"/>
      <c r="AC1540" s="1"/>
      <c r="AD1540" s="1"/>
    </row>
    <row r="1541" spans="17:30">
      <c r="Q1541" s="6">
        <v>1511</v>
      </c>
      <c r="R1541" s="7">
        <v>44178</v>
      </c>
      <c r="S1541" s="210">
        <v>4.25</v>
      </c>
      <c r="T1541" s="8">
        <v>1.0001180555555556</v>
      </c>
      <c r="U1541" s="98">
        <v>4.025377668485608</v>
      </c>
      <c r="V1541" s="106">
        <v>29779.876466295937</v>
      </c>
      <c r="W1541" s="10">
        <v>0.90250337777906253</v>
      </c>
      <c r="X1541" s="420"/>
      <c r="Y1541" s="420"/>
      <c r="Z1541" s="1"/>
      <c r="AA1541" s="1"/>
      <c r="AB1541" s="1"/>
      <c r="AC1541" s="1"/>
      <c r="AD1541" s="1"/>
    </row>
    <row r="1542" spans="17:30">
      <c r="Q1542" s="6">
        <v>1512</v>
      </c>
      <c r="R1542" s="7">
        <v>44179</v>
      </c>
      <c r="S1542" s="210">
        <v>4.25</v>
      </c>
      <c r="T1542" s="8">
        <v>1.0001180555555556</v>
      </c>
      <c r="U1542" s="98">
        <v>4.0256269330612326</v>
      </c>
      <c r="V1542" s="106">
        <v>29782.275168826949</v>
      </c>
      <c r="W1542" s="10">
        <v>0.90281732600829834</v>
      </c>
      <c r="X1542" s="420"/>
      <c r="Y1542" s="420"/>
      <c r="Z1542" s="1"/>
      <c r="AA1542" s="1"/>
      <c r="AB1542" s="1"/>
      <c r="AC1542" s="1"/>
      <c r="AD1542" s="1"/>
    </row>
    <row r="1543" spans="17:30">
      <c r="Q1543" s="6">
        <v>1513</v>
      </c>
      <c r="R1543" s="7">
        <v>44180</v>
      </c>
      <c r="S1543" s="210">
        <v>4.25</v>
      </c>
      <c r="T1543" s="8">
        <v>1.0001180555555556</v>
      </c>
      <c r="U1543" s="98">
        <v>4.0258758687358398</v>
      </c>
      <c r="V1543" s="106">
        <v>29784.674064568087</v>
      </c>
      <c r="W1543" s="10">
        <v>0.90313086021147626</v>
      </c>
      <c r="X1543" s="420"/>
      <c r="Y1543" s="420"/>
      <c r="Z1543" s="1"/>
      <c r="AA1543" s="1"/>
      <c r="AB1543" s="1"/>
      <c r="AC1543" s="1"/>
      <c r="AD1543" s="1"/>
    </row>
    <row r="1544" spans="17:30">
      <c r="Q1544" s="6">
        <v>1514</v>
      </c>
      <c r="R1544" s="7">
        <v>44181</v>
      </c>
      <c r="S1544" s="210">
        <v>4.25</v>
      </c>
      <c r="T1544" s="8">
        <v>1.0001180555555556</v>
      </c>
      <c r="U1544" s="98">
        <v>4.0261244761599535</v>
      </c>
      <c r="V1544" s="106">
        <v>29787.073153534922</v>
      </c>
      <c r="W1544" s="10">
        <v>0.90344398120700831</v>
      </c>
      <c r="X1544" s="420"/>
      <c r="Y1544" s="420"/>
      <c r="Z1544" s="1"/>
      <c r="AA1544" s="1"/>
      <c r="AB1544" s="1"/>
      <c r="AC1544" s="1"/>
      <c r="AD1544" s="1"/>
    </row>
    <row r="1545" spans="17:30">
      <c r="Q1545" s="6">
        <v>1515</v>
      </c>
      <c r="R1545" s="7">
        <v>44182</v>
      </c>
      <c r="S1545" s="210">
        <v>4.25</v>
      </c>
      <c r="T1545" s="8">
        <v>1.0001180555555556</v>
      </c>
      <c r="U1545" s="98">
        <v>4.0263727559824103</v>
      </c>
      <c r="V1545" s="106">
        <v>29789.472435743017</v>
      </c>
      <c r="W1545" s="10">
        <v>0.90375668981126367</v>
      </c>
      <c r="X1545" s="420"/>
      <c r="Y1545" s="420"/>
      <c r="Z1545" s="1"/>
      <c r="AA1545" s="1"/>
      <c r="AB1545" s="1"/>
      <c r="AC1545" s="1"/>
      <c r="AD1545" s="1"/>
    </row>
    <row r="1546" spans="17:30">
      <c r="Q1546" s="6">
        <v>1516</v>
      </c>
      <c r="R1546" s="7">
        <v>44183</v>
      </c>
      <c r="S1546" s="210">
        <v>4.25</v>
      </c>
      <c r="T1546" s="8">
        <v>1.0001180555555556</v>
      </c>
      <c r="U1546" s="98">
        <v>4.026620708850337</v>
      </c>
      <c r="V1546" s="106">
        <v>29791.871911207931</v>
      </c>
      <c r="W1546" s="10">
        <v>0.90406898683836889</v>
      </c>
      <c r="X1546" s="420"/>
      <c r="Y1546" s="420"/>
      <c r="Z1546" s="1"/>
      <c r="AA1546" s="1"/>
      <c r="AB1546" s="1"/>
      <c r="AC1546" s="1"/>
      <c r="AD1546" s="1"/>
    </row>
    <row r="1547" spans="17:30">
      <c r="Q1547" s="6">
        <v>1517</v>
      </c>
      <c r="R1547" s="7">
        <v>44184</v>
      </c>
      <c r="S1547" s="210">
        <v>4.25</v>
      </c>
      <c r="T1547" s="8">
        <v>1.0001180555555556</v>
      </c>
      <c r="U1547" s="98">
        <v>4.0268683354091284</v>
      </c>
      <c r="V1547" s="106">
        <v>29794.271579945231</v>
      </c>
      <c r="W1547" s="10">
        <v>0.9043808731003633</v>
      </c>
      <c r="X1547" s="420"/>
      <c r="Y1547" s="420"/>
      <c r="Z1547" s="1"/>
      <c r="AA1547" s="1"/>
      <c r="AB1547" s="1"/>
      <c r="AC1547" s="1"/>
      <c r="AD1547" s="1"/>
    </row>
    <row r="1548" spans="17:30">
      <c r="Q1548" s="6">
        <v>1518</v>
      </c>
      <c r="R1548" s="7">
        <v>44185</v>
      </c>
      <c r="S1548" s="210">
        <v>4.25</v>
      </c>
      <c r="T1548" s="8">
        <v>1.0001180555555556</v>
      </c>
      <c r="U1548" s="98">
        <v>4.027115636302514</v>
      </c>
      <c r="V1548" s="106">
        <v>29796.671441970495</v>
      </c>
      <c r="W1548" s="10">
        <v>0.90469234940713239</v>
      </c>
      <c r="X1548" s="420"/>
      <c r="Y1548" s="420"/>
      <c r="Z1548" s="1"/>
      <c r="AA1548" s="1"/>
      <c r="AB1548" s="1"/>
      <c r="AC1548" s="1"/>
      <c r="AD1548" s="1"/>
    </row>
    <row r="1549" spans="17:30">
      <c r="Q1549" s="6">
        <v>1519</v>
      </c>
      <c r="R1549" s="7">
        <v>44186</v>
      </c>
      <c r="S1549" s="210">
        <v>4.25</v>
      </c>
      <c r="T1549" s="8">
        <v>1.0001180555555556</v>
      </c>
      <c r="U1549" s="98">
        <v>4.0273626121725137</v>
      </c>
      <c r="V1549" s="106">
        <v>29799.071497299276</v>
      </c>
      <c r="W1549" s="10">
        <v>0.90500341656643002</v>
      </c>
      <c r="X1549" s="420"/>
      <c r="Y1549" s="420"/>
      <c r="Z1549" s="1"/>
      <c r="AA1549" s="1"/>
      <c r="AB1549" s="1"/>
      <c r="AC1549" s="1"/>
      <c r="AD1549" s="1"/>
    </row>
    <row r="1550" spans="17:30">
      <c r="Q1550" s="6">
        <v>1520</v>
      </c>
      <c r="R1550" s="7">
        <v>44187</v>
      </c>
      <c r="S1550" s="210">
        <v>4.25</v>
      </c>
      <c r="T1550" s="8">
        <v>1.0001180555555556</v>
      </c>
      <c r="U1550" s="98">
        <v>4.0276092636594596</v>
      </c>
      <c r="V1550" s="106">
        <v>29801.471745947158</v>
      </c>
      <c r="W1550" s="10">
        <v>0.90531407538387842</v>
      </c>
      <c r="X1550" s="420"/>
      <c r="Y1550" s="420"/>
      <c r="Z1550" s="1"/>
      <c r="AA1550" s="1"/>
      <c r="AB1550" s="1"/>
      <c r="AC1550" s="1"/>
      <c r="AD1550" s="1"/>
    </row>
    <row r="1551" spans="17:30">
      <c r="Q1551" s="6">
        <v>1521</v>
      </c>
      <c r="R1551" s="7">
        <v>44188</v>
      </c>
      <c r="S1551" s="210">
        <v>4.25</v>
      </c>
      <c r="T1551" s="8">
        <v>1.0001180555555556</v>
      </c>
      <c r="U1551" s="98">
        <v>4.0278555914020187</v>
      </c>
      <c r="V1551" s="106">
        <v>29803.872187929705</v>
      </c>
      <c r="W1551" s="10">
        <v>0.90562432666303483</v>
      </c>
      <c r="X1551" s="420"/>
      <c r="Y1551" s="420"/>
      <c r="Z1551" s="1"/>
      <c r="AA1551" s="1"/>
      <c r="AB1551" s="1"/>
      <c r="AC1551" s="1"/>
      <c r="AD1551" s="1"/>
    </row>
    <row r="1552" spans="17:30">
      <c r="Q1552" s="6">
        <v>1522</v>
      </c>
      <c r="R1552" s="7">
        <v>44189</v>
      </c>
      <c r="S1552" s="210">
        <v>4.25</v>
      </c>
      <c r="T1552" s="8">
        <v>1.0001180555555556</v>
      </c>
      <c r="U1552" s="98">
        <v>4.0281015960371702</v>
      </c>
      <c r="V1552" s="106">
        <v>29806.272823262494</v>
      </c>
      <c r="W1552" s="10">
        <v>0.90593417120530262</v>
      </c>
      <c r="X1552" s="420"/>
      <c r="Y1552" s="420"/>
      <c r="Z1552" s="1"/>
      <c r="AA1552" s="1"/>
      <c r="AB1552" s="1"/>
      <c r="AC1552" s="1"/>
      <c r="AD1552" s="1"/>
    </row>
    <row r="1553" spans="17:30">
      <c r="Q1553" s="6">
        <v>1523</v>
      </c>
      <c r="R1553" s="7">
        <v>44190</v>
      </c>
      <c r="S1553" s="210">
        <v>4.25</v>
      </c>
      <c r="T1553" s="8">
        <v>1.0001180555555556</v>
      </c>
      <c r="U1553" s="98">
        <v>4.0283472782002061</v>
      </c>
      <c r="V1553" s="106">
        <v>29808.673651961097</v>
      </c>
      <c r="W1553" s="10">
        <v>0.90624360980999796</v>
      </c>
      <c r="X1553" s="420"/>
      <c r="Y1553" s="420"/>
      <c r="Z1553" s="1"/>
      <c r="AA1553" s="1"/>
      <c r="AB1553" s="1"/>
      <c r="AC1553" s="1"/>
      <c r="AD1553" s="1"/>
    </row>
    <row r="1554" spans="17:30">
      <c r="Q1554" s="6">
        <v>1524</v>
      </c>
      <c r="R1554" s="7">
        <v>44191</v>
      </c>
      <c r="S1554" s="210">
        <v>4.25</v>
      </c>
      <c r="T1554" s="8">
        <v>1.0001180555555556</v>
      </c>
      <c r="U1554" s="98">
        <v>4.0285926385247972</v>
      </c>
      <c r="V1554" s="106">
        <v>29811.07467404109</v>
      </c>
      <c r="W1554" s="10">
        <v>0.90655264327432761</v>
      </c>
      <c r="X1554" s="420"/>
      <c r="Y1554" s="420"/>
      <c r="Z1554" s="1"/>
      <c r="AA1554" s="1"/>
      <c r="AB1554" s="1"/>
      <c r="AC1554" s="1"/>
      <c r="AD1554" s="1"/>
    </row>
    <row r="1555" spans="17:30">
      <c r="Q1555" s="6">
        <v>1525</v>
      </c>
      <c r="R1555" s="7">
        <v>44192</v>
      </c>
      <c r="S1555" s="210">
        <v>4.25</v>
      </c>
      <c r="T1555" s="8">
        <v>1.0001180555555556</v>
      </c>
      <c r="U1555" s="98">
        <v>4.0288376776429269</v>
      </c>
      <c r="V1555" s="106">
        <v>29813.475889518046</v>
      </c>
      <c r="W1555" s="10">
        <v>0.90686127239345549</v>
      </c>
      <c r="X1555" s="420"/>
      <c r="Y1555" s="420"/>
      <c r="Z1555" s="1"/>
      <c r="AA1555" s="1"/>
      <c r="AB1555" s="1"/>
      <c r="AC1555" s="1"/>
      <c r="AD1555" s="1"/>
    </row>
    <row r="1556" spans="17:30">
      <c r="Q1556" s="6">
        <v>1526</v>
      </c>
      <c r="R1556" s="7">
        <v>44193</v>
      </c>
      <c r="S1556" s="210">
        <v>4.25</v>
      </c>
      <c r="T1556" s="8">
        <v>1.0001180555555556</v>
      </c>
      <c r="U1556" s="98">
        <v>4.0290823961849132</v>
      </c>
      <c r="V1556" s="106">
        <v>29815.877298407551</v>
      </c>
      <c r="W1556" s="10">
        <v>0.90716949796041391</v>
      </c>
      <c r="X1556" s="420"/>
      <c r="Y1556" s="420"/>
      <c r="Z1556" s="1"/>
      <c r="AA1556" s="1"/>
      <c r="AB1556" s="1"/>
      <c r="AC1556" s="1"/>
      <c r="AD1556" s="1"/>
    </row>
    <row r="1557" spans="17:30">
      <c r="Q1557" s="6">
        <v>1527</v>
      </c>
      <c r="R1557" s="7">
        <v>44194</v>
      </c>
      <c r="S1557" s="210">
        <v>4.25</v>
      </c>
      <c r="T1557" s="8">
        <v>1.0001180555555556</v>
      </c>
      <c r="U1557" s="98">
        <v>4.0293267947794753</v>
      </c>
      <c r="V1557" s="106">
        <v>29818.27890072517</v>
      </c>
      <c r="W1557" s="10">
        <v>0.90747732076623677</v>
      </c>
      <c r="X1557" s="420"/>
      <c r="Y1557" s="420"/>
      <c r="Z1557" s="1"/>
      <c r="AA1557" s="1"/>
      <c r="AB1557" s="1"/>
      <c r="AC1557" s="1"/>
      <c r="AD1557" s="1"/>
    </row>
    <row r="1558" spans="17:30">
      <c r="Q1558" s="6">
        <v>1528</v>
      </c>
      <c r="R1558" s="7">
        <v>44195</v>
      </c>
      <c r="S1558" s="210">
        <v>4.25</v>
      </c>
      <c r="T1558" s="8">
        <v>1.0001180555555556</v>
      </c>
      <c r="U1558" s="98">
        <v>4.0295708740536229</v>
      </c>
      <c r="V1558" s="106">
        <v>29820.680696486492</v>
      </c>
      <c r="W1558" s="10">
        <v>0.90778474159980416</v>
      </c>
      <c r="X1558" s="420"/>
      <c r="Y1558" s="420"/>
      <c r="Z1558" s="1"/>
      <c r="AA1558" s="1"/>
      <c r="AB1558" s="1"/>
      <c r="AC1558" s="1"/>
      <c r="AD1558" s="1"/>
    </row>
    <row r="1559" spans="17:30">
      <c r="Q1559" s="6">
        <v>1529</v>
      </c>
      <c r="R1559" s="7">
        <v>44196</v>
      </c>
      <c r="S1559" s="210">
        <v>4.25</v>
      </c>
      <c r="T1559" s="8">
        <v>1.0001180555555556</v>
      </c>
      <c r="U1559" s="98">
        <v>4.0298146346327668</v>
      </c>
      <c r="V1559" s="106">
        <v>29823.082685707104</v>
      </c>
      <c r="W1559" s="10">
        <v>0.90809176124799773</v>
      </c>
      <c r="X1559" s="420"/>
      <c r="Y1559" s="420"/>
      <c r="Z1559" s="1"/>
      <c r="AA1559" s="1"/>
      <c r="AB1559" s="1"/>
      <c r="AC1559" s="1"/>
      <c r="AD1559" s="1"/>
    </row>
    <row r="1560" spans="17:30">
      <c r="Q1560" s="6">
        <v>1530</v>
      </c>
      <c r="R1560" s="7">
        <v>44197</v>
      </c>
      <c r="S1560" s="210">
        <v>4.25</v>
      </c>
      <c r="T1560" s="8">
        <v>1.0001180555555556</v>
      </c>
      <c r="U1560" s="98">
        <v>4.0300580771406969</v>
      </c>
      <c r="V1560" s="106">
        <v>29825.484868402578</v>
      </c>
      <c r="W1560" s="10">
        <v>0.90839838049561195</v>
      </c>
      <c r="X1560" s="420"/>
      <c r="Y1560" s="420"/>
      <c r="Z1560" s="1"/>
      <c r="AA1560" s="1"/>
      <c r="AB1560" s="1"/>
      <c r="AC1560" s="1"/>
      <c r="AD1560" s="1"/>
    </row>
    <row r="1561" spans="17:30">
      <c r="Q1561" s="6">
        <v>1531</v>
      </c>
      <c r="R1561" s="7">
        <v>44198</v>
      </c>
      <c r="S1561" s="210">
        <v>4.25</v>
      </c>
      <c r="T1561" s="8">
        <v>1.0001180555555556</v>
      </c>
      <c r="U1561" s="98">
        <v>4.0303012021995377</v>
      </c>
      <c r="V1561" s="106">
        <v>29827.887244588499</v>
      </c>
      <c r="W1561" s="10">
        <v>0.90870460012539844</v>
      </c>
      <c r="X1561" s="420"/>
      <c r="Y1561" s="420"/>
      <c r="Z1561" s="1"/>
      <c r="AA1561" s="1"/>
      <c r="AB1561" s="1"/>
      <c r="AC1561" s="1"/>
      <c r="AD1561" s="1"/>
    </row>
    <row r="1562" spans="17:30">
      <c r="Q1562" s="6">
        <v>1532</v>
      </c>
      <c r="R1562" s="7">
        <v>44199</v>
      </c>
      <c r="S1562" s="210">
        <v>4.25</v>
      </c>
      <c r="T1562" s="8">
        <v>1.0001180555555556</v>
      </c>
      <c r="U1562" s="98">
        <v>4.0305440104298373</v>
      </c>
      <c r="V1562" s="106">
        <v>29830.289814280462</v>
      </c>
      <c r="W1562" s="10">
        <v>0.90901042091811046</v>
      </c>
      <c r="X1562" s="420"/>
      <c r="Y1562" s="420"/>
      <c r="Z1562" s="1"/>
      <c r="AA1562" s="1"/>
      <c r="AB1562" s="1"/>
      <c r="AC1562" s="1"/>
      <c r="AD1562" s="1"/>
    </row>
    <row r="1563" spans="17:30">
      <c r="Q1563" s="6">
        <v>1533</v>
      </c>
      <c r="R1563" s="7">
        <v>44200</v>
      </c>
      <c r="S1563" s="210">
        <v>4.25</v>
      </c>
      <c r="T1563" s="8">
        <v>1.0001180555555556</v>
      </c>
      <c r="U1563" s="98">
        <v>4.0307865024505007</v>
      </c>
      <c r="V1563" s="106">
        <v>29832.692577494043</v>
      </c>
      <c r="W1563" s="10">
        <v>0.90931584365243623</v>
      </c>
      <c r="X1563" s="420"/>
      <c r="Y1563" s="420"/>
      <c r="Z1563" s="1"/>
      <c r="AA1563" s="1"/>
      <c r="AB1563" s="1"/>
      <c r="AC1563" s="1"/>
      <c r="AD1563" s="1"/>
    </row>
    <row r="1564" spans="17:30">
      <c r="Q1564" s="6">
        <v>1534</v>
      </c>
      <c r="R1564" s="7">
        <v>44201</v>
      </c>
      <c r="S1564" s="210">
        <v>4.25</v>
      </c>
      <c r="T1564" s="8">
        <v>1.0001180555555556</v>
      </c>
      <c r="U1564" s="98">
        <v>4.0310286788788119</v>
      </c>
      <c r="V1564" s="106">
        <v>29835.09553424484</v>
      </c>
      <c r="W1564" s="10">
        <v>0.90962086910502116</v>
      </c>
      <c r="X1564" s="420"/>
      <c r="Y1564" s="420"/>
      <c r="Z1564" s="1"/>
      <c r="AA1564" s="1"/>
      <c r="AB1564" s="1"/>
      <c r="AC1564" s="1"/>
      <c r="AD1564" s="1"/>
    </row>
    <row r="1565" spans="17:30">
      <c r="Q1565" s="6">
        <v>1535</v>
      </c>
      <c r="R1565" s="7">
        <v>44202</v>
      </c>
      <c r="S1565" s="210">
        <v>4.25</v>
      </c>
      <c r="T1565" s="8">
        <v>1.0001180555555556</v>
      </c>
      <c r="U1565" s="98">
        <v>4.0312705403304783</v>
      </c>
      <c r="V1565" s="106">
        <v>29837.498684548431</v>
      </c>
      <c r="W1565" s="10">
        <v>0.90992549805055667</v>
      </c>
      <c r="X1565" s="420"/>
      <c r="Y1565" s="420"/>
      <c r="Z1565" s="1"/>
      <c r="AA1565" s="1"/>
      <c r="AB1565" s="1"/>
      <c r="AC1565" s="1"/>
      <c r="AD1565" s="1"/>
    </row>
    <row r="1566" spans="17:30">
      <c r="Q1566" s="6">
        <v>1536</v>
      </c>
      <c r="R1566" s="7">
        <v>44203</v>
      </c>
      <c r="S1566" s="210">
        <v>4.25</v>
      </c>
      <c r="T1566" s="8">
        <v>1.0001180555555556</v>
      </c>
      <c r="U1566" s="98">
        <v>4.0315120874195864</v>
      </c>
      <c r="V1566" s="106">
        <v>29839.902028420409</v>
      </c>
      <c r="W1566" s="10">
        <v>0.91022973126162476</v>
      </c>
      <c r="X1566" s="420"/>
      <c r="Y1566" s="420"/>
      <c r="Z1566" s="1"/>
      <c r="AA1566" s="1"/>
      <c r="AB1566" s="1"/>
      <c r="AC1566" s="1"/>
      <c r="AD1566" s="1"/>
    </row>
    <row r="1567" spans="17:30">
      <c r="Q1567" s="6">
        <v>1537</v>
      </c>
      <c r="R1567" s="7">
        <v>44204</v>
      </c>
      <c r="S1567" s="210">
        <v>4.25</v>
      </c>
      <c r="T1567" s="8">
        <v>1.0001180555555556</v>
      </c>
      <c r="U1567" s="98">
        <v>4.0317533207586242</v>
      </c>
      <c r="V1567" s="106">
        <v>29842.30556587637</v>
      </c>
      <c r="W1567" s="10">
        <v>0.91053356950887565</v>
      </c>
      <c r="X1567" s="420"/>
      <c r="Y1567" s="420"/>
      <c r="Z1567" s="1"/>
      <c r="AA1567" s="1"/>
      <c r="AB1567" s="1"/>
      <c r="AC1567" s="1"/>
      <c r="AD1567" s="1"/>
    </row>
    <row r="1568" spans="17:30">
      <c r="Q1568" s="6">
        <v>1538</v>
      </c>
      <c r="R1568" s="7">
        <v>44205</v>
      </c>
      <c r="S1568" s="210">
        <v>4.25</v>
      </c>
      <c r="T1568" s="8">
        <v>1.0001180555555556</v>
      </c>
      <c r="U1568" s="98">
        <v>4.031994240958503</v>
      </c>
      <c r="V1568" s="106">
        <v>29844.709296931906</v>
      </c>
      <c r="W1568" s="10">
        <v>0.91083701356093894</v>
      </c>
      <c r="X1568" s="420"/>
      <c r="Y1568" s="420"/>
      <c r="Z1568" s="1"/>
      <c r="AA1568" s="1"/>
      <c r="AB1568" s="1"/>
      <c r="AC1568" s="1"/>
      <c r="AD1568" s="1"/>
    </row>
    <row r="1569" spans="17:30">
      <c r="Q1569" s="6">
        <v>1539</v>
      </c>
      <c r="R1569" s="7">
        <v>44206</v>
      </c>
      <c r="S1569" s="210">
        <v>4.25</v>
      </c>
      <c r="T1569" s="8">
        <v>1.0001180555555556</v>
      </c>
      <c r="U1569" s="98">
        <v>4.0322348486285575</v>
      </c>
      <c r="V1569" s="106">
        <v>29847.113221602605</v>
      </c>
      <c r="W1569" s="10">
        <v>0.91114006418446802</v>
      </c>
      <c r="X1569" s="420"/>
      <c r="Y1569" s="420"/>
      <c r="Z1569" s="1"/>
      <c r="AA1569" s="1"/>
      <c r="AB1569" s="1"/>
      <c r="AC1569" s="1"/>
      <c r="AD1569" s="1"/>
    </row>
    <row r="1570" spans="17:30">
      <c r="Q1570" s="6">
        <v>1540</v>
      </c>
      <c r="R1570" s="7">
        <v>44207</v>
      </c>
      <c r="S1570" s="210">
        <v>4.25</v>
      </c>
      <c r="T1570" s="8">
        <v>1.0001180555555556</v>
      </c>
      <c r="U1570" s="98">
        <v>4.0324751443765017</v>
      </c>
      <c r="V1570" s="106">
        <v>29849.517339904076</v>
      </c>
      <c r="W1570" s="10">
        <v>0.91144272214405131</v>
      </c>
      <c r="X1570" s="420"/>
      <c r="Y1570" s="420"/>
      <c r="Z1570" s="1"/>
      <c r="AA1570" s="1"/>
      <c r="AB1570" s="1"/>
      <c r="AC1570" s="1"/>
      <c r="AD1570" s="1"/>
    </row>
    <row r="1571" spans="17:30">
      <c r="Q1571" s="6">
        <v>1541</v>
      </c>
      <c r="R1571" s="7">
        <v>44208</v>
      </c>
      <c r="S1571" s="210">
        <v>4.25</v>
      </c>
      <c r="T1571" s="8">
        <v>1.0001180555555556</v>
      </c>
      <c r="U1571" s="98">
        <v>4.0327151288085394</v>
      </c>
      <c r="V1571" s="106">
        <v>29851.921651851899</v>
      </c>
      <c r="W1571" s="10">
        <v>0.91174498820245642</v>
      </c>
      <c r="X1571" s="420"/>
      <c r="Y1571" s="420"/>
      <c r="Z1571" s="1"/>
      <c r="AA1571" s="1"/>
      <c r="AB1571" s="1"/>
      <c r="AC1571" s="1"/>
      <c r="AD1571" s="1"/>
    </row>
    <row r="1572" spans="17:30">
      <c r="Q1572" s="6">
        <v>1542</v>
      </c>
      <c r="R1572" s="7">
        <v>44209</v>
      </c>
      <c r="S1572" s="210">
        <v>4.25</v>
      </c>
      <c r="T1572" s="8">
        <v>1.0001180555555556</v>
      </c>
      <c r="U1572" s="98">
        <v>4.0329548025292317</v>
      </c>
      <c r="V1572" s="106">
        <v>29854.326157461674</v>
      </c>
      <c r="W1572" s="10">
        <v>0.91204686312027494</v>
      </c>
      <c r="X1572" s="420"/>
      <c r="Y1572" s="420"/>
      <c r="Z1572" s="1"/>
      <c r="AA1572" s="1"/>
      <c r="AB1572" s="1"/>
      <c r="AC1572" s="1"/>
      <c r="AD1572" s="1"/>
    </row>
    <row r="1573" spans="17:30">
      <c r="Q1573" s="6">
        <v>1543</v>
      </c>
      <c r="R1573" s="7">
        <v>44210</v>
      </c>
      <c r="S1573" s="210">
        <v>4.25</v>
      </c>
      <c r="T1573" s="8">
        <v>1.0001180555555556</v>
      </c>
      <c r="U1573" s="98">
        <v>4.0331941661416293</v>
      </c>
      <c r="V1573" s="106">
        <v>29856.730856749014</v>
      </c>
      <c r="W1573" s="10">
        <v>0.91234834765629991</v>
      </c>
      <c r="X1573" s="420"/>
      <c r="Y1573" s="420"/>
      <c r="Z1573" s="1"/>
      <c r="AA1573" s="1"/>
      <c r="AB1573" s="1"/>
      <c r="AC1573" s="1"/>
      <c r="AD1573" s="1"/>
    </row>
    <row r="1574" spans="17:30">
      <c r="Q1574" s="6">
        <v>1544</v>
      </c>
      <c r="R1574" s="7">
        <v>44211</v>
      </c>
      <c r="S1574" s="210">
        <v>4.25</v>
      </c>
      <c r="T1574" s="8">
        <v>1.0001180555555556</v>
      </c>
      <c r="U1574" s="98">
        <v>4.0334332202472067</v>
      </c>
      <c r="V1574" s="106">
        <v>29859.135749729503</v>
      </c>
      <c r="W1574" s="10">
        <v>0.91264944256730374</v>
      </c>
      <c r="X1574" s="420"/>
      <c r="Y1574" s="420"/>
      <c r="Z1574" s="1"/>
      <c r="AA1574" s="1"/>
      <c r="AB1574" s="1"/>
      <c r="AC1574" s="1"/>
      <c r="AD1574" s="1"/>
    </row>
    <row r="1575" spans="17:30">
      <c r="Q1575" s="6">
        <v>1545</v>
      </c>
      <c r="R1575" s="7">
        <v>44212</v>
      </c>
      <c r="S1575" s="210">
        <v>4.25</v>
      </c>
      <c r="T1575" s="8">
        <v>1.0001180555555556</v>
      </c>
      <c r="U1575" s="98">
        <v>4.0336719654458841</v>
      </c>
      <c r="V1575" s="106">
        <v>29861.540836418757</v>
      </c>
      <c r="W1575" s="10">
        <v>0.91295014860803825</v>
      </c>
      <c r="X1575" s="420"/>
      <c r="Y1575" s="420"/>
      <c r="Z1575" s="1"/>
      <c r="AA1575" s="1"/>
      <c r="AB1575" s="1"/>
      <c r="AC1575" s="1"/>
      <c r="AD1575" s="1"/>
    </row>
    <row r="1576" spans="17:30">
      <c r="Q1576" s="6">
        <v>1546</v>
      </c>
      <c r="R1576" s="7">
        <v>44213</v>
      </c>
      <c r="S1576" s="210">
        <v>4.25</v>
      </c>
      <c r="T1576" s="8">
        <v>1.0001180555555556</v>
      </c>
      <c r="U1576" s="98">
        <v>4.0339104023360273</v>
      </c>
      <c r="V1576" s="106">
        <v>29863.946116832372</v>
      </c>
      <c r="W1576" s="10">
        <v>0.91325046653141229</v>
      </c>
      <c r="X1576" s="420"/>
      <c r="Y1576" s="420"/>
      <c r="Z1576" s="1"/>
      <c r="AA1576" s="1"/>
      <c r="AB1576" s="1"/>
      <c r="AC1576" s="1"/>
      <c r="AD1576" s="1"/>
    </row>
    <row r="1577" spans="17:30">
      <c r="Q1577" s="6">
        <v>1547</v>
      </c>
      <c r="R1577" s="7">
        <v>44214</v>
      </c>
      <c r="S1577" s="210">
        <v>4.25</v>
      </c>
      <c r="T1577" s="8">
        <v>1.0001180555555556</v>
      </c>
      <c r="U1577" s="98">
        <v>4.0341485315144476</v>
      </c>
      <c r="V1577" s="106">
        <v>29866.351590985949</v>
      </c>
      <c r="W1577" s="10">
        <v>0.9135503970883363</v>
      </c>
      <c r="X1577" s="420"/>
      <c r="Y1577" s="420"/>
      <c r="Z1577" s="1"/>
      <c r="AA1577" s="1"/>
      <c r="AB1577" s="1"/>
      <c r="AC1577" s="1"/>
      <c r="AD1577" s="1"/>
    </row>
    <row r="1578" spans="17:30">
      <c r="Q1578" s="6">
        <v>1548</v>
      </c>
      <c r="R1578" s="7">
        <v>44215</v>
      </c>
      <c r="S1578" s="210">
        <v>4.25</v>
      </c>
      <c r="T1578" s="8">
        <v>1.0001180555555556</v>
      </c>
      <c r="U1578" s="98">
        <v>4.0343863535764468</v>
      </c>
      <c r="V1578" s="106">
        <v>29868.75725889509</v>
      </c>
      <c r="W1578" s="10">
        <v>0.91384994102781114</v>
      </c>
      <c r="X1578" s="420"/>
      <c r="Y1578" s="420"/>
      <c r="Z1578" s="1"/>
      <c r="AA1578" s="1"/>
      <c r="AB1578" s="1"/>
      <c r="AC1578" s="1"/>
      <c r="AD1578" s="1"/>
    </row>
    <row r="1579" spans="17:30">
      <c r="Q1579" s="6">
        <v>1549</v>
      </c>
      <c r="R1579" s="7">
        <v>44216</v>
      </c>
      <c r="S1579" s="210">
        <v>4.25</v>
      </c>
      <c r="T1579" s="8">
        <v>1.0001180555555556</v>
      </c>
      <c r="U1579" s="98">
        <v>4.0346238691157721</v>
      </c>
      <c r="V1579" s="106">
        <v>29871.163120575417</v>
      </c>
      <c r="W1579" s="10">
        <v>0.91414909909686148</v>
      </c>
      <c r="X1579" s="420"/>
      <c r="Y1579" s="420"/>
      <c r="Z1579" s="1"/>
      <c r="AA1579" s="1"/>
      <c r="AB1579" s="1"/>
      <c r="AC1579" s="1"/>
      <c r="AD1579" s="1"/>
    </row>
    <row r="1580" spans="17:30">
      <c r="Q1580" s="6">
        <v>1550</v>
      </c>
      <c r="R1580" s="7">
        <v>44217</v>
      </c>
      <c r="S1580" s="210">
        <v>4.25</v>
      </c>
      <c r="T1580" s="8">
        <v>1.0001180555555556</v>
      </c>
      <c r="U1580" s="98">
        <v>4.0348610787246386</v>
      </c>
      <c r="V1580" s="106">
        <v>29873.569176042522</v>
      </c>
      <c r="W1580" s="10">
        <v>0.91444787204064681</v>
      </c>
      <c r="X1580" s="420"/>
      <c r="Y1580" s="420"/>
      <c r="Z1580" s="1"/>
      <c r="AA1580" s="1"/>
      <c r="AB1580" s="1"/>
      <c r="AC1580" s="1"/>
      <c r="AD1580" s="1"/>
    </row>
    <row r="1581" spans="17:30">
      <c r="Q1581" s="6">
        <v>1551</v>
      </c>
      <c r="R1581" s="7">
        <v>44218</v>
      </c>
      <c r="S1581" s="210">
        <v>4.25</v>
      </c>
      <c r="T1581" s="8">
        <v>1.0001180555555556</v>
      </c>
      <c r="U1581" s="98">
        <v>4.0350979829937517</v>
      </c>
      <c r="V1581" s="106">
        <v>29875.975425312023</v>
      </c>
      <c r="W1581" s="10">
        <v>0.91474626060237263</v>
      </c>
      <c r="X1581" s="420"/>
      <c r="Y1581" s="420"/>
      <c r="Z1581" s="1"/>
      <c r="AA1581" s="1"/>
      <c r="AB1581" s="1"/>
      <c r="AC1581" s="1"/>
      <c r="AD1581" s="1"/>
    </row>
    <row r="1582" spans="17:30">
      <c r="Q1582" s="6">
        <v>1552</v>
      </c>
      <c r="R1582" s="7">
        <v>44219</v>
      </c>
      <c r="S1582" s="210">
        <v>4.25</v>
      </c>
      <c r="T1582" s="8">
        <v>1.0001180555555556</v>
      </c>
      <c r="U1582" s="98">
        <v>4.0353345825122844</v>
      </c>
      <c r="V1582" s="106">
        <v>29878.381868399527</v>
      </c>
      <c r="W1582" s="10">
        <v>0.91504426552331264</v>
      </c>
      <c r="X1582" s="420"/>
      <c r="Y1582" s="420"/>
      <c r="Z1582" s="1"/>
      <c r="AA1582" s="1"/>
      <c r="AB1582" s="1"/>
      <c r="AC1582" s="1"/>
      <c r="AD1582" s="1"/>
    </row>
    <row r="1583" spans="17:30">
      <c r="Q1583" s="6">
        <v>1553</v>
      </c>
      <c r="R1583" s="7">
        <v>44220</v>
      </c>
      <c r="S1583" s="210">
        <v>4.25</v>
      </c>
      <c r="T1583" s="8">
        <v>1.0001180555555556</v>
      </c>
      <c r="U1583" s="98">
        <v>4.0355708778679</v>
      </c>
      <c r="V1583" s="106">
        <v>29880.788505320648</v>
      </c>
      <c r="W1583" s="10">
        <v>0.91534188754291979</v>
      </c>
      <c r="X1583" s="420"/>
      <c r="Y1583" s="420"/>
      <c r="Z1583" s="1"/>
      <c r="AA1583" s="1"/>
      <c r="AB1583" s="1"/>
      <c r="AC1583" s="1"/>
      <c r="AD1583" s="1"/>
    </row>
    <row r="1584" spans="17:30">
      <c r="Q1584" s="6">
        <v>1554</v>
      </c>
      <c r="R1584" s="7">
        <v>44221</v>
      </c>
      <c r="S1584" s="210">
        <v>4.25</v>
      </c>
      <c r="T1584" s="8">
        <v>1.0001180555555556</v>
      </c>
      <c r="U1584" s="98">
        <v>4.0358068696467519</v>
      </c>
      <c r="V1584" s="106">
        <v>29883.195336090997</v>
      </c>
      <c r="W1584" s="10">
        <v>0.91563912739864861</v>
      </c>
      <c r="X1584" s="420"/>
      <c r="Y1584" s="420"/>
      <c r="Z1584" s="1"/>
      <c r="AA1584" s="1"/>
      <c r="AB1584" s="1"/>
      <c r="AC1584" s="1"/>
      <c r="AD1584" s="1"/>
    </row>
    <row r="1585" spans="17:30">
      <c r="Q1585" s="6">
        <v>1555</v>
      </c>
      <c r="R1585" s="7">
        <v>44222</v>
      </c>
      <c r="S1585" s="210">
        <v>4.25</v>
      </c>
      <c r="T1585" s="8">
        <v>1.0001180555555556</v>
      </c>
      <c r="U1585" s="98">
        <v>4.0360425584334836</v>
      </c>
      <c r="V1585" s="106">
        <v>29885.602360726192</v>
      </c>
      <c r="W1585" s="10">
        <v>0.91593598582613289</v>
      </c>
      <c r="X1585" s="420"/>
      <c r="Y1585" s="420"/>
      <c r="Z1585" s="1"/>
      <c r="AA1585" s="1"/>
      <c r="AB1585" s="1"/>
      <c r="AC1585" s="1"/>
      <c r="AD1585" s="1"/>
    </row>
    <row r="1586" spans="17:30">
      <c r="Q1586" s="6">
        <v>1556</v>
      </c>
      <c r="R1586" s="7">
        <v>44223</v>
      </c>
      <c r="S1586" s="210">
        <v>4.25</v>
      </c>
      <c r="T1586" s="8">
        <v>1.0001180555555556</v>
      </c>
      <c r="U1586" s="98">
        <v>4.0362779448112507</v>
      </c>
      <c r="V1586" s="106">
        <v>29888.00957924184</v>
      </c>
      <c r="W1586" s="10">
        <v>0.91623246355909682</v>
      </c>
      <c r="X1586" s="420"/>
      <c r="Y1586" s="420"/>
      <c r="Z1586" s="1"/>
      <c r="AA1586" s="1"/>
      <c r="AB1586" s="1"/>
      <c r="AC1586" s="1"/>
      <c r="AD1586" s="1"/>
    </row>
    <row r="1587" spans="17:30">
      <c r="Q1587" s="6">
        <v>1557</v>
      </c>
      <c r="R1587" s="7">
        <v>44224</v>
      </c>
      <c r="S1587" s="210">
        <v>4.25</v>
      </c>
      <c r="T1587" s="8">
        <v>1.0001180555555556</v>
      </c>
      <c r="U1587" s="98">
        <v>4.0365130293616991</v>
      </c>
      <c r="V1587" s="106">
        <v>29890.416991653565</v>
      </c>
      <c r="W1587" s="10">
        <v>0.91652856132937721</v>
      </c>
      <c r="X1587" s="420"/>
      <c r="Y1587" s="420"/>
      <c r="Z1587" s="1"/>
      <c r="AA1587" s="1"/>
      <c r="AB1587" s="1"/>
      <c r="AC1587" s="1"/>
      <c r="AD1587" s="1"/>
    </row>
    <row r="1588" spans="17:30">
      <c r="Q1588" s="6">
        <v>1558</v>
      </c>
      <c r="R1588" s="7">
        <v>44225</v>
      </c>
      <c r="S1588" s="210">
        <v>4.25</v>
      </c>
      <c r="T1588" s="8">
        <v>1.0001180555555556</v>
      </c>
      <c r="U1588" s="98">
        <v>4.0367478126649869</v>
      </c>
      <c r="V1588" s="106">
        <v>29892.824597976982</v>
      </c>
      <c r="W1588" s="10">
        <v>0.9168242798669235</v>
      </c>
      <c r="X1588" s="420"/>
      <c r="Y1588" s="420"/>
      <c r="Z1588" s="1"/>
      <c r="AA1588" s="1"/>
      <c r="AB1588" s="1"/>
      <c r="AC1588" s="1"/>
      <c r="AD1588" s="1"/>
    </row>
    <row r="1589" spans="17:30">
      <c r="Q1589" s="6">
        <v>1559</v>
      </c>
      <c r="R1589" s="7">
        <v>44226</v>
      </c>
      <c r="S1589" s="210">
        <v>4.25</v>
      </c>
      <c r="T1589" s="8">
        <v>1.0001180555555556</v>
      </c>
      <c r="U1589" s="98">
        <v>4.0369822952997847</v>
      </c>
      <c r="V1589" s="106">
        <v>29895.232398227705</v>
      </c>
      <c r="W1589" s="10">
        <v>0.91711961989981994</v>
      </c>
      <c r="X1589" s="420"/>
      <c r="Y1589" s="420"/>
      <c r="Z1589" s="1"/>
      <c r="AA1589" s="1"/>
      <c r="AB1589" s="1"/>
      <c r="AC1589" s="1"/>
      <c r="AD1589" s="1"/>
    </row>
    <row r="1590" spans="17:30">
      <c r="Q1590" s="6">
        <v>1560</v>
      </c>
      <c r="R1590" s="7">
        <v>44227</v>
      </c>
      <c r="S1590" s="210">
        <v>4.25</v>
      </c>
      <c r="T1590" s="8">
        <v>1.0001180555555556</v>
      </c>
      <c r="U1590" s="98">
        <v>4.0372164778432973</v>
      </c>
      <c r="V1590" s="106">
        <v>29897.640392421366</v>
      </c>
      <c r="W1590" s="10">
        <v>0.91741458215433003</v>
      </c>
      <c r="X1590" s="420"/>
      <c r="Y1590" s="420"/>
      <c r="Z1590" s="1"/>
      <c r="AA1590" s="1"/>
      <c r="AB1590" s="1"/>
      <c r="AC1590" s="1"/>
      <c r="AD1590" s="1"/>
    </row>
    <row r="1591" spans="17:30">
      <c r="Q1591" s="6">
        <v>1561</v>
      </c>
      <c r="R1591" s="7">
        <v>44228</v>
      </c>
      <c r="S1591" s="210">
        <v>4.25</v>
      </c>
      <c r="T1591" s="8">
        <v>1.0001180555555556</v>
      </c>
      <c r="U1591" s="98">
        <v>4.037450360871242</v>
      </c>
      <c r="V1591" s="106">
        <v>29900.048580573581</v>
      </c>
      <c r="W1591" s="10">
        <v>0.91770916735482988</v>
      </c>
      <c r="X1591" s="420"/>
      <c r="Y1591" s="420"/>
      <c r="Z1591" s="1"/>
      <c r="AA1591" s="1"/>
      <c r="AB1591" s="1"/>
      <c r="AC1591" s="1"/>
      <c r="AD1591" s="1"/>
    </row>
    <row r="1592" spans="17:30">
      <c r="Q1592" s="6">
        <v>1562</v>
      </c>
      <c r="R1592" s="7">
        <v>44229</v>
      </c>
      <c r="S1592" s="210">
        <v>4.25</v>
      </c>
      <c r="T1592" s="8">
        <v>1.0001180555555556</v>
      </c>
      <c r="U1592" s="98">
        <v>4.0376839449578483</v>
      </c>
      <c r="V1592" s="106">
        <v>29902.456962699969</v>
      </c>
      <c r="W1592" s="10">
        <v>0.91800337622383044</v>
      </c>
      <c r="X1592" s="420"/>
      <c r="Y1592" s="420"/>
      <c r="Z1592" s="1"/>
      <c r="AA1592" s="1"/>
      <c r="AB1592" s="1"/>
      <c r="AC1592" s="1"/>
      <c r="AD1592" s="1"/>
    </row>
    <row r="1593" spans="17:30">
      <c r="Q1593" s="6">
        <v>1563</v>
      </c>
      <c r="R1593" s="7">
        <v>44230</v>
      </c>
      <c r="S1593" s="210">
        <v>4.25</v>
      </c>
      <c r="T1593" s="8">
        <v>1.0001180555555556</v>
      </c>
      <c r="U1593" s="98">
        <v>4.0379172306759026</v>
      </c>
      <c r="V1593" s="106">
        <v>29904.865538816161</v>
      </c>
      <c r="W1593" s="10">
        <v>0.91829720948202187</v>
      </c>
      <c r="X1593" s="420"/>
      <c r="Y1593" s="420"/>
      <c r="Z1593" s="1"/>
      <c r="AA1593" s="1"/>
      <c r="AB1593" s="1"/>
      <c r="AC1593" s="1"/>
      <c r="AD1593" s="1"/>
    </row>
    <row r="1594" spans="17:30">
      <c r="Q1594" s="6">
        <v>1564</v>
      </c>
      <c r="R1594" s="7">
        <v>44231</v>
      </c>
      <c r="S1594" s="210">
        <v>4.25</v>
      </c>
      <c r="T1594" s="8">
        <v>1.0001180555555556</v>
      </c>
      <c r="U1594" s="98">
        <v>4.0381502185967255</v>
      </c>
      <c r="V1594" s="106">
        <v>29907.274308937776</v>
      </c>
      <c r="W1594" s="10">
        <v>0.91859066784825139</v>
      </c>
      <c r="X1594" s="420"/>
      <c r="Y1594" s="420"/>
      <c r="Z1594" s="1"/>
      <c r="AA1594" s="1"/>
      <c r="AB1594" s="1"/>
      <c r="AC1594" s="1"/>
      <c r="AD1594" s="1"/>
    </row>
    <row r="1595" spans="17:30">
      <c r="Q1595" s="6">
        <v>1565</v>
      </c>
      <c r="R1595" s="7">
        <v>44232</v>
      </c>
      <c r="S1595" s="210">
        <v>4.25</v>
      </c>
      <c r="T1595" s="8">
        <v>1.0001180555555556</v>
      </c>
      <c r="U1595" s="98">
        <v>4.0383829092901724</v>
      </c>
      <c r="V1595" s="106">
        <v>29909.683273080449</v>
      </c>
      <c r="W1595" s="10">
        <v>0.91888375203950101</v>
      </c>
      <c r="X1595" s="420"/>
      <c r="Y1595" s="420"/>
      <c r="Z1595" s="1"/>
      <c r="AA1595" s="1"/>
      <c r="AB1595" s="1"/>
      <c r="AC1595" s="1"/>
      <c r="AD1595" s="1"/>
    </row>
    <row r="1596" spans="17:30">
      <c r="Q1596" s="6">
        <v>1566</v>
      </c>
      <c r="R1596" s="7">
        <v>44233</v>
      </c>
      <c r="S1596" s="210">
        <v>4.25</v>
      </c>
      <c r="T1596" s="8">
        <v>1.0001180555555556</v>
      </c>
      <c r="U1596" s="98">
        <v>4.0386153033246552</v>
      </c>
      <c r="V1596" s="106">
        <v>29912.0924312598</v>
      </c>
      <c r="W1596" s="10">
        <v>0.91917646277099863</v>
      </c>
      <c r="X1596" s="420"/>
      <c r="Y1596" s="420"/>
      <c r="Z1596" s="1"/>
      <c r="AA1596" s="1"/>
      <c r="AB1596" s="1"/>
      <c r="AC1596" s="1"/>
      <c r="AD1596" s="1"/>
    </row>
    <row r="1597" spans="17:30">
      <c r="Q1597" s="6">
        <v>1567</v>
      </c>
      <c r="R1597" s="7">
        <v>44234</v>
      </c>
      <c r="S1597" s="210">
        <v>4.25</v>
      </c>
      <c r="T1597" s="8">
        <v>1.0001180555555556</v>
      </c>
      <c r="U1597" s="98">
        <v>4.0388474012671205</v>
      </c>
      <c r="V1597" s="106">
        <v>29914.501783491458</v>
      </c>
      <c r="W1597" s="10">
        <v>0.91946880075606252</v>
      </c>
      <c r="X1597" s="420"/>
      <c r="Y1597" s="420"/>
      <c r="Z1597" s="1"/>
      <c r="AA1597" s="1"/>
      <c r="AB1597" s="1"/>
      <c r="AC1597" s="1"/>
      <c r="AD1597" s="1"/>
    </row>
    <row r="1598" spans="17:30">
      <c r="Q1598" s="6">
        <v>1568</v>
      </c>
      <c r="R1598" s="7">
        <v>44235</v>
      </c>
      <c r="S1598" s="210">
        <v>4.25</v>
      </c>
      <c r="T1598" s="8">
        <v>1.0001180555555556</v>
      </c>
      <c r="U1598" s="98">
        <v>4.0390792036830714</v>
      </c>
      <c r="V1598" s="106">
        <v>29916.911329791059</v>
      </c>
      <c r="W1598" s="10">
        <v>0.91976076670625684</v>
      </c>
      <c r="X1598" s="420"/>
      <c r="Y1598" s="420"/>
      <c r="Z1598" s="1"/>
      <c r="AA1598" s="1"/>
      <c r="AB1598" s="1"/>
      <c r="AC1598" s="1"/>
      <c r="AD1598" s="1"/>
    </row>
    <row r="1599" spans="17:30">
      <c r="Q1599" s="6">
        <v>1569</v>
      </c>
      <c r="R1599" s="7">
        <v>44236</v>
      </c>
      <c r="S1599" s="210">
        <v>4.25</v>
      </c>
      <c r="T1599" s="8">
        <v>1.0001180555555556</v>
      </c>
      <c r="U1599" s="98">
        <v>4.0393107111366122</v>
      </c>
      <c r="V1599" s="106">
        <v>29919.321070174236</v>
      </c>
      <c r="W1599" s="10">
        <v>0.92005236133132495</v>
      </c>
      <c r="X1599" s="420"/>
      <c r="Y1599" s="420"/>
      <c r="Z1599" s="1"/>
      <c r="AA1599" s="1"/>
      <c r="AB1599" s="1"/>
      <c r="AC1599" s="1"/>
      <c r="AD1599" s="1"/>
    </row>
    <row r="1600" spans="17:30">
      <c r="Q1600" s="6">
        <v>1570</v>
      </c>
      <c r="R1600" s="7">
        <v>44237</v>
      </c>
      <c r="S1600" s="210">
        <v>4.25</v>
      </c>
      <c r="T1600" s="8">
        <v>1.0001180555555556</v>
      </c>
      <c r="U1600" s="98">
        <v>4.0395419241903596</v>
      </c>
      <c r="V1600" s="106">
        <v>29921.989223435496</v>
      </c>
      <c r="W1600" s="10">
        <v>0.9201411106543933</v>
      </c>
      <c r="X1600" s="420"/>
      <c r="Y1600" s="420"/>
      <c r="Z1600" s="1"/>
      <c r="AA1600" s="1"/>
      <c r="AB1600" s="1"/>
      <c r="AC1600" s="1"/>
      <c r="AD1600" s="1"/>
    </row>
    <row r="1601" spans="17:30">
      <c r="Q1601" s="6">
        <v>1571</v>
      </c>
      <c r="R1601" s="7">
        <v>44238</v>
      </c>
      <c r="S1601" s="210">
        <v>4.25</v>
      </c>
      <c r="T1601" s="8">
        <v>1.0001180555555556</v>
      </c>
      <c r="U1601" s="98">
        <v>4.0397728434055313</v>
      </c>
      <c r="V1601" s="106">
        <v>29924.657614638047</v>
      </c>
      <c r="W1601" s="10">
        <v>0.92022974707084426</v>
      </c>
      <c r="X1601" s="420"/>
      <c r="Y1601" s="420"/>
      <c r="Z1601" s="1"/>
      <c r="AA1601" s="1"/>
      <c r="AB1601" s="1"/>
      <c r="AC1601" s="1"/>
      <c r="AD1601" s="1"/>
    </row>
    <row r="1602" spans="17:30">
      <c r="Q1602" s="6">
        <v>1572</v>
      </c>
      <c r="R1602" s="7">
        <v>44239</v>
      </c>
      <c r="S1602" s="210">
        <v>4.25</v>
      </c>
      <c r="T1602" s="8">
        <v>1.0001180555555556</v>
      </c>
      <c r="U1602" s="98">
        <v>4.0400034693419018</v>
      </c>
      <c r="V1602" s="106">
        <v>29927.326243803102</v>
      </c>
      <c r="W1602" s="10">
        <v>0.92031827079601669</v>
      </c>
      <c r="X1602" s="420"/>
      <c r="Y1602" s="420"/>
      <c r="Z1602" s="1"/>
      <c r="AA1602" s="1"/>
      <c r="AB1602" s="1"/>
      <c r="AC1602" s="1"/>
      <c r="AD1602" s="1"/>
    </row>
    <row r="1603" spans="17:30">
      <c r="Q1603" s="6">
        <v>1573</v>
      </c>
      <c r="R1603" s="7">
        <v>44240</v>
      </c>
      <c r="S1603" s="210">
        <v>4.25</v>
      </c>
      <c r="T1603" s="8">
        <v>1.0001180555555556</v>
      </c>
      <c r="U1603" s="98">
        <v>4.0402338025578466</v>
      </c>
      <c r="V1603" s="106">
        <v>29929.995110951892</v>
      </c>
      <c r="W1603" s="10">
        <v>0.92040668204469434</v>
      </c>
      <c r="X1603" s="420"/>
      <c r="Y1603" s="420"/>
      <c r="Z1603" s="1"/>
      <c r="AA1603" s="1"/>
      <c r="AB1603" s="1"/>
      <c r="AC1603" s="1"/>
      <c r="AD1603" s="1"/>
    </row>
    <row r="1604" spans="17:30">
      <c r="Q1604" s="6">
        <v>1574</v>
      </c>
      <c r="R1604" s="7">
        <v>44241</v>
      </c>
      <c r="S1604" s="210">
        <v>4.25</v>
      </c>
      <c r="T1604" s="8">
        <v>1.0001180555555556</v>
      </c>
      <c r="U1604" s="98">
        <v>4.040463843610298</v>
      </c>
      <c r="V1604" s="106">
        <v>29932.66421610563</v>
      </c>
      <c r="W1604" s="10">
        <v>0.92049498103108363</v>
      </c>
      <c r="X1604" s="420"/>
      <c r="Y1604" s="420"/>
      <c r="Z1604" s="1"/>
      <c r="AA1604" s="1"/>
      <c r="AB1604" s="1"/>
      <c r="AC1604" s="1"/>
      <c r="AD1604" s="1"/>
    </row>
    <row r="1605" spans="17:30">
      <c r="Q1605" s="6">
        <v>1575</v>
      </c>
      <c r="R1605" s="7">
        <v>44242</v>
      </c>
      <c r="S1605" s="210">
        <v>4.25</v>
      </c>
      <c r="T1605" s="8">
        <v>1.0001180555555556</v>
      </c>
      <c r="U1605" s="98">
        <v>4.0406935930547894</v>
      </c>
      <c r="V1605" s="106">
        <v>29935.333559285551</v>
      </c>
      <c r="W1605" s="10">
        <v>0.92058316796890249</v>
      </c>
      <c r="X1605" s="420"/>
      <c r="Y1605" s="420"/>
      <c r="Z1605" s="1"/>
      <c r="AA1605" s="1"/>
      <c r="AB1605" s="1"/>
      <c r="AC1605" s="1"/>
      <c r="AD1605" s="1"/>
    </row>
    <row r="1606" spans="17:30">
      <c r="Q1606" s="6">
        <v>1576</v>
      </c>
      <c r="R1606" s="7">
        <v>44243</v>
      </c>
      <c r="S1606" s="210">
        <v>4.25</v>
      </c>
      <c r="T1606" s="8">
        <v>1.0001180555555556</v>
      </c>
      <c r="U1606" s="98">
        <v>4.0409230514454553</v>
      </c>
      <c r="V1606" s="106">
        <v>29938.003140512872</v>
      </c>
      <c r="W1606" s="10">
        <v>0.92067124307124715</v>
      </c>
      <c r="X1606" s="420"/>
      <c r="Y1606" s="420"/>
      <c r="Z1606" s="1"/>
      <c r="AA1606" s="1"/>
      <c r="AB1606" s="1"/>
      <c r="AC1606" s="1"/>
      <c r="AD1606" s="1"/>
    </row>
    <row r="1607" spans="17:30">
      <c r="Q1607" s="6">
        <v>1577</v>
      </c>
      <c r="R1607" s="7">
        <v>44244</v>
      </c>
      <c r="S1607" s="210">
        <v>4.25</v>
      </c>
      <c r="T1607" s="8">
        <v>1.0001180555555556</v>
      </c>
      <c r="U1607" s="98">
        <v>4.0411522193350313</v>
      </c>
      <c r="V1607" s="106">
        <v>29940.672959808824</v>
      </c>
      <c r="W1607" s="10">
        <v>0.9207592065507697</v>
      </c>
      <c r="X1607" s="420"/>
      <c r="Y1607" s="420"/>
      <c r="Z1607" s="1"/>
      <c r="AA1607" s="1"/>
      <c r="AB1607" s="1"/>
      <c r="AC1607" s="1"/>
      <c r="AD1607" s="1"/>
    </row>
    <row r="1608" spans="17:30">
      <c r="Q1608" s="6">
        <v>1578</v>
      </c>
      <c r="R1608" s="7">
        <v>44245</v>
      </c>
      <c r="S1608" s="210">
        <v>4.25</v>
      </c>
      <c r="T1608" s="8">
        <v>1.0001180555555556</v>
      </c>
      <c r="U1608" s="98">
        <v>4.0413810972748321</v>
      </c>
      <c r="V1608" s="106">
        <v>29943.343017194642</v>
      </c>
      <c r="W1608" s="10">
        <v>0.92084705861952276</v>
      </c>
      <c r="X1608" s="420"/>
      <c r="Y1608" s="420"/>
      <c r="Z1608" s="1"/>
      <c r="AA1608" s="1"/>
      <c r="AB1608" s="1"/>
      <c r="AC1608" s="1"/>
      <c r="AD1608" s="1"/>
    </row>
    <row r="1609" spans="17:30">
      <c r="Q1609" s="6">
        <v>1579</v>
      </c>
      <c r="R1609" s="7">
        <v>44246</v>
      </c>
      <c r="S1609" s="210">
        <v>4.25</v>
      </c>
      <c r="T1609" s="8">
        <v>1.0001180555555556</v>
      </c>
      <c r="U1609" s="98">
        <v>4.0416096858147732</v>
      </c>
      <c r="V1609" s="106">
        <v>29946.013312691557</v>
      </c>
      <c r="W1609" s="10">
        <v>0.92093479948902601</v>
      </c>
      <c r="X1609" s="420"/>
      <c r="Y1609" s="420"/>
      <c r="Z1609" s="1"/>
      <c r="AA1609" s="1"/>
      <c r="AB1609" s="1"/>
      <c r="AC1609" s="1"/>
      <c r="AD1609" s="1"/>
    </row>
    <row r="1610" spans="17:30">
      <c r="Q1610" s="6">
        <v>1580</v>
      </c>
      <c r="R1610" s="7">
        <v>44247</v>
      </c>
      <c r="S1610" s="210">
        <v>4.25</v>
      </c>
      <c r="T1610" s="8">
        <v>1.0001180555555556</v>
      </c>
      <c r="U1610" s="98">
        <v>4.0418379855034159</v>
      </c>
      <c r="V1610" s="106">
        <v>29948.683846320797</v>
      </c>
      <c r="W1610" s="10">
        <v>0.92102242937026624</v>
      </c>
      <c r="X1610" s="420"/>
      <c r="Y1610" s="420"/>
      <c r="Z1610" s="1"/>
      <c r="AA1610" s="1"/>
      <c r="AB1610" s="1"/>
      <c r="AC1610" s="1"/>
      <c r="AD1610" s="1"/>
    </row>
    <row r="1611" spans="17:30">
      <c r="Q1611" s="6">
        <v>1581</v>
      </c>
      <c r="R1611" s="7">
        <v>44248</v>
      </c>
      <c r="S1611" s="210">
        <v>4.25</v>
      </c>
      <c r="T1611" s="8">
        <v>1.0001180555555556</v>
      </c>
      <c r="U1611" s="98">
        <v>4.0420659968879002</v>
      </c>
      <c r="V1611" s="106">
        <v>29951.354618103607</v>
      </c>
      <c r="W1611" s="10">
        <v>0.92110994847371952</v>
      </c>
      <c r="X1611" s="420"/>
      <c r="Y1611" s="420"/>
      <c r="Z1611" s="1"/>
      <c r="AA1611" s="1"/>
      <c r="AB1611" s="1"/>
      <c r="AC1611" s="1"/>
      <c r="AD1611" s="1"/>
    </row>
    <row r="1612" spans="17:30">
      <c r="Q1612" s="6">
        <v>1582</v>
      </c>
      <c r="R1612" s="7">
        <v>44249</v>
      </c>
      <c r="S1612" s="210">
        <v>4.25</v>
      </c>
      <c r="T1612" s="8">
        <v>1.0001180555555556</v>
      </c>
      <c r="U1612" s="98">
        <v>4.0422937205140119</v>
      </c>
      <c r="V1612" s="106">
        <v>29954.025628061219</v>
      </c>
      <c r="W1612" s="10">
        <v>0.92119735700928462</v>
      </c>
      <c r="X1612" s="420"/>
      <c r="Y1612" s="420"/>
      <c r="Z1612" s="1"/>
      <c r="AA1612" s="1"/>
      <c r="AB1612" s="1"/>
      <c r="AC1612" s="1"/>
      <c r="AD1612" s="1"/>
    </row>
    <row r="1613" spans="17:30">
      <c r="Q1613" s="6">
        <v>1583</v>
      </c>
      <c r="R1613" s="7">
        <v>44250</v>
      </c>
      <c r="S1613" s="210">
        <v>4.25</v>
      </c>
      <c r="T1613" s="8">
        <v>1.0001180555555556</v>
      </c>
      <c r="U1613" s="98">
        <v>4.0425211569261599</v>
      </c>
      <c r="V1613" s="106">
        <v>29956.696876214883</v>
      </c>
      <c r="W1613" s="10">
        <v>0.92128465518641622</v>
      </c>
      <c r="X1613" s="420"/>
      <c r="Y1613" s="420"/>
      <c r="Z1613" s="1"/>
      <c r="AA1613" s="1"/>
      <c r="AB1613" s="1"/>
      <c r="AC1613" s="1"/>
      <c r="AD1613" s="1"/>
    </row>
    <row r="1614" spans="17:30">
      <c r="Q1614" s="6">
        <v>1584</v>
      </c>
      <c r="R1614" s="7">
        <v>44251</v>
      </c>
      <c r="S1614" s="210">
        <v>4.25</v>
      </c>
      <c r="T1614" s="8">
        <v>1.0001180555555556</v>
      </c>
      <c r="U1614" s="98">
        <v>4.0427483066673542</v>
      </c>
      <c r="V1614" s="106">
        <v>29959.368362585825</v>
      </c>
      <c r="W1614" s="10">
        <v>0.92137184321392507</v>
      </c>
      <c r="X1614" s="420"/>
      <c r="Y1614" s="420"/>
      <c r="Z1614" s="1"/>
      <c r="AA1614" s="1"/>
      <c r="AB1614" s="1"/>
      <c r="AC1614" s="1"/>
      <c r="AD1614" s="1"/>
    </row>
    <row r="1615" spans="17:30">
      <c r="Q1615" s="6">
        <v>1585</v>
      </c>
      <c r="R1615" s="7">
        <v>44252</v>
      </c>
      <c r="S1615" s="210">
        <v>4.25</v>
      </c>
      <c r="T1615" s="8">
        <v>1.0001180555555556</v>
      </c>
      <c r="U1615" s="98">
        <v>4.0429751702792505</v>
      </c>
      <c r="V1615" s="106">
        <v>29962.040087195299</v>
      </c>
      <c r="W1615" s="10">
        <v>0.92145892130020002</v>
      </c>
      <c r="X1615" s="420"/>
      <c r="Y1615" s="420"/>
      <c r="Z1615" s="1"/>
      <c r="AA1615" s="1"/>
      <c r="AB1615" s="1"/>
      <c r="AC1615" s="1"/>
      <c r="AD1615" s="1"/>
    </row>
    <row r="1616" spans="17:30">
      <c r="Q1616" s="6">
        <v>1586</v>
      </c>
      <c r="R1616" s="7">
        <v>44253</v>
      </c>
      <c r="S1616" s="210">
        <v>4.25</v>
      </c>
      <c r="T1616" s="8">
        <v>1.0001180555555556</v>
      </c>
      <c r="U1616" s="98">
        <v>4.0432017483021498</v>
      </c>
      <c r="V1616" s="106">
        <v>29964.712050064547</v>
      </c>
      <c r="W1616" s="10">
        <v>0.92154588965303041</v>
      </c>
      <c r="X1616" s="420"/>
      <c r="Y1616" s="420"/>
      <c r="Z1616" s="1"/>
      <c r="AA1616" s="1"/>
      <c r="AB1616" s="1"/>
      <c r="AC1616" s="1"/>
      <c r="AD1616" s="1"/>
    </row>
    <row r="1617" spans="17:30">
      <c r="Q1617" s="6">
        <v>1587</v>
      </c>
      <c r="R1617" s="7">
        <v>44254</v>
      </c>
      <c r="S1617" s="210">
        <v>4.25</v>
      </c>
      <c r="T1617" s="8">
        <v>1.0001180555555556</v>
      </c>
      <c r="U1617" s="98">
        <v>4.0434280412749768</v>
      </c>
      <c r="V1617" s="106">
        <v>29967.384251214826</v>
      </c>
      <c r="W1617" s="10">
        <v>0.9216327484796949</v>
      </c>
      <c r="X1617" s="420"/>
      <c r="Y1617" s="420"/>
      <c r="Z1617" s="1"/>
      <c r="AA1617" s="1"/>
      <c r="AB1617" s="1"/>
      <c r="AC1617" s="1"/>
      <c r="AD1617" s="1"/>
    </row>
    <row r="1618" spans="17:30">
      <c r="Q1618" s="6">
        <v>1588</v>
      </c>
      <c r="R1618" s="7">
        <v>44255</v>
      </c>
      <c r="S1618" s="210">
        <v>4.25</v>
      </c>
      <c r="T1618" s="8">
        <v>1.0001180555555556</v>
      </c>
      <c r="U1618" s="98">
        <v>4.0436540497353235</v>
      </c>
      <c r="V1618" s="106">
        <v>29970.056690667367</v>
      </c>
      <c r="W1618" s="10">
        <v>0.92171949798700581</v>
      </c>
      <c r="X1618" s="420"/>
      <c r="Y1618" s="420"/>
      <c r="Z1618" s="1"/>
      <c r="AA1618" s="1"/>
      <c r="AB1618" s="1"/>
      <c r="AC1618" s="1"/>
      <c r="AD1618" s="1"/>
    </row>
    <row r="1619" spans="17:30">
      <c r="Q1619" s="6">
        <v>1589</v>
      </c>
      <c r="R1619" s="7">
        <v>44256</v>
      </c>
      <c r="S1619" s="210">
        <v>4.25</v>
      </c>
      <c r="T1619" s="8">
        <v>1.0001180555555556</v>
      </c>
      <c r="U1619" s="98">
        <v>4.0438797742194055</v>
      </c>
      <c r="V1619" s="106">
        <v>29972.729368443437</v>
      </c>
      <c r="W1619" s="10">
        <v>0.92180613838117598</v>
      </c>
      <c r="X1619" s="420"/>
      <c r="Y1619" s="420"/>
      <c r="Z1619" s="1"/>
      <c r="AA1619" s="1"/>
      <c r="AB1619" s="1"/>
      <c r="AC1619" s="1"/>
      <c r="AD1619" s="1"/>
    </row>
    <row r="1620" spans="17:30">
      <c r="Q1620" s="6">
        <v>1590</v>
      </c>
      <c r="R1620" s="7">
        <v>44257</v>
      </c>
      <c r="S1620" s="210">
        <v>4.25</v>
      </c>
      <c r="T1620" s="8">
        <v>1.0001180555555556</v>
      </c>
      <c r="U1620" s="98">
        <v>4.044105215262106</v>
      </c>
      <c r="V1620" s="106">
        <v>29975.40228456429</v>
      </c>
      <c r="W1620" s="10">
        <v>0.92189266986797413</v>
      </c>
      <c r="X1620" s="420"/>
      <c r="Y1620" s="420"/>
      <c r="Z1620" s="1"/>
      <c r="AA1620" s="1"/>
      <c r="AB1620" s="1"/>
      <c r="AC1620" s="1"/>
      <c r="AD1620" s="1"/>
    </row>
    <row r="1621" spans="17:30">
      <c r="Q1621" s="6">
        <v>1591</v>
      </c>
      <c r="R1621" s="7">
        <v>44258</v>
      </c>
      <c r="S1621" s="210">
        <v>4.25</v>
      </c>
      <c r="T1621" s="8">
        <v>1.0001180555555556</v>
      </c>
      <c r="U1621" s="98">
        <v>4.0443303733969538</v>
      </c>
      <c r="V1621" s="106">
        <v>29978.075439051168</v>
      </c>
      <c r="W1621" s="10">
        <v>0.9219790926525917</v>
      </c>
      <c r="X1621" s="420"/>
      <c r="Y1621" s="420"/>
      <c r="Z1621" s="1"/>
      <c r="AA1621" s="1"/>
      <c r="AB1621" s="1"/>
      <c r="AC1621" s="1"/>
      <c r="AD1621" s="1"/>
    </row>
    <row r="1622" spans="17:30">
      <c r="Q1622" s="6">
        <v>1592</v>
      </c>
      <c r="R1622" s="7">
        <v>44259</v>
      </c>
      <c r="S1622" s="210">
        <v>4.25</v>
      </c>
      <c r="T1622" s="8">
        <v>1.0001180555555556</v>
      </c>
      <c r="U1622" s="98">
        <v>4.0445552491561676</v>
      </c>
      <c r="V1622" s="106">
        <v>29980.748831925339</v>
      </c>
      <c r="W1622" s="10">
        <v>0.9220654069397316</v>
      </c>
      <c r="X1622" s="420"/>
      <c r="Y1622" s="420"/>
      <c r="Z1622" s="1"/>
      <c r="AA1622" s="1"/>
      <c r="AB1622" s="1"/>
      <c r="AC1622" s="1"/>
      <c r="AD1622" s="1"/>
    </row>
    <row r="1623" spans="17:30">
      <c r="Q1623" s="6">
        <v>1593</v>
      </c>
      <c r="R1623" s="7">
        <v>44260</v>
      </c>
      <c r="S1623" s="210">
        <v>4.25</v>
      </c>
      <c r="T1623" s="8">
        <v>1.0001180555555556</v>
      </c>
      <c r="U1623" s="98">
        <v>4.0447798430706117</v>
      </c>
      <c r="V1623" s="106">
        <v>29983.422463208055</v>
      </c>
      <c r="W1623" s="10">
        <v>0.92215161293360826</v>
      </c>
      <c r="X1623" s="420"/>
      <c r="Y1623" s="420"/>
      <c r="Z1623" s="1"/>
      <c r="AA1623" s="1"/>
      <c r="AB1623" s="1"/>
      <c r="AC1623" s="1"/>
      <c r="AD1623" s="1"/>
    </row>
    <row r="1624" spans="17:30">
      <c r="Q1624" s="6">
        <v>1594</v>
      </c>
      <c r="R1624" s="7">
        <v>44261</v>
      </c>
      <c r="S1624" s="210">
        <v>4.25</v>
      </c>
      <c r="T1624" s="8">
        <v>1.0001180555555556</v>
      </c>
      <c r="U1624" s="98">
        <v>4.045004155669818</v>
      </c>
      <c r="V1624" s="106">
        <v>29986.096332920592</v>
      </c>
      <c r="W1624" s="10">
        <v>0.92223771083783657</v>
      </c>
      <c r="X1624" s="420"/>
      <c r="Y1624" s="420"/>
      <c r="Z1624" s="1"/>
      <c r="AA1624" s="1"/>
      <c r="AB1624" s="1"/>
      <c r="AC1624" s="1"/>
      <c r="AD1624" s="1"/>
    </row>
    <row r="1625" spans="17:30">
      <c r="Q1625" s="6">
        <v>1595</v>
      </c>
      <c r="R1625" s="7">
        <v>44262</v>
      </c>
      <c r="S1625" s="210">
        <v>4.25</v>
      </c>
      <c r="T1625" s="8">
        <v>1.0001180555555556</v>
      </c>
      <c r="U1625" s="98">
        <v>4.0452281874820084</v>
      </c>
      <c r="V1625" s="106">
        <v>29988.770441084187</v>
      </c>
      <c r="W1625" s="10">
        <v>0.92232370085567617</v>
      </c>
      <c r="X1625" s="420"/>
      <c r="Y1625" s="420"/>
      <c r="Z1625" s="1"/>
      <c r="AA1625" s="1"/>
      <c r="AB1625" s="1"/>
      <c r="AC1625" s="1"/>
      <c r="AD1625" s="1"/>
    </row>
    <row r="1626" spans="17:30">
      <c r="Q1626" s="6">
        <v>1596</v>
      </c>
      <c r="R1626" s="7">
        <v>44263</v>
      </c>
      <c r="S1626" s="210">
        <v>4.25</v>
      </c>
      <c r="T1626" s="8">
        <v>1.0001180555555556</v>
      </c>
      <c r="U1626" s="98">
        <v>4.0454519390340504</v>
      </c>
      <c r="V1626" s="106">
        <v>29991.444787720124</v>
      </c>
      <c r="W1626" s="10">
        <v>0.92240958318969835</v>
      </c>
      <c r="X1626" s="420"/>
      <c r="Y1626" s="420"/>
      <c r="Z1626" s="1"/>
      <c r="AA1626" s="1"/>
      <c r="AB1626" s="1"/>
      <c r="AC1626" s="1"/>
      <c r="AD1626" s="1"/>
    </row>
    <row r="1627" spans="17:30">
      <c r="Q1627" s="6">
        <v>1597</v>
      </c>
      <c r="R1627" s="7">
        <v>44264</v>
      </c>
      <c r="S1627" s="210">
        <v>4.25</v>
      </c>
      <c r="T1627" s="8">
        <v>1.0001180555555556</v>
      </c>
      <c r="U1627" s="98">
        <v>4.0456754108515236</v>
      </c>
      <c r="V1627" s="106">
        <v>29994.119372849669</v>
      </c>
      <c r="W1627" s="10">
        <v>0.92249535804209692</v>
      </c>
      <c r="X1627" s="420"/>
      <c r="Y1627" s="420"/>
      <c r="Z1627" s="1"/>
      <c r="AA1627" s="1"/>
      <c r="AB1627" s="1"/>
      <c r="AC1627" s="1"/>
      <c r="AD1627" s="1"/>
    </row>
    <row r="1628" spans="17:30">
      <c r="Q1628" s="6">
        <v>1598</v>
      </c>
      <c r="R1628" s="7">
        <v>44265</v>
      </c>
      <c r="S1628" s="210">
        <v>4.25</v>
      </c>
      <c r="T1628" s="8">
        <v>1.0001180555555556</v>
      </c>
      <c r="U1628" s="98">
        <v>4.0458986034586975</v>
      </c>
      <c r="V1628" s="106">
        <v>29996.535332168252</v>
      </c>
      <c r="W1628" s="10">
        <v>0.92277995736351759</v>
      </c>
      <c r="X1628" s="420"/>
      <c r="Y1628" s="420"/>
      <c r="Z1628" s="1"/>
      <c r="AA1628" s="1"/>
      <c r="AB1628" s="1"/>
      <c r="AC1628" s="1"/>
      <c r="AD1628" s="1"/>
    </row>
    <row r="1629" spans="17:30">
      <c r="Q1629" s="6">
        <v>1599</v>
      </c>
      <c r="R1629" s="7">
        <v>44266</v>
      </c>
      <c r="S1629" s="210">
        <v>4.25</v>
      </c>
      <c r="T1629" s="8">
        <v>1.0001180555555556</v>
      </c>
      <c r="U1629" s="98">
        <v>4.0461215173785092</v>
      </c>
      <c r="V1629" s="106">
        <v>29998.951486086968</v>
      </c>
      <c r="W1629" s="10">
        <v>0.92306420151437862</v>
      </c>
      <c r="X1629" s="420"/>
      <c r="Y1629" s="420"/>
      <c r="Z1629" s="1"/>
      <c r="AA1629" s="1"/>
      <c r="AB1629" s="1"/>
      <c r="AC1629" s="1"/>
      <c r="AD1629" s="1"/>
    </row>
    <row r="1630" spans="17:30">
      <c r="Q1630" s="6">
        <v>1600</v>
      </c>
      <c r="R1630" s="7">
        <v>44267</v>
      </c>
      <c r="S1630" s="210">
        <v>4.25</v>
      </c>
      <c r="T1630" s="8">
        <v>1.0001180555555556</v>
      </c>
      <c r="U1630" s="98">
        <v>4.0463441531326305</v>
      </c>
      <c r="V1630" s="106">
        <v>30001.36783462148</v>
      </c>
      <c r="W1630" s="10">
        <v>0.92334809115912631</v>
      </c>
      <c r="X1630" s="420"/>
      <c r="Y1630" s="420"/>
      <c r="Z1630" s="1"/>
      <c r="AA1630" s="1"/>
      <c r="AB1630" s="1"/>
      <c r="AC1630" s="1"/>
      <c r="AD1630" s="1"/>
    </row>
    <row r="1631" spans="17:30">
      <c r="Q1631" s="6">
        <v>1601</v>
      </c>
      <c r="R1631" s="7">
        <v>44268</v>
      </c>
      <c r="S1631" s="210">
        <v>4.25</v>
      </c>
      <c r="T1631" s="8">
        <v>1.0001180555555556</v>
      </c>
      <c r="U1631" s="98">
        <v>4.0465665112413784</v>
      </c>
      <c r="V1631" s="106">
        <v>30003.784377787466</v>
      </c>
      <c r="W1631" s="10">
        <v>0.92363162696051937</v>
      </c>
      <c r="X1631" s="420"/>
      <c r="Y1631" s="420"/>
      <c r="Z1631" s="1"/>
      <c r="AA1631" s="1"/>
      <c r="AB1631" s="1"/>
      <c r="AC1631" s="1"/>
      <c r="AD1631" s="1"/>
    </row>
    <row r="1632" spans="17:30">
      <c r="Q1632" s="6">
        <v>1602</v>
      </c>
      <c r="R1632" s="7">
        <v>44269</v>
      </c>
      <c r="S1632" s="210">
        <v>4.25</v>
      </c>
      <c r="T1632" s="8">
        <v>1.0001180555555556</v>
      </c>
      <c r="U1632" s="98">
        <v>4.0467885922238045</v>
      </c>
      <c r="V1632" s="106">
        <v>30006.201115600612</v>
      </c>
      <c r="W1632" s="10">
        <v>0.92391480957974004</v>
      </c>
      <c r="X1632" s="420"/>
      <c r="Y1632" s="420"/>
      <c r="Z1632" s="1"/>
      <c r="AA1632" s="1"/>
      <c r="AB1632" s="1"/>
      <c r="AC1632" s="1"/>
      <c r="AD1632" s="1"/>
    </row>
    <row r="1633" spans="17:30">
      <c r="Q1633" s="6">
        <v>1603</v>
      </c>
      <c r="R1633" s="7">
        <v>44270</v>
      </c>
      <c r="S1633" s="210">
        <v>4.25</v>
      </c>
      <c r="T1633" s="8">
        <v>1.0001180555555556</v>
      </c>
      <c r="U1633" s="98">
        <v>4.0470103965976501</v>
      </c>
      <c r="V1633" s="106">
        <v>30008.618048076587</v>
      </c>
      <c r="W1633" s="10">
        <v>0.92419763967621638</v>
      </c>
      <c r="X1633" s="420"/>
      <c r="Y1633" s="420"/>
      <c r="Z1633" s="1"/>
      <c r="AA1633" s="1"/>
      <c r="AB1633" s="1"/>
      <c r="AC1633" s="1"/>
      <c r="AD1633" s="1"/>
    </row>
    <row r="1634" spans="17:30">
      <c r="Q1634" s="6">
        <v>1604</v>
      </c>
      <c r="R1634" s="7">
        <v>44271</v>
      </c>
      <c r="S1634" s="210">
        <v>4.25</v>
      </c>
      <c r="T1634" s="8">
        <v>1.0001180555555556</v>
      </c>
      <c r="U1634" s="98">
        <v>4.0472319248793909</v>
      </c>
      <c r="V1634" s="106">
        <v>30011.035175231074</v>
      </c>
      <c r="W1634" s="10">
        <v>0.92448011790782214</v>
      </c>
      <c r="X1634" s="420"/>
      <c r="Y1634" s="420"/>
      <c r="Z1634" s="1"/>
      <c r="AA1634" s="1"/>
      <c r="AB1634" s="1"/>
      <c r="AC1634" s="1"/>
      <c r="AD1634" s="1"/>
    </row>
    <row r="1635" spans="17:30">
      <c r="Q1635" s="6">
        <v>1605</v>
      </c>
      <c r="R1635" s="7">
        <v>44272</v>
      </c>
      <c r="S1635" s="210">
        <v>4.25</v>
      </c>
      <c r="T1635" s="8">
        <v>1.0001180555555556</v>
      </c>
      <c r="U1635" s="98">
        <v>4.0474531775842149</v>
      </c>
      <c r="V1635" s="106">
        <v>30013.452497079765</v>
      </c>
      <c r="W1635" s="10">
        <v>0.92476224493081016</v>
      </c>
      <c r="X1635" s="420"/>
      <c r="Y1635" s="420"/>
      <c r="Z1635" s="1"/>
      <c r="AA1635" s="1"/>
      <c r="AB1635" s="1"/>
      <c r="AC1635" s="1"/>
      <c r="AD1635" s="1"/>
    </row>
    <row r="1636" spans="17:30">
      <c r="Q1636" s="6">
        <v>1606</v>
      </c>
      <c r="R1636" s="7">
        <v>44273</v>
      </c>
      <c r="S1636" s="210">
        <v>4.25</v>
      </c>
      <c r="T1636" s="8">
        <v>1.0001180555555556</v>
      </c>
      <c r="U1636" s="98">
        <v>4.047674155226022</v>
      </c>
      <c r="V1636" s="106">
        <v>30015.87001363832</v>
      </c>
      <c r="W1636" s="10">
        <v>0.92504402139976794</v>
      </c>
      <c r="X1636" s="420"/>
      <c r="Y1636" s="420"/>
      <c r="Z1636" s="1"/>
      <c r="AA1636" s="1"/>
      <c r="AB1636" s="1"/>
      <c r="AC1636" s="1"/>
      <c r="AD1636" s="1"/>
    </row>
    <row r="1637" spans="17:30">
      <c r="Q1637" s="6">
        <v>1607</v>
      </c>
      <c r="R1637" s="7">
        <v>44274</v>
      </c>
      <c r="S1637" s="210">
        <v>4.25</v>
      </c>
      <c r="T1637" s="8">
        <v>1.0001180555555556</v>
      </c>
      <c r="U1637" s="98">
        <v>4.0478948583174246</v>
      </c>
      <c r="V1637" s="106">
        <v>30018.287724922433</v>
      </c>
      <c r="W1637" s="10">
        <v>0.92532544796759542</v>
      </c>
      <c r="X1637" s="420"/>
      <c r="Y1637" s="420"/>
      <c r="Z1637" s="1"/>
      <c r="AA1637" s="1"/>
      <c r="AB1637" s="1"/>
      <c r="AC1637" s="1"/>
      <c r="AD1637" s="1"/>
    </row>
    <row r="1638" spans="17:30">
      <c r="Q1638" s="6">
        <v>1608</v>
      </c>
      <c r="R1638" s="7">
        <v>44275</v>
      </c>
      <c r="S1638" s="210">
        <v>4.25</v>
      </c>
      <c r="T1638" s="8">
        <v>1.0001180555555556</v>
      </c>
      <c r="U1638" s="98">
        <v>4.048115287369769</v>
      </c>
      <c r="V1638" s="106">
        <v>30020.705630947796</v>
      </c>
      <c r="W1638" s="10">
        <v>0.92560652528568266</v>
      </c>
      <c r="X1638" s="420"/>
      <c r="Y1638" s="420"/>
      <c r="Z1638" s="1"/>
      <c r="AA1638" s="1"/>
      <c r="AB1638" s="1"/>
      <c r="AC1638" s="1"/>
      <c r="AD1638" s="1"/>
    </row>
    <row r="1639" spans="17:30">
      <c r="Q1639" s="6">
        <v>1609</v>
      </c>
      <c r="R1639" s="7">
        <v>44276</v>
      </c>
      <c r="S1639" s="210">
        <v>4.25</v>
      </c>
      <c r="T1639" s="8">
        <v>1.0001180555555556</v>
      </c>
      <c r="U1639" s="98">
        <v>4.0483354428931362</v>
      </c>
      <c r="V1639" s="106">
        <v>30023.12373173008</v>
      </c>
      <c r="W1639" s="10">
        <v>0.92588725400373217</v>
      </c>
      <c r="X1639" s="420"/>
      <c r="Y1639" s="420"/>
      <c r="Z1639" s="1"/>
      <c r="AA1639" s="1"/>
      <c r="AB1639" s="1"/>
      <c r="AC1639" s="1"/>
      <c r="AD1639" s="1"/>
    </row>
    <row r="1640" spans="17:30">
      <c r="Q1640" s="6">
        <v>1610</v>
      </c>
      <c r="R1640" s="7">
        <v>44277</v>
      </c>
      <c r="S1640" s="210">
        <v>4.25</v>
      </c>
      <c r="T1640" s="8">
        <v>1.0001180555555556</v>
      </c>
      <c r="U1640" s="98">
        <v>4.0485553253963413</v>
      </c>
      <c r="V1640" s="106">
        <v>30025.542027284988</v>
      </c>
      <c r="W1640" s="10">
        <v>0.92616763476986996</v>
      </c>
      <c r="X1640" s="420"/>
      <c r="Y1640" s="420"/>
      <c r="Z1640" s="1"/>
      <c r="AA1640" s="1"/>
      <c r="AB1640" s="1"/>
      <c r="AC1640" s="1"/>
      <c r="AD1640" s="1"/>
    </row>
    <row r="1641" spans="17:30">
      <c r="Q1641" s="6">
        <v>1611</v>
      </c>
      <c r="R1641" s="7">
        <v>44278</v>
      </c>
      <c r="S1641" s="210">
        <v>4.25</v>
      </c>
      <c r="T1641" s="8">
        <v>1.0001180555555556</v>
      </c>
      <c r="U1641" s="98">
        <v>4.048774935386934</v>
      </c>
      <c r="V1641" s="106">
        <v>30027.960517628198</v>
      </c>
      <c r="W1641" s="10">
        <v>0.92644766823057889</v>
      </c>
      <c r="X1641" s="420"/>
      <c r="Y1641" s="420"/>
      <c r="Z1641" s="1"/>
      <c r="AA1641" s="1"/>
      <c r="AB1641" s="1"/>
      <c r="AC1641" s="1"/>
      <c r="AD1641" s="1"/>
    </row>
    <row r="1642" spans="17:30">
      <c r="Q1642" s="6">
        <v>1612</v>
      </c>
      <c r="R1642" s="7">
        <v>44279</v>
      </c>
      <c r="S1642" s="210">
        <v>4.25</v>
      </c>
      <c r="T1642" s="8">
        <v>1.0001180555555556</v>
      </c>
      <c r="U1642" s="98">
        <v>4.0489942733711981</v>
      </c>
      <c r="V1642" s="106">
        <v>30030.379202775406</v>
      </c>
      <c r="W1642" s="10">
        <v>0.92672735503076531</v>
      </c>
      <c r="X1642" s="420"/>
      <c r="Y1642" s="420"/>
      <c r="Z1642" s="1"/>
      <c r="AA1642" s="1"/>
      <c r="AB1642" s="1"/>
      <c r="AC1642" s="1"/>
      <c r="AD1642" s="1"/>
    </row>
    <row r="1643" spans="17:30">
      <c r="Q1643" s="6">
        <v>1613</v>
      </c>
      <c r="R1643" s="7">
        <v>44280</v>
      </c>
      <c r="S1643" s="210">
        <v>4.25</v>
      </c>
      <c r="T1643" s="8">
        <v>1.0001180555555556</v>
      </c>
      <c r="U1643" s="98">
        <v>4.0492133398541963</v>
      </c>
      <c r="V1643" s="106">
        <v>30032.798082742302</v>
      </c>
      <c r="W1643" s="10">
        <v>0.92700669581375905</v>
      </c>
      <c r="X1643" s="420"/>
      <c r="Y1643" s="420"/>
      <c r="Z1643" s="1"/>
      <c r="AA1643" s="1"/>
      <c r="AB1643" s="1"/>
      <c r="AC1643" s="1"/>
      <c r="AD1643" s="1"/>
    </row>
    <row r="1644" spans="17:30">
      <c r="Q1644" s="6">
        <v>1614</v>
      </c>
      <c r="R1644" s="7">
        <v>44281</v>
      </c>
      <c r="S1644" s="210">
        <v>4.25</v>
      </c>
      <c r="T1644" s="8">
        <v>1.0001180555555556</v>
      </c>
      <c r="U1644" s="98">
        <v>4.0494321353397256</v>
      </c>
      <c r="V1644" s="106">
        <v>30035.217157544575</v>
      </c>
      <c r="W1644" s="10">
        <v>0.92728569122126903</v>
      </c>
      <c r="X1644" s="420"/>
      <c r="Y1644" s="420"/>
      <c r="Z1644" s="1"/>
      <c r="AA1644" s="1"/>
      <c r="AB1644" s="1"/>
      <c r="AC1644" s="1"/>
      <c r="AD1644" s="1"/>
    </row>
    <row r="1645" spans="17:30">
      <c r="Q1645" s="6">
        <v>1615</v>
      </c>
      <c r="R1645" s="7">
        <v>44282</v>
      </c>
      <c r="S1645" s="210">
        <v>4.25</v>
      </c>
      <c r="T1645" s="8">
        <v>1.0001180555555556</v>
      </c>
      <c r="U1645" s="98">
        <v>4.0496506603303173</v>
      </c>
      <c r="V1645" s="106">
        <v>30037.636427197915</v>
      </c>
      <c r="W1645" s="10">
        <v>0.92756434189342762</v>
      </c>
      <c r="X1645" s="420"/>
      <c r="Y1645" s="420"/>
      <c r="Z1645" s="1"/>
      <c r="AA1645" s="1"/>
      <c r="AB1645" s="1"/>
      <c r="AC1645" s="1"/>
      <c r="AD1645" s="1"/>
    </row>
    <row r="1646" spans="17:30">
      <c r="Q1646" s="6">
        <v>1616</v>
      </c>
      <c r="R1646" s="7">
        <v>44283</v>
      </c>
      <c r="S1646" s="210">
        <v>4.25</v>
      </c>
      <c r="T1646" s="8">
        <v>1.0001180555555556</v>
      </c>
      <c r="U1646" s="98">
        <v>4.0498689153272815</v>
      </c>
      <c r="V1646" s="106">
        <v>30040.055891718031</v>
      </c>
      <c r="W1646" s="10">
        <v>0.92784264846879072</v>
      </c>
      <c r="X1646" s="420"/>
      <c r="Y1646" s="420"/>
      <c r="Z1646" s="1"/>
      <c r="AA1646" s="1"/>
      <c r="AB1646" s="1"/>
      <c r="AC1646" s="1"/>
      <c r="AD1646" s="1"/>
    </row>
    <row r="1647" spans="17:30">
      <c r="Q1647" s="6">
        <v>1617</v>
      </c>
      <c r="R1647" s="7">
        <v>44284</v>
      </c>
      <c r="S1647" s="210">
        <v>4.25</v>
      </c>
      <c r="T1647" s="8">
        <v>1.0001180555555556</v>
      </c>
      <c r="U1647" s="98">
        <v>4.050086900830685</v>
      </c>
      <c r="V1647" s="106">
        <v>30042.475551120602</v>
      </c>
      <c r="W1647" s="10">
        <v>0.92812061158435988</v>
      </c>
      <c r="X1647" s="420"/>
      <c r="Y1647" s="420"/>
      <c r="Z1647" s="1"/>
      <c r="AA1647" s="1"/>
      <c r="AB1647" s="1"/>
      <c r="AC1647" s="1"/>
      <c r="AD1647" s="1"/>
    </row>
    <row r="1648" spans="17:30">
      <c r="Q1648" s="6">
        <v>1618</v>
      </c>
      <c r="R1648" s="7">
        <v>44285</v>
      </c>
      <c r="S1648" s="210">
        <v>4.25</v>
      </c>
      <c r="T1648" s="8">
        <v>1.0001180555555556</v>
      </c>
      <c r="U1648" s="98">
        <v>4.0503046173393731</v>
      </c>
      <c r="V1648" s="106">
        <v>30044.895405421332</v>
      </c>
      <c r="W1648" s="10">
        <v>0.92839823187551573</v>
      </c>
      <c r="X1648" s="420"/>
      <c r="Y1648" s="420"/>
      <c r="Z1648" s="1"/>
      <c r="AA1648" s="1"/>
      <c r="AB1648" s="1"/>
      <c r="AC1648" s="1"/>
      <c r="AD1648" s="1"/>
    </row>
    <row r="1649" spans="17:30">
      <c r="Q1649" s="6">
        <v>1619</v>
      </c>
      <c r="R1649" s="7">
        <v>44286</v>
      </c>
      <c r="S1649" s="210">
        <v>4.25</v>
      </c>
      <c r="T1649" s="8">
        <v>1.0001180555555556</v>
      </c>
      <c r="U1649" s="98">
        <v>4.0505220653509255</v>
      </c>
      <c r="V1649" s="106">
        <v>30047.315454635926</v>
      </c>
      <c r="W1649" s="10">
        <v>0.92867550997608461</v>
      </c>
      <c r="X1649" s="420"/>
      <c r="Y1649" s="420"/>
      <c r="Z1649" s="1"/>
      <c r="AA1649" s="1"/>
      <c r="AB1649" s="1"/>
      <c r="AC1649" s="1"/>
      <c r="AD1649" s="1"/>
    </row>
    <row r="1650" spans="17:30">
      <c r="Q1650" s="6">
        <v>1620</v>
      </c>
      <c r="R1650" s="7">
        <v>44287</v>
      </c>
      <c r="S1650" s="210">
        <v>4.25</v>
      </c>
      <c r="T1650" s="8">
        <v>1.0001180555555556</v>
      </c>
      <c r="U1650" s="98">
        <v>4.0507392453617452</v>
      </c>
      <c r="V1650" s="106">
        <v>30049.735698780078</v>
      </c>
      <c r="W1650" s="10">
        <v>0.92895244651838293</v>
      </c>
      <c r="X1650" s="420"/>
      <c r="Y1650" s="420"/>
      <c r="Z1650" s="1"/>
      <c r="AA1650" s="1"/>
      <c r="AB1650" s="1"/>
      <c r="AC1650" s="1"/>
      <c r="AD1650" s="1"/>
    </row>
    <row r="1651" spans="17:30">
      <c r="Q1651" s="6">
        <v>1621</v>
      </c>
      <c r="R1651" s="7">
        <v>44288</v>
      </c>
      <c r="S1651" s="210">
        <v>4.25</v>
      </c>
      <c r="T1651" s="8">
        <v>1.0001180555555556</v>
      </c>
      <c r="U1651" s="98">
        <v>4.0509561578669695</v>
      </c>
      <c r="V1651" s="106">
        <v>30052.156137869486</v>
      </c>
      <c r="W1651" s="10">
        <v>0.92922904213308399</v>
      </c>
      <c r="X1651" s="420"/>
      <c r="Y1651" s="420"/>
      <c r="Z1651" s="1"/>
      <c r="AA1651" s="1"/>
      <c r="AB1651" s="1"/>
      <c r="AC1651" s="1"/>
      <c r="AD1651" s="1"/>
    </row>
    <row r="1652" spans="17:30">
      <c r="Q1652" s="6">
        <v>1622</v>
      </c>
      <c r="R1652" s="7">
        <v>44289</v>
      </c>
      <c r="S1652" s="210">
        <v>4.25</v>
      </c>
      <c r="T1652" s="8">
        <v>1.0001180555555556</v>
      </c>
      <c r="U1652" s="98">
        <v>4.0511728033605365</v>
      </c>
      <c r="V1652" s="106">
        <v>30054.576771919856</v>
      </c>
      <c r="W1652" s="10">
        <v>0.92950529744939558</v>
      </c>
      <c r="X1652" s="420"/>
      <c r="Y1652" s="420"/>
      <c r="Z1652" s="1"/>
      <c r="AA1652" s="1"/>
      <c r="AB1652" s="1"/>
      <c r="AC1652" s="1"/>
      <c r="AD1652" s="1"/>
    </row>
    <row r="1653" spans="17:30">
      <c r="Q1653" s="6">
        <v>1623</v>
      </c>
      <c r="R1653" s="7">
        <v>44290</v>
      </c>
      <c r="S1653" s="210">
        <v>4.25</v>
      </c>
      <c r="T1653" s="8">
        <v>1.0001180555555556</v>
      </c>
      <c r="U1653" s="98">
        <v>4.0513891823351633</v>
      </c>
      <c r="V1653" s="106">
        <v>30056.997600946896</v>
      </c>
      <c r="W1653" s="10">
        <v>0.92978121309492678</v>
      </c>
      <c r="X1653" s="420"/>
      <c r="Y1653" s="420"/>
      <c r="Z1653" s="1"/>
      <c r="AA1653" s="1"/>
      <c r="AB1653" s="1"/>
      <c r="AC1653" s="1"/>
      <c r="AD1653" s="1"/>
    </row>
    <row r="1654" spans="17:30">
      <c r="Q1654" s="6">
        <v>1624</v>
      </c>
      <c r="R1654" s="7">
        <v>44291</v>
      </c>
      <c r="S1654" s="210">
        <v>4.25</v>
      </c>
      <c r="T1654" s="8">
        <v>1.0001180555555556</v>
      </c>
      <c r="U1654" s="98">
        <v>4.0516052952823678</v>
      </c>
      <c r="V1654" s="106">
        <v>30059.418624966307</v>
      </c>
      <c r="W1654" s="10">
        <v>0.93005678969575456</v>
      </c>
      <c r="X1654" s="420"/>
      <c r="Y1654" s="420"/>
      <c r="Z1654" s="1"/>
      <c r="AA1654" s="1"/>
      <c r="AB1654" s="1"/>
      <c r="AC1654" s="1"/>
      <c r="AD1654" s="1"/>
    </row>
    <row r="1655" spans="17:30">
      <c r="Q1655" s="6">
        <v>1625</v>
      </c>
      <c r="R1655" s="7">
        <v>44292</v>
      </c>
      <c r="S1655" s="210">
        <v>4.25</v>
      </c>
      <c r="T1655" s="8">
        <v>1.0001180555555556</v>
      </c>
      <c r="U1655" s="98">
        <v>4.0518211426924244</v>
      </c>
      <c r="V1655" s="106">
        <v>30061.839843993792</v>
      </c>
      <c r="W1655" s="10">
        <v>0.93033202787642377</v>
      </c>
      <c r="X1655" s="420"/>
      <c r="Y1655" s="420"/>
      <c r="Z1655" s="1"/>
      <c r="AA1655" s="1"/>
      <c r="AB1655" s="1"/>
      <c r="AC1655" s="1"/>
      <c r="AD1655" s="1"/>
    </row>
    <row r="1656" spans="17:30">
      <c r="Q1656" s="6">
        <v>1626</v>
      </c>
      <c r="R1656" s="7">
        <v>44293</v>
      </c>
      <c r="S1656" s="210">
        <v>4.25</v>
      </c>
      <c r="T1656" s="8">
        <v>1.0001180555555556</v>
      </c>
      <c r="U1656" s="98">
        <v>4.0520367250544531</v>
      </c>
      <c r="V1656" s="106">
        <v>30064.261258045059</v>
      </c>
      <c r="W1656" s="10">
        <v>0.93060692825992497</v>
      </c>
      <c r="X1656" s="420"/>
      <c r="Y1656" s="420"/>
      <c r="Z1656" s="1"/>
      <c r="AA1656" s="1"/>
      <c r="AB1656" s="1"/>
      <c r="AC1656" s="1"/>
      <c r="AD1656" s="1"/>
    </row>
    <row r="1657" spans="17:30">
      <c r="Q1657" s="6">
        <v>1627</v>
      </c>
      <c r="R1657" s="7">
        <v>44294</v>
      </c>
      <c r="S1657" s="210">
        <v>4.25</v>
      </c>
      <c r="T1657" s="8">
        <v>1.0001180555555556</v>
      </c>
      <c r="U1657" s="98">
        <v>4.0522520428563524</v>
      </c>
      <c r="V1657" s="106">
        <v>30066.682867135823</v>
      </c>
      <c r="W1657" s="10">
        <v>0.93088149146778321</v>
      </c>
      <c r="X1657" s="420"/>
      <c r="Y1657" s="420"/>
      <c r="Z1657" s="1"/>
      <c r="AA1657" s="1"/>
      <c r="AB1657" s="1"/>
      <c r="AC1657" s="1"/>
      <c r="AD1657" s="1"/>
    </row>
    <row r="1658" spans="17:30">
      <c r="Q1658" s="6">
        <v>1628</v>
      </c>
      <c r="R1658" s="7">
        <v>44295</v>
      </c>
      <c r="S1658" s="210">
        <v>4.25</v>
      </c>
      <c r="T1658" s="8">
        <v>1.0001180555555556</v>
      </c>
      <c r="U1658" s="98">
        <v>4.0524670965847998</v>
      </c>
      <c r="V1658" s="106">
        <v>30069.104671281792</v>
      </c>
      <c r="W1658" s="10">
        <v>0.93115571811990261</v>
      </c>
      <c r="X1658" s="420"/>
      <c r="Y1658" s="420"/>
      <c r="Z1658" s="1"/>
      <c r="AA1658" s="1"/>
      <c r="AB1658" s="1"/>
      <c r="AC1658" s="1"/>
      <c r="AD1658" s="1"/>
    </row>
    <row r="1659" spans="17:30">
      <c r="Q1659" s="6">
        <v>1629</v>
      </c>
      <c r="R1659" s="7">
        <v>44296</v>
      </c>
      <c r="S1659" s="210">
        <v>4.25</v>
      </c>
      <c r="T1659" s="8">
        <v>1.0001180555555556</v>
      </c>
      <c r="U1659" s="98">
        <v>4.0526818867253178</v>
      </c>
      <c r="V1659" s="106">
        <v>30071.607407165637</v>
      </c>
      <c r="W1659" s="10">
        <v>0.93136889148164315</v>
      </c>
      <c r="X1659" s="420"/>
      <c r="Y1659" s="420"/>
      <c r="Z1659" s="1"/>
      <c r="AA1659" s="1"/>
      <c r="AB1659" s="1"/>
      <c r="AC1659" s="1"/>
      <c r="AD1659" s="1"/>
    </row>
    <row r="1660" spans="17:30">
      <c r="Q1660" s="6">
        <v>1630</v>
      </c>
      <c r="R1660" s="7">
        <v>44297</v>
      </c>
      <c r="S1660" s="210">
        <v>4.25</v>
      </c>
      <c r="T1660" s="8">
        <v>1.0001180555555556</v>
      </c>
      <c r="U1660" s="98">
        <v>4.0528964137622081</v>
      </c>
      <c r="V1660" s="106">
        <v>30074.110351359213</v>
      </c>
      <c r="W1660" s="10">
        <v>0.93158180373036359</v>
      </c>
      <c r="X1660" s="420"/>
      <c r="Y1660" s="420"/>
      <c r="Z1660" s="1"/>
      <c r="AA1660" s="1"/>
      <c r="AB1660" s="1"/>
      <c r="AC1660" s="1"/>
      <c r="AD1660" s="1"/>
    </row>
    <row r="1661" spans="17:30">
      <c r="Q1661" s="6">
        <v>1631</v>
      </c>
      <c r="R1661" s="7">
        <v>44298</v>
      </c>
      <c r="S1661" s="210">
        <v>4.25</v>
      </c>
      <c r="T1661" s="8">
        <v>1.0001180555555556</v>
      </c>
      <c r="U1661" s="98">
        <v>4.0531106781786175</v>
      </c>
      <c r="V1661" s="106">
        <v>30076.613503879849</v>
      </c>
      <c r="W1661" s="10">
        <v>0.93179445534556926</v>
      </c>
      <c r="X1661" s="420"/>
      <c r="Y1661" s="420"/>
      <c r="Z1661" s="1"/>
      <c r="AA1661" s="1"/>
      <c r="AB1661" s="1"/>
      <c r="AC1661" s="1"/>
      <c r="AD1661" s="1"/>
    </row>
    <row r="1662" spans="17:30">
      <c r="Q1662" s="6">
        <v>1632</v>
      </c>
      <c r="R1662" s="7">
        <v>44299</v>
      </c>
      <c r="S1662" s="210">
        <v>4.25</v>
      </c>
      <c r="T1662" s="8">
        <v>1.0001180555555556</v>
      </c>
      <c r="U1662" s="98">
        <v>4.0533246804564715</v>
      </c>
      <c r="V1662" s="106">
        <v>30079.11686474489</v>
      </c>
      <c r="W1662" s="10">
        <v>0.93200684680547763</v>
      </c>
      <c r="X1662" s="420"/>
      <c r="Y1662" s="420"/>
      <c r="Z1662" s="1"/>
      <c r="AA1662" s="1"/>
      <c r="AB1662" s="1"/>
      <c r="AC1662" s="1"/>
      <c r="AD1662" s="1"/>
    </row>
    <row r="1663" spans="17:30">
      <c r="Q1663" s="6">
        <v>1633</v>
      </c>
      <c r="R1663" s="7">
        <v>44300</v>
      </c>
      <c r="S1663" s="210">
        <v>4.25</v>
      </c>
      <c r="T1663" s="8">
        <v>1.0001180555555556</v>
      </c>
      <c r="U1663" s="98">
        <v>4.0535384210765635</v>
      </c>
      <c r="V1663" s="106">
        <v>30081.620433971668</v>
      </c>
      <c r="W1663" s="10">
        <v>0.93221897858726255</v>
      </c>
      <c r="X1663" s="420"/>
      <c r="Y1663" s="420"/>
      <c r="Z1663" s="1"/>
      <c r="AA1663" s="1"/>
      <c r="AB1663" s="1"/>
      <c r="AC1663" s="1"/>
      <c r="AD1663" s="1"/>
    </row>
    <row r="1664" spans="17:30">
      <c r="Q1664" s="6">
        <v>1634</v>
      </c>
      <c r="R1664" s="7">
        <v>44301</v>
      </c>
      <c r="S1664" s="210">
        <v>4.25</v>
      </c>
      <c r="T1664" s="8">
        <v>1.0001180555555556</v>
      </c>
      <c r="U1664" s="98">
        <v>4.0537519005184652</v>
      </c>
      <c r="V1664" s="106">
        <v>30084.124211577531</v>
      </c>
      <c r="W1664" s="10">
        <v>0.93243085116685442</v>
      </c>
      <c r="X1664" s="420"/>
      <c r="Y1664" s="420"/>
      <c r="Z1664" s="1"/>
      <c r="AA1664" s="1"/>
      <c r="AB1664" s="1"/>
      <c r="AC1664" s="1"/>
      <c r="AD1664" s="1"/>
    </row>
    <row r="1665" spans="17:30">
      <c r="Q1665" s="6">
        <v>1635</v>
      </c>
      <c r="R1665" s="7">
        <v>44302</v>
      </c>
      <c r="S1665" s="210">
        <v>4.25</v>
      </c>
      <c r="T1665" s="8">
        <v>1.0001180555555556</v>
      </c>
      <c r="U1665" s="98">
        <v>4.0539651192606163</v>
      </c>
      <c r="V1665" s="106">
        <v>30086.628197579827</v>
      </c>
      <c r="W1665" s="10">
        <v>0.93264246501900683</v>
      </c>
      <c r="X1665" s="420"/>
      <c r="Y1665" s="420"/>
      <c r="Z1665" s="1"/>
      <c r="AA1665" s="1"/>
      <c r="AB1665" s="1"/>
      <c r="AC1665" s="1"/>
      <c r="AD1665" s="1"/>
    </row>
    <row r="1666" spans="17:30">
      <c r="Q1666" s="6">
        <v>1636</v>
      </c>
      <c r="R1666" s="7">
        <v>44303</v>
      </c>
      <c r="S1666" s="210">
        <v>4.25</v>
      </c>
      <c r="T1666" s="8">
        <v>1.0001180555555556</v>
      </c>
      <c r="U1666" s="98">
        <v>4.0541780777802794</v>
      </c>
      <c r="V1666" s="106">
        <v>30089.132391995903</v>
      </c>
      <c r="W1666" s="10">
        <v>0.93285382061740751</v>
      </c>
      <c r="X1666" s="420"/>
      <c r="Y1666" s="420"/>
      <c r="Z1666" s="1"/>
      <c r="AA1666" s="1"/>
      <c r="AB1666" s="1"/>
      <c r="AC1666" s="1"/>
      <c r="AD1666" s="1"/>
    </row>
    <row r="1667" spans="17:30">
      <c r="Q1667" s="6">
        <v>1637</v>
      </c>
      <c r="R1667" s="7">
        <v>44304</v>
      </c>
      <c r="S1667" s="210">
        <v>4.25</v>
      </c>
      <c r="T1667" s="8">
        <v>1.0001180555555556</v>
      </c>
      <c r="U1667" s="98">
        <v>4.0543907765535403</v>
      </c>
      <c r="V1667" s="106">
        <v>30091.636794843096</v>
      </c>
      <c r="W1667" s="10">
        <v>0.93306491843447859</v>
      </c>
      <c r="X1667" s="420"/>
      <c r="Y1667" s="420"/>
      <c r="Z1667" s="1"/>
      <c r="AA1667" s="1"/>
      <c r="AB1667" s="1"/>
      <c r="AC1667" s="1"/>
      <c r="AD1667" s="1"/>
    </row>
    <row r="1668" spans="17:30">
      <c r="Q1668" s="6">
        <v>1638</v>
      </c>
      <c r="R1668" s="7">
        <v>44305</v>
      </c>
      <c r="S1668" s="210">
        <v>4.25</v>
      </c>
      <c r="T1668" s="8">
        <v>1.0001180555555556</v>
      </c>
      <c r="U1668" s="98">
        <v>4.054603216055308</v>
      </c>
      <c r="V1668" s="106">
        <v>30094.141406138759</v>
      </c>
      <c r="W1668" s="10">
        <v>0.93327575894155412</v>
      </c>
      <c r="X1668" s="420"/>
      <c r="Y1668" s="420"/>
      <c r="Z1668" s="1"/>
      <c r="AA1668" s="1"/>
      <c r="AB1668" s="1"/>
      <c r="AC1668" s="1"/>
      <c r="AD1668" s="1"/>
    </row>
    <row r="1669" spans="17:30">
      <c r="Q1669" s="6">
        <v>1639</v>
      </c>
      <c r="R1669" s="7">
        <v>44306</v>
      </c>
      <c r="S1669" s="210">
        <v>4.25</v>
      </c>
      <c r="T1669" s="8">
        <v>1.0001180555555556</v>
      </c>
      <c r="U1669" s="98">
        <v>4.0548153967593814</v>
      </c>
      <c r="V1669" s="106">
        <v>30096.646225900244</v>
      </c>
      <c r="W1669" s="10">
        <v>0.93348634260881358</v>
      </c>
      <c r="X1669" s="420"/>
      <c r="Y1669" s="420"/>
      <c r="Z1669" s="1"/>
      <c r="AA1669" s="1"/>
      <c r="AB1669" s="1"/>
      <c r="AC1669" s="1"/>
      <c r="AD1669" s="1"/>
    </row>
    <row r="1670" spans="17:30">
      <c r="Q1670" s="6">
        <v>1640</v>
      </c>
      <c r="R1670" s="7">
        <v>44307</v>
      </c>
      <c r="S1670" s="210">
        <v>4.25</v>
      </c>
      <c r="T1670" s="8">
        <v>1.0001180555555556</v>
      </c>
      <c r="U1670" s="98">
        <v>4.0550273191383601</v>
      </c>
      <c r="V1670" s="106">
        <v>30099.151254144897</v>
      </c>
      <c r="W1670" s="10">
        <v>0.93369666990523736</v>
      </c>
      <c r="X1670" s="420"/>
      <c r="Y1670" s="420"/>
      <c r="Z1670" s="1"/>
      <c r="AA1670" s="1"/>
      <c r="AB1670" s="1"/>
      <c r="AC1670" s="1"/>
      <c r="AD1670" s="1"/>
    </row>
    <row r="1671" spans="17:30">
      <c r="Q1671" s="6">
        <v>1641</v>
      </c>
      <c r="R1671" s="7">
        <v>44308</v>
      </c>
      <c r="S1671" s="210">
        <v>4.25</v>
      </c>
      <c r="T1671" s="8">
        <v>1.0001180555555556</v>
      </c>
      <c r="U1671" s="98">
        <v>4.0552389836637337</v>
      </c>
      <c r="V1671" s="106">
        <v>30101.65649089008</v>
      </c>
      <c r="W1671" s="10">
        <v>0.93390674129878448</v>
      </c>
      <c r="X1671" s="420"/>
      <c r="Y1671" s="420"/>
      <c r="Z1671" s="1"/>
      <c r="AA1671" s="1"/>
      <c r="AB1671" s="1"/>
      <c r="AC1671" s="1"/>
      <c r="AD1671" s="1"/>
    </row>
    <row r="1672" spans="17:30">
      <c r="Q1672" s="6">
        <v>1642</v>
      </c>
      <c r="R1672" s="7">
        <v>44309</v>
      </c>
      <c r="S1672" s="210">
        <v>4.25</v>
      </c>
      <c r="T1672" s="8">
        <v>1.0001180555555556</v>
      </c>
      <c r="U1672" s="98">
        <v>4.0554503908058148</v>
      </c>
      <c r="V1672" s="106">
        <v>30104.161936153138</v>
      </c>
      <c r="W1672" s="10">
        <v>0.93411655725614828</v>
      </c>
      <c r="X1672" s="420"/>
      <c r="Y1672" s="420"/>
      <c r="Z1672" s="1"/>
      <c r="AA1672" s="1"/>
      <c r="AB1672" s="1"/>
      <c r="AC1672" s="1"/>
      <c r="AD1672" s="1"/>
    </row>
    <row r="1673" spans="17:30">
      <c r="Q1673" s="6">
        <v>1643</v>
      </c>
      <c r="R1673" s="7">
        <v>44310</v>
      </c>
      <c r="S1673" s="210">
        <v>4.25</v>
      </c>
      <c r="T1673" s="8">
        <v>1.0001180555555556</v>
      </c>
      <c r="U1673" s="98">
        <v>4.0556615410337837</v>
      </c>
      <c r="V1673" s="106">
        <v>30106.66758995143</v>
      </c>
      <c r="W1673" s="10">
        <v>0.9343261182429563</v>
      </c>
      <c r="X1673" s="420"/>
      <c r="Y1673" s="420"/>
      <c r="Z1673" s="1"/>
      <c r="AA1673" s="1"/>
      <c r="AB1673" s="1"/>
      <c r="AC1673" s="1"/>
      <c r="AD1673" s="1"/>
    </row>
    <row r="1674" spans="17:30">
      <c r="Q1674" s="6">
        <v>1644</v>
      </c>
      <c r="R1674" s="7">
        <v>44311</v>
      </c>
      <c r="S1674" s="210">
        <v>4.25</v>
      </c>
      <c r="T1674" s="8">
        <v>1.0001180555555556</v>
      </c>
      <c r="U1674" s="98">
        <v>4.0558724348156883</v>
      </c>
      <c r="V1674" s="106">
        <v>30109.173452302308</v>
      </c>
      <c r="W1674" s="10">
        <v>0.93453542472370366</v>
      </c>
      <c r="X1674" s="420"/>
      <c r="Y1674" s="420"/>
      <c r="Z1674" s="1"/>
      <c r="AA1674" s="1"/>
      <c r="AB1674" s="1"/>
      <c r="AC1674" s="1"/>
      <c r="AD1674" s="1"/>
    </row>
    <row r="1675" spans="17:30">
      <c r="Q1675" s="6">
        <v>1645</v>
      </c>
      <c r="R1675" s="7">
        <v>44312</v>
      </c>
      <c r="S1675" s="210">
        <v>4.25</v>
      </c>
      <c r="T1675" s="8">
        <v>1.0001180555555556</v>
      </c>
      <c r="U1675" s="98">
        <v>4.0560830726184216</v>
      </c>
      <c r="V1675" s="106">
        <v>30111.679523223138</v>
      </c>
      <c r="W1675" s="10">
        <v>0.93474447716170861</v>
      </c>
      <c r="X1675" s="420"/>
      <c r="Y1675" s="420"/>
      <c r="Z1675" s="1"/>
      <c r="AA1675" s="1"/>
      <c r="AB1675" s="1"/>
      <c r="AC1675" s="1"/>
      <c r="AD1675" s="1"/>
    </row>
    <row r="1676" spans="17:30">
      <c r="Q1676" s="6">
        <v>1646</v>
      </c>
      <c r="R1676" s="7">
        <v>44313</v>
      </c>
      <c r="S1676" s="210">
        <v>4.25</v>
      </c>
      <c r="T1676" s="8">
        <v>1.0001180555555556</v>
      </c>
      <c r="U1676" s="98">
        <v>4.0562934549077667</v>
      </c>
      <c r="V1676" s="106">
        <v>30114.185802731277</v>
      </c>
      <c r="W1676" s="10">
        <v>0.93495327601924583</v>
      </c>
      <c r="X1676" s="420"/>
      <c r="Y1676" s="420"/>
      <c r="Z1676" s="1"/>
      <c r="AA1676" s="1"/>
      <c r="AB1676" s="1"/>
      <c r="AC1676" s="1"/>
      <c r="AD1676" s="1"/>
    </row>
    <row r="1677" spans="17:30">
      <c r="Q1677" s="6">
        <v>1647</v>
      </c>
      <c r="R1677" s="7">
        <v>44314</v>
      </c>
      <c r="S1677" s="210">
        <v>4.25</v>
      </c>
      <c r="T1677" s="8">
        <v>1.0001180555555556</v>
      </c>
      <c r="U1677" s="98">
        <v>4.0565035821483519</v>
      </c>
      <c r="V1677" s="106">
        <v>30116.692290844087</v>
      </c>
      <c r="W1677" s="10">
        <v>0.93516182175739093</v>
      </c>
      <c r="X1677" s="420"/>
      <c r="Y1677" s="420"/>
      <c r="Z1677" s="1"/>
      <c r="AA1677" s="1"/>
      <c r="AB1677" s="1"/>
      <c r="AC1677" s="1"/>
      <c r="AD1677" s="1"/>
    </row>
    <row r="1678" spans="17:30">
      <c r="Q1678" s="6">
        <v>1648</v>
      </c>
      <c r="R1678" s="7">
        <v>44315</v>
      </c>
      <c r="S1678" s="210">
        <v>4.25</v>
      </c>
      <c r="T1678" s="8">
        <v>1.0001180555555556</v>
      </c>
      <c r="U1678" s="98">
        <v>4.0567134548036954</v>
      </c>
      <c r="V1678" s="106">
        <v>30119.19898757893</v>
      </c>
      <c r="W1678" s="10">
        <v>0.93537011483615373</v>
      </c>
      <c r="X1678" s="420"/>
      <c r="Y1678" s="420"/>
      <c r="Z1678" s="1"/>
      <c r="AA1678" s="1"/>
      <c r="AB1678" s="1"/>
      <c r="AC1678" s="1"/>
      <c r="AD1678" s="1"/>
    </row>
    <row r="1679" spans="17:30">
      <c r="Q1679" s="6">
        <v>1649</v>
      </c>
      <c r="R1679" s="7">
        <v>44316</v>
      </c>
      <c r="S1679" s="210">
        <v>4.25</v>
      </c>
      <c r="T1679" s="8">
        <v>1.0001180555555556</v>
      </c>
      <c r="U1679" s="98">
        <v>4.0569230733362049</v>
      </c>
      <c r="V1679" s="106">
        <v>30121.70589295317</v>
      </c>
      <c r="W1679" s="10">
        <v>0.93557815571441161</v>
      </c>
      <c r="X1679" s="420"/>
      <c r="Y1679" s="420"/>
      <c r="Z1679" s="1"/>
      <c r="AA1679" s="1"/>
      <c r="AB1679" s="1"/>
      <c r="AC1679" s="1"/>
      <c r="AD1679" s="1"/>
    </row>
    <row r="1680" spans="17:30">
      <c r="Q1680" s="6">
        <v>1650</v>
      </c>
      <c r="R1680" s="7">
        <v>44317</v>
      </c>
      <c r="S1680" s="210">
        <v>4.25</v>
      </c>
      <c r="T1680" s="8">
        <v>1.0001180555555556</v>
      </c>
      <c r="U1680" s="98">
        <v>4.0571324382071339</v>
      </c>
      <c r="V1680" s="106">
        <v>30124.213006984166</v>
      </c>
      <c r="W1680" s="10">
        <v>0.93578594484993172</v>
      </c>
      <c r="X1680" s="420"/>
      <c r="Y1680" s="420"/>
      <c r="Z1680" s="1"/>
      <c r="AA1680" s="1"/>
      <c r="AB1680" s="1"/>
      <c r="AC1680" s="1"/>
      <c r="AD1680" s="1"/>
    </row>
    <row r="1681" spans="17:30">
      <c r="Q1681" s="6">
        <v>1651</v>
      </c>
      <c r="R1681" s="7">
        <v>44318</v>
      </c>
      <c r="S1681" s="210">
        <v>4.25</v>
      </c>
      <c r="T1681" s="8">
        <v>1.0001180555555556</v>
      </c>
      <c r="U1681" s="98">
        <v>4.0573415498766696</v>
      </c>
      <c r="V1681" s="106">
        <v>30126.720329689299</v>
      </c>
      <c r="W1681" s="10">
        <v>0.93599348269934879</v>
      </c>
      <c r="X1681" s="420"/>
      <c r="Y1681" s="420"/>
      <c r="Z1681" s="1"/>
      <c r="AA1681" s="1"/>
      <c r="AB1681" s="1"/>
      <c r="AC1681" s="1"/>
      <c r="AD1681" s="1"/>
    </row>
    <row r="1682" spans="17:30">
      <c r="Q1682" s="6">
        <v>1652</v>
      </c>
      <c r="R1682" s="7">
        <v>44319</v>
      </c>
      <c r="S1682" s="210">
        <v>4.25</v>
      </c>
      <c r="T1682" s="8">
        <v>1.0001180555555556</v>
      </c>
      <c r="U1682" s="98">
        <v>4.0575504088038228</v>
      </c>
      <c r="V1682" s="106">
        <v>30129.227861085932</v>
      </c>
      <c r="W1682" s="10">
        <v>0.93620076971825394</v>
      </c>
      <c r="X1682" s="420"/>
      <c r="Y1682" s="420"/>
      <c r="Z1682" s="1"/>
      <c r="AA1682" s="1"/>
      <c r="AB1682" s="1"/>
      <c r="AC1682" s="1"/>
      <c r="AD1682" s="1"/>
    </row>
    <row r="1683" spans="17:30">
      <c r="Q1683" s="6">
        <v>1653</v>
      </c>
      <c r="R1683" s="7">
        <v>44320</v>
      </c>
      <c r="S1683" s="210">
        <v>4.25</v>
      </c>
      <c r="T1683" s="8">
        <v>1.0001180555555556</v>
      </c>
      <c r="U1683" s="98">
        <v>4.0577590154465604</v>
      </c>
      <c r="V1683" s="106">
        <v>30131.735601191427</v>
      </c>
      <c r="W1683" s="10">
        <v>0.93640780636108367</v>
      </c>
      <c r="X1683" s="420"/>
      <c r="Y1683" s="420"/>
      <c r="Z1683" s="1"/>
      <c r="AA1683" s="1"/>
      <c r="AB1683" s="1"/>
      <c r="AC1683" s="1"/>
      <c r="AD1683" s="1"/>
    </row>
    <row r="1684" spans="17:30">
      <c r="Q1684" s="6">
        <v>1654</v>
      </c>
      <c r="R1684" s="7">
        <v>44321</v>
      </c>
      <c r="S1684" s="210">
        <v>4.25</v>
      </c>
      <c r="T1684" s="8">
        <v>1.0001180555555556</v>
      </c>
      <c r="U1684" s="98">
        <v>4.0579673702617169</v>
      </c>
      <c r="V1684" s="106">
        <v>30134.24355002317</v>
      </c>
      <c r="W1684" s="10">
        <v>0.93661459308120865</v>
      </c>
      <c r="X1684" s="420"/>
      <c r="Y1684" s="420"/>
      <c r="Z1684" s="1"/>
      <c r="AA1684" s="1"/>
      <c r="AB1684" s="1"/>
      <c r="AC1684" s="1"/>
      <c r="AD1684" s="1"/>
    </row>
    <row r="1685" spans="17:30">
      <c r="Q1685" s="6">
        <v>1655</v>
      </c>
      <c r="R1685" s="7">
        <v>44322</v>
      </c>
      <c r="S1685" s="210">
        <v>4.25</v>
      </c>
      <c r="T1685" s="8">
        <v>1.0001180555555556</v>
      </c>
      <c r="U1685" s="98">
        <v>4.0581754737049947</v>
      </c>
      <c r="V1685" s="106">
        <v>30136.75170759852</v>
      </c>
      <c r="W1685" s="10">
        <v>0.93682113033088932</v>
      </c>
      <c r="X1685" s="420"/>
      <c r="Y1685" s="420"/>
      <c r="Z1685" s="1"/>
      <c r="AA1685" s="1"/>
      <c r="AB1685" s="1"/>
      <c r="AC1685" s="1"/>
      <c r="AD1685" s="1"/>
    </row>
    <row r="1686" spans="17:30">
      <c r="Q1686" s="6">
        <v>1656</v>
      </c>
      <c r="R1686" s="7">
        <v>44323</v>
      </c>
      <c r="S1686" s="210">
        <v>4.25</v>
      </c>
      <c r="T1686" s="8">
        <v>1.0001180555555556</v>
      </c>
      <c r="U1686" s="98">
        <v>4.058383326231052</v>
      </c>
      <c r="V1686" s="106">
        <v>30139.260073934853</v>
      </c>
      <c r="W1686" s="10">
        <v>0.93702741856132032</v>
      </c>
      <c r="X1686" s="420"/>
      <c r="Y1686" s="420"/>
      <c r="Z1686" s="1"/>
      <c r="AA1686" s="1"/>
      <c r="AB1686" s="1"/>
      <c r="AC1686" s="1"/>
      <c r="AD1686" s="1"/>
    </row>
    <row r="1687" spans="17:30">
      <c r="Q1687" s="6">
        <v>1657</v>
      </c>
      <c r="R1687" s="7">
        <v>44324</v>
      </c>
      <c r="S1687" s="210">
        <v>4.25</v>
      </c>
      <c r="T1687" s="8">
        <v>1.0001180555555556</v>
      </c>
      <c r="U1687" s="98">
        <v>4.0585909282934152</v>
      </c>
      <c r="V1687" s="106">
        <v>30141.768649049558</v>
      </c>
      <c r="W1687" s="10">
        <v>0.93723345822254167</v>
      </c>
      <c r="X1687" s="420"/>
      <c r="Y1687" s="420"/>
      <c r="Z1687" s="1"/>
      <c r="AA1687" s="1"/>
      <c r="AB1687" s="1"/>
      <c r="AC1687" s="1"/>
      <c r="AD1687" s="1"/>
    </row>
    <row r="1688" spans="17:30">
      <c r="Q1688" s="6">
        <v>1658</v>
      </c>
      <c r="R1688" s="7">
        <v>44325</v>
      </c>
      <c r="S1688" s="210">
        <v>4.25</v>
      </c>
      <c r="T1688" s="8">
        <v>1.0001180555555556</v>
      </c>
      <c r="U1688" s="98">
        <v>4.0587982803445222</v>
      </c>
      <c r="V1688" s="106">
        <v>30144.277432959996</v>
      </c>
      <c r="W1688" s="10">
        <v>0.93743924976361637</v>
      </c>
      <c r="X1688" s="420"/>
      <c r="Y1688" s="420"/>
      <c r="Z1688" s="1"/>
      <c r="AA1688" s="1"/>
      <c r="AB1688" s="1"/>
      <c r="AC1688" s="1"/>
      <c r="AD1688" s="1"/>
    </row>
    <row r="1689" spans="17:30">
      <c r="Q1689" s="6">
        <v>1659</v>
      </c>
      <c r="R1689" s="7">
        <v>44326</v>
      </c>
      <c r="S1689" s="210">
        <v>4.25</v>
      </c>
      <c r="T1689" s="8">
        <v>1.0001180555555556</v>
      </c>
      <c r="U1689" s="98">
        <v>4.0590053828357231</v>
      </c>
      <c r="V1689" s="106">
        <v>30146.705487174917</v>
      </c>
      <c r="W1689" s="10">
        <v>0.93770441672933469</v>
      </c>
      <c r="X1689" s="420"/>
      <c r="Y1689" s="420"/>
      <c r="Z1689" s="1"/>
      <c r="AA1689" s="1"/>
      <c r="AB1689" s="1"/>
      <c r="AC1689" s="1"/>
      <c r="AD1689" s="1"/>
    </row>
    <row r="1690" spans="17:30">
      <c r="Q1690" s="6">
        <v>1660</v>
      </c>
      <c r="R1690" s="7">
        <v>44327</v>
      </c>
      <c r="S1690" s="210">
        <v>4.25</v>
      </c>
      <c r="T1690" s="8">
        <v>1.0001180555555556</v>
      </c>
      <c r="U1690" s="98">
        <v>4.05921223621728</v>
      </c>
      <c r="V1690" s="106">
        <v>30149.133736964188</v>
      </c>
      <c r="W1690" s="10">
        <v>0.93796926491214183</v>
      </c>
      <c r="X1690" s="420"/>
      <c r="Y1690" s="420"/>
      <c r="Z1690" s="1"/>
      <c r="AA1690" s="1"/>
      <c r="AB1690" s="1"/>
      <c r="AC1690" s="1"/>
      <c r="AD1690" s="1"/>
    </row>
    <row r="1691" spans="17:30">
      <c r="Q1691" s="6">
        <v>1661</v>
      </c>
      <c r="R1691" s="7">
        <v>44328</v>
      </c>
      <c r="S1691" s="210">
        <v>4.25</v>
      </c>
      <c r="T1691" s="8">
        <v>1.0001180555555556</v>
      </c>
      <c r="U1691" s="98">
        <v>4.0594188409383891</v>
      </c>
      <c r="V1691" s="106">
        <v>30151.56218234355</v>
      </c>
      <c r="W1691" s="10">
        <v>0.9382337948865116</v>
      </c>
      <c r="X1691" s="420"/>
      <c r="Y1691" s="420"/>
      <c r="Z1691" s="1"/>
      <c r="AA1691" s="1"/>
      <c r="AB1691" s="1"/>
      <c r="AC1691" s="1"/>
      <c r="AD1691" s="1"/>
    </row>
    <row r="1692" spans="17:30">
      <c r="Q1692" s="6">
        <v>1662</v>
      </c>
      <c r="R1692" s="7">
        <v>44329</v>
      </c>
      <c r="S1692" s="210">
        <v>4.25</v>
      </c>
      <c r="T1692" s="8">
        <v>1.0001180555555556</v>
      </c>
      <c r="U1692" s="98">
        <v>4.0596251974471587</v>
      </c>
      <c r="V1692" s="106">
        <v>30153.990823328764</v>
      </c>
      <c r="W1692" s="10">
        <v>0.93849800722562993</v>
      </c>
      <c r="X1692" s="420"/>
      <c r="Y1692" s="420"/>
      <c r="Z1692" s="1"/>
      <c r="AA1692" s="1"/>
      <c r="AB1692" s="1"/>
      <c r="AC1692" s="1"/>
      <c r="AD1692" s="1"/>
    </row>
    <row r="1693" spans="17:30">
      <c r="Q1693" s="6">
        <v>1663</v>
      </c>
      <c r="R1693" s="7">
        <v>44330</v>
      </c>
      <c r="S1693" s="210">
        <v>4.25</v>
      </c>
      <c r="T1693" s="8">
        <v>1.0001180555555556</v>
      </c>
      <c r="U1693" s="98">
        <v>4.059831306190631</v>
      </c>
      <c r="V1693" s="106">
        <v>30156.419659935586</v>
      </c>
      <c r="W1693" s="10">
        <v>0.93876190250123948</v>
      </c>
      <c r="X1693" s="420"/>
      <c r="Y1693" s="420"/>
      <c r="Z1693" s="1"/>
      <c r="AA1693" s="1"/>
      <c r="AB1693" s="1"/>
      <c r="AC1693" s="1"/>
      <c r="AD1693" s="1"/>
    </row>
    <row r="1694" spans="17:30">
      <c r="Q1694" s="6">
        <v>1664</v>
      </c>
      <c r="R1694" s="7">
        <v>44331</v>
      </c>
      <c r="S1694" s="210">
        <v>4.25</v>
      </c>
      <c r="T1694" s="8">
        <v>1.0001180555555556</v>
      </c>
      <c r="U1694" s="98">
        <v>4.0600371676147384</v>
      </c>
      <c r="V1694" s="106">
        <v>30158.848692179767</v>
      </c>
      <c r="W1694" s="10">
        <v>0.93902548128370622</v>
      </c>
      <c r="X1694" s="420"/>
      <c r="Y1694" s="420"/>
      <c r="Z1694" s="1"/>
      <c r="AA1694" s="1"/>
      <c r="AB1694" s="1"/>
      <c r="AC1694" s="1"/>
      <c r="AD1694" s="1"/>
    </row>
    <row r="1695" spans="17:30">
      <c r="Q1695" s="6">
        <v>1665</v>
      </c>
      <c r="R1695" s="7">
        <v>44332</v>
      </c>
      <c r="S1695" s="210">
        <v>4.25</v>
      </c>
      <c r="T1695" s="8">
        <v>1.0001180555555556</v>
      </c>
      <c r="U1695" s="98">
        <v>4.0602427821643694</v>
      </c>
      <c r="V1695" s="106">
        <v>30161.277920077075</v>
      </c>
      <c r="W1695" s="10">
        <v>0.93928874414204166</v>
      </c>
      <c r="X1695" s="420"/>
      <c r="Y1695" s="420"/>
      <c r="Z1695" s="1"/>
      <c r="AA1695" s="1"/>
      <c r="AB1695" s="1"/>
      <c r="AC1695" s="1"/>
      <c r="AD1695" s="1"/>
    </row>
    <row r="1696" spans="17:30">
      <c r="Q1696" s="6">
        <v>1666</v>
      </c>
      <c r="R1696" s="7">
        <v>44333</v>
      </c>
      <c r="S1696" s="210">
        <v>4.25</v>
      </c>
      <c r="T1696" s="8">
        <v>1.0001180555555556</v>
      </c>
      <c r="U1696" s="98">
        <v>4.0604481502833689</v>
      </c>
      <c r="V1696" s="106">
        <v>30163.707343643266</v>
      </c>
      <c r="W1696" s="10">
        <v>0.93955169164394725</v>
      </c>
      <c r="X1696" s="420"/>
      <c r="Y1696" s="420"/>
      <c r="Z1696" s="1"/>
      <c r="AA1696" s="1"/>
      <c r="AB1696" s="1"/>
      <c r="AC1696" s="1"/>
      <c r="AD1696" s="1"/>
    </row>
    <row r="1697" spans="17:30">
      <c r="Q1697" s="6">
        <v>1667</v>
      </c>
      <c r="R1697" s="7">
        <v>44334</v>
      </c>
      <c r="S1697" s="210">
        <v>4.25</v>
      </c>
      <c r="T1697" s="8">
        <v>1.0001180555555556</v>
      </c>
      <c r="U1697" s="98">
        <v>4.0606532724144717</v>
      </c>
      <c r="V1697" s="106">
        <v>30166.136962894096</v>
      </c>
      <c r="W1697" s="10">
        <v>0.93981432435568113</v>
      </c>
      <c r="X1697" s="420"/>
      <c r="Y1697" s="420"/>
      <c r="Z1697" s="1"/>
      <c r="AA1697" s="1"/>
      <c r="AB1697" s="1"/>
      <c r="AC1697" s="1"/>
      <c r="AD1697" s="1"/>
    </row>
    <row r="1698" spans="17:30">
      <c r="Q1698" s="6">
        <v>1668</v>
      </c>
      <c r="R1698" s="7">
        <v>44335</v>
      </c>
      <c r="S1698" s="210">
        <v>4.25</v>
      </c>
      <c r="T1698" s="8">
        <v>1.0001180555555556</v>
      </c>
      <c r="U1698" s="98">
        <v>4.0608581489993911</v>
      </c>
      <c r="V1698" s="106">
        <v>30168.566777845324</v>
      </c>
      <c r="W1698" s="10">
        <v>0.94007664284219139</v>
      </c>
      <c r="X1698" s="420"/>
      <c r="Y1698" s="420"/>
      <c r="Z1698" s="1"/>
      <c r="AA1698" s="1"/>
      <c r="AB1698" s="1"/>
      <c r="AC1698" s="1"/>
      <c r="AD1698" s="1"/>
    </row>
    <row r="1699" spans="17:30">
      <c r="Q1699" s="6">
        <v>1669</v>
      </c>
      <c r="R1699" s="7">
        <v>44336</v>
      </c>
      <c r="S1699" s="210">
        <v>4.25</v>
      </c>
      <c r="T1699" s="8">
        <v>1.0001180555555556</v>
      </c>
      <c r="U1699" s="98">
        <v>4.0610627804787525</v>
      </c>
      <c r="V1699" s="106">
        <v>30170.996788512726</v>
      </c>
      <c r="W1699" s="10">
        <v>0.94033864766709385</v>
      </c>
      <c r="X1699" s="420"/>
      <c r="Y1699" s="420"/>
      <c r="Z1699" s="1"/>
      <c r="AA1699" s="1"/>
      <c r="AB1699" s="1"/>
      <c r="AC1699" s="1"/>
      <c r="AD1699" s="1"/>
    </row>
    <row r="1700" spans="17:30">
      <c r="Q1700" s="6">
        <v>1670</v>
      </c>
      <c r="R1700" s="7">
        <v>44337</v>
      </c>
      <c r="S1700" s="210">
        <v>4.25</v>
      </c>
      <c r="T1700" s="8">
        <v>1.0001180555555556</v>
      </c>
      <c r="U1700" s="98">
        <v>4.0612671672921374</v>
      </c>
      <c r="V1700" s="106">
        <v>30173.426994912053</v>
      </c>
      <c r="W1700" s="10">
        <v>0.94060033939258325</v>
      </c>
      <c r="X1700" s="420"/>
      <c r="Y1700" s="420"/>
      <c r="Z1700" s="1"/>
      <c r="AA1700" s="1"/>
      <c r="AB1700" s="1"/>
      <c r="AC1700" s="1"/>
      <c r="AD1700" s="1"/>
    </row>
    <row r="1701" spans="17:30">
      <c r="Q1701" s="6">
        <v>1671</v>
      </c>
      <c r="R1701" s="7">
        <v>44338</v>
      </c>
      <c r="S1701" s="210">
        <v>4.25</v>
      </c>
      <c r="T1701" s="8">
        <v>1.0001180555555556</v>
      </c>
      <c r="U1701" s="98">
        <v>4.0614713098781063</v>
      </c>
      <c r="V1701" s="106">
        <v>30175.857397059081</v>
      </c>
      <c r="W1701" s="10">
        <v>0.94086171857961087</v>
      </c>
      <c r="X1701" s="420"/>
      <c r="Y1701" s="420"/>
      <c r="Z1701" s="1"/>
      <c r="AA1701" s="1"/>
      <c r="AB1701" s="1"/>
      <c r="AC1701" s="1"/>
      <c r="AD1701" s="1"/>
    </row>
    <row r="1702" spans="17:30">
      <c r="Q1702" s="6">
        <v>1672</v>
      </c>
      <c r="R1702" s="7">
        <v>44339</v>
      </c>
      <c r="S1702" s="210">
        <v>4.25</v>
      </c>
      <c r="T1702" s="8">
        <v>1.0001180555555556</v>
      </c>
      <c r="U1702" s="98">
        <v>4.0616752086741315</v>
      </c>
      <c r="V1702" s="106">
        <v>30178.287994969574</v>
      </c>
      <c r="W1702" s="10">
        <v>0.94112278578770692</v>
      </c>
      <c r="X1702" s="420"/>
      <c r="Y1702" s="420"/>
      <c r="Z1702" s="1"/>
      <c r="AA1702" s="1"/>
      <c r="AB1702" s="1"/>
      <c r="AC1702" s="1"/>
      <c r="AD1702" s="1"/>
    </row>
    <row r="1703" spans="17:30">
      <c r="Q1703" s="6">
        <v>1673</v>
      </c>
      <c r="R1703" s="7">
        <v>44340</v>
      </c>
      <c r="S1703" s="210">
        <v>4.25</v>
      </c>
      <c r="T1703" s="8">
        <v>1.0001180555555556</v>
      </c>
      <c r="U1703" s="98">
        <v>4.0618788641166637</v>
      </c>
      <c r="V1703" s="106">
        <v>30180.718788659298</v>
      </c>
      <c r="W1703" s="10">
        <v>0.94138354157511372</v>
      </c>
      <c r="X1703" s="420"/>
      <c r="Y1703" s="420"/>
      <c r="Z1703" s="1"/>
      <c r="AA1703" s="1"/>
      <c r="AB1703" s="1"/>
      <c r="AC1703" s="1"/>
      <c r="AD1703" s="1"/>
    </row>
    <row r="1704" spans="17:30">
      <c r="Q1704" s="6">
        <v>1674</v>
      </c>
      <c r="R1704" s="7">
        <v>44341</v>
      </c>
      <c r="S1704" s="210">
        <v>4.25</v>
      </c>
      <c r="T1704" s="8">
        <v>1.0001180555555556</v>
      </c>
      <c r="U1704" s="98">
        <v>4.0620822766411102</v>
      </c>
      <c r="V1704" s="106">
        <v>30183.14977814403</v>
      </c>
      <c r="W1704" s="10">
        <v>0.94164398649871917</v>
      </c>
      <c r="X1704" s="420"/>
      <c r="Y1704" s="420"/>
      <c r="Z1704" s="1"/>
      <c r="AA1704" s="1"/>
      <c r="AB1704" s="1"/>
      <c r="AC1704" s="1"/>
      <c r="AD1704" s="1"/>
    </row>
    <row r="1705" spans="17:30">
      <c r="Q1705" s="6">
        <v>1675</v>
      </c>
      <c r="R1705" s="7">
        <v>44342</v>
      </c>
      <c r="S1705" s="210">
        <v>4.25</v>
      </c>
      <c r="T1705" s="8">
        <v>1.0001180555555556</v>
      </c>
      <c r="U1705" s="98">
        <v>4.0622854466818348</v>
      </c>
      <c r="V1705" s="106">
        <v>30185.58096343953</v>
      </c>
      <c r="W1705" s="10">
        <v>0.94190412111410105</v>
      </c>
      <c r="X1705" s="420"/>
      <c r="Y1705" s="420"/>
      <c r="Z1705" s="1"/>
      <c r="AA1705" s="1"/>
      <c r="AB1705" s="1"/>
      <c r="AC1705" s="1"/>
      <c r="AD1705" s="1"/>
    </row>
    <row r="1706" spans="17:30">
      <c r="Q1706" s="6">
        <v>1676</v>
      </c>
      <c r="R1706" s="7">
        <v>44343</v>
      </c>
      <c r="S1706" s="210">
        <v>4.25</v>
      </c>
      <c r="T1706" s="8">
        <v>1.0001180555555556</v>
      </c>
      <c r="U1706" s="98">
        <v>4.0624883746721796</v>
      </c>
      <c r="V1706" s="106">
        <v>30188.012344561572</v>
      </c>
      <c r="W1706" s="10">
        <v>0.9421639459755049</v>
      </c>
      <c r="X1706" s="420"/>
      <c r="Y1706" s="420"/>
      <c r="Z1706" s="1"/>
      <c r="AA1706" s="1"/>
      <c r="AB1706" s="1"/>
      <c r="AC1706" s="1"/>
      <c r="AD1706" s="1"/>
    </row>
    <row r="1707" spans="17:30">
      <c r="Q1707" s="6">
        <v>1677</v>
      </c>
      <c r="R1707" s="7">
        <v>44344</v>
      </c>
      <c r="S1707" s="210">
        <v>4.25</v>
      </c>
      <c r="T1707" s="8">
        <v>1.0001180555555556</v>
      </c>
      <c r="U1707" s="98">
        <v>4.0626910610444211</v>
      </c>
      <c r="V1707" s="106">
        <v>30190.443921525941</v>
      </c>
      <c r="W1707" s="10">
        <v>0.94242346163584401</v>
      </c>
      <c r="X1707" s="420"/>
      <c r="Y1707" s="420"/>
      <c r="Z1707" s="1"/>
      <c r="AA1707" s="1"/>
      <c r="AB1707" s="1"/>
      <c r="AC1707" s="1"/>
      <c r="AD1707" s="1"/>
    </row>
    <row r="1708" spans="17:30">
      <c r="Q1708" s="6">
        <v>1678</v>
      </c>
      <c r="R1708" s="7">
        <v>44345</v>
      </c>
      <c r="S1708" s="210">
        <v>4.25</v>
      </c>
      <c r="T1708" s="8">
        <v>1.0001180555555556</v>
      </c>
      <c r="U1708" s="98">
        <v>4.0628935062298366</v>
      </c>
      <c r="V1708" s="106">
        <v>30192.875694348397</v>
      </c>
      <c r="W1708" s="10">
        <v>0.94268266864676598</v>
      </c>
      <c r="X1708" s="420"/>
      <c r="Y1708" s="420"/>
      <c r="Z1708" s="1"/>
      <c r="AA1708" s="1"/>
      <c r="AB1708" s="1"/>
      <c r="AC1708" s="1"/>
      <c r="AD1708" s="1"/>
    </row>
    <row r="1709" spans="17:30">
      <c r="Q1709" s="6">
        <v>1679</v>
      </c>
      <c r="R1709" s="7">
        <v>44346</v>
      </c>
      <c r="S1709" s="210">
        <v>4.25</v>
      </c>
      <c r="T1709" s="8">
        <v>1.0001180555555556</v>
      </c>
      <c r="U1709" s="98">
        <v>4.0630957106586818</v>
      </c>
      <c r="V1709" s="106">
        <v>30195.307663044721</v>
      </c>
      <c r="W1709" s="10">
        <v>0.94294156755851954</v>
      </c>
      <c r="X1709" s="420"/>
      <c r="Y1709" s="420"/>
      <c r="Z1709" s="1"/>
      <c r="AA1709" s="1"/>
      <c r="AB1709" s="1"/>
      <c r="AC1709" s="1"/>
      <c r="AD1709" s="1"/>
    </row>
    <row r="1710" spans="17:30">
      <c r="Q1710" s="6">
        <v>1680</v>
      </c>
      <c r="R1710" s="7">
        <v>44347</v>
      </c>
      <c r="S1710" s="210">
        <v>4.25</v>
      </c>
      <c r="T1710" s="8">
        <v>1.0001180555555556</v>
      </c>
      <c r="U1710" s="98">
        <v>4.063297674760169</v>
      </c>
      <c r="V1710" s="106">
        <v>30197.739827630696</v>
      </c>
      <c r="W1710" s="10">
        <v>0.94320015892015441</v>
      </c>
      <c r="X1710" s="420"/>
      <c r="Y1710" s="420"/>
      <c r="Z1710" s="1"/>
      <c r="AA1710" s="1"/>
      <c r="AB1710" s="1"/>
      <c r="AC1710" s="1"/>
      <c r="AD1710" s="1"/>
    </row>
    <row r="1711" spans="17:30">
      <c r="Q1711" s="6">
        <v>1681</v>
      </c>
      <c r="R1711" s="7">
        <v>44348</v>
      </c>
      <c r="S1711" s="210">
        <v>4.25</v>
      </c>
      <c r="T1711" s="8">
        <v>1.0001180555555556</v>
      </c>
      <c r="U1711" s="98">
        <v>4.0634993989625112</v>
      </c>
      <c r="V1711" s="106">
        <v>30200.172188122095</v>
      </c>
      <c r="W1711" s="10">
        <v>0.94345844327932138</v>
      </c>
      <c r="X1711" s="420"/>
      <c r="Y1711" s="420"/>
      <c r="Z1711" s="1"/>
      <c r="AA1711" s="1"/>
      <c r="AB1711" s="1"/>
      <c r="AC1711" s="1"/>
      <c r="AD1711" s="1"/>
    </row>
    <row r="1712" spans="17:30">
      <c r="Q1712" s="6">
        <v>1682</v>
      </c>
      <c r="R1712" s="7">
        <v>44349</v>
      </c>
      <c r="S1712" s="210">
        <v>4.25</v>
      </c>
      <c r="T1712" s="8">
        <v>1.0001180555555556</v>
      </c>
      <c r="U1712" s="98">
        <v>4.0637008836928779</v>
      </c>
      <c r="V1712" s="106">
        <v>30202.604744534692</v>
      </c>
      <c r="W1712" s="10">
        <v>0.94371642118240562</v>
      </c>
      <c r="X1712" s="420"/>
      <c r="Y1712" s="420"/>
      <c r="Z1712" s="1"/>
      <c r="AA1712" s="1"/>
      <c r="AB1712" s="1"/>
      <c r="AC1712" s="1"/>
      <c r="AD1712" s="1"/>
    </row>
    <row r="1713" spans="17:30">
      <c r="Q1713" s="6">
        <v>1683</v>
      </c>
      <c r="R1713" s="7">
        <v>44350</v>
      </c>
      <c r="S1713" s="210">
        <v>4.25</v>
      </c>
      <c r="T1713" s="8">
        <v>1.0001180555555556</v>
      </c>
      <c r="U1713" s="98">
        <v>4.0639021293774391</v>
      </c>
      <c r="V1713" s="106">
        <v>30205.037496884281</v>
      </c>
      <c r="W1713" s="10">
        <v>0.94397409317450443</v>
      </c>
      <c r="X1713" s="420"/>
      <c r="Y1713" s="420"/>
      <c r="Z1713" s="1"/>
      <c r="AA1713" s="1"/>
      <c r="AB1713" s="1"/>
      <c r="AC1713" s="1"/>
      <c r="AD1713" s="1"/>
    </row>
    <row r="1714" spans="17:30">
      <c r="Q1714" s="6">
        <v>1684</v>
      </c>
      <c r="R1714" s="7">
        <v>44351</v>
      </c>
      <c r="S1714" s="210">
        <v>4.25</v>
      </c>
      <c r="T1714" s="8">
        <v>1.0001180555555556</v>
      </c>
      <c r="U1714" s="98">
        <v>4.064103136441366</v>
      </c>
      <c r="V1714" s="106">
        <v>30207.470445186635</v>
      </c>
      <c r="W1714" s="10">
        <v>0.94423145979944945</v>
      </c>
      <c r="X1714" s="420"/>
      <c r="Y1714" s="420"/>
      <c r="Z1714" s="1"/>
      <c r="AA1714" s="1"/>
      <c r="AB1714" s="1"/>
      <c r="AC1714" s="1"/>
      <c r="AD1714" s="1"/>
    </row>
    <row r="1715" spans="17:30">
      <c r="Q1715" s="6">
        <v>1685</v>
      </c>
      <c r="R1715" s="7">
        <v>44352</v>
      </c>
      <c r="S1715" s="210">
        <v>4.25</v>
      </c>
      <c r="T1715" s="8">
        <v>1.0001180555555556</v>
      </c>
      <c r="U1715" s="98">
        <v>4.0643039053088081</v>
      </c>
      <c r="V1715" s="106">
        <v>30209.903589457543</v>
      </c>
      <c r="W1715" s="10">
        <v>0.94448852159974006</v>
      </c>
      <c r="X1715" s="420"/>
      <c r="Y1715" s="420"/>
      <c r="Z1715" s="1"/>
      <c r="AA1715" s="1"/>
      <c r="AB1715" s="1"/>
      <c r="AC1715" s="1"/>
      <c r="AD1715" s="1"/>
    </row>
    <row r="1716" spans="17:30">
      <c r="Q1716" s="6">
        <v>1686</v>
      </c>
      <c r="R1716" s="7">
        <v>44353</v>
      </c>
      <c r="S1716" s="210">
        <v>4.25</v>
      </c>
      <c r="T1716" s="8">
        <v>1.0001180555555556</v>
      </c>
      <c r="U1716" s="98">
        <v>4.0645044364029159</v>
      </c>
      <c r="V1716" s="106">
        <v>30212.336929712783</v>
      </c>
      <c r="W1716" s="10">
        <v>0.94474527911658779</v>
      </c>
      <c r="X1716" s="420"/>
      <c r="Y1716" s="420"/>
      <c r="Z1716" s="1"/>
      <c r="AA1716" s="1"/>
      <c r="AB1716" s="1"/>
      <c r="AC1716" s="1"/>
      <c r="AD1716" s="1"/>
    </row>
    <row r="1717" spans="17:30">
      <c r="Q1717" s="6">
        <v>1687</v>
      </c>
      <c r="R1717" s="7">
        <v>44354</v>
      </c>
      <c r="S1717" s="210">
        <v>4.25</v>
      </c>
      <c r="T1717" s="8">
        <v>1.0001180555555556</v>
      </c>
      <c r="U1717" s="98">
        <v>4.0647047301458405</v>
      </c>
      <c r="V1717" s="106">
        <v>30214.770465968148</v>
      </c>
      <c r="W1717" s="10">
        <v>0.9450017328899607</v>
      </c>
      <c r="X1717" s="420"/>
      <c r="Y1717" s="420"/>
      <c r="Z1717" s="1"/>
      <c r="AA1717" s="1"/>
      <c r="AB1717" s="1"/>
      <c r="AC1717" s="1"/>
      <c r="AD1717" s="1"/>
    </row>
    <row r="1718" spans="17:30">
      <c r="Q1718" s="6">
        <v>1688</v>
      </c>
      <c r="R1718" s="7">
        <v>44355</v>
      </c>
      <c r="S1718" s="210">
        <v>4.25</v>
      </c>
      <c r="T1718" s="8">
        <v>1.0001180555555556</v>
      </c>
      <c r="U1718" s="98">
        <v>4.064904786958734</v>
      </c>
      <c r="V1718" s="106">
        <v>30217.204198239418</v>
      </c>
      <c r="W1718" s="10">
        <v>0.9452578834585168</v>
      </c>
      <c r="X1718" s="420"/>
      <c r="Y1718" s="420"/>
      <c r="Z1718" s="1"/>
      <c r="AA1718" s="1"/>
      <c r="AB1718" s="1"/>
      <c r="AC1718" s="1"/>
      <c r="AD1718" s="1"/>
    </row>
    <row r="1719" spans="17:30">
      <c r="Q1719" s="6">
        <v>1689</v>
      </c>
      <c r="R1719" s="7">
        <v>44356</v>
      </c>
      <c r="S1719" s="210">
        <v>4.25</v>
      </c>
      <c r="T1719" s="8">
        <v>1.0001180555555556</v>
      </c>
      <c r="U1719" s="98">
        <v>4.065104607261727</v>
      </c>
      <c r="V1719" s="106">
        <v>30219.638126542395</v>
      </c>
      <c r="W1719" s="10">
        <v>0.94551373135967065</v>
      </c>
      <c r="X1719" s="420"/>
      <c r="Y1719" s="420"/>
      <c r="Z1719" s="1"/>
      <c r="AA1719" s="1"/>
      <c r="AB1719" s="1"/>
      <c r="AC1719" s="1"/>
      <c r="AD1719" s="1"/>
    </row>
    <row r="1720" spans="17:30">
      <c r="Q1720" s="6">
        <v>1690</v>
      </c>
      <c r="R1720" s="7">
        <v>44357</v>
      </c>
      <c r="S1720" s="210">
        <v>4.25</v>
      </c>
      <c r="T1720" s="8">
        <v>1.0001180555555556</v>
      </c>
      <c r="U1720" s="98">
        <v>4.0653041914739951</v>
      </c>
      <c r="V1720" s="106">
        <v>30222.153391747761</v>
      </c>
      <c r="W1720" s="10">
        <v>0.94571074303393399</v>
      </c>
      <c r="X1720" s="420"/>
      <c r="Y1720" s="420"/>
      <c r="Z1720" s="1"/>
      <c r="AA1720" s="1"/>
      <c r="AB1720" s="1"/>
      <c r="AC1720" s="1"/>
      <c r="AD1720" s="1"/>
    </row>
    <row r="1721" spans="17:30">
      <c r="Q1721" s="6">
        <v>1691</v>
      </c>
      <c r="R1721" s="7">
        <v>44358</v>
      </c>
      <c r="S1721" s="210">
        <v>4.25</v>
      </c>
      <c r="T1721" s="8">
        <v>1.0001180555555556</v>
      </c>
      <c r="U1721" s="98">
        <v>4.0655035400137152</v>
      </c>
      <c r="V1721" s="106">
        <v>30224.668866305707</v>
      </c>
      <c r="W1721" s="10">
        <v>0.94590752207996953</v>
      </c>
      <c r="X1721" s="420"/>
      <c r="Y1721" s="420"/>
      <c r="Z1721" s="1"/>
      <c r="AA1721" s="1"/>
      <c r="AB1721" s="1"/>
      <c r="AC1721" s="1"/>
      <c r="AD1721" s="1"/>
    </row>
    <row r="1722" spans="17:30">
      <c r="Q1722" s="6">
        <v>1692</v>
      </c>
      <c r="R1722" s="7">
        <v>44359</v>
      </c>
      <c r="S1722" s="210">
        <v>4.25</v>
      </c>
      <c r="T1722" s="8">
        <v>1.0001180555555556</v>
      </c>
      <c r="U1722" s="98">
        <v>4.0657026532980645</v>
      </c>
      <c r="V1722" s="106">
        <v>30227.184550233647</v>
      </c>
      <c r="W1722" s="10">
        <v>0.94610406890960341</v>
      </c>
      <c r="X1722" s="420"/>
      <c r="Y1722" s="420"/>
      <c r="Z1722" s="1"/>
      <c r="AA1722" s="1"/>
      <c r="AB1722" s="1"/>
      <c r="AC1722" s="1"/>
      <c r="AD1722" s="1"/>
    </row>
    <row r="1723" spans="17:30">
      <c r="Q1723" s="6">
        <v>1693</v>
      </c>
      <c r="R1723" s="7">
        <v>44360</v>
      </c>
      <c r="S1723" s="210">
        <v>4.25</v>
      </c>
      <c r="T1723" s="8">
        <v>1.0001180555555556</v>
      </c>
      <c r="U1723" s="98">
        <v>4.0659015317432434</v>
      </c>
      <c r="V1723" s="106">
        <v>30229.700443549016</v>
      </c>
      <c r="W1723" s="10">
        <v>0.94630038393361815</v>
      </c>
      <c r="X1723" s="420"/>
      <c r="Y1723" s="420"/>
      <c r="Z1723" s="1"/>
      <c r="AA1723" s="1"/>
      <c r="AB1723" s="1"/>
      <c r="AC1723" s="1"/>
      <c r="AD1723" s="1"/>
    </row>
    <row r="1724" spans="17:30">
      <c r="Q1724" s="6">
        <v>1694</v>
      </c>
      <c r="R1724" s="7">
        <v>44361</v>
      </c>
      <c r="S1724" s="210">
        <v>4.25</v>
      </c>
      <c r="T1724" s="8">
        <v>1.0001180555555556</v>
      </c>
      <c r="U1724" s="98">
        <v>4.0661001757644533</v>
      </c>
      <c r="V1724" s="106">
        <v>30232.216546269236</v>
      </c>
      <c r="W1724" s="10">
        <v>0.94649646756184147</v>
      </c>
      <c r="X1724" s="420"/>
      <c r="Y1724" s="420"/>
      <c r="Z1724" s="1"/>
      <c r="AA1724" s="1"/>
      <c r="AB1724" s="1"/>
      <c r="AC1724" s="1"/>
      <c r="AD1724" s="1"/>
    </row>
    <row r="1725" spans="17:30">
      <c r="Q1725" s="6">
        <v>1695</v>
      </c>
      <c r="R1725" s="7">
        <v>44362</v>
      </c>
      <c r="S1725" s="210">
        <v>4.25</v>
      </c>
      <c r="T1725" s="8">
        <v>1.0001180555555556</v>
      </c>
      <c r="U1725" s="98">
        <v>4.0662985857759404</v>
      </c>
      <c r="V1725" s="106">
        <v>30234.732858411739</v>
      </c>
      <c r="W1725" s="10">
        <v>0.94669232020314631</v>
      </c>
      <c r="X1725" s="420"/>
      <c r="Y1725" s="420"/>
      <c r="Z1725" s="1"/>
      <c r="AA1725" s="1"/>
      <c r="AB1725" s="1"/>
      <c r="AC1725" s="1"/>
      <c r="AD1725" s="1"/>
    </row>
    <row r="1726" spans="17:30">
      <c r="Q1726" s="6">
        <v>1696</v>
      </c>
      <c r="R1726" s="7">
        <v>44363</v>
      </c>
      <c r="S1726" s="210">
        <v>4.25</v>
      </c>
      <c r="T1726" s="8">
        <v>1.0001180555555556</v>
      </c>
      <c r="U1726" s="98">
        <v>4.0664967621909742</v>
      </c>
      <c r="V1726" s="106">
        <v>30237.249379993962</v>
      </c>
      <c r="W1726" s="10">
        <v>0.94688794226547301</v>
      </c>
      <c r="X1726" s="420"/>
      <c r="Y1726" s="420"/>
      <c r="Z1726" s="1"/>
      <c r="AA1726" s="1"/>
      <c r="AB1726" s="1"/>
      <c r="AC1726" s="1"/>
      <c r="AD1726" s="1"/>
    </row>
    <row r="1727" spans="17:30">
      <c r="Q1727" s="6">
        <v>1697</v>
      </c>
      <c r="R1727" s="7">
        <v>44364</v>
      </c>
      <c r="S1727" s="210">
        <v>4.25</v>
      </c>
      <c r="T1727" s="8">
        <v>1.0001180555555556</v>
      </c>
      <c r="U1727" s="98">
        <v>4.0666947054218472</v>
      </c>
      <c r="V1727" s="106">
        <v>30239.766111033332</v>
      </c>
      <c r="W1727" s="10">
        <v>0.94708333415576273</v>
      </c>
      <c r="X1727" s="420"/>
      <c r="Y1727" s="420"/>
      <c r="Z1727" s="1"/>
      <c r="AA1727" s="1"/>
      <c r="AB1727" s="1"/>
      <c r="AC1727" s="1"/>
      <c r="AD1727" s="1"/>
    </row>
    <row r="1728" spans="17:30">
      <c r="Q1728" s="6">
        <v>1698</v>
      </c>
      <c r="R1728" s="7">
        <v>44365</v>
      </c>
      <c r="S1728" s="210">
        <v>4.25</v>
      </c>
      <c r="T1728" s="8">
        <v>1.0001180555555556</v>
      </c>
      <c r="U1728" s="98">
        <v>4.0668924158798747</v>
      </c>
      <c r="V1728" s="106">
        <v>30242.283051547278</v>
      </c>
      <c r="W1728" s="10">
        <v>0.94727849628000182</v>
      </c>
      <c r="X1728" s="420"/>
      <c r="Y1728" s="420"/>
      <c r="Z1728" s="1"/>
      <c r="AA1728" s="1"/>
      <c r="AB1728" s="1"/>
      <c r="AC1728" s="1"/>
      <c r="AD1728" s="1"/>
    </row>
    <row r="1729" spans="17:30">
      <c r="Q1729" s="6">
        <v>1699</v>
      </c>
      <c r="R1729" s="7">
        <v>44366</v>
      </c>
      <c r="S1729" s="210">
        <v>4.25</v>
      </c>
      <c r="T1729" s="8">
        <v>1.0001180555555556</v>
      </c>
      <c r="U1729" s="98">
        <v>4.0670898939754174</v>
      </c>
      <c r="V1729" s="106">
        <v>30244.80020155324</v>
      </c>
      <c r="W1729" s="10">
        <v>0.94747342904326626</v>
      </c>
      <c r="X1729" s="420"/>
      <c r="Y1729" s="420"/>
      <c r="Z1729" s="1"/>
      <c r="AA1729" s="1"/>
      <c r="AB1729" s="1"/>
      <c r="AC1729" s="1"/>
      <c r="AD1729" s="1"/>
    </row>
    <row r="1730" spans="17:30">
      <c r="Q1730" s="6">
        <v>1700</v>
      </c>
      <c r="R1730" s="7">
        <v>44367</v>
      </c>
      <c r="S1730" s="210">
        <v>4.25</v>
      </c>
      <c r="T1730" s="8">
        <v>1.0001180555555556</v>
      </c>
      <c r="U1730" s="98">
        <v>4.067287140117859</v>
      </c>
      <c r="V1730" s="106">
        <v>30247.317561068656</v>
      </c>
      <c r="W1730" s="10">
        <v>0.9476681328496106</v>
      </c>
      <c r="X1730" s="420"/>
      <c r="Y1730" s="420"/>
      <c r="Z1730" s="1"/>
      <c r="AA1730" s="1"/>
      <c r="AB1730" s="1"/>
      <c r="AC1730" s="1"/>
      <c r="AD1730" s="1"/>
    </row>
    <row r="1731" spans="17:30">
      <c r="Q1731" s="6">
        <v>1701</v>
      </c>
      <c r="R1731" s="7">
        <v>44368</v>
      </c>
      <c r="S1731" s="210">
        <v>4.25</v>
      </c>
      <c r="T1731" s="8">
        <v>1.0001180555555556</v>
      </c>
      <c r="U1731" s="98">
        <v>4.0674841547156504</v>
      </c>
      <c r="V1731" s="106">
        <v>30249.835130110958</v>
      </c>
      <c r="W1731" s="10">
        <v>0.94786260810220124</v>
      </c>
      <c r="X1731" s="420"/>
      <c r="Y1731" s="420"/>
      <c r="Z1731" s="1"/>
      <c r="AA1731" s="1"/>
      <c r="AB1731" s="1"/>
      <c r="AC1731" s="1"/>
      <c r="AD1731" s="1"/>
    </row>
    <row r="1732" spans="17:30">
      <c r="Q1732" s="6">
        <v>1702</v>
      </c>
      <c r="R1732" s="7">
        <v>44369</v>
      </c>
      <c r="S1732" s="210">
        <v>4.25</v>
      </c>
      <c r="T1732" s="8">
        <v>1.0001180555555556</v>
      </c>
      <c r="U1732" s="98">
        <v>4.0676809381762213</v>
      </c>
      <c r="V1732" s="106">
        <v>30252.352908697598</v>
      </c>
      <c r="W1732" s="10">
        <v>0.94805685520322758</v>
      </c>
      <c r="X1732" s="420"/>
      <c r="Y1732" s="420"/>
      <c r="Z1732" s="1"/>
      <c r="AA1732" s="1"/>
      <c r="AB1732" s="1"/>
      <c r="AC1732" s="1"/>
      <c r="AD1732" s="1"/>
    </row>
    <row r="1733" spans="17:30">
      <c r="Q1733" s="6">
        <v>1703</v>
      </c>
      <c r="R1733" s="7">
        <v>44370</v>
      </c>
      <c r="S1733" s="210">
        <v>4.25</v>
      </c>
      <c r="T1733" s="8">
        <v>1.0001180555555556</v>
      </c>
      <c r="U1733" s="98">
        <v>4.0678774909061355</v>
      </c>
      <c r="V1733" s="106">
        <v>30254.870896846005</v>
      </c>
      <c r="W1733" s="10">
        <v>0.94825087455392421</v>
      </c>
      <c r="X1733" s="420"/>
      <c r="Y1733" s="420"/>
      <c r="Z1733" s="1"/>
      <c r="AA1733" s="1"/>
      <c r="AB1733" s="1"/>
      <c r="AC1733" s="1"/>
      <c r="AD1733" s="1"/>
    </row>
    <row r="1734" spans="17:30">
      <c r="Q1734" s="6">
        <v>1704</v>
      </c>
      <c r="R1734" s="7">
        <v>44371</v>
      </c>
      <c r="S1734" s="210">
        <v>4.25</v>
      </c>
      <c r="T1734" s="8">
        <v>1.0001180555555556</v>
      </c>
      <c r="U1734" s="98">
        <v>4.0680738133109129</v>
      </c>
      <c r="V1734" s="106">
        <v>30257.389094573624</v>
      </c>
      <c r="W1734" s="10">
        <v>0.94844466655463755</v>
      </c>
      <c r="X1734" s="420"/>
      <c r="Y1734" s="420"/>
      <c r="Z1734" s="1"/>
      <c r="AA1734" s="1"/>
      <c r="AB1734" s="1"/>
      <c r="AC1734" s="1"/>
      <c r="AD1734" s="1"/>
    </row>
    <row r="1735" spans="17:30">
      <c r="Q1735" s="6">
        <v>1705</v>
      </c>
      <c r="R1735" s="7">
        <v>44372</v>
      </c>
      <c r="S1735" s="210">
        <v>4.25</v>
      </c>
      <c r="T1735" s="8">
        <v>1.0001180555555556</v>
      </c>
      <c r="U1735" s="98">
        <v>4.0682699057952076</v>
      </c>
      <c r="V1735" s="106">
        <v>30259.907501897895</v>
      </c>
      <c r="W1735" s="10">
        <v>0.94863823160473704</v>
      </c>
      <c r="X1735" s="420"/>
      <c r="Y1735" s="420"/>
      <c r="Z1735" s="1"/>
      <c r="AA1735" s="1"/>
      <c r="AB1735" s="1"/>
      <c r="AC1735" s="1"/>
      <c r="AD1735" s="1"/>
    </row>
    <row r="1736" spans="17:30">
      <c r="Q1736" s="6">
        <v>1706</v>
      </c>
      <c r="R1736" s="7">
        <v>44373</v>
      </c>
      <c r="S1736" s="210">
        <v>4.25</v>
      </c>
      <c r="T1736" s="8">
        <v>1.0001180555555556</v>
      </c>
      <c r="U1736" s="98">
        <v>4.0684657687626524</v>
      </c>
      <c r="V1736" s="106">
        <v>30262.426118836273</v>
      </c>
      <c r="W1736" s="10">
        <v>0.9488315701026373</v>
      </c>
      <c r="X1736" s="420"/>
      <c r="Y1736" s="420"/>
      <c r="Z1736" s="1"/>
      <c r="AA1736" s="1"/>
      <c r="AB1736" s="1"/>
      <c r="AC1736" s="1"/>
      <c r="AD1736" s="1"/>
    </row>
    <row r="1737" spans="17:30">
      <c r="Q1737" s="6">
        <v>1707</v>
      </c>
      <c r="R1737" s="7">
        <v>44374</v>
      </c>
      <c r="S1737" s="210">
        <v>4.25</v>
      </c>
      <c r="T1737" s="8">
        <v>1.0001180555555556</v>
      </c>
      <c r="U1737" s="98">
        <v>4.0686614026159917</v>
      </c>
      <c r="V1737" s="106">
        <v>30264.944945406201</v>
      </c>
      <c r="W1737" s="10">
        <v>0.9490246824458648</v>
      </c>
      <c r="X1737" s="420"/>
      <c r="Y1737" s="420"/>
      <c r="Z1737" s="1"/>
      <c r="AA1737" s="1"/>
      <c r="AB1737" s="1"/>
      <c r="AC1737" s="1"/>
      <c r="AD1737" s="1"/>
    </row>
    <row r="1738" spans="17:30">
      <c r="Q1738" s="6">
        <v>1708</v>
      </c>
      <c r="R1738" s="7">
        <v>44375</v>
      </c>
      <c r="S1738" s="210">
        <v>4.25</v>
      </c>
      <c r="T1738" s="8">
        <v>1.0001180555555556</v>
      </c>
      <c r="U1738" s="98">
        <v>4.0688568077569931</v>
      </c>
      <c r="V1738" s="106">
        <v>30267.463981625122</v>
      </c>
      <c r="W1738" s="10">
        <v>0.9492175690310134</v>
      </c>
      <c r="X1738" s="420"/>
      <c r="Y1738" s="420"/>
      <c r="Z1738" s="1"/>
      <c r="AA1738" s="1"/>
      <c r="AB1738" s="1"/>
      <c r="AC1738" s="1"/>
      <c r="AD1738" s="1"/>
    </row>
    <row r="1739" spans="17:30">
      <c r="Q1739" s="6">
        <v>1709</v>
      </c>
      <c r="R1739" s="7">
        <v>44376</v>
      </c>
      <c r="S1739" s="210">
        <v>4.25</v>
      </c>
      <c r="T1739" s="8">
        <v>1.0001180555555556</v>
      </c>
      <c r="U1739" s="98">
        <v>4.0690519845864914</v>
      </c>
      <c r="V1739" s="106">
        <v>30269.983227510496</v>
      </c>
      <c r="W1739" s="10">
        <v>0.94941023025369997</v>
      </c>
      <c r="X1739" s="420"/>
      <c r="Y1739" s="420"/>
      <c r="Z1739" s="1"/>
      <c r="AA1739" s="1"/>
      <c r="AB1739" s="1"/>
      <c r="AC1739" s="1"/>
      <c r="AD1739" s="1"/>
    </row>
    <row r="1740" spans="17:30">
      <c r="Q1740" s="6">
        <v>1710</v>
      </c>
      <c r="R1740" s="7">
        <v>44377</v>
      </c>
      <c r="S1740" s="210">
        <v>4.25</v>
      </c>
      <c r="T1740" s="8">
        <v>1.0001180555555556</v>
      </c>
      <c r="U1740" s="98">
        <v>4.0692469335044112</v>
      </c>
      <c r="V1740" s="106">
        <v>30272.502683079765</v>
      </c>
      <c r="W1740" s="10">
        <v>0.94960266650867542</v>
      </c>
      <c r="X1740" s="420"/>
      <c r="Y1740" s="420"/>
      <c r="Z1740" s="1"/>
      <c r="AA1740" s="1"/>
      <c r="AB1740" s="1"/>
      <c r="AC1740" s="1"/>
      <c r="AD1740" s="1"/>
    </row>
    <row r="1741" spans="17:30">
      <c r="Q1741" s="6">
        <v>1711</v>
      </c>
      <c r="R1741" s="7">
        <v>44378</v>
      </c>
      <c r="S1741" s="210">
        <v>4.25</v>
      </c>
      <c r="T1741" s="8">
        <v>1.0001180555555556</v>
      </c>
      <c r="U1741" s="98">
        <v>4.0694416549097001</v>
      </c>
      <c r="V1741" s="106">
        <v>30275.02234835038</v>
      </c>
      <c r="W1741" s="10">
        <v>0.94979487818975805</v>
      </c>
      <c r="X1741" s="420"/>
      <c r="Y1741" s="420"/>
      <c r="Z1741" s="1"/>
      <c r="AA1741" s="1"/>
      <c r="AB1741" s="1"/>
      <c r="AC1741" s="1"/>
      <c r="AD1741" s="1"/>
    </row>
    <row r="1742" spans="17:30">
      <c r="Q1742" s="6">
        <v>1712</v>
      </c>
      <c r="R1742" s="7">
        <v>44379</v>
      </c>
      <c r="S1742" s="210">
        <v>4.25</v>
      </c>
      <c r="T1742" s="8">
        <v>1.0001180555555556</v>
      </c>
      <c r="U1742" s="98">
        <v>4.0696361492004174</v>
      </c>
      <c r="V1742" s="106">
        <v>30277.542223339806</v>
      </c>
      <c r="W1742" s="10">
        <v>0.94998686568978918</v>
      </c>
      <c r="X1742" s="420"/>
      <c r="Y1742" s="420"/>
      <c r="Z1742" s="1"/>
      <c r="AA1742" s="1"/>
      <c r="AB1742" s="1"/>
      <c r="AC1742" s="1"/>
      <c r="AD1742" s="1"/>
    </row>
    <row r="1743" spans="17:30">
      <c r="Q1743" s="6">
        <v>1713</v>
      </c>
      <c r="R1743" s="7">
        <v>44380</v>
      </c>
      <c r="S1743" s="210">
        <v>4.25</v>
      </c>
      <c r="T1743" s="8">
        <v>1.0001180555555556</v>
      </c>
      <c r="U1743" s="98">
        <v>4.0698304167736676</v>
      </c>
      <c r="V1743" s="106">
        <v>30280.062308065495</v>
      </c>
      <c r="W1743" s="10">
        <v>0.95017862940078857</v>
      </c>
      <c r="X1743" s="420"/>
      <c r="Y1743" s="420"/>
      <c r="Z1743" s="1"/>
      <c r="AA1743" s="1"/>
      <c r="AB1743" s="1"/>
      <c r="AC1743" s="1"/>
      <c r="AD1743" s="1"/>
    </row>
    <row r="1744" spans="17:30">
      <c r="Q1744" s="6">
        <v>1714</v>
      </c>
      <c r="R1744" s="7">
        <v>44381</v>
      </c>
      <c r="S1744" s="210">
        <v>4.25</v>
      </c>
      <c r="T1744" s="8">
        <v>1.0001180555555556</v>
      </c>
      <c r="U1744" s="98">
        <v>4.0700244580256451</v>
      </c>
      <c r="V1744" s="106">
        <v>30282.582602544891</v>
      </c>
      <c r="W1744" s="10">
        <v>0.95037016971379895</v>
      </c>
      <c r="X1744" s="420"/>
      <c r="Y1744" s="420"/>
      <c r="Z1744" s="1"/>
      <c r="AA1744" s="1"/>
      <c r="AB1744" s="1"/>
      <c r="AC1744" s="1"/>
      <c r="AD1744" s="1"/>
    </row>
    <row r="1745" spans="17:30">
      <c r="Q1745" s="6">
        <v>1715</v>
      </c>
      <c r="R1745" s="7">
        <v>44382</v>
      </c>
      <c r="S1745" s="210">
        <v>4.25</v>
      </c>
      <c r="T1745" s="8">
        <v>1.0001180555555556</v>
      </c>
      <c r="U1745" s="98">
        <v>4.0702182733516112</v>
      </c>
      <c r="V1745" s="106">
        <v>30285.103106795472</v>
      </c>
      <c r="W1745" s="10">
        <v>0.95056148701897492</v>
      </c>
      <c r="X1745" s="420"/>
      <c r="Y1745" s="420"/>
      <c r="Z1745" s="1"/>
      <c r="AA1745" s="1"/>
      <c r="AB1745" s="1"/>
      <c r="AC1745" s="1"/>
      <c r="AD1745" s="1"/>
    </row>
    <row r="1746" spans="17:30">
      <c r="Q1746" s="6">
        <v>1716</v>
      </c>
      <c r="R1746" s="7">
        <v>44383</v>
      </c>
      <c r="S1746" s="210">
        <v>4.25</v>
      </c>
      <c r="T1746" s="8">
        <v>1.0001180555555556</v>
      </c>
      <c r="U1746" s="98">
        <v>4.0704118631459174</v>
      </c>
      <c r="V1746" s="106">
        <v>30287.62382083468</v>
      </c>
      <c r="W1746" s="10">
        <v>0.95075258170556065</v>
      </c>
      <c r="X1746" s="420"/>
      <c r="Y1746" s="420"/>
      <c r="Z1746" s="1"/>
      <c r="AA1746" s="1"/>
      <c r="AB1746" s="1"/>
      <c r="AC1746" s="1"/>
      <c r="AD1746" s="1"/>
    </row>
    <row r="1747" spans="17:30">
      <c r="Q1747" s="6">
        <v>1717</v>
      </c>
      <c r="R1747" s="7">
        <v>44384</v>
      </c>
      <c r="S1747" s="210">
        <v>4.25</v>
      </c>
      <c r="T1747" s="8">
        <v>1.0001180555555556</v>
      </c>
      <c r="U1747" s="98">
        <v>4.0706052278019822</v>
      </c>
      <c r="V1747" s="106">
        <v>30290.144744679987</v>
      </c>
      <c r="W1747" s="10">
        <v>0.95094345416188997</v>
      </c>
      <c r="X1747" s="420"/>
      <c r="Y1747" s="420"/>
      <c r="Z1747" s="1"/>
      <c r="AA1747" s="1"/>
      <c r="AB1747" s="1"/>
      <c r="AC1747" s="1"/>
      <c r="AD1747" s="1"/>
    </row>
    <row r="1748" spans="17:30">
      <c r="Q1748" s="6">
        <v>1718</v>
      </c>
      <c r="R1748" s="7">
        <v>44385</v>
      </c>
      <c r="S1748" s="210">
        <v>4.25</v>
      </c>
      <c r="T1748" s="8">
        <v>1.0001180555555556</v>
      </c>
      <c r="U1748" s="98">
        <v>4.0707983677123138</v>
      </c>
      <c r="V1748" s="106">
        <v>30292.66587834886</v>
      </c>
      <c r="W1748" s="10">
        <v>0.95113410477536409</v>
      </c>
      <c r="X1748" s="420"/>
      <c r="Y1748" s="420"/>
      <c r="Z1748" s="1"/>
      <c r="AA1748" s="1"/>
      <c r="AB1748" s="1"/>
      <c r="AC1748" s="1"/>
      <c r="AD1748" s="1"/>
    </row>
    <row r="1749" spans="17:30">
      <c r="Q1749" s="6">
        <v>1719</v>
      </c>
      <c r="R1749" s="7">
        <v>44386</v>
      </c>
      <c r="S1749" s="210">
        <v>4.25</v>
      </c>
      <c r="T1749" s="8">
        <v>1.0001180555555556</v>
      </c>
      <c r="U1749" s="98">
        <v>4.0709912832685324</v>
      </c>
      <c r="V1749" s="106">
        <v>30295.187221858749</v>
      </c>
      <c r="W1749" s="10">
        <v>0.95132453393256267</v>
      </c>
      <c r="X1749" s="420"/>
      <c r="Y1749" s="420"/>
      <c r="Z1749" s="1"/>
      <c r="AA1749" s="1"/>
      <c r="AB1749" s="1"/>
      <c r="AC1749" s="1"/>
      <c r="AD1749" s="1"/>
    </row>
    <row r="1750" spans="17:30">
      <c r="Q1750" s="6">
        <v>1720</v>
      </c>
      <c r="R1750" s="7">
        <v>44387</v>
      </c>
      <c r="S1750" s="210">
        <v>4.25</v>
      </c>
      <c r="T1750" s="8">
        <v>1.0001180555555556</v>
      </c>
      <c r="U1750" s="98">
        <v>4.0711839748613032</v>
      </c>
      <c r="V1750" s="106">
        <v>30297.627431520083</v>
      </c>
      <c r="W1750" s="10">
        <v>0.95157225847763982</v>
      </c>
      <c r="X1750" s="420"/>
      <c r="Y1750" s="420"/>
      <c r="Z1750" s="1"/>
      <c r="AA1750" s="1"/>
      <c r="AB1750" s="1"/>
      <c r="AC1750" s="1"/>
      <c r="AD1750" s="1"/>
    </row>
    <row r="1751" spans="17:30">
      <c r="Q1751" s="6">
        <v>1721</v>
      </c>
      <c r="R1751" s="7">
        <v>44388</v>
      </c>
      <c r="S1751" s="210">
        <v>4.25</v>
      </c>
      <c r="T1751" s="8">
        <v>1.0001180555555556</v>
      </c>
      <c r="U1751" s="98">
        <v>4.0713764428804478</v>
      </c>
      <c r="V1751" s="106">
        <v>30300.067837734863</v>
      </c>
      <c r="W1751" s="10">
        <v>0.95181969574515968</v>
      </c>
      <c r="X1751" s="420"/>
      <c r="Y1751" s="420"/>
      <c r="Z1751" s="1"/>
      <c r="AA1751" s="1"/>
      <c r="AB1751" s="1"/>
      <c r="AC1751" s="1"/>
      <c r="AD1751" s="1"/>
    </row>
    <row r="1752" spans="17:30">
      <c r="Q1752" s="6">
        <v>1722</v>
      </c>
      <c r="R1752" s="7">
        <v>44389</v>
      </c>
      <c r="S1752" s="210">
        <v>4.25</v>
      </c>
      <c r="T1752" s="8">
        <v>1.0001180555555556</v>
      </c>
      <c r="U1752" s="98">
        <v>4.0715686877148105</v>
      </c>
      <c r="V1752" s="106">
        <v>30302.508440518905</v>
      </c>
      <c r="W1752" s="10">
        <v>0.95206684623450055</v>
      </c>
      <c r="X1752" s="420"/>
      <c r="Y1752" s="420"/>
      <c r="Z1752" s="1"/>
      <c r="AA1752" s="1"/>
      <c r="AB1752" s="1"/>
      <c r="AC1752" s="1"/>
      <c r="AD1752" s="1"/>
    </row>
    <row r="1753" spans="17:30">
      <c r="Q1753" s="6">
        <v>1723</v>
      </c>
      <c r="R1753" s="7">
        <v>44390</v>
      </c>
      <c r="S1753" s="210">
        <v>4.25</v>
      </c>
      <c r="T1753" s="8">
        <v>1.0001180555555556</v>
      </c>
      <c r="U1753" s="98">
        <v>4.0717607097524144</v>
      </c>
      <c r="V1753" s="106">
        <v>30304.94923988805</v>
      </c>
      <c r="W1753" s="10">
        <v>0.95231371044397495</v>
      </c>
      <c r="X1753" s="420"/>
      <c r="Y1753" s="420"/>
      <c r="Z1753" s="1"/>
      <c r="AA1753" s="1"/>
      <c r="AB1753" s="1"/>
      <c r="AC1753" s="1"/>
      <c r="AD1753" s="1"/>
    </row>
    <row r="1754" spans="17:30">
      <c r="Q1754" s="6">
        <v>1724</v>
      </c>
      <c r="R1754" s="7">
        <v>44391</v>
      </c>
      <c r="S1754" s="210">
        <v>4.25</v>
      </c>
      <c r="T1754" s="8">
        <v>1.0001180555555556</v>
      </c>
      <c r="U1754" s="98">
        <v>4.0719525093803055</v>
      </c>
      <c r="V1754" s="106">
        <v>30307.390235858133</v>
      </c>
      <c r="W1754" s="10">
        <v>0.95256028887067412</v>
      </c>
      <c r="X1754" s="420"/>
      <c r="Y1754" s="420"/>
      <c r="Z1754" s="1"/>
      <c r="AA1754" s="1"/>
      <c r="AB1754" s="1"/>
      <c r="AC1754" s="1"/>
      <c r="AD1754" s="1"/>
    </row>
    <row r="1755" spans="17:30">
      <c r="Q1755" s="6">
        <v>1725</v>
      </c>
      <c r="R1755" s="7">
        <v>44392</v>
      </c>
      <c r="S1755" s="210">
        <v>4.25</v>
      </c>
      <c r="T1755" s="8">
        <v>1.0001180555555556</v>
      </c>
      <c r="U1755" s="98">
        <v>4.0721440869846637</v>
      </c>
      <c r="V1755" s="106">
        <v>30309.831428444988</v>
      </c>
      <c r="W1755" s="10">
        <v>0.9528065820105347</v>
      </c>
      <c r="X1755" s="420"/>
      <c r="Y1755" s="420"/>
      <c r="Z1755" s="1"/>
      <c r="AA1755" s="1"/>
      <c r="AB1755" s="1"/>
      <c r="AC1755" s="1"/>
      <c r="AD1755" s="1"/>
    </row>
    <row r="1756" spans="17:30">
      <c r="Q1756" s="6">
        <v>1726</v>
      </c>
      <c r="R1756" s="7">
        <v>44393</v>
      </c>
      <c r="S1756" s="210">
        <v>4.25</v>
      </c>
      <c r="T1756" s="8">
        <v>1.0001180555555556</v>
      </c>
      <c r="U1756" s="98">
        <v>4.072335442950803</v>
      </c>
      <c r="V1756" s="106">
        <v>30312.272817664456</v>
      </c>
      <c r="W1756" s="10">
        <v>0.95305259035842749</v>
      </c>
      <c r="X1756" s="420"/>
      <c r="Y1756" s="420"/>
      <c r="Z1756" s="1"/>
      <c r="AA1756" s="1"/>
      <c r="AB1756" s="1"/>
      <c r="AC1756" s="1"/>
      <c r="AD1756" s="1"/>
    </row>
    <row r="1757" spans="17:30">
      <c r="Q1757" s="6">
        <v>1727</v>
      </c>
      <c r="R1757" s="7">
        <v>44394</v>
      </c>
      <c r="S1757" s="210">
        <v>4.25</v>
      </c>
      <c r="T1757" s="8">
        <v>1.0001180555555556</v>
      </c>
      <c r="U1757" s="98">
        <v>4.072526577663127</v>
      </c>
      <c r="V1757" s="106">
        <v>30314.714403532376</v>
      </c>
      <c r="W1757" s="10">
        <v>0.95329831440802426</v>
      </c>
      <c r="X1757" s="420"/>
      <c r="Y1757" s="420"/>
      <c r="Z1757" s="1"/>
      <c r="AA1757" s="1"/>
      <c r="AB1757" s="1"/>
      <c r="AC1757" s="1"/>
      <c r="AD1757" s="1"/>
    </row>
    <row r="1758" spans="17:30">
      <c r="Q1758" s="6">
        <v>1728</v>
      </c>
      <c r="R1758" s="7">
        <v>44395</v>
      </c>
      <c r="S1758" s="210">
        <v>4.25</v>
      </c>
      <c r="T1758" s="8">
        <v>1.0001180555555556</v>
      </c>
      <c r="U1758" s="98">
        <v>4.072717491505129</v>
      </c>
      <c r="V1758" s="106">
        <v>30317.156186064582</v>
      </c>
      <c r="W1758" s="10">
        <v>0.95354375465184216</v>
      </c>
      <c r="X1758" s="420"/>
      <c r="Y1758" s="420"/>
      <c r="Z1758" s="1"/>
      <c r="AA1758" s="1"/>
      <c r="AB1758" s="1"/>
      <c r="AC1758" s="1"/>
      <c r="AD1758" s="1"/>
    </row>
    <row r="1759" spans="17:30">
      <c r="Q1759" s="6">
        <v>1729</v>
      </c>
      <c r="R1759" s="7">
        <v>44396</v>
      </c>
      <c r="S1759" s="210">
        <v>4.25</v>
      </c>
      <c r="T1759" s="8">
        <v>1.0001180555555556</v>
      </c>
      <c r="U1759" s="98">
        <v>4.0729081848594584</v>
      </c>
      <c r="V1759" s="106">
        <v>30319.598165276908</v>
      </c>
      <c r="W1759" s="10">
        <v>0.95378891158128809</v>
      </c>
      <c r="X1759" s="420"/>
      <c r="Y1759" s="420"/>
      <c r="Z1759" s="1"/>
      <c r="AA1759" s="1"/>
      <c r="AB1759" s="1"/>
      <c r="AC1759" s="1"/>
      <c r="AD1759" s="1"/>
    </row>
    <row r="1760" spans="17:30">
      <c r="Q1760" s="6">
        <v>1730</v>
      </c>
      <c r="R1760" s="7">
        <v>44397</v>
      </c>
      <c r="S1760" s="210">
        <v>4.25</v>
      </c>
      <c r="T1760" s="8">
        <v>1.0001180555555556</v>
      </c>
      <c r="U1760" s="98">
        <v>4.0730986581078543</v>
      </c>
      <c r="V1760" s="106">
        <v>30322.040341185213</v>
      </c>
      <c r="W1760" s="10">
        <v>0.95403378568665875</v>
      </c>
      <c r="X1760" s="420"/>
      <c r="Y1760" s="420"/>
      <c r="Z1760" s="1"/>
      <c r="AA1760" s="1"/>
      <c r="AB1760" s="1"/>
      <c r="AC1760" s="1"/>
      <c r="AD1760" s="1"/>
    </row>
    <row r="1761" spans="17:30">
      <c r="Q1761" s="6">
        <v>1731</v>
      </c>
      <c r="R1761" s="7">
        <v>44398</v>
      </c>
      <c r="S1761" s="210">
        <v>4.25</v>
      </c>
      <c r="T1761" s="8">
        <v>1.0001180555555556</v>
      </c>
      <c r="U1761" s="98">
        <v>4.0732889116311677</v>
      </c>
      <c r="V1761" s="106">
        <v>30324.48271380533</v>
      </c>
      <c r="W1761" s="10">
        <v>0.9542783774570518</v>
      </c>
      <c r="X1761" s="420"/>
      <c r="Y1761" s="420"/>
      <c r="Z1761" s="1"/>
      <c r="AA1761" s="1"/>
      <c r="AB1761" s="1"/>
      <c r="AC1761" s="1"/>
      <c r="AD1761" s="1"/>
    </row>
    <row r="1762" spans="17:30">
      <c r="Q1762" s="6">
        <v>1732</v>
      </c>
      <c r="R1762" s="7">
        <v>44399</v>
      </c>
      <c r="S1762" s="210">
        <v>4.25</v>
      </c>
      <c r="T1762" s="8">
        <v>1.0001180555555556</v>
      </c>
      <c r="U1762" s="98">
        <v>4.0734789458093834</v>
      </c>
      <c r="V1762" s="106">
        <v>30326.925283153105</v>
      </c>
      <c r="W1762" s="10">
        <v>0.95452268738045465</v>
      </c>
      <c r="X1762" s="420"/>
      <c r="Y1762" s="420"/>
      <c r="Z1762" s="1"/>
      <c r="AA1762" s="1"/>
      <c r="AB1762" s="1"/>
      <c r="AC1762" s="1"/>
      <c r="AD1762" s="1"/>
    </row>
    <row r="1763" spans="17:30">
      <c r="Q1763" s="6">
        <v>1733</v>
      </c>
      <c r="R1763" s="7">
        <v>44400</v>
      </c>
      <c r="S1763" s="210">
        <v>4.25</v>
      </c>
      <c r="T1763" s="8">
        <v>1.0001180555555556</v>
      </c>
      <c r="U1763" s="98">
        <v>4.0736687610216205</v>
      </c>
      <c r="V1763" s="106">
        <v>30329.368049244389</v>
      </c>
      <c r="W1763" s="10">
        <v>0.95476671594381113</v>
      </c>
      <c r="X1763" s="420"/>
      <c r="Y1763" s="420"/>
      <c r="Z1763" s="1"/>
      <c r="AA1763" s="1"/>
      <c r="AB1763" s="1"/>
      <c r="AC1763" s="1"/>
      <c r="AD1763" s="1"/>
    </row>
    <row r="1764" spans="17:30">
      <c r="Q1764" s="6">
        <v>1734</v>
      </c>
      <c r="R1764" s="7">
        <v>44401</v>
      </c>
      <c r="S1764" s="210">
        <v>4.25</v>
      </c>
      <c r="T1764" s="8">
        <v>1.0001180555555556</v>
      </c>
      <c r="U1764" s="98">
        <v>4.0738583576460874</v>
      </c>
      <c r="V1764" s="106">
        <v>30331.811012095022</v>
      </c>
      <c r="W1764" s="10">
        <v>0.9550104636328216</v>
      </c>
      <c r="X1764" s="420"/>
      <c r="Y1764" s="420"/>
      <c r="Z1764" s="1"/>
      <c r="AA1764" s="1"/>
      <c r="AB1764" s="1"/>
      <c r="AC1764" s="1"/>
      <c r="AD1764" s="1"/>
    </row>
    <row r="1765" spans="17:30">
      <c r="Q1765" s="6">
        <v>1735</v>
      </c>
      <c r="R1765" s="7">
        <v>44402</v>
      </c>
      <c r="S1765" s="210">
        <v>4.25</v>
      </c>
      <c r="T1765" s="8">
        <v>1.0001180555555556</v>
      </c>
      <c r="U1765" s="98">
        <v>4.0740477360601712</v>
      </c>
      <c r="V1765" s="106">
        <v>30334.254171720859</v>
      </c>
      <c r="W1765" s="10">
        <v>0.95525393093216504</v>
      </c>
      <c r="X1765" s="420"/>
      <c r="Y1765" s="420"/>
      <c r="Z1765" s="1"/>
      <c r="AA1765" s="1"/>
      <c r="AB1765" s="1"/>
      <c r="AC1765" s="1"/>
      <c r="AD1765" s="1"/>
    </row>
    <row r="1766" spans="17:30">
      <c r="Q1766" s="6">
        <v>1736</v>
      </c>
      <c r="R1766" s="7">
        <v>44403</v>
      </c>
      <c r="S1766" s="210">
        <v>4.25</v>
      </c>
      <c r="T1766" s="8">
        <v>1.0001180555555556</v>
      </c>
      <c r="U1766" s="98">
        <v>4.0742368966403708</v>
      </c>
      <c r="V1766" s="106">
        <v>30336.697528137745</v>
      </c>
      <c r="W1766" s="10">
        <v>0.95549711832536577</v>
      </c>
      <c r="X1766" s="420"/>
      <c r="Y1766" s="420"/>
      <c r="Z1766" s="1"/>
      <c r="AA1766" s="1"/>
      <c r="AB1766" s="1"/>
      <c r="AC1766" s="1"/>
      <c r="AD1766" s="1"/>
    </row>
    <row r="1767" spans="17:30">
      <c r="Q1767" s="6">
        <v>1737</v>
      </c>
      <c r="R1767" s="7">
        <v>44404</v>
      </c>
      <c r="S1767" s="210">
        <v>4.25</v>
      </c>
      <c r="T1767" s="8">
        <v>1.0001180555555556</v>
      </c>
      <c r="U1767" s="98">
        <v>4.074425839762319</v>
      </c>
      <c r="V1767" s="106">
        <v>30339.141081361533</v>
      </c>
      <c r="W1767" s="10">
        <v>0.9557400262948601</v>
      </c>
      <c r="X1767" s="420"/>
      <c r="Y1767" s="420"/>
      <c r="Z1767" s="1"/>
      <c r="AA1767" s="1"/>
      <c r="AB1767" s="1"/>
      <c r="AC1767" s="1"/>
      <c r="AD1767" s="1"/>
    </row>
    <row r="1768" spans="17:30">
      <c r="Q1768" s="6">
        <v>1738</v>
      </c>
      <c r="R1768" s="7">
        <v>44405</v>
      </c>
      <c r="S1768" s="210">
        <v>4.25</v>
      </c>
      <c r="T1768" s="8">
        <v>1.0001180555555556</v>
      </c>
      <c r="U1768" s="98">
        <v>4.0746145658007826</v>
      </c>
      <c r="V1768" s="106">
        <v>30341.584831408079</v>
      </c>
      <c r="W1768" s="10">
        <v>0.95598265532195192</v>
      </c>
      <c r="X1768" s="420"/>
      <c r="Y1768" s="420"/>
      <c r="Z1768" s="1"/>
      <c r="AA1768" s="1"/>
      <c r="AB1768" s="1"/>
      <c r="AC1768" s="1"/>
      <c r="AD1768" s="1"/>
    </row>
    <row r="1769" spans="17:30">
      <c r="Q1769" s="6">
        <v>1739</v>
      </c>
      <c r="R1769" s="7">
        <v>44406</v>
      </c>
      <c r="S1769" s="210">
        <v>4.25</v>
      </c>
      <c r="T1769" s="8">
        <v>1.0001180555555556</v>
      </c>
      <c r="U1769" s="98">
        <v>4.0748030751296627</v>
      </c>
      <c r="V1769" s="106">
        <v>30344.028778293228</v>
      </c>
      <c r="W1769" s="10">
        <v>0.9562250058868571</v>
      </c>
      <c r="X1769" s="420"/>
      <c r="Y1769" s="420"/>
      <c r="Z1769" s="1"/>
      <c r="AA1769" s="1"/>
      <c r="AB1769" s="1"/>
      <c r="AC1769" s="1"/>
      <c r="AD1769" s="1"/>
    </row>
    <row r="1770" spans="17:30">
      <c r="Q1770" s="6">
        <v>1740</v>
      </c>
      <c r="R1770" s="7">
        <v>44407</v>
      </c>
      <c r="S1770" s="210">
        <v>4.25</v>
      </c>
      <c r="T1770" s="8">
        <v>1.0001180555555556</v>
      </c>
      <c r="U1770" s="98">
        <v>4.074991368121994</v>
      </c>
      <c r="V1770" s="106">
        <v>30346.472922032834</v>
      </c>
      <c r="W1770" s="10">
        <v>0.95646707846865908</v>
      </c>
      <c r="X1770" s="420"/>
      <c r="Y1770" s="420"/>
      <c r="Z1770" s="1"/>
      <c r="AA1770" s="1"/>
      <c r="AB1770" s="1"/>
      <c r="AC1770" s="1"/>
      <c r="AD1770" s="1"/>
    </row>
    <row r="1771" spans="17:30">
      <c r="Q1771" s="6">
        <v>1741</v>
      </c>
      <c r="R1771" s="7">
        <v>44408</v>
      </c>
      <c r="S1771" s="210">
        <v>4.25</v>
      </c>
      <c r="T1771" s="8">
        <v>1.0001180555555556</v>
      </c>
      <c r="U1771" s="98">
        <v>4.0751794451499901</v>
      </c>
      <c r="V1771" s="106">
        <v>30348.917262642768</v>
      </c>
      <c r="W1771" s="10">
        <v>0.95670887354535328</v>
      </c>
      <c r="X1771" s="420"/>
      <c r="Y1771" s="420"/>
      <c r="Z1771" s="1"/>
      <c r="AA1771" s="1"/>
      <c r="AB1771" s="1"/>
      <c r="AC1771" s="1"/>
      <c r="AD1771" s="1"/>
    </row>
    <row r="1772" spans="17:30">
      <c r="Q1772" s="6">
        <v>1742</v>
      </c>
      <c r="R1772" s="7">
        <v>44409</v>
      </c>
      <c r="S1772" s="210">
        <v>4.25</v>
      </c>
      <c r="T1772" s="8">
        <v>1.0001180555555556</v>
      </c>
      <c r="U1772" s="98">
        <v>4.0753673065849982</v>
      </c>
      <c r="V1772" s="106">
        <v>30351.361800138875</v>
      </c>
      <c r="W1772" s="10">
        <v>0.9569503915938693</v>
      </c>
      <c r="X1772" s="420"/>
      <c r="Y1772" s="420"/>
      <c r="Z1772" s="1"/>
      <c r="AA1772" s="1"/>
      <c r="AB1772" s="1"/>
      <c r="AC1772" s="1"/>
      <c r="AD1772" s="1"/>
    </row>
    <row r="1773" spans="17:30">
      <c r="Q1773" s="6">
        <v>1743</v>
      </c>
      <c r="R1773" s="7">
        <v>44410</v>
      </c>
      <c r="S1773" s="210">
        <v>4.25</v>
      </c>
      <c r="T1773" s="8">
        <v>1.0001180555555556</v>
      </c>
      <c r="U1773" s="98">
        <v>4.0755549527974777</v>
      </c>
      <c r="V1773" s="106">
        <v>30353.806534537016</v>
      </c>
      <c r="W1773" s="10">
        <v>0.95719163309004873</v>
      </c>
      <c r="X1773" s="420"/>
      <c r="Y1773" s="420"/>
      <c r="Z1773" s="1"/>
      <c r="AA1773" s="1"/>
      <c r="AB1773" s="1"/>
      <c r="AC1773" s="1"/>
      <c r="AD1773" s="1"/>
    </row>
    <row r="1774" spans="17:30">
      <c r="Q1774" s="6">
        <v>1744</v>
      </c>
      <c r="R1774" s="7">
        <v>44411</v>
      </c>
      <c r="S1774" s="210">
        <v>4.25</v>
      </c>
      <c r="T1774" s="8">
        <v>1.0001180555555556</v>
      </c>
      <c r="U1774" s="98">
        <v>4.0757423841570883</v>
      </c>
      <c r="V1774" s="106">
        <v>30356.251465853053</v>
      </c>
      <c r="W1774" s="10">
        <v>0.95743259850857854</v>
      </c>
      <c r="X1774" s="420"/>
      <c r="Y1774" s="420"/>
      <c r="Z1774" s="1"/>
      <c r="AA1774" s="1"/>
      <c r="AB1774" s="1"/>
      <c r="AC1774" s="1"/>
      <c r="AD1774" s="1"/>
    </row>
    <row r="1775" spans="17:30">
      <c r="Q1775" s="6">
        <v>1745</v>
      </c>
      <c r="R1775" s="7">
        <v>44412</v>
      </c>
      <c r="S1775" s="210">
        <v>4.25</v>
      </c>
      <c r="T1775" s="8">
        <v>1.0001180555555556</v>
      </c>
      <c r="U1775" s="98">
        <v>4.0759296010326462</v>
      </c>
      <c r="V1775" s="106">
        <v>30358.696594102847</v>
      </c>
      <c r="W1775" s="10">
        <v>0.95767328832316867</v>
      </c>
      <c r="X1775" s="420"/>
      <c r="Y1775" s="420"/>
      <c r="Z1775" s="1"/>
      <c r="AA1775" s="1"/>
      <c r="AB1775" s="1"/>
      <c r="AC1775" s="1"/>
      <c r="AD1775" s="1"/>
    </row>
    <row r="1776" spans="17:30">
      <c r="Q1776" s="6">
        <v>1746</v>
      </c>
      <c r="R1776" s="7">
        <v>44413</v>
      </c>
      <c r="S1776" s="210">
        <v>4.25</v>
      </c>
      <c r="T1776" s="8">
        <v>1.0001180555555556</v>
      </c>
      <c r="U1776" s="98">
        <v>4.0761166037920793</v>
      </c>
      <c r="V1776" s="106">
        <v>30361.141919302259</v>
      </c>
      <c r="W1776" s="10">
        <v>0.95791370300633005</v>
      </c>
      <c r="X1776" s="420"/>
      <c r="Y1776" s="420"/>
      <c r="Z1776" s="1"/>
      <c r="AA1776" s="1"/>
      <c r="AB1776" s="1"/>
      <c r="AC1776" s="1"/>
      <c r="AD1776" s="1"/>
    </row>
    <row r="1777" spans="17:30">
      <c r="Q1777" s="6">
        <v>1747</v>
      </c>
      <c r="R1777" s="7">
        <v>44414</v>
      </c>
      <c r="S1777" s="210">
        <v>4.25</v>
      </c>
      <c r="T1777" s="8">
        <v>1.0001180555555556</v>
      </c>
      <c r="U1777" s="98">
        <v>4.0763033928024939</v>
      </c>
      <c r="V1777" s="106">
        <v>30363.587441467156</v>
      </c>
      <c r="W1777" s="10">
        <v>0.9581538430295522</v>
      </c>
      <c r="X1777" s="420"/>
      <c r="Y1777" s="420"/>
      <c r="Z1777" s="1"/>
      <c r="AA1777" s="1"/>
      <c r="AB1777" s="1"/>
      <c r="AC1777" s="1"/>
      <c r="AD1777" s="1"/>
    </row>
    <row r="1778" spans="17:30">
      <c r="Q1778" s="6">
        <v>1748</v>
      </c>
      <c r="R1778" s="7">
        <v>44415</v>
      </c>
      <c r="S1778" s="210">
        <v>4.25</v>
      </c>
      <c r="T1778" s="8">
        <v>1.0001180555555556</v>
      </c>
      <c r="U1778" s="98">
        <v>4.0764899684301747</v>
      </c>
      <c r="V1778" s="106">
        <v>30366.033160613395</v>
      </c>
      <c r="W1778" s="10">
        <v>0.9583937088632366</v>
      </c>
      <c r="X1778" s="420"/>
      <c r="Y1778" s="420"/>
      <c r="Z1778" s="1"/>
      <c r="AA1778" s="1"/>
      <c r="AB1778" s="1"/>
      <c r="AC1778" s="1"/>
      <c r="AD1778" s="1"/>
    </row>
    <row r="1779" spans="17:30">
      <c r="Q1779" s="6">
        <v>1749</v>
      </c>
      <c r="R1779" s="7">
        <v>44416</v>
      </c>
      <c r="S1779" s="210">
        <v>4.25</v>
      </c>
      <c r="T1779" s="8">
        <v>1.0001180555555556</v>
      </c>
      <c r="U1779" s="98">
        <v>4.0766763310405407</v>
      </c>
      <c r="V1779" s="106">
        <v>30368.479076756852</v>
      </c>
      <c r="W1779" s="10">
        <v>0.95863330097671895</v>
      </c>
      <c r="X1779" s="420"/>
      <c r="Y1779" s="420"/>
      <c r="Z1779" s="1"/>
      <c r="AA1779" s="1"/>
      <c r="AB1779" s="1"/>
      <c r="AC1779" s="1"/>
      <c r="AD1779" s="1"/>
    </row>
    <row r="1780" spans="17:30">
      <c r="Q1780" s="6">
        <v>1750</v>
      </c>
      <c r="R1780" s="7">
        <v>44417</v>
      </c>
      <c r="S1780" s="210">
        <v>4.25</v>
      </c>
      <c r="T1780" s="8">
        <v>1.0001180555555556</v>
      </c>
      <c r="U1780" s="98">
        <v>4.076862480998189</v>
      </c>
      <c r="V1780" s="106">
        <v>30370.925189913392</v>
      </c>
      <c r="W1780" s="10">
        <v>0.9588726198382691</v>
      </c>
      <c r="X1780" s="420"/>
      <c r="Y1780" s="420"/>
      <c r="Z1780" s="1"/>
      <c r="AA1780" s="1"/>
      <c r="AB1780" s="1"/>
      <c r="AC1780" s="1"/>
      <c r="AD1780" s="1"/>
    </row>
    <row r="1781" spans="17:30">
      <c r="Q1781" s="6">
        <v>1751</v>
      </c>
      <c r="R1781" s="7">
        <v>44418</v>
      </c>
      <c r="S1781" s="210">
        <v>4.25</v>
      </c>
      <c r="T1781" s="8">
        <v>1.0001180555555556</v>
      </c>
      <c r="U1781" s="98">
        <v>4.0770484186669176</v>
      </c>
      <c r="V1781" s="106">
        <v>30373.371500098881</v>
      </c>
      <c r="W1781" s="10">
        <v>0.95911166591506891</v>
      </c>
      <c r="X1781" s="420"/>
      <c r="Y1781" s="420"/>
      <c r="Z1781" s="1"/>
      <c r="AA1781" s="1"/>
      <c r="AB1781" s="1"/>
      <c r="AC1781" s="1"/>
      <c r="AD1781" s="1"/>
    </row>
    <row r="1782" spans="17:30">
      <c r="Q1782" s="6">
        <v>1752</v>
      </c>
      <c r="R1782" s="7">
        <v>44419</v>
      </c>
      <c r="S1782" s="210">
        <v>4.25</v>
      </c>
      <c r="T1782" s="8">
        <v>1.0001180555555556</v>
      </c>
      <c r="U1782" s="98">
        <v>4.0772341444096361</v>
      </c>
      <c r="V1782" s="106">
        <v>30375.818007329195</v>
      </c>
      <c r="W1782" s="10">
        <v>0.95935043967325662</v>
      </c>
      <c r="X1782" s="420"/>
      <c r="Y1782" s="420"/>
      <c r="Z1782" s="1"/>
      <c r="AA1782" s="1"/>
      <c r="AB1782" s="1"/>
      <c r="AC1782" s="1"/>
      <c r="AD1782" s="1"/>
    </row>
    <row r="1783" spans="17:30">
      <c r="Q1783" s="6">
        <v>1753</v>
      </c>
      <c r="R1783" s="7">
        <v>44420</v>
      </c>
      <c r="S1783" s="210">
        <v>4.25</v>
      </c>
      <c r="T1783" s="8">
        <v>1.0001180555555556</v>
      </c>
      <c r="U1783" s="98">
        <v>4.077419658588477</v>
      </c>
      <c r="V1783" s="106">
        <v>30378.264711620199</v>
      </c>
      <c r="W1783" s="10">
        <v>0.95958894157788244</v>
      </c>
      <c r="X1783" s="420"/>
      <c r="Y1783" s="420"/>
      <c r="Z1783" s="1"/>
      <c r="AA1783" s="1"/>
      <c r="AB1783" s="1"/>
      <c r="AC1783" s="1"/>
      <c r="AD1783" s="1"/>
    </row>
    <row r="1784" spans="17:30">
      <c r="Q1784" s="6">
        <v>1754</v>
      </c>
      <c r="R1784" s="7">
        <v>44421</v>
      </c>
      <c r="S1784" s="210">
        <v>4.25</v>
      </c>
      <c r="T1784" s="8">
        <v>1.0001180555555556</v>
      </c>
      <c r="U1784" s="98">
        <v>4.0776049615647292</v>
      </c>
      <c r="V1784" s="106">
        <v>30380.711612987765</v>
      </c>
      <c r="W1784" s="10">
        <v>0.95982717209299739</v>
      </c>
      <c r="X1784" s="420"/>
      <c r="Y1784" s="420"/>
      <c r="Z1784" s="1"/>
      <c r="AA1784" s="1"/>
      <c r="AB1784" s="1"/>
      <c r="AC1784" s="1"/>
      <c r="AD1784" s="1"/>
    </row>
    <row r="1785" spans="17:30">
      <c r="Q1785" s="6">
        <v>1755</v>
      </c>
      <c r="R1785" s="7">
        <v>44422</v>
      </c>
      <c r="S1785" s="210">
        <v>4.25</v>
      </c>
      <c r="T1785" s="8">
        <v>1.0001180555555556</v>
      </c>
      <c r="U1785" s="98">
        <v>4.0777900536988598</v>
      </c>
      <c r="V1785" s="106">
        <v>30383.158711447777</v>
      </c>
      <c r="W1785" s="10">
        <v>0.96006513168152008</v>
      </c>
      <c r="X1785" s="420"/>
      <c r="Y1785" s="420"/>
      <c r="Z1785" s="1"/>
      <c r="AA1785" s="1"/>
      <c r="AB1785" s="1"/>
      <c r="AC1785" s="1"/>
      <c r="AD1785" s="1"/>
    </row>
    <row r="1786" spans="17:30">
      <c r="Q1786" s="6">
        <v>1756</v>
      </c>
      <c r="R1786" s="7">
        <v>44423</v>
      </c>
      <c r="S1786" s="210">
        <v>4.25</v>
      </c>
      <c r="T1786" s="8">
        <v>1.0001180555555556</v>
      </c>
      <c r="U1786" s="98">
        <v>4.0779749353504924</v>
      </c>
      <c r="V1786" s="106">
        <v>30385.6060070161</v>
      </c>
      <c r="W1786" s="10">
        <v>0.96030282080534768</v>
      </c>
      <c r="X1786" s="420"/>
      <c r="Y1786" s="420"/>
      <c r="Z1786" s="1"/>
      <c r="AA1786" s="1"/>
      <c r="AB1786" s="1"/>
      <c r="AC1786" s="1"/>
      <c r="AD1786" s="1"/>
    </row>
    <row r="1787" spans="17:30">
      <c r="Q1787" s="6">
        <v>1757</v>
      </c>
      <c r="R1787" s="7">
        <v>44424</v>
      </c>
      <c r="S1787" s="210">
        <v>4.25</v>
      </c>
      <c r="T1787" s="8">
        <v>1.0001180555555556</v>
      </c>
      <c r="U1787" s="98">
        <v>4.0781596068784953</v>
      </c>
      <c r="V1787" s="106">
        <v>30388.053499708614</v>
      </c>
      <c r="W1787" s="10">
        <v>0.96054023992535598</v>
      </c>
      <c r="X1787" s="420"/>
      <c r="Y1787" s="420"/>
      <c r="Z1787" s="1"/>
      <c r="AA1787" s="1"/>
      <c r="AB1787" s="1"/>
      <c r="AC1787" s="1"/>
      <c r="AD1787" s="1"/>
    </row>
    <row r="1788" spans="17:30">
      <c r="Q1788" s="6">
        <v>1758</v>
      </c>
      <c r="R1788" s="7">
        <v>44425</v>
      </c>
      <c r="S1788" s="210">
        <v>4.25</v>
      </c>
      <c r="T1788" s="8">
        <v>1.0001180555555556</v>
      </c>
      <c r="U1788" s="98">
        <v>4.078344068640849</v>
      </c>
      <c r="V1788" s="106">
        <v>30390.501189541206</v>
      </c>
      <c r="W1788" s="10">
        <v>0.96077738950135494</v>
      </c>
      <c r="X1788" s="420"/>
      <c r="Y1788" s="420"/>
      <c r="Z1788" s="1"/>
      <c r="AA1788" s="1"/>
      <c r="AB1788" s="1"/>
      <c r="AC1788" s="1"/>
      <c r="AD1788" s="1"/>
    </row>
    <row r="1789" spans="17:30">
      <c r="Q1789" s="6">
        <v>1759</v>
      </c>
      <c r="R1789" s="7">
        <v>44426</v>
      </c>
      <c r="S1789" s="210">
        <v>4.25</v>
      </c>
      <c r="T1789" s="8">
        <v>1.0001180555555556</v>
      </c>
      <c r="U1789" s="98">
        <v>4.0785283209947787</v>
      </c>
      <c r="V1789" s="106">
        <v>30392.949076529738</v>
      </c>
      <c r="W1789" s="10">
        <v>0.96101426999206652</v>
      </c>
      <c r="X1789" s="420"/>
      <c r="Y1789" s="420"/>
      <c r="Z1789" s="1"/>
      <c r="AA1789" s="1"/>
      <c r="AB1789" s="1"/>
      <c r="AC1789" s="1"/>
      <c r="AD1789" s="1"/>
    </row>
    <row r="1790" spans="17:30">
      <c r="Q1790" s="6">
        <v>1760</v>
      </c>
      <c r="R1790" s="7">
        <v>44427</v>
      </c>
      <c r="S1790" s="210">
        <v>4.25</v>
      </c>
      <c r="T1790" s="8">
        <v>1.0001180555555556</v>
      </c>
      <c r="U1790" s="98">
        <v>4.0787123642966439</v>
      </c>
      <c r="V1790" s="106">
        <v>30395.397160690096</v>
      </c>
      <c r="W1790" s="10">
        <v>0.96125088185525787</v>
      </c>
      <c r="X1790" s="420"/>
      <c r="Y1790" s="420"/>
      <c r="Z1790" s="1"/>
      <c r="AA1790" s="1"/>
      <c r="AB1790" s="1"/>
      <c r="AC1790" s="1"/>
      <c r="AD1790" s="1"/>
    </row>
    <row r="1791" spans="17:30">
      <c r="Q1791" s="6">
        <v>1761</v>
      </c>
      <c r="R1791" s="7">
        <v>44428</v>
      </c>
      <c r="S1791" s="210">
        <v>4.25</v>
      </c>
      <c r="T1791" s="8">
        <v>1.0001180555555556</v>
      </c>
      <c r="U1791" s="98">
        <v>4.0788961989020489</v>
      </c>
      <c r="V1791" s="106">
        <v>30397.845442038175</v>
      </c>
      <c r="W1791" s="10">
        <v>0.96148722554756372</v>
      </c>
      <c r="X1791" s="420"/>
      <c r="Y1791" s="420"/>
      <c r="Z1791" s="1"/>
      <c r="AA1791" s="1"/>
      <c r="AB1791" s="1"/>
      <c r="AC1791" s="1"/>
      <c r="AD1791" s="1"/>
    </row>
    <row r="1792" spans="17:30">
      <c r="Q1792" s="6">
        <v>1762</v>
      </c>
      <c r="R1792" s="7">
        <v>44429</v>
      </c>
      <c r="S1792" s="210">
        <v>4.25</v>
      </c>
      <c r="T1792" s="8">
        <v>1.0001180555555556</v>
      </c>
      <c r="U1792" s="98">
        <v>4.0790798251657767</v>
      </c>
      <c r="V1792" s="106">
        <v>30400.29392058984</v>
      </c>
      <c r="W1792" s="10">
        <v>0.96172330152468621</v>
      </c>
      <c r="X1792" s="420"/>
      <c r="Y1792" s="420"/>
      <c r="Z1792" s="1"/>
      <c r="AA1792" s="1"/>
      <c r="AB1792" s="1"/>
      <c r="AC1792" s="1"/>
      <c r="AD1792" s="1"/>
    </row>
    <row r="1793" spans="17:30">
      <c r="Q1793" s="6">
        <v>1763</v>
      </c>
      <c r="R1793" s="7">
        <v>44430</v>
      </c>
      <c r="S1793" s="210">
        <v>4.25</v>
      </c>
      <c r="T1793" s="8">
        <v>1.0001180555555556</v>
      </c>
      <c r="U1793" s="98">
        <v>4.0792632434417886</v>
      </c>
      <c r="V1793" s="106">
        <v>30402.742596360986</v>
      </c>
      <c r="W1793" s="10">
        <v>0.96195911024123948</v>
      </c>
      <c r="X1793" s="420"/>
      <c r="Y1793" s="420"/>
      <c r="Z1793" s="1"/>
      <c r="AA1793" s="1"/>
      <c r="AB1793" s="1"/>
      <c r="AC1793" s="1"/>
      <c r="AD1793" s="1"/>
    </row>
    <row r="1794" spans="17:30">
      <c r="Q1794" s="6">
        <v>1764</v>
      </c>
      <c r="R1794" s="7">
        <v>44431</v>
      </c>
      <c r="S1794" s="210">
        <v>4.25</v>
      </c>
      <c r="T1794" s="8">
        <v>1.0001180555555556</v>
      </c>
      <c r="U1794" s="98">
        <v>4.0794464540832687</v>
      </c>
      <c r="V1794" s="106">
        <v>30405.191469367495</v>
      </c>
      <c r="W1794" s="10">
        <v>0.96219465215077182</v>
      </c>
      <c r="X1794" s="420"/>
      <c r="Y1794" s="420"/>
      <c r="Z1794" s="1"/>
      <c r="AA1794" s="1"/>
      <c r="AB1794" s="1"/>
      <c r="AC1794" s="1"/>
      <c r="AD1794" s="1"/>
    </row>
    <row r="1795" spans="17:30">
      <c r="Q1795" s="6">
        <v>1765</v>
      </c>
      <c r="R1795" s="7">
        <v>44432</v>
      </c>
      <c r="S1795" s="210">
        <v>4.25</v>
      </c>
      <c r="T1795" s="8">
        <v>1.0001180555555556</v>
      </c>
      <c r="U1795" s="98">
        <v>4.0796294574425795</v>
      </c>
      <c r="V1795" s="106">
        <v>30407.640539625256</v>
      </c>
      <c r="W1795" s="10">
        <v>0.96242992770587676</v>
      </c>
      <c r="X1795" s="420"/>
      <c r="Y1795" s="420"/>
      <c r="Z1795" s="1"/>
      <c r="AA1795" s="1"/>
      <c r="AB1795" s="1"/>
      <c r="AC1795" s="1"/>
      <c r="AD1795" s="1"/>
    </row>
    <row r="1796" spans="17:30">
      <c r="Q1796" s="6">
        <v>1766</v>
      </c>
      <c r="R1796" s="7">
        <v>44433</v>
      </c>
      <c r="S1796" s="210">
        <v>4.25</v>
      </c>
      <c r="T1796" s="8">
        <v>1.0001180555555556</v>
      </c>
      <c r="U1796" s="98">
        <v>4.0798122538712844</v>
      </c>
      <c r="V1796" s="106">
        <v>30410.089807150158</v>
      </c>
      <c r="W1796" s="10">
        <v>0.96266493735810421</v>
      </c>
      <c r="X1796" s="420"/>
      <c r="Y1796" s="420"/>
      <c r="Z1796" s="1"/>
      <c r="AA1796" s="1"/>
      <c r="AB1796" s="1"/>
      <c r="AC1796" s="1"/>
      <c r="AD1796" s="1"/>
    </row>
    <row r="1797" spans="17:30">
      <c r="Q1797" s="6">
        <v>1767</v>
      </c>
      <c r="R1797" s="7">
        <v>44434</v>
      </c>
      <c r="S1797" s="210">
        <v>4.25</v>
      </c>
      <c r="T1797" s="8">
        <v>1.0001180555555556</v>
      </c>
      <c r="U1797" s="98">
        <v>4.0799948437201916</v>
      </c>
      <c r="V1797" s="106">
        <v>30412.539271958089</v>
      </c>
      <c r="W1797" s="10">
        <v>0.96289968155793826</v>
      </c>
      <c r="X1797" s="420"/>
      <c r="Y1797" s="420"/>
      <c r="Z1797" s="1"/>
      <c r="AA1797" s="1"/>
      <c r="AB1797" s="1"/>
      <c r="AC1797" s="1"/>
      <c r="AD1797" s="1"/>
    </row>
    <row r="1798" spans="17:30">
      <c r="Q1798" s="6">
        <v>1768</v>
      </c>
      <c r="R1798" s="7">
        <v>44435</v>
      </c>
      <c r="S1798" s="210">
        <v>4.25</v>
      </c>
      <c r="T1798" s="8">
        <v>1.0001180555555556</v>
      </c>
      <c r="U1798" s="98">
        <v>4.0801772273392656</v>
      </c>
      <c r="V1798" s="106">
        <v>30414.988934064932</v>
      </c>
      <c r="W1798" s="10">
        <v>0.96313416075490821</v>
      </c>
      <c r="X1798" s="420"/>
      <c r="Y1798" s="420"/>
      <c r="Z1798" s="1"/>
      <c r="AA1798" s="1"/>
      <c r="AB1798" s="1"/>
      <c r="AC1798" s="1"/>
      <c r="AD1798" s="1"/>
    </row>
    <row r="1799" spans="17:30">
      <c r="Q1799" s="6">
        <v>1769</v>
      </c>
      <c r="R1799" s="7">
        <v>44436</v>
      </c>
      <c r="S1799" s="210">
        <v>4.25</v>
      </c>
      <c r="T1799" s="8">
        <v>1.0001180555555556</v>
      </c>
      <c r="U1799" s="98">
        <v>4.0803594050777159</v>
      </c>
      <c r="V1799" s="106">
        <v>30417.438793486595</v>
      </c>
      <c r="W1799" s="10">
        <v>0.96336837539749975</v>
      </c>
      <c r="X1799" s="420"/>
      <c r="Y1799" s="420"/>
      <c r="Z1799" s="1"/>
      <c r="AA1799" s="1"/>
      <c r="AB1799" s="1"/>
      <c r="AC1799" s="1"/>
      <c r="AD1799" s="1"/>
    </row>
    <row r="1800" spans="17:30">
      <c r="Q1800" s="6">
        <v>1770</v>
      </c>
      <c r="R1800" s="7">
        <v>44437</v>
      </c>
      <c r="S1800" s="210">
        <v>4.25</v>
      </c>
      <c r="T1800" s="8">
        <v>1.0001180555555556</v>
      </c>
      <c r="U1800" s="98">
        <v>4.0805413772839527</v>
      </c>
      <c r="V1800" s="106">
        <v>30419.888850238956</v>
      </c>
      <c r="W1800" s="10">
        <v>0.96360232593319939</v>
      </c>
      <c r="X1800" s="420"/>
      <c r="Y1800" s="420"/>
      <c r="Z1800" s="1"/>
      <c r="AA1800" s="1"/>
      <c r="AB1800" s="1"/>
      <c r="AC1800" s="1"/>
      <c r="AD1800" s="1"/>
    </row>
    <row r="1801" spans="17:30">
      <c r="Q1801" s="6">
        <v>1771</v>
      </c>
      <c r="R1801" s="7">
        <v>44438</v>
      </c>
      <c r="S1801" s="210">
        <v>4.25</v>
      </c>
      <c r="T1801" s="8">
        <v>1.0001180555555556</v>
      </c>
      <c r="U1801" s="98">
        <v>4.0807231443055869</v>
      </c>
      <c r="V1801" s="106">
        <v>30422.339104337912</v>
      </c>
      <c r="W1801" s="10">
        <v>0.96383601280844999</v>
      </c>
      <c r="X1801" s="420"/>
      <c r="Y1801" s="420"/>
      <c r="Z1801" s="1"/>
      <c r="AA1801" s="1"/>
      <c r="AB1801" s="1"/>
      <c r="AC1801" s="1"/>
      <c r="AD1801" s="1"/>
    </row>
    <row r="1802" spans="17:30">
      <c r="Q1802" s="6">
        <v>1772</v>
      </c>
      <c r="R1802" s="7">
        <v>44439</v>
      </c>
      <c r="S1802" s="210">
        <v>4.25</v>
      </c>
      <c r="T1802" s="8">
        <v>1.0001180555555556</v>
      </c>
      <c r="U1802" s="98">
        <v>4.0809047064894743</v>
      </c>
      <c r="V1802" s="106">
        <v>30424.789555799372</v>
      </c>
      <c r="W1802" s="10">
        <v>0.96406943646873966</v>
      </c>
      <c r="X1802" s="420"/>
      <c r="Y1802" s="420"/>
      <c r="Z1802" s="1"/>
      <c r="AA1802" s="1"/>
      <c r="AB1802" s="1"/>
      <c r="AC1802" s="1"/>
      <c r="AD1802" s="1"/>
    </row>
    <row r="1803" spans="17:30">
      <c r="Q1803" s="6">
        <v>1773</v>
      </c>
      <c r="R1803" s="7">
        <v>44440</v>
      </c>
      <c r="S1803" s="210">
        <v>4.25</v>
      </c>
      <c r="T1803" s="8">
        <v>1.0001180555555556</v>
      </c>
      <c r="U1803" s="98">
        <v>4.0810860641816715</v>
      </c>
      <c r="V1803" s="106">
        <v>30427.24020463922</v>
      </c>
      <c r="W1803" s="10">
        <v>0.96430259735849067</v>
      </c>
      <c r="X1803" s="420"/>
      <c r="Y1803" s="420"/>
      <c r="Z1803" s="1"/>
      <c r="AA1803" s="1"/>
      <c r="AB1803" s="1"/>
      <c r="AC1803" s="1"/>
      <c r="AD1803" s="1"/>
    </row>
    <row r="1804" spans="17:30">
      <c r="Q1804" s="6">
        <v>1774</v>
      </c>
      <c r="R1804" s="7">
        <v>44441</v>
      </c>
      <c r="S1804" s="210">
        <v>4.25</v>
      </c>
      <c r="T1804" s="8">
        <v>1.0001180555555556</v>
      </c>
      <c r="U1804" s="98">
        <v>4.0812672177274578</v>
      </c>
      <c r="V1804" s="106">
        <v>30429.691050873353</v>
      </c>
      <c r="W1804" s="10">
        <v>0.9645354959212149</v>
      </c>
      <c r="X1804" s="420"/>
      <c r="Y1804" s="420"/>
      <c r="Z1804" s="1"/>
      <c r="AA1804" s="1"/>
      <c r="AB1804" s="1"/>
      <c r="AC1804" s="1"/>
      <c r="AD1804" s="1"/>
    </row>
    <row r="1805" spans="17:30">
      <c r="Q1805" s="6">
        <v>1775</v>
      </c>
      <c r="R1805" s="7">
        <v>44442</v>
      </c>
      <c r="S1805" s="210">
        <v>4.25</v>
      </c>
      <c r="T1805" s="8">
        <v>1.0001180555555556</v>
      </c>
      <c r="U1805" s="98">
        <v>4.0814481674713354</v>
      </c>
      <c r="V1805" s="106">
        <v>30432.142094517683</v>
      </c>
      <c r="W1805" s="10">
        <v>0.96476813259935845</v>
      </c>
      <c r="X1805" s="420"/>
      <c r="Y1805" s="420"/>
      <c r="Z1805" s="1"/>
      <c r="AA1805" s="1"/>
      <c r="AB1805" s="1"/>
      <c r="AC1805" s="1"/>
      <c r="AD1805" s="1"/>
    </row>
    <row r="1806" spans="17:30">
      <c r="Q1806" s="6">
        <v>1776</v>
      </c>
      <c r="R1806" s="7">
        <v>44443</v>
      </c>
      <c r="S1806" s="210">
        <v>4.25</v>
      </c>
      <c r="T1806" s="8">
        <v>1.0001180555555556</v>
      </c>
      <c r="U1806" s="98">
        <v>4.0816289137570516</v>
      </c>
      <c r="V1806" s="106">
        <v>30434.593335588099</v>
      </c>
      <c r="W1806" s="10">
        <v>0.9650005078343904</v>
      </c>
      <c r="X1806" s="420"/>
      <c r="Y1806" s="420"/>
      <c r="Z1806" s="1"/>
      <c r="AA1806" s="1"/>
      <c r="AB1806" s="1"/>
      <c r="AC1806" s="1"/>
      <c r="AD1806" s="1"/>
    </row>
    <row r="1807" spans="17:30">
      <c r="Q1807" s="6">
        <v>1777</v>
      </c>
      <c r="R1807" s="7">
        <v>44444</v>
      </c>
      <c r="S1807" s="210">
        <v>4.25</v>
      </c>
      <c r="T1807" s="8">
        <v>1.0001180555555556</v>
      </c>
      <c r="U1807" s="98">
        <v>4.0818094569275543</v>
      </c>
      <c r="V1807" s="106">
        <v>30437.044774100512</v>
      </c>
      <c r="W1807" s="10">
        <v>0.96523262206678062</v>
      </c>
      <c r="X1807" s="420"/>
      <c r="Y1807" s="420"/>
      <c r="Z1807" s="1"/>
      <c r="AA1807" s="1"/>
      <c r="AB1807" s="1"/>
      <c r="AC1807" s="1"/>
      <c r="AD1807" s="1"/>
    </row>
    <row r="1808" spans="17:30">
      <c r="Q1808" s="6">
        <v>1778</v>
      </c>
      <c r="R1808" s="7">
        <v>44445</v>
      </c>
      <c r="S1808" s="210">
        <v>4.25</v>
      </c>
      <c r="T1808" s="8">
        <v>1.0001180555555556</v>
      </c>
      <c r="U1808" s="98">
        <v>4.0819897973250141</v>
      </c>
      <c r="V1808" s="106">
        <v>30439.49641007082</v>
      </c>
      <c r="W1808" s="10">
        <v>0.96546447573599981</v>
      </c>
      <c r="X1808" s="420"/>
      <c r="Y1808" s="420"/>
      <c r="Z1808" s="1"/>
      <c r="AA1808" s="1"/>
      <c r="AB1808" s="1"/>
      <c r="AC1808" s="1"/>
      <c r="AD1808" s="1"/>
    </row>
    <row r="1809" spans="17:30">
      <c r="Q1809" s="6">
        <v>1779</v>
      </c>
      <c r="R1809" s="7">
        <v>44446</v>
      </c>
      <c r="S1809" s="210">
        <v>4.25</v>
      </c>
      <c r="T1809" s="8">
        <v>1.0001180555555556</v>
      </c>
      <c r="U1809" s="98">
        <v>4.0821699352908469</v>
      </c>
      <c r="V1809" s="106">
        <v>30441.948243514926</v>
      </c>
      <c r="W1809" s="10">
        <v>0.96569606928056384</v>
      </c>
      <c r="X1809" s="420"/>
      <c r="Y1809" s="420"/>
      <c r="Z1809" s="1"/>
      <c r="AA1809" s="1"/>
      <c r="AB1809" s="1"/>
      <c r="AC1809" s="1"/>
      <c r="AD1809" s="1"/>
    </row>
    <row r="1810" spans="17:30">
      <c r="Q1810" s="6">
        <v>1780</v>
      </c>
      <c r="R1810" s="7">
        <v>44447</v>
      </c>
      <c r="S1810" s="210">
        <v>4.25</v>
      </c>
      <c r="T1810" s="8">
        <v>1.0001180555555556</v>
      </c>
      <c r="U1810" s="98">
        <v>4.0823498711657136</v>
      </c>
      <c r="V1810" s="106">
        <v>30444.400274448741</v>
      </c>
      <c r="W1810" s="10">
        <v>0.96592740313798942</v>
      </c>
      <c r="X1810" s="420"/>
      <c r="Y1810" s="420"/>
      <c r="Z1810" s="1"/>
      <c r="AA1810" s="1"/>
      <c r="AB1810" s="1"/>
      <c r="AC1810" s="1"/>
      <c r="AD1810" s="1"/>
    </row>
    <row r="1811" spans="17:30">
      <c r="Q1811" s="6">
        <v>1781</v>
      </c>
      <c r="R1811" s="7">
        <v>44448</v>
      </c>
      <c r="S1811" s="210">
        <v>4.25</v>
      </c>
      <c r="T1811" s="8">
        <v>1.0001180555555556</v>
      </c>
      <c r="U1811" s="98">
        <v>4.0825296052895199</v>
      </c>
      <c r="V1811" s="106">
        <v>30446.852502888174</v>
      </c>
      <c r="W1811" s="10">
        <v>0.96615847774483843</v>
      </c>
      <c r="X1811" s="420"/>
      <c r="Y1811" s="420"/>
      <c r="Z1811" s="1"/>
      <c r="AA1811" s="1"/>
      <c r="AB1811" s="1"/>
      <c r="AC1811" s="1"/>
      <c r="AD1811" s="1"/>
    </row>
    <row r="1812" spans="17:30">
      <c r="Q1812" s="6">
        <v>1782</v>
      </c>
      <c r="R1812" s="7">
        <v>44449</v>
      </c>
      <c r="S1812" s="210">
        <v>4.25</v>
      </c>
      <c r="T1812" s="8">
        <v>1.0001180555555556</v>
      </c>
      <c r="U1812" s="98">
        <v>4.0827091380013725</v>
      </c>
      <c r="V1812" s="106">
        <v>30449.386679783103</v>
      </c>
      <c r="W1812" s="10">
        <v>0.96633377006314358</v>
      </c>
      <c r="X1812" s="420"/>
      <c r="Y1812" s="420"/>
      <c r="Z1812" s="1"/>
      <c r="AA1812" s="1"/>
      <c r="AB1812" s="1"/>
      <c r="AC1812" s="1"/>
      <c r="AD1812" s="1"/>
    </row>
    <row r="1813" spans="17:30">
      <c r="Q1813" s="6">
        <v>1783</v>
      </c>
      <c r="R1813" s="7">
        <v>44450</v>
      </c>
      <c r="S1813" s="210">
        <v>4.25</v>
      </c>
      <c r="T1813" s="8">
        <v>1.0001180555555556</v>
      </c>
      <c r="U1813" s="98">
        <v>4.082888469639645</v>
      </c>
      <c r="V1813" s="106">
        <v>30451.921067604686</v>
      </c>
      <c r="W1813" s="10">
        <v>0.96650886605897934</v>
      </c>
      <c r="X1813" s="420"/>
      <c r="Y1813" s="420"/>
      <c r="Z1813" s="1"/>
      <c r="AA1813" s="1"/>
      <c r="AB1813" s="1"/>
      <c r="AC1813" s="1"/>
      <c r="AD1813" s="1"/>
    </row>
    <row r="1814" spans="17:30">
      <c r="Q1814" s="6">
        <v>1784</v>
      </c>
      <c r="R1814" s="7">
        <v>44451</v>
      </c>
      <c r="S1814" s="210">
        <v>4.25</v>
      </c>
      <c r="T1814" s="8">
        <v>1.0001180555555556</v>
      </c>
      <c r="U1814" s="98">
        <v>4.0830676005419564</v>
      </c>
      <c r="V1814" s="106">
        <v>30454.455666370468</v>
      </c>
      <c r="W1814" s="10">
        <v>0.96668376606201534</v>
      </c>
      <c r="X1814" s="420"/>
      <c r="Y1814" s="420"/>
      <c r="Z1814" s="1"/>
      <c r="AA1814" s="1"/>
      <c r="AB1814" s="1"/>
      <c r="AC1814" s="1"/>
      <c r="AD1814" s="1"/>
    </row>
    <row r="1815" spans="17:30">
      <c r="Q1815" s="6">
        <v>1785</v>
      </c>
      <c r="R1815" s="7">
        <v>44452</v>
      </c>
      <c r="S1815" s="210">
        <v>4.25</v>
      </c>
      <c r="T1815" s="8">
        <v>1.0001180555555556</v>
      </c>
      <c r="U1815" s="98">
        <v>4.083246531045126</v>
      </c>
      <c r="V1815" s="106">
        <v>30456.990476098013</v>
      </c>
      <c r="W1815" s="10">
        <v>0.96685847040109962</v>
      </c>
      <c r="X1815" s="420"/>
      <c r="Y1815" s="420"/>
      <c r="Z1815" s="1"/>
      <c r="AA1815" s="1"/>
      <c r="AB1815" s="1"/>
      <c r="AC1815" s="1"/>
      <c r="AD1815" s="1"/>
    </row>
    <row r="1816" spans="17:30">
      <c r="Q1816" s="6">
        <v>1786</v>
      </c>
      <c r="R1816" s="7">
        <v>44453</v>
      </c>
      <c r="S1816" s="210">
        <v>4.25</v>
      </c>
      <c r="T1816" s="8">
        <v>1.0001180555555556</v>
      </c>
      <c r="U1816" s="98">
        <v>4.0834252614852851</v>
      </c>
      <c r="V1816" s="106">
        <v>30459.525496804876</v>
      </c>
      <c r="W1816" s="10">
        <v>0.96703297940443633</v>
      </c>
      <c r="X1816" s="420"/>
      <c r="Y1816" s="420"/>
      <c r="Z1816" s="1"/>
      <c r="AA1816" s="1"/>
      <c r="AB1816" s="1"/>
      <c r="AC1816" s="1"/>
      <c r="AD1816" s="1"/>
    </row>
    <row r="1817" spans="17:30">
      <c r="Q1817" s="6">
        <v>1787</v>
      </c>
      <c r="R1817" s="7">
        <v>44454</v>
      </c>
      <c r="S1817" s="210">
        <v>4.25</v>
      </c>
      <c r="T1817" s="8">
        <v>1.0001180555555556</v>
      </c>
      <c r="U1817" s="98">
        <v>4.0836037921977653</v>
      </c>
      <c r="V1817" s="106">
        <v>30462.060728508615</v>
      </c>
      <c r="W1817" s="10">
        <v>0.96720729339940803</v>
      </c>
      <c r="X1817" s="420"/>
      <c r="Y1817" s="420"/>
      <c r="Z1817" s="1"/>
      <c r="AA1817" s="1"/>
      <c r="AB1817" s="1"/>
      <c r="AC1817" s="1"/>
      <c r="AD1817" s="1"/>
    </row>
    <row r="1818" spans="17:30">
      <c r="Q1818" s="6">
        <v>1788</v>
      </c>
      <c r="R1818" s="7">
        <v>44455</v>
      </c>
      <c r="S1818" s="210">
        <v>4.25</v>
      </c>
      <c r="T1818" s="8">
        <v>1.0001180555555556</v>
      </c>
      <c r="U1818" s="98">
        <v>4.0837821235171878</v>
      </c>
      <c r="V1818" s="106">
        <v>30464.596171226804</v>
      </c>
      <c r="W1818" s="10">
        <v>0.96738141271273115</v>
      </c>
      <c r="X1818" s="420"/>
      <c r="Y1818" s="420"/>
      <c r="Z1818" s="1"/>
      <c r="AA1818" s="1"/>
      <c r="AB1818" s="1"/>
      <c r="AC1818" s="1"/>
      <c r="AD1818" s="1"/>
    </row>
    <row r="1819" spans="17:30">
      <c r="Q1819" s="6">
        <v>1789</v>
      </c>
      <c r="R1819" s="7">
        <v>44456</v>
      </c>
      <c r="S1819" s="210">
        <v>4.25</v>
      </c>
      <c r="T1819" s="8">
        <v>1.0001180555555556</v>
      </c>
      <c r="U1819" s="98">
        <v>4.0839602557773969</v>
      </c>
      <c r="V1819" s="106">
        <v>30467.131824977001</v>
      </c>
      <c r="W1819" s="10">
        <v>0.96755533767034496</v>
      </c>
      <c r="X1819" s="420"/>
      <c r="Y1819" s="420"/>
      <c r="Z1819" s="1"/>
      <c r="AA1819" s="1"/>
      <c r="AB1819" s="1"/>
      <c r="AC1819" s="1"/>
      <c r="AD1819" s="1"/>
    </row>
    <row r="1820" spans="17:30">
      <c r="Q1820" s="6">
        <v>1790</v>
      </c>
      <c r="R1820" s="7">
        <v>44457</v>
      </c>
      <c r="S1820" s="210">
        <v>4.25</v>
      </c>
      <c r="T1820" s="8">
        <v>1.0001180555555556</v>
      </c>
      <c r="U1820" s="98">
        <v>4.0841381893114814</v>
      </c>
      <c r="V1820" s="106">
        <v>30469.667689776765</v>
      </c>
      <c r="W1820" s="10">
        <v>0.96772906859750041</v>
      </c>
      <c r="X1820" s="420"/>
      <c r="Y1820" s="420"/>
      <c r="Z1820" s="1"/>
      <c r="AA1820" s="1"/>
      <c r="AB1820" s="1"/>
      <c r="AC1820" s="1"/>
      <c r="AD1820" s="1"/>
    </row>
    <row r="1821" spans="17:30">
      <c r="Q1821" s="6">
        <v>1791</v>
      </c>
      <c r="R1821" s="7">
        <v>44458</v>
      </c>
      <c r="S1821" s="210">
        <v>4.25</v>
      </c>
      <c r="T1821" s="8">
        <v>1.0001180555555556</v>
      </c>
      <c r="U1821" s="98">
        <v>4.0843159244518423</v>
      </c>
      <c r="V1821" s="106">
        <v>30472.203765643662</v>
      </c>
      <c r="W1821" s="10">
        <v>0.96790260581871568</v>
      </c>
      <c r="X1821" s="420"/>
      <c r="Y1821" s="420"/>
      <c r="Z1821" s="1"/>
      <c r="AA1821" s="1"/>
      <c r="AB1821" s="1"/>
      <c r="AC1821" s="1"/>
      <c r="AD1821" s="1"/>
    </row>
    <row r="1822" spans="17:30">
      <c r="Q1822" s="6">
        <v>1792</v>
      </c>
      <c r="R1822" s="7">
        <v>44459</v>
      </c>
      <c r="S1822" s="210">
        <v>4.25</v>
      </c>
      <c r="T1822" s="8">
        <v>1.0001180555555556</v>
      </c>
      <c r="U1822" s="98">
        <v>4.084493461530081</v>
      </c>
      <c r="V1822" s="106">
        <v>30474.740052595269</v>
      </c>
      <c r="W1822" s="10">
        <v>0.96807594965775401</v>
      </c>
      <c r="X1822" s="420"/>
      <c r="Y1822" s="420"/>
      <c r="Z1822" s="1"/>
      <c r="AA1822" s="1"/>
      <c r="AB1822" s="1"/>
      <c r="AC1822" s="1"/>
      <c r="AD1822" s="1"/>
    </row>
    <row r="1823" spans="17:30">
      <c r="Q1823" s="6">
        <v>1793</v>
      </c>
      <c r="R1823" s="7">
        <v>44460</v>
      </c>
      <c r="S1823" s="210">
        <v>4.25</v>
      </c>
      <c r="T1823" s="8">
        <v>1.0001180555555556</v>
      </c>
      <c r="U1823" s="98">
        <v>4.0846708008770882</v>
      </c>
      <c r="V1823" s="106">
        <v>30477.276550649149</v>
      </c>
      <c r="W1823" s="10">
        <v>0.9682491004376903</v>
      </c>
      <c r="X1823" s="420"/>
      <c r="Y1823" s="420"/>
      <c r="Z1823" s="1"/>
      <c r="AA1823" s="1"/>
      <c r="AB1823" s="1"/>
      <c r="AC1823" s="1"/>
      <c r="AD1823" s="1"/>
    </row>
    <row r="1824" spans="17:30">
      <c r="Q1824" s="6">
        <v>1794</v>
      </c>
      <c r="R1824" s="7">
        <v>44461</v>
      </c>
      <c r="S1824" s="210">
        <v>4.25</v>
      </c>
      <c r="T1824" s="8">
        <v>1.0001180555555556</v>
      </c>
      <c r="U1824" s="98">
        <v>4.0848479428230222</v>
      </c>
      <c r="V1824" s="106">
        <v>30479.813259822873</v>
      </c>
      <c r="W1824" s="10">
        <v>0.96842205848086671</v>
      </c>
      <c r="X1824" s="420"/>
      <c r="Y1824" s="420"/>
      <c r="Z1824" s="1"/>
      <c r="AA1824" s="1"/>
      <c r="AB1824" s="1"/>
      <c r="AC1824" s="1"/>
      <c r="AD1824" s="1"/>
    </row>
    <row r="1825" spans="17:30">
      <c r="Q1825" s="6">
        <v>1795</v>
      </c>
      <c r="R1825" s="7">
        <v>44462</v>
      </c>
      <c r="S1825" s="210">
        <v>4.25</v>
      </c>
      <c r="T1825" s="8">
        <v>1.0001180555555556</v>
      </c>
      <c r="U1825" s="98">
        <v>4.0850248876972861</v>
      </c>
      <c r="V1825" s="106">
        <v>30482.350180134013</v>
      </c>
      <c r="W1825" s="10">
        <v>0.96859482410893705</v>
      </c>
      <c r="X1825" s="420"/>
      <c r="Y1825" s="420"/>
      <c r="Z1825" s="1"/>
      <c r="AA1825" s="1"/>
      <c r="AB1825" s="1"/>
      <c r="AC1825" s="1"/>
      <c r="AD1825" s="1"/>
    </row>
    <row r="1826" spans="17:30">
      <c r="Q1826" s="6">
        <v>1796</v>
      </c>
      <c r="R1826" s="7">
        <v>44463</v>
      </c>
      <c r="S1826" s="210">
        <v>4.25</v>
      </c>
      <c r="T1826" s="8">
        <v>1.0001180555555556</v>
      </c>
      <c r="U1826" s="98">
        <v>4.0852016358285503</v>
      </c>
      <c r="V1826" s="106">
        <v>30484.887311600145</v>
      </c>
      <c r="W1826" s="10">
        <v>0.96876739764273356</v>
      </c>
      <c r="X1826" s="420"/>
      <c r="Y1826" s="420"/>
      <c r="Z1826" s="1"/>
      <c r="AA1826" s="1"/>
      <c r="AB1826" s="1"/>
      <c r="AC1826" s="1"/>
      <c r="AD1826" s="1"/>
    </row>
    <row r="1827" spans="17:30">
      <c r="Q1827" s="6">
        <v>1797</v>
      </c>
      <c r="R1827" s="7">
        <v>44464</v>
      </c>
      <c r="S1827" s="210">
        <v>4.25</v>
      </c>
      <c r="T1827" s="8">
        <v>1.0001180555555556</v>
      </c>
      <c r="U1827" s="98">
        <v>4.085378187544797</v>
      </c>
      <c r="V1827" s="106">
        <v>30487.424654238836</v>
      </c>
      <c r="W1827" s="10">
        <v>0.9689397794025556</v>
      </c>
      <c r="X1827" s="420"/>
      <c r="Y1827" s="420"/>
      <c r="Z1827" s="1"/>
      <c r="AA1827" s="1"/>
      <c r="AB1827" s="1"/>
      <c r="AC1827" s="1"/>
      <c r="AD1827" s="1"/>
    </row>
    <row r="1828" spans="17:30">
      <c r="Q1828" s="6">
        <v>1798</v>
      </c>
      <c r="R1828" s="7">
        <v>44465</v>
      </c>
      <c r="S1828" s="210">
        <v>4.25</v>
      </c>
      <c r="T1828" s="8">
        <v>1.0001180555555556</v>
      </c>
      <c r="U1828" s="98">
        <v>4.085554543173231</v>
      </c>
      <c r="V1828" s="106">
        <v>30489.962208067675</v>
      </c>
      <c r="W1828" s="10">
        <v>0.96911196970785873</v>
      </c>
      <c r="X1828" s="420"/>
      <c r="Y1828" s="420"/>
      <c r="Z1828" s="1"/>
      <c r="AA1828" s="1"/>
      <c r="AB1828" s="1"/>
      <c r="AC1828" s="1"/>
      <c r="AD1828" s="1"/>
    </row>
    <row r="1829" spans="17:30">
      <c r="Q1829" s="6">
        <v>1799</v>
      </c>
      <c r="R1829" s="7">
        <v>44466</v>
      </c>
      <c r="S1829" s="210">
        <v>4.25</v>
      </c>
      <c r="T1829" s="8">
        <v>1.0001180555555556</v>
      </c>
      <c r="U1829" s="98">
        <v>4.0857307030403467</v>
      </c>
      <c r="V1829" s="106">
        <v>30492.499973104234</v>
      </c>
      <c r="W1829" s="10">
        <v>0.96928396887738799</v>
      </c>
      <c r="X1829" s="420"/>
      <c r="Y1829" s="420"/>
      <c r="Z1829" s="1"/>
      <c r="AA1829" s="1"/>
      <c r="AB1829" s="1"/>
      <c r="AC1829" s="1"/>
      <c r="AD1829" s="1"/>
    </row>
    <row r="1830" spans="17:30">
      <c r="Q1830" s="6">
        <v>1800</v>
      </c>
      <c r="R1830" s="7">
        <v>44467</v>
      </c>
      <c r="S1830" s="210">
        <v>4.25</v>
      </c>
      <c r="T1830" s="8">
        <v>1.0001180555555556</v>
      </c>
      <c r="U1830" s="98">
        <v>4.085906667471928</v>
      </c>
      <c r="V1830" s="106">
        <v>30495.037949366084</v>
      </c>
      <c r="W1830" s="10">
        <v>0.96945577722924448</v>
      </c>
      <c r="X1830" s="420"/>
      <c r="Y1830" s="420"/>
      <c r="Z1830" s="1"/>
      <c r="AA1830" s="1"/>
      <c r="AB1830" s="1"/>
      <c r="AC1830" s="1"/>
      <c r="AD1830" s="1"/>
    </row>
    <row r="1831" spans="17:30">
      <c r="Q1831" s="6">
        <v>1801</v>
      </c>
      <c r="R1831" s="7">
        <v>44468</v>
      </c>
      <c r="S1831" s="210">
        <v>4.25</v>
      </c>
      <c r="T1831" s="8">
        <v>1.0001180555555556</v>
      </c>
      <c r="U1831" s="98">
        <v>4.086082436793026</v>
      </c>
      <c r="V1831" s="106">
        <v>30497.576136870823</v>
      </c>
      <c r="W1831" s="10">
        <v>0.96962739508077433</v>
      </c>
      <c r="X1831" s="420"/>
      <c r="Y1831" s="420"/>
      <c r="Z1831" s="1"/>
      <c r="AA1831" s="1"/>
      <c r="AB1831" s="1"/>
      <c r="AC1831" s="1"/>
      <c r="AD1831" s="1"/>
    </row>
    <row r="1832" spans="17:30">
      <c r="Q1832" s="6">
        <v>1802</v>
      </c>
      <c r="R1832" s="7">
        <v>44469</v>
      </c>
      <c r="S1832" s="210">
        <v>4.25</v>
      </c>
      <c r="T1832" s="8">
        <v>1.0001180555555556</v>
      </c>
      <c r="U1832" s="98">
        <v>4.086258011327959</v>
      </c>
      <c r="V1832" s="106">
        <v>30500.114535636021</v>
      </c>
      <c r="W1832" s="10">
        <v>0.96979882274867979</v>
      </c>
      <c r="X1832" s="420"/>
      <c r="Y1832" s="420"/>
      <c r="Z1832" s="1"/>
      <c r="AA1832" s="1"/>
      <c r="AB1832" s="1"/>
      <c r="AC1832" s="1"/>
      <c r="AD1832" s="1"/>
    </row>
    <row r="1833" spans="17:30">
      <c r="Q1833" s="6">
        <v>1803</v>
      </c>
      <c r="R1833" s="7">
        <v>44470</v>
      </c>
      <c r="S1833" s="210">
        <v>4.25</v>
      </c>
      <c r="T1833" s="8">
        <v>1.0001180555555556</v>
      </c>
      <c r="U1833" s="98">
        <v>4.0864333914003348</v>
      </c>
      <c r="V1833" s="106">
        <v>30502.653145679258</v>
      </c>
      <c r="W1833" s="10">
        <v>0.9699700605488859</v>
      </c>
      <c r="X1833" s="420"/>
      <c r="Y1833" s="420"/>
      <c r="Z1833" s="1"/>
      <c r="AA1833" s="1"/>
      <c r="AB1833" s="1"/>
      <c r="AC1833" s="1"/>
      <c r="AD1833" s="1"/>
    </row>
    <row r="1834" spans="17:30">
      <c r="Q1834" s="6">
        <v>1804</v>
      </c>
      <c r="R1834" s="7">
        <v>44471</v>
      </c>
      <c r="S1834" s="210">
        <v>4.25</v>
      </c>
      <c r="T1834" s="8">
        <v>1.0001180555555556</v>
      </c>
      <c r="U1834" s="98">
        <v>4.0866085773330507</v>
      </c>
      <c r="V1834" s="106">
        <v>30505.191967018131</v>
      </c>
      <c r="W1834" s="10">
        <v>0.97014110879665161</v>
      </c>
      <c r="X1834" s="420"/>
      <c r="Y1834" s="420"/>
      <c r="Z1834" s="1"/>
      <c r="AA1834" s="1"/>
      <c r="AB1834" s="1"/>
      <c r="AC1834" s="1"/>
      <c r="AD1834" s="1"/>
    </row>
    <row r="1835" spans="17:30">
      <c r="Q1835" s="6">
        <v>1805</v>
      </c>
      <c r="R1835" s="7">
        <v>44472</v>
      </c>
      <c r="S1835" s="210">
        <v>4.25</v>
      </c>
      <c r="T1835" s="8">
        <v>1.0001180555555556</v>
      </c>
      <c r="U1835" s="98">
        <v>4.0867835694482935</v>
      </c>
      <c r="V1835" s="106">
        <v>30507.730999670228</v>
      </c>
      <c r="W1835" s="10">
        <v>0.97031196780654749</v>
      </c>
      <c r="X1835" s="420"/>
      <c r="Y1835" s="420"/>
      <c r="Z1835" s="1"/>
      <c r="AA1835" s="1"/>
      <c r="AB1835" s="1"/>
      <c r="AC1835" s="1"/>
      <c r="AD1835" s="1"/>
    </row>
    <row r="1836" spans="17:30">
      <c r="Q1836" s="6">
        <v>1806</v>
      </c>
      <c r="R1836" s="7">
        <v>44473</v>
      </c>
      <c r="S1836" s="210">
        <v>4.25</v>
      </c>
      <c r="T1836" s="8">
        <v>1.0001180555555556</v>
      </c>
      <c r="U1836" s="98">
        <v>4.0869583680675392</v>
      </c>
      <c r="V1836" s="106">
        <v>30510.270243653122</v>
      </c>
      <c r="W1836" s="10">
        <v>0.97048263789247802</v>
      </c>
      <c r="X1836" s="420"/>
      <c r="Y1836" s="420"/>
      <c r="Z1836" s="1"/>
      <c r="AA1836" s="1"/>
      <c r="AB1836" s="1"/>
      <c r="AC1836" s="1"/>
      <c r="AD1836" s="1"/>
    </row>
    <row r="1837" spans="17:30">
      <c r="Q1837" s="6">
        <v>1807</v>
      </c>
      <c r="R1837" s="7">
        <v>44474</v>
      </c>
      <c r="S1837" s="210">
        <v>4.25</v>
      </c>
      <c r="T1837" s="8">
        <v>1.0001180555555556</v>
      </c>
      <c r="U1837" s="98">
        <v>4.0871329735115314</v>
      </c>
      <c r="V1837" s="106">
        <v>30512.80969898442</v>
      </c>
      <c r="W1837" s="10">
        <v>0.97065311936759269</v>
      </c>
      <c r="X1837" s="420"/>
      <c r="Y1837" s="420"/>
      <c r="Z1837" s="1"/>
      <c r="AA1837" s="1"/>
      <c r="AB1837" s="1"/>
      <c r="AC1837" s="1"/>
      <c r="AD1837" s="1"/>
    </row>
    <row r="1838" spans="17:30">
      <c r="Q1838" s="6">
        <v>1808</v>
      </c>
      <c r="R1838" s="7">
        <v>44475</v>
      </c>
      <c r="S1838" s="210">
        <v>4.25</v>
      </c>
      <c r="T1838" s="8">
        <v>1.0001180555555556</v>
      </c>
      <c r="U1838" s="98">
        <v>4.0873073861003251</v>
      </c>
      <c r="V1838" s="106">
        <v>30515.349365681697</v>
      </c>
      <c r="W1838" s="10">
        <v>0.97082341254435267</v>
      </c>
      <c r="X1838" s="420"/>
      <c r="Y1838" s="420"/>
      <c r="Z1838" s="1"/>
      <c r="AA1838" s="1"/>
      <c r="AB1838" s="1"/>
      <c r="AC1838" s="1"/>
      <c r="AD1838" s="1"/>
    </row>
    <row r="1839" spans="17:30">
      <c r="Q1839" s="6">
        <v>1809</v>
      </c>
      <c r="R1839" s="7">
        <v>44476</v>
      </c>
      <c r="S1839" s="210">
        <v>4.25</v>
      </c>
      <c r="T1839" s="8">
        <v>1.0001180555555556</v>
      </c>
      <c r="U1839" s="98">
        <v>4.0874816061532648</v>
      </c>
      <c r="V1839" s="106">
        <v>30517.889243762555</v>
      </c>
      <c r="W1839" s="10">
        <v>0.97099351773459741</v>
      </c>
      <c r="X1839" s="420"/>
      <c r="Y1839" s="420"/>
      <c r="Z1839" s="1"/>
      <c r="AA1839" s="1"/>
      <c r="AB1839" s="1"/>
      <c r="AC1839" s="1"/>
      <c r="AD1839" s="1"/>
    </row>
    <row r="1840" spans="17:30">
      <c r="Q1840" s="6">
        <v>1810</v>
      </c>
      <c r="R1840" s="7">
        <v>44477</v>
      </c>
      <c r="S1840" s="210">
        <v>4.25</v>
      </c>
      <c r="T1840" s="8">
        <v>1.0001180555555556</v>
      </c>
      <c r="U1840" s="98">
        <v>4.0876556339889625</v>
      </c>
      <c r="V1840" s="106">
        <v>30520.429333244592</v>
      </c>
      <c r="W1840" s="10">
        <v>0.9711634352493892</v>
      </c>
      <c r="X1840" s="420"/>
      <c r="Y1840" s="420"/>
      <c r="Z1840" s="1"/>
      <c r="AA1840" s="1"/>
      <c r="AB1840" s="1"/>
      <c r="AC1840" s="1"/>
      <c r="AD1840" s="1"/>
    </row>
    <row r="1841" spans="17:30">
      <c r="Q1841" s="6">
        <v>1811</v>
      </c>
      <c r="R1841" s="7">
        <v>44478</v>
      </c>
      <c r="S1841" s="210">
        <v>4.25</v>
      </c>
      <c r="T1841" s="8">
        <v>1.0001180555555556</v>
      </c>
      <c r="U1841" s="98">
        <v>4.0878294699253859</v>
      </c>
      <c r="V1841" s="106">
        <v>30522.969634145393</v>
      </c>
      <c r="W1841" s="10">
        <v>0.97133316539916859</v>
      </c>
      <c r="X1841" s="420"/>
      <c r="Y1841" s="420"/>
      <c r="Z1841" s="1"/>
      <c r="AA1841" s="1"/>
      <c r="AB1841" s="1"/>
      <c r="AC1841" s="1"/>
      <c r="AD1841" s="1"/>
    </row>
    <row r="1842" spans="17:30">
      <c r="Q1842" s="6">
        <v>1812</v>
      </c>
      <c r="R1842" s="7">
        <v>44479</v>
      </c>
      <c r="S1842" s="210">
        <v>4.25</v>
      </c>
      <c r="T1842" s="8">
        <v>1.0001180555555556</v>
      </c>
      <c r="U1842" s="98">
        <v>4.0880031142797479</v>
      </c>
      <c r="V1842" s="106">
        <v>30525.428191171246</v>
      </c>
      <c r="W1842" s="10">
        <v>0.97155731549956048</v>
      </c>
      <c r="X1842" s="420"/>
      <c r="Y1842" s="420"/>
      <c r="Z1842" s="1"/>
      <c r="AA1842" s="1"/>
      <c r="AB1842" s="1"/>
      <c r="AC1842" s="1"/>
      <c r="AD1842" s="1"/>
    </row>
    <row r="1843" spans="17:30">
      <c r="Q1843" s="6">
        <v>1813</v>
      </c>
      <c r="R1843" s="7">
        <v>44480</v>
      </c>
      <c r="S1843" s="210">
        <v>4.25</v>
      </c>
      <c r="T1843" s="8">
        <v>1.0001180555555556</v>
      </c>
      <c r="U1843" s="98">
        <v>4.0881765673685955</v>
      </c>
      <c r="V1843" s="106">
        <v>30527.886946228384</v>
      </c>
      <c r="W1843" s="10">
        <v>0.97178121882690593</v>
      </c>
      <c r="X1843" s="420"/>
      <c r="Y1843" s="420"/>
      <c r="Z1843" s="1"/>
      <c r="AA1843" s="1"/>
      <c r="AB1843" s="1"/>
      <c r="AC1843" s="1"/>
      <c r="AD1843" s="1"/>
    </row>
    <row r="1844" spans="17:30">
      <c r="Q1844" s="6">
        <v>1814</v>
      </c>
      <c r="R1844" s="7">
        <v>44481</v>
      </c>
      <c r="S1844" s="210">
        <v>4.25</v>
      </c>
      <c r="T1844" s="8">
        <v>1.0001180555555556</v>
      </c>
      <c r="U1844" s="98">
        <v>4.0883498295077647</v>
      </c>
      <c r="V1844" s="106">
        <v>30530.345899332744</v>
      </c>
      <c r="W1844" s="10">
        <v>0.97200487578847916</v>
      </c>
      <c r="X1844" s="420"/>
      <c r="Y1844" s="420"/>
      <c r="Z1844" s="1"/>
      <c r="AA1844" s="1"/>
      <c r="AB1844" s="1"/>
      <c r="AC1844" s="1"/>
      <c r="AD1844" s="1"/>
    </row>
    <row r="1845" spans="17:30">
      <c r="Q1845" s="6">
        <v>1815</v>
      </c>
      <c r="R1845" s="7">
        <v>44482</v>
      </c>
      <c r="S1845" s="210">
        <v>4.25</v>
      </c>
      <c r="T1845" s="8">
        <v>1.0001180555555556</v>
      </c>
      <c r="U1845" s="98">
        <v>4.0885229010124036</v>
      </c>
      <c r="V1845" s="106">
        <v>30532.805050500283</v>
      </c>
      <c r="W1845" s="10">
        <v>0.97222828679073281</v>
      </c>
      <c r="X1845" s="420"/>
      <c r="Y1845" s="420"/>
      <c r="Z1845" s="1"/>
      <c r="AA1845" s="1"/>
      <c r="AB1845" s="1"/>
      <c r="AC1845" s="1"/>
      <c r="AD1845" s="1"/>
    </row>
    <row r="1846" spans="17:30">
      <c r="Q1846" s="6">
        <v>1816</v>
      </c>
      <c r="R1846" s="7">
        <v>44483</v>
      </c>
      <c r="S1846" s="210">
        <v>4.25</v>
      </c>
      <c r="T1846" s="8">
        <v>1.0001180555555556</v>
      </c>
      <c r="U1846" s="98">
        <v>4.0886957821969494</v>
      </c>
      <c r="V1846" s="106">
        <v>30535.264399746957</v>
      </c>
      <c r="W1846" s="10">
        <v>0.97245145223909812</v>
      </c>
      <c r="X1846" s="420"/>
      <c r="Y1846" s="420"/>
      <c r="Z1846" s="1"/>
      <c r="AA1846" s="1"/>
      <c r="AB1846" s="1"/>
      <c r="AC1846" s="1"/>
      <c r="AD1846" s="1"/>
    </row>
    <row r="1847" spans="17:30">
      <c r="Q1847" s="6">
        <v>1817</v>
      </c>
      <c r="R1847" s="7">
        <v>44484</v>
      </c>
      <c r="S1847" s="210">
        <v>4.25</v>
      </c>
      <c r="T1847" s="8">
        <v>1.0001180555555556</v>
      </c>
      <c r="U1847" s="98">
        <v>4.0888684733751735</v>
      </c>
      <c r="V1847" s="106">
        <v>30537.723947088718</v>
      </c>
      <c r="W1847" s="10">
        <v>0.9726743725382514</v>
      </c>
      <c r="X1847" s="420"/>
      <c r="Y1847" s="420"/>
      <c r="Z1847" s="1"/>
      <c r="AA1847" s="1"/>
      <c r="AB1847" s="1"/>
      <c r="AC1847" s="1"/>
      <c r="AD1847" s="1"/>
    </row>
    <row r="1848" spans="17:30">
      <c r="Q1848" s="6">
        <v>1818</v>
      </c>
      <c r="R1848" s="7">
        <v>44485</v>
      </c>
      <c r="S1848" s="210">
        <v>4.25</v>
      </c>
      <c r="T1848" s="8">
        <v>1.0001180555555556</v>
      </c>
      <c r="U1848" s="98">
        <v>4.0890409748601364</v>
      </c>
      <c r="V1848" s="106">
        <v>30540.183692541526</v>
      </c>
      <c r="W1848" s="10">
        <v>0.97289704809186972</v>
      </c>
      <c r="X1848" s="420"/>
      <c r="Y1848" s="420"/>
      <c r="Z1848" s="1"/>
      <c r="AA1848" s="1"/>
      <c r="AB1848" s="1"/>
      <c r="AC1848" s="1"/>
      <c r="AD1848" s="1"/>
    </row>
    <row r="1849" spans="17:30">
      <c r="Q1849" s="6">
        <v>1819</v>
      </c>
      <c r="R1849" s="7">
        <v>44486</v>
      </c>
      <c r="S1849" s="210">
        <v>4.25</v>
      </c>
      <c r="T1849" s="8">
        <v>1.0001180555555556</v>
      </c>
      <c r="U1849" s="98">
        <v>4.0892132869642106</v>
      </c>
      <c r="V1849" s="106">
        <v>30542.643636121342</v>
      </c>
      <c r="W1849" s="10">
        <v>0.97311947930278642</v>
      </c>
      <c r="X1849" s="420"/>
      <c r="Y1849" s="420"/>
      <c r="Z1849" s="1"/>
      <c r="AA1849" s="1"/>
      <c r="AB1849" s="1"/>
      <c r="AC1849" s="1"/>
      <c r="AD1849" s="1"/>
    </row>
    <row r="1850" spans="17:30">
      <c r="Q1850" s="6">
        <v>1820</v>
      </c>
      <c r="R1850" s="7">
        <v>44487</v>
      </c>
      <c r="S1850" s="210">
        <v>4.25</v>
      </c>
      <c r="T1850" s="8">
        <v>1.0001180555555556</v>
      </c>
      <c r="U1850" s="98">
        <v>4.0893854099991245</v>
      </c>
      <c r="V1850" s="106">
        <v>30545.103777844113</v>
      </c>
      <c r="W1850" s="10">
        <v>0.97334166657303545</v>
      </c>
      <c r="X1850" s="420"/>
      <c r="Y1850" s="420"/>
      <c r="Z1850" s="1"/>
      <c r="AA1850" s="1"/>
      <c r="AB1850" s="1"/>
      <c r="AC1850" s="1"/>
      <c r="AD1850" s="1"/>
    </row>
    <row r="1851" spans="17:30">
      <c r="Q1851" s="6">
        <v>1821</v>
      </c>
      <c r="R1851" s="7">
        <v>44488</v>
      </c>
      <c r="S1851" s="210">
        <v>4.25</v>
      </c>
      <c r="T1851" s="8">
        <v>1.0001180555555556</v>
      </c>
      <c r="U1851" s="98">
        <v>4.0895573442758515</v>
      </c>
      <c r="V1851" s="106">
        <v>30547.5641177258</v>
      </c>
      <c r="W1851" s="10">
        <v>0.97356361030358496</v>
      </c>
      <c r="X1851" s="420"/>
      <c r="Y1851" s="420"/>
      <c r="Z1851" s="1"/>
      <c r="AA1851" s="1"/>
      <c r="AB1851" s="1"/>
      <c r="AC1851" s="1"/>
      <c r="AD1851" s="1"/>
    </row>
    <row r="1852" spans="17:30">
      <c r="Q1852" s="6">
        <v>1822</v>
      </c>
      <c r="R1852" s="7">
        <v>44489</v>
      </c>
      <c r="S1852" s="210">
        <v>4.25</v>
      </c>
      <c r="T1852" s="8">
        <v>1.0001180555555556</v>
      </c>
      <c r="U1852" s="98">
        <v>4.0897290901047434</v>
      </c>
      <c r="V1852" s="106">
        <v>30550.024655782374</v>
      </c>
      <c r="W1852" s="10">
        <v>0.97378531089471476</v>
      </c>
      <c r="X1852" s="420"/>
      <c r="Y1852" s="420"/>
      <c r="Z1852" s="1"/>
      <c r="AA1852" s="1"/>
      <c r="AB1852" s="1"/>
      <c r="AC1852" s="1"/>
      <c r="AD1852" s="1"/>
    </row>
    <row r="1853" spans="17:30">
      <c r="Q1853" s="6">
        <v>1823</v>
      </c>
      <c r="R1853" s="7">
        <v>44490</v>
      </c>
      <c r="S1853" s="210">
        <v>4.25</v>
      </c>
      <c r="T1853" s="8">
        <v>1.0001180555555556</v>
      </c>
      <c r="U1853" s="98">
        <v>4.0899006477954636</v>
      </c>
      <c r="V1853" s="106">
        <v>30552.48539202979</v>
      </c>
      <c r="W1853" s="10">
        <v>0.97400676874570546</v>
      </c>
      <c r="X1853" s="420"/>
      <c r="Y1853" s="420"/>
      <c r="Z1853" s="1"/>
      <c r="AA1853" s="1"/>
      <c r="AB1853" s="1"/>
      <c r="AC1853" s="1"/>
      <c r="AD1853" s="1"/>
    </row>
    <row r="1854" spans="17:30">
      <c r="Q1854" s="6">
        <v>1824</v>
      </c>
      <c r="R1854" s="7">
        <v>44491</v>
      </c>
      <c r="S1854" s="210">
        <v>4.25</v>
      </c>
      <c r="T1854" s="8">
        <v>1.0001180555555556</v>
      </c>
      <c r="U1854" s="98">
        <v>4.0900720176569649</v>
      </c>
      <c r="V1854" s="106">
        <v>30554.946326484012</v>
      </c>
      <c r="W1854" s="10">
        <v>0.97422798425503832</v>
      </c>
      <c r="X1854" s="420"/>
      <c r="Y1854" s="420"/>
      <c r="Z1854" s="1"/>
      <c r="AA1854" s="1"/>
      <c r="AB1854" s="1"/>
      <c r="AC1854" s="1"/>
      <c r="AD1854" s="1"/>
    </row>
    <row r="1855" spans="17:30">
      <c r="Q1855" s="6">
        <v>1825</v>
      </c>
      <c r="R1855" s="7">
        <v>44492</v>
      </c>
      <c r="S1855" s="210">
        <v>4.25</v>
      </c>
      <c r="T1855" s="8">
        <v>1.0001180555555556</v>
      </c>
      <c r="U1855" s="98">
        <v>4.0902431999975564</v>
      </c>
      <c r="V1855" s="106">
        <v>30557.407459161012</v>
      </c>
      <c r="W1855" s="10">
        <v>0.97444895782023977</v>
      </c>
      <c r="X1855" s="420"/>
      <c r="Y1855" s="420"/>
      <c r="Z1855" s="1"/>
      <c r="AA1855" s="1"/>
      <c r="AB1855" s="1"/>
      <c r="AC1855" s="1"/>
      <c r="AD1855" s="1"/>
    </row>
    <row r="1856" spans="17:30">
      <c r="Q1856" s="6">
        <v>1826</v>
      </c>
      <c r="R1856" s="7">
        <v>44493</v>
      </c>
      <c r="S1856" s="210">
        <v>4.25</v>
      </c>
      <c r="T1856" s="8">
        <v>1.0001180555555556</v>
      </c>
      <c r="U1856" s="98">
        <v>4.0904141951248585</v>
      </c>
      <c r="V1856" s="106">
        <v>30559.868790076751</v>
      </c>
      <c r="W1856" s="10">
        <v>0.97466968983803692</v>
      </c>
      <c r="X1856" s="420"/>
      <c r="Y1856" s="420"/>
      <c r="Z1856" s="1"/>
      <c r="AA1856" s="1"/>
      <c r="AB1856" s="1"/>
      <c r="AC1856" s="1"/>
      <c r="AD1856" s="1"/>
    </row>
    <row r="1857" spans="17:30">
      <c r="Q1857" s="6">
        <v>1827</v>
      </c>
      <c r="R1857" s="7">
        <v>44494</v>
      </c>
      <c r="S1857" s="210">
        <v>4.25</v>
      </c>
      <c r="T1857" s="8">
        <v>1.0001180555555556</v>
      </c>
      <c r="U1857" s="98">
        <v>4.0905850033458035</v>
      </c>
      <c r="V1857" s="106">
        <v>30562.330319247201</v>
      </c>
      <c r="W1857" s="10">
        <v>0.97489018070424649</v>
      </c>
      <c r="X1857" s="420"/>
      <c r="Y1857" s="420"/>
      <c r="Z1857" s="1"/>
      <c r="AA1857" s="1"/>
      <c r="AB1857" s="1"/>
      <c r="AC1857" s="1"/>
      <c r="AD1857" s="1"/>
    </row>
    <row r="1858" spans="17:30">
      <c r="Q1858" s="6">
        <v>1828</v>
      </c>
      <c r="R1858" s="7">
        <v>44495</v>
      </c>
      <c r="S1858" s="210">
        <v>4.25</v>
      </c>
      <c r="T1858" s="8">
        <v>1.0001180555555556</v>
      </c>
      <c r="U1858" s="98">
        <v>4.0907556249667021</v>
      </c>
      <c r="V1858" s="106">
        <v>30564.792046688322</v>
      </c>
      <c r="W1858" s="10">
        <v>0.97511043081390802</v>
      </c>
      <c r="X1858" s="420"/>
      <c r="Y1858" s="420"/>
      <c r="Z1858" s="1"/>
      <c r="AA1858" s="1"/>
      <c r="AB1858" s="1"/>
      <c r="AC1858" s="1"/>
      <c r="AD1858" s="1"/>
    </row>
    <row r="1859" spans="17:30">
      <c r="Q1859" s="6">
        <v>1829</v>
      </c>
      <c r="R1859" s="7">
        <v>44496</v>
      </c>
      <c r="S1859" s="210">
        <v>4.25</v>
      </c>
      <c r="T1859" s="8">
        <v>1.0001180555555556</v>
      </c>
      <c r="U1859" s="98">
        <v>4.0909260602931541</v>
      </c>
      <c r="V1859" s="106">
        <v>30567.253972416092</v>
      </c>
      <c r="W1859" s="10">
        <v>0.97533044056108409</v>
      </c>
      <c r="X1859" s="420"/>
      <c r="Y1859" s="420"/>
      <c r="Z1859" s="1"/>
      <c r="AA1859" s="1"/>
      <c r="AB1859" s="1"/>
      <c r="AC1859" s="1"/>
      <c r="AD1859" s="1"/>
    </row>
    <row r="1860" spans="17:30">
      <c r="Q1860" s="6">
        <v>1830</v>
      </c>
      <c r="R1860" s="7">
        <v>44497</v>
      </c>
      <c r="S1860" s="210">
        <v>4.25</v>
      </c>
      <c r="T1860" s="8">
        <v>1.0001180555555556</v>
      </c>
      <c r="U1860" s="98">
        <v>4.0910963096300934</v>
      </c>
      <c r="V1860" s="106">
        <v>30569.716096446482</v>
      </c>
      <c r="W1860" s="10">
        <v>0.97555021033901568</v>
      </c>
      <c r="X1860" s="420"/>
      <c r="Y1860" s="420"/>
      <c r="Z1860" s="1"/>
      <c r="AA1860" s="1"/>
      <c r="AB1860" s="1"/>
      <c r="AC1860" s="1"/>
      <c r="AD1860" s="1"/>
    </row>
    <row r="1861" spans="17:30">
      <c r="Q1861" s="6">
        <v>1831</v>
      </c>
      <c r="R1861" s="7">
        <v>44498</v>
      </c>
      <c r="S1861" s="210">
        <v>4.25</v>
      </c>
      <c r="T1861" s="8">
        <v>1.0001180555555556</v>
      </c>
      <c r="U1861" s="98">
        <v>4.09126637328181</v>
      </c>
      <c r="V1861" s="106">
        <v>30572.178418795462</v>
      </c>
      <c r="W1861" s="10">
        <v>0.97576974054012222</v>
      </c>
      <c r="X1861" s="420"/>
      <c r="Y1861" s="420"/>
      <c r="Z1861" s="1"/>
      <c r="AA1861" s="1"/>
      <c r="AB1861" s="1"/>
      <c r="AC1861" s="1"/>
      <c r="AD1861" s="1"/>
    </row>
    <row r="1862" spans="17:30">
      <c r="Q1862" s="6">
        <v>1832</v>
      </c>
      <c r="R1862" s="7">
        <v>44499</v>
      </c>
      <c r="S1862" s="210">
        <v>4.25</v>
      </c>
      <c r="T1862" s="8">
        <v>1.0001180555555556</v>
      </c>
      <c r="U1862" s="98">
        <v>4.0914362515519054</v>
      </c>
      <c r="V1862" s="106">
        <v>30574.640939479003</v>
      </c>
      <c r="W1862" s="10">
        <v>0.97598903155593497</v>
      </c>
      <c r="X1862" s="420"/>
      <c r="Y1862" s="420"/>
      <c r="Z1862" s="1"/>
      <c r="AA1862" s="1"/>
      <c r="AB1862" s="1"/>
      <c r="AC1862" s="1"/>
      <c r="AD1862" s="1"/>
    </row>
    <row r="1863" spans="17:30">
      <c r="Q1863" s="6">
        <v>1833</v>
      </c>
      <c r="R1863" s="7">
        <v>44500</v>
      </c>
      <c r="S1863" s="210">
        <v>4.25</v>
      </c>
      <c r="T1863" s="8">
        <v>1.0001180555555556</v>
      </c>
      <c r="U1863" s="98">
        <v>4.0916059447433373</v>
      </c>
      <c r="V1863" s="106">
        <v>30577.10365851309</v>
      </c>
      <c r="W1863" s="10">
        <v>0.97620808377711921</v>
      </c>
      <c r="X1863" s="420"/>
      <c r="Y1863" s="420"/>
      <c r="Z1863" s="1"/>
      <c r="AA1863" s="1"/>
      <c r="AB1863" s="1"/>
      <c r="AC1863" s="1"/>
      <c r="AD1863" s="1"/>
    </row>
    <row r="1864" spans="17:30">
      <c r="Q1864" s="6">
        <v>1834</v>
      </c>
      <c r="R1864" s="7">
        <v>44501</v>
      </c>
      <c r="S1864" s="210">
        <v>4.25</v>
      </c>
      <c r="T1864" s="8">
        <v>1.0001180555555556</v>
      </c>
      <c r="U1864" s="98">
        <v>4.0917754531583972</v>
      </c>
      <c r="V1864" s="106">
        <v>30579.56657591369</v>
      </c>
      <c r="W1864" s="10">
        <v>0.97642689759354084</v>
      </c>
      <c r="X1864" s="420"/>
      <c r="Y1864" s="420"/>
      <c r="Z1864" s="1"/>
      <c r="AA1864" s="1"/>
      <c r="AB1864" s="1"/>
      <c r="AC1864" s="1"/>
      <c r="AD1864" s="1"/>
    </row>
    <row r="1865" spans="17:30">
      <c r="Q1865" s="6">
        <v>1835</v>
      </c>
      <c r="R1865" s="7">
        <v>44502</v>
      </c>
      <c r="S1865" s="210">
        <v>4.25</v>
      </c>
      <c r="T1865" s="8">
        <v>1.0001180555555556</v>
      </c>
      <c r="U1865" s="98">
        <v>4.0919447770987327</v>
      </c>
      <c r="V1865" s="106">
        <v>30582.029691696785</v>
      </c>
      <c r="W1865" s="10">
        <v>0.97664547339419983</v>
      </c>
      <c r="X1865" s="420"/>
      <c r="Y1865" s="420"/>
      <c r="Z1865" s="1"/>
      <c r="AA1865" s="1"/>
      <c r="AB1865" s="1"/>
      <c r="AC1865" s="1"/>
      <c r="AD1865" s="1"/>
    </row>
    <row r="1866" spans="17:30">
      <c r="Q1866" s="6">
        <v>1836</v>
      </c>
      <c r="R1866" s="7">
        <v>44503</v>
      </c>
      <c r="S1866" s="210">
        <v>4.25</v>
      </c>
      <c r="T1866" s="8">
        <v>1.0001180555555556</v>
      </c>
      <c r="U1866" s="98">
        <v>4.0921139168653253</v>
      </c>
      <c r="V1866" s="106">
        <v>30584.493005878358</v>
      </c>
      <c r="W1866" s="10">
        <v>0.97686381156720792</v>
      </c>
      <c r="X1866" s="420"/>
      <c r="Y1866" s="420"/>
      <c r="Z1866" s="1"/>
      <c r="AA1866" s="1"/>
      <c r="AB1866" s="1"/>
      <c r="AC1866" s="1"/>
      <c r="AD1866" s="1"/>
    </row>
    <row r="1867" spans="17:30">
      <c r="Q1867" s="6">
        <v>1837</v>
      </c>
      <c r="R1867" s="7">
        <v>44504</v>
      </c>
      <c r="S1867" s="210">
        <v>4.25</v>
      </c>
      <c r="T1867" s="8">
        <v>1.0001180555555556</v>
      </c>
      <c r="U1867" s="98">
        <v>4.0922828727584903</v>
      </c>
      <c r="V1867" s="106">
        <v>30586.956518474384</v>
      </c>
      <c r="W1867" s="10">
        <v>0.97708191249987753</v>
      </c>
      <c r="X1867" s="420"/>
      <c r="Y1867" s="420"/>
      <c r="Z1867" s="1"/>
      <c r="AA1867" s="1"/>
      <c r="AB1867" s="1"/>
      <c r="AC1867" s="1"/>
      <c r="AD1867" s="1"/>
    </row>
    <row r="1868" spans="17:30">
      <c r="Q1868" s="6">
        <v>1838</v>
      </c>
      <c r="R1868" s="7">
        <v>44505</v>
      </c>
      <c r="S1868" s="210">
        <v>4.25</v>
      </c>
      <c r="T1868" s="8">
        <v>1.0001180555555556</v>
      </c>
      <c r="U1868" s="98">
        <v>4.0924516450778992</v>
      </c>
      <c r="V1868" s="106">
        <v>30589.420229500851</v>
      </c>
      <c r="W1868" s="10">
        <v>0.97729977657867728</v>
      </c>
      <c r="X1868" s="420"/>
      <c r="Y1868" s="420"/>
      <c r="Z1868" s="1"/>
      <c r="AA1868" s="1"/>
      <c r="AB1868" s="1"/>
      <c r="AC1868" s="1"/>
      <c r="AD1868" s="1"/>
    </row>
    <row r="1869" spans="17:30">
      <c r="Q1869" s="6">
        <v>1839</v>
      </c>
      <c r="R1869" s="7">
        <v>44506</v>
      </c>
      <c r="S1869" s="210">
        <v>4.25</v>
      </c>
      <c r="T1869" s="8">
        <v>1.0001180555555556</v>
      </c>
      <c r="U1869" s="98">
        <v>4.0926202341225792</v>
      </c>
      <c r="V1869" s="106">
        <v>30591.884138973732</v>
      </c>
      <c r="W1869" s="10">
        <v>0.97751740418918764</v>
      </c>
      <c r="X1869" s="420"/>
      <c r="Y1869" s="420"/>
      <c r="Z1869" s="1"/>
      <c r="AA1869" s="1"/>
      <c r="AB1869" s="1"/>
      <c r="AC1869" s="1"/>
      <c r="AD1869" s="1"/>
    </row>
    <row r="1870" spans="17:30">
      <c r="Q1870" s="6">
        <v>1840</v>
      </c>
      <c r="R1870" s="7">
        <v>44507</v>
      </c>
      <c r="S1870" s="210">
        <v>4.25</v>
      </c>
      <c r="T1870" s="8">
        <v>1.0001180555555556</v>
      </c>
      <c r="U1870" s="98">
        <v>4.0927886401908919</v>
      </c>
      <c r="V1870" s="106">
        <v>30594.34824690902</v>
      </c>
      <c r="W1870" s="10">
        <v>0.97773479571623412</v>
      </c>
      <c r="X1870" s="420"/>
      <c r="Y1870" s="420"/>
      <c r="Z1870" s="1"/>
      <c r="AA1870" s="1"/>
      <c r="AB1870" s="1"/>
      <c r="AC1870" s="1"/>
      <c r="AD1870" s="1"/>
    </row>
    <row r="1871" spans="17:30">
      <c r="Q1871" s="6">
        <v>1841</v>
      </c>
      <c r="R1871" s="7">
        <v>44508</v>
      </c>
      <c r="S1871" s="210">
        <v>4.25</v>
      </c>
      <c r="T1871" s="8">
        <v>1.0001180555555556</v>
      </c>
      <c r="U1871" s="98">
        <v>4.0929568635805769</v>
      </c>
      <c r="V1871" s="106">
        <v>30596.812553322696</v>
      </c>
      <c r="W1871" s="10">
        <v>0.97795195154375403</v>
      </c>
      <c r="X1871" s="420"/>
      <c r="Y1871" s="420"/>
      <c r="Z1871" s="1"/>
      <c r="AA1871" s="1"/>
      <c r="AB1871" s="1"/>
      <c r="AC1871" s="1"/>
      <c r="AD1871" s="1"/>
    </row>
    <row r="1872" spans="17:30">
      <c r="Q1872" s="6">
        <v>1842</v>
      </c>
      <c r="R1872" s="7">
        <v>44509</v>
      </c>
      <c r="S1872" s="210">
        <v>4.25</v>
      </c>
      <c r="T1872" s="8">
        <v>1.0001180555555556</v>
      </c>
      <c r="U1872" s="98">
        <v>4.0931249045887075</v>
      </c>
      <c r="V1872" s="106">
        <v>30599.277058230753</v>
      </c>
      <c r="W1872" s="10">
        <v>0.97816887205484093</v>
      </c>
      <c r="X1872" s="420"/>
      <c r="Y1872" s="420"/>
      <c r="Z1872" s="1"/>
      <c r="AA1872" s="1"/>
      <c r="AB1872" s="1"/>
      <c r="AC1872" s="1"/>
      <c r="AD1872" s="1"/>
    </row>
    <row r="1873" spans="17:30">
      <c r="Q1873" s="6">
        <v>1843</v>
      </c>
      <c r="R1873" s="7">
        <v>44510</v>
      </c>
      <c r="S1873" s="210">
        <v>4.25</v>
      </c>
      <c r="T1873" s="8">
        <v>1.0001180555555556</v>
      </c>
      <c r="U1873" s="98">
        <v>4.0932927635117133</v>
      </c>
      <c r="V1873" s="106">
        <v>30601.823921848762</v>
      </c>
      <c r="W1873" s="10">
        <v>0.97833186550668749</v>
      </c>
      <c r="X1873" s="420"/>
      <c r="Y1873" s="420"/>
      <c r="Z1873" s="1"/>
      <c r="AA1873" s="1"/>
      <c r="AB1873" s="1"/>
      <c r="AC1873" s="1"/>
      <c r="AD1873" s="1"/>
    </row>
    <row r="1874" spans="17:30">
      <c r="Q1874" s="6">
        <v>1844</v>
      </c>
      <c r="R1874" s="7">
        <v>44511</v>
      </c>
      <c r="S1874" s="210">
        <v>4.25</v>
      </c>
      <c r="T1874" s="8">
        <v>1.0001180555555556</v>
      </c>
      <c r="U1874" s="98">
        <v>4.0934604406454023</v>
      </c>
      <c r="V1874" s="106">
        <v>30604.370997449376</v>
      </c>
      <c r="W1874" s="10">
        <v>0.97849468243873527</v>
      </c>
      <c r="X1874" s="420"/>
      <c r="Y1874" s="420"/>
      <c r="Z1874" s="1"/>
      <c r="AA1874" s="1"/>
      <c r="AB1874" s="1"/>
      <c r="AC1874" s="1"/>
      <c r="AD1874" s="1"/>
    </row>
    <row r="1875" spans="17:30">
      <c r="Q1875" s="6">
        <v>1845</v>
      </c>
      <c r="R1875" s="7">
        <v>44512</v>
      </c>
      <c r="S1875" s="210">
        <v>4.25</v>
      </c>
      <c r="T1875" s="8">
        <v>1.0001180555555556</v>
      </c>
      <c r="U1875" s="98">
        <v>4.0936279362849382</v>
      </c>
      <c r="V1875" s="106">
        <v>30606.918285050229</v>
      </c>
      <c r="W1875" s="10">
        <v>0.97865732313757725</v>
      </c>
      <c r="X1875" s="420"/>
      <c r="Y1875" s="420"/>
      <c r="Z1875" s="1"/>
      <c r="AA1875" s="1"/>
      <c r="AB1875" s="1"/>
      <c r="AC1875" s="1"/>
      <c r="AD1875" s="1"/>
    </row>
    <row r="1876" spans="17:30">
      <c r="Q1876" s="6">
        <v>1846</v>
      </c>
      <c r="R1876" s="7">
        <v>44513</v>
      </c>
      <c r="S1876" s="210">
        <v>4.25</v>
      </c>
      <c r="T1876" s="8">
        <v>1.0001180555555556</v>
      </c>
      <c r="U1876" s="98">
        <v>4.0937952507247966</v>
      </c>
      <c r="V1876" s="106">
        <v>30609.465784668973</v>
      </c>
      <c r="W1876" s="10">
        <v>0.97881978788914026</v>
      </c>
      <c r="X1876" s="420"/>
      <c r="Y1876" s="420"/>
      <c r="Z1876" s="1"/>
      <c r="AA1876" s="1"/>
      <c r="AB1876" s="1"/>
      <c r="AC1876" s="1"/>
      <c r="AD1876" s="1"/>
    </row>
    <row r="1877" spans="17:30">
      <c r="Q1877" s="6">
        <v>1847</v>
      </c>
      <c r="R1877" s="7">
        <v>44514</v>
      </c>
      <c r="S1877" s="210">
        <v>4.25</v>
      </c>
      <c r="T1877" s="8">
        <v>1.0001180555555556</v>
      </c>
      <c r="U1877" s="98">
        <v>4.0939623842588979</v>
      </c>
      <c r="V1877" s="106">
        <v>30612.013496323249</v>
      </c>
      <c r="W1877" s="10">
        <v>0.97898207697886264</v>
      </c>
      <c r="X1877" s="420"/>
      <c r="Y1877" s="420"/>
      <c r="Z1877" s="1"/>
      <c r="AA1877" s="1"/>
      <c r="AB1877" s="1"/>
      <c r="AC1877" s="1"/>
      <c r="AD1877" s="1"/>
    </row>
    <row r="1878" spans="17:30">
      <c r="Q1878" s="6">
        <v>1848</v>
      </c>
      <c r="R1878" s="7">
        <v>44515</v>
      </c>
      <c r="S1878" s="210">
        <v>4.25</v>
      </c>
      <c r="T1878" s="8">
        <v>1.0001180555555556</v>
      </c>
      <c r="U1878" s="98">
        <v>4.0941293371804521</v>
      </c>
      <c r="V1878" s="106">
        <v>30614.561420030706</v>
      </c>
      <c r="W1878" s="10">
        <v>0.97914419069140557</v>
      </c>
      <c r="X1878" s="420"/>
      <c r="Y1878" s="420"/>
      <c r="Z1878" s="1"/>
      <c r="AA1878" s="1"/>
      <c r="AB1878" s="1"/>
      <c r="AC1878" s="1"/>
      <c r="AD1878" s="1"/>
    </row>
    <row r="1879" spans="17:30">
      <c r="Q1879" s="6">
        <v>1849</v>
      </c>
      <c r="R1879" s="7">
        <v>44516</v>
      </c>
      <c r="S1879" s="210">
        <v>4.25</v>
      </c>
      <c r="T1879" s="8">
        <v>1.0001180555555556</v>
      </c>
      <c r="U1879" s="98">
        <v>4.0942961097820918</v>
      </c>
      <c r="V1879" s="106">
        <v>30617.109555809002</v>
      </c>
      <c r="W1879" s="10">
        <v>0.97930612931096395</v>
      </c>
      <c r="X1879" s="420"/>
      <c r="Y1879" s="420"/>
      <c r="Z1879" s="1"/>
      <c r="AA1879" s="1"/>
      <c r="AB1879" s="1"/>
      <c r="AC1879" s="1"/>
      <c r="AD1879" s="1"/>
    </row>
    <row r="1880" spans="17:30">
      <c r="Q1880" s="6">
        <v>1850</v>
      </c>
      <c r="R1880" s="7">
        <v>44517</v>
      </c>
      <c r="S1880" s="210">
        <v>4.25</v>
      </c>
      <c r="T1880" s="8">
        <v>1.0001180555555556</v>
      </c>
      <c r="U1880" s="98">
        <v>4.0944627023557834</v>
      </c>
      <c r="V1880" s="106">
        <v>30619.657903675787</v>
      </c>
      <c r="W1880" s="10">
        <v>0.97946789312099991</v>
      </c>
      <c r="X1880" s="420"/>
      <c r="Y1880" s="420"/>
      <c r="Z1880" s="1"/>
      <c r="AA1880" s="1"/>
      <c r="AB1880" s="1"/>
      <c r="AC1880" s="1"/>
      <c r="AD1880" s="1"/>
    </row>
    <row r="1881" spans="17:30">
      <c r="Q1881" s="6">
        <v>1851</v>
      </c>
      <c r="R1881" s="7">
        <v>44518</v>
      </c>
      <c r="S1881" s="210">
        <v>4.25</v>
      </c>
      <c r="T1881" s="8">
        <v>1.0001180555555556</v>
      </c>
      <c r="U1881" s="98">
        <v>4.0946291151928715</v>
      </c>
      <c r="V1881" s="106">
        <v>30622.206463648705</v>
      </c>
      <c r="W1881" s="10">
        <v>0.9796294824044427</v>
      </c>
      <c r="X1881" s="420"/>
      <c r="Y1881" s="420"/>
      <c r="Z1881" s="1"/>
      <c r="AA1881" s="1"/>
      <c r="AB1881" s="1"/>
      <c r="AC1881" s="1"/>
      <c r="AD1881" s="1"/>
    </row>
    <row r="1882" spans="17:30">
      <c r="Q1882" s="6">
        <v>1852</v>
      </c>
      <c r="R1882" s="7">
        <v>44519</v>
      </c>
      <c r="S1882" s="210">
        <v>4.25</v>
      </c>
      <c r="T1882" s="8">
        <v>1.0001180555555556</v>
      </c>
      <c r="U1882" s="98">
        <v>4.0947953485840793</v>
      </c>
      <c r="V1882" s="106">
        <v>30624.755235745411</v>
      </c>
      <c r="W1882" s="10">
        <v>0.97979089744357761</v>
      </c>
      <c r="X1882" s="420"/>
      <c r="Y1882" s="420"/>
      <c r="Z1882" s="1"/>
      <c r="AA1882" s="1"/>
      <c r="AB1882" s="1"/>
      <c r="AC1882" s="1"/>
      <c r="AD1882" s="1"/>
    </row>
    <row r="1883" spans="17:30">
      <c r="Q1883" s="6">
        <v>1853</v>
      </c>
      <c r="R1883" s="7">
        <v>44520</v>
      </c>
      <c r="S1883" s="210">
        <v>4.25</v>
      </c>
      <c r="T1883" s="8">
        <v>1.0001180555555556</v>
      </c>
      <c r="U1883" s="98">
        <v>4.094961402819508</v>
      </c>
      <c r="V1883" s="106">
        <v>30627.304219983569</v>
      </c>
      <c r="W1883" s="10">
        <v>0.97995213852009044</v>
      </c>
      <c r="X1883" s="420"/>
      <c r="Y1883" s="420"/>
      <c r="Z1883" s="1"/>
      <c r="AA1883" s="1"/>
      <c r="AB1883" s="1"/>
      <c r="AC1883" s="1"/>
      <c r="AD1883" s="1"/>
    </row>
    <row r="1884" spans="17:30">
      <c r="Q1884" s="6">
        <v>1854</v>
      </c>
      <c r="R1884" s="7">
        <v>44521</v>
      </c>
      <c r="S1884" s="210">
        <v>4.25</v>
      </c>
      <c r="T1884" s="8">
        <v>1.0001180555555556</v>
      </c>
      <c r="U1884" s="98">
        <v>4.095127278188615</v>
      </c>
      <c r="V1884" s="106">
        <v>30629.853416380829</v>
      </c>
      <c r="W1884" s="10">
        <v>0.98011320591506745</v>
      </c>
      <c r="X1884" s="420"/>
      <c r="Y1884" s="420"/>
      <c r="Z1884" s="1"/>
      <c r="AA1884" s="1"/>
      <c r="AB1884" s="1"/>
      <c r="AC1884" s="1"/>
      <c r="AD1884" s="1"/>
    </row>
    <row r="1885" spans="17:30">
      <c r="Q1885" s="6">
        <v>1855</v>
      </c>
      <c r="R1885" s="7">
        <v>44522</v>
      </c>
      <c r="S1885" s="210">
        <v>4.25</v>
      </c>
      <c r="T1885" s="8">
        <v>1.0001180555555556</v>
      </c>
      <c r="U1885" s="98">
        <v>4.095292974980258</v>
      </c>
      <c r="V1885" s="106">
        <v>30632.402824954857</v>
      </c>
      <c r="W1885" s="10">
        <v>0.98027409990895098</v>
      </c>
      <c r="X1885" s="420"/>
      <c r="Y1885" s="420"/>
      <c r="Z1885" s="1"/>
      <c r="AA1885" s="1"/>
      <c r="AB1885" s="1"/>
      <c r="AC1885" s="1"/>
      <c r="AD1885" s="1"/>
    </row>
    <row r="1886" spans="17:30">
      <c r="Q1886" s="6">
        <v>1856</v>
      </c>
      <c r="R1886" s="7">
        <v>44523</v>
      </c>
      <c r="S1886" s="210">
        <v>4.25</v>
      </c>
      <c r="T1886" s="8">
        <v>1.0001180555555556</v>
      </c>
      <c r="U1886" s="98">
        <v>4.095458493482651</v>
      </c>
      <c r="V1886" s="106">
        <v>30634.952445723306</v>
      </c>
      <c r="W1886" s="10">
        <v>0.98043482078165045</v>
      </c>
      <c r="X1886" s="420"/>
      <c r="Y1886" s="420"/>
      <c r="Z1886" s="1"/>
      <c r="AA1886" s="1"/>
      <c r="AB1886" s="1"/>
      <c r="AC1886" s="1"/>
      <c r="AD1886" s="1"/>
    </row>
    <row r="1887" spans="17:30">
      <c r="Q1887" s="6">
        <v>1857</v>
      </c>
      <c r="R1887" s="7">
        <v>44524</v>
      </c>
      <c r="S1887" s="210">
        <v>4.25</v>
      </c>
      <c r="T1887" s="8">
        <v>1.0001180555555556</v>
      </c>
      <c r="U1887" s="98">
        <v>4.0956238339833861</v>
      </c>
      <c r="V1887" s="106">
        <v>30637.50227870384</v>
      </c>
      <c r="W1887" s="10">
        <v>0.98059536881238696</v>
      </c>
      <c r="X1887" s="420"/>
      <c r="Y1887" s="420"/>
      <c r="Z1887" s="1"/>
      <c r="AA1887" s="1"/>
      <c r="AB1887" s="1"/>
      <c r="AC1887" s="1"/>
      <c r="AD1887" s="1"/>
    </row>
    <row r="1888" spans="17:30">
      <c r="Q1888" s="6">
        <v>1858</v>
      </c>
      <c r="R1888" s="7">
        <v>44525</v>
      </c>
      <c r="S1888" s="210">
        <v>4.25</v>
      </c>
      <c r="T1888" s="8">
        <v>1.0001180555555556</v>
      </c>
      <c r="U1888" s="98">
        <v>4.0957889967694561</v>
      </c>
      <c r="V1888" s="106">
        <v>30640.052323914115</v>
      </c>
      <c r="W1888" s="10">
        <v>0.98075574427987089</v>
      </c>
      <c r="X1888" s="420"/>
      <c r="Y1888" s="420"/>
      <c r="Z1888" s="1"/>
      <c r="AA1888" s="1"/>
      <c r="AB1888" s="1"/>
      <c r="AC1888" s="1"/>
      <c r="AD1888" s="1"/>
    </row>
    <row r="1889" spans="17:30">
      <c r="Q1889" s="6">
        <v>1859</v>
      </c>
      <c r="R1889" s="7">
        <v>44526</v>
      </c>
      <c r="S1889" s="210">
        <v>4.25</v>
      </c>
      <c r="T1889" s="8">
        <v>1.0001180555555556</v>
      </c>
      <c r="U1889" s="98">
        <v>4.0959539821272317</v>
      </c>
      <c r="V1889" s="106">
        <v>30642.602581371808</v>
      </c>
      <c r="W1889" s="10">
        <v>0.98091594746212429</v>
      </c>
      <c r="X1889" s="420"/>
      <c r="Y1889" s="420"/>
      <c r="Z1889" s="1"/>
      <c r="AA1889" s="1"/>
      <c r="AB1889" s="1"/>
      <c r="AC1889" s="1"/>
      <c r="AD1889" s="1"/>
    </row>
    <row r="1890" spans="17:30">
      <c r="Q1890" s="6">
        <v>1860</v>
      </c>
      <c r="R1890" s="7">
        <v>44527</v>
      </c>
      <c r="S1890" s="210">
        <v>4.25</v>
      </c>
      <c r="T1890" s="8">
        <v>1.0001180555555556</v>
      </c>
      <c r="U1890" s="98">
        <v>4.0961187903424845</v>
      </c>
      <c r="V1890" s="106">
        <v>30645.153051094581</v>
      </c>
      <c r="W1890" s="10">
        <v>0.98107597863665852</v>
      </c>
      <c r="X1890" s="420"/>
      <c r="Y1890" s="420"/>
      <c r="Z1890" s="1"/>
      <c r="AA1890" s="1"/>
      <c r="AB1890" s="1"/>
      <c r="AC1890" s="1"/>
      <c r="AD1890" s="1"/>
    </row>
    <row r="1891" spans="17:30">
      <c r="Q1891" s="6">
        <v>1861</v>
      </c>
      <c r="R1891" s="7">
        <v>44528</v>
      </c>
      <c r="S1891" s="210">
        <v>4.25</v>
      </c>
      <c r="T1891" s="8">
        <v>1.0001180555555556</v>
      </c>
      <c r="U1891" s="98">
        <v>4.0962834217003197</v>
      </c>
      <c r="V1891" s="106">
        <v>30647.703733100094</v>
      </c>
      <c r="W1891" s="10">
        <v>0.98123583808031878</v>
      </c>
      <c r="X1891" s="420"/>
      <c r="Y1891" s="420"/>
      <c r="Z1891" s="1"/>
      <c r="AA1891" s="1"/>
      <c r="AB1891" s="1"/>
      <c r="AC1891" s="1"/>
      <c r="AD1891" s="1"/>
    </row>
    <row r="1892" spans="17:30">
      <c r="Q1892" s="6">
        <v>1862</v>
      </c>
      <c r="R1892" s="7">
        <v>44529</v>
      </c>
      <c r="S1892" s="210">
        <v>4.25</v>
      </c>
      <c r="T1892" s="8">
        <v>1.0001180555555556</v>
      </c>
      <c r="U1892" s="98">
        <v>4.0964478764852874</v>
      </c>
      <c r="V1892" s="106">
        <v>30650.254627406026</v>
      </c>
      <c r="W1892" s="10">
        <v>0.98139552606939517</v>
      </c>
      <c r="X1892" s="420"/>
      <c r="Y1892" s="420"/>
      <c r="Z1892" s="1"/>
      <c r="AA1892" s="1"/>
      <c r="AB1892" s="1"/>
      <c r="AC1892" s="1"/>
      <c r="AD1892" s="1"/>
    </row>
    <row r="1893" spans="17:30">
      <c r="Q1893" s="6">
        <v>1863</v>
      </c>
      <c r="R1893" s="7">
        <v>44530</v>
      </c>
      <c r="S1893" s="210">
        <v>4.25</v>
      </c>
      <c r="T1893" s="8">
        <v>1.0001180555555556</v>
      </c>
      <c r="U1893" s="98">
        <v>4.0966121549812939</v>
      </c>
      <c r="V1893" s="106">
        <v>30652.805734030044</v>
      </c>
      <c r="W1893" s="10">
        <v>0.98155504287955608</v>
      </c>
      <c r="X1893" s="420"/>
      <c r="Y1893" s="420"/>
      <c r="Z1893" s="1"/>
      <c r="AA1893" s="1"/>
      <c r="AB1893" s="1"/>
      <c r="AC1893" s="1"/>
      <c r="AD1893" s="1"/>
    </row>
    <row r="1894" spans="17:30">
      <c r="Q1894" s="6">
        <v>1864</v>
      </c>
      <c r="R1894" s="7">
        <v>44531</v>
      </c>
      <c r="S1894" s="210">
        <v>4.25</v>
      </c>
      <c r="T1894" s="8">
        <v>1.0001180555555556</v>
      </c>
      <c r="U1894" s="98">
        <v>4.0967762574716682</v>
      </c>
      <c r="V1894" s="106">
        <v>30655.35705298981</v>
      </c>
      <c r="W1894" s="10">
        <v>0.98171438878593698</v>
      </c>
      <c r="X1894" s="420"/>
      <c r="Y1894" s="420"/>
      <c r="Z1894" s="1"/>
      <c r="AA1894" s="1"/>
      <c r="AB1894" s="1"/>
      <c r="AC1894" s="1"/>
      <c r="AD1894" s="1"/>
    </row>
    <row r="1895" spans="17:30">
      <c r="Q1895" s="6">
        <v>1865</v>
      </c>
      <c r="R1895" s="7">
        <v>44532</v>
      </c>
      <c r="S1895" s="210">
        <v>4.25</v>
      </c>
      <c r="T1895" s="8">
        <v>1.0001180555555556</v>
      </c>
      <c r="U1895" s="98">
        <v>4.0969401842390951</v>
      </c>
      <c r="V1895" s="106">
        <v>30657.908584303012</v>
      </c>
      <c r="W1895" s="10">
        <v>0.9818735640630516</v>
      </c>
      <c r="X1895" s="420"/>
      <c r="Y1895" s="420"/>
      <c r="Z1895" s="1"/>
      <c r="AA1895" s="1"/>
      <c r="AB1895" s="1"/>
      <c r="AC1895" s="1"/>
      <c r="AD1895" s="1"/>
    </row>
    <row r="1896" spans="17:30">
      <c r="Q1896" s="6">
        <v>1866</v>
      </c>
      <c r="R1896" s="7">
        <v>44533</v>
      </c>
      <c r="S1896" s="210">
        <v>4.25</v>
      </c>
      <c r="T1896" s="8">
        <v>1.0001180555555556</v>
      </c>
      <c r="U1896" s="98">
        <v>4.0971039355656824</v>
      </c>
      <c r="V1896" s="106">
        <v>30660.460327987323</v>
      </c>
      <c r="W1896" s="10">
        <v>0.98203256898476976</v>
      </c>
      <c r="X1896" s="420"/>
      <c r="Y1896" s="420"/>
      <c r="Z1896" s="1"/>
      <c r="AA1896" s="1"/>
      <c r="AB1896" s="1"/>
      <c r="AC1896" s="1"/>
      <c r="AD1896" s="1"/>
    </row>
    <row r="1897" spans="17:30">
      <c r="Q1897" s="6">
        <v>1867</v>
      </c>
      <c r="R1897" s="7">
        <v>44534</v>
      </c>
      <c r="S1897" s="210">
        <v>4.25</v>
      </c>
      <c r="T1897" s="8">
        <v>1.0001180555555556</v>
      </c>
      <c r="U1897" s="98">
        <v>4.097267511732916</v>
      </c>
      <c r="V1897" s="106">
        <v>30663.012284060405</v>
      </c>
      <c r="W1897" s="10">
        <v>0.98219140382445058</v>
      </c>
      <c r="X1897" s="420"/>
      <c r="Y1897" s="420"/>
      <c r="Z1897" s="1"/>
      <c r="AA1897" s="1"/>
      <c r="AB1897" s="1"/>
      <c r="AC1897" s="1"/>
      <c r="AD1897" s="1"/>
    </row>
    <row r="1898" spans="17:30">
      <c r="Q1898" s="6">
        <v>1868</v>
      </c>
      <c r="R1898" s="7">
        <v>44535</v>
      </c>
      <c r="S1898" s="210">
        <v>4.25</v>
      </c>
      <c r="T1898" s="8">
        <v>1.0001180555555556</v>
      </c>
      <c r="U1898" s="98">
        <v>4.0974309130217046</v>
      </c>
      <c r="V1898" s="106">
        <v>30665.564452539955</v>
      </c>
      <c r="W1898" s="10">
        <v>0.98235006885485365</v>
      </c>
      <c r="X1898" s="420"/>
      <c r="Y1898" s="420"/>
      <c r="Z1898" s="1"/>
      <c r="AA1898" s="1"/>
      <c r="AB1898" s="1"/>
      <c r="AC1898" s="1"/>
      <c r="AD1898" s="1"/>
    </row>
    <row r="1899" spans="17:30">
      <c r="Q1899" s="6">
        <v>1869</v>
      </c>
      <c r="R1899" s="7">
        <v>44536</v>
      </c>
      <c r="S1899" s="210">
        <v>4.25</v>
      </c>
      <c r="T1899" s="8">
        <v>1.0001180555555556</v>
      </c>
      <c r="U1899" s="98">
        <v>4.097594139712335</v>
      </c>
      <c r="V1899" s="106">
        <v>30668.116833443637</v>
      </c>
      <c r="W1899" s="10">
        <v>0.98250856434816125</v>
      </c>
      <c r="X1899" s="420"/>
      <c r="Y1899" s="420"/>
      <c r="Z1899" s="1"/>
      <c r="AA1899" s="1"/>
      <c r="AB1899" s="1"/>
      <c r="AC1899" s="1"/>
      <c r="AD1899" s="1"/>
    </row>
    <row r="1900" spans="17:30">
      <c r="Q1900" s="6">
        <v>1870</v>
      </c>
      <c r="R1900" s="7">
        <v>44537</v>
      </c>
      <c r="S1900" s="210">
        <v>4.25</v>
      </c>
      <c r="T1900" s="8">
        <v>1.0001180555555556</v>
      </c>
      <c r="U1900" s="98">
        <v>4.0977571920844946</v>
      </c>
      <c r="V1900" s="106">
        <v>30670.669426789136</v>
      </c>
      <c r="W1900" s="10">
        <v>0.98266689057591172</v>
      </c>
      <c r="X1900" s="420"/>
      <c r="Y1900" s="420"/>
      <c r="Z1900" s="1"/>
      <c r="AA1900" s="1"/>
      <c r="AB1900" s="1"/>
      <c r="AC1900" s="1"/>
      <c r="AD1900" s="1"/>
    </row>
    <row r="1901" spans="17:30">
      <c r="Q1901" s="6">
        <v>1871</v>
      </c>
      <c r="R1901" s="7">
        <v>44538</v>
      </c>
      <c r="S1901" s="210">
        <v>4.25</v>
      </c>
      <c r="T1901" s="8">
        <v>1.0001180555555556</v>
      </c>
      <c r="U1901" s="98">
        <v>4.0979200704172714</v>
      </c>
      <c r="V1901" s="106">
        <v>30673.222232594144</v>
      </c>
      <c r="W1901" s="10">
        <v>0.98282504780913271</v>
      </c>
      <c r="X1901" s="420"/>
      <c r="Y1901" s="420"/>
      <c r="Z1901" s="1"/>
      <c r="AA1901" s="1"/>
      <c r="AB1901" s="1"/>
      <c r="AC1901" s="1"/>
      <c r="AD1901" s="1"/>
    </row>
    <row r="1902" spans="17:30">
      <c r="Q1902" s="6">
        <v>1872</v>
      </c>
      <c r="R1902" s="7">
        <v>44539</v>
      </c>
      <c r="S1902" s="210">
        <v>4.25</v>
      </c>
      <c r="T1902" s="8">
        <v>1.0001180555555556</v>
      </c>
      <c r="U1902" s="98">
        <v>4.0980827749891757</v>
      </c>
      <c r="V1902" s="106">
        <v>30675.77525087633</v>
      </c>
      <c r="W1902" s="10">
        <v>0.98298303631827455</v>
      </c>
      <c r="X1902" s="420"/>
      <c r="Y1902" s="420"/>
      <c r="Z1902" s="1"/>
      <c r="AA1902" s="1"/>
      <c r="AB1902" s="1"/>
      <c r="AC1902" s="1"/>
      <c r="AD1902" s="1"/>
    </row>
    <row r="1903" spans="17:30">
      <c r="Q1903" s="6">
        <v>1873</v>
      </c>
      <c r="R1903" s="7">
        <v>44540</v>
      </c>
      <c r="S1903" s="210">
        <v>4.25</v>
      </c>
      <c r="T1903" s="8">
        <v>1.0001180555555556</v>
      </c>
      <c r="U1903" s="98">
        <v>4.0982453060781188</v>
      </c>
      <c r="V1903" s="106">
        <v>30678.246116053295</v>
      </c>
      <c r="W1903" s="10">
        <v>0.98319369102277676</v>
      </c>
      <c r="X1903" s="420"/>
      <c r="Y1903" s="420"/>
      <c r="Z1903" s="1"/>
      <c r="AA1903" s="1"/>
      <c r="AB1903" s="1"/>
      <c r="AC1903" s="1"/>
      <c r="AD1903" s="1"/>
    </row>
    <row r="1904" spans="17:30">
      <c r="Q1904" s="6">
        <v>1874</v>
      </c>
      <c r="R1904" s="7">
        <v>44541</v>
      </c>
      <c r="S1904" s="210">
        <v>4.25</v>
      </c>
      <c r="T1904" s="8">
        <v>1.0001180555555556</v>
      </c>
      <c r="U1904" s="98">
        <v>4.098407663961412</v>
      </c>
      <c r="V1904" s="106">
        <v>30680.717180252937</v>
      </c>
      <c r="W1904" s="10">
        <v>0.983404121347764</v>
      </c>
      <c r="X1904" s="420"/>
      <c r="Y1904" s="420"/>
      <c r="Z1904" s="1"/>
      <c r="AA1904" s="1"/>
      <c r="AB1904" s="1"/>
      <c r="AC1904" s="1"/>
      <c r="AD1904" s="1"/>
    </row>
    <row r="1905" spans="17:30">
      <c r="Q1905" s="6">
        <v>1875</v>
      </c>
      <c r="R1905" s="7">
        <v>44542</v>
      </c>
      <c r="S1905" s="210">
        <v>4.25</v>
      </c>
      <c r="T1905" s="8">
        <v>1.0001180555555556</v>
      </c>
      <c r="U1905" s="98">
        <v>4.0985698489157896</v>
      </c>
      <c r="V1905" s="106">
        <v>30683.188443491275</v>
      </c>
      <c r="W1905" s="10">
        <v>0.98361432765152745</v>
      </c>
      <c r="X1905" s="420"/>
      <c r="Y1905" s="420"/>
      <c r="Z1905" s="1"/>
      <c r="AA1905" s="1"/>
      <c r="AB1905" s="1"/>
      <c r="AC1905" s="1"/>
      <c r="AD1905" s="1"/>
    </row>
    <row r="1906" spans="17:30">
      <c r="Q1906" s="6">
        <v>1876</v>
      </c>
      <c r="R1906" s="7">
        <v>44543</v>
      </c>
      <c r="S1906" s="210">
        <v>4.25</v>
      </c>
      <c r="T1906" s="8">
        <v>1.0001180555555556</v>
      </c>
      <c r="U1906" s="98">
        <v>4.0987318612173862</v>
      </c>
      <c r="V1906" s="106">
        <v>30685.659905784345</v>
      </c>
      <c r="W1906" s="10">
        <v>0.98382431029164774</v>
      </c>
      <c r="X1906" s="420"/>
      <c r="Y1906" s="420"/>
      <c r="Z1906" s="1"/>
      <c r="AA1906" s="1"/>
      <c r="AB1906" s="1"/>
      <c r="AC1906" s="1"/>
      <c r="AD1906" s="1"/>
    </row>
    <row r="1907" spans="17:30">
      <c r="Q1907" s="6">
        <v>1877</v>
      </c>
      <c r="R1907" s="7">
        <v>44544</v>
      </c>
      <c r="S1907" s="210">
        <v>4.25</v>
      </c>
      <c r="T1907" s="8">
        <v>1.0001180555555556</v>
      </c>
      <c r="U1907" s="98">
        <v>4.098893701141737</v>
      </c>
      <c r="V1907" s="106">
        <v>30688.131567148186</v>
      </c>
      <c r="W1907" s="10">
        <v>0.98403406962486173</v>
      </c>
      <c r="X1907" s="420"/>
      <c r="Y1907" s="420"/>
      <c r="Z1907" s="1"/>
      <c r="AA1907" s="1"/>
      <c r="AB1907" s="1"/>
      <c r="AC1907" s="1"/>
      <c r="AD1907" s="1"/>
    </row>
    <row r="1908" spans="17:30">
      <c r="Q1908" s="6">
        <v>1878</v>
      </c>
      <c r="R1908" s="7">
        <v>44545</v>
      </c>
      <c r="S1908" s="210">
        <v>4.25</v>
      </c>
      <c r="T1908" s="8">
        <v>1.0001180555555556</v>
      </c>
      <c r="U1908" s="98">
        <v>4.0990553689637999</v>
      </c>
      <c r="V1908" s="106">
        <v>30690.603427598828</v>
      </c>
      <c r="W1908" s="10">
        <v>0.98424360600719574</v>
      </c>
      <c r="X1908" s="420"/>
      <c r="Y1908" s="420"/>
      <c r="Z1908" s="1"/>
      <c r="AA1908" s="1"/>
      <c r="AB1908" s="1"/>
      <c r="AC1908" s="1"/>
      <c r="AD1908" s="1"/>
    </row>
    <row r="1909" spans="17:30">
      <c r="Q1909" s="6">
        <v>1879</v>
      </c>
      <c r="R1909" s="7">
        <v>44546</v>
      </c>
      <c r="S1909" s="210">
        <v>4.25</v>
      </c>
      <c r="T1909" s="8">
        <v>1.0001180555555556</v>
      </c>
      <c r="U1909" s="98">
        <v>4.0992168649579552</v>
      </c>
      <c r="V1909" s="106">
        <v>30693.07548715231</v>
      </c>
      <c r="W1909" s="10">
        <v>0.98445291979394334</v>
      </c>
      <c r="X1909" s="420"/>
      <c r="Y1909" s="420"/>
      <c r="Z1909" s="1"/>
      <c r="AA1909" s="1"/>
      <c r="AB1909" s="1"/>
      <c r="AC1909" s="1"/>
      <c r="AD1909" s="1"/>
    </row>
    <row r="1910" spans="17:30">
      <c r="Q1910" s="6">
        <v>1880</v>
      </c>
      <c r="R1910" s="7">
        <v>44547</v>
      </c>
      <c r="S1910" s="210">
        <v>4.25</v>
      </c>
      <c r="T1910" s="8">
        <v>1.0001180555555556</v>
      </c>
      <c r="U1910" s="98">
        <v>4.0993781893980064</v>
      </c>
      <c r="V1910" s="106">
        <v>30695.547745824671</v>
      </c>
      <c r="W1910" s="10">
        <v>0.98466201133959874</v>
      </c>
      <c r="X1910" s="420"/>
      <c r="Y1910" s="420"/>
      <c r="Z1910" s="1"/>
      <c r="AA1910" s="1"/>
      <c r="AB1910" s="1"/>
      <c r="AC1910" s="1"/>
      <c r="AD1910" s="1"/>
    </row>
    <row r="1911" spans="17:30">
      <c r="Q1911" s="6">
        <v>1881</v>
      </c>
      <c r="R1911" s="7">
        <v>44548</v>
      </c>
      <c r="S1911" s="210">
        <v>4.25</v>
      </c>
      <c r="T1911" s="8">
        <v>1.0001180555555556</v>
      </c>
      <c r="U1911" s="98">
        <v>4.0995393425571569</v>
      </c>
      <c r="V1911" s="106">
        <v>30698.020203631942</v>
      </c>
      <c r="W1911" s="10">
        <v>0.98487088099794562</v>
      </c>
      <c r="X1911" s="420"/>
      <c r="Y1911" s="420"/>
      <c r="Z1911" s="1"/>
      <c r="AA1911" s="1"/>
      <c r="AB1911" s="1"/>
      <c r="AC1911" s="1"/>
      <c r="AD1911" s="1"/>
    </row>
    <row r="1912" spans="17:30">
      <c r="Q1912" s="6">
        <v>1882</v>
      </c>
      <c r="R1912" s="7">
        <v>44549</v>
      </c>
      <c r="S1912" s="210">
        <v>4.25</v>
      </c>
      <c r="T1912" s="8">
        <v>1.0001180555555556</v>
      </c>
      <c r="U1912" s="98">
        <v>4.0997003247080555</v>
      </c>
      <c r="V1912" s="106">
        <v>30700.492860590159</v>
      </c>
      <c r="W1912" s="10">
        <v>0.98507952912201269</v>
      </c>
      <c r="X1912" s="420"/>
      <c r="Y1912" s="420"/>
      <c r="Z1912" s="1"/>
      <c r="AA1912" s="1"/>
      <c r="AB1912" s="1"/>
      <c r="AC1912" s="1"/>
      <c r="AD1912" s="1"/>
    </row>
    <row r="1913" spans="17:30">
      <c r="Q1913" s="6">
        <v>1883</v>
      </c>
      <c r="R1913" s="7">
        <v>44550</v>
      </c>
      <c r="S1913" s="210">
        <v>4.25</v>
      </c>
      <c r="T1913" s="8">
        <v>1.0001180555555556</v>
      </c>
      <c r="U1913" s="98">
        <v>4.099861136122751</v>
      </c>
      <c r="V1913" s="106">
        <v>30702.965716715382</v>
      </c>
      <c r="W1913" s="10">
        <v>0.9852879560640071</v>
      </c>
      <c r="X1913" s="420"/>
      <c r="Y1913" s="420"/>
      <c r="Z1913" s="1"/>
      <c r="AA1913" s="1"/>
      <c r="AB1913" s="1"/>
      <c r="AC1913" s="1"/>
      <c r="AD1913" s="1"/>
    </row>
    <row r="1914" spans="17:30">
      <c r="Q1914" s="6">
        <v>1884</v>
      </c>
      <c r="R1914" s="7">
        <v>44551</v>
      </c>
      <c r="S1914" s="210">
        <v>4.25</v>
      </c>
      <c r="T1914" s="8">
        <v>1.0001180555555556</v>
      </c>
      <c r="U1914" s="98">
        <v>4.1000217770727154</v>
      </c>
      <c r="V1914" s="106">
        <v>30705.438772023634</v>
      </c>
      <c r="W1914" s="10">
        <v>0.98549616217549207</v>
      </c>
      <c r="X1914" s="420"/>
      <c r="Y1914" s="420"/>
      <c r="Z1914" s="1"/>
      <c r="AA1914" s="1"/>
      <c r="AB1914" s="1"/>
      <c r="AC1914" s="1"/>
      <c r="AD1914" s="1"/>
    </row>
    <row r="1915" spans="17:30">
      <c r="Q1915" s="6">
        <v>1885</v>
      </c>
      <c r="R1915" s="7">
        <v>44552</v>
      </c>
      <c r="S1915" s="210">
        <v>4.25</v>
      </c>
      <c r="T1915" s="8">
        <v>1.0001180555555556</v>
      </c>
      <c r="U1915" s="98">
        <v>4.100182247828843</v>
      </c>
      <c r="V1915" s="106">
        <v>30707.912026530972</v>
      </c>
      <c r="W1915" s="10">
        <v>0.98570414780720927</v>
      </c>
      <c r="X1915" s="420"/>
      <c r="Y1915" s="420"/>
      <c r="Z1915" s="1"/>
      <c r="AA1915" s="1"/>
      <c r="AB1915" s="1"/>
      <c r="AC1915" s="1"/>
      <c r="AD1915" s="1"/>
    </row>
    <row r="1916" spans="17:30">
      <c r="Q1916" s="6">
        <v>1886</v>
      </c>
      <c r="R1916" s="7">
        <v>44553</v>
      </c>
      <c r="S1916" s="210">
        <v>4.25</v>
      </c>
      <c r="T1916" s="8">
        <v>1.0001180555555556</v>
      </c>
      <c r="U1916" s="98">
        <v>4.1003425486614731</v>
      </c>
      <c r="V1916" s="106">
        <v>30710.385480253433</v>
      </c>
      <c r="W1916" s="10">
        <v>0.98591191330921202</v>
      </c>
      <c r="X1916" s="420"/>
      <c r="Y1916" s="420"/>
      <c r="Z1916" s="1"/>
      <c r="AA1916" s="1"/>
      <c r="AB1916" s="1"/>
      <c r="AC1916" s="1"/>
      <c r="AD1916" s="1"/>
    </row>
    <row r="1917" spans="17:30">
      <c r="Q1917" s="6">
        <v>1887</v>
      </c>
      <c r="R1917" s="7">
        <v>44554</v>
      </c>
      <c r="S1917" s="210">
        <v>4.25</v>
      </c>
      <c r="T1917" s="8">
        <v>1.0001180555555556</v>
      </c>
      <c r="U1917" s="98">
        <v>4.1005026798403454</v>
      </c>
      <c r="V1917" s="106">
        <v>30712.859133207072</v>
      </c>
      <c r="W1917" s="10">
        <v>0.98611945903075426</v>
      </c>
      <c r="X1917" s="420"/>
      <c r="Y1917" s="420"/>
      <c r="Z1917" s="1"/>
      <c r="AA1917" s="1"/>
      <c r="AB1917" s="1"/>
      <c r="AC1917" s="1"/>
      <c r="AD1917" s="1"/>
    </row>
    <row r="1918" spans="17:30">
      <c r="Q1918" s="6">
        <v>1888</v>
      </c>
      <c r="R1918" s="7">
        <v>44555</v>
      </c>
      <c r="S1918" s="210">
        <v>4.25</v>
      </c>
      <c r="T1918" s="8">
        <v>1.0001180555555556</v>
      </c>
      <c r="U1918" s="98">
        <v>4.100662641634667</v>
      </c>
      <c r="V1918" s="106">
        <v>30715.332985407927</v>
      </c>
      <c r="W1918" s="10">
        <v>0.98632678532040163</v>
      </c>
      <c r="X1918" s="420"/>
      <c r="Y1918" s="420"/>
      <c r="Z1918" s="1"/>
      <c r="AA1918" s="1"/>
      <c r="AB1918" s="1"/>
      <c r="AC1918" s="1"/>
      <c r="AD1918" s="1"/>
    </row>
    <row r="1919" spans="17:30">
      <c r="Q1919" s="6">
        <v>1889</v>
      </c>
      <c r="R1919" s="7">
        <v>44556</v>
      </c>
      <c r="S1919" s="210">
        <v>4.25</v>
      </c>
      <c r="T1919" s="8">
        <v>1.0001180555555556</v>
      </c>
      <c r="U1919" s="98">
        <v>4.1008224343130451</v>
      </c>
      <c r="V1919" s="106">
        <v>30717.807036872055</v>
      </c>
      <c r="W1919" s="10">
        <v>0.986533892525987</v>
      </c>
      <c r="X1919" s="420"/>
      <c r="Y1919" s="420"/>
      <c r="Z1919" s="1"/>
      <c r="AA1919" s="1"/>
      <c r="AB1919" s="1"/>
      <c r="AC1919" s="1"/>
      <c r="AD1919" s="1"/>
    </row>
    <row r="1920" spans="17:30">
      <c r="Q1920" s="6">
        <v>1890</v>
      </c>
      <c r="R1920" s="7">
        <v>44557</v>
      </c>
      <c r="S1920" s="210">
        <v>4.25</v>
      </c>
      <c r="T1920" s="8">
        <v>1.0001180555555556</v>
      </c>
      <c r="U1920" s="98">
        <v>4.1009820581435319</v>
      </c>
      <c r="V1920" s="106">
        <v>30720.281287615497</v>
      </c>
      <c r="W1920" s="10">
        <v>0.98674078099458828</v>
      </c>
      <c r="X1920" s="420"/>
      <c r="Y1920" s="420"/>
      <c r="Z1920" s="1"/>
      <c r="AA1920" s="1"/>
      <c r="AB1920" s="1"/>
      <c r="AC1920" s="1"/>
      <c r="AD1920" s="1"/>
    </row>
    <row r="1921" spans="17:30">
      <c r="Q1921" s="6">
        <v>1891</v>
      </c>
      <c r="R1921" s="7">
        <v>44558</v>
      </c>
      <c r="S1921" s="210">
        <v>4.25</v>
      </c>
      <c r="T1921" s="8">
        <v>1.0001180555555556</v>
      </c>
      <c r="U1921" s="98">
        <v>4.1011415133936246</v>
      </c>
      <c r="V1921" s="106">
        <v>30722.755737654315</v>
      </c>
      <c r="W1921" s="10">
        <v>0.98694745107255066</v>
      </c>
      <c r="X1921" s="420"/>
      <c r="Y1921" s="420"/>
      <c r="Z1921" s="1"/>
      <c r="AA1921" s="1"/>
      <c r="AB1921" s="1"/>
      <c r="AC1921" s="1"/>
      <c r="AD1921" s="1"/>
    </row>
    <row r="1922" spans="17:30">
      <c r="Q1922" s="6">
        <v>1892</v>
      </c>
      <c r="R1922" s="7">
        <v>44559</v>
      </c>
      <c r="S1922" s="210">
        <v>4.25</v>
      </c>
      <c r="T1922" s="8">
        <v>1.0001180555555556</v>
      </c>
      <c r="U1922" s="98">
        <v>4.1013008003302209</v>
      </c>
      <c r="V1922" s="106">
        <v>30725.230387004554</v>
      </c>
      <c r="W1922" s="10">
        <v>0.98715390310546436</v>
      </c>
      <c r="X1922" s="420"/>
      <c r="Y1922" s="420"/>
      <c r="Z1922" s="1"/>
      <c r="AA1922" s="1"/>
      <c r="AB1922" s="1"/>
      <c r="AC1922" s="1"/>
      <c r="AD1922" s="1"/>
    </row>
    <row r="1923" spans="17:30">
      <c r="Q1923" s="6">
        <v>1893</v>
      </c>
      <c r="R1923" s="7">
        <v>44560</v>
      </c>
      <c r="S1923" s="210">
        <v>4.25</v>
      </c>
      <c r="T1923" s="8">
        <v>1.0001180555555556</v>
      </c>
      <c r="U1923" s="98">
        <v>4.1014599192196854</v>
      </c>
      <c r="V1923" s="106">
        <v>30727.705235682264</v>
      </c>
      <c r="W1923" s="10">
        <v>0.98736013743825346</v>
      </c>
      <c r="X1923" s="420"/>
      <c r="Y1923" s="420"/>
      <c r="Z1923" s="1"/>
      <c r="AA1923" s="1"/>
      <c r="AB1923" s="1"/>
      <c r="AC1923" s="1"/>
      <c r="AD1923" s="1"/>
    </row>
    <row r="1924" spans="17:30">
      <c r="Q1924" s="6">
        <v>1894</v>
      </c>
      <c r="R1924" s="7">
        <v>44561</v>
      </c>
      <c r="S1924" s="210">
        <v>4.25</v>
      </c>
      <c r="T1924" s="8">
        <v>1.0001180555555556</v>
      </c>
      <c r="U1924" s="98">
        <v>4.1016188703278056</v>
      </c>
      <c r="V1924" s="106">
        <v>30730.180283703517</v>
      </c>
      <c r="W1924" s="10">
        <v>0.9875661544150427</v>
      </c>
      <c r="X1924" s="420"/>
      <c r="Y1924" s="420"/>
      <c r="Z1924" s="1"/>
      <c r="AA1924" s="1"/>
      <c r="AB1924" s="1"/>
      <c r="AC1924" s="1"/>
      <c r="AD1924" s="1"/>
    </row>
    <row r="1925" spans="17:30">
      <c r="Q1925" s="6">
        <v>1895</v>
      </c>
      <c r="R1925" s="7">
        <v>44562</v>
      </c>
      <c r="S1925" s="210">
        <v>4.25</v>
      </c>
      <c r="T1925" s="8">
        <v>1.0001180555555556</v>
      </c>
      <c r="U1925" s="98">
        <v>4.1017776539198136</v>
      </c>
      <c r="V1925" s="106">
        <v>30732.655531084354</v>
      </c>
      <c r="W1925" s="10">
        <v>0.98777195437929066</v>
      </c>
      <c r="X1925" s="420"/>
      <c r="Y1925" s="420"/>
      <c r="Z1925" s="1"/>
      <c r="AA1925" s="1"/>
      <c r="AB1925" s="1"/>
      <c r="AC1925" s="1"/>
      <c r="AD1925" s="1"/>
    </row>
    <row r="1926" spans="17:30">
      <c r="Q1926" s="6">
        <v>1896</v>
      </c>
      <c r="R1926" s="7">
        <v>44563</v>
      </c>
      <c r="S1926" s="210">
        <v>4.25</v>
      </c>
      <c r="T1926" s="8">
        <v>1.0001180555555556</v>
      </c>
      <c r="U1926" s="98">
        <v>4.1019362702603868</v>
      </c>
      <c r="V1926" s="106">
        <v>30735.130977840839</v>
      </c>
      <c r="W1926" s="10">
        <v>0.987977537673701</v>
      </c>
      <c r="X1926" s="420"/>
      <c r="Y1926" s="420"/>
      <c r="Z1926" s="1"/>
      <c r="AA1926" s="1"/>
      <c r="AB1926" s="1"/>
      <c r="AC1926" s="1"/>
      <c r="AD1926" s="1"/>
    </row>
    <row r="1927" spans="17:30">
      <c r="Q1927" s="6">
        <v>1897</v>
      </c>
      <c r="R1927" s="7">
        <v>44564</v>
      </c>
      <c r="S1927" s="210">
        <v>4.25</v>
      </c>
      <c r="T1927" s="8">
        <v>1.0001180555555556</v>
      </c>
      <c r="U1927" s="98">
        <v>4.102094719613647</v>
      </c>
      <c r="V1927" s="106">
        <v>30737.606623989032</v>
      </c>
      <c r="W1927" s="10">
        <v>0.98818290464026681</v>
      </c>
      <c r="X1927" s="420"/>
      <c r="Y1927" s="420"/>
      <c r="Z1927" s="1"/>
      <c r="AA1927" s="1"/>
      <c r="AB1927" s="1"/>
      <c r="AC1927" s="1"/>
      <c r="AD1927" s="1"/>
    </row>
    <row r="1928" spans="17:30">
      <c r="Q1928" s="6">
        <v>1898</v>
      </c>
      <c r="R1928" s="7">
        <v>44565</v>
      </c>
      <c r="S1928" s="210">
        <v>4.25</v>
      </c>
      <c r="T1928" s="8">
        <v>1.0001180555555556</v>
      </c>
      <c r="U1928" s="98">
        <v>4.1022530022431392</v>
      </c>
      <c r="V1928" s="106">
        <v>30740.082469544992</v>
      </c>
      <c r="W1928" s="10">
        <v>0.98838805562022625</v>
      </c>
      <c r="X1928" s="420"/>
      <c r="Y1928" s="420"/>
      <c r="Z1928" s="1"/>
      <c r="AA1928" s="1"/>
      <c r="AB1928" s="1"/>
      <c r="AC1928" s="1"/>
      <c r="AD1928" s="1"/>
    </row>
    <row r="1929" spans="17:30">
      <c r="Q1929" s="6">
        <v>1899</v>
      </c>
      <c r="R1929" s="7">
        <v>44566</v>
      </c>
      <c r="S1929" s="210">
        <v>4.25</v>
      </c>
      <c r="T1929" s="8">
        <v>1.0001180555555556</v>
      </c>
      <c r="U1929" s="98">
        <v>4.102411118411875</v>
      </c>
      <c r="V1929" s="106">
        <v>30742.558514524786</v>
      </c>
      <c r="W1929" s="10">
        <v>0.98859299095417352</v>
      </c>
      <c r="X1929" s="420"/>
      <c r="Y1929" s="420"/>
      <c r="Z1929" s="1"/>
      <c r="AA1929" s="1"/>
      <c r="AB1929" s="1"/>
      <c r="AC1929" s="1"/>
      <c r="AD1929" s="1"/>
    </row>
    <row r="1930" spans="17:30">
      <c r="Q1930" s="6">
        <v>1900</v>
      </c>
      <c r="R1930" s="7">
        <v>44567</v>
      </c>
      <c r="S1930" s="210">
        <v>4.25</v>
      </c>
      <c r="T1930" s="8">
        <v>1.0001180555555556</v>
      </c>
      <c r="U1930" s="98">
        <v>4.1025690683823335</v>
      </c>
      <c r="V1930" s="106">
        <v>30745.034758944468</v>
      </c>
      <c r="W1930" s="10">
        <v>0.98879771098194791</v>
      </c>
      <c r="X1930" s="420"/>
      <c r="Y1930" s="420"/>
      <c r="Z1930" s="1"/>
      <c r="AA1930" s="1"/>
      <c r="AB1930" s="1"/>
      <c r="AC1930" s="1"/>
      <c r="AD1930" s="1"/>
    </row>
    <row r="1931" spans="17:30">
      <c r="Q1931" s="6">
        <v>1901</v>
      </c>
      <c r="R1931" s="7">
        <v>44568</v>
      </c>
      <c r="S1931" s="210">
        <v>4.25</v>
      </c>
      <c r="T1931" s="8">
        <v>1.0001180555555556</v>
      </c>
      <c r="U1931" s="98">
        <v>4.102726852416394</v>
      </c>
      <c r="V1931" s="106">
        <v>30747.511202820104</v>
      </c>
      <c r="W1931" s="10">
        <v>0.98900221604265592</v>
      </c>
      <c r="X1931" s="420"/>
      <c r="Y1931" s="420"/>
      <c r="Z1931" s="1"/>
      <c r="AA1931" s="1"/>
      <c r="AB1931" s="1"/>
      <c r="AC1931" s="1"/>
      <c r="AD1931" s="1"/>
    </row>
    <row r="1932" spans="17:30">
      <c r="Q1932" s="6">
        <v>1902</v>
      </c>
      <c r="R1932" s="7">
        <v>44569</v>
      </c>
      <c r="S1932" s="210">
        <v>4.25</v>
      </c>
      <c r="T1932" s="8">
        <v>1.0001180555555556</v>
      </c>
      <c r="U1932" s="98">
        <v>4.1028844707754031</v>
      </c>
      <c r="V1932" s="106">
        <v>30749.987846167765</v>
      </c>
      <c r="W1932" s="10">
        <v>0.98920650647471575</v>
      </c>
      <c r="X1932" s="420"/>
      <c r="Y1932" s="420"/>
      <c r="Z1932" s="1"/>
      <c r="AA1932" s="1"/>
      <c r="AB1932" s="1"/>
      <c r="AC1932" s="1"/>
      <c r="AD1932" s="1"/>
    </row>
    <row r="1933" spans="17:30">
      <c r="Q1933" s="6">
        <v>1903</v>
      </c>
      <c r="R1933" s="7">
        <v>44570</v>
      </c>
      <c r="S1933" s="210">
        <v>4.25</v>
      </c>
      <c r="T1933" s="8">
        <v>1.0001180555555556</v>
      </c>
      <c r="U1933" s="98">
        <v>4.1030419237201743</v>
      </c>
      <c r="V1933" s="106">
        <v>30752.464689003518</v>
      </c>
      <c r="W1933" s="10">
        <v>0.98941058261581283</v>
      </c>
      <c r="X1933" s="420"/>
      <c r="Y1933" s="420"/>
      <c r="Z1933" s="1"/>
      <c r="AA1933" s="1"/>
      <c r="AB1933" s="1"/>
      <c r="AC1933" s="1"/>
      <c r="AD1933" s="1"/>
    </row>
    <row r="1934" spans="17:30">
      <c r="Q1934" s="6">
        <v>1904</v>
      </c>
      <c r="R1934" s="7">
        <v>44571</v>
      </c>
      <c r="S1934" s="210">
        <v>4.25</v>
      </c>
      <c r="T1934" s="8">
        <v>1.0001180555555556</v>
      </c>
      <c r="U1934" s="98">
        <v>4.1031992115109661</v>
      </c>
      <c r="V1934" s="106">
        <v>30754.941731343424</v>
      </c>
      <c r="W1934" s="10">
        <v>0.98961444480294425</v>
      </c>
      <c r="X1934" s="420"/>
      <c r="Y1934" s="420"/>
      <c r="Z1934" s="1"/>
      <c r="AA1934" s="1"/>
      <c r="AB1934" s="1"/>
      <c r="AC1934" s="1"/>
      <c r="AD1934" s="1"/>
    </row>
    <row r="1935" spans="17:30">
      <c r="Q1935" s="6">
        <v>1905</v>
      </c>
      <c r="R1935" s="7">
        <v>44572</v>
      </c>
      <c r="S1935" s="210">
        <v>4.25</v>
      </c>
      <c r="T1935" s="8">
        <v>1.0001180555555556</v>
      </c>
      <c r="U1935" s="98">
        <v>4.1033563344075041</v>
      </c>
      <c r="V1935" s="106">
        <v>30757.418973203567</v>
      </c>
      <c r="W1935" s="10">
        <v>0.98981809337244098</v>
      </c>
      <c r="X1935" s="420"/>
      <c r="Y1935" s="420"/>
      <c r="Z1935" s="1"/>
      <c r="AA1935" s="1"/>
      <c r="AB1935" s="1"/>
      <c r="AC1935" s="1"/>
      <c r="AD1935" s="1"/>
    </row>
    <row r="1936" spans="17:30">
      <c r="Q1936" s="6">
        <v>1906</v>
      </c>
      <c r="R1936" s="7">
        <v>44573</v>
      </c>
      <c r="S1936" s="210">
        <v>4.25</v>
      </c>
      <c r="T1936" s="8">
        <v>1.0001180555555556</v>
      </c>
      <c r="U1936" s="98">
        <v>4.1035132926689366</v>
      </c>
      <c r="V1936" s="106">
        <v>30759.8964146</v>
      </c>
      <c r="W1936" s="10">
        <v>0.99002152865985682</v>
      </c>
      <c r="X1936" s="420"/>
      <c r="Y1936" s="420"/>
      <c r="Z1936" s="1"/>
      <c r="AA1936" s="1"/>
      <c r="AB1936" s="1"/>
      <c r="AC1936" s="1"/>
      <c r="AD1936" s="1"/>
    </row>
    <row r="1937" spans="17:30">
      <c r="Q1937" s="6">
        <v>1907</v>
      </c>
      <c r="R1937" s="7">
        <v>44574</v>
      </c>
      <c r="S1937" s="210">
        <v>4.25</v>
      </c>
      <c r="T1937" s="8">
        <v>1.0001180555555556</v>
      </c>
      <c r="U1937" s="98">
        <v>4.1036700865538789</v>
      </c>
      <c r="V1937" s="106">
        <v>30762.374055548804</v>
      </c>
      <c r="W1937" s="10">
        <v>0.99022475100007945</v>
      </c>
      <c r="X1937" s="420"/>
      <c r="Y1937" s="420"/>
      <c r="Z1937" s="1"/>
      <c r="AA1937" s="1"/>
      <c r="AB1937" s="1"/>
      <c r="AC1937" s="1"/>
      <c r="AD1937" s="1"/>
    </row>
    <row r="1938" spans="17:30">
      <c r="Q1938" s="6">
        <v>1908</v>
      </c>
      <c r="R1938" s="7">
        <v>44575</v>
      </c>
      <c r="S1938" s="210">
        <v>4.25</v>
      </c>
      <c r="T1938" s="8">
        <v>1.0001180555555556</v>
      </c>
      <c r="U1938" s="98">
        <v>4.1038267163204356</v>
      </c>
      <c r="V1938" s="106">
        <v>30764.851896066055</v>
      </c>
      <c r="W1938" s="10">
        <v>0.9904277607272638</v>
      </c>
      <c r="X1938" s="420"/>
      <c r="Y1938" s="420"/>
      <c r="Z1938" s="1"/>
      <c r="AA1938" s="1"/>
      <c r="AB1938" s="1"/>
      <c r="AC1938" s="1"/>
      <c r="AD1938" s="1"/>
    </row>
    <row r="1939" spans="17:30">
      <c r="Q1939" s="6">
        <v>1909</v>
      </c>
      <c r="R1939" s="7">
        <v>44576</v>
      </c>
      <c r="S1939" s="210">
        <v>4.25</v>
      </c>
      <c r="T1939" s="8">
        <v>1.0001180555555556</v>
      </c>
      <c r="U1939" s="98">
        <v>4.1039831822261341</v>
      </c>
      <c r="V1939" s="106">
        <v>30767.329936167822</v>
      </c>
      <c r="W1939" s="10">
        <v>0.99063055817492085</v>
      </c>
      <c r="X1939" s="420"/>
      <c r="Y1939" s="420"/>
      <c r="Z1939" s="1"/>
      <c r="AA1939" s="1"/>
      <c r="AB1939" s="1"/>
      <c r="AC1939" s="1"/>
      <c r="AD1939" s="1"/>
    </row>
    <row r="1940" spans="17:30">
      <c r="Q1940" s="6">
        <v>1910</v>
      </c>
      <c r="R1940" s="7">
        <v>44577</v>
      </c>
      <c r="S1940" s="210">
        <v>4.25</v>
      </c>
      <c r="T1940" s="8">
        <v>1.0001180555555556</v>
      </c>
      <c r="U1940" s="98">
        <v>4.104139484527991</v>
      </c>
      <c r="V1940" s="106">
        <v>30769.808175870188</v>
      </c>
      <c r="W1940" s="10">
        <v>0.99083314367580666</v>
      </c>
      <c r="X1940" s="420"/>
      <c r="Y1940" s="420"/>
      <c r="Z1940" s="1"/>
      <c r="AA1940" s="1"/>
      <c r="AB1940" s="1"/>
      <c r="AC1940" s="1"/>
      <c r="AD1940" s="1"/>
    </row>
    <row r="1941" spans="17:30">
      <c r="Q1941" s="6">
        <v>1911</v>
      </c>
      <c r="R1941" s="7">
        <v>44578</v>
      </c>
      <c r="S1941" s="210">
        <v>4.25</v>
      </c>
      <c r="T1941" s="8">
        <v>1.0001180555555556</v>
      </c>
      <c r="U1941" s="98">
        <v>4.1042956234824679</v>
      </c>
      <c r="V1941" s="106">
        <v>30772.28661518923</v>
      </c>
      <c r="W1941" s="10">
        <v>0.99103551756205555</v>
      </c>
      <c r="X1941" s="420"/>
      <c r="Y1941" s="420"/>
      <c r="Z1941" s="1"/>
      <c r="AA1941" s="1"/>
      <c r="AB1941" s="1"/>
      <c r="AC1941" s="1"/>
      <c r="AD1941" s="1"/>
    </row>
    <row r="1942" spans="17:30">
      <c r="Q1942" s="6">
        <v>1912</v>
      </c>
      <c r="R1942" s="7">
        <v>44579</v>
      </c>
      <c r="S1942" s="210">
        <v>4.25</v>
      </c>
      <c r="T1942" s="8">
        <v>1.0001180555555556</v>
      </c>
      <c r="U1942" s="98">
        <v>4.1044515993454933</v>
      </c>
      <c r="V1942" s="106">
        <v>30774.765254141021</v>
      </c>
      <c r="W1942" s="10">
        <v>0.99123768016502467</v>
      </c>
      <c r="X1942" s="420"/>
      <c r="Y1942" s="420"/>
      <c r="Z1942" s="1"/>
      <c r="AA1942" s="1"/>
      <c r="AB1942" s="1"/>
      <c r="AC1942" s="1"/>
      <c r="AD1942" s="1"/>
    </row>
    <row r="1943" spans="17:30">
      <c r="Q1943" s="6">
        <v>1913</v>
      </c>
      <c r="R1943" s="7">
        <v>44580</v>
      </c>
      <c r="S1943" s="210">
        <v>4.25</v>
      </c>
      <c r="T1943" s="8">
        <v>1.0001180555555556</v>
      </c>
      <c r="U1943" s="98">
        <v>4.104607412372463</v>
      </c>
      <c r="V1943" s="106">
        <v>30777.244092741632</v>
      </c>
      <c r="W1943" s="10">
        <v>0.99143963181544947</v>
      </c>
      <c r="X1943" s="420"/>
      <c r="Y1943" s="420"/>
      <c r="Z1943" s="1"/>
      <c r="AA1943" s="1"/>
      <c r="AB1943" s="1"/>
      <c r="AC1943" s="1"/>
      <c r="AD1943" s="1"/>
    </row>
    <row r="1944" spans="17:30">
      <c r="Q1944" s="6">
        <v>1914</v>
      </c>
      <c r="R1944" s="7">
        <v>44581</v>
      </c>
      <c r="S1944" s="210">
        <v>4.25</v>
      </c>
      <c r="T1944" s="8">
        <v>1.0001180555555556</v>
      </c>
      <c r="U1944" s="98">
        <v>4.1047630628182397</v>
      </c>
      <c r="V1944" s="106">
        <v>30779.723131007169</v>
      </c>
      <c r="W1944" s="10">
        <v>0.99164137284331044</v>
      </c>
      <c r="X1944" s="420"/>
      <c r="Y1944" s="420"/>
      <c r="Z1944" s="1"/>
      <c r="AA1944" s="1"/>
      <c r="AB1944" s="1"/>
      <c r="AC1944" s="1"/>
      <c r="AD1944" s="1"/>
    </row>
    <row r="1945" spans="17:30">
      <c r="Q1945" s="6">
        <v>1915</v>
      </c>
      <c r="R1945" s="7">
        <v>44582</v>
      </c>
      <c r="S1945" s="210">
        <v>4.25</v>
      </c>
      <c r="T1945" s="8">
        <v>1.0001180555555556</v>
      </c>
      <c r="U1945" s="98">
        <v>4.1049185509371533</v>
      </c>
      <c r="V1945" s="106">
        <v>30782.202368953691</v>
      </c>
      <c r="W1945" s="10">
        <v>0.99184290357794413</v>
      </c>
      <c r="X1945" s="420"/>
      <c r="Y1945" s="420"/>
      <c r="Z1945" s="1"/>
      <c r="AA1945" s="1"/>
      <c r="AB1945" s="1"/>
      <c r="AC1945" s="1"/>
      <c r="AD1945" s="1"/>
    </row>
    <row r="1946" spans="17:30">
      <c r="Q1946" s="6">
        <v>1916</v>
      </c>
      <c r="R1946" s="7">
        <v>44583</v>
      </c>
      <c r="S1946" s="210">
        <v>4.25</v>
      </c>
      <c r="T1946" s="8">
        <v>1.0001180555555556</v>
      </c>
      <c r="U1946" s="98">
        <v>4.1050738769830231</v>
      </c>
      <c r="V1946" s="106">
        <v>30784.681806597295</v>
      </c>
      <c r="W1946" s="10">
        <v>0.99204422434799877</v>
      </c>
      <c r="X1946" s="420"/>
      <c r="Y1946" s="420"/>
      <c r="Z1946" s="1"/>
      <c r="AA1946" s="1"/>
      <c r="AB1946" s="1"/>
      <c r="AC1946" s="1"/>
      <c r="AD1946" s="1"/>
    </row>
    <row r="1947" spans="17:30">
      <c r="Q1947" s="6">
        <v>1917</v>
      </c>
      <c r="R1947" s="7">
        <v>44584</v>
      </c>
      <c r="S1947" s="210">
        <v>4.25</v>
      </c>
      <c r="T1947" s="8">
        <v>1.0001180555555556</v>
      </c>
      <c r="U1947" s="98">
        <v>4.1052290412090908</v>
      </c>
      <c r="V1947" s="106">
        <v>30787.161443954064</v>
      </c>
      <c r="W1947" s="10">
        <v>0.99224533548141203</v>
      </c>
      <c r="X1947" s="420"/>
      <c r="Y1947" s="420"/>
      <c r="Z1947" s="1"/>
      <c r="AA1947" s="1"/>
      <c r="AB1947" s="1"/>
      <c r="AC1947" s="1"/>
      <c r="AD1947" s="1"/>
    </row>
    <row r="1948" spans="17:30">
      <c r="Q1948" s="6">
        <v>1918</v>
      </c>
      <c r="R1948" s="7">
        <v>44585</v>
      </c>
      <c r="S1948" s="210">
        <v>4.25</v>
      </c>
      <c r="T1948" s="8">
        <v>1.0001180555555556</v>
      </c>
      <c r="U1948" s="98">
        <v>4.1053840438681322</v>
      </c>
      <c r="V1948" s="106">
        <v>30789.641281040087</v>
      </c>
      <c r="W1948" s="10">
        <v>0.99244623730547765</v>
      </c>
      <c r="X1948" s="420"/>
      <c r="Y1948" s="420"/>
      <c r="Z1948" s="1"/>
      <c r="AA1948" s="1"/>
      <c r="AB1948" s="1"/>
      <c r="AC1948" s="1"/>
      <c r="AD1948" s="1"/>
    </row>
    <row r="1949" spans="17:30">
      <c r="Q1949" s="6">
        <v>1919</v>
      </c>
      <c r="R1949" s="7">
        <v>44586</v>
      </c>
      <c r="S1949" s="210">
        <v>4.25</v>
      </c>
      <c r="T1949" s="8">
        <v>1.0001180555555556</v>
      </c>
      <c r="U1949" s="98">
        <v>4.1055388852123453</v>
      </c>
      <c r="V1949" s="106">
        <v>30792.121317871446</v>
      </c>
      <c r="W1949" s="10">
        <v>0.99264693014677885</v>
      </c>
      <c r="X1949" s="420"/>
      <c r="Y1949" s="420"/>
      <c r="Z1949" s="1"/>
      <c r="AA1949" s="1"/>
      <c r="AB1949" s="1"/>
      <c r="AC1949" s="1"/>
      <c r="AD1949" s="1"/>
    </row>
    <row r="1950" spans="17:30">
      <c r="Q1950" s="6">
        <v>1920</v>
      </c>
      <c r="R1950" s="7">
        <v>44587</v>
      </c>
      <c r="S1950" s="210">
        <v>4.25</v>
      </c>
      <c r="T1950" s="8">
        <v>1.0001180555555556</v>
      </c>
      <c r="U1950" s="98">
        <v>4.1056935654934401</v>
      </c>
      <c r="V1950" s="106">
        <v>30794.601554464232</v>
      </c>
      <c r="W1950" s="10">
        <v>0.9928474143312549</v>
      </c>
      <c r="X1950" s="420"/>
      <c r="Y1950" s="420"/>
      <c r="Z1950" s="1"/>
      <c r="AA1950" s="1"/>
      <c r="AB1950" s="1"/>
      <c r="AC1950" s="1"/>
      <c r="AD1950" s="1"/>
    </row>
    <row r="1951" spans="17:30">
      <c r="Q1951" s="6">
        <v>1921</v>
      </c>
      <c r="R1951" s="7">
        <v>44588</v>
      </c>
      <c r="S1951" s="210">
        <v>4.25</v>
      </c>
      <c r="T1951" s="8">
        <v>1.0001180555555556</v>
      </c>
      <c r="U1951" s="98">
        <v>4.1058480849625933</v>
      </c>
      <c r="V1951" s="106">
        <v>30797.081990834533</v>
      </c>
      <c r="W1951" s="10">
        <v>0.99304769018411232</v>
      </c>
      <c r="X1951" s="420"/>
      <c r="Y1951" s="420"/>
      <c r="Z1951" s="1"/>
      <c r="AA1951" s="1"/>
      <c r="AB1951" s="1"/>
      <c r="AC1951" s="1"/>
      <c r="AD1951" s="1"/>
    </row>
    <row r="1952" spans="17:30">
      <c r="Q1952" s="6">
        <v>1922</v>
      </c>
      <c r="R1952" s="7">
        <v>44589</v>
      </c>
      <c r="S1952" s="210">
        <v>4.25</v>
      </c>
      <c r="T1952" s="8">
        <v>1.0001180555555556</v>
      </c>
      <c r="U1952" s="98">
        <v>4.1060024438704268</v>
      </c>
      <c r="V1952" s="106">
        <v>30799.56262699845</v>
      </c>
      <c r="W1952" s="10">
        <v>0.99324775802989151</v>
      </c>
      <c r="X1952" s="420"/>
      <c r="Y1952" s="420"/>
      <c r="Z1952" s="1"/>
      <c r="AA1952" s="1"/>
      <c r="AB1952" s="1"/>
      <c r="AC1952" s="1"/>
      <c r="AD1952" s="1"/>
    </row>
    <row r="1953" spans="17:30">
      <c r="Q1953" s="6">
        <v>1923</v>
      </c>
      <c r="R1953" s="7">
        <v>44590</v>
      </c>
      <c r="S1953" s="210">
        <v>4.25</v>
      </c>
      <c r="T1953" s="8">
        <v>1.0001180555555556</v>
      </c>
      <c r="U1953" s="98">
        <v>4.1061566424670959</v>
      </c>
      <c r="V1953" s="106">
        <v>30802.043462972062</v>
      </c>
      <c r="W1953" s="10">
        <v>0.99344761819251115</v>
      </c>
      <c r="X1953" s="420"/>
      <c r="Y1953" s="420"/>
      <c r="Z1953" s="1"/>
      <c r="AA1953" s="1"/>
      <c r="AB1953" s="1"/>
      <c r="AC1953" s="1"/>
      <c r="AD1953" s="1"/>
    </row>
    <row r="1954" spans="17:30">
      <c r="Q1954" s="6">
        <v>1924</v>
      </c>
      <c r="R1954" s="7">
        <v>44591</v>
      </c>
      <c r="S1954" s="210">
        <v>4.25</v>
      </c>
      <c r="T1954" s="8">
        <v>1.0001180555555556</v>
      </c>
      <c r="U1954" s="98">
        <v>4.106310681002201</v>
      </c>
      <c r="V1954" s="106">
        <v>30804.524498771469</v>
      </c>
      <c r="W1954" s="10">
        <v>0.99364727099520156</v>
      </c>
      <c r="X1954" s="420"/>
      <c r="Y1954" s="420"/>
      <c r="Z1954" s="1"/>
      <c r="AA1954" s="1"/>
      <c r="AB1954" s="1"/>
      <c r="AC1954" s="1"/>
      <c r="AD1954" s="1"/>
    </row>
    <row r="1955" spans="17:30">
      <c r="Q1955" s="6">
        <v>1925</v>
      </c>
      <c r="R1955" s="7">
        <v>44592</v>
      </c>
      <c r="S1955" s="210">
        <v>4.25</v>
      </c>
      <c r="T1955" s="8">
        <v>1.0001180555555556</v>
      </c>
      <c r="U1955" s="98">
        <v>4.1064645597248317</v>
      </c>
      <c r="V1955" s="106">
        <v>30807.005734412771</v>
      </c>
      <c r="W1955" s="10">
        <v>0.99384671676046032</v>
      </c>
      <c r="X1955" s="420"/>
      <c r="Y1955" s="420"/>
      <c r="Z1955" s="1"/>
      <c r="AA1955" s="1"/>
      <c r="AB1955" s="1"/>
      <c r="AC1955" s="1"/>
      <c r="AD1955" s="1"/>
    </row>
    <row r="1956" spans="17:30">
      <c r="Q1956" s="6">
        <v>1926</v>
      </c>
      <c r="R1956" s="7">
        <v>44593</v>
      </c>
      <c r="S1956" s="210">
        <v>4.25</v>
      </c>
      <c r="T1956" s="8">
        <v>1.0001180555555556</v>
      </c>
      <c r="U1956" s="98">
        <v>4.106618278883567</v>
      </c>
      <c r="V1956" s="106">
        <v>30809.487169912063</v>
      </c>
      <c r="W1956" s="10">
        <v>0.99404595581020772</v>
      </c>
      <c r="X1956" s="420"/>
      <c r="Y1956" s="420"/>
      <c r="Z1956" s="1"/>
      <c r="AA1956" s="1"/>
      <c r="AB1956" s="1"/>
      <c r="AC1956" s="1"/>
      <c r="AD1956" s="1"/>
    </row>
    <row r="1957" spans="17:30">
      <c r="Q1957" s="6">
        <v>1927</v>
      </c>
      <c r="R1957" s="7">
        <v>44594</v>
      </c>
      <c r="S1957" s="210">
        <v>4.25</v>
      </c>
      <c r="T1957" s="8">
        <v>1.0001180555555556</v>
      </c>
      <c r="U1957" s="98">
        <v>4.1067718387264751</v>
      </c>
      <c r="V1957" s="106">
        <v>30811.96880528544</v>
      </c>
      <c r="W1957" s="10">
        <v>0.99424498846563125</v>
      </c>
      <c r="X1957" s="420"/>
      <c r="Y1957" s="420"/>
      <c r="Z1957" s="1"/>
      <c r="AA1957" s="1"/>
      <c r="AB1957" s="1"/>
      <c r="AC1957" s="1"/>
      <c r="AD1957" s="1"/>
    </row>
    <row r="1958" spans="17:30">
      <c r="Q1958" s="6">
        <v>1928</v>
      </c>
      <c r="R1958" s="7">
        <v>44595</v>
      </c>
      <c r="S1958" s="210">
        <v>4.25</v>
      </c>
      <c r="T1958" s="8">
        <v>1.0001180555555556</v>
      </c>
      <c r="U1958" s="98">
        <v>4.1069252395010913</v>
      </c>
      <c r="V1958" s="106">
        <v>30814.450640549003</v>
      </c>
      <c r="W1958" s="10">
        <v>0.99444381504727453</v>
      </c>
      <c r="X1958" s="420"/>
      <c r="Y1958" s="420"/>
      <c r="Z1958" s="1"/>
      <c r="AA1958" s="1"/>
      <c r="AB1958" s="1"/>
      <c r="AC1958" s="1"/>
      <c r="AD1958" s="1"/>
    </row>
    <row r="1959" spans="17:30">
      <c r="Q1959" s="6">
        <v>1929</v>
      </c>
      <c r="R1959" s="7">
        <v>44596</v>
      </c>
      <c r="S1959" s="210">
        <v>4.25</v>
      </c>
      <c r="T1959" s="8">
        <v>1.0001180555555556</v>
      </c>
      <c r="U1959" s="98">
        <v>4.1070784814544403</v>
      </c>
      <c r="V1959" s="106">
        <v>30816.932675718854</v>
      </c>
      <c r="W1959" s="10">
        <v>0.994642435875015</v>
      </c>
      <c r="X1959" s="420"/>
      <c r="Y1959" s="420"/>
      <c r="Z1959" s="1"/>
      <c r="AA1959" s="1"/>
      <c r="AB1959" s="1"/>
      <c r="AC1959" s="1"/>
      <c r="AD1959" s="1"/>
    </row>
    <row r="1960" spans="17:30">
      <c r="Q1960" s="6">
        <v>1930</v>
      </c>
      <c r="R1960" s="7">
        <v>44597</v>
      </c>
      <c r="S1960" s="210">
        <v>4.25</v>
      </c>
      <c r="T1960" s="8">
        <v>1.0001180555555556</v>
      </c>
      <c r="U1960" s="98">
        <v>4.1072315648330582</v>
      </c>
      <c r="V1960" s="106">
        <v>30819.414910811094</v>
      </c>
      <c r="W1960" s="10">
        <v>0.99484085126808619</v>
      </c>
      <c r="X1960" s="420"/>
      <c r="Y1960" s="420"/>
      <c r="Z1960" s="1"/>
      <c r="AA1960" s="1"/>
      <c r="AB1960" s="1"/>
      <c r="AC1960" s="1"/>
      <c r="AD1960" s="1"/>
    </row>
    <row r="1961" spans="17:30">
      <c r="Q1961" s="6">
        <v>1931</v>
      </c>
      <c r="R1961" s="7">
        <v>44598</v>
      </c>
      <c r="S1961" s="210">
        <v>4.25</v>
      </c>
      <c r="T1961" s="8">
        <v>1.0001180555555556</v>
      </c>
      <c r="U1961" s="98">
        <v>4.1073844898829481</v>
      </c>
      <c r="V1961" s="106">
        <v>30821.897345841826</v>
      </c>
      <c r="W1961" s="10">
        <v>0.99503906154501109</v>
      </c>
      <c r="X1961" s="420"/>
      <c r="Y1961" s="420"/>
      <c r="Z1961" s="1"/>
      <c r="AA1961" s="1"/>
      <c r="AB1961" s="1"/>
      <c r="AC1961" s="1"/>
      <c r="AD1961" s="1"/>
    </row>
    <row r="1962" spans="17:30">
      <c r="Q1962" s="6">
        <v>1932</v>
      </c>
      <c r="R1962" s="7">
        <v>44599</v>
      </c>
      <c r="S1962" s="210">
        <v>4.25</v>
      </c>
      <c r="T1962" s="8">
        <v>1.0001180555555556</v>
      </c>
      <c r="U1962" s="98">
        <v>4.1075372568496249</v>
      </c>
      <c r="V1962" s="106">
        <v>30824.379980827151</v>
      </c>
      <c r="W1962" s="10">
        <v>0.99523706702373538</v>
      </c>
      <c r="X1962" s="420"/>
      <c r="Y1962" s="420"/>
      <c r="Z1962" s="1"/>
      <c r="AA1962" s="1"/>
      <c r="AB1962" s="1"/>
      <c r="AC1962" s="1"/>
      <c r="AD1962" s="1"/>
    </row>
    <row r="1963" spans="17:30">
      <c r="Q1963" s="6">
        <v>1933</v>
      </c>
      <c r="R1963" s="7">
        <v>44600</v>
      </c>
      <c r="S1963" s="210">
        <v>4.25</v>
      </c>
      <c r="T1963" s="8">
        <v>1.0001180555555556</v>
      </c>
      <c r="U1963" s="98">
        <v>4.1076898659780703</v>
      </c>
      <c r="V1963" s="106">
        <v>30826.862815783181</v>
      </c>
      <c r="W1963" s="10">
        <v>0.99543486802144976</v>
      </c>
      <c r="X1963" s="420"/>
      <c r="Y1963" s="420"/>
      <c r="Z1963" s="1"/>
      <c r="AA1963" s="1"/>
      <c r="AB1963" s="1"/>
      <c r="AC1963" s="1"/>
      <c r="AD1963" s="1"/>
    </row>
    <row r="1964" spans="17:30">
      <c r="Q1964" s="6">
        <v>1934</v>
      </c>
      <c r="R1964" s="7">
        <v>44601</v>
      </c>
      <c r="S1964" s="210">
        <v>4.25</v>
      </c>
      <c r="T1964" s="8">
        <v>1.0001180555555556</v>
      </c>
      <c r="U1964" s="98">
        <v>4.1078423175127998</v>
      </c>
      <c r="V1964" s="106">
        <v>30829.345850726026</v>
      </c>
      <c r="W1964" s="10">
        <v>0.99563246485478984</v>
      </c>
      <c r="X1964" s="420"/>
      <c r="Y1964" s="420"/>
      <c r="Z1964" s="1"/>
      <c r="AA1964" s="1"/>
      <c r="AB1964" s="1"/>
      <c r="AC1964" s="1"/>
      <c r="AD1964" s="1"/>
    </row>
    <row r="1965" spans="17:30">
      <c r="Q1965" s="6">
        <v>1935</v>
      </c>
      <c r="R1965" s="7">
        <v>44602</v>
      </c>
      <c r="S1965" s="210">
        <v>4.25</v>
      </c>
      <c r="T1965" s="8">
        <v>1.0001180555555556</v>
      </c>
      <c r="U1965" s="98">
        <v>4.1079946116977739</v>
      </c>
      <c r="V1965" s="106">
        <v>30832.095158421918</v>
      </c>
      <c r="W1965" s="10">
        <v>0.99566545314369037</v>
      </c>
      <c r="X1965" s="420"/>
      <c r="Y1965" s="420"/>
      <c r="Z1965" s="1"/>
      <c r="AA1965" s="1"/>
      <c r="AB1965" s="1"/>
      <c r="AC1965" s="1"/>
      <c r="AD1965" s="1"/>
    </row>
    <row r="1966" spans="17:30">
      <c r="Q1966" s="6">
        <v>1936</v>
      </c>
      <c r="R1966" s="7">
        <v>44603</v>
      </c>
      <c r="S1966" s="210">
        <v>4.25</v>
      </c>
      <c r="T1966" s="8">
        <v>1.0001180555555556</v>
      </c>
      <c r="U1966" s="98">
        <v>4.1081467487764867</v>
      </c>
      <c r="V1966" s="106">
        <v>30834.844711296315</v>
      </c>
      <c r="W1966" s="10">
        <v>0.99569840736455362</v>
      </c>
      <c r="X1966" s="420"/>
      <c r="Y1966" s="420"/>
      <c r="Z1966" s="1"/>
      <c r="AA1966" s="1"/>
      <c r="AB1966" s="1"/>
      <c r="AC1966" s="1"/>
      <c r="AD1966" s="1"/>
    </row>
    <row r="1967" spans="17:30">
      <c r="Q1967" s="6">
        <v>1937</v>
      </c>
      <c r="R1967" s="7">
        <v>44604</v>
      </c>
      <c r="S1967" s="210">
        <v>4.25</v>
      </c>
      <c r="T1967" s="8">
        <v>1.0001180555555556</v>
      </c>
      <c r="U1967" s="98">
        <v>4.1082987289919215</v>
      </c>
      <c r="V1967" s="106">
        <v>30837.594509371072</v>
      </c>
      <c r="W1967" s="10">
        <v>0.99573132757009297</v>
      </c>
      <c r="X1967" s="420"/>
      <c r="Y1967" s="420"/>
      <c r="Z1967" s="1"/>
      <c r="AA1967" s="1"/>
      <c r="AB1967" s="1"/>
      <c r="AC1967" s="1"/>
      <c r="AD1967" s="1"/>
    </row>
    <row r="1968" spans="17:30">
      <c r="Q1968" s="6">
        <v>1938</v>
      </c>
      <c r="R1968" s="7">
        <v>44605</v>
      </c>
      <c r="S1968" s="210">
        <v>4.25</v>
      </c>
      <c r="T1968" s="8">
        <v>1.0001180555555556</v>
      </c>
      <c r="U1968" s="98">
        <v>4.1084505525865289</v>
      </c>
      <c r="V1968" s="106">
        <v>30840.344552668066</v>
      </c>
      <c r="W1968" s="10">
        <v>0.99576421381295521</v>
      </c>
      <c r="X1968" s="420"/>
      <c r="Y1968" s="420"/>
      <c r="Z1968" s="1"/>
      <c r="AA1968" s="1"/>
      <c r="AB1968" s="1"/>
      <c r="AC1968" s="1"/>
      <c r="AD1968" s="1"/>
    </row>
    <row r="1969" spans="17:30">
      <c r="Q1969" s="6">
        <v>1939</v>
      </c>
      <c r="R1969" s="7">
        <v>44606</v>
      </c>
      <c r="S1969" s="210">
        <v>4.25</v>
      </c>
      <c r="T1969" s="8">
        <v>1.0001180555555556</v>
      </c>
      <c r="U1969" s="98">
        <v>4.1086022198023153</v>
      </c>
      <c r="V1969" s="106">
        <v>30843.09484120916</v>
      </c>
      <c r="W1969" s="10">
        <v>0.99579706614567609</v>
      </c>
      <c r="X1969" s="420"/>
      <c r="Y1969" s="420"/>
      <c r="Z1969" s="1"/>
      <c r="AA1969" s="1"/>
      <c r="AB1969" s="1"/>
      <c r="AC1969" s="1"/>
      <c r="AD1969" s="1"/>
    </row>
    <row r="1970" spans="17:30">
      <c r="Q1970" s="6">
        <v>1940</v>
      </c>
      <c r="R1970" s="7">
        <v>44607</v>
      </c>
      <c r="S1970" s="210">
        <v>4.25</v>
      </c>
      <c r="T1970" s="8">
        <v>1.0001180555555556</v>
      </c>
      <c r="U1970" s="98">
        <v>4.1087537308807764</v>
      </c>
      <c r="V1970" s="106">
        <v>30845.84537501623</v>
      </c>
      <c r="W1970" s="10">
        <v>0.99582988462072475</v>
      </c>
      <c r="X1970" s="420"/>
      <c r="Y1970" s="420"/>
      <c r="Z1970" s="1"/>
      <c r="AA1970" s="1"/>
      <c r="AB1970" s="1"/>
      <c r="AC1970" s="1"/>
      <c r="AD1970" s="1"/>
    </row>
    <row r="1971" spans="17:30">
      <c r="Q1971" s="6">
        <v>1941</v>
      </c>
      <c r="R1971" s="7">
        <v>44608</v>
      </c>
      <c r="S1971" s="210">
        <v>4.25</v>
      </c>
      <c r="T1971" s="8">
        <v>1.0001180555555556</v>
      </c>
      <c r="U1971" s="98">
        <v>4.1089050860628529</v>
      </c>
      <c r="V1971" s="106">
        <v>30848.596154111139</v>
      </c>
      <c r="W1971" s="10">
        <v>0.99586266929032607</v>
      </c>
      <c r="X1971" s="420"/>
      <c r="Y1971" s="420"/>
      <c r="Z1971" s="1"/>
      <c r="AA1971" s="1"/>
      <c r="AB1971" s="1"/>
      <c r="AC1971" s="1"/>
      <c r="AD1971" s="1"/>
    </row>
    <row r="1972" spans="17:30">
      <c r="Q1972" s="6">
        <v>1942</v>
      </c>
      <c r="R1972" s="7">
        <v>44609</v>
      </c>
      <c r="S1972" s="210">
        <v>4.25</v>
      </c>
      <c r="T1972" s="8">
        <v>1.0001180555555556</v>
      </c>
      <c r="U1972" s="98">
        <v>4.1090562855890855</v>
      </c>
      <c r="V1972" s="106">
        <v>30851.347178515764</v>
      </c>
      <c r="W1972" s="10">
        <v>0.99589542020677158</v>
      </c>
      <c r="X1972" s="420"/>
      <c r="Y1972" s="420"/>
      <c r="Z1972" s="1"/>
      <c r="AA1972" s="1"/>
      <c r="AB1972" s="1"/>
      <c r="AC1972" s="1"/>
      <c r="AD1972" s="1"/>
    </row>
    <row r="1973" spans="17:30">
      <c r="Q1973" s="6">
        <v>1943</v>
      </c>
      <c r="R1973" s="7">
        <v>44610</v>
      </c>
      <c r="S1973" s="210">
        <v>4.25</v>
      </c>
      <c r="T1973" s="8">
        <v>1.0001180555555556</v>
      </c>
      <c r="U1973" s="98">
        <v>4.109207329699438</v>
      </c>
      <c r="V1973" s="106">
        <v>30854.098448251982</v>
      </c>
      <c r="W1973" s="10">
        <v>0.99592813742210851</v>
      </c>
      <c r="X1973" s="420"/>
      <c r="Y1973" s="420"/>
      <c r="Z1973" s="1"/>
      <c r="AA1973" s="1"/>
      <c r="AB1973" s="1"/>
      <c r="AC1973" s="1"/>
      <c r="AD1973" s="1"/>
    </row>
    <row r="1974" spans="17:30">
      <c r="Q1974" s="6">
        <v>1944</v>
      </c>
      <c r="R1974" s="7">
        <v>44611</v>
      </c>
      <c r="S1974" s="210">
        <v>4.25</v>
      </c>
      <c r="T1974" s="8">
        <v>1.0001180555555556</v>
      </c>
      <c r="U1974" s="98">
        <v>4.1093582186334077</v>
      </c>
      <c r="V1974" s="106">
        <v>30856.84996334168</v>
      </c>
      <c r="W1974" s="10">
        <v>0.99596082098833971</v>
      </c>
      <c r="X1974" s="420"/>
      <c r="Y1974" s="420"/>
      <c r="Z1974" s="1"/>
      <c r="AA1974" s="1"/>
      <c r="AB1974" s="1"/>
      <c r="AC1974" s="1"/>
      <c r="AD1974" s="1"/>
    </row>
    <row r="1975" spans="17:30">
      <c r="Q1975" s="6">
        <v>1945</v>
      </c>
      <c r="R1975" s="7">
        <v>44612</v>
      </c>
      <c r="S1975" s="210">
        <v>4.25</v>
      </c>
      <c r="T1975" s="8">
        <v>1.0001180555555556</v>
      </c>
      <c r="U1975" s="98">
        <v>4.1095089526300033</v>
      </c>
      <c r="V1975" s="106">
        <v>30859.601723806722</v>
      </c>
      <c r="W1975" s="10">
        <v>0.99599347095733481</v>
      </c>
      <c r="X1975" s="420"/>
      <c r="Y1975" s="420"/>
      <c r="Z1975" s="1"/>
      <c r="AA1975" s="1"/>
      <c r="AB1975" s="1"/>
      <c r="AC1975" s="1"/>
      <c r="AD1975" s="1"/>
    </row>
    <row r="1976" spans="17:30">
      <c r="Q1976" s="6">
        <v>1946</v>
      </c>
      <c r="R1976" s="7">
        <v>44613</v>
      </c>
      <c r="S1976" s="210">
        <v>4.25</v>
      </c>
      <c r="T1976" s="8">
        <v>1.0001180555555556</v>
      </c>
      <c r="U1976" s="98">
        <v>4.1096595319277673</v>
      </c>
      <c r="V1976" s="106">
        <v>30862.353729669005</v>
      </c>
      <c r="W1976" s="10">
        <v>0.99602608738089682</v>
      </c>
      <c r="X1976" s="420"/>
      <c r="Y1976" s="420"/>
      <c r="Z1976" s="1"/>
      <c r="AA1976" s="1"/>
      <c r="AB1976" s="1"/>
      <c r="AC1976" s="1"/>
      <c r="AD1976" s="1"/>
    </row>
    <row r="1977" spans="17:30">
      <c r="Q1977" s="6">
        <v>1947</v>
      </c>
      <c r="R1977" s="7">
        <v>44614</v>
      </c>
      <c r="S1977" s="210">
        <v>4.25</v>
      </c>
      <c r="T1977" s="8">
        <v>1.0001180555555556</v>
      </c>
      <c r="U1977" s="98">
        <v>4.1098099567647095</v>
      </c>
      <c r="V1977" s="106">
        <v>30865.105980950404</v>
      </c>
      <c r="W1977" s="10">
        <v>0.9960586703106955</v>
      </c>
      <c r="X1977" s="420"/>
      <c r="Y1977" s="420"/>
      <c r="Z1977" s="1"/>
      <c r="AA1977" s="1"/>
      <c r="AB1977" s="1"/>
      <c r="AC1977" s="1"/>
      <c r="AD1977" s="1"/>
    </row>
    <row r="1978" spans="17:30">
      <c r="Q1978" s="6">
        <v>1948</v>
      </c>
      <c r="R1978" s="7">
        <v>44615</v>
      </c>
      <c r="S1978" s="210">
        <v>4.25</v>
      </c>
      <c r="T1978" s="8">
        <v>1.0001180555555556</v>
      </c>
      <c r="U1978" s="98">
        <v>4.1099602273783731</v>
      </c>
      <c r="V1978" s="106">
        <v>30867.858477672813</v>
      </c>
      <c r="W1978" s="10">
        <v>0.99609121979828963</v>
      </c>
      <c r="X1978" s="420"/>
      <c r="Y1978" s="420"/>
      <c r="Z1978" s="1"/>
      <c r="AA1978" s="1"/>
      <c r="AB1978" s="1"/>
      <c r="AC1978" s="1"/>
      <c r="AD1978" s="1"/>
    </row>
    <row r="1979" spans="17:30">
      <c r="Q1979" s="6">
        <v>1949</v>
      </c>
      <c r="R1979" s="7">
        <v>44616</v>
      </c>
      <c r="S1979" s="210">
        <v>4.25</v>
      </c>
      <c r="T1979" s="8">
        <v>1.0001180555555556</v>
      </c>
      <c r="U1979" s="98">
        <v>4.1101103440058129</v>
      </c>
      <c r="V1979" s="106">
        <v>30870.611219858107</v>
      </c>
      <c r="W1979" s="10">
        <v>0.99612373589512693</v>
      </c>
      <c r="X1979" s="420"/>
      <c r="Y1979" s="420"/>
      <c r="Z1979" s="1"/>
      <c r="AA1979" s="1"/>
      <c r="AB1979" s="1"/>
      <c r="AC1979" s="1"/>
      <c r="AD1979" s="1"/>
    </row>
    <row r="1980" spans="17:30">
      <c r="Q1980" s="6">
        <v>1950</v>
      </c>
      <c r="R1980" s="7">
        <v>44617</v>
      </c>
      <c r="S1980" s="210">
        <v>4.25</v>
      </c>
      <c r="T1980" s="8">
        <v>1.0001180555555556</v>
      </c>
      <c r="U1980" s="98">
        <v>4.1102603068836174</v>
      </c>
      <c r="V1980" s="106">
        <v>30873.36420752819</v>
      </c>
      <c r="W1980" s="10">
        <v>0.99615621865258852</v>
      </c>
      <c r="X1980" s="420"/>
      <c r="Y1980" s="420"/>
      <c r="Z1980" s="1"/>
      <c r="AA1980" s="1"/>
      <c r="AB1980" s="1"/>
      <c r="AC1980" s="1"/>
      <c r="AD1980" s="1"/>
    </row>
    <row r="1981" spans="17:30">
      <c r="Q1981" s="6">
        <v>1951</v>
      </c>
      <c r="R1981" s="7">
        <v>44618</v>
      </c>
      <c r="S1981" s="210">
        <v>4.25</v>
      </c>
      <c r="T1981" s="8">
        <v>1.0001180555555556</v>
      </c>
      <c r="U1981" s="98">
        <v>4.1104101162478424</v>
      </c>
      <c r="V1981" s="106">
        <v>30876.117440704944</v>
      </c>
      <c r="W1981" s="10">
        <v>0.9961886681219001</v>
      </c>
      <c r="X1981" s="420"/>
      <c r="Y1981" s="420"/>
      <c r="Z1981" s="1"/>
      <c r="AA1981" s="1"/>
      <c r="AB1981" s="1"/>
      <c r="AC1981" s="1"/>
      <c r="AD1981" s="1"/>
    </row>
    <row r="1982" spans="17:30">
      <c r="Q1982" s="6">
        <v>1952</v>
      </c>
      <c r="R1982" s="7">
        <v>44619</v>
      </c>
      <c r="S1982" s="210">
        <v>4.25</v>
      </c>
      <c r="T1982" s="8">
        <v>1.0001180555555556</v>
      </c>
      <c r="U1982" s="98">
        <v>4.1105597723340992</v>
      </c>
      <c r="V1982" s="106">
        <v>30878.87091941027</v>
      </c>
      <c r="W1982" s="10">
        <v>0.99622108435422074</v>
      </c>
      <c r="X1982" s="420"/>
      <c r="Y1982" s="420"/>
      <c r="Z1982" s="1"/>
      <c r="AA1982" s="1"/>
      <c r="AB1982" s="1"/>
      <c r="AC1982" s="1"/>
      <c r="AD1982" s="1"/>
    </row>
    <row r="1983" spans="17:30">
      <c r="Q1983" s="6">
        <v>1953</v>
      </c>
      <c r="R1983" s="7">
        <v>44620</v>
      </c>
      <c r="S1983" s="210">
        <v>4.25</v>
      </c>
      <c r="T1983" s="8">
        <v>1.0001180555555556</v>
      </c>
      <c r="U1983" s="98">
        <v>4.110709275377511</v>
      </c>
      <c r="V1983" s="106">
        <v>30881.624643666055</v>
      </c>
      <c r="W1983" s="10">
        <v>0.99625346740055409</v>
      </c>
      <c r="X1983" s="420"/>
      <c r="Y1983" s="420"/>
      <c r="Z1983" s="1"/>
      <c r="AA1983" s="1"/>
      <c r="AB1983" s="1"/>
      <c r="AC1983" s="1"/>
      <c r="AD1983" s="1"/>
    </row>
    <row r="1984" spans="17:30">
      <c r="Q1984" s="6">
        <v>1954</v>
      </c>
      <c r="R1984" s="7">
        <v>44621</v>
      </c>
      <c r="S1984" s="210">
        <v>4.25</v>
      </c>
      <c r="T1984" s="8">
        <v>1.0001180555555556</v>
      </c>
      <c r="U1984" s="98">
        <v>4.1108586256127344</v>
      </c>
      <c r="V1984" s="106">
        <v>30884.378613494206</v>
      </c>
      <c r="W1984" s="10">
        <v>0.9962858173119038</v>
      </c>
      <c r="X1984" s="420"/>
      <c r="Y1984" s="420"/>
      <c r="Z1984" s="1"/>
      <c r="AA1984" s="1"/>
      <c r="AB1984" s="1"/>
      <c r="AC1984" s="1"/>
      <c r="AD1984" s="1"/>
    </row>
    <row r="1985" spans="17:30">
      <c r="Q1985" s="6">
        <v>1955</v>
      </c>
      <c r="R1985" s="7">
        <v>44622</v>
      </c>
      <c r="S1985" s="210">
        <v>4.25</v>
      </c>
      <c r="T1985" s="8">
        <v>1.0001180555555556</v>
      </c>
      <c r="U1985" s="98">
        <v>4.1110078232739156</v>
      </c>
      <c r="V1985" s="106">
        <v>30887.132828916623</v>
      </c>
      <c r="W1985" s="10">
        <v>0.99631813413905146</v>
      </c>
      <c r="X1985" s="420"/>
      <c r="Y1985" s="420"/>
      <c r="Z1985" s="1"/>
      <c r="AA1985" s="1"/>
      <c r="AB1985" s="1"/>
      <c r="AC1985" s="1"/>
      <c r="AD1985" s="1"/>
    </row>
    <row r="1986" spans="17:30">
      <c r="Q1986" s="6">
        <v>1956</v>
      </c>
      <c r="R1986" s="7">
        <v>44623</v>
      </c>
      <c r="S1986" s="210">
        <v>4.25</v>
      </c>
      <c r="T1986" s="8">
        <v>1.0001180555555556</v>
      </c>
      <c r="U1986" s="98">
        <v>4.1111568685947342</v>
      </c>
      <c r="V1986" s="106">
        <v>30889.887289955201</v>
      </c>
      <c r="W1986" s="10">
        <v>0.99635041793275647</v>
      </c>
      <c r="X1986" s="420"/>
      <c r="Y1986" s="420"/>
      <c r="Z1986" s="1"/>
      <c r="AA1986" s="1"/>
      <c r="AB1986" s="1"/>
      <c r="AC1986" s="1"/>
      <c r="AD1986" s="1"/>
    </row>
    <row r="1987" spans="17:30">
      <c r="Q1987" s="6">
        <v>1957</v>
      </c>
      <c r="R1987" s="7">
        <v>44624</v>
      </c>
      <c r="S1987" s="210">
        <v>4.25</v>
      </c>
      <c r="T1987" s="8">
        <v>1.0001180555555556</v>
      </c>
      <c r="U1987" s="98">
        <v>4.1113057618083815</v>
      </c>
      <c r="V1987" s="106">
        <v>30892.641996631846</v>
      </c>
      <c r="W1987" s="10">
        <v>0.99638266874357839</v>
      </c>
      <c r="X1987" s="420"/>
      <c r="Y1987" s="420"/>
      <c r="Z1987" s="1"/>
      <c r="AA1987" s="1"/>
      <c r="AB1987" s="1"/>
      <c r="AC1987" s="1"/>
      <c r="AD1987" s="1"/>
    </row>
    <row r="1988" spans="17:30">
      <c r="Q1988" s="6">
        <v>1958</v>
      </c>
      <c r="R1988" s="7">
        <v>44625</v>
      </c>
      <c r="S1988" s="210">
        <v>4.25</v>
      </c>
      <c r="T1988" s="8">
        <v>1.0001180555555556</v>
      </c>
      <c r="U1988" s="98">
        <v>4.1114545031476046</v>
      </c>
      <c r="V1988" s="106">
        <v>30895.39694896846</v>
      </c>
      <c r="W1988" s="10">
        <v>0.99641488662209898</v>
      </c>
      <c r="X1988" s="420"/>
      <c r="Y1988" s="420"/>
      <c r="Z1988" s="1"/>
      <c r="AA1988" s="1"/>
      <c r="AB1988" s="1"/>
      <c r="AC1988" s="1"/>
      <c r="AD1988" s="1"/>
    </row>
    <row r="1989" spans="17:30">
      <c r="Q1989" s="6">
        <v>1959</v>
      </c>
      <c r="R1989" s="7">
        <v>44626</v>
      </c>
      <c r="S1989" s="210">
        <v>4.25</v>
      </c>
      <c r="T1989" s="8">
        <v>1.0001180555555556</v>
      </c>
      <c r="U1989" s="98">
        <v>4.1116030928446401</v>
      </c>
      <c r="V1989" s="106">
        <v>30898.152146986962</v>
      </c>
      <c r="W1989" s="10">
        <v>0.99644707161870016</v>
      </c>
      <c r="X1989" s="420"/>
      <c r="Y1989" s="420"/>
      <c r="Z1989" s="1"/>
      <c r="AA1989" s="1"/>
      <c r="AB1989" s="1"/>
      <c r="AC1989" s="1"/>
      <c r="AD1989" s="1"/>
    </row>
    <row r="1990" spans="17:30">
      <c r="Q1990" s="6">
        <v>1960</v>
      </c>
      <c r="R1990" s="7">
        <v>44627</v>
      </c>
      <c r="S1990" s="210">
        <v>4.25</v>
      </c>
      <c r="T1990" s="8">
        <v>1.0001180555555556</v>
      </c>
      <c r="U1990" s="98">
        <v>4.1117515311312802</v>
      </c>
      <c r="V1990" s="106">
        <v>30900.907590709245</v>
      </c>
      <c r="W1990" s="10">
        <v>0.99647922378371945</v>
      </c>
      <c r="X1990" s="420"/>
      <c r="Y1990" s="420"/>
      <c r="Z1990" s="1"/>
      <c r="AA1990" s="1"/>
      <c r="AB1990" s="1"/>
      <c r="AC1990" s="1"/>
      <c r="AD1990" s="1"/>
    </row>
    <row r="1991" spans="17:30">
      <c r="Q1991" s="6">
        <v>1961</v>
      </c>
      <c r="R1991" s="7">
        <v>44628</v>
      </c>
      <c r="S1991" s="210">
        <v>4.25</v>
      </c>
      <c r="T1991" s="8">
        <v>1.0001180555555556</v>
      </c>
      <c r="U1991" s="98">
        <v>4.1118998182388511</v>
      </c>
      <c r="V1991" s="106">
        <v>30903.66328015723</v>
      </c>
      <c r="W1991" s="10">
        <v>0.99651134316736112</v>
      </c>
      <c r="X1991" s="420"/>
      <c r="Y1991" s="420"/>
      <c r="Z1991" s="1"/>
      <c r="AA1991" s="1"/>
      <c r="AB1991" s="1"/>
      <c r="AC1991" s="1"/>
      <c r="AD1991" s="1"/>
    </row>
    <row r="1992" spans="17:30">
      <c r="Q1992" s="6">
        <v>1962</v>
      </c>
      <c r="R1992" s="7">
        <v>44629</v>
      </c>
      <c r="S1992" s="210">
        <v>4.25</v>
      </c>
      <c r="T1992" s="8">
        <v>1.0001180555555556</v>
      </c>
      <c r="U1992" s="98">
        <v>4.1120479543981681</v>
      </c>
      <c r="V1992" s="106">
        <v>30906.419215352838</v>
      </c>
      <c r="W1992" s="10">
        <v>0.99654342981971844</v>
      </c>
      <c r="X1992" s="420"/>
      <c r="Y1992" s="420"/>
      <c r="Z1992" s="1"/>
      <c r="AA1992" s="1"/>
      <c r="AB1992" s="1"/>
      <c r="AC1992" s="1"/>
      <c r="AD1992" s="1"/>
    </row>
    <row r="1993" spans="17:30">
      <c r="Q1993" s="6">
        <v>1963</v>
      </c>
      <c r="R1993" s="7">
        <v>44630</v>
      </c>
      <c r="S1993" s="210">
        <v>4.25</v>
      </c>
      <c r="T1993" s="8">
        <v>1.0001180555555556</v>
      </c>
      <c r="U1993" s="98">
        <v>4.1121959398396024</v>
      </c>
      <c r="V1993" s="106">
        <v>30908.908658385961</v>
      </c>
      <c r="W1993" s="10">
        <v>0.99673754489602029</v>
      </c>
      <c r="X1993" s="420"/>
      <c r="Y1993" s="420"/>
      <c r="Z1993" s="1"/>
      <c r="AA1993" s="1"/>
      <c r="AB1993" s="1"/>
      <c r="AC1993" s="1"/>
      <c r="AD1993" s="1"/>
    </row>
    <row r="1994" spans="17:30">
      <c r="Q1994" s="6">
        <v>1964</v>
      </c>
      <c r="R1994" s="7">
        <v>44631</v>
      </c>
      <c r="S1994" s="210">
        <v>4.25</v>
      </c>
      <c r="T1994" s="8">
        <v>1.0001180555555556</v>
      </c>
      <c r="U1994" s="98">
        <v>4.1123437747930591</v>
      </c>
      <c r="V1994" s="106">
        <v>30911.398301938163</v>
      </c>
      <c r="W1994" s="10">
        <v>0.99693146267165744</v>
      </c>
      <c r="X1994" s="420"/>
      <c r="Y1994" s="420"/>
      <c r="Z1994" s="1"/>
      <c r="AA1994" s="1"/>
      <c r="AB1994" s="1"/>
      <c r="AC1994" s="1"/>
      <c r="AD1994" s="1"/>
    </row>
    <row r="1995" spans="17:30">
      <c r="Q1995" s="6">
        <v>1965</v>
      </c>
      <c r="R1995" s="7">
        <v>44632</v>
      </c>
      <c r="S1995" s="210">
        <v>4.25</v>
      </c>
      <c r="T1995" s="8">
        <v>1.0001180555555556</v>
      </c>
      <c r="U1995" s="98">
        <v>4.1124914594879769</v>
      </c>
      <c r="V1995" s="106">
        <v>30913.888146025591</v>
      </c>
      <c r="W1995" s="10">
        <v>0.9971251834472783</v>
      </c>
      <c r="X1995" s="420"/>
      <c r="Y1995" s="420"/>
      <c r="Z1995" s="1"/>
      <c r="AA1995" s="1"/>
      <c r="AB1995" s="1"/>
      <c r="AC1995" s="1"/>
      <c r="AD1995" s="1"/>
    </row>
    <row r="1996" spans="17:30">
      <c r="Q1996" s="6">
        <v>1966</v>
      </c>
      <c r="R1996" s="7">
        <v>44633</v>
      </c>
      <c r="S1996" s="210">
        <v>4.25</v>
      </c>
      <c r="T1996" s="8">
        <v>1.0001180555555556</v>
      </c>
      <c r="U1996" s="98">
        <v>4.1126389941533059</v>
      </c>
      <c r="V1996" s="106">
        <v>30916.378190664393</v>
      </c>
      <c r="W1996" s="10">
        <v>0.99731870752290952</v>
      </c>
      <c r="X1996" s="420"/>
      <c r="Y1996" s="420"/>
      <c r="Z1996" s="1"/>
      <c r="AA1996" s="1"/>
      <c r="AB1996" s="1"/>
      <c r="AC1996" s="1"/>
      <c r="AD1996" s="1"/>
    </row>
    <row r="1997" spans="17:30">
      <c r="Q1997" s="6">
        <v>1967</v>
      </c>
      <c r="R1997" s="7">
        <v>44634</v>
      </c>
      <c r="S1997" s="210">
        <v>4.25</v>
      </c>
      <c r="T1997" s="8">
        <v>1.0001180555555556</v>
      </c>
      <c r="U1997" s="98">
        <v>4.1127863790175523</v>
      </c>
      <c r="V1997" s="106">
        <v>30918.868435870732</v>
      </c>
      <c r="W1997" s="10">
        <v>0.99751203519800047</v>
      </c>
      <c r="X1997" s="420"/>
      <c r="Y1997" s="420"/>
      <c r="Z1997" s="1"/>
      <c r="AA1997" s="1"/>
      <c r="AB1997" s="1"/>
      <c r="AC1997" s="1"/>
      <c r="AD1997" s="1"/>
    </row>
    <row r="1998" spans="17:30">
      <c r="Q1998" s="6">
        <v>1968</v>
      </c>
      <c r="R1998" s="7">
        <v>44635</v>
      </c>
      <c r="S1998" s="210">
        <v>4.25</v>
      </c>
      <c r="T1998" s="8">
        <v>1.0001180555555556</v>
      </c>
      <c r="U1998" s="98">
        <v>4.1129336143087558</v>
      </c>
      <c r="V1998" s="106">
        <v>30921.358881660759</v>
      </c>
      <c r="W1998" s="10">
        <v>0.99770516677137877</v>
      </c>
      <c r="X1998" s="420"/>
      <c r="Y1998" s="420"/>
      <c r="Z1998" s="1"/>
      <c r="AA1998" s="1"/>
      <c r="AB1998" s="1"/>
      <c r="AC1998" s="1"/>
      <c r="AD1998" s="1"/>
    </row>
    <row r="1999" spans="17:30">
      <c r="Q1999" s="6">
        <v>1969</v>
      </c>
      <c r="R1999" s="7">
        <v>44636</v>
      </c>
      <c r="S1999" s="210">
        <v>4.25</v>
      </c>
      <c r="T1999" s="8">
        <v>1.0001180555555556</v>
      </c>
      <c r="U1999" s="98">
        <v>4.11308070025449</v>
      </c>
      <c r="V1999" s="106">
        <v>30923.849528050636</v>
      </c>
      <c r="W1999" s="10">
        <v>0.99789810254125033</v>
      </c>
      <c r="X1999" s="420"/>
      <c r="Y1999" s="420"/>
      <c r="Z1999" s="1"/>
      <c r="AA1999" s="1"/>
      <c r="AB1999" s="1"/>
      <c r="AC1999" s="1"/>
      <c r="AD1999" s="1"/>
    </row>
    <row r="2000" spans="17:30">
      <c r="Q2000" s="6">
        <v>1970</v>
      </c>
      <c r="R2000" s="7">
        <v>44637</v>
      </c>
      <c r="S2000" s="210">
        <v>4.25</v>
      </c>
      <c r="T2000" s="8">
        <v>1.0001180555555556</v>
      </c>
      <c r="U2000" s="98">
        <v>4.1132276370818843</v>
      </c>
      <c r="V2000" s="106">
        <v>30926.340375056519</v>
      </c>
      <c r="W2000" s="10">
        <v>0.99809084280526594</v>
      </c>
      <c r="X2000" s="420"/>
      <c r="Y2000" s="420"/>
      <c r="Z2000" s="1"/>
      <c r="AA2000" s="1"/>
      <c r="AB2000" s="1"/>
      <c r="AC2000" s="1"/>
      <c r="AD2000" s="1"/>
    </row>
    <row r="2001" spans="17:30">
      <c r="Q2001" s="6">
        <v>1971</v>
      </c>
      <c r="R2001" s="7">
        <v>44638</v>
      </c>
      <c r="S2001" s="210">
        <v>4.25</v>
      </c>
      <c r="T2001" s="8">
        <v>1.0001180555555556</v>
      </c>
      <c r="U2001" s="98">
        <v>4.1133744250175797</v>
      </c>
      <c r="V2001" s="106">
        <v>30928.831422694559</v>
      </c>
      <c r="W2001" s="10">
        <v>0.99828338786043247</v>
      </c>
      <c r="X2001" s="420"/>
      <c r="Y2001" s="420"/>
      <c r="Z2001" s="1"/>
      <c r="AA2001" s="1"/>
      <c r="AB2001" s="1"/>
      <c r="AC2001" s="1"/>
      <c r="AD2001" s="1"/>
    </row>
    <row r="2002" spans="17:30">
      <c r="Q2002" s="6">
        <v>1972</v>
      </c>
      <c r="R2002" s="7">
        <v>44639</v>
      </c>
      <c r="S2002" s="210">
        <v>4.25</v>
      </c>
      <c r="T2002" s="8">
        <v>1.0001180555555556</v>
      </c>
      <c r="U2002" s="98">
        <v>4.1135210642877507</v>
      </c>
      <c r="V2002" s="106">
        <v>30931.322670980917</v>
      </c>
      <c r="W2002" s="10">
        <v>0.99847573800313505</v>
      </c>
      <c r="X2002" s="420"/>
      <c r="Y2002" s="420"/>
      <c r="Z2002" s="1"/>
      <c r="AA2002" s="1"/>
      <c r="AB2002" s="1"/>
      <c r="AC2002" s="1"/>
      <c r="AD2002" s="1"/>
    </row>
    <row r="2003" spans="17:30">
      <c r="Q2003" s="6">
        <v>1973</v>
      </c>
      <c r="R2003" s="7">
        <v>44640</v>
      </c>
      <c r="S2003" s="210">
        <v>4.25</v>
      </c>
      <c r="T2003" s="8">
        <v>1.0001180555555556</v>
      </c>
      <c r="U2003" s="98">
        <v>4.1136675551181723</v>
      </c>
      <c r="V2003" s="106">
        <v>30933.814119931769</v>
      </c>
      <c r="W2003" s="10">
        <v>0.99866789352922591</v>
      </c>
      <c r="X2003" s="420"/>
      <c r="Y2003" s="420"/>
      <c r="Z2003" s="1"/>
      <c r="AA2003" s="1"/>
      <c r="AB2003" s="1"/>
      <c r="AC2003" s="1"/>
      <c r="AD2003" s="1"/>
    </row>
    <row r="2004" spans="17:30">
      <c r="Q2004" s="6">
        <v>1974</v>
      </c>
      <c r="R2004" s="7">
        <v>44641</v>
      </c>
      <c r="S2004" s="210">
        <v>4.25</v>
      </c>
      <c r="T2004" s="8">
        <v>1.0001180555555556</v>
      </c>
      <c r="U2004" s="98">
        <v>4.1138138977340866</v>
      </c>
      <c r="V2004" s="106">
        <v>30936.305769563263</v>
      </c>
      <c r="W2004" s="10">
        <v>0.99885985473386896</v>
      </c>
      <c r="X2004" s="420"/>
      <c r="Y2004" s="420"/>
      <c r="Z2004" s="1"/>
      <c r="AA2004" s="1"/>
      <c r="AB2004" s="1"/>
      <c r="AC2004" s="1"/>
      <c r="AD2004" s="1"/>
    </row>
    <row r="2005" spans="17:30">
      <c r="Q2005" s="6">
        <v>1975</v>
      </c>
      <c r="R2005" s="7">
        <v>44642</v>
      </c>
      <c r="S2005" s="210">
        <v>4.25</v>
      </c>
      <c r="T2005" s="8">
        <v>1.0001180555555556</v>
      </c>
      <c r="U2005" s="98">
        <v>4.1139600923603359</v>
      </c>
      <c r="V2005" s="106">
        <v>30938.797619891571</v>
      </c>
      <c r="W2005" s="10">
        <v>0.99905162191173957</v>
      </c>
      <c r="X2005" s="420"/>
      <c r="Y2005" s="420"/>
      <c r="Z2005" s="1"/>
      <c r="AA2005" s="1"/>
      <c r="AB2005" s="1"/>
      <c r="AC2005" s="1"/>
      <c r="AD2005" s="1"/>
    </row>
    <row r="2006" spans="17:30">
      <c r="Q2006" s="6">
        <v>1976</v>
      </c>
      <c r="R2006" s="7">
        <v>44643</v>
      </c>
      <c r="S2006" s="210">
        <v>4.25</v>
      </c>
      <c r="T2006" s="8">
        <v>1.0001180555555556</v>
      </c>
      <c r="U2006" s="98">
        <v>4.1141061392212963</v>
      </c>
      <c r="V2006" s="106">
        <v>30941.289670932856</v>
      </c>
      <c r="W2006" s="10">
        <v>0.99924319535682482</v>
      </c>
      <c r="X2006" s="420"/>
      <c r="Y2006" s="420"/>
      <c r="Z2006" s="1"/>
      <c r="AA2006" s="1"/>
      <c r="AB2006" s="1"/>
      <c r="AC2006" s="1"/>
      <c r="AD2006" s="1"/>
    </row>
    <row r="2007" spans="17:30">
      <c r="Q2007" s="6">
        <v>1977</v>
      </c>
      <c r="R2007" s="7">
        <v>44644</v>
      </c>
      <c r="S2007" s="210">
        <v>4.25</v>
      </c>
      <c r="T2007" s="8">
        <v>1.0001180555555556</v>
      </c>
      <c r="U2007" s="98">
        <v>4.1142520385408776</v>
      </c>
      <c r="V2007" s="106">
        <v>30943.781922703289</v>
      </c>
      <c r="W2007" s="10">
        <v>0.99943457536255664</v>
      </c>
      <c r="X2007" s="420"/>
      <c r="Y2007" s="420"/>
      <c r="Z2007" s="1"/>
      <c r="AA2007" s="1"/>
      <c r="AB2007" s="1"/>
      <c r="AC2007" s="1"/>
      <c r="AD2007" s="1"/>
    </row>
    <row r="2008" spans="17:30">
      <c r="Q2008" s="6">
        <v>1978</v>
      </c>
      <c r="R2008" s="7">
        <v>44645</v>
      </c>
      <c r="S2008" s="210">
        <v>4.25</v>
      </c>
      <c r="T2008" s="8">
        <v>1.0001180555555556</v>
      </c>
      <c r="U2008" s="98">
        <v>4.1143977905425455</v>
      </c>
      <c r="V2008" s="106">
        <v>30946.274375219036</v>
      </c>
      <c r="W2008" s="10">
        <v>0.99962576222178967</v>
      </c>
      <c r="X2008" s="420"/>
      <c r="Y2008" s="420"/>
      <c r="Z2008" s="1"/>
      <c r="AA2008" s="1"/>
      <c r="AB2008" s="1"/>
      <c r="AC2008" s="1"/>
      <c r="AD2008" s="1"/>
    </row>
    <row r="2009" spans="17:30">
      <c r="Q2009" s="6">
        <v>1979</v>
      </c>
      <c r="R2009" s="7">
        <v>44646</v>
      </c>
      <c r="S2009" s="210">
        <v>4.25</v>
      </c>
      <c r="T2009" s="8">
        <v>1.0001180555555556</v>
      </c>
      <c r="U2009" s="98">
        <v>4.1145433954492994</v>
      </c>
      <c r="V2009" s="106">
        <v>30948.767028496266</v>
      </c>
      <c r="W2009" s="10">
        <v>0.99981675622675681</v>
      </c>
      <c r="X2009" s="420"/>
      <c r="Y2009" s="420"/>
      <c r="Z2009" s="1"/>
      <c r="AA2009" s="1"/>
      <c r="AB2009" s="1"/>
      <c r="AC2009" s="1"/>
      <c r="AD2009" s="1"/>
    </row>
    <row r="2010" spans="17:30">
      <c r="Q2010" s="6">
        <v>1980</v>
      </c>
      <c r="R2010" s="7">
        <v>44647</v>
      </c>
      <c r="S2010" s="210">
        <v>4.25</v>
      </c>
      <c r="T2010" s="8">
        <v>1.0001180555555556</v>
      </c>
      <c r="U2010" s="98">
        <v>4.1146888534837167</v>
      </c>
      <c r="V2010" s="106">
        <v>30951.259882551145</v>
      </c>
      <c r="W2010" s="10">
        <v>1.0000075576691136</v>
      </c>
      <c r="X2010" s="420"/>
      <c r="Y2010" s="420"/>
      <c r="Z2010" s="1"/>
      <c r="AA2010" s="1"/>
      <c r="AB2010" s="1"/>
      <c r="AC2010" s="1"/>
      <c r="AD2010" s="1"/>
    </row>
    <row r="2011" spans="17:30">
      <c r="Q2011" s="6">
        <v>1981</v>
      </c>
      <c r="R2011" s="7">
        <v>44648</v>
      </c>
      <c r="S2011" s="210">
        <v>4.25</v>
      </c>
      <c r="T2011" s="8">
        <v>1.0001180555555556</v>
      </c>
      <c r="U2011" s="98">
        <v>4.1148341648679088</v>
      </c>
      <c r="V2011" s="106">
        <v>30953.752937399855</v>
      </c>
      <c r="W2011" s="10">
        <v>1.0001981668399162</v>
      </c>
      <c r="X2011" s="420"/>
      <c r="Y2011" s="420"/>
      <c r="Z2011" s="1"/>
      <c r="AA2011" s="1"/>
      <c r="AB2011" s="1"/>
      <c r="AC2011" s="1"/>
      <c r="AD2011" s="1"/>
    </row>
    <row r="2012" spans="17:30">
      <c r="Q2012" s="6">
        <v>1982</v>
      </c>
      <c r="R2012" s="7">
        <v>44649</v>
      </c>
      <c r="S2012" s="210">
        <v>4.25</v>
      </c>
      <c r="T2012" s="8">
        <v>1.0001180555555556</v>
      </c>
      <c r="U2012" s="98">
        <v>4.1149793298235204</v>
      </c>
      <c r="V2012" s="106">
        <v>30956.246193058563</v>
      </c>
      <c r="W2012" s="10">
        <v>1.0003885840296656</v>
      </c>
      <c r="X2012" s="420"/>
      <c r="Y2012" s="420"/>
      <c r="Z2012" s="1"/>
      <c r="AA2012" s="1"/>
      <c r="AB2012" s="1"/>
      <c r="AC2012" s="1"/>
      <c r="AD2012" s="1"/>
    </row>
    <row r="2013" spans="17:30">
      <c r="Q2013" s="6">
        <v>1983</v>
      </c>
      <c r="R2013" s="7">
        <v>44650</v>
      </c>
      <c r="S2013" s="210">
        <v>4.25</v>
      </c>
      <c r="T2013" s="8">
        <v>1.0001180555555556</v>
      </c>
      <c r="U2013" s="98">
        <v>4.115124348571797</v>
      </c>
      <c r="V2013" s="106">
        <v>30958.739649543437</v>
      </c>
      <c r="W2013" s="10">
        <v>1.0005788095282631</v>
      </c>
      <c r="X2013" s="420"/>
      <c r="Y2013" s="420"/>
      <c r="Z2013" s="1"/>
      <c r="AA2013" s="1"/>
      <c r="AB2013" s="1"/>
      <c r="AC2013" s="1"/>
      <c r="AD2013" s="1"/>
    </row>
    <row r="2014" spans="17:30">
      <c r="Q2014" s="6">
        <v>1984</v>
      </c>
      <c r="R2014" s="7">
        <v>44651</v>
      </c>
      <c r="S2014" s="210">
        <v>4.25</v>
      </c>
      <c r="T2014" s="8">
        <v>1.0001180555555556</v>
      </c>
      <c r="U2014" s="98">
        <v>4.1152692213335174</v>
      </c>
      <c r="V2014" s="106">
        <v>30961.233306870672</v>
      </c>
      <c r="W2014" s="10">
        <v>1.0007688436250328</v>
      </c>
      <c r="X2014" s="420"/>
      <c r="Y2014" s="420"/>
      <c r="Z2014" s="1"/>
      <c r="AA2014" s="1"/>
      <c r="AB2014" s="1"/>
      <c r="AC2014" s="1"/>
      <c r="AD2014" s="1"/>
    </row>
    <row r="2015" spans="17:30">
      <c r="Q2015" s="6">
        <v>1985</v>
      </c>
      <c r="R2015" s="7">
        <v>44652</v>
      </c>
      <c r="S2015" s="210">
        <v>4.25</v>
      </c>
      <c r="T2015" s="8">
        <v>1.0001180555555556</v>
      </c>
      <c r="U2015" s="98">
        <v>4.1154139483289942</v>
      </c>
      <c r="V2015" s="106">
        <v>30963.727165056433</v>
      </c>
      <c r="W2015" s="10">
        <v>1.0009586866086551</v>
      </c>
      <c r="X2015" s="420"/>
      <c r="Y2015" s="420"/>
      <c r="Z2015" s="1"/>
      <c r="AA2015" s="1"/>
      <c r="AB2015" s="1"/>
      <c r="AC2015" s="1"/>
      <c r="AD2015" s="1"/>
    </row>
    <row r="2016" spans="17:30">
      <c r="Q2016" s="6">
        <v>1986</v>
      </c>
      <c r="R2016" s="7">
        <v>44653</v>
      </c>
      <c r="S2016" s="210">
        <v>4.25</v>
      </c>
      <c r="T2016" s="8">
        <v>1.0001180555555556</v>
      </c>
      <c r="U2016" s="98">
        <v>4.1155585297781183</v>
      </c>
      <c r="V2016" s="106">
        <v>30966.221224116896</v>
      </c>
      <c r="W2016" s="10">
        <v>1.0011483387673437</v>
      </c>
      <c r="X2016" s="420"/>
      <c r="Y2016" s="420"/>
      <c r="Z2016" s="1"/>
      <c r="AA2016" s="1"/>
      <c r="AB2016" s="1"/>
      <c r="AC2016" s="1"/>
      <c r="AD2016" s="1"/>
    </row>
    <row r="2017" spans="17:30">
      <c r="Q2017" s="6">
        <v>1987</v>
      </c>
      <c r="R2017" s="7">
        <v>44654</v>
      </c>
      <c r="S2017" s="210">
        <v>4.25</v>
      </c>
      <c r="T2017" s="8">
        <v>1.0001180555555556</v>
      </c>
      <c r="U2017" s="98">
        <v>4.1157029659003364</v>
      </c>
      <c r="V2017" s="106">
        <v>30968.715484068249</v>
      </c>
      <c r="W2017" s="10">
        <v>1.0013378003886464</v>
      </c>
      <c r="X2017" s="420"/>
      <c r="Y2017" s="420"/>
      <c r="Z2017" s="1"/>
      <c r="AA2017" s="1"/>
      <c r="AB2017" s="1"/>
      <c r="AC2017" s="1"/>
      <c r="AD2017" s="1"/>
    </row>
    <row r="2018" spans="17:30">
      <c r="Q2018" s="6">
        <v>1988</v>
      </c>
      <c r="R2018" s="7">
        <v>44655</v>
      </c>
      <c r="S2018" s="210">
        <v>4.25</v>
      </c>
      <c r="T2018" s="8">
        <v>1.0001180555555556</v>
      </c>
      <c r="U2018" s="98">
        <v>4.1158472569146509</v>
      </c>
      <c r="V2018" s="106">
        <v>30971.209944926668</v>
      </c>
      <c r="W2018" s="10">
        <v>1.0015270717595559</v>
      </c>
      <c r="X2018" s="420"/>
      <c r="Y2018" s="420"/>
      <c r="Z2018" s="1"/>
      <c r="AA2018" s="1"/>
      <c r="AB2018" s="1"/>
      <c r="AC2018" s="1"/>
      <c r="AD2018" s="1"/>
    </row>
    <row r="2019" spans="17:30">
      <c r="Q2019" s="6">
        <v>1989</v>
      </c>
      <c r="R2019" s="7">
        <v>44656</v>
      </c>
      <c r="S2019" s="210">
        <v>4.25</v>
      </c>
      <c r="T2019" s="8">
        <v>1.0001180555555556</v>
      </c>
      <c r="U2019" s="98">
        <v>4.1159914030396427</v>
      </c>
      <c r="V2019" s="106">
        <v>30973.704606708339</v>
      </c>
      <c r="W2019" s="10">
        <v>1.0017161531664875</v>
      </c>
      <c r="X2019" s="420"/>
      <c r="Y2019" s="420"/>
      <c r="Z2019" s="1"/>
      <c r="AA2019" s="1"/>
      <c r="AB2019" s="1"/>
      <c r="AC2019" s="1"/>
      <c r="AD2019" s="1"/>
    </row>
    <row r="2020" spans="17:30">
      <c r="Q2020" s="6">
        <v>1990</v>
      </c>
      <c r="R2020" s="7">
        <v>44657</v>
      </c>
      <c r="S2020" s="210">
        <v>4.25</v>
      </c>
      <c r="T2020" s="8">
        <v>1.0001180555555556</v>
      </c>
      <c r="U2020" s="98">
        <v>4.1161354044934262</v>
      </c>
      <c r="V2020" s="106">
        <v>30976.199469429444</v>
      </c>
      <c r="W2020" s="10">
        <v>1.0019050448953237</v>
      </c>
      <c r="X2020" s="420"/>
      <c r="Y2020" s="420"/>
      <c r="Z2020" s="1"/>
      <c r="AA2020" s="1"/>
      <c r="AB2020" s="1"/>
      <c r="AC2020" s="1"/>
      <c r="AD2020" s="1"/>
    </row>
    <row r="2021" spans="17:30">
      <c r="Q2021" s="6">
        <v>1991</v>
      </c>
      <c r="R2021" s="7">
        <v>44658</v>
      </c>
      <c r="S2021" s="210">
        <v>4.25</v>
      </c>
      <c r="T2021" s="8">
        <v>1.0001180555555556</v>
      </c>
      <c r="U2021" s="98">
        <v>4.1162792614936716</v>
      </c>
      <c r="V2021" s="106">
        <v>30978.694533106165</v>
      </c>
      <c r="W2021" s="10">
        <v>1.0020937472312808</v>
      </c>
      <c r="X2021" s="420"/>
      <c r="Y2021" s="420"/>
      <c r="Z2021" s="1"/>
      <c r="AA2021" s="1"/>
      <c r="AB2021" s="1"/>
      <c r="AC2021" s="1"/>
      <c r="AD2021" s="1"/>
    </row>
    <row r="2022" spans="17:30">
      <c r="Q2022" s="6">
        <v>1992</v>
      </c>
      <c r="R2022" s="7">
        <v>44659</v>
      </c>
      <c r="S2022" s="210">
        <v>4.25</v>
      </c>
      <c r="T2022" s="8">
        <v>1.0001180555555556</v>
      </c>
      <c r="U2022" s="98">
        <v>4.1164229742576497</v>
      </c>
      <c r="V2022" s="106">
        <v>30981.189797754694</v>
      </c>
      <c r="W2022" s="10">
        <v>1.0022822604590864</v>
      </c>
      <c r="X2022" s="420"/>
      <c r="Y2022" s="420"/>
      <c r="Z2022" s="1"/>
      <c r="AA2022" s="1"/>
      <c r="AB2022" s="1"/>
      <c r="AC2022" s="1"/>
      <c r="AD2022" s="1"/>
    </row>
    <row r="2023" spans="17:30">
      <c r="Q2023" s="6">
        <v>1993</v>
      </c>
      <c r="R2023" s="7">
        <v>44660</v>
      </c>
      <c r="S2023" s="210">
        <v>4.25</v>
      </c>
      <c r="T2023" s="8">
        <v>1.0001180555555556</v>
      </c>
      <c r="U2023" s="98">
        <v>4.1165665430021647</v>
      </c>
      <c r="V2023" s="106">
        <v>30983.68526339122</v>
      </c>
      <c r="W2023" s="10">
        <v>1.0024705848628468</v>
      </c>
      <c r="X2023" s="420"/>
      <c r="Y2023" s="420"/>
      <c r="Z2023" s="1"/>
      <c r="AA2023" s="1"/>
      <c r="AB2023" s="1"/>
      <c r="AC2023" s="1"/>
      <c r="AD2023" s="1"/>
    </row>
    <row r="2024" spans="17:30">
      <c r="Q2024" s="6">
        <v>1994</v>
      </c>
      <c r="R2024" s="7">
        <v>44661</v>
      </c>
      <c r="S2024" s="210">
        <v>4.25</v>
      </c>
      <c r="T2024" s="8">
        <v>1.0001180555555556</v>
      </c>
      <c r="U2024" s="98">
        <v>4.1167099679436214</v>
      </c>
      <c r="V2024" s="106">
        <v>30986.264122381875</v>
      </c>
      <c r="W2024" s="10">
        <v>1.0026090826242617</v>
      </c>
      <c r="X2024" s="420"/>
      <c r="Y2024" s="420"/>
      <c r="Z2024" s="1"/>
      <c r="AA2024" s="1"/>
      <c r="AB2024" s="1"/>
      <c r="AC2024" s="1"/>
      <c r="AD2024" s="1"/>
    </row>
    <row r="2025" spans="17:30">
      <c r="Q2025" s="6">
        <v>1995</v>
      </c>
      <c r="R2025" s="7">
        <v>44662</v>
      </c>
      <c r="S2025" s="210">
        <v>4.25</v>
      </c>
      <c r="T2025" s="8">
        <v>1.0001180555555556</v>
      </c>
      <c r="U2025" s="98">
        <v>4.1168532492979359</v>
      </c>
      <c r="V2025" s="106">
        <v>30988.843196018199</v>
      </c>
      <c r="W2025" s="10">
        <v>1.0027474417304116</v>
      </c>
      <c r="X2025" s="420"/>
      <c r="Y2025" s="420"/>
      <c r="Z2025" s="1"/>
      <c r="AA2025" s="1"/>
      <c r="AB2025" s="1"/>
      <c r="AC2025" s="1"/>
      <c r="AD2025" s="1"/>
    </row>
    <row r="2026" spans="17:30">
      <c r="Q2026" s="6">
        <v>1996</v>
      </c>
      <c r="R2026" s="7">
        <v>44663</v>
      </c>
      <c r="S2026" s="210">
        <v>4.25</v>
      </c>
      <c r="T2026" s="8">
        <v>1.0001180555555556</v>
      </c>
      <c r="U2026" s="98">
        <v>4.116996387280647</v>
      </c>
      <c r="V2026" s="106">
        <v>30991.422484318053</v>
      </c>
      <c r="W2026" s="10">
        <v>1.0028856623894189</v>
      </c>
      <c r="X2026" s="420"/>
      <c r="Y2026" s="420"/>
      <c r="Z2026" s="1"/>
      <c r="AA2026" s="1"/>
      <c r="AB2026" s="1"/>
      <c r="AC2026" s="1"/>
      <c r="AD2026" s="1"/>
    </row>
    <row r="2027" spans="17:30">
      <c r="Q2027" s="6">
        <v>1997</v>
      </c>
      <c r="R2027" s="7">
        <v>44664</v>
      </c>
      <c r="S2027" s="210">
        <v>4.25</v>
      </c>
      <c r="T2027" s="8">
        <v>1.0001180555555556</v>
      </c>
      <c r="U2027" s="98">
        <v>4.1171393821068492</v>
      </c>
      <c r="V2027" s="106">
        <v>30994.0019872993</v>
      </c>
      <c r="W2027" s="10">
        <v>1.0030237448090285</v>
      </c>
      <c r="X2027" s="420"/>
      <c r="Y2027" s="420"/>
      <c r="Z2027" s="1"/>
      <c r="AA2027" s="1"/>
      <c r="AB2027" s="1"/>
      <c r="AC2027" s="1"/>
      <c r="AD2027" s="1"/>
    </row>
    <row r="2028" spans="17:30">
      <c r="Q2028" s="6">
        <v>1998</v>
      </c>
      <c r="R2028" s="7">
        <v>44665</v>
      </c>
      <c r="S2028" s="210">
        <v>4.25</v>
      </c>
      <c r="T2028" s="8">
        <v>1.0001180555555556</v>
      </c>
      <c r="U2028" s="98">
        <v>4.1172822339911708</v>
      </c>
      <c r="V2028" s="106">
        <v>30996.58170497981</v>
      </c>
      <c r="W2028" s="10">
        <v>1.0031616891964745</v>
      </c>
      <c r="X2028" s="420"/>
      <c r="Y2028" s="420"/>
      <c r="Z2028" s="1"/>
      <c r="AA2028" s="1"/>
      <c r="AB2028" s="1"/>
      <c r="AC2028" s="1"/>
      <c r="AD2028" s="1"/>
    </row>
    <row r="2029" spans="17:30">
      <c r="Q2029" s="6">
        <v>1999</v>
      </c>
      <c r="R2029" s="7">
        <v>44666</v>
      </c>
      <c r="S2029" s="210">
        <v>4.25</v>
      </c>
      <c r="T2029" s="8">
        <v>1.0001180555555556</v>
      </c>
      <c r="U2029" s="98">
        <v>4.1174249431478405</v>
      </c>
      <c r="V2029" s="106">
        <v>30999.161637377456</v>
      </c>
      <c r="W2029" s="10">
        <v>1.0032994957586139</v>
      </c>
      <c r="X2029" s="420"/>
      <c r="Y2029" s="420"/>
      <c r="Z2029" s="1"/>
      <c r="AA2029" s="1"/>
      <c r="AB2029" s="1"/>
      <c r="AC2029" s="1"/>
      <c r="AD2029" s="1"/>
    </row>
    <row r="2030" spans="17:30">
      <c r="Q2030" s="6">
        <v>2000</v>
      </c>
      <c r="R2030" s="7">
        <v>44667</v>
      </c>
      <c r="S2030" s="210">
        <v>4.25</v>
      </c>
      <c r="T2030" s="8">
        <v>1.0001180555555556</v>
      </c>
      <c r="U2030" s="98">
        <v>4.117567509790665</v>
      </c>
      <c r="V2030" s="106">
        <v>31001.741784510112</v>
      </c>
      <c r="W2030" s="10">
        <v>1.003437164701948</v>
      </c>
      <c r="X2030" s="420"/>
      <c r="Y2030" s="420"/>
      <c r="Z2030" s="1"/>
      <c r="AA2030" s="1"/>
      <c r="AB2030" s="1"/>
      <c r="AC2030" s="1"/>
      <c r="AD2030" s="1"/>
    </row>
    <row r="2031" spans="17:30">
      <c r="Q2031" s="6">
        <v>2001</v>
      </c>
      <c r="R2031" s="7">
        <v>44668</v>
      </c>
      <c r="S2031" s="210">
        <v>4.25</v>
      </c>
      <c r="T2031" s="8">
        <v>1.0001180555555556</v>
      </c>
      <c r="U2031" s="98">
        <v>4.1177099341330292</v>
      </c>
      <c r="V2031" s="106">
        <v>31004.322146395647</v>
      </c>
      <c r="W2031" s="10">
        <v>1.0035746962325121</v>
      </c>
      <c r="X2031" s="420"/>
      <c r="Y2031" s="420"/>
      <c r="Z2031" s="1"/>
      <c r="AA2031" s="1"/>
      <c r="AB2031" s="1"/>
      <c r="AC2031" s="1"/>
      <c r="AD2031" s="1"/>
    </row>
    <row r="2032" spans="17:30">
      <c r="Q2032" s="6">
        <v>2002</v>
      </c>
      <c r="R2032" s="7">
        <v>44669</v>
      </c>
      <c r="S2032" s="210">
        <v>4.25</v>
      </c>
      <c r="T2032" s="8">
        <v>1.0001180555555556</v>
      </c>
      <c r="U2032" s="98">
        <v>4.1178522163878517</v>
      </c>
      <c r="V2032" s="106">
        <v>31006.902723051935</v>
      </c>
      <c r="W2032" s="10">
        <v>1.0037120905559194</v>
      </c>
      <c r="X2032" s="420"/>
      <c r="Y2032" s="420"/>
      <c r="Z2032" s="1"/>
      <c r="AA2032" s="1"/>
      <c r="AB2032" s="1"/>
      <c r="AC2032" s="1"/>
      <c r="AD2032" s="1"/>
    </row>
    <row r="2033" spans="17:30">
      <c r="Q2033" s="6">
        <v>2003</v>
      </c>
      <c r="R2033" s="7">
        <v>44670</v>
      </c>
      <c r="S2033" s="210">
        <v>4.25</v>
      </c>
      <c r="T2033" s="8">
        <v>1.0001180555555556</v>
      </c>
      <c r="U2033" s="98">
        <v>4.1179943567676736</v>
      </c>
      <c r="V2033" s="106">
        <v>31009.483514496849</v>
      </c>
      <c r="W2033" s="10">
        <v>1.0038493478774058</v>
      </c>
      <c r="X2033" s="420"/>
      <c r="Y2033" s="420"/>
      <c r="Z2033" s="1"/>
      <c r="AA2033" s="1"/>
      <c r="AB2033" s="1"/>
      <c r="AC2033" s="1"/>
      <c r="AD2033" s="1"/>
    </row>
    <row r="2034" spans="17:30">
      <c r="Q2034" s="6">
        <v>2004</v>
      </c>
      <c r="R2034" s="7">
        <v>44671</v>
      </c>
      <c r="S2034" s="210">
        <v>4.25</v>
      </c>
      <c r="T2034" s="8">
        <v>1.0001180555555556</v>
      </c>
      <c r="U2034" s="98">
        <v>4.1181363554845918</v>
      </c>
      <c r="V2034" s="106">
        <v>31012.064520748278</v>
      </c>
      <c r="W2034" s="10">
        <v>1.003986468401763</v>
      </c>
      <c r="X2034" s="420"/>
      <c r="Y2034" s="420"/>
      <c r="Z2034" s="1"/>
      <c r="AA2034" s="1"/>
      <c r="AB2034" s="1"/>
      <c r="AC2034" s="1"/>
      <c r="AD2034" s="1"/>
    </row>
    <row r="2035" spans="17:30">
      <c r="Q2035" s="6">
        <v>2005</v>
      </c>
      <c r="R2035" s="7">
        <v>44672</v>
      </c>
      <c r="S2035" s="210">
        <v>4.25</v>
      </c>
      <c r="T2035" s="8">
        <v>1.0001180555555556</v>
      </c>
      <c r="U2035" s="98">
        <v>4.1182782127502815</v>
      </c>
      <c r="V2035" s="106">
        <v>31014.64574182409</v>
      </c>
      <c r="W2035" s="10">
        <v>1.0041234523334497</v>
      </c>
      <c r="X2035" s="420"/>
      <c r="Y2035" s="420"/>
      <c r="Z2035" s="1"/>
      <c r="AA2035" s="1"/>
      <c r="AB2035" s="1"/>
      <c r="AC2035" s="1"/>
      <c r="AD2035" s="1"/>
    </row>
    <row r="2036" spans="17:30">
      <c r="Q2036" s="6">
        <v>2006</v>
      </c>
      <c r="R2036" s="7">
        <v>44673</v>
      </c>
      <c r="S2036" s="210">
        <v>4.25</v>
      </c>
      <c r="T2036" s="8">
        <v>1.0001180555555556</v>
      </c>
      <c r="U2036" s="98">
        <v>4.1184199287759737</v>
      </c>
      <c r="V2036" s="106">
        <v>31017.22717774217</v>
      </c>
      <c r="W2036" s="10">
        <v>1.0042602998763916</v>
      </c>
      <c r="X2036" s="420"/>
      <c r="Y2036" s="420"/>
      <c r="Z2036" s="1"/>
      <c r="AA2036" s="1"/>
      <c r="AB2036" s="1"/>
      <c r="AC2036" s="1"/>
      <c r="AD2036" s="1"/>
    </row>
    <row r="2037" spans="17:30">
      <c r="Q2037" s="6">
        <v>2007</v>
      </c>
      <c r="R2037" s="7">
        <v>44674</v>
      </c>
      <c r="S2037" s="210">
        <v>4.25</v>
      </c>
      <c r="T2037" s="8">
        <v>1.0001180555555556</v>
      </c>
      <c r="U2037" s="98">
        <v>4.1185615037725221</v>
      </c>
      <c r="V2037" s="106">
        <v>31019.808828520399</v>
      </c>
      <c r="W2037" s="10">
        <v>1.0043970112342482</v>
      </c>
      <c r="X2037" s="420"/>
      <c r="Y2037" s="420"/>
      <c r="Z2037" s="1"/>
      <c r="AA2037" s="1"/>
      <c r="AB2037" s="1"/>
      <c r="AC2037" s="1"/>
      <c r="AD2037" s="1"/>
    </row>
    <row r="2038" spans="17:30">
      <c r="Q2038" s="6">
        <v>2008</v>
      </c>
      <c r="R2038" s="7">
        <v>44675</v>
      </c>
      <c r="S2038" s="210">
        <v>4.25</v>
      </c>
      <c r="T2038" s="8">
        <v>1.0001180555555556</v>
      </c>
      <c r="U2038" s="98">
        <v>4.1187029379503581</v>
      </c>
      <c r="V2038" s="106">
        <v>31022.390694176658</v>
      </c>
      <c r="W2038" s="10">
        <v>1.0045335866101901</v>
      </c>
      <c r="X2038" s="420"/>
      <c r="Y2038" s="420"/>
      <c r="Z2038" s="1"/>
      <c r="AA2038" s="1"/>
      <c r="AB2038" s="1"/>
      <c r="AC2038" s="1"/>
      <c r="AD2038" s="1"/>
    </row>
    <row r="2039" spans="17:30">
      <c r="Q2039" s="6">
        <v>2009</v>
      </c>
      <c r="R2039" s="7">
        <v>44676</v>
      </c>
      <c r="S2039" s="210">
        <v>4.25</v>
      </c>
      <c r="T2039" s="8">
        <v>1.0001180555555556</v>
      </c>
      <c r="U2039" s="98">
        <v>4.1188442315194473</v>
      </c>
      <c r="V2039" s="106">
        <v>31024.972774728831</v>
      </c>
      <c r="W2039" s="10">
        <v>1.0046700262069663</v>
      </c>
      <c r="X2039" s="420"/>
      <c r="Y2039" s="420"/>
      <c r="Z2039" s="1"/>
      <c r="AA2039" s="1"/>
      <c r="AB2039" s="1"/>
      <c r="AC2039" s="1"/>
      <c r="AD2039" s="1"/>
    </row>
    <row r="2040" spans="17:30">
      <c r="Q2040" s="6">
        <v>2010</v>
      </c>
      <c r="R2040" s="7">
        <v>44677</v>
      </c>
      <c r="S2040" s="210">
        <v>4.25</v>
      </c>
      <c r="T2040" s="8">
        <v>1.0001180555555556</v>
      </c>
      <c r="U2040" s="98">
        <v>4.1189853846893776</v>
      </c>
      <c r="V2040" s="106">
        <v>31027.555070194812</v>
      </c>
      <c r="W2040" s="10">
        <v>1.0048063302269927</v>
      </c>
      <c r="X2040" s="420"/>
      <c r="Y2040" s="420"/>
      <c r="Z2040" s="1"/>
      <c r="AA2040" s="1"/>
      <c r="AB2040" s="1"/>
      <c r="AC2040" s="1"/>
      <c r="AD2040" s="1"/>
    </row>
    <row r="2041" spans="17:30">
      <c r="Q2041" s="6">
        <v>2011</v>
      </c>
      <c r="R2041" s="7">
        <v>44678</v>
      </c>
      <c r="S2041" s="210">
        <v>4.25</v>
      </c>
      <c r="T2041" s="8">
        <v>1.0001180555555556</v>
      </c>
      <c r="U2041" s="98">
        <v>4.1191263976693149</v>
      </c>
      <c r="V2041" s="106">
        <v>31030.137580592487</v>
      </c>
      <c r="W2041" s="10">
        <v>1.0049424988722411</v>
      </c>
      <c r="X2041" s="420"/>
      <c r="Y2041" s="420"/>
      <c r="Z2041" s="1"/>
      <c r="AA2041" s="1"/>
      <c r="AB2041" s="1"/>
      <c r="AC2041" s="1"/>
      <c r="AD2041" s="1"/>
    </row>
    <row r="2042" spans="17:30">
      <c r="Q2042" s="6">
        <v>2012</v>
      </c>
      <c r="R2042" s="7">
        <v>44679</v>
      </c>
      <c r="S2042" s="210">
        <v>4.25</v>
      </c>
      <c r="T2042" s="8">
        <v>1.0001180555555556</v>
      </c>
      <c r="U2042" s="98">
        <v>4.1192672706679812</v>
      </c>
      <c r="V2042" s="106">
        <v>31032.720305939736</v>
      </c>
      <c r="W2042" s="10">
        <v>1.0050785323442835</v>
      </c>
      <c r="X2042" s="420"/>
      <c r="Y2042" s="420"/>
      <c r="Z2042" s="1"/>
      <c r="AA2042" s="1"/>
      <c r="AB2042" s="1"/>
      <c r="AC2042" s="1"/>
      <c r="AD2042" s="1"/>
    </row>
    <row r="2043" spans="17:30">
      <c r="Q2043" s="6">
        <v>2013</v>
      </c>
      <c r="R2043" s="7">
        <v>44680</v>
      </c>
      <c r="S2043" s="210">
        <v>4.25</v>
      </c>
      <c r="T2043" s="8">
        <v>1.0001180555555556</v>
      </c>
      <c r="U2043" s="98">
        <v>4.1194080038937209</v>
      </c>
      <c r="V2043" s="106">
        <v>31035.303246254465</v>
      </c>
      <c r="W2043" s="10">
        <v>1.0052144308442701</v>
      </c>
      <c r="X2043" s="420"/>
      <c r="Y2043" s="420"/>
      <c r="Z2043" s="1"/>
      <c r="AA2043" s="1"/>
      <c r="AB2043" s="1"/>
      <c r="AC2043" s="1"/>
      <c r="AD2043" s="1"/>
    </row>
    <row r="2044" spans="17:30">
      <c r="Q2044" s="6">
        <v>2014</v>
      </c>
      <c r="R2044" s="7">
        <v>44681</v>
      </c>
      <c r="S2044" s="210">
        <v>4.25</v>
      </c>
      <c r="T2044" s="8">
        <v>1.0001180555555556</v>
      </c>
      <c r="U2044" s="98">
        <v>4.1195485975544788</v>
      </c>
      <c r="V2044" s="106">
        <v>31037.886401554555</v>
      </c>
      <c r="W2044" s="10">
        <v>1.0053501945730403</v>
      </c>
      <c r="X2044" s="420"/>
      <c r="Y2044" s="420"/>
      <c r="Z2044" s="1"/>
      <c r="AA2044" s="1"/>
      <c r="AB2044" s="1"/>
      <c r="AC2044" s="1"/>
      <c r="AD2044" s="1"/>
    </row>
    <row r="2045" spans="17:30">
      <c r="Q2045" s="6">
        <v>2015</v>
      </c>
      <c r="R2045" s="7">
        <v>44682</v>
      </c>
      <c r="S2045" s="210">
        <v>4.25</v>
      </c>
      <c r="T2045" s="8">
        <v>1.0001180555555556</v>
      </c>
      <c r="U2045" s="98">
        <v>4.1196890518577334</v>
      </c>
      <c r="V2045" s="106">
        <v>31040.469771857894</v>
      </c>
      <c r="W2045" s="10">
        <v>1.0054858237309228</v>
      </c>
      <c r="X2045" s="420"/>
      <c r="Y2045" s="420"/>
      <c r="Z2045" s="1"/>
      <c r="AA2045" s="1"/>
      <c r="AB2045" s="1"/>
      <c r="AC2045" s="1"/>
      <c r="AD2045" s="1"/>
    </row>
    <row r="2046" spans="17:30">
      <c r="Q2046" s="6">
        <v>2016</v>
      </c>
      <c r="R2046" s="7">
        <v>44683</v>
      </c>
      <c r="S2046" s="210">
        <v>4.25</v>
      </c>
      <c r="T2046" s="8">
        <v>1.0001180555555556</v>
      </c>
      <c r="U2046" s="98">
        <v>4.1198293670105857</v>
      </c>
      <c r="V2046" s="106">
        <v>31043.053357182394</v>
      </c>
      <c r="W2046" s="10">
        <v>1.005621318517913</v>
      </c>
      <c r="X2046" s="420"/>
      <c r="Y2046" s="420"/>
      <c r="Z2046" s="1"/>
      <c r="AA2046" s="1"/>
      <c r="AB2046" s="1"/>
      <c r="AC2046" s="1"/>
      <c r="AD2046" s="1"/>
    </row>
    <row r="2047" spans="17:30">
      <c r="Q2047" s="6">
        <v>2017</v>
      </c>
      <c r="R2047" s="7">
        <v>44684</v>
      </c>
      <c r="S2047" s="210">
        <v>4.25</v>
      </c>
      <c r="T2047" s="8">
        <v>1.0001180555555556</v>
      </c>
      <c r="U2047" s="98">
        <v>4.119969543219737</v>
      </c>
      <c r="V2047" s="106">
        <v>31045.637157545949</v>
      </c>
      <c r="W2047" s="10">
        <v>1.0057566791336292</v>
      </c>
      <c r="X2047" s="420"/>
      <c r="Y2047" s="420"/>
      <c r="Z2047" s="1"/>
      <c r="AA2047" s="1"/>
      <c r="AB2047" s="1"/>
      <c r="AC2047" s="1"/>
      <c r="AD2047" s="1"/>
    </row>
    <row r="2048" spans="17:30">
      <c r="Q2048" s="6">
        <v>2018</v>
      </c>
      <c r="R2048" s="7">
        <v>44685</v>
      </c>
      <c r="S2048" s="210">
        <v>4.25</v>
      </c>
      <c r="T2048" s="8">
        <v>1.0001180555555556</v>
      </c>
      <c r="U2048" s="98">
        <v>4.1201095806914445</v>
      </c>
      <c r="V2048" s="106">
        <v>31048.221172966441</v>
      </c>
      <c r="W2048" s="10">
        <v>1.0058919057772453</v>
      </c>
      <c r="X2048" s="420"/>
      <c r="Y2048" s="420"/>
      <c r="Z2048" s="1"/>
      <c r="AA2048" s="1"/>
      <c r="AB2048" s="1"/>
      <c r="AC2048" s="1"/>
      <c r="AD2048" s="1"/>
    </row>
    <row r="2049" spans="17:30">
      <c r="Q2049" s="6">
        <v>2019</v>
      </c>
      <c r="R2049" s="7">
        <v>44686</v>
      </c>
      <c r="S2049" s="210">
        <v>4.25</v>
      </c>
      <c r="T2049" s="8">
        <v>1.0001180555555556</v>
      </c>
      <c r="U2049" s="98">
        <v>4.1202494796315881</v>
      </c>
      <c r="V2049" s="106">
        <v>31050.805403461789</v>
      </c>
      <c r="W2049" s="10">
        <v>1.0060269986475356</v>
      </c>
      <c r="X2049" s="420"/>
      <c r="Y2049" s="420"/>
      <c r="Z2049" s="1"/>
      <c r="AA2049" s="1"/>
      <c r="AB2049" s="1"/>
      <c r="AC2049" s="1"/>
      <c r="AD2049" s="1"/>
    </row>
    <row r="2050" spans="17:30">
      <c r="Q2050" s="6">
        <v>2020</v>
      </c>
      <c r="R2050" s="7">
        <v>44687</v>
      </c>
      <c r="S2050" s="210">
        <v>4.25</v>
      </c>
      <c r="T2050" s="8">
        <v>1.0001180555555556</v>
      </c>
      <c r="U2050" s="98">
        <v>4.1203892402456033</v>
      </c>
      <c r="V2050" s="106">
        <v>31053.389849049883</v>
      </c>
      <c r="W2050" s="10">
        <v>1.0061619579429193</v>
      </c>
      <c r="X2050" s="420"/>
      <c r="Y2050" s="420"/>
      <c r="Z2050" s="1"/>
      <c r="AA2050" s="1"/>
      <c r="AB2050" s="1"/>
      <c r="AC2050" s="1"/>
      <c r="AD2050" s="1"/>
    </row>
    <row r="2051" spans="17:30">
      <c r="Q2051" s="6">
        <v>2021</v>
      </c>
      <c r="R2051" s="7">
        <v>44688</v>
      </c>
      <c r="S2051" s="210">
        <v>4.25</v>
      </c>
      <c r="T2051" s="8">
        <v>1.0001180555555556</v>
      </c>
      <c r="U2051" s="98">
        <v>4.1205288627385706</v>
      </c>
      <c r="V2051" s="106">
        <v>31055.974509748627</v>
      </c>
      <c r="W2051" s="10">
        <v>1.0062967838614156</v>
      </c>
      <c r="X2051" s="420"/>
      <c r="Y2051" s="420"/>
      <c r="Z2051" s="1"/>
      <c r="AA2051" s="1"/>
      <c r="AB2051" s="1"/>
      <c r="AC2051" s="1"/>
      <c r="AD2051" s="1"/>
    </row>
    <row r="2052" spans="17:30">
      <c r="Q2052" s="6">
        <v>2022</v>
      </c>
      <c r="R2052" s="7">
        <v>44689</v>
      </c>
      <c r="S2052" s="210">
        <v>4.25</v>
      </c>
      <c r="T2052" s="8">
        <v>1.0001180555555556</v>
      </c>
      <c r="U2052" s="98">
        <v>4.1206683473151484</v>
      </c>
      <c r="V2052" s="106">
        <v>31058.559385575936</v>
      </c>
      <c r="W2052" s="10">
        <v>1.0064314766006666</v>
      </c>
      <c r="X2052" s="420"/>
      <c r="Y2052" s="420"/>
      <c r="Z2052" s="1"/>
      <c r="AA2052" s="1"/>
      <c r="AB2052" s="1"/>
      <c r="AC2052" s="1"/>
      <c r="AD2052" s="1"/>
    </row>
    <row r="2053" spans="17:30">
      <c r="Q2053" s="6">
        <v>2023</v>
      </c>
      <c r="R2053" s="7">
        <v>44690</v>
      </c>
      <c r="S2053" s="210">
        <v>4.25</v>
      </c>
      <c r="T2053" s="8">
        <v>1.0001180555555556</v>
      </c>
      <c r="U2053" s="98">
        <v>4.1208076941795513</v>
      </c>
      <c r="V2053" s="106">
        <v>31061.144476549696</v>
      </c>
      <c r="W2053" s="10">
        <v>1.0065660363578699</v>
      </c>
      <c r="X2053" s="420"/>
      <c r="Y2053" s="420"/>
      <c r="Z2053" s="1"/>
      <c r="AA2053" s="1"/>
      <c r="AB2053" s="1"/>
      <c r="AC2053" s="1"/>
      <c r="AD2053" s="1"/>
    </row>
    <row r="2054" spans="17:30">
      <c r="Q2054" s="6">
        <v>2024</v>
      </c>
      <c r="R2054" s="7">
        <v>44691</v>
      </c>
      <c r="S2054" s="210">
        <v>4.25</v>
      </c>
      <c r="T2054" s="8">
        <v>1.0001180555555556</v>
      </c>
      <c r="U2054" s="98">
        <v>4.1209469035356383</v>
      </c>
      <c r="V2054" s="106">
        <v>31063.646382357001</v>
      </c>
      <c r="W2054" s="10">
        <v>1.0067493676699124</v>
      </c>
      <c r="X2054" s="420"/>
      <c r="Y2054" s="420"/>
      <c r="Z2054" s="1"/>
      <c r="AA2054" s="1"/>
      <c r="AB2054" s="1"/>
      <c r="AC2054" s="1"/>
      <c r="AD2054" s="1"/>
    </row>
    <row r="2055" spans="17:30">
      <c r="Q2055" s="6">
        <v>2025</v>
      </c>
      <c r="R2055" s="7">
        <v>44692</v>
      </c>
      <c r="S2055" s="210">
        <v>4.25</v>
      </c>
      <c r="T2055" s="8">
        <v>1.0001180555555556</v>
      </c>
      <c r="U2055" s="98">
        <v>4.121085975586869</v>
      </c>
      <c r="V2055" s="106">
        <v>31066.148489687239</v>
      </c>
      <c r="W2055" s="10">
        <v>1.0069325182462618</v>
      </c>
      <c r="X2055" s="420"/>
      <c r="Y2055" s="420"/>
      <c r="Z2055" s="1"/>
      <c r="AA2055" s="1"/>
      <c r="AB2055" s="1"/>
      <c r="AC2055" s="1"/>
      <c r="AD2055" s="1"/>
    </row>
    <row r="2056" spans="17:30">
      <c r="Q2056" s="6">
        <v>2026</v>
      </c>
      <c r="R2056" s="7">
        <v>44693</v>
      </c>
      <c r="S2056" s="210">
        <v>4.25</v>
      </c>
      <c r="T2056" s="8">
        <v>1.0001180555555556</v>
      </c>
      <c r="U2056" s="98">
        <v>4.1212249105362586</v>
      </c>
      <c r="V2056" s="106">
        <v>31068.650798556628</v>
      </c>
      <c r="W2056" s="10">
        <v>1.0071154883540601</v>
      </c>
      <c r="X2056" s="420"/>
      <c r="Y2056" s="420"/>
      <c r="Z2056" s="1"/>
      <c r="AA2056" s="1"/>
      <c r="AB2056" s="1"/>
      <c r="AC2056" s="1"/>
      <c r="AD2056" s="1"/>
    </row>
    <row r="2057" spans="17:30">
      <c r="Q2057" s="6">
        <v>2027</v>
      </c>
      <c r="R2057" s="7">
        <v>44694</v>
      </c>
      <c r="S2057" s="210">
        <v>4.25</v>
      </c>
      <c r="T2057" s="8">
        <v>1.0001180555555556</v>
      </c>
      <c r="U2057" s="98">
        <v>4.1213637085864452</v>
      </c>
      <c r="V2057" s="106">
        <v>31071.153308981404</v>
      </c>
      <c r="W2057" s="10">
        <v>1.0072982782598716</v>
      </c>
      <c r="X2057" s="420"/>
      <c r="Y2057" s="420"/>
      <c r="Z2057" s="1"/>
      <c r="AA2057" s="1"/>
      <c r="AB2057" s="1"/>
      <c r="AC2057" s="1"/>
      <c r="AD2057" s="1"/>
    </row>
    <row r="2058" spans="17:30">
      <c r="Q2058" s="6">
        <v>2028</v>
      </c>
      <c r="R2058" s="7">
        <v>44695</v>
      </c>
      <c r="S2058" s="210">
        <v>4.25</v>
      </c>
      <c r="T2058" s="8">
        <v>1.0001180555555556</v>
      </c>
      <c r="U2058" s="98">
        <v>4.1215023699396669</v>
      </c>
      <c r="V2058" s="106">
        <v>31073.656020977807</v>
      </c>
      <c r="W2058" s="10">
        <v>1.0074808882297948</v>
      </c>
      <c r="X2058" s="420"/>
      <c r="Y2058" s="420"/>
      <c r="Z2058" s="1"/>
      <c r="AA2058" s="1"/>
      <c r="AB2058" s="1"/>
      <c r="AC2058" s="1"/>
      <c r="AD2058" s="1"/>
    </row>
    <row r="2059" spans="17:30">
      <c r="Q2059" s="6">
        <v>2029</v>
      </c>
      <c r="R2059" s="7">
        <v>44696</v>
      </c>
      <c r="S2059" s="210">
        <v>4.25</v>
      </c>
      <c r="T2059" s="8">
        <v>1.0001180555555556</v>
      </c>
      <c r="U2059" s="98">
        <v>4.1216408947977845</v>
      </c>
      <c r="V2059" s="106">
        <v>31076.15893456207</v>
      </c>
      <c r="W2059" s="10">
        <v>1.007663318529417</v>
      </c>
      <c r="X2059" s="420"/>
      <c r="Y2059" s="420"/>
      <c r="Z2059" s="1"/>
      <c r="AA2059" s="1"/>
      <c r="AB2059" s="1"/>
      <c r="AC2059" s="1"/>
      <c r="AD2059" s="1"/>
    </row>
    <row r="2060" spans="17:30">
      <c r="Q2060" s="6">
        <v>2030</v>
      </c>
      <c r="R2060" s="7">
        <v>44697</v>
      </c>
      <c r="S2060" s="210">
        <v>4.25</v>
      </c>
      <c r="T2060" s="8">
        <v>1.0001180555555556</v>
      </c>
      <c r="U2060" s="98">
        <v>4.1217792833622369</v>
      </c>
      <c r="V2060" s="106">
        <v>31078.662049750437</v>
      </c>
      <c r="W2060" s="10">
        <v>1.0078455694237709</v>
      </c>
      <c r="X2060" s="420"/>
      <c r="Y2060" s="420"/>
      <c r="Z2060" s="1"/>
      <c r="AA2060" s="1"/>
      <c r="AB2060" s="1"/>
      <c r="AC2060" s="1"/>
      <c r="AD2060" s="1"/>
    </row>
    <row r="2061" spans="17:30">
      <c r="Q2061" s="6">
        <v>2031</v>
      </c>
      <c r="R2061" s="7">
        <v>44698</v>
      </c>
      <c r="S2061" s="210">
        <v>4.25</v>
      </c>
      <c r="T2061" s="8">
        <v>1.0001180555555556</v>
      </c>
      <c r="U2061" s="98">
        <v>4.1219175358340632</v>
      </c>
      <c r="V2061" s="106">
        <v>31081.165366559144</v>
      </c>
      <c r="W2061" s="10">
        <v>1.0080276411773337</v>
      </c>
      <c r="X2061" s="420"/>
      <c r="Y2061" s="420"/>
      <c r="Z2061" s="1"/>
      <c r="AA2061" s="1"/>
      <c r="AB2061" s="1"/>
      <c r="AC2061" s="1"/>
      <c r="AD2061" s="1"/>
    </row>
    <row r="2062" spans="17:30">
      <c r="Q2062" s="6">
        <v>2032</v>
      </c>
      <c r="R2062" s="7">
        <v>44699</v>
      </c>
      <c r="S2062" s="210">
        <v>4.25</v>
      </c>
      <c r="T2062" s="8">
        <v>1.0001180555555556</v>
      </c>
      <c r="U2062" s="98">
        <v>4.1220556524139251</v>
      </c>
      <c r="V2062" s="106">
        <v>31083.668885004419</v>
      </c>
      <c r="W2062" s="10">
        <v>1.0082095340541164</v>
      </c>
      <c r="X2062" s="420"/>
      <c r="Y2062" s="420"/>
      <c r="Z2062" s="1"/>
      <c r="AA2062" s="1"/>
      <c r="AB2062" s="1"/>
      <c r="AC2062" s="1"/>
      <c r="AD2062" s="1"/>
    </row>
    <row r="2063" spans="17:30">
      <c r="Q2063" s="6">
        <v>2033</v>
      </c>
      <c r="R2063" s="7">
        <v>44700</v>
      </c>
      <c r="S2063" s="210">
        <v>4.25</v>
      </c>
      <c r="T2063" s="8">
        <v>1.0001180555555556</v>
      </c>
      <c r="U2063" s="98">
        <v>4.1221936333020848</v>
      </c>
      <c r="V2063" s="106">
        <v>31086.172605102514</v>
      </c>
      <c r="W2063" s="10">
        <v>1.0083912483176416</v>
      </c>
      <c r="X2063" s="420"/>
      <c r="Y2063" s="420"/>
      <c r="Z2063" s="1"/>
      <c r="AA2063" s="1"/>
      <c r="AB2063" s="1"/>
      <c r="AC2063" s="1"/>
      <c r="AD2063" s="1"/>
    </row>
    <row r="2064" spans="17:30">
      <c r="Q2064" s="6">
        <v>2034</v>
      </c>
      <c r="R2064" s="7">
        <v>44701</v>
      </c>
      <c r="S2064" s="210">
        <v>4.25</v>
      </c>
      <c r="T2064" s="8">
        <v>1.0001180555555556</v>
      </c>
      <c r="U2064" s="98">
        <v>4.1223314786984044</v>
      </c>
      <c r="V2064" s="106">
        <v>31088.676526869676</v>
      </c>
      <c r="W2064" s="10">
        <v>1.0085727842308101</v>
      </c>
      <c r="X2064" s="420"/>
      <c r="Y2064" s="420"/>
      <c r="Z2064" s="1"/>
      <c r="AA2064" s="1"/>
      <c r="AB2064" s="1"/>
      <c r="AC2064" s="1"/>
      <c r="AD2064" s="1"/>
    </row>
    <row r="2065" spans="17:30">
      <c r="Q2065" s="6">
        <v>2035</v>
      </c>
      <c r="R2065" s="7">
        <v>44702</v>
      </c>
      <c r="S2065" s="210">
        <v>4.25</v>
      </c>
      <c r="T2065" s="8">
        <v>1.0001180555555556</v>
      </c>
      <c r="U2065" s="98">
        <v>4.1224691888023468</v>
      </c>
      <c r="V2065" s="106">
        <v>31091.180650322134</v>
      </c>
      <c r="W2065" s="10">
        <v>1.0087541420560786</v>
      </c>
      <c r="X2065" s="420"/>
      <c r="Y2065" s="420"/>
      <c r="Z2065" s="1"/>
      <c r="AA2065" s="1"/>
      <c r="AB2065" s="1"/>
      <c r="AC2065" s="1"/>
      <c r="AD2065" s="1"/>
    </row>
    <row r="2066" spans="17:30">
      <c r="Q2066" s="6">
        <v>2036</v>
      </c>
      <c r="R2066" s="7">
        <v>44703</v>
      </c>
      <c r="S2066" s="210">
        <v>4.25</v>
      </c>
      <c r="T2066" s="8">
        <v>1.0001180555555556</v>
      </c>
      <c r="U2066" s="98">
        <v>4.1226067638129971</v>
      </c>
      <c r="V2066" s="106">
        <v>31093.68497547615</v>
      </c>
      <c r="W2066" s="10">
        <v>1.0089353220553932</v>
      </c>
      <c r="X2066" s="420"/>
      <c r="Y2066" s="420"/>
      <c r="Z2066" s="1"/>
      <c r="AA2066" s="1"/>
      <c r="AB2066" s="1"/>
      <c r="AC2066" s="1"/>
      <c r="AD2066" s="1"/>
    </row>
    <row r="2067" spans="17:30">
      <c r="Q2067" s="6">
        <v>2037</v>
      </c>
      <c r="R2067" s="7">
        <v>44704</v>
      </c>
      <c r="S2067" s="210">
        <v>4.25</v>
      </c>
      <c r="T2067" s="8">
        <v>1.0001180555555556</v>
      </c>
      <c r="U2067" s="98">
        <v>4.1227442039290629</v>
      </c>
      <c r="V2067" s="106">
        <v>31096.189502347963</v>
      </c>
      <c r="W2067" s="10">
        <v>1.0091163244901669</v>
      </c>
      <c r="X2067" s="420"/>
      <c r="Y2067" s="420"/>
      <c r="Z2067" s="1"/>
      <c r="AA2067" s="1"/>
      <c r="AB2067" s="1"/>
      <c r="AC2067" s="1"/>
      <c r="AD2067" s="1"/>
    </row>
    <row r="2068" spans="17:30">
      <c r="Q2068" s="6">
        <v>2038</v>
      </c>
      <c r="R2068" s="7">
        <v>44705</v>
      </c>
      <c r="S2068" s="210">
        <v>4.25</v>
      </c>
      <c r="T2068" s="8">
        <v>1.0001180555555556</v>
      </c>
      <c r="U2068" s="98">
        <v>4.1228815093488302</v>
      </c>
      <c r="V2068" s="106">
        <v>31098.694230953821</v>
      </c>
      <c r="W2068" s="10">
        <v>1.0092971496213021</v>
      </c>
      <c r="X2068" s="420"/>
      <c r="Y2068" s="420"/>
      <c r="Z2068" s="1"/>
      <c r="AA2068" s="1"/>
      <c r="AB2068" s="1"/>
      <c r="AC2068" s="1"/>
      <c r="AD2068" s="1"/>
    </row>
    <row r="2069" spans="17:30">
      <c r="Q2069" s="6">
        <v>2039</v>
      </c>
      <c r="R2069" s="7">
        <v>44706</v>
      </c>
      <c r="S2069" s="210">
        <v>4.25</v>
      </c>
      <c r="T2069" s="8">
        <v>1.0001180555555556</v>
      </c>
      <c r="U2069" s="98">
        <v>4.1230186802702073</v>
      </c>
      <c r="V2069" s="106">
        <v>31101.199161309974</v>
      </c>
      <c r="W2069" s="10">
        <v>1.0094777977091463</v>
      </c>
      <c r="X2069" s="420"/>
      <c r="Y2069" s="420"/>
      <c r="Z2069" s="1"/>
      <c r="AA2069" s="1"/>
      <c r="AB2069" s="1"/>
      <c r="AC2069" s="1"/>
      <c r="AD2069" s="1"/>
    </row>
    <row r="2070" spans="17:30">
      <c r="Q2070" s="6">
        <v>2040</v>
      </c>
      <c r="R2070" s="7">
        <v>44707</v>
      </c>
      <c r="S2070" s="210">
        <v>4.25</v>
      </c>
      <c r="T2070" s="8">
        <v>1.0001180555555556</v>
      </c>
      <c r="U2070" s="98">
        <v>4.1231557168907473</v>
      </c>
      <c r="V2070" s="106">
        <v>31103.704293432671</v>
      </c>
      <c r="W2070" s="10">
        <v>1.0096582690136691</v>
      </c>
      <c r="X2070" s="420"/>
      <c r="Y2070" s="420"/>
      <c r="Z2070" s="1"/>
      <c r="AA2070" s="1"/>
      <c r="AB2070" s="1"/>
      <c r="AC2070" s="1"/>
      <c r="AD2070" s="1"/>
    </row>
    <row r="2071" spans="17:30">
      <c r="Q2071" s="6">
        <v>2041</v>
      </c>
      <c r="R2071" s="7">
        <v>44708</v>
      </c>
      <c r="S2071" s="210">
        <v>4.25</v>
      </c>
      <c r="T2071" s="8">
        <v>1.0001180555555556</v>
      </c>
      <c r="U2071" s="98">
        <v>4.1232926194075592</v>
      </c>
      <c r="V2071" s="106">
        <v>31106.209627338165</v>
      </c>
      <c r="W2071" s="10">
        <v>1.0098385637941742</v>
      </c>
      <c r="X2071" s="420"/>
      <c r="Y2071" s="420"/>
      <c r="Z2071" s="1"/>
      <c r="AA2071" s="1"/>
      <c r="AB2071" s="1"/>
      <c r="AC2071" s="1"/>
      <c r="AD2071" s="1"/>
    </row>
    <row r="2072" spans="17:30">
      <c r="Q2072" s="6">
        <v>2042</v>
      </c>
      <c r="R2072" s="7">
        <v>44709</v>
      </c>
      <c r="S2072" s="210">
        <v>4.25</v>
      </c>
      <c r="T2072" s="8">
        <v>1.0001180555555556</v>
      </c>
      <c r="U2072" s="98">
        <v>4.1234293880174189</v>
      </c>
      <c r="V2072" s="106">
        <v>31108.715163042711</v>
      </c>
      <c r="W2072" s="10">
        <v>1.0100186823095658</v>
      </c>
      <c r="X2072" s="420"/>
      <c r="Y2072" s="420"/>
      <c r="Z2072" s="1"/>
      <c r="AA2072" s="1"/>
      <c r="AB2072" s="1"/>
      <c r="AC2072" s="1"/>
      <c r="AD2072" s="1"/>
    </row>
    <row r="2073" spans="17:30">
      <c r="Q2073" s="6">
        <v>2043</v>
      </c>
      <c r="R2073" s="7">
        <v>44710</v>
      </c>
      <c r="S2073" s="210">
        <v>4.25</v>
      </c>
      <c r="T2073" s="8">
        <v>1.0001180555555556</v>
      </c>
      <c r="U2073" s="98">
        <v>4.1235660229166804</v>
      </c>
      <c r="V2073" s="106">
        <v>31111.220900562559</v>
      </c>
      <c r="W2073" s="10">
        <v>1.0101986248181705</v>
      </c>
      <c r="X2073" s="420"/>
      <c r="Y2073" s="420"/>
      <c r="Z2073" s="1"/>
      <c r="AA2073" s="1"/>
      <c r="AB2073" s="1"/>
      <c r="AC2073" s="1"/>
      <c r="AD2073" s="1"/>
    </row>
    <row r="2074" spans="17:30">
      <c r="Q2074" s="6">
        <v>2044</v>
      </c>
      <c r="R2074" s="7">
        <v>44711</v>
      </c>
      <c r="S2074" s="210">
        <v>4.25</v>
      </c>
      <c r="T2074" s="8">
        <v>1.0001180555555556</v>
      </c>
      <c r="U2074" s="98">
        <v>4.1237025243013425</v>
      </c>
      <c r="V2074" s="106">
        <v>31113.726839913965</v>
      </c>
      <c r="W2074" s="10">
        <v>1.010378391577893</v>
      </c>
      <c r="X2074" s="420"/>
      <c r="Y2074" s="420"/>
      <c r="Z2074" s="1"/>
      <c r="AA2074" s="1"/>
      <c r="AB2074" s="1"/>
      <c r="AC2074" s="1"/>
      <c r="AD2074" s="1"/>
    </row>
    <row r="2075" spans="17:30">
      <c r="Q2075" s="6">
        <v>2045</v>
      </c>
      <c r="R2075" s="7">
        <v>44712</v>
      </c>
      <c r="S2075" s="210">
        <v>4.25</v>
      </c>
      <c r="T2075" s="8">
        <v>1.0001180555555556</v>
      </c>
      <c r="U2075" s="98">
        <v>4.1238388923670044</v>
      </c>
      <c r="V2075" s="106">
        <v>31116.232981113193</v>
      </c>
      <c r="W2075" s="10">
        <v>1.0105579828460609</v>
      </c>
      <c r="X2075" s="420"/>
      <c r="Y2075" s="420"/>
      <c r="Z2075" s="1"/>
      <c r="AA2075" s="1"/>
      <c r="AB2075" s="1"/>
      <c r="AC2075" s="1"/>
      <c r="AD2075" s="1"/>
    </row>
    <row r="2076" spans="17:30">
      <c r="Q2076" s="6">
        <v>2046</v>
      </c>
      <c r="R2076" s="7">
        <v>44713</v>
      </c>
      <c r="S2076" s="210">
        <v>4.25</v>
      </c>
      <c r="T2076" s="8">
        <v>1.0001180555555556</v>
      </c>
      <c r="U2076" s="98">
        <v>4.1239751273088876</v>
      </c>
      <c r="V2076" s="106">
        <v>31118.739324176495</v>
      </c>
      <c r="W2076" s="10">
        <v>1.0107373988795132</v>
      </c>
      <c r="X2076" s="420"/>
      <c r="Y2076" s="420"/>
      <c r="Z2076" s="1"/>
      <c r="AA2076" s="1"/>
      <c r="AB2076" s="1"/>
      <c r="AC2076" s="1"/>
      <c r="AD2076" s="1"/>
    </row>
    <row r="2077" spans="17:30">
      <c r="Q2077" s="6">
        <v>2047</v>
      </c>
      <c r="R2077" s="7">
        <v>44714</v>
      </c>
      <c r="S2077" s="210">
        <v>4.25</v>
      </c>
      <c r="T2077" s="8">
        <v>1.0001180555555556</v>
      </c>
      <c r="U2077" s="98">
        <v>4.1241112293218363</v>
      </c>
      <c r="V2077" s="106">
        <v>31121.245869120128</v>
      </c>
      <c r="W2077" s="10">
        <v>1.0109166399346448</v>
      </c>
      <c r="X2077" s="420"/>
      <c r="Y2077" s="420"/>
      <c r="Z2077" s="1"/>
      <c r="AA2077" s="1"/>
      <c r="AB2077" s="1"/>
      <c r="AC2077" s="1"/>
      <c r="AD2077" s="1"/>
    </row>
    <row r="2078" spans="17:30">
      <c r="Q2078" s="6">
        <v>2048</v>
      </c>
      <c r="R2078" s="7">
        <v>44715</v>
      </c>
      <c r="S2078" s="210">
        <v>4.25</v>
      </c>
      <c r="T2078" s="8">
        <v>1.0001180555555556</v>
      </c>
      <c r="U2078" s="98">
        <v>4.1242471986002949</v>
      </c>
      <c r="V2078" s="106">
        <v>31123.752615960362</v>
      </c>
      <c r="W2078" s="10">
        <v>1.011095706267251</v>
      </c>
      <c r="X2078" s="420"/>
      <c r="Y2078" s="420"/>
      <c r="Z2078" s="1"/>
      <c r="AA2078" s="1"/>
      <c r="AB2078" s="1"/>
      <c r="AC2078" s="1"/>
      <c r="AD2078" s="1"/>
    </row>
    <row r="2079" spans="17:30">
      <c r="Q2079" s="6">
        <v>2049</v>
      </c>
      <c r="R2079" s="7">
        <v>44716</v>
      </c>
      <c r="S2079" s="210">
        <v>4.25</v>
      </c>
      <c r="T2079" s="8">
        <v>1.0001180555555556</v>
      </c>
      <c r="U2079" s="98">
        <v>4.1243830353383526</v>
      </c>
      <c r="V2079" s="106">
        <v>31126.259564713455</v>
      </c>
      <c r="W2079" s="10">
        <v>1.0112745981327276</v>
      </c>
      <c r="X2079" s="420"/>
      <c r="Y2079" s="420"/>
      <c r="Z2079" s="1"/>
      <c r="AA2079" s="1"/>
      <c r="AB2079" s="1"/>
      <c r="AC2079" s="1"/>
      <c r="AD2079" s="1"/>
    </row>
    <row r="2080" spans="17:30">
      <c r="Q2080" s="6">
        <v>2050</v>
      </c>
      <c r="R2080" s="7">
        <v>44717</v>
      </c>
      <c r="S2080" s="210">
        <v>4.25</v>
      </c>
      <c r="T2080" s="8">
        <v>1.0001180555555556</v>
      </c>
      <c r="U2080" s="98">
        <v>4.1245187397297212</v>
      </c>
      <c r="V2080" s="106">
        <v>31128.766715395672</v>
      </c>
      <c r="W2080" s="10">
        <v>1.0114533157859151</v>
      </c>
      <c r="X2080" s="420"/>
      <c r="Y2080" s="420"/>
      <c r="Z2080" s="1"/>
      <c r="AA2080" s="1"/>
      <c r="AB2080" s="1"/>
      <c r="AC2080" s="1"/>
      <c r="AD2080" s="1"/>
    </row>
    <row r="2081" spans="17:30">
      <c r="Q2081" s="6">
        <v>2051</v>
      </c>
      <c r="R2081" s="7">
        <v>44718</v>
      </c>
      <c r="S2081" s="210">
        <v>4.25</v>
      </c>
      <c r="T2081" s="8">
        <v>1.0001180555555556</v>
      </c>
      <c r="U2081" s="98">
        <v>4.1246543119677126</v>
      </c>
      <c r="V2081" s="106">
        <v>31131.274068023271</v>
      </c>
      <c r="W2081" s="10">
        <v>1.0116318594811435</v>
      </c>
      <c r="X2081" s="420"/>
      <c r="Y2081" s="420"/>
      <c r="Z2081" s="1"/>
      <c r="AA2081" s="1"/>
      <c r="AB2081" s="1"/>
      <c r="AC2081" s="1"/>
      <c r="AD2081" s="1"/>
    </row>
    <row r="2082" spans="17:30">
      <c r="Q2082" s="6">
        <v>2052</v>
      </c>
      <c r="R2082" s="7">
        <v>44719</v>
      </c>
      <c r="S2082" s="210">
        <v>4.25</v>
      </c>
      <c r="T2082" s="8">
        <v>1.0001180555555556</v>
      </c>
      <c r="U2082" s="98">
        <v>4.1247897522452837</v>
      </c>
      <c r="V2082" s="106">
        <v>31133.781622612525</v>
      </c>
      <c r="W2082" s="10">
        <v>1.0118102294723208</v>
      </c>
      <c r="X2082" s="420"/>
      <c r="Y2082" s="420"/>
      <c r="Z2082" s="1"/>
      <c r="AA2082" s="1"/>
      <c r="AB2082" s="1"/>
      <c r="AC2082" s="1"/>
      <c r="AD2082" s="1"/>
    </row>
    <row r="2083" spans="17:30">
      <c r="Q2083" s="6">
        <v>2053</v>
      </c>
      <c r="R2083" s="7">
        <v>44720</v>
      </c>
      <c r="S2083" s="210">
        <v>4.25</v>
      </c>
      <c r="T2083" s="8">
        <v>1.0001180555555556</v>
      </c>
      <c r="U2083" s="98">
        <v>4.1249250607549914</v>
      </c>
      <c r="V2083" s="106">
        <v>31136.2893791797</v>
      </c>
      <c r="W2083" s="10">
        <v>1.0119884260127998</v>
      </c>
      <c r="X2083" s="420"/>
      <c r="Y2083" s="420"/>
      <c r="Z2083" s="1"/>
      <c r="AA2083" s="1"/>
      <c r="AB2083" s="1"/>
      <c r="AC2083" s="1"/>
      <c r="AD2083" s="1"/>
    </row>
    <row r="2084" spans="17:30">
      <c r="Q2084" s="6">
        <v>2054</v>
      </c>
      <c r="R2084" s="7">
        <v>44721</v>
      </c>
      <c r="S2084" s="210">
        <v>4.25</v>
      </c>
      <c r="T2084" s="8">
        <v>1.0001180555555556</v>
      </c>
      <c r="U2084" s="98">
        <v>4.1250602376890599</v>
      </c>
      <c r="V2084" s="106">
        <v>31138.797337741067</v>
      </c>
      <c r="W2084" s="10">
        <v>1.012166449355445</v>
      </c>
      <c r="X2084" s="420"/>
      <c r="Y2084" s="420"/>
      <c r="Z2084" s="1"/>
      <c r="AA2084" s="1"/>
      <c r="AB2084" s="1"/>
      <c r="AC2084" s="1"/>
      <c r="AD2084" s="1"/>
    </row>
    <row r="2085" spans="17:30">
      <c r="Q2085" s="6">
        <v>2055</v>
      </c>
      <c r="R2085" s="7">
        <v>44722</v>
      </c>
      <c r="S2085" s="210">
        <v>4.25</v>
      </c>
      <c r="T2085" s="8">
        <v>1.0001180555555556</v>
      </c>
      <c r="U2085" s="98">
        <v>4.1251952832392913</v>
      </c>
      <c r="V2085" s="106">
        <v>31141.389107144543</v>
      </c>
      <c r="W2085" s="10">
        <v>1.0122961304741107</v>
      </c>
      <c r="X2085" s="420"/>
      <c r="Y2085" s="420"/>
      <c r="Z2085" s="1"/>
      <c r="AA2085" s="1"/>
      <c r="AB2085" s="1"/>
      <c r="AC2085" s="1"/>
      <c r="AD2085" s="1"/>
    </row>
    <row r="2086" spans="17:30">
      <c r="Q2086" s="6">
        <v>2056</v>
      </c>
      <c r="R2086" s="7">
        <v>44723</v>
      </c>
      <c r="S2086" s="210">
        <v>4.25</v>
      </c>
      <c r="T2086" s="8">
        <v>1.0001180555555556</v>
      </c>
      <c r="U2086" s="98">
        <v>4.1253301975971546</v>
      </c>
      <c r="V2086" s="106">
        <v>31143.981092268259</v>
      </c>
      <c r="W2086" s="10">
        <v>1.0124256856100633</v>
      </c>
      <c r="X2086" s="420"/>
      <c r="Y2086" s="420"/>
      <c r="Z2086" s="1"/>
      <c r="AA2086" s="1"/>
      <c r="AB2086" s="1"/>
      <c r="AC2086" s="1"/>
      <c r="AD2086" s="1"/>
    </row>
    <row r="2087" spans="17:30">
      <c r="Q2087" s="6">
        <v>2057</v>
      </c>
      <c r="R2087" s="7">
        <v>44724</v>
      </c>
      <c r="S2087" s="210">
        <v>4.25</v>
      </c>
      <c r="T2087" s="8">
        <v>1.0001180555555556</v>
      </c>
      <c r="U2087" s="98">
        <v>4.1254649809537192</v>
      </c>
      <c r="V2087" s="106">
        <v>31146.573293130165</v>
      </c>
      <c r="W2087" s="10">
        <v>1.0125551149468226</v>
      </c>
      <c r="X2087" s="420"/>
      <c r="Y2087" s="420"/>
      <c r="Z2087" s="1"/>
      <c r="AA2087" s="1"/>
      <c r="AB2087" s="1"/>
      <c r="AC2087" s="1"/>
      <c r="AD2087" s="1"/>
    </row>
    <row r="2088" spans="17:30">
      <c r="Q2088" s="6">
        <v>2058</v>
      </c>
      <c r="R2088" s="7">
        <v>44725</v>
      </c>
      <c r="S2088" s="210">
        <v>4.25</v>
      </c>
      <c r="T2088" s="8">
        <v>1.0001180555555556</v>
      </c>
      <c r="U2088" s="98">
        <v>4.1255996334996992</v>
      </c>
      <c r="V2088" s="106">
        <v>31149.165709748213</v>
      </c>
      <c r="W2088" s="10">
        <v>1.0126844186675088</v>
      </c>
      <c r="X2088" s="420"/>
      <c r="Y2088" s="420"/>
      <c r="Z2088" s="1"/>
      <c r="AA2088" s="1"/>
      <c r="AB2088" s="1"/>
      <c r="AC2088" s="1"/>
      <c r="AD2088" s="1"/>
    </row>
    <row r="2089" spans="17:30">
      <c r="Q2089" s="6">
        <v>2059</v>
      </c>
      <c r="R2089" s="7">
        <v>44726</v>
      </c>
      <c r="S2089" s="210">
        <v>4.25</v>
      </c>
      <c r="T2089" s="8">
        <v>1.0001180555555556</v>
      </c>
      <c r="U2089" s="98">
        <v>4.1257341554254312</v>
      </c>
      <c r="V2089" s="106">
        <v>31151.758342140361</v>
      </c>
      <c r="W2089" s="10">
        <v>1.0128135969548868</v>
      </c>
      <c r="X2089" s="420"/>
      <c r="Y2089" s="420"/>
      <c r="Z2089" s="1"/>
      <c r="AA2089" s="1"/>
      <c r="AB2089" s="1"/>
      <c r="AC2089" s="1"/>
      <c r="AD2089" s="1"/>
    </row>
    <row r="2090" spans="17:30">
      <c r="Q2090" s="6">
        <v>2060</v>
      </c>
      <c r="R2090" s="7">
        <v>44727</v>
      </c>
      <c r="S2090" s="210">
        <v>4.25</v>
      </c>
      <c r="T2090" s="8">
        <v>1.0001180555555556</v>
      </c>
      <c r="U2090" s="98">
        <v>4.1258685469208967</v>
      </c>
      <c r="V2090" s="106">
        <v>31154.351190324571</v>
      </c>
      <c r="W2090" s="10">
        <v>1.0129426499914329</v>
      </c>
      <c r="X2090" s="420"/>
      <c r="Y2090" s="420"/>
      <c r="Z2090" s="1"/>
      <c r="AA2090" s="1"/>
      <c r="AB2090" s="1"/>
      <c r="AC2090" s="1"/>
      <c r="AD2090" s="1"/>
    </row>
    <row r="2091" spans="17:30">
      <c r="Q2091" s="6">
        <v>2061</v>
      </c>
      <c r="R2091" s="7">
        <v>44728</v>
      </c>
      <c r="S2091" s="210">
        <v>4.25</v>
      </c>
      <c r="T2091" s="8">
        <v>1.0001180555555556</v>
      </c>
      <c r="U2091" s="98">
        <v>4.1260028081756772</v>
      </c>
      <c r="V2091" s="106">
        <v>31156.944254318809</v>
      </c>
      <c r="W2091" s="10">
        <v>1.0130715779591792</v>
      </c>
      <c r="X2091" s="420"/>
      <c r="Y2091" s="420"/>
      <c r="Z2091" s="1"/>
      <c r="AA2091" s="1"/>
      <c r="AB2091" s="1"/>
      <c r="AC2091" s="1"/>
      <c r="AD2091" s="1"/>
    </row>
    <row r="2092" spans="17:30">
      <c r="Q2092" s="6">
        <v>2062</v>
      </c>
      <c r="R2092" s="7">
        <v>44729</v>
      </c>
      <c r="S2092" s="210">
        <v>4.25</v>
      </c>
      <c r="T2092" s="8">
        <v>1.0001180555555556</v>
      </c>
      <c r="U2092" s="98">
        <v>4.1261369393790437</v>
      </c>
      <c r="V2092" s="106">
        <v>31159.537534141036</v>
      </c>
      <c r="W2092" s="10">
        <v>1.0132003810398915</v>
      </c>
      <c r="X2092" s="420"/>
      <c r="Y2092" s="420"/>
      <c r="Z2092" s="1"/>
      <c r="AA2092" s="1"/>
      <c r="AB2092" s="1"/>
      <c r="AC2092" s="1"/>
      <c r="AD2092" s="1"/>
    </row>
    <row r="2093" spans="17:30">
      <c r="Q2093" s="6">
        <v>2063</v>
      </c>
      <c r="R2093" s="7">
        <v>44730</v>
      </c>
      <c r="S2093" s="210">
        <v>4.25</v>
      </c>
      <c r="T2093" s="8">
        <v>1.0001180555555556</v>
      </c>
      <c r="U2093" s="98">
        <v>4.126270940719845</v>
      </c>
      <c r="V2093" s="106">
        <v>31162.131029809207</v>
      </c>
      <c r="W2093" s="10">
        <v>1.0133290594149136</v>
      </c>
      <c r="X2093" s="420"/>
      <c r="Y2093" s="420"/>
      <c r="Z2093" s="1"/>
      <c r="AA2093" s="1"/>
      <c r="AB2093" s="1"/>
      <c r="AC2093" s="1"/>
      <c r="AD2093" s="1"/>
    </row>
    <row r="2094" spans="17:30">
      <c r="Q2094" s="6">
        <v>2064</v>
      </c>
      <c r="R2094" s="7">
        <v>44731</v>
      </c>
      <c r="S2094" s="210">
        <v>4.25</v>
      </c>
      <c r="T2094" s="8">
        <v>1.0001180555555556</v>
      </c>
      <c r="U2094" s="98">
        <v>4.1264048123865749</v>
      </c>
      <c r="V2094" s="106">
        <v>31164.724741341295</v>
      </c>
      <c r="W2094" s="10">
        <v>1.0134576132652562</v>
      </c>
      <c r="X2094" s="420"/>
      <c r="Y2094" s="420"/>
      <c r="Z2094" s="1"/>
      <c r="AA2094" s="1"/>
      <c r="AB2094" s="1"/>
      <c r="AC2094" s="1"/>
      <c r="AD2094" s="1"/>
    </row>
    <row r="2095" spans="17:30">
      <c r="Q2095" s="6">
        <v>2065</v>
      </c>
      <c r="R2095" s="7">
        <v>44732</v>
      </c>
      <c r="S2095" s="210">
        <v>4.25</v>
      </c>
      <c r="T2095" s="8">
        <v>1.0001180555555556</v>
      </c>
      <c r="U2095" s="98">
        <v>4.1265385545673716</v>
      </c>
      <c r="V2095" s="106">
        <v>31167.31866875527</v>
      </c>
      <c r="W2095" s="10">
        <v>1.013586042771597</v>
      </c>
      <c r="X2095" s="420"/>
      <c r="Y2095" s="420"/>
      <c r="Z2095" s="1"/>
      <c r="AA2095" s="1"/>
      <c r="AB2095" s="1"/>
      <c r="AC2095" s="1"/>
      <c r="AD2095" s="1"/>
    </row>
    <row r="2096" spans="17:30">
      <c r="Q2096" s="6">
        <v>2066</v>
      </c>
      <c r="R2096" s="7">
        <v>44733</v>
      </c>
      <c r="S2096" s="210">
        <v>4.25</v>
      </c>
      <c r="T2096" s="8">
        <v>1.0001180555555556</v>
      </c>
      <c r="U2096" s="98">
        <v>4.1266721674500184</v>
      </c>
      <c r="V2096" s="106">
        <v>31169.912812069091</v>
      </c>
      <c r="W2096" s="10">
        <v>1.0137143481142807</v>
      </c>
      <c r="X2096" s="420"/>
      <c r="Y2096" s="420"/>
      <c r="Z2096" s="1"/>
      <c r="AA2096" s="1"/>
      <c r="AB2096" s="1"/>
      <c r="AC2096" s="1"/>
      <c r="AD2096" s="1"/>
    </row>
    <row r="2097" spans="17:30">
      <c r="Q2097" s="6">
        <v>2067</v>
      </c>
      <c r="R2097" s="7">
        <v>44734</v>
      </c>
      <c r="S2097" s="210">
        <v>4.25</v>
      </c>
      <c r="T2097" s="8">
        <v>1.0001180555555556</v>
      </c>
      <c r="U2097" s="98">
        <v>4.1268056512219431</v>
      </c>
      <c r="V2097" s="106">
        <v>31172.507171300738</v>
      </c>
      <c r="W2097" s="10">
        <v>1.0138425294732523</v>
      </c>
      <c r="X2097" s="420"/>
      <c r="Y2097" s="420"/>
      <c r="Z2097" s="1"/>
      <c r="AA2097" s="1"/>
      <c r="AB2097" s="1"/>
      <c r="AC2097" s="1"/>
      <c r="AD2097" s="1"/>
    </row>
    <row r="2098" spans="17:30">
      <c r="Q2098" s="6">
        <v>2068</v>
      </c>
      <c r="R2098" s="7">
        <v>44735</v>
      </c>
      <c r="S2098" s="210">
        <v>4.25</v>
      </c>
      <c r="T2098" s="8">
        <v>1.0001180555555556</v>
      </c>
      <c r="U2098" s="98">
        <v>4.1269390060701738</v>
      </c>
      <c r="V2098" s="106">
        <v>31175.101746468175</v>
      </c>
      <c r="W2098" s="10">
        <v>1.0139705870281457</v>
      </c>
      <c r="X2098" s="420"/>
      <c r="Y2098" s="420"/>
      <c r="Z2098" s="1"/>
      <c r="AA2098" s="1"/>
      <c r="AB2098" s="1"/>
      <c r="AC2098" s="1"/>
      <c r="AD2098" s="1"/>
    </row>
    <row r="2099" spans="17:30">
      <c r="Q2099" s="6">
        <v>2069</v>
      </c>
      <c r="R2099" s="7">
        <v>44736</v>
      </c>
      <c r="S2099" s="210">
        <v>4.25</v>
      </c>
      <c r="T2099" s="8">
        <v>1.0001180555555556</v>
      </c>
      <c r="U2099" s="98">
        <v>4.1270722321814057</v>
      </c>
      <c r="V2099" s="106">
        <v>31177.696537589374</v>
      </c>
      <c r="W2099" s="10">
        <v>1.014098520958262</v>
      </c>
      <c r="X2099" s="420"/>
      <c r="Y2099" s="420"/>
      <c r="Z2099" s="1"/>
      <c r="AA2099" s="1"/>
      <c r="AB2099" s="1"/>
      <c r="AC2099" s="1"/>
      <c r="AD2099" s="1"/>
    </row>
    <row r="2100" spans="17:30">
      <c r="Q2100" s="6">
        <v>2070</v>
      </c>
      <c r="R2100" s="7">
        <v>44737</v>
      </c>
      <c r="S2100" s="210">
        <v>4.25</v>
      </c>
      <c r="T2100" s="8">
        <v>1.0001180555555556</v>
      </c>
      <c r="U2100" s="98">
        <v>4.1272053297419786</v>
      </c>
      <c r="V2100" s="106">
        <v>31180.291544682314</v>
      </c>
      <c r="W2100" s="10">
        <v>1.0142263314425026</v>
      </c>
      <c r="X2100" s="420"/>
      <c r="Y2100" s="420"/>
      <c r="Z2100" s="1"/>
      <c r="AA2100" s="1"/>
      <c r="AB2100" s="1"/>
      <c r="AC2100" s="1"/>
      <c r="AD2100" s="1"/>
    </row>
    <row r="2101" spans="17:30">
      <c r="Q2101" s="6">
        <v>2071</v>
      </c>
      <c r="R2101" s="7">
        <v>44738</v>
      </c>
      <c r="S2101" s="210">
        <v>4.25</v>
      </c>
      <c r="T2101" s="8">
        <v>1.0001180555555556</v>
      </c>
      <c r="U2101" s="98">
        <v>4.1273382989378327</v>
      </c>
      <c r="V2101" s="106">
        <v>31182.886767764969</v>
      </c>
      <c r="W2101" s="10">
        <v>1.0143540186594358</v>
      </c>
      <c r="X2101" s="420"/>
      <c r="Y2101" s="420"/>
      <c r="Z2101" s="1"/>
      <c r="AA2101" s="1"/>
      <c r="AB2101" s="1"/>
      <c r="AC2101" s="1"/>
      <c r="AD2101" s="1"/>
    </row>
    <row r="2102" spans="17:30">
      <c r="Q2102" s="6">
        <v>2072</v>
      </c>
      <c r="R2102" s="7">
        <v>44739</v>
      </c>
      <c r="S2102" s="210">
        <v>4.25</v>
      </c>
      <c r="T2102" s="8">
        <v>1.0001180555555556</v>
      </c>
      <c r="U2102" s="98">
        <v>4.1274711399545971</v>
      </c>
      <c r="V2102" s="106">
        <v>31185.482206855322</v>
      </c>
      <c r="W2102" s="10">
        <v>1.014481582787341</v>
      </c>
      <c r="X2102" s="420"/>
      <c r="Y2102" s="420"/>
      <c r="Z2102" s="1"/>
      <c r="AA2102" s="1"/>
      <c r="AB2102" s="1"/>
      <c r="AC2102" s="1"/>
      <c r="AD2102" s="1"/>
    </row>
    <row r="2103" spans="17:30">
      <c r="Q2103" s="6">
        <v>2073</v>
      </c>
      <c r="R2103" s="7">
        <v>44740</v>
      </c>
      <c r="S2103" s="210">
        <v>4.25</v>
      </c>
      <c r="T2103" s="8">
        <v>1.0001180555555556</v>
      </c>
      <c r="U2103" s="98">
        <v>4.1276038529775239</v>
      </c>
      <c r="V2103" s="106">
        <v>31188.077861971342</v>
      </c>
      <c r="W2103" s="10">
        <v>1.0146090240040984</v>
      </c>
      <c r="X2103" s="420"/>
      <c r="Y2103" s="420"/>
      <c r="Z2103" s="1"/>
      <c r="AA2103" s="1"/>
      <c r="AB2103" s="1"/>
      <c r="AC2103" s="1"/>
      <c r="AD2103" s="1"/>
    </row>
    <row r="2104" spans="17:30">
      <c r="Q2104" s="6">
        <v>2074</v>
      </c>
      <c r="R2104" s="7">
        <v>44741</v>
      </c>
      <c r="S2104" s="210">
        <v>4.25</v>
      </c>
      <c r="T2104" s="8">
        <v>1.0001180555555556</v>
      </c>
      <c r="U2104" s="98">
        <v>4.1277364381915094</v>
      </c>
      <c r="V2104" s="106">
        <v>31190.673733131021</v>
      </c>
      <c r="W2104" s="10">
        <v>1.0147363424872768</v>
      </c>
      <c r="X2104" s="420"/>
      <c r="Y2104" s="420"/>
      <c r="Z2104" s="1"/>
      <c r="AA2104" s="1"/>
      <c r="AB2104" s="1"/>
      <c r="AC2104" s="1"/>
      <c r="AD2104" s="1"/>
    </row>
    <row r="2105" spans="17:30">
      <c r="Q2105" s="6">
        <v>2075</v>
      </c>
      <c r="R2105" s="7">
        <v>44742</v>
      </c>
      <c r="S2105" s="210">
        <v>4.25</v>
      </c>
      <c r="T2105" s="8">
        <v>1.0001180555555556</v>
      </c>
      <c r="U2105" s="98">
        <v>4.1278688957810949</v>
      </c>
      <c r="V2105" s="106">
        <v>31193.269820352332</v>
      </c>
      <c r="W2105" s="10">
        <v>1.0148635384140681</v>
      </c>
      <c r="X2105" s="420"/>
      <c r="Y2105" s="420"/>
      <c r="Z2105" s="1"/>
      <c r="AA2105" s="1"/>
      <c r="AB2105" s="1"/>
      <c r="AC2105" s="1"/>
      <c r="AD2105" s="1"/>
    </row>
    <row r="2106" spans="17:30">
      <c r="Q2106" s="6">
        <v>2076</v>
      </c>
      <c r="R2106" s="7">
        <v>44743</v>
      </c>
      <c r="S2106" s="210">
        <v>4.25</v>
      </c>
      <c r="T2106" s="8">
        <v>1.0001180555555556</v>
      </c>
      <c r="U2106" s="98">
        <v>4.1280012259304666</v>
      </c>
      <c r="V2106" s="106">
        <v>31195.866123653253</v>
      </c>
      <c r="W2106" s="10">
        <v>1.014990611961375</v>
      </c>
      <c r="X2106" s="420"/>
      <c r="Y2106" s="420"/>
      <c r="Z2106" s="1"/>
      <c r="AA2106" s="1"/>
      <c r="AB2106" s="1"/>
      <c r="AC2106" s="1"/>
      <c r="AD2106" s="1"/>
    </row>
    <row r="2107" spans="17:30">
      <c r="Q2107" s="6">
        <v>2077</v>
      </c>
      <c r="R2107" s="7">
        <v>44744</v>
      </c>
      <c r="S2107" s="210">
        <v>4.25</v>
      </c>
      <c r="T2107" s="8">
        <v>1.0001180555555556</v>
      </c>
      <c r="U2107" s="98">
        <v>4.128133428823455</v>
      </c>
      <c r="V2107" s="106">
        <v>31198.462643051782</v>
      </c>
      <c r="W2107" s="10">
        <v>1.0151175633057452</v>
      </c>
      <c r="X2107" s="420"/>
      <c r="Y2107" s="420"/>
      <c r="Z2107" s="1"/>
      <c r="AA2107" s="1"/>
      <c r="AB2107" s="1"/>
      <c r="AC2107" s="1"/>
      <c r="AD2107" s="1"/>
    </row>
    <row r="2108" spans="17:30">
      <c r="Q2108" s="6">
        <v>2078</v>
      </c>
      <c r="R2108" s="7">
        <v>44745</v>
      </c>
      <c r="S2108" s="210">
        <v>4.25</v>
      </c>
      <c r="T2108" s="8">
        <v>1.0001180555555556</v>
      </c>
      <c r="U2108" s="98">
        <v>4.1282655046435357</v>
      </c>
      <c r="V2108" s="106">
        <v>31201.059378565908</v>
      </c>
      <c r="W2108" s="10">
        <v>1.0152443926233046</v>
      </c>
      <c r="X2108" s="420"/>
      <c r="Y2108" s="420"/>
      <c r="Z2108" s="1"/>
      <c r="AA2108" s="1"/>
      <c r="AB2108" s="1"/>
      <c r="AC2108" s="1"/>
      <c r="AD2108" s="1"/>
    </row>
    <row r="2109" spans="17:30">
      <c r="Q2109" s="6">
        <v>2079</v>
      </c>
      <c r="R2109" s="7">
        <v>44746</v>
      </c>
      <c r="S2109" s="210">
        <v>4.25</v>
      </c>
      <c r="T2109" s="8">
        <v>1.0001180555555556</v>
      </c>
      <c r="U2109" s="98">
        <v>4.1283974535738288</v>
      </c>
      <c r="V2109" s="106">
        <v>31203.656330213598</v>
      </c>
      <c r="W2109" s="10">
        <v>1.015371100089979</v>
      </c>
      <c r="X2109" s="420"/>
      <c r="Y2109" s="420"/>
      <c r="Z2109" s="1"/>
      <c r="AA2109" s="1"/>
      <c r="AB2109" s="1"/>
      <c r="AC2109" s="1"/>
      <c r="AD2109" s="1"/>
    </row>
    <row r="2110" spans="17:30">
      <c r="Q2110" s="6">
        <v>2080</v>
      </c>
      <c r="R2110" s="7">
        <v>44747</v>
      </c>
      <c r="S2110" s="210">
        <v>4.25</v>
      </c>
      <c r="T2110" s="8">
        <v>1.0001180555555556</v>
      </c>
      <c r="U2110" s="98">
        <v>4.1285292757971215</v>
      </c>
      <c r="V2110" s="106">
        <v>31206.253498012866</v>
      </c>
      <c r="W2110" s="10">
        <v>1.0154976858812281</v>
      </c>
      <c r="X2110" s="420"/>
      <c r="Y2110" s="420"/>
      <c r="Z2110" s="1"/>
      <c r="AA2110" s="1"/>
      <c r="AB2110" s="1"/>
      <c r="AC2110" s="1"/>
      <c r="AD2110" s="1"/>
    </row>
    <row r="2111" spans="17:30">
      <c r="Q2111" s="6">
        <v>2081</v>
      </c>
      <c r="R2111" s="7">
        <v>44748</v>
      </c>
      <c r="S2111" s="210">
        <v>4.25</v>
      </c>
      <c r="T2111" s="8">
        <v>1.0001180555555556</v>
      </c>
      <c r="U2111" s="98">
        <v>4.1286609714958233</v>
      </c>
      <c r="V2111" s="106">
        <v>31208.850881981682</v>
      </c>
      <c r="W2111" s="10">
        <v>1.0156241501722896</v>
      </c>
      <c r="X2111" s="420"/>
      <c r="Y2111" s="420"/>
      <c r="Z2111" s="1"/>
      <c r="AA2111" s="1"/>
      <c r="AB2111" s="1"/>
      <c r="AC2111" s="1"/>
      <c r="AD2111" s="1"/>
    </row>
    <row r="2112" spans="17:30">
      <c r="Q2112" s="6">
        <v>2082</v>
      </c>
      <c r="R2112" s="7">
        <v>44749</v>
      </c>
      <c r="S2112" s="210">
        <v>4.25</v>
      </c>
      <c r="T2112" s="8">
        <v>1.0001180555555556</v>
      </c>
      <c r="U2112" s="98">
        <v>4.128792540852011</v>
      </c>
      <c r="V2112" s="106">
        <v>31211.44848213805</v>
      </c>
      <c r="W2112" s="10">
        <v>1.015750493137979</v>
      </c>
      <c r="X2112" s="420"/>
      <c r="Y2112" s="420"/>
      <c r="Z2112" s="1"/>
      <c r="AA2112" s="1"/>
      <c r="AB2112" s="1"/>
      <c r="AC2112" s="1"/>
      <c r="AD2112" s="1"/>
    </row>
    <row r="2113" spans="17:30">
      <c r="Q2113" s="6">
        <v>2083</v>
      </c>
      <c r="R2113" s="7">
        <v>44750</v>
      </c>
      <c r="S2113" s="210">
        <v>4.25</v>
      </c>
      <c r="T2113" s="8">
        <v>1.0001180555555556</v>
      </c>
      <c r="U2113" s="98">
        <v>4.1289239840474057</v>
      </c>
      <c r="V2113" s="106">
        <v>31214.046298499969</v>
      </c>
      <c r="W2113" s="10">
        <v>1.0158767149527792</v>
      </c>
      <c r="X2113" s="420"/>
      <c r="Y2113" s="420"/>
      <c r="Z2113" s="1"/>
      <c r="AA2113" s="1"/>
      <c r="AB2113" s="1"/>
      <c r="AC2113" s="1"/>
      <c r="AD2113" s="1"/>
    </row>
    <row r="2114" spans="17:30">
      <c r="Q2114" s="6">
        <v>2084</v>
      </c>
      <c r="R2114" s="7">
        <v>44751</v>
      </c>
      <c r="S2114" s="210">
        <v>4.25</v>
      </c>
      <c r="T2114" s="8">
        <v>1.0001180555555556</v>
      </c>
      <c r="U2114" s="98">
        <v>4.1290553012633735</v>
      </c>
      <c r="V2114" s="106">
        <v>31216.644331085419</v>
      </c>
      <c r="W2114" s="10">
        <v>1.0160028157909062</v>
      </c>
      <c r="X2114" s="420"/>
      <c r="Y2114" s="420"/>
      <c r="Z2114" s="1"/>
      <c r="AA2114" s="1"/>
      <c r="AB2114" s="1"/>
      <c r="AC2114" s="1"/>
      <c r="AD2114" s="1"/>
    </row>
    <row r="2115" spans="17:30">
      <c r="Q2115" s="6">
        <v>2085</v>
      </c>
      <c r="R2115" s="7">
        <v>44752</v>
      </c>
      <c r="S2115" s="210">
        <v>4.25</v>
      </c>
      <c r="T2115" s="8">
        <v>1.0001180555555556</v>
      </c>
      <c r="U2115" s="98">
        <v>4.1291864926809696</v>
      </c>
      <c r="V2115" s="106">
        <v>31219.158762058672</v>
      </c>
      <c r="W2115" s="10">
        <v>1.0161762738227997</v>
      </c>
      <c r="X2115" s="420"/>
      <c r="Y2115" s="420"/>
      <c r="Z2115" s="1"/>
      <c r="AA2115" s="1"/>
      <c r="AB2115" s="1"/>
      <c r="AC2115" s="1"/>
      <c r="AD2115" s="1"/>
    </row>
    <row r="2116" spans="17:30">
      <c r="Q2116" s="6">
        <v>2086</v>
      </c>
      <c r="R2116" s="7">
        <v>44753</v>
      </c>
      <c r="S2116" s="210">
        <v>4.25</v>
      </c>
      <c r="T2116" s="8">
        <v>1.0001180555555556</v>
      </c>
      <c r="U2116" s="98">
        <v>4.1293175584808495</v>
      </c>
      <c r="V2116" s="106">
        <v>31221.673395563732</v>
      </c>
      <c r="W2116" s="10">
        <v>1.0163495658452648</v>
      </c>
      <c r="X2116" s="420"/>
      <c r="Y2116" s="420"/>
      <c r="Z2116" s="1"/>
      <c r="AA2116" s="1"/>
      <c r="AB2116" s="1"/>
      <c r="AC2116" s="1"/>
      <c r="AD2116" s="1"/>
    </row>
    <row r="2117" spans="17:30">
      <c r="Q2117" s="6">
        <v>2087</v>
      </c>
      <c r="R2117" s="7">
        <v>44754</v>
      </c>
      <c r="S2117" s="210">
        <v>4.25</v>
      </c>
      <c r="T2117" s="8">
        <v>1.0001180555555556</v>
      </c>
      <c r="U2117" s="98">
        <v>4.1294484988433577</v>
      </c>
      <c r="V2117" s="106">
        <v>31224.188231616899</v>
      </c>
      <c r="W2117" s="10">
        <v>1.0165226920965331</v>
      </c>
      <c r="X2117" s="420"/>
      <c r="Y2117" s="420"/>
      <c r="Z2117" s="1"/>
      <c r="AA2117" s="1"/>
      <c r="AB2117" s="1"/>
      <c r="AC2117" s="1"/>
      <c r="AD2117" s="1"/>
    </row>
    <row r="2118" spans="17:30">
      <c r="Q2118" s="6">
        <v>2088</v>
      </c>
      <c r="R2118" s="7">
        <v>44755</v>
      </c>
      <c r="S2118" s="210">
        <v>4.25</v>
      </c>
      <c r="T2118" s="8">
        <v>1.0001180555555556</v>
      </c>
      <c r="U2118" s="98">
        <v>4.1295793139484838</v>
      </c>
      <c r="V2118" s="106">
        <v>31226.703270234488</v>
      </c>
      <c r="W2118" s="10">
        <v>1.0166956528143478</v>
      </c>
      <c r="X2118" s="420"/>
      <c r="Y2118" s="420"/>
      <c r="Z2118" s="1"/>
      <c r="AA2118" s="1"/>
      <c r="AB2118" s="1"/>
      <c r="AC2118" s="1"/>
      <c r="AD2118" s="1"/>
    </row>
    <row r="2119" spans="17:30">
      <c r="Q2119" s="6">
        <v>2089</v>
      </c>
      <c r="R2119" s="7">
        <v>44756</v>
      </c>
      <c r="S2119" s="210">
        <v>4.25</v>
      </c>
      <c r="T2119" s="8">
        <v>1.0001180555555556</v>
      </c>
      <c r="U2119" s="98">
        <v>4.1297100039758616</v>
      </c>
      <c r="V2119" s="106">
        <v>31229.218511432824</v>
      </c>
      <c r="W2119" s="10">
        <v>1.0168684482359858</v>
      </c>
      <c r="X2119" s="420"/>
      <c r="Y2119" s="420"/>
      <c r="Z2119" s="1"/>
      <c r="AA2119" s="1"/>
      <c r="AB2119" s="1"/>
      <c r="AC2119" s="1"/>
      <c r="AD2119" s="1"/>
    </row>
    <row r="2120" spans="17:30">
      <c r="Q2120" s="6">
        <v>2090</v>
      </c>
      <c r="R2120" s="7">
        <v>44757</v>
      </c>
      <c r="S2120" s="210">
        <v>4.25</v>
      </c>
      <c r="T2120" s="8">
        <v>1.0001180555555556</v>
      </c>
      <c r="U2120" s="98">
        <v>4.1298405691047924</v>
      </c>
      <c r="V2120" s="106">
        <v>31231.733955228221</v>
      </c>
      <c r="W2120" s="10">
        <v>1.017041078598302</v>
      </c>
      <c r="X2120" s="420"/>
      <c r="Y2120" s="420"/>
      <c r="Z2120" s="1"/>
      <c r="AA2120" s="1"/>
      <c r="AB2120" s="1"/>
      <c r="AC2120" s="1"/>
      <c r="AD2120" s="1"/>
    </row>
    <row r="2121" spans="17:30">
      <c r="Q2121" s="6">
        <v>2091</v>
      </c>
      <c r="R2121" s="7">
        <v>44758</v>
      </c>
      <c r="S2121" s="210">
        <v>4.25</v>
      </c>
      <c r="T2121" s="8">
        <v>1.0001180555555556</v>
      </c>
      <c r="U2121" s="98">
        <v>4.1299710095142439</v>
      </c>
      <c r="V2121" s="106">
        <v>31234.249601636995</v>
      </c>
      <c r="W2121" s="10">
        <v>1.0172135441376851</v>
      </c>
      <c r="X2121" s="420"/>
      <c r="Y2121" s="420"/>
      <c r="Z2121" s="1"/>
      <c r="AA2121" s="1"/>
      <c r="AB2121" s="1"/>
      <c r="AC2121" s="1"/>
      <c r="AD2121" s="1"/>
    </row>
    <row r="2122" spans="17:30">
      <c r="Q2122" s="6">
        <v>2092</v>
      </c>
      <c r="R2122" s="7">
        <v>44759</v>
      </c>
      <c r="S2122" s="210">
        <v>4.25</v>
      </c>
      <c r="T2122" s="8">
        <v>1.0001180555555556</v>
      </c>
      <c r="U2122" s="98">
        <v>4.1301013253828511</v>
      </c>
      <c r="V2122" s="106">
        <v>31236.765450675477</v>
      </c>
      <c r="W2122" s="10">
        <v>1.0173858450901019</v>
      </c>
      <c r="X2122" s="420"/>
      <c r="Y2122" s="420"/>
      <c r="Z2122" s="1"/>
      <c r="AA2122" s="1"/>
      <c r="AB2122" s="1"/>
      <c r="AC2122" s="1"/>
      <c r="AD2122" s="1"/>
    </row>
    <row r="2123" spans="17:30">
      <c r="Q2123" s="6">
        <v>2093</v>
      </c>
      <c r="R2123" s="7">
        <v>44760</v>
      </c>
      <c r="S2123" s="210">
        <v>4.25</v>
      </c>
      <c r="T2123" s="8">
        <v>1.0001180555555556</v>
      </c>
      <c r="U2123" s="98">
        <v>4.1302315168888715</v>
      </c>
      <c r="V2123" s="106">
        <v>31239.281502359969</v>
      </c>
      <c r="W2123" s="10">
        <v>1.0175579816910085</v>
      </c>
      <c r="X2123" s="420"/>
      <c r="Y2123" s="420"/>
      <c r="Z2123" s="1"/>
      <c r="AA2123" s="1"/>
      <c r="AB2123" s="1"/>
      <c r="AC2123" s="1"/>
      <c r="AD2123" s="1"/>
    </row>
    <row r="2124" spans="17:30">
      <c r="Q2124" s="6">
        <v>2094</v>
      </c>
      <c r="R2124" s="7">
        <v>44761</v>
      </c>
      <c r="S2124" s="210">
        <v>4.25</v>
      </c>
      <c r="T2124" s="8">
        <v>1.0001180555555556</v>
      </c>
      <c r="U2124" s="98">
        <v>4.1303615842102515</v>
      </c>
      <c r="V2124" s="106">
        <v>31241.797756706805</v>
      </c>
      <c r="W2124" s="10">
        <v>1.0177299541754836</v>
      </c>
      <c r="X2124" s="420"/>
      <c r="Y2124" s="420"/>
      <c r="Z2124" s="1"/>
      <c r="AA2124" s="1"/>
      <c r="AB2124" s="1"/>
      <c r="AC2124" s="1"/>
      <c r="AD2124" s="1"/>
    </row>
    <row r="2125" spans="17:30">
      <c r="Q2125" s="6">
        <v>2095</v>
      </c>
      <c r="R2125" s="7">
        <v>44762</v>
      </c>
      <c r="S2125" s="210">
        <v>4.25</v>
      </c>
      <c r="T2125" s="8">
        <v>1.0001180555555556</v>
      </c>
      <c r="U2125" s="98">
        <v>4.1304915275245824</v>
      </c>
      <c r="V2125" s="106">
        <v>31244.314213732312</v>
      </c>
      <c r="W2125" s="10">
        <v>1.0179017627780729</v>
      </c>
      <c r="X2125" s="420"/>
      <c r="Y2125" s="420"/>
      <c r="Z2125" s="1"/>
      <c r="AA2125" s="1"/>
      <c r="AB2125" s="1"/>
      <c r="AC2125" s="1"/>
      <c r="AD2125" s="1"/>
    </row>
    <row r="2126" spans="17:30">
      <c r="Q2126" s="6">
        <v>2096</v>
      </c>
      <c r="R2126" s="7">
        <v>44763</v>
      </c>
      <c r="S2126" s="210">
        <v>4.25</v>
      </c>
      <c r="T2126" s="8">
        <v>1.0001180555555556</v>
      </c>
      <c r="U2126" s="98">
        <v>4.1306213470091224</v>
      </c>
      <c r="V2126" s="106">
        <v>31246.830873452807</v>
      </c>
      <c r="W2126" s="10">
        <v>1.0180734077329667</v>
      </c>
      <c r="X2126" s="420"/>
      <c r="Y2126" s="420"/>
      <c r="Z2126" s="1"/>
      <c r="AA2126" s="1"/>
      <c r="AB2126" s="1"/>
      <c r="AC2126" s="1"/>
      <c r="AD2126" s="1"/>
    </row>
    <row r="2127" spans="17:30">
      <c r="Q2127" s="6">
        <v>2097</v>
      </c>
      <c r="R2127" s="7">
        <v>44764</v>
      </c>
      <c r="S2127" s="210">
        <v>4.25</v>
      </c>
      <c r="T2127" s="8">
        <v>1.0001180555555556</v>
      </c>
      <c r="U2127" s="98">
        <v>4.1307510428407967</v>
      </c>
      <c r="V2127" s="106">
        <v>31249.347735884625</v>
      </c>
      <c r="W2127" s="10">
        <v>1.0182448892738227</v>
      </c>
      <c r="X2127" s="420"/>
      <c r="Y2127" s="420"/>
      <c r="Z2127" s="1"/>
      <c r="AA2127" s="1"/>
      <c r="AB2127" s="1"/>
      <c r="AC2127" s="1"/>
      <c r="AD2127" s="1"/>
    </row>
    <row r="2128" spans="17:30">
      <c r="Q2128" s="6">
        <v>2098</v>
      </c>
      <c r="R2128" s="7">
        <v>44765</v>
      </c>
      <c r="S2128" s="210">
        <v>4.25</v>
      </c>
      <c r="T2128" s="8">
        <v>1.0001180555555556</v>
      </c>
      <c r="U2128" s="98">
        <v>4.1308806151961752</v>
      </c>
      <c r="V2128" s="106">
        <v>31251.864801044088</v>
      </c>
      <c r="W2128" s="10">
        <v>1.0184162076339209</v>
      </c>
      <c r="X2128" s="420"/>
      <c r="Y2128" s="420"/>
      <c r="Z2128" s="1"/>
      <c r="AA2128" s="1"/>
      <c r="AB2128" s="1"/>
      <c r="AC2128" s="1"/>
      <c r="AD2128" s="1"/>
    </row>
    <row r="2129" spans="17:30">
      <c r="Q2129" s="6">
        <v>2099</v>
      </c>
      <c r="R2129" s="7">
        <v>44766</v>
      </c>
      <c r="S2129" s="210">
        <v>4.25</v>
      </c>
      <c r="T2129" s="8">
        <v>1.0001180555555556</v>
      </c>
      <c r="U2129" s="98">
        <v>4.1310100642515168</v>
      </c>
      <c r="V2129" s="106">
        <v>31254.382068947529</v>
      </c>
      <c r="W2129" s="10">
        <v>1.0185873630460751</v>
      </c>
      <c r="X2129" s="420"/>
      <c r="Y2129" s="420"/>
      <c r="Z2129" s="1"/>
      <c r="AA2129" s="1"/>
      <c r="AB2129" s="1"/>
      <c r="AC2129" s="1"/>
      <c r="AD2129" s="1"/>
    </row>
    <row r="2130" spans="17:30">
      <c r="Q2130" s="6">
        <v>2100</v>
      </c>
      <c r="R2130" s="7">
        <v>44767</v>
      </c>
      <c r="S2130" s="210">
        <v>4.25</v>
      </c>
      <c r="T2130" s="8">
        <v>1.0001180555555556</v>
      </c>
      <c r="U2130" s="98">
        <v>4.1311393901827476</v>
      </c>
      <c r="V2130" s="106">
        <v>31256.899539611277</v>
      </c>
      <c r="W2130" s="10">
        <v>1.0187583557426549</v>
      </c>
      <c r="X2130" s="420"/>
      <c r="Y2130" s="420"/>
      <c r="Z2130" s="1"/>
      <c r="AA2130" s="1"/>
      <c r="AB2130" s="1"/>
      <c r="AC2130" s="1"/>
      <c r="AD2130" s="1"/>
    </row>
    <row r="2131" spans="17:30">
      <c r="Q2131" s="6">
        <v>2101</v>
      </c>
      <c r="R2131" s="7">
        <v>44768</v>
      </c>
      <c r="S2131" s="210">
        <v>4.25</v>
      </c>
      <c r="T2131" s="8">
        <v>1.0001180555555556</v>
      </c>
      <c r="U2131" s="98">
        <v>4.131268593165438</v>
      </c>
      <c r="V2131" s="106">
        <v>31259.417213051664</v>
      </c>
      <c r="W2131" s="10">
        <v>1.0189291859555638</v>
      </c>
      <c r="X2131" s="420"/>
      <c r="Y2131" s="420"/>
      <c r="Z2131" s="1"/>
      <c r="AA2131" s="1"/>
      <c r="AB2131" s="1"/>
      <c r="AC2131" s="1"/>
      <c r="AD2131" s="1"/>
    </row>
    <row r="2132" spans="17:30">
      <c r="Q2132" s="6">
        <v>2102</v>
      </c>
      <c r="R2132" s="7">
        <v>44769</v>
      </c>
      <c r="S2132" s="210">
        <v>4.25</v>
      </c>
      <c r="T2132" s="8">
        <v>1.0001180555555556</v>
      </c>
      <c r="U2132" s="98">
        <v>4.1313976733748259</v>
      </c>
      <c r="V2132" s="106">
        <v>31261.93508928502</v>
      </c>
      <c r="W2132" s="10">
        <v>1.0190998539163276</v>
      </c>
      <c r="X2132" s="420"/>
      <c r="Y2132" s="420"/>
      <c r="Z2132" s="1"/>
      <c r="AA2132" s="1"/>
      <c r="AB2132" s="1"/>
      <c r="AC2132" s="1"/>
      <c r="AD2132" s="1"/>
    </row>
    <row r="2133" spans="17:30">
      <c r="Q2133" s="6">
        <v>2103</v>
      </c>
      <c r="R2133" s="7">
        <v>44770</v>
      </c>
      <c r="S2133" s="210">
        <v>4.25</v>
      </c>
      <c r="T2133" s="8">
        <v>1.0001180555555556</v>
      </c>
      <c r="U2133" s="98">
        <v>4.1315266309858378</v>
      </c>
      <c r="V2133" s="106">
        <v>31264.453168327691</v>
      </c>
      <c r="W2133" s="10">
        <v>1.0192703598559616</v>
      </c>
      <c r="X2133" s="420"/>
      <c r="Y2133" s="420"/>
      <c r="Z2133" s="1"/>
      <c r="AA2133" s="1"/>
      <c r="AB2133" s="1"/>
      <c r="AC2133" s="1"/>
      <c r="AD2133" s="1"/>
    </row>
    <row r="2134" spans="17:30">
      <c r="Q2134" s="6">
        <v>2104</v>
      </c>
      <c r="R2134" s="7">
        <v>44771</v>
      </c>
      <c r="S2134" s="210">
        <v>4.25</v>
      </c>
      <c r="T2134" s="8">
        <v>1.0001180555555556</v>
      </c>
      <c r="U2134" s="98">
        <v>4.1316554661730454</v>
      </c>
      <c r="V2134" s="106">
        <v>31266.971450195997</v>
      </c>
      <c r="W2134" s="10">
        <v>1.0194407040051034</v>
      </c>
      <c r="X2134" s="420"/>
      <c r="Y2134" s="420"/>
      <c r="Z2134" s="1"/>
      <c r="AA2134" s="1"/>
      <c r="AB2134" s="1"/>
      <c r="AC2134" s="1"/>
      <c r="AD2134" s="1"/>
    </row>
    <row r="2135" spans="17:30">
      <c r="Q2135" s="6">
        <v>2105</v>
      </c>
      <c r="R2135" s="7">
        <v>44772</v>
      </c>
      <c r="S2135" s="210">
        <v>4.25</v>
      </c>
      <c r="T2135" s="8">
        <v>1.0001180555555556</v>
      </c>
      <c r="U2135" s="98">
        <v>4.1317841791106868</v>
      </c>
      <c r="V2135" s="106">
        <v>31269.48993490628</v>
      </c>
      <c r="W2135" s="10">
        <v>1.0196108865939024</v>
      </c>
      <c r="X2135" s="420"/>
      <c r="Y2135" s="420"/>
      <c r="Z2135" s="1"/>
      <c r="AA2135" s="1"/>
      <c r="AB2135" s="1"/>
      <c r="AC2135" s="1"/>
      <c r="AD2135" s="1"/>
    </row>
    <row r="2136" spans="17:30">
      <c r="Q2136" s="6">
        <v>2106</v>
      </c>
      <c r="R2136" s="7">
        <v>44773</v>
      </c>
      <c r="S2136" s="210">
        <v>4.25</v>
      </c>
      <c r="T2136" s="8">
        <v>1.0001180555555556</v>
      </c>
      <c r="U2136" s="98">
        <v>4.1319127699726899</v>
      </c>
      <c r="V2136" s="106">
        <v>31272.008622474885</v>
      </c>
      <c r="W2136" s="10">
        <v>1.0197809078520859</v>
      </c>
      <c r="X2136" s="420"/>
      <c r="Y2136" s="420"/>
      <c r="Z2136" s="1"/>
      <c r="AA2136" s="1"/>
      <c r="AB2136" s="1"/>
      <c r="AC2136" s="1"/>
      <c r="AD2136" s="1"/>
    </row>
    <row r="2137" spans="17:30">
      <c r="Q2137" s="6">
        <v>2107</v>
      </c>
      <c r="R2137" s="7">
        <v>44774</v>
      </c>
      <c r="S2137" s="210">
        <v>4.25</v>
      </c>
      <c r="T2137" s="8">
        <v>1.0001180555555556</v>
      </c>
      <c r="U2137" s="98">
        <v>4.1320412389326489</v>
      </c>
      <c r="V2137" s="106">
        <v>31274.52751291815</v>
      </c>
      <c r="W2137" s="10">
        <v>1.0199507680089592</v>
      </c>
      <c r="X2137" s="420"/>
      <c r="Y2137" s="420"/>
      <c r="Z2137" s="1"/>
      <c r="AA2137" s="1"/>
      <c r="AB2137" s="1"/>
      <c r="AC2137" s="1"/>
      <c r="AD2137" s="1"/>
    </row>
    <row r="2138" spans="17:30">
      <c r="Q2138" s="6">
        <v>2108</v>
      </c>
      <c r="R2138" s="7">
        <v>44775</v>
      </c>
      <c r="S2138" s="210">
        <v>4.25</v>
      </c>
      <c r="T2138" s="8">
        <v>1.0001180555555556</v>
      </c>
      <c r="U2138" s="98">
        <v>4.132169586163803</v>
      </c>
      <c r="V2138" s="106">
        <v>31277.046606252406</v>
      </c>
      <c r="W2138" s="10">
        <v>1.0201204672934061</v>
      </c>
      <c r="X2138" s="420"/>
      <c r="Y2138" s="420"/>
      <c r="Z2138" s="1"/>
      <c r="AA2138" s="1"/>
      <c r="AB2138" s="1"/>
      <c r="AC2138" s="1"/>
      <c r="AD2138" s="1"/>
    </row>
    <row r="2139" spans="17:30">
      <c r="Q2139" s="6">
        <v>2109</v>
      </c>
      <c r="R2139" s="7">
        <v>44776</v>
      </c>
      <c r="S2139" s="210">
        <v>4.25</v>
      </c>
      <c r="T2139" s="8">
        <v>1.0001180555555556</v>
      </c>
      <c r="U2139" s="98">
        <v>4.1322978118391029</v>
      </c>
      <c r="V2139" s="106">
        <v>31279.565902494011</v>
      </c>
      <c r="W2139" s="10">
        <v>1.0202900059338216</v>
      </c>
      <c r="X2139" s="420"/>
      <c r="Y2139" s="420"/>
      <c r="Z2139" s="1"/>
      <c r="AA2139" s="1"/>
      <c r="AB2139" s="1"/>
      <c r="AC2139" s="1"/>
      <c r="AD2139" s="1"/>
    </row>
    <row r="2140" spans="17:30">
      <c r="Q2140" s="6">
        <v>2110</v>
      </c>
      <c r="R2140" s="7">
        <v>44777</v>
      </c>
      <c r="S2140" s="210">
        <v>4.25</v>
      </c>
      <c r="T2140" s="8">
        <v>1.0001180555555556</v>
      </c>
      <c r="U2140" s="98">
        <v>4.1324259161311439</v>
      </c>
      <c r="V2140" s="106">
        <v>31282.085401659297</v>
      </c>
      <c r="W2140" s="10">
        <v>1.0204593841582676</v>
      </c>
      <c r="X2140" s="420"/>
      <c r="Y2140" s="420"/>
      <c r="Z2140" s="1"/>
      <c r="AA2140" s="1"/>
      <c r="AB2140" s="1"/>
      <c r="AC2140" s="1"/>
      <c r="AD2140" s="1"/>
    </row>
    <row r="2141" spans="17:30">
      <c r="Q2141" s="6">
        <v>2111</v>
      </c>
      <c r="R2141" s="7">
        <v>44778</v>
      </c>
      <c r="S2141" s="210">
        <v>4.25</v>
      </c>
      <c r="T2141" s="8">
        <v>1.0001180555555556</v>
      </c>
      <c r="U2141" s="98">
        <v>4.1325538992122102</v>
      </c>
      <c r="V2141" s="106">
        <v>31284.605103764618</v>
      </c>
      <c r="W2141" s="10">
        <v>1.0206286021942512</v>
      </c>
      <c r="X2141" s="420"/>
      <c r="Y2141" s="420"/>
      <c r="Z2141" s="1"/>
      <c r="AA2141" s="1"/>
      <c r="AB2141" s="1"/>
      <c r="AC2141" s="1"/>
      <c r="AD2141" s="1"/>
    </row>
    <row r="2142" spans="17:30">
      <c r="Q2142" s="6">
        <v>2112</v>
      </c>
      <c r="R2142" s="7">
        <v>44779</v>
      </c>
      <c r="S2142" s="210">
        <v>4.25</v>
      </c>
      <c r="T2142" s="8">
        <v>1.0001180555555556</v>
      </c>
      <c r="U2142" s="98">
        <v>4.1326817612542532</v>
      </c>
      <c r="V2142" s="106">
        <v>31287.125008826308</v>
      </c>
      <c r="W2142" s="10">
        <v>1.0207976602689239</v>
      </c>
      <c r="X2142" s="420"/>
      <c r="Y2142" s="420"/>
      <c r="Z2142" s="1"/>
      <c r="AA2142" s="1"/>
      <c r="AB2142" s="1"/>
      <c r="AC2142" s="1"/>
      <c r="AD2142" s="1"/>
    </row>
    <row r="2143" spans="17:30">
      <c r="Q2143" s="6">
        <v>2113</v>
      </c>
      <c r="R2143" s="7">
        <v>44780</v>
      </c>
      <c r="S2143" s="210">
        <v>4.25</v>
      </c>
      <c r="T2143" s="8">
        <v>1.0001180555555556</v>
      </c>
      <c r="U2143" s="98">
        <v>4.1328095024288913</v>
      </c>
      <c r="V2143" s="106">
        <v>31289.645116860724</v>
      </c>
      <c r="W2143" s="10">
        <v>1.0209665586090377</v>
      </c>
      <c r="X2143" s="420"/>
      <c r="Y2143" s="420"/>
      <c r="Z2143" s="1"/>
      <c r="AA2143" s="1"/>
      <c r="AB2143" s="1"/>
      <c r="AC2143" s="1"/>
      <c r="AD2143" s="1"/>
    </row>
    <row r="2144" spans="17:30">
      <c r="Q2144" s="6">
        <v>2114</v>
      </c>
      <c r="R2144" s="7">
        <v>44781</v>
      </c>
      <c r="S2144" s="210">
        <v>4.25</v>
      </c>
      <c r="T2144" s="8">
        <v>1.0001180555555556</v>
      </c>
      <c r="U2144" s="98">
        <v>4.1329371229074319</v>
      </c>
      <c r="V2144" s="106">
        <v>31292.165427884214</v>
      </c>
      <c r="W2144" s="10">
        <v>1.0211352974408117</v>
      </c>
      <c r="X2144" s="420"/>
      <c r="Y2144" s="420"/>
      <c r="Z2144" s="1"/>
      <c r="AA2144" s="1"/>
      <c r="AB2144" s="1"/>
      <c r="AC2144" s="1"/>
      <c r="AD2144" s="1"/>
    </row>
    <row r="2145" spans="17:30">
      <c r="Q2145" s="6">
        <v>2115</v>
      </c>
      <c r="R2145" s="7">
        <v>44782</v>
      </c>
      <c r="S2145" s="210">
        <v>4.25</v>
      </c>
      <c r="T2145" s="8">
        <v>1.0001180555555556</v>
      </c>
      <c r="U2145" s="98">
        <v>4.1330646228608714</v>
      </c>
      <c r="V2145" s="106">
        <v>31294.685941913132</v>
      </c>
      <c r="W2145" s="10">
        <v>1.0213038769901539</v>
      </c>
      <c r="X2145" s="420"/>
      <c r="Y2145" s="420"/>
      <c r="Z2145" s="1"/>
      <c r="AA2145" s="1"/>
      <c r="AB2145" s="1"/>
      <c r="AC2145" s="1"/>
      <c r="AD2145" s="1"/>
    </row>
    <row r="2146" spans="17:30">
      <c r="Q2146" s="6">
        <v>2116</v>
      </c>
      <c r="R2146" s="7">
        <v>44783</v>
      </c>
      <c r="S2146" s="210">
        <v>4.25</v>
      </c>
      <c r="T2146" s="8">
        <v>1.0001180555555556</v>
      </c>
      <c r="U2146" s="98">
        <v>4.133192002459829</v>
      </c>
      <c r="V2146" s="106">
        <v>31297.20665896382</v>
      </c>
      <c r="W2146" s="10">
        <v>1.0214722974824619</v>
      </c>
      <c r="X2146" s="420"/>
      <c r="Y2146" s="420"/>
      <c r="Z2146" s="1"/>
      <c r="AA2146" s="1"/>
      <c r="AB2146" s="1"/>
      <c r="AC2146" s="1"/>
      <c r="AD2146" s="1"/>
    </row>
    <row r="2147" spans="17:30">
      <c r="Q2147" s="6">
        <v>2117</v>
      </c>
      <c r="R2147" s="7">
        <v>44784</v>
      </c>
      <c r="S2147" s="210">
        <v>4.25</v>
      </c>
      <c r="T2147" s="8">
        <v>1.0001180555555556</v>
      </c>
      <c r="U2147" s="98">
        <v>4.1333192618746573</v>
      </c>
      <c r="V2147" s="106">
        <v>31299.72757905264</v>
      </c>
      <c r="W2147" s="10">
        <v>1.0216405591427336</v>
      </c>
      <c r="X2147" s="420"/>
      <c r="Y2147" s="420"/>
      <c r="Z2147" s="1"/>
      <c r="AA2147" s="1"/>
      <c r="AB2147" s="1"/>
      <c r="AC2147" s="1"/>
      <c r="AD2147" s="1"/>
    </row>
    <row r="2148" spans="17:30">
      <c r="Q2148" s="6">
        <v>2118</v>
      </c>
      <c r="R2148" s="7">
        <v>44785</v>
      </c>
      <c r="S2148" s="210">
        <v>4.25</v>
      </c>
      <c r="T2148" s="8">
        <v>1.0001180555555556</v>
      </c>
      <c r="U2148" s="98">
        <v>4.1334464012753758</v>
      </c>
      <c r="V2148" s="106">
        <v>31302.248702195939</v>
      </c>
      <c r="W2148" s="10">
        <v>1.0218086621955669</v>
      </c>
      <c r="X2148" s="420"/>
      <c r="Y2148" s="420"/>
      <c r="Z2148" s="1"/>
      <c r="AA2148" s="1"/>
      <c r="AB2148" s="1"/>
      <c r="AC2148" s="1"/>
      <c r="AD2148" s="1"/>
    </row>
    <row r="2149" spans="17:30">
      <c r="Q2149" s="6">
        <v>2119</v>
      </c>
      <c r="R2149" s="7">
        <v>44786</v>
      </c>
      <c r="S2149" s="210">
        <v>4.25</v>
      </c>
      <c r="T2149" s="8">
        <v>1.0001180555555556</v>
      </c>
      <c r="U2149" s="98">
        <v>4.133573420831671</v>
      </c>
      <c r="V2149" s="106">
        <v>31304.770028410072</v>
      </c>
      <c r="W2149" s="10">
        <v>1.0219766068651159</v>
      </c>
      <c r="X2149" s="420"/>
      <c r="Y2149" s="420"/>
      <c r="Z2149" s="1"/>
      <c r="AA2149" s="1"/>
      <c r="AB2149" s="1"/>
      <c r="AC2149" s="1"/>
      <c r="AD2149" s="1"/>
    </row>
    <row r="2150" spans="17:30">
      <c r="Q2150" s="6">
        <v>2120</v>
      </c>
      <c r="R2150" s="7">
        <v>44787</v>
      </c>
      <c r="S2150" s="210">
        <v>4.25</v>
      </c>
      <c r="T2150" s="8">
        <v>1.0001180555555556</v>
      </c>
      <c r="U2150" s="98">
        <v>4.1337003207129186</v>
      </c>
      <c r="V2150" s="106">
        <v>31307.291557711407</v>
      </c>
      <c r="W2150" s="10">
        <v>1.0221443933750907</v>
      </c>
      <c r="X2150" s="420"/>
      <c r="Y2150" s="420"/>
      <c r="Z2150" s="1"/>
      <c r="AA2150" s="1"/>
      <c r="AB2150" s="1"/>
      <c r="AC2150" s="1"/>
      <c r="AD2150" s="1"/>
    </row>
    <row r="2151" spans="17:30">
      <c r="Q2151" s="6">
        <v>2121</v>
      </c>
      <c r="R2151" s="7">
        <v>44788</v>
      </c>
      <c r="S2151" s="210">
        <v>4.25</v>
      </c>
      <c r="T2151" s="8">
        <v>1.0001180555555556</v>
      </c>
      <c r="U2151" s="98">
        <v>4.1338271010881611</v>
      </c>
      <c r="V2151" s="106">
        <v>31309.81329011629</v>
      </c>
      <c r="W2151" s="10">
        <v>1.0223120219488235</v>
      </c>
      <c r="X2151" s="420"/>
      <c r="Y2151" s="420"/>
      <c r="Z2151" s="1"/>
      <c r="AA2151" s="1"/>
      <c r="AB2151" s="1"/>
      <c r="AC2151" s="1"/>
      <c r="AD2151" s="1"/>
    </row>
    <row r="2152" spans="17:30">
      <c r="Q2152" s="6">
        <v>2122</v>
      </c>
      <c r="R2152" s="7">
        <v>44789</v>
      </c>
      <c r="S2152" s="210">
        <v>4.25</v>
      </c>
      <c r="T2152" s="8">
        <v>1.0001180555555556</v>
      </c>
      <c r="U2152" s="98">
        <v>4.1339537621261302</v>
      </c>
      <c r="V2152" s="106">
        <v>31312.335225641087</v>
      </c>
      <c r="W2152" s="10">
        <v>1.0224794928092029</v>
      </c>
      <c r="X2152" s="420"/>
      <c r="Y2152" s="420"/>
      <c r="Z2152" s="1"/>
      <c r="AA2152" s="1"/>
      <c r="AB2152" s="1"/>
      <c r="AC2152" s="1"/>
      <c r="AD2152" s="1"/>
    </row>
    <row r="2153" spans="17:30">
      <c r="Q2153" s="6">
        <v>2123</v>
      </c>
      <c r="R2153" s="7">
        <v>44790</v>
      </c>
      <c r="S2153" s="210">
        <v>4.25</v>
      </c>
      <c r="T2153" s="8">
        <v>1.0001180555555556</v>
      </c>
      <c r="U2153" s="98">
        <v>4.1340803039952467</v>
      </c>
      <c r="V2153" s="106">
        <v>31314.857364302163</v>
      </c>
      <c r="W2153" s="10">
        <v>1.0226468061786731</v>
      </c>
      <c r="X2153" s="420"/>
      <c r="Y2153" s="420"/>
      <c r="Z2153" s="1"/>
      <c r="AA2153" s="1"/>
      <c r="AB2153" s="1"/>
      <c r="AC2153" s="1"/>
      <c r="AD2153" s="1"/>
    </row>
    <row r="2154" spans="17:30">
      <c r="Q2154" s="6">
        <v>2124</v>
      </c>
      <c r="R2154" s="7">
        <v>44791</v>
      </c>
      <c r="S2154" s="210">
        <v>4.25</v>
      </c>
      <c r="T2154" s="8">
        <v>1.0001180555555556</v>
      </c>
      <c r="U2154" s="98">
        <v>4.1342067268636207</v>
      </c>
      <c r="V2154" s="106">
        <v>31317.379706115869</v>
      </c>
      <c r="W2154" s="10">
        <v>1.0228139622793231</v>
      </c>
      <c r="X2154" s="420"/>
      <c r="Y2154" s="420"/>
      <c r="Z2154" s="1"/>
      <c r="AA2154" s="1"/>
      <c r="AB2154" s="1"/>
      <c r="AC2154" s="1"/>
      <c r="AD2154" s="1"/>
    </row>
    <row r="2155" spans="17:30">
      <c r="Q2155" s="6">
        <v>2125</v>
      </c>
      <c r="R2155" s="7">
        <v>44792</v>
      </c>
      <c r="S2155" s="210">
        <v>4.25</v>
      </c>
      <c r="T2155" s="8">
        <v>1.0001180555555556</v>
      </c>
      <c r="U2155" s="98">
        <v>4.1343330308990289</v>
      </c>
      <c r="V2155" s="106">
        <v>31319.902251098571</v>
      </c>
      <c r="W2155" s="10">
        <v>1.0229809613327756</v>
      </c>
      <c r="X2155" s="420"/>
      <c r="Y2155" s="420"/>
      <c r="Z2155" s="1"/>
      <c r="AA2155" s="1"/>
      <c r="AB2155" s="1"/>
      <c r="AC2155" s="1"/>
      <c r="AD2155" s="1"/>
    </row>
    <row r="2156" spans="17:30">
      <c r="Q2156" s="6">
        <v>2126</v>
      </c>
      <c r="R2156" s="7">
        <v>44793</v>
      </c>
      <c r="S2156" s="210">
        <v>4.25</v>
      </c>
      <c r="T2156" s="8">
        <v>1.0001180555555556</v>
      </c>
      <c r="U2156" s="98">
        <v>4.1344592162689375</v>
      </c>
      <c r="V2156" s="106">
        <v>31322.424999266645</v>
      </c>
      <c r="W2156" s="10">
        <v>1.0231478035602315</v>
      </c>
      <c r="X2156" s="420"/>
      <c r="Y2156" s="420"/>
      <c r="Z2156" s="1"/>
      <c r="AA2156" s="1"/>
      <c r="AB2156" s="1"/>
      <c r="AC2156" s="1"/>
      <c r="AD2156" s="1"/>
    </row>
    <row r="2157" spans="17:30">
      <c r="Q2157" s="6">
        <v>2127</v>
      </c>
      <c r="R2157" s="7">
        <v>44794</v>
      </c>
      <c r="S2157" s="210">
        <v>4.25</v>
      </c>
      <c r="T2157" s="8">
        <v>1.0001180555555556</v>
      </c>
      <c r="U2157" s="98">
        <v>4.1345852831405239</v>
      </c>
      <c r="V2157" s="106">
        <v>31324.947950636437</v>
      </c>
      <c r="W2157" s="10">
        <v>1.0233144891825585</v>
      </c>
      <c r="X2157" s="420"/>
      <c r="Y2157" s="420"/>
      <c r="Z2157" s="1"/>
      <c r="AA2157" s="1"/>
      <c r="AB2157" s="1"/>
      <c r="AC2157" s="1"/>
      <c r="AD2157" s="1"/>
    </row>
    <row r="2158" spans="17:30">
      <c r="Q2158" s="6">
        <v>2128</v>
      </c>
      <c r="R2158" s="7">
        <v>44795</v>
      </c>
      <c r="S2158" s="210">
        <v>4.25</v>
      </c>
      <c r="T2158" s="8">
        <v>1.0001180555555556</v>
      </c>
      <c r="U2158" s="98">
        <v>4.1347112316806101</v>
      </c>
      <c r="V2158" s="106">
        <v>31327.471105224336</v>
      </c>
      <c r="W2158" s="10">
        <v>1.0234810184200915</v>
      </c>
      <c r="X2158" s="420"/>
      <c r="Y2158" s="420"/>
      <c r="Z2158" s="1"/>
      <c r="AA2158" s="1"/>
      <c r="AB2158" s="1"/>
      <c r="AC2158" s="1"/>
      <c r="AD2158" s="1"/>
    </row>
    <row r="2159" spans="17:30">
      <c r="Q2159" s="6">
        <v>2129</v>
      </c>
      <c r="R2159" s="7">
        <v>44796</v>
      </c>
      <c r="S2159" s="210">
        <v>4.25</v>
      </c>
      <c r="T2159" s="8">
        <v>1.0001180555555556</v>
      </c>
      <c r="U2159" s="98">
        <v>4.1348370620557295</v>
      </c>
      <c r="V2159" s="106">
        <v>31329.994463046696</v>
      </c>
      <c r="W2159" s="10">
        <v>1.0236473914928323</v>
      </c>
      <c r="X2159" s="420"/>
      <c r="Y2159" s="420"/>
      <c r="Z2159" s="1"/>
      <c r="AA2159" s="1"/>
      <c r="AB2159" s="1"/>
      <c r="AC2159" s="1"/>
      <c r="AD2159" s="1"/>
    </row>
    <row r="2160" spans="17:30">
      <c r="Q2160" s="6">
        <v>2130</v>
      </c>
      <c r="R2160" s="7">
        <v>44797</v>
      </c>
      <c r="S2160" s="210">
        <v>4.25</v>
      </c>
      <c r="T2160" s="8">
        <v>1.0001180555555556</v>
      </c>
      <c r="U2160" s="98">
        <v>4.1349627744320827</v>
      </c>
      <c r="V2160" s="106">
        <v>31332.518024119898</v>
      </c>
      <c r="W2160" s="10">
        <v>1.0238136086203165</v>
      </c>
      <c r="X2160" s="420"/>
      <c r="Y2160" s="420"/>
      <c r="Z2160" s="1"/>
      <c r="AA2160" s="1"/>
      <c r="AB2160" s="1"/>
      <c r="AC2160" s="1"/>
      <c r="AD2160" s="1"/>
    </row>
    <row r="2161" spans="17:30">
      <c r="Q2161" s="6">
        <v>2131</v>
      </c>
      <c r="R2161" s="7">
        <v>44798</v>
      </c>
      <c r="S2161" s="210">
        <v>4.25</v>
      </c>
      <c r="T2161" s="8">
        <v>1.0001180555555556</v>
      </c>
      <c r="U2161" s="98">
        <v>4.1350883689755813</v>
      </c>
      <c r="V2161" s="106">
        <v>31335.041788460305</v>
      </c>
      <c r="W2161" s="10">
        <v>1.0239796700217019</v>
      </c>
      <c r="X2161" s="420"/>
      <c r="Y2161" s="420"/>
      <c r="Z2161" s="1"/>
      <c r="AA2161" s="1"/>
      <c r="AB2161" s="1"/>
      <c r="AC2161" s="1"/>
      <c r="AD2161" s="1"/>
    </row>
    <row r="2162" spans="17:30">
      <c r="Q2162" s="6">
        <v>2132</v>
      </c>
      <c r="R2162" s="7">
        <v>44799</v>
      </c>
      <c r="S2162" s="210">
        <v>4.25</v>
      </c>
      <c r="T2162" s="8">
        <v>1.0001180555555556</v>
      </c>
      <c r="U2162" s="98">
        <v>4.1352138458518262</v>
      </c>
      <c r="V2162" s="106">
        <v>31337.565756084292</v>
      </c>
      <c r="W2162" s="10">
        <v>1.0241455759157692</v>
      </c>
      <c r="X2162" s="420"/>
      <c r="Y2162" s="420"/>
      <c r="Z2162" s="1"/>
      <c r="AA2162" s="1"/>
      <c r="AB2162" s="1"/>
      <c r="AC2162" s="1"/>
      <c r="AD2162" s="1"/>
    </row>
    <row r="2163" spans="17:30">
      <c r="Q2163" s="6">
        <v>2133</v>
      </c>
      <c r="R2163" s="7">
        <v>44800</v>
      </c>
      <c r="S2163" s="210">
        <v>4.25</v>
      </c>
      <c r="T2163" s="8">
        <v>1.0001180555555556</v>
      </c>
      <c r="U2163" s="98">
        <v>4.1353392052261073</v>
      </c>
      <c r="V2163" s="106">
        <v>31340.089927008234</v>
      </c>
      <c r="W2163" s="10">
        <v>1.0243113265208326</v>
      </c>
      <c r="X2163" s="420"/>
      <c r="Y2163" s="420"/>
      <c r="Z2163" s="1"/>
      <c r="AA2163" s="1"/>
      <c r="AB2163" s="1"/>
      <c r="AC2163" s="1"/>
      <c r="AD2163" s="1"/>
    </row>
    <row r="2164" spans="17:30">
      <c r="Q2164" s="6">
        <v>2134</v>
      </c>
      <c r="R2164" s="7">
        <v>44801</v>
      </c>
      <c r="S2164" s="210">
        <v>4.25</v>
      </c>
      <c r="T2164" s="8">
        <v>1.0001180555555556</v>
      </c>
      <c r="U2164" s="98">
        <v>4.1354644472633817</v>
      </c>
      <c r="V2164" s="106">
        <v>31342.614301248508</v>
      </c>
      <c r="W2164" s="10">
        <v>1.0244769220548067</v>
      </c>
      <c r="X2164" s="420"/>
      <c r="Y2164" s="420"/>
      <c r="Z2164" s="1"/>
      <c r="AA2164" s="1"/>
      <c r="AB2164" s="1"/>
      <c r="AC2164" s="1"/>
      <c r="AD2164" s="1"/>
    </row>
    <row r="2165" spans="17:30">
      <c r="Q2165" s="6">
        <v>2135</v>
      </c>
      <c r="R2165" s="7">
        <v>44802</v>
      </c>
      <c r="S2165" s="210">
        <v>4.25</v>
      </c>
      <c r="T2165" s="8">
        <v>1.0001180555555556</v>
      </c>
      <c r="U2165" s="98">
        <v>4.1355895721283176</v>
      </c>
      <c r="V2165" s="106">
        <v>31345.138878821486</v>
      </c>
      <c r="W2165" s="10">
        <v>1.0246423627352064</v>
      </c>
      <c r="X2165" s="420"/>
      <c r="Y2165" s="420"/>
      <c r="Z2165" s="1"/>
      <c r="AA2165" s="1"/>
      <c r="AB2165" s="1"/>
      <c r="AC2165" s="1"/>
      <c r="AD2165" s="1"/>
    </row>
    <row r="2166" spans="17:30">
      <c r="Q2166" s="6">
        <v>2136</v>
      </c>
      <c r="R2166" s="7">
        <v>44803</v>
      </c>
      <c r="S2166" s="210">
        <v>4.25</v>
      </c>
      <c r="T2166" s="8">
        <v>1.0001180555555556</v>
      </c>
      <c r="U2166" s="98">
        <v>4.1357145799852724</v>
      </c>
      <c r="V2166" s="106">
        <v>31347.663659743543</v>
      </c>
      <c r="W2166" s="10">
        <v>1.0248076487791691</v>
      </c>
      <c r="X2166" s="420"/>
      <c r="Y2166" s="420"/>
      <c r="Z2166" s="1"/>
      <c r="AA2166" s="1"/>
      <c r="AB2166" s="1"/>
      <c r="AC2166" s="1"/>
      <c r="AD2166" s="1"/>
    </row>
    <row r="2167" spans="17:30">
      <c r="Q2167" s="6">
        <v>2137</v>
      </c>
      <c r="R2167" s="7">
        <v>44804</v>
      </c>
      <c r="S2167" s="210">
        <v>4.25</v>
      </c>
      <c r="T2167" s="8">
        <v>1.0001180555555556</v>
      </c>
      <c r="U2167" s="98">
        <v>4.1358394709982926</v>
      </c>
      <c r="V2167" s="106">
        <v>31350.188644031074</v>
      </c>
      <c r="W2167" s="10">
        <v>1.0249727804033659</v>
      </c>
      <c r="X2167" s="420"/>
      <c r="Y2167" s="420"/>
      <c r="Z2167" s="1"/>
      <c r="AA2167" s="1"/>
      <c r="AB2167" s="1"/>
      <c r="AC2167" s="1"/>
      <c r="AD2167" s="1"/>
    </row>
    <row r="2168" spans="17:30">
      <c r="Q2168" s="6">
        <v>2138</v>
      </c>
      <c r="R2168" s="7">
        <v>44805</v>
      </c>
      <c r="S2168" s="210">
        <v>4.25</v>
      </c>
      <c r="T2168" s="8">
        <v>1.0001180555555556</v>
      </c>
      <c r="U2168" s="98">
        <v>4.1359642453311363</v>
      </c>
      <c r="V2168" s="106">
        <v>31352.713831700443</v>
      </c>
      <c r="W2168" s="10">
        <v>1.025137757824135</v>
      </c>
      <c r="X2168" s="420"/>
      <c r="Y2168" s="420"/>
      <c r="Z2168" s="1"/>
      <c r="AA2168" s="1"/>
      <c r="AB2168" s="1"/>
      <c r="AC2168" s="1"/>
      <c r="AD2168" s="1"/>
    </row>
    <row r="2169" spans="17:30">
      <c r="Q2169" s="6">
        <v>2139</v>
      </c>
      <c r="R2169" s="7">
        <v>44806</v>
      </c>
      <c r="S2169" s="210">
        <v>4.25</v>
      </c>
      <c r="T2169" s="8">
        <v>1.0001180555555556</v>
      </c>
      <c r="U2169" s="98">
        <v>4.1360889031472281</v>
      </c>
      <c r="V2169" s="106">
        <v>31355.239222768039</v>
      </c>
      <c r="W2169" s="10">
        <v>1.0253025812573258</v>
      </c>
      <c r="X2169" s="420"/>
      <c r="Y2169" s="420"/>
      <c r="Z2169" s="1"/>
      <c r="AA2169" s="1"/>
      <c r="AB2169" s="1"/>
      <c r="AC2169" s="1"/>
      <c r="AD2169" s="1"/>
    </row>
    <row r="2170" spans="17:30">
      <c r="Q2170" s="6">
        <v>2140</v>
      </c>
      <c r="R2170" s="7">
        <v>44807</v>
      </c>
      <c r="S2170" s="210">
        <v>4.25</v>
      </c>
      <c r="T2170" s="8">
        <v>1.0001180555555556</v>
      </c>
      <c r="U2170" s="98">
        <v>4.1362134446097043</v>
      </c>
      <c r="V2170" s="106">
        <v>31357.764817250245</v>
      </c>
      <c r="W2170" s="10">
        <v>1.025467250918477</v>
      </c>
      <c r="X2170" s="420"/>
      <c r="Y2170" s="420"/>
      <c r="Z2170" s="1"/>
      <c r="AA2170" s="1"/>
      <c r="AB2170" s="1"/>
      <c r="AC2170" s="1"/>
      <c r="AD2170" s="1"/>
    </row>
    <row r="2171" spans="17:30">
      <c r="Q2171" s="6">
        <v>2141</v>
      </c>
      <c r="R2171" s="7">
        <v>44808</v>
      </c>
      <c r="S2171" s="210">
        <v>4.25</v>
      </c>
      <c r="T2171" s="8">
        <v>1.0001180555555556</v>
      </c>
      <c r="U2171" s="98">
        <v>4.1363378698813902</v>
      </c>
      <c r="V2171" s="106">
        <v>31360.290615163445</v>
      </c>
      <c r="W2171" s="10">
        <v>1.0256317670226611</v>
      </c>
      <c r="X2171" s="420"/>
      <c r="Y2171" s="420"/>
      <c r="Z2171" s="1"/>
      <c r="AA2171" s="1"/>
      <c r="AB2171" s="1"/>
      <c r="AC2171" s="1"/>
      <c r="AD2171" s="1"/>
    </row>
    <row r="2172" spans="17:30">
      <c r="Q2172" s="6">
        <v>2142</v>
      </c>
      <c r="R2172" s="7">
        <v>44809</v>
      </c>
      <c r="S2172" s="210">
        <v>4.25</v>
      </c>
      <c r="T2172" s="8">
        <v>1.0001180555555556</v>
      </c>
      <c r="U2172" s="98">
        <v>4.1364621791248002</v>
      </c>
      <c r="V2172" s="106">
        <v>31362.816616524029</v>
      </c>
      <c r="W2172" s="10">
        <v>1.025796129784573</v>
      </c>
      <c r="X2172" s="420"/>
      <c r="Y2172" s="420"/>
      <c r="Z2172" s="1"/>
      <c r="AA2172" s="1"/>
      <c r="AB2172" s="1"/>
      <c r="AC2172" s="1"/>
      <c r="AD2172" s="1"/>
    </row>
    <row r="2173" spans="17:30">
      <c r="Q2173" s="6">
        <v>2143</v>
      </c>
      <c r="R2173" s="7">
        <v>44810</v>
      </c>
      <c r="S2173" s="210">
        <v>4.25</v>
      </c>
      <c r="T2173" s="8">
        <v>1.0001180555555556</v>
      </c>
      <c r="U2173" s="98">
        <v>4.1365863725021823</v>
      </c>
      <c r="V2173" s="106">
        <v>31365.342821348375</v>
      </c>
      <c r="W2173" s="10">
        <v>1.0259603394185079</v>
      </c>
      <c r="X2173" s="420"/>
      <c r="Y2173" s="420"/>
      <c r="Z2173" s="1"/>
      <c r="AA2173" s="1"/>
      <c r="AB2173" s="1"/>
      <c r="AC2173" s="1"/>
      <c r="AD2173" s="1"/>
    </row>
    <row r="2174" spans="17:30">
      <c r="Q2174" s="6">
        <v>2144</v>
      </c>
      <c r="R2174" s="7">
        <v>44811</v>
      </c>
      <c r="S2174" s="210">
        <v>4.25</v>
      </c>
      <c r="T2174" s="8">
        <v>1.0001180555555556</v>
      </c>
      <c r="U2174" s="98">
        <v>4.1367104501754293</v>
      </c>
      <c r="V2174" s="106">
        <v>31367.869229652875</v>
      </c>
      <c r="W2174" s="10">
        <v>1.0261243961383393</v>
      </c>
      <c r="X2174" s="420"/>
      <c r="Y2174" s="420"/>
      <c r="Z2174" s="1"/>
      <c r="AA2174" s="1"/>
      <c r="AB2174" s="1"/>
      <c r="AC2174" s="1"/>
      <c r="AD2174" s="1"/>
    </row>
    <row r="2175" spans="17:30">
      <c r="Q2175" s="6">
        <v>2145</v>
      </c>
      <c r="R2175" s="7">
        <v>44812</v>
      </c>
      <c r="S2175" s="210">
        <v>4.25</v>
      </c>
      <c r="T2175" s="8">
        <v>1.0001180555555556</v>
      </c>
      <c r="U2175" s="98">
        <v>4.1368344123061673</v>
      </c>
      <c r="V2175" s="106">
        <v>31370.395841453927</v>
      </c>
      <c r="W2175" s="10">
        <v>1.0262883001575629</v>
      </c>
      <c r="X2175" s="420"/>
      <c r="Y2175" s="420"/>
      <c r="Z2175" s="1"/>
      <c r="AA2175" s="1"/>
      <c r="AB2175" s="1"/>
      <c r="AC2175" s="1"/>
      <c r="AD2175" s="1"/>
    </row>
    <row r="2176" spans="17:30">
      <c r="Q2176" s="6">
        <v>2146</v>
      </c>
      <c r="R2176" s="7">
        <v>44813</v>
      </c>
      <c r="S2176" s="210">
        <v>4.25</v>
      </c>
      <c r="T2176" s="8">
        <v>1.0001180555555556</v>
      </c>
      <c r="U2176" s="98">
        <v>4.1369582590557119</v>
      </c>
      <c r="V2176" s="106">
        <v>31372.922656767914</v>
      </c>
      <c r="W2176" s="10">
        <v>1.0264520516892972</v>
      </c>
      <c r="X2176" s="420"/>
      <c r="Y2176" s="420"/>
      <c r="Z2176" s="1"/>
      <c r="AA2176" s="1"/>
      <c r="AB2176" s="1"/>
      <c r="AC2176" s="1"/>
      <c r="AD2176" s="1"/>
    </row>
    <row r="2177" spans="17:30">
      <c r="Q2177" s="6">
        <v>2147</v>
      </c>
      <c r="R2177" s="7">
        <v>44814</v>
      </c>
      <c r="S2177" s="210">
        <v>4.25</v>
      </c>
      <c r="T2177" s="8">
        <v>1.0001180555555556</v>
      </c>
      <c r="U2177" s="98">
        <v>4.1370819905850897</v>
      </c>
      <c r="V2177" s="106">
        <v>31375.533913078092</v>
      </c>
      <c r="W2177" s="10">
        <v>1.0265695392304597</v>
      </c>
      <c r="X2177" s="420"/>
      <c r="Y2177" s="420"/>
      <c r="Z2177" s="1"/>
      <c r="AA2177" s="1"/>
      <c r="AB2177" s="1"/>
      <c r="AC2177" s="1"/>
      <c r="AD2177" s="1"/>
    </row>
    <row r="2178" spans="17:30">
      <c r="Q2178" s="6">
        <v>2148</v>
      </c>
      <c r="R2178" s="7">
        <v>44815</v>
      </c>
      <c r="S2178" s="210">
        <v>4.25</v>
      </c>
      <c r="T2178" s="8">
        <v>1.0001180555555556</v>
      </c>
      <c r="U2178" s="98">
        <v>4.1372056070550167</v>
      </c>
      <c r="V2178" s="106">
        <v>31378.145386730455</v>
      </c>
      <c r="W2178" s="10">
        <v>1.0266869175155735</v>
      </c>
      <c r="X2178" s="420"/>
      <c r="Y2178" s="420"/>
      <c r="Z2178" s="1"/>
      <c r="AA2178" s="1"/>
      <c r="AB2178" s="1"/>
      <c r="AC2178" s="1"/>
      <c r="AD2178" s="1"/>
    </row>
    <row r="2179" spans="17:30">
      <c r="Q2179" s="6">
        <v>2149</v>
      </c>
      <c r="R2179" s="7">
        <v>44816</v>
      </c>
      <c r="S2179" s="210">
        <v>4.25</v>
      </c>
      <c r="T2179" s="8">
        <v>1.0001180555555556</v>
      </c>
      <c r="U2179" s="98">
        <v>4.1373291086258979</v>
      </c>
      <c r="V2179" s="106">
        <v>31380.757077743092</v>
      </c>
      <c r="W2179" s="10">
        <v>1.0268041866969613</v>
      </c>
      <c r="X2179" s="420"/>
      <c r="Y2179" s="420"/>
      <c r="Z2179" s="1"/>
      <c r="AA2179" s="1"/>
      <c r="AB2179" s="1"/>
      <c r="AC2179" s="1"/>
      <c r="AD2179" s="1"/>
    </row>
    <row r="2180" spans="17:30">
      <c r="Q2180" s="6">
        <v>2150</v>
      </c>
      <c r="R2180" s="7">
        <v>44817</v>
      </c>
      <c r="S2180" s="210">
        <v>4.25</v>
      </c>
      <c r="T2180" s="8">
        <v>1.0001180555555556</v>
      </c>
      <c r="U2180" s="98">
        <v>4.1374524954578495</v>
      </c>
      <c r="V2180" s="106">
        <v>31383.368986134094</v>
      </c>
      <c r="W2180" s="10">
        <v>1.0269213469266569</v>
      </c>
      <c r="X2180" s="420"/>
      <c r="Y2180" s="420"/>
      <c r="Z2180" s="1"/>
      <c r="AA2180" s="1"/>
      <c r="AB2180" s="1"/>
      <c r="AC2180" s="1"/>
      <c r="AD2180" s="1"/>
    </row>
    <row r="2181" spans="17:30">
      <c r="Q2181" s="6">
        <v>2151</v>
      </c>
      <c r="R2181" s="7">
        <v>44818</v>
      </c>
      <c r="S2181" s="210">
        <v>4.25</v>
      </c>
      <c r="T2181" s="8">
        <v>1.0001180555555556</v>
      </c>
      <c r="U2181" s="98">
        <v>4.1375757677106995</v>
      </c>
      <c r="V2181" s="106">
        <v>31385.981111921552</v>
      </c>
      <c r="W2181" s="10">
        <v>1.0270383983564502</v>
      </c>
      <c r="X2181" s="420"/>
      <c r="Y2181" s="420"/>
      <c r="Z2181" s="1"/>
      <c r="AA2181" s="1"/>
      <c r="AB2181" s="1"/>
      <c r="AC2181" s="1"/>
      <c r="AD2181" s="1"/>
    </row>
    <row r="2182" spans="17:30">
      <c r="Q2182" s="6">
        <v>2152</v>
      </c>
      <c r="R2182" s="7">
        <v>44819</v>
      </c>
      <c r="S2182" s="210">
        <v>4.25</v>
      </c>
      <c r="T2182" s="8">
        <v>1.0001180555555556</v>
      </c>
      <c r="U2182" s="98">
        <v>4.1376989255439867</v>
      </c>
      <c r="V2182" s="106">
        <v>31388.593455123559</v>
      </c>
      <c r="W2182" s="10">
        <v>1.0271553411378198</v>
      </c>
      <c r="X2182" s="420"/>
      <c r="Y2182" s="420"/>
      <c r="Z2182" s="1"/>
      <c r="AA2182" s="1"/>
      <c r="AB2182" s="1"/>
      <c r="AC2182" s="1"/>
      <c r="AD2182" s="1"/>
    </row>
    <row r="2183" spans="17:30">
      <c r="Q2183" s="6">
        <v>2153</v>
      </c>
      <c r="R2183" s="7">
        <v>44820</v>
      </c>
      <c r="S2183" s="210">
        <v>4.25</v>
      </c>
      <c r="T2183" s="8">
        <v>1.0001180555555556</v>
      </c>
      <c r="U2183" s="98">
        <v>4.1378219691169393</v>
      </c>
      <c r="V2183" s="106">
        <v>31391.20601575822</v>
      </c>
      <c r="W2183" s="10">
        <v>1.027272175421956</v>
      </c>
      <c r="X2183" s="420"/>
      <c r="Y2183" s="420"/>
      <c r="Z2183" s="1"/>
      <c r="AA2183" s="1"/>
      <c r="AB2183" s="1"/>
      <c r="AC2183" s="1"/>
      <c r="AD2183" s="1"/>
    </row>
    <row r="2184" spans="17:30">
      <c r="Q2184" s="6">
        <v>2154</v>
      </c>
      <c r="R2184" s="7">
        <v>44821</v>
      </c>
      <c r="S2184" s="210">
        <v>4.25</v>
      </c>
      <c r="T2184" s="8">
        <v>1.0001180555555556</v>
      </c>
      <c r="U2184" s="98">
        <v>4.1379448985884748</v>
      </c>
      <c r="V2184" s="106">
        <v>31393.818793843631</v>
      </c>
      <c r="W2184" s="10">
        <v>1.0273889013598048</v>
      </c>
      <c r="X2184" s="420"/>
      <c r="Y2184" s="420"/>
      <c r="Z2184" s="1"/>
      <c r="AA2184" s="1"/>
      <c r="AB2184" s="1"/>
      <c r="AC2184" s="1"/>
      <c r="AD2184" s="1"/>
    </row>
    <row r="2185" spans="17:30">
      <c r="Q2185" s="6">
        <v>2155</v>
      </c>
      <c r="R2185" s="7">
        <v>44822</v>
      </c>
      <c r="S2185" s="210">
        <v>4.25</v>
      </c>
      <c r="T2185" s="8">
        <v>1.0001180555555556</v>
      </c>
      <c r="U2185" s="98">
        <v>4.1380677141172439</v>
      </c>
      <c r="V2185" s="106">
        <v>31396.43178939788</v>
      </c>
      <c r="W2185" s="10">
        <v>1.0275055191019566</v>
      </c>
      <c r="X2185" s="420"/>
      <c r="Y2185" s="420"/>
      <c r="Z2185" s="1"/>
      <c r="AA2185" s="1"/>
      <c r="AB2185" s="1"/>
      <c r="AC2185" s="1"/>
      <c r="AD2185" s="1"/>
    </row>
    <row r="2186" spans="17:30">
      <c r="Q2186" s="6">
        <v>2156</v>
      </c>
      <c r="R2186" s="7">
        <v>44823</v>
      </c>
      <c r="S2186" s="210">
        <v>4.25</v>
      </c>
      <c r="T2186" s="8">
        <v>1.0001180555555556</v>
      </c>
      <c r="U2186" s="98">
        <v>4.1381904158615868</v>
      </c>
      <c r="V2186" s="106">
        <v>31399.045002439078</v>
      </c>
      <c r="W2186" s="10">
        <v>1.0276220287988247</v>
      </c>
      <c r="X2186" s="420"/>
      <c r="Y2186" s="420"/>
      <c r="Z2186" s="1"/>
      <c r="AA2186" s="1"/>
      <c r="AB2186" s="1"/>
      <c r="AC2186" s="1"/>
      <c r="AD2186" s="1"/>
    </row>
    <row r="2187" spans="17:30">
      <c r="Q2187" s="6">
        <v>2157</v>
      </c>
      <c r="R2187" s="7">
        <v>44824</v>
      </c>
      <c r="S2187" s="210">
        <v>4.25</v>
      </c>
      <c r="T2187" s="8">
        <v>1.0001180555555556</v>
      </c>
      <c r="U2187" s="98">
        <v>4.1383130039795768</v>
      </c>
      <c r="V2187" s="106">
        <v>31401.658432985325</v>
      </c>
      <c r="W2187" s="10">
        <v>1.0277384306005111</v>
      </c>
      <c r="X2187" s="420"/>
      <c r="Y2187" s="420"/>
      <c r="Z2187" s="1"/>
      <c r="AA2187" s="1"/>
      <c r="AB2187" s="1"/>
      <c r="AC2187" s="1"/>
      <c r="AD2187" s="1"/>
    </row>
    <row r="2188" spans="17:30">
      <c r="Q2188" s="6">
        <v>2158</v>
      </c>
      <c r="R2188" s="7">
        <v>44825</v>
      </c>
      <c r="S2188" s="210">
        <v>4.25</v>
      </c>
      <c r="T2188" s="8">
        <v>1.0001180555555556</v>
      </c>
      <c r="U2188" s="98">
        <v>4.1384354786289546</v>
      </c>
      <c r="V2188" s="106">
        <v>31404.272081054722</v>
      </c>
      <c r="W2188" s="10">
        <v>1.0278547246567626</v>
      </c>
      <c r="X2188" s="420"/>
      <c r="Y2188" s="420"/>
      <c r="Z2188" s="1"/>
      <c r="AA2188" s="1"/>
      <c r="AB2188" s="1"/>
      <c r="AC2188" s="1"/>
      <c r="AD2188" s="1"/>
    </row>
    <row r="2189" spans="17:30">
      <c r="Q2189" s="6">
        <v>2159</v>
      </c>
      <c r="R2189" s="7">
        <v>44826</v>
      </c>
      <c r="S2189" s="210">
        <v>4.25</v>
      </c>
      <c r="T2189" s="8">
        <v>1.0001180555555556</v>
      </c>
      <c r="U2189" s="98">
        <v>4.1385578399671941</v>
      </c>
      <c r="V2189" s="106">
        <v>31406.885946665378</v>
      </c>
      <c r="W2189" s="10">
        <v>1.0279709111171487</v>
      </c>
      <c r="X2189" s="420"/>
      <c r="Y2189" s="420"/>
      <c r="Z2189" s="1"/>
      <c r="AA2189" s="1"/>
      <c r="AB2189" s="1"/>
      <c r="AC2189" s="1"/>
      <c r="AD2189" s="1"/>
    </row>
    <row r="2190" spans="17:30">
      <c r="Q2190" s="6">
        <v>2160</v>
      </c>
      <c r="R2190" s="7">
        <v>44827</v>
      </c>
      <c r="S2190" s="210">
        <v>4.25</v>
      </c>
      <c r="T2190" s="8">
        <v>1.0001180555555556</v>
      </c>
      <c r="U2190" s="98">
        <v>4.1386800881514807</v>
      </c>
      <c r="V2190" s="106">
        <v>31409.500029835395</v>
      </c>
      <c r="W2190" s="10">
        <v>1.0280869901309275</v>
      </c>
      <c r="X2190" s="420"/>
      <c r="Y2190" s="420"/>
      <c r="Z2190" s="1"/>
      <c r="AA2190" s="1"/>
      <c r="AB2190" s="1"/>
      <c r="AC2190" s="1"/>
      <c r="AD2190" s="1"/>
    </row>
    <row r="2191" spans="17:30">
      <c r="Q2191" s="6">
        <v>2161</v>
      </c>
      <c r="R2191" s="7">
        <v>44828</v>
      </c>
      <c r="S2191" s="210">
        <v>4.25</v>
      </c>
      <c r="T2191" s="8">
        <v>1.0001180555555556</v>
      </c>
      <c r="U2191" s="98">
        <v>4.138802223338689</v>
      </c>
      <c r="V2191" s="106">
        <v>31412.114330582881</v>
      </c>
      <c r="W2191" s="10">
        <v>1.0282029618470467</v>
      </c>
      <c r="X2191" s="420"/>
      <c r="Y2191" s="420"/>
      <c r="Z2191" s="1"/>
      <c r="AA2191" s="1"/>
      <c r="AB2191" s="1"/>
      <c r="AC2191" s="1"/>
      <c r="AD2191" s="1"/>
    </row>
    <row r="2192" spans="17:30">
      <c r="Q2192" s="6">
        <v>2162</v>
      </c>
      <c r="R2192" s="7">
        <v>44829</v>
      </c>
      <c r="S2192" s="210">
        <v>4.25</v>
      </c>
      <c r="T2192" s="8">
        <v>1.0001180555555556</v>
      </c>
      <c r="U2192" s="98">
        <v>4.1389242456854047</v>
      </c>
      <c r="V2192" s="106">
        <v>31414.728848925948</v>
      </c>
      <c r="W2192" s="10">
        <v>1.0283188264142318</v>
      </c>
      <c r="X2192" s="420"/>
      <c r="Y2192" s="420"/>
      <c r="Z2192" s="1"/>
      <c r="AA2192" s="1"/>
      <c r="AB2192" s="1"/>
      <c r="AC2192" s="1"/>
      <c r="AD2192" s="1"/>
    </row>
    <row r="2193" spans="17:30">
      <c r="Q2193" s="6">
        <v>2163</v>
      </c>
      <c r="R2193" s="7">
        <v>44830</v>
      </c>
      <c r="S2193" s="210">
        <v>4.25</v>
      </c>
      <c r="T2193" s="8">
        <v>1.0001180555555556</v>
      </c>
      <c r="U2193" s="98">
        <v>4.1390461553479474</v>
      </c>
      <c r="V2193" s="106">
        <v>31417.343584882707</v>
      </c>
      <c r="W2193" s="10">
        <v>1.0284345839808751</v>
      </c>
      <c r="X2193" s="420"/>
      <c r="Y2193" s="420"/>
      <c r="Z2193" s="1"/>
      <c r="AA2193" s="1"/>
      <c r="AB2193" s="1"/>
      <c r="AC2193" s="1"/>
      <c r="AD2193" s="1"/>
    </row>
    <row r="2194" spans="17:30">
      <c r="Q2194" s="6">
        <v>2164</v>
      </c>
      <c r="R2194" s="7">
        <v>44831</v>
      </c>
      <c r="S2194" s="210">
        <v>4.25</v>
      </c>
      <c r="T2194" s="8">
        <v>1.0001180555555556</v>
      </c>
      <c r="U2194" s="98">
        <v>4.1391679524823477</v>
      </c>
      <c r="V2194" s="106">
        <v>31419.958538471274</v>
      </c>
      <c r="W2194" s="10">
        <v>1.0285502346951914</v>
      </c>
      <c r="X2194" s="420"/>
      <c r="Y2194" s="420"/>
      <c r="Z2194" s="1"/>
      <c r="AA2194" s="1"/>
      <c r="AB2194" s="1"/>
      <c r="AC2194" s="1"/>
      <c r="AD2194" s="1"/>
    </row>
    <row r="2195" spans="17:30">
      <c r="Q2195" s="6">
        <v>2165</v>
      </c>
      <c r="R2195" s="7">
        <v>44832</v>
      </c>
      <c r="S2195" s="210">
        <v>4.25</v>
      </c>
      <c r="T2195" s="8">
        <v>1.0001180555555556</v>
      </c>
      <c r="U2195" s="98">
        <v>4.1392896372443255</v>
      </c>
      <c r="V2195" s="106">
        <v>31422.573709709755</v>
      </c>
      <c r="W2195" s="10">
        <v>1.028665778705018</v>
      </c>
      <c r="X2195" s="420"/>
      <c r="Y2195" s="420"/>
      <c r="Z2195" s="1"/>
      <c r="AA2195" s="1"/>
      <c r="AB2195" s="1"/>
      <c r="AC2195" s="1"/>
      <c r="AD2195" s="1"/>
    </row>
    <row r="2196" spans="17:30">
      <c r="Q2196" s="6">
        <v>2166</v>
      </c>
      <c r="R2196" s="7">
        <v>44833</v>
      </c>
      <c r="S2196" s="210">
        <v>4.25</v>
      </c>
      <c r="T2196" s="8">
        <v>1.0001180555555556</v>
      </c>
      <c r="U2196" s="98">
        <v>4.1394112097893121</v>
      </c>
      <c r="V2196" s="106">
        <v>31425.189098616273</v>
      </c>
      <c r="W2196" s="10">
        <v>1.0287812161579479</v>
      </c>
      <c r="X2196" s="420"/>
      <c r="Y2196" s="420"/>
      <c r="Z2196" s="1"/>
      <c r="AA2196" s="1"/>
      <c r="AB2196" s="1"/>
      <c r="AC2196" s="1"/>
      <c r="AD2196" s="1"/>
    </row>
    <row r="2197" spans="17:30">
      <c r="Q2197" s="6">
        <v>2167</v>
      </c>
      <c r="R2197" s="7">
        <v>44834</v>
      </c>
      <c r="S2197" s="210">
        <v>4.25</v>
      </c>
      <c r="T2197" s="8">
        <v>1.0001180555555556</v>
      </c>
      <c r="U2197" s="98">
        <v>4.1395326702724944</v>
      </c>
      <c r="V2197" s="106">
        <v>31427.804705208942</v>
      </c>
      <c r="W2197" s="10">
        <v>1.0288965472013523</v>
      </c>
      <c r="X2197" s="420"/>
      <c r="Y2197" s="420"/>
      <c r="Z2197" s="1"/>
      <c r="AA2197" s="1"/>
      <c r="AB2197" s="1"/>
      <c r="AC2197" s="1"/>
      <c r="AD2197" s="1"/>
    </row>
    <row r="2198" spans="17:30">
      <c r="Q2198" s="6">
        <v>2168</v>
      </c>
      <c r="R2198" s="7">
        <v>44835</v>
      </c>
      <c r="S2198" s="210">
        <v>4.25</v>
      </c>
      <c r="T2198" s="8">
        <v>1.0001180555555556</v>
      </c>
      <c r="U2198" s="98">
        <v>4.1396540188487263</v>
      </c>
      <c r="V2198" s="106">
        <v>31430.420529505878</v>
      </c>
      <c r="W2198" s="10">
        <v>1.0290117719822911</v>
      </c>
      <c r="X2198" s="420"/>
      <c r="Y2198" s="420"/>
      <c r="Z2198" s="1"/>
      <c r="AA2198" s="1"/>
      <c r="AB2198" s="1"/>
      <c r="AC2198" s="1"/>
      <c r="AD2198" s="1"/>
    </row>
    <row r="2199" spans="17:30">
      <c r="Q2199" s="6">
        <v>2169</v>
      </c>
      <c r="R2199" s="7">
        <v>44836</v>
      </c>
      <c r="S2199" s="210">
        <v>4.25</v>
      </c>
      <c r="T2199" s="8">
        <v>1.0001180555555556</v>
      </c>
      <c r="U2199" s="98">
        <v>4.1397752556725953</v>
      </c>
      <c r="V2199" s="106">
        <v>31433.036571525205</v>
      </c>
      <c r="W2199" s="10">
        <v>1.0291268906475359</v>
      </c>
      <c r="X2199" s="420"/>
      <c r="Y2199" s="420"/>
      <c r="Z2199" s="1"/>
      <c r="AA2199" s="1"/>
      <c r="AB2199" s="1"/>
      <c r="AC2199" s="1"/>
      <c r="AD2199" s="1"/>
    </row>
    <row r="2200" spans="17:30">
      <c r="Q2200" s="6">
        <v>2170</v>
      </c>
      <c r="R2200" s="7">
        <v>44837</v>
      </c>
      <c r="S2200" s="210">
        <v>4.25</v>
      </c>
      <c r="T2200" s="8">
        <v>1.0001180555555556</v>
      </c>
      <c r="U2200" s="98">
        <v>4.1398963808984002</v>
      </c>
      <c r="V2200" s="106">
        <v>31435.65283128505</v>
      </c>
      <c r="W2200" s="10">
        <v>1.0292419033436362</v>
      </c>
      <c r="X2200" s="420"/>
      <c r="Y2200" s="420"/>
      <c r="Z2200" s="1"/>
      <c r="AA2200" s="1"/>
      <c r="AB2200" s="1"/>
      <c r="AC2200" s="1"/>
      <c r="AD2200" s="1"/>
    </row>
    <row r="2201" spans="17:30">
      <c r="Q2201" s="6">
        <v>2171</v>
      </c>
      <c r="R2201" s="7">
        <v>44838</v>
      </c>
      <c r="S2201" s="210">
        <v>4.25</v>
      </c>
      <c r="T2201" s="8">
        <v>1.0001180555555556</v>
      </c>
      <c r="U2201" s="98">
        <v>4.1400173946801511</v>
      </c>
      <c r="V2201" s="106">
        <v>31438.269308803519</v>
      </c>
      <c r="W2201" s="10">
        <v>1.0293568102168082</v>
      </c>
      <c r="X2201" s="420"/>
      <c r="Y2201" s="420"/>
      <c r="Z2201" s="1"/>
      <c r="AA2201" s="1"/>
      <c r="AB2201" s="1"/>
      <c r="AC2201" s="1"/>
      <c r="AD2201" s="1"/>
    </row>
    <row r="2202" spans="17:30">
      <c r="Q2202" s="6">
        <v>2172</v>
      </c>
      <c r="R2202" s="7">
        <v>44839</v>
      </c>
      <c r="S2202" s="210">
        <v>4.25</v>
      </c>
      <c r="T2202" s="8">
        <v>1.0001180555555556</v>
      </c>
      <c r="U2202" s="98">
        <v>4.1401382971715917</v>
      </c>
      <c r="V2202" s="106">
        <v>31440.88600409876</v>
      </c>
      <c r="W2202" s="10">
        <v>1.0294716114130464</v>
      </c>
      <c r="X2202" s="420"/>
      <c r="Y2202" s="420"/>
      <c r="Z2202" s="1"/>
      <c r="AA2202" s="1"/>
      <c r="AB2202" s="1"/>
      <c r="AC2202" s="1"/>
      <c r="AD2202" s="1"/>
    </row>
    <row r="2203" spans="17:30">
      <c r="Q2203" s="6">
        <v>2173</v>
      </c>
      <c r="R2203" s="7">
        <v>44840</v>
      </c>
      <c r="S2203" s="210">
        <v>4.25</v>
      </c>
      <c r="T2203" s="8">
        <v>1.0001180555555556</v>
      </c>
      <c r="U2203" s="98">
        <v>4.140259088526177</v>
      </c>
      <c r="V2203" s="106">
        <v>31443.502917188875</v>
      </c>
      <c r="W2203" s="10">
        <v>1.0295863070781008</v>
      </c>
      <c r="X2203" s="420"/>
      <c r="Y2203" s="420"/>
      <c r="Z2203" s="1"/>
      <c r="AA2203" s="1"/>
      <c r="AB2203" s="1"/>
      <c r="AC2203" s="1"/>
      <c r="AD2203" s="1"/>
    </row>
    <row r="2204" spans="17:30">
      <c r="Q2204" s="6">
        <v>2174</v>
      </c>
      <c r="R2204" s="7">
        <v>44841</v>
      </c>
      <c r="S2204" s="210">
        <v>4.25</v>
      </c>
      <c r="T2204" s="8">
        <v>1.0001180555555556</v>
      </c>
      <c r="U2204" s="98">
        <v>4.1403797688970734</v>
      </c>
      <c r="V2204" s="106">
        <v>31446.120048092005</v>
      </c>
      <c r="W2204" s="10">
        <v>1.0297008973573885</v>
      </c>
      <c r="X2204" s="420"/>
      <c r="Y2204" s="420"/>
      <c r="Z2204" s="1"/>
      <c r="AA2204" s="1"/>
      <c r="AB2204" s="1"/>
      <c r="AC2204" s="1"/>
      <c r="AD2204" s="1"/>
    </row>
    <row r="2205" spans="17:30">
      <c r="Q2205" s="6">
        <v>2175</v>
      </c>
      <c r="R2205" s="7">
        <v>44842</v>
      </c>
      <c r="S2205" s="210">
        <v>4.25</v>
      </c>
      <c r="T2205" s="8">
        <v>1.0001180555555556</v>
      </c>
      <c r="U2205" s="98">
        <v>4.1405003384371808</v>
      </c>
      <c r="V2205" s="106">
        <v>31448.737396826287</v>
      </c>
      <c r="W2205" s="10">
        <v>1.0298153823961043</v>
      </c>
      <c r="X2205" s="420"/>
      <c r="Y2205" s="420"/>
      <c r="Z2205" s="1"/>
      <c r="AA2205" s="1"/>
      <c r="AB2205" s="1"/>
      <c r="AC2205" s="1"/>
      <c r="AD2205" s="1"/>
    </row>
    <row r="2206" spans="17:30">
      <c r="Q2206" s="6">
        <v>2176</v>
      </c>
      <c r="R2206" s="7">
        <v>44843</v>
      </c>
      <c r="S2206" s="210">
        <v>4.25</v>
      </c>
      <c r="T2206" s="8">
        <v>1.0001180555555556</v>
      </c>
      <c r="U2206" s="98">
        <v>4.1406207972990883</v>
      </c>
      <c r="V2206" s="106">
        <v>31451.354963409831</v>
      </c>
      <c r="W2206" s="10">
        <v>1.0299297623391546</v>
      </c>
      <c r="X2206" s="420"/>
      <c r="Y2206" s="420"/>
      <c r="Z2206" s="1"/>
      <c r="AA2206" s="1"/>
      <c r="AB2206" s="1"/>
      <c r="AC2206" s="1"/>
      <c r="AD2206" s="1"/>
    </row>
    <row r="2207" spans="17:30">
      <c r="Q2207" s="6">
        <v>2177</v>
      </c>
      <c r="R2207" s="7">
        <v>44844</v>
      </c>
      <c r="S2207" s="210">
        <v>4.25</v>
      </c>
      <c r="T2207" s="8">
        <v>1.0001180555555556</v>
      </c>
      <c r="U2207" s="98">
        <v>4.1407411456351184</v>
      </c>
      <c r="V2207" s="106">
        <v>31453.888299800252</v>
      </c>
      <c r="W2207" s="10">
        <v>1.0300895151714728</v>
      </c>
      <c r="X2207" s="420"/>
      <c r="Y2207" s="420"/>
      <c r="Z2207" s="1"/>
      <c r="AA2207" s="1"/>
      <c r="AB2207" s="1"/>
      <c r="AC2207" s="1"/>
      <c r="AD2207" s="1"/>
    </row>
    <row r="2208" spans="17:30">
      <c r="Q2208" s="6">
        <v>2178</v>
      </c>
      <c r="R2208" s="7">
        <v>44845</v>
      </c>
      <c r="S2208" s="210">
        <v>4.25</v>
      </c>
      <c r="T2208" s="8">
        <v>1.0001180555555556</v>
      </c>
      <c r="U2208" s="98">
        <v>4.1408613835973274</v>
      </c>
      <c r="V2208" s="106">
        <v>31456.421840245268</v>
      </c>
      <c r="W2208" s="10">
        <v>1.0302491215592013</v>
      </c>
      <c r="X2208" s="420"/>
      <c r="Y2208" s="420"/>
      <c r="Z2208" s="1"/>
      <c r="AA2208" s="1"/>
      <c r="AB2208" s="1"/>
      <c r="AC2208" s="1"/>
      <c r="AD2208" s="1"/>
    </row>
    <row r="2209" spans="17:30">
      <c r="Q2209" s="6">
        <v>2179</v>
      </c>
      <c r="R2209" s="7">
        <v>44846</v>
      </c>
      <c r="S2209" s="210">
        <v>4.25</v>
      </c>
      <c r="T2209" s="8">
        <v>1.0001180555555556</v>
      </c>
      <c r="U2209" s="98">
        <v>4.1409815113375048</v>
      </c>
      <c r="V2209" s="106">
        <v>31458.955584761305</v>
      </c>
      <c r="W2209" s="10">
        <v>1.0304085817036901</v>
      </c>
      <c r="X2209" s="420"/>
      <c r="Y2209" s="420"/>
      <c r="Z2209" s="1"/>
      <c r="AA2209" s="1"/>
      <c r="AB2209" s="1"/>
      <c r="AC2209" s="1"/>
      <c r="AD2209" s="1"/>
    </row>
    <row r="2210" spans="17:30">
      <c r="Q2210" s="6">
        <v>2180</v>
      </c>
      <c r="R2210" s="7">
        <v>44847</v>
      </c>
      <c r="S2210" s="210">
        <v>4.25</v>
      </c>
      <c r="T2210" s="8">
        <v>1.0001180555555556</v>
      </c>
      <c r="U2210" s="98">
        <v>4.1411015290071074</v>
      </c>
      <c r="V2210" s="106">
        <v>31461.489533364798</v>
      </c>
      <c r="W2210" s="10">
        <v>1.0305678958057785</v>
      </c>
      <c r="X2210" s="420"/>
      <c r="Y2210" s="420"/>
      <c r="Z2210" s="1"/>
      <c r="AA2210" s="1"/>
      <c r="AB2210" s="1"/>
      <c r="AC2210" s="1"/>
      <c r="AD2210" s="1"/>
    </row>
    <row r="2211" spans="17:30">
      <c r="Q2211" s="6">
        <v>2181</v>
      </c>
      <c r="R2211" s="7">
        <v>44848</v>
      </c>
      <c r="S2211" s="210">
        <v>4.25</v>
      </c>
      <c r="T2211" s="8">
        <v>1.0001180555555556</v>
      </c>
      <c r="U2211" s="98">
        <v>4.1412214367573696</v>
      </c>
      <c r="V2211" s="106">
        <v>31464.023686072196</v>
      </c>
      <c r="W2211" s="10">
        <v>1.0307270640660393</v>
      </c>
      <c r="X2211" s="420"/>
      <c r="Y2211" s="420"/>
      <c r="Z2211" s="1"/>
      <c r="AA2211" s="1"/>
      <c r="AB2211" s="1"/>
      <c r="AC2211" s="1"/>
      <c r="AD2211" s="1"/>
    </row>
    <row r="2212" spans="17:30">
      <c r="Q2212" s="6">
        <v>2182</v>
      </c>
      <c r="R2212" s="7">
        <v>44849</v>
      </c>
      <c r="S2212" s="210">
        <v>4.25</v>
      </c>
      <c r="T2212" s="8">
        <v>1.0001180555555556</v>
      </c>
      <c r="U2212" s="98">
        <v>4.1413412347392375</v>
      </c>
      <c r="V2212" s="106">
        <v>31466.558042899931</v>
      </c>
      <c r="W2212" s="10">
        <v>1.0308860866846459</v>
      </c>
      <c r="X2212" s="420"/>
      <c r="Y2212" s="420"/>
      <c r="Z2212" s="1"/>
      <c r="AA2212" s="1"/>
      <c r="AB2212" s="1"/>
      <c r="AC2212" s="1"/>
      <c r="AD2212" s="1"/>
    </row>
    <row r="2213" spans="17:30">
      <c r="Q2213" s="6">
        <v>2183</v>
      </c>
      <c r="R2213" s="7">
        <v>44850</v>
      </c>
      <c r="S2213" s="210">
        <v>4.25</v>
      </c>
      <c r="T2213" s="8">
        <v>1.0001180555555556</v>
      </c>
      <c r="U2213" s="98">
        <v>4.1414609231033461</v>
      </c>
      <c r="V2213" s="106">
        <v>31469.09260386445</v>
      </c>
      <c r="W2213" s="10">
        <v>1.0310449638613717</v>
      </c>
      <c r="X2213" s="420"/>
      <c r="Y2213" s="420"/>
      <c r="Z2213" s="1"/>
      <c r="AA2213" s="1"/>
      <c r="AB2213" s="1"/>
      <c r="AC2213" s="1"/>
      <c r="AD2213" s="1"/>
    </row>
    <row r="2214" spans="17:30">
      <c r="Q2214" s="6">
        <v>2184</v>
      </c>
      <c r="R2214" s="7">
        <v>44851</v>
      </c>
      <c r="S2214" s="210">
        <v>4.25</v>
      </c>
      <c r="T2214" s="8">
        <v>1.0001180555555556</v>
      </c>
      <c r="U2214" s="98">
        <v>4.1415805020001084</v>
      </c>
      <c r="V2214" s="106">
        <v>31471.627368982197</v>
      </c>
      <c r="W2214" s="10">
        <v>1.0312036957957016</v>
      </c>
      <c r="X2214" s="420"/>
      <c r="Y2214" s="420"/>
      <c r="Z2214" s="1"/>
      <c r="AA2214" s="1"/>
      <c r="AB2214" s="1"/>
      <c r="AC2214" s="1"/>
      <c r="AD2214" s="1"/>
    </row>
    <row r="2215" spans="17:30">
      <c r="Q2215" s="6">
        <v>2185</v>
      </c>
      <c r="R2215" s="7">
        <v>44852</v>
      </c>
      <c r="S2215" s="210">
        <v>4.25</v>
      </c>
      <c r="T2215" s="8">
        <v>1.0001180555555556</v>
      </c>
      <c r="U2215" s="98">
        <v>4.1416999715796043</v>
      </c>
      <c r="V2215" s="106">
        <v>31474.162338269609</v>
      </c>
      <c r="W2215" s="10">
        <v>1.0313622826866764</v>
      </c>
      <c r="X2215" s="420"/>
      <c r="Y2215" s="420"/>
      <c r="Z2215" s="1"/>
      <c r="AA2215" s="1"/>
      <c r="AB2215" s="1"/>
      <c r="AC2215" s="1"/>
      <c r="AD2215" s="1"/>
    </row>
    <row r="2216" spans="17:30">
      <c r="Q2216" s="6">
        <v>2186</v>
      </c>
      <c r="R2216" s="7">
        <v>44853</v>
      </c>
      <c r="S2216" s="210">
        <v>4.25</v>
      </c>
      <c r="T2216" s="8">
        <v>1.0001180555555556</v>
      </c>
      <c r="U2216" s="98">
        <v>4.1418193319916918</v>
      </c>
      <c r="V2216" s="106">
        <v>31476.697511743128</v>
      </c>
      <c r="W2216" s="10">
        <v>1.031520724733026</v>
      </c>
      <c r="X2216" s="420"/>
      <c r="Y2216" s="420"/>
      <c r="Z2216" s="1"/>
      <c r="AA2216" s="1"/>
      <c r="AB2216" s="1"/>
      <c r="AC2216" s="1"/>
      <c r="AD2216" s="1"/>
    </row>
    <row r="2217" spans="17:30">
      <c r="Q2217" s="6">
        <v>2187</v>
      </c>
      <c r="R2217" s="7">
        <v>44854</v>
      </c>
      <c r="S2217" s="210">
        <v>4.25</v>
      </c>
      <c r="T2217" s="8">
        <v>1.0001180555555556</v>
      </c>
      <c r="U2217" s="98">
        <v>4.1419385833859179</v>
      </c>
      <c r="V2217" s="106">
        <v>31479.232889419218</v>
      </c>
      <c r="W2217" s="10">
        <v>1.0316790221330807</v>
      </c>
      <c r="X2217" s="420"/>
      <c r="Y2217" s="420"/>
      <c r="Z2217" s="1"/>
      <c r="AA2217" s="1"/>
      <c r="AB2217" s="1"/>
      <c r="AC2217" s="1"/>
      <c r="AD2217" s="1"/>
    </row>
    <row r="2218" spans="17:30">
      <c r="Q2218" s="6">
        <v>2188</v>
      </c>
      <c r="R2218" s="7">
        <v>44855</v>
      </c>
      <c r="S2218" s="210">
        <v>4.25</v>
      </c>
      <c r="T2218" s="8">
        <v>1.0001180555555556</v>
      </c>
      <c r="U2218" s="98">
        <v>4.1420577259115854</v>
      </c>
      <c r="V2218" s="106">
        <v>31481.768471314306</v>
      </c>
      <c r="W2218" s="10">
        <v>1.0318371750848376</v>
      </c>
      <c r="X2218" s="420"/>
      <c r="Y2218" s="420"/>
      <c r="Z2218" s="1"/>
      <c r="AA2218" s="1"/>
      <c r="AB2218" s="1"/>
      <c r="AC2218" s="1"/>
      <c r="AD2218" s="1"/>
    </row>
    <row r="2219" spans="17:30">
      <c r="Q2219" s="6">
        <v>2189</v>
      </c>
      <c r="R2219" s="7">
        <v>44856</v>
      </c>
      <c r="S2219" s="210">
        <v>4.25</v>
      </c>
      <c r="T2219" s="8">
        <v>1.0001180555555556</v>
      </c>
      <c r="U2219" s="98">
        <v>4.1421767597177084</v>
      </c>
      <c r="V2219" s="106">
        <v>31484.304257444859</v>
      </c>
      <c r="W2219" s="10">
        <v>1.0319951837859387</v>
      </c>
      <c r="X2219" s="420"/>
      <c r="Y2219" s="420"/>
      <c r="Z2219" s="1"/>
      <c r="AA2219" s="1"/>
      <c r="AB2219" s="1"/>
      <c r="AC2219" s="1"/>
      <c r="AD2219" s="1"/>
    </row>
    <row r="2220" spans="17:30">
      <c r="Q2220" s="6">
        <v>2190</v>
      </c>
      <c r="R2220" s="7">
        <v>44857</v>
      </c>
      <c r="S2220" s="210">
        <v>4.25</v>
      </c>
      <c r="T2220" s="8">
        <v>1.0001180555555556</v>
      </c>
      <c r="U2220" s="98">
        <v>4.1422956849530124</v>
      </c>
      <c r="V2220" s="106">
        <v>31486.84024782732</v>
      </c>
      <c r="W2220" s="10">
        <v>1.0321530484336261</v>
      </c>
      <c r="X2220" s="420"/>
      <c r="Y2220" s="420"/>
      <c r="Z2220" s="1"/>
      <c r="AA2220" s="1"/>
      <c r="AB2220" s="1"/>
      <c r="AC2220" s="1"/>
      <c r="AD2220" s="1"/>
    </row>
    <row r="2221" spans="17:30">
      <c r="Q2221" s="6">
        <v>2191</v>
      </c>
      <c r="R2221" s="7">
        <v>44858</v>
      </c>
      <c r="S2221" s="210">
        <v>4.25</v>
      </c>
      <c r="T2221" s="8">
        <v>1.0001180555555556</v>
      </c>
      <c r="U2221" s="98">
        <v>4.1424145017660008</v>
      </c>
      <c r="V2221" s="106">
        <v>31489.376442478144</v>
      </c>
      <c r="W2221" s="10">
        <v>1.032310769224809</v>
      </c>
      <c r="X2221" s="420"/>
      <c r="Y2221" s="420"/>
      <c r="Z2221" s="1"/>
      <c r="AA2221" s="1"/>
      <c r="AB2221" s="1"/>
      <c r="AC2221" s="1"/>
      <c r="AD2221" s="1"/>
    </row>
    <row r="2222" spans="17:30">
      <c r="Q2222" s="6">
        <v>2192</v>
      </c>
      <c r="R2222" s="7">
        <v>44859</v>
      </c>
      <c r="S2222" s="210">
        <v>4.25</v>
      </c>
      <c r="T2222" s="8">
        <v>1.0001180555555556</v>
      </c>
      <c r="U2222" s="98">
        <v>4.1425332103048662</v>
      </c>
      <c r="V2222" s="106">
        <v>31491.912841413781</v>
      </c>
      <c r="W2222" s="10">
        <v>1.0324683463560635</v>
      </c>
      <c r="X2222" s="420"/>
      <c r="Y2222" s="420"/>
      <c r="Z2222" s="1"/>
      <c r="AA2222" s="1"/>
      <c r="AB2222" s="1"/>
      <c r="AC2222" s="1"/>
      <c r="AD2222" s="1"/>
    </row>
    <row r="2223" spans="17:30">
      <c r="Q2223" s="6">
        <v>2193</v>
      </c>
      <c r="R2223" s="7">
        <v>44860</v>
      </c>
      <c r="S2223" s="210">
        <v>4.25</v>
      </c>
      <c r="T2223" s="8">
        <v>1.0001180555555556</v>
      </c>
      <c r="U2223" s="98">
        <v>4.1426518107175347</v>
      </c>
      <c r="V2223" s="106">
        <v>31494.449444650687</v>
      </c>
      <c r="W2223" s="10">
        <v>1.0326257800235439</v>
      </c>
      <c r="X2223" s="420"/>
      <c r="Y2223" s="420"/>
      <c r="Z2223" s="1"/>
      <c r="AA2223" s="1"/>
      <c r="AB2223" s="1"/>
      <c r="AC2223" s="1"/>
      <c r="AD2223" s="1"/>
    </row>
    <row r="2224" spans="17:30">
      <c r="Q2224" s="6">
        <v>2194</v>
      </c>
      <c r="R2224" s="7">
        <v>44861</v>
      </c>
      <c r="S2224" s="210">
        <v>4.25</v>
      </c>
      <c r="T2224" s="8">
        <v>1.0001180555555556</v>
      </c>
      <c r="U2224" s="98">
        <v>4.1427703031516661</v>
      </c>
      <c r="V2224" s="106">
        <v>31496.986252205315</v>
      </c>
      <c r="W2224" s="10">
        <v>1.0327830704230934</v>
      </c>
      <c r="X2224" s="420"/>
      <c r="Y2224" s="420"/>
      <c r="Z2224" s="1"/>
      <c r="AA2224" s="1"/>
      <c r="AB2224" s="1"/>
      <c r="AC2224" s="1"/>
      <c r="AD2224" s="1"/>
    </row>
    <row r="2225" spans="17:30">
      <c r="Q2225" s="6">
        <v>2195</v>
      </c>
      <c r="R2225" s="7">
        <v>44862</v>
      </c>
      <c r="S2225" s="210">
        <v>4.25</v>
      </c>
      <c r="T2225" s="8">
        <v>1.0001180555555556</v>
      </c>
      <c r="U2225" s="98">
        <v>4.1428886877546534</v>
      </c>
      <c r="V2225" s="106">
        <v>31499.523264094132</v>
      </c>
      <c r="W2225" s="10">
        <v>1.0329402177502001</v>
      </c>
      <c r="X2225" s="420"/>
      <c r="Y2225" s="420"/>
      <c r="Z2225" s="1"/>
      <c r="AA2225" s="1"/>
      <c r="AB2225" s="1"/>
      <c r="AC2225" s="1"/>
      <c r="AD2225" s="1"/>
    </row>
    <row r="2226" spans="17:30">
      <c r="Q2226" s="6">
        <v>2196</v>
      </c>
      <c r="R2226" s="7">
        <v>44863</v>
      </c>
      <c r="S2226" s="210">
        <v>4.25</v>
      </c>
      <c r="T2226" s="8">
        <v>1.0001180555555556</v>
      </c>
      <c r="U2226" s="98">
        <v>4.1430069646736456</v>
      </c>
      <c r="V2226" s="106">
        <v>31502.060480333581</v>
      </c>
      <c r="W2226" s="10">
        <v>1.0330972221999524</v>
      </c>
      <c r="X2226" s="420"/>
      <c r="Y2226" s="420"/>
      <c r="Z2226" s="1"/>
      <c r="AA2226" s="1"/>
      <c r="AB2226" s="1"/>
      <c r="AC2226" s="1"/>
      <c r="AD2226" s="1"/>
    </row>
    <row r="2227" spans="17:30">
      <c r="Q2227" s="6">
        <v>2197</v>
      </c>
      <c r="R2227" s="7">
        <v>44864</v>
      </c>
      <c r="S2227" s="210">
        <v>4.25</v>
      </c>
      <c r="T2227" s="8">
        <v>1.0001180555555556</v>
      </c>
      <c r="U2227" s="98">
        <v>4.1431251340554809</v>
      </c>
      <c r="V2227" s="106">
        <v>31504.597900940131</v>
      </c>
      <c r="W2227" s="10">
        <v>1.03325408396715</v>
      </c>
      <c r="X2227" s="420"/>
      <c r="Y2227" s="420"/>
      <c r="Z2227" s="1"/>
      <c r="AA2227" s="1"/>
      <c r="AB2227" s="1"/>
      <c r="AC2227" s="1"/>
      <c r="AD2227" s="1"/>
    </row>
    <row r="2228" spans="17:30">
      <c r="Q2228" s="6">
        <v>2198</v>
      </c>
      <c r="R2228" s="7">
        <v>44865</v>
      </c>
      <c r="S2228" s="210">
        <v>4.25</v>
      </c>
      <c r="T2228" s="8">
        <v>1.0001180555555556</v>
      </c>
      <c r="U2228" s="98">
        <v>4.1432431960467531</v>
      </c>
      <c r="V2228" s="106">
        <v>31507.135525930247</v>
      </c>
      <c r="W2228" s="10">
        <v>1.0334108032461931</v>
      </c>
      <c r="X2228" s="420"/>
      <c r="Y2228" s="420"/>
      <c r="Z2228" s="1"/>
      <c r="AA2228" s="1"/>
      <c r="AB2228" s="1"/>
      <c r="AC2228" s="1"/>
      <c r="AD2228" s="1"/>
    </row>
    <row r="2229" spans="17:30">
      <c r="Q2229" s="6">
        <v>2199</v>
      </c>
      <c r="R2229" s="7">
        <v>44866</v>
      </c>
      <c r="S2229" s="210">
        <v>4.25</v>
      </c>
      <c r="T2229" s="8">
        <v>1.0001180555555556</v>
      </c>
      <c r="U2229" s="98">
        <v>4.1433611507937895</v>
      </c>
      <c r="V2229" s="106">
        <v>31509.673355320392</v>
      </c>
      <c r="W2229" s="10">
        <v>1.0335673802311263</v>
      </c>
      <c r="X2229" s="420"/>
      <c r="Y2229" s="420"/>
      <c r="Z2229" s="1"/>
      <c r="AA2229" s="1"/>
      <c r="AB2229" s="1"/>
      <c r="AC2229" s="1"/>
      <c r="AD2229" s="1"/>
    </row>
    <row r="2230" spans="17:30">
      <c r="Q2230" s="6">
        <v>2200</v>
      </c>
      <c r="R2230" s="7">
        <v>44867</v>
      </c>
      <c r="S2230" s="210">
        <v>4.25</v>
      </c>
      <c r="T2230" s="8">
        <v>1.0001180555555556</v>
      </c>
      <c r="U2230" s="98">
        <v>4.1434789984426734</v>
      </c>
      <c r="V2230" s="106">
        <v>31512.211389127016</v>
      </c>
      <c r="W2230" s="10">
        <v>1.0337238151157058</v>
      </c>
      <c r="X2230" s="420"/>
      <c r="Y2230" s="420"/>
      <c r="Z2230" s="1"/>
      <c r="AA2230" s="1"/>
      <c r="AB2230" s="1"/>
      <c r="AC2230" s="1"/>
      <c r="AD2230" s="1"/>
    </row>
    <row r="2231" spans="17:30">
      <c r="Q2231" s="6">
        <v>2201</v>
      </c>
      <c r="R2231" s="7">
        <v>44868</v>
      </c>
      <c r="S2231" s="210">
        <v>4.25</v>
      </c>
      <c r="T2231" s="8">
        <v>1.0001180555555556</v>
      </c>
      <c r="U2231" s="98">
        <v>4.143596739139177</v>
      </c>
      <c r="V2231" s="106">
        <v>31514.7496273666</v>
      </c>
      <c r="W2231" s="10">
        <v>1.0338801080932436</v>
      </c>
      <c r="X2231" s="420"/>
      <c r="Y2231" s="420"/>
      <c r="Z2231" s="1"/>
      <c r="AA2231" s="1"/>
      <c r="AB2231" s="1"/>
      <c r="AC2231" s="1"/>
      <c r="AD2231" s="1"/>
    </row>
    <row r="2232" spans="17:30">
      <c r="Q2232" s="6">
        <v>2202</v>
      </c>
      <c r="R2232" s="7">
        <v>44869</v>
      </c>
      <c r="S2232" s="210">
        <v>4.25</v>
      </c>
      <c r="T2232" s="8">
        <v>1.0001180555555556</v>
      </c>
      <c r="U2232" s="98">
        <v>4.1437143730288284</v>
      </c>
      <c r="V2232" s="106">
        <v>31517.288070055602</v>
      </c>
      <c r="W2232" s="10">
        <v>1.0340362593567409</v>
      </c>
      <c r="X2232" s="420"/>
      <c r="Y2232" s="420"/>
      <c r="Z2232" s="1"/>
      <c r="AA2232" s="1"/>
      <c r="AB2232" s="1"/>
      <c r="AC2232" s="1"/>
      <c r="AD2232" s="1"/>
    </row>
    <row r="2233" spans="17:30">
      <c r="Q2233" s="6">
        <v>2203</v>
      </c>
      <c r="R2233" s="7">
        <v>44870</v>
      </c>
      <c r="S2233" s="210">
        <v>4.25</v>
      </c>
      <c r="T2233" s="8">
        <v>1.0001180555555556</v>
      </c>
      <c r="U2233" s="98">
        <v>4.1438319002568891</v>
      </c>
      <c r="V2233" s="106">
        <v>31519.826717210497</v>
      </c>
      <c r="W2233" s="10">
        <v>1.0341922690988659</v>
      </c>
      <c r="X2233" s="420"/>
      <c r="Y2233" s="420"/>
      <c r="Z2233" s="1"/>
      <c r="AA2233" s="1"/>
      <c r="AB2233" s="1"/>
      <c r="AC2233" s="1"/>
      <c r="AD2233" s="1"/>
    </row>
    <row r="2234" spans="17:30">
      <c r="Q2234" s="6">
        <v>2204</v>
      </c>
      <c r="R2234" s="7">
        <v>44871</v>
      </c>
      <c r="S2234" s="210">
        <v>4.25</v>
      </c>
      <c r="T2234" s="8">
        <v>1.0001180555555556</v>
      </c>
      <c r="U2234" s="98">
        <v>4.1439493209683764</v>
      </c>
      <c r="V2234" s="106">
        <v>31522.365568847745</v>
      </c>
      <c r="W2234" s="10">
        <v>1.034348137511909</v>
      </c>
      <c r="X2234" s="420"/>
      <c r="Y2234" s="420"/>
      <c r="Z2234" s="1"/>
      <c r="AA2234" s="1"/>
      <c r="AB2234" s="1"/>
      <c r="AC2234" s="1"/>
      <c r="AD2234" s="1"/>
    </row>
    <row r="2235" spans="17:30">
      <c r="Q2235" s="6">
        <v>2205</v>
      </c>
      <c r="R2235" s="7">
        <v>44872</v>
      </c>
      <c r="S2235" s="210">
        <v>4.25</v>
      </c>
      <c r="T2235" s="8">
        <v>1.0001180555555556</v>
      </c>
      <c r="U2235" s="98">
        <v>4.1440666353080191</v>
      </c>
      <c r="V2235" s="106">
        <v>31524.904624983821</v>
      </c>
      <c r="W2235" s="10">
        <v>1.0345038647878502</v>
      </c>
      <c r="X2235" s="420"/>
      <c r="Y2235" s="420"/>
      <c r="Z2235" s="1"/>
      <c r="AA2235" s="1"/>
      <c r="AB2235" s="1"/>
      <c r="AC2235" s="1"/>
      <c r="AD2235" s="1"/>
    </row>
    <row r="2236" spans="17:30">
      <c r="Q2236" s="6">
        <v>2206</v>
      </c>
      <c r="R2236" s="7">
        <v>44873</v>
      </c>
      <c r="S2236" s="210">
        <v>4.25</v>
      </c>
      <c r="T2236" s="8">
        <v>1.0001180555555556</v>
      </c>
      <c r="U2236" s="98">
        <v>4.1441838434203238</v>
      </c>
      <c r="V2236" s="106">
        <v>31527.443885635199</v>
      </c>
      <c r="W2236" s="10">
        <v>1.0346594511183138</v>
      </c>
      <c r="X2236" s="420"/>
      <c r="Y2236" s="420"/>
      <c r="Z2236" s="1"/>
      <c r="AA2236" s="1"/>
      <c r="AB2236" s="1"/>
      <c r="AC2236" s="1"/>
      <c r="AD2236" s="1"/>
    </row>
    <row r="2237" spans="17:30">
      <c r="Q2237" s="6">
        <v>2207</v>
      </c>
      <c r="R2237" s="7">
        <v>44874</v>
      </c>
      <c r="S2237" s="210">
        <v>4.25</v>
      </c>
      <c r="T2237" s="8">
        <v>1.0001180555555556</v>
      </c>
      <c r="U2237" s="98">
        <v>4.1443009454494861</v>
      </c>
      <c r="V2237" s="106">
        <v>31529.983350818355</v>
      </c>
      <c r="W2237" s="10">
        <v>1.0348148966945248</v>
      </c>
      <c r="X2237" s="420"/>
      <c r="Y2237" s="420"/>
      <c r="Z2237" s="1"/>
      <c r="AA2237" s="1"/>
      <c r="AB2237" s="1"/>
      <c r="AC2237" s="1"/>
      <c r="AD2237" s="1"/>
    </row>
    <row r="2238" spans="17:30">
      <c r="Q2238" s="6">
        <v>2208</v>
      </c>
      <c r="R2238" s="7">
        <v>44875</v>
      </c>
      <c r="S2238" s="210">
        <v>4.25</v>
      </c>
      <c r="T2238" s="8">
        <v>1.0001180555555556</v>
      </c>
      <c r="U2238" s="98">
        <v>4.1444179415394578</v>
      </c>
      <c r="V2238" s="106">
        <v>31532.607679730434</v>
      </c>
      <c r="W2238" s="10">
        <v>1.0349253602031316</v>
      </c>
      <c r="X2238" s="420"/>
      <c r="Y2238" s="420"/>
      <c r="Z2238" s="1"/>
      <c r="AA2238" s="1"/>
      <c r="AB2238" s="1"/>
      <c r="AC2238" s="1"/>
      <c r="AD2238" s="1"/>
    </row>
    <row r="2239" spans="17:30">
      <c r="Q2239" s="6">
        <v>2209</v>
      </c>
      <c r="R2239" s="7">
        <v>44876</v>
      </c>
      <c r="S2239" s="210">
        <v>4.25</v>
      </c>
      <c r="T2239" s="8">
        <v>1.0001180555555556</v>
      </c>
      <c r="U2239" s="98">
        <v>4.1445348318339459</v>
      </c>
      <c r="V2239" s="106">
        <v>31535.232227072771</v>
      </c>
      <c r="W2239" s="10">
        <v>1.0350357238201102</v>
      </c>
      <c r="X2239" s="420"/>
      <c r="Y2239" s="420"/>
      <c r="Z2239" s="1"/>
      <c r="AA2239" s="1"/>
      <c r="AB2239" s="1"/>
      <c r="AC2239" s="1"/>
      <c r="AD2239" s="1"/>
    </row>
    <row r="2240" spans="17:30">
      <c r="Q2240" s="6">
        <v>2210</v>
      </c>
      <c r="R2240" s="7">
        <v>44877</v>
      </c>
      <c r="S2240" s="210">
        <v>4.25</v>
      </c>
      <c r="T2240" s="8">
        <v>1.0001180555555556</v>
      </c>
      <c r="U2240" s="98">
        <v>4.1446516164763691</v>
      </c>
      <c r="V2240" s="106">
        <v>31537.856992863541</v>
      </c>
      <c r="W2240" s="10">
        <v>1.0351459876809077</v>
      </c>
      <c r="X2240" s="420"/>
      <c r="Y2240" s="420"/>
      <c r="Z2240" s="1"/>
      <c r="AA2240" s="1"/>
      <c r="AB2240" s="1"/>
      <c r="AC2240" s="1"/>
      <c r="AD2240" s="1"/>
    </row>
    <row r="2241" spans="17:30">
      <c r="Q2241" s="6">
        <v>2211</v>
      </c>
      <c r="R2241" s="7">
        <v>44878</v>
      </c>
      <c r="S2241" s="210">
        <v>4.25</v>
      </c>
      <c r="T2241" s="8">
        <v>1.0001180555555556</v>
      </c>
      <c r="U2241" s="98">
        <v>4.1447682956099241</v>
      </c>
      <c r="V2241" s="106">
        <v>31540.481977120922</v>
      </c>
      <c r="W2241" s="10">
        <v>1.0352561519207049</v>
      </c>
      <c r="X2241" s="420"/>
      <c r="Y2241" s="420"/>
      <c r="Z2241" s="1"/>
      <c r="AA2241" s="1"/>
      <c r="AB2241" s="1"/>
      <c r="AC2241" s="1"/>
      <c r="AD2241" s="1"/>
    </row>
    <row r="2242" spans="17:30">
      <c r="Q2242" s="6">
        <v>2212</v>
      </c>
      <c r="R2242" s="7">
        <v>44879</v>
      </c>
      <c r="S2242" s="210">
        <v>4.25</v>
      </c>
      <c r="T2242" s="8">
        <v>1.0001180555555556</v>
      </c>
      <c r="U2242" s="98">
        <v>4.1448848693775187</v>
      </c>
      <c r="V2242" s="106">
        <v>31543.107179863102</v>
      </c>
      <c r="W2242" s="10">
        <v>1.0353662166744604</v>
      </c>
      <c r="X2242" s="420"/>
      <c r="Y2242" s="420"/>
      <c r="Z2242" s="1"/>
      <c r="AA2242" s="1"/>
      <c r="AB2242" s="1"/>
      <c r="AC2242" s="1"/>
      <c r="AD2242" s="1"/>
    </row>
    <row r="2243" spans="17:30">
      <c r="Q2243" s="6">
        <v>2213</v>
      </c>
      <c r="R2243" s="7">
        <v>44880</v>
      </c>
      <c r="S2243" s="210">
        <v>4.25</v>
      </c>
      <c r="T2243" s="8">
        <v>1.0001180555555556</v>
      </c>
      <c r="U2243" s="98">
        <v>4.1450013379218165</v>
      </c>
      <c r="V2243" s="106">
        <v>31545.732601108266</v>
      </c>
      <c r="W2243" s="10">
        <v>1.0354761820768665</v>
      </c>
      <c r="X2243" s="420"/>
      <c r="Y2243" s="420"/>
      <c r="Z2243" s="1"/>
      <c r="AA2243" s="1"/>
      <c r="AB2243" s="1"/>
      <c r="AC2243" s="1"/>
      <c r="AD2243" s="1"/>
    </row>
    <row r="2244" spans="17:30">
      <c r="Q2244" s="6">
        <v>2214</v>
      </c>
      <c r="R2244" s="7">
        <v>44881</v>
      </c>
      <c r="S2244" s="210">
        <v>4.25</v>
      </c>
      <c r="T2244" s="8">
        <v>1.0001180555555556</v>
      </c>
      <c r="U2244" s="98">
        <v>4.1451177013852147</v>
      </c>
      <c r="V2244" s="106">
        <v>31548.358240874604</v>
      </c>
      <c r="W2244" s="10">
        <v>1.0355860482623935</v>
      </c>
      <c r="X2244" s="420"/>
      <c r="Y2244" s="420"/>
      <c r="Z2244" s="1"/>
      <c r="AA2244" s="1"/>
      <c r="AB2244" s="1"/>
      <c r="AC2244" s="1"/>
      <c r="AD2244" s="1"/>
    </row>
    <row r="2245" spans="17:30">
      <c r="Q2245" s="6">
        <v>2215</v>
      </c>
      <c r="R2245" s="7">
        <v>44882</v>
      </c>
      <c r="S2245" s="210">
        <v>4.25</v>
      </c>
      <c r="T2245" s="8">
        <v>1.0001180555555556</v>
      </c>
      <c r="U2245" s="98">
        <v>4.1452339599098664</v>
      </c>
      <c r="V2245" s="106">
        <v>31550.984099180307</v>
      </c>
      <c r="W2245" s="10">
        <v>1.0356958153652673</v>
      </c>
      <c r="X2245" s="420"/>
      <c r="Y2245" s="420"/>
      <c r="Z2245" s="1"/>
      <c r="AA2245" s="1"/>
      <c r="AB2245" s="1"/>
      <c r="AC2245" s="1"/>
      <c r="AD2245" s="1"/>
    </row>
    <row r="2246" spans="17:30">
      <c r="Q2246" s="6">
        <v>2216</v>
      </c>
      <c r="R2246" s="7">
        <v>44883</v>
      </c>
      <c r="S2246" s="210">
        <v>4.25</v>
      </c>
      <c r="T2246" s="8">
        <v>1.0001180555555556</v>
      </c>
      <c r="U2246" s="98">
        <v>4.145350113637658</v>
      </c>
      <c r="V2246" s="106">
        <v>31553.610176043549</v>
      </c>
      <c r="W2246" s="10">
        <v>1.0358054835194253</v>
      </c>
      <c r="X2246" s="420"/>
      <c r="Y2246" s="420"/>
      <c r="Z2246" s="1"/>
      <c r="AA2246" s="1"/>
      <c r="AB2246" s="1"/>
      <c r="AC2246" s="1"/>
      <c r="AD2246" s="1"/>
    </row>
    <row r="2247" spans="17:30">
      <c r="Q2247" s="6">
        <v>2217</v>
      </c>
      <c r="R2247" s="7">
        <v>44884</v>
      </c>
      <c r="S2247" s="210">
        <v>4.25</v>
      </c>
      <c r="T2247" s="8">
        <v>1.0001180555555556</v>
      </c>
      <c r="U2247" s="98">
        <v>4.1454661627102096</v>
      </c>
      <c r="V2247" s="106">
        <v>31556.236471482534</v>
      </c>
      <c r="W2247" s="10">
        <v>1.035915052858627</v>
      </c>
      <c r="X2247" s="420"/>
      <c r="Y2247" s="420"/>
      <c r="Z2247" s="1"/>
      <c r="AA2247" s="1"/>
      <c r="AB2247" s="1"/>
      <c r="AC2247" s="1"/>
      <c r="AD2247" s="1"/>
    </row>
    <row r="2248" spans="17:30">
      <c r="Q2248" s="6">
        <v>2218</v>
      </c>
      <c r="R2248" s="7">
        <v>44885</v>
      </c>
      <c r="S2248" s="210">
        <v>4.25</v>
      </c>
      <c r="T2248" s="8">
        <v>1.0001180555555556</v>
      </c>
      <c r="U2248" s="98">
        <v>4.1455821072689192</v>
      </c>
      <c r="V2248" s="106">
        <v>31558.862985515454</v>
      </c>
      <c r="W2248" s="10">
        <v>1.0360245235163879</v>
      </c>
      <c r="X2248" s="420"/>
      <c r="Y2248" s="420"/>
      <c r="Z2248" s="1"/>
      <c r="AA2248" s="1"/>
      <c r="AB2248" s="1"/>
      <c r="AC2248" s="1"/>
      <c r="AD2248" s="1"/>
    </row>
    <row r="2249" spans="17:30">
      <c r="Q2249" s="6">
        <v>2219</v>
      </c>
      <c r="R2249" s="7">
        <v>44886</v>
      </c>
      <c r="S2249" s="210">
        <v>4.25</v>
      </c>
      <c r="T2249" s="8">
        <v>1.0001180555555556</v>
      </c>
      <c r="U2249" s="98">
        <v>4.1456979474548961</v>
      </c>
      <c r="V2249" s="106">
        <v>31561.489718160497</v>
      </c>
      <c r="W2249" s="10">
        <v>1.0361338956259125</v>
      </c>
      <c r="X2249" s="420"/>
      <c r="Y2249" s="420"/>
      <c r="Z2249" s="1"/>
      <c r="AA2249" s="1"/>
      <c r="AB2249" s="1"/>
      <c r="AC2249" s="1"/>
      <c r="AD2249" s="1"/>
    </row>
    <row r="2250" spans="17:30">
      <c r="Q2250" s="6">
        <v>2220</v>
      </c>
      <c r="R2250" s="7">
        <v>44887</v>
      </c>
      <c r="S2250" s="210">
        <v>4.25</v>
      </c>
      <c r="T2250" s="8">
        <v>1.0001180555555556</v>
      </c>
      <c r="U2250" s="98">
        <v>4.1458136834090276</v>
      </c>
      <c r="V2250" s="106">
        <v>31564.116669435865</v>
      </c>
      <c r="W2250" s="10">
        <v>1.0362431693202501</v>
      </c>
      <c r="X2250" s="420"/>
      <c r="Y2250" s="420"/>
      <c r="Z2250" s="1"/>
      <c r="AA2250" s="1"/>
      <c r="AB2250" s="1"/>
      <c r="AC2250" s="1"/>
      <c r="AD2250" s="1"/>
    </row>
    <row r="2251" spans="17:30">
      <c r="Q2251" s="6">
        <v>2221</v>
      </c>
      <c r="R2251" s="7">
        <v>44888</v>
      </c>
      <c r="S2251" s="210">
        <v>4.25</v>
      </c>
      <c r="T2251" s="8">
        <v>1.0001180555555556</v>
      </c>
      <c r="U2251" s="98">
        <v>4.1459293152719123</v>
      </c>
      <c r="V2251" s="106">
        <v>31566.743839359755</v>
      </c>
      <c r="W2251" s="10">
        <v>1.036352344732161</v>
      </c>
      <c r="X2251" s="420"/>
      <c r="Y2251" s="420"/>
      <c r="Z2251" s="1"/>
      <c r="AA2251" s="1"/>
      <c r="AB2251" s="1"/>
      <c r="AC2251" s="1"/>
      <c r="AD2251" s="1"/>
    </row>
    <row r="2252" spans="17:30">
      <c r="Q2252" s="6">
        <v>2222</v>
      </c>
      <c r="R2252" s="7">
        <v>44889</v>
      </c>
      <c r="S2252" s="210">
        <v>4.25</v>
      </c>
      <c r="T2252" s="8">
        <v>1.0001180555555556</v>
      </c>
      <c r="U2252" s="98">
        <v>4.146044843183927</v>
      </c>
      <c r="V2252" s="106">
        <v>31569.37122795036</v>
      </c>
      <c r="W2252" s="10">
        <v>1.0364614219941837</v>
      </c>
      <c r="X2252" s="420"/>
      <c r="Y2252" s="420"/>
      <c r="Z2252" s="1"/>
      <c r="AA2252" s="1"/>
      <c r="AB2252" s="1"/>
      <c r="AC2252" s="1"/>
      <c r="AD2252" s="1"/>
    </row>
    <row r="2253" spans="17:30">
      <c r="Q2253" s="6">
        <v>2223</v>
      </c>
      <c r="R2253" s="7">
        <v>44890</v>
      </c>
      <c r="S2253" s="210">
        <v>4.25</v>
      </c>
      <c r="T2253" s="8">
        <v>1.0001180555555556</v>
      </c>
      <c r="U2253" s="98">
        <v>4.1461602672851816</v>
      </c>
      <c r="V2253" s="106">
        <v>31571.998835225877</v>
      </c>
      <c r="W2253" s="10">
        <v>1.0365704012386345</v>
      </c>
      <c r="X2253" s="420"/>
      <c r="Y2253" s="420"/>
      <c r="Z2253" s="1"/>
      <c r="AA2253" s="1"/>
      <c r="AB2253" s="1"/>
      <c r="AC2253" s="1"/>
      <c r="AD2253" s="1"/>
    </row>
    <row r="2254" spans="17:30">
      <c r="Q2254" s="6">
        <v>2224</v>
      </c>
      <c r="R2254" s="7">
        <v>44891</v>
      </c>
      <c r="S2254" s="210">
        <v>4.25</v>
      </c>
      <c r="T2254" s="8">
        <v>1.0001180555555556</v>
      </c>
      <c r="U2254" s="98">
        <v>4.1462755877155422</v>
      </c>
      <c r="V2254" s="106">
        <v>31574.626661204522</v>
      </c>
      <c r="W2254" s="10">
        <v>1.0366792825975413</v>
      </c>
      <c r="X2254" s="420"/>
      <c r="Y2254" s="420"/>
      <c r="Z2254" s="1"/>
      <c r="AA2254" s="1"/>
      <c r="AB2254" s="1"/>
      <c r="AC2254" s="1"/>
      <c r="AD2254" s="1"/>
    </row>
    <row r="2255" spans="17:30">
      <c r="Q2255" s="6">
        <v>2225</v>
      </c>
      <c r="R2255" s="7">
        <v>44892</v>
      </c>
      <c r="S2255" s="210">
        <v>4.25</v>
      </c>
      <c r="T2255" s="8">
        <v>1.0001180555555556</v>
      </c>
      <c r="U2255" s="98">
        <v>4.1463908046146081</v>
      </c>
      <c r="V2255" s="106">
        <v>31577.254705904492</v>
      </c>
      <c r="W2255" s="10">
        <v>1.036788066202754</v>
      </c>
      <c r="X2255" s="420"/>
      <c r="Y2255" s="420"/>
      <c r="Z2255" s="1"/>
      <c r="AA2255" s="1"/>
      <c r="AB2255" s="1"/>
      <c r="AC2255" s="1"/>
      <c r="AD2255" s="1"/>
    </row>
    <row r="2256" spans="17:30">
      <c r="Q2256" s="6">
        <v>2226</v>
      </c>
      <c r="R2256" s="7">
        <v>44893</v>
      </c>
      <c r="S2256" s="210">
        <v>4.25</v>
      </c>
      <c r="T2256" s="8">
        <v>1.0001180555555556</v>
      </c>
      <c r="U2256" s="98">
        <v>4.1465059181217345</v>
      </c>
      <c r="V2256" s="106">
        <v>31579.882969343984</v>
      </c>
      <c r="W2256" s="10">
        <v>1.0368967521858341</v>
      </c>
      <c r="X2256" s="420"/>
      <c r="Y2256" s="420"/>
      <c r="Z2256" s="1"/>
      <c r="AA2256" s="1"/>
      <c r="AB2256" s="1"/>
      <c r="AC2256" s="1"/>
      <c r="AD2256" s="1"/>
    </row>
    <row r="2257" spans="17:30">
      <c r="Q2257" s="6">
        <v>2227</v>
      </c>
      <c r="R2257" s="7">
        <v>44894</v>
      </c>
      <c r="S2257" s="210">
        <v>4.25</v>
      </c>
      <c r="T2257" s="8">
        <v>1.0001180555555556</v>
      </c>
      <c r="U2257" s="98">
        <v>4.1466209283760325</v>
      </c>
      <c r="V2257" s="106">
        <v>31582.511451541217</v>
      </c>
      <c r="W2257" s="10">
        <v>1.0370053406781432</v>
      </c>
      <c r="X2257" s="420"/>
      <c r="Y2257" s="420"/>
      <c r="Z2257" s="1"/>
      <c r="AA2257" s="1"/>
      <c r="AB2257" s="1"/>
      <c r="AC2257" s="1"/>
      <c r="AD2257" s="1"/>
    </row>
    <row r="2258" spans="17:30">
      <c r="Q2258" s="6">
        <v>2228</v>
      </c>
      <c r="R2258" s="7">
        <v>44895</v>
      </c>
      <c r="S2258" s="210">
        <v>4.25</v>
      </c>
      <c r="T2258" s="8">
        <v>1.0001180555555556</v>
      </c>
      <c r="U2258" s="98">
        <v>4.1467358355163686</v>
      </c>
      <c r="V2258" s="106">
        <v>31585.140152514392</v>
      </c>
      <c r="W2258" s="10">
        <v>1.0371138318107986</v>
      </c>
      <c r="X2258" s="420"/>
      <c r="Y2258" s="420"/>
      <c r="Z2258" s="1"/>
      <c r="AA2258" s="1"/>
      <c r="AB2258" s="1"/>
      <c r="AC2258" s="1"/>
      <c r="AD2258" s="1"/>
    </row>
    <row r="2259" spans="17:30">
      <c r="Q2259" s="6">
        <v>2229</v>
      </c>
      <c r="R2259" s="7">
        <v>44896</v>
      </c>
      <c r="S2259" s="210">
        <v>4.25</v>
      </c>
      <c r="T2259" s="8">
        <v>1.0001180555555556</v>
      </c>
      <c r="U2259" s="98">
        <v>4.1468506396813432</v>
      </c>
      <c r="V2259" s="106">
        <v>31587.769072281713</v>
      </c>
      <c r="W2259" s="10">
        <v>1.0372222257146735</v>
      </c>
      <c r="X2259" s="420"/>
      <c r="Y2259" s="420"/>
      <c r="Z2259" s="1"/>
      <c r="AA2259" s="1"/>
      <c r="AB2259" s="1"/>
      <c r="AC2259" s="1"/>
      <c r="AD2259" s="1"/>
    </row>
    <row r="2260" spans="17:30">
      <c r="Q2260" s="6">
        <v>2230</v>
      </c>
      <c r="R2260" s="7">
        <v>44897</v>
      </c>
      <c r="S2260" s="210">
        <v>4.25</v>
      </c>
      <c r="T2260" s="8">
        <v>1.0001180555555556</v>
      </c>
      <c r="U2260" s="98">
        <v>4.1469653410093343</v>
      </c>
      <c r="V2260" s="106">
        <v>31590.3982108614</v>
      </c>
      <c r="W2260" s="10">
        <v>1.0373305225204188</v>
      </c>
      <c r="X2260" s="420"/>
      <c r="Y2260" s="420"/>
      <c r="Z2260" s="1"/>
      <c r="AA2260" s="1"/>
      <c r="AB2260" s="1"/>
      <c r="AC2260" s="1"/>
      <c r="AD2260" s="1"/>
    </row>
    <row r="2261" spans="17:30">
      <c r="Q2261" s="6">
        <v>2231</v>
      </c>
      <c r="R2261" s="7">
        <v>44898</v>
      </c>
      <c r="S2261" s="210">
        <v>4.25</v>
      </c>
      <c r="T2261" s="8">
        <v>1.0001180555555556</v>
      </c>
      <c r="U2261" s="98">
        <v>4.1470799396384317</v>
      </c>
      <c r="V2261" s="106">
        <v>31593.027568271667</v>
      </c>
      <c r="W2261" s="10">
        <v>1.0374387223584192</v>
      </c>
      <c r="X2261" s="420"/>
      <c r="Y2261" s="420"/>
      <c r="Z2261" s="1"/>
      <c r="AA2261" s="1"/>
      <c r="AB2261" s="1"/>
      <c r="AC2261" s="1"/>
      <c r="AD2261" s="1"/>
    </row>
    <row r="2262" spans="17:30">
      <c r="Q2262" s="6">
        <v>2232</v>
      </c>
      <c r="R2262" s="7">
        <v>44899</v>
      </c>
      <c r="S2262" s="210">
        <v>4.25</v>
      </c>
      <c r="T2262" s="8">
        <v>1.0001180555555556</v>
      </c>
      <c r="U2262" s="98">
        <v>4.1471944357065249</v>
      </c>
      <c r="V2262" s="106">
        <v>31595.657144530713</v>
      </c>
      <c r="W2262" s="10">
        <v>1.0375468253589037</v>
      </c>
      <c r="X2262" s="420"/>
      <c r="Y2262" s="420"/>
      <c r="Z2262" s="1"/>
      <c r="AA2262" s="1"/>
      <c r="AB2262" s="1"/>
      <c r="AC2262" s="1"/>
      <c r="AD2262" s="1"/>
    </row>
    <row r="2263" spans="17:30">
      <c r="Q2263" s="6">
        <v>2233</v>
      </c>
      <c r="R2263" s="7">
        <v>44900</v>
      </c>
      <c r="S2263" s="210">
        <v>4.25</v>
      </c>
      <c r="T2263" s="8">
        <v>1.0001180555555556</v>
      </c>
      <c r="U2263" s="98">
        <v>4.147308829351215</v>
      </c>
      <c r="V2263" s="106">
        <v>31598.286939656773</v>
      </c>
      <c r="W2263" s="10">
        <v>1.0376548316517686</v>
      </c>
      <c r="X2263" s="420"/>
      <c r="Y2263" s="420"/>
      <c r="Z2263" s="1"/>
      <c r="AA2263" s="1"/>
      <c r="AB2263" s="1"/>
      <c r="AC2263" s="1"/>
      <c r="AD2263" s="1"/>
    </row>
    <row r="2264" spans="17:30">
      <c r="Q2264" s="6">
        <v>2234</v>
      </c>
      <c r="R2264" s="7">
        <v>44901</v>
      </c>
      <c r="S2264" s="210">
        <v>4.25</v>
      </c>
      <c r="T2264" s="8">
        <v>1.0001180555555556</v>
      </c>
      <c r="U2264" s="98">
        <v>4.1474231207098811</v>
      </c>
      <c r="V2264" s="106">
        <v>31600.916953668049</v>
      </c>
      <c r="W2264" s="10">
        <v>1.0377627413667323</v>
      </c>
      <c r="X2264" s="420"/>
      <c r="Y2264" s="420"/>
      <c r="Z2264" s="1"/>
      <c r="AA2264" s="1"/>
      <c r="AB2264" s="1"/>
      <c r="AC2264" s="1"/>
      <c r="AD2264" s="1"/>
    </row>
    <row r="2265" spans="17:30">
      <c r="Q2265" s="6">
        <v>2235</v>
      </c>
      <c r="R2265" s="7">
        <v>44902</v>
      </c>
      <c r="S2265" s="210">
        <v>4.25</v>
      </c>
      <c r="T2265" s="8">
        <v>1.0001180555555556</v>
      </c>
      <c r="U2265" s="98">
        <v>4.1475373099196577</v>
      </c>
      <c r="V2265" s="106">
        <v>31603.54718658276</v>
      </c>
      <c r="W2265" s="10">
        <v>1.0378705546332911</v>
      </c>
      <c r="X2265" s="420"/>
      <c r="Y2265" s="420"/>
      <c r="Z2265" s="1"/>
      <c r="AA2265" s="1"/>
      <c r="AB2265" s="1"/>
      <c r="AC2265" s="1"/>
      <c r="AD2265" s="1"/>
    </row>
    <row r="2266" spans="17:30">
      <c r="Q2266" s="6">
        <v>2236</v>
      </c>
      <c r="R2266" s="7">
        <v>44903</v>
      </c>
      <c r="S2266" s="210">
        <v>4.25</v>
      </c>
      <c r="T2266" s="8">
        <v>1.0001180555555556</v>
      </c>
      <c r="U2266" s="98">
        <v>4.1476513971174356</v>
      </c>
      <c r="V2266" s="106">
        <v>31606.177638419143</v>
      </c>
      <c r="W2266" s="10">
        <v>1.0379782715807195</v>
      </c>
      <c r="X2266" s="420"/>
      <c r="Y2266" s="420"/>
      <c r="Z2266" s="1"/>
      <c r="AA2266" s="1"/>
      <c r="AB2266" s="1"/>
      <c r="AC2266" s="1"/>
      <c r="AD2266" s="1"/>
    </row>
    <row r="2267" spans="17:30">
      <c r="Q2267" s="6">
        <v>2237</v>
      </c>
      <c r="R2267" s="7">
        <v>44904</v>
      </c>
      <c r="S2267" s="210">
        <v>4.25</v>
      </c>
      <c r="T2267" s="8">
        <v>1.0001180555555556</v>
      </c>
      <c r="U2267" s="98">
        <v>4.1477653824398386</v>
      </c>
      <c r="V2267" s="106">
        <v>31608.808309195399</v>
      </c>
      <c r="W2267" s="10">
        <v>1.038085892337981</v>
      </c>
      <c r="X2267" s="420"/>
      <c r="Y2267" s="420"/>
      <c r="Z2267" s="1"/>
      <c r="AA2267" s="1"/>
      <c r="AB2267" s="1"/>
      <c r="AC2267" s="1"/>
      <c r="AD2267" s="1"/>
    </row>
    <row r="2268" spans="17:30">
      <c r="Q2268" s="6">
        <v>2238</v>
      </c>
      <c r="R2268" s="7">
        <v>44905</v>
      </c>
      <c r="S2268" s="210">
        <v>4.25</v>
      </c>
      <c r="T2268" s="8">
        <v>1.0001180555555556</v>
      </c>
      <c r="U2268" s="98">
        <v>4.1478792660232688</v>
      </c>
      <c r="V2268" s="106">
        <v>31611.439198929762</v>
      </c>
      <c r="W2268" s="10">
        <v>1.0381934170338836</v>
      </c>
      <c r="X2268" s="420"/>
      <c r="Y2268" s="420"/>
      <c r="Z2268" s="1"/>
      <c r="AA2268" s="1"/>
      <c r="AB2268" s="1"/>
      <c r="AC2268" s="1"/>
      <c r="AD2268" s="1"/>
    </row>
    <row r="2269" spans="17:30">
      <c r="Q2269" s="6">
        <v>2239</v>
      </c>
      <c r="R2269" s="7">
        <v>44906</v>
      </c>
      <c r="S2269" s="210">
        <v>4.25</v>
      </c>
      <c r="T2269" s="8">
        <v>1.0001180555555556</v>
      </c>
      <c r="U2269" s="98">
        <v>4.147993048003884</v>
      </c>
      <c r="V2269" s="106">
        <v>31614.070307640453</v>
      </c>
      <c r="W2269" s="10">
        <v>1.0383008457970133</v>
      </c>
      <c r="X2269" s="420"/>
      <c r="Y2269" s="420"/>
      <c r="Z2269" s="1"/>
      <c r="AA2269" s="1"/>
      <c r="AB2269" s="1"/>
      <c r="AC2269" s="1"/>
      <c r="AD2269" s="1"/>
    </row>
    <row r="2270" spans="17:30">
      <c r="Q2270" s="6">
        <v>2240</v>
      </c>
      <c r="R2270" s="7">
        <v>44907</v>
      </c>
      <c r="S2270" s="210">
        <v>4.25</v>
      </c>
      <c r="T2270" s="8">
        <v>1.0001180555555556</v>
      </c>
      <c r="U2270" s="98">
        <v>4.1481067285175977</v>
      </c>
      <c r="V2270" s="106">
        <v>31616.701635345697</v>
      </c>
      <c r="W2270" s="10">
        <v>1.0384081787556676</v>
      </c>
      <c r="X2270" s="420"/>
      <c r="Y2270" s="420"/>
      <c r="Z2270" s="1"/>
      <c r="AA2270" s="1"/>
      <c r="AB2270" s="1"/>
      <c r="AC2270" s="1"/>
      <c r="AD2270" s="1"/>
    </row>
    <row r="2271" spans="17:30">
      <c r="Q2271" s="6">
        <v>2241</v>
      </c>
      <c r="R2271" s="7">
        <v>44908</v>
      </c>
      <c r="S2271" s="210">
        <v>4.25</v>
      </c>
      <c r="T2271" s="8">
        <v>1.0001180555555556</v>
      </c>
      <c r="U2271" s="98">
        <v>4.1482203077000568</v>
      </c>
      <c r="V2271" s="106">
        <v>31619.333182063725</v>
      </c>
      <c r="W2271" s="10">
        <v>1.0385154160379662</v>
      </c>
      <c r="X2271" s="420"/>
      <c r="Y2271" s="420"/>
      <c r="Z2271" s="1"/>
      <c r="AA2271" s="1"/>
      <c r="AB2271" s="1"/>
      <c r="AC2271" s="1"/>
      <c r="AD2271" s="1"/>
    </row>
    <row r="2272" spans="17:30">
      <c r="Q2272" s="6">
        <v>2242</v>
      </c>
      <c r="R2272" s="7">
        <v>44909</v>
      </c>
      <c r="S2272" s="210">
        <v>4.25</v>
      </c>
      <c r="T2272" s="8">
        <v>1.0001180555555556</v>
      </c>
      <c r="U2272" s="98">
        <v>4.1483337856866864</v>
      </c>
      <c r="V2272" s="106">
        <v>31621.964947812758</v>
      </c>
      <c r="W2272" s="10">
        <v>1.0386225577717623</v>
      </c>
      <c r="X2272" s="420"/>
      <c r="Y2272" s="420"/>
      <c r="Z2272" s="1"/>
      <c r="AA2272" s="1"/>
      <c r="AB2272" s="1"/>
      <c r="AC2272" s="1"/>
      <c r="AD2272" s="1"/>
    </row>
    <row r="2273" spans="17:30">
      <c r="Q2273" s="6">
        <v>2243</v>
      </c>
      <c r="R2273" s="7">
        <v>44910</v>
      </c>
      <c r="S2273" s="210">
        <v>4.25</v>
      </c>
      <c r="T2273" s="8">
        <v>1.0001180555555556</v>
      </c>
      <c r="U2273" s="98">
        <v>4.1484471626126895</v>
      </c>
      <c r="V2273" s="106">
        <v>31624.596932611043</v>
      </c>
      <c r="W2273" s="10">
        <v>1.0387296040847094</v>
      </c>
      <c r="X2273" s="420"/>
      <c r="Y2273" s="420"/>
      <c r="Z2273" s="1"/>
      <c r="AA2273" s="1"/>
      <c r="AB2273" s="1"/>
      <c r="AC2273" s="1"/>
      <c r="AD2273" s="1"/>
    </row>
    <row r="2274" spans="17:30">
      <c r="Q2274" s="6">
        <v>2244</v>
      </c>
      <c r="R2274" s="7">
        <v>44911</v>
      </c>
      <c r="S2274" s="210">
        <v>4.25</v>
      </c>
      <c r="T2274" s="8">
        <v>1.0001180555555556</v>
      </c>
      <c r="U2274" s="98">
        <v>4.1485604386129804</v>
      </c>
      <c r="V2274" s="106">
        <v>31627.229136476792</v>
      </c>
      <c r="W2274" s="10">
        <v>1.0388365551041945</v>
      </c>
      <c r="X2274" s="420"/>
      <c r="Y2274" s="420"/>
      <c r="Z2274" s="1"/>
      <c r="AA2274" s="1"/>
      <c r="AB2274" s="1"/>
      <c r="AC2274" s="1"/>
      <c r="AD2274" s="1"/>
    </row>
    <row r="2275" spans="17:30">
      <c r="Q2275" s="6">
        <v>2245</v>
      </c>
      <c r="R2275" s="7">
        <v>44912</v>
      </c>
      <c r="S2275" s="210">
        <v>4.25</v>
      </c>
      <c r="T2275" s="8">
        <v>1.0001180555555556</v>
      </c>
      <c r="U2275" s="98">
        <v>4.1486736138222957</v>
      </c>
      <c r="V2275" s="106">
        <v>31629.861559428253</v>
      </c>
      <c r="W2275" s="10">
        <v>1.0389434109574491</v>
      </c>
      <c r="X2275" s="420"/>
      <c r="Y2275" s="420"/>
      <c r="Z2275" s="1"/>
      <c r="AA2275" s="1"/>
      <c r="AB2275" s="1"/>
      <c r="AC2275" s="1"/>
      <c r="AD2275" s="1"/>
    </row>
    <row r="2276" spans="17:30">
      <c r="Q2276" s="6">
        <v>2246</v>
      </c>
      <c r="R2276" s="7">
        <v>44913</v>
      </c>
      <c r="S2276" s="210">
        <v>4.25</v>
      </c>
      <c r="T2276" s="8">
        <v>1.0001180555555556</v>
      </c>
      <c r="U2276" s="98">
        <v>4.1487866883750613</v>
      </c>
      <c r="V2276" s="106">
        <v>31632.494201483656</v>
      </c>
      <c r="W2276" s="10">
        <v>1.0390501717714162</v>
      </c>
      <c r="X2276" s="420"/>
      <c r="Y2276" s="420"/>
      <c r="Z2276" s="1"/>
      <c r="AA2276" s="1"/>
      <c r="AB2276" s="1"/>
      <c r="AC2276" s="1"/>
      <c r="AD2276" s="1"/>
    </row>
    <row r="2277" spans="17:30">
      <c r="Q2277" s="6">
        <v>2247</v>
      </c>
      <c r="R2277" s="7">
        <v>44914</v>
      </c>
      <c r="S2277" s="210">
        <v>4.25</v>
      </c>
      <c r="T2277" s="8">
        <v>1.0001180555555556</v>
      </c>
      <c r="U2277" s="98">
        <v>4.1488996624055252</v>
      </c>
      <c r="V2277" s="106">
        <v>31635.127062661242</v>
      </c>
      <c r="W2277" s="10">
        <v>1.0391568376728388</v>
      </c>
      <c r="X2277" s="420"/>
      <c r="Y2277" s="420"/>
      <c r="Z2277" s="1"/>
      <c r="AA2277" s="1"/>
      <c r="AB2277" s="1"/>
      <c r="AC2277" s="1"/>
      <c r="AD2277" s="1"/>
    </row>
    <row r="2278" spans="17:30">
      <c r="Q2278" s="6">
        <v>2248</v>
      </c>
      <c r="R2278" s="7">
        <v>44915</v>
      </c>
      <c r="S2278" s="210">
        <v>4.25</v>
      </c>
      <c r="T2278" s="8">
        <v>1.0001180555555556</v>
      </c>
      <c r="U2278" s="98">
        <v>4.1490125360476693</v>
      </c>
      <c r="V2278" s="106">
        <v>31637.760142979241</v>
      </c>
      <c r="W2278" s="10">
        <v>1.0392634087882158</v>
      </c>
      <c r="X2278" s="420"/>
      <c r="Y2278" s="420"/>
      <c r="Z2278" s="1"/>
      <c r="AA2278" s="1"/>
      <c r="AB2278" s="1"/>
      <c r="AC2278" s="1"/>
      <c r="AD2278" s="1"/>
    </row>
    <row r="2279" spans="17:30">
      <c r="Q2279" s="6">
        <v>2249</v>
      </c>
      <c r="R2279" s="7">
        <v>44916</v>
      </c>
      <c r="S2279" s="210">
        <v>4.25</v>
      </c>
      <c r="T2279" s="8">
        <v>1.0001180555555556</v>
      </c>
      <c r="U2279" s="98">
        <v>4.1491253094352532</v>
      </c>
      <c r="V2279" s="106">
        <v>31640.393442455897</v>
      </c>
      <c r="W2279" s="10">
        <v>1.0393698852438682</v>
      </c>
      <c r="X2279" s="420"/>
      <c r="Y2279" s="420"/>
      <c r="Z2279" s="1"/>
      <c r="AA2279" s="1"/>
      <c r="AB2279" s="1"/>
      <c r="AC2279" s="1"/>
      <c r="AD2279" s="1"/>
    </row>
    <row r="2280" spans="17:30">
      <c r="Q2280" s="6">
        <v>2250</v>
      </c>
      <c r="R2280" s="7">
        <v>44917</v>
      </c>
      <c r="S2280" s="210">
        <v>4.25</v>
      </c>
      <c r="T2280" s="8">
        <v>1.0001180555555556</v>
      </c>
      <c r="U2280" s="98">
        <v>4.14923798270177</v>
      </c>
      <c r="V2280" s="106">
        <v>31643.026961109452</v>
      </c>
      <c r="W2280" s="10">
        <v>1.0394762671658286</v>
      </c>
      <c r="X2280" s="420"/>
      <c r="Y2280" s="420"/>
      <c r="Z2280" s="1"/>
      <c r="AA2280" s="1"/>
      <c r="AB2280" s="1"/>
      <c r="AC2280" s="1"/>
      <c r="AD2280" s="1"/>
    </row>
    <row r="2281" spans="17:30">
      <c r="Q2281" s="6">
        <v>2251</v>
      </c>
      <c r="R2281" s="7">
        <v>44918</v>
      </c>
      <c r="S2281" s="210">
        <v>4.25</v>
      </c>
      <c r="T2281" s="8">
        <v>1.0001180555555556</v>
      </c>
      <c r="U2281" s="98">
        <v>4.1493505559804911</v>
      </c>
      <c r="V2281" s="106">
        <v>31645.660698958145</v>
      </c>
      <c r="W2281" s="10">
        <v>1.039582554679952</v>
      </c>
      <c r="X2281" s="420"/>
      <c r="Y2281" s="420"/>
      <c r="Z2281" s="1"/>
      <c r="AA2281" s="1"/>
      <c r="AB2281" s="1"/>
      <c r="AC2281" s="1"/>
      <c r="AD2281" s="1"/>
    </row>
    <row r="2282" spans="17:30">
      <c r="Q2282" s="6">
        <v>2252</v>
      </c>
      <c r="R2282" s="7">
        <v>44919</v>
      </c>
      <c r="S2282" s="210">
        <v>4.25</v>
      </c>
      <c r="T2282" s="8">
        <v>1.0001180555555556</v>
      </c>
      <c r="U2282" s="98">
        <v>4.1494630294044654</v>
      </c>
      <c r="V2282" s="106">
        <v>31648.294656020229</v>
      </c>
      <c r="W2282" s="10">
        <v>1.0396887479118488</v>
      </c>
      <c r="X2282" s="420"/>
      <c r="Y2282" s="420"/>
      <c r="Z2282" s="1"/>
      <c r="AA2282" s="1"/>
      <c r="AB2282" s="1"/>
      <c r="AC2282" s="1"/>
      <c r="AD2282" s="1"/>
    </row>
    <row r="2283" spans="17:30">
      <c r="Q2283" s="6">
        <v>2253</v>
      </c>
      <c r="R2283" s="7">
        <v>44920</v>
      </c>
      <c r="S2283" s="210">
        <v>4.25</v>
      </c>
      <c r="T2283" s="8">
        <v>1.0001180555555556</v>
      </c>
      <c r="U2283" s="98">
        <v>4.149575403106498</v>
      </c>
      <c r="V2283" s="106">
        <v>31650.928832313941</v>
      </c>
      <c r="W2283" s="10">
        <v>1.0397948469869078</v>
      </c>
      <c r="X2283" s="420"/>
      <c r="Y2283" s="420"/>
      <c r="Z2283" s="1"/>
      <c r="AA2283" s="1"/>
      <c r="AB2283" s="1"/>
      <c r="AC2283" s="1"/>
      <c r="AD2283" s="1"/>
    </row>
    <row r="2284" spans="17:30">
      <c r="Q2284" s="6">
        <v>2254</v>
      </c>
      <c r="R2284" s="7">
        <v>44921</v>
      </c>
      <c r="S2284" s="210">
        <v>4.25</v>
      </c>
      <c r="T2284" s="8">
        <v>1.0001180555555556</v>
      </c>
      <c r="U2284" s="98">
        <v>4.1496876772191271</v>
      </c>
      <c r="V2284" s="106">
        <v>31653.563227857529</v>
      </c>
      <c r="W2284" s="10">
        <v>1.0399008520303177</v>
      </c>
      <c r="X2284" s="420"/>
      <c r="Y2284" s="420"/>
      <c r="Z2284" s="1"/>
      <c r="AA2284" s="1"/>
      <c r="AB2284" s="1"/>
      <c r="AC2284" s="1"/>
      <c r="AD2284" s="1"/>
    </row>
    <row r="2285" spans="17:30">
      <c r="Q2285" s="6">
        <v>2255</v>
      </c>
      <c r="R2285" s="7">
        <v>44922</v>
      </c>
      <c r="S2285" s="210">
        <v>4.25</v>
      </c>
      <c r="T2285" s="8">
        <v>1.0001180555555556</v>
      </c>
      <c r="U2285" s="98">
        <v>4.1497998518747137</v>
      </c>
      <c r="V2285" s="106">
        <v>31656.197842669251</v>
      </c>
      <c r="W2285" s="10">
        <v>1.0400067631670007</v>
      </c>
      <c r="X2285" s="420"/>
      <c r="Y2285" s="420"/>
      <c r="Z2285" s="1"/>
      <c r="AA2285" s="1"/>
      <c r="AB2285" s="1"/>
      <c r="AC2285" s="1"/>
      <c r="AD2285" s="1"/>
    </row>
    <row r="2286" spans="17:30">
      <c r="Q2286" s="6">
        <v>2256</v>
      </c>
      <c r="R2286" s="7">
        <v>44923</v>
      </c>
      <c r="S2286" s="210">
        <v>4.25</v>
      </c>
      <c r="T2286" s="8">
        <v>1.0001180555555556</v>
      </c>
      <c r="U2286" s="98">
        <v>4.1499119272053298</v>
      </c>
      <c r="V2286" s="106">
        <v>31658.832676767346</v>
      </c>
      <c r="W2286" s="10">
        <v>1.0401125805217237</v>
      </c>
      <c r="X2286" s="420"/>
      <c r="Y2286" s="420"/>
      <c r="Z2286" s="1"/>
      <c r="AA2286" s="1"/>
      <c r="AB2286" s="1"/>
      <c r="AC2286" s="1"/>
      <c r="AD2286" s="1"/>
    </row>
    <row r="2287" spans="17:30">
      <c r="Q2287" s="6">
        <v>2257</v>
      </c>
      <c r="R2287" s="7">
        <v>44924</v>
      </c>
      <c r="S2287" s="210">
        <v>4.25</v>
      </c>
      <c r="T2287" s="8">
        <v>1.0001180555555556</v>
      </c>
      <c r="U2287" s="98">
        <v>4.1500239033428477</v>
      </c>
      <c r="V2287" s="106">
        <v>31661.467730170069</v>
      </c>
      <c r="W2287" s="10">
        <v>1.0402183042189428</v>
      </c>
      <c r="X2287" s="420"/>
      <c r="Y2287" s="420"/>
      <c r="Z2287" s="1"/>
      <c r="AA2287" s="1"/>
      <c r="AB2287" s="1"/>
      <c r="AC2287" s="1"/>
      <c r="AD2287" s="1"/>
    </row>
    <row r="2288" spans="17:30">
      <c r="Q2288" s="6">
        <v>2258</v>
      </c>
      <c r="R2288" s="7">
        <v>44925</v>
      </c>
      <c r="S2288" s="210">
        <v>4.25</v>
      </c>
      <c r="T2288" s="8">
        <v>1.0001180555555556</v>
      </c>
      <c r="U2288" s="98">
        <v>4.1501357804189176</v>
      </c>
      <c r="V2288" s="106">
        <v>31664.103002895674</v>
      </c>
      <c r="W2288" s="10">
        <v>1.0403239343830029</v>
      </c>
      <c r="X2288" s="420"/>
      <c r="Y2288" s="420"/>
      <c r="Z2288" s="1"/>
      <c r="AA2288" s="1"/>
      <c r="AB2288" s="1"/>
      <c r="AC2288" s="1"/>
      <c r="AD2288" s="1"/>
    </row>
    <row r="2289" spans="17:30">
      <c r="Q2289" s="6">
        <v>2259</v>
      </c>
      <c r="R2289" s="7">
        <v>44926</v>
      </c>
      <c r="S2289" s="210">
        <v>4.25</v>
      </c>
      <c r="T2289" s="8">
        <v>1.0001180555555556</v>
      </c>
      <c r="U2289" s="98">
        <v>4.1502475585649012</v>
      </c>
      <c r="V2289" s="106">
        <v>31666.738494962421</v>
      </c>
      <c r="W2289" s="10">
        <v>1.040429471137938</v>
      </c>
      <c r="X2289" s="420"/>
      <c r="Y2289" s="420"/>
      <c r="Z2289" s="1"/>
      <c r="AA2289" s="1"/>
      <c r="AB2289" s="1"/>
      <c r="AC2289" s="1"/>
      <c r="AD2289" s="1"/>
    </row>
    <row r="2290" spans="17:30">
      <c r="Q2290" s="6">
        <v>2260</v>
      </c>
      <c r="R2290" s="7">
        <v>44927</v>
      </c>
      <c r="S2290" s="210">
        <v>4.25</v>
      </c>
      <c r="T2290" s="8">
        <v>1.0001180555555556</v>
      </c>
      <c r="U2290" s="98">
        <v>4.1503592379119825</v>
      </c>
      <c r="V2290" s="106">
        <v>31669.374206388551</v>
      </c>
      <c r="W2290" s="10">
        <v>1.0405349146076048</v>
      </c>
      <c r="X2290" s="420"/>
      <c r="Y2290" s="420"/>
      <c r="Z2290" s="1"/>
      <c r="AA2290" s="1"/>
      <c r="AB2290" s="1"/>
      <c r="AC2290" s="1"/>
      <c r="AD2290" s="1"/>
    </row>
    <row r="2291" spans="17:30">
      <c r="Q2291" s="6">
        <v>2261</v>
      </c>
      <c r="R2291" s="7">
        <v>44928</v>
      </c>
      <c r="S2291" s="210">
        <v>4.25</v>
      </c>
      <c r="T2291" s="8">
        <v>1.0001180555555556</v>
      </c>
      <c r="U2291" s="98">
        <v>4.1504708185910788</v>
      </c>
      <c r="V2291" s="106">
        <v>31672.010137192345</v>
      </c>
      <c r="W2291" s="10">
        <v>1.0406402649155932</v>
      </c>
      <c r="X2291" s="420"/>
      <c r="Y2291" s="420"/>
      <c r="Z2291" s="1"/>
      <c r="AA2291" s="1"/>
      <c r="AB2291" s="1"/>
      <c r="AC2291" s="1"/>
      <c r="AD2291" s="1"/>
    </row>
    <row r="2292" spans="17:30">
      <c r="Q2292" s="6">
        <v>2262</v>
      </c>
      <c r="R2292" s="7">
        <v>44929</v>
      </c>
      <c r="S2292" s="210">
        <v>4.25</v>
      </c>
      <c r="T2292" s="8">
        <v>1.0001180555555556</v>
      </c>
      <c r="U2292" s="98">
        <v>4.1505823007329079</v>
      </c>
      <c r="V2292" s="106">
        <v>31674.646287392043</v>
      </c>
      <c r="W2292" s="10">
        <v>1.0407455221853823</v>
      </c>
      <c r="X2292" s="420"/>
      <c r="Y2292" s="420"/>
      <c r="Z2292" s="1"/>
      <c r="AA2292" s="1"/>
      <c r="AB2292" s="1"/>
      <c r="AC2292" s="1"/>
      <c r="AD2292" s="1"/>
    </row>
    <row r="2293" spans="17:30">
      <c r="Q2293" s="6">
        <v>2263</v>
      </c>
      <c r="R2293" s="7">
        <v>44930</v>
      </c>
      <c r="S2293" s="210">
        <v>4.25</v>
      </c>
      <c r="T2293" s="8">
        <v>1.0001180555555556</v>
      </c>
      <c r="U2293" s="98">
        <v>4.1506936844679432</v>
      </c>
      <c r="V2293" s="106">
        <v>31677.282657005911</v>
      </c>
      <c r="W2293" s="10">
        <v>1.0408506865401401</v>
      </c>
      <c r="X2293" s="420"/>
      <c r="Y2293" s="420"/>
      <c r="Z2293" s="1"/>
      <c r="AA2293" s="1"/>
      <c r="AB2293" s="1"/>
      <c r="AC2293" s="1"/>
      <c r="AD2293" s="1"/>
    </row>
    <row r="2294" spans="17:30">
      <c r="Q2294" s="6">
        <v>2264</v>
      </c>
      <c r="R2294" s="7">
        <v>44931</v>
      </c>
      <c r="S2294" s="210">
        <v>4.25</v>
      </c>
      <c r="T2294" s="8">
        <v>1.0001180555555556</v>
      </c>
      <c r="U2294" s="98">
        <v>4.1508049699264138</v>
      </c>
      <c r="V2294" s="106">
        <v>31679.919246052214</v>
      </c>
      <c r="W2294" s="10">
        <v>1.0409557581028572</v>
      </c>
      <c r="X2294" s="420"/>
      <c r="Y2294" s="420"/>
      <c r="Z2294" s="1"/>
      <c r="AA2294" s="1"/>
      <c r="AB2294" s="1"/>
      <c r="AC2294" s="1"/>
      <c r="AD2294" s="1"/>
    </row>
    <row r="2295" spans="17:30">
      <c r="Q2295" s="6">
        <v>2265</v>
      </c>
      <c r="R2295" s="7">
        <v>44932</v>
      </c>
      <c r="S2295" s="210">
        <v>4.25</v>
      </c>
      <c r="T2295" s="8">
        <v>1.0001180555555556</v>
      </c>
      <c r="U2295" s="98">
        <v>4.1509161572383269</v>
      </c>
      <c r="V2295" s="106">
        <v>31682.556054549219</v>
      </c>
      <c r="W2295" s="10">
        <v>1.0410607369962355</v>
      </c>
      <c r="X2295" s="420"/>
      <c r="Y2295" s="420"/>
      <c r="Z2295" s="1"/>
      <c r="AA2295" s="1"/>
      <c r="AB2295" s="1"/>
      <c r="AC2295" s="1"/>
      <c r="AD2295" s="1"/>
    </row>
    <row r="2296" spans="17:30">
      <c r="Q2296" s="6">
        <v>2266</v>
      </c>
      <c r="R2296" s="7">
        <v>44933</v>
      </c>
      <c r="S2296" s="210">
        <v>4.25</v>
      </c>
      <c r="T2296" s="8">
        <v>1.0001180555555556</v>
      </c>
      <c r="U2296" s="98">
        <v>4.1510272465334674</v>
      </c>
      <c r="V2296" s="106">
        <v>31685.19308251519</v>
      </c>
      <c r="W2296" s="10">
        <v>1.0411656233428657</v>
      </c>
      <c r="X2296" s="420"/>
      <c r="Y2296" s="420"/>
      <c r="Z2296" s="1"/>
      <c r="AA2296" s="1"/>
      <c r="AB2296" s="1"/>
      <c r="AC2296" s="1"/>
      <c r="AD2296" s="1"/>
    </row>
    <row r="2297" spans="17:30">
      <c r="Q2297" s="6">
        <v>2267</v>
      </c>
      <c r="R2297" s="7">
        <v>44934</v>
      </c>
      <c r="S2297" s="210">
        <v>4.25</v>
      </c>
      <c r="T2297" s="8">
        <v>1.0001180555555556</v>
      </c>
      <c r="U2297" s="98">
        <v>4.1511382379413764</v>
      </c>
      <c r="V2297" s="106">
        <v>31687.830329968387</v>
      </c>
      <c r="W2297" s="10">
        <v>1.04127041726505</v>
      </c>
      <c r="X2297" s="420"/>
      <c r="Y2297" s="420"/>
      <c r="Z2297" s="1"/>
      <c r="AA2297" s="1"/>
      <c r="AB2297" s="1"/>
      <c r="AC2297" s="1"/>
      <c r="AD2297" s="1"/>
    </row>
    <row r="2298" spans="17:30">
      <c r="Q2298" s="6">
        <v>2268</v>
      </c>
      <c r="R2298" s="7">
        <v>44935</v>
      </c>
      <c r="S2298" s="210">
        <v>4.25</v>
      </c>
      <c r="T2298" s="8">
        <v>1.0001180555555556</v>
      </c>
      <c r="U2298" s="98">
        <v>4.1512491315913946</v>
      </c>
      <c r="V2298" s="106">
        <v>31690.467796927082</v>
      </c>
      <c r="W2298" s="10">
        <v>1.041375118884913</v>
      </c>
      <c r="X2298" s="420"/>
      <c r="Y2298" s="420"/>
      <c r="Z2298" s="1"/>
      <c r="AA2298" s="1"/>
      <c r="AB2298" s="1"/>
      <c r="AC2298" s="1"/>
      <c r="AD2298" s="1"/>
    </row>
    <row r="2299" spans="17:30">
      <c r="Q2299" s="6">
        <v>2269</v>
      </c>
      <c r="R2299" s="7">
        <v>44936</v>
      </c>
      <c r="S2299" s="210">
        <v>4.25</v>
      </c>
      <c r="T2299" s="8">
        <v>1.0001180555555556</v>
      </c>
      <c r="U2299" s="98">
        <v>4.151359927612619</v>
      </c>
      <c r="V2299" s="106">
        <v>31693.105483409548</v>
      </c>
      <c r="W2299" s="10">
        <v>1.0414797283243571</v>
      </c>
      <c r="X2299" s="420"/>
      <c r="Y2299" s="420"/>
      <c r="Z2299" s="1"/>
      <c r="AA2299" s="1"/>
      <c r="AB2299" s="1"/>
      <c r="AC2299" s="1"/>
      <c r="AD2299" s="1"/>
    </row>
    <row r="2300" spans="17:30">
      <c r="Q2300" s="6">
        <v>2270</v>
      </c>
      <c r="R2300" s="7">
        <v>44937</v>
      </c>
      <c r="S2300" s="210">
        <v>4.25</v>
      </c>
      <c r="T2300" s="8">
        <v>1.0001180555555556</v>
      </c>
      <c r="U2300" s="98">
        <v>4.1514706261339018</v>
      </c>
      <c r="V2300" s="106">
        <v>31695.743389434057</v>
      </c>
      <c r="W2300" s="10">
        <v>1.0415842457050406</v>
      </c>
      <c r="X2300" s="420"/>
      <c r="Y2300" s="420"/>
      <c r="Z2300" s="1"/>
      <c r="AA2300" s="1"/>
      <c r="AB2300" s="1"/>
      <c r="AC2300" s="1"/>
      <c r="AD2300" s="1"/>
    </row>
    <row r="2301" spans="17:30">
      <c r="Q2301" s="6">
        <v>2271</v>
      </c>
      <c r="R2301" s="7">
        <v>44938</v>
      </c>
      <c r="S2301" s="210">
        <v>4.25</v>
      </c>
      <c r="T2301" s="8">
        <v>1.0001180555555556</v>
      </c>
      <c r="U2301" s="98">
        <v>4.1515812272838959</v>
      </c>
      <c r="V2301" s="106">
        <v>31698.381515018878</v>
      </c>
      <c r="W2301" s="10">
        <v>1.0416886711484441</v>
      </c>
      <c r="X2301" s="420"/>
      <c r="Y2301" s="420"/>
      <c r="Z2301" s="1"/>
      <c r="AA2301" s="1"/>
      <c r="AB2301" s="1"/>
      <c r="AC2301" s="1"/>
      <c r="AD2301" s="1"/>
    </row>
    <row r="2302" spans="17:30">
      <c r="Q2302" s="6">
        <v>2272</v>
      </c>
      <c r="R2302" s="7">
        <v>44939</v>
      </c>
      <c r="S2302" s="210">
        <v>4.25</v>
      </c>
      <c r="T2302" s="8">
        <v>1.0001180555555556</v>
      </c>
      <c r="U2302" s="98">
        <v>4.1516917311910317</v>
      </c>
      <c r="V2302" s="106">
        <v>31701.019860182289</v>
      </c>
      <c r="W2302" s="10">
        <v>1.0417930047758484</v>
      </c>
      <c r="X2302" s="420"/>
      <c r="Y2302" s="420"/>
      <c r="Z2302" s="1"/>
      <c r="AA2302" s="1"/>
      <c r="AB2302" s="1"/>
      <c r="AC2302" s="1"/>
      <c r="AD2302" s="1"/>
    </row>
    <row r="2303" spans="17:30">
      <c r="Q2303" s="6">
        <v>2273</v>
      </c>
      <c r="R2303" s="7">
        <v>44940</v>
      </c>
      <c r="S2303" s="210">
        <v>4.25</v>
      </c>
      <c r="T2303" s="8">
        <v>1.0001180555555556</v>
      </c>
      <c r="U2303" s="98">
        <v>4.1518021379834735</v>
      </c>
      <c r="V2303" s="106">
        <v>31703.658424942565</v>
      </c>
      <c r="W2303" s="10">
        <v>1.0418972467082455</v>
      </c>
      <c r="X2303" s="420"/>
      <c r="Y2303" s="420"/>
      <c r="Z2303" s="1"/>
      <c r="AA2303" s="1"/>
      <c r="AB2303" s="1"/>
      <c r="AC2303" s="1"/>
      <c r="AD2303" s="1"/>
    </row>
    <row r="2304" spans="17:30">
      <c r="Q2304" s="6">
        <v>2274</v>
      </c>
      <c r="R2304" s="7">
        <v>44941</v>
      </c>
      <c r="S2304" s="210">
        <v>4.25</v>
      </c>
      <c r="T2304" s="8">
        <v>1.0001180555555556</v>
      </c>
      <c r="U2304" s="98">
        <v>4.1519124477892078</v>
      </c>
      <c r="V2304" s="106">
        <v>31706.297209317981</v>
      </c>
      <c r="W2304" s="10">
        <v>1.0420013970664943</v>
      </c>
      <c r="X2304" s="420"/>
      <c r="Y2304" s="420"/>
      <c r="Z2304" s="1"/>
      <c r="AA2304" s="1"/>
      <c r="AB2304" s="1"/>
      <c r="AC2304" s="1"/>
      <c r="AD2304" s="1"/>
    </row>
    <row r="2305" spans="17:30">
      <c r="Q2305" s="6">
        <v>2275</v>
      </c>
      <c r="R2305" s="7">
        <v>44942</v>
      </c>
      <c r="S2305" s="210">
        <v>4.25</v>
      </c>
      <c r="T2305" s="8">
        <v>1.0001180555555556</v>
      </c>
      <c r="U2305" s="98">
        <v>4.1520226607359545</v>
      </c>
      <c r="V2305" s="106">
        <v>31708.936213326822</v>
      </c>
      <c r="W2305" s="10">
        <v>1.0421054559711873</v>
      </c>
      <c r="X2305" s="420"/>
      <c r="Y2305" s="420"/>
      <c r="Z2305" s="1"/>
      <c r="AA2305" s="1"/>
      <c r="AB2305" s="1"/>
      <c r="AC2305" s="1"/>
      <c r="AD2305" s="1"/>
    </row>
    <row r="2306" spans="17:30">
      <c r="Q2306" s="6">
        <v>2276</v>
      </c>
      <c r="R2306" s="7">
        <v>44943</v>
      </c>
      <c r="S2306" s="210">
        <v>4.25</v>
      </c>
      <c r="T2306" s="8">
        <v>1.0001180555555556</v>
      </c>
      <c r="U2306" s="98">
        <v>4.1521327769512562</v>
      </c>
      <c r="V2306" s="106">
        <v>31711.575436987368</v>
      </c>
      <c r="W2306" s="10">
        <v>1.0422094235427393</v>
      </c>
      <c r="X2306" s="420"/>
      <c r="Y2306" s="420"/>
      <c r="Z2306" s="1"/>
      <c r="AA2306" s="1"/>
      <c r="AB2306" s="1"/>
      <c r="AC2306" s="1"/>
      <c r="AD2306" s="1"/>
    </row>
    <row r="2307" spans="17:30">
      <c r="Q2307" s="6">
        <v>2277</v>
      </c>
      <c r="R2307" s="7">
        <v>44944</v>
      </c>
      <c r="S2307" s="210">
        <v>4.25</v>
      </c>
      <c r="T2307" s="8">
        <v>1.0001180555555556</v>
      </c>
      <c r="U2307" s="98">
        <v>4.1522427965623887</v>
      </c>
      <c r="V2307" s="106">
        <v>31714.214880317893</v>
      </c>
      <c r="W2307" s="10">
        <v>1.0423132999013651</v>
      </c>
      <c r="X2307" s="420"/>
      <c r="Y2307" s="420"/>
      <c r="Z2307" s="1"/>
      <c r="AA2307" s="1"/>
      <c r="AB2307" s="1"/>
      <c r="AC2307" s="1"/>
      <c r="AD2307" s="1"/>
    </row>
    <row r="2308" spans="17:30">
      <c r="Q2308" s="6">
        <v>2278</v>
      </c>
      <c r="R2308" s="7">
        <v>44945</v>
      </c>
      <c r="S2308" s="210">
        <v>4.25</v>
      </c>
      <c r="T2308" s="8">
        <v>1.0001180555555556</v>
      </c>
      <c r="U2308" s="98">
        <v>4.1523527196964283</v>
      </c>
      <c r="V2308" s="106">
        <v>31716.854543336689</v>
      </c>
      <c r="W2308" s="10">
        <v>1.0424170851670356</v>
      </c>
      <c r="X2308" s="420"/>
      <c r="Y2308" s="420"/>
      <c r="Z2308" s="1"/>
      <c r="AA2308" s="1"/>
      <c r="AB2308" s="1"/>
      <c r="AC2308" s="1"/>
      <c r="AD2308" s="1"/>
    </row>
    <row r="2309" spans="17:30">
      <c r="Q2309" s="6">
        <v>2279</v>
      </c>
      <c r="R2309" s="7">
        <v>44946</v>
      </c>
      <c r="S2309" s="210">
        <v>4.25</v>
      </c>
      <c r="T2309" s="8">
        <v>1.0001180555555556</v>
      </c>
      <c r="U2309" s="98">
        <v>4.1524625464802067</v>
      </c>
      <c r="V2309" s="106">
        <v>31719.494426062036</v>
      </c>
      <c r="W2309" s="10">
        <v>1.0425207794594993</v>
      </c>
      <c r="X2309" s="420"/>
      <c r="Y2309" s="420"/>
      <c r="Z2309" s="1"/>
      <c r="AA2309" s="1"/>
      <c r="AB2309" s="1"/>
      <c r="AC2309" s="1"/>
      <c r="AD2309" s="1"/>
    </row>
    <row r="2310" spans="17:30">
      <c r="Q2310" s="6">
        <v>2280</v>
      </c>
      <c r="R2310" s="7">
        <v>44947</v>
      </c>
      <c r="S2310" s="210">
        <v>4.25</v>
      </c>
      <c r="T2310" s="8">
        <v>1.0001180555555556</v>
      </c>
      <c r="U2310" s="98">
        <v>4.1525722770403561</v>
      </c>
      <c r="V2310" s="106">
        <v>31722.134528512226</v>
      </c>
      <c r="W2310" s="10">
        <v>1.0426243828983273</v>
      </c>
      <c r="X2310" s="420"/>
      <c r="Y2310" s="420"/>
      <c r="Z2310" s="1"/>
      <c r="AA2310" s="1"/>
      <c r="AB2310" s="1"/>
      <c r="AC2310" s="1"/>
      <c r="AD2310" s="1"/>
    </row>
    <row r="2311" spans="17:30">
      <c r="Q2311" s="6">
        <v>2281</v>
      </c>
      <c r="R2311" s="7">
        <v>44948</v>
      </c>
      <c r="S2311" s="210">
        <v>4.25</v>
      </c>
      <c r="T2311" s="8">
        <v>1.0001180555555556</v>
      </c>
      <c r="U2311" s="98">
        <v>4.1526819115032865</v>
      </c>
      <c r="V2311" s="106">
        <v>31724.774850705544</v>
      </c>
      <c r="W2311" s="10">
        <v>1.0427278956028907</v>
      </c>
      <c r="X2311" s="420"/>
      <c r="Y2311" s="420"/>
      <c r="Z2311" s="1"/>
      <c r="AA2311" s="1"/>
      <c r="AB2311" s="1"/>
      <c r="AC2311" s="1"/>
      <c r="AD2311" s="1"/>
    </row>
    <row r="2312" spans="17:30">
      <c r="Q2312" s="6">
        <v>2282</v>
      </c>
      <c r="R2312" s="7">
        <v>44949</v>
      </c>
      <c r="S2312" s="210">
        <v>4.25</v>
      </c>
      <c r="T2312" s="8">
        <v>1.0001180555555556</v>
      </c>
      <c r="U2312" s="98">
        <v>4.1527914499951857</v>
      </c>
      <c r="V2312" s="106">
        <v>31727.415392660281</v>
      </c>
      <c r="W2312" s="10">
        <v>1.0428313176923165</v>
      </c>
      <c r="X2312" s="420"/>
      <c r="Y2312" s="420"/>
      <c r="Z2312" s="1"/>
      <c r="AA2312" s="1"/>
      <c r="AB2312" s="1"/>
      <c r="AC2312" s="1"/>
      <c r="AD2312" s="1"/>
    </row>
    <row r="2313" spans="17:30">
      <c r="Q2313" s="6">
        <v>2283</v>
      </c>
      <c r="R2313" s="7">
        <v>44950</v>
      </c>
      <c r="S2313" s="210">
        <v>4.25</v>
      </c>
      <c r="T2313" s="8">
        <v>1.0001180555555556</v>
      </c>
      <c r="U2313" s="98">
        <v>4.1529008926419975</v>
      </c>
      <c r="V2313" s="106">
        <v>31730.05615439473</v>
      </c>
      <c r="W2313" s="10">
        <v>1.0429346492855318</v>
      </c>
      <c r="X2313" s="420"/>
      <c r="Y2313" s="420"/>
      <c r="Z2313" s="1"/>
      <c r="AA2313" s="1"/>
      <c r="AB2313" s="1"/>
      <c r="AC2313" s="1"/>
      <c r="AD2313" s="1"/>
    </row>
    <row r="2314" spans="17:30">
      <c r="Q2314" s="6">
        <v>2284</v>
      </c>
      <c r="R2314" s="7">
        <v>44951</v>
      </c>
      <c r="S2314" s="210">
        <v>4.25</v>
      </c>
      <c r="T2314" s="8">
        <v>1.0001180555555556</v>
      </c>
      <c r="U2314" s="98">
        <v>4.1530102395694657</v>
      </c>
      <c r="V2314" s="106">
        <v>31732.697135927174</v>
      </c>
      <c r="W2314" s="10">
        <v>1.043037890501286</v>
      </c>
      <c r="X2314" s="420"/>
      <c r="Y2314" s="420"/>
      <c r="Z2314" s="1"/>
      <c r="AA2314" s="1"/>
      <c r="AB2314" s="1"/>
      <c r="AC2314" s="1"/>
      <c r="AD2314" s="1"/>
    </row>
    <row r="2315" spans="17:30">
      <c r="Q2315" s="6">
        <v>2285</v>
      </c>
      <c r="R2315" s="7">
        <v>44952</v>
      </c>
      <c r="S2315" s="210">
        <v>4.25</v>
      </c>
      <c r="T2315" s="8">
        <v>1.0001180555555556</v>
      </c>
      <c r="U2315" s="98">
        <v>4.1531194909031122</v>
      </c>
      <c r="V2315" s="106">
        <v>31735.338337275924</v>
      </c>
      <c r="W2315" s="10">
        <v>1.0431410414580844</v>
      </c>
      <c r="X2315" s="420"/>
      <c r="Y2315" s="420"/>
      <c r="Z2315" s="1"/>
      <c r="AA2315" s="1"/>
      <c r="AB2315" s="1"/>
      <c r="AC2315" s="1"/>
      <c r="AD2315" s="1"/>
    </row>
    <row r="2316" spans="17:30">
      <c r="Q2316" s="6">
        <v>2286</v>
      </c>
      <c r="R2316" s="7">
        <v>44953</v>
      </c>
      <c r="S2316" s="210">
        <v>4.25</v>
      </c>
      <c r="T2316" s="8">
        <v>1.0001180555555556</v>
      </c>
      <c r="U2316" s="98">
        <v>4.1532286467682367</v>
      </c>
      <c r="V2316" s="106">
        <v>31737.979758459256</v>
      </c>
      <c r="W2316" s="10">
        <v>1.0432441022742545</v>
      </c>
      <c r="X2316" s="420"/>
      <c r="Y2316" s="420"/>
      <c r="Z2316" s="1"/>
      <c r="AA2316" s="1"/>
      <c r="AB2316" s="1"/>
      <c r="AC2316" s="1"/>
      <c r="AD2316" s="1"/>
    </row>
    <row r="2317" spans="17:30">
      <c r="Q2317" s="6">
        <v>2287</v>
      </c>
      <c r="R2317" s="7">
        <v>44954</v>
      </c>
      <c r="S2317" s="210">
        <v>4.25</v>
      </c>
      <c r="T2317" s="8">
        <v>1.0001180555555556</v>
      </c>
      <c r="U2317" s="98">
        <v>4.1533377072899169</v>
      </c>
      <c r="V2317" s="106">
        <v>31740.621399495492</v>
      </c>
      <c r="W2317" s="10">
        <v>1.0433470730678573</v>
      </c>
      <c r="X2317" s="420"/>
      <c r="Y2317" s="420"/>
      <c r="Z2317" s="1"/>
      <c r="AA2317" s="1"/>
      <c r="AB2317" s="1"/>
      <c r="AC2317" s="1"/>
      <c r="AD2317" s="1"/>
    </row>
    <row r="2318" spans="17:30">
      <c r="Q2318" s="6">
        <v>2288</v>
      </c>
      <c r="R2318" s="7">
        <v>44955</v>
      </c>
      <c r="S2318" s="210">
        <v>4.25</v>
      </c>
      <c r="T2318" s="8">
        <v>1.0001180555555556</v>
      </c>
      <c r="U2318" s="98">
        <v>4.1534466725930308</v>
      </c>
      <c r="V2318" s="106">
        <v>31743.263260402913</v>
      </c>
      <c r="W2318" s="10">
        <v>1.0434499539568431</v>
      </c>
      <c r="X2318" s="420"/>
      <c r="Y2318" s="420"/>
      <c r="Z2318" s="1"/>
      <c r="AA2318" s="1"/>
      <c r="AB2318" s="1"/>
      <c r="AC2318" s="1"/>
      <c r="AD2318" s="1"/>
    </row>
    <row r="2319" spans="17:30">
      <c r="Q2319" s="6">
        <v>2289</v>
      </c>
      <c r="R2319" s="7">
        <v>44956</v>
      </c>
      <c r="S2319" s="210">
        <v>4.25</v>
      </c>
      <c r="T2319" s="8">
        <v>1.0001180555555556</v>
      </c>
      <c r="U2319" s="98">
        <v>4.153555542802212</v>
      </c>
      <c r="V2319" s="106">
        <v>31745.905341199817</v>
      </c>
      <c r="W2319" s="10">
        <v>1.0435527450588733</v>
      </c>
      <c r="X2319" s="420"/>
      <c r="Y2319" s="420"/>
      <c r="Z2319" s="1"/>
      <c r="AA2319" s="1"/>
      <c r="AB2319" s="1"/>
      <c r="AC2319" s="1"/>
      <c r="AD2319" s="1"/>
    </row>
    <row r="2320" spans="17:30">
      <c r="Q2320" s="6">
        <v>2290</v>
      </c>
      <c r="R2320" s="7">
        <v>44957</v>
      </c>
      <c r="S2320" s="210">
        <v>4.25</v>
      </c>
      <c r="T2320" s="8">
        <v>1.0001180555555556</v>
      </c>
      <c r="U2320" s="98">
        <v>4.1536643180418942</v>
      </c>
      <c r="V2320" s="106">
        <v>31748.547641904523</v>
      </c>
      <c r="W2320" s="10">
        <v>1.0436554464914538</v>
      </c>
      <c r="X2320" s="420"/>
      <c r="Y2320" s="420"/>
      <c r="Z2320" s="1"/>
      <c r="AA2320" s="1"/>
      <c r="AB2320" s="1"/>
      <c r="AC2320" s="1"/>
      <c r="AD2320" s="1"/>
    </row>
    <row r="2321" spans="17:30">
      <c r="Q2321" s="6">
        <v>2291</v>
      </c>
      <c r="R2321" s="7">
        <v>44958</v>
      </c>
      <c r="S2321" s="210">
        <v>4.25</v>
      </c>
      <c r="T2321" s="8">
        <v>1.0001180555555556</v>
      </c>
      <c r="U2321" s="98">
        <v>4.1537729984362892</v>
      </c>
      <c r="V2321" s="106">
        <v>31751.190162535324</v>
      </c>
      <c r="W2321" s="10">
        <v>1.0437580583718464</v>
      </c>
      <c r="X2321" s="420"/>
      <c r="Y2321" s="420"/>
      <c r="Z2321" s="1"/>
      <c r="AA2321" s="1"/>
      <c r="AB2321" s="1"/>
      <c r="AC2321" s="1"/>
      <c r="AD2321" s="1"/>
    </row>
    <row r="2322" spans="17:30">
      <c r="Q2322" s="6">
        <v>2292</v>
      </c>
      <c r="R2322" s="7">
        <v>44959</v>
      </c>
      <c r="S2322" s="210">
        <v>4.25</v>
      </c>
      <c r="T2322" s="8">
        <v>1.0001180555555556</v>
      </c>
      <c r="U2322" s="98">
        <v>4.1538815841093868</v>
      </c>
      <c r="V2322" s="106">
        <v>31753.832903110517</v>
      </c>
      <c r="W2322" s="10">
        <v>1.0438605808171797</v>
      </c>
      <c r="X2322" s="420"/>
      <c r="Y2322" s="420"/>
      <c r="Z2322" s="1"/>
      <c r="AA2322" s="1"/>
      <c r="AB2322" s="1"/>
      <c r="AC2322" s="1"/>
      <c r="AD2322" s="1"/>
    </row>
    <row r="2323" spans="17:30">
      <c r="Q2323" s="6">
        <v>2293</v>
      </c>
      <c r="R2323" s="7">
        <v>44960</v>
      </c>
      <c r="S2323" s="210">
        <v>4.25</v>
      </c>
      <c r="T2323" s="8">
        <v>1.0001180555555556</v>
      </c>
      <c r="U2323" s="98">
        <v>4.1539900751849768</v>
      </c>
      <c r="V2323" s="106">
        <v>31756.475863648422</v>
      </c>
      <c r="W2323" s="10">
        <v>1.0439630139442713</v>
      </c>
      <c r="X2323" s="420"/>
      <c r="Y2323" s="420"/>
      <c r="Z2323" s="1"/>
      <c r="AA2323" s="1"/>
      <c r="AB2323" s="1"/>
      <c r="AC2323" s="1"/>
      <c r="AD2323" s="1"/>
    </row>
    <row r="2324" spans="17:30">
      <c r="Q2324" s="6">
        <v>2294</v>
      </c>
      <c r="R2324" s="7">
        <v>44961</v>
      </c>
      <c r="S2324" s="210">
        <v>4.25</v>
      </c>
      <c r="T2324" s="8">
        <v>1.0001180555555556</v>
      </c>
      <c r="U2324" s="98">
        <v>4.1540984717866047</v>
      </c>
      <c r="V2324" s="106">
        <v>31759.119044167343</v>
      </c>
      <c r="W2324" s="10">
        <v>1.0440653578698056</v>
      </c>
      <c r="X2324" s="420"/>
      <c r="Y2324" s="420"/>
      <c r="Z2324" s="1"/>
      <c r="AA2324" s="1"/>
      <c r="AB2324" s="1"/>
      <c r="AC2324" s="1"/>
      <c r="AD2324" s="1"/>
    </row>
    <row r="2325" spans="17:30">
      <c r="Q2325" s="6">
        <v>2295</v>
      </c>
      <c r="R2325" s="7">
        <v>44962</v>
      </c>
      <c r="S2325" s="210">
        <v>4.25</v>
      </c>
      <c r="T2325" s="8">
        <v>1.0001180555555556</v>
      </c>
      <c r="U2325" s="98">
        <v>4.1542067740376387</v>
      </c>
      <c r="V2325" s="106">
        <v>31761.762444685592</v>
      </c>
      <c r="W2325" s="10">
        <v>1.0441676127102673</v>
      </c>
      <c r="X2325" s="420"/>
      <c r="Y2325" s="420"/>
      <c r="Z2325" s="1"/>
      <c r="AA2325" s="1"/>
      <c r="AB2325" s="1"/>
      <c r="AC2325" s="1"/>
      <c r="AD2325" s="1"/>
    </row>
    <row r="2326" spans="17:30">
      <c r="Q2326" s="6">
        <v>2296</v>
      </c>
      <c r="R2326" s="7">
        <v>44963</v>
      </c>
      <c r="S2326" s="210">
        <v>4.25</v>
      </c>
      <c r="T2326" s="8">
        <v>1.0001180555555556</v>
      </c>
      <c r="U2326" s="98">
        <v>4.1543149820612024</v>
      </c>
      <c r="V2326" s="106">
        <v>31764.406065221472</v>
      </c>
      <c r="W2326" s="10">
        <v>1.044269778581941</v>
      </c>
      <c r="X2326" s="420"/>
      <c r="Y2326" s="420"/>
      <c r="Z2326" s="1"/>
      <c r="AA2326" s="1"/>
      <c r="AB2326" s="1"/>
      <c r="AC2326" s="1"/>
      <c r="AD2326" s="1"/>
    </row>
    <row r="2327" spans="17:30">
      <c r="Q2327" s="6">
        <v>2297</v>
      </c>
      <c r="R2327" s="7">
        <v>44964</v>
      </c>
      <c r="S2327" s="210">
        <v>4.25</v>
      </c>
      <c r="T2327" s="8">
        <v>1.0001180555555556</v>
      </c>
      <c r="U2327" s="98">
        <v>4.1544230959801975</v>
      </c>
      <c r="V2327" s="106">
        <v>31767.049905793301</v>
      </c>
      <c r="W2327" s="10">
        <v>1.044371855600823</v>
      </c>
      <c r="X2327" s="420"/>
      <c r="Y2327" s="420"/>
      <c r="Z2327" s="1"/>
      <c r="AA2327" s="1"/>
      <c r="AB2327" s="1"/>
      <c r="AC2327" s="1"/>
      <c r="AD2327" s="1"/>
    </row>
    <row r="2328" spans="17:30">
      <c r="Q2328" s="6">
        <v>2298</v>
      </c>
      <c r="R2328" s="7">
        <v>44965</v>
      </c>
      <c r="S2328" s="210">
        <v>4.25</v>
      </c>
      <c r="T2328" s="8">
        <v>1.0001180555555556</v>
      </c>
      <c r="U2328" s="98">
        <v>4.1545311159173481</v>
      </c>
      <c r="V2328" s="106">
        <v>31769.6939664194</v>
      </c>
      <c r="W2328" s="10">
        <v>1.0444738438828205</v>
      </c>
      <c r="X2328" s="420"/>
      <c r="Y2328" s="420"/>
      <c r="Z2328" s="1"/>
      <c r="AA2328" s="1"/>
      <c r="AB2328" s="1"/>
      <c r="AC2328" s="1"/>
      <c r="AD2328" s="1"/>
    </row>
    <row r="2329" spans="17:30">
      <c r="Q2329" s="6">
        <v>2299</v>
      </c>
      <c r="R2329" s="7">
        <v>44966</v>
      </c>
      <c r="S2329" s="210">
        <v>4.25</v>
      </c>
      <c r="T2329" s="8">
        <v>1.0001180555555556</v>
      </c>
      <c r="U2329" s="98">
        <v>4.1546390419951562</v>
      </c>
      <c r="V2329" s="106">
        <v>31772.33824711807</v>
      </c>
      <c r="W2329" s="10">
        <v>1.0445757435435965</v>
      </c>
      <c r="X2329" s="420"/>
      <c r="Y2329" s="420"/>
      <c r="Z2329" s="1"/>
      <c r="AA2329" s="1"/>
      <c r="AB2329" s="1"/>
      <c r="AC2329" s="1"/>
      <c r="AD2329" s="1"/>
    </row>
    <row r="2330" spans="17:30">
      <c r="Q2330" s="6">
        <v>2300</v>
      </c>
      <c r="R2330" s="7">
        <v>44967</v>
      </c>
      <c r="S2330" s="210">
        <v>4.25</v>
      </c>
      <c r="T2330" s="8">
        <v>1.0001180555555556</v>
      </c>
      <c r="U2330" s="98">
        <v>4.1547468743358795</v>
      </c>
      <c r="V2330" s="106">
        <v>31774.982747907641</v>
      </c>
      <c r="W2330" s="10">
        <v>1.044677554698592</v>
      </c>
      <c r="X2330" s="420"/>
      <c r="Y2330" s="420"/>
      <c r="Z2330" s="1"/>
      <c r="AA2330" s="1"/>
      <c r="AB2330" s="1"/>
      <c r="AC2330" s="1"/>
      <c r="AD2330" s="1"/>
    </row>
    <row r="2331" spans="17:30">
      <c r="Q2331" s="6">
        <v>2301</v>
      </c>
      <c r="R2331" s="7">
        <v>44968</v>
      </c>
      <c r="S2331" s="210">
        <v>4.25</v>
      </c>
      <c r="T2331" s="8">
        <v>1.0001180555555556</v>
      </c>
      <c r="U2331" s="98">
        <v>4.1548546130615982</v>
      </c>
      <c r="V2331" s="106">
        <v>31777.627468806426</v>
      </c>
      <c r="W2331" s="10">
        <v>1.0447792774630704</v>
      </c>
      <c r="X2331" s="420"/>
      <c r="Y2331" s="420"/>
      <c r="Z2331" s="1"/>
      <c r="AA2331" s="1"/>
      <c r="AB2331" s="1"/>
      <c r="AC2331" s="1"/>
      <c r="AD2331" s="1"/>
    </row>
    <row r="2332" spans="17:30">
      <c r="Q2332" s="6">
        <v>2302</v>
      </c>
      <c r="R2332" s="7">
        <v>44969</v>
      </c>
      <c r="S2332" s="210">
        <v>4.25</v>
      </c>
      <c r="T2332" s="8">
        <v>1.0001180555555556</v>
      </c>
      <c r="U2332" s="98">
        <v>4.1549622582941703</v>
      </c>
      <c r="V2332" s="106">
        <v>31780.272409832742</v>
      </c>
      <c r="W2332" s="10">
        <v>1.0448809119521174</v>
      </c>
      <c r="X2332" s="420"/>
      <c r="Y2332" s="420"/>
      <c r="Z2332" s="1"/>
      <c r="AA2332" s="1"/>
      <c r="AB2332" s="1"/>
      <c r="AC2332" s="1"/>
      <c r="AD2332" s="1"/>
    </row>
    <row r="2333" spans="17:30">
      <c r="Q2333" s="6">
        <v>2303</v>
      </c>
      <c r="R2333" s="7">
        <v>44970</v>
      </c>
      <c r="S2333" s="210">
        <v>4.25</v>
      </c>
      <c r="T2333" s="8">
        <v>1.0001180555555556</v>
      </c>
      <c r="U2333" s="98">
        <v>4.1550698101552319</v>
      </c>
      <c r="V2333" s="106">
        <v>31782.91757100492</v>
      </c>
      <c r="W2333" s="10">
        <v>1.0449824582805523</v>
      </c>
      <c r="X2333" s="420"/>
      <c r="Y2333" s="420"/>
      <c r="Z2333" s="1"/>
      <c r="AA2333" s="1"/>
      <c r="AB2333" s="1"/>
      <c r="AC2333" s="1"/>
      <c r="AD2333" s="1"/>
    </row>
    <row r="2334" spans="17:30">
      <c r="Q2334" s="6">
        <v>2304</v>
      </c>
      <c r="R2334" s="7">
        <v>44971</v>
      </c>
      <c r="S2334" s="210">
        <v>4.25</v>
      </c>
      <c r="T2334" s="8">
        <v>1.0001180555555556</v>
      </c>
      <c r="U2334" s="98">
        <v>4.1551772687662192</v>
      </c>
      <c r="V2334" s="106">
        <v>31785.562952341279</v>
      </c>
      <c r="W2334" s="10">
        <v>1.0450839165630388</v>
      </c>
      <c r="X2334" s="420"/>
      <c r="Y2334" s="420"/>
      <c r="Z2334" s="1"/>
      <c r="AA2334" s="1"/>
      <c r="AB2334" s="1"/>
      <c r="AC2334" s="1"/>
      <c r="AD2334" s="1"/>
    </row>
    <row r="2335" spans="17:30">
      <c r="Q2335" s="6">
        <v>2305</v>
      </c>
      <c r="R2335" s="7">
        <v>44972</v>
      </c>
      <c r="S2335" s="210">
        <v>4.25</v>
      </c>
      <c r="T2335" s="8">
        <v>1.0001180555555556</v>
      </c>
      <c r="U2335" s="98">
        <v>4.1552846342483463</v>
      </c>
      <c r="V2335" s="106">
        <v>31788.208553860139</v>
      </c>
      <c r="W2335" s="10">
        <v>1.0451852869140632</v>
      </c>
      <c r="X2335" s="420"/>
      <c r="Y2335" s="420"/>
      <c r="Z2335" s="1"/>
      <c r="AA2335" s="1"/>
      <c r="AB2335" s="1"/>
      <c r="AC2335" s="1"/>
      <c r="AD2335" s="1"/>
    </row>
    <row r="2336" spans="17:30">
      <c r="Q2336" s="6">
        <v>2306</v>
      </c>
      <c r="R2336" s="7">
        <v>44973</v>
      </c>
      <c r="S2336" s="210">
        <v>4.25</v>
      </c>
      <c r="T2336" s="8">
        <v>1.0001180555555556</v>
      </c>
      <c r="U2336" s="98">
        <v>4.1553919067226275</v>
      </c>
      <c r="V2336" s="106">
        <v>31790.854375579827</v>
      </c>
      <c r="W2336" s="10">
        <v>1.0452865694478675</v>
      </c>
      <c r="X2336" s="420"/>
      <c r="Y2336" s="420"/>
      <c r="Z2336" s="1"/>
      <c r="AA2336" s="1"/>
      <c r="AB2336" s="1"/>
      <c r="AC2336" s="1"/>
      <c r="AD2336" s="1"/>
    </row>
    <row r="2337" spans="17:30">
      <c r="Q2337" s="6">
        <v>2307</v>
      </c>
      <c r="R2337" s="7">
        <v>44974</v>
      </c>
      <c r="S2337" s="210">
        <v>4.25</v>
      </c>
      <c r="T2337" s="8">
        <v>1.0001180555555556</v>
      </c>
      <c r="U2337" s="98">
        <v>4.1554990863098773</v>
      </c>
      <c r="V2337" s="106">
        <v>31793.500417518684</v>
      </c>
      <c r="W2337" s="10">
        <v>1.0453877642785159</v>
      </c>
      <c r="X2337" s="420"/>
      <c r="Y2337" s="420"/>
      <c r="Z2337" s="1"/>
      <c r="AA2337" s="1"/>
      <c r="AB2337" s="1"/>
      <c r="AC2337" s="1"/>
      <c r="AD2337" s="1"/>
    </row>
    <row r="2338" spans="17:30">
      <c r="Q2338" s="6">
        <v>2308</v>
      </c>
      <c r="R2338" s="7">
        <v>44975</v>
      </c>
      <c r="S2338" s="210">
        <v>4.25</v>
      </c>
      <c r="T2338" s="8">
        <v>1.0001180555555556</v>
      </c>
      <c r="U2338" s="98">
        <v>4.1556061731306881</v>
      </c>
      <c r="V2338" s="106">
        <v>31796.146679695026</v>
      </c>
      <c r="W2338" s="10">
        <v>1.0454888715198951</v>
      </c>
      <c r="X2338" s="420"/>
      <c r="Y2338" s="420"/>
      <c r="Z2338" s="1"/>
      <c r="AA2338" s="1"/>
      <c r="AB2338" s="1"/>
      <c r="AC2338" s="1"/>
      <c r="AD2338" s="1"/>
    </row>
    <row r="2339" spans="17:30">
      <c r="Q2339" s="6">
        <v>2309</v>
      </c>
      <c r="R2339" s="7">
        <v>44976</v>
      </c>
      <c r="S2339" s="210">
        <v>4.25</v>
      </c>
      <c r="T2339" s="8">
        <v>1.0001180555555556</v>
      </c>
      <c r="U2339" s="98">
        <v>4.1557131673054304</v>
      </c>
      <c r="V2339" s="106">
        <v>31798.793162127193</v>
      </c>
      <c r="W2339" s="10">
        <v>1.0455898912856476</v>
      </c>
      <c r="X2339" s="420"/>
      <c r="Y2339" s="420"/>
      <c r="Z2339" s="1"/>
      <c r="AA2339" s="1"/>
      <c r="AB2339" s="1"/>
      <c r="AC2339" s="1"/>
      <c r="AD2339" s="1"/>
    </row>
    <row r="2340" spans="17:30">
      <c r="Q2340" s="6">
        <v>2310</v>
      </c>
      <c r="R2340" s="7">
        <v>44977</v>
      </c>
      <c r="S2340" s="210">
        <v>4.25</v>
      </c>
      <c r="T2340" s="8">
        <v>1.0001180555555556</v>
      </c>
      <c r="U2340" s="98">
        <v>4.1558200689542968</v>
      </c>
      <c r="V2340" s="106">
        <v>31801.439864833505</v>
      </c>
      <c r="W2340" s="10">
        <v>1.0456908236892826</v>
      </c>
      <c r="X2340" s="420"/>
      <c r="Y2340" s="420"/>
      <c r="Z2340" s="1"/>
      <c r="AA2340" s="1"/>
      <c r="AB2340" s="1"/>
      <c r="AC2340" s="1"/>
      <c r="AD2340" s="1"/>
    </row>
    <row r="2341" spans="17:30">
      <c r="Q2341" s="6">
        <v>2311</v>
      </c>
      <c r="R2341" s="7">
        <v>44978</v>
      </c>
      <c r="S2341" s="210">
        <v>4.25</v>
      </c>
      <c r="T2341" s="8">
        <v>1.0001180555555556</v>
      </c>
      <c r="U2341" s="98">
        <v>4.155926878197258</v>
      </c>
      <c r="V2341" s="106">
        <v>31804.086787832308</v>
      </c>
      <c r="W2341" s="10">
        <v>1.0457916688440427</v>
      </c>
      <c r="X2341" s="420"/>
      <c r="Y2341" s="420"/>
      <c r="Z2341" s="1"/>
      <c r="AA2341" s="1"/>
      <c r="AB2341" s="1"/>
      <c r="AC2341" s="1"/>
      <c r="AD2341" s="1"/>
    </row>
    <row r="2342" spans="17:30">
      <c r="Q2342" s="6">
        <v>2312</v>
      </c>
      <c r="R2342" s="7">
        <v>44979</v>
      </c>
      <c r="S2342" s="210">
        <v>4.25</v>
      </c>
      <c r="T2342" s="8">
        <v>1.0001180555555556</v>
      </c>
      <c r="U2342" s="98">
        <v>4.1560335951540628</v>
      </c>
      <c r="V2342" s="106">
        <v>31806.733931141927</v>
      </c>
      <c r="W2342" s="10">
        <v>1.0458924268630376</v>
      </c>
      <c r="X2342" s="420"/>
      <c r="Y2342" s="420"/>
      <c r="Z2342" s="1"/>
      <c r="AA2342" s="1"/>
      <c r="AB2342" s="1"/>
      <c r="AC2342" s="1"/>
      <c r="AD2342" s="1"/>
    </row>
    <row r="2343" spans="17:30">
      <c r="Q2343" s="6">
        <v>2313</v>
      </c>
      <c r="R2343" s="7">
        <v>44980</v>
      </c>
      <c r="S2343" s="210">
        <v>4.25</v>
      </c>
      <c r="T2343" s="8">
        <v>1.0001180555555556</v>
      </c>
      <c r="U2343" s="98">
        <v>4.1561402199442599</v>
      </c>
      <c r="V2343" s="106">
        <v>31809.381294780713</v>
      </c>
      <c r="W2343" s="10">
        <v>1.0459930978591325</v>
      </c>
      <c r="X2343" s="420"/>
      <c r="Y2343" s="420"/>
      <c r="Z2343" s="1"/>
      <c r="AA2343" s="1"/>
      <c r="AB2343" s="1"/>
      <c r="AC2343" s="1"/>
      <c r="AD2343" s="1"/>
    </row>
    <row r="2344" spans="17:30">
      <c r="Q2344" s="6">
        <v>2314</v>
      </c>
      <c r="R2344" s="7">
        <v>44981</v>
      </c>
      <c r="S2344" s="210">
        <v>4.25</v>
      </c>
      <c r="T2344" s="8">
        <v>1.0001180555555556</v>
      </c>
      <c r="U2344" s="98">
        <v>4.1562467526872204</v>
      </c>
      <c r="V2344" s="106">
        <v>31812.028878766992</v>
      </c>
      <c r="W2344" s="10">
        <v>1.0460936819450151</v>
      </c>
      <c r="X2344" s="420"/>
      <c r="Y2344" s="420"/>
      <c r="Z2344" s="1"/>
      <c r="AA2344" s="1"/>
      <c r="AB2344" s="1"/>
      <c r="AC2344" s="1"/>
      <c r="AD2344" s="1"/>
    </row>
    <row r="2345" spans="17:30">
      <c r="Q2345" s="6">
        <v>2315</v>
      </c>
      <c r="R2345" s="7">
        <v>44982</v>
      </c>
      <c r="S2345" s="210">
        <v>4.25</v>
      </c>
      <c r="T2345" s="8">
        <v>1.0001180555555556</v>
      </c>
      <c r="U2345" s="98">
        <v>4.1563531935020714</v>
      </c>
      <c r="V2345" s="106">
        <v>31814.676683119113</v>
      </c>
      <c r="W2345" s="10">
        <v>1.0461941792331952</v>
      </c>
      <c r="X2345" s="420"/>
      <c r="Y2345" s="420"/>
      <c r="Z2345" s="1"/>
      <c r="AA2345" s="1"/>
      <c r="AB2345" s="1"/>
      <c r="AC2345" s="1"/>
      <c r="AD2345" s="1"/>
    </row>
    <row r="2346" spans="17:30">
      <c r="Q2346" s="6">
        <v>2316</v>
      </c>
      <c r="R2346" s="7">
        <v>44983</v>
      </c>
      <c r="S2346" s="210">
        <v>4.25</v>
      </c>
      <c r="T2346" s="8">
        <v>1.0001180555555556</v>
      </c>
      <c r="U2346" s="98">
        <v>4.1564595425077622</v>
      </c>
      <c r="V2346" s="106">
        <v>31817.324707855409</v>
      </c>
      <c r="W2346" s="10">
        <v>1.0462945898360054</v>
      </c>
      <c r="X2346" s="420"/>
      <c r="Y2346" s="420"/>
      <c r="Z2346" s="1"/>
      <c r="AA2346" s="1"/>
      <c r="AB2346" s="1"/>
      <c r="AC2346" s="1"/>
      <c r="AD2346" s="1"/>
    </row>
    <row r="2347" spans="17:30">
      <c r="Q2347" s="6">
        <v>2317</v>
      </c>
      <c r="R2347" s="7">
        <v>44984</v>
      </c>
      <c r="S2347" s="210">
        <v>4.25</v>
      </c>
      <c r="T2347" s="8">
        <v>1.0001180555555556</v>
      </c>
      <c r="U2347" s="98">
        <v>4.1565657998230199</v>
      </c>
      <c r="V2347" s="106">
        <v>31819.972952994227</v>
      </c>
      <c r="W2347" s="10">
        <v>1.0463949138654893</v>
      </c>
      <c r="X2347" s="420"/>
      <c r="Y2347" s="420"/>
      <c r="Z2347" s="1"/>
      <c r="AA2347" s="1"/>
      <c r="AB2347" s="1"/>
      <c r="AC2347" s="1"/>
      <c r="AD2347" s="1"/>
    </row>
    <row r="2348" spans="17:30">
      <c r="Q2348" s="6">
        <v>2318</v>
      </c>
      <c r="R2348" s="7">
        <v>44985</v>
      </c>
      <c r="S2348" s="210">
        <v>4.25</v>
      </c>
      <c r="T2348" s="8">
        <v>1.0001180555555556</v>
      </c>
      <c r="U2348" s="98">
        <v>4.156671965566372</v>
      </c>
      <c r="V2348" s="106">
        <v>31822.621418553914</v>
      </c>
      <c r="W2348" s="10">
        <v>1.046495151433624</v>
      </c>
      <c r="X2348" s="420"/>
      <c r="Y2348" s="420"/>
      <c r="Z2348" s="1"/>
      <c r="AA2348" s="1"/>
      <c r="AB2348" s="1"/>
      <c r="AC2348" s="1"/>
      <c r="AD2348" s="1"/>
    </row>
    <row r="2349" spans="17:30">
      <c r="Q2349" s="6">
        <v>2319</v>
      </c>
      <c r="R2349" s="7">
        <v>44986</v>
      </c>
      <c r="S2349" s="210">
        <v>4.25</v>
      </c>
      <c r="T2349" s="8">
        <v>1.0001180555555556</v>
      </c>
      <c r="U2349" s="98">
        <v>4.1567780398561238</v>
      </c>
      <c r="V2349" s="106">
        <v>31825.270104552816</v>
      </c>
      <c r="W2349" s="10">
        <v>1.046595302652098</v>
      </c>
      <c r="X2349" s="420"/>
      <c r="Y2349" s="420"/>
      <c r="Z2349" s="1"/>
      <c r="AA2349" s="1"/>
      <c r="AB2349" s="1"/>
      <c r="AC2349" s="1"/>
      <c r="AD2349" s="1"/>
    </row>
    <row r="2350" spans="17:30">
      <c r="Q2350" s="6">
        <v>2320</v>
      </c>
      <c r="R2350" s="7">
        <v>44987</v>
      </c>
      <c r="S2350" s="210">
        <v>4.25</v>
      </c>
      <c r="T2350" s="8">
        <v>1.0001180555555556</v>
      </c>
      <c r="U2350" s="98">
        <v>4.1568840228104253</v>
      </c>
      <c r="V2350" s="106">
        <v>31827.919011009286</v>
      </c>
      <c r="W2350" s="10">
        <v>1.0466953676324442</v>
      </c>
      <c r="X2350" s="420"/>
      <c r="Y2350" s="420"/>
      <c r="Z2350" s="1"/>
      <c r="AA2350" s="1"/>
      <c r="AB2350" s="1"/>
      <c r="AC2350" s="1"/>
      <c r="AD2350" s="1"/>
    </row>
    <row r="2351" spans="17:30">
      <c r="Q2351" s="6">
        <v>2321</v>
      </c>
      <c r="R2351" s="7">
        <v>44988</v>
      </c>
      <c r="S2351" s="210">
        <v>4.25</v>
      </c>
      <c r="T2351" s="8">
        <v>1.0001180555555556</v>
      </c>
      <c r="U2351" s="98">
        <v>4.15698991454716</v>
      </c>
      <c r="V2351" s="106">
        <v>31830.56813794166</v>
      </c>
      <c r="W2351" s="10">
        <v>1.0467953464859958</v>
      </c>
      <c r="X2351" s="420"/>
      <c r="Y2351" s="420"/>
      <c r="Z2351" s="1"/>
      <c r="AA2351" s="1"/>
      <c r="AB2351" s="1"/>
      <c r="AC2351" s="1"/>
      <c r="AD2351" s="1"/>
    </row>
    <row r="2352" spans="17:30">
      <c r="Q2352" s="6">
        <v>2322</v>
      </c>
      <c r="R2352" s="7">
        <v>44989</v>
      </c>
      <c r="S2352" s="210">
        <v>4.25</v>
      </c>
      <c r="T2352" s="8">
        <v>1.0001180555555556</v>
      </c>
      <c r="U2352" s="98">
        <v>4.1570957151840782</v>
      </c>
      <c r="V2352" s="106">
        <v>31833.217485368292</v>
      </c>
      <c r="W2352" s="10">
        <v>1.0468952393239306</v>
      </c>
      <c r="X2352" s="420"/>
      <c r="Y2352" s="420"/>
      <c r="Z2352" s="1"/>
      <c r="AA2352" s="1"/>
      <c r="AB2352" s="1"/>
      <c r="AC2352" s="1"/>
      <c r="AD2352" s="1"/>
    </row>
    <row r="2353" spans="17:30">
      <c r="Q2353" s="6">
        <v>2323</v>
      </c>
      <c r="R2353" s="7">
        <v>44990</v>
      </c>
      <c r="S2353" s="210">
        <v>4.25</v>
      </c>
      <c r="T2353" s="8">
        <v>1.0001180555555556</v>
      </c>
      <c r="U2353" s="98">
        <v>4.1572014248386635</v>
      </c>
      <c r="V2353" s="106">
        <v>31835.867053307546</v>
      </c>
      <c r="W2353" s="10">
        <v>1.046995046257182</v>
      </c>
      <c r="X2353" s="420"/>
      <c r="Y2353" s="420"/>
      <c r="Z2353" s="1"/>
      <c r="AA2353" s="1"/>
      <c r="AB2353" s="1"/>
      <c r="AC2353" s="1"/>
      <c r="AD2353" s="1"/>
    </row>
    <row r="2354" spans="17:30">
      <c r="Q2354" s="6">
        <v>2324</v>
      </c>
      <c r="R2354" s="7">
        <v>44991</v>
      </c>
      <c r="S2354" s="210">
        <v>4.25</v>
      </c>
      <c r="T2354" s="8">
        <v>1.0001180555555556</v>
      </c>
      <c r="U2354" s="98">
        <v>4.1573070436282222</v>
      </c>
      <c r="V2354" s="106">
        <v>31838.516841777764</v>
      </c>
      <c r="W2354" s="10">
        <v>1.0470947673965059</v>
      </c>
      <c r="X2354" s="420"/>
      <c r="Y2354" s="420"/>
      <c r="Z2354" s="1"/>
      <c r="AA2354" s="1"/>
      <c r="AB2354" s="1"/>
      <c r="AC2354" s="1"/>
      <c r="AD2354" s="1"/>
    </row>
    <row r="2355" spans="17:30">
      <c r="Q2355" s="6">
        <v>2325</v>
      </c>
      <c r="R2355" s="7">
        <v>44992</v>
      </c>
      <c r="S2355" s="210">
        <v>4.25</v>
      </c>
      <c r="T2355" s="8">
        <v>1.0001180555555556</v>
      </c>
      <c r="U2355" s="98">
        <v>4.1574125716698829</v>
      </c>
      <c r="V2355" s="106">
        <v>31841.166850797305</v>
      </c>
      <c r="W2355" s="10">
        <v>1.0471944028525249</v>
      </c>
      <c r="X2355" s="420"/>
      <c r="Y2355" s="420"/>
      <c r="Z2355" s="1"/>
      <c r="AA2355" s="1"/>
      <c r="AB2355" s="1"/>
      <c r="AC2355" s="1"/>
      <c r="AD2355" s="1"/>
    </row>
    <row r="2356" spans="17:30">
      <c r="Q2356" s="6">
        <v>2326</v>
      </c>
      <c r="R2356" s="7">
        <v>44993</v>
      </c>
      <c r="S2356" s="210">
        <v>4.25</v>
      </c>
      <c r="T2356" s="8">
        <v>1.0001180555555556</v>
      </c>
      <c r="U2356" s="98">
        <v>4.1575180090805297</v>
      </c>
      <c r="V2356" s="106">
        <v>31843.817080384524</v>
      </c>
      <c r="W2356" s="10">
        <v>1.0472939527355507</v>
      </c>
      <c r="X2356" s="420"/>
      <c r="Y2356" s="420"/>
      <c r="Z2356" s="1"/>
      <c r="AA2356" s="1"/>
      <c r="AB2356" s="1"/>
      <c r="AC2356" s="1"/>
      <c r="AD2356" s="1"/>
    </row>
    <row r="2357" spans="17:30">
      <c r="Q2357" s="6">
        <v>2327</v>
      </c>
      <c r="R2357" s="7">
        <v>44994</v>
      </c>
      <c r="S2357" s="210">
        <v>4.25</v>
      </c>
      <c r="T2357" s="8">
        <v>1.0001180555555556</v>
      </c>
      <c r="U2357" s="98">
        <v>4.1576233559768916</v>
      </c>
      <c r="V2357" s="106">
        <v>31846.467530557788</v>
      </c>
      <c r="W2357" s="10">
        <v>1.0473934171558508</v>
      </c>
      <c r="X2357" s="420"/>
      <c r="Y2357" s="420"/>
      <c r="Z2357" s="1"/>
      <c r="AA2357" s="1"/>
      <c r="AB2357" s="1"/>
      <c r="AC2357" s="1"/>
      <c r="AD2357" s="1"/>
    </row>
    <row r="2358" spans="17:30">
      <c r="Q2358" s="6">
        <v>2328</v>
      </c>
      <c r="R2358" s="7">
        <v>44995</v>
      </c>
      <c r="S2358" s="210">
        <v>4.25</v>
      </c>
      <c r="T2358" s="8">
        <v>1.0001180555555556</v>
      </c>
      <c r="U2358" s="98">
        <v>4.1577286124754531</v>
      </c>
      <c r="V2358" s="106">
        <v>31849.118201335445</v>
      </c>
      <c r="W2358" s="10">
        <v>1.0474927962233815</v>
      </c>
      <c r="X2358" s="420"/>
      <c r="Y2358" s="420"/>
      <c r="Z2358" s="1"/>
      <c r="AA2358" s="1"/>
      <c r="AB2358" s="1"/>
      <c r="AC2358" s="1"/>
      <c r="AD2358" s="1"/>
    </row>
    <row r="2359" spans="17:30">
      <c r="Q2359" s="6">
        <v>2329</v>
      </c>
      <c r="R2359" s="7">
        <v>44996</v>
      </c>
      <c r="S2359" s="210">
        <v>4.25</v>
      </c>
      <c r="T2359" s="8">
        <v>1.0001180555555556</v>
      </c>
      <c r="U2359" s="98">
        <v>4.1578337786925212</v>
      </c>
      <c r="V2359" s="106">
        <v>31851.769092735864</v>
      </c>
      <c r="W2359" s="10">
        <v>1.0475920900479663</v>
      </c>
      <c r="X2359" s="420"/>
      <c r="Y2359" s="420"/>
      <c r="Z2359" s="1"/>
      <c r="AA2359" s="1"/>
      <c r="AB2359" s="1"/>
      <c r="AC2359" s="1"/>
      <c r="AD2359" s="1"/>
    </row>
    <row r="2360" spans="17:30">
      <c r="Q2360" s="6">
        <v>2330</v>
      </c>
      <c r="R2360" s="7">
        <v>44997</v>
      </c>
      <c r="S2360" s="210">
        <v>4.25</v>
      </c>
      <c r="T2360" s="8">
        <v>1.0001180555555556</v>
      </c>
      <c r="U2360" s="98">
        <v>4.1579388547442031</v>
      </c>
      <c r="V2360" s="106">
        <v>31854.420204777405</v>
      </c>
      <c r="W2360" s="10">
        <v>1.0476912987392506</v>
      </c>
      <c r="X2360" s="420"/>
      <c r="Y2360" s="420"/>
      <c r="Z2360" s="1"/>
      <c r="AA2360" s="1"/>
      <c r="AB2360" s="1"/>
      <c r="AC2360" s="1"/>
      <c r="AD2360" s="1"/>
    </row>
    <row r="2361" spans="17:30">
      <c r="Q2361" s="6">
        <v>2331</v>
      </c>
      <c r="R2361" s="7">
        <v>44998</v>
      </c>
      <c r="S2361" s="210">
        <v>4.25</v>
      </c>
      <c r="T2361" s="8">
        <v>1.0001180555555556</v>
      </c>
      <c r="U2361" s="98">
        <v>4.158043840746406</v>
      </c>
      <c r="V2361" s="106">
        <v>31857.071537478441</v>
      </c>
      <c r="W2361" s="10">
        <v>1.0477904224066803</v>
      </c>
      <c r="X2361" s="420"/>
      <c r="Y2361" s="420"/>
      <c r="Z2361" s="1"/>
      <c r="AA2361" s="1"/>
      <c r="AB2361" s="1"/>
      <c r="AC2361" s="1"/>
      <c r="AD2361" s="1"/>
    </row>
    <row r="2362" spans="17:30">
      <c r="Q2362" s="6">
        <v>2332</v>
      </c>
      <c r="R2362" s="7">
        <v>44999</v>
      </c>
      <c r="S2362" s="210">
        <v>4.25</v>
      </c>
      <c r="T2362" s="8">
        <v>1.0001180555555556</v>
      </c>
      <c r="U2362" s="98">
        <v>4.1581487368148373</v>
      </c>
      <c r="V2362" s="106">
        <v>31859.723090857322</v>
      </c>
      <c r="W2362" s="10">
        <v>1.0478894611594791</v>
      </c>
      <c r="X2362" s="420"/>
      <c r="Y2362" s="420"/>
      <c r="Z2362" s="1"/>
      <c r="AA2362" s="1"/>
      <c r="AB2362" s="1"/>
      <c r="AC2362" s="1"/>
      <c r="AD2362" s="1"/>
    </row>
    <row r="2363" spans="17:30">
      <c r="Q2363" s="6">
        <v>2333</v>
      </c>
      <c r="R2363" s="7">
        <v>45000</v>
      </c>
      <c r="S2363" s="210">
        <v>4.25</v>
      </c>
      <c r="T2363" s="8">
        <v>1.0001180555555556</v>
      </c>
      <c r="U2363" s="98">
        <v>4.1582535430650269</v>
      </c>
      <c r="V2363" s="106">
        <v>31862.374864932433</v>
      </c>
      <c r="W2363" s="10">
        <v>1.0479884151067598</v>
      </c>
      <c r="X2363" s="420"/>
      <c r="Y2363" s="420"/>
      <c r="Z2363" s="1"/>
      <c r="AA2363" s="1"/>
      <c r="AB2363" s="1"/>
      <c r="AC2363" s="1"/>
      <c r="AD2363" s="1"/>
    </row>
    <row r="2364" spans="17:30">
      <c r="Q2364" s="6">
        <v>2334</v>
      </c>
      <c r="R2364" s="7">
        <v>45001</v>
      </c>
      <c r="S2364" s="210">
        <v>4.25</v>
      </c>
      <c r="T2364" s="8">
        <v>1.0001180555555556</v>
      </c>
      <c r="U2364" s="98">
        <v>4.1583582596122604</v>
      </c>
      <c r="V2364" s="106">
        <v>31865.026859722126</v>
      </c>
      <c r="W2364" s="10">
        <v>1.0480872843573463</v>
      </c>
      <c r="X2364" s="420"/>
      <c r="Y2364" s="420"/>
      <c r="Z2364" s="1"/>
      <c r="AA2364" s="1"/>
      <c r="AB2364" s="1"/>
      <c r="AC2364" s="1"/>
      <c r="AD2364" s="1"/>
    </row>
    <row r="2365" spans="17:30">
      <c r="Q2365" s="6">
        <v>2335</v>
      </c>
      <c r="R2365" s="7">
        <v>45002</v>
      </c>
      <c r="S2365" s="210">
        <v>4.25</v>
      </c>
      <c r="T2365" s="8">
        <v>1.0001180555555556</v>
      </c>
      <c r="U2365" s="98">
        <v>4.1584628865716677</v>
      </c>
      <c r="V2365" s="106">
        <v>31867.679075244789</v>
      </c>
      <c r="W2365" s="10">
        <v>1.0481860690199962</v>
      </c>
      <c r="X2365" s="420"/>
      <c r="Y2365" s="420"/>
      <c r="Z2365" s="1"/>
      <c r="AA2365" s="1"/>
      <c r="AB2365" s="1"/>
      <c r="AC2365" s="1"/>
      <c r="AD2365" s="1"/>
    </row>
    <row r="2366" spans="17:30">
      <c r="Q2366" s="6">
        <v>2336</v>
      </c>
      <c r="R2366" s="7">
        <v>45003</v>
      </c>
      <c r="S2366" s="210">
        <v>4.25</v>
      </c>
      <c r="T2366" s="8">
        <v>1.0001180555555556</v>
      </c>
      <c r="U2366" s="98">
        <v>4.1585674240581572</v>
      </c>
      <c r="V2366" s="106">
        <v>31870.33151151878</v>
      </c>
      <c r="W2366" s="10">
        <v>1.0482847692031561</v>
      </c>
      <c r="X2366" s="420"/>
      <c r="Y2366" s="420"/>
      <c r="Z2366" s="1"/>
      <c r="AA2366" s="1"/>
      <c r="AB2366" s="1"/>
      <c r="AC2366" s="1"/>
      <c r="AD2366" s="1"/>
    </row>
    <row r="2367" spans="17:30">
      <c r="Q2367" s="6">
        <v>2337</v>
      </c>
      <c r="R2367" s="7">
        <v>45004</v>
      </c>
      <c r="S2367" s="210">
        <v>4.25</v>
      </c>
      <c r="T2367" s="8">
        <v>1.0001180555555556</v>
      </c>
      <c r="U2367" s="98">
        <v>4.1586718721864591</v>
      </c>
      <c r="V2367" s="106">
        <v>31872.984168562478</v>
      </c>
      <c r="W2367" s="10">
        <v>1.0483833850152058</v>
      </c>
      <c r="X2367" s="420"/>
      <c r="Y2367" s="420"/>
      <c r="Z2367" s="1"/>
      <c r="AA2367" s="1"/>
      <c r="AB2367" s="1"/>
      <c r="AC2367" s="1"/>
      <c r="AD2367" s="1"/>
    </row>
    <row r="2368" spans="17:30">
      <c r="Q2368" s="6">
        <v>2338</v>
      </c>
      <c r="R2368" s="7">
        <v>45005</v>
      </c>
      <c r="S2368" s="210">
        <v>4.25</v>
      </c>
      <c r="T2368" s="8">
        <v>1.0001180555555556</v>
      </c>
      <c r="U2368" s="98">
        <v>4.1587762310710819</v>
      </c>
      <c r="V2368" s="106">
        <v>31875.637046394262</v>
      </c>
      <c r="W2368" s="10">
        <v>1.0484819165642367</v>
      </c>
      <c r="X2368" s="420"/>
      <c r="Y2368" s="420"/>
      <c r="Z2368" s="1"/>
      <c r="AA2368" s="1"/>
      <c r="AB2368" s="1"/>
      <c r="AC2368" s="1"/>
      <c r="AD2368" s="1"/>
    </row>
    <row r="2369" spans="17:30">
      <c r="Q2369" s="6">
        <v>2339</v>
      </c>
      <c r="R2369" s="7">
        <v>45006</v>
      </c>
      <c r="S2369" s="210">
        <v>4.25</v>
      </c>
      <c r="T2369" s="8">
        <v>1.0001180555555556</v>
      </c>
      <c r="U2369" s="98">
        <v>4.1588805008263785</v>
      </c>
      <c r="V2369" s="106">
        <v>31878.290145032508</v>
      </c>
      <c r="W2369" s="10">
        <v>1.048580363958207</v>
      </c>
      <c r="X2369" s="420"/>
      <c r="Y2369" s="420"/>
      <c r="Z2369" s="1"/>
      <c r="AA2369" s="1"/>
      <c r="AB2369" s="1"/>
      <c r="AC2369" s="1"/>
      <c r="AD2369" s="1"/>
    </row>
    <row r="2370" spans="17:30">
      <c r="Q2370" s="6">
        <v>2340</v>
      </c>
      <c r="R2370" s="7">
        <v>45007</v>
      </c>
      <c r="S2370" s="210">
        <v>4.25</v>
      </c>
      <c r="T2370" s="8">
        <v>1.0001180555555556</v>
      </c>
      <c r="U2370" s="98">
        <v>4.1589846815664799</v>
      </c>
      <c r="V2370" s="106">
        <v>31880.943464495587</v>
      </c>
      <c r="W2370" s="10">
        <v>1.0486787273049192</v>
      </c>
      <c r="X2370" s="420"/>
      <c r="Y2370" s="420"/>
      <c r="Z2370" s="1"/>
      <c r="AA2370" s="1"/>
      <c r="AB2370" s="1"/>
      <c r="AC2370" s="1"/>
      <c r="AD2370" s="1"/>
    </row>
    <row r="2371" spans="17:30">
      <c r="Q2371" s="6">
        <v>2341</v>
      </c>
      <c r="R2371" s="7">
        <v>45008</v>
      </c>
      <c r="S2371" s="210">
        <v>4.25</v>
      </c>
      <c r="T2371" s="8">
        <v>1.0001180555555556</v>
      </c>
      <c r="U2371" s="98">
        <v>4.1590887734053172</v>
      </c>
      <c r="V2371" s="106">
        <v>31883.597004801886</v>
      </c>
      <c r="W2371" s="10">
        <v>1.0487770067119317</v>
      </c>
      <c r="X2371" s="420"/>
      <c r="Y2371" s="420"/>
      <c r="Z2371" s="1"/>
      <c r="AA2371" s="1"/>
      <c r="AB2371" s="1"/>
      <c r="AC2371" s="1"/>
      <c r="AD2371" s="1"/>
    </row>
    <row r="2372" spans="17:30">
      <c r="Q2372" s="6">
        <v>2342</v>
      </c>
      <c r="R2372" s="7">
        <v>45009</v>
      </c>
      <c r="S2372" s="210">
        <v>4.25</v>
      </c>
      <c r="T2372" s="8">
        <v>1.0001180555555556</v>
      </c>
      <c r="U2372" s="98">
        <v>4.1591927764566439</v>
      </c>
      <c r="V2372" s="106">
        <v>31886.25076596978</v>
      </c>
      <c r="W2372" s="10">
        <v>1.0488752022866477</v>
      </c>
      <c r="X2372" s="420"/>
      <c r="Y2372" s="420"/>
      <c r="Z2372" s="1"/>
      <c r="AA2372" s="1"/>
      <c r="AB2372" s="1"/>
      <c r="AC2372" s="1"/>
      <c r="AD2372" s="1"/>
    </row>
    <row r="2373" spans="17:30">
      <c r="Q2373" s="6">
        <v>2343</v>
      </c>
      <c r="R2373" s="7">
        <v>45010</v>
      </c>
      <c r="S2373" s="210">
        <v>4.25</v>
      </c>
      <c r="T2373" s="8">
        <v>1.0001180555555556</v>
      </c>
      <c r="U2373" s="98">
        <v>4.1592966908339912</v>
      </c>
      <c r="V2373" s="106">
        <v>31888.90474801766</v>
      </c>
      <c r="W2373" s="10">
        <v>1.04897331413627</v>
      </c>
      <c r="X2373" s="420"/>
      <c r="Y2373" s="420"/>
      <c r="Z2373" s="1"/>
      <c r="AA2373" s="1"/>
      <c r="AB2373" s="1"/>
      <c r="AC2373" s="1"/>
      <c r="AD2373" s="1"/>
    </row>
    <row r="2374" spans="17:30">
      <c r="Q2374" s="6">
        <v>2344</v>
      </c>
      <c r="R2374" s="7">
        <v>45011</v>
      </c>
      <c r="S2374" s="210">
        <v>4.25</v>
      </c>
      <c r="T2374" s="8">
        <v>1.0001180555555556</v>
      </c>
      <c r="U2374" s="98">
        <v>4.1594005166507353</v>
      </c>
      <c r="V2374" s="106">
        <v>31891.55895096391</v>
      </c>
      <c r="W2374" s="10">
        <v>1.0490713423678466</v>
      </c>
      <c r="X2374" s="420"/>
      <c r="Y2374" s="420"/>
      <c r="Z2374" s="1"/>
      <c r="AA2374" s="1"/>
      <c r="AB2374" s="1"/>
      <c r="AC2374" s="1"/>
      <c r="AD2374" s="1"/>
    </row>
    <row r="2375" spans="17:30">
      <c r="Q2375" s="6">
        <v>2345</v>
      </c>
      <c r="R2375" s="7">
        <v>45012</v>
      </c>
      <c r="S2375" s="210">
        <v>4.25</v>
      </c>
      <c r="T2375" s="8">
        <v>1.0001180555555556</v>
      </c>
      <c r="U2375" s="98">
        <v>4.15950425402003</v>
      </c>
      <c r="V2375" s="106">
        <v>31894.213374826908</v>
      </c>
      <c r="W2375" s="10">
        <v>1.0491692870882474</v>
      </c>
      <c r="X2375" s="420"/>
      <c r="Y2375" s="420"/>
      <c r="Z2375" s="1"/>
      <c r="AA2375" s="1"/>
      <c r="AB2375" s="1"/>
      <c r="AC2375" s="1"/>
      <c r="AD2375" s="1"/>
    </row>
    <row r="2376" spans="17:30">
      <c r="Q2376" s="6">
        <v>2346</v>
      </c>
      <c r="R2376" s="7">
        <v>45013</v>
      </c>
      <c r="S2376" s="210">
        <v>4.25</v>
      </c>
      <c r="T2376" s="8">
        <v>1.0001180555555556</v>
      </c>
      <c r="U2376" s="98">
        <v>4.1596079030548516</v>
      </c>
      <c r="V2376" s="106">
        <v>31896.868019625046</v>
      </c>
      <c r="W2376" s="10">
        <v>1.0492671484040983</v>
      </c>
      <c r="X2376" s="420"/>
      <c r="Y2376" s="420"/>
      <c r="Z2376" s="1"/>
      <c r="AA2376" s="1"/>
      <c r="AB2376" s="1"/>
      <c r="AC2376" s="1"/>
      <c r="AD2376" s="1"/>
    </row>
    <row r="2377" spans="17:30">
      <c r="Q2377" s="6">
        <v>2347</v>
      </c>
      <c r="R2377" s="7">
        <v>45014</v>
      </c>
      <c r="S2377" s="210">
        <v>4.25</v>
      </c>
      <c r="T2377" s="8">
        <v>1.0001180555555556</v>
      </c>
      <c r="U2377" s="98">
        <v>4.1597114638679988</v>
      </c>
      <c r="V2377" s="106">
        <v>31899.522885376715</v>
      </c>
      <c r="W2377" s="10">
        <v>1.0493649264219584</v>
      </c>
      <c r="X2377" s="420"/>
      <c r="Y2377" s="420"/>
      <c r="Z2377" s="1"/>
      <c r="AA2377" s="1"/>
      <c r="AB2377" s="1"/>
      <c r="AC2377" s="1"/>
      <c r="AD2377" s="1"/>
    </row>
    <row r="2378" spans="17:30">
      <c r="Q2378" s="6">
        <v>2348</v>
      </c>
      <c r="R2378" s="7">
        <v>45015</v>
      </c>
      <c r="S2378" s="210">
        <v>4.25</v>
      </c>
      <c r="T2378" s="8">
        <v>1.0001180555555556</v>
      </c>
      <c r="U2378" s="98">
        <v>4.1598149365720483</v>
      </c>
      <c r="V2378" s="106">
        <v>31902.1779721003</v>
      </c>
      <c r="W2378" s="10">
        <v>1.0494626212480762</v>
      </c>
      <c r="X2378" s="420"/>
      <c r="Y2378" s="420"/>
      <c r="Z2378" s="1"/>
      <c r="AA2378" s="1"/>
      <c r="AB2378" s="1"/>
      <c r="AC2378" s="1"/>
      <c r="AD2378" s="1"/>
    </row>
    <row r="2379" spans="17:30">
      <c r="Q2379" s="6">
        <v>2349</v>
      </c>
      <c r="R2379" s="7">
        <v>45016</v>
      </c>
      <c r="S2379" s="210">
        <v>4.25</v>
      </c>
      <c r="T2379" s="8">
        <v>1.0001180555555556</v>
      </c>
      <c r="U2379" s="98">
        <v>4.1599183212793767</v>
      </c>
      <c r="V2379" s="106">
        <v>31904.8332798142</v>
      </c>
      <c r="W2379" s="10">
        <v>1.0495602329885889</v>
      </c>
      <c r="X2379" s="420"/>
      <c r="Y2379" s="420"/>
      <c r="Z2379" s="1"/>
      <c r="AA2379" s="1"/>
      <c r="AB2379" s="1"/>
      <c r="AC2379" s="1"/>
      <c r="AD2379" s="1"/>
    </row>
    <row r="2380" spans="17:30">
      <c r="Q2380" s="6">
        <v>2350</v>
      </c>
      <c r="R2380" s="7">
        <v>45017</v>
      </c>
      <c r="S2380" s="210">
        <v>4.25</v>
      </c>
      <c r="T2380" s="8">
        <v>1.0001180555555556</v>
      </c>
      <c r="U2380" s="98">
        <v>4.1600216181022054</v>
      </c>
      <c r="V2380" s="106">
        <v>31907.488808536804</v>
      </c>
      <c r="W2380" s="10">
        <v>1.0496577617494562</v>
      </c>
      <c r="X2380" s="420"/>
      <c r="Y2380" s="420"/>
      <c r="Z2380" s="1"/>
      <c r="AA2380" s="1"/>
      <c r="AB2380" s="1"/>
      <c r="AC2380" s="1"/>
      <c r="AD2380" s="1"/>
    </row>
    <row r="2381" spans="17:30">
      <c r="Q2381" s="6">
        <v>2351</v>
      </c>
      <c r="R2381" s="7">
        <v>45018</v>
      </c>
      <c r="S2381" s="210">
        <v>4.25</v>
      </c>
      <c r="T2381" s="8">
        <v>1.0001180555555556</v>
      </c>
      <c r="U2381" s="98">
        <v>4.1601248271525559</v>
      </c>
      <c r="V2381" s="106">
        <v>31910.144558286509</v>
      </c>
      <c r="W2381" s="10">
        <v>1.049755207636438</v>
      </c>
      <c r="X2381" s="420"/>
      <c r="Y2381" s="420"/>
      <c r="Z2381" s="1"/>
      <c r="AA2381" s="1"/>
      <c r="AB2381" s="1"/>
      <c r="AC2381" s="1"/>
      <c r="AD2381" s="1"/>
    </row>
    <row r="2382" spans="17:30">
      <c r="Q2382" s="6">
        <v>2352</v>
      </c>
      <c r="R2382" s="7">
        <v>45019</v>
      </c>
      <c r="S2382" s="210">
        <v>4.25</v>
      </c>
      <c r="T2382" s="8">
        <v>1.0001180555555556</v>
      </c>
      <c r="U2382" s="98">
        <v>4.16022794854225</v>
      </c>
      <c r="V2382" s="106">
        <v>31912.800529081716</v>
      </c>
      <c r="W2382" s="10">
        <v>1.0498525707551387</v>
      </c>
      <c r="X2382" s="420"/>
      <c r="Y2382" s="420"/>
      <c r="Z2382" s="1"/>
      <c r="AA2382" s="1"/>
      <c r="AB2382" s="1"/>
      <c r="AC2382" s="1"/>
      <c r="AD2382" s="1"/>
    </row>
    <row r="2383" spans="17:30">
      <c r="Q2383" s="6">
        <v>2353</v>
      </c>
      <c r="R2383" s="7">
        <v>45020</v>
      </c>
      <c r="S2383" s="210">
        <v>4.25</v>
      </c>
      <c r="T2383" s="8">
        <v>1.0001180555555556</v>
      </c>
      <c r="U2383" s="98">
        <v>4.1603309823829093</v>
      </c>
      <c r="V2383" s="106">
        <v>31915.456720940809</v>
      </c>
      <c r="W2383" s="10">
        <v>1.0499498512109406</v>
      </c>
      <c r="X2383" s="420"/>
      <c r="Y2383" s="420"/>
      <c r="Z2383" s="1"/>
      <c r="AA2383" s="1"/>
      <c r="AB2383" s="1"/>
      <c r="AC2383" s="1"/>
      <c r="AD2383" s="1"/>
    </row>
    <row r="2384" spans="17:30">
      <c r="Q2384" s="6">
        <v>2354</v>
      </c>
      <c r="R2384" s="7">
        <v>45021</v>
      </c>
      <c r="S2384" s="210">
        <v>4.25</v>
      </c>
      <c r="T2384" s="8">
        <v>1.0001180555555556</v>
      </c>
      <c r="U2384" s="98">
        <v>4.1604339287859782</v>
      </c>
      <c r="V2384" s="106">
        <v>31918.113133882205</v>
      </c>
      <c r="W2384" s="10">
        <v>1.0500470491090708</v>
      </c>
      <c r="X2384" s="420"/>
      <c r="Y2384" s="420"/>
      <c r="Z2384" s="1"/>
      <c r="AA2384" s="1"/>
      <c r="AB2384" s="1"/>
      <c r="AC2384" s="1"/>
      <c r="AD2384" s="1"/>
    </row>
    <row r="2385" spans="17:30">
      <c r="Q2385" s="6">
        <v>2355</v>
      </c>
      <c r="R2385" s="7">
        <v>45022</v>
      </c>
      <c r="S2385" s="210">
        <v>4.25</v>
      </c>
      <c r="T2385" s="8">
        <v>1.0001180555555556</v>
      </c>
      <c r="U2385" s="98">
        <v>4.1605367878627231</v>
      </c>
      <c r="V2385" s="106">
        <v>31920.769767924296</v>
      </c>
      <c r="W2385" s="10">
        <v>1.0501441645545784</v>
      </c>
      <c r="X2385" s="420"/>
      <c r="Y2385" s="420"/>
      <c r="Z2385" s="1"/>
      <c r="AA2385" s="1"/>
      <c r="AB2385" s="1"/>
      <c r="AC2385" s="1"/>
      <c r="AD2385" s="1"/>
    </row>
    <row r="2386" spans="17:30">
      <c r="Q2386" s="6">
        <v>2356</v>
      </c>
      <c r="R2386" s="7">
        <v>45023</v>
      </c>
      <c r="S2386" s="210">
        <v>4.25</v>
      </c>
      <c r="T2386" s="8">
        <v>1.0001180555555556</v>
      </c>
      <c r="U2386" s="98">
        <v>4.1606395597242107</v>
      </c>
      <c r="V2386" s="106">
        <v>31923.426623085488</v>
      </c>
      <c r="W2386" s="10">
        <v>1.0502411976523574</v>
      </c>
      <c r="X2386" s="420"/>
      <c r="Y2386" s="420"/>
      <c r="Z2386" s="1"/>
      <c r="AA2386" s="1"/>
      <c r="AB2386" s="1"/>
      <c r="AC2386" s="1"/>
      <c r="AD2386" s="1"/>
    </row>
    <row r="2387" spans="17:30">
      <c r="Q2387" s="6">
        <v>2357</v>
      </c>
      <c r="R2387" s="7">
        <v>45024</v>
      </c>
      <c r="S2387" s="210">
        <v>4.25</v>
      </c>
      <c r="T2387" s="8">
        <v>1.0001180555555556</v>
      </c>
      <c r="U2387" s="98">
        <v>4.1607422444813302</v>
      </c>
      <c r="V2387" s="106">
        <v>31926.083699384184</v>
      </c>
      <c r="W2387" s="10">
        <v>1.0503381485070795</v>
      </c>
      <c r="X2387" s="420"/>
      <c r="Y2387" s="420"/>
      <c r="Z2387" s="1"/>
      <c r="AA2387" s="1"/>
      <c r="AB2387" s="1"/>
      <c r="AC2387" s="1"/>
      <c r="AD2387" s="1"/>
    </row>
    <row r="2388" spans="17:30">
      <c r="Q2388" s="6">
        <v>2358</v>
      </c>
      <c r="R2388" s="7">
        <v>45025</v>
      </c>
      <c r="S2388" s="210">
        <v>4.25</v>
      </c>
      <c r="T2388" s="8">
        <v>1.0001180555555556</v>
      </c>
      <c r="U2388" s="98">
        <v>4.1608448422447486</v>
      </c>
      <c r="V2388" s="106">
        <v>31928.740996838784</v>
      </c>
      <c r="W2388" s="10">
        <v>1.0504350172232835</v>
      </c>
      <c r="X2388" s="420"/>
      <c r="Y2388" s="420"/>
      <c r="Z2388" s="1"/>
      <c r="AA2388" s="1"/>
      <c r="AB2388" s="1"/>
      <c r="AC2388" s="1"/>
      <c r="AD2388" s="1"/>
    </row>
    <row r="2389" spans="17:30">
      <c r="Q2389" s="6">
        <v>2359</v>
      </c>
      <c r="R2389" s="7">
        <v>45026</v>
      </c>
      <c r="S2389" s="210">
        <v>4.25</v>
      </c>
      <c r="T2389" s="8">
        <v>1.0001180555555556</v>
      </c>
      <c r="U2389" s="98">
        <v>4.1609473531249774</v>
      </c>
      <c r="V2389" s="106">
        <v>31931.398515467699</v>
      </c>
      <c r="W2389" s="10">
        <v>1.050531803905308</v>
      </c>
      <c r="X2389" s="420"/>
      <c r="Y2389" s="420"/>
      <c r="Z2389" s="1"/>
      <c r="AA2389" s="1"/>
      <c r="AB2389" s="1"/>
      <c r="AC2389" s="1"/>
      <c r="AD2389" s="1"/>
    </row>
    <row r="2390" spans="17:30">
      <c r="Q2390" s="6">
        <v>2360</v>
      </c>
      <c r="R2390" s="7">
        <v>45027</v>
      </c>
      <c r="S2390" s="210">
        <v>4.25</v>
      </c>
      <c r="T2390" s="8">
        <v>1.0001180555555556</v>
      </c>
      <c r="U2390" s="98">
        <v>4.1610497772323507</v>
      </c>
      <c r="V2390" s="106">
        <v>31934.05625528935</v>
      </c>
      <c r="W2390" s="10">
        <v>1.050628508657292</v>
      </c>
      <c r="X2390" s="420"/>
      <c r="Y2390" s="420"/>
      <c r="Z2390" s="1"/>
      <c r="AA2390" s="1"/>
      <c r="AB2390" s="1"/>
      <c r="AC2390" s="1"/>
      <c r="AD2390" s="1"/>
    </row>
    <row r="2391" spans="17:30">
      <c r="Q2391" s="6">
        <v>2361</v>
      </c>
      <c r="R2391" s="7">
        <v>45028</v>
      </c>
      <c r="S2391" s="210">
        <v>4.25</v>
      </c>
      <c r="T2391" s="8">
        <v>1.0001180555555556</v>
      </c>
      <c r="U2391" s="98">
        <v>4.1611521146769803</v>
      </c>
      <c r="V2391" s="106">
        <v>31936.714216322132</v>
      </c>
      <c r="W2391" s="10">
        <v>1.0507251315832411</v>
      </c>
      <c r="X2391" s="420"/>
      <c r="Y2391" s="420"/>
      <c r="Z2391" s="1"/>
      <c r="AA2391" s="1"/>
      <c r="AB2391" s="1"/>
      <c r="AC2391" s="1"/>
      <c r="AD2391" s="1"/>
    </row>
    <row r="2392" spans="17:30">
      <c r="Q2392" s="6">
        <v>2362</v>
      </c>
      <c r="R2392" s="7">
        <v>45029</v>
      </c>
      <c r="S2392" s="210">
        <v>4.25</v>
      </c>
      <c r="T2392" s="8">
        <v>1.0001180555555556</v>
      </c>
      <c r="U2392" s="98">
        <v>4.1612543655688228</v>
      </c>
      <c r="V2392" s="106">
        <v>31939.372398584463</v>
      </c>
      <c r="W2392" s="10">
        <v>1.0508216727869613</v>
      </c>
      <c r="X2392" s="420"/>
      <c r="Y2392" s="420"/>
      <c r="Z2392" s="1"/>
      <c r="AA2392" s="1"/>
      <c r="AB2392" s="1"/>
      <c r="AC2392" s="1"/>
      <c r="AD2392" s="1"/>
    </row>
    <row r="2393" spans="17:30">
      <c r="Q2393" s="6">
        <v>2363</v>
      </c>
      <c r="R2393" s="7">
        <v>45030</v>
      </c>
      <c r="S2393" s="210">
        <v>4.25</v>
      </c>
      <c r="T2393" s="8">
        <v>1.0001180555555556</v>
      </c>
      <c r="U2393" s="98">
        <v>4.1613565300176347</v>
      </c>
      <c r="V2393" s="106">
        <v>31942.030802094756</v>
      </c>
      <c r="W2393" s="10">
        <v>1.0509181323721029</v>
      </c>
      <c r="X2393" s="420"/>
      <c r="Y2393" s="420"/>
      <c r="Z2393" s="1"/>
      <c r="AA2393" s="1"/>
      <c r="AB2393" s="1"/>
      <c r="AC2393" s="1"/>
      <c r="AD2393" s="1"/>
    </row>
    <row r="2394" spans="17:30">
      <c r="Q2394" s="6">
        <v>2364</v>
      </c>
      <c r="R2394" s="7">
        <v>45031</v>
      </c>
      <c r="S2394" s="210">
        <v>4.25</v>
      </c>
      <c r="T2394" s="8">
        <v>1.0001180555555556</v>
      </c>
      <c r="U2394" s="98">
        <v>4.161458608132973</v>
      </c>
      <c r="V2394" s="106">
        <v>31944.689426871431</v>
      </c>
      <c r="W2394" s="10">
        <v>1.0510145104420943</v>
      </c>
      <c r="X2394" s="420"/>
      <c r="Y2394" s="420"/>
      <c r="Z2394" s="1"/>
      <c r="AA2394" s="1"/>
      <c r="AB2394" s="1"/>
      <c r="AC2394" s="1"/>
      <c r="AD2394" s="1"/>
    </row>
    <row r="2395" spans="17:30">
      <c r="Q2395" s="6">
        <v>2365</v>
      </c>
      <c r="R2395" s="7">
        <v>45032</v>
      </c>
      <c r="S2395" s="210">
        <v>4.25</v>
      </c>
      <c r="T2395" s="8">
        <v>1.0001180555555556</v>
      </c>
      <c r="U2395" s="98">
        <v>4.1615606000242167</v>
      </c>
      <c r="V2395" s="106">
        <v>31947.348272932901</v>
      </c>
      <c r="W2395" s="10">
        <v>1.0511108071002306</v>
      </c>
      <c r="X2395" s="420"/>
      <c r="Y2395" s="420"/>
      <c r="Z2395" s="1"/>
      <c r="AA2395" s="1"/>
      <c r="AB2395" s="1"/>
      <c r="AC2395" s="1"/>
      <c r="AD2395" s="1"/>
    </row>
    <row r="2396" spans="17:30">
      <c r="Q2396" s="6">
        <v>2366</v>
      </c>
      <c r="R2396" s="7">
        <v>45033</v>
      </c>
      <c r="S2396" s="210">
        <v>4.25</v>
      </c>
      <c r="T2396" s="8">
        <v>1.0001180555555556</v>
      </c>
      <c r="U2396" s="98">
        <v>4.1616625058005896</v>
      </c>
      <c r="V2396" s="106">
        <v>31950.007340297576</v>
      </c>
      <c r="W2396" s="10">
        <v>1.0512070224496295</v>
      </c>
      <c r="X2396" s="420"/>
      <c r="Y2396" s="420"/>
      <c r="Z2396" s="1"/>
      <c r="AA2396" s="1"/>
      <c r="AB2396" s="1"/>
      <c r="AC2396" s="1"/>
      <c r="AD2396" s="1"/>
    </row>
    <row r="2397" spans="17:30">
      <c r="Q2397" s="6">
        <v>2367</v>
      </c>
      <c r="R2397" s="7">
        <v>45034</v>
      </c>
      <c r="S2397" s="210">
        <v>4.25</v>
      </c>
      <c r="T2397" s="8">
        <v>1.0001180555555556</v>
      </c>
      <c r="U2397" s="98">
        <v>4.1617643255711156</v>
      </c>
      <c r="V2397" s="106">
        <v>31952.666628983883</v>
      </c>
      <c r="W2397" s="10">
        <v>1.0513031565932307</v>
      </c>
      <c r="X2397" s="420"/>
      <c r="Y2397" s="420"/>
      <c r="Z2397" s="1"/>
      <c r="AA2397" s="1"/>
      <c r="AB2397" s="1"/>
      <c r="AC2397" s="1"/>
      <c r="AD2397" s="1"/>
    </row>
    <row r="2398" spans="17:30">
      <c r="Q2398" s="6">
        <v>2368</v>
      </c>
      <c r="R2398" s="7">
        <v>45035</v>
      </c>
      <c r="S2398" s="210">
        <v>4.25</v>
      </c>
      <c r="T2398" s="8">
        <v>1.0001180555555556</v>
      </c>
      <c r="U2398" s="98">
        <v>4.1618660594446188</v>
      </c>
      <c r="V2398" s="106">
        <v>31955.326139010245</v>
      </c>
      <c r="W2398" s="10">
        <v>1.0513992096337965</v>
      </c>
      <c r="X2398" s="420"/>
      <c r="Y2398" s="420"/>
      <c r="Z2398" s="1"/>
      <c r="AA2398" s="1"/>
      <c r="AB2398" s="1"/>
      <c r="AC2398" s="1"/>
      <c r="AD2398" s="1"/>
    </row>
    <row r="2399" spans="17:30">
      <c r="Q2399" s="6">
        <v>2369</v>
      </c>
      <c r="R2399" s="7">
        <v>45036</v>
      </c>
      <c r="S2399" s="210">
        <v>4.25</v>
      </c>
      <c r="T2399" s="8">
        <v>1.0001180555555556</v>
      </c>
      <c r="U2399" s="98">
        <v>4.1619677075297457</v>
      </c>
      <c r="V2399" s="106">
        <v>31957.985870395081</v>
      </c>
      <c r="W2399" s="10">
        <v>1.0514951816739115</v>
      </c>
      <c r="X2399" s="420"/>
      <c r="Y2399" s="420"/>
      <c r="Z2399" s="1"/>
      <c r="AA2399" s="1"/>
      <c r="AB2399" s="1"/>
      <c r="AC2399" s="1"/>
      <c r="AD2399" s="1"/>
    </row>
    <row r="2400" spans="17:30">
      <c r="Q2400" s="6">
        <v>2370</v>
      </c>
      <c r="R2400" s="7">
        <v>45037</v>
      </c>
      <c r="S2400" s="210">
        <v>4.25</v>
      </c>
      <c r="T2400" s="8">
        <v>1.0001180555555556</v>
      </c>
      <c r="U2400" s="98">
        <v>4.1620692699349648</v>
      </c>
      <c r="V2400" s="106">
        <v>31960.645823156825</v>
      </c>
      <c r="W2400" s="10">
        <v>1.0515910728160049</v>
      </c>
      <c r="X2400" s="420"/>
      <c r="Y2400" s="420"/>
      <c r="Z2400" s="1"/>
      <c r="AA2400" s="1"/>
      <c r="AB2400" s="1"/>
      <c r="AC2400" s="1"/>
      <c r="AD2400" s="1"/>
    </row>
    <row r="2401" spans="17:30">
      <c r="Q2401" s="6">
        <v>2371</v>
      </c>
      <c r="R2401" s="7">
        <v>45038</v>
      </c>
      <c r="S2401" s="210">
        <v>4.25</v>
      </c>
      <c r="T2401" s="8">
        <v>1.0001180555555556</v>
      </c>
      <c r="U2401" s="98">
        <v>4.1621707467685676</v>
      </c>
      <c r="V2401" s="106">
        <v>31963.305997313888</v>
      </c>
      <c r="W2401" s="10">
        <v>1.0516868831623061</v>
      </c>
      <c r="X2401" s="420"/>
      <c r="Y2401" s="420"/>
      <c r="Z2401" s="1"/>
      <c r="AA2401" s="1"/>
      <c r="AB2401" s="1"/>
      <c r="AC2401" s="1"/>
      <c r="AD2401" s="1"/>
    </row>
    <row r="2402" spans="17:30">
      <c r="Q2402" s="6">
        <v>2372</v>
      </c>
      <c r="R2402" s="7">
        <v>45039</v>
      </c>
      <c r="S2402" s="210">
        <v>4.25</v>
      </c>
      <c r="T2402" s="8">
        <v>1.0001180555555556</v>
      </c>
      <c r="U2402" s="98">
        <v>4.1622721381386452</v>
      </c>
      <c r="V2402" s="106">
        <v>31965.966392884704</v>
      </c>
      <c r="W2402" s="10">
        <v>1.0517826128148888</v>
      </c>
      <c r="X2402" s="420"/>
      <c r="Y2402" s="420"/>
      <c r="Z2402" s="1"/>
      <c r="AA2402" s="1"/>
      <c r="AB2402" s="1"/>
      <c r="AC2402" s="1"/>
      <c r="AD2402" s="1"/>
    </row>
    <row r="2403" spans="17:30">
      <c r="Q2403" s="6">
        <v>2373</v>
      </c>
      <c r="R2403" s="7">
        <v>45040</v>
      </c>
      <c r="S2403" s="210">
        <v>4.25</v>
      </c>
      <c r="T2403" s="8">
        <v>1.0001180555555556</v>
      </c>
      <c r="U2403" s="98">
        <v>4.1623734441531335</v>
      </c>
      <c r="V2403" s="106">
        <v>31968.627009887707</v>
      </c>
      <c r="W2403" s="10">
        <v>1.0518782618756717</v>
      </c>
      <c r="X2403" s="420"/>
      <c r="Y2403" s="420"/>
      <c r="Z2403" s="1"/>
      <c r="AA2403" s="1"/>
      <c r="AB2403" s="1"/>
      <c r="AC2403" s="1"/>
      <c r="AD2403" s="1"/>
    </row>
    <row r="2404" spans="17:30">
      <c r="Q2404" s="6">
        <v>2374</v>
      </c>
      <c r="R2404" s="7">
        <v>45041</v>
      </c>
      <c r="S2404" s="210">
        <v>4.25</v>
      </c>
      <c r="T2404" s="8">
        <v>1.0001180555555556</v>
      </c>
      <c r="U2404" s="98">
        <v>4.1624746649197464</v>
      </c>
      <c r="V2404" s="106">
        <v>31971.287848341315</v>
      </c>
      <c r="W2404" s="10">
        <v>1.0519738304463511</v>
      </c>
      <c r="X2404" s="420"/>
      <c r="Y2404" s="420"/>
      <c r="Z2404" s="1"/>
      <c r="AA2404" s="1"/>
      <c r="AB2404" s="1"/>
      <c r="AC2404" s="1"/>
      <c r="AD2404" s="1"/>
    </row>
    <row r="2405" spans="17:30">
      <c r="Q2405" s="6">
        <v>2375</v>
      </c>
      <c r="R2405" s="7">
        <v>45042</v>
      </c>
      <c r="S2405" s="210">
        <v>4.25</v>
      </c>
      <c r="T2405" s="8">
        <v>1.0001180555555556</v>
      </c>
      <c r="U2405" s="98">
        <v>4.1625758005460645</v>
      </c>
      <c r="V2405" s="106">
        <v>31973.948908263974</v>
      </c>
      <c r="W2405" s="10">
        <v>1.0520693186285124</v>
      </c>
      <c r="X2405" s="420"/>
      <c r="Y2405" s="420"/>
      <c r="Z2405" s="1"/>
      <c r="AA2405" s="1"/>
      <c r="AB2405" s="1"/>
      <c r="AC2405" s="1"/>
      <c r="AD2405" s="1"/>
    </row>
    <row r="2406" spans="17:30">
      <c r="Q2406" s="6">
        <v>2376</v>
      </c>
      <c r="R2406" s="7">
        <v>45043</v>
      </c>
      <c r="S2406" s="210">
        <v>4.25</v>
      </c>
      <c r="T2406" s="8">
        <v>1.0001180555555556</v>
      </c>
      <c r="U2406" s="98">
        <v>4.1626768511394685</v>
      </c>
      <c r="V2406" s="106">
        <v>31976.610189674106</v>
      </c>
      <c r="W2406" s="10">
        <v>1.0521647265235412</v>
      </c>
      <c r="X2406" s="420"/>
      <c r="Y2406" s="420"/>
      <c r="Z2406" s="1"/>
      <c r="AA2406" s="1"/>
      <c r="AB2406" s="1"/>
      <c r="AC2406" s="1"/>
      <c r="AD2406" s="1"/>
    </row>
    <row r="2407" spans="17:30">
      <c r="Q2407" s="6">
        <v>2377</v>
      </c>
      <c r="R2407" s="7">
        <v>45044</v>
      </c>
      <c r="S2407" s="210">
        <v>4.25</v>
      </c>
      <c r="T2407" s="8">
        <v>1.0001180555555556</v>
      </c>
      <c r="U2407" s="98">
        <v>4.1627778168071394</v>
      </c>
      <c r="V2407" s="106">
        <v>31979.271692590155</v>
      </c>
      <c r="W2407" s="10">
        <v>1.0522600542326233</v>
      </c>
      <c r="X2407" s="420"/>
      <c r="Y2407" s="420"/>
      <c r="Z2407" s="1"/>
      <c r="AA2407" s="1"/>
      <c r="AB2407" s="1"/>
      <c r="AC2407" s="1"/>
      <c r="AD2407" s="1"/>
    </row>
    <row r="2408" spans="17:30">
      <c r="Q2408" s="6">
        <v>2378</v>
      </c>
      <c r="R2408" s="7">
        <v>45045</v>
      </c>
      <c r="S2408" s="210">
        <v>4.25</v>
      </c>
      <c r="T2408" s="8">
        <v>1.0001180555555556</v>
      </c>
      <c r="U2408" s="98">
        <v>4.1628786976560805</v>
      </c>
      <c r="V2408" s="106">
        <v>31981.933417030548</v>
      </c>
      <c r="W2408" s="10">
        <v>1.0523553018568332</v>
      </c>
      <c r="X2408" s="420"/>
      <c r="Y2408" s="420"/>
      <c r="Z2408" s="1"/>
      <c r="AA2408" s="1"/>
      <c r="AB2408" s="1"/>
      <c r="AC2408" s="1"/>
      <c r="AD2408" s="1"/>
    </row>
    <row r="2409" spans="17:30">
      <c r="Q2409" s="6">
        <v>2379</v>
      </c>
      <c r="R2409" s="7">
        <v>45046</v>
      </c>
      <c r="S2409" s="210">
        <v>4.25</v>
      </c>
      <c r="T2409" s="8">
        <v>1.0001180555555556</v>
      </c>
      <c r="U2409" s="98">
        <v>4.1629794937931619</v>
      </c>
      <c r="V2409" s="106">
        <v>31984.595363013734</v>
      </c>
      <c r="W2409" s="10">
        <v>1.0524504694970682</v>
      </c>
      <c r="X2409" s="420"/>
      <c r="Y2409" s="420"/>
      <c r="Z2409" s="1"/>
      <c r="AA2409" s="1"/>
      <c r="AB2409" s="1"/>
      <c r="AC2409" s="1"/>
      <c r="AD2409" s="1"/>
    </row>
    <row r="2410" spans="17:30">
      <c r="Q2410" s="6">
        <v>2380</v>
      </c>
      <c r="R2410" s="7">
        <v>45047</v>
      </c>
      <c r="S2410" s="210">
        <v>4.25</v>
      </c>
      <c r="T2410" s="8">
        <v>1.0001180555555556</v>
      </c>
      <c r="U2410" s="98">
        <v>4.1630802053250093</v>
      </c>
      <c r="V2410" s="106">
        <v>31987.257530558145</v>
      </c>
      <c r="W2410" s="10">
        <v>1.052545557253981</v>
      </c>
      <c r="X2410" s="420"/>
      <c r="Y2410" s="420"/>
      <c r="Z2410" s="1"/>
      <c r="AA2410" s="1"/>
      <c r="AB2410" s="1"/>
      <c r="AC2410" s="1"/>
      <c r="AD2410" s="1"/>
    </row>
    <row r="2411" spans="17:30">
      <c r="Q2411" s="6">
        <v>2381</v>
      </c>
      <c r="R2411" s="7">
        <v>45048</v>
      </c>
      <c r="S2411" s="210">
        <v>4.25</v>
      </c>
      <c r="T2411" s="8">
        <v>1.0001180555555556</v>
      </c>
      <c r="U2411" s="98">
        <v>4.1631808323581154</v>
      </c>
      <c r="V2411" s="106">
        <v>31989.919919682223</v>
      </c>
      <c r="W2411" s="10">
        <v>1.0526405652281356</v>
      </c>
      <c r="X2411" s="420"/>
      <c r="Y2411" s="420"/>
      <c r="Z2411" s="1"/>
      <c r="AA2411" s="1"/>
      <c r="AB2411" s="1"/>
      <c r="AC2411" s="1"/>
      <c r="AD2411" s="1"/>
    </row>
    <row r="2412" spans="17:30">
      <c r="Q2412" s="6">
        <v>2382</v>
      </c>
      <c r="R2412" s="7">
        <v>45049</v>
      </c>
      <c r="S2412" s="210">
        <v>4.25</v>
      </c>
      <c r="T2412" s="8">
        <v>1.0001180555555556</v>
      </c>
      <c r="U2412" s="98">
        <v>4.1632813749987729</v>
      </c>
      <c r="V2412" s="106">
        <v>31992.582530404412</v>
      </c>
      <c r="W2412" s="10">
        <v>1.0527354935198963</v>
      </c>
      <c r="X2412" s="420"/>
      <c r="Y2412" s="420"/>
      <c r="Z2412" s="1"/>
      <c r="AA2412" s="1"/>
      <c r="AB2412" s="1"/>
      <c r="AC2412" s="1"/>
      <c r="AD2412" s="1"/>
    </row>
    <row r="2413" spans="17:30">
      <c r="Q2413" s="6">
        <v>2383</v>
      </c>
      <c r="R2413" s="7">
        <v>45050</v>
      </c>
      <c r="S2413" s="210">
        <v>4.25</v>
      </c>
      <c r="T2413" s="8">
        <v>1.0001180555555556</v>
      </c>
      <c r="U2413" s="98">
        <v>4.1633818333531192</v>
      </c>
      <c r="V2413" s="106">
        <v>31995.245362743161</v>
      </c>
      <c r="W2413" s="10">
        <v>1.0528303422294938</v>
      </c>
      <c r="X2413" s="420"/>
      <c r="Y2413" s="420"/>
      <c r="Z2413" s="1"/>
      <c r="AA2413" s="1"/>
      <c r="AB2413" s="1"/>
      <c r="AC2413" s="1"/>
      <c r="AD2413" s="1"/>
    </row>
    <row r="2414" spans="17:30">
      <c r="Q2414" s="6">
        <v>2384</v>
      </c>
      <c r="R2414" s="7">
        <v>45051</v>
      </c>
      <c r="S2414" s="210">
        <v>4.25</v>
      </c>
      <c r="T2414" s="8">
        <v>1.0001180555555556</v>
      </c>
      <c r="U2414" s="98">
        <v>4.1634822075270916</v>
      </c>
      <c r="V2414" s="106">
        <v>31997.908416716906</v>
      </c>
      <c r="W2414" s="10">
        <v>1.0529251114569593</v>
      </c>
      <c r="X2414" s="420"/>
      <c r="Y2414" s="420"/>
      <c r="Z2414" s="1"/>
      <c r="AA2414" s="1"/>
      <c r="AB2414" s="1"/>
      <c r="AC2414" s="1"/>
      <c r="AD2414" s="1"/>
    </row>
    <row r="2415" spans="17:30">
      <c r="Q2415" s="6">
        <v>2385</v>
      </c>
      <c r="R2415" s="7">
        <v>45052</v>
      </c>
      <c r="S2415" s="210">
        <v>4.25</v>
      </c>
      <c r="T2415" s="8">
        <v>1.0001180555555556</v>
      </c>
      <c r="U2415" s="98">
        <v>4.1635824976264502</v>
      </c>
      <c r="V2415" s="106">
        <v>32000.571692344107</v>
      </c>
      <c r="W2415" s="10">
        <v>1.0530198013021241</v>
      </c>
      <c r="X2415" s="420"/>
      <c r="Y2415" s="420"/>
      <c r="Z2415" s="1"/>
      <c r="AA2415" s="1"/>
      <c r="AB2415" s="1"/>
      <c r="AC2415" s="1"/>
      <c r="AD2415" s="1"/>
    </row>
    <row r="2416" spans="17:30">
      <c r="Q2416" s="6">
        <v>2386</v>
      </c>
      <c r="R2416" s="7">
        <v>45053</v>
      </c>
      <c r="S2416" s="210">
        <v>4.25</v>
      </c>
      <c r="T2416" s="8">
        <v>1.0001180555555556</v>
      </c>
      <c r="U2416" s="98">
        <v>4.163682703756777</v>
      </c>
      <c r="V2416" s="106">
        <v>32003.235189643194</v>
      </c>
      <c r="W2416" s="10">
        <v>1.0531144118646862</v>
      </c>
      <c r="X2416" s="420"/>
      <c r="Y2416" s="420"/>
      <c r="Z2416" s="1"/>
      <c r="AA2416" s="1"/>
      <c r="AB2416" s="1"/>
      <c r="AC2416" s="1"/>
      <c r="AD2416" s="1"/>
    </row>
    <row r="2417" spans="17:30">
      <c r="Q2417" s="6">
        <v>2387</v>
      </c>
      <c r="R2417" s="7">
        <v>45054</v>
      </c>
      <c r="S2417" s="210">
        <v>4.25</v>
      </c>
      <c r="T2417" s="8">
        <v>1.0001180555555556</v>
      </c>
      <c r="U2417" s="98">
        <v>4.1637828260234988</v>
      </c>
      <c r="V2417" s="106">
        <v>32005.898908632636</v>
      </c>
      <c r="W2417" s="10">
        <v>1.0532089432442104</v>
      </c>
      <c r="X2417" s="420"/>
      <c r="Y2417" s="420"/>
      <c r="Z2417" s="1"/>
      <c r="AA2417" s="1"/>
      <c r="AB2417" s="1"/>
      <c r="AC2417" s="1"/>
      <c r="AD2417" s="1"/>
    </row>
    <row r="2418" spans="17:30">
      <c r="Q2418" s="6">
        <v>2388</v>
      </c>
      <c r="R2418" s="7">
        <v>45055</v>
      </c>
      <c r="S2418" s="210">
        <v>4.25</v>
      </c>
      <c r="T2418" s="8">
        <v>1.0001180555555556</v>
      </c>
      <c r="U2418" s="98">
        <v>4.1638828645318426</v>
      </c>
      <c r="V2418" s="106">
        <v>32008.562849330876</v>
      </c>
      <c r="W2418" s="10">
        <v>1.0533033955400395</v>
      </c>
      <c r="X2418" s="420"/>
      <c r="Y2418" s="420"/>
      <c r="Z2418" s="1"/>
      <c r="AA2418" s="1"/>
      <c r="AB2418" s="1"/>
      <c r="AC2418" s="1"/>
      <c r="AD2418" s="1"/>
    </row>
    <row r="2419" spans="17:30">
      <c r="Q2419" s="6">
        <v>2389</v>
      </c>
      <c r="R2419" s="7">
        <v>45056</v>
      </c>
      <c r="S2419" s="210">
        <v>4.25</v>
      </c>
      <c r="T2419" s="8">
        <v>1.0001180555555556</v>
      </c>
      <c r="U2419" s="98">
        <v>4.1639828193868578</v>
      </c>
      <c r="V2419" s="106">
        <v>32011.227011756371</v>
      </c>
      <c r="W2419" s="10">
        <v>1.0533977688513829</v>
      </c>
      <c r="X2419" s="420"/>
      <c r="Y2419" s="420"/>
      <c r="Z2419" s="1"/>
      <c r="AA2419" s="1"/>
      <c r="AB2419" s="1"/>
      <c r="AC2419" s="1"/>
      <c r="AD2419" s="1"/>
    </row>
    <row r="2420" spans="17:30">
      <c r="Q2420" s="6">
        <v>2390</v>
      </c>
      <c r="R2420" s="7">
        <v>45057</v>
      </c>
      <c r="S2420" s="210">
        <v>4.25</v>
      </c>
      <c r="T2420" s="8">
        <v>1.0001180555555556</v>
      </c>
      <c r="U2420" s="98">
        <v>4.1640826906934381</v>
      </c>
      <c r="V2420" s="106">
        <v>32013.891395927574</v>
      </c>
      <c r="W2420" s="10">
        <v>1.0534920632772504</v>
      </c>
      <c r="X2420" s="420"/>
      <c r="Y2420" s="420"/>
      <c r="Z2420" s="1"/>
      <c r="AA2420" s="1"/>
      <c r="AB2420" s="1"/>
      <c r="AC2420" s="1"/>
      <c r="AD2420" s="1"/>
    </row>
    <row r="2421" spans="17:30">
      <c r="Q2421" s="6">
        <v>2391</v>
      </c>
      <c r="R2421" s="7">
        <v>45058</v>
      </c>
      <c r="S2421" s="210">
        <v>4.25</v>
      </c>
      <c r="T2421" s="8">
        <v>1.0001180555555556</v>
      </c>
      <c r="U2421" s="98">
        <v>4.1641824785562997</v>
      </c>
      <c r="V2421" s="106">
        <v>32016.55600186294</v>
      </c>
      <c r="W2421" s="10">
        <v>1.0535862789165407</v>
      </c>
      <c r="X2421" s="420"/>
      <c r="Y2421" s="420"/>
      <c r="Z2421" s="1"/>
      <c r="AA2421" s="1"/>
      <c r="AB2421" s="1"/>
      <c r="AC2421" s="1"/>
      <c r="AD2421" s="1"/>
    </row>
    <row r="2422" spans="17:30">
      <c r="Q2422" s="6">
        <v>2392</v>
      </c>
      <c r="R2422" s="7">
        <v>45059</v>
      </c>
      <c r="S2422" s="210">
        <v>4.25</v>
      </c>
      <c r="T2422" s="8">
        <v>1.0001180555555556</v>
      </c>
      <c r="U2422" s="98">
        <v>4.1642821830799592</v>
      </c>
      <c r="V2422" s="106">
        <v>32019.220829580925</v>
      </c>
      <c r="W2422" s="10">
        <v>1.0536804158679303</v>
      </c>
      <c r="X2422" s="420"/>
      <c r="Y2422" s="420"/>
      <c r="Z2422" s="1"/>
      <c r="AA2422" s="1"/>
      <c r="AB2422" s="1"/>
      <c r="AC2422" s="1"/>
      <c r="AD2422" s="1"/>
    </row>
    <row r="2423" spans="17:30">
      <c r="Q2423" s="6">
        <v>2393</v>
      </c>
      <c r="R2423" s="7">
        <v>45060</v>
      </c>
      <c r="S2423" s="210">
        <v>4.25</v>
      </c>
      <c r="T2423" s="8">
        <v>1.0001180555555556</v>
      </c>
      <c r="U2423" s="98">
        <v>4.1643818043687997</v>
      </c>
      <c r="V2423" s="106">
        <v>32021.885879099998</v>
      </c>
      <c r="W2423" s="10">
        <v>1.0537744742299848</v>
      </c>
      <c r="X2423" s="420"/>
      <c r="Y2423" s="420"/>
      <c r="Z2423" s="1"/>
      <c r="AA2423" s="1"/>
      <c r="AB2423" s="1"/>
      <c r="AC2423" s="1"/>
      <c r="AD2423" s="1"/>
    </row>
    <row r="2424" spans="17:30">
      <c r="Q2424" s="6">
        <v>2394</v>
      </c>
      <c r="R2424" s="7">
        <v>45061</v>
      </c>
      <c r="S2424" s="210">
        <v>4.25</v>
      </c>
      <c r="T2424" s="8">
        <v>1.0001180555555556</v>
      </c>
      <c r="U2424" s="98">
        <v>4.1644813425269822</v>
      </c>
      <c r="V2424" s="106">
        <v>32024.551150438609</v>
      </c>
      <c r="W2424" s="10">
        <v>1.0538684541010701</v>
      </c>
      <c r="X2424" s="420"/>
      <c r="Y2424" s="420"/>
      <c r="Z2424" s="1"/>
      <c r="AA2424" s="1"/>
      <c r="AB2424" s="1"/>
      <c r="AC2424" s="1"/>
      <c r="AD2424" s="1"/>
    </row>
    <row r="2425" spans="17:30">
      <c r="Q2425" s="6">
        <v>2395</v>
      </c>
      <c r="R2425" s="7">
        <v>45062</v>
      </c>
      <c r="S2425" s="210">
        <v>4.25</v>
      </c>
      <c r="T2425" s="8">
        <v>1.0001180555555556</v>
      </c>
      <c r="U2425" s="98">
        <v>4.1645807976585347</v>
      </c>
      <c r="V2425" s="106">
        <v>32027.216643615226</v>
      </c>
      <c r="W2425" s="10">
        <v>1.0539623555793742</v>
      </c>
      <c r="X2425" s="420"/>
      <c r="Y2425" s="420"/>
      <c r="Z2425" s="1"/>
      <c r="AA2425" s="1"/>
      <c r="AB2425" s="1"/>
      <c r="AC2425" s="1"/>
      <c r="AD2425" s="1"/>
    </row>
    <row r="2426" spans="17:30">
      <c r="Q2426" s="6">
        <v>2396</v>
      </c>
      <c r="R2426" s="7">
        <v>45063</v>
      </c>
      <c r="S2426" s="210">
        <v>4.25</v>
      </c>
      <c r="T2426" s="8">
        <v>1.0001180555555556</v>
      </c>
      <c r="U2426" s="98">
        <v>4.1646801698672853</v>
      </c>
      <c r="V2426" s="106">
        <v>32029.882358648319</v>
      </c>
      <c r="W2426" s="10">
        <v>1.0540561787629521</v>
      </c>
      <c r="X2426" s="420"/>
      <c r="Y2426" s="420"/>
      <c r="Z2426" s="1"/>
      <c r="AA2426" s="1"/>
      <c r="AB2426" s="1"/>
      <c r="AC2426" s="1"/>
      <c r="AD2426" s="1"/>
    </row>
    <row r="2427" spans="17:30">
      <c r="Q2427" s="6">
        <v>2397</v>
      </c>
      <c r="R2427" s="7">
        <v>45064</v>
      </c>
      <c r="S2427" s="210">
        <v>4.25</v>
      </c>
      <c r="T2427" s="8">
        <v>1.0001180555555556</v>
      </c>
      <c r="U2427" s="98">
        <v>4.1647794592568843</v>
      </c>
      <c r="V2427" s="106">
        <v>32032.548295556346</v>
      </c>
      <c r="W2427" s="10">
        <v>1.054149923749681</v>
      </c>
      <c r="X2427" s="420"/>
      <c r="Y2427" s="420"/>
      <c r="Z2427" s="1"/>
      <c r="AA2427" s="1"/>
      <c r="AB2427" s="1"/>
      <c r="AC2427" s="1"/>
      <c r="AD2427" s="1"/>
    </row>
    <row r="2428" spans="17:30">
      <c r="Q2428" s="6">
        <v>2398</v>
      </c>
      <c r="R2428" s="7">
        <v>45065</v>
      </c>
      <c r="S2428" s="210">
        <v>4.25</v>
      </c>
      <c r="T2428" s="8">
        <v>1.0001180555555556</v>
      </c>
      <c r="U2428" s="98">
        <v>4.164878665930849</v>
      </c>
      <c r="V2428" s="106">
        <v>32035.214454357774</v>
      </c>
      <c r="W2428" s="10">
        <v>1.0542435906373049</v>
      </c>
      <c r="X2428" s="420"/>
      <c r="Y2428" s="420"/>
      <c r="Z2428" s="1"/>
      <c r="AA2428" s="1"/>
      <c r="AB2428" s="1"/>
      <c r="AC2428" s="1"/>
      <c r="AD2428" s="1"/>
    </row>
    <row r="2429" spans="17:30">
      <c r="Q2429" s="6">
        <v>2399</v>
      </c>
      <c r="R2429" s="7">
        <v>45066</v>
      </c>
      <c r="S2429" s="210">
        <v>4.25</v>
      </c>
      <c r="T2429" s="8">
        <v>1.0001180555555556</v>
      </c>
      <c r="U2429" s="98">
        <v>4.1649777899924967</v>
      </c>
      <c r="V2429" s="106">
        <v>32037.880835071068</v>
      </c>
      <c r="W2429" s="10">
        <v>1.054337179523368</v>
      </c>
      <c r="X2429" s="420"/>
      <c r="Y2429" s="420"/>
      <c r="Z2429" s="1"/>
      <c r="AA2429" s="1"/>
      <c r="AB2429" s="1"/>
      <c r="AC2429" s="1"/>
      <c r="AD2429" s="1"/>
    </row>
    <row r="2430" spans="17:30">
      <c r="Q2430" s="6">
        <v>2400</v>
      </c>
      <c r="R2430" s="7">
        <v>45067</v>
      </c>
      <c r="S2430" s="210">
        <v>4.25</v>
      </c>
      <c r="T2430" s="8">
        <v>1.0001180555555556</v>
      </c>
      <c r="U2430" s="98">
        <v>4.1650768315449671</v>
      </c>
      <c r="V2430" s="106">
        <v>32040.547437714711</v>
      </c>
      <c r="W2430" s="10">
        <v>1.054430690505237</v>
      </c>
      <c r="X2430" s="420"/>
      <c r="Y2430" s="420"/>
      <c r="Z2430" s="1"/>
      <c r="AA2430" s="1"/>
      <c r="AB2430" s="1"/>
      <c r="AC2430" s="1"/>
      <c r="AD2430" s="1"/>
    </row>
    <row r="2431" spans="17:30">
      <c r="Q2431" s="6">
        <v>2401</v>
      </c>
      <c r="R2431" s="7">
        <v>45068</v>
      </c>
      <c r="S2431" s="210">
        <v>4.25</v>
      </c>
      <c r="T2431" s="8">
        <v>1.0001180555555556</v>
      </c>
      <c r="U2431" s="98">
        <v>4.1651757906912446</v>
      </c>
      <c r="V2431" s="106">
        <v>32043.21426230717</v>
      </c>
      <c r="W2431" s="10">
        <v>1.0545241236801894</v>
      </c>
      <c r="X2431" s="420"/>
      <c r="Y2431" s="420"/>
      <c r="Z2431" s="1"/>
      <c r="AA2431" s="1"/>
      <c r="AB2431" s="1"/>
      <c r="AC2431" s="1"/>
      <c r="AD2431" s="1"/>
    </row>
    <row r="2432" spans="17:30">
      <c r="Q2432" s="6">
        <v>2402</v>
      </c>
      <c r="R2432" s="7">
        <v>45069</v>
      </c>
      <c r="S2432" s="210">
        <v>4.25</v>
      </c>
      <c r="T2432" s="8">
        <v>1.0001180555555556</v>
      </c>
      <c r="U2432" s="98">
        <v>4.1652746675341135</v>
      </c>
      <c r="V2432" s="106">
        <v>32045.881308866916</v>
      </c>
      <c r="W2432" s="10">
        <v>1.0546174791452589</v>
      </c>
      <c r="X2432" s="420"/>
      <c r="Y2432" s="420"/>
      <c r="Z2432" s="1"/>
      <c r="AA2432" s="1"/>
      <c r="AB2432" s="1"/>
      <c r="AC2432" s="1"/>
      <c r="AD2432" s="1"/>
    </row>
    <row r="2433" spans="17:30">
      <c r="Q2433" s="6">
        <v>2403</v>
      </c>
      <c r="R2433" s="7">
        <v>45070</v>
      </c>
      <c r="S2433" s="210">
        <v>4.25</v>
      </c>
      <c r="T2433" s="8">
        <v>1.0001180555555556</v>
      </c>
      <c r="U2433" s="98">
        <v>4.1653734621762251</v>
      </c>
      <c r="V2433" s="106">
        <v>32048.548577412424</v>
      </c>
      <c r="W2433" s="10">
        <v>1.0547107569973457</v>
      </c>
      <c r="X2433" s="420"/>
      <c r="Y2433" s="420"/>
      <c r="Z2433" s="1"/>
      <c r="AA2433" s="1"/>
      <c r="AB2433" s="1"/>
      <c r="AC2433" s="1"/>
      <c r="AD2433" s="1"/>
    </row>
    <row r="2434" spans="17:30">
      <c r="Q2434" s="6">
        <v>2404</v>
      </c>
      <c r="R2434" s="7">
        <v>45071</v>
      </c>
      <c r="S2434" s="210">
        <v>4.25</v>
      </c>
      <c r="T2434" s="8">
        <v>1.0001180555555556</v>
      </c>
      <c r="U2434" s="98">
        <v>4.1654721747200307</v>
      </c>
      <c r="V2434" s="106">
        <v>32051.216067962167</v>
      </c>
      <c r="W2434" s="10">
        <v>1.0548039573332391</v>
      </c>
      <c r="X2434" s="420"/>
      <c r="Y2434" s="420"/>
      <c r="Z2434" s="1"/>
      <c r="AA2434" s="1"/>
      <c r="AB2434" s="1"/>
      <c r="AC2434" s="1"/>
      <c r="AD2434" s="1"/>
    </row>
    <row r="2435" spans="17:30">
      <c r="Q2435" s="6">
        <v>2405</v>
      </c>
      <c r="R2435" s="7">
        <v>45072</v>
      </c>
      <c r="S2435" s="210">
        <v>4.25</v>
      </c>
      <c r="T2435" s="8">
        <v>1.0001180555555556</v>
      </c>
      <c r="U2435" s="98">
        <v>4.1655708052678486</v>
      </c>
      <c r="V2435" s="106">
        <v>32053.88378053463</v>
      </c>
      <c r="W2435" s="10">
        <v>1.0548970802495061</v>
      </c>
      <c r="X2435" s="420"/>
      <c r="Y2435" s="420"/>
      <c r="Z2435" s="1"/>
      <c r="AA2435" s="1"/>
      <c r="AB2435" s="1"/>
      <c r="AC2435" s="1"/>
      <c r="AD2435" s="1"/>
    </row>
    <row r="2436" spans="17:30">
      <c r="Q2436" s="6">
        <v>2406</v>
      </c>
      <c r="R2436" s="7">
        <v>45073</v>
      </c>
      <c r="S2436" s="210">
        <v>4.25</v>
      </c>
      <c r="T2436" s="8">
        <v>1.0001180555555556</v>
      </c>
      <c r="U2436" s="98">
        <v>4.1656693539217748</v>
      </c>
      <c r="V2436" s="106">
        <v>32056.551715148289</v>
      </c>
      <c r="W2436" s="10">
        <v>1.0549901258425809</v>
      </c>
      <c r="X2436" s="420"/>
      <c r="Y2436" s="420"/>
      <c r="Z2436" s="1"/>
      <c r="AA2436" s="1"/>
      <c r="AB2436" s="1"/>
      <c r="AC2436" s="1"/>
      <c r="AD2436" s="1"/>
    </row>
    <row r="2437" spans="17:30">
      <c r="Q2437" s="6">
        <v>2407</v>
      </c>
      <c r="R2437" s="7">
        <v>45074</v>
      </c>
      <c r="S2437" s="210">
        <v>4.25</v>
      </c>
      <c r="T2437" s="8">
        <v>1.0001180555555556</v>
      </c>
      <c r="U2437" s="98">
        <v>4.1657678207837723</v>
      </c>
      <c r="V2437" s="106">
        <v>32059.219871821628</v>
      </c>
      <c r="W2437" s="10">
        <v>1.0550830942086975</v>
      </c>
      <c r="X2437" s="420"/>
      <c r="Y2437" s="420"/>
      <c r="Z2437" s="1"/>
      <c r="AA2437" s="1"/>
      <c r="AB2437" s="1"/>
      <c r="AC2437" s="1"/>
      <c r="AD2437" s="1"/>
    </row>
    <row r="2438" spans="17:30">
      <c r="Q2438" s="6">
        <v>2408</v>
      </c>
      <c r="R2438" s="7">
        <v>45075</v>
      </c>
      <c r="S2438" s="210">
        <v>4.25</v>
      </c>
      <c r="T2438" s="8">
        <v>1.0001180555555556</v>
      </c>
      <c r="U2438" s="98">
        <v>4.1658662059556262</v>
      </c>
      <c r="V2438" s="106">
        <v>32061.88825057312</v>
      </c>
      <c r="W2438" s="10">
        <v>1.0551759854440013</v>
      </c>
      <c r="X2438" s="420"/>
      <c r="Y2438" s="420"/>
      <c r="Z2438" s="1"/>
      <c r="AA2438" s="1"/>
      <c r="AB2438" s="1"/>
      <c r="AC2438" s="1"/>
      <c r="AD2438" s="1"/>
    </row>
    <row r="2439" spans="17:30">
      <c r="Q2439" s="6">
        <v>2409</v>
      </c>
      <c r="R2439" s="7">
        <v>45076</v>
      </c>
      <c r="S2439" s="210">
        <v>4.25</v>
      </c>
      <c r="T2439" s="8">
        <v>1.0001180555555556</v>
      </c>
      <c r="U2439" s="98">
        <v>4.1659645095389441</v>
      </c>
      <c r="V2439" s="106">
        <v>32064.556851421265</v>
      </c>
      <c r="W2439" s="10">
        <v>1.0552687996444154</v>
      </c>
      <c r="X2439" s="420"/>
      <c r="Y2439" s="420"/>
      <c r="Z2439" s="1"/>
      <c r="AA2439" s="1"/>
      <c r="AB2439" s="1"/>
      <c r="AC2439" s="1"/>
      <c r="AD2439" s="1"/>
    </row>
    <row r="2440" spans="17:30">
      <c r="Q2440" s="6">
        <v>2410</v>
      </c>
      <c r="R2440" s="7">
        <v>45077</v>
      </c>
      <c r="S2440" s="210">
        <v>4.25</v>
      </c>
      <c r="T2440" s="8">
        <v>1.0001180555555556</v>
      </c>
      <c r="U2440" s="98">
        <v>4.1660627316351784</v>
      </c>
      <c r="V2440" s="106">
        <v>32067.225674384536</v>
      </c>
      <c r="W2440" s="10">
        <v>1.0553615369057301</v>
      </c>
      <c r="X2440" s="420"/>
      <c r="Y2440" s="420"/>
      <c r="Z2440" s="1"/>
      <c r="AA2440" s="1"/>
      <c r="AB2440" s="1"/>
      <c r="AC2440" s="1"/>
      <c r="AD2440" s="1"/>
    </row>
    <row r="2441" spans="17:30">
      <c r="Q2441" s="6">
        <v>2411</v>
      </c>
      <c r="R2441" s="7">
        <v>45078</v>
      </c>
      <c r="S2441" s="210">
        <v>4.25</v>
      </c>
      <c r="T2441" s="8">
        <v>1.0001180555555556</v>
      </c>
      <c r="U2441" s="98">
        <v>4.1661608723456256</v>
      </c>
      <c r="V2441" s="106">
        <v>32069.894719481432</v>
      </c>
      <c r="W2441" s="10">
        <v>1.055454197323602</v>
      </c>
      <c r="X2441" s="420"/>
      <c r="Y2441" s="420"/>
      <c r="Z2441" s="1"/>
      <c r="AA2441" s="1"/>
      <c r="AB2441" s="1"/>
      <c r="AC2441" s="1"/>
      <c r="AD2441" s="1"/>
    </row>
    <row r="2442" spans="17:30">
      <c r="Q2442" s="6">
        <v>2412</v>
      </c>
      <c r="R2442" s="7">
        <v>45079</v>
      </c>
      <c r="S2442" s="210">
        <v>4.25</v>
      </c>
      <c r="T2442" s="8">
        <v>1.0001180555555556</v>
      </c>
      <c r="U2442" s="98">
        <v>4.1662589317713827</v>
      </c>
      <c r="V2442" s="106">
        <v>32072.563986730423</v>
      </c>
      <c r="W2442" s="10">
        <v>1.055546780993466</v>
      </c>
      <c r="X2442" s="420"/>
      <c r="Y2442" s="420"/>
      <c r="Z2442" s="1"/>
      <c r="AA2442" s="1"/>
      <c r="AB2442" s="1"/>
      <c r="AC2442" s="1"/>
      <c r="AD2442" s="1"/>
    </row>
    <row r="2443" spans="17:30">
      <c r="Q2443" s="6">
        <v>2413</v>
      </c>
      <c r="R2443" s="7">
        <v>45080</v>
      </c>
      <c r="S2443" s="210">
        <v>4.25</v>
      </c>
      <c r="T2443" s="8">
        <v>1.0001180555555556</v>
      </c>
      <c r="U2443" s="98">
        <v>4.1663569100133913</v>
      </c>
      <c r="V2443" s="106">
        <v>32075.233476150017</v>
      </c>
      <c r="W2443" s="10">
        <v>1.055639288010668</v>
      </c>
      <c r="X2443" s="420"/>
      <c r="Y2443" s="420"/>
      <c r="Z2443" s="1"/>
      <c r="AA2443" s="1"/>
      <c r="AB2443" s="1"/>
      <c r="AC2443" s="1"/>
      <c r="AD2443" s="1"/>
    </row>
    <row r="2444" spans="17:30">
      <c r="Q2444" s="6">
        <v>2414</v>
      </c>
      <c r="R2444" s="7">
        <v>45081</v>
      </c>
      <c r="S2444" s="210">
        <v>4.25</v>
      </c>
      <c r="T2444" s="8">
        <v>1.0001180555555556</v>
      </c>
      <c r="U2444" s="98">
        <v>4.166454807172415</v>
      </c>
      <c r="V2444" s="106">
        <v>32077.9031877587</v>
      </c>
      <c r="W2444" s="10">
        <v>1.0557317184703097</v>
      </c>
      <c r="X2444" s="420"/>
      <c r="Y2444" s="420"/>
      <c r="Z2444" s="1"/>
      <c r="AA2444" s="1"/>
      <c r="AB2444" s="1"/>
      <c r="AC2444" s="1"/>
      <c r="AD2444" s="1"/>
    </row>
    <row r="2445" spans="17:30">
      <c r="Q2445" s="6">
        <v>2415</v>
      </c>
      <c r="R2445" s="7">
        <v>45082</v>
      </c>
      <c r="S2445" s="210">
        <v>4.25</v>
      </c>
      <c r="T2445" s="8">
        <v>1.0001180555555556</v>
      </c>
      <c r="U2445" s="98">
        <v>4.1665526233490846</v>
      </c>
      <c r="V2445" s="106">
        <v>32080.573121574958</v>
      </c>
      <c r="W2445" s="10">
        <v>1.0558240724674484</v>
      </c>
      <c r="X2445" s="420"/>
      <c r="Y2445" s="420"/>
      <c r="Z2445" s="1"/>
      <c r="AA2445" s="1"/>
      <c r="AB2445" s="1"/>
      <c r="AC2445" s="1"/>
      <c r="AD2445" s="1"/>
    </row>
    <row r="2446" spans="17:30">
      <c r="Q2446" s="6">
        <v>2416</v>
      </c>
      <c r="R2446" s="7">
        <v>45083</v>
      </c>
      <c r="S2446" s="210">
        <v>4.25</v>
      </c>
      <c r="T2446" s="8">
        <v>1.0001180555555556</v>
      </c>
      <c r="U2446" s="98">
        <v>4.1666503586438308</v>
      </c>
      <c r="V2446" s="106">
        <v>32083.243277617308</v>
      </c>
      <c r="W2446" s="10">
        <v>1.0559163500968749</v>
      </c>
      <c r="X2446" s="420"/>
      <c r="Y2446" s="420"/>
      <c r="Z2446" s="1"/>
      <c r="AA2446" s="1"/>
      <c r="AB2446" s="1"/>
      <c r="AC2446" s="1"/>
      <c r="AD2446" s="1"/>
    </row>
    <row r="2447" spans="17:30">
      <c r="Q2447" s="6">
        <v>2417</v>
      </c>
      <c r="R2447" s="7">
        <v>45084</v>
      </c>
      <c r="S2447" s="210">
        <v>4.25</v>
      </c>
      <c r="T2447" s="8">
        <v>1.0001180555555556</v>
      </c>
      <c r="U2447" s="98">
        <v>4.1667480131569512</v>
      </c>
      <c r="V2447" s="106">
        <v>32085.913655904216</v>
      </c>
      <c r="W2447" s="10">
        <v>1.0560085514533357</v>
      </c>
      <c r="X2447" s="420"/>
      <c r="Y2447" s="420"/>
      <c r="Z2447" s="1"/>
      <c r="AA2447" s="1"/>
      <c r="AB2447" s="1"/>
      <c r="AC2447" s="1"/>
      <c r="AD2447" s="1"/>
    </row>
    <row r="2448" spans="17:30">
      <c r="Q2448" s="6">
        <v>2418</v>
      </c>
      <c r="R2448" s="7">
        <v>45085</v>
      </c>
      <c r="S2448" s="210">
        <v>4.25</v>
      </c>
      <c r="T2448" s="8">
        <v>1.0001180555555556</v>
      </c>
      <c r="U2448" s="98">
        <v>4.1668455869885435</v>
      </c>
      <c r="V2448" s="106">
        <v>32088.584256454207</v>
      </c>
      <c r="W2448" s="10">
        <v>1.0561006766312886</v>
      </c>
      <c r="X2448" s="420"/>
      <c r="Y2448" s="420"/>
      <c r="Z2448" s="1"/>
      <c r="AA2448" s="1"/>
      <c r="AB2448" s="1"/>
      <c r="AC2448" s="1"/>
      <c r="AD2448" s="1"/>
    </row>
    <row r="2449" spans="17:30">
      <c r="Q2449" s="6">
        <v>2419</v>
      </c>
      <c r="R2449" s="7">
        <v>45086</v>
      </c>
      <c r="S2449" s="210">
        <v>4.25</v>
      </c>
      <c r="T2449" s="8">
        <v>1.0001180555555556</v>
      </c>
      <c r="U2449" s="98">
        <v>4.1669430802385499</v>
      </c>
      <c r="V2449" s="106">
        <v>32091.255079285758</v>
      </c>
      <c r="W2449" s="10">
        <v>1.0561927257251469</v>
      </c>
      <c r="X2449" s="420"/>
      <c r="Y2449" s="420"/>
      <c r="Z2449" s="1"/>
      <c r="AA2449" s="1"/>
      <c r="AB2449" s="1"/>
      <c r="AC2449" s="1"/>
      <c r="AD2449" s="1"/>
    </row>
    <row r="2450" spans="17:30">
      <c r="Q2450" s="6">
        <v>2420</v>
      </c>
      <c r="R2450" s="7">
        <v>45087</v>
      </c>
      <c r="S2450" s="210">
        <v>4.25</v>
      </c>
      <c r="T2450" s="8">
        <v>1.0001180555555556</v>
      </c>
      <c r="U2450" s="98">
        <v>4.1670404930067573</v>
      </c>
      <c r="V2450" s="106">
        <v>32093.926124417387</v>
      </c>
      <c r="W2450" s="10">
        <v>1.0562846988291241</v>
      </c>
      <c r="X2450" s="420"/>
      <c r="Y2450" s="420"/>
      <c r="Z2450" s="1"/>
      <c r="AA2450" s="1"/>
      <c r="AB2450" s="1"/>
      <c r="AC2450" s="1"/>
      <c r="AD2450" s="1"/>
    </row>
    <row r="2451" spans="17:30">
      <c r="Q2451" s="6">
        <v>2421</v>
      </c>
      <c r="R2451" s="7">
        <v>45088</v>
      </c>
      <c r="S2451" s="210">
        <v>4.25</v>
      </c>
      <c r="T2451" s="8">
        <v>1.0001180555555556</v>
      </c>
      <c r="U2451" s="98">
        <v>4.1671378253927749</v>
      </c>
      <c r="V2451" s="106">
        <v>32096.597391867592</v>
      </c>
      <c r="W2451" s="10">
        <v>1.0563765960372562</v>
      </c>
      <c r="X2451" s="420"/>
      <c r="Y2451" s="420"/>
      <c r="Z2451" s="1"/>
      <c r="AA2451" s="1"/>
      <c r="AB2451" s="1"/>
      <c r="AC2451" s="1"/>
      <c r="AD2451" s="1"/>
    </row>
    <row r="2452" spans="17:30">
      <c r="Q2452" s="6">
        <v>2422</v>
      </c>
      <c r="R2452" s="7">
        <v>45089</v>
      </c>
      <c r="S2452" s="210">
        <v>4.25</v>
      </c>
      <c r="T2452" s="8">
        <v>1.0001180555555556</v>
      </c>
      <c r="U2452" s="98">
        <v>4.1672350774960787</v>
      </c>
      <c r="V2452" s="106">
        <v>32099.26888165488</v>
      </c>
      <c r="W2452" s="10">
        <v>1.056468417443468</v>
      </c>
      <c r="X2452" s="420"/>
      <c r="Y2452" s="420"/>
      <c r="Z2452" s="1"/>
      <c r="AA2452" s="1"/>
      <c r="AB2452" s="1"/>
      <c r="AC2452" s="1"/>
      <c r="AD2452" s="1"/>
    </row>
    <row r="2453" spans="17:30">
      <c r="Q2453" s="6">
        <v>2423</v>
      </c>
      <c r="R2453" s="7">
        <v>45090</v>
      </c>
      <c r="S2453" s="210">
        <v>4.25</v>
      </c>
      <c r="T2453" s="8">
        <v>1.0001180555555556</v>
      </c>
      <c r="U2453" s="98">
        <v>4.1673322494159226</v>
      </c>
      <c r="V2453" s="106">
        <v>32101.940593797743</v>
      </c>
      <c r="W2453" s="10">
        <v>1.0565601631415067</v>
      </c>
      <c r="X2453" s="420"/>
      <c r="Y2453" s="420"/>
      <c r="Z2453" s="1"/>
      <c r="AA2453" s="1"/>
      <c r="AB2453" s="1"/>
      <c r="AC2453" s="1"/>
      <c r="AD2453" s="1"/>
    </row>
    <row r="2454" spans="17:30">
      <c r="Q2454" s="6">
        <v>2424</v>
      </c>
      <c r="R2454" s="7">
        <v>45091</v>
      </c>
      <c r="S2454" s="210">
        <v>4.25</v>
      </c>
      <c r="T2454" s="8">
        <v>1.0001180555555556</v>
      </c>
      <c r="U2454" s="98">
        <v>4.1674293412514496</v>
      </c>
      <c r="V2454" s="106">
        <v>32104.612528314705</v>
      </c>
      <c r="W2454" s="10">
        <v>1.0566518332249641</v>
      </c>
      <c r="X2454" s="420"/>
      <c r="Y2454" s="420"/>
      <c r="Z2454" s="1"/>
      <c r="AA2454" s="1"/>
      <c r="AB2454" s="1"/>
      <c r="AC2454" s="1"/>
      <c r="AD2454" s="1"/>
    </row>
    <row r="2455" spans="17:30">
      <c r="Q2455" s="6">
        <v>2425</v>
      </c>
      <c r="R2455" s="7">
        <v>45092</v>
      </c>
      <c r="S2455" s="210">
        <v>4.25</v>
      </c>
      <c r="T2455" s="8">
        <v>1.0001180555555556</v>
      </c>
      <c r="U2455" s="98">
        <v>4.1675263531016249</v>
      </c>
      <c r="V2455" s="106">
        <v>32107.284685224269</v>
      </c>
      <c r="W2455" s="10">
        <v>1.0567434277872767</v>
      </c>
      <c r="X2455" s="420"/>
      <c r="Y2455" s="420"/>
      <c r="Z2455" s="1"/>
      <c r="AA2455" s="1"/>
      <c r="AB2455" s="1"/>
      <c r="AC2455" s="1"/>
      <c r="AD2455" s="1"/>
    </row>
    <row r="2456" spans="17:30">
      <c r="Q2456" s="6">
        <v>2426</v>
      </c>
      <c r="R2456" s="7">
        <v>45093</v>
      </c>
      <c r="S2456" s="210">
        <v>4.25</v>
      </c>
      <c r="T2456" s="8">
        <v>1.0001180555555556</v>
      </c>
      <c r="U2456" s="98">
        <v>4.1676232850652584</v>
      </c>
      <c r="V2456" s="106">
        <v>32109.957064544935</v>
      </c>
      <c r="W2456" s="10">
        <v>1.0568349469217475</v>
      </c>
      <c r="X2456" s="420"/>
      <c r="Y2456" s="420"/>
      <c r="Z2456" s="1"/>
      <c r="AA2456" s="1"/>
      <c r="AB2456" s="1"/>
      <c r="AC2456" s="1"/>
      <c r="AD2456" s="1"/>
    </row>
    <row r="2457" spans="17:30">
      <c r="Q2457" s="6">
        <v>2427</v>
      </c>
      <c r="R2457" s="7">
        <v>45094</v>
      </c>
      <c r="S2457" s="210">
        <v>4.25</v>
      </c>
      <c r="T2457" s="8">
        <v>1.0001180555555556</v>
      </c>
      <c r="U2457" s="98">
        <v>4.16772013724096</v>
      </c>
      <c r="V2457" s="106">
        <v>32112.62966629523</v>
      </c>
      <c r="W2457" s="10">
        <v>1.0569263907215021</v>
      </c>
      <c r="X2457" s="420"/>
      <c r="Y2457" s="420"/>
      <c r="Z2457" s="1"/>
      <c r="AA2457" s="1"/>
      <c r="AB2457" s="1"/>
      <c r="AC2457" s="1"/>
      <c r="AD2457" s="1"/>
    </row>
    <row r="2458" spans="17:30">
      <c r="Q2458" s="6">
        <v>2428</v>
      </c>
      <c r="R2458" s="7">
        <v>45095</v>
      </c>
      <c r="S2458" s="210">
        <v>4.25</v>
      </c>
      <c r="T2458" s="8">
        <v>1.0001180555555556</v>
      </c>
      <c r="U2458" s="98">
        <v>4.1678169097272066</v>
      </c>
      <c r="V2458" s="106">
        <v>32115.302490493665</v>
      </c>
      <c r="W2458" s="10">
        <v>1.0570177592794883</v>
      </c>
      <c r="X2458" s="420"/>
      <c r="Y2458" s="420"/>
      <c r="Z2458" s="1"/>
      <c r="AA2458" s="1"/>
      <c r="AB2458" s="1"/>
      <c r="AC2458" s="1"/>
      <c r="AD2458" s="1"/>
    </row>
    <row r="2459" spans="17:30">
      <c r="Q2459" s="6">
        <v>2429</v>
      </c>
      <c r="R2459" s="7">
        <v>45096</v>
      </c>
      <c r="S2459" s="210">
        <v>4.25</v>
      </c>
      <c r="T2459" s="8">
        <v>1.0001180555555556</v>
      </c>
      <c r="U2459" s="98">
        <v>4.1679136026223196</v>
      </c>
      <c r="V2459" s="106">
        <v>32117.975537158749</v>
      </c>
      <c r="W2459" s="10">
        <v>1.0571090526885873</v>
      </c>
      <c r="X2459" s="420"/>
      <c r="Y2459" s="420"/>
      <c r="Z2459" s="1"/>
      <c r="AA2459" s="1"/>
      <c r="AB2459" s="1"/>
      <c r="AC2459" s="1"/>
      <c r="AD2459" s="1"/>
    </row>
    <row r="2460" spans="17:30">
      <c r="Q2460" s="6">
        <v>2430</v>
      </c>
      <c r="R2460" s="7">
        <v>45097</v>
      </c>
      <c r="S2460" s="210">
        <v>4.25</v>
      </c>
      <c r="T2460" s="8">
        <v>1.0001180555555556</v>
      </c>
      <c r="U2460" s="98">
        <v>4.1680102160244425</v>
      </c>
      <c r="V2460" s="106">
        <v>32120.648806309</v>
      </c>
      <c r="W2460" s="10">
        <v>1.0572002710414363</v>
      </c>
      <c r="X2460" s="420"/>
      <c r="Y2460" s="420"/>
      <c r="Z2460" s="1"/>
      <c r="AA2460" s="1"/>
      <c r="AB2460" s="1"/>
      <c r="AC2460" s="1"/>
      <c r="AD2460" s="1"/>
    </row>
    <row r="2461" spans="17:30">
      <c r="Q2461" s="6">
        <v>2431</v>
      </c>
      <c r="R2461" s="7">
        <v>45098</v>
      </c>
      <c r="S2461" s="210">
        <v>4.25</v>
      </c>
      <c r="T2461" s="8">
        <v>1.0001180555555556</v>
      </c>
      <c r="U2461" s="98">
        <v>4.168106750031586</v>
      </c>
      <c r="V2461" s="106">
        <v>32123.322297962939</v>
      </c>
      <c r="W2461" s="10">
        <v>1.0572914144305834</v>
      </c>
      <c r="X2461" s="420"/>
      <c r="Y2461" s="420"/>
      <c r="Z2461" s="1"/>
      <c r="AA2461" s="1"/>
      <c r="AB2461" s="1"/>
      <c r="AC2461" s="1"/>
      <c r="AD2461" s="1"/>
    </row>
    <row r="2462" spans="17:30">
      <c r="Q2462" s="6">
        <v>2432</v>
      </c>
      <c r="R2462" s="7">
        <v>45099</v>
      </c>
      <c r="S2462" s="210">
        <v>4.25</v>
      </c>
      <c r="T2462" s="8">
        <v>1.0001180555555556</v>
      </c>
      <c r="U2462" s="98">
        <v>4.1682032047415385</v>
      </c>
      <c r="V2462" s="106">
        <v>32125.996012139083</v>
      </c>
      <c r="W2462" s="10">
        <v>1.0573824829483547</v>
      </c>
      <c r="X2462" s="420"/>
      <c r="Y2462" s="420"/>
      <c r="Z2462" s="1"/>
      <c r="AA2462" s="1"/>
      <c r="AB2462" s="1"/>
      <c r="AC2462" s="1"/>
      <c r="AD2462" s="1"/>
    </row>
    <row r="2463" spans="17:30">
      <c r="Q2463" s="6">
        <v>2433</v>
      </c>
      <c r="R2463" s="7">
        <v>45100</v>
      </c>
      <c r="S2463" s="210">
        <v>4.25</v>
      </c>
      <c r="T2463" s="8">
        <v>1.0001180555555556</v>
      </c>
      <c r="U2463" s="98">
        <v>4.1682995802519995</v>
      </c>
      <c r="V2463" s="106">
        <v>32128.669948855953</v>
      </c>
      <c r="W2463" s="10">
        <v>1.057473476687032</v>
      </c>
      <c r="X2463" s="420"/>
      <c r="Y2463" s="420"/>
      <c r="Z2463" s="1"/>
      <c r="AA2463" s="1"/>
      <c r="AB2463" s="1"/>
      <c r="AC2463" s="1"/>
      <c r="AD2463" s="1"/>
    </row>
    <row r="2464" spans="17:30">
      <c r="Q2464" s="6">
        <v>2434</v>
      </c>
      <c r="R2464" s="7">
        <v>45101</v>
      </c>
      <c r="S2464" s="210">
        <v>4.25</v>
      </c>
      <c r="T2464" s="8">
        <v>1.0001180555555556</v>
      </c>
      <c r="U2464" s="98">
        <v>4.168395876660469</v>
      </c>
      <c r="V2464" s="106">
        <v>32131.344108132071</v>
      </c>
      <c r="W2464" s="10">
        <v>1.0575643957386527</v>
      </c>
      <c r="X2464" s="420"/>
      <c r="Y2464" s="420"/>
      <c r="Z2464" s="1"/>
      <c r="AA2464" s="1"/>
      <c r="AB2464" s="1"/>
      <c r="AC2464" s="1"/>
      <c r="AD2464" s="1"/>
    </row>
    <row r="2465" spans="17:30">
      <c r="Q2465" s="6">
        <v>2435</v>
      </c>
      <c r="R2465" s="7">
        <v>45102</v>
      </c>
      <c r="S2465" s="210">
        <v>4.25</v>
      </c>
      <c r="T2465" s="8">
        <v>1.0001180555555556</v>
      </c>
      <c r="U2465" s="98">
        <v>4.1684920940642911</v>
      </c>
      <c r="V2465" s="106">
        <v>32134.018489985967</v>
      </c>
      <c r="W2465" s="10">
        <v>1.0576552401951433</v>
      </c>
      <c r="X2465" s="420"/>
      <c r="Y2465" s="420"/>
      <c r="Z2465" s="1"/>
      <c r="AA2465" s="1"/>
      <c r="AB2465" s="1"/>
      <c r="AC2465" s="1"/>
      <c r="AD2465" s="1"/>
    </row>
    <row r="2466" spans="17:30">
      <c r="Q2466" s="6">
        <v>2436</v>
      </c>
      <c r="R2466" s="7">
        <v>45103</v>
      </c>
      <c r="S2466" s="210">
        <v>4.25</v>
      </c>
      <c r="T2466" s="8">
        <v>1.0001180555555556</v>
      </c>
      <c r="U2466" s="98">
        <v>4.1685882325606327</v>
      </c>
      <c r="V2466" s="106">
        <v>32136.693094436159</v>
      </c>
      <c r="W2466" s="10">
        <v>1.0577460101482306</v>
      </c>
      <c r="X2466" s="420"/>
      <c r="Y2466" s="420"/>
      <c r="Z2466" s="1"/>
      <c r="AA2466" s="1"/>
      <c r="AB2466" s="1"/>
      <c r="AC2466" s="1"/>
      <c r="AD2466" s="1"/>
    </row>
    <row r="2467" spans="17:30">
      <c r="Q2467" s="6">
        <v>2437</v>
      </c>
      <c r="R2467" s="7">
        <v>45104</v>
      </c>
      <c r="S2467" s="210">
        <v>4.25</v>
      </c>
      <c r="T2467" s="8">
        <v>1.0001180555555556</v>
      </c>
      <c r="U2467" s="98">
        <v>4.1686842922465495</v>
      </c>
      <c r="V2467" s="106">
        <v>32139.36792150118</v>
      </c>
      <c r="W2467" s="10">
        <v>1.0578367056895521</v>
      </c>
      <c r="X2467" s="420"/>
      <c r="Y2467" s="420"/>
      <c r="Z2467" s="1"/>
      <c r="AA2467" s="1"/>
      <c r="AB2467" s="1"/>
      <c r="AC2467" s="1"/>
      <c r="AD2467" s="1"/>
    </row>
    <row r="2468" spans="17:30">
      <c r="Q2468" s="6">
        <v>2438</v>
      </c>
      <c r="R2468" s="7">
        <v>45105</v>
      </c>
      <c r="S2468" s="210">
        <v>4.25</v>
      </c>
      <c r="T2468" s="8">
        <v>1.0001180555555556</v>
      </c>
      <c r="U2468" s="98">
        <v>4.1687802732188972</v>
      </c>
      <c r="V2468" s="106">
        <v>32142.042971199557</v>
      </c>
      <c r="W2468" s="10">
        <v>1.0579273269105904</v>
      </c>
      <c r="X2468" s="420"/>
      <c r="Y2468" s="420"/>
      <c r="Z2468" s="1"/>
      <c r="AA2468" s="1"/>
      <c r="AB2468" s="1"/>
      <c r="AC2468" s="1"/>
      <c r="AD2468" s="1"/>
    </row>
    <row r="2469" spans="17:30">
      <c r="Q2469" s="6">
        <v>2439</v>
      </c>
      <c r="R2469" s="7">
        <v>45106</v>
      </c>
      <c r="S2469" s="210">
        <v>4.25</v>
      </c>
      <c r="T2469" s="8">
        <v>1.0001180555555556</v>
      </c>
      <c r="U2469" s="98">
        <v>4.1688761755743986</v>
      </c>
      <c r="V2469" s="106">
        <v>32144.718243549814</v>
      </c>
      <c r="W2469" s="10">
        <v>1.0580178739026502</v>
      </c>
      <c r="X2469" s="420"/>
      <c r="Y2469" s="420"/>
      <c r="Z2469" s="1"/>
      <c r="AA2469" s="1"/>
      <c r="AB2469" s="1"/>
      <c r="AC2469" s="1"/>
      <c r="AD2469" s="1"/>
    </row>
    <row r="2470" spans="17:30">
      <c r="Q2470" s="6">
        <v>2440</v>
      </c>
      <c r="R2470" s="7">
        <v>45107</v>
      </c>
      <c r="S2470" s="210">
        <v>4.25</v>
      </c>
      <c r="T2470" s="8">
        <v>1.0001180555555556</v>
      </c>
      <c r="U2470" s="98">
        <v>4.1689719994095986</v>
      </c>
      <c r="V2470" s="106">
        <v>32147.393738570496</v>
      </c>
      <c r="W2470" s="10">
        <v>1.058108346756903</v>
      </c>
      <c r="X2470" s="420"/>
      <c r="Y2470" s="420"/>
      <c r="Z2470" s="1"/>
      <c r="AA2470" s="1"/>
      <c r="AB2470" s="1"/>
      <c r="AC2470" s="1"/>
      <c r="AD2470" s="1"/>
    </row>
    <row r="2471" spans="17:30">
      <c r="Q2471" s="6">
        <v>2441</v>
      </c>
      <c r="R2471" s="7">
        <v>45108</v>
      </c>
      <c r="S2471" s="210">
        <v>4.25</v>
      </c>
      <c r="T2471" s="8">
        <v>1.0001180555555556</v>
      </c>
      <c r="U2471" s="98">
        <v>4.1690677448208868</v>
      </c>
      <c r="V2471" s="106">
        <v>32150.069456280129</v>
      </c>
      <c r="W2471" s="10">
        <v>1.0581987455643427</v>
      </c>
      <c r="X2471" s="420"/>
      <c r="Y2471" s="420"/>
      <c r="Z2471" s="1"/>
      <c r="AA2471" s="1"/>
      <c r="AB2471" s="1"/>
      <c r="AC2471" s="1"/>
      <c r="AD2471" s="1"/>
    </row>
    <row r="2472" spans="17:30">
      <c r="Q2472" s="6">
        <v>2442</v>
      </c>
      <c r="R2472" s="7">
        <v>45109</v>
      </c>
      <c r="S2472" s="210">
        <v>4.25</v>
      </c>
      <c r="T2472" s="8">
        <v>1.0001180555555556</v>
      </c>
      <c r="U2472" s="98">
        <v>4.1691634119044974</v>
      </c>
      <c r="V2472" s="106">
        <v>32152.745396697246</v>
      </c>
      <c r="W2472" s="10">
        <v>1.0582890704158521</v>
      </c>
      <c r="X2472" s="420"/>
      <c r="Y2472" s="420"/>
      <c r="Z2472" s="1"/>
      <c r="AA2472" s="1"/>
      <c r="AB2472" s="1"/>
      <c r="AC2472" s="1"/>
      <c r="AD2472" s="1"/>
    </row>
    <row r="2473" spans="17:30">
      <c r="Q2473" s="6">
        <v>2443</v>
      </c>
      <c r="R2473" s="7">
        <v>45110</v>
      </c>
      <c r="S2473" s="210">
        <v>4.25</v>
      </c>
      <c r="T2473" s="8">
        <v>1.0001180555555556</v>
      </c>
      <c r="U2473" s="98">
        <v>4.1692590007565089</v>
      </c>
      <c r="V2473" s="106">
        <v>32155.421559840393</v>
      </c>
      <c r="W2473" s="10">
        <v>1.0583793214021586</v>
      </c>
      <c r="X2473" s="420"/>
      <c r="Y2473" s="420"/>
      <c r="Z2473" s="1"/>
      <c r="AA2473" s="1"/>
      <c r="AB2473" s="1"/>
      <c r="AC2473" s="1"/>
      <c r="AD2473" s="1"/>
    </row>
    <row r="2474" spans="17:30">
      <c r="Q2474" s="6">
        <v>2444</v>
      </c>
      <c r="R2474" s="7">
        <v>45111</v>
      </c>
      <c r="S2474" s="210">
        <v>4.25</v>
      </c>
      <c r="T2474" s="8">
        <v>1.0001180555555556</v>
      </c>
      <c r="U2474" s="98">
        <v>4.1693545114728447</v>
      </c>
      <c r="V2474" s="106">
        <v>32158.097945728092</v>
      </c>
      <c r="W2474" s="10">
        <v>1.0584694986138121</v>
      </c>
      <c r="X2474" s="420"/>
      <c r="Y2474" s="420"/>
      <c r="Z2474" s="1"/>
      <c r="AA2474" s="1"/>
      <c r="AB2474" s="1"/>
      <c r="AC2474" s="1"/>
      <c r="AD2474" s="1"/>
    </row>
    <row r="2475" spans="17:30">
      <c r="Q2475" s="6">
        <v>2445</v>
      </c>
      <c r="R2475" s="7">
        <v>45112</v>
      </c>
      <c r="S2475" s="210">
        <v>4.25</v>
      </c>
      <c r="T2475" s="8">
        <v>1.0001180555555556</v>
      </c>
      <c r="U2475" s="98">
        <v>4.1694499441492727</v>
      </c>
      <c r="V2475" s="106">
        <v>32160.774554378902</v>
      </c>
      <c r="W2475" s="10">
        <v>1.0585596021412291</v>
      </c>
      <c r="X2475" s="420"/>
      <c r="Y2475" s="420"/>
      <c r="Z2475" s="1"/>
      <c r="AA2475" s="1"/>
      <c r="AB2475" s="1"/>
      <c r="AC2475" s="1"/>
      <c r="AD2475" s="1"/>
    </row>
    <row r="2476" spans="17:30">
      <c r="Q2476" s="6">
        <v>2446</v>
      </c>
      <c r="R2476" s="7">
        <v>45113</v>
      </c>
      <c r="S2476" s="210">
        <v>4.25</v>
      </c>
      <c r="T2476" s="8">
        <v>1.0001180555555556</v>
      </c>
      <c r="U2476" s="98">
        <v>4.169545298881383</v>
      </c>
      <c r="V2476" s="106">
        <v>32163.451385811346</v>
      </c>
      <c r="W2476" s="10">
        <v>1.0586496320747152</v>
      </c>
      <c r="X2476" s="420"/>
      <c r="Y2476" s="420"/>
      <c r="Z2476" s="1"/>
      <c r="AA2476" s="1"/>
      <c r="AB2476" s="1"/>
      <c r="AC2476" s="1"/>
      <c r="AD2476" s="1"/>
    </row>
    <row r="2477" spans="17:30">
      <c r="Q2477" s="6">
        <v>2447</v>
      </c>
      <c r="R2477" s="7">
        <v>45114</v>
      </c>
      <c r="S2477" s="210">
        <v>4.25</v>
      </c>
      <c r="T2477" s="8">
        <v>1.0001180555555556</v>
      </c>
      <c r="U2477" s="98">
        <v>4.1696405757646549</v>
      </c>
      <c r="V2477" s="106">
        <v>32166.128440043976</v>
      </c>
      <c r="W2477" s="10">
        <v>1.058739588504376</v>
      </c>
      <c r="X2477" s="420"/>
      <c r="Y2477" s="420"/>
      <c r="Z2477" s="1"/>
      <c r="AA2477" s="1"/>
      <c r="AB2477" s="1"/>
      <c r="AC2477" s="1"/>
      <c r="AD2477" s="1"/>
    </row>
    <row r="2478" spans="17:30">
      <c r="Q2478" s="6">
        <v>2448</v>
      </c>
      <c r="R2478" s="7">
        <v>45115</v>
      </c>
      <c r="S2478" s="210">
        <v>4.25</v>
      </c>
      <c r="T2478" s="8">
        <v>1.0001180555555556</v>
      </c>
      <c r="U2478" s="98">
        <v>4.1697357748943675</v>
      </c>
      <c r="V2478" s="106">
        <v>32168.805717095336</v>
      </c>
      <c r="W2478" s="10">
        <v>1.058829471520184</v>
      </c>
      <c r="X2478" s="420"/>
      <c r="Y2478" s="420"/>
      <c r="Z2478" s="1"/>
      <c r="AA2478" s="1"/>
      <c r="AB2478" s="1"/>
      <c r="AC2478" s="1"/>
      <c r="AD2478" s="1"/>
    </row>
    <row r="2479" spans="17:30">
      <c r="Q2479" s="6">
        <v>2449</v>
      </c>
      <c r="R2479" s="7">
        <v>45116</v>
      </c>
      <c r="S2479" s="210">
        <v>4.25</v>
      </c>
      <c r="T2479" s="8">
        <v>1.0001180555555556</v>
      </c>
      <c r="U2479" s="98">
        <v>4.1698308963656672</v>
      </c>
      <c r="V2479" s="106">
        <v>32171.483216983976</v>
      </c>
      <c r="W2479" s="10">
        <v>1.0589192812120007</v>
      </c>
      <c r="X2479" s="420"/>
      <c r="Y2479" s="420"/>
      <c r="Z2479" s="1"/>
      <c r="AA2479" s="1"/>
      <c r="AB2479" s="1"/>
      <c r="AC2479" s="1"/>
      <c r="AD2479" s="1"/>
    </row>
    <row r="2480" spans="17:30">
      <c r="Q2480" s="6">
        <v>2450</v>
      </c>
      <c r="R2480" s="7">
        <v>45117</v>
      </c>
      <c r="S2480" s="210">
        <v>4.25</v>
      </c>
      <c r="T2480" s="8">
        <v>1.0001180555555556</v>
      </c>
      <c r="U2480" s="98">
        <v>4.1699259402735445</v>
      </c>
      <c r="V2480" s="106">
        <v>32174.160939728434</v>
      </c>
      <c r="W2480" s="10">
        <v>1.0590090176695099</v>
      </c>
      <c r="X2480" s="420"/>
      <c r="Y2480" s="420"/>
      <c r="Z2480" s="1"/>
      <c r="AA2480" s="1"/>
      <c r="AB2480" s="1"/>
      <c r="AC2480" s="1"/>
      <c r="AD2480" s="1"/>
    </row>
    <row r="2481" spans="17:30">
      <c r="Q2481" s="6">
        <v>2451</v>
      </c>
      <c r="R2481" s="7">
        <v>45118</v>
      </c>
      <c r="S2481" s="210">
        <v>4.25</v>
      </c>
      <c r="T2481" s="8">
        <v>1.0001180555555556</v>
      </c>
      <c r="U2481" s="98">
        <v>4.1700209067128124</v>
      </c>
      <c r="V2481" s="106">
        <v>32176.838885347261</v>
      </c>
      <c r="W2481" s="10">
        <v>1.0590986809822178</v>
      </c>
      <c r="X2481" s="420"/>
      <c r="Y2481" s="420"/>
      <c r="Z2481" s="1"/>
      <c r="AA2481" s="1"/>
      <c r="AB2481" s="1"/>
      <c r="AC2481" s="1"/>
      <c r="AD2481" s="1"/>
    </row>
    <row r="2482" spans="17:30">
      <c r="Q2482" s="6">
        <v>2452</v>
      </c>
      <c r="R2482" s="7">
        <v>45119</v>
      </c>
      <c r="S2482" s="210">
        <v>4.25</v>
      </c>
      <c r="T2482" s="8">
        <v>1.0001180555555556</v>
      </c>
      <c r="U2482" s="98">
        <v>4.1701157957781732</v>
      </c>
      <c r="V2482" s="106">
        <v>32179.517053859014</v>
      </c>
      <c r="W2482" s="10">
        <v>1.0591882712395639</v>
      </c>
      <c r="X2482" s="420"/>
      <c r="Y2482" s="420"/>
      <c r="Z2482" s="1"/>
      <c r="AA2482" s="1"/>
      <c r="AB2482" s="1"/>
      <c r="AC2482" s="1"/>
      <c r="AD2482" s="1"/>
    </row>
    <row r="2483" spans="17:30">
      <c r="Q2483" s="6">
        <v>2453</v>
      </c>
      <c r="R2483" s="7">
        <v>45120</v>
      </c>
      <c r="S2483" s="210">
        <v>4.25</v>
      </c>
      <c r="T2483" s="8">
        <v>1.0001180555555556</v>
      </c>
      <c r="U2483" s="98">
        <v>4.1702106075641288</v>
      </c>
      <c r="V2483" s="106">
        <v>32182.195445282236</v>
      </c>
      <c r="W2483" s="10">
        <v>1.0592777885307658</v>
      </c>
      <c r="X2483" s="420"/>
      <c r="Y2483" s="420"/>
      <c r="Z2483" s="1"/>
      <c r="AA2483" s="1"/>
      <c r="AB2483" s="1"/>
      <c r="AC2483" s="1"/>
      <c r="AD2483" s="1"/>
    </row>
    <row r="2484" spans="17:30">
      <c r="Q2484" s="6">
        <v>2454</v>
      </c>
      <c r="R2484" s="7">
        <v>45121</v>
      </c>
      <c r="S2484" s="210">
        <v>4.25</v>
      </c>
      <c r="T2484" s="8">
        <v>1.0001180555555556</v>
      </c>
      <c r="U2484" s="98">
        <v>4.1703053421650482</v>
      </c>
      <c r="V2484" s="106">
        <v>32184.874059635487</v>
      </c>
      <c r="W2484" s="10">
        <v>1.05936723294493</v>
      </c>
      <c r="X2484" s="420"/>
      <c r="Y2484" s="420"/>
      <c r="Z2484" s="1"/>
      <c r="AA2484" s="1"/>
      <c r="AB2484" s="1"/>
      <c r="AC2484" s="1"/>
      <c r="AD2484" s="1"/>
    </row>
    <row r="2485" spans="17:30">
      <c r="Q2485" s="6">
        <v>2455</v>
      </c>
      <c r="R2485" s="7">
        <v>45122</v>
      </c>
      <c r="S2485" s="210">
        <v>4.25</v>
      </c>
      <c r="T2485" s="8">
        <v>1.0001180555555556</v>
      </c>
      <c r="U2485" s="98">
        <v>4.1703999996751673</v>
      </c>
      <c r="V2485" s="106">
        <v>32187.552896937323</v>
      </c>
      <c r="W2485" s="10">
        <v>1.0594566045710296</v>
      </c>
      <c r="X2485" s="420"/>
      <c r="Y2485" s="420"/>
      <c r="Z2485" s="1"/>
      <c r="AA2485" s="1"/>
      <c r="AB2485" s="1"/>
      <c r="AC2485" s="1"/>
      <c r="AD2485" s="1"/>
    </row>
    <row r="2486" spans="17:30">
      <c r="Q2486" s="6">
        <v>2456</v>
      </c>
      <c r="R2486" s="7">
        <v>45123</v>
      </c>
      <c r="S2486" s="210">
        <v>4.25</v>
      </c>
      <c r="T2486" s="8">
        <v>1.0001180555555556</v>
      </c>
      <c r="U2486" s="98">
        <v>4.1704945801885218</v>
      </c>
      <c r="V2486" s="106">
        <v>32190.231957206299</v>
      </c>
      <c r="W2486" s="10">
        <v>1.0595459034978605</v>
      </c>
      <c r="X2486" s="420"/>
      <c r="Y2486" s="420"/>
      <c r="Z2486" s="1"/>
      <c r="AA2486" s="1"/>
      <c r="AB2486" s="1"/>
      <c r="AC2486" s="1"/>
      <c r="AD2486" s="1"/>
    </row>
    <row r="2487" spans="17:30">
      <c r="Q2487" s="6">
        <v>2457</v>
      </c>
      <c r="R2487" s="7">
        <v>45124</v>
      </c>
      <c r="S2487" s="210">
        <v>4.25</v>
      </c>
      <c r="T2487" s="8">
        <v>1.0001180555555556</v>
      </c>
      <c r="U2487" s="98">
        <v>4.1705890837990367</v>
      </c>
      <c r="V2487" s="106">
        <v>32192.911240460973</v>
      </c>
      <c r="W2487" s="10">
        <v>1.0596351298141293</v>
      </c>
      <c r="X2487" s="420"/>
      <c r="Y2487" s="420"/>
      <c r="Z2487" s="1"/>
      <c r="AA2487" s="1"/>
      <c r="AB2487" s="1"/>
      <c r="AC2487" s="1"/>
      <c r="AD2487" s="1"/>
    </row>
    <row r="2488" spans="17:30">
      <c r="Q2488" s="6">
        <v>2458</v>
      </c>
      <c r="R2488" s="7">
        <v>45125</v>
      </c>
      <c r="S2488" s="210">
        <v>4.25</v>
      </c>
      <c r="T2488" s="8">
        <v>1.0001180555555556</v>
      </c>
      <c r="U2488" s="98">
        <v>4.1706835106004592</v>
      </c>
      <c r="V2488" s="106">
        <v>32195.590746719899</v>
      </c>
      <c r="W2488" s="10">
        <v>1.0597242836082987</v>
      </c>
      <c r="X2488" s="420"/>
      <c r="Y2488" s="420"/>
      <c r="Z2488" s="1"/>
      <c r="AA2488" s="1"/>
      <c r="AB2488" s="1"/>
      <c r="AC2488" s="1"/>
      <c r="AD2488" s="1"/>
    </row>
    <row r="2489" spans="17:30">
      <c r="Q2489" s="6">
        <v>2459</v>
      </c>
      <c r="R2489" s="7">
        <v>45126</v>
      </c>
      <c r="S2489" s="210">
        <v>4.25</v>
      </c>
      <c r="T2489" s="8">
        <v>1.0001180555555556</v>
      </c>
      <c r="U2489" s="98">
        <v>4.170777860686381</v>
      </c>
      <c r="V2489" s="106">
        <v>32198.270476001639</v>
      </c>
      <c r="W2489" s="10">
        <v>1.0598133649688091</v>
      </c>
      <c r="X2489" s="420"/>
      <c r="Y2489" s="420"/>
      <c r="Z2489" s="1"/>
      <c r="AA2489" s="1"/>
      <c r="AB2489" s="1"/>
      <c r="AC2489" s="1"/>
      <c r="AD2489" s="1"/>
    </row>
    <row r="2490" spans="17:30">
      <c r="Q2490" s="6">
        <v>2460</v>
      </c>
      <c r="R2490" s="7">
        <v>45127</v>
      </c>
      <c r="S2490" s="210">
        <v>4.25</v>
      </c>
      <c r="T2490" s="8">
        <v>1.0001180555555556</v>
      </c>
      <c r="U2490" s="98">
        <v>4.170872134150283</v>
      </c>
      <c r="V2490" s="106">
        <v>32200.95042832477</v>
      </c>
      <c r="W2490" s="10">
        <v>1.0599023739838787</v>
      </c>
      <c r="X2490" s="420"/>
      <c r="Y2490" s="420"/>
      <c r="Z2490" s="1"/>
      <c r="AA2490" s="1"/>
      <c r="AB2490" s="1"/>
      <c r="AC2490" s="1"/>
      <c r="AD2490" s="1"/>
    </row>
    <row r="2491" spans="17:30">
      <c r="Q2491" s="6">
        <v>2461</v>
      </c>
      <c r="R2491" s="7">
        <v>45128</v>
      </c>
      <c r="S2491" s="210">
        <v>4.25</v>
      </c>
      <c r="T2491" s="8">
        <v>1.0001180555555556</v>
      </c>
      <c r="U2491" s="98">
        <v>4.1709663310854461</v>
      </c>
      <c r="V2491" s="106">
        <v>32203.630603707843</v>
      </c>
      <c r="W2491" s="10">
        <v>1.0599913107415926</v>
      </c>
      <c r="X2491" s="420"/>
      <c r="Y2491" s="420"/>
      <c r="Z2491" s="1"/>
      <c r="AA2491" s="1"/>
      <c r="AB2491" s="1"/>
      <c r="AC2491" s="1"/>
      <c r="AD2491" s="1"/>
    </row>
    <row r="2492" spans="17:30">
      <c r="Q2492" s="6">
        <v>2462</v>
      </c>
      <c r="R2492" s="7">
        <v>45129</v>
      </c>
      <c r="S2492" s="210">
        <v>4.25</v>
      </c>
      <c r="T2492" s="8">
        <v>1.0001180555555556</v>
      </c>
      <c r="U2492" s="98">
        <v>4.171060451585018</v>
      </c>
      <c r="V2492" s="106">
        <v>32206.311002169423</v>
      </c>
      <c r="W2492" s="10">
        <v>1.0600801753299249</v>
      </c>
      <c r="X2492" s="420"/>
      <c r="Y2492" s="420"/>
      <c r="Z2492" s="1"/>
      <c r="AA2492" s="1"/>
      <c r="AB2492" s="1"/>
      <c r="AC2492" s="1"/>
      <c r="AD2492" s="1"/>
    </row>
    <row r="2493" spans="17:30">
      <c r="Q2493" s="6">
        <v>2463</v>
      </c>
      <c r="R2493" s="7">
        <v>45130</v>
      </c>
      <c r="S2493" s="210">
        <v>4.25</v>
      </c>
      <c r="T2493" s="8">
        <v>1.0001180555555556</v>
      </c>
      <c r="U2493" s="98">
        <v>4.171154495741991</v>
      </c>
      <c r="V2493" s="106">
        <v>32208.991623728085</v>
      </c>
      <c r="W2493" s="10">
        <v>1.0601689678366499</v>
      </c>
      <c r="X2493" s="420"/>
      <c r="Y2493" s="420"/>
      <c r="Z2493" s="1"/>
      <c r="AA2493" s="1"/>
      <c r="AB2493" s="1"/>
      <c r="AC2493" s="1"/>
      <c r="AD2493" s="1"/>
    </row>
    <row r="2494" spans="17:30">
      <c r="Q2494" s="6">
        <v>2464</v>
      </c>
      <c r="R2494" s="7">
        <v>45131</v>
      </c>
      <c r="S2494" s="210">
        <v>4.25</v>
      </c>
      <c r="T2494" s="8">
        <v>1.0001180555555556</v>
      </c>
      <c r="U2494" s="98">
        <v>4.1712484636492242</v>
      </c>
      <c r="V2494" s="106">
        <v>32211.672468402397</v>
      </c>
      <c r="W2494" s="10">
        <v>1.060257688349453</v>
      </c>
      <c r="X2494" s="420"/>
      <c r="Y2494" s="420"/>
      <c r="Z2494" s="1"/>
      <c r="AA2494" s="1"/>
      <c r="AB2494" s="1"/>
      <c r="AC2494" s="1"/>
      <c r="AD2494" s="1"/>
    </row>
    <row r="2495" spans="17:30">
      <c r="Q2495" s="6">
        <v>2465</v>
      </c>
      <c r="R2495" s="7">
        <v>45132</v>
      </c>
      <c r="S2495" s="210">
        <v>4.25</v>
      </c>
      <c r="T2495" s="8">
        <v>1.0001180555555556</v>
      </c>
      <c r="U2495" s="98">
        <v>4.1713423553994211</v>
      </c>
      <c r="V2495" s="106">
        <v>32214.353536210929</v>
      </c>
      <c r="W2495" s="10">
        <v>1.0603463369558641</v>
      </c>
      <c r="X2495" s="420"/>
      <c r="Y2495" s="420"/>
      <c r="Z2495" s="1"/>
      <c r="AA2495" s="1"/>
      <c r="AB2495" s="1"/>
      <c r="AC2495" s="1"/>
      <c r="AD2495" s="1"/>
    </row>
    <row r="2496" spans="17:30">
      <c r="Q2496" s="6">
        <v>2466</v>
      </c>
      <c r="R2496" s="7">
        <v>45133</v>
      </c>
      <c r="S2496" s="210">
        <v>4.25</v>
      </c>
      <c r="T2496" s="8">
        <v>1.0001180555555556</v>
      </c>
      <c r="U2496" s="98">
        <v>4.1714361710851078</v>
      </c>
      <c r="V2496" s="106">
        <v>32217.034827172247</v>
      </c>
      <c r="W2496" s="10">
        <v>1.06043491374328</v>
      </c>
      <c r="X2496" s="420"/>
      <c r="Y2496" s="420"/>
      <c r="Z2496" s="1"/>
      <c r="AA2496" s="1"/>
      <c r="AB2496" s="1"/>
      <c r="AC2496" s="1"/>
      <c r="AD2496" s="1"/>
    </row>
    <row r="2497" spans="17:30">
      <c r="Q2497" s="6">
        <v>2467</v>
      </c>
      <c r="R2497" s="7">
        <v>45134</v>
      </c>
      <c r="S2497" s="210">
        <v>4.25</v>
      </c>
      <c r="T2497" s="8">
        <v>1.0001180555555556</v>
      </c>
      <c r="U2497" s="98">
        <v>4.171529910798677</v>
      </c>
      <c r="V2497" s="106">
        <v>32219.716341304935</v>
      </c>
      <c r="W2497" s="10">
        <v>1.0605234187988977</v>
      </c>
      <c r="X2497" s="420"/>
      <c r="Y2497" s="420"/>
      <c r="Z2497" s="1"/>
      <c r="AA2497" s="1"/>
      <c r="AB2497" s="1"/>
      <c r="AC2497" s="1"/>
      <c r="AD2497" s="1"/>
    </row>
    <row r="2498" spans="17:30">
      <c r="Q2498" s="6">
        <v>2468</v>
      </c>
      <c r="R2498" s="7">
        <v>45135</v>
      </c>
      <c r="S2498" s="210">
        <v>4.25</v>
      </c>
      <c r="T2498" s="8">
        <v>1.0001180555555556</v>
      </c>
      <c r="U2498" s="98">
        <v>4.1716235746323882</v>
      </c>
      <c r="V2498" s="106">
        <v>32222.39807862755</v>
      </c>
      <c r="W2498" s="10">
        <v>1.0606118522098473</v>
      </c>
      <c r="X2498" s="420"/>
      <c r="Y2498" s="420"/>
      <c r="Z2498" s="1"/>
      <c r="AA2498" s="1"/>
      <c r="AB2498" s="1"/>
      <c r="AC2498" s="1"/>
      <c r="AD2498" s="1"/>
    </row>
    <row r="2499" spans="17:30">
      <c r="Q2499" s="6">
        <v>2469</v>
      </c>
      <c r="R2499" s="7">
        <v>45136</v>
      </c>
      <c r="S2499" s="210">
        <v>4.25</v>
      </c>
      <c r="T2499" s="8">
        <v>1.0001180555555556</v>
      </c>
      <c r="U2499" s="98">
        <v>4.1717171626783456</v>
      </c>
      <c r="V2499" s="106">
        <v>32225.080039158693</v>
      </c>
      <c r="W2499" s="10">
        <v>1.0607002140630817</v>
      </c>
      <c r="X2499" s="420"/>
      <c r="Y2499" s="420"/>
      <c r="Z2499" s="1"/>
      <c r="AA2499" s="1"/>
      <c r="AB2499" s="1"/>
      <c r="AC2499" s="1"/>
      <c r="AD2499" s="1"/>
    </row>
    <row r="2500" spans="17:30">
      <c r="Q2500" s="6">
        <v>2470</v>
      </c>
      <c r="R2500" s="7">
        <v>45137</v>
      </c>
      <c r="S2500" s="210">
        <v>4.25</v>
      </c>
      <c r="T2500" s="8">
        <v>1.0001180555555556</v>
      </c>
      <c r="U2500" s="98">
        <v>4.1718106750284756</v>
      </c>
      <c r="V2500" s="106">
        <v>32227.762222916925</v>
      </c>
      <c r="W2500" s="10">
        <v>1.0607885044454424</v>
      </c>
      <c r="X2500" s="420"/>
      <c r="Y2500" s="420"/>
      <c r="Z2500" s="1"/>
      <c r="AA2500" s="1"/>
      <c r="AB2500" s="1"/>
      <c r="AC2500" s="1"/>
      <c r="AD2500" s="1"/>
    </row>
    <row r="2501" spans="17:30">
      <c r="Q2501" s="6">
        <v>2471</v>
      </c>
      <c r="R2501" s="7">
        <v>45138</v>
      </c>
      <c r="S2501" s="210">
        <v>4.25</v>
      </c>
      <c r="T2501" s="8">
        <v>1.0001180555555556</v>
      </c>
      <c r="U2501" s="98">
        <v>4.1719041117745936</v>
      </c>
      <c r="V2501" s="106">
        <v>32230.444629920832</v>
      </c>
      <c r="W2501" s="10">
        <v>1.0608767234435712</v>
      </c>
      <c r="X2501" s="420"/>
      <c r="Y2501" s="420"/>
      <c r="Z2501" s="1"/>
      <c r="AA2501" s="1"/>
      <c r="AB2501" s="1"/>
      <c r="AC2501" s="1"/>
      <c r="AD2501" s="1"/>
    </row>
    <row r="2502" spans="17:30">
      <c r="Q2502" s="6">
        <v>2472</v>
      </c>
      <c r="R2502" s="7">
        <v>45139</v>
      </c>
      <c r="S2502" s="210">
        <v>4.25</v>
      </c>
      <c r="T2502" s="8">
        <v>1.0001180555555556</v>
      </c>
      <c r="U2502" s="98">
        <v>4.1719974730083376</v>
      </c>
      <c r="V2502" s="106">
        <v>32233.12726018899</v>
      </c>
      <c r="W2502" s="10">
        <v>1.0609648711440212</v>
      </c>
      <c r="X2502" s="420"/>
      <c r="Y2502" s="420"/>
      <c r="Z2502" s="1"/>
      <c r="AA2502" s="1"/>
      <c r="AB2502" s="1"/>
      <c r="AC2502" s="1"/>
      <c r="AD2502" s="1"/>
    </row>
    <row r="2503" spans="17:30">
      <c r="Q2503" s="6">
        <v>2473</v>
      </c>
      <c r="R2503" s="7">
        <v>45140</v>
      </c>
      <c r="S2503" s="210">
        <v>4.25</v>
      </c>
      <c r="T2503" s="8">
        <v>1.0001180555555556</v>
      </c>
      <c r="U2503" s="98">
        <v>4.1720907588212341</v>
      </c>
      <c r="V2503" s="106">
        <v>32235.810113739994</v>
      </c>
      <c r="W2503" s="10">
        <v>1.061052947633212</v>
      </c>
      <c r="X2503" s="420"/>
      <c r="Y2503" s="420"/>
      <c r="Z2503" s="1"/>
      <c r="AA2503" s="1"/>
      <c r="AB2503" s="1"/>
      <c r="AC2503" s="1"/>
      <c r="AD2503" s="1"/>
    </row>
    <row r="2504" spans="17:30">
      <c r="Q2504" s="6">
        <v>2474</v>
      </c>
      <c r="R2504" s="7">
        <v>45141</v>
      </c>
      <c r="S2504" s="210">
        <v>4.25</v>
      </c>
      <c r="T2504" s="8">
        <v>1.0001180555555556</v>
      </c>
      <c r="U2504" s="98">
        <v>4.1721839693046103</v>
      </c>
      <c r="V2504" s="106">
        <v>32238.493190592417</v>
      </c>
      <c r="W2504" s="10">
        <v>1.0611409529973415</v>
      </c>
      <c r="X2504" s="420"/>
      <c r="Y2504" s="420"/>
      <c r="Z2504" s="1"/>
      <c r="AA2504" s="1"/>
      <c r="AB2504" s="1"/>
      <c r="AC2504" s="1"/>
      <c r="AD2504" s="1"/>
    </row>
    <row r="2505" spans="17:30">
      <c r="Q2505" s="6">
        <v>2475</v>
      </c>
      <c r="R2505" s="7">
        <v>45142</v>
      </c>
      <c r="S2505" s="210">
        <v>4.25</v>
      </c>
      <c r="T2505" s="8">
        <v>1.0001180555555556</v>
      </c>
      <c r="U2505" s="98">
        <v>4.172277104549682</v>
      </c>
      <c r="V2505" s="106">
        <v>32241.176490764843</v>
      </c>
      <c r="W2505" s="10">
        <v>1.0612288873226072</v>
      </c>
      <c r="X2505" s="420"/>
      <c r="Y2505" s="420"/>
      <c r="Z2505" s="1"/>
      <c r="AA2505" s="1"/>
      <c r="AB2505" s="1"/>
      <c r="AC2505" s="1"/>
      <c r="AD2505" s="1"/>
    </row>
    <row r="2506" spans="17:30">
      <c r="Q2506" s="6">
        <v>2476</v>
      </c>
      <c r="R2506" s="7">
        <v>45143</v>
      </c>
      <c r="S2506" s="210">
        <v>4.25</v>
      </c>
      <c r="T2506" s="8">
        <v>1.0001180555555556</v>
      </c>
      <c r="U2506" s="98">
        <v>4.1723701646475098</v>
      </c>
      <c r="V2506" s="106">
        <v>32243.860014275873</v>
      </c>
      <c r="W2506" s="10">
        <v>1.0613167506949184</v>
      </c>
      <c r="X2506" s="420"/>
      <c r="Y2506" s="420"/>
      <c r="Z2506" s="1"/>
      <c r="AA2506" s="1"/>
      <c r="AB2506" s="1"/>
      <c r="AC2506" s="1"/>
      <c r="AD2506" s="1"/>
    </row>
    <row r="2507" spans="17:30">
      <c r="Q2507" s="6">
        <v>2477</v>
      </c>
      <c r="R2507" s="7">
        <v>45144</v>
      </c>
      <c r="S2507" s="210">
        <v>4.25</v>
      </c>
      <c r="T2507" s="8">
        <v>1.0001180555555556</v>
      </c>
      <c r="U2507" s="98">
        <v>4.1724631496890208</v>
      </c>
      <c r="V2507" s="106">
        <v>32246.543761144083</v>
      </c>
      <c r="W2507" s="10">
        <v>1.061404543200184</v>
      </c>
      <c r="X2507" s="420"/>
      <c r="Y2507" s="420"/>
      <c r="Z2507" s="1"/>
      <c r="AA2507" s="1"/>
      <c r="AB2507" s="1"/>
      <c r="AC2507" s="1"/>
      <c r="AD2507" s="1"/>
    </row>
    <row r="2508" spans="17:30">
      <c r="Q2508" s="6">
        <v>2478</v>
      </c>
      <c r="R2508" s="7">
        <v>45145</v>
      </c>
      <c r="S2508" s="210">
        <v>4.25</v>
      </c>
      <c r="T2508" s="8">
        <v>1.0001180555555556</v>
      </c>
      <c r="U2508" s="98">
        <v>4.1725560597649647</v>
      </c>
      <c r="V2508" s="106">
        <v>32249.22773138807</v>
      </c>
      <c r="W2508" s="10">
        <v>1.0614922649240466</v>
      </c>
      <c r="X2508" s="420"/>
      <c r="Y2508" s="420"/>
      <c r="Z2508" s="1"/>
      <c r="AA2508" s="1"/>
      <c r="AB2508" s="1"/>
      <c r="AC2508" s="1"/>
      <c r="AD2508" s="1"/>
    </row>
    <row r="2509" spans="17:30">
      <c r="Q2509" s="6">
        <v>2479</v>
      </c>
      <c r="R2509" s="7">
        <v>45146</v>
      </c>
      <c r="S2509" s="210">
        <v>4.25</v>
      </c>
      <c r="T2509" s="8">
        <v>1.0001180555555556</v>
      </c>
      <c r="U2509" s="98">
        <v>4.1726488949659579</v>
      </c>
      <c r="V2509" s="106">
        <v>32251.91192502643</v>
      </c>
      <c r="W2509" s="10">
        <v>1.0615799159520822</v>
      </c>
      <c r="X2509" s="420"/>
      <c r="Y2509" s="420"/>
      <c r="Z2509" s="1"/>
      <c r="AA2509" s="1"/>
      <c r="AB2509" s="1"/>
      <c r="AC2509" s="1"/>
      <c r="AD2509" s="1"/>
    </row>
    <row r="2510" spans="17:30">
      <c r="Q2510" s="6">
        <v>2480</v>
      </c>
      <c r="R2510" s="7">
        <v>45147</v>
      </c>
      <c r="S2510" s="210">
        <v>4.25</v>
      </c>
      <c r="T2510" s="8">
        <v>1.0001180555555556</v>
      </c>
      <c r="U2510" s="98">
        <v>4.1727416553825059</v>
      </c>
      <c r="V2510" s="106">
        <v>32254.596342077748</v>
      </c>
      <c r="W2510" s="10">
        <v>1.0616674963697781</v>
      </c>
      <c r="X2510" s="420"/>
      <c r="Y2510" s="420"/>
      <c r="Z2510" s="1"/>
      <c r="AA2510" s="1"/>
      <c r="AB2510" s="1"/>
      <c r="AC2510" s="1"/>
      <c r="AD2510" s="1"/>
    </row>
    <row r="2511" spans="17:30">
      <c r="Q2511" s="6">
        <v>2481</v>
      </c>
      <c r="R2511" s="7">
        <v>45148</v>
      </c>
      <c r="S2511" s="210">
        <v>4.25</v>
      </c>
      <c r="T2511" s="8">
        <v>1.0001180555555556</v>
      </c>
      <c r="U2511" s="98">
        <v>4.172834341104914</v>
      </c>
      <c r="V2511" s="106">
        <v>32257.280982560627</v>
      </c>
      <c r="W2511" s="10">
        <v>1.0617550062623549</v>
      </c>
      <c r="X2511" s="420"/>
      <c r="Y2511" s="420"/>
      <c r="Z2511" s="1"/>
      <c r="AA2511" s="1"/>
      <c r="AB2511" s="1"/>
      <c r="AC2511" s="1"/>
      <c r="AD2511" s="1"/>
    </row>
    <row r="2512" spans="17:30">
      <c r="Q2512" s="6">
        <v>2482</v>
      </c>
      <c r="R2512" s="7">
        <v>45149</v>
      </c>
      <c r="S2512" s="210">
        <v>4.25</v>
      </c>
      <c r="T2512" s="8">
        <v>1.0001180555555556</v>
      </c>
      <c r="U2512" s="98">
        <v>4.1729269522233547</v>
      </c>
      <c r="V2512" s="106">
        <v>32259.965846493658</v>
      </c>
      <c r="W2512" s="10">
        <v>1.0618424457149889</v>
      </c>
      <c r="X2512" s="420"/>
      <c r="Y2512" s="420"/>
      <c r="Z2512" s="1"/>
      <c r="AA2512" s="1"/>
      <c r="AB2512" s="1"/>
      <c r="AC2512" s="1"/>
      <c r="AD2512" s="1"/>
    </row>
    <row r="2513" spans="17:30">
      <c r="Q2513" s="6">
        <v>2483</v>
      </c>
      <c r="R2513" s="7">
        <v>45150</v>
      </c>
      <c r="S2513" s="210">
        <v>4.25</v>
      </c>
      <c r="T2513" s="8">
        <v>1.0001180555555556</v>
      </c>
      <c r="U2513" s="98">
        <v>4.1730194888278893</v>
      </c>
      <c r="V2513" s="106">
        <v>32262.650933895438</v>
      </c>
      <c r="W2513" s="10">
        <v>1.061929814812701</v>
      </c>
      <c r="X2513" s="420"/>
      <c r="Y2513" s="420"/>
      <c r="Z2513" s="1"/>
      <c r="AA2513" s="1"/>
      <c r="AB2513" s="1"/>
      <c r="AC2513" s="1"/>
      <c r="AD2513" s="1"/>
    </row>
    <row r="2514" spans="17:30">
      <c r="Q2514" s="6">
        <v>2484</v>
      </c>
      <c r="R2514" s="7">
        <v>45151</v>
      </c>
      <c r="S2514" s="210">
        <v>4.25</v>
      </c>
      <c r="T2514" s="8">
        <v>1.0001180555555556</v>
      </c>
      <c r="U2514" s="98">
        <v>4.1731119510084014</v>
      </c>
      <c r="V2514" s="106">
        <v>32265.336244784572</v>
      </c>
      <c r="W2514" s="10">
        <v>1.0620171136403567</v>
      </c>
      <c r="X2514" s="420"/>
      <c r="Y2514" s="420"/>
      <c r="Z2514" s="1"/>
      <c r="AA2514" s="1"/>
      <c r="AB2514" s="1"/>
      <c r="AC2514" s="1"/>
      <c r="AD2514" s="1"/>
    </row>
    <row r="2515" spans="17:30">
      <c r="Q2515" s="6">
        <v>2485</v>
      </c>
      <c r="R2515" s="7">
        <v>45152</v>
      </c>
      <c r="S2515" s="210">
        <v>4.25</v>
      </c>
      <c r="T2515" s="8">
        <v>1.0001180555555556</v>
      </c>
      <c r="U2515" s="98">
        <v>4.1732043388546414</v>
      </c>
      <c r="V2515" s="106">
        <v>32268.021779179668</v>
      </c>
      <c r="W2515" s="10">
        <v>1.0621043422827103</v>
      </c>
      <c r="X2515" s="420"/>
      <c r="Y2515" s="420"/>
      <c r="Z2515" s="1"/>
      <c r="AA2515" s="1"/>
      <c r="AB2515" s="1"/>
      <c r="AC2515" s="1"/>
      <c r="AD2515" s="1"/>
    </row>
    <row r="2516" spans="17:30">
      <c r="Q2516" s="6">
        <v>2486</v>
      </c>
      <c r="R2516" s="7">
        <v>45153</v>
      </c>
      <c r="S2516" s="210">
        <v>4.25</v>
      </c>
      <c r="T2516" s="8">
        <v>1.0001180555555556</v>
      </c>
      <c r="U2516" s="98">
        <v>4.1732966524562043</v>
      </c>
      <c r="V2516" s="106">
        <v>32270.707537099312</v>
      </c>
      <c r="W2516" s="10">
        <v>1.062191500824361</v>
      </c>
      <c r="X2516" s="420"/>
      <c r="Y2516" s="420"/>
      <c r="Z2516" s="1"/>
      <c r="AA2516" s="1"/>
      <c r="AB2516" s="1"/>
      <c r="AC2516" s="1"/>
      <c r="AD2516" s="1"/>
    </row>
    <row r="2517" spans="17:30">
      <c r="Q2517" s="6">
        <v>2487</v>
      </c>
      <c r="R2517" s="7">
        <v>45154</v>
      </c>
      <c r="S2517" s="210">
        <v>4.25</v>
      </c>
      <c r="T2517" s="8">
        <v>1.0001180555555556</v>
      </c>
      <c r="U2517" s="98">
        <v>4.1733888919025741</v>
      </c>
      <c r="V2517" s="106">
        <v>32273.393518562123</v>
      </c>
      <c r="W2517" s="10">
        <v>1.0622785893497744</v>
      </c>
      <c r="X2517" s="420"/>
      <c r="Y2517" s="420"/>
      <c r="Z2517" s="1"/>
      <c r="AA2517" s="1"/>
      <c r="AB2517" s="1"/>
      <c r="AC2517" s="1"/>
      <c r="AD2517" s="1"/>
    </row>
    <row r="2518" spans="17:30">
      <c r="Q2518" s="6">
        <v>2488</v>
      </c>
      <c r="R2518" s="7">
        <v>45155</v>
      </c>
      <c r="S2518" s="210">
        <v>4.25</v>
      </c>
      <c r="T2518" s="8">
        <v>1.0001180555555556</v>
      </c>
      <c r="U2518" s="98">
        <v>4.173481057283035</v>
      </c>
      <c r="V2518" s="106">
        <v>32276.079723586692</v>
      </c>
      <c r="W2518" s="10">
        <v>1.0623656079433053</v>
      </c>
      <c r="X2518" s="420"/>
      <c r="Y2518" s="420"/>
      <c r="Z2518" s="1"/>
      <c r="AA2518" s="1"/>
      <c r="AB2518" s="1"/>
      <c r="AC2518" s="1"/>
      <c r="AD2518" s="1"/>
    </row>
    <row r="2519" spans="17:30">
      <c r="Q2519" s="6">
        <v>2489</v>
      </c>
      <c r="R2519" s="7">
        <v>45156</v>
      </c>
      <c r="S2519" s="210">
        <v>4.25</v>
      </c>
      <c r="T2519" s="8">
        <v>1.0001180555555556</v>
      </c>
      <c r="U2519" s="98">
        <v>4.1735731486867822</v>
      </c>
      <c r="V2519" s="106">
        <v>32278.766152191645</v>
      </c>
      <c r="W2519" s="10">
        <v>1.0624525566891085</v>
      </c>
      <c r="X2519" s="420"/>
      <c r="Y2519" s="420"/>
      <c r="Z2519" s="1"/>
      <c r="AA2519" s="1"/>
      <c r="AB2519" s="1"/>
      <c r="AC2519" s="1"/>
      <c r="AD2519" s="1"/>
    </row>
    <row r="2520" spans="17:30">
      <c r="Q2520" s="6">
        <v>2490</v>
      </c>
      <c r="R2520" s="7">
        <v>45157</v>
      </c>
      <c r="S2520" s="210">
        <v>4.25</v>
      </c>
      <c r="T2520" s="8">
        <v>1.0001180555555556</v>
      </c>
      <c r="U2520" s="98">
        <v>4.1736651662028557</v>
      </c>
      <c r="V2520" s="106">
        <v>32281.452804395583</v>
      </c>
      <c r="W2520" s="10">
        <v>1.0625394356713169</v>
      </c>
      <c r="X2520" s="420"/>
      <c r="Y2520" s="420"/>
      <c r="Z2520" s="1"/>
      <c r="AA2520" s="1"/>
      <c r="AB2520" s="1"/>
      <c r="AC2520" s="1"/>
      <c r="AD2520" s="1"/>
    </row>
    <row r="2521" spans="17:30">
      <c r="Q2521" s="6">
        <v>2491</v>
      </c>
      <c r="R2521" s="7">
        <v>45158</v>
      </c>
      <c r="S2521" s="210">
        <v>4.25</v>
      </c>
      <c r="T2521" s="8">
        <v>1.0001180555555556</v>
      </c>
      <c r="U2521" s="98">
        <v>4.1737571099201176</v>
      </c>
      <c r="V2521" s="106">
        <v>32284.139680217111</v>
      </c>
      <c r="W2521" s="10">
        <v>1.0626262449737967</v>
      </c>
      <c r="X2521" s="420"/>
      <c r="Y2521" s="420"/>
      <c r="Z2521" s="1"/>
      <c r="AA2521" s="1"/>
      <c r="AB2521" s="1"/>
      <c r="AC2521" s="1"/>
      <c r="AD2521" s="1"/>
    </row>
    <row r="2522" spans="17:30">
      <c r="Q2522" s="6">
        <v>2492</v>
      </c>
      <c r="R2522" s="7">
        <v>45159</v>
      </c>
      <c r="S2522" s="210">
        <v>4.25</v>
      </c>
      <c r="T2522" s="8">
        <v>1.0001180555555556</v>
      </c>
      <c r="U2522" s="98">
        <v>4.1738489799273415</v>
      </c>
      <c r="V2522" s="106">
        <v>32286.826779674848</v>
      </c>
      <c r="W2522" s="10">
        <v>1.0627129846803696</v>
      </c>
      <c r="X2522" s="420"/>
      <c r="Y2522" s="420"/>
      <c r="Z2522" s="1"/>
      <c r="AA2522" s="1"/>
      <c r="AB2522" s="1"/>
      <c r="AC2522" s="1"/>
      <c r="AD2522" s="1"/>
    </row>
    <row r="2523" spans="17:30">
      <c r="Q2523" s="6">
        <v>2493</v>
      </c>
      <c r="R2523" s="7">
        <v>45160</v>
      </c>
      <c r="S2523" s="210">
        <v>4.25</v>
      </c>
      <c r="T2523" s="8">
        <v>1.0001180555555556</v>
      </c>
      <c r="U2523" s="98">
        <v>4.1739407763131009</v>
      </c>
      <c r="V2523" s="106">
        <v>32289.514102787405</v>
      </c>
      <c r="W2523" s="10">
        <v>1.0627996548747021</v>
      </c>
      <c r="X2523" s="420"/>
      <c r="Y2523" s="420"/>
      <c r="Z2523" s="1"/>
      <c r="AA2523" s="1"/>
      <c r="AB2523" s="1"/>
      <c r="AC2523" s="1"/>
      <c r="AD2523" s="1"/>
    </row>
    <row r="2524" spans="17:30">
      <c r="Q2524" s="6">
        <v>2494</v>
      </c>
      <c r="R2524" s="7">
        <v>45161</v>
      </c>
      <c r="S2524" s="210">
        <v>4.25</v>
      </c>
      <c r="T2524" s="8">
        <v>1.0001180555555556</v>
      </c>
      <c r="U2524" s="98">
        <v>4.1740324991658806</v>
      </c>
      <c r="V2524" s="106">
        <v>32292.201649573406</v>
      </c>
      <c r="W2524" s="10">
        <v>1.0628862556403051</v>
      </c>
      <c r="X2524" s="420"/>
      <c r="Y2524" s="420"/>
      <c r="Z2524" s="1"/>
      <c r="AA2524" s="1"/>
      <c r="AB2524" s="1"/>
      <c r="AC2524" s="1"/>
      <c r="AD2524" s="1"/>
    </row>
    <row r="2525" spans="17:30">
      <c r="Q2525" s="6">
        <v>2495</v>
      </c>
      <c r="R2525" s="7">
        <v>45162</v>
      </c>
      <c r="S2525" s="210">
        <v>4.25</v>
      </c>
      <c r="T2525" s="8">
        <v>1.0001180555555556</v>
      </c>
      <c r="U2525" s="98">
        <v>4.1741241485739877</v>
      </c>
      <c r="V2525" s="106">
        <v>32294.889420051455</v>
      </c>
      <c r="W2525" s="10">
        <v>1.0629727870605787</v>
      </c>
      <c r="X2525" s="420"/>
      <c r="Y2525" s="420"/>
      <c r="Z2525" s="1"/>
      <c r="AA2525" s="1"/>
      <c r="AB2525" s="1"/>
      <c r="AC2525" s="1"/>
      <c r="AD2525" s="1"/>
    </row>
    <row r="2526" spans="17:30">
      <c r="Q2526" s="6">
        <v>2496</v>
      </c>
      <c r="R2526" s="7">
        <v>45163</v>
      </c>
      <c r="S2526" s="210">
        <v>4.25</v>
      </c>
      <c r="T2526" s="8">
        <v>1.0001180555555556</v>
      </c>
      <c r="U2526" s="98">
        <v>4.1742157246255962</v>
      </c>
      <c r="V2526" s="106">
        <v>32297.577414240179</v>
      </c>
      <c r="W2526" s="10">
        <v>1.0630592492187674</v>
      </c>
      <c r="X2526" s="420"/>
      <c r="Y2526" s="420"/>
      <c r="Z2526" s="1"/>
      <c r="AA2526" s="1"/>
      <c r="AB2526" s="1"/>
      <c r="AC2526" s="1"/>
      <c r="AD2526" s="1"/>
    </row>
    <row r="2527" spans="17:30">
      <c r="Q2527" s="6">
        <v>2497</v>
      </c>
      <c r="R2527" s="7">
        <v>45164</v>
      </c>
      <c r="S2527" s="210">
        <v>4.25</v>
      </c>
      <c r="T2527" s="8">
        <v>1.0001180555555556</v>
      </c>
      <c r="U2527" s="98">
        <v>4.1743072274087467</v>
      </c>
      <c r="V2527" s="106">
        <v>32300.265632158189</v>
      </c>
      <c r="W2527" s="10">
        <v>1.0631456421980046</v>
      </c>
      <c r="X2527" s="420"/>
      <c r="Y2527" s="420"/>
      <c r="Z2527" s="1"/>
      <c r="AA2527" s="1"/>
      <c r="AB2527" s="1"/>
      <c r="AC2527" s="1"/>
      <c r="AD2527" s="1"/>
    </row>
    <row r="2528" spans="17:30">
      <c r="Q2528" s="6">
        <v>2498</v>
      </c>
      <c r="R2528" s="7">
        <v>45165</v>
      </c>
      <c r="S2528" s="210">
        <v>4.25</v>
      </c>
      <c r="T2528" s="8">
        <v>1.0001180555555556</v>
      </c>
      <c r="U2528" s="98">
        <v>4.1743986570113467</v>
      </c>
      <c r="V2528" s="106">
        <v>32302.954073824119</v>
      </c>
      <c r="W2528" s="10">
        <v>1.0632319660812906</v>
      </c>
      <c r="X2528" s="420"/>
      <c r="Y2528" s="420"/>
      <c r="Z2528" s="1"/>
      <c r="AA2528" s="1"/>
      <c r="AB2528" s="1"/>
      <c r="AC2528" s="1"/>
      <c r="AD2528" s="1"/>
    </row>
    <row r="2529" spans="17:30">
      <c r="Q2529" s="6">
        <v>2499</v>
      </c>
      <c r="R2529" s="7">
        <v>45166</v>
      </c>
      <c r="S2529" s="210">
        <v>4.25</v>
      </c>
      <c r="T2529" s="8">
        <v>1.0001180555555556</v>
      </c>
      <c r="U2529" s="98">
        <v>4.1744900135211482</v>
      </c>
      <c r="V2529" s="106">
        <v>32305.642739256586</v>
      </c>
      <c r="W2529" s="10">
        <v>1.0633182209514924</v>
      </c>
      <c r="X2529" s="420"/>
      <c r="Y2529" s="420"/>
      <c r="Z2529" s="1"/>
      <c r="AA2529" s="1"/>
      <c r="AB2529" s="1"/>
      <c r="AC2529" s="1"/>
      <c r="AD2529" s="1"/>
    </row>
    <row r="2530" spans="17:30">
      <c r="Q2530" s="6">
        <v>2500</v>
      </c>
      <c r="R2530" s="7">
        <v>45167</v>
      </c>
      <c r="S2530" s="210">
        <v>4.25</v>
      </c>
      <c r="T2530" s="8">
        <v>1.0001180555555556</v>
      </c>
      <c r="U2530" s="98">
        <v>4.1745812970257479</v>
      </c>
      <c r="V2530" s="106">
        <v>32308.33162847421</v>
      </c>
      <c r="W2530" s="10">
        <v>1.0634044068913218</v>
      </c>
      <c r="X2530" s="420"/>
      <c r="Y2530" s="420"/>
      <c r="Z2530" s="1"/>
      <c r="AA2530" s="1"/>
      <c r="AB2530" s="1"/>
      <c r="AC2530" s="1"/>
      <c r="AD2530" s="1"/>
    </row>
    <row r="2531" spans="17:30">
      <c r="Q2531" s="6">
        <v>2501</v>
      </c>
      <c r="R2531" s="7">
        <v>45168</v>
      </c>
      <c r="S2531" s="210">
        <v>4.25</v>
      </c>
      <c r="T2531" s="8">
        <v>1.0001180555555556</v>
      </c>
      <c r="U2531" s="98">
        <v>4.1746725076126534</v>
      </c>
      <c r="V2531" s="106">
        <v>32311.020741495628</v>
      </c>
      <c r="W2531" s="10">
        <v>1.0634905239833792</v>
      </c>
      <c r="X2531" s="420"/>
      <c r="Y2531" s="420"/>
      <c r="Z2531" s="1"/>
      <c r="AA2531" s="1"/>
      <c r="AB2531" s="1"/>
      <c r="AC2531" s="1"/>
      <c r="AD2531" s="1"/>
    </row>
    <row r="2532" spans="17:30">
      <c r="Q2532" s="6">
        <v>2502</v>
      </c>
      <c r="R2532" s="7">
        <v>45169</v>
      </c>
      <c r="S2532" s="210">
        <v>4.25</v>
      </c>
      <c r="T2532" s="8">
        <v>1.0001180555555556</v>
      </c>
      <c r="U2532" s="98">
        <v>4.1747636453691728</v>
      </c>
      <c r="V2532" s="106">
        <v>32313.710078339464</v>
      </c>
      <c r="W2532" s="10">
        <v>1.063576572310132</v>
      </c>
      <c r="X2532" s="420"/>
      <c r="Y2532" s="420"/>
      <c r="Z2532" s="1"/>
      <c r="AA2532" s="1"/>
      <c r="AB2532" s="1"/>
      <c r="AC2532" s="1"/>
      <c r="AD2532" s="1"/>
    </row>
    <row r="2533" spans="17:30">
      <c r="Q2533" s="6">
        <v>2503</v>
      </c>
      <c r="R2533" s="7">
        <v>45170</v>
      </c>
      <c r="S2533" s="210">
        <v>4.25</v>
      </c>
      <c r="T2533" s="8">
        <v>1.0001180555555556</v>
      </c>
      <c r="U2533" s="98">
        <v>4.1748547103825029</v>
      </c>
      <c r="V2533" s="106">
        <v>32316.399639024337</v>
      </c>
      <c r="W2533" s="10">
        <v>1.0636625519538923</v>
      </c>
      <c r="X2533" s="420"/>
      <c r="Y2533" s="420"/>
      <c r="Z2533" s="1"/>
      <c r="AA2533" s="1"/>
      <c r="AB2533" s="1"/>
      <c r="AC2533" s="1"/>
      <c r="AD2533" s="1"/>
    </row>
    <row r="2534" spans="17:30">
      <c r="Q2534" s="6">
        <v>2504</v>
      </c>
      <c r="R2534" s="7">
        <v>45171</v>
      </c>
      <c r="S2534" s="210">
        <v>4.25</v>
      </c>
      <c r="T2534" s="8">
        <v>1.0001180555555556</v>
      </c>
      <c r="U2534" s="98">
        <v>4.1749457027397074</v>
      </c>
      <c r="V2534" s="106">
        <v>32319.089423568894</v>
      </c>
      <c r="W2534" s="10">
        <v>1.0637484629968608</v>
      </c>
      <c r="X2534" s="420"/>
      <c r="Y2534" s="420"/>
      <c r="Z2534" s="1"/>
      <c r="AA2534" s="1"/>
      <c r="AB2534" s="1"/>
      <c r="AC2534" s="1"/>
      <c r="AD2534" s="1"/>
    </row>
    <row r="2535" spans="17:30">
      <c r="Q2535" s="6">
        <v>2505</v>
      </c>
      <c r="R2535" s="7">
        <v>45172</v>
      </c>
      <c r="S2535" s="210">
        <v>4.25</v>
      </c>
      <c r="T2535" s="8">
        <v>1.0001180555555556</v>
      </c>
      <c r="U2535" s="98">
        <v>4.1750366225277169</v>
      </c>
      <c r="V2535" s="106">
        <v>32321.779431991752</v>
      </c>
      <c r="W2535" s="10">
        <v>1.0638343055211497</v>
      </c>
      <c r="X2535" s="420"/>
      <c r="Y2535" s="420"/>
      <c r="Z2535" s="1"/>
      <c r="AA2535" s="1"/>
      <c r="AB2535" s="1"/>
      <c r="AC2535" s="1"/>
      <c r="AD2535" s="1"/>
    </row>
    <row r="2536" spans="17:30">
      <c r="Q2536" s="6">
        <v>2506</v>
      </c>
      <c r="R2536" s="7">
        <v>45173</v>
      </c>
      <c r="S2536" s="210">
        <v>4.25</v>
      </c>
      <c r="T2536" s="8">
        <v>1.0001180555555556</v>
      </c>
      <c r="U2536" s="98">
        <v>4.1751274698333063</v>
      </c>
      <c r="V2536" s="106">
        <v>32324.469664311564</v>
      </c>
      <c r="W2536" s="10">
        <v>1.0639200796086712</v>
      </c>
      <c r="X2536" s="420"/>
      <c r="Y2536" s="420"/>
      <c r="Z2536" s="1"/>
      <c r="AA2536" s="1"/>
      <c r="AB2536" s="1"/>
      <c r="AC2536" s="1"/>
      <c r="AD2536" s="1"/>
    </row>
    <row r="2537" spans="17:30">
      <c r="Q2537" s="6">
        <v>2507</v>
      </c>
      <c r="R2537" s="7">
        <v>45174</v>
      </c>
      <c r="S2537" s="210">
        <v>4.25</v>
      </c>
      <c r="T2537" s="8">
        <v>1.0001180555555556</v>
      </c>
      <c r="U2537" s="98">
        <v>4.1752182447430952</v>
      </c>
      <c r="V2537" s="106">
        <v>32327.160120546945</v>
      </c>
      <c r="W2537" s="10">
        <v>1.0640057853412044</v>
      </c>
      <c r="X2537" s="420"/>
      <c r="Y2537" s="420"/>
      <c r="Z2537" s="1"/>
      <c r="AA2537" s="1"/>
      <c r="AB2537" s="1"/>
      <c r="AC2537" s="1"/>
      <c r="AD2537" s="1"/>
    </row>
    <row r="2538" spans="17:30">
      <c r="Q2538" s="6">
        <v>2508</v>
      </c>
      <c r="R2538" s="7">
        <v>45175</v>
      </c>
      <c r="S2538" s="210">
        <v>4.25</v>
      </c>
      <c r="T2538" s="8">
        <v>1.0001180555555556</v>
      </c>
      <c r="U2538" s="98">
        <v>4.1753089473436145</v>
      </c>
      <c r="V2538" s="106">
        <v>32329.850800716544</v>
      </c>
      <c r="W2538" s="10">
        <v>1.0640914228004839</v>
      </c>
      <c r="X2538" s="420"/>
      <c r="Y2538" s="420"/>
      <c r="Z2538" s="1"/>
      <c r="AA2538" s="1"/>
      <c r="AB2538" s="1"/>
      <c r="AC2538" s="1"/>
      <c r="AD2538" s="1"/>
    </row>
    <row r="2539" spans="17:30">
      <c r="Q2539" s="6">
        <v>2509</v>
      </c>
      <c r="R2539" s="7">
        <v>45176</v>
      </c>
      <c r="S2539" s="210">
        <v>4.25</v>
      </c>
      <c r="T2539" s="8">
        <v>1.0001180555555556</v>
      </c>
      <c r="U2539" s="98">
        <v>4.1753995777212172</v>
      </c>
      <c r="V2539" s="106">
        <v>32332.541704838997</v>
      </c>
      <c r="W2539" s="10">
        <v>1.064176992068</v>
      </c>
      <c r="X2539" s="420"/>
      <c r="Y2539" s="420"/>
      <c r="Z2539" s="1"/>
      <c r="AA2539" s="1"/>
      <c r="AB2539" s="1"/>
      <c r="AC2539" s="1"/>
      <c r="AD2539" s="1"/>
    </row>
    <row r="2540" spans="17:30">
      <c r="Q2540" s="6">
        <v>2510</v>
      </c>
      <c r="R2540" s="7">
        <v>45177</v>
      </c>
      <c r="S2540" s="210">
        <v>4.25</v>
      </c>
      <c r="T2540" s="8">
        <v>1.0001180555555556</v>
      </c>
      <c r="U2540" s="98">
        <v>4.1754901359621233</v>
      </c>
      <c r="V2540" s="106">
        <v>32335.232832932943</v>
      </c>
      <c r="W2540" s="10">
        <v>1.0642624932252209</v>
      </c>
      <c r="X2540" s="420"/>
      <c r="Y2540" s="420"/>
      <c r="Z2540" s="1"/>
      <c r="AA2540" s="1"/>
      <c r="AB2540" s="1"/>
      <c r="AC2540" s="1"/>
      <c r="AD2540" s="1"/>
    </row>
    <row r="2541" spans="17:30">
      <c r="Q2541" s="6">
        <v>2511</v>
      </c>
      <c r="R2541" s="7">
        <v>45178</v>
      </c>
      <c r="S2541" s="210">
        <v>4.25</v>
      </c>
      <c r="T2541" s="8">
        <v>1.0001180555555556</v>
      </c>
      <c r="U2541" s="98">
        <v>4.1755806221524416</v>
      </c>
      <c r="V2541" s="106">
        <v>32337.924185017026</v>
      </c>
      <c r="W2541" s="10">
        <v>1.0643479263533928</v>
      </c>
      <c r="X2541" s="420"/>
      <c r="Y2541" s="420"/>
      <c r="Z2541" s="1"/>
      <c r="AA2541" s="1"/>
      <c r="AB2541" s="1"/>
      <c r="AC2541" s="1"/>
      <c r="AD2541" s="1"/>
    </row>
    <row r="2542" spans="17:30">
      <c r="Q2542" s="6">
        <v>2512</v>
      </c>
      <c r="R2542" s="7">
        <v>45179</v>
      </c>
      <c r="S2542" s="210">
        <v>4.25</v>
      </c>
      <c r="T2542" s="8">
        <v>1.0001180555555556</v>
      </c>
      <c r="U2542" s="98">
        <v>4.1756710363781036</v>
      </c>
      <c r="V2542" s="106">
        <v>32340.615761109886</v>
      </c>
      <c r="W2542" s="10">
        <v>1.0644332915336951</v>
      </c>
      <c r="X2542" s="420"/>
      <c r="Y2542" s="420"/>
      <c r="Z2542" s="1"/>
      <c r="AA2542" s="1"/>
      <c r="AB2542" s="1"/>
      <c r="AC2542" s="1"/>
      <c r="AD2542" s="1"/>
    </row>
    <row r="2543" spans="17:30">
      <c r="Q2543" s="6">
        <v>2513</v>
      </c>
      <c r="R2543" s="7">
        <v>45180</v>
      </c>
      <c r="S2543" s="210">
        <v>4.25</v>
      </c>
      <c r="T2543" s="8">
        <v>1.0001180555555556</v>
      </c>
      <c r="U2543" s="98">
        <v>4.1757613787249515</v>
      </c>
      <c r="V2543" s="106">
        <v>32343.307561230176</v>
      </c>
      <c r="W2543" s="10">
        <v>1.064518588847152</v>
      </c>
      <c r="X2543" s="420"/>
      <c r="Y2543" s="420"/>
      <c r="Z2543" s="1"/>
      <c r="AA2543" s="1"/>
      <c r="AB2543" s="1"/>
      <c r="AC2543" s="1"/>
      <c r="AD2543" s="1"/>
    </row>
    <row r="2544" spans="17:30">
      <c r="Q2544" s="6">
        <v>2514</v>
      </c>
      <c r="R2544" s="7">
        <v>45181</v>
      </c>
      <c r="S2544" s="210">
        <v>4.25</v>
      </c>
      <c r="T2544" s="8">
        <v>1.0001180555555556</v>
      </c>
      <c r="U2544" s="98">
        <v>4.1758516492786502</v>
      </c>
      <c r="V2544" s="106">
        <v>32345.999585396534</v>
      </c>
      <c r="W2544" s="10">
        <v>1.0646038183746764</v>
      </c>
      <c r="X2544" s="420"/>
      <c r="Y2544" s="420"/>
      <c r="Z2544" s="1"/>
      <c r="AA2544" s="1"/>
      <c r="AB2544" s="1"/>
      <c r="AC2544" s="1"/>
      <c r="AD2544" s="1"/>
    </row>
    <row r="2545" spans="17:30">
      <c r="Q2545" s="6">
        <v>2515</v>
      </c>
      <c r="R2545" s="7">
        <v>45182</v>
      </c>
      <c r="S2545" s="210">
        <v>4.25</v>
      </c>
      <c r="T2545" s="8">
        <v>1.0001180555555556</v>
      </c>
      <c r="U2545" s="98">
        <v>4.1759418481247534</v>
      </c>
      <c r="V2545" s="106">
        <v>32348.691833627614</v>
      </c>
      <c r="W2545" s="10">
        <v>1.0646889801970261</v>
      </c>
      <c r="X2545" s="420"/>
      <c r="Y2545" s="420"/>
      <c r="Z2545" s="1"/>
      <c r="AA2545" s="1"/>
      <c r="AB2545" s="1"/>
      <c r="AC2545" s="1"/>
      <c r="AD2545" s="1"/>
    </row>
    <row r="2546" spans="17:30">
      <c r="Q2546" s="6">
        <v>2516</v>
      </c>
      <c r="R2546" s="7">
        <v>45183</v>
      </c>
      <c r="S2546" s="210">
        <v>4.25</v>
      </c>
      <c r="T2546" s="8">
        <v>1.0001180555555556</v>
      </c>
      <c r="U2546" s="98">
        <v>4.1760319753486597</v>
      </c>
      <c r="V2546" s="106">
        <v>32351.384305942054</v>
      </c>
      <c r="W2546" s="10">
        <v>1.0647740743948475</v>
      </c>
      <c r="X2546" s="420"/>
      <c r="Y2546" s="420"/>
      <c r="Z2546" s="1"/>
      <c r="AA2546" s="1"/>
      <c r="AB2546" s="1"/>
      <c r="AC2546" s="1"/>
      <c r="AD2546" s="1"/>
    </row>
    <row r="2547" spans="17:30">
      <c r="Q2547" s="6">
        <v>2517</v>
      </c>
      <c r="R2547" s="7">
        <v>45184</v>
      </c>
      <c r="S2547" s="210">
        <v>4.25</v>
      </c>
      <c r="T2547" s="8">
        <v>1.0001180555555556</v>
      </c>
      <c r="U2547" s="98">
        <v>4.1761220310356562</v>
      </c>
      <c r="V2547" s="106">
        <v>32354.077002358521</v>
      </c>
      <c r="W2547" s="10">
        <v>1.0648591010486541</v>
      </c>
      <c r="X2547" s="420"/>
      <c r="Y2547" s="420"/>
      <c r="Z2547" s="1"/>
      <c r="AA2547" s="1"/>
      <c r="AB2547" s="1"/>
      <c r="AC2547" s="1"/>
      <c r="AD2547" s="1"/>
    </row>
    <row r="2548" spans="17:30">
      <c r="Q2548" s="6">
        <v>2518</v>
      </c>
      <c r="R2548" s="7">
        <v>45185</v>
      </c>
      <c r="S2548" s="210">
        <v>4.25</v>
      </c>
      <c r="T2548" s="8">
        <v>1.0001180555555556</v>
      </c>
      <c r="U2548" s="98">
        <v>4.1762120152708526</v>
      </c>
      <c r="V2548" s="106">
        <v>32356.769922895655</v>
      </c>
      <c r="W2548" s="10">
        <v>1.064944060238826</v>
      </c>
      <c r="X2548" s="420"/>
      <c r="Y2548" s="420"/>
      <c r="Z2548" s="1"/>
      <c r="AA2548" s="1"/>
      <c r="AB2548" s="1"/>
      <c r="AC2548" s="1"/>
      <c r="AD2548" s="1"/>
    </row>
    <row r="2549" spans="17:30">
      <c r="Q2549" s="6">
        <v>2519</v>
      </c>
      <c r="R2549" s="7">
        <v>45186</v>
      </c>
      <c r="S2549" s="210">
        <v>4.25</v>
      </c>
      <c r="T2549" s="8">
        <v>1.0001180555555556</v>
      </c>
      <c r="U2549" s="98">
        <v>4.1763019281392921</v>
      </c>
      <c r="V2549" s="106">
        <v>32359.463067572124</v>
      </c>
      <c r="W2549" s="10">
        <v>1.0650289520456768</v>
      </c>
      <c r="X2549" s="420"/>
      <c r="Y2549" s="420"/>
      <c r="Z2549" s="1"/>
      <c r="AA2549" s="1"/>
      <c r="AB2549" s="1"/>
      <c r="AC2549" s="1"/>
      <c r="AD2549" s="1"/>
    </row>
    <row r="2550" spans="17:30">
      <c r="Q2550" s="6">
        <v>2520</v>
      </c>
      <c r="R2550" s="7">
        <v>45187</v>
      </c>
      <c r="S2550" s="210">
        <v>4.25</v>
      </c>
      <c r="T2550" s="8">
        <v>1.0001180555555556</v>
      </c>
      <c r="U2550" s="98">
        <v>4.1763917697258179</v>
      </c>
      <c r="V2550" s="106">
        <v>32362.156436406571</v>
      </c>
      <c r="W2550" s="10">
        <v>1.0651137765492757</v>
      </c>
      <c r="X2550" s="420"/>
      <c r="Y2550" s="420"/>
      <c r="Z2550" s="1"/>
      <c r="AA2550" s="1"/>
      <c r="AB2550" s="1"/>
      <c r="AC2550" s="1"/>
      <c r="AD2550" s="1"/>
    </row>
    <row r="2551" spans="17:30">
      <c r="Q2551" s="6">
        <v>2521</v>
      </c>
      <c r="R2551" s="7">
        <v>45188</v>
      </c>
      <c r="S2551" s="210">
        <v>4.25</v>
      </c>
      <c r="T2551" s="8">
        <v>1.0001180555555556</v>
      </c>
      <c r="U2551" s="98">
        <v>4.1764815401151623</v>
      </c>
      <c r="V2551" s="106">
        <v>32364.850029417648</v>
      </c>
      <c r="W2551" s="10">
        <v>1.0651985338296477</v>
      </c>
      <c r="X2551" s="420"/>
      <c r="Y2551" s="420"/>
      <c r="Z2551" s="1"/>
      <c r="AA2551" s="1"/>
      <c r="AB2551" s="1"/>
      <c r="AC2551" s="1"/>
      <c r="AD2551" s="1"/>
    </row>
    <row r="2552" spans="17:30">
      <c r="Q2552" s="6">
        <v>2522</v>
      </c>
      <c r="R2552" s="7">
        <v>45189</v>
      </c>
      <c r="S2552" s="210">
        <v>4.25</v>
      </c>
      <c r="T2552" s="8">
        <v>1.0001180555555556</v>
      </c>
      <c r="U2552" s="98">
        <v>4.1765712393919241</v>
      </c>
      <c r="V2552" s="106">
        <v>32367.543846624034</v>
      </c>
      <c r="W2552" s="10">
        <v>1.0652832239666843</v>
      </c>
      <c r="X2552" s="420"/>
      <c r="Y2552" s="420"/>
      <c r="Z2552" s="1"/>
      <c r="AA2552" s="1"/>
      <c r="AB2552" s="1"/>
      <c r="AC2552" s="1"/>
      <c r="AD2552" s="1"/>
    </row>
    <row r="2553" spans="17:30">
      <c r="Q2553" s="6">
        <v>2523</v>
      </c>
      <c r="R2553" s="7">
        <v>45190</v>
      </c>
      <c r="S2553" s="210">
        <v>4.25</v>
      </c>
      <c r="T2553" s="8">
        <v>1.0001180555555556</v>
      </c>
      <c r="U2553" s="98">
        <v>4.1766608676405914</v>
      </c>
      <c r="V2553" s="106">
        <v>32370.237888044376</v>
      </c>
      <c r="W2553" s="10">
        <v>1.0653678470401218</v>
      </c>
      <c r="X2553" s="420"/>
      <c r="Y2553" s="420"/>
      <c r="Z2553" s="1"/>
      <c r="AA2553" s="1"/>
      <c r="AB2553" s="1"/>
      <c r="AC2553" s="1"/>
      <c r="AD2553" s="1"/>
    </row>
    <row r="2554" spans="17:30">
      <c r="Q2554" s="6">
        <v>2524</v>
      </c>
      <c r="R2554" s="7">
        <v>45191</v>
      </c>
      <c r="S2554" s="210">
        <v>4.25</v>
      </c>
      <c r="T2554" s="8">
        <v>1.0001180555555556</v>
      </c>
      <c r="U2554" s="98">
        <v>4.1767504249454745</v>
      </c>
      <c r="V2554" s="106">
        <v>32372.932153697333</v>
      </c>
      <c r="W2554" s="10">
        <v>1.0654524031296075</v>
      </c>
      <c r="X2554" s="420"/>
      <c r="Y2554" s="420"/>
      <c r="Z2554" s="1"/>
      <c r="AA2554" s="1"/>
      <c r="AB2554" s="1"/>
      <c r="AC2554" s="1"/>
      <c r="AD2554" s="1"/>
    </row>
    <row r="2555" spans="17:30">
      <c r="Q2555" s="6">
        <v>2525</v>
      </c>
      <c r="R2555" s="7">
        <v>45192</v>
      </c>
      <c r="S2555" s="210">
        <v>4.25</v>
      </c>
      <c r="T2555" s="8">
        <v>1.0001180555555556</v>
      </c>
      <c r="U2555" s="98">
        <v>4.1768399113907728</v>
      </c>
      <c r="V2555" s="106">
        <v>32375.626643601583</v>
      </c>
      <c r="W2555" s="10">
        <v>1.0655368923146336</v>
      </c>
      <c r="X2555" s="420"/>
      <c r="Y2555" s="420"/>
      <c r="Z2555" s="1"/>
      <c r="AA2555" s="1"/>
      <c r="AB2555" s="1"/>
      <c r="AC2555" s="1"/>
      <c r="AD2555" s="1"/>
    </row>
    <row r="2556" spans="17:30">
      <c r="Q2556" s="6">
        <v>2526</v>
      </c>
      <c r="R2556" s="7">
        <v>45193</v>
      </c>
      <c r="S2556" s="210">
        <v>4.25</v>
      </c>
      <c r="T2556" s="8">
        <v>1.0001180555555556</v>
      </c>
      <c r="U2556" s="98">
        <v>4.1769293270605523</v>
      </c>
      <c r="V2556" s="106">
        <v>32378.321357775774</v>
      </c>
      <c r="W2556" s="10">
        <v>1.0656213146745808</v>
      </c>
      <c r="X2556" s="420"/>
      <c r="Y2556" s="420"/>
      <c r="Z2556" s="1"/>
      <c r="AA2556" s="1"/>
      <c r="AB2556" s="1"/>
      <c r="AC2556" s="1"/>
      <c r="AD2556" s="1"/>
    </row>
    <row r="2557" spans="17:30">
      <c r="Q2557" s="6">
        <v>2527</v>
      </c>
      <c r="R2557" s="7">
        <v>45194</v>
      </c>
      <c r="S2557" s="210">
        <v>4.25</v>
      </c>
      <c r="T2557" s="8">
        <v>1.0001180555555556</v>
      </c>
      <c r="U2557" s="98">
        <v>4.1770186720387459</v>
      </c>
      <c r="V2557" s="106">
        <v>32381.016296238584</v>
      </c>
      <c r="W2557" s="10">
        <v>1.0657056702886747</v>
      </c>
      <c r="X2557" s="420"/>
      <c r="Y2557" s="420"/>
      <c r="Z2557" s="1"/>
      <c r="AA2557" s="1"/>
      <c r="AB2557" s="1"/>
      <c r="AC2557" s="1"/>
      <c r="AD2557" s="1"/>
    </row>
    <row r="2558" spans="17:30">
      <c r="Q2558" s="6">
        <v>2528</v>
      </c>
      <c r="R2558" s="7">
        <v>45195</v>
      </c>
      <c r="S2558" s="210">
        <v>4.25</v>
      </c>
      <c r="T2558" s="8">
        <v>1.0001180555555556</v>
      </c>
      <c r="U2558" s="98">
        <v>4.1771079464091532</v>
      </c>
      <c r="V2558" s="106">
        <v>32383.711459008675</v>
      </c>
      <c r="W2558" s="10">
        <v>1.065789959236052</v>
      </c>
      <c r="X2558" s="420"/>
      <c r="Y2558" s="420"/>
      <c r="Z2558" s="1"/>
      <c r="AA2558" s="1"/>
      <c r="AB2558" s="1"/>
      <c r="AC2558" s="1"/>
      <c r="AD2558" s="1"/>
    </row>
    <row r="2559" spans="17:30">
      <c r="Q2559" s="6">
        <v>2529</v>
      </c>
      <c r="R2559" s="7">
        <v>45196</v>
      </c>
      <c r="S2559" s="210">
        <v>4.25</v>
      </c>
      <c r="T2559" s="8">
        <v>1.0001180555555556</v>
      </c>
      <c r="U2559" s="98">
        <v>4.1771971502554406</v>
      </c>
      <c r="V2559" s="106">
        <v>32386.406846104725</v>
      </c>
      <c r="W2559" s="10">
        <v>1.0658741815957384</v>
      </c>
      <c r="X2559" s="420"/>
      <c r="Y2559" s="420"/>
      <c r="Z2559" s="1"/>
      <c r="AA2559" s="1"/>
      <c r="AB2559" s="1"/>
      <c r="AC2559" s="1"/>
      <c r="AD2559" s="1"/>
    </row>
    <row r="2560" spans="17:30">
      <c r="Q2560" s="6">
        <v>2530</v>
      </c>
      <c r="R2560" s="7">
        <v>45197</v>
      </c>
      <c r="S2560" s="210">
        <v>4.25</v>
      </c>
      <c r="T2560" s="8">
        <v>1.0001180555555556</v>
      </c>
      <c r="U2560" s="98">
        <v>4.1772862836611635</v>
      </c>
      <c r="V2560" s="106">
        <v>32389.102457545396</v>
      </c>
      <c r="W2560" s="10">
        <v>1.065958337446582</v>
      </c>
      <c r="X2560" s="420"/>
      <c r="Y2560" s="420"/>
      <c r="Z2560" s="1"/>
      <c r="AA2560" s="1"/>
      <c r="AB2560" s="1"/>
      <c r="AC2560" s="1"/>
      <c r="AD2560" s="1"/>
    </row>
    <row r="2561" spans="17:30">
      <c r="Q2561" s="6">
        <v>2531</v>
      </c>
      <c r="R2561" s="7">
        <v>45198</v>
      </c>
      <c r="S2561" s="210">
        <v>4.25</v>
      </c>
      <c r="T2561" s="8">
        <v>1.0001180555555556</v>
      </c>
      <c r="U2561" s="98">
        <v>4.1773753467096997</v>
      </c>
      <c r="V2561" s="106">
        <v>32391.798293349366</v>
      </c>
      <c r="W2561" s="10">
        <v>1.0660424268673419</v>
      </c>
      <c r="X2561" s="420"/>
      <c r="Y2561" s="420"/>
      <c r="Z2561" s="1"/>
      <c r="AA2561" s="1"/>
      <c r="AB2561" s="1"/>
      <c r="AC2561" s="1"/>
      <c r="AD2561" s="1"/>
    </row>
    <row r="2562" spans="17:30">
      <c r="Q2562" s="6">
        <v>2532</v>
      </c>
      <c r="R2562" s="7">
        <v>45199</v>
      </c>
      <c r="S2562" s="210">
        <v>4.25</v>
      </c>
      <c r="T2562" s="8">
        <v>1.0001180555555556</v>
      </c>
      <c r="U2562" s="98">
        <v>4.1774643394843158</v>
      </c>
      <c r="V2562" s="106">
        <v>32394.494353535312</v>
      </c>
      <c r="W2562" s="10">
        <v>1.0661264499366219</v>
      </c>
      <c r="X2562" s="420"/>
      <c r="Y2562" s="420"/>
      <c r="Z2562" s="1"/>
      <c r="AA2562" s="1"/>
      <c r="AB2562" s="1"/>
      <c r="AC2562" s="1"/>
      <c r="AD2562" s="1"/>
    </row>
    <row r="2563" spans="17:30">
      <c r="Q2563" s="6">
        <v>2533</v>
      </c>
      <c r="R2563" s="7">
        <v>45200</v>
      </c>
      <c r="S2563" s="210">
        <v>4.25</v>
      </c>
      <c r="T2563" s="8">
        <v>1.0001180555555556</v>
      </c>
      <c r="U2563" s="98">
        <v>4.1775532620681677</v>
      </c>
      <c r="V2563" s="106">
        <v>32397.190638121901</v>
      </c>
      <c r="W2563" s="10">
        <v>1.066210406732937</v>
      </c>
      <c r="X2563" s="420"/>
      <c r="Y2563" s="420"/>
      <c r="Z2563" s="1"/>
      <c r="AA2563" s="1"/>
      <c r="AB2563" s="1"/>
      <c r="AC2563" s="1"/>
      <c r="AD2563" s="1"/>
    </row>
    <row r="2564" spans="17:30">
      <c r="Q2564" s="6">
        <v>2534</v>
      </c>
      <c r="R2564" s="7">
        <v>45201</v>
      </c>
      <c r="S2564" s="210">
        <v>4.25</v>
      </c>
      <c r="T2564" s="8">
        <v>1.0001180555555556</v>
      </c>
      <c r="U2564" s="98">
        <v>4.1776421145442777</v>
      </c>
      <c r="V2564" s="106">
        <v>32399.887147127814</v>
      </c>
      <c r="W2564" s="10">
        <v>1.0662942973346912</v>
      </c>
      <c r="X2564" s="420"/>
      <c r="Y2564" s="420"/>
      <c r="Z2564" s="1"/>
      <c r="AA2564" s="1"/>
      <c r="AB2564" s="1"/>
      <c r="AC2564" s="1"/>
      <c r="AD2564" s="1"/>
    </row>
    <row r="2565" spans="17:30">
      <c r="Q2565" s="6">
        <v>2535</v>
      </c>
      <c r="R2565" s="7">
        <v>45202</v>
      </c>
      <c r="S2565" s="210">
        <v>4.25</v>
      </c>
      <c r="T2565" s="8">
        <v>1.0001180555555556</v>
      </c>
      <c r="U2565" s="98">
        <v>4.1777308969954907</v>
      </c>
      <c r="V2565" s="106">
        <v>32402.583880571729</v>
      </c>
      <c r="W2565" s="10">
        <v>1.0663781218201107</v>
      </c>
      <c r="X2565" s="420"/>
      <c r="Y2565" s="420"/>
      <c r="Z2565" s="1"/>
      <c r="AA2565" s="1"/>
      <c r="AB2565" s="1"/>
      <c r="AC2565" s="1"/>
      <c r="AD2565" s="1"/>
    </row>
    <row r="2566" spans="17:30">
      <c r="Q2566" s="6">
        <v>2536</v>
      </c>
      <c r="R2566" s="7">
        <v>45203</v>
      </c>
      <c r="S2566" s="210">
        <v>4.25</v>
      </c>
      <c r="T2566" s="8">
        <v>1.0001180555555556</v>
      </c>
      <c r="U2566" s="98">
        <v>4.177819609504585</v>
      </c>
      <c r="V2566" s="106">
        <v>32405.280838472336</v>
      </c>
      <c r="W2566" s="10">
        <v>1.0664618802673553</v>
      </c>
      <c r="X2566" s="420"/>
      <c r="Y2566" s="420"/>
      <c r="Z2566" s="1"/>
      <c r="AA2566" s="1"/>
      <c r="AB2566" s="1"/>
      <c r="AC2566" s="1"/>
      <c r="AD2566" s="1"/>
    </row>
    <row r="2567" spans="17:30">
      <c r="Q2567" s="6">
        <v>2537</v>
      </c>
      <c r="R2567" s="7">
        <v>45204</v>
      </c>
      <c r="S2567" s="210">
        <v>4.25</v>
      </c>
      <c r="T2567" s="8">
        <v>1.0001180555555556</v>
      </c>
      <c r="U2567" s="98">
        <v>4.1779082521541611</v>
      </c>
      <c r="V2567" s="106">
        <v>32407.978020848306</v>
      </c>
      <c r="W2567" s="10">
        <v>1.0665455727543849</v>
      </c>
      <c r="X2567" s="420"/>
      <c r="Y2567" s="420"/>
      <c r="Z2567" s="1"/>
      <c r="AA2567" s="1"/>
      <c r="AB2567" s="1"/>
      <c r="AC2567" s="1"/>
      <c r="AD2567" s="1"/>
    </row>
    <row r="2568" spans="17:30">
      <c r="Q2568" s="6">
        <v>2538</v>
      </c>
      <c r="R2568" s="7">
        <v>45205</v>
      </c>
      <c r="S2568" s="210">
        <v>4.25</v>
      </c>
      <c r="T2568" s="8">
        <v>1.0001180555555556</v>
      </c>
      <c r="U2568" s="98">
        <v>4.1779968250267085</v>
      </c>
      <c r="V2568" s="106">
        <v>32410.675427718332</v>
      </c>
      <c r="W2568" s="10">
        <v>1.066629199359137</v>
      </c>
      <c r="X2568" s="420"/>
      <c r="Y2568" s="420"/>
      <c r="Z2568" s="1"/>
      <c r="AA2568" s="1"/>
      <c r="AB2568" s="1"/>
      <c r="AC2568" s="1"/>
      <c r="AD2568" s="1"/>
    </row>
    <row r="2569" spans="17:30">
      <c r="Q2569" s="6">
        <v>2539</v>
      </c>
      <c r="R2569" s="7">
        <v>45206</v>
      </c>
      <c r="S2569" s="210">
        <v>4.25</v>
      </c>
      <c r="T2569" s="8">
        <v>1.0001180555555556</v>
      </c>
      <c r="U2569" s="98">
        <v>4.1780853282045838</v>
      </c>
      <c r="V2569" s="106">
        <v>32413.373059101094</v>
      </c>
      <c r="W2569" s="10">
        <v>1.0667127601593274</v>
      </c>
      <c r="X2569" s="420"/>
      <c r="Y2569" s="420"/>
      <c r="Z2569" s="1"/>
      <c r="AA2569" s="1"/>
      <c r="AB2569" s="1"/>
      <c r="AC2569" s="1"/>
      <c r="AD2569" s="1"/>
    </row>
    <row r="2570" spans="17:30">
      <c r="Q2570" s="6">
        <v>2540</v>
      </c>
      <c r="R2570" s="7">
        <v>45207</v>
      </c>
      <c r="S2570" s="210">
        <v>4.25</v>
      </c>
      <c r="T2570" s="8">
        <v>1.0001180555555556</v>
      </c>
      <c r="U2570" s="98">
        <v>4.1781737617700099</v>
      </c>
      <c r="V2570" s="106">
        <v>32416.070915015276</v>
      </c>
      <c r="W2570" s="10">
        <v>1.0667962552326271</v>
      </c>
      <c r="X2570" s="420"/>
      <c r="Y2570" s="420"/>
      <c r="Z2570" s="1"/>
      <c r="AA2570" s="1"/>
      <c r="AB2570" s="1"/>
      <c r="AC2570" s="1"/>
      <c r="AD2570" s="1"/>
    </row>
    <row r="2571" spans="17:30">
      <c r="Q2571" s="6">
        <v>2541</v>
      </c>
      <c r="R2571" s="7">
        <v>45208</v>
      </c>
      <c r="S2571" s="210">
        <v>4.25</v>
      </c>
      <c r="T2571" s="8">
        <v>1.0001180555555556</v>
      </c>
      <c r="U2571" s="98">
        <v>4.1782621258050989</v>
      </c>
      <c r="V2571" s="106">
        <v>32418.768995479568</v>
      </c>
      <c r="W2571" s="10">
        <v>1.066879684656552</v>
      </c>
      <c r="X2571" s="420"/>
      <c r="Y2571" s="420"/>
      <c r="Z2571" s="1"/>
      <c r="AA2571" s="1"/>
      <c r="AB2571" s="1"/>
      <c r="AC2571" s="1"/>
      <c r="AD2571" s="1"/>
    </row>
    <row r="2572" spans="17:30">
      <c r="Q2572" s="6">
        <v>2542</v>
      </c>
      <c r="R2572" s="7">
        <v>45209</v>
      </c>
      <c r="S2572" s="210">
        <v>4.25</v>
      </c>
      <c r="T2572" s="8">
        <v>1.0001180555555556</v>
      </c>
      <c r="U2572" s="98">
        <v>4.1783504203918076</v>
      </c>
      <c r="V2572" s="106">
        <v>32421.467300512664</v>
      </c>
      <c r="W2572" s="10">
        <v>1.0669630485084625</v>
      </c>
      <c r="X2572" s="420"/>
      <c r="Y2572" s="420"/>
      <c r="Z2572" s="1"/>
      <c r="AA2572" s="1"/>
      <c r="AB2572" s="1"/>
      <c r="AC2572" s="1"/>
      <c r="AD2572" s="1"/>
    </row>
    <row r="2573" spans="17:30">
      <c r="Q2573" s="6">
        <v>2543</v>
      </c>
      <c r="R2573" s="7">
        <v>45210</v>
      </c>
      <c r="S2573" s="210">
        <v>4.25</v>
      </c>
      <c r="T2573" s="8">
        <v>1.0001180555555556</v>
      </c>
      <c r="U2573" s="98">
        <v>4.1784386456119815</v>
      </c>
      <c r="V2573" s="106">
        <v>32424.16583013325</v>
      </c>
      <c r="W2573" s="10">
        <v>1.0670463468656965</v>
      </c>
      <c r="X2573" s="420"/>
      <c r="Y2573" s="420"/>
      <c r="Z2573" s="1"/>
      <c r="AA2573" s="1"/>
      <c r="AB2573" s="1"/>
      <c r="AC2573" s="1"/>
      <c r="AD2573" s="1"/>
    </row>
    <row r="2574" spans="17:30">
      <c r="Q2574" s="6">
        <v>2544</v>
      </c>
      <c r="R2574" s="7">
        <v>45211</v>
      </c>
      <c r="S2574" s="210">
        <v>4.25</v>
      </c>
      <c r="T2574" s="8">
        <v>1.0001180555555556</v>
      </c>
      <c r="U2574" s="98">
        <v>4.1785268015473331</v>
      </c>
      <c r="V2574" s="106">
        <v>32426.864584360024</v>
      </c>
      <c r="W2574" s="10">
        <v>1.0671295798053482</v>
      </c>
      <c r="X2574" s="420"/>
      <c r="Y2574" s="420"/>
      <c r="Z2574" s="1"/>
      <c r="AA2574" s="1"/>
      <c r="AB2574" s="1"/>
      <c r="AC2574" s="1"/>
      <c r="AD2574" s="1"/>
    </row>
    <row r="2575" spans="17:30">
      <c r="Q2575" s="6">
        <v>2545</v>
      </c>
      <c r="R2575" s="7">
        <v>45212</v>
      </c>
      <c r="S2575" s="210">
        <v>4.25</v>
      </c>
      <c r="T2575" s="8">
        <v>1.0001180555555556</v>
      </c>
      <c r="U2575" s="98">
        <v>4.1786148882794416</v>
      </c>
      <c r="V2575" s="106">
        <v>32429.563563211679</v>
      </c>
      <c r="W2575" s="10">
        <v>1.067212747404489</v>
      </c>
      <c r="X2575" s="420"/>
      <c r="Y2575" s="420"/>
      <c r="Z2575" s="1"/>
      <c r="AA2575" s="1"/>
      <c r="AB2575" s="1"/>
      <c r="AC2575" s="1"/>
      <c r="AD2575" s="1"/>
    </row>
    <row r="2576" spans="17:30">
      <c r="Q2576" s="6">
        <v>2546</v>
      </c>
      <c r="R2576" s="7">
        <v>45213</v>
      </c>
      <c r="S2576" s="210">
        <v>4.25</v>
      </c>
      <c r="T2576" s="8">
        <v>1.0001180555555556</v>
      </c>
      <c r="U2576" s="98">
        <v>4.1787029058897751</v>
      </c>
      <c r="V2576" s="106">
        <v>32432.26276670691</v>
      </c>
      <c r="W2576" s="10">
        <v>1.0672958497400131</v>
      </c>
      <c r="X2576" s="420"/>
      <c r="Y2576" s="420"/>
      <c r="Z2576" s="1"/>
      <c r="AA2576" s="1"/>
      <c r="AB2576" s="1"/>
      <c r="AC2576" s="1"/>
      <c r="AD2576" s="1"/>
    </row>
    <row r="2577" spans="17:30">
      <c r="Q2577" s="6">
        <v>2547</v>
      </c>
      <c r="R2577" s="7">
        <v>45214</v>
      </c>
      <c r="S2577" s="210">
        <v>4.25</v>
      </c>
      <c r="T2577" s="8">
        <v>1.0001180555555556</v>
      </c>
      <c r="U2577" s="98">
        <v>4.1787908544596464</v>
      </c>
      <c r="V2577" s="106">
        <v>32434.962194864416</v>
      </c>
      <c r="W2577" s="10">
        <v>1.0673788868887035</v>
      </c>
      <c r="X2577" s="420"/>
      <c r="Y2577" s="420"/>
      <c r="Z2577" s="1"/>
      <c r="AA2577" s="1"/>
      <c r="AB2577" s="1"/>
      <c r="AC2577" s="1"/>
      <c r="AD2577" s="1"/>
    </row>
    <row r="2578" spans="17:30">
      <c r="Q2578" s="6">
        <v>2548</v>
      </c>
      <c r="R2578" s="7">
        <v>45215</v>
      </c>
      <c r="S2578" s="210">
        <v>4.25</v>
      </c>
      <c r="T2578" s="8">
        <v>1.0001180555555556</v>
      </c>
      <c r="U2578" s="98">
        <v>4.1788787340702571</v>
      </c>
      <c r="V2578" s="106">
        <v>32437.661847702897</v>
      </c>
      <c r="W2578" s="10">
        <v>1.0674618589272544</v>
      </c>
      <c r="X2578" s="420"/>
      <c r="Y2578" s="420"/>
      <c r="Z2578" s="1"/>
      <c r="AA2578" s="1"/>
      <c r="AB2578" s="1"/>
      <c r="AC2578" s="1"/>
      <c r="AD2578" s="1"/>
    </row>
    <row r="2579" spans="17:30">
      <c r="Q2579" s="6">
        <v>2549</v>
      </c>
      <c r="R2579" s="7">
        <v>45216</v>
      </c>
      <c r="S2579" s="210">
        <v>4.25</v>
      </c>
      <c r="T2579" s="8">
        <v>1.0001180555555556</v>
      </c>
      <c r="U2579" s="98">
        <v>4.178966544802698</v>
      </c>
      <c r="V2579" s="106">
        <v>32440.361725241051</v>
      </c>
      <c r="W2579" s="10">
        <v>1.0675447659322046</v>
      </c>
      <c r="X2579" s="420"/>
      <c r="Y2579" s="420"/>
      <c r="Z2579" s="1"/>
      <c r="AA2579" s="1"/>
      <c r="AB2579" s="1"/>
      <c r="AC2579" s="1"/>
      <c r="AD2579" s="1"/>
    </row>
    <row r="2580" spans="17:30">
      <c r="Q2580" s="6">
        <v>2550</v>
      </c>
      <c r="R2580" s="7">
        <v>45217</v>
      </c>
      <c r="S2580" s="210">
        <v>4.25</v>
      </c>
      <c r="T2580" s="8">
        <v>1.0001180555555556</v>
      </c>
      <c r="U2580" s="98">
        <v>4.1790542867379044</v>
      </c>
      <c r="V2580" s="106">
        <v>32443.061827497579</v>
      </c>
      <c r="W2580" s="10">
        <v>1.0676276079799818</v>
      </c>
      <c r="X2580" s="420"/>
      <c r="Y2580" s="420"/>
      <c r="Z2580" s="1"/>
      <c r="AA2580" s="1"/>
      <c r="AB2580" s="1"/>
      <c r="AC2580" s="1"/>
      <c r="AD2580" s="1"/>
    </row>
    <row r="2581" spans="17:30">
      <c r="Q2581" s="6">
        <v>2551</v>
      </c>
      <c r="R2581" s="7">
        <v>45218</v>
      </c>
      <c r="S2581" s="210">
        <v>4.25</v>
      </c>
      <c r="T2581" s="8">
        <v>1.0001180555555556</v>
      </c>
      <c r="U2581" s="98">
        <v>4.1791419599566781</v>
      </c>
      <c r="V2581" s="106">
        <v>32445.762154491196</v>
      </c>
      <c r="W2581" s="10">
        <v>1.0677103851468805</v>
      </c>
      <c r="X2581" s="420"/>
      <c r="Y2581" s="420"/>
      <c r="Z2581" s="1"/>
      <c r="AA2581" s="1"/>
      <c r="AB2581" s="1"/>
      <c r="AC2581" s="1"/>
      <c r="AD2581" s="1"/>
    </row>
    <row r="2582" spans="17:30">
      <c r="Q2582" s="6">
        <v>2552</v>
      </c>
      <c r="R2582" s="7">
        <v>45219</v>
      </c>
      <c r="S2582" s="210">
        <v>4.25</v>
      </c>
      <c r="T2582" s="8">
        <v>1.0001180555555556</v>
      </c>
      <c r="U2582" s="98">
        <v>4.1792295645397326</v>
      </c>
      <c r="V2582" s="106">
        <v>32448.462706240593</v>
      </c>
      <c r="W2582" s="10">
        <v>1.0677930975091066</v>
      </c>
      <c r="X2582" s="420"/>
      <c r="Y2582" s="420"/>
      <c r="Z2582" s="1"/>
      <c r="AA2582" s="1"/>
      <c r="AB2582" s="1"/>
      <c r="AC2582" s="1"/>
      <c r="AD2582" s="1"/>
    </row>
    <row r="2583" spans="17:30">
      <c r="Q2583" s="6">
        <v>2553</v>
      </c>
      <c r="R2583" s="7">
        <v>45220</v>
      </c>
      <c r="S2583" s="210">
        <v>4.25</v>
      </c>
      <c r="T2583" s="8">
        <v>1.0001180555555556</v>
      </c>
      <c r="U2583" s="98">
        <v>4.1793171005676255</v>
      </c>
      <c r="V2583" s="106">
        <v>32451.163482764485</v>
      </c>
      <c r="W2583" s="10">
        <v>1.0678757451427323</v>
      </c>
      <c r="X2583" s="420"/>
      <c r="Y2583" s="420"/>
      <c r="Z2583" s="1"/>
      <c r="AA2583" s="1"/>
      <c r="AB2583" s="1"/>
      <c r="AC2583" s="1"/>
      <c r="AD2583" s="1"/>
    </row>
    <row r="2584" spans="17:30">
      <c r="Q2584" s="6">
        <v>2554</v>
      </c>
      <c r="R2584" s="7">
        <v>45221</v>
      </c>
      <c r="S2584" s="210">
        <v>4.25</v>
      </c>
      <c r="T2584" s="8">
        <v>1.0001180555555556</v>
      </c>
      <c r="U2584" s="98">
        <v>4.1794045681208036</v>
      </c>
      <c r="V2584" s="106">
        <v>32453.86448408158</v>
      </c>
      <c r="W2584" s="10">
        <v>1.0679583281237193</v>
      </c>
      <c r="X2584" s="420"/>
      <c r="Y2584" s="420"/>
      <c r="Z2584" s="1"/>
      <c r="AA2584" s="1"/>
      <c r="AB2584" s="1"/>
      <c r="AC2584" s="1"/>
      <c r="AD2584" s="1"/>
    </row>
    <row r="2585" spans="17:30">
      <c r="Q2585" s="6">
        <v>2555</v>
      </c>
      <c r="R2585" s="7">
        <v>45222</v>
      </c>
      <c r="S2585" s="210">
        <v>4.25</v>
      </c>
      <c r="T2585" s="8">
        <v>1.0001180555555556</v>
      </c>
      <c r="U2585" s="98">
        <v>4.1794919672795805</v>
      </c>
      <c r="V2585" s="106">
        <v>32456.565710210583</v>
      </c>
      <c r="W2585" s="10">
        <v>1.0680408465278957</v>
      </c>
      <c r="X2585" s="420"/>
      <c r="Y2585" s="420"/>
      <c r="Z2585" s="1"/>
      <c r="AA2585" s="1"/>
      <c r="AB2585" s="1"/>
      <c r="AC2585" s="1"/>
      <c r="AD2585" s="1"/>
    </row>
    <row r="2586" spans="17:30">
      <c r="Q2586" s="6">
        <v>2556</v>
      </c>
      <c r="R2586" s="7">
        <v>45223</v>
      </c>
      <c r="S2586" s="210">
        <v>4.25</v>
      </c>
      <c r="T2586" s="8">
        <v>1.0001180555555556</v>
      </c>
      <c r="U2586" s="98">
        <v>4.1795792981241586</v>
      </c>
      <c r="V2586" s="106">
        <v>32459.267161170214</v>
      </c>
      <c r="W2586" s="10">
        <v>1.0681233004309787</v>
      </c>
      <c r="X2586" s="420"/>
      <c r="Y2586" s="420"/>
      <c r="Z2586" s="1"/>
      <c r="AA2586" s="1"/>
      <c r="AB2586" s="1"/>
      <c r="AC2586" s="1"/>
      <c r="AD2586" s="1"/>
    </row>
    <row r="2587" spans="17:30">
      <c r="Q2587" s="6">
        <v>2557</v>
      </c>
      <c r="R2587" s="7">
        <v>45224</v>
      </c>
      <c r="S2587" s="210">
        <v>4.25</v>
      </c>
      <c r="T2587" s="8">
        <v>1.0001180555555556</v>
      </c>
      <c r="U2587" s="98">
        <v>4.1796665607345851</v>
      </c>
      <c r="V2587" s="106">
        <v>32461.96883697918</v>
      </c>
      <c r="W2587" s="10">
        <v>1.0682056899085746</v>
      </c>
      <c r="X2587" s="420"/>
      <c r="Y2587" s="420"/>
      <c r="Z2587" s="1"/>
      <c r="AA2587" s="1"/>
      <c r="AB2587" s="1"/>
      <c r="AC2587" s="1"/>
      <c r="AD2587" s="1"/>
    </row>
    <row r="2588" spans="17:30">
      <c r="Q2588" s="6">
        <v>2558</v>
      </c>
      <c r="R2588" s="7">
        <v>45225</v>
      </c>
      <c r="S2588" s="210">
        <v>4.25</v>
      </c>
      <c r="T2588" s="8">
        <v>1.0001180555555556</v>
      </c>
      <c r="U2588" s="98">
        <v>4.1797537551907959</v>
      </c>
      <c r="V2588" s="106">
        <v>32464.670737656197</v>
      </c>
      <c r="W2588" s="10">
        <v>1.068288015036134</v>
      </c>
      <c r="X2588" s="420"/>
      <c r="Y2588" s="420"/>
      <c r="Z2588" s="1"/>
      <c r="AA2588" s="1"/>
      <c r="AB2588" s="1"/>
      <c r="AC2588" s="1"/>
      <c r="AD2588" s="1"/>
    </row>
    <row r="2589" spans="17:30">
      <c r="Q2589" s="6">
        <v>2559</v>
      </c>
      <c r="R2589" s="7">
        <v>45226</v>
      </c>
      <c r="S2589" s="210">
        <v>4.25</v>
      </c>
      <c r="T2589" s="8">
        <v>1.0001180555555556</v>
      </c>
      <c r="U2589" s="98">
        <v>4.1798408815726162</v>
      </c>
      <c r="V2589" s="106">
        <v>32467.372863219985</v>
      </c>
      <c r="W2589" s="10">
        <v>1.0683702758890412</v>
      </c>
      <c r="X2589" s="420"/>
      <c r="Y2589" s="420"/>
      <c r="Z2589" s="1"/>
      <c r="AA2589" s="1"/>
      <c r="AB2589" s="1"/>
      <c r="AC2589" s="1"/>
      <c r="AD2589" s="1"/>
    </row>
    <row r="2590" spans="17:30">
      <c r="Q2590" s="6">
        <v>2560</v>
      </c>
      <c r="R2590" s="7">
        <v>45227</v>
      </c>
      <c r="S2590" s="210">
        <v>4.25</v>
      </c>
      <c r="T2590" s="8">
        <v>1.0001180555555556</v>
      </c>
      <c r="U2590" s="98">
        <v>4.1799279399597156</v>
      </c>
      <c r="V2590" s="106">
        <v>32470.075213689259</v>
      </c>
      <c r="W2590" s="10">
        <v>1.0684524725425248</v>
      </c>
      <c r="X2590" s="420"/>
      <c r="Y2590" s="420"/>
      <c r="Z2590" s="1"/>
      <c r="AA2590" s="1"/>
      <c r="AB2590" s="1"/>
      <c r="AC2590" s="1"/>
      <c r="AD2590" s="1"/>
    </row>
    <row r="2591" spans="17:30">
      <c r="Q2591" s="6">
        <v>2561</v>
      </c>
      <c r="R2591" s="7">
        <v>45228</v>
      </c>
      <c r="S2591" s="210">
        <v>4.25</v>
      </c>
      <c r="T2591" s="8">
        <v>1.0001180555555556</v>
      </c>
      <c r="U2591" s="98">
        <v>4.1800149304316747</v>
      </c>
      <c r="V2591" s="106">
        <v>32472.777789082735</v>
      </c>
      <c r="W2591" s="10">
        <v>1.0685346050717026</v>
      </c>
      <c r="X2591" s="420"/>
      <c r="Y2591" s="420"/>
      <c r="Z2591" s="1"/>
      <c r="AA2591" s="1"/>
      <c r="AB2591" s="1"/>
      <c r="AC2591" s="1"/>
      <c r="AD2591" s="1"/>
    </row>
    <row r="2592" spans="17:30">
      <c r="Q2592" s="6">
        <v>2562</v>
      </c>
      <c r="R2592" s="7">
        <v>45229</v>
      </c>
      <c r="S2592" s="210">
        <v>4.25</v>
      </c>
      <c r="T2592" s="8">
        <v>1.0001180555555556</v>
      </c>
      <c r="U2592" s="98">
        <v>4.1801018530679412</v>
      </c>
      <c r="V2592" s="106">
        <v>32475.480589419145</v>
      </c>
      <c r="W2592" s="10">
        <v>1.0686166735516034</v>
      </c>
      <c r="X2592" s="420"/>
      <c r="Y2592" s="420"/>
      <c r="Z2592" s="1"/>
      <c r="AA2592" s="1"/>
      <c r="AB2592" s="1"/>
      <c r="AC2592" s="1"/>
      <c r="AD2592" s="1"/>
    </row>
    <row r="2593" spans="17:30">
      <c r="Q2593" s="6">
        <v>2563</v>
      </c>
      <c r="R2593" s="7">
        <v>45230</v>
      </c>
      <c r="S2593" s="210">
        <v>4.25</v>
      </c>
      <c r="T2593" s="8">
        <v>1.0001180555555556</v>
      </c>
      <c r="U2593" s="98">
        <v>4.1801887079478295</v>
      </c>
      <c r="V2593" s="106">
        <v>32478.183614717196</v>
      </c>
      <c r="W2593" s="10">
        <v>1.068698678057145</v>
      </c>
      <c r="X2593" s="420"/>
      <c r="Y2593" s="420"/>
      <c r="Z2593" s="1"/>
      <c r="AA2593" s="1"/>
      <c r="AB2593" s="1"/>
      <c r="AC2593" s="1"/>
      <c r="AD2593" s="1"/>
    </row>
    <row r="2594" spans="17:30">
      <c r="Q2594" s="6">
        <v>2564</v>
      </c>
      <c r="R2594" s="7">
        <v>45231</v>
      </c>
      <c r="S2594" s="210">
        <v>4.25</v>
      </c>
      <c r="T2594" s="8">
        <v>1.0001180555555556</v>
      </c>
      <c r="U2594" s="98">
        <v>4.1802754951505205</v>
      </c>
      <c r="V2594" s="106">
        <v>32480.886864995631</v>
      </c>
      <c r="W2594" s="10">
        <v>1.0687806186630455</v>
      </c>
      <c r="X2594" s="420"/>
      <c r="Y2594" s="420"/>
      <c r="Z2594" s="1"/>
      <c r="AA2594" s="1"/>
      <c r="AB2594" s="1"/>
      <c r="AC2594" s="1"/>
      <c r="AD2594" s="1"/>
    </row>
    <row r="2595" spans="17:30">
      <c r="Q2595" s="6">
        <v>2565</v>
      </c>
      <c r="R2595" s="7">
        <v>45232</v>
      </c>
      <c r="S2595" s="210">
        <v>4.25</v>
      </c>
      <c r="T2595" s="8">
        <v>1.0001180555555556</v>
      </c>
      <c r="U2595" s="98">
        <v>4.1803622147550845</v>
      </c>
      <c r="V2595" s="106">
        <v>32483.59034027316</v>
      </c>
      <c r="W2595" s="10">
        <v>1.0688624954439785</v>
      </c>
      <c r="X2595" s="420"/>
      <c r="Y2595" s="420"/>
      <c r="Z2595" s="1"/>
      <c r="AA2595" s="1"/>
      <c r="AB2595" s="1"/>
      <c r="AC2595" s="1"/>
      <c r="AD2595" s="1"/>
    </row>
    <row r="2596" spans="17:30">
      <c r="Q2596" s="6">
        <v>2566</v>
      </c>
      <c r="R2596" s="7">
        <v>45233</v>
      </c>
      <c r="S2596" s="210">
        <v>4.25</v>
      </c>
      <c r="T2596" s="8">
        <v>1.0001180555555556</v>
      </c>
      <c r="U2596" s="98">
        <v>4.1804488668404804</v>
      </c>
      <c r="V2596" s="106">
        <v>32486.294040568519</v>
      </c>
      <c r="W2596" s="10">
        <v>1.0689443084745287</v>
      </c>
      <c r="X2596" s="420"/>
      <c r="Y2596" s="420"/>
      <c r="Z2596" s="1"/>
      <c r="AA2596" s="1"/>
      <c r="AB2596" s="1"/>
      <c r="AC2596" s="1"/>
      <c r="AD2596" s="1"/>
    </row>
    <row r="2597" spans="17:30">
      <c r="Q2597" s="6">
        <v>2567</v>
      </c>
      <c r="R2597" s="7">
        <v>45234</v>
      </c>
      <c r="S2597" s="210">
        <v>4.25</v>
      </c>
      <c r="T2597" s="8">
        <v>1.0001180555555556</v>
      </c>
      <c r="U2597" s="98">
        <v>4.1805354514855342</v>
      </c>
      <c r="V2597" s="106">
        <v>32488.997965900431</v>
      </c>
      <c r="W2597" s="10">
        <v>1.0690260578290811</v>
      </c>
      <c r="X2597" s="420"/>
      <c r="Y2597" s="420"/>
      <c r="Z2597" s="1"/>
      <c r="AA2597" s="1"/>
      <c r="AB2597" s="1"/>
      <c r="AC2597" s="1"/>
      <c r="AD2597" s="1"/>
    </row>
    <row r="2598" spans="17:30">
      <c r="Q2598" s="6">
        <v>2568</v>
      </c>
      <c r="R2598" s="7">
        <v>45235</v>
      </c>
      <c r="S2598" s="210">
        <v>4.25</v>
      </c>
      <c r="T2598" s="8">
        <v>1.0001180555555556</v>
      </c>
      <c r="U2598" s="98">
        <v>4.1806219687689383</v>
      </c>
      <c r="V2598" s="106">
        <v>32491.702116287626</v>
      </c>
      <c r="W2598" s="10">
        <v>1.069107743581954</v>
      </c>
      <c r="X2598" s="420"/>
      <c r="Y2598" s="420"/>
      <c r="Z2598" s="1"/>
      <c r="AA2598" s="1"/>
      <c r="AB2598" s="1"/>
      <c r="AC2598" s="1"/>
      <c r="AD2598" s="1"/>
    </row>
    <row r="2599" spans="17:30">
      <c r="Q2599" s="6">
        <v>2569</v>
      </c>
      <c r="R2599" s="7">
        <v>45236</v>
      </c>
      <c r="S2599" s="210">
        <v>4.25</v>
      </c>
      <c r="T2599" s="8">
        <v>1.0001180555555556</v>
      </c>
      <c r="U2599" s="98">
        <v>4.1807084187692745</v>
      </c>
      <c r="V2599" s="106">
        <v>32494.406491748839</v>
      </c>
      <c r="W2599" s="10">
        <v>1.0691893658073548</v>
      </c>
      <c r="X2599" s="420"/>
      <c r="Y2599" s="420"/>
      <c r="Z2599" s="1"/>
      <c r="AA2599" s="1"/>
      <c r="AB2599" s="1"/>
      <c r="AC2599" s="1"/>
      <c r="AD2599" s="1"/>
    </row>
    <row r="2600" spans="17:30">
      <c r="Q2600" s="6">
        <v>2570</v>
      </c>
      <c r="R2600" s="7">
        <v>45237</v>
      </c>
      <c r="S2600" s="210">
        <v>4.25</v>
      </c>
      <c r="T2600" s="8">
        <v>1.0001180555555556</v>
      </c>
      <c r="U2600" s="98">
        <v>4.1807948015649909</v>
      </c>
      <c r="V2600" s="106">
        <v>32497.111092302814</v>
      </c>
      <c r="W2600" s="10">
        <v>1.0692709245793353</v>
      </c>
      <c r="X2600" s="420"/>
      <c r="Y2600" s="420"/>
      <c r="Z2600" s="1"/>
      <c r="AA2600" s="1"/>
      <c r="AB2600" s="1"/>
      <c r="AC2600" s="1"/>
      <c r="AD2600" s="1"/>
    </row>
    <row r="2601" spans="17:30">
      <c r="Q2601" s="6">
        <v>2571</v>
      </c>
      <c r="R2601" s="7">
        <v>45238</v>
      </c>
      <c r="S2601" s="210">
        <v>4.25</v>
      </c>
      <c r="T2601" s="8">
        <v>1.0001180555555556</v>
      </c>
      <c r="U2601" s="98">
        <v>4.1808811172344473</v>
      </c>
      <c r="V2601" s="106">
        <v>32499.815917968266</v>
      </c>
      <c r="W2601" s="10">
        <v>1.0693524199719029</v>
      </c>
      <c r="X2601" s="420"/>
      <c r="Y2601" s="420"/>
      <c r="Z2601" s="1"/>
      <c r="AA2601" s="1"/>
      <c r="AB2601" s="1"/>
      <c r="AC2601" s="1"/>
      <c r="AD2601" s="1"/>
    </row>
    <row r="2602" spans="17:30">
      <c r="Q2602" s="6">
        <v>2572</v>
      </c>
      <c r="R2602" s="7">
        <v>45239</v>
      </c>
      <c r="S2602" s="210">
        <v>4.25</v>
      </c>
      <c r="T2602" s="8">
        <v>1.0001180555555556</v>
      </c>
      <c r="U2602" s="98">
        <v>4.1809673658558255</v>
      </c>
      <c r="V2602" s="106">
        <v>32502.520968763944</v>
      </c>
      <c r="W2602" s="10">
        <v>1.0694338520588653</v>
      </c>
      <c r="X2602" s="420"/>
      <c r="Y2602" s="420"/>
      <c r="Z2602" s="1"/>
      <c r="AA2602" s="1"/>
      <c r="AB2602" s="1"/>
      <c r="AC2602" s="1"/>
      <c r="AD2602" s="1"/>
    </row>
    <row r="2603" spans="17:30">
      <c r="Q2603" s="6">
        <v>2573</v>
      </c>
      <c r="R2603" s="7">
        <v>45240</v>
      </c>
      <c r="S2603" s="210">
        <v>4.25</v>
      </c>
      <c r="T2603" s="8">
        <v>1.0001180555555556</v>
      </c>
      <c r="U2603" s="98">
        <v>4.1810535475072408</v>
      </c>
      <c r="V2603" s="106">
        <v>32505.226244708578</v>
      </c>
      <c r="W2603" s="10">
        <v>1.0695152209139858</v>
      </c>
      <c r="X2603" s="420"/>
      <c r="Y2603" s="420"/>
      <c r="Z2603" s="1"/>
      <c r="AA2603" s="1"/>
      <c r="AB2603" s="1"/>
      <c r="AC2603" s="1"/>
      <c r="AD2603" s="1"/>
    </row>
    <row r="2604" spans="17:30">
      <c r="Q2604" s="6">
        <v>2574</v>
      </c>
      <c r="R2604" s="7">
        <v>45241</v>
      </c>
      <c r="S2604" s="210">
        <v>4.25</v>
      </c>
      <c r="T2604" s="8">
        <v>1.0001180555555556</v>
      </c>
      <c r="U2604" s="98">
        <v>4.181139662266653</v>
      </c>
      <c r="V2604" s="106">
        <v>32507.931745820926</v>
      </c>
      <c r="W2604" s="10">
        <v>1.069596526610872</v>
      </c>
      <c r="X2604" s="420"/>
      <c r="Y2604" s="420"/>
      <c r="Z2604" s="1"/>
      <c r="AA2604" s="1"/>
      <c r="AB2604" s="1"/>
      <c r="AC2604" s="1"/>
      <c r="AD2604" s="1"/>
    </row>
    <row r="2605" spans="17:30">
      <c r="Q2605" s="6">
        <v>2575</v>
      </c>
      <c r="R2605" s="7">
        <v>45242</v>
      </c>
      <c r="S2605" s="210">
        <v>4.25</v>
      </c>
      <c r="T2605" s="8">
        <v>1.0001180555555556</v>
      </c>
      <c r="U2605" s="98">
        <v>4.181225710211911</v>
      </c>
      <c r="V2605" s="106">
        <v>32510.63747211971</v>
      </c>
      <c r="W2605" s="10">
        <v>1.069677769223043</v>
      </c>
      <c r="X2605" s="420"/>
      <c r="Y2605" s="420"/>
      <c r="Z2605" s="1"/>
      <c r="AA2605" s="1"/>
      <c r="AB2605" s="1"/>
      <c r="AC2605" s="1"/>
      <c r="AD2605" s="1"/>
    </row>
    <row r="2606" spans="17:30">
      <c r="Q2606" s="6">
        <v>2576</v>
      </c>
      <c r="R2606" s="7">
        <v>45243</v>
      </c>
      <c r="S2606" s="210">
        <v>4.25</v>
      </c>
      <c r="T2606" s="8">
        <v>1.0001180555555556</v>
      </c>
      <c r="U2606" s="98">
        <v>4.1813116914207527</v>
      </c>
      <c r="V2606" s="106">
        <v>32513.343423623675</v>
      </c>
      <c r="W2606" s="10">
        <v>1.0697589488238624</v>
      </c>
      <c r="X2606" s="420"/>
      <c r="Y2606" s="420"/>
      <c r="Z2606" s="1"/>
      <c r="AA2606" s="1"/>
      <c r="AB2606" s="1"/>
      <c r="AC2606" s="1"/>
      <c r="AD2606" s="1"/>
    </row>
    <row r="2607" spans="17:30">
      <c r="Q2607" s="6">
        <v>2577</v>
      </c>
      <c r="R2607" s="7">
        <v>45244</v>
      </c>
      <c r="S2607" s="210">
        <v>4.25</v>
      </c>
      <c r="T2607" s="8">
        <v>1.0001180555555556</v>
      </c>
      <c r="U2607" s="98">
        <v>4.1813976059707825</v>
      </c>
      <c r="V2607" s="106">
        <v>32516.04960035158</v>
      </c>
      <c r="W2607" s="10">
        <v>1.0698400654866491</v>
      </c>
      <c r="X2607" s="420"/>
      <c r="Y2607" s="420"/>
      <c r="Z2607" s="1"/>
      <c r="AA2607" s="1"/>
      <c r="AB2607" s="1"/>
      <c r="AC2607" s="1"/>
      <c r="AD2607" s="1"/>
    </row>
    <row r="2608" spans="17:30">
      <c r="Q2608" s="6">
        <v>2578</v>
      </c>
      <c r="R2608" s="7">
        <v>45245</v>
      </c>
      <c r="S2608" s="210">
        <v>4.25</v>
      </c>
      <c r="T2608" s="8">
        <v>1.0001180555555556</v>
      </c>
      <c r="U2608" s="98">
        <v>4.1814834539394719</v>
      </c>
      <c r="V2608" s="106">
        <v>32518.756002322152</v>
      </c>
      <c r="W2608" s="10">
        <v>1.0699211192845226</v>
      </c>
      <c r="X2608" s="420"/>
      <c r="Y2608" s="420"/>
      <c r="Z2608" s="1"/>
      <c r="AA2608" s="1"/>
      <c r="AB2608" s="1"/>
      <c r="AC2608" s="1"/>
      <c r="AD2608" s="1"/>
    </row>
    <row r="2609" spans="17:30">
      <c r="Q2609" s="6">
        <v>2579</v>
      </c>
      <c r="R2609" s="7">
        <v>45246</v>
      </c>
      <c r="S2609" s="210">
        <v>4.25</v>
      </c>
      <c r="T2609" s="8">
        <v>1.0001180555555556</v>
      </c>
      <c r="U2609" s="98">
        <v>4.1815692354042033</v>
      </c>
      <c r="V2609" s="106">
        <v>32521.462629554153</v>
      </c>
      <c r="W2609" s="10">
        <v>1.0700021102905577</v>
      </c>
      <c r="X2609" s="420"/>
      <c r="Y2609" s="420"/>
      <c r="Z2609" s="1"/>
      <c r="AA2609" s="1"/>
      <c r="AB2609" s="1"/>
      <c r="AC2609" s="1"/>
      <c r="AD2609" s="1"/>
    </row>
    <row r="2610" spans="17:30">
      <c r="Q2610" s="6">
        <v>2580</v>
      </c>
      <c r="R2610" s="7">
        <v>45247</v>
      </c>
      <c r="S2610" s="210">
        <v>4.25</v>
      </c>
      <c r="T2610" s="8">
        <v>1.0001180555555556</v>
      </c>
      <c r="U2610" s="98">
        <v>4.1816549504422262</v>
      </c>
      <c r="V2610" s="106">
        <v>32524.169482066322</v>
      </c>
      <c r="W2610" s="10">
        <v>1.070083038577696</v>
      </c>
      <c r="X2610" s="420"/>
      <c r="Y2610" s="420"/>
      <c r="Z2610" s="1"/>
      <c r="AA2610" s="1"/>
      <c r="AB2610" s="1"/>
      <c r="AC2610" s="1"/>
      <c r="AD2610" s="1"/>
    </row>
    <row r="2611" spans="17:30">
      <c r="Q2611" s="6">
        <v>2581</v>
      </c>
      <c r="R2611" s="7">
        <v>45248</v>
      </c>
      <c r="S2611" s="210">
        <v>4.25</v>
      </c>
      <c r="T2611" s="8">
        <v>1.0001180555555556</v>
      </c>
      <c r="U2611" s="98">
        <v>4.1817405991306789</v>
      </c>
      <c r="V2611" s="106">
        <v>32526.876559877419</v>
      </c>
      <c r="W2611" s="10">
        <v>1.0701639042187905</v>
      </c>
      <c r="X2611" s="420"/>
      <c r="Y2611" s="420"/>
      <c r="Z2611" s="1"/>
      <c r="AA2611" s="1"/>
      <c r="AB2611" s="1"/>
      <c r="AC2611" s="1"/>
      <c r="AD2611" s="1"/>
    </row>
    <row r="2612" spans="17:30">
      <c r="Q2612" s="6">
        <v>2582</v>
      </c>
      <c r="R2612" s="7">
        <v>45249</v>
      </c>
      <c r="S2612" s="210">
        <v>4.25</v>
      </c>
      <c r="T2612" s="8">
        <v>1.0001180555555556</v>
      </c>
      <c r="U2612" s="98">
        <v>4.1818261815465441</v>
      </c>
      <c r="V2612" s="106">
        <v>32529.583863006192</v>
      </c>
      <c r="W2612" s="10">
        <v>1.070244707286494</v>
      </c>
      <c r="X2612" s="420"/>
      <c r="Y2612" s="420"/>
      <c r="Z2612" s="1"/>
      <c r="AA2612" s="1"/>
      <c r="AB2612" s="1"/>
      <c r="AC2612" s="1"/>
      <c r="AD2612" s="1"/>
    </row>
    <row r="2613" spans="17:30">
      <c r="Q2613" s="6">
        <v>2583</v>
      </c>
      <c r="R2613" s="7">
        <v>45250</v>
      </c>
      <c r="S2613" s="210">
        <v>4.25</v>
      </c>
      <c r="T2613" s="8">
        <v>1.0001180555555556</v>
      </c>
      <c r="U2613" s="98">
        <v>4.1819116977667381</v>
      </c>
      <c r="V2613" s="106">
        <v>32532.291391471397</v>
      </c>
      <c r="W2613" s="10">
        <v>1.0703254478534374</v>
      </c>
      <c r="X2613" s="420"/>
      <c r="Y2613" s="420"/>
      <c r="Z2613" s="1"/>
      <c r="AA2613" s="1"/>
      <c r="AB2613" s="1"/>
      <c r="AC2613" s="1"/>
      <c r="AD2613" s="1"/>
    </row>
    <row r="2614" spans="17:30">
      <c r="Q2614" s="6">
        <v>2584</v>
      </c>
      <c r="R2614" s="7">
        <v>45251</v>
      </c>
      <c r="S2614" s="210">
        <v>4.25</v>
      </c>
      <c r="T2614" s="8">
        <v>1.0001180555555556</v>
      </c>
      <c r="U2614" s="98">
        <v>4.1819971478680218</v>
      </c>
      <c r="V2614" s="106">
        <v>32534.999145291778</v>
      </c>
      <c r="W2614" s="10">
        <v>1.0704061259921183</v>
      </c>
      <c r="X2614" s="420"/>
      <c r="Y2614" s="420"/>
      <c r="Z2614" s="1"/>
      <c r="AA2614" s="1"/>
      <c r="AB2614" s="1"/>
      <c r="AC2614" s="1"/>
      <c r="AD2614" s="1"/>
    </row>
    <row r="2615" spans="17:30">
      <c r="Q2615" s="6">
        <v>2585</v>
      </c>
      <c r="R2615" s="7">
        <v>45252</v>
      </c>
      <c r="S2615" s="210">
        <v>4.25</v>
      </c>
      <c r="T2615" s="8">
        <v>1.0001180555555556</v>
      </c>
      <c r="U2615" s="98">
        <v>4.1820825319270449</v>
      </c>
      <c r="V2615" s="106">
        <v>32537.707124486107</v>
      </c>
      <c r="W2615" s="10">
        <v>1.0704867417749009</v>
      </c>
      <c r="X2615" s="420"/>
      <c r="Y2615" s="420"/>
      <c r="Z2615" s="1"/>
      <c r="AA2615" s="1"/>
      <c r="AB2615" s="1"/>
      <c r="AC2615" s="1"/>
      <c r="AD2615" s="1"/>
    </row>
    <row r="2616" spans="17:30">
      <c r="Q2616" s="6">
        <v>2586</v>
      </c>
      <c r="R2616" s="7">
        <v>45253</v>
      </c>
      <c r="S2616" s="210">
        <v>4.25</v>
      </c>
      <c r="T2616" s="8">
        <v>1.0001180555555556</v>
      </c>
      <c r="U2616" s="98">
        <v>4.1821678500203463</v>
      </c>
      <c r="V2616" s="106">
        <v>32540.415329073137</v>
      </c>
      <c r="W2616" s="10">
        <v>1.0705672952740386</v>
      </c>
      <c r="X2616" s="420"/>
      <c r="Y2616" s="420"/>
      <c r="Z2616" s="1"/>
      <c r="AA2616" s="1"/>
      <c r="AB2616" s="1"/>
      <c r="AC2616" s="1"/>
      <c r="AD2616" s="1"/>
    </row>
    <row r="2617" spans="17:30">
      <c r="Q2617" s="6">
        <v>2587</v>
      </c>
      <c r="R2617" s="7">
        <v>45254</v>
      </c>
      <c r="S2617" s="210">
        <v>4.25</v>
      </c>
      <c r="T2617" s="8">
        <v>1.0001180555555556</v>
      </c>
      <c r="U2617" s="98">
        <v>4.1822531022243314</v>
      </c>
      <c r="V2617" s="106">
        <v>32543.123759071626</v>
      </c>
      <c r="W2617" s="10">
        <v>1.0706477865616959</v>
      </c>
      <c r="X2617" s="420"/>
      <c r="Y2617" s="420"/>
      <c r="Z2617" s="1"/>
      <c r="AA2617" s="1"/>
      <c r="AB2617" s="1"/>
      <c r="AC2617" s="1"/>
      <c r="AD2617" s="1"/>
    </row>
    <row r="2618" spans="17:30">
      <c r="Q2618" s="6">
        <v>2588</v>
      </c>
      <c r="R2618" s="7">
        <v>45255</v>
      </c>
      <c r="S2618" s="210">
        <v>4.25</v>
      </c>
      <c r="T2618" s="8">
        <v>1.0001180555555556</v>
      </c>
      <c r="U2618" s="98">
        <v>4.1823382886152949</v>
      </c>
      <c r="V2618" s="106">
        <v>32545.832414500339</v>
      </c>
      <c r="W2618" s="10">
        <v>1.0707282157099263</v>
      </c>
      <c r="X2618" s="420"/>
      <c r="Y2618" s="420"/>
      <c r="Z2618" s="1"/>
      <c r="AA2618" s="1"/>
      <c r="AB2618" s="1"/>
      <c r="AC2618" s="1"/>
      <c r="AD2618" s="1"/>
    </row>
    <row r="2619" spans="17:30">
      <c r="Q2619" s="6">
        <v>2589</v>
      </c>
      <c r="R2619" s="7">
        <v>45256</v>
      </c>
      <c r="S2619" s="210">
        <v>4.25</v>
      </c>
      <c r="T2619" s="8">
        <v>1.0001180555555556</v>
      </c>
      <c r="U2619" s="98">
        <v>4.1824234092694423</v>
      </c>
      <c r="V2619" s="106">
        <v>32548.541295378032</v>
      </c>
      <c r="W2619" s="10">
        <v>1.0708085827906277</v>
      </c>
      <c r="X2619" s="420"/>
      <c r="Y2619" s="420"/>
      <c r="Z2619" s="1"/>
      <c r="AA2619" s="1"/>
      <c r="AB2619" s="1"/>
      <c r="AC2619" s="1"/>
      <c r="AD2619" s="1"/>
    </row>
    <row r="2620" spans="17:30">
      <c r="Q2620" s="6">
        <v>2590</v>
      </c>
      <c r="R2620" s="7">
        <v>45257</v>
      </c>
      <c r="S2620" s="210">
        <v>4.25</v>
      </c>
      <c r="T2620" s="8">
        <v>1.0001180555555556</v>
      </c>
      <c r="U2620" s="98">
        <v>4.1825084642628241</v>
      </c>
      <c r="V2620" s="106">
        <v>32551.250401723482</v>
      </c>
      <c r="W2620" s="10">
        <v>1.0708888878756539</v>
      </c>
      <c r="X2620" s="420"/>
      <c r="Y2620" s="420"/>
      <c r="Z2620" s="1"/>
      <c r="AA2620" s="1"/>
      <c r="AB2620" s="1"/>
      <c r="AC2620" s="1"/>
      <c r="AD2620" s="1"/>
    </row>
    <row r="2621" spans="17:30">
      <c r="Q2621" s="6">
        <v>2591</v>
      </c>
      <c r="R2621" s="7">
        <v>45258</v>
      </c>
      <c r="S2621" s="210">
        <v>4.25</v>
      </c>
      <c r="T2621" s="8">
        <v>1.0001180555555556</v>
      </c>
      <c r="U2621" s="98">
        <v>4.1825934536713794</v>
      </c>
      <c r="V2621" s="106">
        <v>32553.959733555439</v>
      </c>
      <c r="W2621" s="10">
        <v>1.0709691310367031</v>
      </c>
      <c r="X2621" s="420"/>
      <c r="Y2621" s="420"/>
      <c r="Z2621" s="1"/>
      <c r="AA2621" s="1"/>
      <c r="AB2621" s="1"/>
      <c r="AC2621" s="1"/>
      <c r="AD2621" s="1"/>
    </row>
    <row r="2622" spans="17:30">
      <c r="Q2622" s="6">
        <v>2592</v>
      </c>
      <c r="R2622" s="7">
        <v>45259</v>
      </c>
      <c r="S2622" s="210">
        <v>4.25</v>
      </c>
      <c r="T2622" s="8">
        <v>1.0001180555555556</v>
      </c>
      <c r="U2622" s="98">
        <v>4.1826783775709364</v>
      </c>
      <c r="V2622" s="106">
        <v>32556.669290892693</v>
      </c>
      <c r="W2622" s="10">
        <v>1.0710493123453624</v>
      </c>
      <c r="X2622" s="420"/>
      <c r="Y2622" s="420"/>
      <c r="Z2622" s="1"/>
      <c r="AA2622" s="1"/>
      <c r="AB2622" s="1"/>
      <c r="AC2622" s="1"/>
      <c r="AD2622" s="1"/>
    </row>
    <row r="2623" spans="17:30">
      <c r="Q2623" s="6">
        <v>2593</v>
      </c>
      <c r="R2623" s="7">
        <v>45260</v>
      </c>
      <c r="S2623" s="210">
        <v>4.25</v>
      </c>
      <c r="T2623" s="8">
        <v>1.0001180555555556</v>
      </c>
      <c r="U2623" s="98">
        <v>4.1827632360372125</v>
      </c>
      <c r="V2623" s="106">
        <v>32559.379073753993</v>
      </c>
      <c r="W2623" s="10">
        <v>1.0711294318731079</v>
      </c>
      <c r="X2623" s="420"/>
      <c r="Y2623" s="420"/>
      <c r="Z2623" s="1"/>
      <c r="AA2623" s="1"/>
      <c r="AB2623" s="1"/>
      <c r="AC2623" s="1"/>
      <c r="AD2623" s="1"/>
    </row>
    <row r="2624" spans="17:30">
      <c r="Q2624" s="6">
        <v>2594</v>
      </c>
      <c r="R2624" s="7">
        <v>45261</v>
      </c>
      <c r="S2624" s="210">
        <v>4.25</v>
      </c>
      <c r="T2624" s="8">
        <v>1.0001180555555556</v>
      </c>
      <c r="U2624" s="98">
        <v>4.1828480291457915</v>
      </c>
      <c r="V2624" s="106">
        <v>32562.089082158116</v>
      </c>
      <c r="W2624" s="10">
        <v>1.0712094896913493</v>
      </c>
      <c r="X2624" s="420"/>
      <c r="Y2624" s="420"/>
      <c r="Z2624" s="1"/>
      <c r="AA2624" s="1"/>
      <c r="AB2624" s="1"/>
      <c r="AC2624" s="1"/>
      <c r="AD2624" s="1"/>
    </row>
    <row r="2625" spans="17:30">
      <c r="Q2625" s="6">
        <v>2595</v>
      </c>
      <c r="R2625" s="7">
        <v>45262</v>
      </c>
      <c r="S2625" s="210">
        <v>4.25</v>
      </c>
      <c r="T2625" s="8">
        <v>1.0001180555555556</v>
      </c>
      <c r="U2625" s="98">
        <v>4.1829327569721686</v>
      </c>
      <c r="V2625" s="106">
        <v>32564.799316123841</v>
      </c>
      <c r="W2625" s="10">
        <v>1.0712894858713407</v>
      </c>
      <c r="X2625" s="420"/>
      <c r="Y2625" s="420"/>
      <c r="Z2625" s="1"/>
      <c r="AA2625" s="1"/>
      <c r="AB2625" s="1"/>
      <c r="AC2625" s="1"/>
      <c r="AD2625" s="1"/>
    </row>
    <row r="2626" spans="17:30">
      <c r="Q2626" s="6">
        <v>2596</v>
      </c>
      <c r="R2626" s="7">
        <v>45263</v>
      </c>
      <c r="S2626" s="210">
        <v>4.25</v>
      </c>
      <c r="T2626" s="8">
        <v>1.0001180555555556</v>
      </c>
      <c r="U2626" s="98">
        <v>4.1830174195916836</v>
      </c>
      <c r="V2626" s="106">
        <v>32567.509775669936</v>
      </c>
      <c r="W2626" s="10">
        <v>1.0713694204842028</v>
      </c>
      <c r="X2626" s="420"/>
      <c r="Y2626" s="420"/>
      <c r="Z2626" s="1"/>
      <c r="AA2626" s="1"/>
      <c r="AB2626" s="1"/>
      <c r="AC2626" s="1"/>
      <c r="AD2626" s="1"/>
    </row>
    <row r="2627" spans="17:30">
      <c r="Q2627" s="6">
        <v>2597</v>
      </c>
      <c r="R2627" s="7">
        <v>45264</v>
      </c>
      <c r="S2627" s="210">
        <v>4.25</v>
      </c>
      <c r="T2627" s="8">
        <v>1.0001180555555556</v>
      </c>
      <c r="U2627" s="98">
        <v>4.1831020170796096</v>
      </c>
      <c r="V2627" s="106">
        <v>32570.220460815177</v>
      </c>
      <c r="W2627" s="10">
        <v>1.0714492936010345</v>
      </c>
      <c r="X2627" s="420"/>
      <c r="Y2627" s="420"/>
      <c r="Z2627" s="1"/>
      <c r="AA2627" s="1"/>
      <c r="AB2627" s="1"/>
      <c r="AC2627" s="1"/>
      <c r="AD2627" s="1"/>
    </row>
    <row r="2628" spans="17:30">
      <c r="Q2628" s="6">
        <v>2598</v>
      </c>
      <c r="R2628" s="7">
        <v>45265</v>
      </c>
      <c r="S2628" s="210">
        <v>4.25</v>
      </c>
      <c r="T2628" s="8">
        <v>1.0001180555555556</v>
      </c>
      <c r="U2628" s="98">
        <v>4.1831865495110643</v>
      </c>
      <c r="V2628" s="106">
        <v>32572.931371578343</v>
      </c>
      <c r="W2628" s="10">
        <v>1.0715291052927789</v>
      </c>
      <c r="X2628" s="420"/>
      <c r="Y2628" s="420"/>
      <c r="Z2628" s="1"/>
      <c r="AA2628" s="1"/>
      <c r="AB2628" s="1"/>
      <c r="AC2628" s="1"/>
      <c r="AD2628" s="1"/>
    </row>
    <row r="2629" spans="17:30">
      <c r="Q2629" s="6">
        <v>2599</v>
      </c>
      <c r="R2629" s="7">
        <v>45266</v>
      </c>
      <c r="S2629" s="210">
        <v>4.25</v>
      </c>
      <c r="T2629" s="8">
        <v>1.0001180555555556</v>
      </c>
      <c r="U2629" s="98">
        <v>4.1832710169610543</v>
      </c>
      <c r="V2629" s="106">
        <v>32575.642507978213</v>
      </c>
      <c r="W2629" s="10">
        <v>1.0716088556302239</v>
      </c>
      <c r="X2629" s="420"/>
      <c r="Y2629" s="420"/>
      <c r="Z2629" s="1"/>
      <c r="AA2629" s="1"/>
      <c r="AB2629" s="1"/>
      <c r="AC2629" s="1"/>
      <c r="AD2629" s="1"/>
    </row>
    <row r="2630" spans="17:30">
      <c r="Q2630" s="6">
        <v>2600</v>
      </c>
      <c r="R2630" s="7">
        <v>45267</v>
      </c>
      <c r="S2630" s="210">
        <v>4.25</v>
      </c>
      <c r="T2630" s="8">
        <v>1.0001180555555556</v>
      </c>
      <c r="U2630" s="98">
        <v>4.1833554195044753</v>
      </c>
      <c r="V2630" s="106">
        <v>32578.353870033563</v>
      </c>
      <c r="W2630" s="10">
        <v>1.0716885446840907</v>
      </c>
      <c r="X2630" s="420"/>
      <c r="Y2630" s="420"/>
      <c r="Z2630" s="1"/>
      <c r="AA2630" s="1"/>
      <c r="AB2630" s="1"/>
      <c r="AC2630" s="1"/>
      <c r="AD2630" s="1"/>
    </row>
    <row r="2631" spans="17:30">
      <c r="Q2631" s="6">
        <v>2601</v>
      </c>
      <c r="R2631" s="7">
        <v>45268</v>
      </c>
      <c r="S2631" s="210">
        <v>4.25</v>
      </c>
      <c r="T2631" s="8">
        <v>1.0001180555555556</v>
      </c>
      <c r="U2631" s="98">
        <v>4.1834397572161341</v>
      </c>
      <c r="V2631" s="106">
        <v>32581.065457763187</v>
      </c>
      <c r="W2631" s="10">
        <v>1.0717681725250339</v>
      </c>
      <c r="X2631" s="420"/>
      <c r="Y2631" s="420"/>
      <c r="Z2631" s="1"/>
      <c r="AA2631" s="1"/>
      <c r="AB2631" s="1"/>
      <c r="AC2631" s="1"/>
      <c r="AD2631" s="1"/>
    </row>
    <row r="2632" spans="17:30">
      <c r="Q2632" s="6">
        <v>2602</v>
      </c>
      <c r="R2632" s="7">
        <v>45269</v>
      </c>
      <c r="S2632" s="210">
        <v>4.25</v>
      </c>
      <c r="T2632" s="8">
        <v>1.0001180555555556</v>
      </c>
      <c r="U2632" s="98">
        <v>4.1835240301706822</v>
      </c>
      <c r="V2632" s="106">
        <v>32583.777271185849</v>
      </c>
      <c r="W2632" s="10">
        <v>1.0718477392235304</v>
      </c>
      <c r="X2632" s="420"/>
      <c r="Y2632" s="420"/>
      <c r="Z2632" s="1"/>
      <c r="AA2632" s="1"/>
      <c r="AB2632" s="1"/>
      <c r="AC2632" s="1"/>
      <c r="AD2632" s="1"/>
    </row>
    <row r="2633" spans="17:30">
      <c r="Q2633" s="6">
        <v>2603</v>
      </c>
      <c r="R2633" s="7">
        <v>45270</v>
      </c>
      <c r="S2633" s="210">
        <v>4.25</v>
      </c>
      <c r="T2633" s="8">
        <v>1.0001180555555556</v>
      </c>
      <c r="U2633" s="98">
        <v>4.183608238442682</v>
      </c>
      <c r="V2633" s="106">
        <v>32586.48931032035</v>
      </c>
      <c r="W2633" s="10">
        <v>1.0719272448499684</v>
      </c>
      <c r="X2633" s="420"/>
      <c r="Y2633" s="420"/>
      <c r="Z2633" s="1"/>
      <c r="AA2633" s="1"/>
      <c r="AB2633" s="1"/>
      <c r="AC2633" s="1"/>
      <c r="AD2633" s="1"/>
    </row>
    <row r="2634" spans="17:30">
      <c r="Q2634" s="6">
        <v>2604</v>
      </c>
      <c r="R2634" s="7">
        <v>45271</v>
      </c>
      <c r="S2634" s="210">
        <v>4.25</v>
      </c>
      <c r="T2634" s="8">
        <v>1.0001180555555556</v>
      </c>
      <c r="U2634" s="98">
        <v>4.1836923821065852</v>
      </c>
      <c r="V2634" s="106">
        <v>32589.201575185478</v>
      </c>
      <c r="W2634" s="10">
        <v>1.0720066894746472</v>
      </c>
      <c r="X2634" s="420"/>
      <c r="Y2634" s="420"/>
      <c r="Z2634" s="1"/>
      <c r="AA2634" s="1"/>
      <c r="AB2634" s="1"/>
      <c r="AC2634" s="1"/>
      <c r="AD2634" s="1"/>
    </row>
    <row r="2635" spans="17:30">
      <c r="Q2635" s="6">
        <v>2605</v>
      </c>
      <c r="R2635" s="7">
        <v>45272</v>
      </c>
      <c r="S2635" s="210">
        <v>4.25</v>
      </c>
      <c r="T2635" s="8">
        <v>1.0001180555555556</v>
      </c>
      <c r="U2635" s="98">
        <v>4.1837764612367101</v>
      </c>
      <c r="V2635" s="106">
        <v>32591.914065800007</v>
      </c>
      <c r="W2635" s="10">
        <v>1.0720860731677551</v>
      </c>
      <c r="X2635" s="420"/>
      <c r="Y2635" s="420"/>
      <c r="Z2635" s="1"/>
      <c r="AA2635" s="1"/>
      <c r="AB2635" s="1"/>
      <c r="AC2635" s="1"/>
      <c r="AD2635" s="1"/>
    </row>
    <row r="2636" spans="17:30">
      <c r="Q2636" s="6">
        <v>2606</v>
      </c>
      <c r="R2636" s="7">
        <v>45273</v>
      </c>
      <c r="S2636" s="210">
        <v>4.25</v>
      </c>
      <c r="T2636" s="8">
        <v>1.0001180555555556</v>
      </c>
      <c r="U2636" s="98">
        <v>4.183860475907264</v>
      </c>
      <c r="V2636" s="106">
        <v>32594.626782182735</v>
      </c>
      <c r="W2636" s="10">
        <v>1.0721653959993693</v>
      </c>
      <c r="X2636" s="420"/>
      <c r="Y2636" s="420"/>
      <c r="Z2636" s="1"/>
      <c r="AA2636" s="1"/>
      <c r="AB2636" s="1"/>
      <c r="AC2636" s="1"/>
      <c r="AD2636" s="1"/>
    </row>
    <row r="2637" spans="17:30">
      <c r="Q2637" s="6">
        <v>2607</v>
      </c>
      <c r="R2637" s="7">
        <v>45274</v>
      </c>
      <c r="S2637" s="210">
        <v>4.25</v>
      </c>
      <c r="T2637" s="8">
        <v>1.0001180555555556</v>
      </c>
      <c r="U2637" s="98">
        <v>4.1839444261923431</v>
      </c>
      <c r="V2637" s="106">
        <v>32597.339724352456</v>
      </c>
      <c r="W2637" s="10">
        <v>1.0722446580394118</v>
      </c>
      <c r="X2637" s="420"/>
      <c r="Y2637" s="420"/>
      <c r="Z2637" s="1"/>
      <c r="AA2637" s="1"/>
      <c r="AB2637" s="1"/>
      <c r="AC2637" s="1"/>
      <c r="AD2637" s="1"/>
    </row>
    <row r="2638" spans="17:30">
      <c r="Q2638" s="6">
        <v>2608</v>
      </c>
      <c r="R2638" s="7">
        <v>45275</v>
      </c>
      <c r="S2638" s="210">
        <v>4.25</v>
      </c>
      <c r="T2638" s="8">
        <v>1.0001180555555556</v>
      </c>
      <c r="U2638" s="98">
        <v>4.1840283121659327</v>
      </c>
      <c r="V2638" s="106">
        <v>32600.052892327956</v>
      </c>
      <c r="W2638" s="10">
        <v>1.0723238593577822</v>
      </c>
      <c r="X2638" s="420"/>
      <c r="Y2638" s="420"/>
      <c r="Z2638" s="1"/>
      <c r="AA2638" s="1"/>
      <c r="AB2638" s="1"/>
      <c r="AC2638" s="1"/>
      <c r="AD2638" s="1"/>
    </row>
    <row r="2639" spans="17:30">
      <c r="Q2639" s="6">
        <v>2609</v>
      </c>
      <c r="R2639" s="7">
        <v>45276</v>
      </c>
      <c r="S2639" s="210">
        <v>4.25</v>
      </c>
      <c r="T2639" s="8">
        <v>1.0001180555555556</v>
      </c>
      <c r="U2639" s="98">
        <v>4.1841121339019072</v>
      </c>
      <c r="V2639" s="106">
        <v>32602.766286128037</v>
      </c>
      <c r="W2639" s="10">
        <v>1.0724030000242024</v>
      </c>
      <c r="X2639" s="420"/>
      <c r="Y2639" s="420"/>
      <c r="Z2639" s="1"/>
      <c r="AA2639" s="1"/>
      <c r="AB2639" s="1"/>
      <c r="AC2639" s="1"/>
      <c r="AD2639" s="1"/>
    </row>
    <row r="2640" spans="17:30">
      <c r="Q2640" s="6">
        <v>2610</v>
      </c>
      <c r="R2640" s="7">
        <v>45277</v>
      </c>
      <c r="S2640" s="210">
        <v>4.25</v>
      </c>
      <c r="T2640" s="8">
        <v>1.0001180555555556</v>
      </c>
      <c r="U2640" s="98">
        <v>4.1841958914740296</v>
      </c>
      <c r="V2640" s="106">
        <v>32605.479905771488</v>
      </c>
      <c r="W2640" s="10">
        <v>1.0724820801083279</v>
      </c>
      <c r="X2640" s="420"/>
      <c r="Y2640" s="420"/>
      <c r="Z2640" s="1"/>
      <c r="AA2640" s="1"/>
      <c r="AB2640" s="1"/>
      <c r="AC2640" s="1"/>
      <c r="AD2640" s="1"/>
    </row>
    <row r="2641" spans="17:30">
      <c r="Q2641" s="6">
        <v>2611</v>
      </c>
      <c r="R2641" s="7">
        <v>45278</v>
      </c>
      <c r="S2641" s="210">
        <v>4.25</v>
      </c>
      <c r="T2641" s="8">
        <v>1.0001180555555556</v>
      </c>
      <c r="U2641" s="98">
        <v>4.1842795849559522</v>
      </c>
      <c r="V2641" s="106">
        <v>32608.193751277107</v>
      </c>
      <c r="W2641" s="10">
        <v>1.0725610996797252</v>
      </c>
      <c r="X2641" s="420"/>
      <c r="Y2641" s="420"/>
      <c r="Z2641" s="1"/>
      <c r="AA2641" s="1"/>
      <c r="AB2641" s="1"/>
      <c r="AC2641" s="1"/>
      <c r="AD2641" s="1"/>
    </row>
    <row r="2642" spans="17:30">
      <c r="Q2642" s="6">
        <v>2612</v>
      </c>
      <c r="R2642" s="7">
        <v>45279</v>
      </c>
      <c r="S2642" s="210">
        <v>4.25</v>
      </c>
      <c r="T2642" s="8">
        <v>1.0001180555555556</v>
      </c>
      <c r="U2642" s="98">
        <v>4.184363214421194</v>
      </c>
      <c r="V2642" s="106">
        <v>32610.907822663707</v>
      </c>
      <c r="W2642" s="10">
        <v>1.0726400588077833</v>
      </c>
      <c r="X2642" s="420"/>
      <c r="Y2642" s="420"/>
      <c r="Z2642" s="1"/>
      <c r="AA2642" s="1"/>
      <c r="AB2642" s="1"/>
      <c r="AC2642" s="1"/>
      <c r="AD2642" s="1"/>
    </row>
    <row r="2643" spans="17:30">
      <c r="Q2643" s="6">
        <v>2613</v>
      </c>
      <c r="R2643" s="7">
        <v>45280</v>
      </c>
      <c r="S2643" s="210">
        <v>4.25</v>
      </c>
      <c r="T2643" s="8">
        <v>1.0001180555555556</v>
      </c>
      <c r="U2643" s="98">
        <v>4.184446779943185</v>
      </c>
      <c r="V2643" s="106">
        <v>32613.622119950069</v>
      </c>
      <c r="W2643" s="10">
        <v>1.0727189575618468</v>
      </c>
      <c r="X2643" s="420"/>
      <c r="Y2643" s="420"/>
      <c r="Z2643" s="1"/>
      <c r="AA2643" s="1"/>
      <c r="AB2643" s="1"/>
      <c r="AC2643" s="1"/>
      <c r="AD2643" s="1"/>
    </row>
    <row r="2644" spans="17:30">
      <c r="Q2644" s="6">
        <v>2614</v>
      </c>
      <c r="R2644" s="7">
        <v>45281</v>
      </c>
      <c r="S2644" s="210">
        <v>4.25</v>
      </c>
      <c r="T2644" s="8">
        <v>1.0001180555555556</v>
      </c>
      <c r="U2644" s="98">
        <v>4.1845302815952223</v>
      </c>
      <c r="V2644" s="106">
        <v>32616.336643155009</v>
      </c>
      <c r="W2644" s="10">
        <v>1.0727977960111046</v>
      </c>
      <c r="X2644" s="420"/>
      <c r="Y2644" s="420"/>
      <c r="Z2644" s="1"/>
      <c r="AA2644" s="1"/>
      <c r="AB2644" s="1"/>
      <c r="AC2644" s="1"/>
      <c r="AD2644" s="1"/>
    </row>
    <row r="2645" spans="17:30">
      <c r="Q2645" s="6">
        <v>2615</v>
      </c>
      <c r="R2645" s="7">
        <v>45282</v>
      </c>
      <c r="S2645" s="210">
        <v>4.25</v>
      </c>
      <c r="T2645" s="8">
        <v>1.0001180555555556</v>
      </c>
      <c r="U2645" s="98">
        <v>4.184613719450514</v>
      </c>
      <c r="V2645" s="106">
        <v>32619.051392297322</v>
      </c>
      <c r="W2645" s="10">
        <v>1.0728765742247015</v>
      </c>
      <c r="X2645" s="420"/>
      <c r="Y2645" s="420"/>
      <c r="Z2645" s="1"/>
      <c r="AA2645" s="1"/>
      <c r="AB2645" s="1"/>
      <c r="AC2645" s="1"/>
      <c r="AD2645" s="1"/>
    </row>
    <row r="2646" spans="17:30">
      <c r="Q2646" s="6">
        <v>2616</v>
      </c>
      <c r="R2646" s="7">
        <v>45283</v>
      </c>
      <c r="S2646" s="210">
        <v>4.25</v>
      </c>
      <c r="T2646" s="8">
        <v>1.0001180555555556</v>
      </c>
      <c r="U2646" s="98">
        <v>4.184697093582157</v>
      </c>
      <c r="V2646" s="106">
        <v>32621.766367395816</v>
      </c>
      <c r="W2646" s="10">
        <v>1.0729552922716712</v>
      </c>
      <c r="X2646" s="420"/>
      <c r="Y2646" s="420"/>
      <c r="Z2646" s="1"/>
      <c r="AA2646" s="1"/>
      <c r="AB2646" s="1"/>
      <c r="AC2646" s="1"/>
      <c r="AD2646" s="1"/>
    </row>
    <row r="2647" spans="17:30">
      <c r="Q2647" s="6">
        <v>2617</v>
      </c>
      <c r="R2647" s="7">
        <v>45284</v>
      </c>
      <c r="S2647" s="210">
        <v>4.25</v>
      </c>
      <c r="T2647" s="8">
        <v>1.0001180555555556</v>
      </c>
      <c r="U2647" s="98">
        <v>4.1847804040630932</v>
      </c>
      <c r="V2647" s="106">
        <v>32624.481568469299</v>
      </c>
      <c r="W2647" s="10">
        <v>1.0730339502208475</v>
      </c>
      <c r="X2647" s="420"/>
      <c r="Y2647" s="420"/>
      <c r="Z2647" s="1"/>
      <c r="AA2647" s="1"/>
      <c r="AB2647" s="1"/>
      <c r="AC2647" s="1"/>
      <c r="AD2647" s="1"/>
    </row>
    <row r="2648" spans="17:30">
      <c r="Q2648" s="6">
        <v>2618</v>
      </c>
      <c r="R2648" s="7">
        <v>45285</v>
      </c>
      <c r="S2648" s="210">
        <v>4.25</v>
      </c>
      <c r="T2648" s="8">
        <v>1.0001180555555556</v>
      </c>
      <c r="U2648" s="98">
        <v>4.1848636509662196</v>
      </c>
      <c r="V2648" s="106">
        <v>32627.196995536582</v>
      </c>
      <c r="W2648" s="10">
        <v>1.0731125481410864</v>
      </c>
      <c r="X2648" s="420"/>
      <c r="Y2648" s="420"/>
      <c r="Z2648" s="1"/>
      <c r="AA2648" s="1"/>
      <c r="AB2648" s="1"/>
      <c r="AC2648" s="1"/>
      <c r="AD2648" s="1"/>
    </row>
    <row r="2649" spans="17:30">
      <c r="Q2649" s="6">
        <v>2619</v>
      </c>
      <c r="R2649" s="7">
        <v>45286</v>
      </c>
      <c r="S2649" s="210">
        <v>4.25</v>
      </c>
      <c r="T2649" s="8">
        <v>1.0001180555555556</v>
      </c>
      <c r="U2649" s="98">
        <v>4.184946834364256</v>
      </c>
      <c r="V2649" s="106">
        <v>32629.912648616479</v>
      </c>
      <c r="W2649" s="10">
        <v>1.0731910861010219</v>
      </c>
      <c r="X2649" s="420"/>
      <c r="Y2649" s="420"/>
      <c r="Z2649" s="1"/>
      <c r="AA2649" s="1"/>
      <c r="AB2649" s="1"/>
      <c r="AC2649" s="1"/>
      <c r="AD2649" s="1"/>
    </row>
    <row r="2650" spans="17:30">
      <c r="Q2650" s="6">
        <v>2620</v>
      </c>
      <c r="R2650" s="7">
        <v>45287</v>
      </c>
      <c r="S2650" s="210">
        <v>4.25</v>
      </c>
      <c r="T2650" s="8">
        <v>1.0001180555555556</v>
      </c>
      <c r="U2650" s="98">
        <v>4.1850299543298553</v>
      </c>
      <c r="V2650" s="106">
        <v>32632.628527727789</v>
      </c>
      <c r="W2650" s="10">
        <v>1.0732695641693102</v>
      </c>
      <c r="X2650" s="420"/>
      <c r="Y2650" s="420"/>
      <c r="Z2650" s="1"/>
      <c r="AA2650" s="1"/>
      <c r="AB2650" s="1"/>
      <c r="AC2650" s="1"/>
      <c r="AD2650" s="1"/>
    </row>
    <row r="2651" spans="17:30">
      <c r="Q2651" s="6">
        <v>2621</v>
      </c>
      <c r="R2651" s="7">
        <v>45288</v>
      </c>
      <c r="S2651" s="210">
        <v>4.25</v>
      </c>
      <c r="T2651" s="8">
        <v>1.0001180555555556</v>
      </c>
      <c r="U2651" s="98">
        <v>4.1851130109355594</v>
      </c>
      <c r="V2651" s="106">
        <v>32635.344632889326</v>
      </c>
      <c r="W2651" s="10">
        <v>1.0733479824143854</v>
      </c>
      <c r="X2651" s="420"/>
      <c r="Y2651" s="420"/>
      <c r="Z2651" s="1"/>
      <c r="AA2651" s="1"/>
      <c r="AB2651" s="1"/>
      <c r="AC2651" s="1"/>
      <c r="AD2651" s="1"/>
    </row>
    <row r="2652" spans="17:30">
      <c r="Q2652" s="6">
        <v>2622</v>
      </c>
      <c r="R2652" s="7">
        <v>45289</v>
      </c>
      <c r="S2652" s="210">
        <v>4.25</v>
      </c>
      <c r="T2652" s="8">
        <v>1.0001180555555556</v>
      </c>
      <c r="U2652" s="98">
        <v>4.185196004253755</v>
      </c>
      <c r="V2652" s="106">
        <v>32638.060964119919</v>
      </c>
      <c r="W2652" s="10">
        <v>1.0734263409046374</v>
      </c>
      <c r="X2652" s="420"/>
      <c r="Y2652" s="420"/>
      <c r="Z2652" s="1"/>
      <c r="AA2652" s="1"/>
      <c r="AB2652" s="1"/>
      <c r="AC2652" s="1"/>
      <c r="AD2652" s="1"/>
    </row>
    <row r="2653" spans="17:30">
      <c r="Q2653" s="6">
        <v>2623</v>
      </c>
      <c r="R2653" s="7">
        <v>45290</v>
      </c>
      <c r="S2653" s="210">
        <v>4.25</v>
      </c>
      <c r="T2653" s="8">
        <v>1.0001180555555556</v>
      </c>
      <c r="U2653" s="98">
        <v>4.1852789343567842</v>
      </c>
      <c r="V2653" s="106">
        <v>32640.777521438373</v>
      </c>
      <c r="W2653" s="10">
        <v>1.0735046397083226</v>
      </c>
      <c r="X2653" s="420"/>
      <c r="Y2653" s="420"/>
      <c r="Z2653" s="1"/>
      <c r="AA2653" s="1"/>
      <c r="AB2653" s="1"/>
      <c r="AC2653" s="1"/>
      <c r="AD2653" s="1"/>
    </row>
    <row r="2654" spans="17:30">
      <c r="Q2654" s="6">
        <v>2624</v>
      </c>
      <c r="R2654" s="7">
        <v>45291</v>
      </c>
      <c r="S2654" s="210">
        <v>4.25</v>
      </c>
      <c r="T2654" s="8">
        <v>1.0001180555555556</v>
      </c>
      <c r="U2654" s="98">
        <v>4.1853618013168115</v>
      </c>
      <c r="V2654" s="106">
        <v>32643.49430486351</v>
      </c>
      <c r="W2654" s="10">
        <v>1.0735828788936308</v>
      </c>
      <c r="X2654" s="420"/>
      <c r="Y2654" s="420"/>
      <c r="Z2654" s="1"/>
      <c r="AA2654" s="1"/>
      <c r="AB2654" s="1"/>
      <c r="AC2654" s="1"/>
      <c r="AD2654" s="1"/>
    </row>
    <row r="2655" spans="17:30">
      <c r="Q2655" s="6">
        <v>2625</v>
      </c>
      <c r="R2655" s="7">
        <v>45292</v>
      </c>
      <c r="S2655" s="210">
        <v>4.25</v>
      </c>
      <c r="T2655" s="8">
        <v>1.0001180555555556</v>
      </c>
      <c r="U2655" s="98">
        <v>4.1854446052059568</v>
      </c>
      <c r="V2655" s="106">
        <v>32646.211314414151</v>
      </c>
      <c r="W2655" s="10">
        <v>1.073661058528641</v>
      </c>
      <c r="X2655" s="420"/>
      <c r="Y2655" s="420"/>
      <c r="Z2655" s="1"/>
      <c r="AA2655" s="1"/>
      <c r="AB2655" s="1"/>
      <c r="AC2655" s="1"/>
      <c r="AD2655" s="1"/>
    </row>
    <row r="2656" spans="17:30">
      <c r="Q2656" s="6">
        <v>2626</v>
      </c>
      <c r="R2656" s="7">
        <v>45293</v>
      </c>
      <c r="S2656" s="210">
        <v>4.25</v>
      </c>
      <c r="T2656" s="8">
        <v>1.0001180555555556</v>
      </c>
      <c r="U2656" s="98">
        <v>4.185527346096185</v>
      </c>
      <c r="V2656" s="106">
        <v>32648.928550109107</v>
      </c>
      <c r="W2656" s="10">
        <v>1.0737391786812989</v>
      </c>
      <c r="X2656" s="420"/>
      <c r="Y2656" s="420"/>
      <c r="Z2656" s="1"/>
      <c r="AA2656" s="1"/>
      <c r="AB2656" s="1"/>
      <c r="AC2656" s="1"/>
      <c r="AD2656" s="1"/>
    </row>
    <row r="2657" spans="17:30">
      <c r="Q2657" s="6">
        <v>2627</v>
      </c>
      <c r="R2657" s="7">
        <v>45294</v>
      </c>
      <c r="S2657" s="210">
        <v>4.25</v>
      </c>
      <c r="T2657" s="8">
        <v>1.0001180555555556</v>
      </c>
      <c r="U2657" s="98">
        <v>4.1856100240593497</v>
      </c>
      <c r="V2657" s="106">
        <v>32651.646011967212</v>
      </c>
      <c r="W2657" s="10">
        <v>1.0738172394194612</v>
      </c>
      <c r="X2657" s="420"/>
      <c r="Y2657" s="420"/>
      <c r="Z2657" s="1"/>
      <c r="AA2657" s="1"/>
      <c r="AB2657" s="1"/>
      <c r="AC2657" s="1"/>
      <c r="AD2657" s="1"/>
    </row>
    <row r="2658" spans="17:30">
      <c r="Q2658" s="6">
        <v>2628</v>
      </c>
      <c r="R2658" s="7">
        <v>45295</v>
      </c>
      <c r="S2658" s="210">
        <v>4.25</v>
      </c>
      <c r="T2658" s="8">
        <v>1.0001180555555556</v>
      </c>
      <c r="U2658" s="98">
        <v>4.1856926391672378</v>
      </c>
      <c r="V2658" s="106">
        <v>32654.363700007285</v>
      </c>
      <c r="W2658" s="10">
        <v>1.0738952408108959</v>
      </c>
      <c r="X2658" s="420"/>
      <c r="Y2658" s="420"/>
      <c r="Z2658" s="1"/>
      <c r="AA2658" s="1"/>
      <c r="AB2658" s="1"/>
      <c r="AC2658" s="1"/>
      <c r="AD2658" s="1"/>
    </row>
    <row r="2659" spans="17:30">
      <c r="Q2659" s="6">
        <v>2629</v>
      </c>
      <c r="R2659" s="7">
        <v>45296</v>
      </c>
      <c r="S2659" s="210">
        <v>4.25</v>
      </c>
      <c r="T2659" s="8">
        <v>1.0001180555555556</v>
      </c>
      <c r="U2659" s="98">
        <v>4.1857751914914809</v>
      </c>
      <c r="V2659" s="106">
        <v>32657.08161424816</v>
      </c>
      <c r="W2659" s="10">
        <v>1.0739731829232158</v>
      </c>
      <c r="X2659" s="420"/>
      <c r="Y2659" s="420"/>
      <c r="Z2659" s="1"/>
      <c r="AA2659" s="1"/>
      <c r="AB2659" s="1"/>
      <c r="AC2659" s="1"/>
      <c r="AD2659" s="1"/>
    </row>
    <row r="2660" spans="17:30">
      <c r="Q2660" s="6">
        <v>2630</v>
      </c>
      <c r="R2660" s="7">
        <v>45297</v>
      </c>
      <c r="S2660" s="210">
        <v>4.25</v>
      </c>
      <c r="T2660" s="8">
        <v>1.0001180555555556</v>
      </c>
      <c r="U2660" s="98">
        <v>4.1858576811036441</v>
      </c>
      <c r="V2660" s="106">
        <v>32659.799754708649</v>
      </c>
      <c r="W2660" s="10">
        <v>1.0740510658240554</v>
      </c>
      <c r="X2660" s="420"/>
      <c r="Y2660" s="420"/>
      <c r="Z2660" s="1"/>
      <c r="AA2660" s="1"/>
      <c r="AB2660" s="1"/>
      <c r="AC2660" s="1"/>
      <c r="AD2660" s="1"/>
    </row>
    <row r="2661" spans="17:30">
      <c r="Q2661" s="6">
        <v>2631</v>
      </c>
      <c r="R2661" s="7">
        <v>45298</v>
      </c>
      <c r="S2661" s="210">
        <v>4.25</v>
      </c>
      <c r="T2661" s="8">
        <v>1.0001180555555556</v>
      </c>
      <c r="U2661" s="98">
        <v>4.1859401080751368</v>
      </c>
      <c r="V2661" s="106">
        <v>32662.518121407586</v>
      </c>
      <c r="W2661" s="10">
        <v>1.0741288895807832</v>
      </c>
      <c r="X2661" s="420"/>
      <c r="Y2661" s="420"/>
      <c r="Z2661" s="1"/>
      <c r="AA2661" s="1"/>
      <c r="AB2661" s="1"/>
      <c r="AC2661" s="1"/>
      <c r="AD2661" s="1"/>
    </row>
    <row r="2662" spans="17:30">
      <c r="Q2662" s="6">
        <v>2632</v>
      </c>
      <c r="R2662" s="7">
        <v>45299</v>
      </c>
      <c r="S2662" s="210">
        <v>4.25</v>
      </c>
      <c r="T2662" s="8">
        <v>1.0001180555555556</v>
      </c>
      <c r="U2662" s="98">
        <v>4.1860224724772799</v>
      </c>
      <c r="V2662" s="106">
        <v>32665.236714363815</v>
      </c>
      <c r="W2662" s="10">
        <v>1.0742066542607676</v>
      </c>
      <c r="X2662" s="420"/>
      <c r="Y2662" s="420"/>
      <c r="Z2662" s="1"/>
      <c r="AA2662" s="1"/>
      <c r="AB2662" s="1"/>
      <c r="AC2662" s="1"/>
      <c r="AD2662" s="1"/>
    </row>
    <row r="2663" spans="17:30">
      <c r="Q2663" s="6">
        <v>2633</v>
      </c>
      <c r="R2663" s="7">
        <v>45300</v>
      </c>
      <c r="S2663" s="210">
        <v>4.25</v>
      </c>
      <c r="T2663" s="8">
        <v>1.0001180555555556</v>
      </c>
      <c r="U2663" s="98">
        <v>4.1861047743813051</v>
      </c>
      <c r="V2663" s="106">
        <v>32667.955533596156</v>
      </c>
      <c r="W2663" s="10">
        <v>1.0742843599312435</v>
      </c>
      <c r="X2663" s="420"/>
      <c r="Y2663" s="420"/>
      <c r="Z2663" s="1"/>
      <c r="AA2663" s="1"/>
      <c r="AB2663" s="1"/>
      <c r="AC2663" s="1"/>
      <c r="AD2663" s="1"/>
    </row>
    <row r="2664" spans="17:30">
      <c r="Q2664" s="6">
        <v>2634</v>
      </c>
      <c r="R2664" s="7">
        <v>45301</v>
      </c>
      <c r="S2664" s="210">
        <v>4.25</v>
      </c>
      <c r="T2664" s="8">
        <v>1.0001180555555556</v>
      </c>
      <c r="U2664" s="98">
        <v>4.1861870138583113</v>
      </c>
      <c r="V2664" s="106">
        <v>32670.674579123439</v>
      </c>
      <c r="W2664" s="10">
        <v>1.0743620066593795</v>
      </c>
      <c r="X2664" s="420"/>
      <c r="Y2664" s="420"/>
      <c r="Z2664" s="1"/>
      <c r="AA2664" s="1"/>
      <c r="AB2664" s="1"/>
      <c r="AC2664" s="1"/>
      <c r="AD2664" s="1"/>
    </row>
    <row r="2665" spans="17:30">
      <c r="Q2665" s="6">
        <v>2635</v>
      </c>
      <c r="R2665" s="7">
        <v>45302</v>
      </c>
      <c r="S2665" s="210">
        <v>4.25</v>
      </c>
      <c r="T2665" s="8">
        <v>1.0001180555555556</v>
      </c>
      <c r="U2665" s="98">
        <v>4.1862691909793082</v>
      </c>
      <c r="V2665" s="106">
        <v>32673.393850964501</v>
      </c>
      <c r="W2665" s="10">
        <v>1.0744395945121887</v>
      </c>
      <c r="X2665" s="420"/>
      <c r="Y2665" s="420"/>
      <c r="Z2665" s="1"/>
      <c r="AA2665" s="1"/>
      <c r="AB2665" s="1"/>
      <c r="AC2665" s="1"/>
      <c r="AD2665" s="1"/>
    </row>
    <row r="2666" spans="17:30">
      <c r="Q2666" s="6">
        <v>2636</v>
      </c>
      <c r="R2666" s="7">
        <v>45303</v>
      </c>
      <c r="S2666" s="210">
        <v>4.25</v>
      </c>
      <c r="T2666" s="8">
        <v>1.0001180555555556</v>
      </c>
      <c r="U2666" s="98">
        <v>4.1863513058151947</v>
      </c>
      <c r="V2666" s="106">
        <v>32676.113349138192</v>
      </c>
      <c r="W2666" s="10">
        <v>1.0745171235566398</v>
      </c>
      <c r="X2666" s="420"/>
      <c r="Y2666" s="420"/>
      <c r="Z2666" s="1"/>
      <c r="AA2666" s="1"/>
      <c r="AB2666" s="1"/>
      <c r="AC2666" s="1"/>
      <c r="AD2666" s="1"/>
    </row>
    <row r="2667" spans="17:30">
      <c r="Q2667" s="6">
        <v>2637</v>
      </c>
      <c r="R2667" s="7">
        <v>45304</v>
      </c>
      <c r="S2667" s="210">
        <v>4.25</v>
      </c>
      <c r="T2667" s="8">
        <v>1.0001180555555556</v>
      </c>
      <c r="U2667" s="98">
        <v>4.1864333584367364</v>
      </c>
      <c r="V2667" s="106">
        <v>32678.833073663329</v>
      </c>
      <c r="W2667" s="10">
        <v>1.0745945938595458</v>
      </c>
      <c r="X2667" s="420"/>
      <c r="Y2667" s="420"/>
      <c r="Z2667" s="1"/>
      <c r="AA2667" s="1"/>
      <c r="AB2667" s="1"/>
      <c r="AC2667" s="1"/>
      <c r="AD2667" s="1"/>
    </row>
    <row r="2668" spans="17:30">
      <c r="Q2668" s="6">
        <v>2638</v>
      </c>
      <c r="R2668" s="7">
        <v>45305</v>
      </c>
      <c r="S2668" s="210">
        <v>4.25</v>
      </c>
      <c r="T2668" s="8">
        <v>1.0001180555555556</v>
      </c>
      <c r="U2668" s="98">
        <v>4.1865153489146323</v>
      </c>
      <c r="V2668" s="106">
        <v>32681.553024558772</v>
      </c>
      <c r="W2668" s="10">
        <v>1.0746720054876313</v>
      </c>
      <c r="X2668" s="420"/>
      <c r="Y2668" s="420"/>
      <c r="Z2668" s="1"/>
      <c r="AA2668" s="1"/>
      <c r="AB2668" s="1"/>
      <c r="AC2668" s="1"/>
      <c r="AD2668" s="1"/>
    </row>
    <row r="2669" spans="17:30">
      <c r="Q2669" s="6">
        <v>2639</v>
      </c>
      <c r="R2669" s="7">
        <v>45306</v>
      </c>
      <c r="S2669" s="210">
        <v>4.25</v>
      </c>
      <c r="T2669" s="8">
        <v>1.0001180555555556</v>
      </c>
      <c r="U2669" s="98">
        <v>4.186597277319426</v>
      </c>
      <c r="V2669" s="106">
        <v>32684.273201843356</v>
      </c>
      <c r="W2669" s="10">
        <v>1.0747493585075318</v>
      </c>
      <c r="X2669" s="420"/>
      <c r="Y2669" s="420"/>
      <c r="Z2669" s="1"/>
      <c r="AA2669" s="1"/>
      <c r="AB2669" s="1"/>
      <c r="AC2669" s="1"/>
      <c r="AD2669" s="1"/>
    </row>
    <row r="2670" spans="17:30">
      <c r="Q2670" s="6">
        <v>2640</v>
      </c>
      <c r="R2670" s="7">
        <v>45307</v>
      </c>
      <c r="S2670" s="210">
        <v>4.25</v>
      </c>
      <c r="T2670" s="8">
        <v>1.0001180555555556</v>
      </c>
      <c r="U2670" s="98">
        <v>4.1866791437216166</v>
      </c>
      <c r="V2670" s="106">
        <v>32686.993605535914</v>
      </c>
      <c r="W2670" s="10">
        <v>1.0748266529858164</v>
      </c>
      <c r="X2670" s="420"/>
      <c r="Y2670" s="420"/>
      <c r="Z2670" s="1"/>
      <c r="AA2670" s="1"/>
      <c r="AB2670" s="1"/>
      <c r="AC2670" s="1"/>
      <c r="AD2670" s="1"/>
    </row>
    <row r="2671" spans="17:30">
      <c r="Q2671" s="6">
        <v>2641</v>
      </c>
      <c r="R2671" s="7">
        <v>45308</v>
      </c>
      <c r="S2671" s="210">
        <v>4.25</v>
      </c>
      <c r="T2671" s="8">
        <v>1.0001180555555556</v>
      </c>
      <c r="U2671" s="98">
        <v>4.1867609481915258</v>
      </c>
      <c r="V2671" s="106">
        <v>32689.714235655305</v>
      </c>
      <c r="W2671" s="10">
        <v>1.0749038889888762</v>
      </c>
      <c r="X2671" s="420"/>
      <c r="Y2671" s="420"/>
      <c r="Z2671" s="1"/>
      <c r="AA2671" s="1"/>
      <c r="AB2671" s="1"/>
      <c r="AC2671" s="1"/>
      <c r="AD2671" s="1"/>
    </row>
    <row r="2672" spans="17:30">
      <c r="Q2672" s="6">
        <v>2642</v>
      </c>
      <c r="R2672" s="7">
        <v>45309</v>
      </c>
      <c r="S2672" s="210">
        <v>4.25</v>
      </c>
      <c r="T2672" s="8">
        <v>1.0001180555555556</v>
      </c>
      <c r="U2672" s="98">
        <v>4.1868426907994305</v>
      </c>
      <c r="V2672" s="106">
        <v>32692.435092220363</v>
      </c>
      <c r="W2672" s="10">
        <v>1.0749810665830584</v>
      </c>
      <c r="X2672" s="420"/>
      <c r="Y2672" s="420"/>
      <c r="Z2672" s="1"/>
      <c r="AA2672" s="1"/>
      <c r="AB2672" s="1"/>
      <c r="AC2672" s="1"/>
      <c r="AD2672" s="1"/>
    </row>
    <row r="2673" spans="17:30">
      <c r="Q2673" s="6">
        <v>2643</v>
      </c>
      <c r="R2673" s="7">
        <v>45310</v>
      </c>
      <c r="S2673" s="210">
        <v>4.25</v>
      </c>
      <c r="T2673" s="8">
        <v>1.0001180555555556</v>
      </c>
      <c r="U2673" s="98">
        <v>4.1869243716154747</v>
      </c>
      <c r="V2673" s="106">
        <v>32695.156175249944</v>
      </c>
      <c r="W2673" s="10">
        <v>1.0750581858345987</v>
      </c>
      <c r="X2673" s="420"/>
      <c r="Y2673" s="420"/>
      <c r="Z2673" s="1"/>
      <c r="AA2673" s="1"/>
      <c r="AB2673" s="1"/>
      <c r="AC2673" s="1"/>
      <c r="AD2673" s="1"/>
    </row>
    <row r="2674" spans="17:30">
      <c r="Q2674" s="6">
        <v>2644</v>
      </c>
      <c r="R2674" s="7">
        <v>45311</v>
      </c>
      <c r="S2674" s="210">
        <v>4.25</v>
      </c>
      <c r="T2674" s="8">
        <v>1.0001180555555556</v>
      </c>
      <c r="U2674" s="98">
        <v>4.1870059907096913</v>
      </c>
      <c r="V2674" s="106">
        <v>32697.877484762896</v>
      </c>
      <c r="W2674" s="10">
        <v>1.0751352468096442</v>
      </c>
      <c r="X2674" s="420"/>
      <c r="Y2674" s="420"/>
      <c r="Z2674" s="1"/>
      <c r="AA2674" s="1"/>
      <c r="AB2674" s="1"/>
      <c r="AC2674" s="1"/>
      <c r="AD2674" s="1"/>
    </row>
    <row r="2675" spans="17:30">
      <c r="Q2675" s="6">
        <v>2645</v>
      </c>
      <c r="R2675" s="7">
        <v>45312</v>
      </c>
      <c r="S2675" s="210">
        <v>4.25</v>
      </c>
      <c r="T2675" s="8">
        <v>1.0001180555555556</v>
      </c>
      <c r="U2675" s="98">
        <v>4.187087548152002</v>
      </c>
      <c r="V2675" s="106">
        <v>32700.599020778063</v>
      </c>
      <c r="W2675" s="10">
        <v>1.0752122495741867</v>
      </c>
      <c r="X2675" s="420"/>
      <c r="Y2675" s="420"/>
      <c r="Z2675" s="1"/>
      <c r="AA2675" s="1"/>
      <c r="AB2675" s="1"/>
      <c r="AC2675" s="1"/>
      <c r="AD2675" s="1"/>
    </row>
    <row r="2676" spans="17:30">
      <c r="Q2676" s="6">
        <v>2646</v>
      </c>
      <c r="R2676" s="7">
        <v>45313</v>
      </c>
      <c r="S2676" s="210">
        <v>4.25</v>
      </c>
      <c r="T2676" s="8">
        <v>1.0001180555555556</v>
      </c>
      <c r="U2676" s="98">
        <v>4.1871690440122622</v>
      </c>
      <c r="V2676" s="106">
        <v>32703.320783314302</v>
      </c>
      <c r="W2676" s="10">
        <v>1.0752891941941733</v>
      </c>
      <c r="X2676" s="420"/>
      <c r="Y2676" s="420"/>
      <c r="Z2676" s="1"/>
      <c r="AA2676" s="1"/>
      <c r="AB2676" s="1"/>
      <c r="AC2676" s="1"/>
      <c r="AD2676" s="1"/>
    </row>
    <row r="2677" spans="17:30">
      <c r="Q2677" s="6">
        <v>2647</v>
      </c>
      <c r="R2677" s="7">
        <v>45314</v>
      </c>
      <c r="S2677" s="210">
        <v>4.25</v>
      </c>
      <c r="T2677" s="8">
        <v>1.0001180555555556</v>
      </c>
      <c r="U2677" s="98">
        <v>4.1872504783601716</v>
      </c>
      <c r="V2677" s="106">
        <v>32706.042772390472</v>
      </c>
      <c r="W2677" s="10">
        <v>1.0753660807354626</v>
      </c>
      <c r="X2677" s="420"/>
      <c r="Y2677" s="420"/>
      <c r="Z2677" s="1"/>
      <c r="AA2677" s="1"/>
      <c r="AB2677" s="1"/>
      <c r="AC2677" s="1"/>
      <c r="AD2677" s="1"/>
    </row>
    <row r="2678" spans="17:30">
      <c r="Q2678" s="6">
        <v>2648</v>
      </c>
      <c r="R2678" s="7">
        <v>45315</v>
      </c>
      <c r="S2678" s="210">
        <v>4.25</v>
      </c>
      <c r="T2678" s="8">
        <v>1.0001180555555556</v>
      </c>
      <c r="U2678" s="98">
        <v>4.1873318512653412</v>
      </c>
      <c r="V2678" s="106">
        <v>32708.764988025421</v>
      </c>
      <c r="W2678" s="10">
        <v>1.0754429092637352</v>
      </c>
      <c r="X2678" s="420"/>
      <c r="Y2678" s="420"/>
      <c r="Z2678" s="1"/>
      <c r="AA2678" s="1"/>
      <c r="AB2678" s="1"/>
      <c r="AC2678" s="1"/>
      <c r="AD2678" s="1"/>
    </row>
    <row r="2679" spans="17:30">
      <c r="Q2679" s="6">
        <v>2649</v>
      </c>
      <c r="R2679" s="7">
        <v>45316</v>
      </c>
      <c r="S2679" s="210">
        <v>4.25</v>
      </c>
      <c r="T2679" s="8">
        <v>1.0001180555555556</v>
      </c>
      <c r="U2679" s="98">
        <v>4.1874131627973155</v>
      </c>
      <c r="V2679" s="106">
        <v>32711.487430238019</v>
      </c>
      <c r="W2679" s="10">
        <v>1.075519679844672</v>
      </c>
      <c r="X2679" s="420"/>
      <c r="Y2679" s="420"/>
      <c r="Z2679" s="1"/>
      <c r="AA2679" s="1"/>
      <c r="AB2679" s="1"/>
      <c r="AC2679" s="1"/>
      <c r="AD2679" s="1"/>
    </row>
    <row r="2680" spans="17:30">
      <c r="Q2680" s="6">
        <v>2650</v>
      </c>
      <c r="R2680" s="7">
        <v>45317</v>
      </c>
      <c r="S2680" s="210">
        <v>4.25</v>
      </c>
      <c r="T2680" s="8">
        <v>1.0001180555555556</v>
      </c>
      <c r="U2680" s="98">
        <v>4.1874944130254832</v>
      </c>
      <c r="V2680" s="106">
        <v>32714.210099047108</v>
      </c>
      <c r="W2680" s="10">
        <v>1.0755963925437984</v>
      </c>
      <c r="X2680" s="420"/>
      <c r="Y2680" s="420"/>
      <c r="Z2680" s="1"/>
      <c r="AA2680" s="1"/>
      <c r="AB2680" s="1"/>
      <c r="AC2680" s="1"/>
      <c r="AD2680" s="1"/>
    </row>
    <row r="2681" spans="17:30">
      <c r="Q2681" s="6">
        <v>2651</v>
      </c>
      <c r="R2681" s="7">
        <v>45318</v>
      </c>
      <c r="S2681" s="210">
        <v>4.25</v>
      </c>
      <c r="T2681" s="8">
        <v>1.0001180555555556</v>
      </c>
      <c r="U2681" s="98">
        <v>4.1875756020191446</v>
      </c>
      <c r="V2681" s="106">
        <v>32716.93299447155</v>
      </c>
      <c r="W2681" s="10">
        <v>1.0756730474265508</v>
      </c>
      <c r="X2681" s="420"/>
      <c r="Y2681" s="420"/>
      <c r="Z2681" s="1"/>
      <c r="AA2681" s="1"/>
      <c r="AB2681" s="1"/>
      <c r="AC2681" s="1"/>
      <c r="AD2681" s="1"/>
    </row>
    <row r="2682" spans="17:30">
      <c r="Q2682" s="6">
        <v>2652</v>
      </c>
      <c r="R2682" s="7">
        <v>45319</v>
      </c>
      <c r="S2682" s="210">
        <v>4.25</v>
      </c>
      <c r="T2682" s="8">
        <v>1.0001180555555556</v>
      </c>
      <c r="U2682" s="98">
        <v>4.1876567298474887</v>
      </c>
      <c r="V2682" s="106">
        <v>32719.656116530216</v>
      </c>
      <c r="W2682" s="10">
        <v>1.0757496445582548</v>
      </c>
      <c r="X2682" s="420"/>
      <c r="Y2682" s="420"/>
      <c r="Z2682" s="1"/>
      <c r="AA2682" s="1"/>
      <c r="AB2682" s="1"/>
      <c r="AC2682" s="1"/>
      <c r="AD2682" s="1"/>
    </row>
    <row r="2683" spans="17:30">
      <c r="Q2683" s="6">
        <v>2653</v>
      </c>
      <c r="R2683" s="7">
        <v>45320</v>
      </c>
      <c r="S2683" s="210">
        <v>4.25</v>
      </c>
      <c r="T2683" s="8">
        <v>1.0001180555555556</v>
      </c>
      <c r="U2683" s="98">
        <v>4.1877377965796159</v>
      </c>
      <c r="V2683" s="106">
        <v>32722.379465241971</v>
      </c>
      <c r="W2683" s="10">
        <v>1.075826184004125</v>
      </c>
      <c r="X2683" s="420"/>
      <c r="Y2683" s="420"/>
      <c r="Z2683" s="1"/>
      <c r="AA2683" s="1"/>
      <c r="AB2683" s="1"/>
      <c r="AC2683" s="1"/>
      <c r="AD2683" s="1"/>
    </row>
    <row r="2684" spans="17:30">
      <c r="Q2684" s="6">
        <v>2654</v>
      </c>
      <c r="R2684" s="7">
        <v>45321</v>
      </c>
      <c r="S2684" s="210">
        <v>4.25</v>
      </c>
      <c r="T2684" s="8">
        <v>1.0001180555555556</v>
      </c>
      <c r="U2684" s="98">
        <v>4.1878188022845375</v>
      </c>
      <c r="V2684" s="106">
        <v>32725.103040625669</v>
      </c>
      <c r="W2684" s="10">
        <v>1.0759026658293758</v>
      </c>
      <c r="X2684" s="420"/>
      <c r="Y2684" s="420"/>
      <c r="Z2684" s="1"/>
      <c r="AA2684" s="1"/>
      <c r="AB2684" s="1"/>
      <c r="AC2684" s="1"/>
      <c r="AD2684" s="1"/>
    </row>
    <row r="2685" spans="17:30">
      <c r="Q2685" s="6">
        <v>2655</v>
      </c>
      <c r="R2685" s="7">
        <v>45322</v>
      </c>
      <c r="S2685" s="210">
        <v>4.25</v>
      </c>
      <c r="T2685" s="8">
        <v>1.0001180555555556</v>
      </c>
      <c r="U2685" s="98">
        <v>4.1878997470311097</v>
      </c>
      <c r="V2685" s="106">
        <v>32727.826842700182</v>
      </c>
      <c r="W2685" s="10">
        <v>1.0759790900989774</v>
      </c>
      <c r="X2685" s="420"/>
      <c r="Y2685" s="420"/>
      <c r="Z2685" s="1"/>
      <c r="AA2685" s="1"/>
      <c r="AB2685" s="1"/>
      <c r="AC2685" s="1"/>
      <c r="AD2685" s="1"/>
    </row>
    <row r="2686" spans="17:30">
      <c r="Q2686" s="6">
        <v>2656</v>
      </c>
      <c r="R2686" s="7">
        <v>45323</v>
      </c>
      <c r="S2686" s="210">
        <v>4.25</v>
      </c>
      <c r="T2686" s="8">
        <v>1.0001180555555556</v>
      </c>
      <c r="U2686" s="98">
        <v>4.187980630888144</v>
      </c>
      <c r="V2686" s="106">
        <v>32730.550871484378</v>
      </c>
      <c r="W2686" s="10">
        <v>1.0760554568779224</v>
      </c>
      <c r="X2686" s="420"/>
      <c r="Y2686" s="420"/>
      <c r="Z2686" s="1"/>
      <c r="AA2686" s="1"/>
      <c r="AB2686" s="1"/>
      <c r="AC2686" s="1"/>
      <c r="AD2686" s="1"/>
    </row>
    <row r="2687" spans="17:30">
      <c r="Q2687" s="6">
        <v>2657</v>
      </c>
      <c r="R2687" s="7">
        <v>45324</v>
      </c>
      <c r="S2687" s="210">
        <v>4.25</v>
      </c>
      <c r="T2687" s="8">
        <v>1.0001180555555556</v>
      </c>
      <c r="U2687" s="98">
        <v>4.1880614539242966</v>
      </c>
      <c r="V2687" s="106">
        <v>32733.275126997127</v>
      </c>
      <c r="W2687" s="10">
        <v>1.0761317662310255</v>
      </c>
      <c r="X2687" s="420"/>
      <c r="Y2687" s="420"/>
      <c r="Z2687" s="1"/>
      <c r="AA2687" s="1"/>
      <c r="AB2687" s="1"/>
      <c r="AC2687" s="1"/>
      <c r="AD2687" s="1"/>
    </row>
    <row r="2688" spans="17:30">
      <c r="Q2688" s="6">
        <v>2658</v>
      </c>
      <c r="R2688" s="7">
        <v>45325</v>
      </c>
      <c r="S2688" s="210">
        <v>4.25</v>
      </c>
      <c r="T2688" s="8">
        <v>1.0001180555555556</v>
      </c>
      <c r="U2688" s="98">
        <v>4.1881422162081572</v>
      </c>
      <c r="V2688" s="106">
        <v>32735.999609257302</v>
      </c>
      <c r="W2688" s="10">
        <v>1.0762080182230571</v>
      </c>
      <c r="X2688" s="420"/>
      <c r="Y2688" s="420"/>
      <c r="Z2688" s="1"/>
      <c r="AA2688" s="1"/>
      <c r="AB2688" s="1"/>
      <c r="AC2688" s="1"/>
      <c r="AD2688" s="1"/>
    </row>
    <row r="2689" spans="17:30">
      <c r="Q2689" s="6">
        <v>2659</v>
      </c>
      <c r="R2689" s="7">
        <v>45326</v>
      </c>
      <c r="S2689" s="210">
        <v>4.25</v>
      </c>
      <c r="T2689" s="8">
        <v>1.0001180555555556</v>
      </c>
      <c r="U2689" s="98">
        <v>4.188222917808182</v>
      </c>
      <c r="V2689" s="106">
        <v>32738.724318283777</v>
      </c>
      <c r="W2689" s="10">
        <v>1.0762842129186545</v>
      </c>
      <c r="X2689" s="420"/>
      <c r="Y2689" s="420"/>
      <c r="Z2689" s="1"/>
      <c r="AA2689" s="1"/>
      <c r="AB2689" s="1"/>
      <c r="AC2689" s="1"/>
      <c r="AD2689" s="1"/>
    </row>
    <row r="2690" spans="17:30">
      <c r="Q2690" s="6">
        <v>2660</v>
      </c>
      <c r="R2690" s="7">
        <v>45327</v>
      </c>
      <c r="S2690" s="210">
        <v>4.25</v>
      </c>
      <c r="T2690" s="8">
        <v>1.0001180555555556</v>
      </c>
      <c r="U2690" s="98">
        <v>4.1883035587927608</v>
      </c>
      <c r="V2690" s="106">
        <v>32741.44925409542</v>
      </c>
      <c r="W2690" s="10">
        <v>1.0763603503823882</v>
      </c>
      <c r="X2690" s="420"/>
      <c r="Y2690" s="420"/>
      <c r="Z2690" s="1"/>
      <c r="AA2690" s="1"/>
      <c r="AB2690" s="1"/>
      <c r="AC2690" s="1"/>
      <c r="AD2690" s="1"/>
    </row>
    <row r="2691" spans="17:30">
      <c r="Q2691" s="6">
        <v>2661</v>
      </c>
      <c r="R2691" s="7">
        <v>45328</v>
      </c>
      <c r="S2691" s="210">
        <v>4.25</v>
      </c>
      <c r="T2691" s="8">
        <v>1.0001180555555556</v>
      </c>
      <c r="U2691" s="98">
        <v>4.1883841392301502</v>
      </c>
      <c r="V2691" s="106">
        <v>32744.17441671111</v>
      </c>
      <c r="W2691" s="10">
        <v>1.0764364306786955</v>
      </c>
      <c r="X2691" s="420"/>
      <c r="Y2691" s="420"/>
      <c r="Z2691" s="1"/>
      <c r="AA2691" s="1"/>
      <c r="AB2691" s="1"/>
      <c r="AC2691" s="1"/>
      <c r="AD2691" s="1"/>
    </row>
    <row r="2692" spans="17:30">
      <c r="Q2692" s="6">
        <v>2662</v>
      </c>
      <c r="R2692" s="7">
        <v>45329</v>
      </c>
      <c r="S2692" s="210">
        <v>4.25</v>
      </c>
      <c r="T2692" s="8">
        <v>1.0001180555555556</v>
      </c>
      <c r="U2692" s="98">
        <v>4.1884646591885177</v>
      </c>
      <c r="V2692" s="106">
        <v>32746.899806149719</v>
      </c>
      <c r="W2692" s="10">
        <v>1.0765124538719695</v>
      </c>
      <c r="X2692" s="420"/>
      <c r="Y2692" s="420"/>
      <c r="Z2692" s="1"/>
      <c r="AA2692" s="1"/>
      <c r="AB2692" s="1"/>
      <c r="AC2692" s="1"/>
      <c r="AD2692" s="1"/>
    </row>
    <row r="2693" spans="17:30">
      <c r="Q2693" s="6">
        <v>2663</v>
      </c>
      <c r="R2693" s="7">
        <v>45330</v>
      </c>
      <c r="S2693" s="210">
        <v>4.25</v>
      </c>
      <c r="T2693" s="8">
        <v>1.0001180555555556</v>
      </c>
      <c r="U2693" s="98">
        <v>4.1885451187359202</v>
      </c>
      <c r="V2693" s="106">
        <v>32749.625422430141</v>
      </c>
      <c r="W2693" s="10">
        <v>1.0765884200264475</v>
      </c>
      <c r="X2693" s="420"/>
      <c r="Y2693" s="420"/>
      <c r="Z2693" s="1"/>
      <c r="AA2693" s="1"/>
      <c r="AB2693" s="1"/>
      <c r="AC2693" s="1"/>
      <c r="AD2693" s="1"/>
    </row>
    <row r="2694" spans="17:30">
      <c r="Q2694" s="6">
        <v>2664</v>
      </c>
      <c r="R2694" s="7">
        <v>45331</v>
      </c>
      <c r="S2694" s="210">
        <v>4.25</v>
      </c>
      <c r="T2694" s="8">
        <v>1.0001180555555556</v>
      </c>
      <c r="U2694" s="98">
        <v>4.1886255179403253</v>
      </c>
      <c r="V2694" s="106">
        <v>32752.35126557124</v>
      </c>
      <c r="W2694" s="10">
        <v>1.0766643292063227</v>
      </c>
      <c r="X2694" s="420"/>
      <c r="Y2694" s="420"/>
      <c r="Z2694" s="1"/>
      <c r="AA2694" s="1"/>
      <c r="AB2694" s="1"/>
      <c r="AC2694" s="1"/>
      <c r="AD2694" s="1"/>
    </row>
    <row r="2695" spans="17:30">
      <c r="Q2695" s="6">
        <v>2665</v>
      </c>
      <c r="R2695" s="7">
        <v>45332</v>
      </c>
      <c r="S2695" s="210">
        <v>4.25</v>
      </c>
      <c r="T2695" s="8">
        <v>1.0001180555555556</v>
      </c>
      <c r="U2695" s="98">
        <v>4.1887058568695901</v>
      </c>
      <c r="V2695" s="106">
        <v>32755.077335591915</v>
      </c>
      <c r="W2695" s="10">
        <v>1.0767401814756328</v>
      </c>
      <c r="X2695" s="420"/>
      <c r="Y2695" s="420"/>
      <c r="Z2695" s="1"/>
      <c r="AA2695" s="1"/>
      <c r="AB2695" s="1"/>
      <c r="AC2695" s="1"/>
      <c r="AD2695" s="1"/>
    </row>
    <row r="2696" spans="17:30">
      <c r="Q2696" s="6">
        <v>2666</v>
      </c>
      <c r="R2696" s="7">
        <v>45333</v>
      </c>
      <c r="S2696" s="210">
        <v>4.25</v>
      </c>
      <c r="T2696" s="8">
        <v>1.0001180555555556</v>
      </c>
      <c r="U2696" s="98">
        <v>4.1887861355914602</v>
      </c>
      <c r="V2696" s="106">
        <v>32757.803632511037</v>
      </c>
      <c r="W2696" s="10">
        <v>1.0768159768983931</v>
      </c>
      <c r="X2696" s="420"/>
      <c r="Y2696" s="420"/>
      <c r="Z2696" s="1"/>
      <c r="AA2696" s="1"/>
      <c r="AB2696" s="1"/>
      <c r="AC2696" s="1"/>
      <c r="AD2696" s="1"/>
    </row>
    <row r="2697" spans="17:30">
      <c r="Q2697" s="6">
        <v>2667</v>
      </c>
      <c r="R2697" s="7">
        <v>45334</v>
      </c>
      <c r="S2697" s="210">
        <v>4.25</v>
      </c>
      <c r="T2697" s="8">
        <v>1.0001180555555556</v>
      </c>
      <c r="U2697" s="98">
        <v>4.1888663541735927</v>
      </c>
      <c r="V2697" s="106">
        <v>32760.53015634749</v>
      </c>
      <c r="W2697" s="10">
        <v>1.0768917155384417</v>
      </c>
      <c r="X2697" s="420"/>
      <c r="Y2697" s="420"/>
      <c r="Z2697" s="1"/>
      <c r="AA2697" s="1"/>
      <c r="AB2697" s="1"/>
      <c r="AC2697" s="1"/>
      <c r="AD2697" s="1"/>
    </row>
    <row r="2698" spans="17:30">
      <c r="Q2698" s="6">
        <v>2668</v>
      </c>
      <c r="R2698" s="7">
        <v>45335</v>
      </c>
      <c r="S2698" s="210">
        <v>4.25</v>
      </c>
      <c r="T2698" s="8">
        <v>1.0001180555555556</v>
      </c>
      <c r="U2698" s="98">
        <v>4.1889465126835557</v>
      </c>
      <c r="V2698" s="106">
        <v>32763.256907120169</v>
      </c>
      <c r="W2698" s="10">
        <v>1.0769673974595939</v>
      </c>
      <c r="X2698" s="420"/>
      <c r="Y2698" s="420"/>
      <c r="Z2698" s="1"/>
      <c r="AA2698" s="1"/>
      <c r="AB2698" s="1"/>
      <c r="AC2698" s="1"/>
      <c r="AD2698" s="1"/>
    </row>
    <row r="2699" spans="17:30">
      <c r="Q2699" s="6">
        <v>2669</v>
      </c>
      <c r="R2699" s="7">
        <v>45336</v>
      </c>
      <c r="S2699" s="210">
        <v>4.25</v>
      </c>
      <c r="T2699" s="8">
        <v>1.0001180555555556</v>
      </c>
      <c r="U2699" s="98">
        <v>4.1890266111887842</v>
      </c>
      <c r="V2699" s="106">
        <v>32765.983884847959</v>
      </c>
      <c r="W2699" s="10">
        <v>1.0770430227255101</v>
      </c>
      <c r="X2699" s="420"/>
      <c r="Y2699" s="420"/>
      <c r="Z2699" s="1"/>
      <c r="AA2699" s="1"/>
      <c r="AB2699" s="1"/>
      <c r="AC2699" s="1"/>
      <c r="AD2699" s="1"/>
    </row>
    <row r="2700" spans="17:30">
      <c r="Q2700" s="6">
        <v>2670</v>
      </c>
      <c r="R2700" s="7">
        <v>45337</v>
      </c>
      <c r="S2700" s="210">
        <v>4.25</v>
      </c>
      <c r="T2700" s="8">
        <v>1.0001180555555556</v>
      </c>
      <c r="U2700" s="98">
        <v>4.1891066497566465</v>
      </c>
      <c r="V2700" s="106">
        <v>32768.711089549754</v>
      </c>
      <c r="W2700" s="10">
        <v>1.0771185913998282</v>
      </c>
      <c r="X2700" s="420"/>
      <c r="Y2700" s="420"/>
      <c r="Z2700" s="1"/>
      <c r="AA2700" s="1"/>
      <c r="AB2700" s="1"/>
      <c r="AC2700" s="1"/>
      <c r="AD2700" s="1"/>
    </row>
    <row r="2701" spans="17:30">
      <c r="Q2701" s="6">
        <v>2671</v>
      </c>
      <c r="R2701" s="7">
        <v>45338</v>
      </c>
      <c r="S2701" s="210">
        <v>4.25</v>
      </c>
      <c r="T2701" s="8">
        <v>1.0001180555555556</v>
      </c>
      <c r="U2701" s="98">
        <v>4.1891866284543999</v>
      </c>
      <c r="V2701" s="106">
        <v>32771.438521244439</v>
      </c>
      <c r="W2701" s="10">
        <v>1.0771941035460308</v>
      </c>
      <c r="X2701" s="420"/>
      <c r="Y2701" s="420"/>
      <c r="Z2701" s="1"/>
      <c r="AA2701" s="1"/>
      <c r="AB2701" s="1"/>
      <c r="AC2701" s="1"/>
      <c r="AD2701" s="1"/>
    </row>
    <row r="2702" spans="17:30">
      <c r="Q2702" s="6">
        <v>2672</v>
      </c>
      <c r="R2702" s="7">
        <v>45339</v>
      </c>
      <c r="S2702" s="210">
        <v>4.25</v>
      </c>
      <c r="T2702" s="8">
        <v>1.0001180555555556</v>
      </c>
      <c r="U2702" s="98">
        <v>4.1892665473491686</v>
      </c>
      <c r="V2702" s="106">
        <v>32774.166179950909</v>
      </c>
      <c r="W2702" s="10">
        <v>1.0772695592274895</v>
      </c>
      <c r="X2702" s="420"/>
      <c r="Y2702" s="420"/>
      <c r="Z2702" s="1"/>
      <c r="AA2702" s="1"/>
      <c r="AB2702" s="1"/>
      <c r="AC2702" s="1"/>
      <c r="AD2702" s="1"/>
    </row>
    <row r="2703" spans="17:30">
      <c r="Q2703" s="6">
        <v>2673</v>
      </c>
      <c r="R2703" s="7">
        <v>45340</v>
      </c>
      <c r="S2703" s="210">
        <v>4.25</v>
      </c>
      <c r="T2703" s="8">
        <v>1.0001180555555556</v>
      </c>
      <c r="U2703" s="98">
        <v>4.1893464065080321</v>
      </c>
      <c r="V2703" s="106">
        <v>32776.894065688066</v>
      </c>
      <c r="W2703" s="10">
        <v>1.0773449585075534</v>
      </c>
      <c r="X2703" s="420"/>
      <c r="Y2703" s="420"/>
      <c r="Z2703" s="1"/>
      <c r="AA2703" s="1"/>
      <c r="AB2703" s="1"/>
      <c r="AC2703" s="1"/>
      <c r="AD2703" s="1"/>
    </row>
    <row r="2704" spans="17:30">
      <c r="Q2704" s="6">
        <v>2674</v>
      </c>
      <c r="R2704" s="7">
        <v>45341</v>
      </c>
      <c r="S2704" s="210">
        <v>4.25</v>
      </c>
      <c r="T2704" s="8">
        <v>1.0001180555555556</v>
      </c>
      <c r="U2704" s="98">
        <v>4.1894262059979148</v>
      </c>
      <c r="V2704" s="106">
        <v>32779.622178474798</v>
      </c>
      <c r="W2704" s="10">
        <v>1.0774203014494166</v>
      </c>
      <c r="X2704" s="420"/>
      <c r="Y2704" s="420"/>
      <c r="Z2704" s="1"/>
      <c r="AA2704" s="1"/>
      <c r="AB2704" s="1"/>
      <c r="AC2704" s="1"/>
      <c r="AD2704" s="1"/>
    </row>
    <row r="2705" spans="17:30">
      <c r="Q2705" s="6">
        <v>2675</v>
      </c>
      <c r="R2705" s="7">
        <v>45342</v>
      </c>
      <c r="S2705" s="210">
        <v>4.25</v>
      </c>
      <c r="T2705" s="8">
        <v>1.0001180555555556</v>
      </c>
      <c r="U2705" s="98">
        <v>4.1895059458856743</v>
      </c>
      <c r="V2705" s="106">
        <v>32782.350518330008</v>
      </c>
      <c r="W2705" s="10">
        <v>1.0774955881162063</v>
      </c>
      <c r="X2705" s="420"/>
      <c r="Y2705" s="420"/>
      <c r="Z2705" s="1"/>
      <c r="AA2705" s="1"/>
      <c r="AB2705" s="1"/>
      <c r="AC2705" s="1"/>
      <c r="AD2705" s="1"/>
    </row>
    <row r="2706" spans="17:30">
      <c r="Q2706" s="6">
        <v>2676</v>
      </c>
      <c r="R2706" s="7">
        <v>45343</v>
      </c>
      <c r="S2706" s="210">
        <v>4.25</v>
      </c>
      <c r="T2706" s="8">
        <v>1.0001180555555556</v>
      </c>
      <c r="U2706" s="98">
        <v>4.1895856262380793</v>
      </c>
      <c r="V2706" s="106">
        <v>32785.079085272591</v>
      </c>
      <c r="W2706" s="10">
        <v>1.0775708185709831</v>
      </c>
      <c r="X2706" s="420"/>
      <c r="Y2706" s="420"/>
      <c r="Z2706" s="1"/>
      <c r="AA2706" s="1"/>
      <c r="AB2706" s="1"/>
      <c r="AC2706" s="1"/>
      <c r="AD2706" s="1"/>
    </row>
    <row r="2707" spans="17:30">
      <c r="Q2707" s="6">
        <v>2677</v>
      </c>
      <c r="R2707" s="7">
        <v>45344</v>
      </c>
      <c r="S2707" s="210">
        <v>4.25</v>
      </c>
      <c r="T2707" s="8">
        <v>1.0001180555555556</v>
      </c>
      <c r="U2707" s="98">
        <v>4.1896652471217655</v>
      </c>
      <c r="V2707" s="106">
        <v>32787.807879321452</v>
      </c>
      <c r="W2707" s="10">
        <v>1.077645992876608</v>
      </c>
      <c r="X2707" s="420"/>
      <c r="Y2707" s="420"/>
      <c r="Z2707" s="1"/>
      <c r="AA2707" s="1"/>
      <c r="AB2707" s="1"/>
      <c r="AC2707" s="1"/>
      <c r="AD2707" s="1"/>
    </row>
    <row r="2708" spans="17:30">
      <c r="Q2708" s="6">
        <v>2678</v>
      </c>
      <c r="R2708" s="7">
        <v>45345</v>
      </c>
      <c r="S2708" s="210">
        <v>4.25</v>
      </c>
      <c r="T2708" s="8">
        <v>1.0001180555555556</v>
      </c>
      <c r="U2708" s="98">
        <v>4.1897448086032796</v>
      </c>
      <c r="V2708" s="106">
        <v>32790.536900495492</v>
      </c>
      <c r="W2708" s="10">
        <v>1.0777211110959639</v>
      </c>
      <c r="X2708" s="420"/>
      <c r="Y2708" s="420"/>
      <c r="Z2708" s="1"/>
      <c r="AA2708" s="1"/>
      <c r="AB2708" s="1"/>
      <c r="AC2708" s="1"/>
      <c r="AD2708" s="1"/>
    </row>
    <row r="2709" spans="17:30">
      <c r="Q2709" s="6">
        <v>2679</v>
      </c>
      <c r="R2709" s="7">
        <v>45346</v>
      </c>
      <c r="S2709" s="210">
        <v>4.25</v>
      </c>
      <c r="T2709" s="8">
        <v>1.0001180555555556</v>
      </c>
      <c r="U2709" s="98">
        <v>4.1898243107490796</v>
      </c>
      <c r="V2709" s="106">
        <v>32793.266148813607</v>
      </c>
      <c r="W2709" s="10">
        <v>1.0777961732918007</v>
      </c>
      <c r="X2709" s="420"/>
      <c r="Y2709" s="420"/>
      <c r="Z2709" s="1"/>
      <c r="AA2709" s="1"/>
      <c r="AB2709" s="1"/>
      <c r="AC2709" s="1"/>
      <c r="AD2709" s="1"/>
    </row>
    <row r="2710" spans="17:30">
      <c r="Q2710" s="6">
        <v>2680</v>
      </c>
      <c r="R2710" s="7">
        <v>45347</v>
      </c>
      <c r="S2710" s="210">
        <v>4.25</v>
      </c>
      <c r="T2710" s="8">
        <v>1.0001180555555556</v>
      </c>
      <c r="U2710" s="98">
        <v>4.1899037536255124</v>
      </c>
      <c r="V2710" s="106">
        <v>32795.995624294723</v>
      </c>
      <c r="W2710" s="10">
        <v>1.0778711795267348</v>
      </c>
      <c r="X2710" s="420"/>
      <c r="Y2710" s="420"/>
      <c r="Z2710" s="1"/>
      <c r="AA2710" s="1"/>
      <c r="AB2710" s="1"/>
      <c r="AC2710" s="1"/>
      <c r="AD2710" s="1"/>
    </row>
    <row r="2711" spans="17:30">
      <c r="Q2711" s="6">
        <v>2681</v>
      </c>
      <c r="R2711" s="7">
        <v>45348</v>
      </c>
      <c r="S2711" s="210">
        <v>4.25</v>
      </c>
      <c r="T2711" s="8">
        <v>1.0001180555555556</v>
      </c>
      <c r="U2711" s="98">
        <v>4.1899831372988361</v>
      </c>
      <c r="V2711" s="106">
        <v>32798.725326957727</v>
      </c>
      <c r="W2711" s="10">
        <v>1.0779461298633386</v>
      </c>
      <c r="X2711" s="420"/>
      <c r="Y2711" s="420"/>
      <c r="Z2711" s="1"/>
      <c r="AA2711" s="1"/>
      <c r="AB2711" s="1"/>
      <c r="AC2711" s="1"/>
      <c r="AD2711" s="1"/>
    </row>
    <row r="2712" spans="17:30">
      <c r="Q2712" s="6">
        <v>2682</v>
      </c>
      <c r="R2712" s="7">
        <v>45349</v>
      </c>
      <c r="S2712" s="210">
        <v>4.25</v>
      </c>
      <c r="T2712" s="8">
        <v>1.0001180555555556</v>
      </c>
      <c r="U2712" s="98">
        <v>4.1900624618351978</v>
      </c>
      <c r="V2712" s="106">
        <v>32801.455256821544</v>
      </c>
      <c r="W2712" s="10">
        <v>1.0780210243640731</v>
      </c>
      <c r="X2712" s="420"/>
      <c r="Y2712" s="420"/>
      <c r="Z2712" s="1"/>
      <c r="AA2712" s="1"/>
      <c r="AB2712" s="1"/>
      <c r="AC2712" s="1"/>
      <c r="AD2712" s="1"/>
    </row>
    <row r="2713" spans="17:30">
      <c r="Q2713" s="6">
        <v>2683</v>
      </c>
      <c r="R2713" s="7">
        <v>45350</v>
      </c>
      <c r="S2713" s="210">
        <v>4.25</v>
      </c>
      <c r="T2713" s="8">
        <v>1.0001180555555556</v>
      </c>
      <c r="U2713" s="98">
        <v>4.190141727300678</v>
      </c>
      <c r="V2713" s="106">
        <v>32804.185413905077</v>
      </c>
      <c r="W2713" s="10">
        <v>1.0780958630913329</v>
      </c>
      <c r="X2713" s="420"/>
      <c r="Y2713" s="420"/>
      <c r="Z2713" s="1"/>
      <c r="AA2713" s="1"/>
      <c r="AB2713" s="1"/>
      <c r="AC2713" s="1"/>
      <c r="AD2713" s="1"/>
    </row>
    <row r="2714" spans="17:30">
      <c r="Q2714" s="6">
        <v>2684</v>
      </c>
      <c r="R2714" s="7">
        <v>45351</v>
      </c>
      <c r="S2714" s="210">
        <v>4.25</v>
      </c>
      <c r="T2714" s="8">
        <v>1.0001180555555556</v>
      </c>
      <c r="U2714" s="98">
        <v>4.1902209337612017</v>
      </c>
      <c r="V2714" s="106">
        <v>32806.91579822723</v>
      </c>
      <c r="W2714" s="10">
        <v>1.0781706461073792</v>
      </c>
      <c r="X2714" s="420"/>
      <c r="Y2714" s="420"/>
      <c r="Z2714" s="1"/>
      <c r="AA2714" s="1"/>
      <c r="AB2714" s="1"/>
      <c r="AC2714" s="1"/>
      <c r="AD2714" s="1"/>
    </row>
    <row r="2715" spans="17:30">
      <c r="Q2715" s="6">
        <v>2685</v>
      </c>
      <c r="R2715" s="7">
        <v>45352</v>
      </c>
      <c r="S2715" s="210">
        <v>4.25</v>
      </c>
      <c r="T2715" s="8">
        <v>1.0001180555555556</v>
      </c>
      <c r="U2715" s="98">
        <v>4.1903000812826496</v>
      </c>
      <c r="V2715" s="106">
        <v>32809.646409806934</v>
      </c>
      <c r="W2715" s="10">
        <v>1.0782453734743846</v>
      </c>
      <c r="X2715" s="420"/>
      <c r="Y2715" s="420"/>
      <c r="Z2715" s="1"/>
      <c r="AA2715" s="1"/>
      <c r="AB2715" s="1"/>
      <c r="AC2715" s="1"/>
      <c r="AD2715" s="1"/>
    </row>
    <row r="2716" spans="17:30">
      <c r="Q2716" s="6">
        <v>2686</v>
      </c>
      <c r="R2716" s="7">
        <v>45353</v>
      </c>
      <c r="S2716" s="210">
        <v>4.25</v>
      </c>
      <c r="T2716" s="8">
        <v>1.0001180555555556</v>
      </c>
      <c r="U2716" s="98">
        <v>4.1903791699307913</v>
      </c>
      <c r="V2716" s="106">
        <v>32812.377248663091</v>
      </c>
      <c r="W2716" s="10">
        <v>1.0783200452544772</v>
      </c>
      <c r="X2716" s="420"/>
      <c r="Y2716" s="420"/>
      <c r="Z2716" s="1"/>
      <c r="AA2716" s="1"/>
      <c r="AB2716" s="1"/>
      <c r="AC2716" s="1"/>
      <c r="AD2716" s="1"/>
    </row>
    <row r="2717" spans="17:30">
      <c r="Q2717" s="6">
        <v>2687</v>
      </c>
      <c r="R2717" s="7">
        <v>45354</v>
      </c>
      <c r="S2717" s="210">
        <v>4.25</v>
      </c>
      <c r="T2717" s="8">
        <v>1.0001180555555556</v>
      </c>
      <c r="U2717" s="98">
        <v>4.1904581997712853</v>
      </c>
      <c r="V2717" s="106">
        <v>32815.108314814621</v>
      </c>
      <c r="W2717" s="10">
        <v>1.0783946615096296</v>
      </c>
      <c r="X2717" s="420"/>
      <c r="Y2717" s="420"/>
      <c r="Z2717" s="1"/>
      <c r="AA2717" s="1"/>
      <c r="AB2717" s="1"/>
      <c r="AC2717" s="1"/>
      <c r="AD2717" s="1"/>
    </row>
    <row r="2718" spans="17:30">
      <c r="Q2718" s="6">
        <v>2688</v>
      </c>
      <c r="R2718" s="7">
        <v>45355</v>
      </c>
      <c r="S2718" s="210">
        <v>4.25</v>
      </c>
      <c r="T2718" s="8">
        <v>1.0001180555555556</v>
      </c>
      <c r="U2718" s="98">
        <v>4.1905371708696793</v>
      </c>
      <c r="V2718" s="106">
        <v>32817.839608280447</v>
      </c>
      <c r="W2718" s="10">
        <v>1.0784692223017256</v>
      </c>
      <c r="X2718" s="420"/>
      <c r="Y2718" s="420"/>
      <c r="Z2718" s="1"/>
      <c r="AA2718" s="1"/>
      <c r="AB2718" s="1"/>
      <c r="AC2718" s="1"/>
      <c r="AD2718" s="1"/>
    </row>
    <row r="2719" spans="17:30">
      <c r="Q2719" s="6">
        <v>2689</v>
      </c>
      <c r="R2719" s="7">
        <v>45356</v>
      </c>
      <c r="S2719" s="210">
        <v>4.25</v>
      </c>
      <c r="T2719" s="8">
        <v>1.0001180555555556</v>
      </c>
      <c r="U2719" s="98">
        <v>4.1906160832914541</v>
      </c>
      <c r="V2719" s="106">
        <v>32820.571129079486</v>
      </c>
      <c r="W2719" s="10">
        <v>1.0785437276926269</v>
      </c>
      <c r="X2719" s="420"/>
      <c r="Y2719" s="420"/>
      <c r="Z2719" s="1"/>
      <c r="AA2719" s="1"/>
      <c r="AB2719" s="1"/>
      <c r="AC2719" s="1"/>
      <c r="AD2719" s="1"/>
    </row>
    <row r="2720" spans="17:30">
      <c r="Q2720" s="6">
        <v>2690</v>
      </c>
      <c r="R2720" s="7">
        <v>45357</v>
      </c>
      <c r="S2720" s="210">
        <v>4.25</v>
      </c>
      <c r="T2720" s="8">
        <v>1.0001180555555556</v>
      </c>
      <c r="U2720" s="98">
        <v>4.1906949371019797</v>
      </c>
      <c r="V2720" s="106">
        <v>32823.302877230657</v>
      </c>
      <c r="W2720" s="10">
        <v>1.0786181777440618</v>
      </c>
      <c r="X2720" s="420"/>
      <c r="Y2720" s="420"/>
      <c r="Z2720" s="1"/>
      <c r="AA2720" s="1"/>
      <c r="AB2720" s="1"/>
      <c r="AC2720" s="1"/>
      <c r="AD2720" s="1"/>
    </row>
    <row r="2721" spans="17:30">
      <c r="Q2721" s="6">
        <v>2691</v>
      </c>
      <c r="R2721" s="7">
        <v>45358</v>
      </c>
      <c r="S2721" s="210">
        <v>4.25</v>
      </c>
      <c r="T2721" s="8">
        <v>1.0001180555555556</v>
      </c>
      <c r="U2721" s="98">
        <v>4.1907737323665373</v>
      </c>
      <c r="V2721" s="106">
        <v>32826.034852752884</v>
      </c>
      <c r="W2721" s="10">
        <v>1.0786925725176033</v>
      </c>
      <c r="X2721" s="420"/>
      <c r="Y2721" s="420"/>
      <c r="Z2721" s="1"/>
      <c r="AA2721" s="1"/>
      <c r="AB2721" s="1"/>
      <c r="AC2721" s="1"/>
      <c r="AD2721" s="1"/>
    </row>
    <row r="2722" spans="17:30">
      <c r="Q2722" s="6">
        <v>2692</v>
      </c>
      <c r="R2722" s="7">
        <v>45359</v>
      </c>
      <c r="S2722" s="210">
        <v>4.25</v>
      </c>
      <c r="T2722" s="8">
        <v>1.0001180555555556</v>
      </c>
      <c r="U2722" s="98">
        <v>4.1908524691503191</v>
      </c>
      <c r="V2722" s="106">
        <v>32828.767055665092</v>
      </c>
      <c r="W2722" s="10">
        <v>1.0787669120748689</v>
      </c>
      <c r="X2722" s="420"/>
      <c r="Y2722" s="420"/>
      <c r="Z2722" s="1"/>
      <c r="AA2722" s="1"/>
      <c r="AB2722" s="1"/>
      <c r="AC2722" s="1"/>
      <c r="AD2722" s="1"/>
    </row>
    <row r="2723" spans="17:30">
      <c r="Q2723" s="6">
        <v>2693</v>
      </c>
      <c r="R2723" s="7">
        <v>45360</v>
      </c>
      <c r="S2723" s="210">
        <v>4.25</v>
      </c>
      <c r="T2723" s="8">
        <v>1.0001180555555556</v>
      </c>
      <c r="U2723" s="98">
        <v>4.1909311475183841</v>
      </c>
      <c r="V2723" s="106">
        <v>32831.49948598622</v>
      </c>
      <c r="W2723" s="10">
        <v>1.0788411964772759</v>
      </c>
      <c r="X2723" s="420"/>
      <c r="Y2723" s="420"/>
      <c r="Z2723" s="1"/>
      <c r="AA2723" s="1"/>
      <c r="AB2723" s="1"/>
      <c r="AC2723" s="1"/>
      <c r="AD2723" s="1"/>
    </row>
    <row r="2724" spans="17:30">
      <c r="Q2724" s="6">
        <v>2694</v>
      </c>
      <c r="R2724" s="7">
        <v>45361</v>
      </c>
      <c r="S2724" s="210">
        <v>4.25</v>
      </c>
      <c r="T2724" s="8">
        <v>1.0001180555555556</v>
      </c>
      <c r="U2724" s="98">
        <v>4.191009767535725</v>
      </c>
      <c r="V2724" s="106">
        <v>32834.232143735171</v>
      </c>
      <c r="W2724" s="10">
        <v>1.0789154257861755</v>
      </c>
      <c r="X2724" s="420"/>
      <c r="Y2724" s="420"/>
      <c r="Z2724" s="1"/>
      <c r="AA2724" s="1"/>
      <c r="AB2724" s="1"/>
      <c r="AC2724" s="1"/>
      <c r="AD2724" s="1"/>
    </row>
    <row r="2725" spans="17:30">
      <c r="Q2725" s="6">
        <v>2695</v>
      </c>
      <c r="R2725" s="7">
        <v>45362</v>
      </c>
      <c r="S2725" s="210">
        <v>4.25</v>
      </c>
      <c r="T2725" s="8">
        <v>1.0001180555555556</v>
      </c>
      <c r="U2725" s="98">
        <v>4.191088329267223</v>
      </c>
      <c r="V2725" s="106">
        <v>32836.965028930892</v>
      </c>
      <c r="W2725" s="10">
        <v>1.0789896000628296</v>
      </c>
      <c r="X2725" s="420"/>
      <c r="Y2725" s="420"/>
      <c r="Z2725" s="1"/>
      <c r="AA2725" s="1"/>
      <c r="AB2725" s="1"/>
      <c r="AC2725" s="1"/>
      <c r="AD2725" s="1"/>
    </row>
    <row r="2726" spans="17:30">
      <c r="Q2726" s="6">
        <v>2696</v>
      </c>
      <c r="R2726" s="7">
        <v>45363</v>
      </c>
      <c r="S2726" s="210">
        <v>4.25</v>
      </c>
      <c r="T2726" s="8">
        <v>1.0001180555555556</v>
      </c>
      <c r="U2726" s="98">
        <v>4.1911668327776708</v>
      </c>
      <c r="V2726" s="106">
        <v>32839.698141592307</v>
      </c>
      <c r="W2726" s="10">
        <v>1.0790637193684338</v>
      </c>
      <c r="X2726" s="420"/>
      <c r="Y2726" s="420"/>
      <c r="Z2726" s="1"/>
      <c r="AA2726" s="1"/>
      <c r="AB2726" s="1"/>
      <c r="AC2726" s="1"/>
      <c r="AD2726" s="1"/>
    </row>
    <row r="2727" spans="17:30">
      <c r="Q2727" s="6">
        <v>2697</v>
      </c>
      <c r="R2727" s="7">
        <v>45364</v>
      </c>
      <c r="S2727" s="210">
        <v>4.25</v>
      </c>
      <c r="T2727" s="8">
        <v>1.0001180555555556</v>
      </c>
      <c r="U2727" s="98">
        <v>4.1912452781317722</v>
      </c>
      <c r="V2727" s="106">
        <v>32842.431481738357</v>
      </c>
      <c r="W2727" s="10">
        <v>1.0791377837640503</v>
      </c>
      <c r="X2727" s="420"/>
      <c r="Y2727" s="420"/>
      <c r="Z2727" s="1"/>
      <c r="AA2727" s="1"/>
      <c r="AB2727" s="1"/>
      <c r="AC2727" s="1"/>
      <c r="AD2727" s="1"/>
    </row>
    <row r="2728" spans="17:30">
      <c r="Q2728" s="6">
        <v>2698</v>
      </c>
      <c r="R2728" s="7">
        <v>45365</v>
      </c>
      <c r="S2728" s="210">
        <v>4.25</v>
      </c>
      <c r="T2728" s="8">
        <v>1.0001180555555556</v>
      </c>
      <c r="U2728" s="98">
        <v>4.1913236653941199</v>
      </c>
      <c r="V2728" s="106">
        <v>32845.165049387972</v>
      </c>
      <c r="W2728" s="10">
        <v>1.0792117933106971</v>
      </c>
      <c r="X2728" s="420"/>
      <c r="Y2728" s="420"/>
      <c r="Z2728" s="1"/>
      <c r="AA2728" s="1"/>
      <c r="AB2728" s="1"/>
      <c r="AC2728" s="1"/>
      <c r="AD2728" s="1"/>
    </row>
    <row r="2729" spans="17:30">
      <c r="Q2729" s="6">
        <v>2699</v>
      </c>
      <c r="R2729" s="7">
        <v>45366</v>
      </c>
      <c r="S2729" s="210">
        <v>4.25</v>
      </c>
      <c r="T2729" s="8">
        <v>1.0001180555555556</v>
      </c>
      <c r="U2729" s="98">
        <v>4.1914019946292402</v>
      </c>
      <c r="V2729" s="106">
        <v>32847.898844560077</v>
      </c>
      <c r="W2729" s="10">
        <v>1.079285748069303</v>
      </c>
      <c r="X2729" s="420"/>
      <c r="Y2729" s="420"/>
      <c r="Z2729" s="1"/>
      <c r="AA2729" s="1"/>
      <c r="AB2729" s="1"/>
      <c r="AC2729" s="1"/>
      <c r="AD2729" s="1"/>
    </row>
    <row r="2730" spans="17:30">
      <c r="Q2730" s="6">
        <v>2700</v>
      </c>
      <c r="R2730" s="7">
        <v>45367</v>
      </c>
      <c r="S2730" s="210">
        <v>4.25</v>
      </c>
      <c r="T2730" s="8">
        <v>1.0001180555555556</v>
      </c>
      <c r="U2730" s="98">
        <v>4.191480265901526</v>
      </c>
      <c r="V2730" s="106">
        <v>32850.632867273627</v>
      </c>
      <c r="W2730" s="10">
        <v>1.0793596481006418</v>
      </c>
      <c r="X2730" s="420"/>
      <c r="Y2730" s="420"/>
      <c r="Z2730" s="1"/>
      <c r="AA2730" s="1"/>
      <c r="AB2730" s="1"/>
      <c r="AC2730" s="1"/>
      <c r="AD2730" s="1"/>
    </row>
    <row r="2731" spans="17:30">
      <c r="Q2731" s="6">
        <v>2701</v>
      </c>
      <c r="R2731" s="7">
        <v>45368</v>
      </c>
      <c r="S2731" s="210">
        <v>4.25</v>
      </c>
      <c r="T2731" s="8">
        <v>1.0001180555555556</v>
      </c>
      <c r="U2731" s="98">
        <v>4.1915584792752814</v>
      </c>
      <c r="V2731" s="106">
        <v>32853.367117547547</v>
      </c>
      <c r="W2731" s="10">
        <v>1.0794334934654426</v>
      </c>
      <c r="X2731" s="420"/>
      <c r="Y2731" s="420"/>
      <c r="Z2731" s="1"/>
      <c r="AA2731" s="1"/>
      <c r="AB2731" s="1"/>
      <c r="AC2731" s="1"/>
      <c r="AD2731" s="1"/>
    </row>
    <row r="2732" spans="17:30">
      <c r="Q2732" s="6">
        <v>2702</v>
      </c>
      <c r="R2732" s="7">
        <v>45369</v>
      </c>
      <c r="S2732" s="210">
        <v>4.25</v>
      </c>
      <c r="T2732" s="8">
        <v>1.0001180555555556</v>
      </c>
      <c r="U2732" s="98">
        <v>4.1916366348147438</v>
      </c>
      <c r="V2732" s="106">
        <v>32856.101595400789</v>
      </c>
      <c r="W2732" s="10">
        <v>1.079507284224368</v>
      </c>
      <c r="X2732" s="420"/>
      <c r="Y2732" s="420"/>
      <c r="Z2732" s="1"/>
      <c r="AA2732" s="1"/>
      <c r="AB2732" s="1"/>
      <c r="AC2732" s="1"/>
      <c r="AD2732" s="1"/>
    </row>
    <row r="2733" spans="17:30">
      <c r="Q2733" s="6">
        <v>2703</v>
      </c>
      <c r="R2733" s="7">
        <v>45370</v>
      </c>
      <c r="S2733" s="210">
        <v>4.25</v>
      </c>
      <c r="T2733" s="8">
        <v>1.0001180555555556</v>
      </c>
      <c r="U2733" s="98">
        <v>4.1917147325840176</v>
      </c>
      <c r="V2733" s="106">
        <v>32858.836300852287</v>
      </c>
      <c r="W2733" s="10">
        <v>1.0795810204379253</v>
      </c>
      <c r="X2733" s="420"/>
      <c r="Y2733" s="420"/>
      <c r="Z2733" s="1"/>
      <c r="AA2733" s="1"/>
      <c r="AB2733" s="1"/>
      <c r="AC2733" s="1"/>
      <c r="AD2733" s="1"/>
    </row>
    <row r="2734" spans="17:30">
      <c r="Q2734" s="6">
        <v>2704</v>
      </c>
      <c r="R2734" s="7">
        <v>45371</v>
      </c>
      <c r="S2734" s="210">
        <v>4.25</v>
      </c>
      <c r="T2734" s="8">
        <v>1.0001180555555556</v>
      </c>
      <c r="U2734" s="98">
        <v>4.1917927726471405</v>
      </c>
      <c r="V2734" s="106">
        <v>32861.571233920986</v>
      </c>
      <c r="W2734" s="10">
        <v>1.0796547021665992</v>
      </c>
      <c r="X2734" s="420"/>
      <c r="Y2734" s="420"/>
      <c r="Z2734" s="1"/>
      <c r="AA2734" s="1"/>
      <c r="AB2734" s="1"/>
      <c r="AC2734" s="1"/>
      <c r="AD2734" s="1"/>
    </row>
    <row r="2735" spans="17:30">
      <c r="Q2735" s="6">
        <v>2705</v>
      </c>
      <c r="R2735" s="7">
        <v>45372</v>
      </c>
      <c r="S2735" s="210">
        <v>4.25</v>
      </c>
      <c r="T2735" s="8">
        <v>1.0001180555555556</v>
      </c>
      <c r="U2735" s="98">
        <v>4.1918707550680612</v>
      </c>
      <c r="V2735" s="106">
        <v>32864.306394625826</v>
      </c>
      <c r="W2735" s="10">
        <v>1.0797283294707638</v>
      </c>
      <c r="X2735" s="420"/>
      <c r="Y2735" s="420"/>
      <c r="Z2735" s="1"/>
      <c r="AA2735" s="1"/>
      <c r="AB2735" s="1"/>
      <c r="AC2735" s="1"/>
      <c r="AD2735" s="1"/>
    </row>
    <row r="2736" spans="17:30">
      <c r="Q2736" s="6">
        <v>2706</v>
      </c>
      <c r="R2736" s="7">
        <v>45373</v>
      </c>
      <c r="S2736" s="210">
        <v>4.25</v>
      </c>
      <c r="T2736" s="8">
        <v>1.0001180555555556</v>
      </c>
      <c r="U2736" s="98">
        <v>4.1919486799105954</v>
      </c>
      <c r="V2736" s="106">
        <v>32867.041782985769</v>
      </c>
      <c r="W2736" s="10">
        <v>1.0798019024106598</v>
      </c>
      <c r="X2736" s="420"/>
      <c r="Y2736" s="420"/>
      <c r="Z2736" s="1"/>
      <c r="AA2736" s="1"/>
      <c r="AB2736" s="1"/>
      <c r="AC2736" s="1"/>
      <c r="AD2736" s="1"/>
    </row>
    <row r="2737" spans="17:30">
      <c r="Q2737" s="6">
        <v>2707</v>
      </c>
      <c r="R2737" s="7">
        <v>45374</v>
      </c>
      <c r="S2737" s="210">
        <v>4.25</v>
      </c>
      <c r="T2737" s="8">
        <v>1.0001180555555556</v>
      </c>
      <c r="U2737" s="98">
        <v>4.1920265472385143</v>
      </c>
      <c r="V2737" s="106">
        <v>32869.777399019753</v>
      </c>
      <c r="W2737" s="10">
        <v>1.0798754210465278</v>
      </c>
      <c r="X2737" s="420"/>
      <c r="Y2737" s="420"/>
      <c r="Z2737" s="1"/>
      <c r="AA2737" s="1"/>
      <c r="AB2737" s="1"/>
      <c r="AC2737" s="1"/>
      <c r="AD2737" s="1"/>
    </row>
    <row r="2738" spans="17:30">
      <c r="Q2738" s="6">
        <v>2708</v>
      </c>
      <c r="R2738" s="7">
        <v>45375</v>
      </c>
      <c r="S2738" s="210">
        <v>4.25</v>
      </c>
      <c r="T2738" s="8">
        <v>1.0001180555555556</v>
      </c>
      <c r="U2738" s="98">
        <v>4.1921043571154559</v>
      </c>
      <c r="V2738" s="106">
        <v>32872.513242746718</v>
      </c>
      <c r="W2738" s="10">
        <v>1.0799488854384309</v>
      </c>
      <c r="X2738" s="420"/>
      <c r="Y2738" s="420"/>
      <c r="Z2738" s="1"/>
      <c r="AA2738" s="1"/>
      <c r="AB2738" s="1"/>
      <c r="AC2738" s="1"/>
      <c r="AD2738" s="1"/>
    </row>
    <row r="2739" spans="17:30">
      <c r="Q2739" s="6">
        <v>2709</v>
      </c>
      <c r="R2739" s="7">
        <v>45376</v>
      </c>
      <c r="S2739" s="210">
        <v>4.25</v>
      </c>
      <c r="T2739" s="8">
        <v>1.0001180555555556</v>
      </c>
      <c r="U2739" s="98">
        <v>4.1921821096049694</v>
      </c>
      <c r="V2739" s="106">
        <v>32875.249314185647</v>
      </c>
      <c r="W2739" s="10">
        <v>1.0800222956463656</v>
      </c>
      <c r="X2739" s="420"/>
      <c r="Y2739" s="420"/>
      <c r="Z2739" s="1"/>
      <c r="AA2739" s="1"/>
      <c r="AB2739" s="1"/>
      <c r="AC2739" s="1"/>
      <c r="AD2739" s="1"/>
    </row>
    <row r="2740" spans="17:30">
      <c r="Q2740" s="6">
        <v>2710</v>
      </c>
      <c r="R2740" s="7">
        <v>45377</v>
      </c>
      <c r="S2740" s="210">
        <v>4.25</v>
      </c>
      <c r="T2740" s="8">
        <v>1.0001180555555556</v>
      </c>
      <c r="U2740" s="98">
        <v>4.1922598047705373</v>
      </c>
      <c r="V2740" s="106">
        <v>32877.985613355457</v>
      </c>
      <c r="W2740" s="10">
        <v>1.0800956517303062</v>
      </c>
      <c r="X2740" s="420"/>
      <c r="Y2740" s="420"/>
      <c r="Z2740" s="1"/>
      <c r="AA2740" s="1"/>
      <c r="AB2740" s="1"/>
      <c r="AC2740" s="1"/>
      <c r="AD2740" s="1"/>
    </row>
    <row r="2741" spans="17:30">
      <c r="Q2741" s="6">
        <v>2711</v>
      </c>
      <c r="R2741" s="7">
        <v>45378</v>
      </c>
      <c r="S2741" s="210">
        <v>4.25</v>
      </c>
      <c r="T2741" s="8">
        <v>1.0001180555555556</v>
      </c>
      <c r="U2741" s="98">
        <v>4.1923374426755311</v>
      </c>
      <c r="V2741" s="106">
        <v>32880.722140275124</v>
      </c>
      <c r="W2741" s="10">
        <v>1.0801689537500714</v>
      </c>
      <c r="X2741" s="420"/>
      <c r="Y2741" s="420"/>
      <c r="Z2741" s="1"/>
      <c r="AA2741" s="1"/>
      <c r="AB2741" s="1"/>
      <c r="AC2741" s="1"/>
      <c r="AD2741" s="1"/>
    </row>
    <row r="2742" spans="17:30">
      <c r="Q2742" s="6">
        <v>2712</v>
      </c>
      <c r="R2742" s="7">
        <v>45379</v>
      </c>
      <c r="S2742" s="210">
        <v>4.25</v>
      </c>
      <c r="T2742" s="8">
        <v>1.0001180555555556</v>
      </c>
      <c r="U2742" s="98">
        <v>4.1924150233832114</v>
      </c>
      <c r="V2742" s="106">
        <v>32883.458894963595</v>
      </c>
      <c r="W2742" s="10">
        <v>1.0802422017653912</v>
      </c>
      <c r="X2742" s="420"/>
      <c r="Y2742" s="420"/>
      <c r="Z2742" s="1"/>
      <c r="AA2742" s="1"/>
      <c r="AB2742" s="1"/>
      <c r="AC2742" s="1"/>
      <c r="AD2742" s="1"/>
    </row>
    <row r="2743" spans="17:30">
      <c r="Q2743" s="6">
        <v>2713</v>
      </c>
      <c r="R2743" s="7">
        <v>45380</v>
      </c>
      <c r="S2743" s="210">
        <v>4.25</v>
      </c>
      <c r="T2743" s="8">
        <v>1.0001180555555556</v>
      </c>
      <c r="U2743" s="98">
        <v>4.192492546956772</v>
      </c>
      <c r="V2743" s="106">
        <v>32886.195877439837</v>
      </c>
      <c r="W2743" s="10">
        <v>1.0803153958359291</v>
      </c>
      <c r="X2743" s="420"/>
      <c r="Y2743" s="420"/>
      <c r="Z2743" s="1"/>
      <c r="AA2743" s="1"/>
      <c r="AB2743" s="1"/>
      <c r="AC2743" s="1"/>
      <c r="AD2743" s="1"/>
    </row>
    <row r="2744" spans="17:30">
      <c r="Q2744" s="6">
        <v>2714</v>
      </c>
      <c r="R2744" s="7">
        <v>45381</v>
      </c>
      <c r="S2744" s="210">
        <v>4.25</v>
      </c>
      <c r="T2744" s="8">
        <v>1.0001180555555556</v>
      </c>
      <c r="U2744" s="98">
        <v>4.1925700134592958</v>
      </c>
      <c r="V2744" s="106">
        <v>32888.933087722799</v>
      </c>
      <c r="W2744" s="10">
        <v>1.0803885360212595</v>
      </c>
      <c r="X2744" s="420"/>
      <c r="Y2744" s="420"/>
      <c r="Z2744" s="1"/>
      <c r="AA2744" s="1"/>
      <c r="AB2744" s="1"/>
      <c r="AC2744" s="1"/>
      <c r="AD2744" s="1"/>
    </row>
    <row r="2745" spans="17:30">
      <c r="Q2745" s="6">
        <v>2715</v>
      </c>
      <c r="R2745" s="7">
        <v>45382</v>
      </c>
      <c r="S2745" s="210">
        <v>4.25</v>
      </c>
      <c r="T2745" s="8">
        <v>1.0001180555555556</v>
      </c>
      <c r="U2745" s="98">
        <v>4.1926474229537991</v>
      </c>
      <c r="V2745" s="106">
        <v>32891.670525831447</v>
      </c>
      <c r="W2745" s="10">
        <v>1.0804616223808683</v>
      </c>
      <c r="X2745" s="420"/>
      <c r="Y2745" s="420"/>
      <c r="Z2745" s="1"/>
      <c r="AA2745" s="1"/>
      <c r="AB2745" s="1"/>
      <c r="AC2745" s="1"/>
      <c r="AD2745" s="1"/>
    </row>
    <row r="2746" spans="17:30">
      <c r="Q2746" s="6">
        <v>2716</v>
      </c>
      <c r="R2746" s="7">
        <v>45383</v>
      </c>
      <c r="S2746" s="210">
        <v>4.25</v>
      </c>
      <c r="T2746" s="8">
        <v>1.0001180555555556</v>
      </c>
      <c r="U2746" s="98">
        <v>4.1927247755031649</v>
      </c>
      <c r="V2746" s="106">
        <v>32894.408191784743</v>
      </c>
      <c r="W2746" s="10">
        <v>1.0805346549741301</v>
      </c>
      <c r="X2746" s="420"/>
      <c r="Y2746" s="420"/>
      <c r="Z2746" s="1"/>
      <c r="AA2746" s="1"/>
      <c r="AB2746" s="1"/>
      <c r="AC2746" s="1"/>
      <c r="AD2746" s="1"/>
    </row>
    <row r="2747" spans="17:30">
      <c r="Q2747" s="6">
        <v>2717</v>
      </c>
      <c r="R2747" s="7">
        <v>45384</v>
      </c>
      <c r="S2747" s="210">
        <v>4.25</v>
      </c>
      <c r="T2747" s="8">
        <v>1.0001180555555556</v>
      </c>
      <c r="U2747" s="98">
        <v>4.1928020711702318</v>
      </c>
      <c r="V2747" s="106">
        <v>32897.146085601657</v>
      </c>
      <c r="W2747" s="10">
        <v>1.0806076338603976</v>
      </c>
      <c r="X2747" s="420"/>
      <c r="Y2747" s="420"/>
      <c r="Z2747" s="1"/>
      <c r="AA2747" s="1"/>
      <c r="AB2747" s="1"/>
      <c r="AC2747" s="1"/>
      <c r="AD2747" s="1"/>
    </row>
    <row r="2748" spans="17:30">
      <c r="Q2748" s="6">
        <v>2718</v>
      </c>
      <c r="R2748" s="7">
        <v>45385</v>
      </c>
      <c r="S2748" s="210">
        <v>4.25</v>
      </c>
      <c r="T2748" s="8">
        <v>1.0001180555555556</v>
      </c>
      <c r="U2748" s="98">
        <v>4.1928793100177053</v>
      </c>
      <c r="V2748" s="106">
        <v>32899.884207301147</v>
      </c>
      <c r="W2748" s="10">
        <v>1.0806805590988455</v>
      </c>
      <c r="X2748" s="420"/>
      <c r="Y2748" s="420"/>
      <c r="Z2748" s="1"/>
      <c r="AA2748" s="1"/>
      <c r="AB2748" s="1"/>
      <c r="AC2748" s="1"/>
      <c r="AD2748" s="1"/>
    </row>
    <row r="2749" spans="17:30">
      <c r="Q2749" s="6">
        <v>2719</v>
      </c>
      <c r="R2749" s="7">
        <v>45386</v>
      </c>
      <c r="S2749" s="210">
        <v>4.25</v>
      </c>
      <c r="T2749" s="8">
        <v>1.0001180555555556</v>
      </c>
      <c r="U2749" s="98">
        <v>4.1929564921082019</v>
      </c>
      <c r="V2749" s="106">
        <v>32902.622556902177</v>
      </c>
      <c r="W2749" s="10">
        <v>1.0807534307486266</v>
      </c>
      <c r="X2749" s="420"/>
      <c r="Y2749" s="420"/>
      <c r="Z2749" s="1"/>
      <c r="AA2749" s="1"/>
      <c r="AB2749" s="1"/>
      <c r="AC2749" s="1"/>
      <c r="AD2749" s="1"/>
    </row>
    <row r="2750" spans="17:30">
      <c r="Q2750" s="6">
        <v>2720</v>
      </c>
      <c r="R2750" s="7">
        <v>45387</v>
      </c>
      <c r="S2750" s="210">
        <v>4.25</v>
      </c>
      <c r="T2750" s="8">
        <v>1.0001180555555556</v>
      </c>
      <c r="U2750" s="98">
        <v>4.1930336175042937</v>
      </c>
      <c r="V2750" s="106">
        <v>32905.361134423729</v>
      </c>
      <c r="W2750" s="10">
        <v>1.0808262488688047</v>
      </c>
      <c r="X2750" s="420"/>
      <c r="Y2750" s="420"/>
      <c r="Z2750" s="1"/>
      <c r="AA2750" s="1"/>
      <c r="AB2750" s="1"/>
      <c r="AC2750" s="1"/>
      <c r="AD2750" s="1"/>
    </row>
    <row r="2751" spans="17:30">
      <c r="Q2751" s="6">
        <v>2721</v>
      </c>
      <c r="R2751" s="7">
        <v>45388</v>
      </c>
      <c r="S2751" s="210">
        <v>4.25</v>
      </c>
      <c r="T2751" s="8">
        <v>1.0001180555555556</v>
      </c>
      <c r="U2751" s="98">
        <v>4.1931106862683976</v>
      </c>
      <c r="V2751" s="106">
        <v>32908.099939884763</v>
      </c>
      <c r="W2751" s="10">
        <v>1.0808990135183327</v>
      </c>
      <c r="X2751" s="420"/>
      <c r="Y2751" s="420"/>
      <c r="Z2751" s="1"/>
      <c r="AA2751" s="1"/>
      <c r="AB2751" s="1"/>
      <c r="AC2751" s="1"/>
      <c r="AD2751" s="1"/>
    </row>
    <row r="2752" spans="17:30">
      <c r="Q2752" s="6">
        <v>2722</v>
      </c>
      <c r="R2752" s="7">
        <v>45389</v>
      </c>
      <c r="S2752" s="210">
        <v>4.25</v>
      </c>
      <c r="T2752" s="8">
        <v>1.0001180555555556</v>
      </c>
      <c r="U2752" s="98">
        <v>4.1931876984628635</v>
      </c>
      <c r="V2752" s="106">
        <v>32910.83897330425</v>
      </c>
      <c r="W2752" s="10">
        <v>1.0809717247560524</v>
      </c>
      <c r="X2752" s="420"/>
      <c r="Y2752" s="420"/>
      <c r="Z2752" s="1"/>
      <c r="AA2752" s="1"/>
      <c r="AB2752" s="1"/>
      <c r="AC2752" s="1"/>
      <c r="AD2752" s="1"/>
    </row>
    <row r="2753" spans="17:30">
      <c r="Q2753" s="6">
        <v>2723</v>
      </c>
      <c r="R2753" s="7">
        <v>45390</v>
      </c>
      <c r="S2753" s="210">
        <v>4.25</v>
      </c>
      <c r="T2753" s="8">
        <v>1.0001180555555556</v>
      </c>
      <c r="U2753" s="98">
        <v>4.1932646541499752</v>
      </c>
      <c r="V2753" s="106">
        <v>32913.578234701177</v>
      </c>
      <c r="W2753" s="10">
        <v>1.0810443826408056</v>
      </c>
      <c r="X2753" s="420"/>
      <c r="Y2753" s="420"/>
      <c r="Z2753" s="1"/>
      <c r="AA2753" s="1"/>
      <c r="AB2753" s="1"/>
      <c r="AC2753" s="1"/>
      <c r="AD2753" s="1"/>
    </row>
    <row r="2754" spans="17:30">
      <c r="Q2754" s="6">
        <v>2724</v>
      </c>
      <c r="R2754" s="7">
        <v>45391</v>
      </c>
      <c r="S2754" s="210">
        <v>4.25</v>
      </c>
      <c r="T2754" s="8">
        <v>1.0001180555555556</v>
      </c>
      <c r="U2754" s="98">
        <v>4.1933415533918827</v>
      </c>
      <c r="V2754" s="106">
        <v>32916.317724094501</v>
      </c>
      <c r="W2754" s="10">
        <v>1.0811169872312343</v>
      </c>
      <c r="X2754" s="420"/>
      <c r="Y2754" s="420"/>
      <c r="Z2754" s="1"/>
      <c r="AA2754" s="1"/>
      <c r="AB2754" s="1"/>
      <c r="AC2754" s="1"/>
      <c r="AD2754" s="1"/>
    </row>
    <row r="2755" spans="17:30">
      <c r="Q2755" s="6">
        <v>2725</v>
      </c>
      <c r="R2755" s="7">
        <v>45392</v>
      </c>
      <c r="S2755" s="210">
        <v>4.25</v>
      </c>
      <c r="T2755" s="8">
        <v>1.0001180555555556</v>
      </c>
      <c r="U2755" s="98">
        <v>4.1934183962506699</v>
      </c>
      <c r="V2755" s="106">
        <v>32919.057441503217</v>
      </c>
      <c r="W2755" s="10">
        <v>1.0811895385860026</v>
      </c>
      <c r="X2755" s="420"/>
      <c r="Y2755" s="420"/>
      <c r="Z2755" s="1"/>
      <c r="AA2755" s="1"/>
      <c r="AB2755" s="1"/>
      <c r="AC2755" s="1"/>
      <c r="AD2755" s="1"/>
    </row>
    <row r="2756" spans="17:30">
      <c r="Q2756" s="6">
        <v>2726</v>
      </c>
      <c r="R2756" s="7">
        <v>45393</v>
      </c>
      <c r="S2756" s="210">
        <v>4.25</v>
      </c>
      <c r="T2756" s="8">
        <v>1.0001180555555556</v>
      </c>
      <c r="U2756" s="98">
        <v>4.1934951827883316</v>
      </c>
      <c r="V2756" s="106">
        <v>32921.797386946288</v>
      </c>
      <c r="W2756" s="10">
        <v>1.0812620367636194</v>
      </c>
      <c r="X2756" s="420"/>
      <c r="Y2756" s="420"/>
      <c r="Z2756" s="1"/>
      <c r="AA2756" s="1"/>
      <c r="AB2756" s="1"/>
      <c r="AC2756" s="1"/>
      <c r="AD2756" s="1"/>
    </row>
    <row r="2757" spans="17:30">
      <c r="Q2757" s="6">
        <v>2727</v>
      </c>
      <c r="R2757" s="7">
        <v>45394</v>
      </c>
      <c r="S2757" s="210">
        <v>4.25</v>
      </c>
      <c r="T2757" s="8">
        <v>1.0001180555555556</v>
      </c>
      <c r="U2757" s="98">
        <v>4.1935719130667515</v>
      </c>
      <c r="V2757" s="106">
        <v>32924.537560442695</v>
      </c>
      <c r="W2757" s="10">
        <v>1.0813344818225268</v>
      </c>
      <c r="X2757" s="420"/>
      <c r="Y2757" s="420"/>
      <c r="Z2757" s="1"/>
      <c r="AA2757" s="1"/>
      <c r="AB2757" s="1"/>
      <c r="AC2757" s="1"/>
      <c r="AD2757" s="1"/>
    </row>
    <row r="2758" spans="17:30">
      <c r="Q2758" s="6">
        <v>2728</v>
      </c>
      <c r="R2758" s="7">
        <v>45395</v>
      </c>
      <c r="S2758" s="210">
        <v>4.25</v>
      </c>
      <c r="T2758" s="8">
        <v>1.0001180555555556</v>
      </c>
      <c r="U2758" s="98">
        <v>4.1936485871477469</v>
      </c>
      <c r="V2758" s="106">
        <v>32927.277962011438</v>
      </c>
      <c r="W2758" s="10">
        <v>1.0814068738210558</v>
      </c>
      <c r="X2758" s="420"/>
      <c r="Y2758" s="420"/>
      <c r="Z2758" s="1"/>
      <c r="AA2758" s="1"/>
      <c r="AB2758" s="1"/>
      <c r="AC2758" s="1"/>
      <c r="AD2758" s="1"/>
    </row>
    <row r="2759" spans="17:30">
      <c r="Q2759" s="6">
        <v>2729</v>
      </c>
      <c r="R2759" s="7">
        <v>45396</v>
      </c>
      <c r="S2759" s="210">
        <v>4.25</v>
      </c>
      <c r="T2759" s="8">
        <v>1.0001180555555556</v>
      </c>
      <c r="U2759" s="98">
        <v>4.1937252050930462</v>
      </c>
      <c r="V2759" s="106">
        <v>32930.018591671476</v>
      </c>
      <c r="W2759" s="10">
        <v>1.0814792128175599</v>
      </c>
      <c r="X2759" s="420"/>
      <c r="Y2759" s="420"/>
      <c r="Z2759" s="1"/>
      <c r="AA2759" s="1"/>
      <c r="AB2759" s="1"/>
      <c r="AC2759" s="1"/>
      <c r="AD2759" s="1"/>
    </row>
    <row r="2760" spans="17:30">
      <c r="Q2760" s="6">
        <v>2730</v>
      </c>
      <c r="R2760" s="7">
        <v>45397</v>
      </c>
      <c r="S2760" s="210">
        <v>4.25</v>
      </c>
      <c r="T2760" s="8">
        <v>1.0001180555555556</v>
      </c>
      <c r="U2760" s="98">
        <v>4.1938017669642447</v>
      </c>
      <c r="V2760" s="106">
        <v>32932.759449441808</v>
      </c>
      <c r="W2760" s="10">
        <v>1.0815514988701258</v>
      </c>
      <c r="X2760" s="420"/>
      <c r="Y2760" s="420"/>
      <c r="Z2760" s="1"/>
      <c r="AA2760" s="1"/>
      <c r="AB2760" s="1"/>
      <c r="AC2760" s="1"/>
      <c r="AD2760" s="1"/>
    </row>
    <row r="2761" spans="17:30">
      <c r="Q2761" s="6">
        <v>2731</v>
      </c>
      <c r="R2761" s="7">
        <v>45398</v>
      </c>
      <c r="S2761" s="210">
        <v>4.25</v>
      </c>
      <c r="T2761" s="8">
        <v>1.0001180555555556</v>
      </c>
      <c r="U2761" s="98">
        <v>4.1938782728228929</v>
      </c>
      <c r="V2761" s="106">
        <v>32935.500535341416</v>
      </c>
      <c r="W2761" s="10">
        <v>1.0816237320369293</v>
      </c>
      <c r="X2761" s="420"/>
      <c r="Y2761" s="420"/>
      <c r="Z2761" s="1"/>
      <c r="AA2761" s="1"/>
      <c r="AB2761" s="1"/>
      <c r="AC2761" s="1"/>
      <c r="AD2761" s="1"/>
    </row>
    <row r="2762" spans="17:30">
      <c r="Q2762" s="6">
        <v>2732</v>
      </c>
      <c r="R2762" s="7">
        <v>45399</v>
      </c>
      <c r="S2762" s="210">
        <v>4.25</v>
      </c>
      <c r="T2762" s="8">
        <v>1.0001180555555556</v>
      </c>
      <c r="U2762" s="98">
        <v>4.193954722730453</v>
      </c>
      <c r="V2762" s="106">
        <v>32938.241849389291</v>
      </c>
      <c r="W2762" s="10">
        <v>1.0816959123759684</v>
      </c>
      <c r="X2762" s="420"/>
      <c r="Y2762" s="420"/>
      <c r="Z2762" s="1"/>
      <c r="AA2762" s="1"/>
      <c r="AB2762" s="1"/>
      <c r="AC2762" s="1"/>
      <c r="AD2762" s="1"/>
    </row>
    <row r="2763" spans="17:30">
      <c r="Q2763" s="6">
        <v>2733</v>
      </c>
      <c r="R2763" s="7">
        <v>45400</v>
      </c>
      <c r="S2763" s="210">
        <v>4.25</v>
      </c>
      <c r="T2763" s="8">
        <v>1.0001180555555556</v>
      </c>
      <c r="U2763" s="98">
        <v>4.1940311167482536</v>
      </c>
      <c r="V2763" s="106">
        <v>32940.983391604415</v>
      </c>
      <c r="W2763" s="10">
        <v>1.0817680399451524</v>
      </c>
      <c r="X2763" s="420"/>
      <c r="Y2763" s="420"/>
      <c r="Z2763" s="1"/>
      <c r="AA2763" s="1"/>
      <c r="AB2763" s="1"/>
      <c r="AC2763" s="1"/>
      <c r="AD2763" s="1"/>
    </row>
    <row r="2764" spans="17:30">
      <c r="Q2764" s="6">
        <v>2734</v>
      </c>
      <c r="R2764" s="7">
        <v>45401</v>
      </c>
      <c r="S2764" s="210">
        <v>4.25</v>
      </c>
      <c r="T2764" s="8">
        <v>1.0001180555555556</v>
      </c>
      <c r="U2764" s="98">
        <v>4.194107454937579</v>
      </c>
      <c r="V2764" s="106">
        <v>32943.725162005787</v>
      </c>
      <c r="W2764" s="10">
        <v>1.0818401148023682</v>
      </c>
      <c r="X2764" s="420"/>
      <c r="Y2764" s="420"/>
      <c r="Z2764" s="1"/>
      <c r="AA2764" s="1"/>
      <c r="AB2764" s="1"/>
      <c r="AC2764" s="1"/>
      <c r="AD2764" s="1"/>
    </row>
    <row r="2765" spans="17:30">
      <c r="Q2765" s="6">
        <v>2735</v>
      </c>
      <c r="R2765" s="7">
        <v>45402</v>
      </c>
      <c r="S2765" s="210">
        <v>4.25</v>
      </c>
      <c r="T2765" s="8">
        <v>1.0001180555555556</v>
      </c>
      <c r="U2765" s="98">
        <v>4.1941837373596025</v>
      </c>
      <c r="V2765" s="106">
        <v>32946.467160612396</v>
      </c>
      <c r="W2765" s="10">
        <v>1.0819121370053475</v>
      </c>
      <c r="X2765" s="420"/>
      <c r="Y2765" s="420"/>
      <c r="Z2765" s="1"/>
      <c r="AA2765" s="1"/>
      <c r="AB2765" s="1"/>
      <c r="AC2765" s="1"/>
      <c r="AD2765" s="1"/>
    </row>
    <row r="2766" spans="17:30">
      <c r="Q2766" s="6">
        <v>2736</v>
      </c>
      <c r="R2766" s="7">
        <v>45403</v>
      </c>
      <c r="S2766" s="210">
        <v>4.25</v>
      </c>
      <c r="T2766" s="8">
        <v>1.0001180555555556</v>
      </c>
      <c r="U2766" s="98">
        <v>4.1942599640754086</v>
      </c>
      <c r="V2766" s="106">
        <v>32949.209387443232</v>
      </c>
      <c r="W2766" s="10">
        <v>1.0819841066117775</v>
      </c>
      <c r="X2766" s="420"/>
      <c r="Y2766" s="420"/>
      <c r="Z2766" s="1"/>
      <c r="AA2766" s="1"/>
      <c r="AB2766" s="1"/>
      <c r="AC2766" s="1"/>
      <c r="AD2766" s="1"/>
    </row>
    <row r="2767" spans="17:30">
      <c r="Q2767" s="6">
        <v>2737</v>
      </c>
      <c r="R2767" s="7">
        <v>45404</v>
      </c>
      <c r="S2767" s="210">
        <v>4.25</v>
      </c>
      <c r="T2767" s="8">
        <v>1.0001180555555556</v>
      </c>
      <c r="U2767" s="98">
        <v>4.1943361351459929</v>
      </c>
      <c r="V2767" s="106">
        <v>32951.951842517301</v>
      </c>
      <c r="W2767" s="10">
        <v>1.0820560236792565</v>
      </c>
      <c r="X2767" s="420"/>
      <c r="Y2767" s="420"/>
      <c r="Z2767" s="1"/>
      <c r="AA2767" s="1"/>
      <c r="AB2767" s="1"/>
      <c r="AC2767" s="1"/>
      <c r="AD2767" s="1"/>
    </row>
    <row r="2768" spans="17:30">
      <c r="Q2768" s="6">
        <v>2738</v>
      </c>
      <c r="R2768" s="7">
        <v>45405</v>
      </c>
      <c r="S2768" s="210">
        <v>4.25</v>
      </c>
      <c r="T2768" s="8">
        <v>1.0001180555555556</v>
      </c>
      <c r="U2768" s="98">
        <v>4.1944122506322623</v>
      </c>
      <c r="V2768" s="106">
        <v>32954.694525853585</v>
      </c>
      <c r="W2768" s="10">
        <v>1.0821278882652718</v>
      </c>
      <c r="X2768" s="420"/>
      <c r="Y2768" s="420"/>
      <c r="Z2768" s="1"/>
      <c r="AA2768" s="1"/>
      <c r="AB2768" s="1"/>
      <c r="AC2768" s="1"/>
      <c r="AD2768" s="1"/>
    </row>
    <row r="2769" spans="17:30">
      <c r="Q2769" s="6">
        <v>2739</v>
      </c>
      <c r="R2769" s="7">
        <v>45406</v>
      </c>
      <c r="S2769" s="210">
        <v>4.25</v>
      </c>
      <c r="T2769" s="8">
        <v>1.0001180555555556</v>
      </c>
      <c r="U2769" s="98">
        <v>4.1944883105950348</v>
      </c>
      <c r="V2769" s="106">
        <v>32957.437437471104</v>
      </c>
      <c r="W2769" s="10">
        <v>1.0821997004272887</v>
      </c>
      <c r="X2769" s="420"/>
      <c r="Y2769" s="420"/>
      <c r="Z2769" s="1"/>
      <c r="AA2769" s="1"/>
      <c r="AB2769" s="1"/>
      <c r="AC2769" s="1"/>
      <c r="AD2769" s="1"/>
    </row>
    <row r="2770" spans="17:30">
      <c r="Q2770" s="6">
        <v>2740</v>
      </c>
      <c r="R2770" s="7">
        <v>45407</v>
      </c>
      <c r="S2770" s="210">
        <v>4.25</v>
      </c>
      <c r="T2770" s="8">
        <v>1.0001180555555556</v>
      </c>
      <c r="U2770" s="98">
        <v>4.1945643150950618</v>
      </c>
      <c r="V2770" s="106">
        <v>32960.180577388841</v>
      </c>
      <c r="W2770" s="10">
        <v>1.0822714602226169</v>
      </c>
      <c r="X2770" s="420"/>
      <c r="Y2770" s="420"/>
      <c r="Z2770" s="1"/>
      <c r="AA2770" s="1"/>
      <c r="AB2770" s="1"/>
      <c r="AC2770" s="1"/>
      <c r="AD2770" s="1"/>
    </row>
    <row r="2771" spans="17:30">
      <c r="Q2771" s="6">
        <v>2741</v>
      </c>
      <c r="R2771" s="7">
        <v>45408</v>
      </c>
      <c r="S2771" s="210">
        <v>4.25</v>
      </c>
      <c r="T2771" s="8">
        <v>1.0001180555555556</v>
      </c>
      <c r="U2771" s="98">
        <v>4.1946402641929614</v>
      </c>
      <c r="V2771" s="106">
        <v>32962.923945625807</v>
      </c>
      <c r="W2771" s="10">
        <v>1.0823431677085438</v>
      </c>
      <c r="X2771" s="420"/>
      <c r="Y2771" s="420"/>
      <c r="Z2771" s="1"/>
      <c r="AA2771" s="1"/>
      <c r="AB2771" s="1"/>
      <c r="AC2771" s="1"/>
      <c r="AD2771" s="1"/>
    </row>
    <row r="2772" spans="17:30">
      <c r="Q2772" s="6">
        <v>2742</v>
      </c>
      <c r="R2772" s="7">
        <v>45409</v>
      </c>
      <c r="S2772" s="210">
        <v>4.25</v>
      </c>
      <c r="T2772" s="8">
        <v>1.0001180555555556</v>
      </c>
      <c r="U2772" s="98">
        <v>4.1947161579493075</v>
      </c>
      <c r="V2772" s="106">
        <v>32965.667542201001</v>
      </c>
      <c r="W2772" s="10">
        <v>1.0824148229422237</v>
      </c>
      <c r="X2772" s="420"/>
      <c r="Y2772" s="420"/>
      <c r="Z2772" s="1"/>
      <c r="AA2772" s="1"/>
      <c r="AB2772" s="1"/>
      <c r="AC2772" s="1"/>
      <c r="AD2772" s="1"/>
    </row>
    <row r="2773" spans="17:30">
      <c r="Q2773" s="6">
        <v>2743</v>
      </c>
      <c r="R2773" s="7">
        <v>45410</v>
      </c>
      <c r="S2773" s="210">
        <v>4.25</v>
      </c>
      <c r="T2773" s="8">
        <v>1.0001180555555556</v>
      </c>
      <c r="U2773" s="98">
        <v>4.1947919964245406</v>
      </c>
      <c r="V2773" s="106">
        <v>32968.411367133434</v>
      </c>
      <c r="W2773" s="10">
        <v>1.0824864259807443</v>
      </c>
      <c r="X2773" s="420"/>
      <c r="Y2773" s="420"/>
      <c r="Z2773" s="1"/>
      <c r="AA2773" s="1"/>
      <c r="AB2773" s="1"/>
      <c r="AC2773" s="1"/>
      <c r="AD2773" s="1"/>
    </row>
    <row r="2774" spans="17:30">
      <c r="Q2774" s="6">
        <v>2744</v>
      </c>
      <c r="R2774" s="7">
        <v>45411</v>
      </c>
      <c r="S2774" s="210">
        <v>4.25</v>
      </c>
      <c r="T2774" s="8">
        <v>1.0001180555555556</v>
      </c>
      <c r="U2774" s="98">
        <v>4.1948677796790568</v>
      </c>
      <c r="V2774" s="106">
        <v>32971.155420442097</v>
      </c>
      <c r="W2774" s="10">
        <v>1.0825579768811489</v>
      </c>
      <c r="X2774" s="420"/>
      <c r="Y2774" s="420"/>
      <c r="Z2774" s="1"/>
      <c r="AA2774" s="1"/>
      <c r="AB2774" s="1"/>
      <c r="AC2774" s="1"/>
      <c r="AD2774" s="1"/>
    </row>
    <row r="2775" spans="17:30">
      <c r="Q2775" s="6">
        <v>2745</v>
      </c>
      <c r="R2775" s="7">
        <v>45412</v>
      </c>
      <c r="S2775" s="210">
        <v>4.25</v>
      </c>
      <c r="T2775" s="8">
        <v>1.0001180555555556</v>
      </c>
      <c r="U2775" s="98">
        <v>4.1949435077731634</v>
      </c>
      <c r="V2775" s="106">
        <v>32973.899702146024</v>
      </c>
      <c r="W2775" s="10">
        <v>1.0826294757003252</v>
      </c>
      <c r="X2775" s="420"/>
      <c r="Y2775" s="420"/>
      <c r="Z2775" s="1"/>
      <c r="AA2775" s="1"/>
      <c r="AB2775" s="1"/>
      <c r="AC2775" s="1"/>
      <c r="AD2775" s="1"/>
    </row>
    <row r="2776" spans="17:30">
      <c r="Q2776" s="6">
        <v>2746</v>
      </c>
      <c r="R2776" s="7">
        <v>45413</v>
      </c>
      <c r="S2776" s="210">
        <v>4.25</v>
      </c>
      <c r="T2776" s="8">
        <v>1.0001180555555556</v>
      </c>
      <c r="U2776" s="98">
        <v>4.1950191807670345</v>
      </c>
      <c r="V2776" s="106">
        <v>32976.644212264204</v>
      </c>
      <c r="W2776" s="10">
        <v>1.0827009224951389</v>
      </c>
      <c r="X2776" s="420"/>
      <c r="Y2776" s="420"/>
      <c r="Z2776" s="1"/>
      <c r="AA2776" s="1"/>
      <c r="AB2776" s="1"/>
      <c r="AC2776" s="1"/>
      <c r="AD2776" s="1"/>
    </row>
    <row r="2777" spans="17:30">
      <c r="Q2777" s="6">
        <v>2747</v>
      </c>
      <c r="R2777" s="7">
        <v>45414</v>
      </c>
      <c r="S2777" s="210">
        <v>4.25</v>
      </c>
      <c r="T2777" s="8">
        <v>1.0001180555555556</v>
      </c>
      <c r="U2777" s="98">
        <v>4.1950947987207998</v>
      </c>
      <c r="V2777" s="106">
        <v>32979.388950815657</v>
      </c>
      <c r="W2777" s="10">
        <v>1.0827723173223447</v>
      </c>
      <c r="X2777" s="420"/>
      <c r="Y2777" s="420"/>
      <c r="Z2777" s="1"/>
      <c r="AA2777" s="1"/>
      <c r="AB2777" s="1"/>
      <c r="AC2777" s="1"/>
      <c r="AD2777" s="1"/>
    </row>
    <row r="2778" spans="17:30">
      <c r="Q2778" s="6">
        <v>2748</v>
      </c>
      <c r="R2778" s="7">
        <v>45415</v>
      </c>
      <c r="S2778" s="210">
        <v>4.25</v>
      </c>
      <c r="T2778" s="8">
        <v>1.0001180555555556</v>
      </c>
      <c r="U2778" s="98">
        <v>4.195170361694478</v>
      </c>
      <c r="V2778" s="106">
        <v>32982.133917819396</v>
      </c>
      <c r="W2778" s="10">
        <v>1.0828436602386304</v>
      </c>
      <c r="X2778" s="420"/>
      <c r="Y2778" s="420"/>
      <c r="Z2778" s="1"/>
      <c r="AA2778" s="1"/>
      <c r="AB2778" s="1"/>
      <c r="AC2778" s="1"/>
      <c r="AD2778" s="1"/>
    </row>
    <row r="2779" spans="17:30">
      <c r="Q2779" s="6">
        <v>2749</v>
      </c>
      <c r="R2779" s="7">
        <v>45416</v>
      </c>
      <c r="S2779" s="210">
        <v>4.25</v>
      </c>
      <c r="T2779" s="8">
        <v>1.0001180555555556</v>
      </c>
      <c r="U2779" s="98">
        <v>4.1952458697480211</v>
      </c>
      <c r="V2779" s="106">
        <v>32984.879113294432</v>
      </c>
      <c r="W2779" s="10">
        <v>1.0829149513005731</v>
      </c>
      <c r="X2779" s="420"/>
      <c r="Y2779" s="420"/>
      <c r="Z2779" s="1"/>
      <c r="AA2779" s="1"/>
      <c r="AB2779" s="1"/>
      <c r="AC2779" s="1"/>
      <c r="AD2779" s="1"/>
    </row>
    <row r="2780" spans="17:30">
      <c r="Q2780" s="6">
        <v>2750</v>
      </c>
      <c r="R2780" s="7">
        <v>45417</v>
      </c>
      <c r="S2780" s="210">
        <v>4.25</v>
      </c>
      <c r="T2780" s="8">
        <v>1.0001180555555556</v>
      </c>
      <c r="U2780" s="98">
        <v>4.19532132294127</v>
      </c>
      <c r="V2780" s="106">
        <v>32987.624537259791</v>
      </c>
      <c r="W2780" s="10">
        <v>1.0829861905646831</v>
      </c>
      <c r="X2780" s="420"/>
      <c r="Y2780" s="420"/>
      <c r="Z2780" s="1"/>
      <c r="AA2780" s="1"/>
      <c r="AB2780" s="1"/>
      <c r="AC2780" s="1"/>
      <c r="AD2780" s="1"/>
    </row>
    <row r="2781" spans="17:30">
      <c r="Q2781" s="6">
        <v>2751</v>
      </c>
      <c r="R2781" s="7">
        <v>45418</v>
      </c>
      <c r="S2781" s="210">
        <v>4.25</v>
      </c>
      <c r="T2781" s="8">
        <v>1.0001180555555556</v>
      </c>
      <c r="U2781" s="98">
        <v>4.1953967213339993</v>
      </c>
      <c r="V2781" s="106">
        <v>32990.37018973448</v>
      </c>
      <c r="W2781" s="10">
        <v>1.0830573780874264</v>
      </c>
      <c r="X2781" s="420"/>
      <c r="Y2781" s="420"/>
      <c r="Z2781" s="1"/>
      <c r="AA2781" s="1"/>
      <c r="AB2781" s="1"/>
      <c r="AC2781" s="1"/>
      <c r="AD2781" s="1"/>
    </row>
    <row r="2782" spans="17:30">
      <c r="Q2782" s="6">
        <v>2752</v>
      </c>
      <c r="R2782" s="7">
        <v>45419</v>
      </c>
      <c r="S2782" s="210">
        <v>4.25</v>
      </c>
      <c r="T2782" s="8">
        <v>1.0001180555555556</v>
      </c>
      <c r="U2782" s="98">
        <v>4.1954720649858945</v>
      </c>
      <c r="V2782" s="106">
        <v>32993.116070737517</v>
      </c>
      <c r="W2782" s="10">
        <v>1.0831285139251356</v>
      </c>
      <c r="X2782" s="420"/>
      <c r="Y2782" s="420"/>
      <c r="Z2782" s="1"/>
      <c r="AA2782" s="1"/>
      <c r="AB2782" s="1"/>
      <c r="AC2782" s="1"/>
      <c r="AD2782" s="1"/>
    </row>
    <row r="2783" spans="17:30">
      <c r="Q2783" s="6">
        <v>2753</v>
      </c>
      <c r="R2783" s="7">
        <v>45420</v>
      </c>
      <c r="S2783" s="210">
        <v>4.25</v>
      </c>
      <c r="T2783" s="8">
        <v>1.0001180555555556</v>
      </c>
      <c r="U2783" s="98">
        <v>4.1955473539565302</v>
      </c>
      <c r="V2783" s="106">
        <v>32995.862180287928</v>
      </c>
      <c r="W2783" s="10">
        <v>1.0831995981340548</v>
      </c>
      <c r="X2783" s="420"/>
      <c r="Y2783" s="420"/>
      <c r="Z2783" s="1"/>
      <c r="AA2783" s="1"/>
      <c r="AB2783" s="1"/>
      <c r="AC2783" s="1"/>
      <c r="AD2783" s="1"/>
    </row>
    <row r="2784" spans="17:30">
      <c r="Q2784" s="6">
        <v>2754</v>
      </c>
      <c r="R2784" s="7">
        <v>45421</v>
      </c>
      <c r="S2784" s="210">
        <v>4.25</v>
      </c>
      <c r="T2784" s="8">
        <v>1.0001180555555556</v>
      </c>
      <c r="U2784" s="98">
        <v>4.1956225883054143</v>
      </c>
      <c r="V2784" s="106">
        <v>32998.608518404741</v>
      </c>
      <c r="W2784" s="10">
        <v>1.0832706307703832</v>
      </c>
      <c r="X2784" s="420"/>
      <c r="Y2784" s="420"/>
      <c r="Z2784" s="1"/>
      <c r="AA2784" s="1"/>
      <c r="AB2784" s="1"/>
      <c r="AC2784" s="1"/>
      <c r="AD2784" s="1"/>
    </row>
    <row r="2785" spans="17:30">
      <c r="Q2785" s="6">
        <v>2755</v>
      </c>
      <c r="R2785" s="7">
        <v>45422</v>
      </c>
      <c r="S2785" s="210">
        <v>4.25</v>
      </c>
      <c r="T2785" s="8">
        <v>1.0001180555555556</v>
      </c>
      <c r="U2785" s="98">
        <v>4.1956977680919882</v>
      </c>
      <c r="V2785" s="106">
        <v>33001.355085106967</v>
      </c>
      <c r="W2785" s="10">
        <v>1.0833416118902539</v>
      </c>
      <c r="X2785" s="420"/>
      <c r="Y2785" s="420"/>
      <c r="Z2785" s="1"/>
      <c r="AA2785" s="1"/>
      <c r="AB2785" s="1"/>
      <c r="AC2785" s="1"/>
      <c r="AD2785" s="1"/>
    </row>
    <row r="2786" spans="17:30">
      <c r="Q2786" s="6">
        <v>2756</v>
      </c>
      <c r="R2786" s="7">
        <v>45423</v>
      </c>
      <c r="S2786" s="210">
        <v>4.25</v>
      </c>
      <c r="T2786" s="8">
        <v>1.0001180555555556</v>
      </c>
      <c r="U2786" s="98">
        <v>4.19577289337556</v>
      </c>
      <c r="V2786" s="106">
        <v>33004.101880413655</v>
      </c>
      <c r="W2786" s="10">
        <v>1.0834125415496443</v>
      </c>
      <c r="X2786" s="420"/>
      <c r="Y2786" s="420"/>
      <c r="Z2786" s="1"/>
      <c r="AA2786" s="1"/>
      <c r="AB2786" s="1"/>
      <c r="AC2786" s="1"/>
      <c r="AD2786" s="1"/>
    </row>
    <row r="2787" spans="17:30">
      <c r="Q2787" s="6">
        <v>2757</v>
      </c>
      <c r="R2787" s="7">
        <v>45424</v>
      </c>
      <c r="S2787" s="210">
        <v>4.25</v>
      </c>
      <c r="T2787" s="8">
        <v>1.0001180555555556</v>
      </c>
      <c r="U2787" s="98">
        <v>4.1958479642153934</v>
      </c>
      <c r="V2787" s="106">
        <v>33006.848904343802</v>
      </c>
      <c r="W2787" s="10">
        <v>1.0834834198045318</v>
      </c>
      <c r="X2787" s="420"/>
      <c r="Y2787" s="420"/>
      <c r="Z2787" s="1"/>
      <c r="AA2787" s="1"/>
      <c r="AB2787" s="1"/>
      <c r="AC2787" s="1"/>
      <c r="AD2787" s="1"/>
    </row>
    <row r="2788" spans="17:30">
      <c r="Q2788" s="6">
        <v>2758</v>
      </c>
      <c r="R2788" s="7">
        <v>45425</v>
      </c>
      <c r="S2788" s="210">
        <v>4.25</v>
      </c>
      <c r="T2788" s="8">
        <v>1.0001180555555556</v>
      </c>
      <c r="U2788" s="98">
        <v>4.1959229806706633</v>
      </c>
      <c r="V2788" s="106">
        <v>33009.596156916465</v>
      </c>
      <c r="W2788" s="10">
        <v>1.0835542467107606</v>
      </c>
      <c r="X2788" s="420"/>
      <c r="Y2788" s="420"/>
      <c r="Z2788" s="1"/>
      <c r="AA2788" s="1"/>
      <c r="AB2788" s="1"/>
      <c r="AC2788" s="1"/>
      <c r="AD2788" s="1"/>
    </row>
    <row r="2789" spans="17:30">
      <c r="Q2789" s="6">
        <v>2759</v>
      </c>
      <c r="R2789" s="7">
        <v>45426</v>
      </c>
      <c r="S2789" s="210">
        <v>4.25</v>
      </c>
      <c r="T2789" s="8">
        <v>1.0001180555555556</v>
      </c>
      <c r="U2789" s="98">
        <v>4.1959979428004113</v>
      </c>
      <c r="V2789" s="106">
        <v>33012.343638150654</v>
      </c>
      <c r="W2789" s="10">
        <v>1.0836250223241084</v>
      </c>
      <c r="X2789" s="420"/>
      <c r="Y2789" s="420"/>
      <c r="Z2789" s="1"/>
      <c r="AA2789" s="1"/>
      <c r="AB2789" s="1"/>
      <c r="AC2789" s="1"/>
      <c r="AD2789" s="1"/>
    </row>
    <row r="2790" spans="17:30">
      <c r="Q2790" s="6">
        <v>2760</v>
      </c>
      <c r="R2790" s="7">
        <v>45427</v>
      </c>
      <c r="S2790" s="210">
        <v>4.25</v>
      </c>
      <c r="T2790" s="8">
        <v>1.0001180555555556</v>
      </c>
      <c r="U2790" s="98">
        <v>4.1960728506636569</v>
      </c>
      <c r="V2790" s="106">
        <v>33015.091348065413</v>
      </c>
      <c r="W2790" s="10">
        <v>1.0836957467002861</v>
      </c>
      <c r="X2790" s="420"/>
      <c r="Y2790" s="420"/>
      <c r="Z2790" s="1"/>
      <c r="AA2790" s="1"/>
      <c r="AB2790" s="1"/>
      <c r="AC2790" s="1"/>
      <c r="AD2790" s="1"/>
    </row>
    <row r="2791" spans="17:30">
      <c r="Q2791" s="6">
        <v>2761</v>
      </c>
      <c r="R2791" s="7">
        <v>45428</v>
      </c>
      <c r="S2791" s="210">
        <v>4.25</v>
      </c>
      <c r="T2791" s="8">
        <v>1.0001180555555556</v>
      </c>
      <c r="U2791" s="98">
        <v>4.1961477043192863</v>
      </c>
      <c r="V2791" s="106">
        <v>33017.839286679773</v>
      </c>
      <c r="W2791" s="10">
        <v>1.0837664198948938</v>
      </c>
      <c r="X2791" s="420"/>
      <c r="Y2791" s="420"/>
      <c r="Z2791" s="1"/>
      <c r="AA2791" s="1"/>
      <c r="AB2791" s="1"/>
      <c r="AC2791" s="1"/>
      <c r="AD2791" s="1"/>
    </row>
    <row r="2792" spans="17:30">
      <c r="Q2792" s="6">
        <v>2762</v>
      </c>
      <c r="R2792" s="7">
        <v>45429</v>
      </c>
      <c r="S2792" s="210">
        <v>4.25</v>
      </c>
      <c r="T2792" s="8">
        <v>1.0001180555555556</v>
      </c>
      <c r="U2792" s="98">
        <v>4.1962225038261414</v>
      </c>
      <c r="V2792" s="106">
        <v>33020.587454012762</v>
      </c>
      <c r="W2792" s="10">
        <v>1.0838370419635091</v>
      </c>
      <c r="X2792" s="420"/>
      <c r="Y2792" s="420"/>
      <c r="Z2792" s="1"/>
      <c r="AA2792" s="1"/>
      <c r="AB2792" s="1"/>
      <c r="AC2792" s="1"/>
      <c r="AD2792" s="1"/>
    </row>
    <row r="2793" spans="17:30">
      <c r="Q2793" s="6">
        <v>2763</v>
      </c>
      <c r="R2793" s="7">
        <v>45430</v>
      </c>
      <c r="S2793" s="210">
        <v>4.25</v>
      </c>
      <c r="T2793" s="8">
        <v>1.0001180555555556</v>
      </c>
      <c r="U2793" s="98">
        <v>4.1962972492429529</v>
      </c>
      <c r="V2793" s="106">
        <v>33023.335850083422</v>
      </c>
      <c r="W2793" s="10">
        <v>1.0839076129615766</v>
      </c>
      <c r="X2793" s="420"/>
      <c r="Y2793" s="420"/>
      <c r="Z2793" s="1"/>
      <c r="AA2793" s="1"/>
      <c r="AB2793" s="1"/>
      <c r="AC2793" s="1"/>
      <c r="AD2793" s="1"/>
    </row>
    <row r="2794" spans="17:30">
      <c r="Q2794" s="6">
        <v>2764</v>
      </c>
      <c r="R2794" s="7">
        <v>45431</v>
      </c>
      <c r="S2794" s="210">
        <v>4.25</v>
      </c>
      <c r="T2794" s="8">
        <v>1.0001180555555556</v>
      </c>
      <c r="U2794" s="98">
        <v>4.1963719406283628</v>
      </c>
      <c r="V2794" s="106">
        <v>33026.084474910793</v>
      </c>
      <c r="W2794" s="10">
        <v>1.083978132944452</v>
      </c>
      <c r="X2794" s="420"/>
      <c r="Y2794" s="420"/>
      <c r="Z2794" s="1"/>
      <c r="AA2794" s="1"/>
      <c r="AB2794" s="1"/>
      <c r="AC2794" s="1"/>
      <c r="AD2794" s="1"/>
    </row>
    <row r="2795" spans="17:30">
      <c r="Q2795" s="6">
        <v>2765</v>
      </c>
      <c r="R2795" s="7">
        <v>45432</v>
      </c>
      <c r="S2795" s="210">
        <v>4.25</v>
      </c>
      <c r="T2795" s="8">
        <v>1.0001180555555556</v>
      </c>
      <c r="U2795" s="98">
        <v>4.1964465780409244</v>
      </c>
      <c r="V2795" s="106">
        <v>33028.833328513916</v>
      </c>
      <c r="W2795" s="10">
        <v>1.0840486019674245</v>
      </c>
      <c r="X2795" s="420"/>
      <c r="Y2795" s="420"/>
      <c r="Z2795" s="1"/>
      <c r="AA2795" s="1"/>
      <c r="AB2795" s="1"/>
      <c r="AC2795" s="1"/>
      <c r="AD2795" s="1"/>
    </row>
    <row r="2796" spans="17:30">
      <c r="Q2796" s="6">
        <v>2766</v>
      </c>
      <c r="R2796" s="7">
        <v>45433</v>
      </c>
      <c r="S2796" s="210">
        <v>4.25</v>
      </c>
      <c r="T2796" s="8">
        <v>1.0001180555555556</v>
      </c>
      <c r="U2796" s="98">
        <v>4.196521161539124</v>
      </c>
      <c r="V2796" s="106">
        <v>33031.58241091184</v>
      </c>
      <c r="W2796" s="10">
        <v>1.0841190200857165</v>
      </c>
      <c r="X2796" s="420"/>
      <c r="Y2796" s="420"/>
      <c r="Z2796" s="1"/>
      <c r="AA2796" s="1"/>
      <c r="AB2796" s="1"/>
      <c r="AC2796" s="1"/>
      <c r="AD2796" s="1"/>
    </row>
    <row r="2797" spans="17:30">
      <c r="Q2797" s="6">
        <v>2767</v>
      </c>
      <c r="R2797" s="7">
        <v>45434</v>
      </c>
      <c r="S2797" s="210">
        <v>4.25</v>
      </c>
      <c r="T2797" s="8">
        <v>1.0001180555555556</v>
      </c>
      <c r="U2797" s="98">
        <v>4.1965956911813818</v>
      </c>
      <c r="V2797" s="106">
        <v>33034.331722123592</v>
      </c>
      <c r="W2797" s="10">
        <v>1.0841893873545061</v>
      </c>
      <c r="X2797" s="420"/>
      <c r="Y2797" s="420"/>
      <c r="Z2797" s="1"/>
      <c r="AA2797" s="1"/>
      <c r="AB2797" s="1"/>
      <c r="AC2797" s="1"/>
      <c r="AD2797" s="1"/>
    </row>
    <row r="2798" spans="17:30">
      <c r="Q2798" s="6">
        <v>2768</v>
      </c>
      <c r="R2798" s="7">
        <v>45435</v>
      </c>
      <c r="S2798" s="210">
        <v>4.25</v>
      </c>
      <c r="T2798" s="8">
        <v>1.0001180555555556</v>
      </c>
      <c r="U2798" s="98">
        <v>4.1966701670259843</v>
      </c>
      <c r="V2798" s="106">
        <v>33037.08126216822</v>
      </c>
      <c r="W2798" s="10">
        <v>1.084259703828816</v>
      </c>
      <c r="X2798" s="420"/>
      <c r="Y2798" s="420"/>
      <c r="Z2798" s="1"/>
      <c r="AA2798" s="1"/>
      <c r="AB2798" s="1"/>
      <c r="AC2798" s="1"/>
      <c r="AD2798" s="1"/>
    </row>
    <row r="2799" spans="17:30">
      <c r="Q2799" s="6">
        <v>2769</v>
      </c>
      <c r="R2799" s="7">
        <v>45436</v>
      </c>
      <c r="S2799" s="210">
        <v>4.25</v>
      </c>
      <c r="T2799" s="8">
        <v>1.0001180555555556</v>
      </c>
      <c r="U2799" s="98">
        <v>4.1967445891311739</v>
      </c>
      <c r="V2799" s="106">
        <v>33039.831031064779</v>
      </c>
      <c r="W2799" s="10">
        <v>1.0843299695636244</v>
      </c>
      <c r="X2799" s="420"/>
      <c r="Y2799" s="420"/>
      <c r="Z2799" s="1"/>
      <c r="AA2799" s="1"/>
      <c r="AB2799" s="1"/>
      <c r="AC2799" s="1"/>
      <c r="AD2799" s="1"/>
    </row>
    <row r="2800" spans="17:30">
      <c r="Q2800" s="6">
        <v>2770</v>
      </c>
      <c r="R2800" s="7">
        <v>45437</v>
      </c>
      <c r="S2800" s="210">
        <v>4.25</v>
      </c>
      <c r="T2800" s="8">
        <v>1.0001180555555556</v>
      </c>
      <c r="U2800" s="98">
        <v>4.1968189575550818</v>
      </c>
      <c r="V2800" s="106">
        <v>33042.581028832312</v>
      </c>
      <c r="W2800" s="10">
        <v>1.0844001846138651</v>
      </c>
      <c r="X2800" s="420"/>
      <c r="Y2800" s="420"/>
      <c r="Z2800" s="1"/>
      <c r="AA2800" s="1"/>
      <c r="AB2800" s="1"/>
      <c r="AC2800" s="1"/>
      <c r="AD2800" s="1"/>
    </row>
    <row r="2801" spans="17:30">
      <c r="Q2801" s="6">
        <v>2771</v>
      </c>
      <c r="R2801" s="7">
        <v>45438</v>
      </c>
      <c r="S2801" s="210">
        <v>4.25</v>
      </c>
      <c r="T2801" s="8">
        <v>1.0001180555555556</v>
      </c>
      <c r="U2801" s="98">
        <v>4.1968932723557728</v>
      </c>
      <c r="V2801" s="106">
        <v>33045.331255489873</v>
      </c>
      <c r="W2801" s="10">
        <v>1.0844703490342944</v>
      </c>
      <c r="X2801" s="420"/>
      <c r="Y2801" s="420"/>
      <c r="Z2801" s="1"/>
      <c r="AA2801" s="1"/>
      <c r="AB2801" s="1"/>
      <c r="AC2801" s="1"/>
      <c r="AD2801" s="1"/>
    </row>
    <row r="2802" spans="17:30">
      <c r="Q2802" s="6">
        <v>2772</v>
      </c>
      <c r="R2802" s="7">
        <v>45439</v>
      </c>
      <c r="S2802" s="210">
        <v>4.25</v>
      </c>
      <c r="T2802" s="8">
        <v>1.0001180555555556</v>
      </c>
      <c r="U2802" s="98">
        <v>4.1969675335912449</v>
      </c>
      <c r="V2802" s="106">
        <v>33048.081711056504</v>
      </c>
      <c r="W2802" s="10">
        <v>1.084540462879735</v>
      </c>
      <c r="X2802" s="420"/>
      <c r="Y2802" s="420"/>
      <c r="Z2802" s="1"/>
      <c r="AA2802" s="1"/>
      <c r="AB2802" s="1"/>
      <c r="AC2802" s="1"/>
      <c r="AD2802" s="1"/>
    </row>
    <row r="2803" spans="17:30">
      <c r="Q2803" s="6">
        <v>2773</v>
      </c>
      <c r="R2803" s="7">
        <v>45440</v>
      </c>
      <c r="S2803" s="210">
        <v>4.25</v>
      </c>
      <c r="T2803" s="8">
        <v>1.0001180555555556</v>
      </c>
      <c r="U2803" s="98">
        <v>4.1970417413193628</v>
      </c>
      <c r="V2803" s="106">
        <v>33050.832395551261</v>
      </c>
      <c r="W2803" s="10">
        <v>1.0846105262047878</v>
      </c>
      <c r="X2803" s="420"/>
      <c r="Y2803" s="420"/>
      <c r="Z2803" s="1"/>
      <c r="AA2803" s="1"/>
      <c r="AB2803" s="1"/>
      <c r="AC2803" s="1"/>
      <c r="AD2803" s="1"/>
    </row>
    <row r="2804" spans="17:30">
      <c r="Q2804" s="6">
        <v>2774</v>
      </c>
      <c r="R2804" s="7">
        <v>45441</v>
      </c>
      <c r="S2804" s="210">
        <v>4.25</v>
      </c>
      <c r="T2804" s="8">
        <v>1.0001180555555556</v>
      </c>
      <c r="U2804" s="98">
        <v>4.1971158955979471</v>
      </c>
      <c r="V2804" s="106">
        <v>33053.583308993206</v>
      </c>
      <c r="W2804" s="10">
        <v>1.0846805390640535</v>
      </c>
      <c r="X2804" s="420"/>
      <c r="Y2804" s="420"/>
      <c r="Z2804" s="1"/>
      <c r="AA2804" s="1"/>
      <c r="AB2804" s="1"/>
      <c r="AC2804" s="1"/>
      <c r="AD2804" s="1"/>
    </row>
    <row r="2805" spans="17:30">
      <c r="Q2805" s="6">
        <v>2775</v>
      </c>
      <c r="R2805" s="7">
        <v>45442</v>
      </c>
      <c r="S2805" s="210">
        <v>4.25</v>
      </c>
      <c r="T2805" s="8">
        <v>1.0001180555555556</v>
      </c>
      <c r="U2805" s="98">
        <v>4.1971899964847292</v>
      </c>
      <c r="V2805" s="106">
        <v>33056.334451401388</v>
      </c>
      <c r="W2805" s="10">
        <v>1.0847505015120662</v>
      </c>
      <c r="X2805" s="420"/>
      <c r="Y2805" s="420"/>
      <c r="Z2805" s="1"/>
      <c r="AA2805" s="1"/>
      <c r="AB2805" s="1"/>
      <c r="AC2805" s="1"/>
      <c r="AD2805" s="1"/>
    </row>
    <row r="2806" spans="17:30">
      <c r="Q2806" s="6">
        <v>2776</v>
      </c>
      <c r="R2806" s="7">
        <v>45443</v>
      </c>
      <c r="S2806" s="210">
        <v>4.25</v>
      </c>
      <c r="T2806" s="8">
        <v>1.0001180555555556</v>
      </c>
      <c r="U2806" s="98">
        <v>4.1972640440373299</v>
      </c>
      <c r="V2806" s="106">
        <v>33059.085822794863</v>
      </c>
      <c r="W2806" s="10">
        <v>1.0848204136031825</v>
      </c>
      <c r="X2806" s="420"/>
      <c r="Y2806" s="420"/>
      <c r="Z2806" s="1"/>
      <c r="AA2806" s="1"/>
      <c r="AB2806" s="1"/>
      <c r="AC2806" s="1"/>
      <c r="AD2806" s="1"/>
    </row>
    <row r="2807" spans="17:30">
      <c r="Q2807" s="6">
        <v>2777</v>
      </c>
      <c r="R2807" s="7">
        <v>45444</v>
      </c>
      <c r="S2807" s="210">
        <v>4.25</v>
      </c>
      <c r="T2807" s="8">
        <v>1.0001180555555556</v>
      </c>
      <c r="U2807" s="98">
        <v>4.1973380383133252</v>
      </c>
      <c r="V2807" s="106">
        <v>33061.837423192701</v>
      </c>
      <c r="W2807" s="10">
        <v>1.0848902753918255</v>
      </c>
      <c r="X2807" s="420"/>
      <c r="Y2807" s="420"/>
      <c r="Z2807" s="1"/>
      <c r="AA2807" s="1"/>
      <c r="AB2807" s="1"/>
      <c r="AC2807" s="1"/>
      <c r="AD2807" s="1"/>
    </row>
    <row r="2808" spans="17:30">
      <c r="Q2808" s="6">
        <v>2778</v>
      </c>
      <c r="R2808" s="7">
        <v>45445</v>
      </c>
      <c r="S2808" s="210">
        <v>4.25</v>
      </c>
      <c r="T2808" s="8">
        <v>1.0001180555555556</v>
      </c>
      <c r="U2808" s="98">
        <v>4.1974119793702025</v>
      </c>
      <c r="V2808" s="106">
        <v>33064.589252613936</v>
      </c>
      <c r="W2808" s="10">
        <v>1.0849600869322185</v>
      </c>
      <c r="X2808" s="420"/>
      <c r="Y2808" s="420"/>
      <c r="Z2808" s="1"/>
      <c r="AA2808" s="1"/>
      <c r="AB2808" s="1"/>
      <c r="AC2808" s="1"/>
      <c r="AD2808" s="1"/>
    </row>
    <row r="2809" spans="17:30">
      <c r="Q2809" s="6">
        <v>2779</v>
      </c>
      <c r="R2809" s="7">
        <v>45446</v>
      </c>
      <c r="S2809" s="210">
        <v>4.25</v>
      </c>
      <c r="T2809" s="8">
        <v>1.0001180555555556</v>
      </c>
      <c r="U2809" s="98">
        <v>4.1974858672653381</v>
      </c>
      <c r="V2809" s="106">
        <v>33067.341311077667</v>
      </c>
      <c r="W2809" s="10">
        <v>1.0850298482785847</v>
      </c>
      <c r="X2809" s="420"/>
      <c r="Y2809" s="420"/>
      <c r="Z2809" s="1"/>
      <c r="AA2809" s="1"/>
      <c r="AB2809" s="1"/>
      <c r="AC2809" s="1"/>
      <c r="AD2809" s="1"/>
    </row>
    <row r="2810" spans="17:30">
      <c r="Q2810" s="6">
        <v>2780</v>
      </c>
      <c r="R2810" s="7">
        <v>45447</v>
      </c>
      <c r="S2810" s="210">
        <v>4.25</v>
      </c>
      <c r="T2810" s="8">
        <v>1.0001180555555556</v>
      </c>
      <c r="U2810" s="98">
        <v>4.197559702056064</v>
      </c>
      <c r="V2810" s="106">
        <v>33070.093598602936</v>
      </c>
      <c r="W2810" s="10">
        <v>1.0850995594850144</v>
      </c>
      <c r="X2810" s="420"/>
      <c r="Y2810" s="420"/>
      <c r="Z2810" s="1"/>
      <c r="AA2810" s="1"/>
      <c r="AB2810" s="1"/>
      <c r="AC2810" s="1"/>
      <c r="AD2810" s="1"/>
    </row>
    <row r="2811" spans="17:30">
      <c r="Q2811" s="6">
        <v>2781</v>
      </c>
      <c r="R2811" s="7">
        <v>45448</v>
      </c>
      <c r="S2811" s="210">
        <v>4.25</v>
      </c>
      <c r="T2811" s="8">
        <v>1.0001180555555556</v>
      </c>
      <c r="U2811" s="98">
        <v>4.197633483799601</v>
      </c>
      <c r="V2811" s="106">
        <v>33072.846115208806</v>
      </c>
      <c r="W2811" s="10">
        <v>1.085169220605553</v>
      </c>
      <c r="X2811" s="420"/>
      <c r="Y2811" s="420"/>
      <c r="Z2811" s="1"/>
      <c r="AA2811" s="1"/>
      <c r="AB2811" s="1"/>
      <c r="AC2811" s="1"/>
      <c r="AD2811" s="1"/>
    </row>
    <row r="2812" spans="17:30">
      <c r="Q2812" s="6">
        <v>2782</v>
      </c>
      <c r="R2812" s="7">
        <v>45449</v>
      </c>
      <c r="S2812" s="210">
        <v>4.25</v>
      </c>
      <c r="T2812" s="8">
        <v>1.0001180555555556</v>
      </c>
      <c r="U2812" s="98">
        <v>4.1977072125530812</v>
      </c>
      <c r="V2812" s="106">
        <v>33075.598860914353</v>
      </c>
      <c r="W2812" s="10">
        <v>1.0852388316941575</v>
      </c>
      <c r="X2812" s="420"/>
      <c r="Y2812" s="420"/>
      <c r="Z2812" s="1"/>
      <c r="AA2812" s="1"/>
      <c r="AB2812" s="1"/>
      <c r="AC2812" s="1"/>
      <c r="AD2812" s="1"/>
    </row>
    <row r="2813" spans="17:30">
      <c r="Q2813" s="6">
        <v>2783</v>
      </c>
      <c r="R2813" s="7">
        <v>45450</v>
      </c>
      <c r="S2813" s="210">
        <v>4.25</v>
      </c>
      <c r="T2813" s="8">
        <v>1.0001180555555556</v>
      </c>
      <c r="U2813" s="98">
        <v>4.1977808883735923</v>
      </c>
      <c r="V2813" s="106">
        <v>33078.351835738649</v>
      </c>
      <c r="W2813" s="10">
        <v>1.085308392804718</v>
      </c>
      <c r="X2813" s="420"/>
      <c r="Y2813" s="420"/>
      <c r="Z2813" s="1"/>
      <c r="AA2813" s="1"/>
      <c r="AB2813" s="1"/>
      <c r="AC2813" s="1"/>
      <c r="AD2813" s="1"/>
    </row>
    <row r="2814" spans="17:30">
      <c r="Q2814" s="6">
        <v>2784</v>
      </c>
      <c r="R2814" s="7">
        <v>45451</v>
      </c>
      <c r="S2814" s="210">
        <v>4.25</v>
      </c>
      <c r="T2814" s="8">
        <v>1.0001180555555556</v>
      </c>
      <c r="U2814" s="98">
        <v>4.1978545113181109</v>
      </c>
      <c r="V2814" s="106">
        <v>33081.105039700749</v>
      </c>
      <c r="W2814" s="10">
        <v>1.0853779039910361</v>
      </c>
      <c r="X2814" s="420"/>
      <c r="Y2814" s="420"/>
      <c r="Z2814" s="1"/>
      <c r="AA2814" s="1"/>
      <c r="AB2814" s="1"/>
      <c r="AC2814" s="1"/>
      <c r="AD2814" s="1"/>
    </row>
    <row r="2815" spans="17:30">
      <c r="Q2815" s="6">
        <v>2785</v>
      </c>
      <c r="R2815" s="7">
        <v>45452</v>
      </c>
      <c r="S2815" s="210">
        <v>4.25</v>
      </c>
      <c r="T2815" s="8">
        <v>1.0001180555555556</v>
      </c>
      <c r="U2815" s="98">
        <v>4.1979280814435471</v>
      </c>
      <c r="V2815" s="106">
        <v>33083.858472819738</v>
      </c>
      <c r="W2815" s="10">
        <v>1.0854473653068464</v>
      </c>
      <c r="X2815" s="420"/>
      <c r="Y2815" s="420"/>
      <c r="Z2815" s="1"/>
      <c r="AA2815" s="1"/>
      <c r="AB2815" s="1"/>
      <c r="AC2815" s="1"/>
      <c r="AD2815" s="1"/>
    </row>
    <row r="2816" spans="17:30">
      <c r="Q2816" s="6">
        <v>2786</v>
      </c>
      <c r="R2816" s="7">
        <v>45453</v>
      </c>
      <c r="S2816" s="210">
        <v>4.25</v>
      </c>
      <c r="T2816" s="8">
        <v>1.0001180555555556</v>
      </c>
      <c r="U2816" s="98">
        <v>4.1980015988066999</v>
      </c>
      <c r="V2816" s="106">
        <v>33086.612135114679</v>
      </c>
      <c r="W2816" s="10">
        <v>1.0855167768057949</v>
      </c>
      <c r="X2816" s="420"/>
      <c r="Y2816" s="420"/>
      <c r="Z2816" s="1"/>
      <c r="AA2816" s="1"/>
      <c r="AB2816" s="1"/>
      <c r="AC2816" s="1"/>
      <c r="AD2816" s="1"/>
    </row>
    <row r="2817" spans="17:30">
      <c r="Q2817" s="6">
        <v>2787</v>
      </c>
      <c r="R2817" s="7">
        <v>45454</v>
      </c>
      <c r="S2817" s="210">
        <v>4.25</v>
      </c>
      <c r="T2817" s="8">
        <v>1.0001180555555556</v>
      </c>
      <c r="U2817" s="98">
        <v>4.1980750634643238</v>
      </c>
      <c r="V2817" s="106">
        <v>33089.366026604665</v>
      </c>
      <c r="W2817" s="10">
        <v>1.0855861385414167</v>
      </c>
      <c r="X2817" s="420"/>
      <c r="Y2817" s="420"/>
      <c r="Z2817" s="1"/>
      <c r="AA2817" s="1"/>
      <c r="AB2817" s="1"/>
      <c r="AC2817" s="1"/>
      <c r="AD2817" s="1"/>
    </row>
    <row r="2818" spans="17:30">
      <c r="Q2818" s="6">
        <v>2788</v>
      </c>
      <c r="R2818" s="7">
        <v>45455</v>
      </c>
      <c r="S2818" s="210">
        <v>4.25</v>
      </c>
      <c r="T2818" s="8">
        <v>1.0001180555555556</v>
      </c>
      <c r="U2818" s="98">
        <v>4.1981484754730847</v>
      </c>
      <c r="V2818" s="106">
        <v>33092.120147308757</v>
      </c>
      <c r="W2818" s="10">
        <v>1.0856554505672689</v>
      </c>
      <c r="X2818" s="420"/>
      <c r="Y2818" s="420"/>
      <c r="Z2818" s="1"/>
      <c r="AA2818" s="1"/>
      <c r="AB2818" s="1"/>
      <c r="AC2818" s="1"/>
      <c r="AD2818" s="1"/>
    </row>
    <row r="2819" spans="17:30">
      <c r="Q2819" s="6">
        <v>2789</v>
      </c>
      <c r="R2819" s="7">
        <v>45456</v>
      </c>
      <c r="S2819" s="210">
        <v>4.25</v>
      </c>
      <c r="T2819" s="8">
        <v>1.0001180555555556</v>
      </c>
      <c r="U2819" s="98">
        <v>4.1982218348895373</v>
      </c>
      <c r="V2819" s="106">
        <v>33094.874497246026</v>
      </c>
      <c r="W2819" s="10">
        <v>1.0857247129367309</v>
      </c>
      <c r="X2819" s="420"/>
      <c r="Y2819" s="420"/>
      <c r="Z2819" s="1"/>
      <c r="AA2819" s="1"/>
      <c r="AB2819" s="1"/>
      <c r="AC2819" s="1"/>
      <c r="AD2819" s="1"/>
    </row>
    <row r="2820" spans="17:30">
      <c r="Q2820" s="6">
        <v>2790</v>
      </c>
      <c r="R2820" s="7">
        <v>45457</v>
      </c>
      <c r="S2820" s="210">
        <v>4.25</v>
      </c>
      <c r="T2820" s="8">
        <v>1.0001180555555556</v>
      </c>
      <c r="U2820" s="98">
        <v>4.1982951417701919</v>
      </c>
      <c r="V2820" s="106">
        <v>33097.629076435573</v>
      </c>
      <c r="W2820" s="10">
        <v>1.0857939257031379</v>
      </c>
      <c r="X2820" s="420"/>
      <c r="Y2820" s="420"/>
      <c r="Z2820" s="1"/>
      <c r="AA2820" s="1"/>
      <c r="AB2820" s="1"/>
      <c r="AC2820" s="1"/>
      <c r="AD2820" s="1"/>
    </row>
    <row r="2821" spans="17:30">
      <c r="Q2821" s="6">
        <v>2791</v>
      </c>
      <c r="R2821" s="7">
        <v>45458</v>
      </c>
      <c r="S2821" s="210">
        <v>4.25</v>
      </c>
      <c r="T2821" s="8">
        <v>1.0001180555555556</v>
      </c>
      <c r="U2821" s="98">
        <v>4.198368396171448</v>
      </c>
      <c r="V2821" s="106">
        <v>33100.383884896466</v>
      </c>
      <c r="W2821" s="10">
        <v>1.0858630889197807</v>
      </c>
      <c r="X2821" s="420"/>
      <c r="Y2821" s="420"/>
      <c r="Z2821" s="1"/>
      <c r="AA2821" s="1"/>
      <c r="AB2821" s="1"/>
      <c r="AC2821" s="1"/>
      <c r="AD2821" s="1"/>
    </row>
    <row r="2822" spans="17:30">
      <c r="Q2822" s="6">
        <v>2792</v>
      </c>
      <c r="R2822" s="7">
        <v>45459</v>
      </c>
      <c r="S2822" s="210">
        <v>4.25</v>
      </c>
      <c r="T2822" s="8">
        <v>1.0001180555555556</v>
      </c>
      <c r="U2822" s="98">
        <v>4.1984415981496603</v>
      </c>
      <c r="V2822" s="106">
        <v>33103.138922647791</v>
      </c>
      <c r="W2822" s="10">
        <v>1.085932202639861</v>
      </c>
      <c r="X2822" s="420"/>
      <c r="Y2822" s="420"/>
      <c r="Z2822" s="1"/>
      <c r="AA2822" s="1"/>
      <c r="AB2822" s="1"/>
      <c r="AC2822" s="1"/>
      <c r="AD2822" s="1"/>
    </row>
    <row r="2823" spans="17:30">
      <c r="Q2823" s="6">
        <v>2793</v>
      </c>
      <c r="R2823" s="7">
        <v>45460</v>
      </c>
      <c r="S2823" s="210">
        <v>4.25</v>
      </c>
      <c r="T2823" s="8">
        <v>1.0001180555555556</v>
      </c>
      <c r="U2823" s="98">
        <v>4.1985147477610729</v>
      </c>
      <c r="V2823" s="106">
        <v>33105.894189708633</v>
      </c>
      <c r="W2823" s="10">
        <v>1.0860012669164698</v>
      </c>
      <c r="X2823" s="420"/>
      <c r="Y2823" s="420"/>
      <c r="Z2823" s="1"/>
      <c r="AA2823" s="1"/>
      <c r="AB2823" s="1"/>
      <c r="AC2823" s="1"/>
      <c r="AD2823" s="1"/>
    </row>
    <row r="2824" spans="17:30">
      <c r="Q2824" s="6">
        <v>2794</v>
      </c>
      <c r="R2824" s="7">
        <v>45461</v>
      </c>
      <c r="S2824" s="210">
        <v>4.25</v>
      </c>
      <c r="T2824" s="8">
        <v>1.0001180555555556</v>
      </c>
      <c r="U2824" s="98">
        <v>4.1985878450618408</v>
      </c>
      <c r="V2824" s="106">
        <v>33108.64968609807</v>
      </c>
      <c r="W2824" s="10">
        <v>1.0860702818026313</v>
      </c>
      <c r="X2824" s="420"/>
      <c r="Y2824" s="420"/>
      <c r="Z2824" s="1"/>
      <c r="AA2824" s="1"/>
      <c r="AB2824" s="1"/>
      <c r="AC2824" s="1"/>
      <c r="AD2824" s="1"/>
    </row>
    <row r="2825" spans="17:30">
      <c r="Q2825" s="6">
        <v>2795</v>
      </c>
      <c r="R2825" s="7">
        <v>45462</v>
      </c>
      <c r="S2825" s="210">
        <v>4.25</v>
      </c>
      <c r="T2825" s="8">
        <v>1.0001180555555556</v>
      </c>
      <c r="U2825" s="98">
        <v>4.1986608901080746</v>
      </c>
      <c r="V2825" s="106">
        <v>33111.405411835207</v>
      </c>
      <c r="W2825" s="10">
        <v>1.0861392473513476</v>
      </c>
      <c r="X2825" s="420"/>
      <c r="Y2825" s="420"/>
      <c r="Z2825" s="1"/>
      <c r="AA2825" s="1"/>
      <c r="AB2825" s="1"/>
      <c r="AC2825" s="1"/>
      <c r="AD2825" s="1"/>
    </row>
    <row r="2826" spans="17:30">
      <c r="Q2826" s="6">
        <v>2796</v>
      </c>
      <c r="R2826" s="7">
        <v>45463</v>
      </c>
      <c r="S2826" s="210">
        <v>4.25</v>
      </c>
      <c r="T2826" s="8">
        <v>1.0001180555555556</v>
      </c>
      <c r="U2826" s="98">
        <v>4.1987338829557963</v>
      </c>
      <c r="V2826" s="106">
        <v>33114.161366939115</v>
      </c>
      <c r="W2826" s="10">
        <v>1.0862081636154652</v>
      </c>
      <c r="X2826" s="420"/>
      <c r="Y2826" s="420"/>
      <c r="Z2826" s="1"/>
      <c r="AA2826" s="1"/>
      <c r="AB2826" s="1"/>
      <c r="AC2826" s="1"/>
      <c r="AD2826" s="1"/>
    </row>
    <row r="2827" spans="17:30">
      <c r="Q2827" s="6">
        <v>2797</v>
      </c>
      <c r="R2827" s="7">
        <v>45464</v>
      </c>
      <c r="S2827" s="210">
        <v>4.25</v>
      </c>
      <c r="T2827" s="8">
        <v>1.0001180555555556</v>
      </c>
      <c r="U2827" s="98">
        <v>4.1988068236609166</v>
      </c>
      <c r="V2827" s="106">
        <v>33116.917551428902</v>
      </c>
      <c r="W2827" s="10">
        <v>1.0862770306478309</v>
      </c>
      <c r="X2827" s="420"/>
      <c r="Y2827" s="420"/>
      <c r="Z2827" s="1"/>
      <c r="AA2827" s="1"/>
      <c r="AB2827" s="1"/>
      <c r="AC2827" s="1"/>
      <c r="AD2827" s="1"/>
    </row>
    <row r="2828" spans="17:30">
      <c r="Q2828" s="6">
        <v>2798</v>
      </c>
      <c r="R2828" s="7">
        <v>45465</v>
      </c>
      <c r="S2828" s="210">
        <v>4.25</v>
      </c>
      <c r="T2828" s="8">
        <v>1.0001180555555556</v>
      </c>
      <c r="U2828" s="98">
        <v>4.198879712279302</v>
      </c>
      <c r="V2828" s="106">
        <v>33119.673965323636</v>
      </c>
      <c r="W2828" s="10">
        <v>1.0863458485011579</v>
      </c>
      <c r="X2828" s="420"/>
      <c r="Y2828" s="420"/>
      <c r="Z2828" s="1"/>
      <c r="AA2828" s="1"/>
      <c r="AB2828" s="1"/>
      <c r="AC2828" s="1"/>
      <c r="AD2828" s="1"/>
    </row>
    <row r="2829" spans="17:30">
      <c r="Q2829" s="6">
        <v>2799</v>
      </c>
      <c r="R2829" s="7">
        <v>45466</v>
      </c>
      <c r="S2829" s="210">
        <v>4.25</v>
      </c>
      <c r="T2829" s="8">
        <v>1.0001180555555556</v>
      </c>
      <c r="U2829" s="98">
        <v>4.1989525488667079</v>
      </c>
      <c r="V2829" s="106">
        <v>33122.43060864244</v>
      </c>
      <c r="W2829" s="10">
        <v>1.0864146172281153</v>
      </c>
      <c r="X2829" s="420"/>
      <c r="Y2829" s="420"/>
      <c r="Z2829" s="1"/>
      <c r="AA2829" s="1"/>
      <c r="AB2829" s="1"/>
      <c r="AC2829" s="1"/>
      <c r="AD2829" s="1"/>
    </row>
    <row r="2830" spans="17:30">
      <c r="Q2830" s="6">
        <v>2800</v>
      </c>
      <c r="R2830" s="7">
        <v>45467</v>
      </c>
      <c r="S2830" s="210">
        <v>4.25</v>
      </c>
      <c r="T2830" s="8">
        <v>1.0001180555555556</v>
      </c>
      <c r="U2830" s="98">
        <v>4.1990253334788452</v>
      </c>
      <c r="V2830" s="106">
        <v>33125.187481404391</v>
      </c>
      <c r="W2830" s="10">
        <v>1.0864833368812832</v>
      </c>
      <c r="X2830" s="420"/>
      <c r="Y2830" s="420"/>
      <c r="Z2830" s="1"/>
      <c r="AA2830" s="1"/>
      <c r="AB2830" s="1"/>
      <c r="AC2830" s="1"/>
      <c r="AD2830" s="1"/>
    </row>
    <row r="2831" spans="17:30">
      <c r="Q2831" s="6">
        <v>2801</v>
      </c>
      <c r="R2831" s="7">
        <v>45468</v>
      </c>
      <c r="S2831" s="210">
        <v>4.25</v>
      </c>
      <c r="T2831" s="8">
        <v>1.0001180555555556</v>
      </c>
      <c r="U2831" s="98">
        <v>4.199098066171314</v>
      </c>
      <c r="V2831" s="106">
        <v>33127.944583628596</v>
      </c>
      <c r="W2831" s="10">
        <v>1.086552007513153</v>
      </c>
      <c r="X2831" s="420"/>
      <c r="Y2831" s="420"/>
      <c r="Z2831" s="1"/>
      <c r="AA2831" s="1"/>
      <c r="AB2831" s="1"/>
      <c r="AC2831" s="1"/>
      <c r="AD2831" s="1"/>
    </row>
    <row r="2832" spans="17:30">
      <c r="Q2832" s="6">
        <v>2802</v>
      </c>
      <c r="R2832" s="7">
        <v>45469</v>
      </c>
      <c r="S2832" s="210">
        <v>4.25</v>
      </c>
      <c r="T2832" s="8">
        <v>1.0001180555555556</v>
      </c>
      <c r="U2832" s="98">
        <v>4.1991707469996697</v>
      </c>
      <c r="V2832" s="106">
        <v>33130.701915334139</v>
      </c>
      <c r="W2832" s="10">
        <v>1.0866206291762159</v>
      </c>
      <c r="X2832" s="420"/>
      <c r="Y2832" s="420"/>
      <c r="Z2832" s="1"/>
      <c r="AA2832" s="1"/>
      <c r="AB2832" s="1"/>
      <c r="AC2832" s="1"/>
      <c r="AD2832" s="1"/>
    </row>
    <row r="2833" spans="17:30">
      <c r="Q2833" s="6">
        <v>2803</v>
      </c>
      <c r="R2833" s="7">
        <v>45470</v>
      </c>
      <c r="S2833" s="210">
        <v>4.25</v>
      </c>
      <c r="T2833" s="8">
        <v>1.0001180555555556</v>
      </c>
      <c r="U2833" s="98">
        <v>4.199243376019357</v>
      </c>
      <c r="V2833" s="106">
        <v>33133.459476540142</v>
      </c>
      <c r="W2833" s="10">
        <v>1.086689201922808</v>
      </c>
      <c r="X2833" s="420"/>
      <c r="Y2833" s="420"/>
      <c r="Z2833" s="1"/>
      <c r="AA2833" s="1"/>
      <c r="AB2833" s="1"/>
      <c r="AC2833" s="1"/>
      <c r="AD2833" s="1"/>
    </row>
    <row r="2834" spans="17:30">
      <c r="Q2834" s="6">
        <v>2804</v>
      </c>
      <c r="R2834" s="7">
        <v>45471</v>
      </c>
      <c r="S2834" s="210">
        <v>4.25</v>
      </c>
      <c r="T2834" s="8">
        <v>1.0001180555555556</v>
      </c>
      <c r="U2834" s="98">
        <v>4.1993159532857316</v>
      </c>
      <c r="V2834" s="106">
        <v>33136.217267265689</v>
      </c>
      <c r="W2834" s="10">
        <v>1.0867577258051764</v>
      </c>
      <c r="X2834" s="420"/>
      <c r="Y2834" s="420"/>
      <c r="Z2834" s="1"/>
      <c r="AA2834" s="1"/>
      <c r="AB2834" s="1"/>
      <c r="AC2834" s="1"/>
      <c r="AD2834" s="1"/>
    </row>
    <row r="2835" spans="17:30">
      <c r="Q2835" s="6">
        <v>2805</v>
      </c>
      <c r="R2835" s="7">
        <v>45472</v>
      </c>
      <c r="S2835" s="210">
        <v>4.25</v>
      </c>
      <c r="T2835" s="8">
        <v>1.0001180555555556</v>
      </c>
      <c r="U2835" s="98">
        <v>4.1993884788541047</v>
      </c>
      <c r="V2835" s="106">
        <v>33138.975287529895</v>
      </c>
      <c r="W2835" s="10">
        <v>1.0868262008755458</v>
      </c>
      <c r="X2835" s="420"/>
      <c r="Y2835" s="420"/>
      <c r="Z2835" s="1"/>
      <c r="AA2835" s="1"/>
      <c r="AB2835" s="1"/>
      <c r="AC2835" s="1"/>
      <c r="AD2835" s="1"/>
    </row>
    <row r="2836" spans="17:30">
      <c r="Q2836" s="6">
        <v>2806</v>
      </c>
      <c r="R2836" s="7">
        <v>45473</v>
      </c>
      <c r="S2836" s="210">
        <v>4.25</v>
      </c>
      <c r="T2836" s="8">
        <v>1.0001180555555556</v>
      </c>
      <c r="U2836" s="98">
        <v>4.1994609527796989</v>
      </c>
      <c r="V2836" s="106">
        <v>33141.733537351851</v>
      </c>
      <c r="W2836" s="10">
        <v>1.0868946271860969</v>
      </c>
      <c r="X2836" s="420"/>
      <c r="Y2836" s="420"/>
      <c r="Z2836" s="1"/>
      <c r="AA2836" s="1"/>
      <c r="AB2836" s="1"/>
      <c r="AC2836" s="1"/>
      <c r="AD2836" s="1"/>
    </row>
    <row r="2837" spans="17:30">
      <c r="Q2837" s="6">
        <v>2807</v>
      </c>
      <c r="R2837" s="7">
        <v>45474</v>
      </c>
      <c r="S2837" s="210">
        <v>4.25</v>
      </c>
      <c r="T2837" s="8">
        <v>1.0001180555555556</v>
      </c>
      <c r="U2837" s="98">
        <v>4.19953337511767</v>
      </c>
      <c r="V2837" s="106">
        <v>33144.492016750679</v>
      </c>
      <c r="W2837" s="10">
        <v>1.0869630047888768</v>
      </c>
      <c r="X2837" s="420"/>
      <c r="Y2837" s="420"/>
      <c r="Z2837" s="1"/>
      <c r="AA2837" s="1"/>
      <c r="AB2837" s="1"/>
      <c r="AC2837" s="1"/>
      <c r="AD2837" s="1"/>
    </row>
    <row r="2838" spans="17:30">
      <c r="Q2838" s="6">
        <v>2808</v>
      </c>
      <c r="R2838" s="7">
        <v>45475</v>
      </c>
      <c r="S2838" s="210">
        <v>4.25</v>
      </c>
      <c r="T2838" s="8">
        <v>1.0001180555555556</v>
      </c>
      <c r="U2838" s="98">
        <v>4.1996057459230629</v>
      </c>
      <c r="V2838" s="106">
        <v>33147.250725745471</v>
      </c>
      <c r="W2838" s="10">
        <v>1.0870313337358661</v>
      </c>
      <c r="X2838" s="420"/>
      <c r="Y2838" s="420"/>
      <c r="Z2838" s="1"/>
      <c r="AA2838" s="1"/>
      <c r="AB2838" s="1"/>
      <c r="AC2838" s="1"/>
      <c r="AD2838" s="1"/>
    </row>
    <row r="2839" spans="17:30">
      <c r="Q2839" s="6">
        <v>2809</v>
      </c>
      <c r="R2839" s="7">
        <v>45476</v>
      </c>
      <c r="S2839" s="210">
        <v>4.25</v>
      </c>
      <c r="T2839" s="8">
        <v>1.0001180555555556</v>
      </c>
      <c r="U2839" s="98">
        <v>4.1996780652508559</v>
      </c>
      <c r="V2839" s="106">
        <v>33150.009664355355</v>
      </c>
      <c r="W2839" s="10">
        <v>1.087099614078979</v>
      </c>
      <c r="X2839" s="420"/>
      <c r="Y2839" s="420"/>
      <c r="Z2839" s="1"/>
      <c r="AA2839" s="1"/>
      <c r="AB2839" s="1"/>
      <c r="AC2839" s="1"/>
      <c r="AD2839" s="1"/>
    </row>
    <row r="2840" spans="17:30">
      <c r="Q2840" s="6">
        <v>2810</v>
      </c>
      <c r="R2840" s="7">
        <v>45477</v>
      </c>
      <c r="S2840" s="210">
        <v>4.25</v>
      </c>
      <c r="T2840" s="8">
        <v>1.0001180555555556</v>
      </c>
      <c r="U2840" s="98">
        <v>4.1997503331559383</v>
      </c>
      <c r="V2840" s="106">
        <v>33152.768832599439</v>
      </c>
      <c r="W2840" s="10">
        <v>1.0871678458700185</v>
      </c>
      <c r="X2840" s="420"/>
      <c r="Y2840" s="420"/>
      <c r="Z2840" s="1"/>
      <c r="AA2840" s="1"/>
      <c r="AB2840" s="1"/>
      <c r="AC2840" s="1"/>
      <c r="AD2840" s="1"/>
    </row>
    <row r="2841" spans="17:30">
      <c r="Q2841" s="6">
        <v>2811</v>
      </c>
      <c r="R2841" s="7">
        <v>45478</v>
      </c>
      <c r="S2841" s="210">
        <v>4.25</v>
      </c>
      <c r="T2841" s="8">
        <v>1.0001180555555556</v>
      </c>
      <c r="U2841" s="98">
        <v>4.1998225496931774</v>
      </c>
      <c r="V2841" s="106">
        <v>33155.528230496828</v>
      </c>
      <c r="W2841" s="10">
        <v>1.0872360291608096</v>
      </c>
      <c r="X2841" s="420"/>
      <c r="Y2841" s="420"/>
      <c r="Z2841" s="1"/>
      <c r="AA2841" s="1"/>
      <c r="AB2841" s="1"/>
      <c r="AC2841" s="1"/>
      <c r="AD2841" s="1"/>
    </row>
    <row r="2842" spans="17:30">
      <c r="Q2842" s="6">
        <v>2812</v>
      </c>
      <c r="R2842" s="7">
        <v>45479</v>
      </c>
      <c r="S2842" s="210">
        <v>4.25</v>
      </c>
      <c r="T2842" s="8">
        <v>1.0001180555555556</v>
      </c>
      <c r="U2842" s="98">
        <v>4.1998947149172849</v>
      </c>
      <c r="V2842" s="106">
        <v>33158.287858066644</v>
      </c>
      <c r="W2842" s="10">
        <v>1.0873041640030223</v>
      </c>
      <c r="X2842" s="420"/>
      <c r="Y2842" s="420"/>
      <c r="Z2842" s="1"/>
      <c r="AA2842" s="1"/>
      <c r="AB2842" s="1"/>
      <c r="AC2842" s="1"/>
      <c r="AD2842" s="1"/>
    </row>
    <row r="2843" spans="17:30">
      <c r="Q2843" s="6">
        <v>2813</v>
      </c>
      <c r="R2843" s="7">
        <v>45480</v>
      </c>
      <c r="S2843" s="210">
        <v>4.25</v>
      </c>
      <c r="T2843" s="8">
        <v>1.0001180555555556</v>
      </c>
      <c r="U2843" s="98">
        <v>4.1999668288829506</v>
      </c>
      <c r="V2843" s="106">
        <v>33161.047715327994</v>
      </c>
      <c r="W2843" s="10">
        <v>1.0873722504482819</v>
      </c>
      <c r="X2843" s="420"/>
      <c r="Y2843" s="420"/>
      <c r="Z2843" s="1"/>
      <c r="AA2843" s="1"/>
      <c r="AB2843" s="1"/>
      <c r="AC2843" s="1"/>
      <c r="AD2843" s="1"/>
    </row>
    <row r="2844" spans="17:30">
      <c r="Q2844" s="6">
        <v>2814</v>
      </c>
      <c r="R2844" s="7">
        <v>45481</v>
      </c>
      <c r="S2844" s="210">
        <v>4.25</v>
      </c>
      <c r="T2844" s="8">
        <v>1.0001180555555556</v>
      </c>
      <c r="U2844" s="98">
        <v>4.2000388916447751</v>
      </c>
      <c r="V2844" s="106">
        <v>33163.807802300005</v>
      </c>
      <c r="W2844" s="10">
        <v>1.0874402885481249</v>
      </c>
      <c r="X2844" s="420"/>
      <c r="Y2844" s="420"/>
      <c r="Z2844" s="1"/>
      <c r="AA2844" s="1"/>
      <c r="AB2844" s="1"/>
      <c r="AC2844" s="1"/>
      <c r="AD2844" s="1"/>
    </row>
    <row r="2845" spans="17:30">
      <c r="Q2845" s="6">
        <v>2815</v>
      </c>
      <c r="R2845" s="7">
        <v>45482</v>
      </c>
      <c r="S2845" s="210">
        <v>4.25</v>
      </c>
      <c r="T2845" s="8">
        <v>1.0001180555555556</v>
      </c>
      <c r="U2845" s="98">
        <v>4.2001109032572481</v>
      </c>
      <c r="V2845" s="106">
        <v>33166.568119001786</v>
      </c>
      <c r="W2845" s="10">
        <v>1.0875082783540435</v>
      </c>
      <c r="X2845" s="420"/>
      <c r="Y2845" s="420"/>
      <c r="Z2845" s="1"/>
      <c r="AA2845" s="1"/>
      <c r="AB2845" s="1"/>
      <c r="AC2845" s="1"/>
      <c r="AD2845" s="1"/>
    </row>
    <row r="2846" spans="17:30">
      <c r="Q2846" s="6">
        <v>2816</v>
      </c>
      <c r="R2846" s="7">
        <v>45483</v>
      </c>
      <c r="S2846" s="210">
        <v>4.25</v>
      </c>
      <c r="T2846" s="8">
        <v>1.0001180555555556</v>
      </c>
      <c r="U2846" s="98">
        <v>4.2001828637748373</v>
      </c>
      <c r="V2846" s="106">
        <v>33169.328665452471</v>
      </c>
      <c r="W2846" s="10">
        <v>1.0875762199174188</v>
      </c>
      <c r="X2846" s="420"/>
      <c r="Y2846" s="420"/>
      <c r="Z2846" s="1"/>
      <c r="AA2846" s="1"/>
      <c r="AB2846" s="1"/>
      <c r="AC2846" s="1"/>
      <c r="AD2846" s="1"/>
    </row>
    <row r="2847" spans="17:30">
      <c r="Q2847" s="6">
        <v>2817</v>
      </c>
      <c r="R2847" s="7">
        <v>45484</v>
      </c>
      <c r="S2847" s="210">
        <v>4.25</v>
      </c>
      <c r="T2847" s="8">
        <v>1.0001180555555556</v>
      </c>
      <c r="U2847" s="98">
        <v>4.2002547732518769</v>
      </c>
      <c r="V2847" s="106">
        <v>33172.089441671167</v>
      </c>
      <c r="W2847" s="10">
        <v>1.0876441132895875</v>
      </c>
      <c r="X2847" s="420"/>
      <c r="Y2847" s="420"/>
      <c r="Z2847" s="1"/>
      <c r="AA2847" s="1"/>
      <c r="AB2847" s="1"/>
      <c r="AC2847" s="1"/>
      <c r="AD2847" s="1"/>
    </row>
    <row r="2848" spans="17:30">
      <c r="Q2848" s="6">
        <v>2818</v>
      </c>
      <c r="R2848" s="7">
        <v>45485</v>
      </c>
      <c r="S2848" s="210">
        <v>4.25</v>
      </c>
      <c r="T2848" s="8">
        <v>1.0001180555555556</v>
      </c>
      <c r="U2848" s="98">
        <v>4.2003266317426791</v>
      </c>
      <c r="V2848" s="106">
        <v>33174.850447677025</v>
      </c>
      <c r="W2848" s="10">
        <v>1.0877119585218198</v>
      </c>
      <c r="X2848" s="420"/>
      <c r="Y2848" s="420"/>
      <c r="Z2848" s="1"/>
      <c r="AA2848" s="1"/>
      <c r="AB2848" s="1"/>
      <c r="AC2848" s="1"/>
      <c r="AD2848" s="1"/>
    </row>
    <row r="2849" spans="17:30">
      <c r="Q2849" s="6">
        <v>2819</v>
      </c>
      <c r="R2849" s="7">
        <v>45486</v>
      </c>
      <c r="S2849" s="210">
        <v>4.25</v>
      </c>
      <c r="T2849" s="8">
        <v>1.0001180555555556</v>
      </c>
      <c r="U2849" s="98">
        <v>4.2003984393014226</v>
      </c>
      <c r="V2849" s="106">
        <v>33177.611683489136</v>
      </c>
      <c r="W2849" s="10">
        <v>1.0877797556652746</v>
      </c>
      <c r="X2849" s="420"/>
      <c r="Y2849" s="420"/>
      <c r="Z2849" s="1"/>
      <c r="AA2849" s="1"/>
      <c r="AB2849" s="1"/>
      <c r="AC2849" s="1"/>
      <c r="AD2849" s="1"/>
    </row>
    <row r="2850" spans="17:30">
      <c r="Q2850" s="6">
        <v>2820</v>
      </c>
      <c r="R2850" s="7">
        <v>45487</v>
      </c>
      <c r="S2850" s="210">
        <v>4.25</v>
      </c>
      <c r="T2850" s="8">
        <v>1.0001180555555556</v>
      </c>
      <c r="U2850" s="98">
        <v>4.2004701959822643</v>
      </c>
      <c r="V2850" s="106">
        <v>33180.373149126659</v>
      </c>
      <c r="W2850" s="10">
        <v>1.0878475047710667</v>
      </c>
      <c r="X2850" s="420"/>
      <c r="Y2850" s="420"/>
      <c r="Z2850" s="1"/>
      <c r="AA2850" s="1"/>
      <c r="AB2850" s="1"/>
      <c r="AC2850" s="1"/>
      <c r="AD2850" s="1"/>
    </row>
    <row r="2851" spans="17:30">
      <c r="Q2851" s="6">
        <v>2821</v>
      </c>
      <c r="R2851" s="7">
        <v>45488</v>
      </c>
      <c r="S2851" s="210">
        <v>4.25</v>
      </c>
      <c r="T2851" s="8">
        <v>1.0001180555555556</v>
      </c>
      <c r="U2851" s="98">
        <v>4.2005419018392498</v>
      </c>
      <c r="V2851" s="106">
        <v>33183.134844608699</v>
      </c>
      <c r="W2851" s="10">
        <v>1.0879152058902442</v>
      </c>
      <c r="X2851" s="420"/>
      <c r="Y2851" s="420"/>
      <c r="Z2851" s="1"/>
      <c r="AA2851" s="1"/>
      <c r="AB2851" s="1"/>
      <c r="AC2851" s="1"/>
      <c r="AD2851" s="1"/>
    </row>
    <row r="2852" spans="17:30">
      <c r="Q2852" s="6">
        <v>2822</v>
      </c>
      <c r="R2852" s="7">
        <v>45489</v>
      </c>
      <c r="S2852" s="210">
        <v>4.25</v>
      </c>
      <c r="T2852" s="8">
        <v>1.0001180555555556</v>
      </c>
      <c r="U2852" s="98">
        <v>4.2006135569263359</v>
      </c>
      <c r="V2852" s="106">
        <v>33185.896769954408</v>
      </c>
      <c r="W2852" s="10">
        <v>1.0879828590737661</v>
      </c>
      <c r="X2852" s="420"/>
      <c r="Y2852" s="420"/>
      <c r="Z2852" s="1"/>
      <c r="AA2852" s="1"/>
      <c r="AB2852" s="1"/>
      <c r="AC2852" s="1"/>
      <c r="AD2852" s="1"/>
    </row>
    <row r="2853" spans="17:30">
      <c r="Q2853" s="6">
        <v>2823</v>
      </c>
      <c r="R2853" s="7">
        <v>45490</v>
      </c>
      <c r="S2853" s="210">
        <v>4.25</v>
      </c>
      <c r="T2853" s="8">
        <v>1.0001180555555556</v>
      </c>
      <c r="U2853" s="98">
        <v>4.200685161297435</v>
      </c>
      <c r="V2853" s="106">
        <v>33188.658925182899</v>
      </c>
      <c r="W2853" s="10">
        <v>1.0880504643725031</v>
      </c>
      <c r="X2853" s="420"/>
      <c r="Y2853" s="420"/>
      <c r="Z2853" s="1"/>
      <c r="AA2853" s="1"/>
      <c r="AB2853" s="1"/>
      <c r="AC2853" s="1"/>
      <c r="AD2853" s="1"/>
    </row>
    <row r="2854" spans="17:30">
      <c r="Q2854" s="6">
        <v>2824</v>
      </c>
      <c r="R2854" s="7">
        <v>45491</v>
      </c>
      <c r="S2854" s="210">
        <v>4.25</v>
      </c>
      <c r="T2854" s="8">
        <v>1.0001180555555556</v>
      </c>
      <c r="U2854" s="98">
        <v>4.2007567150063929</v>
      </c>
      <c r="V2854" s="106">
        <v>33191.421310313315</v>
      </c>
      <c r="W2854" s="10">
        <v>1.0881180218373254</v>
      </c>
      <c r="X2854" s="420"/>
      <c r="Y2854" s="420"/>
      <c r="Z2854" s="1"/>
      <c r="AA2854" s="1"/>
      <c r="AB2854" s="1"/>
      <c r="AC2854" s="1"/>
      <c r="AD2854" s="1"/>
    </row>
    <row r="2855" spans="17:30">
      <c r="Q2855" s="6">
        <v>2825</v>
      </c>
      <c r="R2855" s="7">
        <v>45492</v>
      </c>
      <c r="S2855" s="210">
        <v>4.25</v>
      </c>
      <c r="T2855" s="8">
        <v>1.0001180555555556</v>
      </c>
      <c r="U2855" s="98">
        <v>4.2008282181069445</v>
      </c>
      <c r="V2855" s="106">
        <v>33194.183925364785</v>
      </c>
      <c r="W2855" s="10">
        <v>1.0881855315189481</v>
      </c>
      <c r="X2855" s="420"/>
      <c r="Y2855" s="420"/>
      <c r="Z2855" s="1"/>
      <c r="AA2855" s="1"/>
      <c r="AB2855" s="1"/>
      <c r="AC2855" s="1"/>
      <c r="AD2855" s="1"/>
    </row>
    <row r="2856" spans="17:30">
      <c r="Q2856" s="6">
        <v>2826</v>
      </c>
      <c r="R2856" s="7">
        <v>45493</v>
      </c>
      <c r="S2856" s="210">
        <v>4.25</v>
      </c>
      <c r="T2856" s="8">
        <v>1.0001180555555556</v>
      </c>
      <c r="U2856" s="98">
        <v>4.2008996706527357</v>
      </c>
      <c r="V2856" s="106">
        <v>33196.946770356459</v>
      </c>
      <c r="W2856" s="10">
        <v>1.0882529934680418</v>
      </c>
      <c r="X2856" s="420"/>
      <c r="Y2856" s="420"/>
      <c r="Z2856" s="1"/>
      <c r="AA2856" s="1"/>
      <c r="AB2856" s="1"/>
      <c r="AC2856" s="1"/>
      <c r="AD2856" s="1"/>
    </row>
    <row r="2857" spans="17:30">
      <c r="Q2857" s="6">
        <v>2827</v>
      </c>
      <c r="R2857" s="7">
        <v>45494</v>
      </c>
      <c r="S2857" s="210">
        <v>4.25</v>
      </c>
      <c r="T2857" s="8">
        <v>1.0001180555555556</v>
      </c>
      <c r="U2857" s="98">
        <v>4.2009710726973903</v>
      </c>
      <c r="V2857" s="106">
        <v>33199.709845307472</v>
      </c>
      <c r="W2857" s="10">
        <v>1.0883204077352326</v>
      </c>
      <c r="X2857" s="420"/>
      <c r="Y2857" s="420"/>
      <c r="Z2857" s="1"/>
      <c r="AA2857" s="1"/>
      <c r="AB2857" s="1"/>
      <c r="AC2857" s="1"/>
      <c r="AD2857" s="1"/>
    </row>
    <row r="2858" spans="17:30">
      <c r="Q2858" s="6">
        <v>2828</v>
      </c>
      <c r="R2858" s="7">
        <v>45495</v>
      </c>
      <c r="S2858" s="210">
        <v>4.25</v>
      </c>
      <c r="T2858" s="8">
        <v>1.0001180555555556</v>
      </c>
      <c r="U2858" s="98">
        <v>4.2010424242944211</v>
      </c>
      <c r="V2858" s="106">
        <v>33202.473150236947</v>
      </c>
      <c r="W2858" s="10">
        <v>1.0883877743710357</v>
      </c>
      <c r="X2858" s="420"/>
      <c r="Y2858" s="420"/>
      <c r="Z2858" s="1"/>
      <c r="AA2858" s="1"/>
      <c r="AB2858" s="1"/>
      <c r="AC2858" s="1"/>
      <c r="AD2858" s="1"/>
    </row>
    <row r="2859" spans="17:30">
      <c r="Q2859" s="6">
        <v>2829</v>
      </c>
      <c r="R2859" s="7">
        <v>45496</v>
      </c>
      <c r="S2859" s="210">
        <v>4.25</v>
      </c>
      <c r="T2859" s="8">
        <v>1.0001180555555556</v>
      </c>
      <c r="U2859" s="98">
        <v>4.2011137254972963</v>
      </c>
      <c r="V2859" s="106">
        <v>33205.23668516404</v>
      </c>
      <c r="W2859" s="10">
        <v>1.0884550934259662</v>
      </c>
      <c r="X2859" s="420"/>
      <c r="Y2859" s="420"/>
      <c r="Z2859" s="1"/>
      <c r="AA2859" s="1"/>
      <c r="AB2859" s="1"/>
      <c r="AC2859" s="1"/>
      <c r="AD2859" s="1"/>
    </row>
    <row r="2860" spans="17:30">
      <c r="Q2860" s="6">
        <v>2830</v>
      </c>
      <c r="R2860" s="7">
        <v>45497</v>
      </c>
      <c r="S2860" s="210">
        <v>4.25</v>
      </c>
      <c r="T2860" s="8">
        <v>1.0001180555555556</v>
      </c>
      <c r="U2860" s="98">
        <v>4.2011849763593512</v>
      </c>
      <c r="V2860" s="106">
        <v>33208.000450107902</v>
      </c>
      <c r="W2860" s="10">
        <v>1.0885223649503395</v>
      </c>
      <c r="X2860" s="420"/>
      <c r="Y2860" s="420"/>
      <c r="Z2860" s="1"/>
      <c r="AA2860" s="1"/>
      <c r="AB2860" s="1"/>
      <c r="AC2860" s="1"/>
      <c r="AD2860" s="1"/>
    </row>
    <row r="2861" spans="17:30">
      <c r="Q2861" s="6">
        <v>2831</v>
      </c>
      <c r="R2861" s="7">
        <v>45498</v>
      </c>
      <c r="S2861" s="210">
        <v>4.25</v>
      </c>
      <c r="T2861" s="8">
        <v>1.0001180555555556</v>
      </c>
      <c r="U2861" s="98">
        <v>4.2012561769338985</v>
      </c>
      <c r="V2861" s="106">
        <v>33210.764445087661</v>
      </c>
      <c r="W2861" s="10">
        <v>1.0885895889945152</v>
      </c>
      <c r="X2861" s="420"/>
      <c r="Y2861" s="420"/>
      <c r="Z2861" s="1"/>
      <c r="AA2861" s="1"/>
      <c r="AB2861" s="1"/>
      <c r="AC2861" s="1"/>
      <c r="AD2861" s="1"/>
    </row>
    <row r="2862" spans="17:30">
      <c r="Q2862" s="6">
        <v>2832</v>
      </c>
      <c r="R2862" s="7">
        <v>45499</v>
      </c>
      <c r="S2862" s="210">
        <v>4.25</v>
      </c>
      <c r="T2862" s="8">
        <v>1.0001180555555556</v>
      </c>
      <c r="U2862" s="98">
        <v>4.2013273272741625</v>
      </c>
      <c r="V2862" s="106">
        <v>33213.528670122476</v>
      </c>
      <c r="W2862" s="10">
        <v>1.0886567656087642</v>
      </c>
      <c r="X2862" s="420"/>
      <c r="Y2862" s="420"/>
      <c r="Z2862" s="1"/>
      <c r="AA2862" s="1"/>
      <c r="AB2862" s="1"/>
      <c r="AC2862" s="1"/>
      <c r="AD2862" s="1"/>
    </row>
    <row r="2863" spans="17:30">
      <c r="Q2863" s="6">
        <v>2833</v>
      </c>
      <c r="R2863" s="7">
        <v>45500</v>
      </c>
      <c r="S2863" s="210">
        <v>4.25</v>
      </c>
      <c r="T2863" s="8">
        <v>1.0001180555555556</v>
      </c>
      <c r="U2863" s="98">
        <v>4.2013984274332783</v>
      </c>
      <c r="V2863" s="106">
        <v>33216.293125231488</v>
      </c>
      <c r="W2863" s="10">
        <v>1.0887238948432243</v>
      </c>
      <c r="X2863" s="420"/>
      <c r="Y2863" s="420"/>
      <c r="Z2863" s="1"/>
      <c r="AA2863" s="1"/>
      <c r="AB2863" s="1"/>
      <c r="AC2863" s="1"/>
      <c r="AD2863" s="1"/>
    </row>
    <row r="2864" spans="17:30">
      <c r="Q2864" s="6">
        <v>2834</v>
      </c>
      <c r="R2864" s="7">
        <v>45501</v>
      </c>
      <c r="S2864" s="210">
        <v>4.25</v>
      </c>
      <c r="T2864" s="8">
        <v>1.0001180555555556</v>
      </c>
      <c r="U2864" s="98">
        <v>4.2014694774643147</v>
      </c>
      <c r="V2864" s="106">
        <v>33219.057810433849</v>
      </c>
      <c r="W2864" s="10">
        <v>1.088790976748033</v>
      </c>
      <c r="X2864" s="420"/>
      <c r="Y2864" s="420"/>
      <c r="Z2864" s="1"/>
      <c r="AA2864" s="1"/>
      <c r="AB2864" s="1"/>
      <c r="AC2864" s="1"/>
      <c r="AD2864" s="1"/>
    </row>
    <row r="2865" spans="17:30">
      <c r="Q2865" s="6">
        <v>2835</v>
      </c>
      <c r="R2865" s="7">
        <v>45502</v>
      </c>
      <c r="S2865" s="210">
        <v>4.25</v>
      </c>
      <c r="T2865" s="8">
        <v>1.0001180555555556</v>
      </c>
      <c r="U2865" s="98">
        <v>4.2015404774202514</v>
      </c>
      <c r="V2865" s="106">
        <v>33221.822725748709</v>
      </c>
      <c r="W2865" s="10">
        <v>1.0888580113731949</v>
      </c>
      <c r="X2865" s="420"/>
      <c r="Y2865" s="420"/>
      <c r="Z2865" s="1"/>
      <c r="AA2865" s="1"/>
      <c r="AB2865" s="1"/>
      <c r="AC2865" s="1"/>
      <c r="AD2865" s="1"/>
    </row>
    <row r="2866" spans="17:30">
      <c r="Q2866" s="6">
        <v>2836</v>
      </c>
      <c r="R2866" s="7">
        <v>45503</v>
      </c>
      <c r="S2866" s="210">
        <v>4.25</v>
      </c>
      <c r="T2866" s="8">
        <v>1.0001180555555556</v>
      </c>
      <c r="U2866" s="98">
        <v>4.2016114273540239</v>
      </c>
      <c r="V2866" s="106">
        <v>33224.587871195225</v>
      </c>
      <c r="W2866" s="10">
        <v>1.0889249987686922</v>
      </c>
      <c r="X2866" s="420"/>
      <c r="Y2866" s="420"/>
      <c r="Z2866" s="1"/>
      <c r="AA2866" s="1"/>
      <c r="AB2866" s="1"/>
      <c r="AC2866" s="1"/>
      <c r="AD2866" s="1"/>
    </row>
    <row r="2867" spans="17:30">
      <c r="Q2867" s="6">
        <v>2837</v>
      </c>
      <c r="R2867" s="7">
        <v>45504</v>
      </c>
      <c r="S2867" s="210">
        <v>4.25</v>
      </c>
      <c r="T2867" s="8">
        <v>1.0001180555555556</v>
      </c>
      <c r="U2867" s="98">
        <v>4.2016823273184789</v>
      </c>
      <c r="V2867" s="106">
        <v>33227.353246792547</v>
      </c>
      <c r="W2867" s="10">
        <v>1.0889919389844405</v>
      </c>
      <c r="X2867" s="420"/>
      <c r="Y2867" s="420"/>
      <c r="Z2867" s="1"/>
      <c r="AA2867" s="1"/>
      <c r="AB2867" s="1"/>
      <c r="AC2867" s="1"/>
      <c r="AD2867" s="1"/>
    </row>
    <row r="2868" spans="17:30">
      <c r="Q2868" s="6">
        <v>2838</v>
      </c>
      <c r="R2868" s="7">
        <v>45505</v>
      </c>
      <c r="S2868" s="210">
        <v>4.25</v>
      </c>
      <c r="T2868" s="8">
        <v>1.0001180555555556</v>
      </c>
      <c r="U2868" s="98">
        <v>4.2017531773663963</v>
      </c>
      <c r="V2868" s="106">
        <v>33230.118852559841</v>
      </c>
      <c r="W2868" s="10">
        <v>1.0890588320702443</v>
      </c>
      <c r="X2868" s="420"/>
      <c r="Y2868" s="420"/>
      <c r="Z2868" s="1"/>
      <c r="AA2868" s="1"/>
      <c r="AB2868" s="1"/>
      <c r="AC2868" s="1"/>
      <c r="AD2868" s="1"/>
    </row>
    <row r="2869" spans="17:30">
      <c r="Q2869" s="6">
        <v>2839</v>
      </c>
      <c r="R2869" s="7">
        <v>45506</v>
      </c>
      <c r="S2869" s="210">
        <v>4.25</v>
      </c>
      <c r="T2869" s="8">
        <v>1.0001180555555556</v>
      </c>
      <c r="U2869" s="98">
        <v>4.2018239775504451</v>
      </c>
      <c r="V2869" s="106">
        <v>33232.884688516249</v>
      </c>
      <c r="W2869" s="10">
        <v>1.089125678075864</v>
      </c>
      <c r="X2869" s="420"/>
      <c r="Y2869" s="420"/>
      <c r="Z2869" s="1"/>
      <c r="AA2869" s="1"/>
      <c r="AB2869" s="1"/>
      <c r="AC2869" s="1"/>
      <c r="AD2869" s="1"/>
    </row>
    <row r="2870" spans="17:30">
      <c r="Q2870" s="6">
        <v>2840</v>
      </c>
      <c r="R2870" s="7">
        <v>45507</v>
      </c>
      <c r="S2870" s="210">
        <v>4.25</v>
      </c>
      <c r="T2870" s="8">
        <v>1.0001180555555556</v>
      </c>
      <c r="U2870" s="98">
        <v>4.2018947279232721</v>
      </c>
      <c r="V2870" s="106">
        <v>33235.650754680937</v>
      </c>
      <c r="W2870" s="10">
        <v>1.0891924770509931</v>
      </c>
      <c r="X2870" s="420"/>
      <c r="Y2870" s="420"/>
      <c r="Z2870" s="1"/>
      <c r="AA2870" s="1"/>
      <c r="AB2870" s="1"/>
      <c r="AC2870" s="1"/>
      <c r="AD2870" s="1"/>
    </row>
    <row r="2871" spans="17:30">
      <c r="Q2871" s="6">
        <v>2841</v>
      </c>
      <c r="R2871" s="7">
        <v>45508</v>
      </c>
      <c r="S2871" s="210">
        <v>4.25</v>
      </c>
      <c r="T2871" s="8">
        <v>1.0001180555555556</v>
      </c>
      <c r="U2871" s="98">
        <v>4.2019654285374131</v>
      </c>
      <c r="V2871" s="106">
        <v>33238.417051073069</v>
      </c>
      <c r="W2871" s="10">
        <v>1.0892592290452363</v>
      </c>
      <c r="X2871" s="420"/>
      <c r="Y2871" s="420"/>
      <c r="Z2871" s="1"/>
      <c r="AA2871" s="1"/>
      <c r="AB2871" s="1"/>
      <c r="AC2871" s="1"/>
      <c r="AD2871" s="1"/>
    </row>
    <row r="2872" spans="17:30">
      <c r="Q2872" s="6">
        <v>2842</v>
      </c>
      <c r="R2872" s="7">
        <v>45509</v>
      </c>
      <c r="S2872" s="210">
        <v>4.25</v>
      </c>
      <c r="T2872" s="8">
        <v>1.0001180555555556</v>
      </c>
      <c r="U2872" s="98">
        <v>4.2020360794453593</v>
      </c>
      <c r="V2872" s="106">
        <v>33241.183577711803</v>
      </c>
      <c r="W2872" s="10">
        <v>1.089325934108154</v>
      </c>
      <c r="X2872" s="420"/>
      <c r="Y2872" s="420"/>
      <c r="Z2872" s="1"/>
      <c r="AA2872" s="1"/>
      <c r="AB2872" s="1"/>
      <c r="AC2872" s="1"/>
      <c r="AD2872" s="1"/>
    </row>
    <row r="2873" spans="17:30">
      <c r="Q2873" s="6">
        <v>2843</v>
      </c>
      <c r="R2873" s="7">
        <v>45510</v>
      </c>
      <c r="S2873" s="210">
        <v>4.25</v>
      </c>
      <c r="T2873" s="8">
        <v>1.0001180555555556</v>
      </c>
      <c r="U2873" s="98">
        <v>4.2021066806994911</v>
      </c>
      <c r="V2873" s="106">
        <v>33243.950334616311</v>
      </c>
      <c r="W2873" s="10">
        <v>1.0893925922892178</v>
      </c>
      <c r="X2873" s="420"/>
      <c r="Y2873" s="420"/>
      <c r="Z2873" s="1"/>
      <c r="AA2873" s="1"/>
      <c r="AB2873" s="1"/>
      <c r="AC2873" s="1"/>
      <c r="AD2873" s="1"/>
    </row>
    <row r="2874" spans="17:30">
      <c r="Q2874" s="6">
        <v>2844</v>
      </c>
      <c r="R2874" s="7">
        <v>45511</v>
      </c>
      <c r="S2874" s="210">
        <v>4.25</v>
      </c>
      <c r="T2874" s="8">
        <v>1.0001180555555556</v>
      </c>
      <c r="U2874" s="98">
        <v>4.2021772323521445</v>
      </c>
      <c r="V2874" s="106">
        <v>33246.717321805751</v>
      </c>
      <c r="W2874" s="10">
        <v>1.0894592036378103</v>
      </c>
      <c r="X2874" s="420"/>
      <c r="Y2874" s="420"/>
      <c r="Z2874" s="1"/>
      <c r="AA2874" s="1"/>
      <c r="AB2874" s="1"/>
      <c r="AC2874" s="1"/>
      <c r="AD2874" s="1"/>
    </row>
    <row r="2875" spans="17:30">
      <c r="Q2875" s="6">
        <v>2845</v>
      </c>
      <c r="R2875" s="7">
        <v>45512</v>
      </c>
      <c r="S2875" s="210">
        <v>4.25</v>
      </c>
      <c r="T2875" s="8">
        <v>1.0001180555555556</v>
      </c>
      <c r="U2875" s="98">
        <v>4.2022477344555664</v>
      </c>
      <c r="V2875" s="106">
        <v>33249.484539299287</v>
      </c>
      <c r="W2875" s="10">
        <v>1.0895257682033144</v>
      </c>
      <c r="X2875" s="420"/>
      <c r="Y2875" s="420"/>
      <c r="Z2875" s="1"/>
      <c r="AA2875" s="1"/>
      <c r="AB2875" s="1"/>
      <c r="AC2875" s="1"/>
      <c r="AD2875" s="1"/>
    </row>
    <row r="2876" spans="17:30">
      <c r="Q2876" s="6">
        <v>2846</v>
      </c>
      <c r="R2876" s="7">
        <v>45513</v>
      </c>
      <c r="S2876" s="210">
        <v>4.25</v>
      </c>
      <c r="T2876" s="8">
        <v>1.0001180555555556</v>
      </c>
      <c r="U2876" s="98">
        <v>4.2023181870619597</v>
      </c>
      <c r="V2876" s="106">
        <v>33252.251987116098</v>
      </c>
      <c r="W2876" s="10">
        <v>1.0895922860349794</v>
      </c>
      <c r="X2876" s="420"/>
      <c r="Y2876" s="420"/>
      <c r="Z2876" s="1"/>
      <c r="AA2876" s="1"/>
      <c r="AB2876" s="1"/>
      <c r="AC2876" s="1"/>
      <c r="AD2876" s="1"/>
    </row>
    <row r="2877" spans="17:30">
      <c r="Q2877" s="6">
        <v>2847</v>
      </c>
      <c r="R2877" s="7">
        <v>45514</v>
      </c>
      <c r="S2877" s="210">
        <v>4.25</v>
      </c>
      <c r="T2877" s="8">
        <v>1.0001180555555556</v>
      </c>
      <c r="U2877" s="98">
        <v>4.2023885902234159</v>
      </c>
      <c r="V2877" s="106">
        <v>33255.019665275344</v>
      </c>
      <c r="W2877" s="10">
        <v>1.0896587571819882</v>
      </c>
      <c r="X2877" s="420"/>
      <c r="Y2877" s="420"/>
      <c r="Z2877" s="1"/>
      <c r="AA2877" s="1"/>
      <c r="AB2877" s="1"/>
      <c r="AC2877" s="1"/>
      <c r="AD2877" s="1"/>
    </row>
    <row r="2878" spans="17:30">
      <c r="Q2878" s="6">
        <v>2848</v>
      </c>
      <c r="R2878" s="7">
        <v>45515</v>
      </c>
      <c r="S2878" s="210">
        <v>4.25</v>
      </c>
      <c r="T2878" s="8">
        <v>1.0001180555555556</v>
      </c>
      <c r="U2878" s="98">
        <v>4.2024589439919602</v>
      </c>
      <c r="V2878" s="106">
        <v>33257.787573796217</v>
      </c>
      <c r="W2878" s="10">
        <v>1.0897251816935016</v>
      </c>
      <c r="X2878" s="420"/>
      <c r="Y2878" s="420"/>
      <c r="Z2878" s="1"/>
      <c r="AA2878" s="1"/>
      <c r="AB2878" s="1"/>
      <c r="AC2878" s="1"/>
      <c r="AD2878" s="1"/>
    </row>
    <row r="2879" spans="17:30">
      <c r="Q2879" s="6">
        <v>2849</v>
      </c>
      <c r="R2879" s="7">
        <v>45516</v>
      </c>
      <c r="S2879" s="210">
        <v>4.25</v>
      </c>
      <c r="T2879" s="8">
        <v>1.0001180555555556</v>
      </c>
      <c r="U2879" s="98">
        <v>4.2025292484195509</v>
      </c>
      <c r="V2879" s="106">
        <v>33260.55571269786</v>
      </c>
      <c r="W2879" s="10">
        <v>1.0897915596185248</v>
      </c>
      <c r="X2879" s="420"/>
      <c r="Y2879" s="420"/>
      <c r="Z2879" s="1"/>
      <c r="AA2879" s="1"/>
      <c r="AB2879" s="1"/>
      <c r="AC2879" s="1"/>
      <c r="AD2879" s="1"/>
    </row>
    <row r="2880" spans="17:30">
      <c r="Q2880" s="6">
        <v>2850</v>
      </c>
      <c r="R2880" s="7">
        <v>45517</v>
      </c>
      <c r="S2880" s="210">
        <v>4.25</v>
      </c>
      <c r="T2880" s="8">
        <v>1.0001180555555556</v>
      </c>
      <c r="U2880" s="98">
        <v>4.2025995035580799</v>
      </c>
      <c r="V2880" s="106">
        <v>33263.324081999475</v>
      </c>
      <c r="W2880" s="10">
        <v>1.0898578910061074</v>
      </c>
      <c r="X2880" s="420"/>
      <c r="Y2880" s="420"/>
      <c r="Z2880" s="1"/>
      <c r="AA2880" s="1"/>
      <c r="AB2880" s="1"/>
      <c r="AC2880" s="1"/>
      <c r="AD2880" s="1"/>
    </row>
    <row r="2881" spans="17:30">
      <c r="Q2881" s="6">
        <v>2851</v>
      </c>
      <c r="R2881" s="7">
        <v>45518</v>
      </c>
      <c r="S2881" s="210">
        <v>4.25</v>
      </c>
      <c r="T2881" s="8">
        <v>1.0001180555555556</v>
      </c>
      <c r="U2881" s="98">
        <v>4.2026697094593723</v>
      </c>
      <c r="V2881" s="106">
        <v>33266.09268172022</v>
      </c>
      <c r="W2881" s="10">
        <v>1.0899241759051437</v>
      </c>
      <c r="X2881" s="420"/>
      <c r="Y2881" s="420"/>
      <c r="Z2881" s="1"/>
      <c r="AA2881" s="1"/>
      <c r="AB2881" s="1"/>
      <c r="AC2881" s="1"/>
      <c r="AD2881" s="1"/>
    </row>
    <row r="2882" spans="17:30">
      <c r="Q2882" s="6">
        <v>2852</v>
      </c>
      <c r="R2882" s="7">
        <v>45519</v>
      </c>
      <c r="S2882" s="210">
        <v>4.25</v>
      </c>
      <c r="T2882" s="8">
        <v>1.0001180555555556</v>
      </c>
      <c r="U2882" s="98">
        <v>4.2027398661751647</v>
      </c>
      <c r="V2882" s="106">
        <v>33268.861511879288</v>
      </c>
      <c r="W2882" s="10">
        <v>1.0899904143645056</v>
      </c>
      <c r="X2882" s="420"/>
      <c r="Y2882" s="420"/>
      <c r="Z2882" s="1"/>
      <c r="AA2882" s="1"/>
      <c r="AB2882" s="1"/>
      <c r="AC2882" s="1"/>
      <c r="AD2882" s="1"/>
    </row>
    <row r="2883" spans="17:30">
      <c r="Q2883" s="6">
        <v>2853</v>
      </c>
      <c r="R2883" s="7">
        <v>45520</v>
      </c>
      <c r="S2883" s="210">
        <v>4.25</v>
      </c>
      <c r="T2883" s="8">
        <v>1.0001180555555556</v>
      </c>
      <c r="U2883" s="98">
        <v>4.2028099737571267</v>
      </c>
      <c r="V2883" s="106">
        <v>33271.630572495858</v>
      </c>
      <c r="W2883" s="10">
        <v>1.0900566064329542</v>
      </c>
      <c r="X2883" s="420"/>
      <c r="Y2883" s="420"/>
      <c r="Z2883" s="1"/>
      <c r="AA2883" s="1"/>
      <c r="AB2883" s="1"/>
      <c r="AC2883" s="1"/>
      <c r="AD2883" s="1"/>
    </row>
    <row r="2884" spans="17:30">
      <c r="Q2884" s="6">
        <v>2854</v>
      </c>
      <c r="R2884" s="7">
        <v>45521</v>
      </c>
      <c r="S2884" s="210">
        <v>4.25</v>
      </c>
      <c r="T2884" s="8">
        <v>1.0001180555555556</v>
      </c>
      <c r="U2884" s="98">
        <v>4.2028800322568616</v>
      </c>
      <c r="V2884" s="106">
        <v>33274.399863589097</v>
      </c>
      <c r="W2884" s="10">
        <v>1.0901227521592505</v>
      </c>
      <c r="X2884" s="420"/>
      <c r="Y2884" s="420"/>
      <c r="Z2884" s="1"/>
      <c r="AA2884" s="1"/>
      <c r="AB2884" s="1"/>
      <c r="AC2884" s="1"/>
      <c r="AD2884" s="1"/>
    </row>
    <row r="2885" spans="17:30">
      <c r="Q2885" s="6">
        <v>2855</v>
      </c>
      <c r="R2885" s="7">
        <v>45522</v>
      </c>
      <c r="S2885" s="210">
        <v>4.25</v>
      </c>
      <c r="T2885" s="8">
        <v>1.0001180555555556</v>
      </c>
      <c r="U2885" s="98">
        <v>4.2029500417259058</v>
      </c>
      <c r="V2885" s="106">
        <v>33277.169385178197</v>
      </c>
      <c r="W2885" s="10">
        <v>1.0901888515920222</v>
      </c>
      <c r="X2885" s="420"/>
      <c r="Y2885" s="420"/>
      <c r="Z2885" s="1"/>
      <c r="AA2885" s="1"/>
      <c r="AB2885" s="1"/>
      <c r="AC2885" s="1"/>
      <c r="AD2885" s="1"/>
    </row>
    <row r="2886" spans="17:30">
      <c r="Q2886" s="6">
        <v>2856</v>
      </c>
      <c r="R2886" s="7">
        <v>45523</v>
      </c>
      <c r="S2886" s="210">
        <v>4.25</v>
      </c>
      <c r="T2886" s="8">
        <v>1.0001180555555556</v>
      </c>
      <c r="U2886" s="98">
        <v>4.2030200022156849</v>
      </c>
      <c r="V2886" s="106">
        <v>33279.939137282352</v>
      </c>
      <c r="W2886" s="10">
        <v>1.0902549047798527</v>
      </c>
      <c r="X2886" s="420"/>
      <c r="Y2886" s="420"/>
      <c r="Z2886" s="1"/>
      <c r="AA2886" s="1"/>
      <c r="AB2886" s="1"/>
      <c r="AC2886" s="1"/>
      <c r="AD2886" s="1"/>
    </row>
    <row r="2887" spans="17:30">
      <c r="Q2887" s="6">
        <v>2857</v>
      </c>
      <c r="R2887" s="7">
        <v>45524</v>
      </c>
      <c r="S2887" s="210">
        <v>4.25</v>
      </c>
      <c r="T2887" s="8">
        <v>1.0001180555555556</v>
      </c>
      <c r="U2887" s="98">
        <v>4.2030899137776023</v>
      </c>
      <c r="V2887" s="106">
        <v>33282.709119920735</v>
      </c>
      <c r="W2887" s="10">
        <v>1.0903209117712365</v>
      </c>
      <c r="X2887" s="420"/>
      <c r="Y2887" s="420"/>
      <c r="Z2887" s="1"/>
      <c r="AA2887" s="1"/>
      <c r="AB2887" s="1"/>
      <c r="AC2887" s="1"/>
      <c r="AD2887" s="1"/>
    </row>
    <row r="2888" spans="17:30">
      <c r="Q2888" s="6">
        <v>2858</v>
      </c>
      <c r="R2888" s="7">
        <v>45525</v>
      </c>
      <c r="S2888" s="210">
        <v>4.25</v>
      </c>
      <c r="T2888" s="8">
        <v>1.0001180555555556</v>
      </c>
      <c r="U2888" s="98">
        <v>4.2031597764629502</v>
      </c>
      <c r="V2888" s="106">
        <v>33285.47933311254</v>
      </c>
      <c r="W2888" s="10">
        <v>1.090386872614646</v>
      </c>
      <c r="X2888" s="420"/>
      <c r="Y2888" s="420"/>
      <c r="Z2888" s="1"/>
      <c r="AA2888" s="1"/>
      <c r="AB2888" s="1"/>
      <c r="AC2888" s="1"/>
      <c r="AD2888" s="1"/>
    </row>
    <row r="2889" spans="17:30">
      <c r="Q2889" s="6">
        <v>2859</v>
      </c>
      <c r="R2889" s="7">
        <v>45526</v>
      </c>
      <c r="S2889" s="210">
        <v>4.25</v>
      </c>
      <c r="T2889" s="8">
        <v>1.0001180555555556</v>
      </c>
      <c r="U2889" s="98">
        <v>4.2032295903229766</v>
      </c>
      <c r="V2889" s="106">
        <v>33288.249776876954</v>
      </c>
      <c r="W2889" s="10">
        <v>1.0904527873584646</v>
      </c>
      <c r="X2889" s="420"/>
      <c r="Y2889" s="420"/>
      <c r="Z2889" s="1"/>
      <c r="AA2889" s="1"/>
      <c r="AB2889" s="1"/>
      <c r="AC2889" s="1"/>
      <c r="AD2889" s="1"/>
    </row>
    <row r="2890" spans="17:30">
      <c r="Q2890" s="6">
        <v>2860</v>
      </c>
      <c r="R2890" s="7">
        <v>45527</v>
      </c>
      <c r="S2890" s="210">
        <v>4.25</v>
      </c>
      <c r="T2890" s="8">
        <v>1.0001180555555556</v>
      </c>
      <c r="U2890" s="98">
        <v>4.2032993554088405</v>
      </c>
      <c r="V2890" s="106">
        <v>33291.020451233169</v>
      </c>
      <c r="W2890" s="10">
        <v>1.090518656050965</v>
      </c>
      <c r="X2890" s="420"/>
      <c r="Y2890" s="420"/>
      <c r="Z2890" s="1"/>
      <c r="AA2890" s="1"/>
      <c r="AB2890" s="1"/>
      <c r="AC2890" s="1"/>
      <c r="AD2890" s="1"/>
    </row>
    <row r="2891" spans="17:30">
      <c r="Q2891" s="6">
        <v>2861</v>
      </c>
      <c r="R2891" s="7">
        <v>45528</v>
      </c>
      <c r="S2891" s="210">
        <v>4.25</v>
      </c>
      <c r="T2891" s="8">
        <v>1.0001180555555556</v>
      </c>
      <c r="U2891" s="98">
        <v>4.2033690717716565</v>
      </c>
      <c r="V2891" s="106">
        <v>33293.791356200381</v>
      </c>
      <c r="W2891" s="10">
        <v>1.0905844787404417</v>
      </c>
      <c r="X2891" s="420"/>
      <c r="Y2891" s="420"/>
      <c r="Z2891" s="1"/>
      <c r="AA2891" s="1"/>
      <c r="AB2891" s="1"/>
      <c r="AC2891" s="1"/>
      <c r="AD2891" s="1"/>
    </row>
    <row r="2892" spans="17:30">
      <c r="Q2892" s="6">
        <v>2862</v>
      </c>
      <c r="R2892" s="7">
        <v>45529</v>
      </c>
      <c r="S2892" s="210">
        <v>4.25</v>
      </c>
      <c r="T2892" s="8">
        <v>1.0001180555555556</v>
      </c>
      <c r="U2892" s="98">
        <v>4.2034387394624284</v>
      </c>
      <c r="V2892" s="106">
        <v>33296.562491797777</v>
      </c>
      <c r="W2892" s="10">
        <v>1.0906502554750341</v>
      </c>
      <c r="X2892" s="420"/>
      <c r="Y2892" s="420"/>
      <c r="Z2892" s="1"/>
      <c r="AA2892" s="1"/>
      <c r="AB2892" s="1"/>
      <c r="AC2892" s="1"/>
      <c r="AD2892" s="1"/>
    </row>
    <row r="2893" spans="17:30">
      <c r="Q2893" s="6">
        <v>2863</v>
      </c>
      <c r="R2893" s="7">
        <v>45530</v>
      </c>
      <c r="S2893" s="210">
        <v>4.25</v>
      </c>
      <c r="T2893" s="8">
        <v>1.0001180555555556</v>
      </c>
      <c r="U2893" s="98">
        <v>4.2035083585321154</v>
      </c>
      <c r="V2893" s="106">
        <v>33299.333858044571</v>
      </c>
      <c r="W2893" s="10">
        <v>1.0907159863028593</v>
      </c>
      <c r="X2893" s="420"/>
      <c r="Y2893" s="420"/>
      <c r="Z2893" s="1"/>
      <c r="AA2893" s="1"/>
      <c r="AB2893" s="1"/>
      <c r="AC2893" s="1"/>
      <c r="AD2893" s="1"/>
    </row>
    <row r="2894" spans="17:30">
      <c r="Q2894" s="6">
        <v>2864</v>
      </c>
      <c r="R2894" s="7">
        <v>45531</v>
      </c>
      <c r="S2894" s="210">
        <v>4.25</v>
      </c>
      <c r="T2894" s="8">
        <v>1.0001180555555556</v>
      </c>
      <c r="U2894" s="98">
        <v>4.2035779290315878</v>
      </c>
      <c r="V2894" s="106">
        <v>33302.105454959936</v>
      </c>
      <c r="W2894" s="10">
        <v>1.0907816712719676</v>
      </c>
      <c r="X2894" s="420"/>
      <c r="Y2894" s="420"/>
      <c r="Z2894" s="1"/>
      <c r="AA2894" s="1"/>
      <c r="AB2894" s="1"/>
      <c r="AC2894" s="1"/>
      <c r="AD2894" s="1"/>
    </row>
    <row r="2895" spans="17:30">
      <c r="Q2895" s="6">
        <v>2865</v>
      </c>
      <c r="R2895" s="7">
        <v>45532</v>
      </c>
      <c r="S2895" s="210">
        <v>4.25</v>
      </c>
      <c r="T2895" s="8">
        <v>1.0001180555555556</v>
      </c>
      <c r="U2895" s="98">
        <v>4.2036474510116717</v>
      </c>
      <c r="V2895" s="106">
        <v>33304.87728256308</v>
      </c>
      <c r="W2895" s="10">
        <v>1.0908473104303207</v>
      </c>
      <c r="X2895" s="420"/>
      <c r="Y2895" s="420"/>
      <c r="Z2895" s="1"/>
      <c r="AA2895" s="1"/>
      <c r="AB2895" s="1"/>
      <c r="AC2895" s="1"/>
      <c r="AD2895" s="1"/>
    </row>
    <row r="2896" spans="17:30">
      <c r="Q2896" s="6">
        <v>2866</v>
      </c>
      <c r="R2896" s="7">
        <v>45533</v>
      </c>
      <c r="S2896" s="210">
        <v>4.25</v>
      </c>
      <c r="T2896" s="8">
        <v>1.0001180555555556</v>
      </c>
      <c r="U2896" s="98">
        <v>4.2037169245231043</v>
      </c>
      <c r="V2896" s="106">
        <v>33307.649340873213</v>
      </c>
      <c r="W2896" s="10">
        <v>1.090912903825858</v>
      </c>
      <c r="X2896" s="420"/>
      <c r="Y2896" s="420"/>
      <c r="Z2896" s="1"/>
      <c r="AA2896" s="1"/>
      <c r="AB2896" s="1"/>
      <c r="AC2896" s="1"/>
      <c r="AD2896" s="1"/>
    </row>
    <row r="2897" spans="17:30">
      <c r="Q2897" s="6">
        <v>2867</v>
      </c>
      <c r="R2897" s="7">
        <v>45534</v>
      </c>
      <c r="S2897" s="210">
        <v>4.25</v>
      </c>
      <c r="T2897" s="8">
        <v>1.0001180555555556</v>
      </c>
      <c r="U2897" s="98">
        <v>4.2037863496165562</v>
      </c>
      <c r="V2897" s="106">
        <v>33310.421629909528</v>
      </c>
      <c r="W2897" s="10">
        <v>1.0909784515063858</v>
      </c>
      <c r="X2897" s="420"/>
      <c r="Y2897" s="420"/>
      <c r="Z2897" s="1"/>
      <c r="AA2897" s="1"/>
      <c r="AB2897" s="1"/>
      <c r="AC2897" s="1"/>
      <c r="AD2897" s="1"/>
    </row>
    <row r="2898" spans="17:30">
      <c r="Q2898" s="6">
        <v>2868</v>
      </c>
      <c r="R2898" s="7">
        <v>45535</v>
      </c>
      <c r="S2898" s="210">
        <v>4.25</v>
      </c>
      <c r="T2898" s="8">
        <v>1.0001180555555556</v>
      </c>
      <c r="U2898" s="98">
        <v>4.2038557263426091</v>
      </c>
      <c r="V2898" s="106">
        <v>33313.194149691233</v>
      </c>
      <c r="W2898" s="10">
        <v>1.0910439535196881</v>
      </c>
      <c r="X2898" s="420"/>
      <c r="Y2898" s="420"/>
      <c r="Z2898" s="1"/>
      <c r="AA2898" s="1"/>
      <c r="AB2898" s="1"/>
      <c r="AC2898" s="1"/>
      <c r="AD2898" s="1"/>
    </row>
    <row r="2899" spans="17:30">
      <c r="Q2899" s="6">
        <v>2869</v>
      </c>
      <c r="R2899" s="7">
        <v>45536</v>
      </c>
      <c r="S2899" s="210">
        <v>4.25</v>
      </c>
      <c r="T2899" s="8">
        <v>1.0001180555555556</v>
      </c>
      <c r="U2899" s="98">
        <v>4.2039250547518003</v>
      </c>
      <c r="V2899" s="106">
        <v>33315.966900237538</v>
      </c>
      <c r="W2899" s="10">
        <v>1.0911094099134599</v>
      </c>
      <c r="X2899" s="420"/>
      <c r="Y2899" s="420"/>
      <c r="Z2899" s="1"/>
      <c r="AA2899" s="1"/>
      <c r="AB2899" s="1"/>
      <c r="AC2899" s="1"/>
      <c r="AD2899" s="1"/>
    </row>
    <row r="2900" spans="17:30">
      <c r="Q2900" s="6">
        <v>2870</v>
      </c>
      <c r="R2900" s="7">
        <v>45537</v>
      </c>
      <c r="S2900" s="210">
        <v>4.25</v>
      </c>
      <c r="T2900" s="8">
        <v>1.0001180555555556</v>
      </c>
      <c r="U2900" s="98">
        <v>4.2039943348946007</v>
      </c>
      <c r="V2900" s="106">
        <v>33318.739881567642</v>
      </c>
      <c r="W2900" s="10">
        <v>1.0911748207353744</v>
      </c>
      <c r="X2900" s="420"/>
      <c r="Y2900" s="420"/>
      <c r="Z2900" s="1"/>
      <c r="AA2900" s="1"/>
      <c r="AB2900" s="1"/>
      <c r="AC2900" s="1"/>
      <c r="AD2900" s="1"/>
    </row>
    <row r="2901" spans="17:30">
      <c r="Q2901" s="6">
        <v>2871</v>
      </c>
      <c r="R2901" s="7">
        <v>45538</v>
      </c>
      <c r="S2901" s="210">
        <v>4.25</v>
      </c>
      <c r="T2901" s="8">
        <v>1.0001180555555556</v>
      </c>
      <c r="U2901" s="98">
        <v>4.2040635668213699</v>
      </c>
      <c r="V2901" s="106">
        <v>33321.513093700749</v>
      </c>
      <c r="W2901" s="10">
        <v>1.0912401860329934</v>
      </c>
      <c r="X2901" s="420"/>
      <c r="Y2901" s="420"/>
      <c r="Z2901" s="1"/>
      <c r="AA2901" s="1"/>
      <c r="AB2901" s="1"/>
      <c r="AC2901" s="1"/>
      <c r="AD2901" s="1"/>
    </row>
    <row r="2902" spans="17:30">
      <c r="Q2902" s="6">
        <v>2872</v>
      </c>
      <c r="R2902" s="7">
        <v>45539</v>
      </c>
      <c r="S2902" s="210">
        <v>4.25</v>
      </c>
      <c r="T2902" s="8">
        <v>1.0001180555555556</v>
      </c>
      <c r="U2902" s="98">
        <v>4.2041327505824455</v>
      </c>
      <c r="V2902" s="106">
        <v>33324.28653665608</v>
      </c>
      <c r="W2902" s="10">
        <v>1.0913055058538124</v>
      </c>
      <c r="X2902" s="420"/>
      <c r="Y2902" s="420"/>
      <c r="Z2902" s="1"/>
      <c r="AA2902" s="1"/>
      <c r="AB2902" s="1"/>
      <c r="AC2902" s="1"/>
      <c r="AD2902" s="1"/>
    </row>
    <row r="2903" spans="17:30">
      <c r="Q2903" s="6">
        <v>2873</v>
      </c>
      <c r="R2903" s="7">
        <v>45540</v>
      </c>
      <c r="S2903" s="210">
        <v>4.25</v>
      </c>
      <c r="T2903" s="8">
        <v>1.0001180555555556</v>
      </c>
      <c r="U2903" s="98">
        <v>4.2042018862280761</v>
      </c>
      <c r="V2903" s="106">
        <v>33327.060210452852</v>
      </c>
      <c r="W2903" s="10">
        <v>1.0913707802453043</v>
      </c>
      <c r="X2903" s="420"/>
      <c r="Y2903" s="420"/>
      <c r="Z2903" s="1"/>
      <c r="AA2903" s="1"/>
      <c r="AB2903" s="1"/>
      <c r="AC2903" s="1"/>
      <c r="AD2903" s="1"/>
    </row>
    <row r="2904" spans="17:30">
      <c r="Q2904" s="6">
        <v>2874</v>
      </c>
      <c r="R2904" s="7">
        <v>45541</v>
      </c>
      <c r="S2904" s="210">
        <v>4.25</v>
      </c>
      <c r="T2904" s="8">
        <v>1.0001180555555556</v>
      </c>
      <c r="U2904" s="98">
        <v>4.2042709738084216</v>
      </c>
      <c r="V2904" s="106">
        <v>33329.834115110258</v>
      </c>
      <c r="W2904" s="10">
        <v>1.0914360092548092</v>
      </c>
      <c r="X2904" s="420"/>
      <c r="Y2904" s="420"/>
      <c r="Z2904" s="1"/>
      <c r="AA2904" s="1"/>
      <c r="AB2904" s="1"/>
      <c r="AC2904" s="1"/>
      <c r="AD2904" s="1"/>
    </row>
    <row r="2905" spans="17:30">
      <c r="Q2905" s="6">
        <v>2875</v>
      </c>
      <c r="R2905" s="7">
        <v>45542</v>
      </c>
      <c r="S2905" s="210">
        <v>4.25</v>
      </c>
      <c r="T2905" s="8">
        <v>1.0001180555555556</v>
      </c>
      <c r="U2905" s="98">
        <v>4.2043400133735975</v>
      </c>
      <c r="V2905" s="106">
        <v>33332.608250647536</v>
      </c>
      <c r="W2905" s="10">
        <v>1.091501192929667</v>
      </c>
      <c r="X2905" s="420"/>
      <c r="Y2905" s="420"/>
      <c r="Z2905" s="1"/>
      <c r="AA2905" s="1"/>
      <c r="AB2905" s="1"/>
      <c r="AC2905" s="1"/>
      <c r="AD2905" s="1"/>
    </row>
    <row r="2906" spans="17:30">
      <c r="Q2906" s="6">
        <v>2876</v>
      </c>
      <c r="R2906" s="7">
        <v>45543</v>
      </c>
      <c r="S2906" s="210">
        <v>4.25</v>
      </c>
      <c r="T2906" s="8">
        <v>1.0001180555555556</v>
      </c>
      <c r="U2906" s="98">
        <v>4.2044090049736527</v>
      </c>
      <c r="V2906" s="106">
        <v>33335.382617083887</v>
      </c>
      <c r="W2906" s="10">
        <v>1.0915663313171065</v>
      </c>
      <c r="X2906" s="420"/>
      <c r="Y2906" s="420"/>
      <c r="Z2906" s="1"/>
      <c r="AA2906" s="1"/>
      <c r="AB2906" s="1"/>
      <c r="AC2906" s="1"/>
      <c r="AD2906" s="1"/>
    </row>
    <row r="2907" spans="17:30">
      <c r="Q2907" s="6">
        <v>2877</v>
      </c>
      <c r="R2907" s="7">
        <v>45544</v>
      </c>
      <c r="S2907" s="210">
        <v>4.25</v>
      </c>
      <c r="T2907" s="8">
        <v>1.0001180555555556</v>
      </c>
      <c r="U2907" s="98">
        <v>4.2044779486585471</v>
      </c>
      <c r="V2907" s="106">
        <v>33338.157214438543</v>
      </c>
      <c r="W2907" s="10">
        <v>1.0916314244643344</v>
      </c>
      <c r="X2907" s="420"/>
      <c r="Y2907" s="420"/>
      <c r="Z2907" s="1"/>
      <c r="AA2907" s="1"/>
      <c r="AB2907" s="1"/>
      <c r="AC2907" s="1"/>
      <c r="AD2907" s="1"/>
    </row>
    <row r="2908" spans="17:30">
      <c r="Q2908" s="6">
        <v>2878</v>
      </c>
      <c r="R2908" s="7">
        <v>45545</v>
      </c>
      <c r="S2908" s="210">
        <v>4.25</v>
      </c>
      <c r="T2908" s="8">
        <v>1.0001180555555556</v>
      </c>
      <c r="U2908" s="98">
        <v>4.2045468444781742</v>
      </c>
      <c r="V2908" s="106">
        <v>33340.932042730703</v>
      </c>
      <c r="W2908" s="10">
        <v>1.0916964724184242</v>
      </c>
      <c r="X2908" s="420"/>
      <c r="Y2908" s="420"/>
      <c r="Z2908" s="1"/>
      <c r="AA2908" s="1"/>
      <c r="AB2908" s="1"/>
      <c r="AC2908" s="1"/>
      <c r="AD2908" s="1"/>
    </row>
    <row r="2909" spans="17:30">
      <c r="Q2909" s="6">
        <v>2879</v>
      </c>
      <c r="R2909" s="7">
        <v>45546</v>
      </c>
      <c r="S2909" s="210">
        <v>4.25</v>
      </c>
      <c r="T2909" s="8">
        <v>1.0001180555555556</v>
      </c>
      <c r="U2909" s="98">
        <v>4.2046156924823608</v>
      </c>
      <c r="V2909" s="106">
        <v>33343.707101979606</v>
      </c>
      <c r="W2909" s="10">
        <v>1.0917614752264493</v>
      </c>
      <c r="X2909" s="420"/>
      <c r="Y2909" s="420"/>
      <c r="Z2909" s="1"/>
      <c r="AA2909" s="1"/>
      <c r="AB2909" s="1"/>
      <c r="AC2909" s="1"/>
      <c r="AD2909" s="1"/>
    </row>
    <row r="2910" spans="17:30">
      <c r="Q2910" s="6">
        <v>2880</v>
      </c>
      <c r="R2910" s="7">
        <v>45547</v>
      </c>
      <c r="S2910" s="210">
        <v>4.25</v>
      </c>
      <c r="T2910" s="8">
        <v>1.0001180555555556</v>
      </c>
      <c r="U2910" s="98">
        <v>4.2046844927208893</v>
      </c>
      <c r="V2910" s="106">
        <v>33346.482392204474</v>
      </c>
      <c r="W2910" s="10">
        <v>1.0918264329353944</v>
      </c>
      <c r="X2910" s="420"/>
      <c r="Y2910" s="420"/>
      <c r="Z2910" s="1"/>
      <c r="AA2910" s="1"/>
      <c r="AB2910" s="1"/>
      <c r="AC2910" s="1"/>
      <c r="AD2910" s="1"/>
    </row>
    <row r="2911" spans="17:30">
      <c r="Q2911" s="6">
        <v>2881</v>
      </c>
      <c r="R2911" s="7">
        <v>45548</v>
      </c>
      <c r="S2911" s="210">
        <v>4.25</v>
      </c>
      <c r="T2911" s="8">
        <v>1.0001180555555556</v>
      </c>
      <c r="U2911" s="98">
        <v>4.2047532452434311</v>
      </c>
      <c r="V2911" s="106">
        <v>33349.257913424524</v>
      </c>
      <c r="W2911" s="10">
        <v>1.0918913455921775</v>
      </c>
      <c r="X2911" s="420"/>
      <c r="Y2911" s="420"/>
      <c r="Z2911" s="1"/>
      <c r="AA2911" s="1"/>
      <c r="AB2911" s="1"/>
      <c r="AC2911" s="1"/>
      <c r="AD2911" s="1"/>
    </row>
    <row r="2912" spans="17:30">
      <c r="Q2912" s="6">
        <v>2882</v>
      </c>
      <c r="R2912" s="7">
        <v>45549</v>
      </c>
      <c r="S2912" s="210">
        <v>4.25</v>
      </c>
      <c r="T2912" s="8">
        <v>1.0001180555555556</v>
      </c>
      <c r="U2912" s="98">
        <v>4.2048219500996131</v>
      </c>
      <c r="V2912" s="106">
        <v>33352.033665658986</v>
      </c>
      <c r="W2912" s="10">
        <v>1.09195621324365</v>
      </c>
      <c r="X2912" s="420"/>
      <c r="Y2912" s="420"/>
      <c r="Z2912" s="1"/>
      <c r="AA2912" s="1"/>
      <c r="AB2912" s="1"/>
      <c r="AC2912" s="1"/>
      <c r="AD2912" s="1"/>
    </row>
    <row r="2913" spans="17:30">
      <c r="Q2913" s="6">
        <v>2883</v>
      </c>
      <c r="R2913" s="7">
        <v>45550</v>
      </c>
      <c r="S2913" s="210">
        <v>4.25</v>
      </c>
      <c r="T2913" s="8">
        <v>1.0001180555555556</v>
      </c>
      <c r="U2913" s="98">
        <v>4.2048906073389736</v>
      </c>
      <c r="V2913" s="106">
        <v>33354.80964892709</v>
      </c>
      <c r="W2913" s="10">
        <v>1.0920210359365745</v>
      </c>
      <c r="X2913" s="420"/>
      <c r="Y2913" s="420"/>
      <c r="Z2913" s="1"/>
      <c r="AA2913" s="1"/>
      <c r="AB2913" s="1"/>
      <c r="AC2913" s="1"/>
      <c r="AD2913" s="1"/>
    </row>
    <row r="2914" spans="17:30">
      <c r="Q2914" s="6">
        <v>2884</v>
      </c>
      <c r="R2914" s="7">
        <v>45551</v>
      </c>
      <c r="S2914" s="210">
        <v>4.25</v>
      </c>
      <c r="T2914" s="8">
        <v>1.0001180555555556</v>
      </c>
      <c r="U2914" s="98">
        <v>4.2049592170110284</v>
      </c>
      <c r="V2914" s="106">
        <v>33357.585863248067</v>
      </c>
      <c r="W2914" s="10">
        <v>1.0920858137177136</v>
      </c>
      <c r="X2914" s="420"/>
      <c r="Y2914" s="420"/>
      <c r="Z2914" s="1"/>
      <c r="AA2914" s="1"/>
      <c r="AB2914" s="1"/>
      <c r="AC2914" s="1"/>
      <c r="AD2914" s="1"/>
    </row>
    <row r="2915" spans="17:30">
      <c r="Q2915" s="6">
        <v>2885</v>
      </c>
      <c r="R2915" s="7">
        <v>45552</v>
      </c>
      <c r="S2915" s="210">
        <v>4.25</v>
      </c>
      <c r="T2915" s="8">
        <v>1.0001180555555556</v>
      </c>
      <c r="U2915" s="98">
        <v>4.2050277791651824</v>
      </c>
      <c r="V2915" s="106">
        <v>33360.362308641146</v>
      </c>
      <c r="W2915" s="10">
        <v>1.0921505466337189</v>
      </c>
      <c r="X2915" s="420"/>
      <c r="Y2915" s="420"/>
      <c r="Z2915" s="1"/>
      <c r="AA2915" s="1"/>
      <c r="AB2915" s="1"/>
      <c r="AC2915" s="1"/>
      <c r="AD2915" s="1"/>
    </row>
    <row r="2916" spans="17:30">
      <c r="Q2916" s="6">
        <v>2886</v>
      </c>
      <c r="R2916" s="7">
        <v>45553</v>
      </c>
      <c r="S2916" s="210">
        <v>4.25</v>
      </c>
      <c r="T2916" s="8">
        <v>1.0001180555555556</v>
      </c>
      <c r="U2916" s="98">
        <v>4.2050962938507741</v>
      </c>
      <c r="V2916" s="106">
        <v>33363.138985125559</v>
      </c>
      <c r="W2916" s="10">
        <v>1.0922152347311753</v>
      </c>
      <c r="X2916" s="420"/>
      <c r="Y2916" s="420"/>
      <c r="Z2916" s="1"/>
      <c r="AA2916" s="1"/>
      <c r="AB2916" s="1"/>
      <c r="AC2916" s="1"/>
      <c r="AD2916" s="1"/>
    </row>
    <row r="2917" spans="17:30">
      <c r="Q2917" s="6">
        <v>2887</v>
      </c>
      <c r="R2917" s="7">
        <v>45554</v>
      </c>
      <c r="S2917" s="210">
        <v>4.25</v>
      </c>
      <c r="T2917" s="8">
        <v>1.0001180555555556</v>
      </c>
      <c r="U2917" s="98">
        <v>4.2051647611170972</v>
      </c>
      <c r="V2917" s="106">
        <v>33365.915892720535</v>
      </c>
      <c r="W2917" s="10">
        <v>1.0922798780566012</v>
      </c>
      <c r="X2917" s="420"/>
      <c r="Y2917" s="420"/>
      <c r="Z2917" s="1"/>
      <c r="AA2917" s="1"/>
      <c r="AB2917" s="1"/>
      <c r="AC2917" s="1"/>
      <c r="AD2917" s="1"/>
    </row>
    <row r="2918" spans="17:30">
      <c r="Q2918" s="6">
        <v>2888</v>
      </c>
      <c r="R2918" s="7">
        <v>45555</v>
      </c>
      <c r="S2918" s="210">
        <v>4.25</v>
      </c>
      <c r="T2918" s="8">
        <v>1.0001180555555556</v>
      </c>
      <c r="U2918" s="98">
        <v>4.2052331810133348</v>
      </c>
      <c r="V2918" s="106">
        <v>33368.69303144532</v>
      </c>
      <c r="W2918" s="10">
        <v>1.0923444766564705</v>
      </c>
      <c r="X2918" s="420"/>
      <c r="Y2918" s="420"/>
      <c r="Z2918" s="1"/>
      <c r="AA2918" s="1"/>
      <c r="AB2918" s="1"/>
      <c r="AC2918" s="1"/>
      <c r="AD2918" s="1"/>
    </row>
    <row r="2919" spans="17:30">
      <c r="Q2919" s="6">
        <v>2889</v>
      </c>
      <c r="R2919" s="7">
        <v>45556</v>
      </c>
      <c r="S2919" s="210">
        <v>4.25</v>
      </c>
      <c r="T2919" s="8">
        <v>1.0001180555555556</v>
      </c>
      <c r="U2919" s="98">
        <v>4.2053015535886695</v>
      </c>
      <c r="V2919" s="106">
        <v>33371.470401319144</v>
      </c>
      <c r="W2919" s="10">
        <v>1.0924090305772127</v>
      </c>
      <c r="X2919" s="420"/>
      <c r="Y2919" s="420"/>
      <c r="Z2919" s="1"/>
      <c r="AA2919" s="1"/>
      <c r="AB2919" s="1"/>
      <c r="AC2919" s="1"/>
      <c r="AD2919" s="1"/>
    </row>
    <row r="2920" spans="17:30">
      <c r="Q2920" s="6">
        <v>2890</v>
      </c>
      <c r="R2920" s="7">
        <v>45557</v>
      </c>
      <c r="S2920" s="210">
        <v>4.25</v>
      </c>
      <c r="T2920" s="8">
        <v>1.0001180555555556</v>
      </c>
      <c r="U2920" s="98">
        <v>4.2053698788921512</v>
      </c>
      <c r="V2920" s="106">
        <v>33374.248002361252</v>
      </c>
      <c r="W2920" s="10">
        <v>1.0924735398651242</v>
      </c>
      <c r="X2920" s="420"/>
      <c r="Y2920" s="420"/>
      <c r="Z2920" s="1"/>
      <c r="AA2920" s="1"/>
      <c r="AB2920" s="1"/>
      <c r="AC2920" s="1"/>
      <c r="AD2920" s="1"/>
    </row>
    <row r="2921" spans="17:30">
      <c r="Q2921" s="6">
        <v>2891</v>
      </c>
      <c r="R2921" s="7">
        <v>45558</v>
      </c>
      <c r="S2921" s="210">
        <v>4.25</v>
      </c>
      <c r="T2921" s="8">
        <v>1.0001180555555556</v>
      </c>
      <c r="U2921" s="98">
        <v>4.205438156972785</v>
      </c>
      <c r="V2921" s="106">
        <v>33377.025834590873</v>
      </c>
      <c r="W2921" s="10">
        <v>1.092538004566479</v>
      </c>
      <c r="X2921" s="420"/>
      <c r="Y2921" s="420"/>
      <c r="Z2921" s="1"/>
      <c r="AA2921" s="1"/>
      <c r="AB2921" s="1"/>
      <c r="AC2921" s="1"/>
      <c r="AD2921" s="1"/>
    </row>
    <row r="2922" spans="17:30">
      <c r="Q2922" s="6">
        <v>2892</v>
      </c>
      <c r="R2922" s="7">
        <v>45559</v>
      </c>
      <c r="S2922" s="210">
        <v>4.25</v>
      </c>
      <c r="T2922" s="8">
        <v>1.0001180555555556</v>
      </c>
      <c r="U2922" s="98">
        <v>4.2055063878795318</v>
      </c>
      <c r="V2922" s="106">
        <v>33379.803898027269</v>
      </c>
      <c r="W2922" s="10">
        <v>1.092602424727529</v>
      </c>
      <c r="X2922" s="420"/>
      <c r="Y2922" s="420"/>
      <c r="Z2922" s="1"/>
      <c r="AA2922" s="1"/>
      <c r="AB2922" s="1"/>
      <c r="AC2922" s="1"/>
      <c r="AD2922" s="1"/>
    </row>
    <row r="2923" spans="17:30">
      <c r="Q2923" s="6">
        <v>2893</v>
      </c>
      <c r="R2923" s="7">
        <v>45560</v>
      </c>
      <c r="S2923" s="210">
        <v>4.25</v>
      </c>
      <c r="T2923" s="8">
        <v>1.0001180555555556</v>
      </c>
      <c r="U2923" s="98">
        <v>4.2055745716612414</v>
      </c>
      <c r="V2923" s="106">
        <v>33382.582192689675</v>
      </c>
      <c r="W2923" s="10">
        <v>1.0926668003943485</v>
      </c>
      <c r="X2923" s="420"/>
      <c r="Y2923" s="420"/>
      <c r="Z2923" s="1"/>
      <c r="AA2923" s="1"/>
      <c r="AB2923" s="1"/>
      <c r="AC2923" s="1"/>
      <c r="AD2923" s="1"/>
    </row>
    <row r="2924" spans="17:30">
      <c r="Q2924" s="6">
        <v>2894</v>
      </c>
      <c r="R2924" s="7">
        <v>45561</v>
      </c>
      <c r="S2924" s="210">
        <v>4.25</v>
      </c>
      <c r="T2924" s="8">
        <v>1.0001180555555556</v>
      </c>
      <c r="U2924" s="98">
        <v>4.2056427083667414</v>
      </c>
      <c r="V2924" s="106">
        <v>33385.360718597331</v>
      </c>
      <c r="W2924" s="10">
        <v>1.0927311316131005</v>
      </c>
      <c r="X2924" s="420"/>
      <c r="Y2924" s="420"/>
      <c r="Z2924" s="1"/>
      <c r="AA2924" s="1"/>
      <c r="AB2924" s="1"/>
      <c r="AC2924" s="1"/>
      <c r="AD2924" s="1"/>
    </row>
    <row r="2925" spans="17:30">
      <c r="Q2925" s="6">
        <v>2895</v>
      </c>
      <c r="R2925" s="7">
        <v>45562</v>
      </c>
      <c r="S2925" s="210">
        <v>4.25</v>
      </c>
      <c r="T2925" s="8">
        <v>1.0001180555555556</v>
      </c>
      <c r="U2925" s="98">
        <v>4.2057107980447483</v>
      </c>
      <c r="V2925" s="106">
        <v>33388.139475769494</v>
      </c>
      <c r="W2925" s="10">
        <v>1.0927954184297484</v>
      </c>
      <c r="X2925" s="420"/>
      <c r="Y2925" s="420"/>
      <c r="Z2925" s="1"/>
      <c r="AA2925" s="1"/>
      <c r="AB2925" s="1"/>
      <c r="AC2925" s="1"/>
      <c r="AD2925" s="1"/>
    </row>
    <row r="2926" spans="17:30">
      <c r="Q2926" s="6">
        <v>2896</v>
      </c>
      <c r="R2926" s="7">
        <v>45563</v>
      </c>
      <c r="S2926" s="210">
        <v>4.25</v>
      </c>
      <c r="T2926" s="8">
        <v>1.0001180555555556</v>
      </c>
      <c r="U2926" s="98">
        <v>4.2057788407439567</v>
      </c>
      <c r="V2926" s="106">
        <v>33390.918464225389</v>
      </c>
      <c r="W2926" s="10">
        <v>1.0928596608902774</v>
      </c>
      <c r="X2926" s="420"/>
      <c r="Y2926" s="420"/>
      <c r="Z2926" s="1"/>
      <c r="AA2926" s="1"/>
      <c r="AB2926" s="1"/>
      <c r="AC2926" s="1"/>
      <c r="AD2926" s="1"/>
    </row>
    <row r="2927" spans="17:30">
      <c r="Q2927" s="6">
        <v>2897</v>
      </c>
      <c r="R2927" s="7">
        <v>45564</v>
      </c>
      <c r="S2927" s="210">
        <v>4.25</v>
      </c>
      <c r="T2927" s="8">
        <v>1.0001180555555556</v>
      </c>
      <c r="U2927" s="98">
        <v>4.2058468365129498</v>
      </c>
      <c r="V2927" s="106">
        <v>33393.697683984305</v>
      </c>
      <c r="W2927" s="10">
        <v>1.0929238590405621</v>
      </c>
      <c r="X2927" s="420"/>
      <c r="Y2927" s="420"/>
      <c r="Z2927" s="1"/>
      <c r="AA2927" s="1"/>
      <c r="AB2927" s="1"/>
      <c r="AC2927" s="1"/>
      <c r="AD2927" s="1"/>
    </row>
    <row r="2928" spans="17:30">
      <c r="Q2928" s="6">
        <v>2898</v>
      </c>
      <c r="R2928" s="7">
        <v>45565</v>
      </c>
      <c r="S2928" s="210">
        <v>4.25</v>
      </c>
      <c r="T2928" s="8">
        <v>1.0001180555555556</v>
      </c>
      <c r="U2928" s="98">
        <v>4.2059147854002665</v>
      </c>
      <c r="V2928" s="106">
        <v>33396.477135065463</v>
      </c>
      <c r="W2928" s="10">
        <v>1.0929880129264324</v>
      </c>
      <c r="X2928" s="420"/>
      <c r="Y2928" s="420"/>
      <c r="Z2928" s="1"/>
      <c r="AA2928" s="1"/>
      <c r="AB2928" s="1"/>
      <c r="AC2928" s="1"/>
      <c r="AD2928" s="1"/>
    </row>
    <row r="2929" spans="17:30">
      <c r="Q2929" s="6">
        <v>2899</v>
      </c>
      <c r="R2929" s="7">
        <v>45566</v>
      </c>
      <c r="S2929" s="210">
        <v>4.25</v>
      </c>
      <c r="T2929" s="8">
        <v>1.0001180555555556</v>
      </c>
      <c r="U2929" s="98">
        <v>4.2059826874543793</v>
      </c>
      <c r="V2929" s="106">
        <v>33399.256817488131</v>
      </c>
      <c r="W2929" s="10">
        <v>1.0930521225936296</v>
      </c>
      <c r="X2929" s="420"/>
      <c r="Y2929" s="420"/>
      <c r="Z2929" s="1"/>
      <c r="AA2929" s="1"/>
      <c r="AB2929" s="1"/>
      <c r="AC2929" s="1"/>
      <c r="AD2929" s="1"/>
    </row>
    <row r="2930" spans="17:30">
      <c r="Q2930" s="6">
        <v>2900</v>
      </c>
      <c r="R2930" s="7">
        <v>45567</v>
      </c>
      <c r="S2930" s="210">
        <v>4.25</v>
      </c>
      <c r="T2930" s="8">
        <v>1.0001180555555556</v>
      </c>
      <c r="U2930" s="98">
        <v>4.2060505427236938</v>
      </c>
      <c r="V2930" s="106">
        <v>33402.036731271553</v>
      </c>
      <c r="W2930" s="10">
        <v>1.093116188087917</v>
      </c>
      <c r="X2930" s="420"/>
      <c r="Y2930" s="420"/>
      <c r="Z2930" s="1"/>
      <c r="AA2930" s="1"/>
      <c r="AB2930" s="1"/>
      <c r="AC2930" s="1"/>
      <c r="AD2930" s="1"/>
    </row>
    <row r="2931" spans="17:30">
      <c r="Q2931" s="6">
        <v>2901</v>
      </c>
      <c r="R2931" s="7">
        <v>45568</v>
      </c>
      <c r="S2931" s="210">
        <v>4.25</v>
      </c>
      <c r="T2931" s="8">
        <v>1.0001180555555556</v>
      </c>
      <c r="U2931" s="98">
        <v>4.206118351256527</v>
      </c>
      <c r="V2931" s="106">
        <v>33404.816876435005</v>
      </c>
      <c r="W2931" s="10">
        <v>1.0931802094548582</v>
      </c>
      <c r="X2931" s="420"/>
      <c r="Y2931" s="420"/>
      <c r="Z2931" s="1"/>
      <c r="AA2931" s="1"/>
      <c r="AB2931" s="1"/>
      <c r="AC2931" s="1"/>
      <c r="AD2931" s="1"/>
    </row>
    <row r="2932" spans="17:30">
      <c r="Q2932" s="6">
        <v>2902</v>
      </c>
      <c r="R2932" s="7">
        <v>45569</v>
      </c>
      <c r="S2932" s="210">
        <v>4.25</v>
      </c>
      <c r="T2932" s="8">
        <v>1.0001180555555556</v>
      </c>
      <c r="U2932" s="98">
        <v>4.2061861131011735</v>
      </c>
      <c r="V2932" s="106">
        <v>33407.597252997723</v>
      </c>
      <c r="W2932" s="10">
        <v>1.0932441867400611</v>
      </c>
      <c r="X2932" s="420"/>
      <c r="Y2932" s="420"/>
      <c r="Z2932" s="1"/>
      <c r="AA2932" s="1"/>
      <c r="AB2932" s="1"/>
      <c r="AC2932" s="1"/>
      <c r="AD2932" s="1"/>
    </row>
    <row r="2933" spans="17:30">
      <c r="Q2933" s="6">
        <v>2903</v>
      </c>
      <c r="R2933" s="7">
        <v>45570</v>
      </c>
      <c r="S2933" s="210">
        <v>4.25</v>
      </c>
      <c r="T2933" s="8">
        <v>1.0001180555555556</v>
      </c>
      <c r="U2933" s="98">
        <v>4.2062538283058171</v>
      </c>
      <c r="V2933" s="106">
        <v>33410.377860978981</v>
      </c>
      <c r="W2933" s="10">
        <v>1.0933081199890671</v>
      </c>
      <c r="X2933" s="420"/>
      <c r="Y2933" s="420"/>
      <c r="Z2933" s="1"/>
      <c r="AA2933" s="1"/>
      <c r="AB2933" s="1"/>
      <c r="AC2933" s="1"/>
      <c r="AD2933" s="1"/>
    </row>
    <row r="2934" spans="17:30">
      <c r="Q2934" s="6">
        <v>2904</v>
      </c>
      <c r="R2934" s="7">
        <v>45571</v>
      </c>
      <c r="S2934" s="210">
        <v>4.25</v>
      </c>
      <c r="T2934" s="8">
        <v>1.0001180555555556</v>
      </c>
      <c r="U2934" s="98">
        <v>4.2063214969185969</v>
      </c>
      <c r="V2934" s="106">
        <v>33413.158700398038</v>
      </c>
      <c r="W2934" s="10">
        <v>1.0933720092472621</v>
      </c>
      <c r="X2934" s="420"/>
      <c r="Y2934" s="420"/>
      <c r="Z2934" s="1"/>
      <c r="AA2934" s="1"/>
      <c r="AB2934" s="1"/>
      <c r="AC2934" s="1"/>
      <c r="AD2934" s="1"/>
    </row>
    <row r="2935" spans="17:30">
      <c r="Q2935" s="6">
        <v>2905</v>
      </c>
      <c r="R2935" s="7">
        <v>45572</v>
      </c>
      <c r="S2935" s="210">
        <v>4.25</v>
      </c>
      <c r="T2935" s="8">
        <v>1.0001180555555556</v>
      </c>
      <c r="U2935" s="98">
        <v>4.2063891189876079</v>
      </c>
      <c r="V2935" s="106">
        <v>33415.939771274156</v>
      </c>
      <c r="W2935" s="10">
        <v>1.0934358545601208</v>
      </c>
      <c r="X2935" s="420"/>
      <c r="Y2935" s="420"/>
      <c r="Z2935" s="1"/>
      <c r="AA2935" s="1"/>
      <c r="AB2935" s="1"/>
      <c r="AC2935" s="1"/>
      <c r="AD2935" s="1"/>
    </row>
    <row r="2936" spans="17:30">
      <c r="Q2936" s="6">
        <v>2906</v>
      </c>
      <c r="R2936" s="7">
        <v>45573</v>
      </c>
      <c r="S2936" s="210">
        <v>4.25</v>
      </c>
      <c r="T2936" s="8">
        <v>1.0001180555555556</v>
      </c>
      <c r="U2936" s="98">
        <v>4.2064566945608339</v>
      </c>
      <c r="V2936" s="106">
        <v>33418.721073626592</v>
      </c>
      <c r="W2936" s="10">
        <v>1.093499655972896</v>
      </c>
      <c r="X2936" s="420"/>
      <c r="Y2936" s="420"/>
      <c r="Z2936" s="1"/>
      <c r="AA2936" s="1"/>
      <c r="AB2936" s="1"/>
      <c r="AC2936" s="1"/>
      <c r="AD2936" s="1"/>
    </row>
    <row r="2937" spans="17:30">
      <c r="Q2937" s="6">
        <v>2907</v>
      </c>
      <c r="R2937" s="7">
        <v>45574</v>
      </c>
      <c r="S2937" s="210">
        <v>4.25</v>
      </c>
      <c r="T2937" s="8">
        <v>1.0001180555555556</v>
      </c>
      <c r="U2937" s="98">
        <v>4.2065242236862144</v>
      </c>
      <c r="V2937" s="106">
        <v>33421.502607474627</v>
      </c>
      <c r="W2937" s="10">
        <v>1.0935634135308847</v>
      </c>
      <c r="X2937" s="420"/>
      <c r="Y2937" s="420"/>
      <c r="Z2937" s="1"/>
      <c r="AA2937" s="1"/>
      <c r="AB2937" s="1"/>
      <c r="AC2937" s="1"/>
      <c r="AD2937" s="1"/>
    </row>
    <row r="2938" spans="17:30">
      <c r="Q2938" s="6">
        <v>2908</v>
      </c>
      <c r="R2938" s="7">
        <v>45575</v>
      </c>
      <c r="S2938" s="210">
        <v>4.25</v>
      </c>
      <c r="T2938" s="8">
        <v>1.0001180555555556</v>
      </c>
      <c r="U2938" s="98">
        <v>4.2065917064115999</v>
      </c>
      <c r="V2938" s="106">
        <v>33424.28437283753</v>
      </c>
      <c r="W2938" s="10">
        <v>1.093627127279273</v>
      </c>
      <c r="X2938" s="420"/>
      <c r="Y2938" s="420"/>
      <c r="Z2938" s="1"/>
      <c r="AA2938" s="1"/>
      <c r="AB2938" s="1"/>
      <c r="AC2938" s="1"/>
      <c r="AD2938" s="1"/>
    </row>
    <row r="2939" spans="17:30">
      <c r="Q2939" s="6">
        <v>2909</v>
      </c>
      <c r="R2939" s="7">
        <v>45576</v>
      </c>
      <c r="S2939" s="210">
        <v>4.25</v>
      </c>
      <c r="T2939" s="8">
        <v>1.0001180555555556</v>
      </c>
      <c r="U2939" s="98">
        <v>4.2066591427848188</v>
      </c>
      <c r="V2939" s="106">
        <v>33427.066369734552</v>
      </c>
      <c r="W2939" s="10">
        <v>1.0936907972631804</v>
      </c>
      <c r="X2939" s="420"/>
      <c r="Y2939" s="420"/>
      <c r="Z2939" s="1"/>
      <c r="AA2939" s="1"/>
      <c r="AB2939" s="1"/>
      <c r="AC2939" s="1"/>
      <c r="AD2939" s="1"/>
    </row>
    <row r="2940" spans="17:30">
      <c r="Q2940" s="6">
        <v>2910</v>
      </c>
      <c r="R2940" s="7">
        <v>45577</v>
      </c>
      <c r="S2940" s="210">
        <v>4.25</v>
      </c>
      <c r="T2940" s="8">
        <v>1.0001180555555556</v>
      </c>
      <c r="U2940" s="98">
        <v>4.2067265328536108</v>
      </c>
      <c r="V2940" s="106">
        <v>33429.848598184981</v>
      </c>
      <c r="W2940" s="10">
        <v>1.0937544235277263</v>
      </c>
      <c r="X2940" s="420"/>
      <c r="Y2940" s="420"/>
      <c r="Z2940" s="1"/>
      <c r="AA2940" s="1"/>
      <c r="AB2940" s="1"/>
      <c r="AC2940" s="1"/>
      <c r="AD2940" s="1"/>
    </row>
    <row r="2941" spans="17:30">
      <c r="Q2941" s="6">
        <v>2911</v>
      </c>
      <c r="R2941" s="7">
        <v>45578</v>
      </c>
      <c r="S2941" s="210">
        <v>4.25</v>
      </c>
      <c r="T2941" s="8">
        <v>1.0001180555555556</v>
      </c>
      <c r="U2941" s="98">
        <v>4.206793876665671</v>
      </c>
      <c r="V2941" s="106">
        <v>33432.631058208084</v>
      </c>
      <c r="W2941" s="10">
        <v>1.0938180061179192</v>
      </c>
      <c r="X2941" s="420"/>
      <c r="Y2941" s="420"/>
      <c r="Z2941" s="1"/>
      <c r="AA2941" s="1"/>
      <c r="AB2941" s="1"/>
      <c r="AC2941" s="1"/>
      <c r="AD2941" s="1"/>
    </row>
    <row r="2942" spans="17:30">
      <c r="Q2942" s="6">
        <v>2912</v>
      </c>
      <c r="R2942" s="7">
        <v>45579</v>
      </c>
      <c r="S2942" s="210">
        <v>4.25</v>
      </c>
      <c r="T2942" s="8">
        <v>1.0001180555555556</v>
      </c>
      <c r="U2942" s="98">
        <v>4.2068611742685835</v>
      </c>
      <c r="V2942" s="106">
        <v>33435.413749823136</v>
      </c>
      <c r="W2942" s="10">
        <v>1.0938815450786787</v>
      </c>
      <c r="X2942" s="420"/>
      <c r="Y2942" s="420"/>
      <c r="Z2942" s="1"/>
      <c r="AA2942" s="1"/>
      <c r="AB2942" s="1"/>
      <c r="AC2942" s="1"/>
      <c r="AD2942" s="1"/>
    </row>
    <row r="2943" spans="17:30">
      <c r="Q2943" s="6">
        <v>2913</v>
      </c>
      <c r="R2943" s="7">
        <v>45580</v>
      </c>
      <c r="S2943" s="210">
        <v>4.25</v>
      </c>
      <c r="T2943" s="8">
        <v>1.0001180555555556</v>
      </c>
      <c r="U2943" s="98">
        <v>4.2069284257098882</v>
      </c>
      <c r="V2943" s="106">
        <v>33438.19667304941</v>
      </c>
      <c r="W2943" s="10">
        <v>1.0939450404549245</v>
      </c>
      <c r="X2943" s="420"/>
      <c r="Y2943" s="420"/>
      <c r="Z2943" s="1"/>
      <c r="AA2943" s="1"/>
      <c r="AB2943" s="1"/>
      <c r="AC2943" s="1"/>
      <c r="AD2943" s="1"/>
    </row>
    <row r="2944" spans="17:30">
      <c r="Q2944" s="6">
        <v>2914</v>
      </c>
      <c r="R2944" s="7">
        <v>45581</v>
      </c>
      <c r="S2944" s="210">
        <v>4.25</v>
      </c>
      <c r="T2944" s="8">
        <v>1.0001180555555556</v>
      </c>
      <c r="U2944" s="98">
        <v>4.2069956310370804</v>
      </c>
      <c r="V2944" s="106">
        <v>33440.979827906187</v>
      </c>
      <c r="W2944" s="10">
        <v>1.0940084922914872</v>
      </c>
      <c r="X2944" s="420"/>
      <c r="Y2944" s="420"/>
      <c r="Z2944" s="1"/>
      <c r="AA2944" s="1"/>
      <c r="AB2944" s="1"/>
      <c r="AC2944" s="1"/>
      <c r="AD2944" s="1"/>
    </row>
    <row r="2945" spans="17:30">
      <c r="Q2945" s="6">
        <v>2915</v>
      </c>
      <c r="R2945" s="7">
        <v>45582</v>
      </c>
      <c r="S2945" s="210">
        <v>4.25</v>
      </c>
      <c r="T2945" s="8">
        <v>1.0001180555555556</v>
      </c>
      <c r="U2945" s="98">
        <v>4.2070627902975666</v>
      </c>
      <c r="V2945" s="106">
        <v>33443.763214412749</v>
      </c>
      <c r="W2945" s="10">
        <v>1.094071900633109</v>
      </c>
      <c r="X2945" s="420"/>
      <c r="Y2945" s="420"/>
      <c r="Z2945" s="1"/>
      <c r="AA2945" s="1"/>
      <c r="AB2945" s="1"/>
      <c r="AC2945" s="1"/>
      <c r="AD2945" s="1"/>
    </row>
    <row r="2946" spans="17:30">
      <c r="Q2946" s="6">
        <v>2916</v>
      </c>
      <c r="R2946" s="7">
        <v>45583</v>
      </c>
      <c r="S2946" s="210">
        <v>4.25</v>
      </c>
      <c r="T2946" s="8">
        <v>1.0001180555555556</v>
      </c>
      <c r="U2946" s="98">
        <v>4.2071299035387089</v>
      </c>
      <c r="V2946" s="106">
        <v>33446.54683258837</v>
      </c>
      <c r="W2946" s="10">
        <v>1.0941352655245318</v>
      </c>
      <c r="X2946" s="420"/>
      <c r="Y2946" s="420"/>
      <c r="Z2946" s="1"/>
      <c r="AA2946" s="1"/>
      <c r="AB2946" s="1"/>
      <c r="AC2946" s="1"/>
      <c r="AD2946" s="1"/>
    </row>
    <row r="2947" spans="17:30">
      <c r="Q2947" s="6">
        <v>2917</v>
      </c>
      <c r="R2947" s="7">
        <v>45584</v>
      </c>
      <c r="S2947" s="210">
        <v>4.25</v>
      </c>
      <c r="T2947" s="8">
        <v>1.0001180555555556</v>
      </c>
      <c r="U2947" s="98">
        <v>4.2071969708077583</v>
      </c>
      <c r="V2947" s="106">
        <v>33449.330682452332</v>
      </c>
      <c r="W2947" s="10">
        <v>1.0941985870103865</v>
      </c>
      <c r="X2947" s="420"/>
      <c r="Y2947" s="420"/>
      <c r="Z2947" s="1"/>
      <c r="AA2947" s="1"/>
      <c r="AB2947" s="1"/>
      <c r="AC2947" s="1"/>
      <c r="AD2947" s="1"/>
    </row>
    <row r="2948" spans="17:30">
      <c r="Q2948" s="6">
        <v>2918</v>
      </c>
      <c r="R2948" s="7">
        <v>45585</v>
      </c>
      <c r="S2948" s="210">
        <v>4.25</v>
      </c>
      <c r="T2948" s="8">
        <v>1.0001180555555556</v>
      </c>
      <c r="U2948" s="98">
        <v>4.2072639921519661</v>
      </c>
      <c r="V2948" s="106">
        <v>33452.114764023929</v>
      </c>
      <c r="W2948" s="10">
        <v>1.0942618651352376</v>
      </c>
      <c r="X2948" s="420"/>
      <c r="Y2948" s="420"/>
      <c r="Z2948" s="1"/>
      <c r="AA2948" s="1"/>
      <c r="AB2948" s="1"/>
      <c r="AC2948" s="1"/>
      <c r="AD2948" s="1"/>
    </row>
    <row r="2949" spans="17:30">
      <c r="Q2949" s="6">
        <v>2919</v>
      </c>
      <c r="R2949" s="7">
        <v>45586</v>
      </c>
      <c r="S2949" s="210">
        <v>4.25</v>
      </c>
      <c r="T2949" s="8">
        <v>1.0001180555555556</v>
      </c>
      <c r="U2949" s="98">
        <v>4.2073309676184723</v>
      </c>
      <c r="V2949" s="106">
        <v>33454.899077322443</v>
      </c>
      <c r="W2949" s="10">
        <v>1.0943250999436271</v>
      </c>
      <c r="X2949" s="420"/>
      <c r="Y2949" s="420"/>
      <c r="Z2949" s="1"/>
      <c r="AA2949" s="1"/>
      <c r="AB2949" s="1"/>
      <c r="AC2949" s="1"/>
      <c r="AD2949" s="1"/>
    </row>
    <row r="2950" spans="17:30">
      <c r="Q2950" s="6">
        <v>2920</v>
      </c>
      <c r="R2950" s="7">
        <v>45587</v>
      </c>
      <c r="S2950" s="210">
        <v>4.25</v>
      </c>
      <c r="T2950" s="8">
        <v>1.0001180555555556</v>
      </c>
      <c r="U2950" s="98">
        <v>4.2073978972543724</v>
      </c>
      <c r="V2950" s="106">
        <v>33457.683622367149</v>
      </c>
      <c r="W2950" s="10">
        <v>1.0943882914800085</v>
      </c>
      <c r="X2950" s="420"/>
      <c r="Y2950" s="420"/>
      <c r="Z2950" s="1"/>
      <c r="AA2950" s="1"/>
      <c r="AB2950" s="1"/>
      <c r="AC2950" s="1"/>
      <c r="AD2950" s="1"/>
    </row>
    <row r="2951" spans="17:30">
      <c r="Q2951" s="6">
        <v>2921</v>
      </c>
      <c r="R2951" s="7">
        <v>45588</v>
      </c>
      <c r="S2951" s="210">
        <v>4.25</v>
      </c>
      <c r="T2951" s="8">
        <v>1.0001180555555556</v>
      </c>
      <c r="U2951" s="98">
        <v>4.2074647811066956</v>
      </c>
      <c r="V2951" s="106">
        <v>33460.468399177356</v>
      </c>
      <c r="W2951" s="10">
        <v>1.0944514397888128</v>
      </c>
      <c r="X2951" s="420"/>
      <c r="Y2951" s="420"/>
      <c r="Z2951" s="1"/>
      <c r="AA2951" s="1"/>
      <c r="AB2951" s="1"/>
      <c r="AC2951" s="1"/>
      <c r="AD2951" s="1"/>
    </row>
    <row r="2952" spans="17:30">
      <c r="Q2952" s="6">
        <v>2922</v>
      </c>
      <c r="R2952" s="7">
        <v>45589</v>
      </c>
      <c r="S2952" s="210">
        <v>4.25</v>
      </c>
      <c r="T2952" s="8">
        <v>1.0001180555555556</v>
      </c>
      <c r="U2952" s="98">
        <v>4.2075316192224044</v>
      </c>
      <c r="V2952" s="106">
        <v>33463.253407772339</v>
      </c>
      <c r="W2952" s="10">
        <v>1.0945145449143379</v>
      </c>
      <c r="X2952" s="420"/>
      <c r="Y2952" s="420"/>
      <c r="Z2952" s="1"/>
      <c r="AA2952" s="1"/>
      <c r="AB2952" s="1"/>
      <c r="AC2952" s="1"/>
      <c r="AD2952" s="1"/>
    </row>
    <row r="2953" spans="17:30">
      <c r="Q2953" s="6">
        <v>2923</v>
      </c>
      <c r="R2953" s="7">
        <v>45590</v>
      </c>
      <c r="S2953" s="210">
        <v>4.25</v>
      </c>
      <c r="T2953" s="8">
        <v>1.0001180555555556</v>
      </c>
      <c r="U2953" s="98">
        <v>4.2075984116483944</v>
      </c>
      <c r="V2953" s="106">
        <v>33466.038648171401</v>
      </c>
      <c r="W2953" s="10">
        <v>1.0945776069009039</v>
      </c>
      <c r="X2953" s="420"/>
      <c r="Y2953" s="420"/>
      <c r="Z2953" s="1"/>
      <c r="AA2953" s="1"/>
      <c r="AB2953" s="1"/>
      <c r="AC2953" s="1"/>
      <c r="AD2953" s="1"/>
    </row>
    <row r="2954" spans="17:30">
      <c r="Q2954" s="6">
        <v>2924</v>
      </c>
      <c r="R2954" s="7">
        <v>45591</v>
      </c>
      <c r="S2954" s="210">
        <v>4.25</v>
      </c>
      <c r="T2954" s="8">
        <v>1.0001180555555556</v>
      </c>
      <c r="U2954" s="98">
        <v>4.207665158431495</v>
      </c>
      <c r="V2954" s="106">
        <v>33468.824120393823</v>
      </c>
      <c r="W2954" s="10">
        <v>1.0946406257927199</v>
      </c>
      <c r="X2954" s="420"/>
      <c r="Y2954" s="420"/>
      <c r="Z2954" s="1"/>
      <c r="AA2954" s="1"/>
      <c r="AB2954" s="1"/>
      <c r="AC2954" s="1"/>
      <c r="AD2954" s="1"/>
    </row>
    <row r="2955" spans="17:30">
      <c r="Q2955" s="6">
        <v>2925</v>
      </c>
      <c r="R2955" s="7">
        <v>45592</v>
      </c>
      <c r="S2955" s="210">
        <v>4.25</v>
      </c>
      <c r="T2955" s="8">
        <v>1.0001180555555556</v>
      </c>
      <c r="U2955" s="98">
        <v>4.2077318596184909</v>
      </c>
      <c r="V2955" s="106">
        <v>33471.609824458908</v>
      </c>
      <c r="W2955" s="10">
        <v>1.0947036016339284</v>
      </c>
      <c r="X2955" s="420"/>
      <c r="Y2955" s="420"/>
      <c r="Z2955" s="1"/>
      <c r="AA2955" s="1"/>
      <c r="AB2955" s="1"/>
      <c r="AC2955" s="1"/>
      <c r="AD2955" s="1"/>
    </row>
    <row r="2956" spans="17:30">
      <c r="Q2956" s="6">
        <v>2926</v>
      </c>
      <c r="R2956" s="7">
        <v>45593</v>
      </c>
      <c r="S2956" s="210">
        <v>4.25</v>
      </c>
      <c r="T2956" s="8">
        <v>1.0001180555555556</v>
      </c>
      <c r="U2956" s="98">
        <v>4.207798515256056</v>
      </c>
      <c r="V2956" s="106">
        <v>33474.395760385953</v>
      </c>
      <c r="W2956" s="10">
        <v>1.0947665344686497</v>
      </c>
      <c r="X2956" s="420"/>
      <c r="Y2956" s="420"/>
      <c r="Z2956" s="1"/>
      <c r="AA2956" s="1"/>
      <c r="AB2956" s="1"/>
      <c r="AC2956" s="1"/>
      <c r="AD2956" s="1"/>
    </row>
    <row r="2957" spans="17:30">
      <c r="Q2957" s="6">
        <v>2927</v>
      </c>
      <c r="R2957" s="7">
        <v>45594</v>
      </c>
      <c r="S2957" s="210">
        <v>4.25</v>
      </c>
      <c r="T2957" s="8">
        <v>1.0001180555555556</v>
      </c>
      <c r="U2957" s="98">
        <v>4.2078651253908639</v>
      </c>
      <c r="V2957" s="106">
        <v>33477.181928194266</v>
      </c>
      <c r="W2957" s="10">
        <v>1.0948294243408929</v>
      </c>
      <c r="X2957" s="420"/>
      <c r="Y2957" s="420"/>
      <c r="Z2957" s="1"/>
      <c r="AA2957" s="1"/>
      <c r="AB2957" s="1"/>
      <c r="AC2957" s="1"/>
      <c r="AD2957" s="1"/>
    </row>
    <row r="2958" spans="17:30">
      <c r="Q2958" s="6">
        <v>2928</v>
      </c>
      <c r="R2958" s="7">
        <v>45595</v>
      </c>
      <c r="S2958" s="210">
        <v>4.25</v>
      </c>
      <c r="T2958" s="8">
        <v>1.0001180555555556</v>
      </c>
      <c r="U2958" s="98">
        <v>4.2079316900694774</v>
      </c>
      <c r="V2958" s="106">
        <v>33479.968327903123</v>
      </c>
      <c r="W2958" s="10">
        <v>1.0948922712946674</v>
      </c>
      <c r="X2958" s="420"/>
      <c r="Y2958" s="420"/>
      <c r="Z2958" s="1"/>
      <c r="AA2958" s="1"/>
      <c r="AB2958" s="1"/>
      <c r="AC2958" s="1"/>
      <c r="AD2958" s="1"/>
    </row>
    <row r="2959" spans="17:30">
      <c r="Q2959" s="6">
        <v>2929</v>
      </c>
      <c r="R2959" s="7">
        <v>45596</v>
      </c>
      <c r="S2959" s="210">
        <v>4.25</v>
      </c>
      <c r="T2959" s="8">
        <v>1.0001180555555556</v>
      </c>
      <c r="U2959" s="98">
        <v>4.207998209338415</v>
      </c>
      <c r="V2959" s="106">
        <v>33482.754959531841</v>
      </c>
      <c r="W2959" s="10">
        <v>1.0949550753738935</v>
      </c>
      <c r="X2959" s="420"/>
      <c r="Y2959" s="420"/>
      <c r="Z2959" s="1"/>
      <c r="AA2959" s="1"/>
      <c r="AB2959" s="1"/>
      <c r="AC2959" s="1"/>
      <c r="AD2959" s="1"/>
    </row>
    <row r="2960" spans="17:30">
      <c r="Q2960" s="6">
        <v>2930</v>
      </c>
      <c r="R2960" s="7">
        <v>45597</v>
      </c>
      <c r="S2960" s="210">
        <v>4.25</v>
      </c>
      <c r="T2960" s="8">
        <v>1.0001180555555556</v>
      </c>
      <c r="U2960" s="98">
        <v>4.2080646832441282</v>
      </c>
      <c r="V2960" s="106">
        <v>33485.541823099731</v>
      </c>
      <c r="W2960" s="10">
        <v>1.0950178366224028</v>
      </c>
      <c r="X2960" s="420"/>
      <c r="Y2960" s="420"/>
      <c r="Z2960" s="1"/>
      <c r="AA2960" s="1"/>
      <c r="AB2960" s="1"/>
      <c r="AC2960" s="1"/>
      <c r="AD2960" s="1"/>
    </row>
    <row r="2961" spans="17:30">
      <c r="Q2961" s="6">
        <v>2931</v>
      </c>
      <c r="R2961" s="7">
        <v>45598</v>
      </c>
      <c r="S2961" s="210">
        <v>4.25</v>
      </c>
      <c r="T2961" s="8">
        <v>1.0001180555555556</v>
      </c>
      <c r="U2961" s="98">
        <v>4.2081311118330023</v>
      </c>
      <c r="V2961" s="106">
        <v>33488.328918626081</v>
      </c>
      <c r="W2961" s="10">
        <v>1.0950805550840048</v>
      </c>
      <c r="X2961" s="420"/>
      <c r="Y2961" s="420"/>
      <c r="Z2961" s="1"/>
      <c r="AA2961" s="1"/>
      <c r="AB2961" s="1"/>
      <c r="AC2961" s="1"/>
      <c r="AD2961" s="1"/>
    </row>
    <row r="2962" spans="17:30">
      <c r="Q2962" s="6">
        <v>2932</v>
      </c>
      <c r="R2962" s="7">
        <v>45599</v>
      </c>
      <c r="S2962" s="210">
        <v>4.25</v>
      </c>
      <c r="T2962" s="8">
        <v>1.0001180555555556</v>
      </c>
      <c r="U2962" s="98">
        <v>4.2081974951513557</v>
      </c>
      <c r="V2962" s="106">
        <v>33491.116246130216</v>
      </c>
      <c r="W2962" s="10">
        <v>1.0951432308024645</v>
      </c>
      <c r="X2962" s="420"/>
      <c r="Y2962" s="420"/>
      <c r="Z2962" s="1"/>
      <c r="AA2962" s="1"/>
      <c r="AB2962" s="1"/>
      <c r="AC2962" s="1"/>
      <c r="AD2962" s="1"/>
    </row>
    <row r="2963" spans="17:30">
      <c r="Q2963" s="6">
        <v>2933</v>
      </c>
      <c r="R2963" s="7">
        <v>45600</v>
      </c>
      <c r="S2963" s="210">
        <v>4.25</v>
      </c>
      <c r="T2963" s="8">
        <v>1.0001180555555556</v>
      </c>
      <c r="U2963" s="98">
        <v>4.2082638332454625</v>
      </c>
      <c r="V2963" s="106">
        <v>33493.903805631431</v>
      </c>
      <c r="W2963" s="10">
        <v>1.0952058638214135</v>
      </c>
      <c r="X2963" s="420"/>
      <c r="Y2963" s="420"/>
      <c r="Z2963" s="1"/>
      <c r="AA2963" s="1"/>
      <c r="AB2963" s="1"/>
      <c r="AC2963" s="1"/>
      <c r="AD2963" s="1"/>
    </row>
    <row r="2964" spans="17:30">
      <c r="Q2964" s="6">
        <v>2934</v>
      </c>
      <c r="R2964" s="7">
        <v>45601</v>
      </c>
      <c r="S2964" s="210">
        <v>4.25</v>
      </c>
      <c r="T2964" s="8">
        <v>1.0001180555555556</v>
      </c>
      <c r="U2964" s="98">
        <v>4.208330126161508</v>
      </c>
      <c r="V2964" s="106">
        <v>33496.691597149031</v>
      </c>
      <c r="W2964" s="10">
        <v>1.0952684541845059</v>
      </c>
      <c r="X2964" s="420"/>
      <c r="Y2964" s="420"/>
      <c r="Z2964" s="1"/>
      <c r="AA2964" s="1"/>
      <c r="AB2964" s="1"/>
      <c r="AC2964" s="1"/>
      <c r="AD2964" s="1"/>
    </row>
    <row r="2965" spans="17:30">
      <c r="Q2965" s="6">
        <v>2935</v>
      </c>
      <c r="R2965" s="7">
        <v>45602</v>
      </c>
      <c r="S2965" s="210">
        <v>4.25</v>
      </c>
      <c r="T2965" s="8">
        <v>1.0001180555555556</v>
      </c>
      <c r="U2965" s="98">
        <v>4.2083963739456332</v>
      </c>
      <c r="V2965" s="106">
        <v>33499.479620702332</v>
      </c>
      <c r="W2965" s="10">
        <v>1.0953310019353069</v>
      </c>
      <c r="X2965" s="420"/>
      <c r="Y2965" s="420"/>
      <c r="Z2965" s="1"/>
      <c r="AA2965" s="1"/>
      <c r="AB2965" s="1"/>
      <c r="AC2965" s="1"/>
      <c r="AD2965" s="1"/>
    </row>
    <row r="2966" spans="17:30">
      <c r="Q2966" s="6">
        <v>2936</v>
      </c>
      <c r="R2966" s="7">
        <v>45603</v>
      </c>
      <c r="S2966" s="210">
        <v>4.25</v>
      </c>
      <c r="T2966" s="8">
        <v>1.0001180555555556</v>
      </c>
      <c r="U2966" s="98">
        <v>4.2084625766439121</v>
      </c>
      <c r="V2966" s="106">
        <v>33502.26787631066</v>
      </c>
      <c r="W2966" s="10">
        <v>1.0953935071172927</v>
      </c>
      <c r="X2966" s="420"/>
      <c r="Y2966" s="420"/>
      <c r="Z2966" s="1"/>
      <c r="AA2966" s="1"/>
      <c r="AB2966" s="1"/>
      <c r="AC2966" s="1"/>
      <c r="AD2966" s="1"/>
    </row>
    <row r="2967" spans="17:30">
      <c r="Q2967" s="6">
        <v>2937</v>
      </c>
      <c r="R2967" s="7">
        <v>45604</v>
      </c>
      <c r="S2967" s="210">
        <v>4.25</v>
      </c>
      <c r="T2967" s="8">
        <v>1.0001180555555556</v>
      </c>
      <c r="U2967" s="98">
        <v>4.2085287343023525</v>
      </c>
      <c r="V2967" s="106">
        <v>33505.056363993317</v>
      </c>
      <c r="W2967" s="10">
        <v>1.0954559697739175</v>
      </c>
      <c r="X2967" s="420"/>
      <c r="Y2967" s="420"/>
      <c r="Z2967" s="1"/>
      <c r="AA2967" s="1"/>
      <c r="AB2967" s="1"/>
      <c r="AC2967" s="1"/>
      <c r="AD2967" s="1"/>
    </row>
    <row r="2968" spans="17:30">
      <c r="Q2968" s="6">
        <v>2938</v>
      </c>
      <c r="R2968" s="7">
        <v>45605</v>
      </c>
      <c r="S2968" s="210">
        <v>4.25</v>
      </c>
      <c r="T2968" s="8">
        <v>1.0001180555555556</v>
      </c>
      <c r="U2968" s="98">
        <v>4.2085948469669177</v>
      </c>
      <c r="V2968" s="106">
        <v>33507.845083769615</v>
      </c>
      <c r="W2968" s="10">
        <v>1.095518389948591</v>
      </c>
      <c r="X2968" s="420"/>
      <c r="Y2968" s="420"/>
      <c r="Z2968" s="1"/>
      <c r="AA2968" s="1"/>
      <c r="AB2968" s="1"/>
      <c r="AC2968" s="1"/>
      <c r="AD2968" s="1"/>
    </row>
    <row r="2969" spans="17:30">
      <c r="Q2969" s="6">
        <v>2939</v>
      </c>
      <c r="R2969" s="7">
        <v>45606</v>
      </c>
      <c r="S2969" s="210">
        <v>4.25</v>
      </c>
      <c r="T2969" s="8">
        <v>1.0001180555555556</v>
      </c>
      <c r="U2969" s="98">
        <v>4.2086609146834819</v>
      </c>
      <c r="V2969" s="106">
        <v>33510.634035658884</v>
      </c>
      <c r="W2969" s="10">
        <v>1.0955807676846119</v>
      </c>
      <c r="X2969" s="420"/>
      <c r="Y2969" s="420"/>
      <c r="Z2969" s="1"/>
      <c r="AA2969" s="1"/>
      <c r="AB2969" s="1"/>
      <c r="AC2969" s="1"/>
      <c r="AD2969" s="1"/>
    </row>
    <row r="2970" spans="17:30">
      <c r="Q2970" s="6">
        <v>2940</v>
      </c>
      <c r="R2970" s="7">
        <v>45607</v>
      </c>
      <c r="S2970" s="210">
        <v>4.25</v>
      </c>
      <c r="T2970" s="8">
        <v>1.0001180555555556</v>
      </c>
      <c r="U2970" s="98">
        <v>4.2087269374978531</v>
      </c>
      <c r="V2970" s="106">
        <v>33513.423219680444</v>
      </c>
      <c r="W2970" s="10">
        <v>1.0956431030252345</v>
      </c>
      <c r="X2970" s="420"/>
      <c r="Y2970" s="420"/>
      <c r="Z2970" s="1"/>
      <c r="AA2970" s="1"/>
      <c r="AB2970" s="1"/>
      <c r="AC2970" s="1"/>
      <c r="AD2970" s="1"/>
    </row>
    <row r="2971" spans="17:30">
      <c r="Q2971" s="6">
        <v>2941</v>
      </c>
      <c r="R2971" s="7">
        <v>45608</v>
      </c>
      <c r="S2971" s="210">
        <v>4.25</v>
      </c>
      <c r="T2971" s="8">
        <v>1.0001180555555556</v>
      </c>
      <c r="U2971" s="98">
        <v>4.2087929154558168</v>
      </c>
      <c r="V2971" s="106">
        <v>33516.212635853597</v>
      </c>
      <c r="W2971" s="10">
        <v>1.0957053960136909</v>
      </c>
      <c r="X2971" s="420"/>
      <c r="Y2971" s="420"/>
      <c r="Z2971" s="1"/>
      <c r="AA2971" s="1"/>
      <c r="AB2971" s="1"/>
      <c r="AC2971" s="1"/>
      <c r="AD2971" s="1"/>
    </row>
    <row r="2972" spans="17:30">
      <c r="Q2972" s="6">
        <v>2942</v>
      </c>
      <c r="R2972" s="7">
        <v>45609</v>
      </c>
      <c r="S2972" s="210">
        <v>4.25</v>
      </c>
      <c r="T2972" s="8">
        <v>1.0001180555555556</v>
      </c>
      <c r="U2972" s="98">
        <v>4.2088588486030476</v>
      </c>
      <c r="V2972" s="106">
        <v>33519.00228419769</v>
      </c>
      <c r="W2972" s="10">
        <v>1.0957676466931021</v>
      </c>
      <c r="X2972" s="420"/>
      <c r="Y2972" s="420"/>
      <c r="Z2972" s="1"/>
      <c r="AA2972" s="1"/>
      <c r="AB2972" s="1"/>
      <c r="AC2972" s="1"/>
      <c r="AD2972" s="1"/>
    </row>
    <row r="2973" spans="17:30">
      <c r="Q2973" s="6">
        <v>2943</v>
      </c>
      <c r="R2973" s="7">
        <v>45610</v>
      </c>
      <c r="S2973" s="210">
        <v>4.25</v>
      </c>
      <c r="T2973" s="8">
        <v>1.0001180555555556</v>
      </c>
      <c r="U2973" s="98">
        <v>4.2089247369851979</v>
      </c>
      <c r="V2973" s="106">
        <v>33521.792164732025</v>
      </c>
      <c r="W2973" s="10">
        <v>1.0958298551065671</v>
      </c>
      <c r="X2973" s="420"/>
      <c r="Y2973" s="420"/>
      <c r="Z2973" s="1"/>
      <c r="AA2973" s="1"/>
      <c r="AB2973" s="1"/>
      <c r="AC2973" s="1"/>
      <c r="AD2973" s="1"/>
    </row>
    <row r="2974" spans="17:30">
      <c r="Q2974" s="6">
        <v>2944</v>
      </c>
      <c r="R2974" s="7">
        <v>45611</v>
      </c>
      <c r="S2974" s="210">
        <v>4.25</v>
      </c>
      <c r="T2974" s="8">
        <v>1.0001180555555556</v>
      </c>
      <c r="U2974" s="98">
        <v>4.2089905806478312</v>
      </c>
      <c r="V2974" s="106">
        <v>33524.582277475951</v>
      </c>
      <c r="W2974" s="10">
        <v>1.0958920212971401</v>
      </c>
      <c r="X2974" s="420"/>
      <c r="Y2974" s="420"/>
      <c r="Z2974" s="1"/>
      <c r="AA2974" s="1"/>
      <c r="AB2974" s="1"/>
      <c r="AC2974" s="1"/>
      <c r="AD2974" s="1"/>
    </row>
    <row r="2975" spans="17:30">
      <c r="Q2975" s="6">
        <v>2945</v>
      </c>
      <c r="R2975" s="7">
        <v>45612</v>
      </c>
      <c r="S2975" s="210">
        <v>4.25</v>
      </c>
      <c r="T2975" s="8">
        <v>1.0001180555555556</v>
      </c>
      <c r="U2975" s="98">
        <v>4.2090563796364666</v>
      </c>
      <c r="V2975" s="106">
        <v>33527.372622448776</v>
      </c>
      <c r="W2975" s="10">
        <v>1.0959541453077648</v>
      </c>
      <c r="X2975" s="420"/>
      <c r="Y2975" s="420"/>
      <c r="Z2975" s="1"/>
      <c r="AA2975" s="1"/>
      <c r="AB2975" s="1"/>
      <c r="AC2975" s="1"/>
      <c r="AD2975" s="1"/>
    </row>
    <row r="2976" spans="17:30">
      <c r="Q2976" s="6">
        <v>2946</v>
      </c>
      <c r="R2976" s="7">
        <v>45613</v>
      </c>
      <c r="S2976" s="210">
        <v>4.25</v>
      </c>
      <c r="T2976" s="8">
        <v>1.0001180555555556</v>
      </c>
      <c r="U2976" s="98">
        <v>4.2091221339965568</v>
      </c>
      <c r="V2976" s="106">
        <v>33530.163199669834</v>
      </c>
      <c r="W2976" s="10">
        <v>1.0960162271813845</v>
      </c>
      <c r="X2976" s="420"/>
      <c r="Y2976" s="420"/>
      <c r="Z2976" s="1"/>
      <c r="AA2976" s="1"/>
      <c r="AB2976" s="1"/>
      <c r="AC2976" s="1"/>
      <c r="AD2976" s="1"/>
    </row>
    <row r="2977" spans="17:30">
      <c r="Q2977" s="6">
        <v>2947</v>
      </c>
      <c r="R2977" s="7">
        <v>45614</v>
      </c>
      <c r="S2977" s="210">
        <v>4.25</v>
      </c>
      <c r="T2977" s="8">
        <v>1.0001180555555556</v>
      </c>
      <c r="U2977" s="98">
        <v>4.2091878437734875</v>
      </c>
      <c r="V2977" s="106">
        <v>33532.954009158464</v>
      </c>
      <c r="W2977" s="10">
        <v>1.0960782669608315</v>
      </c>
      <c r="X2977" s="420"/>
      <c r="Y2977" s="420"/>
      <c r="Z2977" s="1"/>
      <c r="AA2977" s="1"/>
      <c r="AB2977" s="1"/>
      <c r="AC2977" s="1"/>
      <c r="AD2977" s="1"/>
    </row>
    <row r="2978" spans="17:30">
      <c r="Q2978" s="6">
        <v>2948</v>
      </c>
      <c r="R2978" s="7">
        <v>45615</v>
      </c>
      <c r="S2978" s="210">
        <v>4.25</v>
      </c>
      <c r="T2978" s="8">
        <v>1.0001180555555556</v>
      </c>
      <c r="U2978" s="98">
        <v>4.2092535090125782</v>
      </c>
      <c r="V2978" s="106">
        <v>33535.745050933991</v>
      </c>
      <c r="W2978" s="10">
        <v>1.096140264688894</v>
      </c>
      <c r="X2978" s="420"/>
      <c r="Y2978" s="420"/>
      <c r="Z2978" s="1"/>
      <c r="AA2978" s="1"/>
      <c r="AB2978" s="1"/>
      <c r="AC2978" s="1"/>
      <c r="AD2978" s="1"/>
    </row>
    <row r="2979" spans="17:30">
      <c r="Q2979" s="6">
        <v>2949</v>
      </c>
      <c r="R2979" s="7">
        <v>45616</v>
      </c>
      <c r="S2979" s="210">
        <v>4.25</v>
      </c>
      <c r="T2979" s="8">
        <v>1.0001180555555556</v>
      </c>
      <c r="U2979" s="98">
        <v>4.2093191297591037</v>
      </c>
      <c r="V2979" s="106">
        <v>33538.536325015739</v>
      </c>
      <c r="W2979" s="10">
        <v>1.0962022204083377</v>
      </c>
      <c r="X2979" s="420"/>
      <c r="Y2979" s="420"/>
      <c r="Z2979" s="1"/>
      <c r="AA2979" s="1"/>
      <c r="AB2979" s="1"/>
      <c r="AC2979" s="1"/>
      <c r="AD2979" s="1"/>
    </row>
    <row r="2980" spans="17:30">
      <c r="Q2980" s="6">
        <v>2950</v>
      </c>
      <c r="R2980" s="7">
        <v>45617</v>
      </c>
      <c r="S2980" s="210">
        <v>4.25</v>
      </c>
      <c r="T2980" s="8">
        <v>1.0001180555555556</v>
      </c>
      <c r="U2980" s="98">
        <v>4.2093847060582723</v>
      </c>
      <c r="V2980" s="106">
        <v>33541.32783142307</v>
      </c>
      <c r="W2980" s="10">
        <v>1.0962641341618395</v>
      </c>
      <c r="X2980" s="420"/>
      <c r="Y2980" s="420"/>
      <c r="Z2980" s="1"/>
      <c r="AA2980" s="1"/>
      <c r="AB2980" s="1"/>
      <c r="AC2980" s="1"/>
      <c r="AD2980" s="1"/>
    </row>
    <row r="2981" spans="17:30">
      <c r="Q2981" s="6">
        <v>2951</v>
      </c>
      <c r="R2981" s="7">
        <v>45618</v>
      </c>
      <c r="S2981" s="210">
        <v>4.25</v>
      </c>
      <c r="T2981" s="8">
        <v>1.0001180555555556</v>
      </c>
      <c r="U2981" s="98">
        <v>4.2094502379552257</v>
      </c>
      <c r="V2981" s="106">
        <v>33544.119570175302</v>
      </c>
      <c r="W2981" s="10">
        <v>1.0963260059920099</v>
      </c>
      <c r="X2981" s="420"/>
      <c r="Y2981" s="420"/>
      <c r="Z2981" s="1"/>
      <c r="AA2981" s="1"/>
      <c r="AB2981" s="1"/>
      <c r="AC2981" s="1"/>
      <c r="AD2981" s="1"/>
    </row>
    <row r="2982" spans="17:30">
      <c r="Q2982" s="6">
        <v>2952</v>
      </c>
      <c r="R2982" s="7">
        <v>45619</v>
      </c>
      <c r="S2982" s="210">
        <v>4.25</v>
      </c>
      <c r="T2982" s="8">
        <v>1.0001180555555556</v>
      </c>
      <c r="U2982" s="98">
        <v>4.2095157254950388</v>
      </c>
      <c r="V2982" s="106">
        <v>33546.911541291767</v>
      </c>
      <c r="W2982" s="10">
        <v>1.096387835941437</v>
      </c>
      <c r="X2982" s="420"/>
      <c r="Y2982" s="420"/>
      <c r="Z2982" s="1"/>
      <c r="AA2982" s="1"/>
      <c r="AB2982" s="1"/>
      <c r="AC2982" s="1"/>
      <c r="AD2982" s="1"/>
    </row>
    <row r="2983" spans="17:30">
      <c r="Q2983" s="6">
        <v>2953</v>
      </c>
      <c r="R2983" s="7">
        <v>45620</v>
      </c>
      <c r="S2983" s="210">
        <v>4.25</v>
      </c>
      <c r="T2983" s="8">
        <v>1.0001180555555556</v>
      </c>
      <c r="U2983" s="98">
        <v>4.2095811687227425</v>
      </c>
      <c r="V2983" s="106">
        <v>33549.703744791826</v>
      </c>
      <c r="W2983" s="10">
        <v>1.0964496240525978</v>
      </c>
      <c r="X2983" s="420"/>
      <c r="Y2983" s="420"/>
      <c r="Z2983" s="1"/>
      <c r="AA2983" s="1"/>
      <c r="AB2983" s="1"/>
      <c r="AC2983" s="1"/>
      <c r="AD2983" s="1"/>
    </row>
    <row r="2984" spans="17:30">
      <c r="Q2984" s="6">
        <v>2954</v>
      </c>
      <c r="R2984" s="7">
        <v>45621</v>
      </c>
      <c r="S2984" s="210">
        <v>4.25</v>
      </c>
      <c r="T2984" s="8">
        <v>1.0001180555555556</v>
      </c>
      <c r="U2984" s="98">
        <v>4.2096465676832784</v>
      </c>
      <c r="V2984" s="106">
        <v>33552.496180694805</v>
      </c>
      <c r="W2984" s="10">
        <v>1.0965113703679696</v>
      </c>
      <c r="X2984" s="420"/>
      <c r="Y2984" s="420"/>
      <c r="Z2984" s="1"/>
      <c r="AA2984" s="1"/>
      <c r="AB2984" s="1"/>
      <c r="AC2984" s="1"/>
      <c r="AD2984" s="1"/>
    </row>
    <row r="2985" spans="17:30">
      <c r="Q2985" s="6">
        <v>2955</v>
      </c>
      <c r="R2985" s="7">
        <v>45622</v>
      </c>
      <c r="S2985" s="210">
        <v>4.25</v>
      </c>
      <c r="T2985" s="8">
        <v>1.0001180555555556</v>
      </c>
      <c r="U2985" s="98">
        <v>4.2097119224215662</v>
      </c>
      <c r="V2985" s="106">
        <v>33555.288849020057</v>
      </c>
      <c r="W2985" s="10">
        <v>1.0965730749299407</v>
      </c>
      <c r="X2985" s="420"/>
      <c r="Y2985" s="420"/>
      <c r="Z2985" s="1"/>
      <c r="AA2985" s="1"/>
      <c r="AB2985" s="1"/>
      <c r="AC2985" s="1"/>
      <c r="AD2985" s="1"/>
    </row>
    <row r="2986" spans="17:30">
      <c r="Q2986" s="6">
        <v>2956</v>
      </c>
      <c r="R2986" s="7">
        <v>45623</v>
      </c>
      <c r="S2986" s="210">
        <v>4.25</v>
      </c>
      <c r="T2986" s="8">
        <v>1.0001180555555556</v>
      </c>
      <c r="U2986" s="98">
        <v>4.2097772329824368</v>
      </c>
      <c r="V2986" s="106">
        <v>33558.081749786921</v>
      </c>
      <c r="W2986" s="10">
        <v>1.096634737780855</v>
      </c>
      <c r="X2986" s="420"/>
      <c r="Y2986" s="420"/>
      <c r="Z2986" s="1"/>
      <c r="AA2986" s="1"/>
      <c r="AB2986" s="1"/>
      <c r="AC2986" s="1"/>
      <c r="AD2986" s="1"/>
    </row>
    <row r="2987" spans="17:30">
      <c r="Q2987" s="6">
        <v>2957</v>
      </c>
      <c r="R2987" s="7">
        <v>45624</v>
      </c>
      <c r="S2987" s="210">
        <v>4.25</v>
      </c>
      <c r="T2987" s="8">
        <v>1.0001180555555556</v>
      </c>
      <c r="U2987" s="98">
        <v>4.2098424994106765</v>
      </c>
      <c r="V2987" s="106">
        <v>33560.874883014745</v>
      </c>
      <c r="W2987" s="10">
        <v>1.0966963589629675</v>
      </c>
      <c r="X2987" s="420"/>
      <c r="Y2987" s="420"/>
      <c r="Z2987" s="1"/>
      <c r="AA2987" s="1"/>
      <c r="AB2987" s="1"/>
      <c r="AC2987" s="1"/>
      <c r="AD2987" s="1"/>
    </row>
    <row r="2988" spans="17:30">
      <c r="Q2988" s="6">
        <v>2958</v>
      </c>
      <c r="R2988" s="7">
        <v>45625</v>
      </c>
      <c r="S2988" s="210">
        <v>4.25</v>
      </c>
      <c r="T2988" s="8">
        <v>1.0001180555555556</v>
      </c>
      <c r="U2988" s="98">
        <v>4.2099077217509828</v>
      </c>
      <c r="V2988" s="106">
        <v>33563.668248722875</v>
      </c>
      <c r="W2988" s="10">
        <v>1.0967579385185111</v>
      </c>
      <c r="X2988" s="420"/>
      <c r="Y2988" s="420"/>
      <c r="Z2988" s="1"/>
      <c r="AA2988" s="1"/>
      <c r="AB2988" s="1"/>
      <c r="AC2988" s="1"/>
      <c r="AD2988" s="1"/>
    </row>
    <row r="2989" spans="17:30">
      <c r="Q2989" s="6">
        <v>2959</v>
      </c>
      <c r="R2989" s="7">
        <v>45626</v>
      </c>
      <c r="S2989" s="210">
        <v>4.25</v>
      </c>
      <c r="T2989" s="8">
        <v>1.0001180555555556</v>
      </c>
      <c r="U2989" s="98">
        <v>4.2099729000480313</v>
      </c>
      <c r="V2989" s="106">
        <v>33566.461846930673</v>
      </c>
      <c r="W2989" s="10">
        <v>1.0968194764896744</v>
      </c>
      <c r="X2989" s="420"/>
      <c r="Y2989" s="420"/>
      <c r="Z2989" s="1"/>
      <c r="AA2989" s="1"/>
      <c r="AB2989" s="1"/>
      <c r="AC2989" s="1"/>
      <c r="AD2989" s="1"/>
    </row>
    <row r="2990" spans="17:30">
      <c r="Q2990" s="6">
        <v>2960</v>
      </c>
      <c r="R2990" s="7">
        <v>45627</v>
      </c>
      <c r="S2990" s="210">
        <v>4.25</v>
      </c>
      <c r="T2990" s="8">
        <v>1.0001180555555556</v>
      </c>
      <c r="U2990" s="98">
        <v>4.2100380343464083</v>
      </c>
      <c r="V2990" s="106">
        <v>33569.255677657486</v>
      </c>
      <c r="W2990" s="10">
        <v>1.0968809729185347</v>
      </c>
      <c r="X2990" s="420"/>
      <c r="Y2990" s="420"/>
      <c r="Z2990" s="1"/>
      <c r="AA2990" s="1"/>
      <c r="AB2990" s="1"/>
      <c r="AC2990" s="1"/>
      <c r="AD2990" s="1"/>
    </row>
    <row r="2991" spans="17:30">
      <c r="Q2991" s="6">
        <v>2961</v>
      </c>
      <c r="R2991" s="7">
        <v>45628</v>
      </c>
      <c r="S2991" s="210">
        <v>4.25</v>
      </c>
      <c r="T2991" s="8">
        <v>1.0001180555555556</v>
      </c>
      <c r="U2991" s="98">
        <v>4.2101031246906562</v>
      </c>
      <c r="V2991" s="106">
        <v>33572.049740922652</v>
      </c>
      <c r="W2991" s="10">
        <v>1.0969424278471473</v>
      </c>
      <c r="X2991" s="420"/>
      <c r="Y2991" s="420"/>
      <c r="Z2991" s="1"/>
      <c r="AA2991" s="1"/>
      <c r="AB2991" s="1"/>
      <c r="AC2991" s="1"/>
      <c r="AD2991" s="1"/>
    </row>
    <row r="2992" spans="17:30">
      <c r="Q2992" s="6">
        <v>2962</v>
      </c>
      <c r="R2992" s="7">
        <v>45629</v>
      </c>
      <c r="S2992" s="210">
        <v>4.25</v>
      </c>
      <c r="T2992" s="8">
        <v>1.0001180555555556</v>
      </c>
      <c r="U2992" s="98">
        <v>4.2101681711252503</v>
      </c>
      <c r="V2992" s="106">
        <v>33574.844036745541</v>
      </c>
      <c r="W2992" s="10">
        <v>1.0970038413175232</v>
      </c>
      <c r="X2992" s="420"/>
      <c r="Y2992" s="420"/>
      <c r="Z2992" s="1"/>
      <c r="AA2992" s="1"/>
      <c r="AB2992" s="1"/>
      <c r="AC2992" s="1"/>
      <c r="AD2992" s="1"/>
    </row>
    <row r="2993" spans="17:30">
      <c r="Q2993" s="6">
        <v>2963</v>
      </c>
      <c r="R2993" s="7">
        <v>45630</v>
      </c>
      <c r="S2993" s="210">
        <v>4.25</v>
      </c>
      <c r="T2993" s="8">
        <v>1.0001180555555556</v>
      </c>
      <c r="U2993" s="98">
        <v>4.2102331736946219</v>
      </c>
      <c r="V2993" s="106">
        <v>33577.638565145498</v>
      </c>
      <c r="W2993" s="10">
        <v>1.0970652133716063</v>
      </c>
      <c r="X2993" s="420"/>
      <c r="Y2993" s="420"/>
      <c r="Z2993" s="1"/>
      <c r="AA2993" s="1"/>
      <c r="AB2993" s="1"/>
      <c r="AC2993" s="1"/>
      <c r="AD2993" s="1"/>
    </row>
    <row r="2994" spans="17:30">
      <c r="Q2994" s="6">
        <v>2964</v>
      </c>
      <c r="R2994" s="7">
        <v>45631</v>
      </c>
      <c r="S2994" s="210">
        <v>4.25</v>
      </c>
      <c r="T2994" s="8">
        <v>1.0001180555555556</v>
      </c>
      <c r="U2994" s="98">
        <v>4.2102981324431132</v>
      </c>
      <c r="V2994" s="106">
        <v>33580.433326141894</v>
      </c>
      <c r="W2994" s="10">
        <v>1.0971265440512745</v>
      </c>
      <c r="X2994" s="420"/>
      <c r="Y2994" s="420"/>
      <c r="Z2994" s="1"/>
      <c r="AA2994" s="1"/>
      <c r="AB2994" s="1"/>
      <c r="AC2994" s="1"/>
      <c r="AD2994" s="1"/>
    </row>
    <row r="2995" spans="17:30">
      <c r="Q2995" s="6">
        <v>2965</v>
      </c>
      <c r="R2995" s="7">
        <v>45632</v>
      </c>
      <c r="S2995" s="210">
        <v>4.25</v>
      </c>
      <c r="T2995" s="8">
        <v>1.0001180555555556</v>
      </c>
      <c r="U2995" s="98">
        <v>4.2103630474150222</v>
      </c>
      <c r="V2995" s="106">
        <v>33583.228319754089</v>
      </c>
      <c r="W2995" s="10">
        <v>1.0971878333983165</v>
      </c>
      <c r="X2995" s="420"/>
      <c r="Y2995" s="420"/>
      <c r="Z2995" s="1"/>
      <c r="AA2995" s="1"/>
      <c r="AB2995" s="1"/>
      <c r="AC2995" s="1"/>
      <c r="AD2995" s="1"/>
    </row>
    <row r="2996" spans="17:30">
      <c r="Q2996" s="6">
        <v>2966</v>
      </c>
      <c r="R2996" s="7">
        <v>45633</v>
      </c>
      <c r="S2996" s="210">
        <v>4.25</v>
      </c>
      <c r="T2996" s="8">
        <v>1.0001180555555556</v>
      </c>
      <c r="U2996" s="98">
        <v>4.2104279186545801</v>
      </c>
      <c r="V2996" s="106">
        <v>33586.02354600143</v>
      </c>
      <c r="W2996" s="10">
        <v>1.0972490814545433</v>
      </c>
      <c r="X2996" s="420"/>
      <c r="Y2996" s="420"/>
      <c r="Z2996" s="1"/>
      <c r="AA2996" s="1"/>
      <c r="AB2996" s="1"/>
      <c r="AC2996" s="1"/>
      <c r="AD2996" s="1"/>
    </row>
    <row r="2997" spans="17:30">
      <c r="Q2997" s="6">
        <v>2967</v>
      </c>
      <c r="R2997" s="7">
        <v>45634</v>
      </c>
      <c r="S2997" s="210">
        <v>4.25</v>
      </c>
      <c r="T2997" s="8">
        <v>1.0001180555555556</v>
      </c>
      <c r="U2997" s="98">
        <v>4.2104927462059738</v>
      </c>
      <c r="V2997" s="106">
        <v>33588.8190049033</v>
      </c>
      <c r="W2997" s="10">
        <v>1.0973102882616326</v>
      </c>
      <c r="X2997" s="420"/>
      <c r="Y2997" s="420"/>
      <c r="Z2997" s="1"/>
      <c r="AA2997" s="1"/>
      <c r="AB2997" s="1"/>
      <c r="AC2997" s="1"/>
      <c r="AD2997" s="1"/>
    </row>
    <row r="2998" spans="17:30">
      <c r="Q2998" s="6">
        <v>2968</v>
      </c>
      <c r="R2998" s="7">
        <v>45635</v>
      </c>
      <c r="S2998" s="210">
        <v>4.25</v>
      </c>
      <c r="T2998" s="8">
        <v>1.0001180555555556</v>
      </c>
      <c r="U2998" s="98">
        <v>4.2105575301133236</v>
      </c>
      <c r="V2998" s="106">
        <v>33591.614696479039</v>
      </c>
      <c r="W2998" s="10">
        <v>1.0973714538612844</v>
      </c>
      <c r="X2998" s="420"/>
      <c r="Y2998" s="420"/>
      <c r="Z2998" s="1"/>
      <c r="AA2998" s="1"/>
      <c r="AB2998" s="1"/>
      <c r="AC2998" s="1"/>
      <c r="AD2998" s="1"/>
    </row>
    <row r="2999" spans="17:30">
      <c r="Q2999" s="6">
        <v>2969</v>
      </c>
      <c r="R2999" s="7">
        <v>45636</v>
      </c>
      <c r="S2999" s="210">
        <v>4.25</v>
      </c>
      <c r="T2999" s="8">
        <v>1.0001180555555556</v>
      </c>
      <c r="U2999" s="98">
        <v>4.210622270420683</v>
      </c>
      <c r="V2999" s="106">
        <v>33594.410620748036</v>
      </c>
      <c r="W2999" s="10">
        <v>1.0974325782950656</v>
      </c>
      <c r="X2999" s="420"/>
      <c r="Y2999" s="420"/>
      <c r="Z2999" s="1"/>
      <c r="AA2999" s="1"/>
      <c r="AB2999" s="1"/>
      <c r="AC2999" s="1"/>
      <c r="AD2999" s="1"/>
    </row>
    <row r="3000" spans="17:30">
      <c r="Q3000" s="6">
        <v>2970</v>
      </c>
      <c r="R3000" s="7">
        <v>45637</v>
      </c>
      <c r="S3000" s="210">
        <v>4.25</v>
      </c>
      <c r="T3000" s="8">
        <v>1.0001180555555556</v>
      </c>
      <c r="U3000" s="98">
        <v>4.2106869671720615</v>
      </c>
      <c r="V3000" s="106">
        <v>33597.20677772964</v>
      </c>
      <c r="W3000" s="10">
        <v>1.0974936616045428</v>
      </c>
      <c r="X3000" s="420"/>
      <c r="Y3000" s="420"/>
      <c r="Z3000" s="1"/>
      <c r="AA3000" s="1"/>
      <c r="AB3000" s="1"/>
      <c r="AC3000" s="1"/>
      <c r="AD3000" s="1"/>
    </row>
    <row r="3001" spans="17:30">
      <c r="Q3001" s="6">
        <v>2971</v>
      </c>
      <c r="R3001" s="7">
        <v>45638</v>
      </c>
      <c r="S3001" s="210">
        <v>4.25</v>
      </c>
      <c r="T3001" s="8">
        <v>1.0001180555555556</v>
      </c>
      <c r="U3001" s="98">
        <v>4.2107516204114015</v>
      </c>
      <c r="V3001" s="106">
        <v>33600.003167443239</v>
      </c>
      <c r="W3001" s="10">
        <v>1.0975547038311939</v>
      </c>
      <c r="X3001" s="420"/>
      <c r="Y3001" s="420"/>
      <c r="Z3001" s="1"/>
      <c r="AA3001" s="1"/>
      <c r="AB3001" s="1"/>
      <c r="AC3001" s="1"/>
      <c r="AD3001" s="1"/>
    </row>
    <row r="3002" spans="17:30">
      <c r="Q3002" s="6">
        <v>2972</v>
      </c>
      <c r="R3002" s="7">
        <v>45639</v>
      </c>
      <c r="S3002" s="210">
        <v>4.25</v>
      </c>
      <c r="T3002" s="8">
        <v>1.0001180555555556</v>
      </c>
      <c r="U3002" s="98">
        <v>4.2108162301825791</v>
      </c>
      <c r="V3002" s="106">
        <v>33602.799789908182</v>
      </c>
      <c r="W3002" s="10">
        <v>1.0976157050164526</v>
      </c>
      <c r="X3002" s="420"/>
      <c r="Y3002" s="420"/>
      <c r="Z3002" s="1"/>
      <c r="AA3002" s="1"/>
      <c r="AB3002" s="1"/>
      <c r="AC3002" s="1"/>
      <c r="AD3002" s="1"/>
    </row>
    <row r="3003" spans="17:30">
      <c r="Q3003" s="6">
        <v>2973</v>
      </c>
      <c r="R3003" s="7">
        <v>45640</v>
      </c>
      <c r="S3003" s="210">
        <v>4.25</v>
      </c>
      <c r="T3003" s="8">
        <v>1.0001180555555556</v>
      </c>
      <c r="U3003" s="98">
        <v>4.2108807965294037</v>
      </c>
      <c r="V3003" s="106">
        <v>33605.596645143858</v>
      </c>
      <c r="W3003" s="10">
        <v>1.0976766652016856</v>
      </c>
      <c r="X3003" s="420"/>
      <c r="Y3003" s="420"/>
      <c r="Z3003" s="1"/>
      <c r="AA3003" s="1"/>
      <c r="AB3003" s="1"/>
      <c r="AC3003" s="1"/>
      <c r="AD3003" s="1"/>
    </row>
    <row r="3004" spans="17:30">
      <c r="Q3004" s="6">
        <v>2974</v>
      </c>
      <c r="R3004" s="7">
        <v>45641</v>
      </c>
      <c r="S3004" s="210">
        <v>4.25</v>
      </c>
      <c r="T3004" s="8">
        <v>1.0001180555555556</v>
      </c>
      <c r="U3004" s="98">
        <v>4.2109453194956403</v>
      </c>
      <c r="V3004" s="106">
        <v>33608.393733169636</v>
      </c>
      <c r="W3004" s="10">
        <v>1.0977375844282156</v>
      </c>
      <c r="X3004" s="420"/>
      <c r="Y3004" s="420"/>
      <c r="Z3004" s="1"/>
      <c r="AA3004" s="1"/>
      <c r="AB3004" s="1"/>
      <c r="AC3004" s="1"/>
      <c r="AD3004" s="1"/>
    </row>
    <row r="3005" spans="17:30">
      <c r="Q3005" s="6">
        <v>2975</v>
      </c>
      <c r="R3005" s="7">
        <v>45642</v>
      </c>
      <c r="S3005" s="210">
        <v>4.25</v>
      </c>
      <c r="T3005" s="8">
        <v>1.0001180555555556</v>
      </c>
      <c r="U3005" s="98">
        <v>4.2110097991250095</v>
      </c>
      <c r="V3005" s="106">
        <v>33611.191054004892</v>
      </c>
      <c r="W3005" s="10">
        <v>1.0977984627373205</v>
      </c>
      <c r="X3005" s="420"/>
      <c r="Y3005" s="420"/>
      <c r="Z3005" s="1"/>
      <c r="AA3005" s="1"/>
      <c r="AB3005" s="1"/>
      <c r="AC3005" s="1"/>
      <c r="AD3005" s="1"/>
    </row>
    <row r="3006" spans="17:30">
      <c r="Q3006" s="6">
        <v>2976</v>
      </c>
      <c r="R3006" s="7">
        <v>45643</v>
      </c>
      <c r="S3006" s="210">
        <v>4.25</v>
      </c>
      <c r="T3006" s="8">
        <v>1.0001180555555556</v>
      </c>
      <c r="U3006" s="98">
        <v>4.211074235461143</v>
      </c>
      <c r="V3006" s="106">
        <v>33613.988607669009</v>
      </c>
      <c r="W3006" s="10">
        <v>1.0978593001701897</v>
      </c>
      <c r="X3006" s="420"/>
      <c r="Y3006" s="420"/>
      <c r="Z3006" s="1"/>
      <c r="AA3006" s="1"/>
      <c r="AB3006" s="1"/>
      <c r="AC3006" s="1"/>
      <c r="AD3006" s="1"/>
    </row>
    <row r="3007" spans="17:30">
      <c r="Q3007" s="6">
        <v>2977</v>
      </c>
      <c r="R3007" s="7">
        <v>45644</v>
      </c>
      <c r="S3007" s="210">
        <v>4.25</v>
      </c>
      <c r="T3007" s="8">
        <v>1.0001180555555556</v>
      </c>
      <c r="U3007" s="98">
        <v>4.2111386285476504</v>
      </c>
      <c r="V3007" s="106">
        <v>33616.786394181356</v>
      </c>
      <c r="W3007" s="10">
        <v>1.0979200967680347</v>
      </c>
      <c r="X3007" s="420"/>
      <c r="Y3007" s="420"/>
      <c r="Z3007" s="1"/>
      <c r="AA3007" s="1"/>
      <c r="AB3007" s="1"/>
      <c r="AC3007" s="1"/>
      <c r="AD3007" s="1"/>
    </row>
    <row r="3008" spans="17:30">
      <c r="Q3008" s="6">
        <v>2978</v>
      </c>
      <c r="R3008" s="7">
        <v>45645</v>
      </c>
      <c r="S3008" s="210">
        <v>4.25</v>
      </c>
      <c r="T3008" s="8">
        <v>1.0001180555555556</v>
      </c>
      <c r="U3008" s="98">
        <v>4.2112029784280525</v>
      </c>
      <c r="V3008" s="106">
        <v>33619.584413561315</v>
      </c>
      <c r="W3008" s="10">
        <v>1.0979808525718893</v>
      </c>
      <c r="X3008" s="420"/>
      <c r="Y3008" s="420"/>
      <c r="Z3008" s="1"/>
      <c r="AA3008" s="1"/>
      <c r="AB3008" s="1"/>
      <c r="AC3008" s="1"/>
      <c r="AD3008" s="1"/>
    </row>
    <row r="3009" spans="17:30">
      <c r="Q3009" s="6">
        <v>2979</v>
      </c>
      <c r="R3009" s="7">
        <v>45646</v>
      </c>
      <c r="S3009" s="210">
        <v>4.25</v>
      </c>
      <c r="T3009" s="8">
        <v>1.0001180555555556</v>
      </c>
      <c r="U3009" s="98">
        <v>4.2112672851458033</v>
      </c>
      <c r="V3009" s="106">
        <v>33622.382665828278</v>
      </c>
      <c r="W3009" s="10">
        <v>1.0980415676228317</v>
      </c>
      <c r="X3009" s="420"/>
      <c r="Y3009" s="420"/>
      <c r="Z3009" s="1"/>
      <c r="AA3009" s="1"/>
      <c r="AB3009" s="1"/>
      <c r="AC3009" s="1"/>
      <c r="AD3009" s="1"/>
    </row>
    <row r="3010" spans="17:30">
      <c r="Q3010" s="6">
        <v>2980</v>
      </c>
      <c r="R3010" s="7">
        <v>45647</v>
      </c>
      <c r="S3010" s="210">
        <v>4.25</v>
      </c>
      <c r="T3010" s="8">
        <v>1.0001180555555556</v>
      </c>
      <c r="U3010" s="98">
        <v>4.2113315487443348</v>
      </c>
      <c r="V3010" s="106">
        <v>33625.18115100162</v>
      </c>
      <c r="W3010" s="10">
        <v>1.0981022419618514</v>
      </c>
      <c r="X3010" s="420"/>
      <c r="Y3010" s="420"/>
      <c r="Z3010" s="1"/>
      <c r="AA3010" s="1"/>
      <c r="AB3010" s="1"/>
      <c r="AC3010" s="1"/>
      <c r="AD3010" s="1"/>
    </row>
    <row r="3011" spans="17:30">
      <c r="Q3011" s="6">
        <v>2981</v>
      </c>
      <c r="R3011" s="7">
        <v>45648</v>
      </c>
      <c r="S3011" s="210">
        <v>4.25</v>
      </c>
      <c r="T3011" s="8">
        <v>1.0001180555555556</v>
      </c>
      <c r="U3011" s="98">
        <v>4.2113957692669901</v>
      </c>
      <c r="V3011" s="106">
        <v>33627.979869100738</v>
      </c>
      <c r="W3011" s="10">
        <v>1.0981628756298711</v>
      </c>
      <c r="X3011" s="420"/>
      <c r="Y3011" s="420"/>
      <c r="Z3011" s="1"/>
      <c r="AA3011" s="1"/>
      <c r="AB3011" s="1"/>
      <c r="AC3011" s="1"/>
      <c r="AD3011" s="1"/>
    </row>
    <row r="3012" spans="17:30">
      <c r="Q3012" s="6">
        <v>2982</v>
      </c>
      <c r="R3012" s="7">
        <v>45649</v>
      </c>
      <c r="S3012" s="210">
        <v>4.25</v>
      </c>
      <c r="T3012" s="8">
        <v>1.0001180555555556</v>
      </c>
      <c r="U3012" s="98">
        <v>4.2114599467570679</v>
      </c>
      <c r="V3012" s="106">
        <v>33630.778820145002</v>
      </c>
      <c r="W3012" s="10">
        <v>1.0982234686677694</v>
      </c>
      <c r="X3012" s="420"/>
      <c r="Y3012" s="420"/>
      <c r="Z3012" s="1"/>
      <c r="AA3012" s="1"/>
      <c r="AB3012" s="1"/>
      <c r="AC3012" s="1"/>
      <c r="AD3012" s="1"/>
    </row>
    <row r="3013" spans="17:30">
      <c r="Q3013" s="6">
        <v>2983</v>
      </c>
      <c r="R3013" s="7">
        <v>45650</v>
      </c>
      <c r="S3013" s="210">
        <v>4.25</v>
      </c>
      <c r="T3013" s="8">
        <v>1.0001180555555556</v>
      </c>
      <c r="U3013" s="98">
        <v>4.2115240812578003</v>
      </c>
      <c r="V3013" s="106">
        <v>33633.578004153802</v>
      </c>
      <c r="W3013" s="10">
        <v>1.0982840211163802</v>
      </c>
      <c r="X3013" s="420"/>
      <c r="Y3013" s="420"/>
      <c r="Z3013" s="1"/>
      <c r="AA3013" s="1"/>
      <c r="AB3013" s="1"/>
      <c r="AC3013" s="1"/>
      <c r="AD3013" s="1"/>
    </row>
    <row r="3014" spans="17:30">
      <c r="Q3014" s="6">
        <v>2984</v>
      </c>
      <c r="R3014" s="7">
        <v>45651</v>
      </c>
      <c r="S3014" s="210">
        <v>4.25</v>
      </c>
      <c r="T3014" s="8">
        <v>1.0001180555555556</v>
      </c>
      <c r="U3014" s="98">
        <v>4.211588172812375</v>
      </c>
      <c r="V3014" s="106">
        <v>33636.377421146542</v>
      </c>
      <c r="W3014" s="10">
        <v>1.0983445330164709</v>
      </c>
      <c r="X3014" s="420"/>
      <c r="Y3014" s="420"/>
      <c r="Z3014" s="1"/>
      <c r="AA3014" s="1"/>
      <c r="AB3014" s="1"/>
      <c r="AC3014" s="1"/>
      <c r="AD3014" s="1"/>
    </row>
    <row r="3015" spans="17:30">
      <c r="Q3015" s="6">
        <v>2985</v>
      </c>
      <c r="R3015" s="7">
        <v>45652</v>
      </c>
      <c r="S3015" s="210">
        <v>4.25</v>
      </c>
      <c r="T3015" s="8">
        <v>1.0001180555555556</v>
      </c>
      <c r="U3015" s="98">
        <v>4.2116522214639129</v>
      </c>
      <c r="V3015" s="106">
        <v>33639.177071142607</v>
      </c>
      <c r="W3015" s="10">
        <v>1.0984050044087645</v>
      </c>
      <c r="X3015" s="420"/>
      <c r="Y3015" s="420"/>
      <c r="Z3015" s="1"/>
      <c r="AA3015" s="1"/>
      <c r="AB3015" s="1"/>
      <c r="AC3015" s="1"/>
      <c r="AD3015" s="1"/>
    </row>
    <row r="3016" spans="17:30">
      <c r="Q3016" s="6">
        <v>2986</v>
      </c>
      <c r="R3016" s="7">
        <v>45653</v>
      </c>
      <c r="S3016" s="210">
        <v>4.25</v>
      </c>
      <c r="T3016" s="8">
        <v>1.0001180555555556</v>
      </c>
      <c r="U3016" s="98">
        <v>4.2117162272554687</v>
      </c>
      <c r="V3016" s="106">
        <v>33641.976954161386</v>
      </c>
      <c r="W3016" s="10">
        <v>1.0984654353338952</v>
      </c>
      <c r="X3016" s="420"/>
      <c r="Y3016" s="420"/>
      <c r="Z3016" s="1"/>
      <c r="AA3016" s="1"/>
      <c r="AB3016" s="1"/>
      <c r="AC3016" s="1"/>
      <c r="AD3016" s="1"/>
    </row>
    <row r="3017" spans="17:30">
      <c r="Q3017" s="6">
        <v>2987</v>
      </c>
      <c r="R3017" s="7">
        <v>45654</v>
      </c>
      <c r="S3017" s="210">
        <v>4.25</v>
      </c>
      <c r="T3017" s="8">
        <v>1.0001180555555556</v>
      </c>
      <c r="U3017" s="98">
        <v>4.2117801902300522</v>
      </c>
      <c r="V3017" s="106">
        <v>33644.777070222284</v>
      </c>
      <c r="W3017" s="10">
        <v>1.098525825832497</v>
      </c>
      <c r="X3017" s="420"/>
      <c r="Y3017" s="420"/>
      <c r="Z3017" s="1"/>
      <c r="AA3017" s="1"/>
      <c r="AB3017" s="1"/>
      <c r="AC3017" s="1"/>
      <c r="AD3017" s="1"/>
    </row>
    <row r="3018" spans="17:30">
      <c r="Q3018" s="6">
        <v>2988</v>
      </c>
      <c r="R3018" s="7">
        <v>45655</v>
      </c>
      <c r="S3018" s="210">
        <v>4.25</v>
      </c>
      <c r="T3018" s="8">
        <v>1.0001180555555556</v>
      </c>
      <c r="U3018" s="98">
        <v>4.2118441104306292</v>
      </c>
      <c r="V3018" s="106">
        <v>33647.577419344685</v>
      </c>
      <c r="W3018" s="10">
        <v>1.0985861759451154</v>
      </c>
      <c r="X3018" s="420"/>
      <c r="Y3018" s="420"/>
      <c r="Z3018" s="1"/>
      <c r="AA3018" s="1"/>
      <c r="AB3018" s="1"/>
      <c r="AC3018" s="1"/>
      <c r="AD3018" s="1"/>
    </row>
    <row r="3019" spans="17:30">
      <c r="Q3019" s="6">
        <v>2989</v>
      </c>
      <c r="R3019" s="7">
        <v>45656</v>
      </c>
      <c r="S3019" s="210">
        <v>4.25</v>
      </c>
      <c r="T3019" s="8">
        <v>1.0001180555555556</v>
      </c>
      <c r="U3019" s="98">
        <v>4.2119079879000765</v>
      </c>
      <c r="V3019" s="106">
        <v>33650.378001548001</v>
      </c>
      <c r="W3019" s="10">
        <v>1.0986464857122513</v>
      </c>
      <c r="X3019" s="420"/>
      <c r="Y3019" s="420"/>
      <c r="Z3019" s="1"/>
      <c r="AA3019" s="1"/>
      <c r="AB3019" s="1"/>
      <c r="AC3019" s="1"/>
      <c r="AD3019" s="1"/>
    </row>
    <row r="3020" spans="17:30">
      <c r="Q3020" s="6">
        <v>2990</v>
      </c>
      <c r="R3020" s="7">
        <v>45657</v>
      </c>
      <c r="S3020" s="210">
        <v>4.25</v>
      </c>
      <c r="T3020" s="8">
        <v>1.0001180555555556</v>
      </c>
      <c r="U3020" s="98">
        <v>4.2119718226812486</v>
      </c>
      <c r="V3020" s="106">
        <v>33653.178816851621</v>
      </c>
      <c r="W3020" s="10">
        <v>1.0987067551743612</v>
      </c>
      <c r="X3020" s="420"/>
      <c r="Y3020" s="420"/>
      <c r="Z3020" s="1"/>
      <c r="AA3020" s="1"/>
      <c r="AB3020" s="1"/>
      <c r="AC3020" s="1"/>
      <c r="AD3020" s="1"/>
    </row>
    <row r="3021" spans="17:30">
      <c r="Q3021" s="6">
        <v>2991</v>
      </c>
      <c r="R3021" s="7">
        <v>45658</v>
      </c>
      <c r="S3021" s="210">
        <v>4.25</v>
      </c>
      <c r="T3021" s="8">
        <v>1.0001180555555556</v>
      </c>
      <c r="U3021" s="98">
        <v>4.2120356148169114</v>
      </c>
      <c r="V3021" s="106">
        <v>33655.979865274952</v>
      </c>
      <c r="W3021" s="10">
        <v>1.0987669843718129</v>
      </c>
      <c r="X3021" s="420"/>
      <c r="Y3021" s="420"/>
      <c r="Z3021" s="1"/>
      <c r="AA3021" s="1"/>
      <c r="AB3021" s="1"/>
      <c r="AC3021" s="1"/>
      <c r="AD3021" s="1"/>
    </row>
    <row r="3022" spans="17:30">
      <c r="Q3022" s="6">
        <v>2992</v>
      </c>
      <c r="R3022" s="7">
        <v>45659</v>
      </c>
      <c r="S3022" s="210">
        <v>4.25</v>
      </c>
      <c r="T3022" s="8">
        <v>1.0001180555555556</v>
      </c>
      <c r="U3022" s="98">
        <v>4.212099364349764</v>
      </c>
      <c r="V3022" s="106">
        <v>33658.781146837398</v>
      </c>
      <c r="W3022" s="10">
        <v>1.0988271733449517</v>
      </c>
      <c r="X3022" s="420"/>
      <c r="Y3022" s="420"/>
      <c r="Z3022" s="1"/>
      <c r="AA3022" s="1"/>
      <c r="AB3022" s="1"/>
      <c r="AC3022" s="1"/>
      <c r="AD3022" s="1"/>
    </row>
    <row r="3023" spans="17:30">
      <c r="Q3023" s="6">
        <v>2993</v>
      </c>
      <c r="R3023" s="7">
        <v>45660</v>
      </c>
      <c r="S3023" s="210">
        <v>4.25</v>
      </c>
      <c r="T3023" s="8">
        <v>1.0001180555555556</v>
      </c>
      <c r="U3023" s="98">
        <v>4.2121630713225056</v>
      </c>
      <c r="V3023" s="106">
        <v>33661.582661558365</v>
      </c>
      <c r="W3023" s="10">
        <v>1.0988873221340567</v>
      </c>
      <c r="X3023" s="420"/>
      <c r="Y3023" s="420"/>
      <c r="Z3023" s="1"/>
      <c r="AA3023" s="1"/>
      <c r="AB3023" s="1"/>
      <c r="AC3023" s="1"/>
      <c r="AD3023" s="1"/>
    </row>
    <row r="3024" spans="17:30">
      <c r="Q3024" s="6">
        <v>2994</v>
      </c>
      <c r="R3024" s="7">
        <v>45661</v>
      </c>
      <c r="S3024" s="210">
        <v>4.25</v>
      </c>
      <c r="T3024" s="8">
        <v>1.0001180555555556</v>
      </c>
      <c r="U3024" s="98">
        <v>4.2122267357777243</v>
      </c>
      <c r="V3024" s="106">
        <v>33664.384409457256</v>
      </c>
      <c r="W3024" s="10">
        <v>1.0989474307793623</v>
      </c>
      <c r="X3024" s="420"/>
      <c r="Y3024" s="420"/>
      <c r="Z3024" s="1"/>
      <c r="AA3024" s="1"/>
      <c r="AB3024" s="1"/>
      <c r="AC3024" s="1"/>
      <c r="AD3024" s="1"/>
    </row>
    <row r="3025" spans="17:30">
      <c r="Q3025" s="6">
        <v>2995</v>
      </c>
      <c r="R3025" s="7">
        <v>45662</v>
      </c>
      <c r="S3025" s="210">
        <v>4.25</v>
      </c>
      <c r="T3025" s="8">
        <v>1.0001180555555556</v>
      </c>
      <c r="U3025" s="98">
        <v>4.212290357757964</v>
      </c>
      <c r="V3025" s="106">
        <v>33667.18639055347</v>
      </c>
      <c r="W3025" s="10">
        <v>1.0990074993210586</v>
      </c>
      <c r="X3025" s="420"/>
      <c r="Y3025" s="420"/>
      <c r="Z3025" s="1"/>
      <c r="AA3025" s="1"/>
      <c r="AB3025" s="1"/>
      <c r="AC3025" s="1"/>
      <c r="AD3025" s="1"/>
    </row>
    <row r="3026" spans="17:30">
      <c r="Q3026" s="6">
        <v>2996</v>
      </c>
      <c r="R3026" s="7">
        <v>45663</v>
      </c>
      <c r="S3026" s="210">
        <v>4.25</v>
      </c>
      <c r="T3026" s="8">
        <v>1.0001180555555556</v>
      </c>
      <c r="U3026" s="98">
        <v>4.2123539373057239</v>
      </c>
      <c r="V3026" s="106">
        <v>33669.988604866434</v>
      </c>
      <c r="W3026" s="10">
        <v>1.0990675277992246</v>
      </c>
      <c r="X3026" s="420"/>
      <c r="Y3026" s="420"/>
      <c r="Z3026" s="1"/>
      <c r="AA3026" s="1"/>
      <c r="AB3026" s="1"/>
      <c r="AC3026" s="1"/>
      <c r="AD3026" s="1"/>
    </row>
    <row r="3027" spans="17:30">
      <c r="Q3027" s="6">
        <v>2997</v>
      </c>
      <c r="R3027" s="7">
        <v>45664</v>
      </c>
      <c r="S3027" s="210">
        <v>4.25</v>
      </c>
      <c r="T3027" s="8">
        <v>1.0001180555555556</v>
      </c>
      <c r="U3027" s="98">
        <v>4.2124174744634368</v>
      </c>
      <c r="V3027" s="106">
        <v>33672.791052415552</v>
      </c>
      <c r="W3027" s="10">
        <v>1.0991275162539393</v>
      </c>
      <c r="X3027" s="420"/>
      <c r="Y3027" s="420"/>
      <c r="Z3027" s="1"/>
      <c r="AA3027" s="1"/>
      <c r="AB3027" s="1"/>
      <c r="AC3027" s="1"/>
      <c r="AD3027" s="1"/>
    </row>
    <row r="3028" spans="17:30">
      <c r="Q3028" s="6">
        <v>2998</v>
      </c>
      <c r="R3028" s="7">
        <v>45665</v>
      </c>
      <c r="S3028" s="210">
        <v>4.25</v>
      </c>
      <c r="T3028" s="8">
        <v>1.0001180555555556</v>
      </c>
      <c r="U3028" s="98">
        <v>4.212480969273491</v>
      </c>
      <c r="V3028" s="106">
        <v>33675.593733220237</v>
      </c>
      <c r="W3028" s="10">
        <v>1.0991874647252597</v>
      </c>
      <c r="X3028" s="420"/>
      <c r="Y3028" s="420"/>
      <c r="Z3028" s="1"/>
      <c r="AA3028" s="1"/>
      <c r="AB3028" s="1"/>
      <c r="AC3028" s="1"/>
      <c r="AD3028" s="1"/>
    </row>
    <row r="3029" spans="17:30">
      <c r="Q3029" s="6">
        <v>2999</v>
      </c>
      <c r="R3029" s="7">
        <v>45666</v>
      </c>
      <c r="S3029" s="210">
        <v>4.25</v>
      </c>
      <c r="T3029" s="8">
        <v>1.0001180555555556</v>
      </c>
      <c r="U3029" s="98">
        <v>4.2125444217782082</v>
      </c>
      <c r="V3029" s="106">
        <v>33678.396647299902</v>
      </c>
      <c r="W3029" s="10">
        <v>1.0992473732531094</v>
      </c>
      <c r="X3029" s="420"/>
      <c r="Y3029" s="420"/>
      <c r="Z3029" s="1"/>
      <c r="AA3029" s="1"/>
      <c r="AB3029" s="1"/>
      <c r="AC3029" s="1"/>
      <c r="AD3029" s="1"/>
    </row>
    <row r="3030" spans="17:30">
      <c r="Q3030" s="6">
        <v>3000</v>
      </c>
      <c r="R3030" s="7">
        <v>45667</v>
      </c>
      <c r="S3030" s="210">
        <v>4.25</v>
      </c>
      <c r="T3030" s="8">
        <v>1.0001180555555556</v>
      </c>
      <c r="U3030" s="98">
        <v>4.2126078320198435</v>
      </c>
      <c r="V3030" s="106">
        <v>33681.199794673965</v>
      </c>
      <c r="W3030" s="10">
        <v>1.0993072418773897</v>
      </c>
      <c r="X3030" s="420"/>
      <c r="Y3030" s="420"/>
      <c r="Z3030" s="1"/>
      <c r="AA3030" s="1"/>
      <c r="AB3030" s="1"/>
      <c r="AC3030" s="1"/>
      <c r="AD3030" s="1"/>
    </row>
    <row r="3031" spans="17:30">
      <c r="Q3031" s="6">
        <v>3001</v>
      </c>
      <c r="R3031" s="7">
        <v>45668</v>
      </c>
      <c r="S3031" s="210">
        <v>4.25</v>
      </c>
      <c r="T3031" s="8">
        <v>1.0001180555555556</v>
      </c>
      <c r="U3031" s="98">
        <v>4.2126712000406075</v>
      </c>
      <c r="V3031" s="106">
        <v>33684.003175361839</v>
      </c>
      <c r="W3031" s="10">
        <v>1.0993670706379799</v>
      </c>
      <c r="X3031" s="420"/>
      <c r="Y3031" s="420"/>
      <c r="Z3031" s="1"/>
      <c r="AA3031" s="1"/>
      <c r="AB3031" s="1"/>
      <c r="AC3031" s="1"/>
      <c r="AD3031" s="1"/>
    </row>
    <row r="3032" spans="17:30">
      <c r="Q3032" s="6">
        <v>3002</v>
      </c>
      <c r="R3032" s="7">
        <v>45669</v>
      </c>
      <c r="S3032" s="210">
        <v>4.25</v>
      </c>
      <c r="T3032" s="8">
        <v>1.0001180555555556</v>
      </c>
      <c r="U3032" s="98">
        <v>4.2127345258826665</v>
      </c>
      <c r="V3032" s="106">
        <v>33686.80678938295</v>
      </c>
      <c r="W3032" s="10">
        <v>1.0994268595746703</v>
      </c>
      <c r="X3032" s="420"/>
      <c r="Y3032" s="420"/>
      <c r="Z3032" s="1"/>
      <c r="AA3032" s="1"/>
      <c r="AB3032" s="1"/>
      <c r="AC3032" s="1"/>
      <c r="AD3032" s="1"/>
    </row>
    <row r="3033" spans="17:30">
      <c r="Q3033" s="6">
        <v>3003</v>
      </c>
      <c r="R3033" s="7">
        <v>45670</v>
      </c>
      <c r="S3033" s="210">
        <v>4.25</v>
      </c>
      <c r="T3033" s="8">
        <v>1.0001180555555556</v>
      </c>
      <c r="U3033" s="98">
        <v>4.2127978095881202</v>
      </c>
      <c r="V3033" s="106">
        <v>33689.610636756719</v>
      </c>
      <c r="W3033" s="10">
        <v>1.099486608727207</v>
      </c>
      <c r="X3033" s="420"/>
      <c r="Y3033" s="420"/>
      <c r="Z3033" s="1"/>
      <c r="AA3033" s="1"/>
      <c r="AB3033" s="1"/>
      <c r="AC3033" s="1"/>
      <c r="AD3033" s="1"/>
    </row>
    <row r="3034" spans="17:30">
      <c r="Q3034" s="6">
        <v>3004</v>
      </c>
      <c r="R3034" s="7">
        <v>45671</v>
      </c>
      <c r="S3034" s="210">
        <v>4.25</v>
      </c>
      <c r="T3034" s="8">
        <v>1.0001180555555556</v>
      </c>
      <c r="U3034" s="98">
        <v>4.2128610511990017</v>
      </c>
      <c r="V3034" s="106">
        <v>33692.414717502557</v>
      </c>
      <c r="W3034" s="10">
        <v>1.0995463181353138</v>
      </c>
      <c r="X3034" s="420"/>
      <c r="Y3034" s="420"/>
      <c r="Z3034" s="1"/>
      <c r="AA3034" s="1"/>
      <c r="AB3034" s="1"/>
      <c r="AC3034" s="1"/>
      <c r="AD3034" s="1"/>
    </row>
    <row r="3035" spans="17:30">
      <c r="Q3035" s="6">
        <v>3005</v>
      </c>
      <c r="R3035" s="7">
        <v>45672</v>
      </c>
      <c r="S3035" s="210">
        <v>4.25</v>
      </c>
      <c r="T3035" s="8">
        <v>1.0001180555555556</v>
      </c>
      <c r="U3035" s="98">
        <v>4.2129242507572995</v>
      </c>
      <c r="V3035" s="106">
        <v>33695.219031639906</v>
      </c>
      <c r="W3035" s="10">
        <v>1.0996059878385811</v>
      </c>
      <c r="X3035" s="420"/>
      <c r="Y3035" s="420"/>
      <c r="Z3035" s="1"/>
      <c r="AA3035" s="1"/>
      <c r="AB3035" s="1"/>
      <c r="AC3035" s="1"/>
      <c r="AD3035" s="1"/>
    </row>
    <row r="3036" spans="17:30">
      <c r="Q3036" s="6">
        <v>3006</v>
      </c>
      <c r="R3036" s="7">
        <v>45673</v>
      </c>
      <c r="S3036" s="210">
        <v>4.25</v>
      </c>
      <c r="T3036" s="8">
        <v>1.0001180555555556</v>
      </c>
      <c r="U3036" s="98">
        <v>4.2129874083049579</v>
      </c>
      <c r="V3036" s="106">
        <v>33698.023579188186</v>
      </c>
      <c r="W3036" s="10">
        <v>1.099665617876644</v>
      </c>
      <c r="X3036" s="420"/>
      <c r="Y3036" s="420"/>
      <c r="Z3036" s="1"/>
      <c r="AA3036" s="1"/>
      <c r="AB3036" s="1"/>
      <c r="AC3036" s="1"/>
      <c r="AD3036" s="1"/>
    </row>
    <row r="3037" spans="17:30">
      <c r="Q3037" s="6">
        <v>3007</v>
      </c>
      <c r="R3037" s="7">
        <v>45674</v>
      </c>
      <c r="S3037" s="210">
        <v>4.25</v>
      </c>
      <c r="T3037" s="8">
        <v>1.0001180555555556</v>
      </c>
      <c r="U3037" s="98">
        <v>4.2130505238838323</v>
      </c>
      <c r="V3037" s="106">
        <v>33700.828360166808</v>
      </c>
      <c r="W3037" s="10">
        <v>1.0997252082890485</v>
      </c>
      <c r="X3037" s="420"/>
      <c r="Y3037" s="420"/>
      <c r="Z3037" s="1"/>
      <c r="AA3037" s="1"/>
      <c r="AB3037" s="1"/>
      <c r="AC3037" s="1"/>
      <c r="AD3037" s="1"/>
    </row>
    <row r="3038" spans="17:30">
      <c r="Q3038" s="6">
        <v>3008</v>
      </c>
      <c r="R3038" s="7">
        <v>45675</v>
      </c>
      <c r="S3038" s="210">
        <v>4.25</v>
      </c>
      <c r="T3038" s="8">
        <v>1.0001180555555556</v>
      </c>
      <c r="U3038" s="98">
        <v>4.2131135975357559</v>
      </c>
      <c r="V3038" s="106">
        <v>33703.633374595222</v>
      </c>
      <c r="W3038" s="10">
        <v>1.0997847591152299</v>
      </c>
      <c r="X3038" s="420"/>
      <c r="Y3038" s="420"/>
      <c r="Z3038" s="1"/>
      <c r="AA3038" s="1"/>
      <c r="AB3038" s="1"/>
      <c r="AC3038" s="1"/>
      <c r="AD3038" s="1"/>
    </row>
    <row r="3039" spans="17:30">
      <c r="Q3039" s="6">
        <v>3009</v>
      </c>
      <c r="R3039" s="7">
        <v>45676</v>
      </c>
      <c r="S3039" s="210">
        <v>4.25</v>
      </c>
      <c r="T3039" s="8">
        <v>1.0001180555555556</v>
      </c>
      <c r="U3039" s="98">
        <v>4.2131766293024731</v>
      </c>
      <c r="V3039" s="106">
        <v>33706.438622492853</v>
      </c>
      <c r="W3039" s="10">
        <v>1.0998442703946454</v>
      </c>
      <c r="X3039" s="420"/>
      <c r="Y3039" s="420"/>
      <c r="Z3039" s="1"/>
      <c r="AA3039" s="1"/>
      <c r="AB3039" s="1"/>
      <c r="AC3039" s="1"/>
      <c r="AD3039" s="1"/>
    </row>
    <row r="3040" spans="17:30">
      <c r="Q3040" s="6">
        <v>3010</v>
      </c>
      <c r="R3040" s="7">
        <v>45677</v>
      </c>
      <c r="S3040" s="210">
        <v>4.25</v>
      </c>
      <c r="T3040" s="8">
        <v>1.0001180555555556</v>
      </c>
      <c r="U3040" s="98">
        <v>4.213239619225706</v>
      </c>
      <c r="V3040" s="106">
        <v>33709.244103879129</v>
      </c>
      <c r="W3040" s="10">
        <v>1.0999037421667079</v>
      </c>
      <c r="X3040" s="420"/>
      <c r="Y3040" s="420"/>
      <c r="Z3040" s="1"/>
      <c r="AA3040" s="1"/>
      <c r="AB3040" s="1"/>
      <c r="AC3040" s="1"/>
      <c r="AD3040" s="1"/>
    </row>
    <row r="3041" spans="17:30">
      <c r="Q3041" s="6">
        <v>3011</v>
      </c>
      <c r="R3041" s="7">
        <v>45678</v>
      </c>
      <c r="S3041" s="210">
        <v>4.25</v>
      </c>
      <c r="T3041" s="8">
        <v>1.0001180555555556</v>
      </c>
      <c r="U3041" s="98">
        <v>4.2133025673471103</v>
      </c>
      <c r="V3041" s="106">
        <v>33712.049818773485</v>
      </c>
      <c r="W3041" s="10">
        <v>1.0999631744706972</v>
      </c>
      <c r="X3041" s="420"/>
      <c r="Y3041" s="420"/>
      <c r="Z3041" s="1"/>
      <c r="AA3041" s="1"/>
      <c r="AB3041" s="1"/>
      <c r="AC3041" s="1"/>
      <c r="AD3041" s="1"/>
    </row>
    <row r="3042" spans="17:30">
      <c r="Q3042" s="6">
        <v>3012</v>
      </c>
      <c r="R3042" s="7">
        <v>45679</v>
      </c>
      <c r="S3042" s="210">
        <v>4.25</v>
      </c>
      <c r="T3042" s="8">
        <v>1.0001180555555556</v>
      </c>
      <c r="U3042" s="98">
        <v>4.2133654737082749</v>
      </c>
      <c r="V3042" s="106">
        <v>33714.855767195353</v>
      </c>
      <c r="W3042" s="10">
        <v>1.1000225673459152</v>
      </c>
      <c r="X3042" s="420"/>
      <c r="Y3042" s="420"/>
      <c r="Z3042" s="1"/>
      <c r="AA3042" s="1"/>
      <c r="AB3042" s="1"/>
      <c r="AC3042" s="1"/>
      <c r="AD3042" s="1"/>
    </row>
    <row r="3043" spans="17:30">
      <c r="Q3043" s="6">
        <v>3013</v>
      </c>
      <c r="R3043" s="7">
        <v>45680</v>
      </c>
      <c r="S3043" s="210">
        <v>4.25</v>
      </c>
      <c r="T3043" s="8">
        <v>1.0001180555555556</v>
      </c>
      <c r="U3043" s="98">
        <v>4.2134283383507443</v>
      </c>
      <c r="V3043" s="106">
        <v>33717.661949164183</v>
      </c>
      <c r="W3043" s="10">
        <v>1.1000819208315527</v>
      </c>
      <c r="X3043" s="420"/>
      <c r="Y3043" s="420"/>
      <c r="Z3043" s="1"/>
      <c r="AA3043" s="1"/>
      <c r="AB3043" s="1"/>
      <c r="AC3043" s="1"/>
      <c r="AD3043" s="1"/>
    </row>
    <row r="3044" spans="17:30">
      <c r="Q3044" s="6">
        <v>3014</v>
      </c>
      <c r="R3044" s="7">
        <v>45681</v>
      </c>
      <c r="S3044" s="210">
        <v>4.25</v>
      </c>
      <c r="T3044" s="8">
        <v>1.0001180555555556</v>
      </c>
      <c r="U3044" s="98">
        <v>4.2134911613159964</v>
      </c>
      <c r="V3044" s="106">
        <v>33720.468364699402</v>
      </c>
      <c r="W3044" s="10">
        <v>1.1001412349668227</v>
      </c>
      <c r="X3044" s="420"/>
      <c r="Y3044" s="420"/>
      <c r="Z3044" s="1"/>
      <c r="AA3044" s="1"/>
      <c r="AB3044" s="1"/>
      <c r="AC3044" s="1"/>
      <c r="AD3044" s="1"/>
    </row>
    <row r="3045" spans="17:30">
      <c r="Q3045" s="6">
        <v>3015</v>
      </c>
      <c r="R3045" s="7">
        <v>45682</v>
      </c>
      <c r="S3045" s="210">
        <v>4.25</v>
      </c>
      <c r="T3045" s="8">
        <v>1.0001180555555556</v>
      </c>
      <c r="U3045" s="98">
        <v>4.2135539426454871</v>
      </c>
      <c r="V3045" s="106">
        <v>33723.275013820457</v>
      </c>
      <c r="W3045" s="10">
        <v>1.1002005097908274</v>
      </c>
      <c r="X3045" s="420"/>
      <c r="Y3045" s="420"/>
      <c r="Z3045" s="1"/>
      <c r="AA3045" s="1"/>
      <c r="AB3045" s="1"/>
      <c r="AC3045" s="1"/>
      <c r="AD3045" s="1"/>
    </row>
    <row r="3046" spans="17:30">
      <c r="Q3046" s="6">
        <v>3016</v>
      </c>
      <c r="R3046" s="7">
        <v>45683</v>
      </c>
      <c r="S3046" s="210">
        <v>4.25</v>
      </c>
      <c r="T3046" s="8">
        <v>1.0001180555555556</v>
      </c>
      <c r="U3046" s="98">
        <v>4.2136166823805832</v>
      </c>
      <c r="V3046" s="106">
        <v>33726.081896546784</v>
      </c>
      <c r="W3046" s="10">
        <v>1.1002597453426688</v>
      </c>
      <c r="X3046" s="420"/>
      <c r="Y3046" s="420"/>
      <c r="Z3046" s="1"/>
      <c r="AA3046" s="1"/>
      <c r="AB3046" s="1"/>
      <c r="AC3046" s="1"/>
      <c r="AD3046" s="1"/>
    </row>
    <row r="3047" spans="17:30">
      <c r="Q3047" s="6">
        <v>3017</v>
      </c>
      <c r="R3047" s="7">
        <v>45684</v>
      </c>
      <c r="S3047" s="210">
        <v>4.25</v>
      </c>
      <c r="T3047" s="8">
        <v>1.0001180555555556</v>
      </c>
      <c r="U3047" s="98">
        <v>4.2136793805626072</v>
      </c>
      <c r="V3047" s="106">
        <v>33728.889012897831</v>
      </c>
      <c r="W3047" s="10">
        <v>1.1003189416613157</v>
      </c>
      <c r="X3047" s="420"/>
      <c r="Y3047" s="420"/>
      <c r="Z3047" s="1"/>
      <c r="AA3047" s="1"/>
      <c r="AB3047" s="1"/>
      <c r="AC3047" s="1"/>
      <c r="AD3047" s="1"/>
    </row>
    <row r="3048" spans="17:30">
      <c r="Q3048" s="6">
        <v>3018</v>
      </c>
      <c r="R3048" s="7">
        <v>45685</v>
      </c>
      <c r="S3048" s="210">
        <v>4.25</v>
      </c>
      <c r="T3048" s="8">
        <v>1.0001180555555556</v>
      </c>
      <c r="U3048" s="98">
        <v>4.2137420372328149</v>
      </c>
      <c r="V3048" s="106">
        <v>33731.696362893046</v>
      </c>
      <c r="W3048" s="10">
        <v>1.100378098785737</v>
      </c>
      <c r="X3048" s="420"/>
      <c r="Y3048" s="420"/>
      <c r="Z3048" s="1"/>
      <c r="AA3048" s="1"/>
      <c r="AB3048" s="1"/>
      <c r="AC3048" s="1"/>
      <c r="AD3048" s="1"/>
    </row>
    <row r="3049" spans="17:30">
      <c r="Q3049" s="6">
        <v>3019</v>
      </c>
      <c r="R3049" s="7">
        <v>45686</v>
      </c>
      <c r="S3049" s="210">
        <v>4.25</v>
      </c>
      <c r="T3049" s="8">
        <v>1.0001180555555556</v>
      </c>
      <c r="U3049" s="98">
        <v>4.2138046524324402</v>
      </c>
      <c r="V3049" s="106">
        <v>33734.503946551871</v>
      </c>
      <c r="W3049" s="10">
        <v>1.1004372167548571</v>
      </c>
      <c r="X3049" s="420"/>
      <c r="Y3049" s="420"/>
      <c r="Z3049" s="1"/>
      <c r="AA3049" s="1"/>
      <c r="AB3049" s="1"/>
      <c r="AC3049" s="1"/>
      <c r="AD3049" s="1"/>
    </row>
    <row r="3050" spans="17:30">
      <c r="Q3050" s="6">
        <v>3020</v>
      </c>
      <c r="R3050" s="7">
        <v>45687</v>
      </c>
      <c r="S3050" s="210">
        <v>4.25</v>
      </c>
      <c r="T3050" s="8">
        <v>1.0001180555555556</v>
      </c>
      <c r="U3050" s="98">
        <v>4.2138672262026278</v>
      </c>
      <c r="V3050" s="106">
        <v>33737.311763893747</v>
      </c>
      <c r="W3050" s="10">
        <v>1.1004962956075781</v>
      </c>
      <c r="X3050" s="420"/>
      <c r="Y3050" s="420"/>
      <c r="Z3050" s="1"/>
      <c r="AA3050" s="1"/>
      <c r="AB3050" s="1"/>
      <c r="AC3050" s="1"/>
      <c r="AD3050" s="1"/>
    </row>
    <row r="3051" spans="17:30">
      <c r="Q3051" s="6">
        <v>3021</v>
      </c>
      <c r="R3051" s="7">
        <v>45688</v>
      </c>
      <c r="S3051" s="210">
        <v>4.25</v>
      </c>
      <c r="T3051" s="8">
        <v>1.0001180555555556</v>
      </c>
      <c r="U3051" s="98">
        <v>4.2139297585844782</v>
      </c>
      <c r="V3051" s="106">
        <v>33740.119814938138</v>
      </c>
      <c r="W3051" s="10">
        <v>1.1005553353826247</v>
      </c>
      <c r="X3051" s="420"/>
      <c r="Y3051" s="420"/>
      <c r="Z3051" s="1"/>
      <c r="AA3051" s="1"/>
      <c r="AB3051" s="1"/>
      <c r="AC3051" s="1"/>
      <c r="AD3051" s="1"/>
    </row>
    <row r="3052" spans="17:30">
      <c r="Q3052" s="6">
        <v>3022</v>
      </c>
      <c r="R3052" s="7">
        <v>45689</v>
      </c>
      <c r="S3052" s="210">
        <v>4.25</v>
      </c>
      <c r="T3052" s="8">
        <v>1.0001180555555556</v>
      </c>
      <c r="U3052" s="98">
        <v>4.2139922496190474</v>
      </c>
      <c r="V3052" s="106">
        <v>33742.928099704492</v>
      </c>
      <c r="W3052" s="10">
        <v>1.1006143361188325</v>
      </c>
      <c r="X3052" s="420"/>
      <c r="Y3052" s="420"/>
      <c r="Z3052" s="1"/>
      <c r="AA3052" s="1"/>
      <c r="AB3052" s="1"/>
      <c r="AC3052" s="1"/>
      <c r="AD3052" s="1"/>
    </row>
    <row r="3053" spans="17:30">
      <c r="Q3053" s="6">
        <v>3023</v>
      </c>
      <c r="R3053" s="7">
        <v>45690</v>
      </c>
      <c r="S3053" s="210">
        <v>4.25</v>
      </c>
      <c r="T3053" s="8">
        <v>1.0001180555555556</v>
      </c>
      <c r="U3053" s="98">
        <v>4.2140546993473249</v>
      </c>
      <c r="V3053" s="106">
        <v>33745.736618212257</v>
      </c>
      <c r="W3053" s="10">
        <v>1.1006732978548595</v>
      </c>
      <c r="X3053" s="420"/>
      <c r="Y3053" s="420"/>
      <c r="Z3053" s="1"/>
      <c r="AA3053" s="1"/>
      <c r="AB3053" s="1"/>
      <c r="AC3053" s="1"/>
      <c r="AD3053" s="1"/>
    </row>
    <row r="3054" spans="17:30">
      <c r="Q3054" s="6">
        <v>3024</v>
      </c>
      <c r="R3054" s="7">
        <v>45691</v>
      </c>
      <c r="S3054" s="210">
        <v>4.25</v>
      </c>
      <c r="T3054" s="8">
        <v>1.0001180555555556</v>
      </c>
      <c r="U3054" s="98">
        <v>4.2141171078102557</v>
      </c>
      <c r="V3054" s="106">
        <v>33748.545370480897</v>
      </c>
      <c r="W3054" s="10">
        <v>1.1007322206293635</v>
      </c>
      <c r="X3054" s="420"/>
      <c r="Y3054" s="420"/>
      <c r="Z3054" s="1"/>
      <c r="AA3054" s="1"/>
      <c r="AB3054" s="1"/>
      <c r="AC3054" s="1"/>
      <c r="AD3054" s="1"/>
    </row>
    <row r="3055" spans="17:30">
      <c r="Q3055" s="6">
        <v>3025</v>
      </c>
      <c r="R3055" s="7">
        <v>45692</v>
      </c>
      <c r="S3055" s="210">
        <v>4.25</v>
      </c>
      <c r="T3055" s="8">
        <v>1.0001180555555556</v>
      </c>
      <c r="U3055" s="98">
        <v>4.2141794750487405</v>
      </c>
      <c r="V3055" s="106">
        <v>33751.354356529853</v>
      </c>
      <c r="W3055" s="10">
        <v>1.1007911044810026</v>
      </c>
      <c r="X3055" s="420"/>
      <c r="Y3055" s="420"/>
      <c r="Z3055" s="1"/>
      <c r="AA3055" s="1"/>
      <c r="AB3055" s="1"/>
      <c r="AC3055" s="1"/>
      <c r="AD3055" s="1"/>
    </row>
    <row r="3056" spans="17:30">
      <c r="Q3056" s="6">
        <v>3026</v>
      </c>
      <c r="R3056" s="7">
        <v>45693</v>
      </c>
      <c r="S3056" s="210">
        <v>4.25</v>
      </c>
      <c r="T3056" s="8">
        <v>1.0001180555555556</v>
      </c>
      <c r="U3056" s="98">
        <v>4.2142418011035909</v>
      </c>
      <c r="V3056" s="106">
        <v>33754.163576378603</v>
      </c>
      <c r="W3056" s="10">
        <v>1.1008499494482793</v>
      </c>
      <c r="X3056" s="420"/>
      <c r="Y3056" s="420"/>
      <c r="Z3056" s="1"/>
      <c r="AA3056" s="1"/>
      <c r="AB3056" s="1"/>
      <c r="AC3056" s="1"/>
      <c r="AD3056" s="1"/>
    </row>
    <row r="3057" spans="17:30">
      <c r="Q3057" s="6">
        <v>3027</v>
      </c>
      <c r="R3057" s="7">
        <v>45694</v>
      </c>
      <c r="S3057" s="210">
        <v>4.25</v>
      </c>
      <c r="T3057" s="8">
        <v>1.0001180555555556</v>
      </c>
      <c r="U3057" s="98">
        <v>4.2143040860155967</v>
      </c>
      <c r="V3057" s="106">
        <v>33756.973030046596</v>
      </c>
      <c r="W3057" s="10">
        <v>1.1009087555697183</v>
      </c>
      <c r="X3057" s="420"/>
      <c r="Y3057" s="420"/>
      <c r="Z3057" s="1"/>
      <c r="AA3057" s="1"/>
      <c r="AB3057" s="1"/>
      <c r="AC3057" s="1"/>
      <c r="AD3057" s="1"/>
    </row>
    <row r="3058" spans="17:30">
      <c r="Q3058" s="6">
        <v>3028</v>
      </c>
      <c r="R3058" s="7">
        <v>45695</v>
      </c>
      <c r="S3058" s="210">
        <v>4.25</v>
      </c>
      <c r="T3058" s="8">
        <v>1.0001180555555556</v>
      </c>
      <c r="U3058" s="98">
        <v>4.2143663298254808</v>
      </c>
      <c r="V3058" s="106">
        <v>33759.78271755328</v>
      </c>
      <c r="W3058" s="10">
        <v>1.1009675228837779</v>
      </c>
      <c r="X3058" s="420"/>
      <c r="Y3058" s="420"/>
      <c r="Z3058" s="1"/>
      <c r="AA3058" s="1"/>
      <c r="AB3058" s="1"/>
      <c r="AC3058" s="1"/>
      <c r="AD3058" s="1"/>
    </row>
    <row r="3059" spans="17:30">
      <c r="Q3059" s="6">
        <v>3029</v>
      </c>
      <c r="R3059" s="7">
        <v>45696</v>
      </c>
      <c r="S3059" s="210">
        <v>4.25</v>
      </c>
      <c r="T3059" s="8">
        <v>1.0001180555555556</v>
      </c>
      <c r="U3059" s="98">
        <v>4.2144285325739217</v>
      </c>
      <c r="V3059" s="106">
        <v>33762.592638918148</v>
      </c>
      <c r="W3059" s="10">
        <v>1.1010262514288272</v>
      </c>
      <c r="X3059" s="420"/>
      <c r="Y3059" s="420"/>
      <c r="Z3059" s="1"/>
      <c r="AA3059" s="1"/>
      <c r="AB3059" s="1"/>
      <c r="AC3059" s="1"/>
      <c r="AD3059" s="1"/>
    </row>
    <row r="3060" spans="17:30">
      <c r="Q3060" s="6">
        <v>3030</v>
      </c>
      <c r="R3060" s="7">
        <v>45697</v>
      </c>
      <c r="S3060" s="210">
        <v>4.25</v>
      </c>
      <c r="T3060" s="8">
        <v>1.0001180555555556</v>
      </c>
      <c r="U3060" s="98">
        <v>4.2144906943015314</v>
      </c>
      <c r="V3060" s="106">
        <v>33765.402794160647</v>
      </c>
      <c r="W3060" s="10">
        <v>1.1010849412432577</v>
      </c>
      <c r="X3060" s="420"/>
      <c r="Y3060" s="420"/>
      <c r="Z3060" s="1"/>
      <c r="AA3060" s="1"/>
      <c r="AB3060" s="1"/>
      <c r="AC3060" s="1"/>
      <c r="AD3060" s="1"/>
    </row>
    <row r="3061" spans="17:30">
      <c r="Q3061" s="6">
        <v>3031</v>
      </c>
      <c r="R3061" s="7">
        <v>45698</v>
      </c>
      <c r="S3061" s="210">
        <v>4.25</v>
      </c>
      <c r="T3061" s="8">
        <v>1.0001180555555556</v>
      </c>
      <c r="U3061" s="98">
        <v>4.2145528150488776</v>
      </c>
      <c r="V3061" s="106">
        <v>33768.213183300242</v>
      </c>
      <c r="W3061" s="10">
        <v>1.1011435923653501</v>
      </c>
      <c r="X3061" s="420"/>
      <c r="Y3061" s="420"/>
      <c r="Z3061" s="1"/>
      <c r="AA3061" s="1"/>
      <c r="AB3061" s="1"/>
      <c r="AC3061" s="1"/>
      <c r="AD3061" s="1"/>
    </row>
    <row r="3062" spans="17:30">
      <c r="Q3062" s="6">
        <v>3032</v>
      </c>
      <c r="R3062" s="7">
        <v>45699</v>
      </c>
      <c r="S3062" s="210">
        <v>4.25</v>
      </c>
      <c r="T3062" s="8">
        <v>1.0001180555555556</v>
      </c>
      <c r="U3062" s="98">
        <v>4.214614894856461</v>
      </c>
      <c r="V3062" s="106">
        <v>33771.023806356403</v>
      </c>
      <c r="W3062" s="10">
        <v>1.1012022048333625</v>
      </c>
      <c r="X3062" s="420"/>
      <c r="Y3062" s="420"/>
      <c r="Z3062" s="1"/>
      <c r="AA3062" s="1"/>
      <c r="AB3062" s="1"/>
      <c r="AC3062" s="1"/>
      <c r="AD3062" s="1"/>
    </row>
    <row r="3063" spans="17:30">
      <c r="Q3063" s="6">
        <v>3033</v>
      </c>
      <c r="R3063" s="7">
        <v>45700</v>
      </c>
      <c r="S3063" s="210">
        <v>4.25</v>
      </c>
      <c r="T3063" s="8">
        <v>1.0001180555555556</v>
      </c>
      <c r="U3063" s="98">
        <v>4.2146769337647605</v>
      </c>
      <c r="V3063" s="106">
        <v>33773.834663348607</v>
      </c>
      <c r="W3063" s="10">
        <v>1.1012607786854867</v>
      </c>
      <c r="X3063" s="420"/>
      <c r="Y3063" s="420"/>
      <c r="Z3063" s="1"/>
      <c r="AA3063" s="1"/>
      <c r="AB3063" s="1"/>
      <c r="AC3063" s="1"/>
      <c r="AD3063" s="1"/>
    </row>
    <row r="3064" spans="17:30">
      <c r="Q3064" s="6">
        <v>3034</v>
      </c>
      <c r="R3064" s="7">
        <v>45701</v>
      </c>
      <c r="S3064" s="210">
        <v>4.25</v>
      </c>
      <c r="T3064" s="8">
        <v>1.0001180555555556</v>
      </c>
      <c r="U3064" s="98">
        <v>4.2147389318141659</v>
      </c>
      <c r="V3064" s="106">
        <v>33776.645754296311</v>
      </c>
      <c r="W3064" s="10">
        <v>1.1013193139598698</v>
      </c>
      <c r="X3064" s="420"/>
      <c r="Y3064" s="420"/>
      <c r="Z3064" s="1"/>
      <c r="AA3064" s="1"/>
      <c r="AB3064" s="1"/>
      <c r="AC3064" s="1"/>
      <c r="AD3064" s="1"/>
    </row>
    <row r="3065" spans="17:30">
      <c r="Q3065" s="6">
        <v>3035</v>
      </c>
      <c r="R3065" s="7">
        <v>45702</v>
      </c>
      <c r="S3065" s="210">
        <v>4.25</v>
      </c>
      <c r="T3065" s="8">
        <v>1.0001180555555556</v>
      </c>
      <c r="U3065" s="98">
        <v>4.2148008890450228</v>
      </c>
      <c r="V3065" s="106">
        <v>33779.457079218999</v>
      </c>
      <c r="W3065" s="10">
        <v>1.1013778106946148</v>
      </c>
      <c r="X3065" s="420"/>
      <c r="Y3065" s="420"/>
      <c r="Z3065" s="1"/>
      <c r="AA3065" s="1"/>
      <c r="AB3065" s="1"/>
      <c r="AC3065" s="1"/>
      <c r="AD3065" s="1"/>
    </row>
    <row r="3066" spans="17:30">
      <c r="Q3066" s="6">
        <v>3036</v>
      </c>
      <c r="R3066" s="7">
        <v>45703</v>
      </c>
      <c r="S3066" s="210">
        <v>4.25</v>
      </c>
      <c r="T3066" s="8">
        <v>1.0001180555555556</v>
      </c>
      <c r="U3066" s="98">
        <v>4.2148628054976545</v>
      </c>
      <c r="V3066" s="106">
        <v>33782.268638136149</v>
      </c>
      <c r="W3066" s="10">
        <v>1.1014362689278023</v>
      </c>
      <c r="X3066" s="420"/>
      <c r="Y3066" s="420"/>
      <c r="Z3066" s="1"/>
      <c r="AA3066" s="1"/>
      <c r="AB3066" s="1"/>
      <c r="AC3066" s="1"/>
      <c r="AD3066" s="1"/>
    </row>
    <row r="3067" spans="17:30">
      <c r="Q3067" s="6">
        <v>3037</v>
      </c>
      <c r="R3067" s="7">
        <v>45704</v>
      </c>
      <c r="S3067" s="210">
        <v>4.25</v>
      </c>
      <c r="T3067" s="8">
        <v>1.0001180555555556</v>
      </c>
      <c r="U3067" s="98">
        <v>4.2149246812122731</v>
      </c>
      <c r="V3067" s="106">
        <v>33785.080431067225</v>
      </c>
      <c r="W3067" s="10">
        <v>1.1014946886973798</v>
      </c>
      <c r="X3067" s="420"/>
      <c r="Y3067" s="420"/>
      <c r="Z3067" s="1"/>
      <c r="AA3067" s="1"/>
      <c r="AB3067" s="1"/>
      <c r="AC3067" s="1"/>
      <c r="AD3067" s="1"/>
    </row>
    <row r="3068" spans="17:30">
      <c r="Q3068" s="6">
        <v>3038</v>
      </c>
      <c r="R3068" s="7">
        <v>45705</v>
      </c>
      <c r="S3068" s="210">
        <v>4.25</v>
      </c>
      <c r="T3068" s="8">
        <v>1.0001180555555556</v>
      </c>
      <c r="U3068" s="98">
        <v>4.2149865162290912</v>
      </c>
      <c r="V3068" s="106">
        <v>33787.892458031711</v>
      </c>
      <c r="W3068" s="10">
        <v>1.1015530700413168</v>
      </c>
      <c r="X3068" s="420"/>
      <c r="Y3068" s="420"/>
      <c r="Z3068" s="1"/>
      <c r="AA3068" s="1"/>
      <c r="AB3068" s="1"/>
      <c r="AC3068" s="1"/>
      <c r="AD3068" s="1"/>
    </row>
    <row r="3069" spans="17:30">
      <c r="Q3069" s="6">
        <v>3039</v>
      </c>
      <c r="R3069" s="7">
        <v>45706</v>
      </c>
      <c r="S3069" s="210">
        <v>4.25</v>
      </c>
      <c r="T3069" s="8">
        <v>1.0001180555555556</v>
      </c>
      <c r="U3069" s="98">
        <v>4.2150483105882541</v>
      </c>
      <c r="V3069" s="106">
        <v>33790.704719049078</v>
      </c>
      <c r="W3069" s="10">
        <v>1.1016114129975385</v>
      </c>
      <c r="X3069" s="420"/>
      <c r="Y3069" s="420"/>
      <c r="Z3069" s="1"/>
      <c r="AA3069" s="1"/>
      <c r="AB3069" s="1"/>
      <c r="AC3069" s="1"/>
      <c r="AD3069" s="1"/>
    </row>
    <row r="3070" spans="17:30">
      <c r="Q3070" s="6">
        <v>3040</v>
      </c>
      <c r="R3070" s="7">
        <v>45707</v>
      </c>
      <c r="S3070" s="210">
        <v>4.25</v>
      </c>
      <c r="T3070" s="8">
        <v>1.0001180555555556</v>
      </c>
      <c r="U3070" s="98">
        <v>4.2151100643298411</v>
      </c>
      <c r="V3070" s="106">
        <v>33793.517214138818</v>
      </c>
      <c r="W3070" s="10">
        <v>1.1016697176038592</v>
      </c>
      <c r="X3070" s="420"/>
      <c r="Y3070" s="420"/>
      <c r="Z3070" s="1"/>
      <c r="AA3070" s="1"/>
      <c r="AB3070" s="1"/>
      <c r="AC3070" s="1"/>
      <c r="AD3070" s="1"/>
    </row>
    <row r="3071" spans="17:30">
      <c r="Q3071" s="6">
        <v>3041</v>
      </c>
      <c r="R3071" s="7">
        <v>45708</v>
      </c>
      <c r="S3071" s="210">
        <v>4.25</v>
      </c>
      <c r="T3071" s="8">
        <v>1.0001180555555556</v>
      </c>
      <c r="U3071" s="98">
        <v>4.2151717774938646</v>
      </c>
      <c r="V3071" s="106">
        <v>33796.329943320416</v>
      </c>
      <c r="W3071" s="10">
        <v>1.1017279838980931</v>
      </c>
      <c r="X3071" s="420"/>
      <c r="Y3071" s="420"/>
      <c r="Z3071" s="1"/>
      <c r="AA3071" s="1"/>
      <c r="AB3071" s="1"/>
      <c r="AC3071" s="1"/>
      <c r="AD3071" s="1"/>
    </row>
    <row r="3072" spans="17:30">
      <c r="Q3072" s="6">
        <v>3042</v>
      </c>
      <c r="R3072" s="7">
        <v>45709</v>
      </c>
      <c r="S3072" s="210">
        <v>4.25</v>
      </c>
      <c r="T3072" s="8">
        <v>1.0001180555555556</v>
      </c>
      <c r="U3072" s="98">
        <v>4.215233450120337</v>
      </c>
      <c r="V3072" s="106">
        <v>33799.142906613342</v>
      </c>
      <c r="W3072" s="10">
        <v>1.1017862119179656</v>
      </c>
      <c r="X3072" s="420"/>
      <c r="Y3072" s="420"/>
      <c r="Z3072" s="1"/>
      <c r="AA3072" s="1"/>
      <c r="AB3072" s="1"/>
      <c r="AC3072" s="1"/>
      <c r="AD3072" s="1"/>
    </row>
    <row r="3073" spans="17:30">
      <c r="Q3073" s="6">
        <v>3043</v>
      </c>
      <c r="R3073" s="7">
        <v>45710</v>
      </c>
      <c r="S3073" s="210">
        <v>4.25</v>
      </c>
      <c r="T3073" s="8">
        <v>1.0001180555555556</v>
      </c>
      <c r="U3073" s="98">
        <v>4.2152950822491819</v>
      </c>
      <c r="V3073" s="106">
        <v>33801.95610403709</v>
      </c>
      <c r="W3073" s="10">
        <v>1.1018444017012463</v>
      </c>
      <c r="X3073" s="420"/>
      <c r="Y3073" s="420"/>
      <c r="Z3073" s="1"/>
      <c r="AA3073" s="1"/>
      <c r="AB3073" s="1"/>
      <c r="AC3073" s="1"/>
      <c r="AD3073" s="1"/>
    </row>
    <row r="3074" spans="17:30">
      <c r="Q3074" s="6">
        <v>3044</v>
      </c>
      <c r="R3074" s="7">
        <v>45711</v>
      </c>
      <c r="S3074" s="210">
        <v>4.25</v>
      </c>
      <c r="T3074" s="8">
        <v>1.0001180555555556</v>
      </c>
      <c r="U3074" s="98">
        <v>4.2153566739202564</v>
      </c>
      <c r="V3074" s="106">
        <v>33804.769535611151</v>
      </c>
      <c r="W3074" s="10">
        <v>1.1019025532855053</v>
      </c>
      <c r="X3074" s="420"/>
      <c r="Y3074" s="420"/>
      <c r="Z3074" s="1"/>
      <c r="AA3074" s="1"/>
      <c r="AB3074" s="1"/>
      <c r="AC3074" s="1"/>
      <c r="AD3074" s="1"/>
    </row>
    <row r="3075" spans="17:30">
      <c r="Q3075" s="6">
        <v>3045</v>
      </c>
      <c r="R3075" s="7">
        <v>45712</v>
      </c>
      <c r="S3075" s="210">
        <v>4.25</v>
      </c>
      <c r="T3075" s="8">
        <v>1.0001180555555556</v>
      </c>
      <c r="U3075" s="98">
        <v>4.2154182251733952</v>
      </c>
      <c r="V3075" s="106">
        <v>33807.58320135501</v>
      </c>
      <c r="W3075" s="10">
        <v>1.1019606667083792</v>
      </c>
      <c r="X3075" s="420"/>
      <c r="Y3075" s="420"/>
      <c r="Z3075" s="1"/>
      <c r="AA3075" s="1"/>
      <c r="AB3075" s="1"/>
      <c r="AC3075" s="1"/>
      <c r="AD3075" s="1"/>
    </row>
    <row r="3076" spans="17:30">
      <c r="Q3076" s="6">
        <v>3046</v>
      </c>
      <c r="R3076" s="7">
        <v>45713</v>
      </c>
      <c r="S3076" s="210">
        <v>4.25</v>
      </c>
      <c r="T3076" s="8">
        <v>1.0001180555555556</v>
      </c>
      <c r="U3076" s="98">
        <v>4.2154797360483665</v>
      </c>
      <c r="V3076" s="106">
        <v>33810.397101288152</v>
      </c>
      <c r="W3076" s="10">
        <v>1.1020187420074157</v>
      </c>
      <c r="X3076" s="420"/>
      <c r="Y3076" s="420"/>
      <c r="Z3076" s="1"/>
      <c r="AA3076" s="1"/>
      <c r="AB3076" s="1"/>
      <c r="AC3076" s="1"/>
      <c r="AD3076" s="1"/>
    </row>
    <row r="3077" spans="17:30">
      <c r="Q3077" s="6">
        <v>3047</v>
      </c>
      <c r="R3077" s="7">
        <v>45714</v>
      </c>
      <c r="S3077" s="210">
        <v>4.25</v>
      </c>
      <c r="T3077" s="8">
        <v>1.0001180555555556</v>
      </c>
      <c r="U3077" s="98">
        <v>4.2155412065848941</v>
      </c>
      <c r="V3077" s="106">
        <v>33813.211235430077</v>
      </c>
      <c r="W3077" s="10">
        <v>1.102076779220118</v>
      </c>
      <c r="X3077" s="420"/>
      <c r="Y3077" s="420"/>
      <c r="Z3077" s="1"/>
      <c r="AA3077" s="1"/>
      <c r="AB3077" s="1"/>
      <c r="AC3077" s="1"/>
      <c r="AD3077" s="1"/>
    </row>
    <row r="3078" spans="17:30">
      <c r="Q3078" s="6">
        <v>3048</v>
      </c>
      <c r="R3078" s="7">
        <v>45715</v>
      </c>
      <c r="S3078" s="210">
        <v>4.25</v>
      </c>
      <c r="T3078" s="8">
        <v>1.0001180555555556</v>
      </c>
      <c r="U3078" s="98">
        <v>4.2156026368226573</v>
      </c>
      <c r="V3078" s="106">
        <v>33816.025603800277</v>
      </c>
      <c r="W3078" s="10">
        <v>1.1021347783839452</v>
      </c>
      <c r="X3078" s="420"/>
      <c r="Y3078" s="420"/>
      <c r="Z3078" s="1"/>
      <c r="AA3078" s="1"/>
      <c r="AB3078" s="1"/>
      <c r="AC3078" s="1"/>
      <c r="AD3078" s="1"/>
    </row>
    <row r="3079" spans="17:30">
      <c r="Q3079" s="6">
        <v>3049</v>
      </c>
      <c r="R3079" s="7">
        <v>45716</v>
      </c>
      <c r="S3079" s="210">
        <v>4.25</v>
      </c>
      <c r="T3079" s="8">
        <v>1.0001180555555556</v>
      </c>
      <c r="U3079" s="98">
        <v>4.2156640268012469</v>
      </c>
      <c r="V3079" s="106">
        <v>33818.840206418245</v>
      </c>
      <c r="W3079" s="10">
        <v>1.1021927395363118</v>
      </c>
      <c r="X3079" s="420"/>
      <c r="Y3079" s="420"/>
      <c r="Z3079" s="1"/>
      <c r="AA3079" s="1"/>
      <c r="AB3079" s="1"/>
      <c r="AC3079" s="1"/>
      <c r="AD3079" s="1"/>
    </row>
    <row r="3080" spans="17:30">
      <c r="Q3080" s="6">
        <v>3050</v>
      </c>
      <c r="R3080" s="7">
        <v>45717</v>
      </c>
      <c r="S3080" s="210">
        <v>4.25</v>
      </c>
      <c r="T3080" s="8">
        <v>1.0001180555555556</v>
      </c>
      <c r="U3080" s="98">
        <v>4.2157253765602531</v>
      </c>
      <c r="V3080" s="106">
        <v>33821.655043303479</v>
      </c>
      <c r="W3080" s="10">
        <v>1.1022506627145656</v>
      </c>
      <c r="X3080" s="420"/>
      <c r="Y3080" s="420"/>
      <c r="Z3080" s="1"/>
      <c r="AA3080" s="1"/>
      <c r="AB3080" s="1"/>
      <c r="AC3080" s="1"/>
      <c r="AD3080" s="1"/>
    </row>
    <row r="3081" spans="17:30">
      <c r="Q3081" s="6">
        <v>3051</v>
      </c>
      <c r="R3081" s="7">
        <v>45718</v>
      </c>
      <c r="S3081" s="210">
        <v>4.25</v>
      </c>
      <c r="T3081" s="8">
        <v>1.0001180555555556</v>
      </c>
      <c r="U3081" s="98">
        <v>4.215786686139178</v>
      </c>
      <c r="V3081" s="106">
        <v>33824.47011447548</v>
      </c>
      <c r="W3081" s="10">
        <v>1.1023085479560102</v>
      </c>
      <c r="X3081" s="420"/>
      <c r="Y3081" s="420"/>
      <c r="Z3081" s="1"/>
      <c r="AA3081" s="1"/>
      <c r="AB3081" s="1"/>
      <c r="AC3081" s="1"/>
      <c r="AD3081" s="1"/>
    </row>
    <row r="3082" spans="17:30">
      <c r="Q3082" s="6">
        <v>3052</v>
      </c>
      <c r="R3082" s="7">
        <v>45719</v>
      </c>
      <c r="S3082" s="210">
        <v>4.25</v>
      </c>
      <c r="T3082" s="8">
        <v>1.0001180555555556</v>
      </c>
      <c r="U3082" s="98">
        <v>4.2158479555774786</v>
      </c>
      <c r="V3082" s="106">
        <v>33827.285419953747</v>
      </c>
      <c r="W3082" s="10">
        <v>1.1023663952978824</v>
      </c>
      <c r="X3082" s="420"/>
      <c r="Y3082" s="420"/>
      <c r="Z3082" s="1"/>
      <c r="AA3082" s="1"/>
      <c r="AB3082" s="1"/>
      <c r="AC3082" s="1"/>
      <c r="AD3082" s="1"/>
    </row>
    <row r="3083" spans="17:30">
      <c r="Q3083" s="6">
        <v>3053</v>
      </c>
      <c r="R3083" s="7">
        <v>45720</v>
      </c>
      <c r="S3083" s="210">
        <v>4.25</v>
      </c>
      <c r="T3083" s="8">
        <v>1.0001180555555556</v>
      </c>
      <c r="U3083" s="98">
        <v>4.215909184914568</v>
      </c>
      <c r="V3083" s="106">
        <v>33830.100959757787</v>
      </c>
      <c r="W3083" s="10">
        <v>1.1024242047774413</v>
      </c>
      <c r="X3083" s="420"/>
      <c r="Y3083" s="420"/>
      <c r="Z3083" s="1"/>
      <c r="AA3083" s="1"/>
      <c r="AB3083" s="1"/>
      <c r="AC3083" s="1"/>
      <c r="AD3083" s="1"/>
    </row>
    <row r="3084" spans="17:30">
      <c r="Q3084" s="6">
        <v>3054</v>
      </c>
      <c r="R3084" s="7">
        <v>45721</v>
      </c>
      <c r="S3084" s="210">
        <v>4.25</v>
      </c>
      <c r="T3084" s="8">
        <v>1.0001180555555556</v>
      </c>
      <c r="U3084" s="98">
        <v>4.2159703741897925</v>
      </c>
      <c r="V3084" s="106">
        <v>33832.916733907092</v>
      </c>
      <c r="W3084" s="10">
        <v>1.1024819764317906</v>
      </c>
      <c r="X3084" s="420"/>
      <c r="Y3084" s="420"/>
      <c r="Z3084" s="1"/>
      <c r="AA3084" s="1"/>
      <c r="AB3084" s="1"/>
      <c r="AC3084" s="1"/>
      <c r="AD3084" s="1"/>
    </row>
    <row r="3085" spans="17:30">
      <c r="Q3085" s="6">
        <v>3055</v>
      </c>
      <c r="R3085" s="7">
        <v>45722</v>
      </c>
      <c r="S3085" s="210">
        <v>4.25</v>
      </c>
      <c r="T3085" s="8">
        <v>1.0001180555555556</v>
      </c>
      <c r="U3085" s="98">
        <v>4.2160315234424539</v>
      </c>
      <c r="V3085" s="106">
        <v>33835.732742421176</v>
      </c>
      <c r="W3085" s="10">
        <v>1.1025397102980783</v>
      </c>
      <c r="X3085" s="420"/>
      <c r="Y3085" s="420"/>
      <c r="Z3085" s="1"/>
      <c r="AA3085" s="1"/>
      <c r="AB3085" s="1"/>
      <c r="AC3085" s="1"/>
      <c r="AD3085" s="1"/>
    </row>
    <row r="3086" spans="17:30">
      <c r="Q3086" s="6">
        <v>3056</v>
      </c>
      <c r="R3086" s="7">
        <v>45723</v>
      </c>
      <c r="S3086" s="210">
        <v>4.25</v>
      </c>
      <c r="T3086" s="8">
        <v>1.0001180555555556</v>
      </c>
      <c r="U3086" s="98">
        <v>4.2160926327118098</v>
      </c>
      <c r="V3086" s="106">
        <v>33838.548985319547</v>
      </c>
      <c r="W3086" s="10">
        <v>1.1025974064133637</v>
      </c>
      <c r="X3086" s="420"/>
      <c r="Y3086" s="420"/>
      <c r="Z3086" s="1"/>
      <c r="AA3086" s="1"/>
      <c r="AB3086" s="1"/>
      <c r="AC3086" s="1"/>
      <c r="AD3086" s="1"/>
    </row>
    <row r="3087" spans="17:30">
      <c r="Q3087" s="6">
        <v>3057</v>
      </c>
      <c r="R3087" s="7">
        <v>45724</v>
      </c>
      <c r="S3087" s="210">
        <v>4.25</v>
      </c>
      <c r="T3087" s="8">
        <v>1.0001180555555556</v>
      </c>
      <c r="U3087" s="98">
        <v>4.2161537020370732</v>
      </c>
      <c r="V3087" s="106">
        <v>33841.365462621703</v>
      </c>
      <c r="W3087" s="10">
        <v>1.1026550648146394</v>
      </c>
      <c r="X3087" s="420"/>
      <c r="Y3087" s="420"/>
      <c r="Z3087" s="1"/>
      <c r="AA3087" s="1"/>
      <c r="AB3087" s="1"/>
      <c r="AC3087" s="1"/>
      <c r="AD3087" s="1"/>
    </row>
    <row r="3088" spans="17:30">
      <c r="Q3088" s="6">
        <v>3058</v>
      </c>
      <c r="R3088" s="7">
        <v>45725</v>
      </c>
      <c r="S3088" s="210">
        <v>4.25</v>
      </c>
      <c r="T3088" s="8">
        <v>1.0001180555555556</v>
      </c>
      <c r="U3088" s="98">
        <v>4.2162147314573906</v>
      </c>
      <c r="V3088" s="106">
        <v>33844.182174347166</v>
      </c>
      <c r="W3088" s="10">
        <v>1.102712685538898</v>
      </c>
      <c r="X3088" s="420"/>
      <c r="Y3088" s="420"/>
      <c r="Z3088" s="1"/>
      <c r="AA3088" s="1"/>
      <c r="AB3088" s="1"/>
      <c r="AC3088" s="1"/>
      <c r="AD3088" s="1"/>
    </row>
    <row r="3089" spans="17:30">
      <c r="Q3089" s="6">
        <v>3059</v>
      </c>
      <c r="R3089" s="7">
        <v>45726</v>
      </c>
      <c r="S3089" s="210">
        <v>4.25</v>
      </c>
      <c r="T3089" s="8">
        <v>1.0001180555555556</v>
      </c>
      <c r="U3089" s="98">
        <v>4.216275721011864</v>
      </c>
      <c r="V3089" s="106">
        <v>33846.999120515444</v>
      </c>
      <c r="W3089" s="10">
        <v>1.1027702686230434</v>
      </c>
      <c r="X3089" s="420"/>
      <c r="Y3089" s="420"/>
      <c r="Z3089" s="1"/>
      <c r="AA3089" s="1"/>
      <c r="AB3089" s="1"/>
      <c r="AC3089" s="1"/>
      <c r="AD3089" s="1"/>
    </row>
    <row r="3090" spans="17:30">
      <c r="Q3090" s="6">
        <v>3060</v>
      </c>
      <c r="R3090" s="7">
        <v>45727</v>
      </c>
      <c r="S3090" s="210">
        <v>4.25</v>
      </c>
      <c r="T3090" s="8">
        <v>1.0001180555555556</v>
      </c>
      <c r="U3090" s="98">
        <v>4.2163366707395511</v>
      </c>
      <c r="V3090" s="106">
        <v>33849.816301146049</v>
      </c>
      <c r="W3090" s="10">
        <v>1.1028278141039571</v>
      </c>
      <c r="X3090" s="420"/>
      <c r="Y3090" s="420"/>
      <c r="Z3090" s="1"/>
      <c r="AA3090" s="1"/>
      <c r="AB3090" s="1"/>
      <c r="AC3090" s="1"/>
      <c r="AD3090" s="1"/>
    </row>
    <row r="3091" spans="17:30">
      <c r="Q3091" s="6">
        <v>3061</v>
      </c>
      <c r="R3091" s="7">
        <v>45728</v>
      </c>
      <c r="S3091" s="210">
        <v>4.25</v>
      </c>
      <c r="T3091" s="8">
        <v>1.0001180555555556</v>
      </c>
      <c r="U3091" s="98">
        <v>4.2163975806794429</v>
      </c>
      <c r="V3091" s="106">
        <v>33852.633716258497</v>
      </c>
      <c r="W3091" s="10">
        <v>1.1028853220184542</v>
      </c>
      <c r="X3091" s="420"/>
      <c r="Y3091" s="420"/>
      <c r="Z3091" s="1"/>
      <c r="AA3091" s="1"/>
      <c r="AB3091" s="1"/>
      <c r="AC3091" s="1"/>
      <c r="AD3091" s="1"/>
    </row>
    <row r="3092" spans="17:30">
      <c r="Q3092" s="6">
        <v>3062</v>
      </c>
      <c r="R3092" s="7">
        <v>45729</v>
      </c>
      <c r="S3092" s="210">
        <v>4.25</v>
      </c>
      <c r="T3092" s="8">
        <v>1.0001180555555556</v>
      </c>
      <c r="U3092" s="98">
        <v>4.2164584508704639</v>
      </c>
      <c r="V3092" s="106">
        <v>33855.451365872301</v>
      </c>
      <c r="W3092" s="10">
        <v>1.1029427924033053</v>
      </c>
      <c r="X3092" s="420"/>
      <c r="Y3092" s="420"/>
      <c r="Z3092" s="1"/>
      <c r="AA3092" s="1"/>
      <c r="AB3092" s="1"/>
      <c r="AC3092" s="1"/>
      <c r="AD3092" s="1"/>
    </row>
    <row r="3093" spans="17:30">
      <c r="Q3093" s="6">
        <v>3063</v>
      </c>
      <c r="R3093" s="7">
        <v>45730</v>
      </c>
      <c r="S3093" s="210">
        <v>4.25</v>
      </c>
      <c r="T3093" s="8">
        <v>1.0001180555555556</v>
      </c>
      <c r="U3093" s="98">
        <v>4.2165192813515384</v>
      </c>
      <c r="V3093" s="106">
        <v>33858.269250006975</v>
      </c>
      <c r="W3093" s="10">
        <v>1.1030002252952364</v>
      </c>
      <c r="X3093" s="420"/>
      <c r="Y3093" s="420"/>
      <c r="Z3093" s="1"/>
      <c r="AA3093" s="1"/>
      <c r="AB3093" s="1"/>
      <c r="AC3093" s="1"/>
      <c r="AD3093" s="1"/>
    </row>
    <row r="3094" spans="17:30">
      <c r="Q3094" s="6">
        <v>3064</v>
      </c>
      <c r="R3094" s="7">
        <v>45731</v>
      </c>
      <c r="S3094" s="210">
        <v>4.25</v>
      </c>
      <c r="T3094" s="8">
        <v>1.0001180555555556</v>
      </c>
      <c r="U3094" s="98">
        <v>4.2165800721615021</v>
      </c>
      <c r="V3094" s="106">
        <v>33861.087368682056</v>
      </c>
      <c r="W3094" s="10">
        <v>1.1030576207309295</v>
      </c>
      <c r="X3094" s="420"/>
      <c r="Y3094" s="420"/>
      <c r="Z3094" s="1"/>
      <c r="AA3094" s="1"/>
      <c r="AB3094" s="1"/>
      <c r="AC3094" s="1"/>
      <c r="AD3094" s="1"/>
    </row>
    <row r="3095" spans="17:30">
      <c r="Q3095" s="6">
        <v>3065</v>
      </c>
      <c r="R3095" s="7">
        <v>45732</v>
      </c>
      <c r="S3095" s="210">
        <v>4.25</v>
      </c>
      <c r="T3095" s="8">
        <v>1.0001180555555556</v>
      </c>
      <c r="U3095" s="98">
        <v>4.2166408233391461</v>
      </c>
      <c r="V3095" s="106">
        <v>33863.90572191705</v>
      </c>
      <c r="W3095" s="10">
        <v>1.1031149787469996</v>
      </c>
      <c r="X3095" s="420"/>
      <c r="Y3095" s="420"/>
      <c r="Z3095" s="1"/>
      <c r="AA3095" s="1"/>
      <c r="AB3095" s="1"/>
      <c r="AC3095" s="1"/>
      <c r="AD3095" s="1"/>
    </row>
    <row r="3096" spans="17:30">
      <c r="Q3096" s="6">
        <v>3066</v>
      </c>
      <c r="R3096" s="7">
        <v>45733</v>
      </c>
      <c r="S3096" s="210">
        <v>4.25</v>
      </c>
      <c r="T3096" s="8">
        <v>1.0001180555555556</v>
      </c>
      <c r="U3096" s="98">
        <v>4.2167015349232395</v>
      </c>
      <c r="V3096" s="106">
        <v>33866.724309731486</v>
      </c>
      <c r="W3096" s="10">
        <v>1.1031722993800841</v>
      </c>
      <c r="X3096" s="420"/>
      <c r="Y3096" s="420"/>
      <c r="Z3096" s="1"/>
      <c r="AA3096" s="1"/>
      <c r="AB3096" s="1"/>
      <c r="AC3096" s="1"/>
      <c r="AD3096" s="1"/>
    </row>
    <row r="3097" spans="17:30">
      <c r="Q3097" s="6">
        <v>3067</v>
      </c>
      <c r="R3097" s="7">
        <v>45734</v>
      </c>
      <c r="S3097" s="210">
        <v>4.25</v>
      </c>
      <c r="T3097" s="8">
        <v>1.0001180555555556</v>
      </c>
      <c r="U3097" s="98">
        <v>4.2167622069524402</v>
      </c>
      <c r="V3097" s="106">
        <v>33869.543132144885</v>
      </c>
      <c r="W3097" s="10">
        <v>1.1032295826666427</v>
      </c>
      <c r="X3097" s="420"/>
      <c r="Y3097" s="420"/>
      <c r="Z3097" s="1"/>
      <c r="AA3097" s="1"/>
      <c r="AB3097" s="1"/>
      <c r="AC3097" s="1"/>
      <c r="AD3097" s="1"/>
    </row>
    <row r="3098" spans="17:30">
      <c r="Q3098" s="6">
        <v>3068</v>
      </c>
      <c r="R3098" s="7">
        <v>45735</v>
      </c>
      <c r="S3098" s="210">
        <v>4.25</v>
      </c>
      <c r="T3098" s="8">
        <v>1.0001180555555556</v>
      </c>
      <c r="U3098" s="98">
        <v>4.2168228394654061</v>
      </c>
      <c r="V3098" s="106">
        <v>33872.362189176791</v>
      </c>
      <c r="W3098" s="10">
        <v>1.1032868286431796</v>
      </c>
      <c r="X3098" s="420"/>
      <c r="Y3098" s="420"/>
      <c r="Z3098" s="1"/>
      <c r="AA3098" s="1"/>
      <c r="AB3098" s="1"/>
      <c r="AC3098" s="1"/>
      <c r="AD3098" s="1"/>
    </row>
    <row r="3099" spans="17:30">
      <c r="Q3099" s="6">
        <v>3069</v>
      </c>
      <c r="R3099" s="7">
        <v>45736</v>
      </c>
      <c r="S3099" s="210">
        <v>4.25</v>
      </c>
      <c r="T3099" s="8">
        <v>1.0001180555555556</v>
      </c>
      <c r="U3099" s="98">
        <v>4.2168834325007509</v>
      </c>
      <c r="V3099" s="106">
        <v>33875.181480846702</v>
      </c>
      <c r="W3099" s="10">
        <v>1.1033440373461989</v>
      </c>
      <c r="X3099" s="420"/>
      <c r="Y3099" s="420"/>
      <c r="Z3099" s="1"/>
      <c r="AA3099" s="1"/>
      <c r="AB3099" s="1"/>
      <c r="AC3099" s="1"/>
      <c r="AD3099" s="1"/>
    </row>
    <row r="3100" spans="17:30">
      <c r="Q3100" s="6">
        <v>3070</v>
      </c>
      <c r="R3100" s="7">
        <v>45737</v>
      </c>
      <c r="S3100" s="210">
        <v>4.25</v>
      </c>
      <c r="T3100" s="8">
        <v>1.0001180555555556</v>
      </c>
      <c r="U3100" s="98">
        <v>4.2169439860969993</v>
      </c>
      <c r="V3100" s="106">
        <v>33878.001007174171</v>
      </c>
      <c r="W3100" s="10">
        <v>1.1034012088120271</v>
      </c>
      <c r="X3100" s="420"/>
      <c r="Y3100" s="420"/>
      <c r="Z3100" s="1"/>
      <c r="AA3100" s="1"/>
      <c r="AB3100" s="1"/>
      <c r="AC3100" s="1"/>
      <c r="AD3100" s="1"/>
    </row>
    <row r="3101" spans="17:30">
      <c r="Q3101" s="6">
        <v>3071</v>
      </c>
      <c r="R3101" s="7">
        <v>45738</v>
      </c>
      <c r="S3101" s="210">
        <v>4.25</v>
      </c>
      <c r="T3101" s="8">
        <v>1.0001180555555556</v>
      </c>
      <c r="U3101" s="98">
        <v>4.2170045002926315</v>
      </c>
      <c r="V3101" s="106">
        <v>33880.82076817871</v>
      </c>
      <c r="W3101" s="10">
        <v>1.1034583430770128</v>
      </c>
      <c r="X3101" s="420"/>
      <c r="Y3101" s="420"/>
      <c r="Z3101" s="1"/>
      <c r="AA3101" s="1"/>
      <c r="AB3101" s="1"/>
      <c r="AC3101" s="1"/>
      <c r="AD3101" s="1"/>
    </row>
    <row r="3102" spans="17:30">
      <c r="Q3102" s="6">
        <v>3072</v>
      </c>
      <c r="R3102" s="7">
        <v>45739</v>
      </c>
      <c r="S3102" s="210">
        <v>4.25</v>
      </c>
      <c r="T3102" s="8">
        <v>1.0001180555555556</v>
      </c>
      <c r="U3102" s="98">
        <v>4.2170649751261058</v>
      </c>
      <c r="V3102" s="106">
        <v>33883.640763879877</v>
      </c>
      <c r="W3102" s="10">
        <v>1.1035154401774605</v>
      </c>
      <c r="X3102" s="420"/>
      <c r="Y3102" s="420"/>
      <c r="Z3102" s="1"/>
      <c r="AA3102" s="1"/>
      <c r="AB3102" s="1"/>
      <c r="AC3102" s="1"/>
      <c r="AD3102" s="1"/>
    </row>
    <row r="3103" spans="17:30">
      <c r="Q3103" s="6">
        <v>3073</v>
      </c>
      <c r="R3103" s="7">
        <v>45740</v>
      </c>
      <c r="S3103" s="210">
        <v>4.25</v>
      </c>
      <c r="T3103" s="8">
        <v>1.0001180555555556</v>
      </c>
      <c r="U3103" s="98">
        <v>4.2171254106358136</v>
      </c>
      <c r="V3103" s="106">
        <v>33886.46099429718</v>
      </c>
      <c r="W3103" s="10">
        <v>1.1035725001496299</v>
      </c>
      <c r="X3103" s="420"/>
      <c r="Y3103" s="420"/>
      <c r="Z3103" s="1"/>
      <c r="AA3103" s="1"/>
      <c r="AB3103" s="1"/>
      <c r="AC3103" s="1"/>
      <c r="AD3103" s="1"/>
    </row>
    <row r="3104" spans="17:30">
      <c r="Q3104" s="6">
        <v>3074</v>
      </c>
      <c r="R3104" s="7">
        <v>45741</v>
      </c>
      <c r="S3104" s="210">
        <v>4.25</v>
      </c>
      <c r="T3104" s="8">
        <v>1.0001180555555556</v>
      </c>
      <c r="U3104" s="98">
        <v>4.217185806860102</v>
      </c>
      <c r="V3104" s="106">
        <v>33889.281459450176</v>
      </c>
      <c r="W3104" s="10">
        <v>1.1036295230297144</v>
      </c>
      <c r="X3104" s="420"/>
      <c r="Y3104" s="420"/>
      <c r="Z3104" s="1"/>
      <c r="AA3104" s="1"/>
      <c r="AB3104" s="1"/>
      <c r="AC3104" s="1"/>
      <c r="AD3104" s="1"/>
    </row>
    <row r="3105" spans="17:30">
      <c r="Q3105" s="6">
        <v>3075</v>
      </c>
      <c r="R3105" s="7">
        <v>45742</v>
      </c>
      <c r="S3105" s="210">
        <v>4.25</v>
      </c>
      <c r="T3105" s="8">
        <v>1.0001180555555556</v>
      </c>
      <c r="U3105" s="98">
        <v>4.2172461638372738</v>
      </c>
      <c r="V3105" s="106">
        <v>33892.102159358394</v>
      </c>
      <c r="W3105" s="10">
        <v>1.1036865088539072</v>
      </c>
      <c r="X3105" s="420"/>
      <c r="Y3105" s="420"/>
      <c r="Z3105" s="1"/>
      <c r="AA3105" s="1"/>
      <c r="AB3105" s="1"/>
      <c r="AC3105" s="1"/>
      <c r="AD3105" s="1"/>
    </row>
    <row r="3106" spans="17:30">
      <c r="Q3106" s="6">
        <v>3076</v>
      </c>
      <c r="R3106" s="7">
        <v>45743</v>
      </c>
      <c r="S3106" s="210">
        <v>4.25</v>
      </c>
      <c r="T3106" s="8">
        <v>1.0001180555555556</v>
      </c>
      <c r="U3106" s="98">
        <v>4.2173064816055428</v>
      </c>
      <c r="V3106" s="106">
        <v>33894.923094041376</v>
      </c>
      <c r="W3106" s="10">
        <v>1.1037434576582683</v>
      </c>
      <c r="X3106" s="420"/>
      <c r="Y3106" s="420"/>
      <c r="Z3106" s="1"/>
      <c r="AA3106" s="1"/>
      <c r="AB3106" s="1"/>
      <c r="AC3106" s="1"/>
      <c r="AD3106" s="1"/>
    </row>
    <row r="3107" spans="17:30">
      <c r="Q3107" s="6">
        <v>3077</v>
      </c>
      <c r="R3107" s="7">
        <v>45744</v>
      </c>
      <c r="S3107" s="210">
        <v>4.25</v>
      </c>
      <c r="T3107" s="8">
        <v>1.0001180555555556</v>
      </c>
      <c r="U3107" s="98">
        <v>4.2173667602031228</v>
      </c>
      <c r="V3107" s="106">
        <v>33897.744263518653</v>
      </c>
      <c r="W3107" s="10">
        <v>1.1038003694788801</v>
      </c>
      <c r="X3107" s="420"/>
      <c r="Y3107" s="420"/>
      <c r="Z3107" s="1"/>
      <c r="AA3107" s="1"/>
      <c r="AB3107" s="1"/>
      <c r="AC3107" s="1"/>
      <c r="AD3107" s="1"/>
    </row>
    <row r="3108" spans="17:30">
      <c r="Q3108" s="6">
        <v>3078</v>
      </c>
      <c r="R3108" s="7">
        <v>45745</v>
      </c>
      <c r="S3108" s="210">
        <v>4.25</v>
      </c>
      <c r="T3108" s="8">
        <v>1.0001180555555556</v>
      </c>
      <c r="U3108" s="98">
        <v>4.2174269996681613</v>
      </c>
      <c r="V3108" s="106">
        <v>33900.56566780978</v>
      </c>
      <c r="W3108" s="10">
        <v>1.103857244351758</v>
      </c>
      <c r="X3108" s="420"/>
      <c r="Y3108" s="420"/>
      <c r="Z3108" s="1"/>
      <c r="AA3108" s="1"/>
      <c r="AB3108" s="1"/>
      <c r="AC3108" s="1"/>
      <c r="AD3108" s="1"/>
    </row>
    <row r="3109" spans="17:30">
      <c r="Q3109" s="6">
        <v>3079</v>
      </c>
      <c r="R3109" s="7">
        <v>45746</v>
      </c>
      <c r="S3109" s="210">
        <v>4.25</v>
      </c>
      <c r="T3109" s="8">
        <v>1.0001180555555556</v>
      </c>
      <c r="U3109" s="98">
        <v>4.2174872000387387</v>
      </c>
      <c r="V3109" s="106">
        <v>33903.387306934288</v>
      </c>
      <c r="W3109" s="10">
        <v>1.1039140823128735</v>
      </c>
      <c r="X3109" s="420"/>
      <c r="Y3109" s="420"/>
      <c r="Z3109" s="1"/>
      <c r="AA3109" s="1"/>
      <c r="AB3109" s="1"/>
      <c r="AC3109" s="1"/>
      <c r="AD3109" s="1"/>
    </row>
    <row r="3110" spans="17:30">
      <c r="Q3110" s="6">
        <v>3080</v>
      </c>
      <c r="R3110" s="7">
        <v>45747</v>
      </c>
      <c r="S3110" s="210">
        <v>4.25</v>
      </c>
      <c r="T3110" s="8">
        <v>1.0001180555555556</v>
      </c>
      <c r="U3110" s="98">
        <v>4.2175473613529135</v>
      </c>
      <c r="V3110" s="106">
        <v>33906.209180911741</v>
      </c>
      <c r="W3110" s="10">
        <v>1.1039708833981532</v>
      </c>
      <c r="X3110" s="420"/>
      <c r="Y3110" s="420"/>
      <c r="Z3110" s="1"/>
      <c r="AA3110" s="1"/>
      <c r="AB3110" s="1"/>
      <c r="AC3110" s="1"/>
      <c r="AD3110" s="1"/>
    </row>
    <row r="3111" spans="17:30">
      <c r="Q3111" s="6">
        <v>3081</v>
      </c>
      <c r="R3111" s="7">
        <v>45748</v>
      </c>
      <c r="S3111" s="210">
        <v>4.25</v>
      </c>
      <c r="T3111" s="8">
        <v>1.0001180555555556</v>
      </c>
      <c r="U3111" s="98">
        <v>4.2176074836486777</v>
      </c>
      <c r="V3111" s="106">
        <v>33909.031289761675</v>
      </c>
      <c r="W3111" s="10">
        <v>1.1040276476434574</v>
      </c>
      <c r="X3111" s="420"/>
      <c r="Y3111" s="420"/>
      <c r="Z3111" s="1"/>
      <c r="AA3111" s="1"/>
      <c r="AB3111" s="1"/>
      <c r="AC3111" s="1"/>
      <c r="AD3111" s="1"/>
    </row>
    <row r="3112" spans="17:30">
      <c r="Q3112" s="6">
        <v>3082</v>
      </c>
      <c r="R3112" s="7">
        <v>45749</v>
      </c>
      <c r="S3112" s="210">
        <v>4.25</v>
      </c>
      <c r="T3112" s="8">
        <v>1.0001180555555556</v>
      </c>
      <c r="U3112" s="98">
        <v>4.2176675669639563</v>
      </c>
      <c r="V3112" s="106">
        <v>33911.853633503633</v>
      </c>
      <c r="W3112" s="10">
        <v>1.1040843750846019</v>
      </c>
      <c r="X3112" s="420"/>
      <c r="Y3112" s="420"/>
      <c r="Z3112" s="1"/>
      <c r="AA3112" s="1"/>
      <c r="AB3112" s="1"/>
      <c r="AC3112" s="1"/>
      <c r="AD3112" s="1"/>
    </row>
    <row r="3113" spans="17:30">
      <c r="Q3113" s="6">
        <v>3083</v>
      </c>
      <c r="R3113" s="7">
        <v>45750</v>
      </c>
      <c r="S3113" s="210">
        <v>4.25</v>
      </c>
      <c r="T3113" s="8">
        <v>1.0001180555555556</v>
      </c>
      <c r="U3113" s="98">
        <v>4.2177276113366746</v>
      </c>
      <c r="V3113" s="106">
        <v>33914.676212157181</v>
      </c>
      <c r="W3113" s="10">
        <v>1.1041410657573802</v>
      </c>
      <c r="X3113" s="420"/>
      <c r="Y3113" s="420"/>
      <c r="Z3113" s="1"/>
      <c r="AA3113" s="1"/>
      <c r="AB3113" s="1"/>
      <c r="AC3113" s="1"/>
      <c r="AD3113" s="1"/>
    </row>
    <row r="3114" spans="17:30">
      <c r="Q3114" s="6">
        <v>3084</v>
      </c>
      <c r="R3114" s="7">
        <v>45751</v>
      </c>
      <c r="S3114" s="210">
        <v>4.25</v>
      </c>
      <c r="T3114" s="8">
        <v>1.0001180555555556</v>
      </c>
      <c r="U3114" s="98">
        <v>4.2177876168046691</v>
      </c>
      <c r="V3114" s="106">
        <v>33917.499025741854</v>
      </c>
      <c r="W3114" s="10">
        <v>1.1041977196975639</v>
      </c>
      <c r="X3114" s="420"/>
      <c r="Y3114" s="420"/>
      <c r="Z3114" s="1"/>
      <c r="AA3114" s="1"/>
      <c r="AB3114" s="1"/>
      <c r="AC3114" s="1"/>
      <c r="AD3114" s="1"/>
    </row>
    <row r="3115" spans="17:30">
      <c r="Q3115" s="6">
        <v>3085</v>
      </c>
      <c r="R3115" s="7">
        <v>45752</v>
      </c>
      <c r="S3115" s="210">
        <v>4.25</v>
      </c>
      <c r="T3115" s="8">
        <v>1.0001180555555556</v>
      </c>
      <c r="U3115" s="98">
        <v>4.2178475834057538</v>
      </c>
      <c r="V3115" s="106">
        <v>33920.322074277225</v>
      </c>
      <c r="W3115" s="10">
        <v>1.1042543369408131</v>
      </c>
      <c r="X3115" s="420"/>
      <c r="Y3115" s="420"/>
      <c r="Z3115" s="1"/>
      <c r="AA3115" s="1"/>
      <c r="AB3115" s="1"/>
      <c r="AC3115" s="1"/>
      <c r="AD3115" s="1"/>
    </row>
    <row r="3116" spans="17:30">
      <c r="Q3116" s="6">
        <v>3086</v>
      </c>
      <c r="R3116" s="7">
        <v>45753</v>
      </c>
      <c r="S3116" s="210">
        <v>4.25</v>
      </c>
      <c r="T3116" s="8">
        <v>1.0001180555555556</v>
      </c>
      <c r="U3116" s="98">
        <v>4.2179075111776543</v>
      </c>
      <c r="V3116" s="106">
        <v>33923.145357782843</v>
      </c>
      <c r="W3116" s="10">
        <v>1.1043109175227661</v>
      </c>
      <c r="X3116" s="420"/>
      <c r="Y3116" s="420"/>
      <c r="Z3116" s="1"/>
      <c r="AA3116" s="1"/>
      <c r="AB3116" s="1"/>
      <c r="AC3116" s="1"/>
      <c r="AD3116" s="1"/>
    </row>
    <row r="3117" spans="17:30">
      <c r="Q3117" s="6">
        <v>3087</v>
      </c>
      <c r="R3117" s="7">
        <v>45754</v>
      </c>
      <c r="S3117" s="210">
        <v>4.25</v>
      </c>
      <c r="T3117" s="8">
        <v>1.0001180555555556</v>
      </c>
      <c r="U3117" s="98">
        <v>4.2179674001580958</v>
      </c>
      <c r="V3117" s="106">
        <v>33925.968876278261</v>
      </c>
      <c r="W3117" s="10">
        <v>1.1043674614790167</v>
      </c>
      <c r="X3117" s="420"/>
      <c r="Y3117" s="420"/>
      <c r="Z3117" s="1"/>
      <c r="AA3117" s="1"/>
      <c r="AB3117" s="1"/>
      <c r="AC3117" s="1"/>
      <c r="AD3117" s="1"/>
    </row>
    <row r="3118" spans="17:30">
      <c r="Q3118" s="6">
        <v>3088</v>
      </c>
      <c r="R3118" s="7">
        <v>45755</v>
      </c>
      <c r="S3118" s="210">
        <v>4.25</v>
      </c>
      <c r="T3118" s="8">
        <v>1.0001180555555556</v>
      </c>
      <c r="U3118" s="98">
        <v>4.2180272503847149</v>
      </c>
      <c r="V3118" s="106">
        <v>33928.792629783034</v>
      </c>
      <c r="W3118" s="10">
        <v>1.1044239688451363</v>
      </c>
      <c r="X3118" s="420"/>
      <c r="Y3118" s="420"/>
      <c r="Z3118" s="1"/>
      <c r="AA3118" s="1"/>
      <c r="AB3118" s="1"/>
      <c r="AC3118" s="1"/>
      <c r="AD3118" s="1"/>
    </row>
    <row r="3119" spans="17:30">
      <c r="Q3119" s="6">
        <v>3089</v>
      </c>
      <c r="R3119" s="7">
        <v>45756</v>
      </c>
      <c r="S3119" s="210">
        <v>4.25</v>
      </c>
      <c r="T3119" s="8">
        <v>1.0001180555555556</v>
      </c>
      <c r="U3119" s="98">
        <v>4.2180870618951261</v>
      </c>
      <c r="V3119" s="106">
        <v>33931.61661831673</v>
      </c>
      <c r="W3119" s="10">
        <v>1.1044804396566299</v>
      </c>
      <c r="X3119" s="420"/>
      <c r="Y3119" s="420"/>
      <c r="Z3119" s="1"/>
      <c r="AA3119" s="1"/>
      <c r="AB3119" s="1"/>
      <c r="AC3119" s="1"/>
      <c r="AD3119" s="1"/>
    </row>
    <row r="3120" spans="17:30">
      <c r="Q3120" s="6">
        <v>3090</v>
      </c>
      <c r="R3120" s="7">
        <v>45757</v>
      </c>
      <c r="S3120" s="210">
        <v>4.25</v>
      </c>
      <c r="T3120" s="8">
        <v>1.0001180555555556</v>
      </c>
      <c r="U3120" s="98">
        <v>4.2181468347268769</v>
      </c>
      <c r="V3120" s="106">
        <v>33934.440841898911</v>
      </c>
      <c r="W3120" s="10">
        <v>1.1045368739489581</v>
      </c>
      <c r="X3120" s="420"/>
      <c r="Y3120" s="420"/>
      <c r="Z3120" s="1"/>
      <c r="AA3120" s="1"/>
      <c r="AB3120" s="1"/>
      <c r="AC3120" s="1"/>
      <c r="AD3120" s="1"/>
    </row>
    <row r="3121" spans="17:30">
      <c r="Q3121" s="6">
        <v>3091</v>
      </c>
      <c r="R3121" s="7">
        <v>45758</v>
      </c>
      <c r="S3121" s="210">
        <v>4.25</v>
      </c>
      <c r="T3121" s="8">
        <v>1.0001180555555556</v>
      </c>
      <c r="U3121" s="98">
        <v>4.2182065689174708</v>
      </c>
      <c r="V3121" s="106">
        <v>33937.265300549137</v>
      </c>
      <c r="W3121" s="10">
        <v>1.1045932717574924</v>
      </c>
      <c r="X3121" s="420"/>
      <c r="Y3121" s="420"/>
      <c r="Z3121" s="1"/>
      <c r="AA3121" s="1"/>
      <c r="AB3121" s="1"/>
      <c r="AC3121" s="1"/>
      <c r="AD3121" s="1"/>
    </row>
    <row r="3122" spans="17:30">
      <c r="Q3122" s="6">
        <v>3092</v>
      </c>
      <c r="R3122" s="7">
        <v>45759</v>
      </c>
      <c r="S3122" s="210">
        <v>4.25</v>
      </c>
      <c r="T3122" s="8">
        <v>1.0001180555555556</v>
      </c>
      <c r="U3122" s="98">
        <v>4.2182662645043667</v>
      </c>
      <c r="V3122" s="106">
        <v>33940.089994286973</v>
      </c>
      <c r="W3122" s="10">
        <v>1.1046496331176492</v>
      </c>
      <c r="X3122" s="420"/>
      <c r="Y3122" s="420"/>
      <c r="Z3122" s="1"/>
      <c r="AA3122" s="1"/>
      <c r="AB3122" s="1"/>
      <c r="AC3122" s="1"/>
      <c r="AD3122" s="1"/>
    </row>
    <row r="3123" spans="17:30">
      <c r="Q3123" s="6">
        <v>3093</v>
      </c>
      <c r="R3123" s="7">
        <v>45760</v>
      </c>
      <c r="S3123" s="210">
        <v>4.25</v>
      </c>
      <c r="T3123" s="8">
        <v>1.0001180555555556</v>
      </c>
      <c r="U3123" s="98">
        <v>4.2183259215249791</v>
      </c>
      <c r="V3123" s="106">
        <v>33942.914923131997</v>
      </c>
      <c r="W3123" s="10">
        <v>1.1047059580647112</v>
      </c>
      <c r="X3123" s="420"/>
      <c r="Y3123" s="420"/>
      <c r="Z3123" s="1"/>
      <c r="AA3123" s="1"/>
      <c r="AB3123" s="1"/>
      <c r="AC3123" s="1"/>
      <c r="AD3123" s="1"/>
    </row>
    <row r="3124" spans="17:30">
      <c r="Q3124" s="6">
        <v>3094</v>
      </c>
      <c r="R3124" s="7">
        <v>45761</v>
      </c>
      <c r="S3124" s="210">
        <v>4.25</v>
      </c>
      <c r="T3124" s="8">
        <v>1.0001180555555556</v>
      </c>
      <c r="U3124" s="98">
        <v>4.2183855400166781</v>
      </c>
      <c r="V3124" s="106">
        <v>33945.740087103753</v>
      </c>
      <c r="W3124" s="10">
        <v>1.1047622466340057</v>
      </c>
      <c r="X3124" s="420"/>
      <c r="Y3124" s="420"/>
      <c r="Z3124" s="1"/>
      <c r="AA3124" s="1"/>
      <c r="AB3124" s="1"/>
      <c r="AC3124" s="1"/>
      <c r="AD3124" s="1"/>
    </row>
    <row r="3125" spans="17:30">
      <c r="Q3125" s="6">
        <v>3095</v>
      </c>
      <c r="R3125" s="7">
        <v>45762</v>
      </c>
      <c r="S3125" s="210">
        <v>4.25</v>
      </c>
      <c r="T3125" s="8">
        <v>1.0001180555555556</v>
      </c>
      <c r="U3125" s="98">
        <v>4.2184451200167672</v>
      </c>
      <c r="V3125" s="106">
        <v>33948.565486221843</v>
      </c>
      <c r="W3125" s="10">
        <v>1.1048184988607046</v>
      </c>
      <c r="X3125" s="420"/>
      <c r="Y3125" s="420"/>
      <c r="Z3125" s="1"/>
      <c r="AA3125" s="1"/>
      <c r="AB3125" s="1"/>
      <c r="AC3125" s="1"/>
      <c r="AD3125" s="1"/>
    </row>
    <row r="3126" spans="17:30">
      <c r="Q3126" s="6">
        <v>3096</v>
      </c>
      <c r="R3126" s="7">
        <v>45763</v>
      </c>
      <c r="S3126" s="210">
        <v>4.25</v>
      </c>
      <c r="T3126" s="8">
        <v>1.0001180555555556</v>
      </c>
      <c r="U3126" s="98">
        <v>4.2185046615625055</v>
      </c>
      <c r="V3126" s="106">
        <v>33951.39112050581</v>
      </c>
      <c r="W3126" s="10">
        <v>1.1048747147800464</v>
      </c>
      <c r="X3126" s="420"/>
      <c r="Y3126" s="420"/>
      <c r="Z3126" s="1"/>
      <c r="AA3126" s="1"/>
      <c r="AB3126" s="1"/>
      <c r="AC3126" s="1"/>
      <c r="AD3126" s="1"/>
    </row>
    <row r="3127" spans="17:30">
      <c r="Q3127" s="6">
        <v>3097</v>
      </c>
      <c r="R3127" s="7">
        <v>45764</v>
      </c>
      <c r="S3127" s="210">
        <v>4.25</v>
      </c>
      <c r="T3127" s="8">
        <v>1.0001180555555556</v>
      </c>
      <c r="U3127" s="98">
        <v>4.2185641646911076</v>
      </c>
      <c r="V3127" s="106">
        <v>33954.216989975248</v>
      </c>
      <c r="W3127" s="10">
        <v>1.1049308944271363</v>
      </c>
      <c r="X3127" s="420"/>
      <c r="Y3127" s="420"/>
      <c r="Z3127" s="1"/>
      <c r="AA3127" s="1"/>
      <c r="AB3127" s="1"/>
      <c r="AC3127" s="1"/>
      <c r="AD3127" s="1"/>
    </row>
    <row r="3128" spans="17:30">
      <c r="Q3128" s="6">
        <v>3098</v>
      </c>
      <c r="R3128" s="7">
        <v>45765</v>
      </c>
      <c r="S3128" s="210">
        <v>4.25</v>
      </c>
      <c r="T3128" s="8">
        <v>1.0001180555555556</v>
      </c>
      <c r="U3128" s="98">
        <v>4.2186236294397661</v>
      </c>
      <c r="V3128" s="106">
        <v>33957.043094649722</v>
      </c>
      <c r="W3128" s="10">
        <v>1.1049870378370796</v>
      </c>
      <c r="X3128" s="420"/>
      <c r="Y3128" s="420"/>
      <c r="Z3128" s="1"/>
      <c r="AA3128" s="1"/>
      <c r="AB3128" s="1"/>
      <c r="AC3128" s="1"/>
      <c r="AD3128" s="1"/>
    </row>
    <row r="3129" spans="17:30">
      <c r="Q3129" s="6">
        <v>3099</v>
      </c>
      <c r="R3129" s="7">
        <v>45766</v>
      </c>
      <c r="S3129" s="210">
        <v>4.25</v>
      </c>
      <c r="T3129" s="8">
        <v>1.0001180555555556</v>
      </c>
      <c r="U3129" s="98">
        <v>4.2186830558455846</v>
      </c>
      <c r="V3129" s="106">
        <v>33959.869434548818</v>
      </c>
      <c r="W3129" s="10">
        <v>1.1050431450449372</v>
      </c>
      <c r="X3129" s="420"/>
      <c r="Y3129" s="420"/>
      <c r="Z3129" s="1"/>
      <c r="AA3129" s="1"/>
      <c r="AB3129" s="1"/>
      <c r="AC3129" s="1"/>
      <c r="AD3129" s="1"/>
    </row>
    <row r="3130" spans="17:30">
      <c r="Q3130" s="6">
        <v>3100</v>
      </c>
      <c r="R3130" s="7">
        <v>45767</v>
      </c>
      <c r="S3130" s="210">
        <v>4.25</v>
      </c>
      <c r="T3130" s="8">
        <v>1.0001180555555556</v>
      </c>
      <c r="U3130" s="98">
        <v>4.2187424439456445</v>
      </c>
      <c r="V3130" s="106">
        <v>33962.696009692103</v>
      </c>
      <c r="W3130" s="10">
        <v>1.1050992160857032</v>
      </c>
      <c r="X3130" s="420"/>
      <c r="Y3130" s="420"/>
      <c r="Z3130" s="1"/>
      <c r="AA3130" s="1"/>
      <c r="AB3130" s="1"/>
      <c r="AC3130" s="1"/>
      <c r="AD3130" s="1"/>
    </row>
    <row r="3131" spans="17:30">
      <c r="Q3131" s="6">
        <v>3101</v>
      </c>
      <c r="R3131" s="7">
        <v>45768</v>
      </c>
      <c r="S3131" s="210">
        <v>4.25</v>
      </c>
      <c r="T3131" s="8">
        <v>1.0001180555555556</v>
      </c>
      <c r="U3131" s="98">
        <v>4.2188017937769606</v>
      </c>
      <c r="V3131" s="106">
        <v>33965.522820099155</v>
      </c>
      <c r="W3131" s="10">
        <v>1.1051552509943274</v>
      </c>
      <c r="X3131" s="420"/>
      <c r="Y3131" s="420"/>
      <c r="Z3131" s="1"/>
      <c r="AA3131" s="1"/>
      <c r="AB3131" s="1"/>
      <c r="AC3131" s="1"/>
      <c r="AD3131" s="1"/>
    </row>
    <row r="3132" spans="17:30">
      <c r="Q3132" s="6">
        <v>3102</v>
      </c>
      <c r="R3132" s="7">
        <v>45769</v>
      </c>
      <c r="S3132" s="210">
        <v>4.25</v>
      </c>
      <c r="T3132" s="8">
        <v>1.0001180555555556</v>
      </c>
      <c r="U3132" s="98">
        <v>4.2188611053765035</v>
      </c>
      <c r="V3132" s="106">
        <v>33968.349865789576</v>
      </c>
      <c r="W3132" s="10">
        <v>1.1052112498057154</v>
      </c>
      <c r="X3132" s="420"/>
      <c r="Y3132" s="420"/>
      <c r="Z3132" s="1"/>
      <c r="AA3132" s="1"/>
      <c r="AB3132" s="1"/>
      <c r="AC3132" s="1"/>
      <c r="AD3132" s="1"/>
    </row>
    <row r="3133" spans="17:30">
      <c r="Q3133" s="6">
        <v>3103</v>
      </c>
      <c r="R3133" s="7">
        <v>45770</v>
      </c>
      <c r="S3133" s="210">
        <v>4.25</v>
      </c>
      <c r="T3133" s="8">
        <v>1.0001180555555556</v>
      </c>
      <c r="U3133" s="98">
        <v>4.2189203787812213</v>
      </c>
      <c r="V3133" s="106">
        <v>33971.177146782924</v>
      </c>
      <c r="W3133" s="10">
        <v>1.1052672125547502</v>
      </c>
      <c r="X3133" s="420"/>
      <c r="Y3133" s="420"/>
      <c r="Z3133" s="1"/>
      <c r="AA3133" s="1"/>
      <c r="AB3133" s="1"/>
      <c r="AC3133" s="1"/>
      <c r="AD3133" s="1"/>
    </row>
    <row r="3134" spans="17:30">
      <c r="Q3134" s="6">
        <v>3104</v>
      </c>
      <c r="R3134" s="7">
        <v>45771</v>
      </c>
      <c r="S3134" s="210">
        <v>4.25</v>
      </c>
      <c r="T3134" s="8">
        <v>1.0001180555555556</v>
      </c>
      <c r="U3134" s="98">
        <v>4.2189796140279956</v>
      </c>
      <c r="V3134" s="106">
        <v>33974.0046630988</v>
      </c>
      <c r="W3134" s="10">
        <v>1.105323139276293</v>
      </c>
      <c r="X3134" s="420"/>
      <c r="Y3134" s="420"/>
      <c r="Z3134" s="1"/>
      <c r="AA3134" s="1"/>
      <c r="AB3134" s="1"/>
      <c r="AC3134" s="1"/>
      <c r="AD3134" s="1"/>
    </row>
    <row r="3135" spans="17:30">
      <c r="Q3135" s="6">
        <v>3105</v>
      </c>
      <c r="R3135" s="7">
        <v>45772</v>
      </c>
      <c r="S3135" s="210">
        <v>4.25</v>
      </c>
      <c r="T3135" s="8">
        <v>1.0001180555555556</v>
      </c>
      <c r="U3135" s="98">
        <v>4.2190388111536636</v>
      </c>
      <c r="V3135" s="106">
        <v>33976.832414756784</v>
      </c>
      <c r="W3135" s="10">
        <v>1.1053790300050714</v>
      </c>
      <c r="X3135" s="420"/>
      <c r="Y3135" s="420"/>
      <c r="Z3135" s="1"/>
      <c r="AA3135" s="1"/>
      <c r="AB3135" s="1"/>
      <c r="AC3135" s="1"/>
      <c r="AD3135" s="1"/>
    </row>
    <row r="3136" spans="17:30">
      <c r="Q3136" s="6">
        <v>3106</v>
      </c>
      <c r="R3136" s="7">
        <v>45773</v>
      </c>
      <c r="S3136" s="210">
        <v>4.25</v>
      </c>
      <c r="T3136" s="8">
        <v>1.0001180555555556</v>
      </c>
      <c r="U3136" s="98">
        <v>4.219097970194996</v>
      </c>
      <c r="V3136" s="106">
        <v>33979.660401776477</v>
      </c>
      <c r="W3136" s="10">
        <v>1.1054348847758355</v>
      </c>
      <c r="X3136" s="420"/>
      <c r="Y3136" s="420"/>
      <c r="Z3136" s="1"/>
      <c r="AA3136" s="1"/>
      <c r="AB3136" s="1"/>
      <c r="AC3136" s="1"/>
      <c r="AD3136" s="1"/>
    </row>
    <row r="3137" spans="17:30">
      <c r="Q3137" s="6">
        <v>3107</v>
      </c>
      <c r="R3137" s="7">
        <v>45774</v>
      </c>
      <c r="S3137" s="210">
        <v>4.25</v>
      </c>
      <c r="T3137" s="8">
        <v>1.0001180555555556</v>
      </c>
      <c r="U3137" s="98">
        <v>4.219157091188741</v>
      </c>
      <c r="V3137" s="106">
        <v>33982.488624177444</v>
      </c>
      <c r="W3137" s="10">
        <v>1.1054907036232686</v>
      </c>
      <c r="X3137" s="420"/>
      <c r="Y3137" s="420"/>
      <c r="Z3137" s="1"/>
      <c r="AA3137" s="1"/>
      <c r="AB3137" s="1"/>
      <c r="AC3137" s="1"/>
      <c r="AD3137" s="1"/>
    </row>
    <row r="3138" spans="17:30">
      <c r="Q3138" s="6">
        <v>3108</v>
      </c>
      <c r="R3138" s="7">
        <v>45775</v>
      </c>
      <c r="S3138" s="210">
        <v>4.25</v>
      </c>
      <c r="T3138" s="8">
        <v>1.0001180555555556</v>
      </c>
      <c r="U3138" s="98">
        <v>4.2192161741716028</v>
      </c>
      <c r="V3138" s="106">
        <v>33985.317081979301</v>
      </c>
      <c r="W3138" s="10">
        <v>1.1055464865820541</v>
      </c>
      <c r="X3138" s="420"/>
      <c r="Y3138" s="420"/>
      <c r="Z3138" s="1"/>
      <c r="AA3138" s="1"/>
      <c r="AB3138" s="1"/>
      <c r="AC3138" s="1"/>
      <c r="AD3138" s="1"/>
    </row>
    <row r="3139" spans="17:30">
      <c r="Q3139" s="6">
        <v>3109</v>
      </c>
      <c r="R3139" s="7">
        <v>45776</v>
      </c>
      <c r="S3139" s="210">
        <v>4.25</v>
      </c>
      <c r="T3139" s="8">
        <v>1.0001180555555556</v>
      </c>
      <c r="U3139" s="98">
        <v>4.2192752191802185</v>
      </c>
      <c r="V3139" s="106">
        <v>33988.145775201621</v>
      </c>
      <c r="W3139" s="10">
        <v>1.1056022336867422</v>
      </c>
      <c r="X3139" s="420"/>
      <c r="Y3139" s="420"/>
      <c r="Z3139" s="1"/>
      <c r="AA3139" s="1"/>
      <c r="AB3139" s="1"/>
      <c r="AC3139" s="1"/>
      <c r="AD3139" s="1"/>
    </row>
    <row r="3140" spans="17:30">
      <c r="Q3140" s="6">
        <v>3110</v>
      </c>
      <c r="R3140" s="7">
        <v>45777</v>
      </c>
      <c r="S3140" s="210">
        <v>4.25</v>
      </c>
      <c r="T3140" s="8">
        <v>1.0001180555555556</v>
      </c>
      <c r="U3140" s="98">
        <v>4.2193342262511813</v>
      </c>
      <c r="V3140" s="106">
        <v>33990.974703864013</v>
      </c>
      <c r="W3140" s="10">
        <v>1.1056579449719051</v>
      </c>
      <c r="X3140" s="420"/>
      <c r="Y3140" s="420"/>
      <c r="Z3140" s="1"/>
      <c r="AA3140" s="1"/>
      <c r="AB3140" s="1"/>
      <c r="AC3140" s="1"/>
      <c r="AD3140" s="1"/>
    </row>
    <row r="3141" spans="17:30">
      <c r="Q3141" s="6">
        <v>3111</v>
      </c>
      <c r="R3141" s="7">
        <v>45778</v>
      </c>
      <c r="S3141" s="210">
        <v>4.25</v>
      </c>
      <c r="T3141" s="8">
        <v>1.0001180555555556</v>
      </c>
      <c r="U3141" s="98">
        <v>4.2193931954210395</v>
      </c>
      <c r="V3141" s="106">
        <v>33993.803867986069</v>
      </c>
      <c r="W3141" s="10">
        <v>1.1057136204720486</v>
      </c>
      <c r="X3141" s="420"/>
      <c r="Y3141" s="420"/>
      <c r="Z3141" s="1"/>
      <c r="AA3141" s="1"/>
      <c r="AB3141" s="1"/>
      <c r="AC3141" s="1"/>
      <c r="AD3141" s="1"/>
    </row>
    <row r="3142" spans="17:30">
      <c r="Q3142" s="6">
        <v>3112</v>
      </c>
      <c r="R3142" s="7">
        <v>45779</v>
      </c>
      <c r="S3142" s="210">
        <v>4.25</v>
      </c>
      <c r="T3142" s="8">
        <v>1.0001180555555556</v>
      </c>
      <c r="U3142" s="98">
        <v>4.2194521267263196</v>
      </c>
      <c r="V3142" s="106">
        <v>33996.633267587393</v>
      </c>
      <c r="W3142" s="10">
        <v>1.1057692602216784</v>
      </c>
      <c r="X3142" s="420"/>
      <c r="Y3142" s="420"/>
      <c r="Z3142" s="1"/>
      <c r="AA3142" s="1"/>
      <c r="AB3142" s="1"/>
      <c r="AC3142" s="1"/>
      <c r="AD3142" s="1"/>
    </row>
    <row r="3143" spans="17:30">
      <c r="Q3143" s="6">
        <v>3113</v>
      </c>
      <c r="R3143" s="7">
        <v>45780</v>
      </c>
      <c r="S3143" s="210">
        <v>4.25</v>
      </c>
      <c r="T3143" s="8">
        <v>1.0001180555555556</v>
      </c>
      <c r="U3143" s="98">
        <v>4.2195110202034591</v>
      </c>
      <c r="V3143" s="106">
        <v>33999.46290268757</v>
      </c>
      <c r="W3143" s="10">
        <v>1.1058248642551671</v>
      </c>
      <c r="X3143" s="420"/>
      <c r="Y3143" s="420"/>
      <c r="Z3143" s="1"/>
      <c r="AA3143" s="1"/>
      <c r="AB3143" s="1"/>
      <c r="AC3143" s="1"/>
      <c r="AD3143" s="1"/>
    </row>
    <row r="3144" spans="17:30">
      <c r="Q3144" s="6">
        <v>3114</v>
      </c>
      <c r="R3144" s="7">
        <v>45781</v>
      </c>
      <c r="S3144" s="210">
        <v>4.25</v>
      </c>
      <c r="T3144" s="8">
        <v>1.0001180555555556</v>
      </c>
      <c r="U3144" s="98">
        <v>4.2195698758888733</v>
      </c>
      <c r="V3144" s="106">
        <v>34002.29277330621</v>
      </c>
      <c r="W3144" s="10">
        <v>1.1058804326069316</v>
      </c>
      <c r="X3144" s="420"/>
      <c r="Y3144" s="420"/>
      <c r="Z3144" s="1"/>
      <c r="AA3144" s="1"/>
      <c r="AB3144" s="1"/>
      <c r="AC3144" s="1"/>
      <c r="AD3144" s="1"/>
    </row>
    <row r="3145" spans="17:30">
      <c r="Q3145" s="6">
        <v>3115</v>
      </c>
      <c r="R3145" s="7">
        <v>45782</v>
      </c>
      <c r="S3145" s="210">
        <v>4.25</v>
      </c>
      <c r="T3145" s="8">
        <v>1.0001180555555556</v>
      </c>
      <c r="U3145" s="98">
        <v>4.2196286938189331</v>
      </c>
      <c r="V3145" s="106">
        <v>34005.122879462921</v>
      </c>
      <c r="W3145" s="10">
        <v>1.1059359653112777</v>
      </c>
      <c r="X3145" s="420"/>
      <c r="Y3145" s="420"/>
      <c r="Z3145" s="1"/>
      <c r="AA3145" s="1"/>
      <c r="AB3145" s="1"/>
      <c r="AC3145" s="1"/>
      <c r="AD3145" s="1"/>
    </row>
    <row r="3146" spans="17:30">
      <c r="Q3146" s="6">
        <v>3116</v>
      </c>
      <c r="R3146" s="7">
        <v>45783</v>
      </c>
      <c r="S3146" s="210">
        <v>4.25</v>
      </c>
      <c r="T3146" s="8">
        <v>1.0001180555555556</v>
      </c>
      <c r="U3146" s="98">
        <v>4.219687474029965</v>
      </c>
      <c r="V3146" s="106">
        <v>34007.953221177297</v>
      </c>
      <c r="W3146" s="10">
        <v>1.1059914624025335</v>
      </c>
      <c r="X3146" s="420"/>
      <c r="Y3146" s="420"/>
      <c r="Z3146" s="1"/>
      <c r="AA3146" s="1"/>
      <c r="AB3146" s="1"/>
      <c r="AC3146" s="1"/>
      <c r="AD3146" s="1"/>
    </row>
    <row r="3147" spans="17:30">
      <c r="Q3147" s="6">
        <v>3117</v>
      </c>
      <c r="R3147" s="7">
        <v>45784</v>
      </c>
      <c r="S3147" s="210">
        <v>4.25</v>
      </c>
      <c r="T3147" s="8">
        <v>1.0001180555555556</v>
      </c>
      <c r="U3147" s="98">
        <v>4.2197462165582289</v>
      </c>
      <c r="V3147" s="106">
        <v>34010.783798468954</v>
      </c>
      <c r="W3147" s="10">
        <v>1.1060469239149162</v>
      </c>
      <c r="X3147" s="420"/>
      <c r="Y3147" s="420"/>
      <c r="Z3147" s="1"/>
      <c r="AA3147" s="1"/>
      <c r="AB3147" s="1"/>
      <c r="AC3147" s="1"/>
      <c r="AD3147" s="1"/>
    </row>
    <row r="3148" spans="17:30">
      <c r="Q3148" s="6">
        <v>3118</v>
      </c>
      <c r="R3148" s="7">
        <v>45785</v>
      </c>
      <c r="S3148" s="210">
        <v>4.25</v>
      </c>
      <c r="T3148" s="8">
        <v>1.0001180555555556</v>
      </c>
      <c r="U3148" s="98">
        <v>4.2198049214399402</v>
      </c>
      <c r="V3148" s="106">
        <v>34013.614611357487</v>
      </c>
      <c r="W3148" s="10">
        <v>1.1061023498826428</v>
      </c>
      <c r="X3148" s="420"/>
      <c r="Y3148" s="420"/>
      <c r="Z3148" s="1"/>
      <c r="AA3148" s="1"/>
      <c r="AB3148" s="1"/>
      <c r="AC3148" s="1"/>
      <c r="AD3148" s="1"/>
    </row>
    <row r="3149" spans="17:30">
      <c r="Q3149" s="6">
        <v>3119</v>
      </c>
      <c r="R3149" s="7">
        <v>45786</v>
      </c>
      <c r="S3149" s="210">
        <v>4.25</v>
      </c>
      <c r="T3149" s="8">
        <v>1.0001180555555556</v>
      </c>
      <c r="U3149" s="98">
        <v>4.2198635887112923</v>
      </c>
      <c r="V3149" s="106">
        <v>34016.445659862518</v>
      </c>
      <c r="W3149" s="10">
        <v>1.1061577403398415</v>
      </c>
      <c r="X3149" s="420"/>
      <c r="Y3149" s="420"/>
      <c r="Z3149" s="1"/>
      <c r="AA3149" s="1"/>
      <c r="AB3149" s="1"/>
      <c r="AC3149" s="1"/>
      <c r="AD3149" s="1"/>
    </row>
    <row r="3150" spans="17:30">
      <c r="Q3150" s="6">
        <v>3120</v>
      </c>
      <c r="R3150" s="7">
        <v>45787</v>
      </c>
      <c r="S3150" s="210">
        <v>4.25</v>
      </c>
      <c r="T3150" s="8">
        <v>1.0001180555555556</v>
      </c>
      <c r="U3150" s="98">
        <v>4.2199222184084118</v>
      </c>
      <c r="V3150" s="106">
        <v>34019.276944003657</v>
      </c>
      <c r="W3150" s="10">
        <v>1.106213095320685</v>
      </c>
      <c r="X3150" s="420"/>
      <c r="Y3150" s="420"/>
      <c r="Z3150" s="1"/>
      <c r="AA3150" s="1"/>
      <c r="AB3150" s="1"/>
      <c r="AC3150" s="1"/>
      <c r="AD3150" s="1"/>
    </row>
    <row r="3151" spans="17:30">
      <c r="Q3151" s="6">
        <v>3121</v>
      </c>
      <c r="R3151" s="7">
        <v>45788</v>
      </c>
      <c r="S3151" s="210">
        <v>4.25</v>
      </c>
      <c r="T3151" s="8">
        <v>1.0001180555555556</v>
      </c>
      <c r="U3151" s="98">
        <v>4.2199808105673808</v>
      </c>
      <c r="V3151" s="106">
        <v>34022.108463800512</v>
      </c>
      <c r="W3151" s="10">
        <v>1.1062684148591906</v>
      </c>
      <c r="X3151" s="420"/>
      <c r="Y3151" s="420"/>
      <c r="Z3151" s="1"/>
      <c r="AA3151" s="1"/>
      <c r="AB3151" s="1"/>
      <c r="AC3151" s="1"/>
      <c r="AD3151" s="1"/>
    </row>
    <row r="3152" spans="17:30">
      <c r="Q3152" s="6">
        <v>3122</v>
      </c>
      <c r="R3152" s="7">
        <v>45789</v>
      </c>
      <c r="S3152" s="210">
        <v>4.25</v>
      </c>
      <c r="T3152" s="8">
        <v>1.0001180555555556</v>
      </c>
      <c r="U3152" s="98">
        <v>4.2200393652242596</v>
      </c>
      <c r="V3152" s="106">
        <v>34024.940219272685</v>
      </c>
      <c r="W3152" s="10">
        <v>1.1063236989894198</v>
      </c>
      <c r="X3152" s="420"/>
      <c r="Y3152" s="420"/>
      <c r="Z3152" s="1"/>
      <c r="AA3152" s="1"/>
      <c r="AB3152" s="1"/>
      <c r="AC3152" s="1"/>
      <c r="AD3152" s="1"/>
    </row>
    <row r="3153" spans="17:30">
      <c r="Q3153" s="6">
        <v>3123</v>
      </c>
      <c r="R3153" s="7">
        <v>45790</v>
      </c>
      <c r="S3153" s="210">
        <v>4.25</v>
      </c>
      <c r="T3153" s="8">
        <v>1.0001180555555556</v>
      </c>
      <c r="U3153" s="98">
        <v>4.2200978824150193</v>
      </c>
      <c r="V3153" s="106">
        <v>34027.77221043982</v>
      </c>
      <c r="W3153" s="10">
        <v>1.1063789477453456</v>
      </c>
      <c r="X3153" s="420"/>
      <c r="Y3153" s="420"/>
      <c r="Z3153" s="1"/>
      <c r="AA3153" s="1"/>
      <c r="AB3153" s="1"/>
      <c r="AC3153" s="1"/>
      <c r="AD3153" s="1"/>
    </row>
    <row r="3154" spans="17:30">
      <c r="Q3154" s="6">
        <v>3124</v>
      </c>
      <c r="R3154" s="7">
        <v>45791</v>
      </c>
      <c r="S3154" s="210">
        <v>4.25</v>
      </c>
      <c r="T3154" s="8">
        <v>1.0001180555555556</v>
      </c>
      <c r="U3154" s="98">
        <v>4.2201563621756089</v>
      </c>
      <c r="V3154" s="106">
        <v>34030.604437321512</v>
      </c>
      <c r="W3154" s="10">
        <v>1.1064341611609185</v>
      </c>
      <c r="X3154" s="420"/>
      <c r="Y3154" s="420"/>
      <c r="Z3154" s="1"/>
      <c r="AA3154" s="1"/>
      <c r="AB3154" s="1"/>
      <c r="AC3154" s="1"/>
      <c r="AD3154" s="1"/>
    </row>
    <row r="3155" spans="17:30">
      <c r="Q3155" s="6">
        <v>3125</v>
      </c>
      <c r="R3155" s="7">
        <v>45792</v>
      </c>
      <c r="S3155" s="210">
        <v>4.25</v>
      </c>
      <c r="T3155" s="8">
        <v>1.0001180555555556</v>
      </c>
      <c r="U3155" s="98">
        <v>4.220214804541933</v>
      </c>
      <c r="V3155" s="106">
        <v>34033.436899937391</v>
      </c>
      <c r="W3155" s="10">
        <v>1.1064893392700226</v>
      </c>
      <c r="X3155" s="420"/>
      <c r="Y3155" s="420"/>
      <c r="Z3155" s="1"/>
      <c r="AA3155" s="1"/>
      <c r="AB3155" s="1"/>
      <c r="AC3155" s="1"/>
      <c r="AD3155" s="1"/>
    </row>
    <row r="3156" spans="17:30">
      <c r="Q3156" s="6">
        <v>3126</v>
      </c>
      <c r="R3156" s="7">
        <v>45793</v>
      </c>
      <c r="S3156" s="210">
        <v>4.25</v>
      </c>
      <c r="T3156" s="8">
        <v>1.0001180555555556</v>
      </c>
      <c r="U3156" s="98">
        <v>4.2202732095498519</v>
      </c>
      <c r="V3156" s="106">
        <v>34036.269598307073</v>
      </c>
      <c r="W3156" s="10">
        <v>1.1065444821065196</v>
      </c>
      <c r="X3156" s="420"/>
      <c r="Y3156" s="420"/>
      <c r="Z3156" s="1"/>
      <c r="AA3156" s="1"/>
      <c r="AB3156" s="1"/>
      <c r="AC3156" s="1"/>
      <c r="AD3156" s="1"/>
    </row>
    <row r="3157" spans="17:30">
      <c r="Q3157" s="6">
        <v>3127</v>
      </c>
      <c r="R3157" s="7">
        <v>45794</v>
      </c>
      <c r="S3157" s="210">
        <v>4.25</v>
      </c>
      <c r="T3157" s="8">
        <v>1.0001180555555556</v>
      </c>
      <c r="U3157" s="98">
        <v>4.2203315772351813</v>
      </c>
      <c r="V3157" s="106">
        <v>34039.102532450182</v>
      </c>
      <c r="W3157" s="10">
        <v>1.1065995897042269</v>
      </c>
      <c r="X3157" s="420"/>
      <c r="Y3157" s="420"/>
      <c r="Z3157" s="1"/>
      <c r="AA3157" s="1"/>
      <c r="AB3157" s="1"/>
      <c r="AC3157" s="1"/>
      <c r="AD3157" s="1"/>
    </row>
    <row r="3158" spans="17:30">
      <c r="Q3158" s="6">
        <v>3128</v>
      </c>
      <c r="R3158" s="7">
        <v>45795</v>
      </c>
      <c r="S3158" s="210">
        <v>4.25</v>
      </c>
      <c r="T3158" s="8">
        <v>1.0001180555555556</v>
      </c>
      <c r="U3158" s="98">
        <v>4.2203899076336704</v>
      </c>
      <c r="V3158" s="106">
        <v>34041.935702386349</v>
      </c>
      <c r="W3158" s="10">
        <v>1.1066546620968953</v>
      </c>
      <c r="X3158" s="420"/>
      <c r="Y3158" s="420"/>
      <c r="Z3158" s="1"/>
      <c r="AA3158" s="1"/>
      <c r="AB3158" s="1"/>
      <c r="AC3158" s="1"/>
      <c r="AD3158" s="1"/>
    </row>
    <row r="3159" spans="17:30">
      <c r="Q3159" s="6">
        <v>3129</v>
      </c>
      <c r="R3159" s="7">
        <v>45796</v>
      </c>
      <c r="S3159" s="210">
        <v>4.25</v>
      </c>
      <c r="T3159" s="8">
        <v>1.0001180555555556</v>
      </c>
      <c r="U3159" s="98">
        <v>4.2204482007810462</v>
      </c>
      <c r="V3159" s="106">
        <v>34044.769108135188</v>
      </c>
      <c r="W3159" s="10">
        <v>1.1067096993182535</v>
      </c>
      <c r="X3159" s="420"/>
      <c r="Y3159" s="420"/>
      <c r="Z3159" s="1"/>
      <c r="AA3159" s="1"/>
      <c r="AB3159" s="1"/>
      <c r="AC3159" s="1"/>
      <c r="AD3159" s="1"/>
    </row>
    <row r="3160" spans="17:30">
      <c r="Q3160" s="6">
        <v>3130</v>
      </c>
      <c r="R3160" s="7">
        <v>45797</v>
      </c>
      <c r="S3160" s="210">
        <v>4.25</v>
      </c>
      <c r="T3160" s="8">
        <v>1.0001180555555556</v>
      </c>
      <c r="U3160" s="98">
        <v>4.2205064567129691</v>
      </c>
      <c r="V3160" s="106">
        <v>34047.60274971633</v>
      </c>
      <c r="W3160" s="10">
        <v>1.1067647014020077</v>
      </c>
      <c r="X3160" s="420"/>
      <c r="Y3160" s="420"/>
      <c r="Z3160" s="1"/>
      <c r="AA3160" s="1"/>
      <c r="AB3160" s="1"/>
      <c r="AC3160" s="1"/>
      <c r="AD3160" s="1"/>
    </row>
    <row r="3161" spans="17:30">
      <c r="Q3161" s="6">
        <v>3131</v>
      </c>
      <c r="R3161" s="7">
        <v>45798</v>
      </c>
      <c r="S3161" s="210">
        <v>4.25</v>
      </c>
      <c r="T3161" s="8">
        <v>1.0001180555555556</v>
      </c>
      <c r="U3161" s="98">
        <v>4.2205646754650772</v>
      </c>
      <c r="V3161" s="106">
        <v>34050.4366271494</v>
      </c>
      <c r="W3161" s="10">
        <v>1.1068196683817533</v>
      </c>
      <c r="X3161" s="420"/>
      <c r="Y3161" s="420"/>
      <c r="Z3161" s="1"/>
      <c r="AA3161" s="1"/>
      <c r="AB3161" s="1"/>
      <c r="AC3161" s="1"/>
      <c r="AD3161" s="1"/>
    </row>
    <row r="3162" spans="17:30">
      <c r="Q3162" s="6">
        <v>3132</v>
      </c>
      <c r="R3162" s="7">
        <v>45799</v>
      </c>
      <c r="S3162" s="210">
        <v>4.25</v>
      </c>
      <c r="T3162" s="8">
        <v>1.0001180555555556</v>
      </c>
      <c r="U3162" s="98">
        <v>4.220622857072942</v>
      </c>
      <c r="V3162" s="106">
        <v>34053.270740454049</v>
      </c>
      <c r="W3162" s="10">
        <v>1.1068746002911078</v>
      </c>
      <c r="X3162" s="420"/>
      <c r="Y3162" s="420"/>
      <c r="Z3162" s="1"/>
      <c r="AA3162" s="1"/>
      <c r="AB3162" s="1"/>
      <c r="AC3162" s="1"/>
      <c r="AD3162" s="1"/>
    </row>
    <row r="3163" spans="17:30">
      <c r="Q3163" s="6">
        <v>3133</v>
      </c>
      <c r="R3163" s="7">
        <v>45800</v>
      </c>
      <c r="S3163" s="210">
        <v>4.25</v>
      </c>
      <c r="T3163" s="8">
        <v>1.0001180555555556</v>
      </c>
      <c r="U3163" s="98">
        <v>4.220681001572113</v>
      </c>
      <c r="V3163" s="106">
        <v>34056.105089649885</v>
      </c>
      <c r="W3163" s="10">
        <v>1.1069294971636445</v>
      </c>
      <c r="X3163" s="420"/>
      <c r="Y3163" s="420"/>
      <c r="Z3163" s="1"/>
      <c r="AA3163" s="1"/>
      <c r="AB3163" s="1"/>
      <c r="AC3163" s="1"/>
      <c r="AD3163" s="1"/>
    </row>
    <row r="3164" spans="17:30">
      <c r="Q3164" s="6">
        <v>3134</v>
      </c>
      <c r="R3164" s="7">
        <v>45801</v>
      </c>
      <c r="S3164" s="210">
        <v>4.25</v>
      </c>
      <c r="T3164" s="8">
        <v>1.0001180555555556</v>
      </c>
      <c r="U3164" s="98">
        <v>4.2207391089980728</v>
      </c>
      <c r="V3164" s="106">
        <v>34058.939674756548</v>
      </c>
      <c r="W3164" s="10">
        <v>1.1069843590328476</v>
      </c>
      <c r="X3164" s="420"/>
      <c r="Y3164" s="420"/>
      <c r="Z3164" s="1"/>
      <c r="AA3164" s="1"/>
      <c r="AB3164" s="1"/>
      <c r="AC3164" s="1"/>
      <c r="AD3164" s="1"/>
    </row>
    <row r="3165" spans="17:30">
      <c r="Q3165" s="6">
        <v>3135</v>
      </c>
      <c r="R3165" s="7">
        <v>45802</v>
      </c>
      <c r="S3165" s="210">
        <v>4.25</v>
      </c>
      <c r="T3165" s="8">
        <v>1.0001180555555556</v>
      </c>
      <c r="U3165" s="98">
        <v>4.220797179386282</v>
      </c>
      <c r="V3165" s="106">
        <v>34061.774495793674</v>
      </c>
      <c r="W3165" s="10">
        <v>1.1070391859322015</v>
      </c>
      <c r="X3165" s="420"/>
      <c r="Y3165" s="420"/>
      <c r="Z3165" s="1"/>
      <c r="AA3165" s="1"/>
      <c r="AB3165" s="1"/>
      <c r="AC3165" s="1"/>
      <c r="AD3165" s="1"/>
    </row>
    <row r="3166" spans="17:30">
      <c r="Q3166" s="6">
        <v>3136</v>
      </c>
      <c r="R3166" s="7">
        <v>45803</v>
      </c>
      <c r="S3166" s="210">
        <v>4.25</v>
      </c>
      <c r="T3166" s="8">
        <v>1.0001180555555556</v>
      </c>
      <c r="U3166" s="98">
        <v>4.2208552127721344</v>
      </c>
      <c r="V3166" s="106">
        <v>34064.609552780916</v>
      </c>
      <c r="W3166" s="10">
        <v>1.1070939778951239</v>
      </c>
      <c r="X3166" s="420"/>
      <c r="Y3166" s="420"/>
      <c r="Z3166" s="1"/>
      <c r="AA3166" s="1"/>
      <c r="AB3166" s="1"/>
      <c r="AC3166" s="1"/>
      <c r="AD3166" s="1"/>
    </row>
    <row r="3167" spans="17:30">
      <c r="Q3167" s="6">
        <v>3137</v>
      </c>
      <c r="R3167" s="7">
        <v>45804</v>
      </c>
      <c r="S3167" s="210">
        <v>4.25</v>
      </c>
      <c r="T3167" s="8">
        <v>1.0001180555555556</v>
      </c>
      <c r="U3167" s="98">
        <v>4.2209132091909796</v>
      </c>
      <c r="V3167" s="106">
        <v>34067.444845737889</v>
      </c>
      <c r="W3167" s="10">
        <v>1.1071487349550102</v>
      </c>
      <c r="X3167" s="420"/>
      <c r="Y3167" s="420"/>
      <c r="Z3167" s="1"/>
      <c r="AA3167" s="1"/>
      <c r="AB3167" s="1"/>
      <c r="AC3167" s="1"/>
      <c r="AD3167" s="1"/>
    </row>
    <row r="3168" spans="17:30">
      <c r="Q3168" s="6">
        <v>3138</v>
      </c>
      <c r="R3168" s="7">
        <v>45805</v>
      </c>
      <c r="S3168" s="210">
        <v>4.25</v>
      </c>
      <c r="T3168" s="8">
        <v>1.0001180555555556</v>
      </c>
      <c r="U3168" s="98">
        <v>4.2209711686781226</v>
      </c>
      <c r="V3168" s="106">
        <v>34070.280374684247</v>
      </c>
      <c r="W3168" s="10">
        <v>1.1072034571451672</v>
      </c>
      <c r="X3168" s="420"/>
      <c r="Y3168" s="420"/>
      <c r="Z3168" s="1"/>
      <c r="AA3168" s="1"/>
      <c r="AB3168" s="1"/>
      <c r="AC3168" s="1"/>
      <c r="AD3168" s="1"/>
    </row>
    <row r="3169" spans="17:30">
      <c r="Q3169" s="6">
        <v>3139</v>
      </c>
      <c r="R3169" s="7">
        <v>45806</v>
      </c>
      <c r="S3169" s="210">
        <v>4.25</v>
      </c>
      <c r="T3169" s="8">
        <v>1.0001180555555556</v>
      </c>
      <c r="U3169" s="98">
        <v>4.2210290912688464</v>
      </c>
      <c r="V3169" s="106">
        <v>34073.11613963962</v>
      </c>
      <c r="W3169" s="10">
        <v>1.1072581444989238</v>
      </c>
      <c r="X3169" s="420"/>
      <c r="Y3169" s="420"/>
      <c r="Z3169" s="1"/>
      <c r="AA3169" s="1"/>
      <c r="AB3169" s="1"/>
      <c r="AC3169" s="1"/>
      <c r="AD3169" s="1"/>
    </row>
    <row r="3170" spans="17:30">
      <c r="Q3170" s="6">
        <v>3140</v>
      </c>
      <c r="R3170" s="7">
        <v>45807</v>
      </c>
      <c r="S3170" s="210">
        <v>4.25</v>
      </c>
      <c r="T3170" s="8">
        <v>1.0001180555555556</v>
      </c>
      <c r="U3170" s="98">
        <v>4.221086976998345</v>
      </c>
      <c r="V3170" s="106">
        <v>34075.952140623674</v>
      </c>
      <c r="W3170" s="10">
        <v>1.1073127970494978</v>
      </c>
      <c r="X3170" s="420"/>
      <c r="Y3170" s="420"/>
      <c r="Z3170" s="1"/>
      <c r="AA3170" s="1"/>
      <c r="AB3170" s="1"/>
      <c r="AC3170" s="1"/>
      <c r="AD3170" s="1"/>
    </row>
    <row r="3171" spans="17:30">
      <c r="Q3171" s="6">
        <v>3141</v>
      </c>
      <c r="R3171" s="7">
        <v>45808</v>
      </c>
      <c r="S3171" s="210">
        <v>4.25</v>
      </c>
      <c r="T3171" s="8">
        <v>1.0001180555555556</v>
      </c>
      <c r="U3171" s="98">
        <v>4.2211448259018125</v>
      </c>
      <c r="V3171" s="106">
        <v>34078.788377656034</v>
      </c>
      <c r="W3171" s="10">
        <v>1.1073674148301293</v>
      </c>
      <c r="X3171" s="420"/>
      <c r="Y3171" s="420"/>
      <c r="Z3171" s="1"/>
      <c r="AA3171" s="1"/>
      <c r="AB3171" s="1"/>
      <c r="AC3171" s="1"/>
      <c r="AD3171" s="1"/>
    </row>
    <row r="3172" spans="17:30">
      <c r="Q3172" s="6">
        <v>3142</v>
      </c>
      <c r="R3172" s="7">
        <v>45809</v>
      </c>
      <c r="S3172" s="210">
        <v>4.25</v>
      </c>
      <c r="T3172" s="8">
        <v>1.0001180555555556</v>
      </c>
      <c r="U3172" s="98">
        <v>4.2212026380143763</v>
      </c>
      <c r="V3172" s="106">
        <v>34081.624850756358</v>
      </c>
      <c r="W3172" s="10">
        <v>1.1074219978739919</v>
      </c>
      <c r="X3172" s="420"/>
      <c r="Y3172" s="420"/>
      <c r="Z3172" s="1"/>
      <c r="AA3172" s="1"/>
      <c r="AB3172" s="1"/>
      <c r="AC3172" s="1"/>
      <c r="AD3172" s="1"/>
    </row>
    <row r="3173" spans="17:30">
      <c r="Q3173" s="6">
        <v>3143</v>
      </c>
      <c r="R3173" s="7">
        <v>45810</v>
      </c>
      <c r="S3173" s="210">
        <v>4.25</v>
      </c>
      <c r="T3173" s="8">
        <v>1.0001180555555556</v>
      </c>
      <c r="U3173" s="98">
        <v>4.2212604133711196</v>
      </c>
      <c r="V3173" s="106">
        <v>34084.461559944291</v>
      </c>
      <c r="W3173" s="10">
        <v>1.1074765462141922</v>
      </c>
      <c r="X3173" s="420"/>
      <c r="Y3173" s="420"/>
      <c r="Z3173" s="1"/>
      <c r="AA3173" s="1"/>
      <c r="AB3173" s="1"/>
      <c r="AC3173" s="1"/>
      <c r="AD3173" s="1"/>
    </row>
    <row r="3174" spans="17:30">
      <c r="Q3174" s="6">
        <v>3144</v>
      </c>
      <c r="R3174" s="7">
        <v>45811</v>
      </c>
      <c r="S3174" s="210">
        <v>4.25</v>
      </c>
      <c r="T3174" s="8">
        <v>1.0001180555555556</v>
      </c>
      <c r="U3174" s="98">
        <v>4.221318152007103</v>
      </c>
      <c r="V3174" s="106">
        <v>34087.29850523948</v>
      </c>
      <c r="W3174" s="10">
        <v>1.1075310598838595</v>
      </c>
      <c r="X3174" s="420"/>
      <c r="Y3174" s="420"/>
      <c r="Z3174" s="1"/>
      <c r="AA3174" s="1"/>
      <c r="AB3174" s="1"/>
      <c r="AC3174" s="1"/>
      <c r="AD3174" s="1"/>
    </row>
    <row r="3175" spans="17:30">
      <c r="Q3175" s="6">
        <v>3145</v>
      </c>
      <c r="R3175" s="7">
        <v>45812</v>
      </c>
      <c r="S3175" s="210">
        <v>4.25</v>
      </c>
      <c r="T3175" s="8">
        <v>1.0001180555555556</v>
      </c>
      <c r="U3175" s="98">
        <v>4.2213758539572988</v>
      </c>
      <c r="V3175" s="106">
        <v>34090.135686661575</v>
      </c>
      <c r="W3175" s="10">
        <v>1.1075855389160116</v>
      </c>
      <c r="X3175" s="420"/>
      <c r="Y3175" s="420"/>
      <c r="Z3175" s="1"/>
      <c r="AA3175" s="1"/>
      <c r="AB3175" s="1"/>
      <c r="AC3175" s="1"/>
      <c r="AD3175" s="1"/>
    </row>
    <row r="3176" spans="17:30">
      <c r="Q3176" s="6">
        <v>3146</v>
      </c>
      <c r="R3176" s="7">
        <v>45813</v>
      </c>
      <c r="S3176" s="210">
        <v>4.25</v>
      </c>
      <c r="T3176" s="8">
        <v>1.0001180555555556</v>
      </c>
      <c r="U3176" s="98">
        <v>4.2214335192566788</v>
      </c>
      <c r="V3176" s="106">
        <v>34092.973104230245</v>
      </c>
      <c r="W3176" s="10">
        <v>1.1076399833436223</v>
      </c>
      <c r="X3176" s="420"/>
      <c r="Y3176" s="420"/>
      <c r="Z3176" s="1"/>
      <c r="AA3176" s="1"/>
      <c r="AB3176" s="1"/>
      <c r="AC3176" s="1"/>
      <c r="AD3176" s="1"/>
    </row>
    <row r="3177" spans="17:30">
      <c r="Q3177" s="6">
        <v>3147</v>
      </c>
      <c r="R3177" s="7">
        <v>45814</v>
      </c>
      <c r="S3177" s="210">
        <v>4.25</v>
      </c>
      <c r="T3177" s="8">
        <v>1.0001180555555556</v>
      </c>
      <c r="U3177" s="98">
        <v>4.2214911479401485</v>
      </c>
      <c r="V3177" s="106">
        <v>34095.810757965119</v>
      </c>
      <c r="W3177" s="10">
        <v>1.1076943931997096</v>
      </c>
      <c r="X3177" s="420"/>
      <c r="Y3177" s="420"/>
      <c r="Z3177" s="1"/>
      <c r="AA3177" s="1"/>
      <c r="AB3177" s="1"/>
      <c r="AC3177" s="1"/>
      <c r="AD3177" s="1"/>
    </row>
    <row r="3178" spans="17:30">
      <c r="Q3178" s="6">
        <v>3148</v>
      </c>
      <c r="R3178" s="7">
        <v>45815</v>
      </c>
      <c r="S3178" s="210">
        <v>4.25</v>
      </c>
      <c r="T3178" s="8">
        <v>1.0001180555555556</v>
      </c>
      <c r="U3178" s="98">
        <v>4.2215487400425689</v>
      </c>
      <c r="V3178" s="106">
        <v>34098.648647885879</v>
      </c>
      <c r="W3178" s="10">
        <v>1.1077487685171583</v>
      </c>
      <c r="X3178" s="420"/>
      <c r="Y3178" s="420"/>
      <c r="Z3178" s="1"/>
      <c r="AA3178" s="1"/>
      <c r="AB3178" s="1"/>
      <c r="AC3178" s="1"/>
      <c r="AD3178" s="1"/>
    </row>
    <row r="3179" spans="17:30">
      <c r="Q3179" s="6">
        <v>3149</v>
      </c>
      <c r="R3179" s="7">
        <v>45816</v>
      </c>
      <c r="S3179" s="210">
        <v>4.25</v>
      </c>
      <c r="T3179" s="8">
        <v>1.0001180555555556</v>
      </c>
      <c r="U3179" s="98">
        <v>4.2216062955987566</v>
      </c>
      <c r="V3179" s="106">
        <v>34101.486774012177</v>
      </c>
      <c r="W3179" s="10">
        <v>1.1078031093288532</v>
      </c>
      <c r="X3179" s="420"/>
      <c r="Y3179" s="420"/>
      <c r="Z3179" s="1"/>
      <c r="AA3179" s="1"/>
      <c r="AB3179" s="1"/>
      <c r="AC3179" s="1"/>
      <c r="AD3179" s="1"/>
    </row>
    <row r="3180" spans="17:30">
      <c r="Q3180" s="6">
        <v>3150</v>
      </c>
      <c r="R3180" s="7">
        <v>45817</v>
      </c>
      <c r="S3180" s="210">
        <v>4.25</v>
      </c>
      <c r="T3180" s="8">
        <v>1.0001180555555556</v>
      </c>
      <c r="U3180" s="98">
        <v>4.2216638146434837</v>
      </c>
      <c r="V3180" s="106">
        <v>34104.325136363666</v>
      </c>
      <c r="W3180" s="10">
        <v>1.1078574156676124</v>
      </c>
      <c r="X3180" s="420"/>
      <c r="Y3180" s="420"/>
      <c r="Z3180" s="1"/>
      <c r="AA3180" s="1"/>
      <c r="AB3180" s="1"/>
      <c r="AC3180" s="1"/>
      <c r="AD3180" s="1"/>
    </row>
    <row r="3181" spans="17:30">
      <c r="Q3181" s="6">
        <v>3151</v>
      </c>
      <c r="R3181" s="7">
        <v>45818</v>
      </c>
      <c r="S3181" s="210">
        <v>4.25</v>
      </c>
      <c r="T3181" s="8">
        <v>1.0001180555555556</v>
      </c>
      <c r="U3181" s="98">
        <v>4.2217212972114782</v>
      </c>
      <c r="V3181" s="106">
        <v>34107.163734960006</v>
      </c>
      <c r="W3181" s="10">
        <v>1.107911687566232</v>
      </c>
      <c r="X3181" s="420"/>
      <c r="Y3181" s="420"/>
      <c r="Z3181" s="1"/>
      <c r="AA3181" s="1"/>
      <c r="AB3181" s="1"/>
      <c r="AC3181" s="1"/>
      <c r="AD3181" s="1"/>
    </row>
    <row r="3182" spans="17:30">
      <c r="Q3182" s="6">
        <v>3152</v>
      </c>
      <c r="R3182" s="7">
        <v>45819</v>
      </c>
      <c r="S3182" s="210">
        <v>4.25</v>
      </c>
      <c r="T3182" s="8">
        <v>1.0001180555555556</v>
      </c>
      <c r="U3182" s="98">
        <v>4.2217787433374454</v>
      </c>
      <c r="V3182" s="106">
        <v>34110.00256982087</v>
      </c>
      <c r="W3182" s="10">
        <v>1.1079659250574636</v>
      </c>
      <c r="X3182" s="420"/>
      <c r="Y3182" s="420"/>
      <c r="Z3182" s="1"/>
      <c r="AA3182" s="1"/>
      <c r="AB3182" s="1"/>
      <c r="AC3182" s="1"/>
      <c r="AD3182" s="1"/>
    </row>
    <row r="3183" spans="17:30">
      <c r="Q3183" s="6">
        <v>3153</v>
      </c>
      <c r="R3183" s="7">
        <v>45820</v>
      </c>
      <c r="S3183" s="210">
        <v>4.25</v>
      </c>
      <c r="T3183" s="8">
        <v>1.0001180555555556</v>
      </c>
      <c r="U3183" s="98">
        <v>4.2218361530560022</v>
      </c>
      <c r="V3183" s="106">
        <v>34112.841640965918</v>
      </c>
      <c r="W3183" s="10">
        <v>1.1080201281740143</v>
      </c>
      <c r="X3183" s="420"/>
      <c r="Y3183" s="420"/>
      <c r="Z3183" s="1"/>
      <c r="AA3183" s="1"/>
      <c r="AB3183" s="1"/>
      <c r="AC3183" s="1"/>
      <c r="AD3183" s="1"/>
    </row>
    <row r="3184" spans="17:30">
      <c r="Q3184" s="6">
        <v>3154</v>
      </c>
      <c r="R3184" s="7">
        <v>45821</v>
      </c>
      <c r="S3184" s="210">
        <v>4.25</v>
      </c>
      <c r="T3184" s="8">
        <v>1.0001180555555556</v>
      </c>
      <c r="U3184" s="98">
        <v>4.2218935264017654</v>
      </c>
      <c r="V3184" s="106">
        <v>34115.680948414811</v>
      </c>
      <c r="W3184" s="10">
        <v>1.1080742969485913</v>
      </c>
      <c r="X3184" s="420"/>
      <c r="Y3184" s="420"/>
      <c r="Z3184" s="1"/>
      <c r="AA3184" s="1"/>
      <c r="AB3184" s="1"/>
      <c r="AC3184" s="1"/>
      <c r="AD3184" s="1"/>
    </row>
    <row r="3185" spans="17:30">
      <c r="Q3185" s="6">
        <v>3155</v>
      </c>
      <c r="R3185" s="7">
        <v>45822</v>
      </c>
      <c r="S3185" s="210">
        <v>4.25</v>
      </c>
      <c r="T3185" s="8">
        <v>1.0001180555555556</v>
      </c>
      <c r="U3185" s="98">
        <v>4.2219508634093073</v>
      </c>
      <c r="V3185" s="106">
        <v>34118.520492187236</v>
      </c>
      <c r="W3185" s="10">
        <v>1.1081284314137907</v>
      </c>
      <c r="X3185" s="420"/>
      <c r="Y3185" s="420"/>
      <c r="Z3185" s="1"/>
      <c r="AA3185" s="1"/>
      <c r="AB3185" s="1"/>
      <c r="AC3185" s="1"/>
      <c r="AD3185" s="1"/>
    </row>
    <row r="3186" spans="17:30">
      <c r="Q3186" s="6">
        <v>3156</v>
      </c>
      <c r="R3186" s="7">
        <v>45823</v>
      </c>
      <c r="S3186" s="210">
        <v>4.25</v>
      </c>
      <c r="T3186" s="8">
        <v>1.0001180555555556</v>
      </c>
      <c r="U3186" s="98">
        <v>4.2220081641131113</v>
      </c>
      <c r="V3186" s="106">
        <v>34121.360272302845</v>
      </c>
      <c r="W3186" s="10">
        <v>1.1081825316021865</v>
      </c>
      <c r="X3186" s="420"/>
      <c r="Y3186" s="420"/>
      <c r="Z3186" s="1"/>
      <c r="AA3186" s="1"/>
      <c r="AB3186" s="1"/>
      <c r="AC3186" s="1"/>
      <c r="AD3186" s="1"/>
    </row>
    <row r="3187" spans="17:30">
      <c r="Q3187" s="6">
        <v>3157</v>
      </c>
      <c r="R3187" s="7">
        <v>45824</v>
      </c>
      <c r="S3187" s="210">
        <v>4.25</v>
      </c>
      <c r="T3187" s="8">
        <v>1.0001180555555556</v>
      </c>
      <c r="U3187" s="98">
        <v>4.2220654285476611</v>
      </c>
      <c r="V3187" s="106">
        <v>34124.200288781314</v>
      </c>
      <c r="W3187" s="10">
        <v>1.1082365975463526</v>
      </c>
      <c r="X3187" s="420"/>
      <c r="Y3187" s="420"/>
      <c r="Z3187" s="1"/>
      <c r="AA3187" s="1"/>
      <c r="AB3187" s="1"/>
      <c r="AC3187" s="1"/>
      <c r="AD3187" s="1"/>
    </row>
    <row r="3188" spans="17:30">
      <c r="Q3188" s="6">
        <v>3158</v>
      </c>
      <c r="R3188" s="7">
        <v>45825</v>
      </c>
      <c r="S3188" s="210">
        <v>4.25</v>
      </c>
      <c r="T3188" s="8">
        <v>1.0001180555555556</v>
      </c>
      <c r="U3188" s="98">
        <v>4.2221226567473735</v>
      </c>
      <c r="V3188" s="106">
        <v>34127.040541642309</v>
      </c>
      <c r="W3188" s="10">
        <v>1.108290629278752</v>
      </c>
      <c r="X3188" s="420"/>
      <c r="Y3188" s="420"/>
      <c r="Z3188" s="1"/>
      <c r="AA3188" s="1"/>
      <c r="AB3188" s="1"/>
      <c r="AC3188" s="1"/>
      <c r="AD3188" s="1"/>
    </row>
    <row r="3189" spans="17:30">
      <c r="Q3189" s="6">
        <v>3159</v>
      </c>
      <c r="R3189" s="7">
        <v>45826</v>
      </c>
      <c r="S3189" s="210">
        <v>4.25</v>
      </c>
      <c r="T3189" s="8">
        <v>1.0001180555555556</v>
      </c>
      <c r="U3189" s="98">
        <v>4.2221798487466433</v>
      </c>
      <c r="V3189" s="106">
        <v>34129.881030905519</v>
      </c>
      <c r="W3189" s="10">
        <v>1.1083446268319141</v>
      </c>
      <c r="X3189" s="420"/>
      <c r="Y3189" s="420"/>
      <c r="Z3189" s="1"/>
      <c r="AA3189" s="1"/>
      <c r="AB3189" s="1"/>
      <c r="AC3189" s="1"/>
      <c r="AD3189" s="1"/>
    </row>
    <row r="3190" spans="17:30">
      <c r="Q3190" s="6">
        <v>3160</v>
      </c>
      <c r="R3190" s="7">
        <v>45827</v>
      </c>
      <c r="S3190" s="210">
        <v>4.25</v>
      </c>
      <c r="T3190" s="8">
        <v>1.0001180555555556</v>
      </c>
      <c r="U3190" s="98">
        <v>4.2222370045797986</v>
      </c>
      <c r="V3190" s="106">
        <v>34132.721756590618</v>
      </c>
      <c r="W3190" s="10">
        <v>1.108398590238191</v>
      </c>
      <c r="X3190" s="420"/>
      <c r="Y3190" s="420"/>
      <c r="Z3190" s="1"/>
      <c r="AA3190" s="1"/>
      <c r="AB3190" s="1"/>
      <c r="AC3190" s="1"/>
      <c r="AD3190" s="1"/>
    </row>
    <row r="3191" spans="17:30">
      <c r="Q3191" s="6">
        <v>3161</v>
      </c>
      <c r="R3191" s="7">
        <v>45828</v>
      </c>
      <c r="S3191" s="210">
        <v>4.25</v>
      </c>
      <c r="T3191" s="8">
        <v>1.0001180555555556</v>
      </c>
      <c r="U3191" s="98">
        <v>4.2222941242811451</v>
      </c>
      <c r="V3191" s="106">
        <v>34135.562718717279</v>
      </c>
      <c r="W3191" s="10">
        <v>1.1084525195300232</v>
      </c>
      <c r="X3191" s="420"/>
      <c r="Y3191" s="420"/>
      <c r="Z3191" s="1"/>
      <c r="AA3191" s="1"/>
      <c r="AB3191" s="1"/>
      <c r="AC3191" s="1"/>
      <c r="AD3191" s="1"/>
    </row>
    <row r="3192" spans="17:30">
      <c r="Q3192" s="6">
        <v>3162</v>
      </c>
      <c r="R3192" s="7">
        <v>45829</v>
      </c>
      <c r="S3192" s="210">
        <v>4.25</v>
      </c>
      <c r="T3192" s="8">
        <v>1.0001180555555556</v>
      </c>
      <c r="U3192" s="98">
        <v>4.2223512078849224</v>
      </c>
      <c r="V3192" s="106">
        <v>34138.403917305179</v>
      </c>
      <c r="W3192" s="10">
        <v>1.1085064147396961</v>
      </c>
      <c r="X3192" s="420"/>
      <c r="Y3192" s="420"/>
      <c r="Z3192" s="1"/>
      <c r="AA3192" s="1"/>
      <c r="AB3192" s="1"/>
      <c r="AC3192" s="1"/>
      <c r="AD3192" s="1"/>
    </row>
    <row r="3193" spans="17:30">
      <c r="Q3193" s="6">
        <v>3163</v>
      </c>
      <c r="R3193" s="7">
        <v>45830</v>
      </c>
      <c r="S3193" s="210">
        <v>4.25</v>
      </c>
      <c r="T3193" s="8">
        <v>1.0001180555555556</v>
      </c>
      <c r="U3193" s="98">
        <v>4.2224082554253251</v>
      </c>
      <c r="V3193" s="106">
        <v>34141.245352374004</v>
      </c>
      <c r="W3193" s="10">
        <v>1.1085602758995394</v>
      </c>
      <c r="X3193" s="420"/>
      <c r="Y3193" s="420"/>
      <c r="Z3193" s="1"/>
      <c r="AA3193" s="1"/>
      <c r="AB3193" s="1"/>
      <c r="AC3193" s="1"/>
      <c r="AD3193" s="1"/>
    </row>
    <row r="3194" spans="17:30">
      <c r="Q3194" s="6">
        <v>3164</v>
      </c>
      <c r="R3194" s="7">
        <v>45831</v>
      </c>
      <c r="S3194" s="210">
        <v>4.25</v>
      </c>
      <c r="T3194" s="8">
        <v>1.0001180555555556</v>
      </c>
      <c r="U3194" s="98">
        <v>4.2224652669365481</v>
      </c>
      <c r="V3194" s="106">
        <v>34144.087023943437</v>
      </c>
      <c r="W3194" s="10">
        <v>1.1086141030418162</v>
      </c>
      <c r="X3194" s="420"/>
      <c r="Y3194" s="420"/>
      <c r="Z3194" s="1"/>
      <c r="AA3194" s="1"/>
      <c r="AB3194" s="1"/>
      <c r="AC3194" s="1"/>
      <c r="AD3194" s="1"/>
    </row>
    <row r="3195" spans="17:30">
      <c r="Q3195" s="6">
        <v>3165</v>
      </c>
      <c r="R3195" s="7">
        <v>45832</v>
      </c>
      <c r="S3195" s="210">
        <v>4.25</v>
      </c>
      <c r="T3195" s="8">
        <v>1.0001180555555556</v>
      </c>
      <c r="U3195" s="98">
        <v>4.2225222424526976</v>
      </c>
      <c r="V3195" s="106">
        <v>34146.928932033159</v>
      </c>
      <c r="W3195" s="10">
        <v>1.1086678961987229</v>
      </c>
      <c r="X3195" s="420"/>
      <c r="Y3195" s="420"/>
      <c r="Z3195" s="1"/>
      <c r="AA3195" s="1"/>
      <c r="AB3195" s="1"/>
      <c r="AC3195" s="1"/>
      <c r="AD3195" s="1"/>
    </row>
    <row r="3196" spans="17:30">
      <c r="Q3196" s="6">
        <v>3166</v>
      </c>
      <c r="R3196" s="7">
        <v>45833</v>
      </c>
      <c r="S3196" s="210">
        <v>4.25</v>
      </c>
      <c r="T3196" s="8">
        <v>1.0001180555555556</v>
      </c>
      <c r="U3196" s="98">
        <v>4.2225791820078351</v>
      </c>
      <c r="V3196" s="106">
        <v>34149.771076662859</v>
      </c>
      <c r="W3196" s="10">
        <v>1.1087216554024115</v>
      </c>
      <c r="X3196" s="420"/>
      <c r="Y3196" s="420"/>
      <c r="Z3196" s="1"/>
      <c r="AA3196" s="1"/>
      <c r="AB3196" s="1"/>
      <c r="AC3196" s="1"/>
      <c r="AD3196" s="1"/>
    </row>
    <row r="3197" spans="17:30">
      <c r="Q3197" s="6">
        <v>3167</v>
      </c>
      <c r="R3197" s="7">
        <v>45834</v>
      </c>
      <c r="S3197" s="210">
        <v>4.25</v>
      </c>
      <c r="T3197" s="8">
        <v>1.0001180555555556</v>
      </c>
      <c r="U3197" s="98">
        <v>4.2226360856360223</v>
      </c>
      <c r="V3197" s="106">
        <v>34152.613457852232</v>
      </c>
      <c r="W3197" s="10">
        <v>1.1087753806850786</v>
      </c>
      <c r="X3197" s="420"/>
      <c r="Y3197" s="420"/>
      <c r="Z3197" s="1"/>
      <c r="AA3197" s="1"/>
      <c r="AB3197" s="1"/>
      <c r="AC3197" s="1"/>
      <c r="AD3197" s="1"/>
    </row>
    <row r="3198" spans="17:30">
      <c r="Q3198" s="6">
        <v>3168</v>
      </c>
      <c r="R3198" s="7">
        <v>45835</v>
      </c>
      <c r="S3198" s="210">
        <v>4.25</v>
      </c>
      <c r="T3198" s="8">
        <v>1.0001180555555556</v>
      </c>
      <c r="U3198" s="98">
        <v>4.2226929533712321</v>
      </c>
      <c r="V3198" s="106">
        <v>34155.456075620947</v>
      </c>
      <c r="W3198" s="10">
        <v>1.1088290720787874</v>
      </c>
      <c r="X3198" s="420"/>
      <c r="Y3198" s="420"/>
      <c r="Z3198" s="1"/>
      <c r="AA3198" s="1"/>
      <c r="AB3198" s="1"/>
      <c r="AC3198" s="1"/>
      <c r="AD3198" s="1"/>
    </row>
    <row r="3199" spans="17:30">
      <c r="Q3199" s="6">
        <v>3169</v>
      </c>
      <c r="R3199" s="7">
        <v>45836</v>
      </c>
      <c r="S3199" s="210">
        <v>4.25</v>
      </c>
      <c r="T3199" s="8">
        <v>1.0001180555555556</v>
      </c>
      <c r="U3199" s="98">
        <v>4.222749785247415</v>
      </c>
      <c r="V3199" s="106">
        <v>34158.298929988727</v>
      </c>
      <c r="W3199" s="10">
        <v>1.108882729615579</v>
      </c>
      <c r="X3199" s="420"/>
      <c r="Y3199" s="420"/>
      <c r="Z3199" s="1"/>
      <c r="AA3199" s="1"/>
      <c r="AB3199" s="1"/>
      <c r="AC3199" s="1"/>
      <c r="AD3199" s="1"/>
    </row>
    <row r="3200" spans="17:30">
      <c r="Q3200" s="6">
        <v>3170</v>
      </c>
      <c r="R3200" s="7">
        <v>45837</v>
      </c>
      <c r="S3200" s="210">
        <v>4.25</v>
      </c>
      <c r="T3200" s="8">
        <v>1.0001180555555556</v>
      </c>
      <c r="U3200" s="98">
        <v>4.2228065812984994</v>
      </c>
      <c r="V3200" s="106">
        <v>34161.142020975232</v>
      </c>
      <c r="W3200" s="10">
        <v>1.1089363533274943</v>
      </c>
      <c r="X3200" s="420"/>
      <c r="Y3200" s="420"/>
      <c r="Z3200" s="1"/>
      <c r="AA3200" s="1"/>
      <c r="AB3200" s="1"/>
      <c r="AC3200" s="1"/>
      <c r="AD3200" s="1"/>
    </row>
    <row r="3201" spans="17:30">
      <c r="Q3201" s="6">
        <v>3171</v>
      </c>
      <c r="R3201" s="7">
        <v>45838</v>
      </c>
      <c r="S3201" s="210">
        <v>4.25</v>
      </c>
      <c r="T3201" s="8">
        <v>1.0001180555555556</v>
      </c>
      <c r="U3201" s="98">
        <v>4.222863341558325</v>
      </c>
      <c r="V3201" s="106">
        <v>34163.985348600174</v>
      </c>
      <c r="W3201" s="10">
        <v>1.1089899432464856</v>
      </c>
      <c r="X3201" s="420"/>
      <c r="Y3201" s="420"/>
      <c r="Z3201" s="1"/>
      <c r="AA3201" s="1"/>
      <c r="AB3201" s="1"/>
      <c r="AC3201" s="1"/>
      <c r="AD3201" s="1"/>
    </row>
    <row r="3202" spans="17:30">
      <c r="Q3202" s="6">
        <v>3172</v>
      </c>
      <c r="R3202" s="7">
        <v>45839</v>
      </c>
      <c r="S3202" s="210">
        <v>4.25</v>
      </c>
      <c r="T3202" s="8">
        <v>1.0001180555555556</v>
      </c>
      <c r="U3202" s="98">
        <v>4.2229200660607313</v>
      </c>
      <c r="V3202" s="106">
        <v>34166.828912883248</v>
      </c>
      <c r="W3202" s="10">
        <v>1.1090434994045273</v>
      </c>
      <c r="X3202" s="420"/>
      <c r="Y3202" s="420"/>
      <c r="Z3202" s="1"/>
      <c r="AA3202" s="1"/>
      <c r="AB3202" s="1"/>
      <c r="AC3202" s="1"/>
      <c r="AD3202" s="1"/>
    </row>
    <row r="3203" spans="17:30">
      <c r="Q3203" s="6">
        <v>3173</v>
      </c>
      <c r="R3203" s="7">
        <v>45840</v>
      </c>
      <c r="S3203" s="210">
        <v>4.25</v>
      </c>
      <c r="T3203" s="8">
        <v>1.0001180555555556</v>
      </c>
      <c r="U3203" s="98">
        <v>4.2229767548394914</v>
      </c>
      <c r="V3203" s="106">
        <v>34169.672713844149</v>
      </c>
      <c r="W3203" s="10">
        <v>1.1090970218334606</v>
      </c>
      <c r="X3203" s="420"/>
      <c r="Y3203" s="420"/>
      <c r="Z3203" s="1"/>
      <c r="AA3203" s="1"/>
      <c r="AB3203" s="1"/>
      <c r="AC3203" s="1"/>
      <c r="AD3203" s="1"/>
    </row>
    <row r="3204" spans="17:30">
      <c r="Q3204" s="6">
        <v>3174</v>
      </c>
      <c r="R3204" s="7">
        <v>45841</v>
      </c>
      <c r="S3204" s="210">
        <v>4.25</v>
      </c>
      <c r="T3204" s="8">
        <v>1.0001180555555556</v>
      </c>
      <c r="U3204" s="98">
        <v>4.2230334079283338</v>
      </c>
      <c r="V3204" s="106">
        <v>34172.516751502568</v>
      </c>
      <c r="W3204" s="10">
        <v>1.1091505105651711</v>
      </c>
      <c r="X3204" s="420"/>
      <c r="Y3204" s="420"/>
      <c r="Z3204" s="1"/>
      <c r="AA3204" s="1"/>
      <c r="AB3204" s="1"/>
      <c r="AC3204" s="1"/>
      <c r="AD3204" s="1"/>
    </row>
    <row r="3205" spans="17:30">
      <c r="Q3205" s="6">
        <v>3175</v>
      </c>
      <c r="R3205" s="7">
        <v>45842</v>
      </c>
      <c r="S3205" s="210">
        <v>4.25</v>
      </c>
      <c r="T3205" s="8">
        <v>1.0001180555555556</v>
      </c>
      <c r="U3205" s="98">
        <v>4.2230900253609649</v>
      </c>
      <c r="V3205" s="106">
        <v>34175.361025878228</v>
      </c>
      <c r="W3205" s="10">
        <v>1.1092039656314556</v>
      </c>
      <c r="X3205" s="420"/>
      <c r="Y3205" s="420"/>
      <c r="Z3205" s="1"/>
      <c r="AA3205" s="1"/>
      <c r="AB3205" s="1"/>
      <c r="AC3205" s="1"/>
      <c r="AD3205" s="1"/>
    </row>
    <row r="3206" spans="17:30">
      <c r="Q3206" s="6">
        <v>3176</v>
      </c>
      <c r="R3206" s="7">
        <v>45843</v>
      </c>
      <c r="S3206" s="210">
        <v>4.25</v>
      </c>
      <c r="T3206" s="8">
        <v>1.0001180555555556</v>
      </c>
      <c r="U3206" s="98">
        <v>4.2231466071710244</v>
      </c>
      <c r="V3206" s="106">
        <v>34178.205536990812</v>
      </c>
      <c r="W3206" s="10">
        <v>1.1092573870640887</v>
      </c>
      <c r="X3206" s="420"/>
      <c r="Y3206" s="420"/>
      <c r="Z3206" s="1"/>
      <c r="AA3206" s="1"/>
      <c r="AB3206" s="1"/>
      <c r="AC3206" s="1"/>
      <c r="AD3206" s="1"/>
    </row>
    <row r="3207" spans="17:30">
      <c r="Q3207" s="6">
        <v>3177</v>
      </c>
      <c r="R3207" s="7">
        <v>45844</v>
      </c>
      <c r="S3207" s="210">
        <v>4.25</v>
      </c>
      <c r="T3207" s="8">
        <v>1.0001180555555556</v>
      </c>
      <c r="U3207" s="98">
        <v>4.2232031533921299</v>
      </c>
      <c r="V3207" s="106">
        <v>34181.05028486003</v>
      </c>
      <c r="W3207" s="10">
        <v>1.1093107748948228</v>
      </c>
      <c r="X3207" s="420"/>
      <c r="Y3207" s="420"/>
      <c r="Z3207" s="1"/>
      <c r="AA3207" s="1"/>
      <c r="AB3207" s="1"/>
      <c r="AC3207" s="1"/>
      <c r="AD3207" s="1"/>
    </row>
    <row r="3208" spans="17:30">
      <c r="Q3208" s="6">
        <v>3178</v>
      </c>
      <c r="R3208" s="7">
        <v>45845</v>
      </c>
      <c r="S3208" s="210">
        <v>4.25</v>
      </c>
      <c r="T3208" s="8">
        <v>1.0001180555555556</v>
      </c>
      <c r="U3208" s="98">
        <v>4.2232596640578324</v>
      </c>
      <c r="V3208" s="106">
        <v>34183.8952695056</v>
      </c>
      <c r="W3208" s="10">
        <v>1.1093641291553435</v>
      </c>
      <c r="X3208" s="420"/>
      <c r="Y3208" s="420"/>
      <c r="Z3208" s="1"/>
      <c r="AA3208" s="1"/>
      <c r="AB3208" s="1"/>
      <c r="AC3208" s="1"/>
      <c r="AD3208" s="1"/>
    </row>
    <row r="3209" spans="17:30">
      <c r="Q3209" s="6">
        <v>3179</v>
      </c>
      <c r="R3209" s="7">
        <v>45846</v>
      </c>
      <c r="S3209" s="210">
        <v>4.25</v>
      </c>
      <c r="T3209" s="8">
        <v>1.0001180555555556</v>
      </c>
      <c r="U3209" s="98">
        <v>4.2233161392016605</v>
      </c>
      <c r="V3209" s="106">
        <v>34186.740490947202</v>
      </c>
      <c r="W3209" s="10">
        <v>1.1094174498772702</v>
      </c>
      <c r="X3209" s="420"/>
      <c r="Y3209" s="420"/>
      <c r="Z3209" s="1"/>
      <c r="AA3209" s="1"/>
      <c r="AB3209" s="1"/>
      <c r="AC3209" s="1"/>
      <c r="AD3209" s="1"/>
    </row>
    <row r="3210" spans="17:30">
      <c r="Q3210" s="6">
        <v>3180</v>
      </c>
      <c r="R3210" s="7">
        <v>45847</v>
      </c>
      <c r="S3210" s="210">
        <v>4.25</v>
      </c>
      <c r="T3210" s="8">
        <v>1.0001180555555556</v>
      </c>
      <c r="U3210" s="98">
        <v>4.2233725788571208</v>
      </c>
      <c r="V3210" s="106">
        <v>34189.585949204571</v>
      </c>
      <c r="W3210" s="10">
        <v>1.1094707370922663</v>
      </c>
      <c r="X3210" s="420"/>
      <c r="Y3210" s="420"/>
      <c r="Z3210" s="1"/>
      <c r="AA3210" s="1"/>
      <c r="AB3210" s="1"/>
      <c r="AC3210" s="1"/>
      <c r="AD3210" s="1"/>
    </row>
    <row r="3211" spans="17:30">
      <c r="Q3211" s="6">
        <v>3181</v>
      </c>
      <c r="R3211" s="7">
        <v>45848</v>
      </c>
      <c r="S3211" s="210">
        <v>4.25</v>
      </c>
      <c r="T3211" s="8">
        <v>1.0001180555555556</v>
      </c>
      <c r="U3211" s="98">
        <v>4.223428983057631</v>
      </c>
      <c r="V3211" s="106">
        <v>34192.431644297409</v>
      </c>
      <c r="W3211" s="10">
        <v>1.1095239908318622</v>
      </c>
      <c r="X3211" s="420"/>
      <c r="Y3211" s="420"/>
      <c r="Z3211" s="1"/>
      <c r="AA3211" s="1"/>
      <c r="AB3211" s="1"/>
      <c r="AC3211" s="1"/>
      <c r="AD3211" s="1"/>
    </row>
    <row r="3212" spans="17:30">
      <c r="Q3212" s="6">
        <v>3182</v>
      </c>
      <c r="R3212" s="7">
        <v>45849</v>
      </c>
      <c r="S3212" s="210">
        <v>4.25</v>
      </c>
      <c r="T3212" s="8">
        <v>1.0001180555555556</v>
      </c>
      <c r="U3212" s="98">
        <v>4.2234853518365867</v>
      </c>
      <c r="V3212" s="106">
        <v>34195.277576245426</v>
      </c>
      <c r="W3212" s="10">
        <v>1.1095772111276325</v>
      </c>
      <c r="X3212" s="420"/>
      <c r="Y3212" s="420"/>
      <c r="Z3212" s="1"/>
      <c r="AA3212" s="1"/>
      <c r="AB3212" s="1"/>
      <c r="AC3212" s="1"/>
      <c r="AD3212" s="1"/>
    </row>
    <row r="3213" spans="17:30">
      <c r="Q3213" s="6">
        <v>3183</v>
      </c>
      <c r="R3213" s="7">
        <v>45850</v>
      </c>
      <c r="S3213" s="210">
        <v>4.25</v>
      </c>
      <c r="T3213" s="8">
        <v>1.0001180555555556</v>
      </c>
      <c r="U3213" s="98">
        <v>4.2235416852273611</v>
      </c>
      <c r="V3213" s="106">
        <v>34198.123745068326</v>
      </c>
      <c r="W3213" s="10">
        <v>1.1096303980110411</v>
      </c>
      <c r="X3213" s="420"/>
      <c r="Y3213" s="420"/>
      <c r="Z3213" s="1"/>
      <c r="AA3213" s="1"/>
      <c r="AB3213" s="1"/>
      <c r="AC3213" s="1"/>
      <c r="AD3213" s="1"/>
    </row>
    <row r="3214" spans="17:30">
      <c r="Q3214" s="6">
        <v>3184</v>
      </c>
      <c r="R3214" s="7">
        <v>45851</v>
      </c>
      <c r="S3214" s="210">
        <v>4.25</v>
      </c>
      <c r="T3214" s="8">
        <v>1.0001180555555556</v>
      </c>
      <c r="U3214" s="98">
        <v>4.2235979832632609</v>
      </c>
      <c r="V3214" s="106">
        <v>34200.970150785855</v>
      </c>
      <c r="W3214" s="10">
        <v>1.1096835515135739</v>
      </c>
      <c r="X3214" s="420"/>
      <c r="Y3214" s="420"/>
      <c r="Z3214" s="1"/>
      <c r="AA3214" s="1"/>
      <c r="AB3214" s="1"/>
      <c r="AC3214" s="1"/>
      <c r="AD3214" s="1"/>
    </row>
    <row r="3215" spans="17:30">
      <c r="Q3215" s="6">
        <v>3185</v>
      </c>
      <c r="R3215" s="7">
        <v>45852</v>
      </c>
      <c r="S3215" s="210">
        <v>4.25</v>
      </c>
      <c r="T3215" s="8">
        <v>1.0001180555555556</v>
      </c>
      <c r="U3215" s="98">
        <v>4.2236542459775483</v>
      </c>
      <c r="V3215" s="106">
        <v>34203.816793417696</v>
      </c>
      <c r="W3215" s="10">
        <v>1.1097366716666057</v>
      </c>
      <c r="X3215" s="420"/>
      <c r="Y3215" s="420"/>
      <c r="Z3215" s="1"/>
      <c r="AA3215" s="1"/>
      <c r="AB3215" s="1"/>
      <c r="AC3215" s="1"/>
      <c r="AD3215" s="1"/>
    </row>
    <row r="3216" spans="17:30">
      <c r="Q3216" s="6">
        <v>3186</v>
      </c>
      <c r="R3216" s="7">
        <v>45853</v>
      </c>
      <c r="S3216" s="210">
        <v>4.25</v>
      </c>
      <c r="T3216" s="8">
        <v>1.0001180555555556</v>
      </c>
      <c r="U3216" s="98">
        <v>4.2237104734034636</v>
      </c>
      <c r="V3216" s="106">
        <v>34206.663672983603</v>
      </c>
      <c r="W3216" s="10">
        <v>1.1097897585015337</v>
      </c>
      <c r="X3216" s="420"/>
      <c r="Y3216" s="420"/>
      <c r="Z3216" s="1"/>
      <c r="AA3216" s="1"/>
      <c r="AB3216" s="1"/>
      <c r="AC3216" s="1"/>
      <c r="AD3216" s="1"/>
    </row>
    <row r="3217" spans="17:30">
      <c r="Q3217" s="6">
        <v>3187</v>
      </c>
      <c r="R3217" s="7">
        <v>45854</v>
      </c>
      <c r="S3217" s="210">
        <v>4.25</v>
      </c>
      <c r="T3217" s="8">
        <v>1.0001180555555556</v>
      </c>
      <c r="U3217" s="98">
        <v>4.2237666655742023</v>
      </c>
      <c r="V3217" s="106">
        <v>34209.510789503263</v>
      </c>
      <c r="W3217" s="10">
        <v>1.1098428120497106</v>
      </c>
      <c r="X3217" s="420"/>
      <c r="Y3217" s="420"/>
      <c r="Z3217" s="1"/>
      <c r="AA3217" s="1"/>
      <c r="AB3217" s="1"/>
      <c r="AC3217" s="1"/>
      <c r="AD3217" s="1"/>
    </row>
    <row r="3218" spans="17:30">
      <c r="Q3218" s="6">
        <v>3188</v>
      </c>
      <c r="R3218" s="7">
        <v>45855</v>
      </c>
      <c r="S3218" s="210">
        <v>4.25</v>
      </c>
      <c r="T3218" s="8">
        <v>1.0001180555555556</v>
      </c>
      <c r="U3218" s="98">
        <v>4.2238228225228935</v>
      </c>
      <c r="V3218" s="106">
        <v>34212.358142996418</v>
      </c>
      <c r="W3218" s="10">
        <v>1.1098958323424002</v>
      </c>
      <c r="X3218" s="420"/>
      <c r="Y3218" s="420"/>
      <c r="Z3218" s="1"/>
      <c r="AA3218" s="1"/>
      <c r="AB3218" s="1"/>
      <c r="AC3218" s="1"/>
      <c r="AD3218" s="1"/>
    </row>
    <row r="3219" spans="17:30">
      <c r="Q3219" s="6">
        <v>3189</v>
      </c>
      <c r="R3219" s="7">
        <v>45856</v>
      </c>
      <c r="S3219" s="210">
        <v>4.25</v>
      </c>
      <c r="T3219" s="8">
        <v>1.0001180555555556</v>
      </c>
      <c r="U3219" s="98">
        <v>4.2238789442826663</v>
      </c>
      <c r="V3219" s="106">
        <v>34215.205733482784</v>
      </c>
      <c r="W3219" s="10">
        <v>1.1099488194109108</v>
      </c>
      <c r="X3219" s="420"/>
      <c r="Y3219" s="420"/>
      <c r="Z3219" s="1"/>
      <c r="AA3219" s="1"/>
      <c r="AB3219" s="1"/>
      <c r="AC3219" s="1"/>
      <c r="AD3219" s="1"/>
    </row>
    <row r="3220" spans="17:30">
      <c r="Q3220" s="6">
        <v>3190</v>
      </c>
      <c r="R3220" s="7">
        <v>45857</v>
      </c>
      <c r="S3220" s="210">
        <v>4.25</v>
      </c>
      <c r="T3220" s="8">
        <v>1.0001180555555556</v>
      </c>
      <c r="U3220" s="98">
        <v>4.2239350308865831</v>
      </c>
      <c r="V3220" s="106">
        <v>34218.053560982094</v>
      </c>
      <c r="W3220" s="10">
        <v>1.1100017732864176</v>
      </c>
      <c r="X3220" s="420"/>
      <c r="Y3220" s="420"/>
      <c r="Z3220" s="1"/>
      <c r="AA3220" s="1"/>
      <c r="AB3220" s="1"/>
      <c r="AC3220" s="1"/>
      <c r="AD3220" s="1"/>
    </row>
    <row r="3221" spans="17:30">
      <c r="Q3221" s="6">
        <v>3191</v>
      </c>
      <c r="R3221" s="7">
        <v>45858</v>
      </c>
      <c r="S3221" s="210">
        <v>4.25</v>
      </c>
      <c r="T3221" s="8">
        <v>1.0001180555555556</v>
      </c>
      <c r="U3221" s="98">
        <v>4.2239910823676396</v>
      </c>
      <c r="V3221" s="106">
        <v>34220.901625514067</v>
      </c>
      <c r="W3221" s="10">
        <v>1.1100546940000955</v>
      </c>
      <c r="X3221" s="420"/>
      <c r="Y3221" s="420"/>
      <c r="Z3221" s="1"/>
      <c r="AA3221" s="1"/>
      <c r="AB3221" s="1"/>
      <c r="AC3221" s="1"/>
      <c r="AD3221" s="1"/>
    </row>
    <row r="3222" spans="17:30">
      <c r="Q3222" s="6">
        <v>3192</v>
      </c>
      <c r="R3222" s="7">
        <v>45859</v>
      </c>
      <c r="S3222" s="210">
        <v>4.25</v>
      </c>
      <c r="T3222" s="8">
        <v>1.0001180555555556</v>
      </c>
      <c r="U3222" s="98">
        <v>4.2240470987588541</v>
      </c>
      <c r="V3222" s="106">
        <v>34223.749927098434</v>
      </c>
      <c r="W3222" s="10">
        <v>1.1101075815831418</v>
      </c>
      <c r="X3222" s="420"/>
      <c r="Y3222" s="420"/>
      <c r="Z3222" s="1"/>
      <c r="AA3222" s="1"/>
      <c r="AB3222" s="1"/>
      <c r="AC3222" s="1"/>
      <c r="AD3222" s="1"/>
    </row>
    <row r="3223" spans="17:30">
      <c r="Q3223" s="6">
        <v>3193</v>
      </c>
      <c r="R3223" s="7">
        <v>45860</v>
      </c>
      <c r="S3223" s="210">
        <v>4.25</v>
      </c>
      <c r="T3223" s="8">
        <v>1.0001180555555556</v>
      </c>
      <c r="U3223" s="98">
        <v>4.2241030800931334</v>
      </c>
      <c r="V3223" s="106">
        <v>34226.598465754934</v>
      </c>
      <c r="W3223" s="10">
        <v>1.1101604360665762</v>
      </c>
      <c r="X3223" s="420"/>
      <c r="Y3223" s="420"/>
      <c r="Z3223" s="1"/>
      <c r="AA3223" s="1"/>
      <c r="AB3223" s="1"/>
      <c r="AC3223" s="1"/>
      <c r="AD3223" s="1"/>
    </row>
    <row r="3224" spans="17:30">
      <c r="Q3224" s="6">
        <v>3194</v>
      </c>
      <c r="R3224" s="7">
        <v>45861</v>
      </c>
      <c r="S3224" s="210">
        <v>4.25</v>
      </c>
      <c r="T3224" s="8">
        <v>1.0001180555555556</v>
      </c>
      <c r="U3224" s="98">
        <v>4.2241590264034068</v>
      </c>
      <c r="V3224" s="106">
        <v>34229.447241503294</v>
      </c>
      <c r="W3224" s="10">
        <v>1.1102132574815293</v>
      </c>
      <c r="X3224" s="420"/>
      <c r="Y3224" s="420"/>
      <c r="Z3224" s="1"/>
      <c r="AA3224" s="1"/>
      <c r="AB3224" s="1"/>
      <c r="AC3224" s="1"/>
      <c r="AD3224" s="1"/>
    </row>
    <row r="3225" spans="17:30">
      <c r="Q3225" s="6">
        <v>3195</v>
      </c>
      <c r="R3225" s="7">
        <v>45862</v>
      </c>
      <c r="S3225" s="210">
        <v>4.25</v>
      </c>
      <c r="T3225" s="8">
        <v>1.0001180555555556</v>
      </c>
      <c r="U3225" s="98">
        <v>4.2242149377225147</v>
      </c>
      <c r="V3225" s="106">
        <v>34232.296254363238</v>
      </c>
      <c r="W3225" s="10">
        <v>1.1102660458589986</v>
      </c>
      <c r="X3225" s="420"/>
      <c r="Y3225" s="420"/>
      <c r="Z3225" s="1"/>
      <c r="AA3225" s="1"/>
      <c r="AB3225" s="1"/>
      <c r="AC3225" s="1"/>
      <c r="AD3225" s="1"/>
    </row>
    <row r="3226" spans="17:30">
      <c r="Q3226" s="6">
        <v>3196</v>
      </c>
      <c r="R3226" s="7">
        <v>45863</v>
      </c>
      <c r="S3226" s="210">
        <v>4.25</v>
      </c>
      <c r="T3226" s="8">
        <v>1.0001180555555556</v>
      </c>
      <c r="U3226" s="98">
        <v>4.2242708140832752</v>
      </c>
      <c r="V3226" s="106">
        <v>34235.145504354514</v>
      </c>
      <c r="W3226" s="10">
        <v>1.1103188012299814</v>
      </c>
      <c r="X3226" s="420"/>
      <c r="Y3226" s="420"/>
      <c r="Z3226" s="1"/>
      <c r="AA3226" s="1"/>
      <c r="AB3226" s="1"/>
      <c r="AC3226" s="1"/>
      <c r="AD3226" s="1"/>
    </row>
    <row r="3227" spans="17:30">
      <c r="Q3227" s="6">
        <v>3197</v>
      </c>
      <c r="R3227" s="7">
        <v>45864</v>
      </c>
      <c r="S3227" s="210">
        <v>4.25</v>
      </c>
      <c r="T3227" s="8">
        <v>1.0001180555555556</v>
      </c>
      <c r="U3227" s="98">
        <v>4.2243266555184622</v>
      </c>
      <c r="V3227" s="106">
        <v>34237.99499149686</v>
      </c>
      <c r="W3227" s="10">
        <v>1.1103715236254086</v>
      </c>
      <c r="X3227" s="420"/>
      <c r="Y3227" s="420"/>
      <c r="Z3227" s="1"/>
      <c r="AA3227" s="1"/>
      <c r="AB3227" s="1"/>
      <c r="AC3227" s="1"/>
      <c r="AD3227" s="1"/>
    </row>
    <row r="3228" spans="17:30">
      <c r="Q3228" s="6">
        <v>3198</v>
      </c>
      <c r="R3228" s="7">
        <v>45865</v>
      </c>
      <c r="S3228" s="210">
        <v>4.25</v>
      </c>
      <c r="T3228" s="8">
        <v>1.0001180555555556</v>
      </c>
      <c r="U3228" s="98">
        <v>4.2243824620608272</v>
      </c>
      <c r="V3228" s="106">
        <v>34240.844715810003</v>
      </c>
      <c r="W3228" s="10">
        <v>1.110424213076211</v>
      </c>
      <c r="X3228" s="420"/>
      <c r="Y3228" s="420"/>
      <c r="Z3228" s="1"/>
      <c r="AA3228" s="1"/>
      <c r="AB3228" s="1"/>
      <c r="AC3228" s="1"/>
      <c r="AD3228" s="1"/>
    </row>
    <row r="3229" spans="17:30">
      <c r="Q3229" s="6">
        <v>3199</v>
      </c>
      <c r="R3229" s="7">
        <v>45866</v>
      </c>
      <c r="S3229" s="210">
        <v>4.25</v>
      </c>
      <c r="T3229" s="8">
        <v>1.0001180555555556</v>
      </c>
      <c r="U3229" s="98">
        <v>4.2244382337430553</v>
      </c>
      <c r="V3229" s="106">
        <v>34243.694677313695</v>
      </c>
      <c r="W3229" s="10">
        <v>1.1104768696132306</v>
      </c>
      <c r="X3229" s="420"/>
      <c r="Y3229" s="420"/>
      <c r="Z3229" s="1"/>
      <c r="AA3229" s="1"/>
      <c r="AB3229" s="1"/>
      <c r="AC3229" s="1"/>
      <c r="AD3229" s="1"/>
    </row>
    <row r="3230" spans="17:30">
      <c r="Q3230" s="6">
        <v>3200</v>
      </c>
      <c r="R3230" s="7">
        <v>45867</v>
      </c>
      <c r="S3230" s="210">
        <v>4.25</v>
      </c>
      <c r="T3230" s="8">
        <v>1.0001180555555556</v>
      </c>
      <c r="U3230" s="98">
        <v>4.2244939705977869</v>
      </c>
      <c r="V3230" s="106">
        <v>34246.544876027663</v>
      </c>
      <c r="W3230" s="10">
        <v>1.1105294932673093</v>
      </c>
      <c r="X3230" s="420"/>
      <c r="Y3230" s="420"/>
      <c r="Z3230" s="1"/>
      <c r="AA3230" s="1"/>
      <c r="AB3230" s="1"/>
      <c r="AC3230" s="1"/>
      <c r="AD3230" s="1"/>
    </row>
    <row r="3231" spans="17:30">
      <c r="Q3231" s="6">
        <v>3201</v>
      </c>
      <c r="R3231" s="7">
        <v>45868</v>
      </c>
      <c r="S3231" s="210">
        <v>4.25</v>
      </c>
      <c r="T3231" s="8">
        <v>1.0001180555555556</v>
      </c>
      <c r="U3231" s="98">
        <v>4.2245496726576626</v>
      </c>
      <c r="V3231" s="106">
        <v>34249.395311971675</v>
      </c>
      <c r="W3231" s="10">
        <v>1.1105820840692449</v>
      </c>
      <c r="X3231" s="420"/>
      <c r="Y3231" s="420"/>
      <c r="Z3231" s="1"/>
      <c r="AA3231" s="1"/>
      <c r="AB3231" s="1"/>
      <c r="AC3231" s="1"/>
      <c r="AD3231" s="1"/>
    </row>
    <row r="3232" spans="17:30">
      <c r="Q3232" s="6">
        <v>3202</v>
      </c>
      <c r="R3232" s="7">
        <v>45869</v>
      </c>
      <c r="S3232" s="210">
        <v>4.25</v>
      </c>
      <c r="T3232" s="8">
        <v>1.0001180555555556</v>
      </c>
      <c r="U3232" s="98">
        <v>4.2246053399552341</v>
      </c>
      <c r="V3232" s="106">
        <v>34252.245985165449</v>
      </c>
      <c r="W3232" s="10">
        <v>1.1106346420498125</v>
      </c>
      <c r="X3232" s="420"/>
      <c r="Y3232" s="420"/>
      <c r="Z3232" s="1"/>
      <c r="AA3232" s="1"/>
      <c r="AB3232" s="1"/>
      <c r="AC3232" s="1"/>
      <c r="AD3232" s="1"/>
    </row>
    <row r="3233" spans="17:30">
      <c r="Q3233" s="6">
        <v>3203</v>
      </c>
      <c r="R3233" s="7">
        <v>45870</v>
      </c>
      <c r="S3233" s="210">
        <v>4.25</v>
      </c>
      <c r="T3233" s="8">
        <v>1.0001180555555556</v>
      </c>
      <c r="U3233" s="98">
        <v>4.2246609725230311</v>
      </c>
      <c r="V3233" s="106">
        <v>34255.096895628754</v>
      </c>
      <c r="W3233" s="10">
        <v>1.1106871672396768</v>
      </c>
      <c r="X3233" s="420"/>
      <c r="Y3233" s="420"/>
      <c r="Z3233" s="1"/>
      <c r="AA3233" s="1"/>
      <c r="AB3233" s="1"/>
      <c r="AC3233" s="1"/>
      <c r="AD3233" s="1"/>
    </row>
    <row r="3234" spans="17:30">
      <c r="Q3234" s="6">
        <v>3204</v>
      </c>
      <c r="R3234" s="7">
        <v>45871</v>
      </c>
      <c r="S3234" s="210">
        <v>4.25</v>
      </c>
      <c r="T3234" s="8">
        <v>1.0001180555555556</v>
      </c>
      <c r="U3234" s="98">
        <v>4.2247165703935385</v>
      </c>
      <c r="V3234" s="106">
        <v>34257.94804338133</v>
      </c>
      <c r="W3234" s="10">
        <v>1.110739659669524</v>
      </c>
      <c r="X3234" s="420"/>
      <c r="Y3234" s="420"/>
      <c r="Z3234" s="1"/>
      <c r="AA3234" s="1"/>
      <c r="AB3234" s="1"/>
      <c r="AC3234" s="1"/>
      <c r="AD3234" s="1"/>
    </row>
    <row r="3235" spans="17:30">
      <c r="Q3235" s="6">
        <v>3205</v>
      </c>
      <c r="R3235" s="7">
        <v>45872</v>
      </c>
      <c r="S3235" s="210">
        <v>4.25</v>
      </c>
      <c r="T3235" s="8">
        <v>1.0001180555555556</v>
      </c>
      <c r="U3235" s="98">
        <v>4.2247721335992194</v>
      </c>
      <c r="V3235" s="106">
        <v>34260.799428442922</v>
      </c>
      <c r="W3235" s="10">
        <v>1.110792119370041</v>
      </c>
      <c r="X3235" s="420"/>
      <c r="Y3235" s="420"/>
      <c r="Z3235" s="1"/>
      <c r="AA3235" s="1"/>
      <c r="AB3235" s="1"/>
      <c r="AC3235" s="1"/>
      <c r="AD3235" s="1"/>
    </row>
    <row r="3236" spans="17:30">
      <c r="Q3236" s="6">
        <v>3206</v>
      </c>
      <c r="R3236" s="7">
        <v>45873</v>
      </c>
      <c r="S3236" s="210">
        <v>4.25</v>
      </c>
      <c r="T3236" s="8">
        <v>1.0001180555555556</v>
      </c>
      <c r="U3236" s="98">
        <v>4.2248276621724923</v>
      </c>
      <c r="V3236" s="106">
        <v>34263.651050833287</v>
      </c>
      <c r="W3236" s="10">
        <v>1.1108445463717809</v>
      </c>
      <c r="X3236" s="420"/>
      <c r="Y3236" s="420"/>
      <c r="Z3236" s="1"/>
      <c r="AA3236" s="1"/>
      <c r="AB3236" s="1"/>
      <c r="AC3236" s="1"/>
      <c r="AD3236" s="1"/>
    </row>
    <row r="3237" spans="17:30">
      <c r="Q3237" s="6">
        <v>3207</v>
      </c>
      <c r="R3237" s="7">
        <v>45874</v>
      </c>
      <c r="S3237" s="210">
        <v>4.25</v>
      </c>
      <c r="T3237" s="8">
        <v>1.0001180555555556</v>
      </c>
      <c r="U3237" s="98">
        <v>4.224883156145709</v>
      </c>
      <c r="V3237" s="106">
        <v>34266.502910572184</v>
      </c>
      <c r="W3237" s="10">
        <v>1.1108969407053415</v>
      </c>
      <c r="X3237" s="420"/>
      <c r="Y3237" s="420"/>
      <c r="Z3237" s="1"/>
      <c r="AA3237" s="1"/>
      <c r="AB3237" s="1"/>
      <c r="AC3237" s="1"/>
      <c r="AD3237" s="1"/>
    </row>
    <row r="3238" spans="17:30">
      <c r="Q3238" s="6">
        <v>3208</v>
      </c>
      <c r="R3238" s="7">
        <v>45875</v>
      </c>
      <c r="S3238" s="210">
        <v>4.25</v>
      </c>
      <c r="T3238" s="8">
        <v>1.0001180555555556</v>
      </c>
      <c r="U3238" s="98">
        <v>4.2249386155511992</v>
      </c>
      <c r="V3238" s="106">
        <v>34269.355007679354</v>
      </c>
      <c r="W3238" s="10">
        <v>1.1109493024012096</v>
      </c>
      <c r="X3238" s="420"/>
      <c r="Y3238" s="420"/>
      <c r="Z3238" s="1"/>
      <c r="AA3238" s="1"/>
      <c r="AB3238" s="1"/>
      <c r="AC3238" s="1"/>
      <c r="AD3238" s="1"/>
    </row>
    <row r="3239" spans="17:30">
      <c r="Q3239" s="6">
        <v>3209</v>
      </c>
      <c r="R3239" s="7">
        <v>45876</v>
      </c>
      <c r="S3239" s="210">
        <v>4.25</v>
      </c>
      <c r="T3239" s="8">
        <v>1.0001180555555556</v>
      </c>
      <c r="U3239" s="98">
        <v>4.2249940404212705</v>
      </c>
      <c r="V3239" s="106">
        <v>34272.207342174566</v>
      </c>
      <c r="W3239" s="10">
        <v>1.1110016314899163</v>
      </c>
      <c r="X3239" s="420"/>
      <c r="Y3239" s="420"/>
      <c r="Z3239" s="1"/>
      <c r="AA3239" s="1"/>
      <c r="AB3239" s="1"/>
      <c r="AC3239" s="1"/>
      <c r="AD3239" s="1"/>
    </row>
    <row r="3240" spans="17:30">
      <c r="Q3240" s="6">
        <v>3210</v>
      </c>
      <c r="R3240" s="7">
        <v>45877</v>
      </c>
      <c r="S3240" s="210">
        <v>4.25</v>
      </c>
      <c r="T3240" s="8">
        <v>1.0001180555555556</v>
      </c>
      <c r="U3240" s="98">
        <v>4.2250494307881636</v>
      </c>
      <c r="V3240" s="106">
        <v>34275.059914077581</v>
      </c>
      <c r="W3240" s="10">
        <v>1.1110539280018816</v>
      </c>
      <c r="X3240" s="420"/>
      <c r="Y3240" s="420"/>
      <c r="Z3240" s="1"/>
      <c r="AA3240" s="1"/>
      <c r="AB3240" s="1"/>
      <c r="AC3240" s="1"/>
      <c r="AD3240" s="1"/>
    </row>
    <row r="3241" spans="17:30">
      <c r="Q3241" s="6">
        <v>3211</v>
      </c>
      <c r="R3241" s="7">
        <v>45878</v>
      </c>
      <c r="S3241" s="210">
        <v>4.25</v>
      </c>
      <c r="T3241" s="8">
        <v>1.0001180555555556</v>
      </c>
      <c r="U3241" s="98">
        <v>4.2251047866840752</v>
      </c>
      <c r="V3241" s="106">
        <v>34277.912723408146</v>
      </c>
      <c r="W3241" s="10">
        <v>1.1111061919675036</v>
      </c>
      <c r="X3241" s="420"/>
      <c r="Y3241" s="420"/>
      <c r="Z3241" s="1"/>
      <c r="AA3241" s="1"/>
      <c r="AB3241" s="1"/>
      <c r="AC3241" s="1"/>
      <c r="AD3241" s="1"/>
    </row>
    <row r="3242" spans="17:30">
      <c r="Q3242" s="6">
        <v>3212</v>
      </c>
      <c r="R3242" s="7">
        <v>45879</v>
      </c>
      <c r="S3242" s="210">
        <v>4.25</v>
      </c>
      <c r="T3242" s="8">
        <v>1.0001180555555556</v>
      </c>
      <c r="U3242" s="98">
        <v>4.2251601081411794</v>
      </c>
      <c r="V3242" s="106">
        <v>34280.76577018603</v>
      </c>
      <c r="W3242" s="10">
        <v>1.1111584234172023</v>
      </c>
      <c r="X3242" s="420"/>
      <c r="Y3242" s="420"/>
      <c r="Z3242" s="1"/>
      <c r="AA3242" s="1"/>
      <c r="AB3242" s="1"/>
      <c r="AC3242" s="1"/>
      <c r="AD3242" s="1"/>
    </row>
    <row r="3243" spans="17:30">
      <c r="Q3243" s="6">
        <v>3213</v>
      </c>
      <c r="R3243" s="7">
        <v>45880</v>
      </c>
      <c r="S3243" s="210">
        <v>4.25</v>
      </c>
      <c r="T3243" s="8">
        <v>1.0001180555555556</v>
      </c>
      <c r="U3243" s="98">
        <v>4.225215395191606</v>
      </c>
      <c r="V3243" s="106">
        <v>34283.619054431001</v>
      </c>
      <c r="W3243" s="10">
        <v>1.1112106223812646</v>
      </c>
      <c r="X3243" s="420"/>
      <c r="Y3243" s="420"/>
      <c r="Z3243" s="1"/>
      <c r="AA3243" s="1"/>
      <c r="AB3243" s="1"/>
      <c r="AC3243" s="1"/>
      <c r="AD3243" s="1"/>
    </row>
    <row r="3244" spans="17:30">
      <c r="Q3244" s="6">
        <v>3214</v>
      </c>
      <c r="R3244" s="7">
        <v>45881</v>
      </c>
      <c r="S3244" s="210">
        <v>4.25</v>
      </c>
      <c r="T3244" s="8">
        <v>1.0001180555555556</v>
      </c>
      <c r="U3244" s="98">
        <v>4.2252706478674407</v>
      </c>
      <c r="V3244" s="106">
        <v>34286.472576162814</v>
      </c>
      <c r="W3244" s="10">
        <v>1.1112627888899995</v>
      </c>
      <c r="X3244" s="420"/>
      <c r="Y3244" s="420"/>
      <c r="Z3244" s="1"/>
      <c r="AA3244" s="1"/>
      <c r="AB3244" s="1"/>
      <c r="AC3244" s="1"/>
      <c r="AD3244" s="1"/>
    </row>
    <row r="3245" spans="17:30">
      <c r="Q3245" s="6">
        <v>3215</v>
      </c>
      <c r="R3245" s="7">
        <v>45882</v>
      </c>
      <c r="S3245" s="210">
        <v>4.25</v>
      </c>
      <c r="T3245" s="8">
        <v>1.0001180555555556</v>
      </c>
      <c r="U3245" s="98">
        <v>4.2253258662007465</v>
      </c>
      <c r="V3245" s="106">
        <v>34289.326335401238</v>
      </c>
      <c r="W3245" s="10">
        <v>1.1113149229736941</v>
      </c>
      <c r="X3245" s="420"/>
      <c r="Y3245" s="420"/>
      <c r="Z3245" s="1"/>
      <c r="AA3245" s="1"/>
      <c r="AB3245" s="1"/>
      <c r="AC3245" s="1"/>
      <c r="AD3245" s="1"/>
    </row>
    <row r="3246" spans="17:30">
      <c r="Q3246" s="6">
        <v>3216</v>
      </c>
      <c r="R3246" s="7">
        <v>45883</v>
      </c>
      <c r="S3246" s="210">
        <v>4.25</v>
      </c>
      <c r="T3246" s="8">
        <v>1.0001180555555556</v>
      </c>
      <c r="U3246" s="98">
        <v>4.2253810502235201</v>
      </c>
      <c r="V3246" s="106">
        <v>34292.180332166055</v>
      </c>
      <c r="W3246" s="10">
        <v>1.1113670246625462</v>
      </c>
      <c r="X3246" s="420"/>
      <c r="Y3246" s="420"/>
      <c r="Z3246" s="1"/>
      <c r="AA3246" s="1"/>
      <c r="AB3246" s="1"/>
      <c r="AC3246" s="1"/>
      <c r="AD3246" s="1"/>
    </row>
    <row r="3247" spans="17:30">
      <c r="Q3247" s="6">
        <v>3217</v>
      </c>
      <c r="R3247" s="7">
        <v>45884</v>
      </c>
      <c r="S3247" s="210">
        <v>4.25</v>
      </c>
      <c r="T3247" s="8">
        <v>1.0001180555555556</v>
      </c>
      <c r="U3247" s="98">
        <v>4.2254361999677137</v>
      </c>
      <c r="V3247" s="106">
        <v>34295.034566477014</v>
      </c>
      <c r="W3247" s="10">
        <v>1.1114190939867319</v>
      </c>
      <c r="X3247" s="420"/>
      <c r="Y3247" s="420"/>
      <c r="Z3247" s="1"/>
      <c r="AA3247" s="1"/>
      <c r="AB3247" s="1"/>
      <c r="AC3247" s="1"/>
      <c r="AD3247" s="1"/>
    </row>
    <row r="3248" spans="17:30">
      <c r="Q3248" s="6">
        <v>3218</v>
      </c>
      <c r="R3248" s="7">
        <v>45885</v>
      </c>
      <c r="S3248" s="210">
        <v>4.25</v>
      </c>
      <c r="T3248" s="8">
        <v>1.0001180555555556</v>
      </c>
      <c r="U3248" s="98">
        <v>4.2254913154652796</v>
      </c>
      <c r="V3248" s="106">
        <v>34297.889038353911</v>
      </c>
      <c r="W3248" s="10">
        <v>1.1114711309764269</v>
      </c>
      <c r="X3248" s="420"/>
      <c r="Y3248" s="420"/>
      <c r="Z3248" s="1"/>
      <c r="AA3248" s="1"/>
      <c r="AB3248" s="1"/>
      <c r="AC3248" s="1"/>
      <c r="AD3248" s="1"/>
    </row>
    <row r="3249" spans="17:30">
      <c r="Q3249" s="6">
        <v>3219</v>
      </c>
      <c r="R3249" s="7">
        <v>45886</v>
      </c>
      <c r="S3249" s="210">
        <v>4.25</v>
      </c>
      <c r="T3249" s="8">
        <v>1.0001180555555556</v>
      </c>
      <c r="U3249" s="98">
        <v>4.2255463967481033</v>
      </c>
      <c r="V3249" s="106">
        <v>34300.743747816494</v>
      </c>
      <c r="W3249" s="10">
        <v>1.1115231356617183</v>
      </c>
      <c r="X3249" s="420"/>
      <c r="Y3249" s="420"/>
      <c r="Z3249" s="1"/>
      <c r="AA3249" s="1"/>
      <c r="AB3249" s="1"/>
      <c r="AC3249" s="1"/>
      <c r="AD3249" s="1"/>
    </row>
    <row r="3250" spans="17:30">
      <c r="Q3250" s="6">
        <v>3220</v>
      </c>
      <c r="R3250" s="7">
        <v>45887</v>
      </c>
      <c r="S3250" s="210">
        <v>4.25</v>
      </c>
      <c r="T3250" s="8">
        <v>1.0001180555555556</v>
      </c>
      <c r="U3250" s="98">
        <v>4.2256014438480261</v>
      </c>
      <c r="V3250" s="106">
        <v>34303.598694884546</v>
      </c>
      <c r="W3250" s="10">
        <v>1.111575108072671</v>
      </c>
      <c r="X3250" s="420"/>
      <c r="Y3250" s="420"/>
      <c r="Z3250" s="1"/>
      <c r="AA3250" s="1"/>
      <c r="AB3250" s="1"/>
      <c r="AC3250" s="1"/>
      <c r="AD3250" s="1"/>
    </row>
    <row r="3251" spans="17:30">
      <c r="Q3251" s="6">
        <v>3221</v>
      </c>
      <c r="R3251" s="7">
        <v>45888</v>
      </c>
      <c r="S3251" s="210">
        <v>4.25</v>
      </c>
      <c r="T3251" s="8">
        <v>1.0001180555555556</v>
      </c>
      <c r="U3251" s="98">
        <v>4.2256564567968669</v>
      </c>
      <c r="V3251" s="106">
        <v>34306.45387957785</v>
      </c>
      <c r="W3251" s="10">
        <v>1.1116270482393498</v>
      </c>
      <c r="X3251" s="420"/>
      <c r="Y3251" s="420"/>
      <c r="Z3251" s="1"/>
      <c r="AA3251" s="1"/>
      <c r="AB3251" s="1"/>
      <c r="AC3251" s="1"/>
      <c r="AD3251" s="1"/>
    </row>
    <row r="3252" spans="17:30">
      <c r="Q3252" s="6">
        <v>3222</v>
      </c>
      <c r="R3252" s="7">
        <v>45889</v>
      </c>
      <c r="S3252" s="210">
        <v>4.25</v>
      </c>
      <c r="T3252" s="8">
        <v>1.0001180555555556</v>
      </c>
      <c r="U3252" s="98">
        <v>4.2257114356264003</v>
      </c>
      <c r="V3252" s="106">
        <v>34309.309301916182</v>
      </c>
      <c r="W3252" s="10">
        <v>1.1116789561917306</v>
      </c>
      <c r="X3252" s="420"/>
      <c r="Y3252" s="420"/>
      <c r="Z3252" s="1"/>
      <c r="AA3252" s="1"/>
      <c r="AB3252" s="1"/>
      <c r="AC3252" s="1"/>
      <c r="AD3252" s="1"/>
    </row>
    <row r="3253" spans="17:30">
      <c r="Q3253" s="6">
        <v>3223</v>
      </c>
      <c r="R3253" s="7">
        <v>45890</v>
      </c>
      <c r="S3253" s="210">
        <v>4.25</v>
      </c>
      <c r="T3253" s="8">
        <v>1.0001180555555556</v>
      </c>
      <c r="U3253" s="98">
        <v>4.2257663803683565</v>
      </c>
      <c r="V3253" s="106">
        <v>34312.164961919319</v>
      </c>
      <c r="W3253" s="10">
        <v>1.1117308319597896</v>
      </c>
      <c r="X3253" s="420"/>
      <c r="Y3253" s="420"/>
      <c r="Z3253" s="1"/>
      <c r="AA3253" s="1"/>
      <c r="AB3253" s="1"/>
      <c r="AC3253" s="1"/>
      <c r="AD3253" s="1"/>
    </row>
    <row r="3254" spans="17:30">
      <c r="Q3254" s="6">
        <v>3224</v>
      </c>
      <c r="R3254" s="7">
        <v>45891</v>
      </c>
      <c r="S3254" s="210">
        <v>4.25</v>
      </c>
      <c r="T3254" s="8">
        <v>1.0001180555555556</v>
      </c>
      <c r="U3254" s="98">
        <v>4.2258212910544213</v>
      </c>
      <c r="V3254" s="106">
        <v>34315.020859607052</v>
      </c>
      <c r="W3254" s="10">
        <v>1.1117826755734583</v>
      </c>
      <c r="X3254" s="420"/>
      <c r="Y3254" s="420"/>
      <c r="Z3254" s="1"/>
      <c r="AA3254" s="1"/>
      <c r="AB3254" s="1"/>
      <c r="AC3254" s="1"/>
      <c r="AD3254" s="1"/>
    </row>
    <row r="3255" spans="17:30">
      <c r="Q3255" s="6">
        <v>3225</v>
      </c>
      <c r="R3255" s="7">
        <v>45892</v>
      </c>
      <c r="S3255" s="210">
        <v>4.25</v>
      </c>
      <c r="T3255" s="8">
        <v>1.0001180555555556</v>
      </c>
      <c r="U3255" s="98">
        <v>4.225876167716236</v>
      </c>
      <c r="V3255" s="106">
        <v>34317.876994999147</v>
      </c>
      <c r="W3255" s="10">
        <v>1.1118344870625796</v>
      </c>
      <c r="X3255" s="420"/>
      <c r="Y3255" s="420"/>
      <c r="Z3255" s="1"/>
      <c r="AA3255" s="1"/>
      <c r="AB3255" s="1"/>
      <c r="AC3255" s="1"/>
      <c r="AD3255" s="1"/>
    </row>
    <row r="3256" spans="17:30">
      <c r="Q3256" s="6">
        <v>3226</v>
      </c>
      <c r="R3256" s="7">
        <v>45893</v>
      </c>
      <c r="S3256" s="210">
        <v>4.25</v>
      </c>
      <c r="T3256" s="8">
        <v>1.0001180555555556</v>
      </c>
      <c r="U3256" s="98">
        <v>4.2259310103854419</v>
      </c>
      <c r="V3256" s="106">
        <v>34320.733368115405</v>
      </c>
      <c r="W3256" s="10">
        <v>1.1118862664570406</v>
      </c>
      <c r="X3256" s="420"/>
      <c r="Y3256" s="420"/>
      <c r="Z3256" s="1"/>
      <c r="AA3256" s="1"/>
      <c r="AB3256" s="1"/>
      <c r="AC3256" s="1"/>
      <c r="AD3256" s="1"/>
    </row>
    <row r="3257" spans="17:30">
      <c r="Q3257" s="6">
        <v>3227</v>
      </c>
      <c r="R3257" s="7">
        <v>45894</v>
      </c>
      <c r="S3257" s="210">
        <v>4.25</v>
      </c>
      <c r="T3257" s="8">
        <v>1.0001180555555556</v>
      </c>
      <c r="U3257" s="98">
        <v>4.2259858190935917</v>
      </c>
      <c r="V3257" s="106">
        <v>34323.5899789756</v>
      </c>
      <c r="W3257" s="10">
        <v>1.1119380137866175</v>
      </c>
      <c r="X3257" s="420"/>
      <c r="Y3257" s="420"/>
      <c r="Z3257" s="1"/>
      <c r="AA3257" s="1"/>
      <c r="AB3257" s="1"/>
      <c r="AC3257" s="1"/>
      <c r="AD3257" s="1"/>
    </row>
    <row r="3258" spans="17:30">
      <c r="Q3258" s="6">
        <v>3228</v>
      </c>
      <c r="R3258" s="7">
        <v>45895</v>
      </c>
      <c r="S3258" s="210">
        <v>4.25</v>
      </c>
      <c r="T3258" s="8">
        <v>1.0001180555555556</v>
      </c>
      <c r="U3258" s="98">
        <v>4.2260405938722378</v>
      </c>
      <c r="V3258" s="106">
        <v>34326.446827599524</v>
      </c>
      <c r="W3258" s="10">
        <v>1.1119897290811309</v>
      </c>
      <c r="X3258" s="420"/>
      <c r="Y3258" s="420"/>
      <c r="Z3258" s="1"/>
      <c r="AA3258" s="1"/>
      <c r="AB3258" s="1"/>
      <c r="AC3258" s="1"/>
      <c r="AD3258" s="1"/>
    </row>
    <row r="3259" spans="17:30">
      <c r="Q3259" s="6">
        <v>3229</v>
      </c>
      <c r="R3259" s="7">
        <v>45896</v>
      </c>
      <c r="S3259" s="210">
        <v>4.25</v>
      </c>
      <c r="T3259" s="8">
        <v>1.0001180555555556</v>
      </c>
      <c r="U3259" s="98">
        <v>4.2260953347528663</v>
      </c>
      <c r="V3259" s="106">
        <v>34329.303914006974</v>
      </c>
      <c r="W3259" s="10">
        <v>1.1120414123703126</v>
      </c>
      <c r="X3259" s="420"/>
      <c r="Y3259" s="420"/>
      <c r="Z3259" s="1"/>
      <c r="AA3259" s="1"/>
      <c r="AB3259" s="1"/>
      <c r="AC3259" s="1"/>
      <c r="AD3259" s="1"/>
    </row>
    <row r="3260" spans="17:30">
      <c r="Q3260" s="6">
        <v>3230</v>
      </c>
      <c r="R3260" s="7">
        <v>45897</v>
      </c>
      <c r="S3260" s="210">
        <v>4.25</v>
      </c>
      <c r="T3260" s="8">
        <v>1.0001180555555556</v>
      </c>
      <c r="U3260" s="98">
        <v>4.2261500417669406</v>
      </c>
      <c r="V3260" s="106">
        <v>34332.161238217734</v>
      </c>
      <c r="W3260" s="10">
        <v>1.11209306368385</v>
      </c>
      <c r="X3260" s="420"/>
      <c r="Y3260" s="420"/>
      <c r="Z3260" s="1"/>
      <c r="AA3260" s="1"/>
      <c r="AB3260" s="1"/>
      <c r="AC3260" s="1"/>
      <c r="AD3260" s="1"/>
    </row>
    <row r="3261" spans="17:30">
      <c r="Q3261" s="6">
        <v>3231</v>
      </c>
      <c r="R3261" s="7">
        <v>45898</v>
      </c>
      <c r="S3261" s="210">
        <v>4.25</v>
      </c>
      <c r="T3261" s="8">
        <v>1.0001180555555556</v>
      </c>
      <c r="U3261" s="98">
        <v>4.2262047149458581</v>
      </c>
      <c r="V3261" s="106">
        <v>34335.018800251601</v>
      </c>
      <c r="W3261" s="10">
        <v>1.1121446830513859</v>
      </c>
      <c r="X3261" s="420"/>
      <c r="Y3261" s="420"/>
      <c r="Z3261" s="1"/>
      <c r="AA3261" s="1"/>
      <c r="AB3261" s="1"/>
      <c r="AC3261" s="1"/>
      <c r="AD3261" s="1"/>
    </row>
    <row r="3262" spans="17:30">
      <c r="Q3262" s="6">
        <v>3232</v>
      </c>
      <c r="R3262" s="7">
        <v>45899</v>
      </c>
      <c r="S3262" s="210">
        <v>4.25</v>
      </c>
      <c r="T3262" s="8">
        <v>1.0001180555555556</v>
      </c>
      <c r="U3262" s="98">
        <v>4.2262593543210158</v>
      </c>
      <c r="V3262" s="106">
        <v>34337.876600128366</v>
      </c>
      <c r="W3262" s="10">
        <v>1.1121962705025634</v>
      </c>
      <c r="X3262" s="420"/>
      <c r="Y3262" s="420"/>
      <c r="Z3262" s="1"/>
      <c r="AA3262" s="1"/>
      <c r="AB3262" s="1"/>
      <c r="AC3262" s="1"/>
      <c r="AD3262" s="1"/>
    </row>
    <row r="3263" spans="17:30">
      <c r="Q3263" s="6">
        <v>3233</v>
      </c>
      <c r="R3263" s="7">
        <v>45900</v>
      </c>
      <c r="S3263" s="210">
        <v>4.25</v>
      </c>
      <c r="T3263" s="8">
        <v>1.0001180555555556</v>
      </c>
      <c r="U3263" s="98">
        <v>4.2263139599237665</v>
      </c>
      <c r="V3263" s="106">
        <v>34340.734637867827</v>
      </c>
      <c r="W3263" s="10">
        <v>1.1122478260670032</v>
      </c>
      <c r="X3263" s="420"/>
      <c r="Y3263" s="420"/>
      <c r="Z3263" s="1"/>
      <c r="AA3263" s="1"/>
      <c r="AB3263" s="1"/>
      <c r="AC3263" s="1"/>
      <c r="AD3263" s="1"/>
    </row>
    <row r="3264" spans="17:30">
      <c r="Q3264" s="6">
        <v>3234</v>
      </c>
      <c r="R3264" s="7">
        <v>45901</v>
      </c>
      <c r="S3264" s="210">
        <v>4.25</v>
      </c>
      <c r="T3264" s="8">
        <v>1.0001180555555556</v>
      </c>
      <c r="U3264" s="98">
        <v>4.2263685317853961</v>
      </c>
      <c r="V3264" s="106">
        <v>34343.592913489781</v>
      </c>
      <c r="W3264" s="10">
        <v>1.1122993497742373</v>
      </c>
      <c r="X3264" s="420"/>
      <c r="Y3264" s="420"/>
      <c r="Z3264" s="1"/>
      <c r="AA3264" s="1"/>
      <c r="AB3264" s="1"/>
      <c r="AC3264" s="1"/>
      <c r="AD3264" s="1"/>
    </row>
    <row r="3265" spans="17:30">
      <c r="Q3265" s="6">
        <v>3235</v>
      </c>
      <c r="R3265" s="7">
        <v>45902</v>
      </c>
      <c r="S3265" s="210">
        <v>4.25</v>
      </c>
      <c r="T3265" s="8">
        <v>1.0001180555555556</v>
      </c>
      <c r="U3265" s="98">
        <v>4.2264230699371685</v>
      </c>
      <c r="V3265" s="106">
        <v>34346.451427014028</v>
      </c>
      <c r="W3265" s="10">
        <v>1.1123508416537753</v>
      </c>
      <c r="X3265" s="420"/>
      <c r="Y3265" s="420"/>
      <c r="Z3265" s="1"/>
      <c r="AA3265" s="1"/>
      <c r="AB3265" s="1"/>
      <c r="AC3265" s="1"/>
      <c r="AD3265" s="1"/>
    </row>
    <row r="3266" spans="17:30">
      <c r="Q3266" s="6">
        <v>3236</v>
      </c>
      <c r="R3266" s="7">
        <v>45903</v>
      </c>
      <c r="S3266" s="210">
        <v>4.25</v>
      </c>
      <c r="T3266" s="8">
        <v>1.0001180555555556</v>
      </c>
      <c r="U3266" s="98">
        <v>4.2264775744103256</v>
      </c>
      <c r="V3266" s="106">
        <v>34349.310178460364</v>
      </c>
      <c r="W3266" s="10">
        <v>1.112402301735127</v>
      </c>
      <c r="X3266" s="420"/>
      <c r="Y3266" s="420"/>
      <c r="Z3266" s="1"/>
      <c r="AA3266" s="1"/>
      <c r="AB3266" s="1"/>
      <c r="AC3266" s="1"/>
      <c r="AD3266" s="1"/>
    </row>
    <row r="3267" spans="17:30">
      <c r="Q3267" s="6">
        <v>3237</v>
      </c>
      <c r="R3267" s="7">
        <v>45904</v>
      </c>
      <c r="S3267" s="210">
        <v>4.25</v>
      </c>
      <c r="T3267" s="8">
        <v>1.0001180555555556</v>
      </c>
      <c r="U3267" s="98">
        <v>4.2265320452360422</v>
      </c>
      <c r="V3267" s="106">
        <v>34352.16916784861</v>
      </c>
      <c r="W3267" s="10">
        <v>1.1124537300477355</v>
      </c>
      <c r="X3267" s="420"/>
      <c r="Y3267" s="420"/>
      <c r="Z3267" s="1"/>
      <c r="AA3267" s="1"/>
      <c r="AB3267" s="1"/>
      <c r="AC3267" s="1"/>
      <c r="AD3267" s="1"/>
    </row>
    <row r="3268" spans="17:30">
      <c r="Q3268" s="6">
        <v>3238</v>
      </c>
      <c r="R3268" s="7">
        <v>45905</v>
      </c>
      <c r="S3268" s="210">
        <v>4.25</v>
      </c>
      <c r="T3268" s="8">
        <v>1.0001180555555556</v>
      </c>
      <c r="U3268" s="98">
        <v>4.2265864824454491</v>
      </c>
      <c r="V3268" s="106">
        <v>34355.028395198548</v>
      </c>
      <c r="W3268" s="10">
        <v>1.1125051266209773</v>
      </c>
      <c r="X3268" s="420"/>
      <c r="Y3268" s="420"/>
      <c r="Z3268" s="1"/>
      <c r="AA3268" s="1"/>
      <c r="AB3268" s="1"/>
      <c r="AC3268" s="1"/>
      <c r="AD3268" s="1"/>
    </row>
    <row r="3269" spans="17:30">
      <c r="Q3269" s="6">
        <v>3239</v>
      </c>
      <c r="R3269" s="7">
        <v>45906</v>
      </c>
      <c r="S3269" s="210">
        <v>4.25</v>
      </c>
      <c r="T3269" s="8">
        <v>1.0001180555555556</v>
      </c>
      <c r="U3269" s="98">
        <v>4.2266408860696769</v>
      </c>
      <c r="V3269" s="106">
        <v>34357.887860530005</v>
      </c>
      <c r="W3269" s="10">
        <v>1.112556491484229</v>
      </c>
      <c r="X3269" s="420"/>
      <c r="Y3269" s="420"/>
      <c r="Z3269" s="1"/>
      <c r="AA3269" s="1"/>
      <c r="AB3269" s="1"/>
      <c r="AC3269" s="1"/>
      <c r="AD3269" s="1"/>
    </row>
    <row r="3270" spans="17:30">
      <c r="Q3270" s="6">
        <v>3240</v>
      </c>
      <c r="R3270" s="7">
        <v>45907</v>
      </c>
      <c r="S3270" s="210">
        <v>4.25</v>
      </c>
      <c r="T3270" s="8">
        <v>1.0001180555555556</v>
      </c>
      <c r="U3270" s="98">
        <v>4.2266952561397897</v>
      </c>
      <c r="V3270" s="106">
        <v>34360.747563862773</v>
      </c>
      <c r="W3270" s="10">
        <v>1.1126078246668669</v>
      </c>
      <c r="X3270" s="420"/>
      <c r="Y3270" s="420"/>
      <c r="Z3270" s="1"/>
      <c r="AA3270" s="1"/>
      <c r="AB3270" s="1"/>
      <c r="AC3270" s="1"/>
      <c r="AD3270" s="1"/>
    </row>
    <row r="3271" spans="17:30">
      <c r="Q3271" s="6">
        <v>3241</v>
      </c>
      <c r="R3271" s="7">
        <v>45908</v>
      </c>
      <c r="S3271" s="210">
        <v>4.25</v>
      </c>
      <c r="T3271" s="8">
        <v>1.0001180555555556</v>
      </c>
      <c r="U3271" s="98">
        <v>4.2267495926868293</v>
      </c>
      <c r="V3271" s="106">
        <v>34363.607505216663</v>
      </c>
      <c r="W3271" s="10">
        <v>1.1126591261981567</v>
      </c>
      <c r="X3271" s="420"/>
      <c r="Y3271" s="420"/>
      <c r="Z3271" s="1"/>
      <c r="AA3271" s="1"/>
      <c r="AB3271" s="1"/>
      <c r="AC3271" s="1"/>
      <c r="AD3271" s="1"/>
    </row>
    <row r="3272" spans="17:30">
      <c r="Q3272" s="6">
        <v>3242</v>
      </c>
      <c r="R3272" s="7">
        <v>45909</v>
      </c>
      <c r="S3272" s="210">
        <v>4.25</v>
      </c>
      <c r="T3272" s="8">
        <v>1.0001180555555556</v>
      </c>
      <c r="U3272" s="98">
        <v>4.2268038957417708</v>
      </c>
      <c r="V3272" s="106">
        <v>34366.467684611489</v>
      </c>
      <c r="W3272" s="10">
        <v>1.1127103961073859</v>
      </c>
      <c r="X3272" s="420"/>
      <c r="Y3272" s="420"/>
      <c r="Z3272" s="1"/>
      <c r="AA3272" s="1"/>
      <c r="AB3272" s="1"/>
      <c r="AC3272" s="1"/>
      <c r="AD3272" s="1"/>
    </row>
    <row r="3273" spans="17:30">
      <c r="Q3273" s="6">
        <v>3243</v>
      </c>
      <c r="R3273" s="7">
        <v>45910</v>
      </c>
      <c r="S3273" s="210">
        <v>4.25</v>
      </c>
      <c r="T3273" s="8">
        <v>1.0001180555555556</v>
      </c>
      <c r="U3273" s="98">
        <v>4.2268581653355897</v>
      </c>
      <c r="V3273" s="106">
        <v>34369.328102067077</v>
      </c>
      <c r="W3273" s="10">
        <v>1.1127616344237534</v>
      </c>
      <c r="X3273" s="420"/>
      <c r="Y3273" s="420"/>
      <c r="Z3273" s="1"/>
      <c r="AA3273" s="1"/>
      <c r="AB3273" s="1"/>
      <c r="AC3273" s="1"/>
      <c r="AD3273" s="1"/>
    </row>
    <row r="3274" spans="17:30">
      <c r="Q3274" s="6">
        <v>3244</v>
      </c>
      <c r="R3274" s="7">
        <v>45911</v>
      </c>
      <c r="S3274" s="210">
        <v>4.25</v>
      </c>
      <c r="T3274" s="8">
        <v>1.0001180555555556</v>
      </c>
      <c r="U3274" s="98">
        <v>4.2269124014991943</v>
      </c>
      <c r="V3274" s="106">
        <v>34372.188757603224</v>
      </c>
      <c r="W3274" s="10">
        <v>1.1128128411765026</v>
      </c>
      <c r="X3274" s="420"/>
      <c r="Y3274" s="420"/>
      <c r="Z3274" s="1"/>
      <c r="AA3274" s="1"/>
      <c r="AB3274" s="1"/>
      <c r="AC3274" s="1"/>
      <c r="AD3274" s="1"/>
    </row>
    <row r="3275" spans="17:30">
      <c r="Q3275" s="6">
        <v>3245</v>
      </c>
      <c r="R3275" s="7">
        <v>45912</v>
      </c>
      <c r="S3275" s="210">
        <v>4.25</v>
      </c>
      <c r="T3275" s="8">
        <v>1.0001180555555556</v>
      </c>
      <c r="U3275" s="98">
        <v>4.2269666042634713</v>
      </c>
      <c r="V3275" s="106">
        <v>34375.049651239744</v>
      </c>
      <c r="W3275" s="10">
        <v>1.1128640163947212</v>
      </c>
      <c r="X3275" s="420"/>
      <c r="Y3275" s="420"/>
      <c r="Z3275" s="1"/>
      <c r="AA3275" s="1"/>
      <c r="AB3275" s="1"/>
      <c r="AC3275" s="1"/>
      <c r="AD3275" s="1"/>
    </row>
    <row r="3276" spans="17:30">
      <c r="Q3276" s="6">
        <v>3246</v>
      </c>
      <c r="R3276" s="7">
        <v>45913</v>
      </c>
      <c r="S3276" s="210">
        <v>4.25</v>
      </c>
      <c r="T3276" s="8">
        <v>1.0001180555555556</v>
      </c>
      <c r="U3276" s="98">
        <v>4.2270207736592624</v>
      </c>
      <c r="V3276" s="106">
        <v>34377.910782996471</v>
      </c>
      <c r="W3276" s="10">
        <v>1.1129151601076082</v>
      </c>
      <c r="X3276" s="420"/>
      <c r="Y3276" s="420"/>
      <c r="Z3276" s="1"/>
      <c r="AA3276" s="1"/>
      <c r="AB3276" s="1"/>
      <c r="AC3276" s="1"/>
      <c r="AD3276" s="1"/>
    </row>
    <row r="3277" spans="17:30">
      <c r="Q3277" s="6">
        <v>3247</v>
      </c>
      <c r="R3277" s="7">
        <v>45914</v>
      </c>
      <c r="S3277" s="210">
        <v>4.25</v>
      </c>
      <c r="T3277" s="8">
        <v>1.0001180555555556</v>
      </c>
      <c r="U3277" s="98">
        <v>4.2270749097173654</v>
      </c>
      <c r="V3277" s="106">
        <v>34380.772152893209</v>
      </c>
      <c r="W3277" s="10">
        <v>1.1129662723441847</v>
      </c>
      <c r="X3277" s="420"/>
      <c r="Y3277" s="420"/>
      <c r="Z3277" s="1"/>
      <c r="AA3277" s="1"/>
      <c r="AB3277" s="1"/>
      <c r="AC3277" s="1"/>
      <c r="AD3277" s="1"/>
    </row>
    <row r="3278" spans="17:30">
      <c r="Q3278" s="6">
        <v>3248</v>
      </c>
      <c r="R3278" s="7">
        <v>45915</v>
      </c>
      <c r="S3278" s="210">
        <v>4.25</v>
      </c>
      <c r="T3278" s="8">
        <v>1.0001180555555556</v>
      </c>
      <c r="U3278" s="98">
        <v>4.2271290124685557</v>
      </c>
      <c r="V3278" s="106">
        <v>34383.633760949793</v>
      </c>
      <c r="W3278" s="10">
        <v>1.1130173531335164</v>
      </c>
      <c r="X3278" s="420"/>
      <c r="Y3278" s="420"/>
      <c r="Z3278" s="1"/>
      <c r="AA3278" s="1"/>
      <c r="AB3278" s="1"/>
      <c r="AC3278" s="1"/>
      <c r="AD3278" s="1"/>
    </row>
    <row r="3279" spans="17:30">
      <c r="Q3279" s="6">
        <v>3249</v>
      </c>
      <c r="R3279" s="7">
        <v>45916</v>
      </c>
      <c r="S3279" s="210">
        <v>4.25</v>
      </c>
      <c r="T3279" s="8">
        <v>1.0001180555555556</v>
      </c>
      <c r="U3279" s="98">
        <v>4.2271830819435419</v>
      </c>
      <c r="V3279" s="106">
        <v>34386.495607186029</v>
      </c>
      <c r="W3279" s="10">
        <v>1.1130684025046245</v>
      </c>
      <c r="X3279" s="420"/>
      <c r="Y3279" s="420"/>
      <c r="Z3279" s="1"/>
      <c r="AA3279" s="1"/>
      <c r="AB3279" s="1"/>
      <c r="AC3279" s="1"/>
      <c r="AD3279" s="1"/>
    </row>
    <row r="3280" spans="17:30">
      <c r="Q3280" s="6">
        <v>3250</v>
      </c>
      <c r="R3280" s="7">
        <v>45917</v>
      </c>
      <c r="S3280" s="210">
        <v>4.25</v>
      </c>
      <c r="T3280" s="8">
        <v>1.0001180555555556</v>
      </c>
      <c r="U3280" s="98">
        <v>4.2272371181730328</v>
      </c>
      <c r="V3280" s="106">
        <v>34389.357691621757</v>
      </c>
      <c r="W3280" s="10">
        <v>1.1131194204864858</v>
      </c>
      <c r="X3280" s="420"/>
      <c r="Y3280" s="420"/>
      <c r="Z3280" s="1"/>
      <c r="AA3280" s="1"/>
      <c r="AB3280" s="1"/>
      <c r="AC3280" s="1"/>
      <c r="AD3280" s="1"/>
    </row>
    <row r="3281" spans="17:30">
      <c r="Q3281" s="6">
        <v>3251</v>
      </c>
      <c r="R3281" s="7">
        <v>45918</v>
      </c>
      <c r="S3281" s="210">
        <v>4.25</v>
      </c>
      <c r="T3281" s="8">
        <v>1.0001180555555556</v>
      </c>
      <c r="U3281" s="98">
        <v>4.2272911211876929</v>
      </c>
      <c r="V3281" s="106">
        <v>34392.220014276791</v>
      </c>
      <c r="W3281" s="10">
        <v>1.113170407108055</v>
      </c>
      <c r="X3281" s="420"/>
      <c r="Y3281" s="420"/>
      <c r="Z3281" s="1"/>
      <c r="AA3281" s="1"/>
      <c r="AB3281" s="1"/>
      <c r="AC3281" s="1"/>
      <c r="AD3281" s="1"/>
    </row>
    <row r="3282" spans="17:30">
      <c r="Q3282" s="6">
        <v>3252</v>
      </c>
      <c r="R3282" s="7">
        <v>45919</v>
      </c>
      <c r="S3282" s="210">
        <v>4.25</v>
      </c>
      <c r="T3282" s="8">
        <v>1.0001180555555556</v>
      </c>
      <c r="U3282" s="98">
        <v>4.2273450910181198</v>
      </c>
      <c r="V3282" s="106">
        <v>34395.082575170971</v>
      </c>
      <c r="W3282" s="10">
        <v>1.1132213623982201</v>
      </c>
      <c r="X3282" s="420"/>
      <c r="Y3282" s="420"/>
      <c r="Z3282" s="1"/>
      <c r="AA3282" s="1"/>
      <c r="AB3282" s="1"/>
      <c r="AC3282" s="1"/>
      <c r="AD3282" s="1"/>
    </row>
    <row r="3283" spans="17:30">
      <c r="Q3283" s="6">
        <v>3253</v>
      </c>
      <c r="R3283" s="7">
        <v>45920</v>
      </c>
      <c r="S3283" s="210">
        <v>4.25</v>
      </c>
      <c r="T3283" s="8">
        <v>1.0001180555555556</v>
      </c>
      <c r="U3283" s="98">
        <v>4.2273990276948892</v>
      </c>
      <c r="V3283" s="106">
        <v>34397.945374324117</v>
      </c>
      <c r="W3283" s="10">
        <v>1.1132722863858691</v>
      </c>
      <c r="X3283" s="420"/>
      <c r="Y3283" s="420"/>
      <c r="Z3283" s="1"/>
      <c r="AA3283" s="1"/>
      <c r="AB3283" s="1"/>
      <c r="AC3283" s="1"/>
      <c r="AD3283" s="1"/>
    </row>
    <row r="3284" spans="17:30">
      <c r="Q3284" s="6">
        <v>3254</v>
      </c>
      <c r="R3284" s="7">
        <v>45921</v>
      </c>
      <c r="S3284" s="210">
        <v>4.25</v>
      </c>
      <c r="T3284" s="8">
        <v>1.0001180555555556</v>
      </c>
      <c r="U3284" s="98">
        <v>4.2274529312485321</v>
      </c>
      <c r="V3284" s="106">
        <v>34400.808411756065</v>
      </c>
      <c r="W3284" s="10">
        <v>1.1133231790997788</v>
      </c>
      <c r="X3284" s="420"/>
      <c r="Y3284" s="420"/>
      <c r="Z3284" s="1"/>
      <c r="AA3284" s="1"/>
      <c r="AB3284" s="1"/>
      <c r="AC3284" s="1"/>
      <c r="AD3284" s="1"/>
    </row>
    <row r="3285" spans="17:30">
      <c r="Q3285" s="6">
        <v>3255</v>
      </c>
      <c r="R3285" s="7">
        <v>45922</v>
      </c>
      <c r="S3285" s="210">
        <v>4.25</v>
      </c>
      <c r="T3285" s="8">
        <v>1.0001180555555556</v>
      </c>
      <c r="U3285" s="98">
        <v>4.2275068017095796</v>
      </c>
      <c r="V3285" s="106">
        <v>34403.67168748664</v>
      </c>
      <c r="W3285" s="10">
        <v>1.1133740405688375</v>
      </c>
      <c r="X3285" s="420"/>
      <c r="Y3285" s="420"/>
      <c r="Z3285" s="1"/>
      <c r="AA3285" s="1"/>
      <c r="AB3285" s="1"/>
      <c r="AC3285" s="1"/>
      <c r="AD3285" s="1"/>
    </row>
    <row r="3286" spans="17:30">
      <c r="Q3286" s="6">
        <v>3256</v>
      </c>
      <c r="R3286" s="7">
        <v>45923</v>
      </c>
      <c r="S3286" s="210">
        <v>4.25</v>
      </c>
      <c r="T3286" s="8">
        <v>1.0001180555555556</v>
      </c>
      <c r="U3286" s="98">
        <v>4.2275606391084741</v>
      </c>
      <c r="V3286" s="106">
        <v>34406.535201535684</v>
      </c>
      <c r="W3286" s="10">
        <v>1.1134248708217775</v>
      </c>
      <c r="X3286" s="420"/>
      <c r="Y3286" s="420"/>
      <c r="Z3286" s="1"/>
      <c r="AA3286" s="1"/>
      <c r="AB3286" s="1"/>
      <c r="AC3286" s="1"/>
      <c r="AD3286" s="1"/>
    </row>
    <row r="3287" spans="17:30">
      <c r="Q3287" s="6">
        <v>3257</v>
      </c>
      <c r="R3287" s="7">
        <v>45924</v>
      </c>
      <c r="S3287" s="210">
        <v>4.25</v>
      </c>
      <c r="T3287" s="8">
        <v>1.0001180555555556</v>
      </c>
      <c r="U3287" s="98">
        <v>4.227614443475658</v>
      </c>
      <c r="V3287" s="106">
        <v>34409.398953923039</v>
      </c>
      <c r="W3287" s="10">
        <v>1.1134756698872872</v>
      </c>
      <c r="X3287" s="420"/>
      <c r="Y3287" s="420"/>
      <c r="Z3287" s="1"/>
      <c r="AA3287" s="1"/>
      <c r="AB3287" s="1"/>
      <c r="AC3287" s="1"/>
      <c r="AD3287" s="1"/>
    </row>
    <row r="3288" spans="17:30">
      <c r="Q3288" s="6">
        <v>3258</v>
      </c>
      <c r="R3288" s="7">
        <v>45925</v>
      </c>
      <c r="S3288" s="210">
        <v>4.25</v>
      </c>
      <c r="T3288" s="8">
        <v>1.0001180555555556</v>
      </c>
      <c r="U3288" s="98">
        <v>4.2276682148415068</v>
      </c>
      <c r="V3288" s="106">
        <v>34412.262944668524</v>
      </c>
      <c r="W3288" s="10">
        <v>1.113526437794099</v>
      </c>
      <c r="X3288" s="420"/>
      <c r="Y3288" s="420"/>
      <c r="Z3288" s="1"/>
      <c r="AA3288" s="1"/>
      <c r="AB3288" s="1"/>
      <c r="AC3288" s="1"/>
      <c r="AD3288" s="1"/>
    </row>
    <row r="3289" spans="17:30">
      <c r="Q3289" s="6">
        <v>3259</v>
      </c>
      <c r="R3289" s="7">
        <v>45926</v>
      </c>
      <c r="S3289" s="210">
        <v>4.25</v>
      </c>
      <c r="T3289" s="8">
        <v>1.0001180555555556</v>
      </c>
      <c r="U3289" s="98">
        <v>4.2277219532363741</v>
      </c>
      <c r="V3289" s="106">
        <v>34415.127173791996</v>
      </c>
      <c r="W3289" s="10">
        <v>1.1135771745708789</v>
      </c>
      <c r="X3289" s="420"/>
      <c r="Y3289" s="420"/>
      <c r="Z3289" s="1"/>
      <c r="AA3289" s="1"/>
      <c r="AB3289" s="1"/>
      <c r="AC3289" s="1"/>
      <c r="AD3289" s="1"/>
    </row>
    <row r="3290" spans="17:30">
      <c r="Q3290" s="6">
        <v>3260</v>
      </c>
      <c r="R3290" s="7">
        <v>45927</v>
      </c>
      <c r="S3290" s="210">
        <v>4.25</v>
      </c>
      <c r="T3290" s="8">
        <v>1.0001180555555556</v>
      </c>
      <c r="U3290" s="98">
        <v>4.2277756586905912</v>
      </c>
      <c r="V3290" s="106">
        <v>34417.991641313281</v>
      </c>
      <c r="W3290" s="10">
        <v>1.1136278802462263</v>
      </c>
      <c r="X3290" s="420"/>
      <c r="Y3290" s="420"/>
      <c r="Z3290" s="1"/>
      <c r="AA3290" s="1"/>
      <c r="AB3290" s="1"/>
      <c r="AC3290" s="1"/>
      <c r="AD3290" s="1"/>
    </row>
    <row r="3291" spans="17:30">
      <c r="Q3291" s="6">
        <v>3261</v>
      </c>
      <c r="R3291" s="7">
        <v>45928</v>
      </c>
      <c r="S3291" s="210">
        <v>4.25</v>
      </c>
      <c r="T3291" s="8">
        <v>1.0001180555555556</v>
      </c>
      <c r="U3291" s="98">
        <v>4.2278293312344228</v>
      </c>
      <c r="V3291" s="106">
        <v>34420.856347252222</v>
      </c>
      <c r="W3291" s="10">
        <v>1.1136785548487405</v>
      </c>
      <c r="X3291" s="420"/>
      <c r="Y3291" s="420"/>
      <c r="Z3291" s="1"/>
      <c r="AA3291" s="1"/>
      <c r="AB3291" s="1"/>
      <c r="AC3291" s="1"/>
      <c r="AD3291" s="1"/>
    </row>
    <row r="3292" spans="17:30">
      <c r="Q3292" s="6">
        <v>3262</v>
      </c>
      <c r="R3292" s="7">
        <v>45929</v>
      </c>
      <c r="S3292" s="210">
        <v>4.25</v>
      </c>
      <c r="T3292" s="8">
        <v>1.0001180555555556</v>
      </c>
      <c r="U3292" s="98">
        <v>4.2278829708981114</v>
      </c>
      <c r="V3292" s="106">
        <v>34423.721291628681</v>
      </c>
      <c r="W3292" s="10">
        <v>1.1137291984069764</v>
      </c>
      <c r="X3292" s="420"/>
      <c r="Y3292" s="420"/>
      <c r="Z3292" s="1"/>
      <c r="AA3292" s="1"/>
      <c r="AB3292" s="1"/>
      <c r="AC3292" s="1"/>
      <c r="AD3292" s="1"/>
    </row>
    <row r="3293" spans="17:30">
      <c r="Q3293" s="6">
        <v>3263</v>
      </c>
      <c r="R3293" s="7">
        <v>45930</v>
      </c>
      <c r="S3293" s="210">
        <v>4.25</v>
      </c>
      <c r="T3293" s="8">
        <v>1.0001180555555556</v>
      </c>
      <c r="U3293" s="98">
        <v>4.2279365777118771</v>
      </c>
      <c r="V3293" s="106">
        <v>34426.586474462492</v>
      </c>
      <c r="W3293" s="10">
        <v>1.1137798109494668</v>
      </c>
      <c r="X3293" s="420"/>
      <c r="Y3293" s="420"/>
      <c r="Z3293" s="1"/>
      <c r="AA3293" s="1"/>
      <c r="AB3293" s="1"/>
      <c r="AC3293" s="1"/>
      <c r="AD3293" s="1"/>
    </row>
    <row r="3294" spans="17:30">
      <c r="Q3294" s="6">
        <v>3264</v>
      </c>
      <c r="R3294" s="7">
        <v>45931</v>
      </c>
      <c r="S3294" s="210">
        <v>4.25</v>
      </c>
      <c r="T3294" s="8">
        <v>1.0001180555555556</v>
      </c>
      <c r="U3294" s="98">
        <v>4.2279901517058738</v>
      </c>
      <c r="V3294" s="106">
        <v>34429.451895773505</v>
      </c>
      <c r="W3294" s="10">
        <v>1.1138303925046555</v>
      </c>
      <c r="X3294" s="420"/>
      <c r="Y3294" s="420"/>
      <c r="Z3294" s="1"/>
      <c r="AA3294" s="1"/>
      <c r="AB3294" s="1"/>
      <c r="AC3294" s="1"/>
      <c r="AD3294" s="1"/>
    </row>
    <row r="3295" spans="17:30">
      <c r="Q3295" s="6">
        <v>3265</v>
      </c>
      <c r="R3295" s="7">
        <v>45932</v>
      </c>
      <c r="S3295" s="210">
        <v>4.25</v>
      </c>
      <c r="T3295" s="8">
        <v>1.0001180555555556</v>
      </c>
      <c r="U3295" s="98">
        <v>4.2280436929102327</v>
      </c>
      <c r="V3295" s="106">
        <v>34432.317555581554</v>
      </c>
      <c r="W3295" s="10">
        <v>1.113880943101031</v>
      </c>
      <c r="X3295" s="420"/>
      <c r="Y3295" s="420"/>
      <c r="Z3295" s="1"/>
      <c r="AA3295" s="1"/>
      <c r="AB3295" s="1"/>
      <c r="AC3295" s="1"/>
      <c r="AD3295" s="1"/>
    </row>
    <row r="3296" spans="17:30">
      <c r="Q3296" s="6">
        <v>3266</v>
      </c>
      <c r="R3296" s="7">
        <v>45933</v>
      </c>
      <c r="S3296" s="210">
        <v>4.25</v>
      </c>
      <c r="T3296" s="8">
        <v>1.0001180555555556</v>
      </c>
      <c r="U3296" s="98">
        <v>4.2280972013550411</v>
      </c>
      <c r="V3296" s="106">
        <v>34435.183453906524</v>
      </c>
      <c r="W3296" s="10">
        <v>1.1139314627669927</v>
      </c>
      <c r="X3296" s="420"/>
      <c r="Y3296" s="420"/>
      <c r="Z3296" s="1"/>
      <c r="AA3296" s="1"/>
      <c r="AB3296" s="1"/>
      <c r="AC3296" s="1"/>
      <c r="AD3296" s="1"/>
    </row>
    <row r="3297" spans="17:30">
      <c r="Q3297" s="6">
        <v>3267</v>
      </c>
      <c r="R3297" s="7">
        <v>45934</v>
      </c>
      <c r="S3297" s="210">
        <v>4.25</v>
      </c>
      <c r="T3297" s="8">
        <v>1.0001180555555556</v>
      </c>
      <c r="U3297" s="98">
        <v>4.2281506770703636</v>
      </c>
      <c r="V3297" s="106">
        <v>34438.049590768227</v>
      </c>
      <c r="W3297" s="10">
        <v>1.1139819515308957</v>
      </c>
      <c r="X3297" s="420"/>
      <c r="Y3297" s="420"/>
      <c r="Z3297" s="1"/>
      <c r="AA3297" s="1"/>
      <c r="AB3297" s="1"/>
      <c r="AC3297" s="1"/>
      <c r="AD3297" s="1"/>
    </row>
    <row r="3298" spans="17:30">
      <c r="Q3298" s="6">
        <v>3268</v>
      </c>
      <c r="R3298" s="7">
        <v>45935</v>
      </c>
      <c r="S3298" s="210">
        <v>4.25</v>
      </c>
      <c r="T3298" s="8">
        <v>1.0001180555555556</v>
      </c>
      <c r="U3298" s="98">
        <v>4.2282041200862208</v>
      </c>
      <c r="V3298" s="106">
        <v>34440.915966186549</v>
      </c>
      <c r="W3298" s="10">
        <v>1.1140324094211396</v>
      </c>
      <c r="X3298" s="420"/>
      <c r="Y3298" s="420"/>
      <c r="Z3298" s="1"/>
      <c r="AA3298" s="1"/>
      <c r="AB3298" s="1"/>
      <c r="AC3298" s="1"/>
      <c r="AD3298" s="1"/>
    </row>
    <row r="3299" spans="17:30">
      <c r="Q3299" s="6">
        <v>3269</v>
      </c>
      <c r="R3299" s="7">
        <v>45936</v>
      </c>
      <c r="S3299" s="210">
        <v>4.25</v>
      </c>
      <c r="T3299" s="8">
        <v>1.0001180555555556</v>
      </c>
      <c r="U3299" s="98">
        <v>4.2282575304326109</v>
      </c>
      <c r="V3299" s="106">
        <v>34443.782580181323</v>
      </c>
      <c r="W3299" s="10">
        <v>1.1140828364659905</v>
      </c>
      <c r="X3299" s="420"/>
      <c r="Y3299" s="420"/>
      <c r="Z3299" s="1"/>
      <c r="AA3299" s="1"/>
      <c r="AB3299" s="1"/>
      <c r="AC3299" s="1"/>
      <c r="AD3299" s="1"/>
    </row>
    <row r="3300" spans="17:30">
      <c r="Q3300" s="6">
        <v>3270</v>
      </c>
      <c r="R3300" s="7">
        <v>45937</v>
      </c>
      <c r="S3300" s="210">
        <v>4.25</v>
      </c>
      <c r="T3300" s="8">
        <v>1.0001180555555556</v>
      </c>
      <c r="U3300" s="98">
        <v>4.2283109081394654</v>
      </c>
      <c r="V3300" s="106">
        <v>34446.649432772421</v>
      </c>
      <c r="W3300" s="10">
        <v>1.1141332326937592</v>
      </c>
      <c r="X3300" s="420"/>
      <c r="Y3300" s="420"/>
      <c r="Z3300" s="1"/>
      <c r="AA3300" s="1"/>
      <c r="AB3300" s="1"/>
      <c r="AC3300" s="1"/>
      <c r="AD3300" s="1"/>
    </row>
    <row r="3301" spans="17:30">
      <c r="Q3301" s="6">
        <v>3271</v>
      </c>
      <c r="R3301" s="7">
        <v>45938</v>
      </c>
      <c r="S3301" s="210">
        <v>4.25</v>
      </c>
      <c r="T3301" s="8">
        <v>1.0001180555555556</v>
      </c>
      <c r="U3301" s="98">
        <v>4.2283642532366938</v>
      </c>
      <c r="V3301" s="106">
        <v>34449.516523979706</v>
      </c>
      <c r="W3301" s="10">
        <v>1.1141835981326453</v>
      </c>
      <c r="X3301" s="420"/>
      <c r="Y3301" s="420"/>
      <c r="Z3301" s="1"/>
      <c r="AA3301" s="1"/>
      <c r="AB3301" s="1"/>
      <c r="AC3301" s="1"/>
      <c r="AD3301" s="1"/>
    </row>
    <row r="3302" spans="17:30">
      <c r="Q3302" s="6">
        <v>3272</v>
      </c>
      <c r="R3302" s="7">
        <v>45939</v>
      </c>
      <c r="S3302" s="210">
        <v>4.25</v>
      </c>
      <c r="T3302" s="8">
        <v>1.0001180555555556</v>
      </c>
      <c r="U3302" s="98">
        <v>4.2284175657541612</v>
      </c>
      <c r="V3302" s="106">
        <v>34452.383853823027</v>
      </c>
      <c r="W3302" s="10">
        <v>1.1142339328108708</v>
      </c>
      <c r="X3302" s="420"/>
      <c r="Y3302" s="420"/>
      <c r="Z3302" s="1"/>
      <c r="AA3302" s="1"/>
      <c r="AB3302" s="1"/>
      <c r="AC3302" s="1"/>
      <c r="AD3302" s="1"/>
    </row>
    <row r="3303" spans="17:30">
      <c r="Q3303" s="6">
        <v>3273</v>
      </c>
      <c r="R3303" s="7">
        <v>45940</v>
      </c>
      <c r="S3303" s="210">
        <v>4.25</v>
      </c>
      <c r="T3303" s="8">
        <v>1.0001180555555556</v>
      </c>
      <c r="U3303" s="98">
        <v>4.2284708457217324</v>
      </c>
      <c r="V3303" s="106">
        <v>34455.251422322239</v>
      </c>
      <c r="W3303" s="10">
        <v>1.1142842367566352</v>
      </c>
      <c r="X3303" s="420"/>
      <c r="Y3303" s="420"/>
      <c r="Z3303" s="1"/>
      <c r="AA3303" s="1"/>
      <c r="AB3303" s="1"/>
      <c r="AC3303" s="1"/>
      <c r="AD3303" s="1"/>
    </row>
    <row r="3304" spans="17:30">
      <c r="Q3304" s="6">
        <v>3274</v>
      </c>
      <c r="R3304" s="7">
        <v>45941</v>
      </c>
      <c r="S3304" s="210">
        <v>4.25</v>
      </c>
      <c r="T3304" s="8">
        <v>1.0001180555555556</v>
      </c>
      <c r="U3304" s="98">
        <v>4.2285240931691837</v>
      </c>
      <c r="V3304" s="106">
        <v>34458.119229497228</v>
      </c>
      <c r="W3304" s="10">
        <v>1.1143345099980273</v>
      </c>
      <c r="X3304" s="420"/>
      <c r="Y3304" s="420"/>
      <c r="Z3304" s="1"/>
      <c r="AA3304" s="1"/>
      <c r="AB3304" s="1"/>
      <c r="AC3304" s="1"/>
      <c r="AD3304" s="1"/>
    </row>
    <row r="3305" spans="17:30">
      <c r="Q3305" s="6">
        <v>3275</v>
      </c>
      <c r="R3305" s="7">
        <v>45942</v>
      </c>
      <c r="S3305" s="210">
        <v>4.25</v>
      </c>
      <c r="T3305" s="8">
        <v>1.0001180555555556</v>
      </c>
      <c r="U3305" s="98">
        <v>4.2285773081262912</v>
      </c>
      <c r="V3305" s="106">
        <v>34460.987275367843</v>
      </c>
      <c r="W3305" s="10">
        <v>1.1143847525632022</v>
      </c>
      <c r="X3305" s="420"/>
      <c r="Y3305" s="420"/>
      <c r="Z3305" s="1"/>
      <c r="AA3305" s="1"/>
      <c r="AB3305" s="1"/>
      <c r="AC3305" s="1"/>
      <c r="AD3305" s="1"/>
    </row>
    <row r="3306" spans="17:30">
      <c r="Q3306" s="6">
        <v>3276</v>
      </c>
      <c r="R3306" s="7">
        <v>45943</v>
      </c>
      <c r="S3306" s="210">
        <v>4.25</v>
      </c>
      <c r="T3306" s="8">
        <v>1.0001180555555556</v>
      </c>
      <c r="U3306" s="98">
        <v>4.2286304906227867</v>
      </c>
      <c r="V3306" s="106">
        <v>34463.855559953954</v>
      </c>
      <c r="W3306" s="10">
        <v>1.1144349644801821</v>
      </c>
      <c r="X3306" s="420"/>
      <c r="Y3306" s="420"/>
      <c r="Z3306" s="1"/>
      <c r="AA3306" s="1"/>
      <c r="AB3306" s="1"/>
      <c r="AC3306" s="1"/>
      <c r="AD3306" s="1"/>
    </row>
    <row r="3307" spans="17:30">
      <c r="Q3307" s="6">
        <v>3277</v>
      </c>
      <c r="R3307" s="7">
        <v>45944</v>
      </c>
      <c r="S3307" s="210">
        <v>4.25</v>
      </c>
      <c r="T3307" s="8">
        <v>1.0001180555555556</v>
      </c>
      <c r="U3307" s="98">
        <v>4.2286836406883355</v>
      </c>
      <c r="V3307" s="106">
        <v>34466.72408327544</v>
      </c>
      <c r="W3307" s="10">
        <v>1.1144851457770333</v>
      </c>
      <c r="X3307" s="420"/>
      <c r="Y3307" s="420"/>
      <c r="Z3307" s="1"/>
      <c r="AA3307" s="1"/>
      <c r="AB3307" s="1"/>
      <c r="AC3307" s="1"/>
      <c r="AD3307" s="1"/>
    </row>
    <row r="3308" spans="17:30">
      <c r="Q3308" s="6">
        <v>3278</v>
      </c>
      <c r="R3308" s="7">
        <v>45945</v>
      </c>
      <c r="S3308" s="210">
        <v>4.25</v>
      </c>
      <c r="T3308" s="8">
        <v>1.0001180555555556</v>
      </c>
      <c r="U3308" s="98">
        <v>4.2287367583526247</v>
      </c>
      <c r="V3308" s="106">
        <v>34469.592845352163</v>
      </c>
      <c r="W3308" s="10">
        <v>1.1145352964817334</v>
      </c>
      <c r="X3308" s="420"/>
      <c r="Y3308" s="420"/>
      <c r="Z3308" s="1"/>
      <c r="AA3308" s="1"/>
      <c r="AB3308" s="1"/>
      <c r="AC3308" s="1"/>
      <c r="AD3308" s="1"/>
    </row>
    <row r="3309" spans="17:30">
      <c r="Q3309" s="6">
        <v>3279</v>
      </c>
      <c r="R3309" s="7">
        <v>45946</v>
      </c>
      <c r="S3309" s="210">
        <v>4.25</v>
      </c>
      <c r="T3309" s="8">
        <v>1.0001180555555556</v>
      </c>
      <c r="U3309" s="98">
        <v>4.2287898436452531</v>
      </c>
      <c r="V3309" s="106">
        <v>34472.461846203987</v>
      </c>
      <c r="W3309" s="10">
        <v>1.1145854166222602</v>
      </c>
      <c r="X3309" s="420"/>
      <c r="Y3309" s="420"/>
      <c r="Z3309" s="1"/>
      <c r="AA3309" s="1"/>
      <c r="AB3309" s="1"/>
      <c r="AC3309" s="1"/>
      <c r="AD3309" s="1"/>
    </row>
    <row r="3310" spans="17:30">
      <c r="Q3310" s="6">
        <v>3280</v>
      </c>
      <c r="R3310" s="7">
        <v>45947</v>
      </c>
      <c r="S3310" s="210">
        <v>4.25</v>
      </c>
      <c r="T3310" s="8">
        <v>1.0001180555555556</v>
      </c>
      <c r="U3310" s="98">
        <v>4.2288428965958191</v>
      </c>
      <c r="V3310" s="106">
        <v>34475.331085850812</v>
      </c>
      <c r="W3310" s="10">
        <v>1.1146355062265467</v>
      </c>
      <c r="X3310" s="420"/>
      <c r="Y3310" s="420"/>
      <c r="Z3310" s="1"/>
      <c r="AA3310" s="1"/>
      <c r="AB3310" s="1"/>
      <c r="AC3310" s="1"/>
      <c r="AD3310" s="1"/>
    </row>
    <row r="3311" spans="17:30">
      <c r="Q3311" s="6">
        <v>3281</v>
      </c>
      <c r="R3311" s="7">
        <v>45948</v>
      </c>
      <c r="S3311" s="210">
        <v>4.25</v>
      </c>
      <c r="T3311" s="8">
        <v>1.0001180555555556</v>
      </c>
      <c r="U3311" s="98">
        <v>4.2288959172338769</v>
      </c>
      <c r="V3311" s="106">
        <v>34478.200564312487</v>
      </c>
      <c r="W3311" s="10">
        <v>1.1146855653225263</v>
      </c>
      <c r="X3311" s="420"/>
      <c r="Y3311" s="420"/>
      <c r="Z3311" s="1"/>
      <c r="AA3311" s="1"/>
      <c r="AB3311" s="1"/>
      <c r="AC3311" s="1"/>
      <c r="AD3311" s="1"/>
    </row>
    <row r="3312" spans="17:30">
      <c r="Q3312" s="6">
        <v>3282</v>
      </c>
      <c r="R3312" s="7">
        <v>45949</v>
      </c>
      <c r="S3312" s="210">
        <v>4.25</v>
      </c>
      <c r="T3312" s="8">
        <v>1.0001180555555556</v>
      </c>
      <c r="U3312" s="98">
        <v>4.228948905588914</v>
      </c>
      <c r="V3312" s="106">
        <v>34481.070281608896</v>
      </c>
      <c r="W3312" s="10">
        <v>1.1147355939379988</v>
      </c>
      <c r="X3312" s="420"/>
      <c r="Y3312" s="420"/>
      <c r="Z3312" s="1"/>
      <c r="AA3312" s="1"/>
      <c r="AB3312" s="1"/>
      <c r="AC3312" s="1"/>
      <c r="AD3312" s="1"/>
    </row>
    <row r="3313" spans="17:30">
      <c r="Q3313" s="6">
        <v>3283</v>
      </c>
      <c r="R3313" s="7">
        <v>45950</v>
      </c>
      <c r="S3313" s="210">
        <v>4.25</v>
      </c>
      <c r="T3313" s="8">
        <v>1.0001180555555556</v>
      </c>
      <c r="U3313" s="98">
        <v>4.2290018616904179</v>
      </c>
      <c r="V3313" s="106">
        <v>34483.940237759925</v>
      </c>
      <c r="W3313" s="10">
        <v>1.1147855921008087</v>
      </c>
      <c r="X3313" s="420"/>
      <c r="Y3313" s="420"/>
      <c r="Z3313" s="1"/>
      <c r="AA3313" s="1"/>
      <c r="AB3313" s="1"/>
      <c r="AC3313" s="1"/>
      <c r="AD3313" s="1"/>
    </row>
    <row r="3314" spans="17:30">
      <c r="Q3314" s="6">
        <v>3284</v>
      </c>
      <c r="R3314" s="7">
        <v>45951</v>
      </c>
      <c r="S3314" s="210">
        <v>4.25</v>
      </c>
      <c r="T3314" s="8">
        <v>1.0001180555555556</v>
      </c>
      <c r="U3314" s="98">
        <v>4.2290547855678318</v>
      </c>
      <c r="V3314" s="106">
        <v>34486.810432785453</v>
      </c>
      <c r="W3314" s="10">
        <v>1.1148355598388004</v>
      </c>
      <c r="X3314" s="420"/>
      <c r="Y3314" s="420"/>
      <c r="Z3314" s="1"/>
      <c r="AA3314" s="1"/>
      <c r="AB3314" s="1"/>
      <c r="AC3314" s="1"/>
      <c r="AD3314" s="1"/>
    </row>
    <row r="3315" spans="17:30">
      <c r="Q3315" s="6">
        <v>3285</v>
      </c>
      <c r="R3315" s="7">
        <v>45952</v>
      </c>
      <c r="S3315" s="210">
        <v>4.25</v>
      </c>
      <c r="T3315" s="8">
        <v>1.0001180555555556</v>
      </c>
      <c r="U3315" s="98">
        <v>4.2291076772505543</v>
      </c>
      <c r="V3315" s="106">
        <v>34489.680866705356</v>
      </c>
      <c r="W3315" s="10">
        <v>1.1148854971796851</v>
      </c>
      <c r="X3315" s="420"/>
      <c r="Y3315" s="420"/>
      <c r="Z3315" s="1"/>
      <c r="AA3315" s="1"/>
      <c r="AB3315" s="1"/>
      <c r="AC3315" s="1"/>
      <c r="AD3315" s="1"/>
    </row>
    <row r="3316" spans="17:30">
      <c r="Q3316" s="6">
        <v>3286</v>
      </c>
      <c r="R3316" s="7">
        <v>45953</v>
      </c>
      <c r="S3316" s="210">
        <v>4.25</v>
      </c>
      <c r="T3316" s="8">
        <v>1.0001180555555556</v>
      </c>
      <c r="U3316" s="98">
        <v>4.2291605367679397</v>
      </c>
      <c r="V3316" s="106">
        <v>34492.551539539527</v>
      </c>
      <c r="W3316" s="10">
        <v>1.1149354041511961</v>
      </c>
      <c r="X3316" s="420"/>
      <c r="Y3316" s="420"/>
      <c r="Z3316" s="1"/>
      <c r="AA3316" s="1"/>
      <c r="AB3316" s="1"/>
      <c r="AC3316" s="1"/>
      <c r="AD3316" s="1"/>
    </row>
    <row r="3317" spans="17:30">
      <c r="Q3317" s="6">
        <v>3287</v>
      </c>
      <c r="R3317" s="7">
        <v>45954</v>
      </c>
      <c r="S3317" s="210">
        <v>4.25</v>
      </c>
      <c r="T3317" s="8">
        <v>1.0001180555555556</v>
      </c>
      <c r="U3317" s="98">
        <v>4.2292133641493423</v>
      </c>
      <c r="V3317" s="106">
        <v>34495.422451307844</v>
      </c>
      <c r="W3317" s="10">
        <v>1.1149852807810667</v>
      </c>
      <c r="X3317" s="420"/>
      <c r="Y3317" s="420"/>
      <c r="Z3317" s="1"/>
      <c r="AA3317" s="1"/>
      <c r="AB3317" s="1"/>
      <c r="AC3317" s="1"/>
      <c r="AD3317" s="1"/>
    </row>
    <row r="3318" spans="17:30">
      <c r="Q3318" s="6">
        <v>3288</v>
      </c>
      <c r="R3318" s="7">
        <v>45955</v>
      </c>
      <c r="S3318" s="210">
        <v>4.25</v>
      </c>
      <c r="T3318" s="8">
        <v>1.0001180555555556</v>
      </c>
      <c r="U3318" s="98">
        <v>4.2292661594240499</v>
      </c>
      <c r="V3318" s="106">
        <v>34498.293602030193</v>
      </c>
      <c r="W3318" s="10">
        <v>1.1150351270969194</v>
      </c>
      <c r="X3318" s="420"/>
      <c r="Y3318" s="420"/>
      <c r="Z3318" s="1"/>
      <c r="AA3318" s="1"/>
      <c r="AB3318" s="1"/>
      <c r="AC3318" s="1"/>
      <c r="AD3318" s="1"/>
    </row>
    <row r="3319" spans="17:30">
      <c r="Q3319" s="6">
        <v>3289</v>
      </c>
      <c r="R3319" s="7">
        <v>45956</v>
      </c>
      <c r="S3319" s="210">
        <v>4.25</v>
      </c>
      <c r="T3319" s="8">
        <v>1.0001180555555556</v>
      </c>
      <c r="U3319" s="98">
        <v>4.2293189226213279</v>
      </c>
      <c r="V3319" s="106">
        <v>34501.164991726473</v>
      </c>
      <c r="W3319" s="10">
        <v>1.1150849431263987</v>
      </c>
      <c r="X3319" s="420"/>
      <c r="Y3319" s="420"/>
      <c r="Z3319" s="1"/>
      <c r="AA3319" s="1"/>
      <c r="AB3319" s="1"/>
      <c r="AC3319" s="1"/>
      <c r="AD3319" s="1"/>
    </row>
    <row r="3320" spans="17:30">
      <c r="Q3320" s="6">
        <v>3290</v>
      </c>
      <c r="R3320" s="7">
        <v>45957</v>
      </c>
      <c r="S3320" s="210">
        <v>4.25</v>
      </c>
      <c r="T3320" s="8">
        <v>1.0001180555555556</v>
      </c>
      <c r="U3320" s="98">
        <v>4.2293716537703974</v>
      </c>
      <c r="V3320" s="106">
        <v>34504.036620416562</v>
      </c>
      <c r="W3320" s="10">
        <v>1.1151347288971047</v>
      </c>
      <c r="X3320" s="420"/>
      <c r="Y3320" s="420"/>
      <c r="Z3320" s="1"/>
      <c r="AA3320" s="1"/>
      <c r="AB3320" s="1"/>
      <c r="AC3320" s="1"/>
      <c r="AD3320" s="1"/>
    </row>
    <row r="3321" spans="17:30">
      <c r="Q3321" s="6">
        <v>3291</v>
      </c>
      <c r="R3321" s="7">
        <v>45958</v>
      </c>
      <c r="S3321" s="210">
        <v>4.25</v>
      </c>
      <c r="T3321" s="8">
        <v>1.0001180555555556</v>
      </c>
      <c r="U3321" s="98">
        <v>4.2294243529004572</v>
      </c>
      <c r="V3321" s="106">
        <v>34506.908488120353</v>
      </c>
      <c r="W3321" s="10">
        <v>1.1151844844365932</v>
      </c>
      <c r="X3321" s="420"/>
      <c r="Y3321" s="420"/>
      <c r="Z3321" s="1"/>
      <c r="AA3321" s="1"/>
      <c r="AB3321" s="1"/>
      <c r="AC3321" s="1"/>
      <c r="AD3321" s="1"/>
    </row>
    <row r="3322" spans="17:30">
      <c r="Q3322" s="6">
        <v>3292</v>
      </c>
      <c r="R3322" s="7">
        <v>45959</v>
      </c>
      <c r="S3322" s="210">
        <v>4.25</v>
      </c>
      <c r="T3322" s="8">
        <v>1.0001180555555556</v>
      </c>
      <c r="U3322" s="98">
        <v>4.2294770200406617</v>
      </c>
      <c r="V3322" s="106">
        <v>34509.780594857752</v>
      </c>
      <c r="W3322" s="10">
        <v>1.1152342097723977</v>
      </c>
      <c r="X3322" s="420"/>
      <c r="Y3322" s="420"/>
      <c r="Z3322" s="1"/>
      <c r="AA3322" s="1"/>
      <c r="AB3322" s="1"/>
      <c r="AC3322" s="1"/>
      <c r="AD3322" s="1"/>
    </row>
    <row r="3323" spans="17:30">
      <c r="Q3323" s="6">
        <v>3293</v>
      </c>
      <c r="R3323" s="7">
        <v>45960</v>
      </c>
      <c r="S3323" s="210">
        <v>4.25</v>
      </c>
      <c r="T3323" s="8">
        <v>1.0001180555555556</v>
      </c>
      <c r="U3323" s="98">
        <v>4.2295296552201211</v>
      </c>
      <c r="V3323" s="106">
        <v>34512.652940648644</v>
      </c>
      <c r="W3323" s="10">
        <v>1.1152839049319851</v>
      </c>
      <c r="X3323" s="420"/>
      <c r="Y3323" s="420"/>
      <c r="Z3323" s="1"/>
      <c r="AA3323" s="1"/>
      <c r="AB3323" s="1"/>
      <c r="AC3323" s="1"/>
      <c r="AD3323" s="1"/>
    </row>
    <row r="3324" spans="17:30">
      <c r="Q3324" s="6">
        <v>3294</v>
      </c>
      <c r="R3324" s="7">
        <v>45961</v>
      </c>
      <c r="S3324" s="210">
        <v>4.25</v>
      </c>
      <c r="T3324" s="8">
        <v>1.0001180555555556</v>
      </c>
      <c r="U3324" s="98">
        <v>4.2295822584679232</v>
      </c>
      <c r="V3324" s="106">
        <v>34515.52552551293</v>
      </c>
      <c r="W3324" s="10">
        <v>1.1153335699428668</v>
      </c>
      <c r="X3324" s="420"/>
      <c r="Y3324" s="420"/>
      <c r="Z3324" s="1"/>
      <c r="AA3324" s="1"/>
      <c r="AB3324" s="1"/>
      <c r="AC3324" s="1"/>
      <c r="AD3324" s="1"/>
    </row>
    <row r="3325" spans="17:30">
      <c r="Q3325" s="6">
        <v>3295</v>
      </c>
      <c r="R3325" s="7">
        <v>45962</v>
      </c>
      <c r="S3325" s="210">
        <v>4.25</v>
      </c>
      <c r="T3325" s="8">
        <v>1.0001180555555556</v>
      </c>
      <c r="U3325" s="98">
        <v>4.2296348298131115</v>
      </c>
      <c r="V3325" s="106">
        <v>34518.398349470517</v>
      </c>
      <c r="W3325" s="10">
        <v>1.1153832048323986</v>
      </c>
      <c r="X3325" s="420"/>
      <c r="Y3325" s="420"/>
      <c r="Z3325" s="1"/>
      <c r="AA3325" s="1"/>
      <c r="AB3325" s="1"/>
      <c r="AC3325" s="1"/>
      <c r="AD3325" s="1"/>
    </row>
    <row r="3326" spans="17:30">
      <c r="Q3326" s="6">
        <v>3296</v>
      </c>
      <c r="R3326" s="7">
        <v>45963</v>
      </c>
      <c r="S3326" s="210">
        <v>4.25</v>
      </c>
      <c r="T3326" s="8">
        <v>1.0001180555555556</v>
      </c>
      <c r="U3326" s="98">
        <v>4.229687369284707</v>
      </c>
      <c r="V3326" s="106">
        <v>34521.271412541282</v>
      </c>
      <c r="W3326" s="10">
        <v>1.1154328096280475</v>
      </c>
      <c r="X3326" s="420"/>
      <c r="Y3326" s="420"/>
      <c r="Z3326" s="1"/>
      <c r="AA3326" s="1"/>
      <c r="AB3326" s="1"/>
      <c r="AC3326" s="1"/>
      <c r="AD3326" s="1"/>
    </row>
    <row r="3327" spans="17:30">
      <c r="Q3327" s="6">
        <v>3297</v>
      </c>
      <c r="R3327" s="7">
        <v>45964</v>
      </c>
      <c r="S3327" s="210">
        <v>4.25</v>
      </c>
      <c r="T3327" s="8">
        <v>1.0001180555555556</v>
      </c>
      <c r="U3327" s="98">
        <v>4.2297398769116867</v>
      </c>
      <c r="V3327" s="106">
        <v>34524.144714745147</v>
      </c>
      <c r="W3327" s="10">
        <v>1.1154823843571249</v>
      </c>
      <c r="X3327" s="420"/>
      <c r="Y3327" s="420"/>
      <c r="Z3327" s="1"/>
      <c r="AA3327" s="1"/>
      <c r="AB3327" s="1"/>
      <c r="AC3327" s="1"/>
      <c r="AD3327" s="1"/>
    </row>
    <row r="3328" spans="17:30">
      <c r="Q3328" s="6">
        <v>3298</v>
      </c>
      <c r="R3328" s="7">
        <v>45965</v>
      </c>
      <c r="S3328" s="210">
        <v>4.25</v>
      </c>
      <c r="T3328" s="8">
        <v>1.0001180555555556</v>
      </c>
      <c r="U3328" s="98">
        <v>4.229792352722983</v>
      </c>
      <c r="V3328" s="106">
        <v>34527.018256102012</v>
      </c>
      <c r="W3328" s="10">
        <v>1.1155319290469867</v>
      </c>
      <c r="X3328" s="420"/>
      <c r="Y3328" s="420"/>
      <c r="Z3328" s="1"/>
      <c r="AA3328" s="1"/>
      <c r="AB3328" s="1"/>
      <c r="AC3328" s="1"/>
      <c r="AD3328" s="1"/>
    </row>
    <row r="3329" spans="17:30">
      <c r="Q3329" s="6">
        <v>3299</v>
      </c>
      <c r="R3329" s="7">
        <v>45966</v>
      </c>
      <c r="S3329" s="210">
        <v>4.25</v>
      </c>
      <c r="T3329" s="8">
        <v>1.0001180555555556</v>
      </c>
      <c r="U3329" s="98">
        <v>4.2298447967475061</v>
      </c>
      <c r="V3329" s="106">
        <v>34529.892036631776</v>
      </c>
      <c r="W3329" s="10">
        <v>1.1155814437249001</v>
      </c>
      <c r="X3329" s="420"/>
      <c r="Y3329" s="420"/>
      <c r="Z3329" s="1"/>
      <c r="AA3329" s="1"/>
      <c r="AB3329" s="1"/>
      <c r="AC3329" s="1"/>
      <c r="AD3329" s="1"/>
    </row>
    <row r="3330" spans="17:30">
      <c r="Q3330" s="6">
        <v>3300</v>
      </c>
      <c r="R3330" s="7">
        <v>45967</v>
      </c>
      <c r="S3330" s="210">
        <v>4.25</v>
      </c>
      <c r="T3330" s="8">
        <v>1.0001180555555556</v>
      </c>
      <c r="U3330" s="98">
        <v>4.229897209014144</v>
      </c>
      <c r="V3330" s="106">
        <v>34532.766056354354</v>
      </c>
      <c r="W3330" s="10">
        <v>1.1156309284181321</v>
      </c>
      <c r="X3330" s="420"/>
      <c r="Y3330" s="420"/>
      <c r="Z3330" s="1"/>
      <c r="AA3330" s="1"/>
      <c r="AB3330" s="1"/>
      <c r="AC3330" s="1"/>
      <c r="AD3330" s="1"/>
    </row>
    <row r="3331" spans="17:30">
      <c r="Q3331" s="6">
        <v>3301</v>
      </c>
      <c r="R3331" s="7">
        <v>45968</v>
      </c>
      <c r="S3331" s="210">
        <v>4.25</v>
      </c>
      <c r="T3331" s="8">
        <v>1.0001180555555556</v>
      </c>
      <c r="U3331" s="98">
        <v>4.2299495895517181</v>
      </c>
      <c r="V3331" s="106">
        <v>34535.640315289653</v>
      </c>
      <c r="W3331" s="10">
        <v>1.1156803831539275</v>
      </c>
      <c r="X3331" s="420"/>
      <c r="Y3331" s="420"/>
      <c r="Z3331" s="1"/>
      <c r="AA3331" s="1"/>
      <c r="AB3331" s="1"/>
      <c r="AC3331" s="1"/>
      <c r="AD3331" s="1"/>
    </row>
    <row r="3332" spans="17:30">
      <c r="Q3332" s="6">
        <v>3302</v>
      </c>
      <c r="R3332" s="7">
        <v>45969</v>
      </c>
      <c r="S3332" s="210">
        <v>4.25</v>
      </c>
      <c r="T3332" s="8">
        <v>1.0001180555555556</v>
      </c>
      <c r="U3332" s="98">
        <v>4.2300019383890497</v>
      </c>
      <c r="V3332" s="106">
        <v>34538.514813457579</v>
      </c>
      <c r="W3332" s="10">
        <v>1.1157298079594868</v>
      </c>
      <c r="X3332" s="420"/>
      <c r="Y3332" s="420"/>
      <c r="Z3332" s="1"/>
      <c r="AA3332" s="1"/>
      <c r="AB3332" s="1"/>
      <c r="AC3332" s="1"/>
      <c r="AD3332" s="1"/>
    </row>
    <row r="3333" spans="17:30">
      <c r="Q3333" s="6">
        <v>3303</v>
      </c>
      <c r="R3333" s="7">
        <v>45970</v>
      </c>
      <c r="S3333" s="210">
        <v>4.25</v>
      </c>
      <c r="T3333" s="8">
        <v>1.0001180555555556</v>
      </c>
      <c r="U3333" s="98">
        <v>4.2300542555548937</v>
      </c>
      <c r="V3333" s="106">
        <v>34541.389550878041</v>
      </c>
      <c r="W3333" s="10">
        <v>1.1157792028619662</v>
      </c>
      <c r="X3333" s="420"/>
      <c r="Y3333" s="420"/>
      <c r="Z3333" s="1"/>
      <c r="AA3333" s="1"/>
      <c r="AB3333" s="1"/>
      <c r="AC3333" s="1"/>
      <c r="AD3333" s="1"/>
    </row>
    <row r="3334" spans="17:30">
      <c r="Q3334" s="6">
        <v>3304</v>
      </c>
      <c r="R3334" s="7">
        <v>45971</v>
      </c>
      <c r="S3334" s="210">
        <v>4.25</v>
      </c>
      <c r="T3334" s="8">
        <v>1.0001180555555556</v>
      </c>
      <c r="U3334" s="98">
        <v>4.2301065410779826</v>
      </c>
      <c r="V3334" s="106">
        <v>34544.264527570966</v>
      </c>
      <c r="W3334" s="10">
        <v>1.1158285678884772</v>
      </c>
      <c r="X3334" s="420"/>
      <c r="Y3334" s="420"/>
      <c r="Z3334" s="1"/>
      <c r="AA3334" s="1"/>
      <c r="AB3334" s="1"/>
      <c r="AC3334" s="1"/>
      <c r="AD3334" s="1"/>
    </row>
    <row r="3335" spans="17:30">
      <c r="Q3335" s="6">
        <v>3305</v>
      </c>
      <c r="R3335" s="7">
        <v>45972</v>
      </c>
      <c r="S3335" s="210">
        <v>4.25</v>
      </c>
      <c r="T3335" s="8">
        <v>1.0001180555555556</v>
      </c>
      <c r="U3335" s="98">
        <v>4.2301587949870267</v>
      </c>
      <c r="V3335" s="106">
        <v>34547.139743556261</v>
      </c>
      <c r="W3335" s="10">
        <v>1.1158779030661314</v>
      </c>
      <c r="X3335" s="420"/>
      <c r="Y3335" s="420"/>
      <c r="Z3335" s="1"/>
      <c r="AA3335" s="1"/>
      <c r="AB3335" s="1"/>
      <c r="AC3335" s="1"/>
      <c r="AD3335" s="1"/>
    </row>
    <row r="3336" spans="17:30">
      <c r="Q3336" s="6">
        <v>3306</v>
      </c>
      <c r="R3336" s="7">
        <v>45973</v>
      </c>
      <c r="S3336" s="210">
        <v>4.25</v>
      </c>
      <c r="T3336" s="8">
        <v>1.0001180555555556</v>
      </c>
      <c r="U3336" s="98">
        <v>4.2302110173106922</v>
      </c>
      <c r="V3336" s="106">
        <v>34550.015198853842</v>
      </c>
      <c r="W3336" s="10">
        <v>1.1159272084220184</v>
      </c>
      <c r="X3336" s="420"/>
      <c r="Y3336" s="420"/>
      <c r="Z3336" s="1"/>
      <c r="AA3336" s="1"/>
      <c r="AB3336" s="1"/>
      <c r="AC3336" s="1"/>
      <c r="AD3336" s="1"/>
    </row>
    <row r="3337" spans="17:30">
      <c r="Q3337" s="6">
        <v>3307</v>
      </c>
      <c r="R3337" s="7">
        <v>45974</v>
      </c>
      <c r="S3337" s="210">
        <v>4.25</v>
      </c>
      <c r="T3337" s="8">
        <v>1.0001180555555556</v>
      </c>
      <c r="U3337" s="98">
        <v>4.2302632080776004</v>
      </c>
      <c r="V3337" s="106">
        <v>34552.890893483629</v>
      </c>
      <c r="W3337" s="10">
        <v>1.1159764839831388</v>
      </c>
      <c r="X3337" s="420"/>
      <c r="Y3337" s="420"/>
      <c r="Z3337" s="1"/>
      <c r="AA3337" s="1"/>
      <c r="AB3337" s="1"/>
      <c r="AC3337" s="1"/>
      <c r="AD3337" s="1"/>
    </row>
    <row r="3338" spans="17:30">
      <c r="Q3338" s="6">
        <v>3308</v>
      </c>
      <c r="R3338" s="7">
        <v>45975</v>
      </c>
      <c r="S3338" s="210">
        <v>4.25</v>
      </c>
      <c r="T3338" s="8">
        <v>1.0001180555555556</v>
      </c>
      <c r="U3338" s="98">
        <v>4.2303153673163285</v>
      </c>
      <c r="V3338" s="106">
        <v>34555.766827465537</v>
      </c>
      <c r="W3338" s="10">
        <v>1.1160257297764709</v>
      </c>
      <c r="X3338" s="420"/>
      <c r="Y3338" s="420"/>
      <c r="Z3338" s="1"/>
      <c r="AA3338" s="1"/>
      <c r="AB3338" s="1"/>
      <c r="AC3338" s="1"/>
      <c r="AD3338" s="1"/>
    </row>
    <row r="3339" spans="17:30">
      <c r="Q3339" s="6">
        <v>3309</v>
      </c>
      <c r="R3339" s="7">
        <v>45976</v>
      </c>
      <c r="S3339" s="210">
        <v>4.25</v>
      </c>
      <c r="T3339" s="8">
        <v>1.0001180555555556</v>
      </c>
      <c r="U3339" s="98">
        <v>4.2303674950554537</v>
      </c>
      <c r="V3339" s="106">
        <v>34558.643000819495</v>
      </c>
      <c r="W3339" s="10">
        <v>1.1160749458290153</v>
      </c>
      <c r="X3339" s="420"/>
      <c r="Y3339" s="420"/>
      <c r="Z3339" s="1"/>
      <c r="AA3339" s="1"/>
      <c r="AB3339" s="1"/>
      <c r="AC3339" s="1"/>
      <c r="AD3339" s="1"/>
    </row>
    <row r="3340" spans="17:30">
      <c r="Q3340" s="6">
        <v>3310</v>
      </c>
      <c r="R3340" s="7">
        <v>45977</v>
      </c>
      <c r="S3340" s="210">
        <v>4.25</v>
      </c>
      <c r="T3340" s="8">
        <v>1.0001180555555556</v>
      </c>
      <c r="U3340" s="98">
        <v>4.2304195913235088</v>
      </c>
      <c r="V3340" s="106">
        <v>34561.519413565431</v>
      </c>
      <c r="W3340" s="10">
        <v>1.116124132167684</v>
      </c>
      <c r="X3340" s="420"/>
      <c r="Y3340" s="420"/>
      <c r="Z3340" s="1"/>
      <c r="AA3340" s="1"/>
      <c r="AB3340" s="1"/>
      <c r="AC3340" s="1"/>
      <c r="AD3340" s="1"/>
    </row>
    <row r="3341" spans="17:30">
      <c r="Q3341" s="6">
        <v>3311</v>
      </c>
      <c r="R3341" s="7">
        <v>45978</v>
      </c>
      <c r="S3341" s="210">
        <v>4.25</v>
      </c>
      <c r="T3341" s="8">
        <v>1.0001180555555556</v>
      </c>
      <c r="U3341" s="98">
        <v>4.2304716561489819</v>
      </c>
      <c r="V3341" s="106">
        <v>34564.396065723267</v>
      </c>
      <c r="W3341" s="10">
        <v>1.1161732888194109</v>
      </c>
      <c r="X3341" s="420"/>
      <c r="Y3341" s="420"/>
      <c r="Z3341" s="1"/>
      <c r="AA3341" s="1"/>
      <c r="AB3341" s="1"/>
      <c r="AC3341" s="1"/>
      <c r="AD3341" s="1"/>
    </row>
    <row r="3342" spans="17:30">
      <c r="Q3342" s="6">
        <v>3312</v>
      </c>
      <c r="R3342" s="7">
        <v>45979</v>
      </c>
      <c r="S3342" s="210">
        <v>4.25</v>
      </c>
      <c r="T3342" s="8">
        <v>1.0001180555555556</v>
      </c>
      <c r="U3342" s="98">
        <v>4.2305236895603171</v>
      </c>
      <c r="V3342" s="106">
        <v>34567.272957312918</v>
      </c>
      <c r="W3342" s="10">
        <v>1.1162224158110412</v>
      </c>
      <c r="X3342" s="420"/>
      <c r="Y3342" s="420"/>
      <c r="Z3342" s="1"/>
      <c r="AA3342" s="1"/>
      <c r="AB3342" s="1"/>
      <c r="AC3342" s="1"/>
      <c r="AD3342" s="1"/>
    </row>
    <row r="3343" spans="17:30">
      <c r="Q3343" s="6">
        <v>3313</v>
      </c>
      <c r="R3343" s="7">
        <v>45980</v>
      </c>
      <c r="S3343" s="210">
        <v>4.25</v>
      </c>
      <c r="T3343" s="8">
        <v>1.0001180555555556</v>
      </c>
      <c r="U3343" s="98">
        <v>4.2305756915859583</v>
      </c>
      <c r="V3343" s="106">
        <v>34570.150088354327</v>
      </c>
      <c r="W3343" s="10">
        <v>1.1162715131694201</v>
      </c>
      <c r="X3343" s="420"/>
      <c r="Y3343" s="420"/>
      <c r="Z3343" s="1"/>
      <c r="AA3343" s="1"/>
      <c r="AB3343" s="1"/>
      <c r="AC3343" s="1"/>
      <c r="AD3343" s="1"/>
    </row>
    <row r="3344" spans="17:30">
      <c r="Q3344" s="6">
        <v>3314</v>
      </c>
      <c r="R3344" s="7">
        <v>45981</v>
      </c>
      <c r="S3344" s="210">
        <v>4.25</v>
      </c>
      <c r="T3344" s="8">
        <v>1.0001180555555556</v>
      </c>
      <c r="U3344" s="98">
        <v>4.2306276622542827</v>
      </c>
      <c r="V3344" s="106">
        <v>34573.027458867415</v>
      </c>
      <c r="W3344" s="10">
        <v>1.1163205809213483</v>
      </c>
      <c r="X3344" s="420"/>
      <c r="Y3344" s="420"/>
      <c r="Z3344" s="1"/>
      <c r="AA3344" s="1"/>
      <c r="AB3344" s="1"/>
      <c r="AC3344" s="1"/>
      <c r="AD3344" s="1"/>
    </row>
    <row r="3345" spans="17:30">
      <c r="Q3345" s="6">
        <v>3315</v>
      </c>
      <c r="R3345" s="7">
        <v>45982</v>
      </c>
      <c r="S3345" s="210">
        <v>4.25</v>
      </c>
      <c r="T3345" s="8">
        <v>1.0001180555555556</v>
      </c>
      <c r="U3345" s="98">
        <v>4.2306796015936454</v>
      </c>
      <c r="V3345" s="106">
        <v>34575.905068872118</v>
      </c>
      <c r="W3345" s="10">
        <v>1.1163696190935823</v>
      </c>
      <c r="X3345" s="420"/>
      <c r="Y3345" s="420"/>
      <c r="Z3345" s="1"/>
      <c r="AA3345" s="1"/>
      <c r="AB3345" s="1"/>
      <c r="AC3345" s="1"/>
      <c r="AD3345" s="1"/>
    </row>
    <row r="3346" spans="17:30">
      <c r="Q3346" s="6">
        <v>3316</v>
      </c>
      <c r="R3346" s="7">
        <v>45983</v>
      </c>
      <c r="S3346" s="210">
        <v>4.25</v>
      </c>
      <c r="T3346" s="8">
        <v>1.0001180555555556</v>
      </c>
      <c r="U3346" s="98">
        <v>4.2307315096323572</v>
      </c>
      <c r="V3346" s="106">
        <v>34578.782918388373</v>
      </c>
      <c r="W3346" s="10">
        <v>1.1164186277128785</v>
      </c>
      <c r="X3346" s="420"/>
      <c r="Y3346" s="420"/>
      <c r="Z3346" s="1"/>
      <c r="AA3346" s="1"/>
      <c r="AB3346" s="1"/>
      <c r="AC3346" s="1"/>
      <c r="AD3346" s="1"/>
    </row>
    <row r="3347" spans="17:30">
      <c r="Q3347" s="6">
        <v>3317</v>
      </c>
      <c r="R3347" s="7">
        <v>45984</v>
      </c>
      <c r="S3347" s="210">
        <v>4.25</v>
      </c>
      <c r="T3347" s="8">
        <v>1.0001180555555556</v>
      </c>
      <c r="U3347" s="98">
        <v>4.2307833863987065</v>
      </c>
      <c r="V3347" s="106">
        <v>34581.661007436109</v>
      </c>
      <c r="W3347" s="10">
        <v>1.1164676068059265</v>
      </c>
      <c r="X3347" s="420"/>
      <c r="Y3347" s="420"/>
      <c r="Z3347" s="1"/>
      <c r="AA3347" s="1"/>
      <c r="AB3347" s="1"/>
      <c r="AC3347" s="1"/>
      <c r="AD3347" s="1"/>
    </row>
    <row r="3348" spans="17:30">
      <c r="Q3348" s="6">
        <v>3318</v>
      </c>
      <c r="R3348" s="7">
        <v>45985</v>
      </c>
      <c r="S3348" s="210">
        <v>4.25</v>
      </c>
      <c r="T3348" s="8">
        <v>1.0001180555555556</v>
      </c>
      <c r="U3348" s="98">
        <v>4.2308352319209597</v>
      </c>
      <c r="V3348" s="106">
        <v>34584.539336035268</v>
      </c>
      <c r="W3348" s="10">
        <v>1.1165165563994384</v>
      </c>
      <c r="X3348" s="420"/>
      <c r="Y3348" s="420"/>
      <c r="Z3348" s="1"/>
      <c r="AA3348" s="1"/>
      <c r="AB3348" s="1"/>
      <c r="AC3348" s="1"/>
      <c r="AD3348" s="1"/>
    </row>
    <row r="3349" spans="17:30">
      <c r="Q3349" s="6">
        <v>3319</v>
      </c>
      <c r="R3349" s="7">
        <v>45986</v>
      </c>
      <c r="S3349" s="210">
        <v>4.25</v>
      </c>
      <c r="T3349" s="8">
        <v>1.0001180555555556</v>
      </c>
      <c r="U3349" s="98">
        <v>4.2308870462273163</v>
      </c>
      <c r="V3349" s="106">
        <v>34587.41790420578</v>
      </c>
      <c r="W3349" s="10">
        <v>1.116565476520015</v>
      </c>
      <c r="X3349" s="420"/>
      <c r="Y3349" s="420"/>
      <c r="Z3349" s="1"/>
      <c r="AA3349" s="1"/>
      <c r="AB3349" s="1"/>
      <c r="AC3349" s="1"/>
      <c r="AD3349" s="1"/>
    </row>
    <row r="3350" spans="17:30">
      <c r="Q3350" s="6">
        <v>3320</v>
      </c>
      <c r="R3350" s="7">
        <v>45987</v>
      </c>
      <c r="S3350" s="210">
        <v>4.25</v>
      </c>
      <c r="T3350" s="8">
        <v>1.0001180555555556</v>
      </c>
      <c r="U3350" s="98">
        <v>4.230938829345976</v>
      </c>
      <c r="V3350" s="106">
        <v>34590.296711967596</v>
      </c>
      <c r="W3350" s="10">
        <v>1.1166143671942796</v>
      </c>
      <c r="X3350" s="420"/>
      <c r="Y3350" s="420"/>
      <c r="Z3350" s="1"/>
      <c r="AA3350" s="1"/>
      <c r="AB3350" s="1"/>
      <c r="AC3350" s="1"/>
      <c r="AD3350" s="1"/>
    </row>
    <row r="3351" spans="17:30">
      <c r="Q3351" s="6">
        <v>3321</v>
      </c>
      <c r="R3351" s="7">
        <v>45988</v>
      </c>
      <c r="S3351" s="210">
        <v>4.25</v>
      </c>
      <c r="T3351" s="8">
        <v>1.0001180555555556</v>
      </c>
      <c r="U3351" s="98">
        <v>4.2309905813050941</v>
      </c>
      <c r="V3351" s="106">
        <v>34593.175759340651</v>
      </c>
      <c r="W3351" s="10">
        <v>1.1166632284488553</v>
      </c>
      <c r="X3351" s="420"/>
      <c r="Y3351" s="420"/>
      <c r="Z3351" s="1"/>
      <c r="AA3351" s="1"/>
      <c r="AB3351" s="1"/>
      <c r="AC3351" s="1"/>
      <c r="AD3351" s="1"/>
    </row>
    <row r="3352" spans="17:30">
      <c r="Q3352" s="6">
        <v>3322</v>
      </c>
      <c r="R3352" s="7">
        <v>45989</v>
      </c>
      <c r="S3352" s="210">
        <v>4.25</v>
      </c>
      <c r="T3352" s="8">
        <v>1.0001180555555556</v>
      </c>
      <c r="U3352" s="98">
        <v>4.2310423021327592</v>
      </c>
      <c r="V3352" s="106">
        <v>34596.055046344896</v>
      </c>
      <c r="W3352" s="10">
        <v>1.1167120603102099</v>
      </c>
      <c r="X3352" s="420"/>
      <c r="Y3352" s="420"/>
      <c r="Z3352" s="1"/>
      <c r="AA3352" s="1"/>
      <c r="AB3352" s="1"/>
      <c r="AC3352" s="1"/>
      <c r="AD3352" s="1"/>
    </row>
    <row r="3353" spans="17:30">
      <c r="Q3353" s="6">
        <v>3323</v>
      </c>
      <c r="R3353" s="7">
        <v>45990</v>
      </c>
      <c r="S3353" s="210">
        <v>4.25</v>
      </c>
      <c r="T3353" s="8">
        <v>1.0001180555555556</v>
      </c>
      <c r="U3353" s="98">
        <v>4.2310939918570822</v>
      </c>
      <c r="V3353" s="106">
        <v>34598.934573000268</v>
      </c>
      <c r="W3353" s="10">
        <v>1.1167608628049219</v>
      </c>
      <c r="X3353" s="420"/>
      <c r="Y3353" s="420"/>
      <c r="Z3353" s="1"/>
      <c r="AA3353" s="1"/>
      <c r="AB3353" s="1"/>
      <c r="AC3353" s="1"/>
      <c r="AD3353" s="1"/>
    </row>
    <row r="3354" spans="17:30">
      <c r="Q3354" s="6">
        <v>3324</v>
      </c>
      <c r="R3354" s="7">
        <v>45991</v>
      </c>
      <c r="S3354" s="210">
        <v>4.25</v>
      </c>
      <c r="T3354" s="8">
        <v>1.0001180555555556</v>
      </c>
      <c r="U3354" s="98">
        <v>4.2311456505060852</v>
      </c>
      <c r="V3354" s="106">
        <v>34601.814339326716</v>
      </c>
      <c r="W3354" s="10">
        <v>1.1168096359594371</v>
      </c>
      <c r="X3354" s="420"/>
      <c r="Y3354" s="420"/>
      <c r="Z3354" s="1"/>
      <c r="AA3354" s="1"/>
      <c r="AB3354" s="1"/>
      <c r="AC3354" s="1"/>
      <c r="AD3354" s="1"/>
    </row>
    <row r="3355" spans="17:30">
      <c r="Q3355" s="6">
        <v>3325</v>
      </c>
      <c r="R3355" s="7">
        <v>45992</v>
      </c>
      <c r="S3355" s="210">
        <v>4.25</v>
      </c>
      <c r="T3355" s="8">
        <v>1.0001180555555556</v>
      </c>
      <c r="U3355" s="98">
        <v>4.23119727810779</v>
      </c>
      <c r="V3355" s="106">
        <v>34604.694345344185</v>
      </c>
      <c r="W3355" s="10">
        <v>1.116858379800223</v>
      </c>
      <c r="X3355" s="420"/>
      <c r="Y3355" s="420"/>
      <c r="Z3355" s="1"/>
      <c r="AA3355" s="1"/>
      <c r="AB3355" s="1"/>
      <c r="AC3355" s="1"/>
      <c r="AD3355" s="1"/>
    </row>
    <row r="3356" spans="17:30">
      <c r="Q3356" s="6">
        <v>3326</v>
      </c>
      <c r="R3356" s="7">
        <v>45993</v>
      </c>
      <c r="S3356" s="210">
        <v>4.25</v>
      </c>
      <c r="T3356" s="8">
        <v>1.0001180555555556</v>
      </c>
      <c r="U3356" s="98">
        <v>4.2312488746901966</v>
      </c>
      <c r="V3356" s="106">
        <v>34607.574591072633</v>
      </c>
      <c r="W3356" s="10">
        <v>1.1169070943537029</v>
      </c>
      <c r="X3356" s="420"/>
      <c r="Y3356" s="420"/>
      <c r="Z3356" s="1"/>
      <c r="AA3356" s="1"/>
      <c r="AB3356" s="1"/>
      <c r="AC3356" s="1"/>
      <c r="AD3356" s="1"/>
    </row>
    <row r="3357" spans="17:30">
      <c r="Q3357" s="6">
        <v>3327</v>
      </c>
      <c r="R3357" s="7">
        <v>45994</v>
      </c>
      <c r="S3357" s="210">
        <v>4.25</v>
      </c>
      <c r="T3357" s="8">
        <v>1.0001180555555556</v>
      </c>
      <c r="U3357" s="98">
        <v>4.2313004402812382</v>
      </c>
      <c r="V3357" s="106">
        <v>34610.455076532009</v>
      </c>
      <c r="W3357" s="10">
        <v>1.1169557796462559</v>
      </c>
      <c r="X3357" s="420"/>
      <c r="Y3357" s="420"/>
      <c r="Z3357" s="1"/>
      <c r="AA3357" s="1"/>
      <c r="AB3357" s="1"/>
      <c r="AC3357" s="1"/>
      <c r="AD3357" s="1"/>
    </row>
    <row r="3358" spans="17:30">
      <c r="Q3358" s="6">
        <v>3328</v>
      </c>
      <c r="R3358" s="7">
        <v>45995</v>
      </c>
      <c r="S3358" s="210">
        <v>4.25</v>
      </c>
      <c r="T3358" s="8">
        <v>1.0001180555555556</v>
      </c>
      <c r="U3358" s="98">
        <v>4.2313519749088258</v>
      </c>
      <c r="V3358" s="106">
        <v>34613.335801742265</v>
      </c>
      <c r="W3358" s="10">
        <v>1.1170044357042386</v>
      </c>
      <c r="X3358" s="420"/>
      <c r="Y3358" s="420"/>
      <c r="Z3358" s="1"/>
      <c r="AA3358" s="1"/>
      <c r="AB3358" s="1"/>
      <c r="AC3358" s="1"/>
      <c r="AD3358" s="1"/>
    </row>
    <row r="3359" spans="17:30">
      <c r="Q3359" s="6">
        <v>3329</v>
      </c>
      <c r="R3359" s="7">
        <v>45996</v>
      </c>
      <c r="S3359" s="210">
        <v>4.25</v>
      </c>
      <c r="T3359" s="8">
        <v>1.0001180555555556</v>
      </c>
      <c r="U3359" s="98">
        <v>4.2314034786008481</v>
      </c>
      <c r="V3359" s="106">
        <v>34616.216766723352</v>
      </c>
      <c r="W3359" s="10">
        <v>1.1170530625539854</v>
      </c>
      <c r="X3359" s="420"/>
      <c r="Y3359" s="420"/>
      <c r="Z3359" s="1"/>
      <c r="AA3359" s="1"/>
      <c r="AB3359" s="1"/>
      <c r="AC3359" s="1"/>
      <c r="AD3359" s="1"/>
    </row>
    <row r="3360" spans="17:30">
      <c r="Q3360" s="6">
        <v>3330</v>
      </c>
      <c r="R3360" s="7">
        <v>45997</v>
      </c>
      <c r="S3360" s="210">
        <v>4.25</v>
      </c>
      <c r="T3360" s="8">
        <v>1.0001180555555556</v>
      </c>
      <c r="U3360" s="98">
        <v>4.2314549513851496</v>
      </c>
      <c r="V3360" s="106">
        <v>34619.097971495241</v>
      </c>
      <c r="W3360" s="10">
        <v>1.1171016602217643</v>
      </c>
      <c r="X3360" s="420"/>
      <c r="Y3360" s="420"/>
      <c r="Z3360" s="1"/>
      <c r="AA3360" s="1"/>
      <c r="AB3360" s="1"/>
      <c r="AC3360" s="1"/>
      <c r="AD3360" s="1"/>
    </row>
    <row r="3361" spans="17:30">
      <c r="Q3361" s="6">
        <v>3331</v>
      </c>
      <c r="R3361" s="7">
        <v>45998</v>
      </c>
      <c r="S3361" s="210">
        <v>4.25</v>
      </c>
      <c r="T3361" s="8">
        <v>1.0001180555555556</v>
      </c>
      <c r="U3361" s="98">
        <v>4.2315063932895525</v>
      </c>
      <c r="V3361" s="106">
        <v>34621.979416077869</v>
      </c>
      <c r="W3361" s="10">
        <v>1.1171502287338653</v>
      </c>
      <c r="X3361" s="420"/>
      <c r="Y3361" s="420"/>
      <c r="Z3361" s="1"/>
      <c r="AA3361" s="1"/>
      <c r="AB3361" s="1"/>
      <c r="AC3361" s="1"/>
      <c r="AD3361" s="1"/>
    </row>
    <row r="3362" spans="17:30">
      <c r="Q3362" s="6">
        <v>3332</v>
      </c>
      <c r="R3362" s="7">
        <v>45999</v>
      </c>
      <c r="S3362" s="210">
        <v>4.25</v>
      </c>
      <c r="T3362" s="8">
        <v>1.0001180555555556</v>
      </c>
      <c r="U3362" s="98">
        <v>4.2315578043418123</v>
      </c>
      <c r="V3362" s="106">
        <v>34624.861100491224</v>
      </c>
      <c r="W3362" s="10">
        <v>1.1171987681165119</v>
      </c>
      <c r="X3362" s="420"/>
      <c r="Y3362" s="420"/>
      <c r="Z3362" s="1"/>
      <c r="AA3362" s="1"/>
      <c r="AB3362" s="1"/>
      <c r="AC3362" s="1"/>
      <c r="AD3362" s="1"/>
    </row>
    <row r="3363" spans="17:30">
      <c r="Q3363" s="6">
        <v>3333</v>
      </c>
      <c r="R3363" s="7">
        <v>46000</v>
      </c>
      <c r="S3363" s="210">
        <v>4.25</v>
      </c>
      <c r="T3363" s="8">
        <v>1.0001180555555556</v>
      </c>
      <c r="U3363" s="98">
        <v>4.2316091845697068</v>
      </c>
      <c r="V3363" s="106">
        <v>34627.74302475524</v>
      </c>
      <c r="W3363" s="10">
        <v>1.1172472783958831</v>
      </c>
      <c r="X3363" s="420"/>
      <c r="Y3363" s="420"/>
      <c r="Z3363" s="1"/>
      <c r="AA3363" s="1"/>
      <c r="AB3363" s="1"/>
      <c r="AC3363" s="1"/>
      <c r="AD3363" s="1"/>
    </row>
    <row r="3364" spans="17:30">
      <c r="Q3364" s="6">
        <v>3334</v>
      </c>
      <c r="R3364" s="7">
        <v>46001</v>
      </c>
      <c r="S3364" s="210">
        <v>4.25</v>
      </c>
      <c r="T3364" s="8">
        <v>1.0001180555555556</v>
      </c>
      <c r="U3364" s="98">
        <v>4.231660534000925</v>
      </c>
      <c r="V3364" s="106">
        <v>34630.625188889899</v>
      </c>
      <c r="W3364" s="10">
        <v>1.1172957595981581</v>
      </c>
      <c r="X3364" s="420"/>
      <c r="Y3364" s="420"/>
      <c r="Z3364" s="1"/>
      <c r="AA3364" s="1"/>
      <c r="AB3364" s="1"/>
      <c r="AC3364" s="1"/>
      <c r="AD3364" s="1"/>
    </row>
    <row r="3365" spans="17:30">
      <c r="Q3365" s="6">
        <v>3335</v>
      </c>
      <c r="R3365" s="7">
        <v>46002</v>
      </c>
      <c r="S3365" s="210">
        <v>4.25</v>
      </c>
      <c r="T3365" s="8">
        <v>1.0001180555555556</v>
      </c>
      <c r="U3365" s="98">
        <v>4.2317118526631559</v>
      </c>
      <c r="V3365" s="106">
        <v>34633.50759291515</v>
      </c>
      <c r="W3365" s="10">
        <v>1.1173442117494936</v>
      </c>
      <c r="X3365" s="420"/>
      <c r="Y3365" s="420"/>
      <c r="Z3365" s="1"/>
      <c r="AA3365" s="1"/>
      <c r="AB3365" s="1"/>
      <c r="AC3365" s="1"/>
      <c r="AD3365" s="1"/>
    </row>
    <row r="3366" spans="17:30">
      <c r="Q3366" s="6">
        <v>3336</v>
      </c>
      <c r="R3366" s="7">
        <v>46003</v>
      </c>
      <c r="S3366" s="210">
        <v>4.25</v>
      </c>
      <c r="T3366" s="8">
        <v>1.0001180555555556</v>
      </c>
      <c r="U3366" s="98">
        <v>4.2317631405840439</v>
      </c>
      <c r="V3366" s="106">
        <v>34636.390236850973</v>
      </c>
      <c r="W3366" s="10">
        <v>1.1173926348759577</v>
      </c>
      <c r="X3366" s="420"/>
      <c r="Y3366" s="420"/>
      <c r="Z3366" s="1"/>
      <c r="AA3366" s="1"/>
      <c r="AB3366" s="1"/>
      <c r="AC3366" s="1"/>
      <c r="AD3366" s="1"/>
    </row>
    <row r="3367" spans="17:30">
      <c r="Q3367" s="6">
        <v>3337</v>
      </c>
      <c r="R3367" s="7">
        <v>46004</v>
      </c>
      <c r="S3367" s="210">
        <v>4.25</v>
      </c>
      <c r="T3367" s="8">
        <v>1.0001180555555556</v>
      </c>
      <c r="U3367" s="98">
        <v>4.2318143977912115</v>
      </c>
      <c r="V3367" s="106">
        <v>34639.273120717335</v>
      </c>
      <c r="W3367" s="10">
        <v>1.1174410290036407</v>
      </c>
      <c r="X3367" s="420"/>
      <c r="Y3367" s="420"/>
      <c r="Z3367" s="1"/>
      <c r="AA3367" s="1"/>
      <c r="AB3367" s="1"/>
      <c r="AC3367" s="1"/>
      <c r="AD3367" s="1"/>
    </row>
    <row r="3368" spans="17:30">
      <c r="Q3368" s="6">
        <v>3338</v>
      </c>
      <c r="R3368" s="7">
        <v>46005</v>
      </c>
      <c r="S3368" s="210">
        <v>4.25</v>
      </c>
      <c r="T3368" s="8">
        <v>1.0001180555555556</v>
      </c>
      <c r="U3368" s="98">
        <v>4.2318656243122366</v>
      </c>
      <c r="V3368" s="106">
        <v>34642.156244534206</v>
      </c>
      <c r="W3368" s="10">
        <v>1.1174893941585662</v>
      </c>
      <c r="X3368" s="420"/>
      <c r="Y3368" s="420"/>
      <c r="Z3368" s="1"/>
      <c r="AA3368" s="1"/>
      <c r="AB3368" s="1"/>
      <c r="AC3368" s="1"/>
      <c r="AD3368" s="1"/>
    </row>
    <row r="3369" spans="17:30">
      <c r="Q3369" s="6">
        <v>3339</v>
      </c>
      <c r="R3369" s="7">
        <v>46006</v>
      </c>
      <c r="S3369" s="210">
        <v>4.25</v>
      </c>
      <c r="T3369" s="8">
        <v>1.0001180555555556</v>
      </c>
      <c r="U3369" s="98">
        <v>4.2319168201746526</v>
      </c>
      <c r="V3369" s="106">
        <v>34645.039608321546</v>
      </c>
      <c r="W3369" s="10">
        <v>1.1175377303667577</v>
      </c>
      <c r="X3369" s="420"/>
      <c r="Y3369" s="420"/>
      <c r="Z3369" s="1"/>
      <c r="AA3369" s="1"/>
      <c r="AB3369" s="1"/>
      <c r="AC3369" s="1"/>
      <c r="AD3369" s="1"/>
    </row>
    <row r="3370" spans="17:30">
      <c r="Q3370" s="6">
        <v>3340</v>
      </c>
      <c r="R3370" s="7">
        <v>46007</v>
      </c>
      <c r="S3370" s="210">
        <v>4.25</v>
      </c>
      <c r="T3370" s="8">
        <v>1.0001180555555556</v>
      </c>
      <c r="U3370" s="98">
        <v>4.2319679854059933</v>
      </c>
      <c r="V3370" s="106">
        <v>34647.923212099347</v>
      </c>
      <c r="W3370" s="10">
        <v>1.1175860376542168</v>
      </c>
      <c r="X3370" s="420"/>
      <c r="Y3370" s="420"/>
      <c r="Z3370" s="1"/>
      <c r="AA3370" s="1"/>
      <c r="AB3370" s="1"/>
      <c r="AC3370" s="1"/>
      <c r="AD3370" s="1"/>
    </row>
    <row r="3371" spans="17:30">
      <c r="Q3371" s="6">
        <v>3341</v>
      </c>
      <c r="R3371" s="7">
        <v>46008</v>
      </c>
      <c r="S3371" s="210">
        <v>4.25</v>
      </c>
      <c r="T3371" s="8">
        <v>1.0001180555555556</v>
      </c>
      <c r="U3371" s="98">
        <v>4.2320191200337254</v>
      </c>
      <c r="V3371" s="106">
        <v>34650.80705588757</v>
      </c>
      <c r="W3371" s="10">
        <v>1.117634316046856</v>
      </c>
      <c r="X3371" s="420"/>
      <c r="Y3371" s="420"/>
      <c r="Z3371" s="1"/>
      <c r="AA3371" s="1"/>
      <c r="AB3371" s="1"/>
      <c r="AC3371" s="1"/>
      <c r="AD3371" s="1"/>
    </row>
    <row r="3372" spans="17:30">
      <c r="Q3372" s="6">
        <v>3342</v>
      </c>
      <c r="R3372" s="7">
        <v>46009</v>
      </c>
      <c r="S3372" s="210">
        <v>4.25</v>
      </c>
      <c r="T3372" s="8">
        <v>1.0001180555555556</v>
      </c>
      <c r="U3372" s="98">
        <v>4.2320702240853159</v>
      </c>
      <c r="V3372" s="106">
        <v>34653.691139706192</v>
      </c>
      <c r="W3372" s="10">
        <v>1.1176825655706102</v>
      </c>
      <c r="X3372" s="420"/>
      <c r="Y3372" s="420"/>
      <c r="Z3372" s="1"/>
      <c r="AA3372" s="1"/>
      <c r="AB3372" s="1"/>
      <c r="AC3372" s="1"/>
      <c r="AD3372" s="1"/>
    </row>
    <row r="3373" spans="17:30">
      <c r="Q3373" s="6">
        <v>3343</v>
      </c>
      <c r="R3373" s="7">
        <v>46010</v>
      </c>
      <c r="S3373" s="210">
        <v>4.25</v>
      </c>
      <c r="T3373" s="8">
        <v>1.0001180555555556</v>
      </c>
      <c r="U3373" s="98">
        <v>4.232121297588165</v>
      </c>
      <c r="V3373" s="106">
        <v>34656.575463575209</v>
      </c>
      <c r="W3373" s="10">
        <v>1.1177307862513697</v>
      </c>
      <c r="X3373" s="420"/>
      <c r="Y3373" s="420"/>
      <c r="Z3373" s="1"/>
      <c r="AA3373" s="1"/>
      <c r="AB3373" s="1"/>
      <c r="AC3373" s="1"/>
      <c r="AD3373" s="1"/>
    </row>
    <row r="3374" spans="17:30">
      <c r="Q3374" s="6">
        <v>3344</v>
      </c>
      <c r="R3374" s="7">
        <v>46011</v>
      </c>
      <c r="S3374" s="210">
        <v>4.25</v>
      </c>
      <c r="T3374" s="8">
        <v>1.0001180555555556</v>
      </c>
      <c r="U3374" s="98">
        <v>4.2321723405696732</v>
      </c>
      <c r="V3374" s="106">
        <v>34659.460027514579</v>
      </c>
      <c r="W3374" s="10">
        <v>1.1177789781149805</v>
      </c>
      <c r="X3374" s="420"/>
      <c r="Y3374" s="420"/>
      <c r="Z3374" s="1"/>
      <c r="AA3374" s="1"/>
      <c r="AB3374" s="1"/>
      <c r="AC3374" s="1"/>
      <c r="AD3374" s="1"/>
    </row>
    <row r="3375" spans="17:30">
      <c r="Q3375" s="6">
        <v>3345</v>
      </c>
      <c r="R3375" s="7">
        <v>46012</v>
      </c>
      <c r="S3375" s="210">
        <v>4.25</v>
      </c>
      <c r="T3375" s="8">
        <v>1.0001180555555556</v>
      </c>
      <c r="U3375" s="98">
        <v>4.232223353057174</v>
      </c>
      <c r="V3375" s="106">
        <v>34662.344831544295</v>
      </c>
      <c r="W3375" s="10">
        <v>1.1178271411872664</v>
      </c>
      <c r="X3375" s="420"/>
      <c r="Y3375" s="420"/>
      <c r="Z3375" s="1"/>
      <c r="AA3375" s="1"/>
      <c r="AB3375" s="1"/>
      <c r="AC3375" s="1"/>
      <c r="AD3375" s="1"/>
    </row>
    <row r="3376" spans="17:30">
      <c r="Q3376" s="6">
        <v>3346</v>
      </c>
      <c r="R3376" s="7">
        <v>46013</v>
      </c>
      <c r="S3376" s="210">
        <v>4.25</v>
      </c>
      <c r="T3376" s="8">
        <v>1.0001180555555556</v>
      </c>
      <c r="U3376" s="98">
        <v>4.2322743350780012</v>
      </c>
      <c r="V3376" s="106">
        <v>34665.229875684345</v>
      </c>
      <c r="W3376" s="10">
        <v>1.1178752754940291</v>
      </c>
      <c r="X3376" s="420"/>
      <c r="Y3376" s="420"/>
      <c r="Z3376" s="1"/>
      <c r="AA3376" s="1"/>
      <c r="AB3376" s="1"/>
      <c r="AC3376" s="1"/>
      <c r="AD3376" s="1"/>
    </row>
    <row r="3377" spans="17:30">
      <c r="Q3377" s="6">
        <v>3347</v>
      </c>
      <c r="R3377" s="7">
        <v>46014</v>
      </c>
      <c r="S3377" s="210">
        <v>4.25</v>
      </c>
      <c r="T3377" s="8">
        <v>1.0001180555555556</v>
      </c>
      <c r="U3377" s="98">
        <v>4.2323252866594441</v>
      </c>
      <c r="V3377" s="106">
        <v>34668.115159954701</v>
      </c>
      <c r="W3377" s="10">
        <v>1.1179233810610478</v>
      </c>
      <c r="X3377" s="420"/>
      <c r="Y3377" s="420"/>
      <c r="Z3377" s="1"/>
      <c r="AA3377" s="1"/>
      <c r="AB3377" s="1"/>
      <c r="AC3377" s="1"/>
      <c r="AD3377" s="1"/>
    </row>
    <row r="3378" spans="17:30">
      <c r="Q3378" s="6">
        <v>3348</v>
      </c>
      <c r="R3378" s="7">
        <v>46015</v>
      </c>
      <c r="S3378" s="210">
        <v>4.25</v>
      </c>
      <c r="T3378" s="8">
        <v>1.0001180555555556</v>
      </c>
      <c r="U3378" s="98">
        <v>4.2323762078287475</v>
      </c>
      <c r="V3378" s="106">
        <v>34671.000684375351</v>
      </c>
      <c r="W3378" s="10">
        <v>1.1179714579140354</v>
      </c>
      <c r="X3378" s="420"/>
      <c r="Y3378" s="420"/>
      <c r="Z3378" s="1"/>
      <c r="AA3378" s="1"/>
      <c r="AB3378" s="1"/>
      <c r="AC3378" s="1"/>
      <c r="AD3378" s="1"/>
    </row>
    <row r="3379" spans="17:30">
      <c r="Q3379" s="6">
        <v>3349</v>
      </c>
      <c r="R3379" s="7">
        <v>46016</v>
      </c>
      <c r="S3379" s="210">
        <v>4.25</v>
      </c>
      <c r="T3379" s="8">
        <v>1.0001180555555556</v>
      </c>
      <c r="U3379" s="98">
        <v>4.2324270986131118</v>
      </c>
      <c r="V3379" s="106">
        <v>34673.886448966296</v>
      </c>
      <c r="W3379" s="10">
        <v>1.1180195060786602</v>
      </c>
      <c r="X3379" s="420"/>
      <c r="Y3379" s="420"/>
      <c r="Z3379" s="1"/>
      <c r="AA3379" s="1"/>
      <c r="AB3379" s="1"/>
      <c r="AC3379" s="1"/>
      <c r="AD3379" s="1"/>
    </row>
    <row r="3380" spans="17:30">
      <c r="Q3380" s="6">
        <v>3350</v>
      </c>
      <c r="R3380" s="7">
        <v>46017</v>
      </c>
      <c r="S3380" s="210">
        <v>4.25</v>
      </c>
      <c r="T3380" s="8">
        <v>1.0001180555555556</v>
      </c>
      <c r="U3380" s="98">
        <v>4.2324779590397599</v>
      </c>
      <c r="V3380" s="106">
        <v>34676.772453747515</v>
      </c>
      <c r="W3380" s="10">
        <v>1.1180675255806349</v>
      </c>
      <c r="X3380" s="420"/>
      <c r="Y3380" s="420"/>
      <c r="Z3380" s="1"/>
      <c r="AA3380" s="1"/>
      <c r="AB3380" s="1"/>
      <c r="AC3380" s="1"/>
      <c r="AD3380" s="1"/>
    </row>
    <row r="3381" spans="17:30">
      <c r="Q3381" s="6">
        <v>3351</v>
      </c>
      <c r="R3381" s="7">
        <v>46018</v>
      </c>
      <c r="S3381" s="210">
        <v>4.25</v>
      </c>
      <c r="T3381" s="8">
        <v>1.0001180555555556</v>
      </c>
      <c r="U3381" s="98">
        <v>4.2325287891358254</v>
      </c>
      <c r="V3381" s="106">
        <v>34679.658698739004</v>
      </c>
      <c r="W3381" s="10">
        <v>1.1181155164456058</v>
      </c>
      <c r="X3381" s="420"/>
      <c r="Y3381" s="420"/>
      <c r="Z3381" s="1"/>
      <c r="AA3381" s="1"/>
      <c r="AB3381" s="1"/>
      <c r="AC3381" s="1"/>
      <c r="AD3381" s="1"/>
    </row>
    <row r="3382" spans="17:30">
      <c r="Q3382" s="6">
        <v>3352</v>
      </c>
      <c r="R3382" s="7">
        <v>46019</v>
      </c>
      <c r="S3382" s="210">
        <v>4.25</v>
      </c>
      <c r="T3382" s="8">
        <v>1.0001180555555556</v>
      </c>
      <c r="U3382" s="98">
        <v>4.2325795889284423</v>
      </c>
      <c r="V3382" s="106">
        <v>34682.545183960756</v>
      </c>
      <c r="W3382" s="10">
        <v>1.1181634786991523</v>
      </c>
      <c r="X3382" s="420"/>
      <c r="Y3382" s="420"/>
      <c r="Z3382" s="1"/>
      <c r="AA3382" s="1"/>
      <c r="AB3382" s="1"/>
      <c r="AC3382" s="1"/>
      <c r="AD3382" s="1"/>
    </row>
    <row r="3383" spans="17:30">
      <c r="Q3383" s="6">
        <v>3353</v>
      </c>
      <c r="R3383" s="7">
        <v>46020</v>
      </c>
      <c r="S3383" s="210">
        <v>4.25</v>
      </c>
      <c r="T3383" s="8">
        <v>1.0001180555555556</v>
      </c>
      <c r="U3383" s="98">
        <v>4.2326303584446778</v>
      </c>
      <c r="V3383" s="106">
        <v>34685.431909432766</v>
      </c>
      <c r="W3383" s="10">
        <v>1.1182114123668541</v>
      </c>
      <c r="X3383" s="420"/>
      <c r="Y3383" s="420"/>
      <c r="Z3383" s="1"/>
      <c r="AA3383" s="1"/>
      <c r="AB3383" s="1"/>
      <c r="AC3383" s="1"/>
      <c r="AD3383" s="1"/>
    </row>
    <row r="3384" spans="17:30">
      <c r="Q3384" s="6">
        <v>3354</v>
      </c>
      <c r="R3384" s="7">
        <v>46021</v>
      </c>
      <c r="S3384" s="210">
        <v>4.25</v>
      </c>
      <c r="T3384" s="8">
        <v>1.0001180555555556</v>
      </c>
      <c r="U3384" s="98">
        <v>4.2326810977116214</v>
      </c>
      <c r="V3384" s="106">
        <v>34688.318875175028</v>
      </c>
      <c r="W3384" s="10">
        <v>1.1182593174742905</v>
      </c>
      <c r="X3384" s="420"/>
      <c r="Y3384" s="420"/>
      <c r="Z3384" s="1"/>
      <c r="AA3384" s="1"/>
      <c r="AB3384" s="1"/>
      <c r="AC3384" s="1"/>
      <c r="AD3384" s="1"/>
    </row>
    <row r="3385" spans="17:30">
      <c r="Q3385" s="6">
        <v>3355</v>
      </c>
      <c r="R3385" s="7">
        <v>46022</v>
      </c>
      <c r="S3385" s="210">
        <v>4.25</v>
      </c>
      <c r="T3385" s="8">
        <v>1.0001180555555556</v>
      </c>
      <c r="U3385" s="98">
        <v>4.2327318067562736</v>
      </c>
      <c r="V3385" s="106">
        <v>34691.206081207543</v>
      </c>
      <c r="W3385" s="10">
        <v>1.1183071940469524</v>
      </c>
      <c r="X3385" s="420"/>
      <c r="Y3385" s="420"/>
      <c r="Z3385" s="1"/>
      <c r="AA3385" s="1"/>
      <c r="AB3385" s="1"/>
      <c r="AC3385" s="1"/>
      <c r="AD3385" s="1"/>
    </row>
    <row r="3386" spans="17:30">
      <c r="Q3386" s="6">
        <v>3356</v>
      </c>
      <c r="R3386" s="7">
        <v>46023</v>
      </c>
      <c r="S3386" s="210">
        <v>4.25</v>
      </c>
      <c r="T3386" s="8">
        <v>1.0001180555555556</v>
      </c>
      <c r="U3386" s="98">
        <v>4.2327824856056573</v>
      </c>
      <c r="V3386" s="106">
        <v>34694.093527550314</v>
      </c>
      <c r="W3386" s="10">
        <v>1.1183550421103305</v>
      </c>
      <c r="X3386" s="420"/>
      <c r="Y3386" s="420"/>
      <c r="Z3386" s="1"/>
      <c r="AA3386" s="1"/>
      <c r="AB3386" s="1"/>
      <c r="AC3386" s="1"/>
      <c r="AD3386" s="1"/>
    </row>
    <row r="3387" spans="17:30">
      <c r="Q3387" s="6">
        <v>3357</v>
      </c>
      <c r="R3387" s="7">
        <v>46024</v>
      </c>
      <c r="S3387" s="210">
        <v>4.25</v>
      </c>
      <c r="T3387" s="8">
        <v>1.0001180555555556</v>
      </c>
      <c r="U3387" s="98">
        <v>4.2328331342867065</v>
      </c>
      <c r="V3387" s="106">
        <v>34696.981214223335</v>
      </c>
      <c r="W3387" s="10">
        <v>1.1184028616898933</v>
      </c>
      <c r="X3387" s="420"/>
      <c r="Y3387" s="420"/>
      <c r="Z3387" s="1"/>
      <c r="AA3387" s="1"/>
      <c r="AB3387" s="1"/>
      <c r="AC3387" s="1"/>
      <c r="AD3387" s="1"/>
    </row>
    <row r="3388" spans="17:30">
      <c r="Q3388" s="6">
        <v>3358</v>
      </c>
      <c r="R3388" s="7">
        <v>46025</v>
      </c>
      <c r="S3388" s="210">
        <v>4.25</v>
      </c>
      <c r="T3388" s="8">
        <v>1.0001180555555556</v>
      </c>
      <c r="U3388" s="98">
        <v>4.2328837528263774</v>
      </c>
      <c r="V3388" s="106">
        <v>34699.869141246614</v>
      </c>
      <c r="W3388" s="10">
        <v>1.1184506528110649</v>
      </c>
      <c r="X3388" s="420"/>
      <c r="Y3388" s="420"/>
      <c r="Z3388" s="1"/>
      <c r="AA3388" s="1"/>
      <c r="AB3388" s="1"/>
      <c r="AC3388" s="1"/>
      <c r="AD3388" s="1"/>
    </row>
    <row r="3389" spans="17:30">
      <c r="Q3389" s="6">
        <v>3359</v>
      </c>
      <c r="R3389" s="7">
        <v>46026</v>
      </c>
      <c r="S3389" s="210">
        <v>4.25</v>
      </c>
      <c r="T3389" s="8">
        <v>1.0001180555555556</v>
      </c>
      <c r="U3389" s="98">
        <v>4.2329343412515597</v>
      </c>
      <c r="V3389" s="106">
        <v>34702.757308640168</v>
      </c>
      <c r="W3389" s="10">
        <v>1.1184984154992472</v>
      </c>
      <c r="X3389" s="420"/>
      <c r="Y3389" s="420"/>
      <c r="Z3389" s="1"/>
      <c r="AA3389" s="1"/>
      <c r="AB3389" s="1"/>
      <c r="AC3389" s="1"/>
      <c r="AD3389" s="1"/>
    </row>
    <row r="3390" spans="17:30">
      <c r="Q3390" s="6">
        <v>3360</v>
      </c>
      <c r="R3390" s="7">
        <v>46027</v>
      </c>
      <c r="S3390" s="210">
        <v>4.25</v>
      </c>
      <c r="T3390" s="8">
        <v>1.0001180555555556</v>
      </c>
      <c r="U3390" s="98">
        <v>4.2329848995890984</v>
      </c>
      <c r="V3390" s="106">
        <v>34705.645716423976</v>
      </c>
      <c r="W3390" s="10">
        <v>1.1185461497797755</v>
      </c>
      <c r="X3390" s="420"/>
      <c r="Y3390" s="420"/>
      <c r="Z3390" s="1"/>
      <c r="AA3390" s="1"/>
      <c r="AB3390" s="1"/>
      <c r="AC3390" s="1"/>
      <c r="AD3390" s="1"/>
    </row>
    <row r="3391" spans="17:30">
      <c r="Q3391" s="6">
        <v>3361</v>
      </c>
      <c r="R3391" s="7">
        <v>46028</v>
      </c>
      <c r="S3391" s="210">
        <v>4.25</v>
      </c>
      <c r="T3391" s="8">
        <v>1.0001180555555556</v>
      </c>
      <c r="U3391" s="98">
        <v>4.2330354278658611</v>
      </c>
      <c r="V3391" s="106">
        <v>34708.53436461807</v>
      </c>
      <c r="W3391" s="10">
        <v>1.1185938556780295</v>
      </c>
      <c r="X3391" s="420"/>
      <c r="Y3391" s="420"/>
      <c r="Z3391" s="1"/>
      <c r="AA3391" s="1"/>
      <c r="AB3391" s="1"/>
      <c r="AC3391" s="1"/>
      <c r="AD3391" s="1"/>
    </row>
    <row r="3392" spans="17:30">
      <c r="Q3392" s="6">
        <v>3362</v>
      </c>
      <c r="R3392" s="7">
        <v>46029</v>
      </c>
      <c r="S3392" s="210">
        <v>4.25</v>
      </c>
      <c r="T3392" s="8">
        <v>1.0001180555555556</v>
      </c>
      <c r="U3392" s="98">
        <v>4.2330859261086262</v>
      </c>
      <c r="V3392" s="106">
        <v>34711.423253242443</v>
      </c>
      <c r="W3392" s="10">
        <v>1.1186415332192778</v>
      </c>
      <c r="X3392" s="420"/>
      <c r="Y3392" s="420"/>
      <c r="Z3392" s="1"/>
      <c r="AA3392" s="1"/>
      <c r="AB3392" s="1"/>
      <c r="AC3392" s="1"/>
      <c r="AD3392" s="1"/>
    </row>
    <row r="3393" spans="17:30">
      <c r="Q3393" s="6">
        <v>3363</v>
      </c>
      <c r="R3393" s="7">
        <v>46030</v>
      </c>
      <c r="S3393" s="210">
        <v>4.25</v>
      </c>
      <c r="T3393" s="8">
        <v>1.0001180555555556</v>
      </c>
      <c r="U3393" s="98">
        <v>4.2331363943441724</v>
      </c>
      <c r="V3393" s="106">
        <v>34714.312382317119</v>
      </c>
      <c r="W3393" s="10">
        <v>1.1186891824288336</v>
      </c>
      <c r="X3393" s="420"/>
      <c r="Y3393" s="420"/>
      <c r="Z3393" s="1"/>
      <c r="AA3393" s="1"/>
      <c r="AB3393" s="1"/>
      <c r="AC3393" s="1"/>
      <c r="AD3393" s="1"/>
    </row>
    <row r="3394" spans="17:30">
      <c r="Q3394" s="6">
        <v>3364</v>
      </c>
      <c r="R3394" s="7">
        <v>46031</v>
      </c>
      <c r="S3394" s="210">
        <v>4.25</v>
      </c>
      <c r="T3394" s="8">
        <v>1.0001180555555556</v>
      </c>
      <c r="U3394" s="98">
        <v>4.2331868325992339</v>
      </c>
      <c r="V3394" s="106">
        <v>34717.201751862121</v>
      </c>
      <c r="W3394" s="10">
        <v>1.118736803331899</v>
      </c>
      <c r="X3394" s="420"/>
      <c r="Y3394" s="420"/>
      <c r="Z3394" s="1"/>
      <c r="AA3394" s="1"/>
      <c r="AB3394" s="1"/>
      <c r="AC3394" s="1"/>
      <c r="AD3394" s="1"/>
    </row>
    <row r="3395" spans="17:30">
      <c r="Q3395" s="6">
        <v>3365</v>
      </c>
      <c r="R3395" s="7">
        <v>46032</v>
      </c>
      <c r="S3395" s="210">
        <v>4.25</v>
      </c>
      <c r="T3395" s="8">
        <v>1.0001180555555556</v>
      </c>
      <c r="U3395" s="98">
        <v>4.2332372409005226</v>
      </c>
      <c r="V3395" s="106">
        <v>34720.09136189743</v>
      </c>
      <c r="W3395" s="10">
        <v>1.1187843959537425</v>
      </c>
      <c r="X3395" s="420"/>
      <c r="Y3395" s="420"/>
      <c r="Z3395" s="1"/>
      <c r="AA3395" s="1"/>
      <c r="AB3395" s="1"/>
      <c r="AC3395" s="1"/>
      <c r="AD3395" s="1"/>
    </row>
    <row r="3396" spans="17:30">
      <c r="Q3396" s="6">
        <v>3366</v>
      </c>
      <c r="R3396" s="7">
        <v>46033</v>
      </c>
      <c r="S3396" s="210">
        <v>4.25</v>
      </c>
      <c r="T3396" s="8">
        <v>1.0001180555555556</v>
      </c>
      <c r="U3396" s="98">
        <v>4.233287619274706</v>
      </c>
      <c r="V3396" s="106">
        <v>34722.981212443097</v>
      </c>
      <c r="W3396" s="10">
        <v>1.1188319603194996</v>
      </c>
      <c r="X3396" s="420"/>
      <c r="Y3396" s="420"/>
      <c r="Z3396" s="1"/>
      <c r="AA3396" s="1"/>
      <c r="AB3396" s="1"/>
      <c r="AC3396" s="1"/>
      <c r="AD3396" s="1"/>
    </row>
    <row r="3397" spans="17:30">
      <c r="Q3397" s="6">
        <v>3367</v>
      </c>
      <c r="R3397" s="7">
        <v>46034</v>
      </c>
      <c r="S3397" s="210">
        <v>4.25</v>
      </c>
      <c r="T3397" s="8">
        <v>1.0001180555555556</v>
      </c>
      <c r="U3397" s="98">
        <v>4.2333379677484295</v>
      </c>
      <c r="V3397" s="106">
        <v>34725.871303519125</v>
      </c>
      <c r="W3397" s="10">
        <v>1.1188794964543503</v>
      </c>
      <c r="X3397" s="420"/>
      <c r="Y3397" s="420"/>
      <c r="Z3397" s="1"/>
      <c r="AA3397" s="1"/>
      <c r="AB3397" s="1"/>
      <c r="AC3397" s="1"/>
      <c r="AD3397" s="1"/>
    </row>
    <row r="3398" spans="17:30">
      <c r="Q3398" s="6">
        <v>3368</v>
      </c>
      <c r="R3398" s="7">
        <v>46035</v>
      </c>
      <c r="S3398" s="210">
        <v>4.25</v>
      </c>
      <c r="T3398" s="8">
        <v>1.0001180555555556</v>
      </c>
      <c r="U3398" s="98">
        <v>4.2333882863483163</v>
      </c>
      <c r="V3398" s="106">
        <v>34728.761635145536</v>
      </c>
      <c r="W3398" s="10">
        <v>1.1189270043834298</v>
      </c>
      <c r="X3398" s="420"/>
      <c r="Y3398" s="420"/>
      <c r="Z3398" s="1"/>
      <c r="AA3398" s="1"/>
      <c r="AB3398" s="1"/>
      <c r="AC3398" s="1"/>
      <c r="AD3398" s="1"/>
    </row>
    <row r="3399" spans="17:30">
      <c r="Q3399" s="6">
        <v>3369</v>
      </c>
      <c r="R3399" s="7">
        <v>46036</v>
      </c>
      <c r="S3399" s="210">
        <v>4.25</v>
      </c>
      <c r="T3399" s="8">
        <v>1.0001180555555556</v>
      </c>
      <c r="U3399" s="98">
        <v>4.2334385751009229</v>
      </c>
      <c r="V3399" s="106">
        <v>34731.652207342355</v>
      </c>
      <c r="W3399" s="10">
        <v>1.1189744841318072</v>
      </c>
      <c r="X3399" s="420"/>
      <c r="Y3399" s="420"/>
      <c r="Z3399" s="1"/>
      <c r="AA3399" s="1"/>
      <c r="AB3399" s="1"/>
      <c r="AC3399" s="1"/>
      <c r="AD3399" s="1"/>
    </row>
    <row r="3400" spans="17:30">
      <c r="Q3400" s="6">
        <v>3370</v>
      </c>
      <c r="R3400" s="7">
        <v>46037</v>
      </c>
      <c r="S3400" s="210">
        <v>4.25</v>
      </c>
      <c r="T3400" s="8">
        <v>1.0001180555555556</v>
      </c>
      <c r="U3400" s="98">
        <v>4.2334888340328281</v>
      </c>
      <c r="V3400" s="106">
        <v>34734.543020129597</v>
      </c>
      <c r="W3400" s="10">
        <v>1.1190219357245734</v>
      </c>
      <c r="X3400" s="420"/>
      <c r="Y3400" s="420"/>
      <c r="Z3400" s="1"/>
      <c r="AA3400" s="1"/>
      <c r="AB3400" s="1"/>
      <c r="AC3400" s="1"/>
      <c r="AD3400" s="1"/>
    </row>
    <row r="3401" spans="17:30">
      <c r="Q3401" s="6">
        <v>3371</v>
      </c>
      <c r="R3401" s="7">
        <v>46038</v>
      </c>
      <c r="S3401" s="210">
        <v>4.25</v>
      </c>
      <c r="T3401" s="8">
        <v>1.0001180555555556</v>
      </c>
      <c r="U3401" s="98">
        <v>4.2335390631705216</v>
      </c>
      <c r="V3401" s="106">
        <v>34737.434073527285</v>
      </c>
      <c r="W3401" s="10">
        <v>1.1190693591867529</v>
      </c>
      <c r="X3401" s="420"/>
      <c r="Y3401" s="420"/>
      <c r="Z3401" s="1"/>
      <c r="AA3401" s="1"/>
      <c r="AB3401" s="1"/>
      <c r="AC3401" s="1"/>
      <c r="AD3401" s="1"/>
    </row>
    <row r="3402" spans="17:30">
      <c r="Q3402" s="6">
        <v>3372</v>
      </c>
      <c r="R3402" s="7">
        <v>46039</v>
      </c>
      <c r="S3402" s="210">
        <v>4.25</v>
      </c>
      <c r="T3402" s="8">
        <v>1.0001180555555556</v>
      </c>
      <c r="U3402" s="98">
        <v>4.2335892625405158</v>
      </c>
      <c r="V3402" s="106">
        <v>34740.325367555459</v>
      </c>
      <c r="W3402" s="10">
        <v>1.11911675454337</v>
      </c>
      <c r="X3402" s="420"/>
      <c r="Y3402" s="420"/>
      <c r="Z3402" s="1"/>
      <c r="AA3402" s="1"/>
      <c r="AB3402" s="1"/>
      <c r="AC3402" s="1"/>
      <c r="AD3402" s="1"/>
    </row>
    <row r="3403" spans="17:30">
      <c r="Q3403" s="6">
        <v>3373</v>
      </c>
      <c r="R3403" s="7">
        <v>46040</v>
      </c>
      <c r="S3403" s="210">
        <v>4.25</v>
      </c>
      <c r="T3403" s="8">
        <v>1.0001180555555556</v>
      </c>
      <c r="U3403" s="98">
        <v>4.2336394321692561</v>
      </c>
      <c r="V3403" s="106">
        <v>34743.216902234148</v>
      </c>
      <c r="W3403" s="10">
        <v>1.1191641218194048</v>
      </c>
      <c r="X3403" s="420"/>
      <c r="Y3403" s="420"/>
      <c r="Z3403" s="1"/>
      <c r="AA3403" s="1"/>
      <c r="AB3403" s="1"/>
      <c r="AC3403" s="1"/>
      <c r="AD3403" s="1"/>
    </row>
    <row r="3404" spans="17:30">
      <c r="Q3404" s="6">
        <v>3374</v>
      </c>
      <c r="R3404" s="7">
        <v>46041</v>
      </c>
      <c r="S3404" s="210">
        <v>4.25</v>
      </c>
      <c r="T3404" s="8">
        <v>1.0001180555555556</v>
      </c>
      <c r="U3404" s="98">
        <v>4.2336895720831436</v>
      </c>
      <c r="V3404" s="106">
        <v>34746.108677583368</v>
      </c>
      <c r="W3404" s="10">
        <v>1.1192114610397486</v>
      </c>
      <c r="X3404" s="420"/>
      <c r="Y3404" s="420"/>
      <c r="Z3404" s="1"/>
      <c r="AA3404" s="1"/>
      <c r="AB3404" s="1"/>
      <c r="AC3404" s="1"/>
      <c r="AD3404" s="1"/>
    </row>
    <row r="3405" spans="17:30">
      <c r="Q3405" s="6">
        <v>3375</v>
      </c>
      <c r="R3405" s="7">
        <v>46042</v>
      </c>
      <c r="S3405" s="210">
        <v>4.25</v>
      </c>
      <c r="T3405" s="8">
        <v>1.0001180555555556</v>
      </c>
      <c r="U3405" s="98">
        <v>4.2337396823086015</v>
      </c>
      <c r="V3405" s="106">
        <v>34749.000693623158</v>
      </c>
      <c r="W3405" s="10">
        <v>1.1192587722294034</v>
      </c>
      <c r="X3405" s="420"/>
      <c r="Y3405" s="420"/>
      <c r="Z3405" s="1"/>
      <c r="AA3405" s="1"/>
      <c r="AB3405" s="1"/>
      <c r="AC3405" s="1"/>
      <c r="AD3405" s="1"/>
    </row>
    <row r="3406" spans="17:30">
      <c r="Q3406" s="6">
        <v>3376</v>
      </c>
      <c r="R3406" s="7">
        <v>46043</v>
      </c>
      <c r="S3406" s="210">
        <v>4.25</v>
      </c>
      <c r="T3406" s="8">
        <v>1.0001180555555556</v>
      </c>
      <c r="U3406" s="98">
        <v>4.2337897628719645</v>
      </c>
      <c r="V3406" s="106">
        <v>34751.892950373556</v>
      </c>
      <c r="W3406" s="10">
        <v>1.1193060554131939</v>
      </c>
      <c r="X3406" s="420"/>
      <c r="Y3406" s="420"/>
      <c r="Z3406" s="1"/>
      <c r="AA3406" s="1"/>
      <c r="AB3406" s="1"/>
      <c r="AC3406" s="1"/>
      <c r="AD3406" s="1"/>
    </row>
    <row r="3407" spans="17:30">
      <c r="Q3407" s="6">
        <v>3377</v>
      </c>
      <c r="R3407" s="7">
        <v>46044</v>
      </c>
      <c r="S3407" s="210">
        <v>4.25</v>
      </c>
      <c r="T3407" s="8">
        <v>1.0001180555555556</v>
      </c>
      <c r="U3407" s="98">
        <v>4.233839813799567</v>
      </c>
      <c r="V3407" s="106">
        <v>34754.785447854578</v>
      </c>
      <c r="W3407" s="10">
        <v>1.1193533106160114</v>
      </c>
      <c r="X3407" s="420"/>
      <c r="Y3407" s="420"/>
      <c r="Z3407" s="1"/>
      <c r="AA3407" s="1"/>
      <c r="AB3407" s="1"/>
      <c r="AC3407" s="1"/>
      <c r="AD3407" s="1"/>
    </row>
    <row r="3408" spans="17:30">
      <c r="Q3408" s="6">
        <v>3378</v>
      </c>
      <c r="R3408" s="7">
        <v>46045</v>
      </c>
      <c r="S3408" s="210">
        <v>4.25</v>
      </c>
      <c r="T3408" s="8">
        <v>1.0001180555555556</v>
      </c>
      <c r="U3408" s="98">
        <v>4.2338898351177212</v>
      </c>
      <c r="V3408" s="106">
        <v>34757.67818608629</v>
      </c>
      <c r="W3408" s="10">
        <v>1.1194005378626803</v>
      </c>
      <c r="X3408" s="420"/>
      <c r="Y3408" s="420"/>
      <c r="Z3408" s="1"/>
      <c r="AA3408" s="1"/>
      <c r="AB3408" s="1"/>
      <c r="AC3408" s="1"/>
      <c r="AD3408" s="1"/>
    </row>
    <row r="3409" spans="17:30">
      <c r="Q3409" s="6">
        <v>3379</v>
      </c>
      <c r="R3409" s="7">
        <v>46046</v>
      </c>
      <c r="S3409" s="210">
        <v>4.25</v>
      </c>
      <c r="T3409" s="8">
        <v>1.0001180555555556</v>
      </c>
      <c r="U3409" s="98">
        <v>4.2339398268526951</v>
      </c>
      <c r="V3409" s="106">
        <v>34760.57116508871</v>
      </c>
      <c r="W3409" s="10">
        <v>1.1194477371780032</v>
      </c>
      <c r="X3409" s="420"/>
      <c r="Y3409" s="420"/>
      <c r="Z3409" s="1"/>
      <c r="AA3409" s="1"/>
      <c r="AB3409" s="1"/>
      <c r="AC3409" s="1"/>
      <c r="AD3409" s="1"/>
    </row>
    <row r="3410" spans="17:30">
      <c r="Q3410" s="6">
        <v>3380</v>
      </c>
      <c r="R3410" s="7">
        <v>46047</v>
      </c>
      <c r="S3410" s="210">
        <v>4.25</v>
      </c>
      <c r="T3410" s="8">
        <v>1.0001180555555556</v>
      </c>
      <c r="U3410" s="98">
        <v>4.2339897890307121</v>
      </c>
      <c r="V3410" s="106">
        <v>34763.464384881881</v>
      </c>
      <c r="W3410" s="10">
        <v>1.11949490858676</v>
      </c>
      <c r="X3410" s="420"/>
      <c r="Y3410" s="420"/>
      <c r="Z3410" s="1"/>
      <c r="AA3410" s="1"/>
      <c r="AB3410" s="1"/>
      <c r="AC3410" s="1"/>
      <c r="AD3410" s="1"/>
    </row>
    <row r="3411" spans="17:30">
      <c r="Q3411" s="6">
        <v>3381</v>
      </c>
      <c r="R3411" s="7">
        <v>46048</v>
      </c>
      <c r="S3411" s="210">
        <v>4.25</v>
      </c>
      <c r="T3411" s="8">
        <v>1.0001180555555556</v>
      </c>
      <c r="U3411" s="98">
        <v>4.2340397216779735</v>
      </c>
      <c r="V3411" s="106">
        <v>34766.357845485851</v>
      </c>
      <c r="W3411" s="10">
        <v>1.1195420521136645</v>
      </c>
      <c r="X3411" s="420"/>
      <c r="Y3411" s="420"/>
      <c r="Z3411" s="1"/>
      <c r="AA3411" s="1"/>
      <c r="AB3411" s="1"/>
      <c r="AC3411" s="1"/>
      <c r="AD3411" s="1"/>
    </row>
    <row r="3412" spans="17:30">
      <c r="Q3412" s="6">
        <v>3382</v>
      </c>
      <c r="R3412" s="7">
        <v>46049</v>
      </c>
      <c r="S3412" s="210">
        <v>4.25</v>
      </c>
      <c r="T3412" s="8">
        <v>1.0001180555555556</v>
      </c>
      <c r="U3412" s="98">
        <v>4.2340896248206583</v>
      </c>
      <c r="V3412" s="106">
        <v>34769.251546920656</v>
      </c>
      <c r="W3412" s="10">
        <v>1.1195891677834302</v>
      </c>
      <c r="X3412" s="420"/>
      <c r="Y3412" s="420"/>
      <c r="Z3412" s="1"/>
      <c r="AA3412" s="1"/>
      <c r="AB3412" s="1"/>
      <c r="AC3412" s="1"/>
      <c r="AD3412" s="1"/>
    </row>
    <row r="3413" spans="17:30">
      <c r="Q3413" s="6">
        <v>3383</v>
      </c>
      <c r="R3413" s="7">
        <v>46050</v>
      </c>
      <c r="S3413" s="210">
        <v>4.25</v>
      </c>
      <c r="T3413" s="8">
        <v>1.0001180555555556</v>
      </c>
      <c r="U3413" s="98">
        <v>4.2341394984849234</v>
      </c>
      <c r="V3413" s="106">
        <v>34772.145489206341</v>
      </c>
      <c r="W3413" s="10">
        <v>1.1196362556207928</v>
      </c>
      <c r="X3413" s="420"/>
      <c r="Y3413" s="420"/>
      <c r="Z3413" s="1"/>
      <c r="AA3413" s="1"/>
      <c r="AB3413" s="1"/>
      <c r="AC3413" s="1"/>
      <c r="AD3413" s="1"/>
    </row>
    <row r="3414" spans="17:30">
      <c r="Q3414" s="6">
        <v>3384</v>
      </c>
      <c r="R3414" s="7">
        <v>46051</v>
      </c>
      <c r="S3414" s="210">
        <v>4.25</v>
      </c>
      <c r="T3414" s="8">
        <v>1.0001180555555556</v>
      </c>
      <c r="U3414" s="98">
        <v>4.2341893426968591</v>
      </c>
      <c r="V3414" s="106">
        <v>34775.03967236296</v>
      </c>
      <c r="W3414" s="10">
        <v>1.1196833156503549</v>
      </c>
      <c r="X3414" s="420"/>
      <c r="Y3414" s="420"/>
      <c r="Z3414" s="1"/>
      <c r="AA3414" s="1"/>
      <c r="AB3414" s="1"/>
      <c r="AC3414" s="1"/>
      <c r="AD3414" s="1"/>
    </row>
    <row r="3415" spans="17:30">
      <c r="Q3415" s="6">
        <v>3385</v>
      </c>
      <c r="R3415" s="7">
        <v>46052</v>
      </c>
      <c r="S3415" s="210">
        <v>4.25</v>
      </c>
      <c r="T3415" s="8">
        <v>1.0001180555555556</v>
      </c>
      <c r="U3415" s="98">
        <v>4.2342391574825555</v>
      </c>
      <c r="V3415" s="106">
        <v>34777.934096410565</v>
      </c>
      <c r="W3415" s="10">
        <v>1.1197303478967413</v>
      </c>
      <c r="X3415" s="420"/>
      <c r="Y3415" s="420"/>
      <c r="Z3415" s="1"/>
      <c r="AA3415" s="1"/>
      <c r="AB3415" s="1"/>
      <c r="AC3415" s="1"/>
      <c r="AD3415" s="1"/>
    </row>
    <row r="3416" spans="17:30">
      <c r="Q3416" s="6">
        <v>3386</v>
      </c>
      <c r="R3416" s="7">
        <v>46053</v>
      </c>
      <c r="S3416" s="210">
        <v>4.25</v>
      </c>
      <c r="T3416" s="8">
        <v>1.0001180555555556</v>
      </c>
      <c r="U3416" s="98">
        <v>4.2342889428680808</v>
      </c>
      <c r="V3416" s="106">
        <v>34780.828761369186</v>
      </c>
      <c r="W3416" s="10">
        <v>1.1197773523845989</v>
      </c>
      <c r="X3416" s="420"/>
      <c r="Y3416" s="420"/>
      <c r="Z3416" s="1"/>
      <c r="AA3416" s="1"/>
      <c r="AB3416" s="1"/>
      <c r="AC3416" s="1"/>
      <c r="AD3416" s="1"/>
    </row>
    <row r="3417" spans="17:30">
      <c r="Q3417" s="6">
        <v>3387</v>
      </c>
      <c r="R3417" s="7">
        <v>46054</v>
      </c>
      <c r="S3417" s="210">
        <v>4.25</v>
      </c>
      <c r="T3417" s="8">
        <v>1.0001180555555556</v>
      </c>
      <c r="U3417" s="98">
        <v>4.2343386988794363</v>
      </c>
      <c r="V3417" s="106">
        <v>34783.723667258892</v>
      </c>
      <c r="W3417" s="10">
        <v>1.1198243291384635</v>
      </c>
      <c r="X3417" s="420"/>
      <c r="Y3417" s="420"/>
      <c r="Z3417" s="1"/>
      <c r="AA3417" s="1"/>
      <c r="AB3417" s="1"/>
      <c r="AC3417" s="1"/>
      <c r="AD3417" s="1"/>
    </row>
    <row r="3418" spans="17:30">
      <c r="Q3418" s="6">
        <v>3388</v>
      </c>
      <c r="R3418" s="7">
        <v>46055</v>
      </c>
      <c r="S3418" s="210">
        <v>4.25</v>
      </c>
      <c r="T3418" s="8">
        <v>1.0001180555555556</v>
      </c>
      <c r="U3418" s="98">
        <v>4.2343884255426012</v>
      </c>
      <c r="V3418" s="106">
        <v>34786.618814099733</v>
      </c>
      <c r="W3418" s="10">
        <v>1.119871278182849</v>
      </c>
      <c r="X3418" s="420"/>
      <c r="Y3418" s="420"/>
      <c r="Z3418" s="1"/>
      <c r="AA3418" s="1"/>
      <c r="AB3418" s="1"/>
      <c r="AC3418" s="1"/>
      <c r="AD3418" s="1"/>
    </row>
    <row r="3419" spans="17:30">
      <c r="Q3419" s="6">
        <v>3389</v>
      </c>
      <c r="R3419" s="7">
        <v>46056</v>
      </c>
      <c r="S3419" s="210">
        <v>4.25</v>
      </c>
      <c r="T3419" s="8">
        <v>1.0001180555555556</v>
      </c>
      <c r="U3419" s="98">
        <v>4.2344381228835548</v>
      </c>
      <c r="V3419" s="106">
        <v>34789.514201911763</v>
      </c>
      <c r="W3419" s="10">
        <v>1.1199181995422913</v>
      </c>
      <c r="X3419" s="420"/>
      <c r="Y3419" s="420"/>
      <c r="Z3419" s="1"/>
      <c r="AA3419" s="1"/>
      <c r="AB3419" s="1"/>
      <c r="AC3419" s="1"/>
      <c r="AD3419" s="1"/>
    </row>
    <row r="3420" spans="17:30">
      <c r="Q3420" s="6">
        <v>3390</v>
      </c>
      <c r="R3420" s="7">
        <v>46057</v>
      </c>
      <c r="S3420" s="210">
        <v>4.25</v>
      </c>
      <c r="T3420" s="8">
        <v>1.0001180555555556</v>
      </c>
      <c r="U3420" s="98">
        <v>4.2344877909282097</v>
      </c>
      <c r="V3420" s="106">
        <v>34792.409830715034</v>
      </c>
      <c r="W3420" s="10">
        <v>1.1199650932412819</v>
      </c>
      <c r="X3420" s="420"/>
      <c r="Y3420" s="420"/>
      <c r="Z3420" s="1"/>
      <c r="AA3420" s="1"/>
      <c r="AB3420" s="1"/>
      <c r="AC3420" s="1"/>
      <c r="AD3420" s="1"/>
    </row>
    <row r="3421" spans="17:30">
      <c r="Q3421" s="6">
        <v>3391</v>
      </c>
      <c r="R3421" s="7">
        <v>46058</v>
      </c>
      <c r="S3421" s="210">
        <v>4.25</v>
      </c>
      <c r="T3421" s="8">
        <v>1.0001180555555556</v>
      </c>
      <c r="U3421" s="98">
        <v>4.2345374297024785</v>
      </c>
      <c r="V3421" s="106">
        <v>34795.305700529607</v>
      </c>
      <c r="W3421" s="10">
        <v>1.1200119593042457</v>
      </c>
      <c r="X3421" s="420"/>
      <c r="Y3421" s="420"/>
      <c r="Z3421" s="1"/>
      <c r="AA3421" s="1"/>
      <c r="AB3421" s="1"/>
      <c r="AC3421" s="1"/>
      <c r="AD3421" s="1"/>
    </row>
    <row r="3422" spans="17:30">
      <c r="Q3422" s="6">
        <v>3392</v>
      </c>
      <c r="R3422" s="7">
        <v>46059</v>
      </c>
      <c r="S3422" s="210">
        <v>4.25</v>
      </c>
      <c r="T3422" s="8">
        <v>1.0001180555555556</v>
      </c>
      <c r="U3422" s="98">
        <v>4.2345870392322293</v>
      </c>
      <c r="V3422" s="106">
        <v>34798.201811375548</v>
      </c>
      <c r="W3422" s="10">
        <v>1.1200587977556298</v>
      </c>
      <c r="X3422" s="420"/>
      <c r="Y3422" s="420"/>
      <c r="Z3422" s="1"/>
      <c r="AA3422" s="1"/>
      <c r="AB3422" s="1"/>
      <c r="AC3422" s="1"/>
      <c r="AD3422" s="1"/>
    </row>
    <row r="3423" spans="17:30">
      <c r="Q3423" s="6">
        <v>3393</v>
      </c>
      <c r="R3423" s="7">
        <v>46060</v>
      </c>
      <c r="S3423" s="210">
        <v>4.25</v>
      </c>
      <c r="T3423" s="8">
        <v>1.0001180555555556</v>
      </c>
      <c r="U3423" s="98">
        <v>4.2346366195432861</v>
      </c>
      <c r="V3423" s="106">
        <v>34801.098163272916</v>
      </c>
      <c r="W3423" s="10">
        <v>1.1201056086198369</v>
      </c>
      <c r="X3423" s="420"/>
      <c r="Y3423" s="420"/>
      <c r="Z3423" s="1"/>
      <c r="AA3423" s="1"/>
      <c r="AB3423" s="1"/>
      <c r="AC3423" s="1"/>
      <c r="AD3423" s="1"/>
    </row>
    <row r="3424" spans="17:30">
      <c r="Q3424" s="6">
        <v>3394</v>
      </c>
      <c r="R3424" s="7">
        <v>46061</v>
      </c>
      <c r="S3424" s="210">
        <v>4.25</v>
      </c>
      <c r="T3424" s="8">
        <v>1.0001180555555556</v>
      </c>
      <c r="U3424" s="98">
        <v>4.2346861706614503</v>
      </c>
      <c r="V3424" s="106">
        <v>34803.994756241766</v>
      </c>
      <c r="W3424" s="10">
        <v>1.1201523919211809</v>
      </c>
      <c r="X3424" s="420"/>
      <c r="Y3424" s="420"/>
      <c r="Z3424" s="1"/>
      <c r="AA3424" s="1"/>
      <c r="AB3424" s="1"/>
      <c r="AC3424" s="1"/>
      <c r="AD3424" s="1"/>
    </row>
    <row r="3425" spans="17:30">
      <c r="Q3425" s="6">
        <v>3395</v>
      </c>
      <c r="R3425" s="7">
        <v>46062</v>
      </c>
      <c r="S3425" s="210">
        <v>4.25</v>
      </c>
      <c r="T3425" s="8">
        <v>1.0001180555555556</v>
      </c>
      <c r="U3425" s="98">
        <v>4.2347356926125013</v>
      </c>
      <c r="V3425" s="106">
        <v>34806.891590302177</v>
      </c>
      <c r="W3425" s="10">
        <v>1.1201991476840423</v>
      </c>
      <c r="X3425" s="420"/>
      <c r="Y3425" s="420"/>
      <c r="Z3425" s="1"/>
      <c r="AA3425" s="1"/>
      <c r="AB3425" s="1"/>
      <c r="AC3425" s="1"/>
      <c r="AD3425" s="1"/>
    </row>
    <row r="3426" spans="17:30">
      <c r="Q3426" s="6">
        <v>3396</v>
      </c>
      <c r="R3426" s="7">
        <v>46063</v>
      </c>
      <c r="S3426" s="210">
        <v>4.25</v>
      </c>
      <c r="T3426" s="8">
        <v>1.0001180555555556</v>
      </c>
      <c r="U3426" s="98">
        <v>4.2347851854221963</v>
      </c>
      <c r="V3426" s="106">
        <v>34809.788665474203</v>
      </c>
      <c r="W3426" s="10">
        <v>1.1202458759327127</v>
      </c>
      <c r="X3426" s="420"/>
      <c r="Y3426" s="420"/>
      <c r="Z3426" s="1"/>
      <c r="AA3426" s="1"/>
      <c r="AB3426" s="1"/>
      <c r="AC3426" s="1"/>
      <c r="AD3426" s="1"/>
    </row>
    <row r="3427" spans="17:30">
      <c r="Q3427" s="6">
        <v>3397</v>
      </c>
      <c r="R3427" s="7">
        <v>46064</v>
      </c>
      <c r="S3427" s="210">
        <v>4.25</v>
      </c>
      <c r="T3427" s="8">
        <v>1.0001180555555556</v>
      </c>
      <c r="U3427" s="98">
        <v>4.2348346491162481</v>
      </c>
      <c r="V3427" s="106">
        <v>34812.685981777926</v>
      </c>
      <c r="W3427" s="10">
        <v>1.1202925766915062</v>
      </c>
      <c r="X3427" s="420"/>
      <c r="Y3427" s="420"/>
      <c r="Z3427" s="1"/>
      <c r="AA3427" s="1"/>
      <c r="AB3427" s="1"/>
      <c r="AC3427" s="1"/>
      <c r="AD3427" s="1"/>
    </row>
    <row r="3428" spans="17:30">
      <c r="Q3428" s="6">
        <v>3398</v>
      </c>
      <c r="R3428" s="7">
        <v>46065</v>
      </c>
      <c r="S3428" s="210">
        <v>4.25</v>
      </c>
      <c r="T3428" s="8">
        <v>1.0001180555555556</v>
      </c>
      <c r="U3428" s="98">
        <v>4.234884083720325</v>
      </c>
      <c r="V3428" s="106">
        <v>34815.583539233397</v>
      </c>
      <c r="W3428" s="10">
        <v>1.1203392499846032</v>
      </c>
      <c r="X3428" s="420"/>
      <c r="Y3428" s="420"/>
      <c r="Z3428" s="1"/>
      <c r="AA3428" s="1"/>
      <c r="AB3428" s="1"/>
      <c r="AC3428" s="1"/>
      <c r="AD3428" s="1"/>
    </row>
    <row r="3429" spans="17:30">
      <c r="Q3429" s="6">
        <v>3399</v>
      </c>
      <c r="R3429" s="7">
        <v>46066</v>
      </c>
      <c r="S3429" s="210">
        <v>4.25</v>
      </c>
      <c r="T3429" s="8">
        <v>1.0001180555555556</v>
      </c>
      <c r="U3429" s="98">
        <v>4.2349334892600954</v>
      </c>
      <c r="V3429" s="106">
        <v>34818.4813378607</v>
      </c>
      <c r="W3429" s="10">
        <v>1.1203858958362956</v>
      </c>
      <c r="X3429" s="420"/>
      <c r="Y3429" s="420"/>
      <c r="Z3429" s="1"/>
      <c r="AA3429" s="1"/>
      <c r="AB3429" s="1"/>
      <c r="AC3429" s="1"/>
      <c r="AD3429" s="1"/>
    </row>
    <row r="3430" spans="17:30">
      <c r="Q3430" s="6">
        <v>3400</v>
      </c>
      <c r="R3430" s="7">
        <v>46067</v>
      </c>
      <c r="S3430" s="210">
        <v>4.25</v>
      </c>
      <c r="T3430" s="8">
        <v>1.0001180555555556</v>
      </c>
      <c r="U3430" s="98">
        <v>4.2349828657611832</v>
      </c>
      <c r="V3430" s="106">
        <v>34821.379377679914</v>
      </c>
      <c r="W3430" s="10">
        <v>1.1204325142707416</v>
      </c>
      <c r="X3430" s="420"/>
      <c r="Y3430" s="420"/>
      <c r="Z3430" s="1"/>
      <c r="AA3430" s="1"/>
      <c r="AB3430" s="1"/>
      <c r="AC3430" s="1"/>
      <c r="AD3430" s="1"/>
    </row>
    <row r="3431" spans="17:30">
      <c r="Q3431" s="6">
        <v>3401</v>
      </c>
      <c r="R3431" s="7">
        <v>46068</v>
      </c>
      <c r="S3431" s="210">
        <v>4.25</v>
      </c>
      <c r="T3431" s="8">
        <v>1.0001180555555556</v>
      </c>
      <c r="U3431" s="98">
        <v>4.235032213249168</v>
      </c>
      <c r="V3431" s="106">
        <v>34824.277658711108</v>
      </c>
      <c r="W3431" s="10">
        <v>1.1204791053121221</v>
      </c>
      <c r="X3431" s="420"/>
      <c r="Y3431" s="420"/>
      <c r="Z3431" s="1"/>
      <c r="AA3431" s="1"/>
      <c r="AB3431" s="1"/>
      <c r="AC3431" s="1"/>
      <c r="AD3431" s="1"/>
    </row>
    <row r="3432" spans="17:30">
      <c r="Q3432" s="6">
        <v>3402</v>
      </c>
      <c r="R3432" s="7">
        <v>46069</v>
      </c>
      <c r="S3432" s="210">
        <v>4.25</v>
      </c>
      <c r="T3432" s="8">
        <v>1.0001180555555556</v>
      </c>
      <c r="U3432" s="98">
        <v>4.2350815317496293</v>
      </c>
      <c r="V3432" s="106">
        <v>34827.176180974348</v>
      </c>
      <c r="W3432" s="10">
        <v>1.1205256689845511</v>
      </c>
      <c r="X3432" s="420"/>
      <c r="Y3432" s="420"/>
      <c r="Z3432" s="1"/>
      <c r="AA3432" s="1"/>
      <c r="AB3432" s="1"/>
      <c r="AC3432" s="1"/>
      <c r="AD3432" s="1"/>
    </row>
    <row r="3433" spans="17:30">
      <c r="Q3433" s="6">
        <v>3403</v>
      </c>
      <c r="R3433" s="7">
        <v>46070</v>
      </c>
      <c r="S3433" s="210">
        <v>4.25</v>
      </c>
      <c r="T3433" s="8">
        <v>1.0001180555555556</v>
      </c>
      <c r="U3433" s="98">
        <v>4.2351308212881023</v>
      </c>
      <c r="V3433" s="106">
        <v>34830.07494448973</v>
      </c>
      <c r="W3433" s="10">
        <v>1.1205722053121647</v>
      </c>
      <c r="X3433" s="420"/>
      <c r="Y3433" s="420"/>
      <c r="Z3433" s="1"/>
      <c r="AA3433" s="1"/>
      <c r="AB3433" s="1"/>
      <c r="AC3433" s="1"/>
      <c r="AD3433" s="1"/>
    </row>
    <row r="3434" spans="17:30">
      <c r="Q3434" s="6">
        <v>3404</v>
      </c>
      <c r="R3434" s="7">
        <v>46071</v>
      </c>
      <c r="S3434" s="210">
        <v>4.25</v>
      </c>
      <c r="T3434" s="8">
        <v>1.0001180555555556</v>
      </c>
      <c r="U3434" s="98">
        <v>4.2351800818900776</v>
      </c>
      <c r="V3434" s="106">
        <v>34832.973949277322</v>
      </c>
      <c r="W3434" s="10">
        <v>1.1206187143190327</v>
      </c>
      <c r="X3434" s="420"/>
      <c r="Y3434" s="420"/>
      <c r="Z3434" s="1"/>
      <c r="AA3434" s="1"/>
      <c r="AB3434" s="1"/>
      <c r="AC3434" s="1"/>
      <c r="AD3434" s="1"/>
    </row>
    <row r="3435" spans="17:30">
      <c r="Q3435" s="6">
        <v>3405</v>
      </c>
      <c r="R3435" s="7">
        <v>46072</v>
      </c>
      <c r="S3435" s="210">
        <v>4.25</v>
      </c>
      <c r="T3435" s="8">
        <v>1.0001180555555556</v>
      </c>
      <c r="U3435" s="98">
        <v>4.2352293135810459</v>
      </c>
      <c r="V3435" s="106">
        <v>34835.873195357213</v>
      </c>
      <c r="W3435" s="10">
        <v>1.1206651960292024</v>
      </c>
      <c r="X3435" s="420"/>
      <c r="Y3435" s="420"/>
      <c r="Z3435" s="1"/>
      <c r="AA3435" s="1"/>
      <c r="AB3435" s="1"/>
      <c r="AC3435" s="1"/>
      <c r="AD3435" s="1"/>
    </row>
    <row r="3436" spans="17:30">
      <c r="Q3436" s="6">
        <v>3406</v>
      </c>
      <c r="R3436" s="7">
        <v>46073</v>
      </c>
      <c r="S3436" s="210">
        <v>4.25</v>
      </c>
      <c r="T3436" s="8">
        <v>1.0001180555555556</v>
      </c>
      <c r="U3436" s="98">
        <v>4.2352785163864537</v>
      </c>
      <c r="V3436" s="106">
        <v>34838.772682749484</v>
      </c>
      <c r="W3436" s="10">
        <v>1.1207116504667214</v>
      </c>
      <c r="X3436" s="420"/>
      <c r="Y3436" s="420"/>
      <c r="Z3436" s="1"/>
      <c r="AA3436" s="1"/>
      <c r="AB3436" s="1"/>
      <c r="AC3436" s="1"/>
      <c r="AD3436" s="1"/>
    </row>
    <row r="3437" spans="17:30">
      <c r="Q3437" s="6">
        <v>3407</v>
      </c>
      <c r="R3437" s="7">
        <v>46074</v>
      </c>
      <c r="S3437" s="210">
        <v>4.25</v>
      </c>
      <c r="T3437" s="8">
        <v>1.0001180555555556</v>
      </c>
      <c r="U3437" s="98">
        <v>4.2353276903317028</v>
      </c>
      <c r="V3437" s="106">
        <v>34841.672411474217</v>
      </c>
      <c r="W3437" s="10">
        <v>1.1207580776555481</v>
      </c>
      <c r="X3437" s="420"/>
      <c r="Y3437" s="420"/>
      <c r="Z3437" s="1"/>
      <c r="AA3437" s="1"/>
      <c r="AB3437" s="1"/>
      <c r="AC3437" s="1"/>
      <c r="AD3437" s="1"/>
    </row>
    <row r="3438" spans="17:30">
      <c r="Q3438" s="6">
        <v>3408</v>
      </c>
      <c r="R3438" s="7">
        <v>46075</v>
      </c>
      <c r="S3438" s="210">
        <v>4.25</v>
      </c>
      <c r="T3438" s="8">
        <v>1.0001180555555556</v>
      </c>
      <c r="U3438" s="98">
        <v>4.2353768354421728</v>
      </c>
      <c r="V3438" s="106">
        <v>34844.572381551508</v>
      </c>
      <c r="W3438" s="10">
        <v>1.1208044776196635</v>
      </c>
      <c r="X3438" s="420"/>
      <c r="Y3438" s="420"/>
      <c r="Z3438" s="1"/>
      <c r="AA3438" s="1"/>
      <c r="AB3438" s="1"/>
      <c r="AC3438" s="1"/>
      <c r="AD3438" s="1"/>
    </row>
    <row r="3439" spans="17:30">
      <c r="Q3439" s="6">
        <v>3409</v>
      </c>
      <c r="R3439" s="7">
        <v>46076</v>
      </c>
      <c r="S3439" s="210">
        <v>4.25</v>
      </c>
      <c r="T3439" s="8">
        <v>1.0001180555555556</v>
      </c>
      <c r="U3439" s="98">
        <v>4.2354259517432213</v>
      </c>
      <c r="V3439" s="106">
        <v>34847.472593001432</v>
      </c>
      <c r="W3439" s="10">
        <v>1.1208508503830261</v>
      </c>
      <c r="X3439" s="420"/>
      <c r="Y3439" s="420"/>
      <c r="Z3439" s="1"/>
      <c r="AA3439" s="1"/>
      <c r="AB3439" s="1"/>
      <c r="AC3439" s="1"/>
      <c r="AD3439" s="1"/>
    </row>
    <row r="3440" spans="17:30">
      <c r="Q3440" s="6">
        <v>3410</v>
      </c>
      <c r="R3440" s="7">
        <v>46077</v>
      </c>
      <c r="S3440" s="210">
        <v>4.25</v>
      </c>
      <c r="T3440" s="8">
        <v>1.0001180555555556</v>
      </c>
      <c r="U3440" s="98">
        <v>4.2354750392601836</v>
      </c>
      <c r="V3440" s="106">
        <v>34850.373045844084</v>
      </c>
      <c r="W3440" s="10">
        <v>1.120897195969528</v>
      </c>
      <c r="X3440" s="420"/>
      <c r="Y3440" s="420"/>
      <c r="Z3440" s="1"/>
      <c r="AA3440" s="1"/>
      <c r="AB3440" s="1"/>
      <c r="AC3440" s="1"/>
      <c r="AD3440" s="1"/>
    </row>
    <row r="3441" spans="17:30">
      <c r="Q3441" s="6">
        <v>3411</v>
      </c>
      <c r="R3441" s="7">
        <v>46078</v>
      </c>
      <c r="S3441" s="210">
        <v>4.25</v>
      </c>
      <c r="T3441" s="8">
        <v>1.0001180555555556</v>
      </c>
      <c r="U3441" s="98">
        <v>4.2355240980183506</v>
      </c>
      <c r="V3441" s="106">
        <v>34853.273740099561</v>
      </c>
      <c r="W3441" s="10">
        <v>1.1209435144030611</v>
      </c>
      <c r="X3441" s="420"/>
      <c r="Y3441" s="420"/>
      <c r="Z3441" s="1"/>
      <c r="AA3441" s="1"/>
      <c r="AB3441" s="1"/>
      <c r="AC3441" s="1"/>
      <c r="AD3441" s="1"/>
    </row>
    <row r="3442" spans="17:30">
      <c r="Q3442" s="6">
        <v>3412</v>
      </c>
      <c r="R3442" s="7">
        <v>46079</v>
      </c>
      <c r="S3442" s="210">
        <v>4.25</v>
      </c>
      <c r="T3442" s="8">
        <v>1.0001180555555556</v>
      </c>
      <c r="U3442" s="98">
        <v>4.2355731280429909</v>
      </c>
      <c r="V3442" s="106">
        <v>34856.174675787952</v>
      </c>
      <c r="W3442" s="10">
        <v>1.120989805707473</v>
      </c>
      <c r="X3442" s="420"/>
      <c r="Y3442" s="420"/>
      <c r="Z3442" s="1"/>
      <c r="AA3442" s="1"/>
      <c r="AB3442" s="1"/>
      <c r="AC3442" s="1"/>
      <c r="AD3442" s="1"/>
    </row>
    <row r="3443" spans="17:30">
      <c r="Q3443" s="6">
        <v>3413</v>
      </c>
      <c r="R3443" s="7">
        <v>46080</v>
      </c>
      <c r="S3443" s="210">
        <v>4.25</v>
      </c>
      <c r="T3443" s="8">
        <v>1.0001180555555556</v>
      </c>
      <c r="U3443" s="98">
        <v>4.2356221293593288</v>
      </c>
      <c r="V3443" s="106">
        <v>34859.07585292936</v>
      </c>
      <c r="W3443" s="10">
        <v>1.1210360699066113</v>
      </c>
      <c r="X3443" s="420"/>
      <c r="Y3443" s="420"/>
      <c r="Z3443" s="1"/>
      <c r="AA3443" s="1"/>
      <c r="AB3443" s="1"/>
      <c r="AC3443" s="1"/>
      <c r="AD3443" s="1"/>
    </row>
    <row r="3444" spans="17:30">
      <c r="Q3444" s="6">
        <v>3414</v>
      </c>
      <c r="R3444" s="7">
        <v>46081</v>
      </c>
      <c r="S3444" s="210">
        <v>4.25</v>
      </c>
      <c r="T3444" s="8">
        <v>1.0001180555555556</v>
      </c>
      <c r="U3444" s="98">
        <v>4.2356711019925886</v>
      </c>
      <c r="V3444" s="106">
        <v>34861.977271543874</v>
      </c>
      <c r="W3444" s="10">
        <v>1.121082307024257</v>
      </c>
      <c r="X3444" s="420"/>
      <c r="Y3444" s="420"/>
      <c r="Z3444" s="1"/>
      <c r="AA3444" s="1"/>
      <c r="AB3444" s="1"/>
      <c r="AC3444" s="1"/>
      <c r="AD3444" s="1"/>
    </row>
    <row r="3445" spans="17:30">
      <c r="Q3445" s="6">
        <v>3415</v>
      </c>
      <c r="R3445" s="7">
        <v>46082</v>
      </c>
      <c r="S3445" s="210">
        <v>4.25</v>
      </c>
      <c r="T3445" s="8">
        <v>1.0001180555555556</v>
      </c>
      <c r="U3445" s="98">
        <v>4.2357200459679278</v>
      </c>
      <c r="V3445" s="106">
        <v>34864.87893165159</v>
      </c>
      <c r="W3445" s="10">
        <v>1.1211285170841689</v>
      </c>
      <c r="X3445" s="420"/>
      <c r="Y3445" s="420"/>
      <c r="Z3445" s="1"/>
      <c r="AA3445" s="1"/>
      <c r="AB3445" s="1"/>
      <c r="AC3445" s="1"/>
      <c r="AD3445" s="1"/>
    </row>
    <row r="3446" spans="17:30">
      <c r="Q3446" s="6">
        <v>3416</v>
      </c>
      <c r="R3446" s="7">
        <v>46083</v>
      </c>
      <c r="S3446" s="210">
        <v>4.25</v>
      </c>
      <c r="T3446" s="8">
        <v>1.0001180555555556</v>
      </c>
      <c r="U3446" s="98">
        <v>4.2357689613105265</v>
      </c>
      <c r="V3446" s="106">
        <v>34867.780833272613</v>
      </c>
      <c r="W3446" s="10">
        <v>1.1211747001101502</v>
      </c>
      <c r="X3446" s="420"/>
      <c r="Y3446" s="420"/>
      <c r="Z3446" s="1"/>
      <c r="AA3446" s="1"/>
      <c r="AB3446" s="1"/>
      <c r="AC3446" s="1"/>
      <c r="AD3446" s="1"/>
    </row>
    <row r="3447" spans="17:30">
      <c r="Q3447" s="6">
        <v>3417</v>
      </c>
      <c r="R3447" s="7">
        <v>46084</v>
      </c>
      <c r="S3447" s="210">
        <v>4.25</v>
      </c>
      <c r="T3447" s="8">
        <v>1.0001180555555556</v>
      </c>
      <c r="U3447" s="98">
        <v>4.2358178480454756</v>
      </c>
      <c r="V3447" s="106">
        <v>34870.682976427044</v>
      </c>
      <c r="W3447" s="10">
        <v>1.1212208561258485</v>
      </c>
      <c r="X3447" s="420"/>
      <c r="Y3447" s="420"/>
      <c r="Z3447" s="1"/>
      <c r="AA3447" s="1"/>
      <c r="AB3447" s="1"/>
      <c r="AC3447" s="1"/>
      <c r="AD3447" s="1"/>
    </row>
    <row r="3448" spans="17:30">
      <c r="Q3448" s="6">
        <v>3418</v>
      </c>
      <c r="R3448" s="7">
        <v>46085</v>
      </c>
      <c r="S3448" s="210">
        <v>4.25</v>
      </c>
      <c r="T3448" s="8">
        <v>1.0001180555555556</v>
      </c>
      <c r="U3448" s="98">
        <v>4.2358667061978661</v>
      </c>
      <c r="V3448" s="106">
        <v>34873.585361134981</v>
      </c>
      <c r="W3448" s="10">
        <v>1.1212669851549784</v>
      </c>
      <c r="X3448" s="420"/>
      <c r="Y3448" s="420"/>
      <c r="Z3448" s="1"/>
      <c r="AA3448" s="1"/>
      <c r="AB3448" s="1"/>
      <c r="AC3448" s="1"/>
      <c r="AD3448" s="1"/>
    </row>
    <row r="3449" spans="17:30">
      <c r="Q3449" s="6">
        <v>3419</v>
      </c>
      <c r="R3449" s="7">
        <v>46086</v>
      </c>
      <c r="S3449" s="210">
        <v>4.25</v>
      </c>
      <c r="T3449" s="8">
        <v>1.0001180555555556</v>
      </c>
      <c r="U3449" s="98">
        <v>4.2359155357927669</v>
      </c>
      <c r="V3449" s="106">
        <v>34876.487987416542</v>
      </c>
      <c r="W3449" s="10">
        <v>1.1213130872212096</v>
      </c>
      <c r="X3449" s="420"/>
      <c r="Y3449" s="420"/>
      <c r="Z3449" s="1"/>
      <c r="AA3449" s="1"/>
      <c r="AB3449" s="1"/>
      <c r="AC3449" s="1"/>
      <c r="AD3449" s="1"/>
    </row>
    <row r="3450" spans="17:30">
      <c r="Q3450" s="6">
        <v>3420</v>
      </c>
      <c r="R3450" s="7">
        <v>46087</v>
      </c>
      <c r="S3450" s="210">
        <v>4.25</v>
      </c>
      <c r="T3450" s="8">
        <v>1.0001180555555556</v>
      </c>
      <c r="U3450" s="98">
        <v>4.2359643368552025</v>
      </c>
      <c r="V3450" s="106">
        <v>34879.390855291815</v>
      </c>
      <c r="W3450" s="10">
        <v>1.1213591623481678</v>
      </c>
      <c r="X3450" s="420"/>
      <c r="Y3450" s="420"/>
      <c r="Z3450" s="1"/>
      <c r="AA3450" s="1"/>
      <c r="AB3450" s="1"/>
      <c r="AC3450" s="1"/>
      <c r="AD3450" s="1"/>
    </row>
    <row r="3451" spans="17:30">
      <c r="Q3451" s="6">
        <v>3421</v>
      </c>
      <c r="R3451" s="7">
        <v>46088</v>
      </c>
      <c r="S3451" s="210">
        <v>4.25</v>
      </c>
      <c r="T3451" s="8">
        <v>1.0001180555555556</v>
      </c>
      <c r="U3451" s="98">
        <v>4.2360131094101749</v>
      </c>
      <c r="V3451" s="106">
        <v>34882.293964780933</v>
      </c>
      <c r="W3451" s="10">
        <v>1.1214052105594785</v>
      </c>
      <c r="X3451" s="420"/>
      <c r="Y3451" s="420"/>
      <c r="Z3451" s="1"/>
      <c r="AA3451" s="1"/>
      <c r="AB3451" s="1"/>
      <c r="AC3451" s="1"/>
      <c r="AD3451" s="1"/>
    </row>
    <row r="3452" spans="17:30">
      <c r="Q3452" s="6">
        <v>3422</v>
      </c>
      <c r="R3452" s="7">
        <v>46089</v>
      </c>
      <c r="S3452" s="210">
        <v>4.25</v>
      </c>
      <c r="T3452" s="8">
        <v>1.0001180555555556</v>
      </c>
      <c r="U3452" s="98">
        <v>4.2360618534826422</v>
      </c>
      <c r="V3452" s="106">
        <v>34885.197315903992</v>
      </c>
      <c r="W3452" s="10">
        <v>1.1214512318786563</v>
      </c>
      <c r="X3452" s="420"/>
      <c r="Y3452" s="420"/>
      <c r="Z3452" s="1"/>
      <c r="AA3452" s="1"/>
      <c r="AB3452" s="1"/>
      <c r="AC3452" s="1"/>
      <c r="AD3452" s="1"/>
    </row>
    <row r="3453" spans="17:30">
      <c r="Q3453" s="6">
        <v>3423</v>
      </c>
      <c r="R3453" s="7">
        <v>46090</v>
      </c>
      <c r="S3453" s="210">
        <v>4.25</v>
      </c>
      <c r="T3453" s="8">
        <v>1.0001180555555556</v>
      </c>
      <c r="U3453" s="98">
        <v>4.236110569097562</v>
      </c>
      <c r="V3453" s="106">
        <v>34888.100908681095</v>
      </c>
      <c r="W3453" s="10">
        <v>1.1214972263293044</v>
      </c>
      <c r="X3453" s="420"/>
      <c r="Y3453" s="420"/>
      <c r="Z3453" s="1"/>
      <c r="AA3453" s="1"/>
      <c r="AB3453" s="1"/>
      <c r="AC3453" s="1"/>
      <c r="AD3453" s="1"/>
    </row>
    <row r="3454" spans="17:30">
      <c r="Q3454" s="6">
        <v>3424</v>
      </c>
      <c r="R3454" s="7">
        <v>46091</v>
      </c>
      <c r="S3454" s="210">
        <v>4.25</v>
      </c>
      <c r="T3454" s="8">
        <v>1.0001180555555556</v>
      </c>
      <c r="U3454" s="98">
        <v>4.2361592562798478</v>
      </c>
      <c r="V3454" s="106">
        <v>34891.004743132376</v>
      </c>
      <c r="W3454" s="10">
        <v>1.1215431939349596</v>
      </c>
      <c r="X3454" s="420"/>
      <c r="Y3454" s="420"/>
      <c r="Z3454" s="1"/>
      <c r="AA3454" s="1"/>
      <c r="AB3454" s="1"/>
      <c r="AC3454" s="1"/>
      <c r="AD3454" s="1"/>
    </row>
    <row r="3455" spans="17:30">
      <c r="Q3455" s="6">
        <v>3425</v>
      </c>
      <c r="R3455" s="7">
        <v>46092</v>
      </c>
      <c r="S3455" s="210">
        <v>4.25</v>
      </c>
      <c r="T3455" s="8">
        <v>1.0001180555555556</v>
      </c>
      <c r="U3455" s="98">
        <v>4.2362079150543908</v>
      </c>
      <c r="V3455" s="106">
        <v>34893.908819277931</v>
      </c>
      <c r="W3455" s="10">
        <v>1.1215891347190698</v>
      </c>
      <c r="X3455" s="420"/>
      <c r="Y3455" s="420"/>
      <c r="Z3455" s="1"/>
      <c r="AA3455" s="1"/>
      <c r="AB3455" s="1"/>
      <c r="AC3455" s="1"/>
      <c r="AD3455" s="1"/>
    </row>
    <row r="3456" spans="17:30">
      <c r="Q3456" s="6">
        <v>3426</v>
      </c>
      <c r="R3456" s="7">
        <v>46093</v>
      </c>
      <c r="S3456" s="210">
        <v>4.25</v>
      </c>
      <c r="T3456" s="8">
        <v>1.0001180555555556</v>
      </c>
      <c r="U3456" s="98">
        <v>4.2362565454460377</v>
      </c>
      <c r="V3456" s="106">
        <v>34896.813137137891</v>
      </c>
      <c r="W3456" s="10">
        <v>1.1216350487051496</v>
      </c>
      <c r="X3456" s="420"/>
      <c r="Y3456" s="420"/>
      <c r="Z3456" s="1"/>
      <c r="AA3456" s="1"/>
      <c r="AB3456" s="1"/>
      <c r="AC3456" s="1"/>
      <c r="AD3456" s="1"/>
    </row>
    <row r="3457" spans="17:30">
      <c r="Q3457" s="6">
        <v>3427</v>
      </c>
      <c r="R3457" s="7">
        <v>46094</v>
      </c>
      <c r="S3457" s="210">
        <v>4.25</v>
      </c>
      <c r="T3457" s="8">
        <v>1.0001180555555556</v>
      </c>
      <c r="U3457" s="98">
        <v>4.2363051474796132</v>
      </c>
      <c r="V3457" s="106">
        <v>34899.717696732361</v>
      </c>
      <c r="W3457" s="10">
        <v>1.1216809359166025</v>
      </c>
      <c r="X3457" s="420"/>
      <c r="Y3457" s="420"/>
      <c r="Z3457" s="1"/>
      <c r="AA3457" s="1"/>
      <c r="AB3457" s="1"/>
      <c r="AC3457" s="1"/>
      <c r="AD3457" s="1"/>
    </row>
    <row r="3458" spans="17:30">
      <c r="Q3458" s="6">
        <v>3428</v>
      </c>
      <c r="R3458" s="7">
        <v>46095</v>
      </c>
      <c r="S3458" s="210">
        <v>4.25</v>
      </c>
      <c r="T3458" s="8">
        <v>1.0001180555555556</v>
      </c>
      <c r="U3458" s="98">
        <v>4.2363537211799196</v>
      </c>
      <c r="V3458" s="106">
        <v>34902.62249808148</v>
      </c>
      <c r="W3458" s="10">
        <v>1.1217267963768762</v>
      </c>
      <c r="X3458" s="420"/>
      <c r="Y3458" s="420"/>
      <c r="Z3458" s="1"/>
      <c r="AA3458" s="1"/>
      <c r="AB3458" s="1"/>
      <c r="AC3458" s="1"/>
      <c r="AD3458" s="1"/>
    </row>
    <row r="3459" spans="17:30">
      <c r="Q3459" s="6">
        <v>3429</v>
      </c>
      <c r="R3459" s="7">
        <v>46096</v>
      </c>
      <c r="S3459" s="210">
        <v>4.25</v>
      </c>
      <c r="T3459" s="8">
        <v>1.0001180555555556</v>
      </c>
      <c r="U3459" s="98">
        <v>4.2364022665717371</v>
      </c>
      <c r="V3459" s="106">
        <v>34905.52754120536</v>
      </c>
      <c r="W3459" s="10">
        <v>1.12177263010933</v>
      </c>
      <c r="X3459" s="420"/>
      <c r="Y3459" s="420"/>
      <c r="Z3459" s="1"/>
      <c r="AA3459" s="1"/>
      <c r="AB3459" s="1"/>
      <c r="AC3459" s="1"/>
      <c r="AD3459" s="1"/>
    </row>
    <row r="3460" spans="17:30">
      <c r="Q3460" s="6">
        <v>3430</v>
      </c>
      <c r="R3460" s="7">
        <v>46097</v>
      </c>
      <c r="S3460" s="210">
        <v>4.25</v>
      </c>
      <c r="T3460" s="8">
        <v>1.0001180555555556</v>
      </c>
      <c r="U3460" s="98">
        <v>4.2364507836797793</v>
      </c>
      <c r="V3460" s="106">
        <v>34908.432826124117</v>
      </c>
      <c r="W3460" s="10">
        <v>1.121818437137323</v>
      </c>
      <c r="X3460" s="420"/>
      <c r="Y3460" s="420"/>
      <c r="Z3460" s="1"/>
      <c r="AA3460" s="1"/>
      <c r="AB3460" s="1"/>
      <c r="AC3460" s="1"/>
      <c r="AD3460" s="1"/>
    </row>
    <row r="3461" spans="17:30">
      <c r="Q3461" s="6">
        <v>3431</v>
      </c>
      <c r="R3461" s="7">
        <v>46098</v>
      </c>
      <c r="S3461" s="210">
        <v>4.25</v>
      </c>
      <c r="T3461" s="8">
        <v>1.0001180555555556</v>
      </c>
      <c r="U3461" s="98">
        <v>4.236499272528782</v>
      </c>
      <c r="V3461" s="106">
        <v>34911.338352857878</v>
      </c>
      <c r="W3461" s="10">
        <v>1.1218642174842142</v>
      </c>
      <c r="X3461" s="420"/>
      <c r="Y3461" s="420"/>
      <c r="Z3461" s="1"/>
      <c r="AA3461" s="1"/>
      <c r="AB3461" s="1"/>
      <c r="AC3461" s="1"/>
      <c r="AD3461" s="1"/>
    </row>
    <row r="3462" spans="17:30">
      <c r="Q3462" s="6">
        <v>3432</v>
      </c>
      <c r="R3462" s="7">
        <v>46099</v>
      </c>
      <c r="S3462" s="210">
        <v>4.25</v>
      </c>
      <c r="T3462" s="8">
        <v>1.0001180555555556</v>
      </c>
      <c r="U3462" s="98">
        <v>4.2365477331434143</v>
      </c>
      <c r="V3462" s="106">
        <v>34914.244121426782</v>
      </c>
      <c r="W3462" s="10">
        <v>1.1219099711732961</v>
      </c>
      <c r="X3462" s="420"/>
      <c r="Y3462" s="420"/>
      <c r="Z3462" s="1"/>
      <c r="AA3462" s="1"/>
      <c r="AB3462" s="1"/>
      <c r="AC3462" s="1"/>
      <c r="AD3462" s="1"/>
    </row>
    <row r="3463" spans="17:30">
      <c r="Q3463" s="6">
        <v>3433</v>
      </c>
      <c r="R3463" s="7">
        <v>46100</v>
      </c>
      <c r="S3463" s="210">
        <v>4.25</v>
      </c>
      <c r="T3463" s="8">
        <v>1.0001180555555556</v>
      </c>
      <c r="U3463" s="98">
        <v>4.2365961655483231</v>
      </c>
      <c r="V3463" s="106">
        <v>34917.150131850954</v>
      </c>
      <c r="W3463" s="10">
        <v>1.1219556982278167</v>
      </c>
      <c r="X3463" s="420"/>
      <c r="Y3463" s="420"/>
      <c r="Z3463" s="1"/>
      <c r="AA3463" s="1"/>
      <c r="AB3463" s="1"/>
      <c r="AC3463" s="1"/>
      <c r="AD3463" s="1"/>
    </row>
    <row r="3464" spans="17:30">
      <c r="Q3464" s="6">
        <v>3434</v>
      </c>
      <c r="R3464" s="7">
        <v>46101</v>
      </c>
      <c r="S3464" s="210">
        <v>4.25</v>
      </c>
      <c r="T3464" s="8">
        <v>1.0001180555555556</v>
      </c>
      <c r="U3464" s="98">
        <v>4.2366445697681554</v>
      </c>
      <c r="V3464" s="106">
        <v>34920.056384150514</v>
      </c>
      <c r="W3464" s="10">
        <v>1.1220013986710686</v>
      </c>
      <c r="X3464" s="420"/>
      <c r="Y3464" s="420"/>
      <c r="Z3464" s="1"/>
      <c r="AA3464" s="1"/>
      <c r="AB3464" s="1"/>
      <c r="AC3464" s="1"/>
      <c r="AD3464" s="1"/>
    </row>
    <row r="3465" spans="17:30">
      <c r="Q3465" s="6">
        <v>3435</v>
      </c>
      <c r="R3465" s="7">
        <v>46102</v>
      </c>
      <c r="S3465" s="210">
        <v>4.25</v>
      </c>
      <c r="T3465" s="8">
        <v>1.0001180555555556</v>
      </c>
      <c r="U3465" s="98">
        <v>4.2366929458274916</v>
      </c>
      <c r="V3465" s="106">
        <v>34922.962878345606</v>
      </c>
      <c r="W3465" s="10">
        <v>1.1220470725262555</v>
      </c>
      <c r="X3465" s="420"/>
      <c r="Y3465" s="420"/>
      <c r="Z3465" s="1"/>
      <c r="AA3465" s="1"/>
      <c r="AB3465" s="1"/>
      <c r="AC3465" s="1"/>
      <c r="AD3465" s="1"/>
    </row>
    <row r="3466" spans="17:30">
      <c r="Q3466" s="6">
        <v>3436</v>
      </c>
      <c r="R3466" s="7">
        <v>46103</v>
      </c>
      <c r="S3466" s="210">
        <v>4.25</v>
      </c>
      <c r="T3466" s="8">
        <v>1.0001180555555556</v>
      </c>
      <c r="U3466" s="98">
        <v>4.2367412937508897</v>
      </c>
      <c r="V3466" s="106">
        <v>34925.869614456351</v>
      </c>
      <c r="W3466" s="10">
        <v>1.1220927198165587</v>
      </c>
      <c r="X3466" s="420"/>
      <c r="Y3466" s="420"/>
      <c r="Z3466" s="1"/>
      <c r="AA3466" s="1"/>
      <c r="AB3466" s="1"/>
      <c r="AC3466" s="1"/>
      <c r="AD3466" s="1"/>
    </row>
    <row r="3467" spans="17:30">
      <c r="Q3467" s="6">
        <v>3437</v>
      </c>
      <c r="R3467" s="7">
        <v>46104</v>
      </c>
      <c r="S3467" s="210">
        <v>4.25</v>
      </c>
      <c r="T3467" s="8">
        <v>1.0001180555555556</v>
      </c>
      <c r="U3467" s="98">
        <v>4.236789613562908</v>
      </c>
      <c r="V3467" s="106">
        <v>34928.776592502902</v>
      </c>
      <c r="W3467" s="10">
        <v>1.1221383405651597</v>
      </c>
      <c r="X3467" s="420"/>
      <c r="Y3467" s="420"/>
      <c r="Z3467" s="1"/>
      <c r="AA3467" s="1"/>
      <c r="AB3467" s="1"/>
      <c r="AC3467" s="1"/>
      <c r="AD3467" s="1"/>
    </row>
    <row r="3468" spans="17:30">
      <c r="Q3468" s="6">
        <v>3438</v>
      </c>
      <c r="R3468" s="7">
        <v>46105</v>
      </c>
      <c r="S3468" s="210">
        <v>4.25</v>
      </c>
      <c r="T3468" s="8">
        <v>1.0001180555555556</v>
      </c>
      <c r="U3468" s="98">
        <v>4.2368379052880378</v>
      </c>
      <c r="V3468" s="106">
        <v>34931.683812505384</v>
      </c>
      <c r="W3468" s="10">
        <v>1.1221839347951956</v>
      </c>
      <c r="X3468" s="420"/>
      <c r="Y3468" s="420"/>
      <c r="Z3468" s="1"/>
      <c r="AA3468" s="1"/>
      <c r="AB3468" s="1"/>
      <c r="AC3468" s="1"/>
      <c r="AD3468" s="1"/>
    </row>
    <row r="3469" spans="17:30">
      <c r="Q3469" s="6">
        <v>3439</v>
      </c>
      <c r="R3469" s="7">
        <v>46106</v>
      </c>
      <c r="S3469" s="210">
        <v>4.25</v>
      </c>
      <c r="T3469" s="8">
        <v>1.0001180555555556</v>
      </c>
      <c r="U3469" s="98">
        <v>4.2368861689507709</v>
      </c>
      <c r="V3469" s="106">
        <v>34934.59127448393</v>
      </c>
      <c r="W3469" s="10">
        <v>1.1222295025298035</v>
      </c>
      <c r="X3469" s="420"/>
      <c r="Y3469" s="420"/>
      <c r="Z3469" s="1"/>
      <c r="AA3469" s="1"/>
      <c r="AB3469" s="1"/>
      <c r="AC3469" s="1"/>
      <c r="AD3469" s="1"/>
    </row>
    <row r="3470" spans="17:30">
      <c r="Q3470" s="6">
        <v>3440</v>
      </c>
      <c r="R3470" s="7">
        <v>46107</v>
      </c>
      <c r="S3470" s="210">
        <v>4.25</v>
      </c>
      <c r="T3470" s="8">
        <v>1.0001180555555556</v>
      </c>
      <c r="U3470" s="98">
        <v>4.2369344045755764</v>
      </c>
      <c r="V3470" s="106">
        <v>34937.498978458694</v>
      </c>
      <c r="W3470" s="10">
        <v>1.1222750437920537</v>
      </c>
      <c r="X3470" s="420"/>
      <c r="Y3470" s="420"/>
      <c r="Z3470" s="1"/>
      <c r="AA3470" s="1"/>
      <c r="AB3470" s="1"/>
      <c r="AC3470" s="1"/>
      <c r="AD3470" s="1"/>
    </row>
    <row r="3471" spans="17:30">
      <c r="Q3471" s="6">
        <v>3441</v>
      </c>
      <c r="R3471" s="7">
        <v>46108</v>
      </c>
      <c r="S3471" s="210">
        <v>4.25</v>
      </c>
      <c r="T3471" s="8">
        <v>1.0001180555555556</v>
      </c>
      <c r="U3471" s="98">
        <v>4.236982612186857</v>
      </c>
      <c r="V3471" s="106">
        <v>34940.40692444981</v>
      </c>
      <c r="W3471" s="10">
        <v>1.1223205586050167</v>
      </c>
      <c r="X3471" s="420"/>
      <c r="Y3471" s="420"/>
      <c r="Z3471" s="1"/>
      <c r="AA3471" s="1"/>
      <c r="AB3471" s="1"/>
      <c r="AC3471" s="1"/>
      <c r="AD3471" s="1"/>
    </row>
    <row r="3472" spans="17:30">
      <c r="Q3472" s="6">
        <v>3442</v>
      </c>
      <c r="R3472" s="7">
        <v>46109</v>
      </c>
      <c r="S3472" s="210">
        <v>4.25</v>
      </c>
      <c r="T3472" s="8">
        <v>1.0001180555555556</v>
      </c>
      <c r="U3472" s="98">
        <v>4.2370307918090155</v>
      </c>
      <c r="V3472" s="106">
        <v>34943.31511247743</v>
      </c>
      <c r="W3472" s="10">
        <v>1.1223660469917185</v>
      </c>
      <c r="X3472" s="420"/>
      <c r="Y3472" s="420"/>
      <c r="Z3472" s="1"/>
      <c r="AA3472" s="1"/>
      <c r="AB3472" s="1"/>
      <c r="AC3472" s="1"/>
      <c r="AD3472" s="1"/>
    </row>
    <row r="3473" spans="17:30">
      <c r="Q3473" s="6">
        <v>3443</v>
      </c>
      <c r="R3473" s="7">
        <v>46110</v>
      </c>
      <c r="S3473" s="210">
        <v>4.25</v>
      </c>
      <c r="T3473" s="8">
        <v>1.0001180555555556</v>
      </c>
      <c r="U3473" s="98">
        <v>4.2370789434664324</v>
      </c>
      <c r="V3473" s="106">
        <v>34946.223542561682</v>
      </c>
      <c r="W3473" s="10">
        <v>1.1224115089751852</v>
      </c>
      <c r="X3473" s="420"/>
      <c r="Y3473" s="420"/>
      <c r="Z3473" s="1"/>
      <c r="AA3473" s="1"/>
      <c r="AB3473" s="1"/>
      <c r="AC3473" s="1"/>
      <c r="AD3473" s="1"/>
    </row>
    <row r="3474" spans="17:30">
      <c r="Q3474" s="6">
        <v>3444</v>
      </c>
      <c r="R3474" s="7">
        <v>46111</v>
      </c>
      <c r="S3474" s="210">
        <v>4.25</v>
      </c>
      <c r="T3474" s="8">
        <v>1.0001180555555556</v>
      </c>
      <c r="U3474" s="98">
        <v>4.2371270671834438</v>
      </c>
      <c r="V3474" s="106">
        <v>34949.132214722726</v>
      </c>
      <c r="W3474" s="10">
        <v>1.1224569445783983</v>
      </c>
      <c r="X3474" s="420"/>
      <c r="Y3474" s="420"/>
      <c r="Z3474" s="1"/>
      <c r="AA3474" s="1"/>
      <c r="AB3474" s="1"/>
      <c r="AC3474" s="1"/>
      <c r="AD3474" s="1"/>
    </row>
    <row r="3475" spans="17:30">
      <c r="Q3475" s="6">
        <v>3445</v>
      </c>
      <c r="R3475" s="7">
        <v>46112</v>
      </c>
      <c r="S3475" s="210">
        <v>4.25</v>
      </c>
      <c r="T3475" s="8">
        <v>1.0001180555555556</v>
      </c>
      <c r="U3475" s="98">
        <v>4.2371751629843413</v>
      </c>
      <c r="V3475" s="106">
        <v>34952.041128980716</v>
      </c>
      <c r="W3475" s="10">
        <v>1.1225023538242507</v>
      </c>
      <c r="X3475" s="420"/>
      <c r="Y3475" s="420"/>
      <c r="Z3475" s="1"/>
      <c r="AA3475" s="1"/>
      <c r="AB3475" s="1"/>
      <c r="AC3475" s="1"/>
      <c r="AD3475" s="1"/>
    </row>
    <row r="3476" spans="17:30">
      <c r="Q3476" s="6">
        <v>3446</v>
      </c>
      <c r="R3476" s="7">
        <v>46113</v>
      </c>
      <c r="S3476" s="210">
        <v>4.25</v>
      </c>
      <c r="T3476" s="8">
        <v>1.0001180555555556</v>
      </c>
      <c r="U3476" s="98">
        <v>4.2372232308934388</v>
      </c>
      <c r="V3476" s="106">
        <v>34954.950285355786</v>
      </c>
      <c r="W3476" s="10">
        <v>1.1225477367357684</v>
      </c>
      <c r="X3476" s="420"/>
      <c r="Y3476" s="420"/>
      <c r="Z3476" s="1"/>
      <c r="AA3476" s="1"/>
      <c r="AB3476" s="1"/>
      <c r="AC3476" s="1"/>
      <c r="AD3476" s="1"/>
    </row>
    <row r="3477" spans="17:30">
      <c r="Q3477" s="6">
        <v>3447</v>
      </c>
      <c r="R3477" s="7">
        <v>46114</v>
      </c>
      <c r="S3477" s="210">
        <v>4.25</v>
      </c>
      <c r="T3477" s="8">
        <v>1.0001180555555556</v>
      </c>
      <c r="U3477" s="98">
        <v>4.2372712709349614</v>
      </c>
      <c r="V3477" s="106">
        <v>34957.859683868104</v>
      </c>
      <c r="W3477" s="10">
        <v>1.1225930933357775</v>
      </c>
      <c r="X3477" s="420"/>
      <c r="Y3477" s="420"/>
      <c r="Z3477" s="1"/>
      <c r="AA3477" s="1"/>
      <c r="AB3477" s="1"/>
      <c r="AC3477" s="1"/>
      <c r="AD3477" s="1"/>
    </row>
    <row r="3478" spans="17:30">
      <c r="Q3478" s="6">
        <v>3448</v>
      </c>
      <c r="R3478" s="7">
        <v>46115</v>
      </c>
      <c r="S3478" s="210">
        <v>4.25</v>
      </c>
      <c r="T3478" s="8">
        <v>1.0001180555555556</v>
      </c>
      <c r="U3478" s="98">
        <v>4.2373192831331563</v>
      </c>
      <c r="V3478" s="106">
        <v>34960.769324537818</v>
      </c>
      <c r="W3478" s="10">
        <v>1.1226384236471931</v>
      </c>
      <c r="X3478" s="420"/>
      <c r="Y3478" s="420"/>
      <c r="Z3478" s="1"/>
      <c r="AA3478" s="1"/>
      <c r="AB3478" s="1"/>
      <c r="AC3478" s="1"/>
      <c r="AD3478" s="1"/>
    </row>
    <row r="3479" spans="17:30">
      <c r="Q3479" s="6">
        <v>3449</v>
      </c>
      <c r="R3479" s="7">
        <v>46116</v>
      </c>
      <c r="S3479" s="210">
        <v>4.25</v>
      </c>
      <c r="T3479" s="8">
        <v>1.0001180555555556</v>
      </c>
      <c r="U3479" s="98">
        <v>4.2373672675122265</v>
      </c>
      <c r="V3479" s="106">
        <v>34963.679207385081</v>
      </c>
      <c r="W3479" s="10">
        <v>1.1226837276928414</v>
      </c>
      <c r="X3479" s="420"/>
      <c r="Y3479" s="420"/>
      <c r="Z3479" s="1"/>
      <c r="AA3479" s="1"/>
      <c r="AB3479" s="1"/>
      <c r="AC3479" s="1"/>
      <c r="AD3479" s="1"/>
    </row>
    <row r="3480" spans="17:30">
      <c r="Q3480" s="6">
        <v>3450</v>
      </c>
      <c r="R3480" s="7">
        <v>46117</v>
      </c>
      <c r="S3480" s="210">
        <v>4.25</v>
      </c>
      <c r="T3480" s="8">
        <v>1.0001180555555556</v>
      </c>
      <c r="U3480" s="98">
        <v>4.2374152240963303</v>
      </c>
      <c r="V3480" s="106">
        <v>34966.589332430049</v>
      </c>
      <c r="W3480" s="10">
        <v>1.1227290054955708</v>
      </c>
      <c r="X3480" s="420"/>
      <c r="Y3480" s="420"/>
      <c r="Z3480" s="1"/>
      <c r="AA3480" s="1"/>
      <c r="AB3480" s="1"/>
      <c r="AC3480" s="1"/>
      <c r="AD3480" s="1"/>
    </row>
    <row r="3481" spans="17:30">
      <c r="Q3481" s="6">
        <v>3451</v>
      </c>
      <c r="R3481" s="7">
        <v>46118</v>
      </c>
      <c r="S3481" s="210">
        <v>4.25</v>
      </c>
      <c r="T3481" s="8">
        <v>1.0001180555555556</v>
      </c>
      <c r="U3481" s="98">
        <v>4.2374631529096041</v>
      </c>
      <c r="V3481" s="106">
        <v>34969.499699692882</v>
      </c>
      <c r="W3481" s="10">
        <v>1.1227742570781185</v>
      </c>
      <c r="X3481" s="420"/>
      <c r="Y3481" s="420"/>
      <c r="Z3481" s="1"/>
      <c r="AA3481" s="1"/>
      <c r="AB3481" s="1"/>
      <c r="AC3481" s="1"/>
      <c r="AD3481" s="1"/>
    </row>
    <row r="3482" spans="17:30">
      <c r="Q3482" s="6">
        <v>3452</v>
      </c>
      <c r="R3482" s="7">
        <v>46119</v>
      </c>
      <c r="S3482" s="210">
        <v>4.25</v>
      </c>
      <c r="T3482" s="8">
        <v>1.0001180555555556</v>
      </c>
      <c r="U3482" s="98">
        <v>4.237511053976184</v>
      </c>
      <c r="V3482" s="106">
        <v>34972.410309193743</v>
      </c>
      <c r="W3482" s="10">
        <v>1.1228194824633331</v>
      </c>
      <c r="X3482" s="420"/>
      <c r="Y3482" s="420"/>
      <c r="Z3482" s="1"/>
      <c r="AA3482" s="1"/>
      <c r="AB3482" s="1"/>
      <c r="AC3482" s="1"/>
      <c r="AD3482" s="1"/>
    </row>
    <row r="3483" spans="17:30">
      <c r="Q3483" s="6">
        <v>3453</v>
      </c>
      <c r="R3483" s="7">
        <v>46120</v>
      </c>
      <c r="S3483" s="210">
        <v>4.25</v>
      </c>
      <c r="T3483" s="8">
        <v>1.0001180555555556</v>
      </c>
      <c r="U3483" s="98">
        <v>4.2375589273201397</v>
      </c>
      <c r="V3483" s="106">
        <v>34975.321160952801</v>
      </c>
      <c r="W3483" s="10">
        <v>1.1228646816739074</v>
      </c>
      <c r="X3483" s="420"/>
      <c r="Y3483" s="420"/>
      <c r="Z3483" s="1"/>
      <c r="AA3483" s="1"/>
      <c r="AB3483" s="1"/>
      <c r="AC3483" s="1"/>
      <c r="AD3483" s="1"/>
    </row>
    <row r="3484" spans="17:30">
      <c r="Q3484" s="6">
        <v>3454</v>
      </c>
      <c r="R3484" s="7">
        <v>46121</v>
      </c>
      <c r="S3484" s="210">
        <v>4.25</v>
      </c>
      <c r="T3484" s="8">
        <v>1.0001180555555556</v>
      </c>
      <c r="U3484" s="98">
        <v>4.2376067729655409</v>
      </c>
      <c r="V3484" s="106">
        <v>34978.232254990202</v>
      </c>
      <c r="W3484" s="10">
        <v>1.1229098547325567</v>
      </c>
      <c r="X3484" s="420"/>
      <c r="Y3484" s="420"/>
      <c r="Z3484" s="1"/>
      <c r="AA3484" s="1"/>
      <c r="AB3484" s="1"/>
      <c r="AC3484" s="1"/>
      <c r="AD3484" s="1"/>
    </row>
    <row r="3485" spans="17:30">
      <c r="Q3485" s="6">
        <v>3455</v>
      </c>
      <c r="R3485" s="7">
        <v>46122</v>
      </c>
      <c r="S3485" s="210">
        <v>4.25</v>
      </c>
      <c r="T3485" s="8">
        <v>1.0001180555555556</v>
      </c>
      <c r="U3485" s="98">
        <v>4.2376545909364349</v>
      </c>
      <c r="V3485" s="106">
        <v>34981.143591326123</v>
      </c>
      <c r="W3485" s="10">
        <v>1.122955001661996</v>
      </c>
      <c r="X3485" s="420"/>
      <c r="Y3485" s="420"/>
      <c r="Z3485" s="1"/>
      <c r="AA3485" s="1"/>
      <c r="AB3485" s="1"/>
      <c r="AC3485" s="1"/>
      <c r="AD3485" s="1"/>
    </row>
    <row r="3486" spans="17:30">
      <c r="Q3486" s="6">
        <v>3456</v>
      </c>
      <c r="R3486" s="7">
        <v>46123</v>
      </c>
      <c r="S3486" s="210">
        <v>4.25</v>
      </c>
      <c r="T3486" s="8">
        <v>1.0001180555555556</v>
      </c>
      <c r="U3486" s="98">
        <v>4.2377023812568027</v>
      </c>
      <c r="V3486" s="106">
        <v>34984.055169980733</v>
      </c>
      <c r="W3486" s="10">
        <v>1.1230001224848962</v>
      </c>
      <c r="X3486" s="420"/>
      <c r="Y3486" s="420"/>
      <c r="Z3486" s="1"/>
      <c r="AA3486" s="1"/>
      <c r="AB3486" s="1"/>
      <c r="AC3486" s="1"/>
      <c r="AD3486" s="1"/>
    </row>
    <row r="3487" spans="17:30">
      <c r="Q3487" s="6">
        <v>3457</v>
      </c>
      <c r="R3487" s="7">
        <v>46124</v>
      </c>
      <c r="S3487" s="210">
        <v>4.25</v>
      </c>
      <c r="T3487" s="8">
        <v>1.0001180555555556</v>
      </c>
      <c r="U3487" s="98">
        <v>4.2377501439506249</v>
      </c>
      <c r="V3487" s="106">
        <v>34986.966990974193</v>
      </c>
      <c r="W3487" s="10">
        <v>1.1230452172238614</v>
      </c>
      <c r="X3487" s="420"/>
      <c r="Y3487" s="420"/>
      <c r="Z3487" s="1"/>
      <c r="AA3487" s="1"/>
      <c r="AB3487" s="1"/>
      <c r="AC3487" s="1"/>
      <c r="AD3487" s="1"/>
    </row>
    <row r="3488" spans="17:30">
      <c r="Q3488" s="6">
        <v>3458</v>
      </c>
      <c r="R3488" s="7">
        <v>46125</v>
      </c>
      <c r="S3488" s="210">
        <v>4.25</v>
      </c>
      <c r="T3488" s="8">
        <v>1.0001180555555556</v>
      </c>
      <c r="U3488" s="98">
        <v>4.2377978790418602</v>
      </c>
      <c r="V3488" s="106">
        <v>34989.87905432668</v>
      </c>
      <c r="W3488" s="10">
        <v>1.1230902859015401</v>
      </c>
      <c r="X3488" s="420"/>
      <c r="Y3488" s="420"/>
      <c r="Z3488" s="1"/>
      <c r="AA3488" s="1"/>
      <c r="AB3488" s="1"/>
      <c r="AC3488" s="1"/>
      <c r="AD3488" s="1"/>
    </row>
    <row r="3489" spans="17:30">
      <c r="Q3489" s="6">
        <v>3459</v>
      </c>
      <c r="R3489" s="7">
        <v>46126</v>
      </c>
      <c r="S3489" s="210">
        <v>4.25</v>
      </c>
      <c r="T3489" s="8">
        <v>1.0001180555555556</v>
      </c>
      <c r="U3489" s="98">
        <v>4.2378455865544229</v>
      </c>
      <c r="V3489" s="106">
        <v>34992.791360058363</v>
      </c>
      <c r="W3489" s="10">
        <v>1.1231353285404921</v>
      </c>
      <c r="X3489" s="420"/>
      <c r="Y3489" s="420"/>
      <c r="Z3489" s="1"/>
      <c r="AA3489" s="1"/>
      <c r="AB3489" s="1"/>
      <c r="AC3489" s="1"/>
      <c r="AD3489" s="1"/>
    </row>
    <row r="3490" spans="17:30">
      <c r="Q3490" s="6">
        <v>3460</v>
      </c>
      <c r="R3490" s="7">
        <v>46127</v>
      </c>
      <c r="S3490" s="210">
        <v>4.25</v>
      </c>
      <c r="T3490" s="8">
        <v>1.0001180555555556</v>
      </c>
      <c r="U3490" s="98">
        <v>4.2378932665122049</v>
      </c>
      <c r="V3490" s="106">
        <v>34995.703908189425</v>
      </c>
      <c r="W3490" s="10">
        <v>1.1231803451632771</v>
      </c>
      <c r="X3490" s="420"/>
      <c r="Y3490" s="420"/>
      <c r="Z3490" s="1"/>
      <c r="AA3490" s="1"/>
      <c r="AB3490" s="1"/>
      <c r="AC3490" s="1"/>
      <c r="AD3490" s="1"/>
    </row>
    <row r="3491" spans="17:30">
      <c r="Q3491" s="6">
        <v>3461</v>
      </c>
      <c r="R3491" s="7">
        <v>46128</v>
      </c>
      <c r="S3491" s="210">
        <v>4.25</v>
      </c>
      <c r="T3491" s="8">
        <v>1.0001180555555556</v>
      </c>
      <c r="U3491" s="98">
        <v>4.2379409189390538</v>
      </c>
      <c r="V3491" s="106">
        <v>34998.616698740021</v>
      </c>
      <c r="W3491" s="10">
        <v>1.1232253357924105</v>
      </c>
      <c r="X3491" s="420"/>
      <c r="Y3491" s="420"/>
      <c r="Z3491" s="1"/>
      <c r="AA3491" s="1"/>
      <c r="AB3491" s="1"/>
      <c r="AC3491" s="1"/>
      <c r="AD3491" s="1"/>
    </row>
    <row r="3492" spans="17:30">
      <c r="Q3492" s="6">
        <v>3462</v>
      </c>
      <c r="R3492" s="7">
        <v>46129</v>
      </c>
      <c r="S3492" s="210">
        <v>4.25</v>
      </c>
      <c r="T3492" s="8">
        <v>1.0001180555555556</v>
      </c>
      <c r="U3492" s="98">
        <v>4.2379885438588394</v>
      </c>
      <c r="V3492" s="106">
        <v>35001.529731730348</v>
      </c>
      <c r="W3492" s="10">
        <v>1.1232703004504518</v>
      </c>
      <c r="X3492" s="420"/>
      <c r="Y3492" s="420"/>
      <c r="Z3492" s="1"/>
      <c r="AA3492" s="1"/>
      <c r="AB3492" s="1"/>
      <c r="AC3492" s="1"/>
      <c r="AD3492" s="1"/>
    </row>
    <row r="3493" spans="17:30">
      <c r="Q3493" s="6">
        <v>3463</v>
      </c>
      <c r="R3493" s="7">
        <v>46130</v>
      </c>
      <c r="S3493" s="210">
        <v>4.25</v>
      </c>
      <c r="T3493" s="8">
        <v>1.0001180555555556</v>
      </c>
      <c r="U3493" s="98">
        <v>4.2380361412953427</v>
      </c>
      <c r="V3493" s="106">
        <v>35004.443007180576</v>
      </c>
      <c r="W3493" s="10">
        <v>1.1233152391598278</v>
      </c>
      <c r="X3493" s="420"/>
      <c r="Y3493" s="420"/>
      <c r="Z3493" s="1"/>
      <c r="AA3493" s="1"/>
      <c r="AB3493" s="1"/>
      <c r="AC3493" s="1"/>
      <c r="AD3493" s="1"/>
    </row>
    <row r="3494" spans="17:30">
      <c r="Q3494" s="6">
        <v>3464</v>
      </c>
      <c r="R3494" s="7">
        <v>46131</v>
      </c>
      <c r="S3494" s="210">
        <v>4.25</v>
      </c>
      <c r="T3494" s="8">
        <v>1.0001180555555556</v>
      </c>
      <c r="U3494" s="98">
        <v>4.2380837112723668</v>
      </c>
      <c r="V3494" s="106">
        <v>35007.356525110888</v>
      </c>
      <c r="W3494" s="10">
        <v>1.1233601519430314</v>
      </c>
      <c r="X3494" s="420"/>
      <c r="Y3494" s="420"/>
      <c r="Z3494" s="1"/>
      <c r="AA3494" s="1"/>
      <c r="AB3494" s="1"/>
      <c r="AC3494" s="1"/>
      <c r="AD3494" s="1"/>
    </row>
    <row r="3495" spans="17:30">
      <c r="Q3495" s="6">
        <v>3465</v>
      </c>
      <c r="R3495" s="7">
        <v>46132</v>
      </c>
      <c r="S3495" s="210">
        <v>4.25</v>
      </c>
      <c r="T3495" s="8">
        <v>1.0001180555555556</v>
      </c>
      <c r="U3495" s="98">
        <v>4.2381312538136706</v>
      </c>
      <c r="V3495" s="106">
        <v>35010.270285541461</v>
      </c>
      <c r="W3495" s="10">
        <v>1.1234050388224892</v>
      </c>
      <c r="X3495" s="420"/>
      <c r="Y3495" s="420"/>
      <c r="Z3495" s="1"/>
      <c r="AA3495" s="1"/>
      <c r="AB3495" s="1"/>
      <c r="AC3495" s="1"/>
      <c r="AD3495" s="1"/>
    </row>
    <row r="3496" spans="17:30">
      <c r="Q3496" s="6">
        <v>3466</v>
      </c>
      <c r="R3496" s="7">
        <v>46133</v>
      </c>
      <c r="S3496" s="210">
        <v>4.25</v>
      </c>
      <c r="T3496" s="8">
        <v>1.0001180555555556</v>
      </c>
      <c r="U3496" s="98">
        <v>4.2381787689429684</v>
      </c>
      <c r="V3496" s="106">
        <v>35013.184288492492</v>
      </c>
      <c r="W3496" s="10">
        <v>1.1234498998205833</v>
      </c>
      <c r="X3496" s="420"/>
      <c r="Y3496" s="420"/>
      <c r="Z3496" s="1"/>
      <c r="AA3496" s="1"/>
      <c r="AB3496" s="1"/>
      <c r="AC3496" s="1"/>
      <c r="AD3496" s="1"/>
    </row>
    <row r="3497" spans="17:30">
      <c r="Q3497" s="6">
        <v>3467</v>
      </c>
      <c r="R3497" s="7">
        <v>46134</v>
      </c>
      <c r="S3497" s="210">
        <v>4.25</v>
      </c>
      <c r="T3497" s="8">
        <v>1.0001180555555556</v>
      </c>
      <c r="U3497" s="98">
        <v>4.2382262566839746</v>
      </c>
      <c r="V3497" s="106">
        <v>35016.09853398415</v>
      </c>
      <c r="W3497" s="10">
        <v>1.123494734959718</v>
      </c>
      <c r="X3497" s="420"/>
      <c r="Y3497" s="420"/>
      <c r="Z3497" s="1"/>
      <c r="AA3497" s="1"/>
      <c r="AB3497" s="1"/>
      <c r="AC3497" s="1"/>
      <c r="AD3497" s="1"/>
    </row>
    <row r="3498" spans="17:30">
      <c r="Q3498" s="6">
        <v>3468</v>
      </c>
      <c r="R3498" s="7">
        <v>46135</v>
      </c>
      <c r="S3498" s="210">
        <v>4.25</v>
      </c>
      <c r="T3498" s="8">
        <v>1.0001180555555556</v>
      </c>
      <c r="U3498" s="98">
        <v>4.238273717060359</v>
      </c>
      <c r="V3498" s="106">
        <v>35019.013022036641</v>
      </c>
      <c r="W3498" s="10">
        <v>1.1235395442622309</v>
      </c>
      <c r="X3498" s="420"/>
      <c r="Y3498" s="420"/>
      <c r="Z3498" s="1"/>
      <c r="AA3498" s="1"/>
      <c r="AB3498" s="1"/>
      <c r="AC3498" s="1"/>
      <c r="AD3498" s="1"/>
    </row>
    <row r="3499" spans="17:30">
      <c r="Q3499" s="6">
        <v>3469</v>
      </c>
      <c r="R3499" s="7">
        <v>46136</v>
      </c>
      <c r="S3499" s="210">
        <v>4.25</v>
      </c>
      <c r="T3499" s="8">
        <v>1.0001180555555556</v>
      </c>
      <c r="U3499" s="98">
        <v>4.2383211500957474</v>
      </c>
      <c r="V3499" s="106">
        <v>35021.927752670141</v>
      </c>
      <c r="W3499" s="10">
        <v>1.1235843277504376</v>
      </c>
      <c r="X3499" s="420"/>
      <c r="Y3499" s="420"/>
      <c r="Z3499" s="1"/>
      <c r="AA3499" s="1"/>
      <c r="AB3499" s="1"/>
      <c r="AC3499" s="1"/>
      <c r="AD3499" s="1"/>
    </row>
    <row r="3500" spans="17:30">
      <c r="Q3500" s="6">
        <v>3470</v>
      </c>
      <c r="R3500" s="7">
        <v>46137</v>
      </c>
      <c r="S3500" s="210">
        <v>4.25</v>
      </c>
      <c r="T3500" s="8">
        <v>1.0001180555555556</v>
      </c>
      <c r="U3500" s="98">
        <v>4.2383685558137874</v>
      </c>
      <c r="V3500" s="106">
        <v>35024.842725904833</v>
      </c>
      <c r="W3500" s="10">
        <v>1.1236290854466757</v>
      </c>
      <c r="X3500" s="420"/>
      <c r="Y3500" s="420"/>
      <c r="Z3500" s="1"/>
      <c r="AA3500" s="1"/>
      <c r="AB3500" s="1"/>
      <c r="AC3500" s="1"/>
      <c r="AD3500" s="1"/>
    </row>
    <row r="3501" spans="17:30">
      <c r="Q3501" s="6">
        <v>3471</v>
      </c>
      <c r="R3501" s="7">
        <v>46138</v>
      </c>
      <c r="S3501" s="210">
        <v>4.25</v>
      </c>
      <c r="T3501" s="8">
        <v>1.0001180555555556</v>
      </c>
      <c r="U3501" s="98">
        <v>4.2384159342380601</v>
      </c>
      <c r="V3501" s="106">
        <v>35027.757941760938</v>
      </c>
      <c r="W3501" s="10">
        <v>1.123673817373172</v>
      </c>
      <c r="X3501" s="420"/>
      <c r="Y3501" s="420"/>
      <c r="Z3501" s="1"/>
      <c r="AA3501" s="1"/>
      <c r="AB3501" s="1"/>
      <c r="AC3501" s="1"/>
      <c r="AD3501" s="1"/>
    </row>
    <row r="3502" spans="17:30">
      <c r="Q3502" s="6">
        <v>3472</v>
      </c>
      <c r="R3502" s="7">
        <v>46139</v>
      </c>
      <c r="S3502" s="210">
        <v>4.25</v>
      </c>
      <c r="T3502" s="8">
        <v>1.0001180555555556</v>
      </c>
      <c r="U3502" s="98">
        <v>4.2384632853921245</v>
      </c>
      <c r="V3502" s="106">
        <v>35030.673400258616</v>
      </c>
      <c r="W3502" s="10">
        <v>1.1237185235522196</v>
      </c>
      <c r="X3502" s="420"/>
      <c r="Y3502" s="420"/>
      <c r="Z3502" s="1"/>
      <c r="AA3502" s="1"/>
      <c r="AB3502" s="1"/>
      <c r="AC3502" s="1"/>
      <c r="AD3502" s="1"/>
    </row>
    <row r="3503" spans="17:30">
      <c r="Q3503" s="6">
        <v>3473</v>
      </c>
      <c r="R3503" s="7">
        <v>46140</v>
      </c>
      <c r="S3503" s="210">
        <v>4.25</v>
      </c>
      <c r="T3503" s="8">
        <v>1.0001180555555556</v>
      </c>
      <c r="U3503" s="98">
        <v>4.2385106092995173</v>
      </c>
      <c r="V3503" s="106">
        <v>35033.589101418082</v>
      </c>
      <c r="W3503" s="10">
        <v>1.1237632040060008</v>
      </c>
      <c r="X3503" s="420"/>
      <c r="Y3503" s="420"/>
      <c r="Z3503" s="1"/>
      <c r="AA3503" s="1"/>
      <c r="AB3503" s="1"/>
      <c r="AC3503" s="1"/>
      <c r="AD3503" s="1"/>
    </row>
    <row r="3504" spans="17:30">
      <c r="Q3504" s="6">
        <v>3474</v>
      </c>
      <c r="R3504" s="7">
        <v>46141</v>
      </c>
      <c r="S3504" s="210">
        <v>4.25</v>
      </c>
      <c r="T3504" s="8">
        <v>1.0001180555555556</v>
      </c>
      <c r="U3504" s="98">
        <v>4.238557905983753</v>
      </c>
      <c r="V3504" s="106">
        <v>35036.505045259539</v>
      </c>
      <c r="W3504" s="10">
        <v>1.1238078587567202</v>
      </c>
      <c r="X3504" s="420"/>
      <c r="Y3504" s="420"/>
      <c r="Z3504" s="1"/>
      <c r="AA3504" s="1"/>
      <c r="AB3504" s="1"/>
      <c r="AC3504" s="1"/>
      <c r="AD3504" s="1"/>
    </row>
    <row r="3505" spans="17:30">
      <c r="Q3505" s="6">
        <v>3475</v>
      </c>
      <c r="R3505" s="7">
        <v>46142</v>
      </c>
      <c r="S3505" s="210">
        <v>4.25</v>
      </c>
      <c r="T3505" s="8">
        <v>1.0001180555555556</v>
      </c>
      <c r="U3505" s="98">
        <v>4.238605175468324</v>
      </c>
      <c r="V3505" s="106">
        <v>35039.421231803164</v>
      </c>
      <c r="W3505" s="10">
        <v>1.1238524878265821</v>
      </c>
      <c r="X3505" s="420"/>
      <c r="Y3505" s="420"/>
      <c r="Z3505" s="1"/>
      <c r="AA3505" s="1"/>
      <c r="AB3505" s="1"/>
      <c r="AC3505" s="1"/>
      <c r="AD3505" s="1"/>
    </row>
    <row r="3506" spans="17:30">
      <c r="Q3506" s="6">
        <v>3476</v>
      </c>
      <c r="R3506" s="7">
        <v>46143</v>
      </c>
      <c r="S3506" s="210">
        <v>4.25</v>
      </c>
      <c r="T3506" s="8">
        <v>1.0001180555555556</v>
      </c>
      <c r="U3506" s="98">
        <v>4.2386524177766782</v>
      </c>
      <c r="V3506" s="106">
        <v>35042.337661069178</v>
      </c>
      <c r="W3506" s="10">
        <v>1.1238970912377244</v>
      </c>
      <c r="X3506" s="420"/>
      <c r="Y3506" s="420"/>
      <c r="Z3506" s="1"/>
      <c r="AA3506" s="1"/>
      <c r="AB3506" s="1"/>
      <c r="AC3506" s="1"/>
      <c r="AD3506" s="1"/>
    </row>
    <row r="3507" spans="17:30">
      <c r="Q3507" s="6">
        <v>3477</v>
      </c>
      <c r="R3507" s="7">
        <v>46144</v>
      </c>
      <c r="S3507" s="210">
        <v>4.25</v>
      </c>
      <c r="T3507" s="8">
        <v>1.0001180555555556</v>
      </c>
      <c r="U3507" s="98">
        <v>4.2386996329322635</v>
      </c>
      <c r="V3507" s="106">
        <v>35045.254333077777</v>
      </c>
      <c r="W3507" s="10">
        <v>1.123941669012285</v>
      </c>
      <c r="X3507" s="420"/>
      <c r="Y3507" s="420"/>
      <c r="Z3507" s="1"/>
      <c r="AA3507" s="1"/>
      <c r="AB3507" s="1"/>
      <c r="AC3507" s="1"/>
      <c r="AD3507" s="1"/>
    </row>
    <row r="3508" spans="17:30">
      <c r="Q3508" s="6">
        <v>3478</v>
      </c>
      <c r="R3508" s="7">
        <v>46145</v>
      </c>
      <c r="S3508" s="210">
        <v>4.25</v>
      </c>
      <c r="T3508" s="8">
        <v>1.0001180555555556</v>
      </c>
      <c r="U3508" s="98">
        <v>4.2387468209584611</v>
      </c>
      <c r="V3508" s="106">
        <v>35048.171247849154</v>
      </c>
      <c r="W3508" s="10">
        <v>1.1239862211723128</v>
      </c>
      <c r="X3508" s="420"/>
      <c r="Y3508" s="420"/>
      <c r="Z3508" s="1"/>
      <c r="AA3508" s="1"/>
      <c r="AB3508" s="1"/>
      <c r="AC3508" s="1"/>
      <c r="AD3508" s="1"/>
    </row>
    <row r="3509" spans="17:30">
      <c r="Q3509" s="6">
        <v>3479</v>
      </c>
      <c r="R3509" s="7">
        <v>46146</v>
      </c>
      <c r="S3509" s="210">
        <v>4.25</v>
      </c>
      <c r="T3509" s="8">
        <v>1.0001180555555556</v>
      </c>
      <c r="U3509" s="98">
        <v>4.2387939818786524</v>
      </c>
      <c r="V3509" s="106">
        <v>35051.088405403541</v>
      </c>
      <c r="W3509" s="10">
        <v>1.1240307477399014</v>
      </c>
      <c r="X3509" s="420"/>
      <c r="Y3509" s="420"/>
      <c r="Z3509" s="1"/>
      <c r="AA3509" s="1"/>
      <c r="AB3509" s="1"/>
      <c r="AC3509" s="1"/>
      <c r="AD3509" s="1"/>
    </row>
    <row r="3510" spans="17:30">
      <c r="Q3510" s="6">
        <v>3480</v>
      </c>
      <c r="R3510" s="7">
        <v>46147</v>
      </c>
      <c r="S3510" s="210">
        <v>4.25</v>
      </c>
      <c r="T3510" s="8">
        <v>1.0001180555555556</v>
      </c>
      <c r="U3510" s="98">
        <v>4.2388411157161743</v>
      </c>
      <c r="V3510" s="106">
        <v>35054.005805761124</v>
      </c>
      <c r="W3510" s="10">
        <v>1.1240752487370997</v>
      </c>
      <c r="X3510" s="420"/>
      <c r="Y3510" s="420"/>
      <c r="Z3510" s="1"/>
      <c r="AA3510" s="1"/>
      <c r="AB3510" s="1"/>
      <c r="AC3510" s="1"/>
      <c r="AD3510" s="1"/>
    </row>
    <row r="3511" spans="17:30">
      <c r="Q3511" s="6">
        <v>3481</v>
      </c>
      <c r="R3511" s="7">
        <v>46148</v>
      </c>
      <c r="S3511" s="210">
        <v>4.25</v>
      </c>
      <c r="T3511" s="8">
        <v>1.0001180555555556</v>
      </c>
      <c r="U3511" s="98">
        <v>4.2388882224943636</v>
      </c>
      <c r="V3511" s="106">
        <v>35056.923448942114</v>
      </c>
      <c r="W3511" s="10">
        <v>1.1241197241859346</v>
      </c>
      <c r="X3511" s="420"/>
      <c r="Y3511" s="420"/>
      <c r="Z3511" s="1"/>
      <c r="AA3511" s="1"/>
      <c r="AB3511" s="1"/>
      <c r="AC3511" s="1"/>
      <c r="AD3511" s="1"/>
    </row>
    <row r="3512" spans="17:30">
      <c r="Q3512" s="6">
        <v>3482</v>
      </c>
      <c r="R3512" s="7">
        <v>46149</v>
      </c>
      <c r="S3512" s="210">
        <v>4.25</v>
      </c>
      <c r="T3512" s="8">
        <v>1.0001180555555556</v>
      </c>
      <c r="U3512" s="98">
        <v>4.2389353022365128</v>
      </c>
      <c r="V3512" s="106">
        <v>35059.841334966724</v>
      </c>
      <c r="W3512" s="10">
        <v>1.1241641741083885</v>
      </c>
      <c r="X3512" s="420"/>
      <c r="Y3512" s="420"/>
      <c r="Z3512" s="1"/>
      <c r="AA3512" s="1"/>
      <c r="AB3512" s="1"/>
      <c r="AC3512" s="1"/>
      <c r="AD3512" s="1"/>
    </row>
    <row r="3513" spans="17:30">
      <c r="Q3513" s="6">
        <v>3483</v>
      </c>
      <c r="R3513" s="7">
        <v>46150</v>
      </c>
      <c r="S3513" s="210">
        <v>4.25</v>
      </c>
      <c r="T3513" s="8">
        <v>1.0001180555555556</v>
      </c>
      <c r="U3513" s="98">
        <v>4.2389823549658923</v>
      </c>
      <c r="V3513" s="106">
        <v>35062.759463855175</v>
      </c>
      <c r="W3513" s="10">
        <v>1.1242085985264216</v>
      </c>
      <c r="X3513" s="420"/>
      <c r="Y3513" s="420"/>
      <c r="Z3513" s="1"/>
      <c r="AA3513" s="1"/>
      <c r="AB3513" s="1"/>
      <c r="AC3513" s="1"/>
      <c r="AD3513" s="1"/>
    </row>
    <row r="3514" spans="17:30">
      <c r="Q3514" s="6">
        <v>3484</v>
      </c>
      <c r="R3514" s="7">
        <v>46151</v>
      </c>
      <c r="S3514" s="210">
        <v>4.25</v>
      </c>
      <c r="T3514" s="8">
        <v>1.0001180555555556</v>
      </c>
      <c r="U3514" s="98">
        <v>4.2390293807057278</v>
      </c>
      <c r="V3514" s="106">
        <v>35065.67783562767</v>
      </c>
      <c r="W3514" s="10">
        <v>1.1242529974619941</v>
      </c>
      <c r="X3514" s="420"/>
      <c r="Y3514" s="420"/>
      <c r="Z3514" s="1"/>
      <c r="AA3514" s="1"/>
      <c r="AB3514" s="1"/>
      <c r="AC3514" s="1"/>
      <c r="AD3514" s="1"/>
    </row>
    <row r="3515" spans="17:30">
      <c r="Q3515" s="6">
        <v>3485</v>
      </c>
      <c r="R3515" s="7">
        <v>46152</v>
      </c>
      <c r="S3515" s="210">
        <v>4.25</v>
      </c>
      <c r="T3515" s="8">
        <v>1.0001180555555556</v>
      </c>
      <c r="U3515" s="98">
        <v>4.2390763794792674</v>
      </c>
      <c r="V3515" s="106">
        <v>35068.596450304438</v>
      </c>
      <c r="W3515" s="10">
        <v>1.1242973709370441</v>
      </c>
      <c r="X3515" s="420"/>
      <c r="Y3515" s="420"/>
      <c r="Z3515" s="1"/>
      <c r="AA3515" s="1"/>
      <c r="AB3515" s="1"/>
      <c r="AC3515" s="1"/>
      <c r="AD3515" s="1"/>
    </row>
    <row r="3516" spans="17:30">
      <c r="Q3516" s="6">
        <v>3486</v>
      </c>
      <c r="R3516" s="7">
        <v>46153</v>
      </c>
      <c r="S3516" s="210">
        <v>4.25</v>
      </c>
      <c r="T3516" s="8">
        <v>1.0001180555555556</v>
      </c>
      <c r="U3516" s="98">
        <v>4.2391233513096704</v>
      </c>
      <c r="V3516" s="106">
        <v>35071.515307905684</v>
      </c>
      <c r="W3516" s="10">
        <v>1.1243417189734206</v>
      </c>
      <c r="X3516" s="420"/>
      <c r="Y3516" s="420"/>
      <c r="Z3516" s="1"/>
      <c r="AA3516" s="1"/>
      <c r="AB3516" s="1"/>
      <c r="AC3516" s="1"/>
      <c r="AD3516" s="1"/>
    </row>
    <row r="3517" spans="17:30">
      <c r="Q3517" s="6">
        <v>3487</v>
      </c>
      <c r="R3517" s="7">
        <v>46154</v>
      </c>
      <c r="S3517" s="210">
        <v>4.25</v>
      </c>
      <c r="T3517" s="8">
        <v>1.0001180555555556</v>
      </c>
      <c r="U3517" s="98">
        <v>4.2391702962201183</v>
      </c>
      <c r="V3517" s="106">
        <v>35074.434408451627</v>
      </c>
      <c r="W3517" s="10">
        <v>1.1243860415930396</v>
      </c>
      <c r="X3517" s="420"/>
      <c r="Y3517" s="420"/>
      <c r="Z3517" s="1"/>
      <c r="AA3517" s="1"/>
      <c r="AB3517" s="1"/>
      <c r="AC3517" s="1"/>
      <c r="AD3517" s="1"/>
    </row>
    <row r="3518" spans="17:30">
      <c r="Q3518" s="6">
        <v>3488</v>
      </c>
      <c r="R3518" s="7">
        <v>46155</v>
      </c>
      <c r="S3518" s="210">
        <v>4.25</v>
      </c>
      <c r="T3518" s="8">
        <v>1.0001180555555556</v>
      </c>
      <c r="U3518" s="98">
        <v>4.2392172142337259</v>
      </c>
      <c r="V3518" s="106">
        <v>35077.353751962502</v>
      </c>
      <c r="W3518" s="10">
        <v>1.1244303388177057</v>
      </c>
      <c r="X3518" s="420"/>
      <c r="Y3518" s="420"/>
      <c r="Z3518" s="1"/>
      <c r="AA3518" s="1"/>
      <c r="AB3518" s="1"/>
      <c r="AC3518" s="1"/>
      <c r="AD3518" s="1"/>
    </row>
    <row r="3519" spans="17:30">
      <c r="Q3519" s="6">
        <v>3489</v>
      </c>
      <c r="R3519" s="7">
        <v>46156</v>
      </c>
      <c r="S3519" s="210">
        <v>4.25</v>
      </c>
      <c r="T3519" s="8">
        <v>1.0001180555555556</v>
      </c>
      <c r="U3519" s="98">
        <v>4.239264105373608</v>
      </c>
      <c r="V3519" s="106">
        <v>35080.273338458515</v>
      </c>
      <c r="W3519" s="10">
        <v>1.124474610669246</v>
      </c>
      <c r="X3519" s="420"/>
      <c r="Y3519" s="420"/>
      <c r="Z3519" s="1"/>
      <c r="AA3519" s="1"/>
      <c r="AB3519" s="1"/>
      <c r="AC3519" s="1"/>
      <c r="AD3519" s="1"/>
    </row>
    <row r="3520" spans="17:30">
      <c r="Q3520" s="6">
        <v>3490</v>
      </c>
      <c r="R3520" s="7">
        <v>46157</v>
      </c>
      <c r="S3520" s="210">
        <v>4.25</v>
      </c>
      <c r="T3520" s="8">
        <v>1.0001180555555556</v>
      </c>
      <c r="U3520" s="98">
        <v>4.2393109696628573</v>
      </c>
      <c r="V3520" s="106">
        <v>35083.193167959893</v>
      </c>
      <c r="W3520" s="10">
        <v>1.1245188571694653</v>
      </c>
      <c r="X3520" s="420"/>
      <c r="Y3520" s="420"/>
      <c r="Z3520" s="1"/>
      <c r="AA3520" s="1"/>
      <c r="AB3520" s="1"/>
      <c r="AC3520" s="1"/>
      <c r="AD3520" s="1"/>
    </row>
    <row r="3521" spans="17:30">
      <c r="Q3521" s="6">
        <v>3491</v>
      </c>
      <c r="R3521" s="7">
        <v>46158</v>
      </c>
      <c r="S3521" s="210">
        <v>4.25</v>
      </c>
      <c r="T3521" s="8">
        <v>1.0001180555555556</v>
      </c>
      <c r="U3521" s="98">
        <v>4.2393578071245219</v>
      </c>
      <c r="V3521" s="106">
        <v>35086.113240486869</v>
      </c>
      <c r="W3521" s="10">
        <v>1.1245630783401461</v>
      </c>
      <c r="X3521" s="420"/>
      <c r="Y3521" s="420"/>
      <c r="Z3521" s="1"/>
      <c r="AA3521" s="1"/>
      <c r="AB3521" s="1"/>
      <c r="AC3521" s="1"/>
      <c r="AD3521" s="1"/>
    </row>
    <row r="3522" spans="17:30">
      <c r="Q3522" s="6">
        <v>3492</v>
      </c>
      <c r="R3522" s="7">
        <v>46159</v>
      </c>
      <c r="S3522" s="210">
        <v>4.25</v>
      </c>
      <c r="T3522" s="8">
        <v>1.0001180555555556</v>
      </c>
      <c r="U3522" s="98">
        <v>4.239404617781628</v>
      </c>
      <c r="V3522" s="106">
        <v>35089.033556059672</v>
      </c>
      <c r="W3522" s="10">
        <v>1.1246072742030044</v>
      </c>
      <c r="X3522" s="420"/>
      <c r="Y3522" s="420"/>
      <c r="Z3522" s="1"/>
      <c r="AA3522" s="1"/>
      <c r="AB3522" s="1"/>
      <c r="AC3522" s="1"/>
      <c r="AD3522" s="1"/>
    </row>
    <row r="3523" spans="17:30">
      <c r="Q3523" s="6">
        <v>3493</v>
      </c>
      <c r="R3523" s="7">
        <v>46160</v>
      </c>
      <c r="S3523" s="210">
        <v>4.25</v>
      </c>
      <c r="T3523" s="8">
        <v>1.0001180555555556</v>
      </c>
      <c r="U3523" s="98">
        <v>4.2394514016572016</v>
      </c>
      <c r="V3523" s="106">
        <v>35091.954114698528</v>
      </c>
      <c r="W3523" s="10">
        <v>1.1246514447797784</v>
      </c>
      <c r="X3523" s="420"/>
      <c r="Y3523" s="420"/>
      <c r="Z3523" s="1"/>
      <c r="AA3523" s="1"/>
      <c r="AB3523" s="1"/>
      <c r="AC3523" s="1"/>
      <c r="AD3523" s="1"/>
    </row>
    <row r="3524" spans="17:30">
      <c r="Q3524" s="6">
        <v>3494</v>
      </c>
      <c r="R3524" s="7">
        <v>46161</v>
      </c>
      <c r="S3524" s="210">
        <v>4.25</v>
      </c>
      <c r="T3524" s="8">
        <v>1.0001180555555556</v>
      </c>
      <c r="U3524" s="98">
        <v>4.239498158774202</v>
      </c>
      <c r="V3524" s="106">
        <v>35094.874916423665</v>
      </c>
      <c r="W3524" s="10">
        <v>1.1246955900921618</v>
      </c>
      <c r="X3524" s="420"/>
      <c r="Y3524" s="420"/>
      <c r="Z3524" s="1"/>
      <c r="AA3524" s="1"/>
      <c r="AB3524" s="1"/>
      <c r="AC3524" s="1"/>
      <c r="AD3524" s="1"/>
    </row>
    <row r="3525" spans="17:30">
      <c r="Q3525" s="6">
        <v>3495</v>
      </c>
      <c r="R3525" s="7">
        <v>46162</v>
      </c>
      <c r="S3525" s="210">
        <v>4.25</v>
      </c>
      <c r="T3525" s="8">
        <v>1.0001180555555556</v>
      </c>
      <c r="U3525" s="98">
        <v>4.2395448891555665</v>
      </c>
      <c r="V3525" s="106">
        <v>35097.795961255317</v>
      </c>
      <c r="W3525" s="10">
        <v>1.124739710161804</v>
      </c>
      <c r="X3525" s="420"/>
      <c r="Y3525" s="420"/>
      <c r="Z3525" s="1"/>
      <c r="AA3525" s="1"/>
      <c r="AB3525" s="1"/>
      <c r="AC3525" s="1"/>
      <c r="AD3525" s="1"/>
    </row>
    <row r="3526" spans="17:30">
      <c r="Q3526" s="6">
        <v>3496</v>
      </c>
      <c r="R3526" s="7">
        <v>46163</v>
      </c>
      <c r="S3526" s="210">
        <v>4.25</v>
      </c>
      <c r="T3526" s="8">
        <v>1.0001180555555556</v>
      </c>
      <c r="U3526" s="98">
        <v>4.2395915928242323</v>
      </c>
      <c r="V3526" s="106">
        <v>35100.717249213725</v>
      </c>
      <c r="W3526" s="10">
        <v>1.1247838050103542</v>
      </c>
      <c r="X3526" s="420"/>
      <c r="Y3526" s="420"/>
      <c r="Z3526" s="1"/>
      <c r="AA3526" s="1"/>
      <c r="AB3526" s="1"/>
      <c r="AC3526" s="1"/>
      <c r="AD3526" s="1"/>
    </row>
    <row r="3527" spans="17:30">
      <c r="Q3527" s="6">
        <v>3497</v>
      </c>
      <c r="R3527" s="7">
        <v>46164</v>
      </c>
      <c r="S3527" s="210">
        <v>4.25</v>
      </c>
      <c r="T3527" s="8">
        <v>1.0001180555555556</v>
      </c>
      <c r="U3527" s="98">
        <v>4.2396382698031143</v>
      </c>
      <c r="V3527" s="106">
        <v>35103.638780319117</v>
      </c>
      <c r="W3527" s="10">
        <v>1.124827874659462</v>
      </c>
      <c r="X3527" s="420"/>
      <c r="Y3527" s="420"/>
      <c r="Z3527" s="1"/>
      <c r="AA3527" s="1"/>
      <c r="AB3527" s="1"/>
      <c r="AC3527" s="1"/>
      <c r="AD3527" s="1"/>
    </row>
    <row r="3528" spans="17:30">
      <c r="Q3528" s="6">
        <v>3498</v>
      </c>
      <c r="R3528" s="7">
        <v>46165</v>
      </c>
      <c r="S3528" s="210">
        <v>4.25</v>
      </c>
      <c r="T3528" s="8">
        <v>1.0001180555555556</v>
      </c>
      <c r="U3528" s="98">
        <v>4.239684920115061</v>
      </c>
      <c r="V3528" s="106">
        <v>35106.560554591728</v>
      </c>
      <c r="W3528" s="10">
        <v>1.1248719191307099</v>
      </c>
      <c r="X3528" s="420"/>
      <c r="Y3528" s="420"/>
      <c r="Z3528" s="1"/>
      <c r="AA3528" s="1"/>
      <c r="AB3528" s="1"/>
      <c r="AC3528" s="1"/>
      <c r="AD3528" s="1"/>
    </row>
    <row r="3529" spans="17:30">
      <c r="Q3529" s="6">
        <v>3499</v>
      </c>
      <c r="R3529" s="7">
        <v>46166</v>
      </c>
      <c r="S3529" s="210">
        <v>4.25</v>
      </c>
      <c r="T3529" s="8">
        <v>1.0001180555555556</v>
      </c>
      <c r="U3529" s="98">
        <v>4.239731543782943</v>
      </c>
      <c r="V3529" s="106">
        <v>35109.482572051813</v>
      </c>
      <c r="W3529" s="10">
        <v>1.1249159384456586</v>
      </c>
      <c r="X3529" s="420"/>
      <c r="Y3529" s="420"/>
      <c r="Z3529" s="1"/>
      <c r="AA3529" s="1"/>
      <c r="AB3529" s="1"/>
      <c r="AC3529" s="1"/>
      <c r="AD3529" s="1"/>
    </row>
    <row r="3530" spans="17:30">
      <c r="Q3530" s="6">
        <v>3500</v>
      </c>
      <c r="R3530" s="7">
        <v>46167</v>
      </c>
      <c r="S3530" s="210">
        <v>4.25</v>
      </c>
      <c r="T3530" s="8">
        <v>1.0001180555555556</v>
      </c>
      <c r="U3530" s="98">
        <v>4.2397781408295643</v>
      </c>
      <c r="V3530" s="106">
        <v>35112.4048327196</v>
      </c>
      <c r="W3530" s="10">
        <v>1.1249599326258686</v>
      </c>
      <c r="X3530" s="420"/>
      <c r="Y3530" s="420"/>
      <c r="Z3530" s="1"/>
      <c r="AA3530" s="1"/>
      <c r="AB3530" s="1"/>
      <c r="AC3530" s="1"/>
      <c r="AD3530" s="1"/>
    </row>
    <row r="3531" spans="17:30">
      <c r="Q3531" s="6">
        <v>3501</v>
      </c>
      <c r="R3531" s="7">
        <v>46168</v>
      </c>
      <c r="S3531" s="210">
        <v>4.25</v>
      </c>
      <c r="T3531" s="8">
        <v>1.0001180555555556</v>
      </c>
      <c r="U3531" s="98">
        <v>4.2398247112777065</v>
      </c>
      <c r="V3531" s="106">
        <v>35115.32733661533</v>
      </c>
      <c r="W3531" s="10">
        <v>1.1250039016928337</v>
      </c>
      <c r="X3531" s="420"/>
      <c r="Y3531" s="420"/>
      <c r="Z3531" s="1"/>
      <c r="AA3531" s="1"/>
      <c r="AB3531" s="1"/>
      <c r="AC3531" s="1"/>
      <c r="AD3531" s="1"/>
    </row>
    <row r="3532" spans="17:30">
      <c r="Q3532" s="6">
        <v>3502</v>
      </c>
      <c r="R3532" s="7">
        <v>46169</v>
      </c>
      <c r="S3532" s="210">
        <v>4.25</v>
      </c>
      <c r="T3532" s="8">
        <v>1.0001180555555556</v>
      </c>
      <c r="U3532" s="98">
        <v>4.2398712551501516</v>
      </c>
      <c r="V3532" s="106">
        <v>35118.25008375926</v>
      </c>
      <c r="W3532" s="10">
        <v>1.1250478456680701</v>
      </c>
      <c r="X3532" s="420"/>
      <c r="Y3532" s="420"/>
      <c r="Z3532" s="1"/>
      <c r="AA3532" s="1"/>
      <c r="AB3532" s="1"/>
      <c r="AC3532" s="1"/>
      <c r="AD3532" s="1"/>
    </row>
    <row r="3533" spans="17:30">
      <c r="Q3533" s="6">
        <v>3503</v>
      </c>
      <c r="R3533" s="7">
        <v>46170</v>
      </c>
      <c r="S3533" s="210">
        <v>4.25</v>
      </c>
      <c r="T3533" s="8">
        <v>1.0001180555555556</v>
      </c>
      <c r="U3533" s="98">
        <v>4.2399177724696369</v>
      </c>
      <c r="V3533" s="106">
        <v>35121.173074171624</v>
      </c>
      <c r="W3533" s="10">
        <v>1.1250917645730496</v>
      </c>
      <c r="X3533" s="420"/>
      <c r="Y3533" s="420"/>
      <c r="Z3533" s="1"/>
      <c r="AA3533" s="1"/>
      <c r="AB3533" s="1"/>
      <c r="AC3533" s="1"/>
      <c r="AD3533" s="1"/>
    </row>
    <row r="3534" spans="17:30">
      <c r="Q3534" s="6">
        <v>3504</v>
      </c>
      <c r="R3534" s="7">
        <v>46171</v>
      </c>
      <c r="S3534" s="210">
        <v>4.25</v>
      </c>
      <c r="T3534" s="8">
        <v>1.0001180555555556</v>
      </c>
      <c r="U3534" s="98">
        <v>4.2399642632588774</v>
      </c>
      <c r="V3534" s="106">
        <v>35124.096307872678</v>
      </c>
      <c r="W3534" s="10">
        <v>1.1251356584291994</v>
      </c>
      <c r="X3534" s="420"/>
      <c r="Y3534" s="420"/>
      <c r="Z3534" s="1"/>
      <c r="AA3534" s="1"/>
      <c r="AB3534" s="1"/>
      <c r="AC3534" s="1"/>
      <c r="AD3534" s="1"/>
    </row>
    <row r="3535" spans="17:30">
      <c r="Q3535" s="6">
        <v>3505</v>
      </c>
      <c r="R3535" s="7">
        <v>46172</v>
      </c>
      <c r="S3535" s="210">
        <v>4.25</v>
      </c>
      <c r="T3535" s="8">
        <v>1.0001180555555556</v>
      </c>
      <c r="U3535" s="98">
        <v>4.2400107275405885</v>
      </c>
      <c r="V3535" s="106">
        <v>35127.019784882672</v>
      </c>
      <c r="W3535" s="10">
        <v>1.1251795272579912</v>
      </c>
      <c r="X3535" s="420"/>
      <c r="Y3535" s="420"/>
      <c r="Z3535" s="1"/>
      <c r="AA3535" s="1"/>
      <c r="AB3535" s="1"/>
      <c r="AC3535" s="1"/>
      <c r="AD3535" s="1"/>
    </row>
    <row r="3536" spans="17:30">
      <c r="Q3536" s="6">
        <v>3506</v>
      </c>
      <c r="R3536" s="7">
        <v>46173</v>
      </c>
      <c r="S3536" s="210">
        <v>4.25</v>
      </c>
      <c r="T3536" s="8">
        <v>1.0001180555555556</v>
      </c>
      <c r="U3536" s="98">
        <v>4.2400571653373964</v>
      </c>
      <c r="V3536" s="106">
        <v>35129.943505221854</v>
      </c>
      <c r="W3536" s="10">
        <v>1.1252233710807857</v>
      </c>
      <c r="X3536" s="420"/>
      <c r="Y3536" s="420"/>
      <c r="Z3536" s="1"/>
      <c r="AA3536" s="1"/>
      <c r="AB3536" s="1"/>
      <c r="AC3536" s="1"/>
      <c r="AD3536" s="1"/>
    </row>
    <row r="3537" spans="17:30">
      <c r="Q3537" s="6">
        <v>3507</v>
      </c>
      <c r="R3537" s="7">
        <v>46174</v>
      </c>
      <c r="S3537" s="210">
        <v>4.25</v>
      </c>
      <c r="T3537" s="8">
        <v>1.0001180555555556</v>
      </c>
      <c r="U3537" s="98">
        <v>4.2401035766719497</v>
      </c>
      <c r="V3537" s="106">
        <v>35132.867468910466</v>
      </c>
      <c r="W3537" s="10">
        <v>1.1252671899189437</v>
      </c>
      <c r="X3537" s="420"/>
      <c r="Y3537" s="420"/>
      <c r="Z3537" s="1"/>
      <c r="AA3537" s="1"/>
      <c r="AB3537" s="1"/>
      <c r="AC3537" s="1"/>
      <c r="AD3537" s="1"/>
    </row>
    <row r="3538" spans="17:30">
      <c r="Q3538" s="6">
        <v>3508</v>
      </c>
      <c r="R3538" s="7">
        <v>46175</v>
      </c>
      <c r="S3538" s="210">
        <v>4.25</v>
      </c>
      <c r="T3538" s="8">
        <v>1.0001180555555556</v>
      </c>
      <c r="U3538" s="98">
        <v>4.2401499615668747</v>
      </c>
      <c r="V3538" s="106">
        <v>35135.79167596878</v>
      </c>
      <c r="W3538" s="10">
        <v>1.1253109837938702</v>
      </c>
      <c r="X3538" s="420"/>
      <c r="Y3538" s="420"/>
      <c r="Z3538" s="1"/>
      <c r="AA3538" s="1"/>
      <c r="AB3538" s="1"/>
      <c r="AC3538" s="1"/>
      <c r="AD3538" s="1"/>
    </row>
    <row r="3539" spans="17:30">
      <c r="Q3539" s="6">
        <v>3509</v>
      </c>
      <c r="R3539" s="7">
        <v>46176</v>
      </c>
      <c r="S3539" s="210">
        <v>4.25</v>
      </c>
      <c r="T3539" s="8">
        <v>1.0001180555555556</v>
      </c>
      <c r="U3539" s="98">
        <v>4.2401963200447534</v>
      </c>
      <c r="V3539" s="106">
        <v>35138.71612641705</v>
      </c>
      <c r="W3539" s="10">
        <v>1.1253547527268593</v>
      </c>
      <c r="X3539" s="420"/>
      <c r="Y3539" s="420"/>
      <c r="Z3539" s="1"/>
      <c r="AA3539" s="1"/>
      <c r="AB3539" s="1"/>
      <c r="AC3539" s="1"/>
      <c r="AD3539" s="1"/>
    </row>
    <row r="3540" spans="17:30">
      <c r="Q3540" s="6">
        <v>3510</v>
      </c>
      <c r="R3540" s="7">
        <v>46177</v>
      </c>
      <c r="S3540" s="210">
        <v>4.25</v>
      </c>
      <c r="T3540" s="8">
        <v>1.0001180555555556</v>
      </c>
      <c r="U3540" s="98">
        <v>4.2402426521281456</v>
      </c>
      <c r="V3540" s="106">
        <v>35141.640820275519</v>
      </c>
      <c r="W3540" s="10">
        <v>1.125398496739205</v>
      </c>
      <c r="X3540" s="420"/>
      <c r="Y3540" s="420"/>
      <c r="Z3540" s="1"/>
      <c r="AA3540" s="1"/>
      <c r="AB3540" s="1"/>
      <c r="AC3540" s="1"/>
      <c r="AD3540" s="1"/>
    </row>
    <row r="3541" spans="17:30">
      <c r="Q3541" s="6">
        <v>3511</v>
      </c>
      <c r="R3541" s="7">
        <v>46178</v>
      </c>
      <c r="S3541" s="210">
        <v>4.25</v>
      </c>
      <c r="T3541" s="8">
        <v>1.0001180555555556</v>
      </c>
      <c r="U3541" s="98">
        <v>4.2402889578395886</v>
      </c>
      <c r="V3541" s="106">
        <v>35144.565757564473</v>
      </c>
      <c r="W3541" s="10">
        <v>1.1254422158521793</v>
      </c>
      <c r="X3541" s="420"/>
      <c r="Y3541" s="420"/>
      <c r="Z3541" s="1"/>
      <c r="AA3541" s="1"/>
      <c r="AB3541" s="1"/>
      <c r="AC3541" s="1"/>
      <c r="AD3541" s="1"/>
    </row>
    <row r="3542" spans="17:30">
      <c r="Q3542" s="6">
        <v>3512</v>
      </c>
      <c r="R3542" s="7">
        <v>46179</v>
      </c>
      <c r="S3542" s="210">
        <v>4.25</v>
      </c>
      <c r="T3542" s="8">
        <v>1.0001180555555556</v>
      </c>
      <c r="U3542" s="98">
        <v>4.2403352372015757</v>
      </c>
      <c r="V3542" s="106">
        <v>35147.490938304145</v>
      </c>
      <c r="W3542" s="10">
        <v>1.125485910087054</v>
      </c>
      <c r="X3542" s="420"/>
      <c r="Y3542" s="420"/>
      <c r="Z3542" s="1"/>
      <c r="AA3542" s="1"/>
      <c r="AB3542" s="1"/>
      <c r="AC3542" s="1"/>
      <c r="AD3542" s="1"/>
    </row>
    <row r="3543" spans="17:30">
      <c r="Q3543" s="6">
        <v>3513</v>
      </c>
      <c r="R3543" s="7">
        <v>46180</v>
      </c>
      <c r="S3543" s="210">
        <v>4.25</v>
      </c>
      <c r="T3543" s="8">
        <v>1.0001180555555556</v>
      </c>
      <c r="U3543" s="98">
        <v>4.2403814902366221</v>
      </c>
      <c r="V3543" s="106">
        <v>35150.416362514807</v>
      </c>
      <c r="W3543" s="10">
        <v>1.1255295794650788</v>
      </c>
      <c r="X3543" s="420"/>
      <c r="Y3543" s="420"/>
      <c r="Z3543" s="1"/>
      <c r="AA3543" s="1"/>
      <c r="AB3543" s="1"/>
      <c r="AC3543" s="1"/>
      <c r="AD3543" s="1"/>
    </row>
    <row r="3544" spans="17:30">
      <c r="Q3544" s="6">
        <v>3514</v>
      </c>
      <c r="R3544" s="7">
        <v>46181</v>
      </c>
      <c r="S3544" s="210">
        <v>4.25</v>
      </c>
      <c r="T3544" s="8">
        <v>1.0001180555555556</v>
      </c>
      <c r="U3544" s="98">
        <v>4.2404277169671545</v>
      </c>
      <c r="V3544" s="106">
        <v>35153.342030216743</v>
      </c>
      <c r="W3544" s="10">
        <v>1.1255732240074146</v>
      </c>
      <c r="X3544" s="420"/>
      <c r="Y3544" s="420"/>
      <c r="Z3544" s="1"/>
      <c r="AA3544" s="1"/>
      <c r="AB3544" s="1"/>
      <c r="AC3544" s="1"/>
      <c r="AD3544" s="1"/>
    </row>
    <row r="3545" spans="17:30">
      <c r="Q3545" s="6">
        <v>3515</v>
      </c>
      <c r="R3545" s="7">
        <v>46182</v>
      </c>
      <c r="S3545" s="210">
        <v>4.25</v>
      </c>
      <c r="T3545" s="8">
        <v>1.0001180555555556</v>
      </c>
      <c r="U3545" s="98">
        <v>4.2404739174156214</v>
      </c>
      <c r="V3545" s="106">
        <v>35156.267941430197</v>
      </c>
      <c r="W3545" s="10">
        <v>1.1256168437352665</v>
      </c>
      <c r="X3545" s="420"/>
      <c r="Y3545" s="420"/>
      <c r="Z3545" s="1"/>
      <c r="AA3545" s="1"/>
      <c r="AB3545" s="1"/>
      <c r="AC3545" s="1"/>
      <c r="AD3545" s="1"/>
    </row>
    <row r="3546" spans="17:30">
      <c r="Q3546" s="6">
        <v>3516</v>
      </c>
      <c r="R3546" s="7">
        <v>46183</v>
      </c>
      <c r="S3546" s="210">
        <v>4.25</v>
      </c>
      <c r="T3546" s="8">
        <v>1.0001180555555556</v>
      </c>
      <c r="U3546" s="98">
        <v>4.2405200916044272</v>
      </c>
      <c r="V3546" s="106">
        <v>35159.194096175444</v>
      </c>
      <c r="W3546" s="10">
        <v>1.1256604386697733</v>
      </c>
      <c r="X3546" s="420"/>
      <c r="Y3546" s="420"/>
      <c r="Z3546" s="1"/>
      <c r="AA3546" s="1"/>
      <c r="AB3546" s="1"/>
      <c r="AC3546" s="1"/>
      <c r="AD3546" s="1"/>
    </row>
    <row r="3547" spans="17:30">
      <c r="Q3547" s="6">
        <v>3517</v>
      </c>
      <c r="R3547" s="7">
        <v>46184</v>
      </c>
      <c r="S3547" s="210">
        <v>4.25</v>
      </c>
      <c r="T3547" s="8">
        <v>1.0001180555555556</v>
      </c>
      <c r="U3547" s="98">
        <v>4.240566239555954</v>
      </c>
      <c r="V3547" s="106">
        <v>35162.120494472751</v>
      </c>
      <c r="W3547" s="10">
        <v>1.1257040088320736</v>
      </c>
      <c r="X3547" s="420"/>
      <c r="Y3547" s="420"/>
      <c r="Z3547" s="1"/>
      <c r="AA3547" s="1"/>
      <c r="AB3547" s="1"/>
      <c r="AC3547" s="1"/>
      <c r="AD3547" s="1"/>
    </row>
    <row r="3548" spans="17:30">
      <c r="Q3548" s="6">
        <v>3518</v>
      </c>
      <c r="R3548" s="7">
        <v>46185</v>
      </c>
      <c r="S3548" s="210">
        <v>4.25</v>
      </c>
      <c r="T3548" s="8">
        <v>1.0001180555555556</v>
      </c>
      <c r="U3548" s="98">
        <v>4.2406123612925617</v>
      </c>
      <c r="V3548" s="106">
        <v>35165.0471363424</v>
      </c>
      <c r="W3548" s="10">
        <v>1.125747554243306</v>
      </c>
      <c r="X3548" s="420"/>
      <c r="Y3548" s="420"/>
      <c r="Z3548" s="1"/>
      <c r="AA3548" s="1"/>
      <c r="AB3548" s="1"/>
      <c r="AC3548" s="1"/>
      <c r="AD3548" s="1"/>
    </row>
    <row r="3549" spans="17:30">
      <c r="Q3549" s="6">
        <v>3519</v>
      </c>
      <c r="R3549" s="7">
        <v>46186</v>
      </c>
      <c r="S3549" s="210">
        <v>4.25</v>
      </c>
      <c r="T3549" s="8">
        <v>1.0001180555555556</v>
      </c>
      <c r="U3549" s="98">
        <v>4.2406584568365879</v>
      </c>
      <c r="V3549" s="106">
        <v>35167.974021804657</v>
      </c>
      <c r="W3549" s="10">
        <v>1.1257910749245204</v>
      </c>
      <c r="X3549" s="420"/>
      <c r="Y3549" s="420"/>
      <c r="Z3549" s="1"/>
      <c r="AA3549" s="1"/>
      <c r="AB3549" s="1"/>
      <c r="AC3549" s="1"/>
      <c r="AD3549" s="1"/>
    </row>
    <row r="3550" spans="17:30">
      <c r="Q3550" s="6">
        <v>3520</v>
      </c>
      <c r="R3550" s="7">
        <v>46187</v>
      </c>
      <c r="S3550" s="210">
        <v>4.25</v>
      </c>
      <c r="T3550" s="8">
        <v>1.0001180555555556</v>
      </c>
      <c r="U3550" s="98">
        <v>4.240704526210326</v>
      </c>
      <c r="V3550" s="106">
        <v>35170.901150879792</v>
      </c>
      <c r="W3550" s="10">
        <v>1.1258345708967887</v>
      </c>
      <c r="X3550" s="420"/>
      <c r="Y3550" s="420"/>
      <c r="Z3550" s="1"/>
      <c r="AA3550" s="1"/>
      <c r="AB3550" s="1"/>
      <c r="AC3550" s="1"/>
      <c r="AD3550" s="1"/>
    </row>
    <row r="3551" spans="17:30">
      <c r="Q3551" s="6">
        <v>3521</v>
      </c>
      <c r="R3551" s="7">
        <v>46188</v>
      </c>
      <c r="S3551" s="210">
        <v>4.25</v>
      </c>
      <c r="T3551" s="8">
        <v>1.0001180555555556</v>
      </c>
      <c r="U3551" s="98">
        <v>4.2407505694360692</v>
      </c>
      <c r="V3551" s="106">
        <v>35173.828523588083</v>
      </c>
      <c r="W3551" s="10">
        <v>1.1258780421811609</v>
      </c>
      <c r="X3551" s="420"/>
      <c r="Y3551" s="420"/>
      <c r="Z3551" s="1"/>
      <c r="AA3551" s="1"/>
      <c r="AB3551" s="1"/>
      <c r="AC3551" s="1"/>
      <c r="AD3551" s="1"/>
    </row>
    <row r="3552" spans="17:30">
      <c r="Q3552" s="6">
        <v>3522</v>
      </c>
      <c r="R3552" s="7">
        <v>46189</v>
      </c>
      <c r="S3552" s="210">
        <v>4.25</v>
      </c>
      <c r="T3552" s="8">
        <v>1.0001180555555556</v>
      </c>
      <c r="U3552" s="98">
        <v>4.2407965865360664</v>
      </c>
      <c r="V3552" s="106">
        <v>35176.756139949823</v>
      </c>
      <c r="W3552" s="10">
        <v>1.1259214887986202</v>
      </c>
      <c r="X3552" s="420"/>
      <c r="Y3552" s="420"/>
      <c r="Z3552" s="1"/>
      <c r="AA3552" s="1"/>
      <c r="AB3552" s="1"/>
      <c r="AC3552" s="1"/>
      <c r="AD3552" s="1"/>
    </row>
    <row r="3553" spans="17:30">
      <c r="Q3553" s="6">
        <v>3523</v>
      </c>
      <c r="R3553" s="7">
        <v>46190</v>
      </c>
      <c r="S3553" s="210">
        <v>4.25</v>
      </c>
      <c r="T3553" s="8">
        <v>1.0001180555555556</v>
      </c>
      <c r="U3553" s="98">
        <v>4.2408425775325442</v>
      </c>
      <c r="V3553" s="106">
        <v>35179.683999985275</v>
      </c>
      <c r="W3553" s="10">
        <v>1.1259649107701941</v>
      </c>
      <c r="X3553" s="420"/>
      <c r="Y3553" s="420"/>
      <c r="Z3553" s="1"/>
      <c r="AA3553" s="1"/>
      <c r="AB3553" s="1"/>
      <c r="AC3553" s="1"/>
      <c r="AD3553" s="1"/>
    </row>
    <row r="3554" spans="17:30">
      <c r="Q3554" s="6">
        <v>3524</v>
      </c>
      <c r="R3554" s="7">
        <v>46191</v>
      </c>
      <c r="S3554" s="210">
        <v>4.25</v>
      </c>
      <c r="T3554" s="8">
        <v>1.0001180555555556</v>
      </c>
      <c r="U3554" s="98">
        <v>4.2408885424477072</v>
      </c>
      <c r="V3554" s="106">
        <v>35182.612103714724</v>
      </c>
      <c r="W3554" s="10">
        <v>1.1260083081168215</v>
      </c>
      <c r="X3554" s="420"/>
      <c r="Y3554" s="420"/>
      <c r="Z3554" s="1"/>
      <c r="AA3554" s="1"/>
      <c r="AB3554" s="1"/>
      <c r="AC3554" s="1"/>
      <c r="AD3554" s="1"/>
    </row>
    <row r="3555" spans="17:30">
      <c r="Q3555" s="6">
        <v>3525</v>
      </c>
      <c r="R3555" s="7">
        <v>46192</v>
      </c>
      <c r="S3555" s="210">
        <v>4.25</v>
      </c>
      <c r="T3555" s="8">
        <v>1.0001180555555556</v>
      </c>
      <c r="U3555" s="98">
        <v>4.2409344813037375</v>
      </c>
      <c r="V3555" s="106">
        <v>35185.540451158457</v>
      </c>
      <c r="W3555" s="10">
        <v>1.1260516808594412</v>
      </c>
      <c r="X3555" s="420"/>
      <c r="Y3555" s="420"/>
      <c r="Z3555" s="1"/>
      <c r="AA3555" s="1"/>
      <c r="AB3555" s="1"/>
      <c r="AC3555" s="1"/>
      <c r="AD3555" s="1"/>
    </row>
    <row r="3556" spans="17:30">
      <c r="Q3556" s="6">
        <v>3526</v>
      </c>
      <c r="R3556" s="7">
        <v>46193</v>
      </c>
      <c r="S3556" s="210">
        <v>4.25</v>
      </c>
      <c r="T3556" s="8">
        <v>1.0001180555555556</v>
      </c>
      <c r="U3556" s="98">
        <v>4.2409803941227731</v>
      </c>
      <c r="V3556" s="106">
        <v>35188.469042336757</v>
      </c>
      <c r="W3556" s="10">
        <v>1.1260950290189697</v>
      </c>
      <c r="X3556" s="420"/>
      <c r="Y3556" s="420"/>
      <c r="Z3556" s="1"/>
      <c r="AA3556" s="1"/>
      <c r="AB3556" s="1"/>
      <c r="AC3556" s="1"/>
      <c r="AD3556" s="1"/>
    </row>
    <row r="3557" spans="17:30">
      <c r="Q3557" s="6">
        <v>3527</v>
      </c>
      <c r="R3557" s="7">
        <v>46194</v>
      </c>
      <c r="S3557" s="210">
        <v>4.25</v>
      </c>
      <c r="T3557" s="8">
        <v>1.0001180555555556</v>
      </c>
      <c r="U3557" s="98">
        <v>4.2410262809269739</v>
      </c>
      <c r="V3557" s="106">
        <v>35191.397877269912</v>
      </c>
      <c r="W3557" s="10">
        <v>1.1261383526163238</v>
      </c>
      <c r="X3557" s="420"/>
      <c r="Y3557" s="420"/>
    </row>
    <row r="3558" spans="17:30">
      <c r="Q3558" s="6">
        <v>3528</v>
      </c>
      <c r="R3558" s="7">
        <v>46195</v>
      </c>
      <c r="S3558" s="210">
        <v>4.25</v>
      </c>
      <c r="T3558" s="8">
        <v>1.0001180555555556</v>
      </c>
      <c r="U3558" s="98">
        <v>4.2410721417384334</v>
      </c>
      <c r="V3558" s="106">
        <v>35194.326955978213</v>
      </c>
      <c r="W3558" s="10">
        <v>1.1261816516723533</v>
      </c>
      <c r="X3558" s="420"/>
      <c r="Y3558" s="420"/>
    </row>
    <row r="3559" spans="17:30">
      <c r="Q3559" s="6">
        <v>3529</v>
      </c>
      <c r="R3559" s="7">
        <v>46196</v>
      </c>
      <c r="S3559" s="210">
        <v>4.25</v>
      </c>
      <c r="T3559" s="8">
        <v>1.0001180555555556</v>
      </c>
      <c r="U3559" s="98">
        <v>4.2411179765792228</v>
      </c>
      <c r="V3559" s="106">
        <v>35197.256278481938</v>
      </c>
      <c r="W3559" s="10">
        <v>1.1262249262079083</v>
      </c>
      <c r="X3559" s="420"/>
      <c r="Y3559" s="420"/>
    </row>
    <row r="3560" spans="17:30">
      <c r="Q3560" s="6">
        <v>3530</v>
      </c>
      <c r="R3560" s="7">
        <v>46197</v>
      </c>
      <c r="S3560" s="210">
        <v>4.25</v>
      </c>
      <c r="T3560" s="8">
        <v>1.0001180555555556</v>
      </c>
      <c r="U3560" s="98">
        <v>4.2411637854713913</v>
      </c>
      <c r="V3560" s="106">
        <v>35200.185844801395</v>
      </c>
      <c r="W3560" s="10">
        <v>1.1262681762438165</v>
      </c>
      <c r="X3560" s="420"/>
      <c r="Y3560" s="420"/>
    </row>
    <row r="3561" spans="17:30">
      <c r="Q3561" s="6">
        <v>3531</v>
      </c>
      <c r="R3561" s="7">
        <v>46198</v>
      </c>
      <c r="S3561" s="210">
        <v>4.25</v>
      </c>
      <c r="T3561" s="8">
        <v>1.0001180555555556</v>
      </c>
      <c r="U3561" s="98">
        <v>4.2412095684369877</v>
      </c>
      <c r="V3561" s="106">
        <v>35203.11565495687</v>
      </c>
      <c r="W3561" s="10">
        <v>1.1263114018008835</v>
      </c>
      <c r="X3561" s="420"/>
      <c r="Y3561" s="420"/>
    </row>
    <row r="3562" spans="17:30">
      <c r="Q3562" s="6">
        <v>3532</v>
      </c>
      <c r="R3562" s="7">
        <v>46199</v>
      </c>
      <c r="S3562" s="210">
        <v>4.25</v>
      </c>
      <c r="T3562" s="8">
        <v>1.0001180555555556</v>
      </c>
      <c r="U3562" s="98">
        <v>4.2412553254979946</v>
      </c>
      <c r="V3562" s="106">
        <v>35206.045708968661</v>
      </c>
      <c r="W3562" s="10">
        <v>1.1263546028998705</v>
      </c>
      <c r="X3562" s="420"/>
      <c r="Y3562" s="420"/>
    </row>
    <row r="3563" spans="17:30">
      <c r="Q3563" s="6">
        <v>3533</v>
      </c>
      <c r="R3563" s="7">
        <v>46200</v>
      </c>
      <c r="S3563" s="210">
        <v>4.25</v>
      </c>
      <c r="T3563" s="8">
        <v>1.0001180555555556</v>
      </c>
      <c r="U3563" s="98">
        <v>4.2413010566764164</v>
      </c>
      <c r="V3563" s="106">
        <v>35208.976006857054</v>
      </c>
      <c r="W3563" s="10">
        <v>1.126397779561561</v>
      </c>
      <c r="X3563" s="420"/>
      <c r="Y3563" s="420"/>
    </row>
    <row r="3564" spans="17:30">
      <c r="Q3564" s="6">
        <v>3534</v>
      </c>
      <c r="R3564" s="7">
        <v>46201</v>
      </c>
      <c r="S3564" s="210">
        <v>4.25</v>
      </c>
      <c r="T3564" s="8">
        <v>1.0001180555555556</v>
      </c>
      <c r="U3564" s="98">
        <v>4.2413467619941914</v>
      </c>
      <c r="V3564" s="106">
        <v>35211.906548642364</v>
      </c>
      <c r="W3564" s="10">
        <v>1.1264409318066493</v>
      </c>
      <c r="X3564" s="420"/>
      <c r="Y3564" s="420"/>
    </row>
    <row r="3565" spans="17:30">
      <c r="Q3565" s="6">
        <v>3535</v>
      </c>
      <c r="R3565" s="7">
        <v>46202</v>
      </c>
      <c r="S3565" s="210">
        <v>4.25</v>
      </c>
      <c r="T3565" s="8">
        <v>1.0001180555555556</v>
      </c>
      <c r="U3565" s="98">
        <v>4.2413924414732351</v>
      </c>
      <c r="V3565" s="106">
        <v>35214.837334344877</v>
      </c>
      <c r="W3565" s="10">
        <v>1.1264840596558301</v>
      </c>
      <c r="X3565" s="420"/>
      <c r="Y3565" s="420"/>
    </row>
    <row r="3566" spans="17:30">
      <c r="Q3566" s="6">
        <v>3536</v>
      </c>
      <c r="R3566" s="7">
        <v>46203</v>
      </c>
      <c r="S3566" s="210">
        <v>4.25</v>
      </c>
      <c r="T3566" s="8">
        <v>1.0001180555555556</v>
      </c>
      <c r="U3566" s="98">
        <v>4.2414380951354858</v>
      </c>
      <c r="V3566" s="106">
        <v>35217.768363984898</v>
      </c>
      <c r="W3566" s="10">
        <v>1.1265271631298202</v>
      </c>
      <c r="X3566" s="420"/>
      <c r="Y3566" s="420"/>
    </row>
    <row r="3567" spans="17:30">
      <c r="Q3567" s="6">
        <v>3537</v>
      </c>
      <c r="R3567" s="7">
        <v>46204</v>
      </c>
      <c r="S3567" s="210">
        <v>4.25</v>
      </c>
      <c r="T3567" s="8">
        <v>1.0001180555555556</v>
      </c>
      <c r="U3567" s="98">
        <v>4.2414837230027924</v>
      </c>
      <c r="V3567" s="106">
        <v>35220.699637582744</v>
      </c>
      <c r="W3567" s="10">
        <v>1.1265702422492474</v>
      </c>
      <c r="X3567" s="420"/>
      <c r="Y3567" s="420"/>
    </row>
    <row r="3568" spans="17:30">
      <c r="Q3568" s="6">
        <v>3538</v>
      </c>
      <c r="R3568" s="7">
        <v>46205</v>
      </c>
      <c r="S3568" s="210">
        <v>4.25</v>
      </c>
      <c r="T3568" s="8">
        <v>1.0001180555555556</v>
      </c>
      <c r="U3568" s="98">
        <v>4.2415293250970265</v>
      </c>
      <c r="V3568" s="106">
        <v>35223.631155158699</v>
      </c>
      <c r="W3568" s="10">
        <v>1.1266132970347842</v>
      </c>
      <c r="X3568" s="420"/>
      <c r="Y3568" s="420"/>
    </row>
    <row r="3569" spans="17:25">
      <c r="Q3569" s="6">
        <v>3539</v>
      </c>
      <c r="R3569" s="7">
        <v>46206</v>
      </c>
      <c r="S3569" s="210">
        <v>4.25</v>
      </c>
      <c r="T3569" s="8">
        <v>1.0001180555555556</v>
      </c>
      <c r="U3569" s="98">
        <v>4.241574901440015</v>
      </c>
      <c r="V3569" s="106">
        <v>35226.562916733092</v>
      </c>
      <c r="W3569" s="10">
        <v>1.1266563275070141</v>
      </c>
      <c r="X3569" s="420"/>
      <c r="Y3569" s="420"/>
    </row>
    <row r="3570" spans="17:25">
      <c r="Q3570" s="6">
        <v>3540</v>
      </c>
      <c r="R3570" s="7">
        <v>46207</v>
      </c>
      <c r="S3570" s="210">
        <v>4.25</v>
      </c>
      <c r="T3570" s="8">
        <v>1.0001180555555556</v>
      </c>
      <c r="U3570" s="98">
        <v>4.241620452053585</v>
      </c>
      <c r="V3570" s="106">
        <v>35229.494922326208</v>
      </c>
      <c r="W3570" s="10">
        <v>1.1266993336865649</v>
      </c>
      <c r="X3570" s="420"/>
      <c r="Y3570" s="420"/>
    </row>
    <row r="3571" spans="17:25">
      <c r="Q3571" s="6">
        <v>3541</v>
      </c>
      <c r="R3571" s="7">
        <v>46208</v>
      </c>
      <c r="S3571" s="210">
        <v>4.25</v>
      </c>
      <c r="T3571" s="8">
        <v>1.0001180555555556</v>
      </c>
      <c r="U3571" s="98">
        <v>4.2416659769594967</v>
      </c>
      <c r="V3571" s="106">
        <v>35232.427171958378</v>
      </c>
      <c r="W3571" s="10">
        <v>1.1267423155939538</v>
      </c>
      <c r="X3571" s="420"/>
      <c r="Y3571" s="420"/>
    </row>
    <row r="3572" spans="17:25">
      <c r="Q3572" s="6">
        <v>3542</v>
      </c>
      <c r="R3572" s="7">
        <v>46209</v>
      </c>
      <c r="S3572" s="210">
        <v>4.25</v>
      </c>
      <c r="T3572" s="8">
        <v>1.0001180555555556</v>
      </c>
      <c r="U3572" s="98">
        <v>4.2417114761795105</v>
      </c>
      <c r="V3572" s="106">
        <v>35235.359665649907</v>
      </c>
      <c r="W3572" s="10">
        <v>1.1267852732497641</v>
      </c>
      <c r="X3572" s="420"/>
      <c r="Y3572" s="420"/>
    </row>
    <row r="3573" spans="17:25">
      <c r="Q3573" s="6">
        <v>3543</v>
      </c>
      <c r="R3573" s="7">
        <v>46210</v>
      </c>
      <c r="S3573" s="210">
        <v>4.25</v>
      </c>
      <c r="T3573" s="8">
        <v>1.0001180555555556</v>
      </c>
      <c r="U3573" s="98">
        <v>4.2417569497353647</v>
      </c>
      <c r="V3573" s="106">
        <v>35238.292403421096</v>
      </c>
      <c r="W3573" s="10">
        <v>1.1268282066744906</v>
      </c>
      <c r="X3573" s="420"/>
      <c r="Y3573" s="420"/>
    </row>
    <row r="3574" spans="17:25">
      <c r="Q3574" s="6">
        <v>3544</v>
      </c>
      <c r="R3574" s="7">
        <v>46211</v>
      </c>
      <c r="S3574" s="210">
        <v>4.25</v>
      </c>
      <c r="T3574" s="8">
        <v>1.0001180555555556</v>
      </c>
      <c r="U3574" s="98">
        <v>4.2418023976487529</v>
      </c>
      <c r="V3574" s="106">
        <v>35241.22538529228</v>
      </c>
      <c r="W3574" s="10">
        <v>1.126871115888628</v>
      </c>
      <c r="X3574" s="420"/>
      <c r="Y3574" s="420"/>
    </row>
    <row r="3575" spans="17:25">
      <c r="Q3575" s="6">
        <v>3545</v>
      </c>
      <c r="R3575" s="7">
        <v>46212</v>
      </c>
      <c r="S3575" s="210">
        <v>4.25</v>
      </c>
      <c r="T3575" s="8">
        <v>1.0001180555555556</v>
      </c>
      <c r="U3575" s="98">
        <v>4.2418478199413689</v>
      </c>
      <c r="V3575" s="106">
        <v>35244.158611283769</v>
      </c>
      <c r="W3575" s="10">
        <v>1.1269140009126488</v>
      </c>
      <c r="X3575" s="420"/>
      <c r="Y3575" s="420"/>
    </row>
    <row r="3576" spans="17:25">
      <c r="Q3576" s="6">
        <v>3546</v>
      </c>
      <c r="R3576" s="7">
        <v>46213</v>
      </c>
      <c r="S3576" s="210">
        <v>4.25</v>
      </c>
      <c r="T3576" s="8">
        <v>1.0001180555555556</v>
      </c>
      <c r="U3576" s="98">
        <v>4.2418932166348622</v>
      </c>
      <c r="V3576" s="106">
        <v>35247.092081415882</v>
      </c>
      <c r="W3576" s="10">
        <v>1.1269568617670034</v>
      </c>
      <c r="X3576" s="420"/>
      <c r="Y3576" s="420"/>
    </row>
    <row r="3577" spans="17:25">
      <c r="Q3577" s="6">
        <v>3547</v>
      </c>
      <c r="R3577" s="7">
        <v>46214</v>
      </c>
      <c r="S3577" s="210">
        <v>4.25</v>
      </c>
      <c r="T3577" s="8">
        <v>1.0001180555555556</v>
      </c>
      <c r="U3577" s="98">
        <v>4.241938587750882</v>
      </c>
      <c r="V3577" s="106">
        <v>35250.025795708934</v>
      </c>
      <c r="W3577" s="10">
        <v>1.126999698472142</v>
      </c>
      <c r="X3577" s="420"/>
      <c r="Y3577" s="420"/>
    </row>
    <row r="3578" spans="17:25">
      <c r="Q3578" s="6">
        <v>3548</v>
      </c>
      <c r="R3578" s="7">
        <v>46215</v>
      </c>
      <c r="S3578" s="210">
        <v>4.25</v>
      </c>
      <c r="T3578" s="8">
        <v>1.0001180555555556</v>
      </c>
      <c r="U3578" s="98">
        <v>4.2419839333110332</v>
      </c>
      <c r="V3578" s="106">
        <v>35252.959754183255</v>
      </c>
      <c r="W3578" s="10">
        <v>1.1270425110484483</v>
      </c>
      <c r="X3578" s="420"/>
      <c r="Y3578" s="420"/>
    </row>
    <row r="3579" spans="17:25">
      <c r="Q3579" s="6">
        <v>3549</v>
      </c>
      <c r="R3579" s="7">
        <v>46216</v>
      </c>
      <c r="S3579" s="210">
        <v>4.25</v>
      </c>
      <c r="T3579" s="8">
        <v>1.0001180555555556</v>
      </c>
      <c r="U3579" s="98">
        <v>4.2420292533368986</v>
      </c>
      <c r="V3579" s="106">
        <v>35255.89395685916</v>
      </c>
      <c r="W3579" s="10">
        <v>1.1270852995163061</v>
      </c>
      <c r="X3579" s="420"/>
      <c r="Y3579" s="420"/>
    </row>
    <row r="3580" spans="17:25">
      <c r="Q3580" s="6">
        <v>3550</v>
      </c>
      <c r="R3580" s="7">
        <v>46217</v>
      </c>
      <c r="S3580" s="210">
        <v>4.25</v>
      </c>
      <c r="T3580" s="8">
        <v>1.0001180555555556</v>
      </c>
      <c r="U3580" s="98">
        <v>4.2420745478500388</v>
      </c>
      <c r="V3580" s="106">
        <v>35258.82840375699</v>
      </c>
      <c r="W3580" s="10">
        <v>1.1271280638960768</v>
      </c>
      <c r="X3580" s="420"/>
      <c r="Y3580" s="420"/>
    </row>
    <row r="3581" spans="17:25">
      <c r="Q3581" s="6">
        <v>3551</v>
      </c>
      <c r="R3581" s="7">
        <v>46218</v>
      </c>
      <c r="S3581" s="210">
        <v>4.25</v>
      </c>
      <c r="T3581" s="8">
        <v>1.0001180555555556</v>
      </c>
      <c r="U3581" s="98">
        <v>4.242119816871992</v>
      </c>
      <c r="V3581" s="106">
        <v>35261.763094897055</v>
      </c>
      <c r="W3581" s="10">
        <v>1.1271708042080775</v>
      </c>
      <c r="X3581" s="420"/>
      <c r="Y3581" s="420"/>
    </row>
    <row r="3582" spans="17:25">
      <c r="Q3582" s="6">
        <v>3552</v>
      </c>
      <c r="R3582" s="7">
        <v>46219</v>
      </c>
      <c r="S3582" s="210">
        <v>4.25</v>
      </c>
      <c r="T3582" s="8">
        <v>1.0001180555555556</v>
      </c>
      <c r="U3582" s="98">
        <v>4.2421650604242744</v>
      </c>
      <c r="V3582" s="106">
        <v>35264.698030299689</v>
      </c>
      <c r="W3582" s="10">
        <v>1.1272135204726474</v>
      </c>
      <c r="X3582" s="420"/>
      <c r="Y3582" s="420"/>
    </row>
    <row r="3583" spans="17:25">
      <c r="Q3583" s="6">
        <v>3553</v>
      </c>
      <c r="R3583" s="7">
        <v>46220</v>
      </c>
      <c r="S3583" s="210">
        <v>4.25</v>
      </c>
      <c r="T3583" s="8">
        <v>1.0001180555555556</v>
      </c>
      <c r="U3583" s="98">
        <v>4.24221027852838</v>
      </c>
      <c r="V3583" s="106">
        <v>35267.63320998523</v>
      </c>
      <c r="W3583" s="10">
        <v>1.1272562127100594</v>
      </c>
      <c r="X3583" s="420"/>
      <c r="Y3583" s="420"/>
    </row>
    <row r="3584" spans="17:25">
      <c r="Q3584" s="6">
        <v>3554</v>
      </c>
      <c r="R3584" s="7">
        <v>46221</v>
      </c>
      <c r="S3584" s="210">
        <v>4.25</v>
      </c>
      <c r="T3584" s="8">
        <v>1.0001180555555556</v>
      </c>
      <c r="U3584" s="98">
        <v>4.2422554712057581</v>
      </c>
      <c r="V3584" s="106">
        <v>35270.568633974006</v>
      </c>
      <c r="W3584" s="10">
        <v>1.1272988809405859</v>
      </c>
      <c r="X3584" s="420"/>
      <c r="Y3584" s="420"/>
    </row>
    <row r="3585" spans="17:25">
      <c r="Q3585" s="6">
        <v>3555</v>
      </c>
      <c r="R3585" s="7">
        <v>46222</v>
      </c>
      <c r="S3585" s="210">
        <v>4.25</v>
      </c>
      <c r="T3585" s="8">
        <v>1.0001180555555556</v>
      </c>
      <c r="U3585" s="98">
        <v>4.2423006384778583</v>
      </c>
      <c r="V3585" s="106">
        <v>35273.504302286347</v>
      </c>
      <c r="W3585" s="10">
        <v>1.1273415251844554</v>
      </c>
      <c r="X3585" s="420"/>
      <c r="Y3585" s="420"/>
    </row>
    <row r="3586" spans="17:25">
      <c r="Q3586" s="6">
        <v>3556</v>
      </c>
      <c r="R3586" s="7">
        <v>46223</v>
      </c>
      <c r="S3586" s="210">
        <v>4.25</v>
      </c>
      <c r="T3586" s="8">
        <v>1.0001180555555556</v>
      </c>
      <c r="U3586" s="98">
        <v>4.242345780366108</v>
      </c>
      <c r="V3586" s="106">
        <v>35276.440214942595</v>
      </c>
      <c r="W3586" s="10">
        <v>1.1273841454619182</v>
      </c>
      <c r="X3586" s="420"/>
      <c r="Y3586" s="420"/>
    </row>
    <row r="3587" spans="17:25">
      <c r="Q3587" s="6">
        <v>3557</v>
      </c>
      <c r="R3587" s="7">
        <v>46224</v>
      </c>
      <c r="S3587" s="210">
        <v>4.25</v>
      </c>
      <c r="T3587" s="8">
        <v>1.0001180555555556</v>
      </c>
      <c r="U3587" s="98">
        <v>4.24239089689189</v>
      </c>
      <c r="V3587" s="106">
        <v>35279.376371963088</v>
      </c>
      <c r="W3587" s="10">
        <v>1.1274267417931583</v>
      </c>
      <c r="X3587" s="420"/>
      <c r="Y3587" s="420"/>
    </row>
    <row r="3588" spans="17:25">
      <c r="Q3588" s="6">
        <v>3558</v>
      </c>
      <c r="R3588" s="7">
        <v>46225</v>
      </c>
      <c r="S3588" s="210">
        <v>4.25</v>
      </c>
      <c r="T3588" s="8">
        <v>1.0001180555555556</v>
      </c>
      <c r="U3588" s="98">
        <v>4.242435988076565</v>
      </c>
      <c r="V3588" s="106">
        <v>35282.312773368154</v>
      </c>
      <c r="W3588" s="10">
        <v>1.1274693141983594</v>
      </c>
      <c r="X3588" s="420"/>
      <c r="Y3588" s="420"/>
    </row>
    <row r="3589" spans="17:25">
      <c r="Q3589" s="6">
        <v>3559</v>
      </c>
      <c r="R3589" s="7">
        <v>46226</v>
      </c>
      <c r="S3589" s="210">
        <v>4.25</v>
      </c>
      <c r="T3589" s="8">
        <v>1.0001180555555556</v>
      </c>
      <c r="U3589" s="98">
        <v>4.2424810539414937</v>
      </c>
      <c r="V3589" s="106">
        <v>35285.249419178144</v>
      </c>
      <c r="W3589" s="10">
        <v>1.127511862697661</v>
      </c>
      <c r="X3589" s="420"/>
      <c r="Y3589" s="420"/>
    </row>
    <row r="3590" spans="17:25">
      <c r="Q3590" s="6">
        <v>3560</v>
      </c>
      <c r="R3590" s="7">
        <v>46227</v>
      </c>
      <c r="S3590" s="210">
        <v>4.25</v>
      </c>
      <c r="T3590" s="8">
        <v>1.0001180555555556</v>
      </c>
      <c r="U3590" s="98">
        <v>4.2425260945079701</v>
      </c>
      <c r="V3590" s="106">
        <v>35288.186309413402</v>
      </c>
      <c r="W3590" s="10">
        <v>1.1275543873111804</v>
      </c>
      <c r="X3590" s="420"/>
      <c r="Y3590" s="420"/>
    </row>
    <row r="3591" spans="17:25">
      <c r="Q3591" s="6">
        <v>3561</v>
      </c>
      <c r="R3591" s="7">
        <v>46228</v>
      </c>
      <c r="S3591" s="210">
        <v>4.25</v>
      </c>
      <c r="T3591" s="8">
        <v>1.0001180555555556</v>
      </c>
      <c r="U3591" s="98">
        <v>4.2425711097973107</v>
      </c>
      <c r="V3591" s="106">
        <v>35291.123444094257</v>
      </c>
      <c r="W3591" s="10">
        <v>1.127596888059057</v>
      </c>
      <c r="X3591" s="420"/>
      <c r="Y3591" s="420"/>
    </row>
    <row r="3592" spans="17:25">
      <c r="Q3592" s="6">
        <v>3562</v>
      </c>
      <c r="R3592" s="7">
        <v>46229</v>
      </c>
      <c r="S3592" s="210">
        <v>4.25</v>
      </c>
      <c r="T3592" s="8">
        <v>1.0001180555555556</v>
      </c>
      <c r="U3592" s="98">
        <v>4.2426160998307871</v>
      </c>
      <c r="V3592" s="106">
        <v>35294.060823241074</v>
      </c>
      <c r="W3592" s="10">
        <v>1.1276393649613636</v>
      </c>
      <c r="X3592" s="420"/>
      <c r="Y3592" s="420"/>
    </row>
    <row r="3593" spans="17:25">
      <c r="Q3593" s="6">
        <v>3563</v>
      </c>
      <c r="R3593" s="7">
        <v>46230</v>
      </c>
      <c r="S3593" s="210">
        <v>4.25</v>
      </c>
      <c r="T3593" s="8">
        <v>1.0001180555555556</v>
      </c>
      <c r="U3593" s="98">
        <v>4.2426610646296492</v>
      </c>
      <c r="V3593" s="106">
        <v>35296.998446874197</v>
      </c>
      <c r="W3593" s="10">
        <v>1.1276818180381509</v>
      </c>
      <c r="X3593" s="420"/>
      <c r="Y3593" s="420"/>
    </row>
    <row r="3594" spans="17:25">
      <c r="Q3594" s="6">
        <v>3564</v>
      </c>
      <c r="R3594" s="7">
        <v>46231</v>
      </c>
      <c r="S3594" s="210">
        <v>4.25</v>
      </c>
      <c r="T3594" s="8">
        <v>1.0001180555555556</v>
      </c>
      <c r="U3594" s="98">
        <v>4.2427060042151243</v>
      </c>
      <c r="V3594" s="106">
        <v>35299.936315013962</v>
      </c>
      <c r="W3594" s="10">
        <v>1.1277242473094695</v>
      </c>
      <c r="X3594" s="420"/>
      <c r="Y3594" s="420"/>
    </row>
    <row r="3595" spans="17:25">
      <c r="Q3595" s="6">
        <v>3565</v>
      </c>
      <c r="R3595" s="7">
        <v>46232</v>
      </c>
      <c r="S3595" s="210">
        <v>4.25</v>
      </c>
      <c r="T3595" s="8">
        <v>1.0001180555555556</v>
      </c>
      <c r="U3595" s="98">
        <v>4.2427509186083956</v>
      </c>
      <c r="V3595" s="106">
        <v>35302.874427680734</v>
      </c>
      <c r="W3595" s="10">
        <v>1.1277666527953478</v>
      </c>
      <c r="X3595" s="420"/>
      <c r="Y3595" s="420"/>
    </row>
    <row r="3596" spans="17:25">
      <c r="Q3596" s="6">
        <v>3566</v>
      </c>
      <c r="R3596" s="7">
        <v>46233</v>
      </c>
      <c r="S3596" s="210">
        <v>4.25</v>
      </c>
      <c r="T3596" s="8">
        <v>1.0001180555555556</v>
      </c>
      <c r="U3596" s="98">
        <v>4.2427958078306682</v>
      </c>
      <c r="V3596" s="106">
        <v>35305.812784894864</v>
      </c>
      <c r="W3596" s="10">
        <v>1.1278090345157699</v>
      </c>
      <c r="X3596" s="420"/>
      <c r="Y3596" s="420"/>
    </row>
    <row r="3597" spans="17:25">
      <c r="Q3597" s="6">
        <v>3567</v>
      </c>
      <c r="R3597" s="7">
        <v>46234</v>
      </c>
      <c r="S3597" s="210">
        <v>4.25</v>
      </c>
      <c r="T3597" s="8">
        <v>1.0001180555555556</v>
      </c>
      <c r="U3597" s="98">
        <v>4.2428406719030809</v>
      </c>
      <c r="V3597" s="106">
        <v>35308.751386676697</v>
      </c>
      <c r="W3597" s="10">
        <v>1.1278513924907196</v>
      </c>
      <c r="X3597" s="420"/>
      <c r="Y3597" s="420"/>
    </row>
    <row r="3598" spans="17:25">
      <c r="Q3598" s="6">
        <v>3568</v>
      </c>
      <c r="R3598" s="7">
        <v>46235</v>
      </c>
      <c r="S3598" s="210">
        <v>4.25</v>
      </c>
      <c r="T3598" s="8">
        <v>1.0001180555555556</v>
      </c>
      <c r="U3598" s="98">
        <v>4.24288551084675</v>
      </c>
      <c r="V3598" s="106">
        <v>35311.690233046596</v>
      </c>
      <c r="W3598" s="10">
        <v>1.1278937267401146</v>
      </c>
      <c r="X3598" s="420"/>
      <c r="Y3598" s="420"/>
    </row>
    <row r="3599" spans="17:25">
      <c r="Q3599" s="6">
        <v>3569</v>
      </c>
      <c r="R3599" s="7">
        <v>46236</v>
      </c>
      <c r="S3599" s="210">
        <v>4.25</v>
      </c>
      <c r="T3599" s="8">
        <v>1.0001180555555556</v>
      </c>
      <c r="U3599" s="98">
        <v>4.2429303246827921</v>
      </c>
      <c r="V3599" s="106">
        <v>35314.629324024914</v>
      </c>
      <c r="W3599" s="10">
        <v>1.1279360372839164</v>
      </c>
      <c r="X3599" s="420"/>
      <c r="Y3599" s="420"/>
    </row>
    <row r="3600" spans="17:25">
      <c r="Q3600" s="6">
        <v>3570</v>
      </c>
      <c r="R3600" s="7">
        <v>46237</v>
      </c>
      <c r="S3600" s="210">
        <v>4.25</v>
      </c>
      <c r="T3600" s="8">
        <v>1.0001180555555556</v>
      </c>
      <c r="U3600" s="98">
        <v>4.2429751134323013</v>
      </c>
      <c r="V3600" s="106">
        <v>35317.568659632016</v>
      </c>
      <c r="W3600" s="10">
        <v>1.1279783241419983</v>
      </c>
      <c r="X3600" s="420"/>
      <c r="Y3600" s="420"/>
    </row>
    <row r="3601" spans="17:25">
      <c r="Q3601" s="6">
        <v>3571</v>
      </c>
      <c r="R3601" s="7">
        <v>46238</v>
      </c>
      <c r="S3601" s="210">
        <v>4.25</v>
      </c>
      <c r="T3601" s="8">
        <v>1.0001180555555556</v>
      </c>
      <c r="U3601" s="98">
        <v>4.2430198771163274</v>
      </c>
      <c r="V3601" s="106">
        <v>35320.508239888266</v>
      </c>
      <c r="W3601" s="10">
        <v>1.1280205873342997</v>
      </c>
      <c r="X3601" s="420"/>
      <c r="Y3601" s="420"/>
    </row>
    <row r="3602" spans="17:25">
      <c r="Q3602" s="6">
        <v>3572</v>
      </c>
      <c r="R3602" s="7">
        <v>46239</v>
      </c>
      <c r="S3602" s="210">
        <v>4.25</v>
      </c>
      <c r="T3602" s="8">
        <v>1.0001180555555556</v>
      </c>
      <c r="U3602" s="98">
        <v>4.2430646157559204</v>
      </c>
      <c r="V3602" s="106">
        <v>35323.448064814023</v>
      </c>
      <c r="W3602" s="10">
        <v>1.128062826880627</v>
      </c>
      <c r="X3602" s="420"/>
      <c r="Y3602" s="420"/>
    </row>
    <row r="3603" spans="17:25">
      <c r="Q3603" s="6">
        <v>3573</v>
      </c>
      <c r="R3603" s="7">
        <v>46240</v>
      </c>
      <c r="S3603" s="210">
        <v>4.25</v>
      </c>
      <c r="T3603" s="8">
        <v>1.0001180555555556</v>
      </c>
      <c r="U3603" s="98">
        <v>4.2431093293720634</v>
      </c>
      <c r="V3603" s="106">
        <v>35326.388134429646</v>
      </c>
      <c r="W3603" s="10">
        <v>1.1281050428008532</v>
      </c>
      <c r="X3603" s="420"/>
      <c r="Y3603" s="420"/>
    </row>
    <row r="3604" spans="17:25">
      <c r="Q3604" s="6">
        <v>3574</v>
      </c>
      <c r="R3604" s="7">
        <v>46241</v>
      </c>
      <c r="S3604" s="210">
        <v>4.25</v>
      </c>
      <c r="T3604" s="8">
        <v>1.0001180555555556</v>
      </c>
      <c r="U3604" s="98">
        <v>4.2431540179857619</v>
      </c>
      <c r="V3604" s="106">
        <v>35329.328448755514</v>
      </c>
      <c r="W3604" s="10">
        <v>1.1281472351147626</v>
      </c>
      <c r="X3604" s="420"/>
      <c r="Y3604" s="420"/>
    </row>
    <row r="3605" spans="17:25">
      <c r="Q3605" s="6">
        <v>3575</v>
      </c>
      <c r="R3605" s="7">
        <v>46242</v>
      </c>
      <c r="S3605" s="210">
        <v>4.25</v>
      </c>
      <c r="T3605" s="8">
        <v>1.0001180555555556</v>
      </c>
      <c r="U3605" s="98">
        <v>4.2431986816179768</v>
      </c>
      <c r="V3605" s="106">
        <v>35332.269007811978</v>
      </c>
      <c r="W3605" s="10">
        <v>1.1281894038421836</v>
      </c>
      <c r="X3605" s="420"/>
      <c r="Y3605" s="420"/>
    </row>
    <row r="3606" spans="17:25">
      <c r="Q3606" s="6">
        <v>3576</v>
      </c>
      <c r="R3606" s="7">
        <v>46243</v>
      </c>
      <c r="S3606" s="210">
        <v>4.25</v>
      </c>
      <c r="T3606" s="8">
        <v>1.0001180555555556</v>
      </c>
      <c r="U3606" s="98">
        <v>4.2432433202896469</v>
      </c>
      <c r="V3606" s="106">
        <v>35335.209811619417</v>
      </c>
      <c r="W3606" s="10">
        <v>1.128231549002856</v>
      </c>
      <c r="X3606" s="420"/>
      <c r="Y3606" s="420"/>
    </row>
    <row r="3607" spans="17:25">
      <c r="Q3607" s="6">
        <v>3577</v>
      </c>
      <c r="R3607" s="7">
        <v>46244</v>
      </c>
      <c r="S3607" s="210">
        <v>4.25</v>
      </c>
      <c r="T3607" s="8">
        <v>1.0001180555555556</v>
      </c>
      <c r="U3607" s="98">
        <v>4.2432879340217111</v>
      </c>
      <c r="V3607" s="106">
        <v>35338.150860198206</v>
      </c>
      <c r="W3607" s="10">
        <v>1.1282736706165641</v>
      </c>
      <c r="X3607" s="420"/>
      <c r="Y3607" s="420"/>
    </row>
    <row r="3608" spans="17:25">
      <c r="Q3608" s="6">
        <v>3578</v>
      </c>
      <c r="R3608" s="7">
        <v>46245</v>
      </c>
      <c r="S3608" s="210">
        <v>4.25</v>
      </c>
      <c r="T3608" s="8">
        <v>1.0001180555555556</v>
      </c>
      <c r="U3608" s="98">
        <v>4.2433325228350416</v>
      </c>
      <c r="V3608" s="106">
        <v>35341.092153568716</v>
      </c>
      <c r="W3608" s="10">
        <v>1.1283157687030254</v>
      </c>
      <c r="X3608" s="420"/>
      <c r="Y3608" s="420"/>
    </row>
    <row r="3609" spans="17:25">
      <c r="Q3609" s="6">
        <v>3579</v>
      </c>
      <c r="R3609" s="7">
        <v>46246</v>
      </c>
      <c r="S3609" s="210">
        <v>4.25</v>
      </c>
      <c r="T3609" s="8">
        <v>1.0001180555555556</v>
      </c>
      <c r="U3609" s="98">
        <v>4.2433770867505105</v>
      </c>
      <c r="V3609" s="106">
        <v>35344.033691751305</v>
      </c>
      <c r="W3609" s="10">
        <v>1.1283578432819352</v>
      </c>
      <c r="X3609" s="420"/>
      <c r="Y3609" s="420"/>
    </row>
    <row r="3610" spans="17:25">
      <c r="Q3610" s="6">
        <v>3580</v>
      </c>
      <c r="R3610" s="7">
        <v>46247</v>
      </c>
      <c r="S3610" s="210">
        <v>4.25</v>
      </c>
      <c r="T3610" s="8">
        <v>1.0001180555555556</v>
      </c>
      <c r="U3610" s="98">
        <v>4.2434216257889901</v>
      </c>
      <c r="V3610" s="106">
        <v>35346.975474766376</v>
      </c>
      <c r="W3610" s="10">
        <v>1.1283998943729889</v>
      </c>
      <c r="X3610" s="420"/>
      <c r="Y3610" s="420"/>
    </row>
    <row r="3611" spans="17:25">
      <c r="Q3611" s="6">
        <v>3581</v>
      </c>
      <c r="R3611" s="7">
        <v>46248</v>
      </c>
      <c r="S3611" s="210">
        <v>4.25</v>
      </c>
      <c r="T3611" s="8">
        <v>1.0001180555555556</v>
      </c>
      <c r="U3611" s="98">
        <v>4.2434661399712859</v>
      </c>
      <c r="V3611" s="106">
        <v>35349.9175026343</v>
      </c>
      <c r="W3611" s="10">
        <v>1.1284419219958375</v>
      </c>
      <c r="X3611" s="420"/>
      <c r="Y3611" s="420"/>
    </row>
    <row r="3612" spans="17:25">
      <c r="Q3612" s="6">
        <v>3582</v>
      </c>
      <c r="R3612" s="7">
        <v>46249</v>
      </c>
      <c r="S3612" s="210">
        <v>4.25</v>
      </c>
      <c r="T3612" s="8">
        <v>1.0001180555555556</v>
      </c>
      <c r="U3612" s="98">
        <v>4.2435106293182034</v>
      </c>
      <c r="V3612" s="106">
        <v>35352.859775375444</v>
      </c>
      <c r="W3612" s="10">
        <v>1.128483926170154</v>
      </c>
      <c r="X3612" s="420"/>
      <c r="Y3612" s="420"/>
    </row>
    <row r="3613" spans="17:25">
      <c r="Q3613" s="6">
        <v>3583</v>
      </c>
      <c r="R3613" s="7">
        <v>46250</v>
      </c>
      <c r="S3613" s="210">
        <v>4.25</v>
      </c>
      <c r="T3613" s="8">
        <v>1.0001180555555556</v>
      </c>
      <c r="U3613" s="98">
        <v>4.243555093850504</v>
      </c>
      <c r="V3613" s="106">
        <v>35355.802293010194</v>
      </c>
      <c r="W3613" s="10">
        <v>1.1285259069155007</v>
      </c>
      <c r="X3613" s="420"/>
      <c r="Y3613" s="420"/>
    </row>
    <row r="3614" spans="17:25">
      <c r="Q3614" s="6">
        <v>3584</v>
      </c>
      <c r="R3614" s="7">
        <v>46251</v>
      </c>
      <c r="S3614" s="210">
        <v>4.25</v>
      </c>
      <c r="T3614" s="8">
        <v>1.0001180555555556</v>
      </c>
      <c r="U3614" s="98">
        <v>4.2435995335889709</v>
      </c>
      <c r="V3614" s="106">
        <v>35358.745055558938</v>
      </c>
      <c r="W3614" s="10">
        <v>1.1285678642515284</v>
      </c>
      <c r="X3614" s="420"/>
      <c r="Y3614" s="420"/>
    </row>
    <row r="3615" spans="17:25">
      <c r="Q3615" s="6">
        <v>3585</v>
      </c>
      <c r="R3615" s="7">
        <v>46252</v>
      </c>
      <c r="S3615" s="210">
        <v>4.25</v>
      </c>
      <c r="T3615" s="8">
        <v>1.0001180555555556</v>
      </c>
      <c r="U3615" s="98">
        <v>4.2436439485543209</v>
      </c>
      <c r="V3615" s="106">
        <v>35361.688063042064</v>
      </c>
      <c r="W3615" s="10">
        <v>1.1286097981977772</v>
      </c>
      <c r="X3615" s="420"/>
      <c r="Y3615" s="420"/>
    </row>
    <row r="3616" spans="17:25">
      <c r="Q3616" s="6">
        <v>3586</v>
      </c>
      <c r="R3616" s="7">
        <v>46253</v>
      </c>
      <c r="S3616" s="210">
        <v>4.25</v>
      </c>
      <c r="T3616" s="8">
        <v>1.0001180555555556</v>
      </c>
      <c r="U3616" s="98">
        <v>4.2436883387672486</v>
      </c>
      <c r="V3616" s="106">
        <v>35364.63131547995</v>
      </c>
      <c r="W3616" s="10">
        <v>1.1286517087737868</v>
      </c>
      <c r="X3616" s="420"/>
      <c r="Y3616" s="420"/>
    </row>
    <row r="3617" spans="17:25">
      <c r="Q3617" s="6">
        <v>3587</v>
      </c>
      <c r="R3617" s="7">
        <v>46254</v>
      </c>
      <c r="S3617" s="210">
        <v>4.25</v>
      </c>
      <c r="T3617" s="8">
        <v>1.0001180555555556</v>
      </c>
      <c r="U3617" s="98">
        <v>4.2437327042484707</v>
      </c>
      <c r="V3617" s="106">
        <v>35367.574812892992</v>
      </c>
      <c r="W3617" s="10">
        <v>1.1286935959991418</v>
      </c>
      <c r="X3617" s="420"/>
      <c r="Y3617" s="420"/>
    </row>
    <row r="3618" spans="17:25">
      <c r="Q3618" s="6">
        <v>3588</v>
      </c>
      <c r="R3618" s="7">
        <v>46255</v>
      </c>
      <c r="S3618" s="210">
        <v>4.25</v>
      </c>
      <c r="T3618" s="8">
        <v>1.0001180555555556</v>
      </c>
      <c r="U3618" s="98">
        <v>4.2437770450186374</v>
      </c>
      <c r="V3618" s="106">
        <v>35370.518555301569</v>
      </c>
      <c r="W3618" s="10">
        <v>1.1287354598933153</v>
      </c>
      <c r="X3618" s="420"/>
      <c r="Y3618" s="420"/>
    </row>
    <row r="3619" spans="17:25">
      <c r="Q3619" s="6">
        <v>3589</v>
      </c>
      <c r="R3619" s="7">
        <v>46256</v>
      </c>
      <c r="S3619" s="210">
        <v>4.25</v>
      </c>
      <c r="T3619" s="8">
        <v>1.0001180555555556</v>
      </c>
      <c r="U3619" s="98">
        <v>4.2438213610983766</v>
      </c>
      <c r="V3619" s="106">
        <v>35373.462542726083</v>
      </c>
      <c r="W3619" s="10">
        <v>1.1287773004758028</v>
      </c>
      <c r="X3619" s="420"/>
      <c r="Y3619" s="420"/>
    </row>
    <row r="3620" spans="17:25">
      <c r="Q3620" s="6">
        <v>3590</v>
      </c>
      <c r="R3620" s="7">
        <v>46257</v>
      </c>
      <c r="S3620" s="210">
        <v>4.25</v>
      </c>
      <c r="T3620" s="8">
        <v>1.0001180555555556</v>
      </c>
      <c r="U3620" s="98">
        <v>4.2438656525083163</v>
      </c>
      <c r="V3620" s="106">
        <v>35376.40677518693</v>
      </c>
      <c r="W3620" s="10">
        <v>1.1288191177660556</v>
      </c>
      <c r="X3620" s="420"/>
      <c r="Y3620" s="420"/>
    </row>
    <row r="3621" spans="17:25">
      <c r="Q3621" s="6">
        <v>3591</v>
      </c>
      <c r="R3621" s="7">
        <v>46258</v>
      </c>
      <c r="S3621" s="210">
        <v>4.25</v>
      </c>
      <c r="T3621" s="8">
        <v>1.0001180555555556</v>
      </c>
      <c r="U3621" s="98">
        <v>4.2439099192690621</v>
      </c>
      <c r="V3621" s="106">
        <v>35379.351252704495</v>
      </c>
      <c r="W3621" s="10">
        <v>1.1288609117835469</v>
      </c>
      <c r="X3621" s="420"/>
      <c r="Y3621" s="420"/>
    </row>
    <row r="3622" spans="17:25">
      <c r="Q3622" s="6">
        <v>3592</v>
      </c>
      <c r="R3622" s="7">
        <v>46259</v>
      </c>
      <c r="S3622" s="210">
        <v>4.25</v>
      </c>
      <c r="T3622" s="8">
        <v>1.0001180555555556</v>
      </c>
      <c r="U3622" s="98">
        <v>4.2439541614011755</v>
      </c>
      <c r="V3622" s="106">
        <v>35382.295975299181</v>
      </c>
      <c r="W3622" s="10">
        <v>1.1289026825476833</v>
      </c>
      <c r="X3622" s="420"/>
      <c r="Y3622" s="420"/>
    </row>
    <row r="3623" spans="17:25">
      <c r="Q3623" s="6">
        <v>3593</v>
      </c>
      <c r="R3623" s="7">
        <v>46260</v>
      </c>
      <c r="S3623" s="210">
        <v>4.25</v>
      </c>
      <c r="T3623" s="8">
        <v>1.0001180555555556</v>
      </c>
      <c r="U3623" s="98">
        <v>4.2439983789251956</v>
      </c>
      <c r="V3623" s="106">
        <v>35385.240942991382</v>
      </c>
      <c r="W3623" s="10">
        <v>1.1289444300778717</v>
      </c>
      <c r="X3623" s="420"/>
      <c r="Y3623" s="420"/>
    </row>
    <row r="3624" spans="17:25">
      <c r="Q3624" s="6">
        <v>3594</v>
      </c>
      <c r="R3624" s="7">
        <v>46261</v>
      </c>
      <c r="S3624" s="210">
        <v>4.25</v>
      </c>
      <c r="T3624" s="8">
        <v>1.0001180555555556</v>
      </c>
      <c r="U3624" s="98">
        <v>4.2440425718616615</v>
      </c>
      <c r="V3624" s="106">
        <v>35388.186155801501</v>
      </c>
      <c r="W3624" s="10">
        <v>1.1289861543934965</v>
      </c>
      <c r="X3624" s="420"/>
      <c r="Y3624" s="420"/>
    </row>
    <row r="3625" spans="17:25">
      <c r="Q3625" s="6">
        <v>3595</v>
      </c>
      <c r="R3625" s="7">
        <v>46262</v>
      </c>
      <c r="S3625" s="210">
        <v>4.25</v>
      </c>
      <c r="T3625" s="8">
        <v>1.0001180555555556</v>
      </c>
      <c r="U3625" s="98">
        <v>4.2440867402310678</v>
      </c>
      <c r="V3625" s="106">
        <v>35391.131613749931</v>
      </c>
      <c r="W3625" s="10">
        <v>1.1290278555139199</v>
      </c>
      <c r="X3625" s="420"/>
      <c r="Y3625" s="420"/>
    </row>
    <row r="3626" spans="17:25">
      <c r="Q3626" s="6">
        <v>3596</v>
      </c>
      <c r="R3626" s="7">
        <v>46263</v>
      </c>
      <c r="S3626" s="210">
        <v>4.25</v>
      </c>
      <c r="T3626" s="8">
        <v>1.0001180555555556</v>
      </c>
      <c r="U3626" s="98">
        <v>4.2441308840538872</v>
      </c>
      <c r="V3626" s="106">
        <v>35394.077316857096</v>
      </c>
      <c r="W3626" s="10">
        <v>1.1290695334584377</v>
      </c>
      <c r="X3626" s="420"/>
      <c r="Y3626" s="420"/>
    </row>
    <row r="3627" spans="17:25">
      <c r="Q3627" s="6">
        <v>3597</v>
      </c>
      <c r="R3627" s="7">
        <v>46264</v>
      </c>
      <c r="S3627" s="210">
        <v>4.25</v>
      </c>
      <c r="T3627" s="8">
        <v>1.0001180555555556</v>
      </c>
      <c r="U3627" s="98">
        <v>4.2441750033505921</v>
      </c>
      <c r="V3627" s="106">
        <v>35397.023265143383</v>
      </c>
      <c r="W3627" s="10">
        <v>1.12911118824639</v>
      </c>
      <c r="X3627" s="420"/>
      <c r="Y3627" s="420"/>
    </row>
    <row r="3628" spans="17:25">
      <c r="Q3628" s="6">
        <v>3598</v>
      </c>
      <c r="R3628" s="7">
        <v>46265</v>
      </c>
      <c r="S3628" s="210">
        <v>4.25</v>
      </c>
      <c r="T3628" s="8">
        <v>1.0001180555555556</v>
      </c>
      <c r="U3628" s="98">
        <v>4.2442190981415884</v>
      </c>
      <c r="V3628" s="106">
        <v>35399.96945862921</v>
      </c>
      <c r="W3628" s="10">
        <v>1.1291528198970724</v>
      </c>
      <c r="X3628" s="420"/>
      <c r="Y3628" s="420"/>
    </row>
    <row r="3629" spans="17:25">
      <c r="Q3629" s="6">
        <v>3599</v>
      </c>
      <c r="R3629" s="7">
        <v>46266</v>
      </c>
      <c r="S3629" s="210">
        <v>4.25</v>
      </c>
      <c r="T3629" s="8">
        <v>1.0001180555555556</v>
      </c>
      <c r="U3629" s="98">
        <v>4.2442631684473264</v>
      </c>
      <c r="V3629" s="106">
        <v>35402.915897334977</v>
      </c>
      <c r="W3629" s="10">
        <v>1.1291944284297584</v>
      </c>
      <c r="X3629" s="420"/>
      <c r="Y3629" s="420"/>
    </row>
    <row r="3630" spans="17:25">
      <c r="Q3630" s="6">
        <v>3600</v>
      </c>
      <c r="R3630" s="7">
        <v>46267</v>
      </c>
      <c r="S3630" s="210">
        <v>4.25</v>
      </c>
      <c r="T3630" s="8">
        <v>1.0001180555555556</v>
      </c>
      <c r="U3630" s="98">
        <v>4.2443072142881677</v>
      </c>
      <c r="V3630" s="106">
        <v>35405.862581281101</v>
      </c>
      <c r="W3630" s="10">
        <v>1.1292360138636992</v>
      </c>
      <c r="X3630" s="420"/>
      <c r="Y3630" s="420"/>
    </row>
    <row r="3631" spans="17:25">
      <c r="Q3631" s="6">
        <v>3601</v>
      </c>
      <c r="R3631" s="7">
        <v>46268</v>
      </c>
      <c r="S3631" s="210">
        <v>4.25</v>
      </c>
      <c r="T3631" s="8">
        <v>1.0001180555555556</v>
      </c>
      <c r="U3631" s="98">
        <v>4.2443512356844959</v>
      </c>
      <c r="V3631" s="106">
        <v>35408.80951048799</v>
      </c>
      <c r="W3631" s="10">
        <v>1.1292775762181462</v>
      </c>
      <c r="X3631" s="420"/>
      <c r="Y3631" s="420"/>
    </row>
    <row r="3632" spans="17:25">
      <c r="Q3632" s="6">
        <v>3602</v>
      </c>
      <c r="R3632" s="7">
        <v>46269</v>
      </c>
      <c r="S3632" s="210">
        <v>4.25</v>
      </c>
      <c r="T3632" s="8">
        <v>1.0001180555555556</v>
      </c>
      <c r="U3632" s="98">
        <v>4.2443952326566503</v>
      </c>
      <c r="V3632" s="106">
        <v>35411.756684976062</v>
      </c>
      <c r="W3632" s="10">
        <v>1.1293191155122617</v>
      </c>
      <c r="X3632" s="420"/>
      <c r="Y3632" s="420"/>
    </row>
    <row r="3633" spans="17:25">
      <c r="Q3633" s="6">
        <v>3603</v>
      </c>
      <c r="R3633" s="7">
        <v>46270</v>
      </c>
      <c r="S3633" s="210">
        <v>4.25</v>
      </c>
      <c r="T3633" s="8">
        <v>1.0001180555555556</v>
      </c>
      <c r="U3633" s="98">
        <v>4.244439205224948</v>
      </c>
      <c r="V3633" s="106">
        <v>35414.704104765726</v>
      </c>
      <c r="W3633" s="10">
        <v>1.1293606317652749</v>
      </c>
      <c r="X3633" s="420"/>
      <c r="Y3633" s="420"/>
    </row>
    <row r="3634" spans="17:25">
      <c r="Q3634" s="6">
        <v>3604</v>
      </c>
      <c r="R3634" s="7">
        <v>46271</v>
      </c>
      <c r="S3634" s="210">
        <v>4.25</v>
      </c>
      <c r="T3634" s="8">
        <v>1.0001180555555556</v>
      </c>
      <c r="U3634" s="98">
        <v>4.2444831534096839</v>
      </c>
      <c r="V3634" s="106">
        <v>35417.651769877397</v>
      </c>
      <c r="W3634" s="10">
        <v>1.129402124996326</v>
      </c>
      <c r="X3634" s="420"/>
      <c r="Y3634" s="420"/>
    </row>
    <row r="3635" spans="17:25">
      <c r="Q3635" s="6">
        <v>3605</v>
      </c>
      <c r="R3635" s="7">
        <v>46272</v>
      </c>
      <c r="S3635" s="210">
        <v>4.25</v>
      </c>
      <c r="T3635" s="8">
        <v>1.0001180555555556</v>
      </c>
      <c r="U3635" s="98">
        <v>4.2445270772311305</v>
      </c>
      <c r="V3635" s="106">
        <v>35420.599680331499</v>
      </c>
      <c r="W3635" s="10">
        <v>1.1294435952245552</v>
      </c>
      <c r="X3635" s="420"/>
      <c r="Y3635" s="420"/>
    </row>
    <row r="3636" spans="17:25">
      <c r="Q3636" s="6">
        <v>3606</v>
      </c>
      <c r="R3636" s="7">
        <v>46273</v>
      </c>
      <c r="S3636" s="210">
        <v>4.25</v>
      </c>
      <c r="T3636" s="8">
        <v>1.0001180555555556</v>
      </c>
      <c r="U3636" s="98">
        <v>4.2445709767095385</v>
      </c>
      <c r="V3636" s="106">
        <v>35423.547836148464</v>
      </c>
      <c r="W3636" s="10">
        <v>1.1294850424690583</v>
      </c>
      <c r="X3636" s="420"/>
      <c r="Y3636" s="420"/>
    </row>
    <row r="3637" spans="17:25">
      <c r="Q3637" s="6">
        <v>3607</v>
      </c>
      <c r="R3637" s="7">
        <v>46274</v>
      </c>
      <c r="S3637" s="210">
        <v>4.25</v>
      </c>
      <c r="T3637" s="8">
        <v>1.0001180555555556</v>
      </c>
      <c r="U3637" s="98">
        <v>4.2446148518651583</v>
      </c>
      <c r="V3637" s="106">
        <v>35426.4962373487</v>
      </c>
      <c r="W3637" s="10">
        <v>1.1295264667490201</v>
      </c>
      <c r="X3637" s="420"/>
      <c r="Y3637" s="420"/>
    </row>
    <row r="3638" spans="17:25">
      <c r="Q3638" s="6">
        <v>3608</v>
      </c>
      <c r="R3638" s="7">
        <v>46275</v>
      </c>
      <c r="S3638" s="210">
        <v>4.25</v>
      </c>
      <c r="T3638" s="8">
        <v>1.0001180555555556</v>
      </c>
      <c r="U3638" s="98">
        <v>4.2446587027181959</v>
      </c>
      <c r="V3638" s="106">
        <v>35429.44488395263</v>
      </c>
      <c r="W3638" s="10">
        <v>1.1295678680834698</v>
      </c>
      <c r="X3638" s="420"/>
      <c r="Y3638" s="420"/>
    </row>
    <row r="3639" spans="17:25">
      <c r="Q3639" s="6">
        <v>3609</v>
      </c>
      <c r="R3639" s="7">
        <v>46276</v>
      </c>
      <c r="S3639" s="210">
        <v>4.25</v>
      </c>
      <c r="T3639" s="8">
        <v>1.0001180555555556</v>
      </c>
      <c r="U3639" s="98">
        <v>4.2447025292888352</v>
      </c>
      <c r="V3639" s="106">
        <v>35432.393775980687</v>
      </c>
      <c r="W3639" s="10">
        <v>1.1296092464914587</v>
      </c>
      <c r="X3639" s="420"/>
      <c r="Y3639" s="420"/>
    </row>
    <row r="3640" spans="17:25">
      <c r="Q3640" s="6">
        <v>3610</v>
      </c>
      <c r="R3640" s="7">
        <v>46277</v>
      </c>
      <c r="S3640" s="210">
        <v>4.25</v>
      </c>
      <c r="T3640" s="8">
        <v>1.0001180555555556</v>
      </c>
      <c r="U3640" s="98">
        <v>4.2447463315972378</v>
      </c>
      <c r="V3640" s="106">
        <v>35435.342913453293</v>
      </c>
      <c r="W3640" s="10">
        <v>1.1296506019920605</v>
      </c>
      <c r="X3640" s="420"/>
      <c r="Y3640" s="420"/>
    </row>
    <row r="3641" spans="17:25">
      <c r="Q3641" s="6">
        <v>3611</v>
      </c>
      <c r="R3641" s="7">
        <v>46278</v>
      </c>
      <c r="S3641" s="210">
        <v>4.25</v>
      </c>
      <c r="T3641" s="8">
        <v>1.0001180555555556</v>
      </c>
      <c r="U3641" s="98">
        <v>4.2447901096635432</v>
      </c>
      <c r="V3641" s="106">
        <v>35438.292296390879</v>
      </c>
      <c r="W3641" s="10">
        <v>1.12969193460426</v>
      </c>
      <c r="X3641" s="420"/>
      <c r="Y3641" s="420"/>
    </row>
    <row r="3642" spans="17:25">
      <c r="Q3642" s="6">
        <v>3612</v>
      </c>
      <c r="R3642" s="7">
        <v>46279</v>
      </c>
      <c r="S3642" s="210">
        <v>4.25</v>
      </c>
      <c r="T3642" s="8">
        <v>1.0001180555555556</v>
      </c>
      <c r="U3642" s="98">
        <v>4.2448338635078686</v>
      </c>
      <c r="V3642" s="106">
        <v>35441.241924813876</v>
      </c>
      <c r="W3642" s="10">
        <v>1.1297332443470642</v>
      </c>
      <c r="X3642" s="420"/>
      <c r="Y3642" s="420"/>
    </row>
    <row r="3643" spans="17:25">
      <c r="Q3643" s="6">
        <v>3613</v>
      </c>
      <c r="R3643" s="7">
        <v>46280</v>
      </c>
      <c r="S3643" s="210">
        <v>4.25</v>
      </c>
      <c r="T3643" s="8">
        <v>1.0001180555555556</v>
      </c>
      <c r="U3643" s="98">
        <v>4.2448775931503091</v>
      </c>
      <c r="V3643" s="106">
        <v>35444.191798742715</v>
      </c>
      <c r="W3643" s="10">
        <v>1.1297745312394358</v>
      </c>
      <c r="X3643" s="420"/>
      <c r="Y3643" s="420"/>
    </row>
    <row r="3644" spans="17:25">
      <c r="Q3644" s="6">
        <v>3614</v>
      </c>
      <c r="R3644" s="7">
        <v>46281</v>
      </c>
      <c r="S3644" s="210">
        <v>4.25</v>
      </c>
      <c r="T3644" s="8">
        <v>1.0001180555555556</v>
      </c>
      <c r="U3644" s="98">
        <v>4.2449212986109375</v>
      </c>
      <c r="V3644" s="106">
        <v>35447.141918197834</v>
      </c>
      <c r="W3644" s="10">
        <v>1.1298157953003374</v>
      </c>
      <c r="X3644" s="420"/>
      <c r="Y3644" s="420"/>
    </row>
    <row r="3645" spans="17:25">
      <c r="Q3645" s="6">
        <v>3615</v>
      </c>
      <c r="R3645" s="7">
        <v>46282</v>
      </c>
      <c r="S3645" s="210">
        <v>4.25</v>
      </c>
      <c r="T3645" s="8">
        <v>1.0001180555555556</v>
      </c>
      <c r="U3645" s="98">
        <v>4.2449649799098266</v>
      </c>
      <c r="V3645" s="106">
        <v>35450.092283199665</v>
      </c>
      <c r="W3645" s="10">
        <v>1.1298570365487315</v>
      </c>
      <c r="X3645" s="420"/>
      <c r="Y3645" s="420"/>
    </row>
    <row r="3646" spans="17:25">
      <c r="Q3646" s="6">
        <v>3616</v>
      </c>
      <c r="R3646" s="7">
        <v>46283</v>
      </c>
      <c r="S3646" s="210">
        <v>4.25</v>
      </c>
      <c r="T3646" s="8">
        <v>1.0001180555555556</v>
      </c>
      <c r="U3646" s="98">
        <v>4.2450086370669826</v>
      </c>
      <c r="V3646" s="106">
        <v>35453.042893768652</v>
      </c>
      <c r="W3646" s="10">
        <v>1.1298982550034697</v>
      </c>
      <c r="X3646" s="420"/>
      <c r="Y3646" s="420"/>
    </row>
    <row r="3647" spans="17:25">
      <c r="Q3647" s="6">
        <v>3617</v>
      </c>
      <c r="R3647" s="7">
        <v>46284</v>
      </c>
      <c r="S3647" s="210">
        <v>4.25</v>
      </c>
      <c r="T3647" s="8">
        <v>1.0001180555555556</v>
      </c>
      <c r="U3647" s="98">
        <v>4.245052270102434</v>
      </c>
      <c r="V3647" s="106">
        <v>35455.993749925219</v>
      </c>
      <c r="W3647" s="10">
        <v>1.1299394506835148</v>
      </c>
      <c r="X3647" s="420"/>
      <c r="Y3647" s="420"/>
    </row>
    <row r="3648" spans="17:25">
      <c r="Q3648" s="6">
        <v>3618</v>
      </c>
      <c r="R3648" s="7">
        <v>46285</v>
      </c>
      <c r="S3648" s="210">
        <v>4.25</v>
      </c>
      <c r="T3648" s="8">
        <v>1.0001180555555556</v>
      </c>
      <c r="U3648" s="98">
        <v>4.2450958790361426</v>
      </c>
      <c r="V3648" s="106">
        <v>35458.944851689826</v>
      </c>
      <c r="W3648" s="10">
        <v>1.1299806236076737</v>
      </c>
      <c r="X3648" s="420"/>
      <c r="Y3648" s="420"/>
    </row>
    <row r="3649" spans="17:25">
      <c r="Q3649" s="6">
        <v>3619</v>
      </c>
      <c r="R3649" s="7">
        <v>46286</v>
      </c>
      <c r="S3649" s="210">
        <v>4.25</v>
      </c>
      <c r="T3649" s="8">
        <v>1.0001180555555556</v>
      </c>
      <c r="U3649" s="98">
        <v>4.2451394638880924</v>
      </c>
      <c r="V3649" s="106">
        <v>35461.896199082898</v>
      </c>
      <c r="W3649" s="10">
        <v>1.1300217737948204</v>
      </c>
      <c r="X3649" s="420"/>
      <c r="Y3649" s="420"/>
    </row>
    <row r="3650" spans="17:25">
      <c r="Q3650" s="6">
        <v>3620</v>
      </c>
      <c r="R3650" s="7">
        <v>46287</v>
      </c>
      <c r="S3650" s="210">
        <v>4.25</v>
      </c>
      <c r="T3650" s="8">
        <v>1.0001180555555556</v>
      </c>
      <c r="U3650" s="98">
        <v>4.2451830246782229</v>
      </c>
      <c r="V3650" s="106">
        <v>35464.847792124892</v>
      </c>
      <c r="W3650" s="10">
        <v>1.1300629012638064</v>
      </c>
      <c r="X3650" s="420"/>
      <c r="Y3650" s="420"/>
    </row>
    <row r="3651" spans="17:25">
      <c r="Q3651" s="6">
        <v>3621</v>
      </c>
      <c r="R3651" s="7">
        <v>46288</v>
      </c>
      <c r="S3651" s="210">
        <v>4.25</v>
      </c>
      <c r="T3651" s="8">
        <v>1.0001180555555556</v>
      </c>
      <c r="U3651" s="98">
        <v>4.2452265614264517</v>
      </c>
      <c r="V3651" s="106">
        <v>35467.799630836256</v>
      </c>
      <c r="W3651" s="10">
        <v>1.1301040060333944</v>
      </c>
      <c r="X3651" s="420"/>
      <c r="Y3651" s="420"/>
    </row>
    <row r="3652" spans="17:25">
      <c r="Q3652" s="6">
        <v>3622</v>
      </c>
      <c r="R3652" s="7">
        <v>46289</v>
      </c>
      <c r="S3652" s="210">
        <v>4.25</v>
      </c>
      <c r="T3652" s="8">
        <v>1.0001180555555556</v>
      </c>
      <c r="U3652" s="98">
        <v>4.2452700741526739</v>
      </c>
      <c r="V3652" s="106">
        <v>35470.75171523742</v>
      </c>
      <c r="W3652" s="10">
        <v>1.130145088122414</v>
      </c>
      <c r="X3652" s="420"/>
      <c r="Y3652" s="420"/>
    </row>
    <row r="3653" spans="17:25">
      <c r="Q3653" s="6">
        <v>3623</v>
      </c>
      <c r="R3653" s="7">
        <v>46290</v>
      </c>
      <c r="S3653" s="210">
        <v>4.25</v>
      </c>
      <c r="T3653" s="8">
        <v>1.0001180555555556</v>
      </c>
      <c r="U3653" s="98">
        <v>4.2453135628767846</v>
      </c>
      <c r="V3653" s="106">
        <v>35473.704045348859</v>
      </c>
      <c r="W3653" s="10">
        <v>1.1301861475496278</v>
      </c>
      <c r="X3653" s="420"/>
      <c r="Y3653" s="420"/>
    </row>
    <row r="3654" spans="17:25">
      <c r="Q3654" s="6">
        <v>3624</v>
      </c>
      <c r="R3654" s="7">
        <v>46291</v>
      </c>
      <c r="S3654" s="210">
        <v>4.25</v>
      </c>
      <c r="T3654" s="8">
        <v>1.0001180555555556</v>
      </c>
      <c r="U3654" s="98">
        <v>4.2453570276186126</v>
      </c>
      <c r="V3654" s="106">
        <v>35476.656621191003</v>
      </c>
      <c r="W3654" s="10">
        <v>1.1302271843337763</v>
      </c>
      <c r="X3654" s="420"/>
      <c r="Y3654" s="420"/>
    </row>
    <row r="3655" spans="17:25">
      <c r="Q3655" s="6">
        <v>3625</v>
      </c>
      <c r="R3655" s="7">
        <v>46292</v>
      </c>
      <c r="S3655" s="210">
        <v>4.25</v>
      </c>
      <c r="T3655" s="8">
        <v>1.0001180555555556</v>
      </c>
      <c r="U3655" s="98">
        <v>4.2454004683980084</v>
      </c>
      <c r="V3655" s="106">
        <v>35479.609442784305</v>
      </c>
      <c r="W3655" s="10">
        <v>1.1302681984935559</v>
      </c>
      <c r="X3655" s="420"/>
      <c r="Y3655" s="420"/>
    </row>
    <row r="3656" spans="17:25">
      <c r="Q3656" s="6">
        <v>3626</v>
      </c>
      <c r="R3656" s="7">
        <v>46293</v>
      </c>
      <c r="S3656" s="210">
        <v>4.25</v>
      </c>
      <c r="T3656" s="8">
        <v>1.0001180555555556</v>
      </c>
      <c r="U3656" s="98">
        <v>4.2454438852347787</v>
      </c>
      <c r="V3656" s="106">
        <v>35482.562510149241</v>
      </c>
      <c r="W3656" s="10">
        <v>1.1303091900477069</v>
      </c>
      <c r="X3656" s="420"/>
      <c r="Y3656" s="420"/>
    </row>
    <row r="3657" spans="17:25">
      <c r="Q3657" s="6">
        <v>3627</v>
      </c>
      <c r="R3657" s="7">
        <v>46294</v>
      </c>
      <c r="S3657" s="210">
        <v>4.25</v>
      </c>
      <c r="T3657" s="8">
        <v>1.0001180555555556</v>
      </c>
      <c r="U3657" s="98">
        <v>4.2454872781487074</v>
      </c>
      <c r="V3657" s="106">
        <v>35485.515823306239</v>
      </c>
      <c r="W3657" s="10">
        <v>1.1303501590149034</v>
      </c>
      <c r="X3657" s="420"/>
      <c r="Y3657" s="420"/>
    </row>
    <row r="3658" spans="17:25">
      <c r="Q3658" s="6">
        <v>3628</v>
      </c>
      <c r="R3658" s="7">
        <v>46295</v>
      </c>
      <c r="S3658" s="210">
        <v>4.25</v>
      </c>
      <c r="T3658" s="8">
        <v>1.0001180555555556</v>
      </c>
      <c r="U3658" s="98">
        <v>4.2455306471595566</v>
      </c>
      <c r="V3658" s="106">
        <v>35488.469382275776</v>
      </c>
      <c r="W3658" s="10">
        <v>1.1303911054138194</v>
      </c>
      <c r="X3658" s="420"/>
      <c r="Y3658" s="420"/>
    </row>
    <row r="3659" spans="17:25">
      <c r="Q3659" s="6">
        <v>3629</v>
      </c>
      <c r="R3659" s="7">
        <v>46296</v>
      </c>
      <c r="S3659" s="210">
        <v>4.25</v>
      </c>
      <c r="T3659" s="8">
        <v>1.0001180555555556</v>
      </c>
      <c r="U3659" s="98">
        <v>4.2455739922870661</v>
      </c>
      <c r="V3659" s="106">
        <v>35491.423187078311</v>
      </c>
      <c r="W3659" s="10">
        <v>1.1304320292630399</v>
      </c>
      <c r="X3659" s="420"/>
      <c r="Y3659" s="420"/>
    </row>
    <row r="3660" spans="17:25">
      <c r="Q3660" s="6">
        <v>3630</v>
      </c>
      <c r="R3660" s="7">
        <v>46297</v>
      </c>
      <c r="S3660" s="210">
        <v>4.25</v>
      </c>
      <c r="T3660" s="8">
        <v>1.0001180555555556</v>
      </c>
      <c r="U3660" s="98">
        <v>4.2456173135509756</v>
      </c>
      <c r="V3660" s="106">
        <v>35494.377237734305</v>
      </c>
      <c r="W3660" s="10">
        <v>1.1304729305812611</v>
      </c>
      <c r="X3660" s="420"/>
      <c r="Y3660" s="420"/>
    </row>
    <row r="3661" spans="17:25">
      <c r="Q3661" s="6">
        <v>3631</v>
      </c>
      <c r="R3661" s="7">
        <v>46298</v>
      </c>
      <c r="S3661" s="210">
        <v>4.25</v>
      </c>
      <c r="T3661" s="8">
        <v>1.0001180555555556</v>
      </c>
      <c r="U3661" s="98">
        <v>4.2456606109709805</v>
      </c>
      <c r="V3661" s="106">
        <v>35497.331534264209</v>
      </c>
      <c r="W3661" s="10">
        <v>1.1305138093870459</v>
      </c>
      <c r="X3661" s="420"/>
      <c r="Y3661" s="420"/>
    </row>
    <row r="3662" spans="17:25">
      <c r="Q3662" s="6">
        <v>3632</v>
      </c>
      <c r="R3662" s="7">
        <v>46299</v>
      </c>
      <c r="S3662" s="210">
        <v>4.25</v>
      </c>
      <c r="T3662" s="8">
        <v>1.0001180555555556</v>
      </c>
      <c r="U3662" s="98">
        <v>4.2457038845667761</v>
      </c>
      <c r="V3662" s="106">
        <v>35500.286076688499</v>
      </c>
      <c r="W3662" s="10">
        <v>1.1305546656989796</v>
      </c>
      <c r="X3662" s="420"/>
      <c r="Y3662" s="420"/>
    </row>
    <row r="3663" spans="17:25">
      <c r="Q3663" s="6">
        <v>3633</v>
      </c>
      <c r="R3663" s="7">
        <v>46300</v>
      </c>
      <c r="S3663" s="210">
        <v>4.25</v>
      </c>
      <c r="T3663" s="8">
        <v>1.0001180555555556</v>
      </c>
      <c r="U3663" s="98">
        <v>4.2457471343579911</v>
      </c>
      <c r="V3663" s="106">
        <v>35503.240865027627</v>
      </c>
      <c r="W3663" s="10">
        <v>1.1305954995356471</v>
      </c>
      <c r="X3663" s="420"/>
      <c r="Y3663" s="420"/>
    </row>
    <row r="3664" spans="17:25">
      <c r="Q3664" s="6">
        <v>3634</v>
      </c>
      <c r="R3664" s="7">
        <v>46301</v>
      </c>
      <c r="S3664" s="210">
        <v>4.25</v>
      </c>
      <c r="T3664" s="8">
        <v>1.0001180555555556</v>
      </c>
      <c r="U3664" s="98">
        <v>4.2457903603642766</v>
      </c>
      <c r="V3664" s="106">
        <v>35506.195899302089</v>
      </c>
      <c r="W3664" s="10">
        <v>1.1306363109155448</v>
      </c>
      <c r="X3664" s="420"/>
      <c r="Y3664" s="420"/>
    </row>
    <row r="3665" spans="17:25">
      <c r="Q3665" s="6">
        <v>3635</v>
      </c>
      <c r="R3665" s="7">
        <v>46302</v>
      </c>
      <c r="S3665" s="210">
        <v>4.25</v>
      </c>
      <c r="T3665" s="8">
        <v>1.0001180555555556</v>
      </c>
      <c r="U3665" s="98">
        <v>4.2458335626052612</v>
      </c>
      <c r="V3665" s="106">
        <v>35509.151179532331</v>
      </c>
      <c r="W3665" s="10">
        <v>1.130677099857258</v>
      </c>
      <c r="X3665" s="420"/>
      <c r="Y3665" s="420"/>
    </row>
    <row r="3666" spans="17:25">
      <c r="Q3666" s="6">
        <v>3636</v>
      </c>
      <c r="R3666" s="7">
        <v>46303</v>
      </c>
      <c r="S3666" s="210">
        <v>4.25</v>
      </c>
      <c r="T3666" s="8">
        <v>1.0001180555555556</v>
      </c>
      <c r="U3666" s="98">
        <v>4.2458767411005294</v>
      </c>
      <c r="V3666" s="106">
        <v>35512.106705738835</v>
      </c>
      <c r="W3666" s="10">
        <v>1.1307178663792161</v>
      </c>
      <c r="X3666" s="420"/>
      <c r="Y3666" s="420"/>
    </row>
    <row r="3667" spans="17:25">
      <c r="Q3667" s="6">
        <v>3637</v>
      </c>
      <c r="R3667" s="7">
        <v>46304</v>
      </c>
      <c r="S3667" s="210">
        <v>4.25</v>
      </c>
      <c r="T3667" s="8">
        <v>1.0001180555555556</v>
      </c>
      <c r="U3667" s="98">
        <v>4.2459198958696431</v>
      </c>
      <c r="V3667" s="106">
        <v>35515.062477942069</v>
      </c>
      <c r="W3667" s="10">
        <v>1.1307586104999379</v>
      </c>
      <c r="X3667" s="420"/>
      <c r="Y3667" s="420"/>
    </row>
    <row r="3668" spans="17:25">
      <c r="Q3668" s="6">
        <v>3638</v>
      </c>
      <c r="R3668" s="7">
        <v>46305</v>
      </c>
      <c r="S3668" s="210">
        <v>4.25</v>
      </c>
      <c r="T3668" s="8">
        <v>1.0001180555555556</v>
      </c>
      <c r="U3668" s="98">
        <v>4.2459630269321647</v>
      </c>
      <c r="V3668" s="106">
        <v>35518.018496162513</v>
      </c>
      <c r="W3668" s="10">
        <v>1.1307993322378751</v>
      </c>
      <c r="X3668" s="420"/>
      <c r="Y3668" s="420"/>
    </row>
    <row r="3669" spans="17:25">
      <c r="Q3669" s="6">
        <v>3639</v>
      </c>
      <c r="R3669" s="7">
        <v>46306</v>
      </c>
      <c r="S3669" s="210">
        <v>4.25</v>
      </c>
      <c r="T3669" s="8">
        <v>1.0001180555555556</v>
      </c>
      <c r="U3669" s="98">
        <v>4.2460061343076116</v>
      </c>
      <c r="V3669" s="106">
        <v>35520.974760420642</v>
      </c>
      <c r="W3669" s="10">
        <v>1.1308400316114797</v>
      </c>
      <c r="X3669" s="420"/>
      <c r="Y3669" s="420"/>
    </row>
    <row r="3670" spans="17:25">
      <c r="Q3670" s="6">
        <v>3640</v>
      </c>
      <c r="R3670" s="7">
        <v>46307</v>
      </c>
      <c r="S3670" s="210">
        <v>4.25</v>
      </c>
      <c r="T3670" s="8">
        <v>1.0001180555555556</v>
      </c>
      <c r="U3670" s="98">
        <v>4.2460492180155018</v>
      </c>
      <c r="V3670" s="106">
        <v>35523.931270736924</v>
      </c>
      <c r="W3670" s="10">
        <v>1.130880708639137</v>
      </c>
      <c r="X3670" s="420"/>
      <c r="Y3670" s="420"/>
    </row>
    <row r="3671" spans="17:25">
      <c r="Q3671" s="6">
        <v>3641</v>
      </c>
      <c r="R3671" s="7">
        <v>46308</v>
      </c>
      <c r="S3671" s="210">
        <v>4.25</v>
      </c>
      <c r="T3671" s="8">
        <v>1.0001180555555556</v>
      </c>
      <c r="U3671" s="98">
        <v>4.2460922780753085</v>
      </c>
      <c r="V3671" s="106">
        <v>35526.888027131856</v>
      </c>
      <c r="W3671" s="10">
        <v>1.1309213633392767</v>
      </c>
      <c r="X3671" s="420"/>
      <c r="Y3671" s="420"/>
    </row>
    <row r="3672" spans="17:25">
      <c r="Q3672" s="6">
        <v>3642</v>
      </c>
      <c r="R3672" s="7">
        <v>46309</v>
      </c>
      <c r="S3672" s="210">
        <v>4.25</v>
      </c>
      <c r="T3672" s="8">
        <v>1.0001180555555556</v>
      </c>
      <c r="U3672" s="98">
        <v>4.2461353145065051</v>
      </c>
      <c r="V3672" s="106">
        <v>35529.845029625903</v>
      </c>
      <c r="W3672" s="10">
        <v>1.1309619957302397</v>
      </c>
      <c r="X3672" s="420"/>
      <c r="Y3672" s="420"/>
    </row>
    <row r="3673" spans="17:25">
      <c r="Q3673" s="6">
        <v>3643</v>
      </c>
      <c r="R3673" s="7">
        <v>46310</v>
      </c>
      <c r="S3673" s="210">
        <v>4.25</v>
      </c>
      <c r="T3673" s="8">
        <v>1.0001180555555556</v>
      </c>
      <c r="U3673" s="98">
        <v>4.2461783273285425</v>
      </c>
      <c r="V3673" s="106">
        <v>35532.802278239571</v>
      </c>
      <c r="W3673" s="10">
        <v>1.1310026058304334</v>
      </c>
      <c r="X3673" s="420"/>
      <c r="Y3673" s="420"/>
    </row>
    <row r="3674" spans="17:25">
      <c r="Q3674" s="6">
        <v>3644</v>
      </c>
      <c r="R3674" s="7">
        <v>46311</v>
      </c>
      <c r="S3674" s="210">
        <v>4.25</v>
      </c>
      <c r="T3674" s="8">
        <v>1.0001180555555556</v>
      </c>
      <c r="U3674" s="98">
        <v>4.2462213165608498</v>
      </c>
      <c r="V3674" s="106">
        <v>35535.759772993326</v>
      </c>
      <c r="W3674" s="10">
        <v>1.1310431936581766</v>
      </c>
      <c r="X3674" s="420"/>
      <c r="Y3674" s="420"/>
    </row>
    <row r="3675" spans="17:25">
      <c r="Q3675" s="6">
        <v>3645</v>
      </c>
      <c r="R3675" s="7">
        <v>46312</v>
      </c>
      <c r="S3675" s="210">
        <v>4.25</v>
      </c>
      <c r="T3675" s="8">
        <v>1.0001180555555556</v>
      </c>
      <c r="U3675" s="98">
        <v>4.2462642822228114</v>
      </c>
      <c r="V3675" s="106">
        <v>35538.717513907664</v>
      </c>
      <c r="W3675" s="10">
        <v>1.1310837592317879</v>
      </c>
      <c r="X3675" s="420"/>
      <c r="Y3675" s="420"/>
    </row>
    <row r="3676" spans="17:25">
      <c r="Q3676" s="6">
        <v>3646</v>
      </c>
      <c r="R3676" s="7">
        <v>46313</v>
      </c>
      <c r="S3676" s="210">
        <v>4.25</v>
      </c>
      <c r="T3676" s="8">
        <v>1.0001180555555556</v>
      </c>
      <c r="U3676" s="98">
        <v>4.2463072243338118</v>
      </c>
      <c r="V3676" s="106">
        <v>35541.675501003068</v>
      </c>
      <c r="W3676" s="10">
        <v>1.1311243025695639</v>
      </c>
      <c r="X3676" s="420"/>
      <c r="Y3676" s="420"/>
    </row>
    <row r="3677" spans="17:25">
      <c r="Q3677" s="6">
        <v>3647</v>
      </c>
      <c r="R3677" s="7">
        <v>46314</v>
      </c>
      <c r="S3677" s="210">
        <v>4.25</v>
      </c>
      <c r="T3677" s="8">
        <v>1.0001180555555556</v>
      </c>
      <c r="U3677" s="98">
        <v>4.2463501429131911</v>
      </c>
      <c r="V3677" s="106">
        <v>35544.633734300027</v>
      </c>
      <c r="W3677" s="10">
        <v>1.1311648236897565</v>
      </c>
      <c r="X3677" s="420"/>
      <c r="Y3677" s="420"/>
    </row>
    <row r="3678" spans="17:25">
      <c r="Q3678" s="6">
        <v>3648</v>
      </c>
      <c r="R3678" s="7">
        <v>46315</v>
      </c>
      <c r="S3678" s="210">
        <v>4.25</v>
      </c>
      <c r="T3678" s="8">
        <v>1.0001180555555556</v>
      </c>
      <c r="U3678" s="98">
        <v>4.2463930379803116</v>
      </c>
      <c r="V3678" s="106">
        <v>35547.592213819044</v>
      </c>
      <c r="W3678" s="10">
        <v>1.1312053226106622</v>
      </c>
      <c r="X3678" s="420"/>
      <c r="Y3678" s="420"/>
    </row>
    <row r="3679" spans="17:25">
      <c r="Q3679" s="6">
        <v>3649</v>
      </c>
      <c r="R3679" s="7">
        <v>46316</v>
      </c>
      <c r="S3679" s="210">
        <v>4.25</v>
      </c>
      <c r="T3679" s="8">
        <v>1.0001180555555556</v>
      </c>
      <c r="U3679" s="98">
        <v>4.246435909554469</v>
      </c>
      <c r="V3679" s="106">
        <v>35550.5509395806</v>
      </c>
      <c r="W3679" s="10">
        <v>1.1312457993504887</v>
      </c>
      <c r="X3679" s="420"/>
      <c r="Y3679" s="420"/>
    </row>
    <row r="3680" spans="17:25">
      <c r="Q3680" s="6">
        <v>3650</v>
      </c>
      <c r="R3680" s="7">
        <v>46317</v>
      </c>
      <c r="S3680" s="210">
        <v>4.25</v>
      </c>
      <c r="T3680" s="8">
        <v>1.0001180555555556</v>
      </c>
      <c r="U3680" s="98">
        <v>4.2464787576549812</v>
      </c>
      <c r="V3680" s="106">
        <v>35553.509911605208</v>
      </c>
      <c r="W3680" s="10">
        <v>1.131286253927466</v>
      </c>
      <c r="X3680" s="420"/>
      <c r="Y3680" s="420"/>
    </row>
    <row r="3681" spans="17:25">
      <c r="Q3681" s="6">
        <v>3651</v>
      </c>
      <c r="R3681" s="7">
        <v>46318</v>
      </c>
      <c r="S3681" s="210">
        <v>4.25</v>
      </c>
      <c r="T3681" s="8">
        <v>1.0001180555555556</v>
      </c>
      <c r="U3681" s="98">
        <v>4.2465215823011215</v>
      </c>
      <c r="V3681" s="106">
        <v>35556.469129913341</v>
      </c>
      <c r="W3681" s="10">
        <v>1.1313266863598015</v>
      </c>
      <c r="X3681" s="420"/>
      <c r="Y3681" s="420"/>
    </row>
    <row r="3682" spans="17:25">
      <c r="Q3682" s="6">
        <v>3652</v>
      </c>
      <c r="R3682" s="7">
        <v>46319</v>
      </c>
      <c r="S3682" s="210">
        <v>4.25</v>
      </c>
      <c r="T3682" s="8">
        <v>1.0001180555555556</v>
      </c>
      <c r="U3682" s="98">
        <v>4.2465643835121192</v>
      </c>
      <c r="V3682" s="106">
        <v>35559.428594525511</v>
      </c>
      <c r="W3682" s="10">
        <v>1.1313670966656808</v>
      </c>
      <c r="X3682" s="420"/>
      <c r="Y3682" s="420"/>
    </row>
    <row r="3683" spans="17:25">
      <c r="Q3683" s="6">
        <v>3653</v>
      </c>
      <c r="R3683" s="7">
        <v>46320</v>
      </c>
      <c r="S3683" s="210">
        <v>4.25</v>
      </c>
      <c r="T3683" s="8">
        <v>1.0001180555555556</v>
      </c>
      <c r="U3683" s="98">
        <v>4.2466071613072254</v>
      </c>
      <c r="V3683" s="106">
        <v>35562.388305462227</v>
      </c>
      <c r="W3683" s="10">
        <v>1.1314074848632227</v>
      </c>
      <c r="X3683" s="420"/>
      <c r="Y3683" s="420"/>
    </row>
    <row r="3684" spans="17:25">
      <c r="Q3684" s="6">
        <v>3654</v>
      </c>
      <c r="R3684" s="7">
        <v>46321</v>
      </c>
      <c r="S3684" s="210">
        <v>4.25</v>
      </c>
      <c r="T3684" s="8">
        <v>1.0001180555555556</v>
      </c>
      <c r="U3684" s="98">
        <v>4.2466499157056248</v>
      </c>
      <c r="V3684" s="106">
        <v>35565.348262743973</v>
      </c>
      <c r="W3684" s="10">
        <v>1.1314478509705905</v>
      </c>
      <c r="X3684" s="420"/>
      <c r="Y3684" s="420"/>
    </row>
    <row r="3685" spans="17:25">
      <c r="Q3685" s="6">
        <v>3655</v>
      </c>
      <c r="R3685" s="7">
        <v>46322</v>
      </c>
      <c r="S3685" s="210">
        <v>4.25</v>
      </c>
      <c r="T3685" s="8">
        <v>1.0001180555555556</v>
      </c>
      <c r="U3685" s="98">
        <v>4.2466926467265242</v>
      </c>
      <c r="V3685" s="106">
        <v>35568.308466391267</v>
      </c>
      <c r="W3685" s="10">
        <v>1.1314881950058808</v>
      </c>
      <c r="X3685" s="420"/>
      <c r="Y3685" s="420"/>
    </row>
    <row r="3686" spans="17:25">
      <c r="Q3686" s="6">
        <v>3656</v>
      </c>
      <c r="R3686" s="7">
        <v>46323</v>
      </c>
      <c r="S3686" s="210">
        <v>4.25</v>
      </c>
      <c r="T3686" s="8">
        <v>1.0001180555555556</v>
      </c>
      <c r="U3686" s="98">
        <v>4.2467353543891084</v>
      </c>
      <c r="V3686" s="106">
        <v>35571.268916424611</v>
      </c>
      <c r="W3686" s="10">
        <v>1.1315285169872347</v>
      </c>
      <c r="X3686" s="420"/>
      <c r="Y3686" s="420"/>
    </row>
    <row r="3687" spans="17:25">
      <c r="Q3687" s="6">
        <v>3657</v>
      </c>
      <c r="R3687" s="7">
        <v>46324</v>
      </c>
      <c r="S3687" s="210">
        <v>4.25</v>
      </c>
      <c r="T3687" s="8">
        <v>1.0001180555555556</v>
      </c>
      <c r="U3687" s="98">
        <v>4.2467780387124954</v>
      </c>
      <c r="V3687" s="106">
        <v>35574.229612864503</v>
      </c>
      <c r="W3687" s="10">
        <v>1.1315688169327043</v>
      </c>
      <c r="X3687" s="420"/>
      <c r="Y3687" s="420"/>
    </row>
    <row r="3688" spans="17:25">
      <c r="Q3688" s="6">
        <v>3658</v>
      </c>
      <c r="R3688" s="7">
        <v>46325</v>
      </c>
      <c r="S3688" s="210">
        <v>4.25</v>
      </c>
      <c r="T3688" s="8">
        <v>1.0001180555555556</v>
      </c>
      <c r="U3688" s="98">
        <v>4.2468206997158253</v>
      </c>
      <c r="V3688" s="106">
        <v>35577.190555731468</v>
      </c>
      <c r="W3688" s="10">
        <v>1.1316090948603419</v>
      </c>
      <c r="X3688" s="420"/>
      <c r="Y3688" s="420"/>
    </row>
    <row r="3689" spans="17:25">
      <c r="Q3689" s="6">
        <v>3659</v>
      </c>
      <c r="R3689" s="7">
        <v>46326</v>
      </c>
      <c r="S3689" s="210">
        <v>4.25</v>
      </c>
      <c r="T3689" s="8">
        <v>1.0001180555555556</v>
      </c>
      <c r="U3689" s="98">
        <v>4.2468633374182163</v>
      </c>
      <c r="V3689" s="106">
        <v>35580.151745046009</v>
      </c>
      <c r="W3689" s="10">
        <v>1.1316493507881997</v>
      </c>
      <c r="X3689" s="420"/>
      <c r="Y3689" s="420"/>
    </row>
    <row r="3690" spans="17:25">
      <c r="Q3690" s="6">
        <v>3660</v>
      </c>
      <c r="R3690" s="7">
        <v>46327</v>
      </c>
      <c r="S3690" s="210">
        <v>4.25</v>
      </c>
      <c r="T3690" s="8">
        <v>1.0001180555555556</v>
      </c>
      <c r="U3690" s="98">
        <v>4.246905951838742</v>
      </c>
      <c r="V3690" s="106">
        <v>35583.11318082863</v>
      </c>
      <c r="W3690" s="10">
        <v>1.1316895847343078</v>
      </c>
      <c r="X3690" s="420"/>
      <c r="Y3690" s="420"/>
    </row>
    <row r="3691" spans="17:25">
      <c r="Q3691" s="6">
        <v>3661</v>
      </c>
      <c r="R3691" s="7">
        <v>46328</v>
      </c>
      <c r="S3691" s="210">
        <v>4.25</v>
      </c>
      <c r="T3691" s="8">
        <v>1.0001180555555556</v>
      </c>
      <c r="U3691" s="98">
        <v>4.2469485429964537</v>
      </c>
      <c r="V3691" s="106">
        <v>35586.074863099864</v>
      </c>
      <c r="W3691" s="10">
        <v>1.1317297967166295</v>
      </c>
      <c r="X3691" s="420"/>
      <c r="Y3691" s="420"/>
    </row>
    <row r="3692" spans="17:25">
      <c r="Q3692" s="6">
        <v>3662</v>
      </c>
      <c r="R3692" s="7">
        <v>46329</v>
      </c>
      <c r="S3692" s="210">
        <v>4.25</v>
      </c>
      <c r="T3692" s="8">
        <v>1.0001180555555556</v>
      </c>
      <c r="U3692" s="98">
        <v>4.2469911109104252</v>
      </c>
      <c r="V3692" s="106">
        <v>35589.036791880215</v>
      </c>
      <c r="W3692" s="10">
        <v>1.131769986753195</v>
      </c>
      <c r="X3692" s="420"/>
      <c r="Y3692" s="420"/>
    </row>
    <row r="3693" spans="17:25">
      <c r="Q3693" s="6">
        <v>3663</v>
      </c>
      <c r="R3693" s="7">
        <v>46330</v>
      </c>
      <c r="S3693" s="210">
        <v>4.25</v>
      </c>
      <c r="T3693" s="8">
        <v>1.0001180555555556</v>
      </c>
      <c r="U3693" s="98">
        <v>4.2470336555996413</v>
      </c>
      <c r="V3693" s="106">
        <v>35591.9989671902</v>
      </c>
      <c r="W3693" s="10">
        <v>1.1318101548619008</v>
      </c>
      <c r="X3693" s="420"/>
      <c r="Y3693" s="420"/>
    </row>
    <row r="3694" spans="17:25">
      <c r="Q3694" s="6">
        <v>3664</v>
      </c>
      <c r="R3694" s="7">
        <v>46331</v>
      </c>
      <c r="S3694" s="210">
        <v>4.25</v>
      </c>
      <c r="T3694" s="8">
        <v>1.0001180555555556</v>
      </c>
      <c r="U3694" s="98">
        <v>4.2470761770831311</v>
      </c>
      <c r="V3694" s="106">
        <v>35594.961389050339</v>
      </c>
      <c r="W3694" s="10">
        <v>1.131850301060755</v>
      </c>
      <c r="X3694" s="420"/>
      <c r="Y3694" s="420"/>
    </row>
    <row r="3695" spans="17:25">
      <c r="Q3695" s="6">
        <v>3665</v>
      </c>
      <c r="R3695" s="7">
        <v>46332</v>
      </c>
      <c r="S3695" s="210">
        <v>4.25</v>
      </c>
      <c r="T3695" s="8">
        <v>1.0001180555555556</v>
      </c>
      <c r="U3695" s="98">
        <v>4.2471186753798573</v>
      </c>
      <c r="V3695" s="106">
        <v>35597.924057481163</v>
      </c>
      <c r="W3695" s="10">
        <v>1.1318904253676321</v>
      </c>
      <c r="X3695" s="420"/>
      <c r="Y3695" s="420"/>
    </row>
    <row r="3696" spans="17:25">
      <c r="Q3696" s="6">
        <v>3666</v>
      </c>
      <c r="R3696" s="7">
        <v>46333</v>
      </c>
      <c r="S3696" s="210">
        <v>4.25</v>
      </c>
      <c r="T3696" s="8">
        <v>1.0001180555555556</v>
      </c>
      <c r="U3696" s="98">
        <v>4.2471611505088047</v>
      </c>
      <c r="V3696" s="106">
        <v>35600.886972503176</v>
      </c>
      <c r="W3696" s="10">
        <v>1.131930527800451</v>
      </c>
      <c r="X3696" s="420"/>
      <c r="Y3696" s="420"/>
    </row>
    <row r="3697" spans="17:25">
      <c r="Q3697" s="6">
        <v>3667</v>
      </c>
      <c r="R3697" s="7">
        <v>46334</v>
      </c>
      <c r="S3697" s="210">
        <v>4.25</v>
      </c>
      <c r="T3697" s="8">
        <v>1.0001180555555556</v>
      </c>
      <c r="U3697" s="98">
        <v>4.2472036024888915</v>
      </c>
      <c r="V3697" s="106">
        <v>35603.850134136926</v>
      </c>
      <c r="W3697" s="10">
        <v>1.1319706083771086</v>
      </c>
      <c r="X3697" s="420"/>
      <c r="Y3697" s="420"/>
    </row>
    <row r="3698" spans="17:25">
      <c r="Q3698" s="6">
        <v>3668</v>
      </c>
      <c r="R3698" s="7">
        <v>46335</v>
      </c>
      <c r="S3698" s="210">
        <v>4.25</v>
      </c>
      <c r="T3698" s="8">
        <v>1.0001180555555556</v>
      </c>
      <c r="U3698" s="98">
        <v>4.2472460313390359</v>
      </c>
      <c r="V3698" s="106">
        <v>35606.813542402917</v>
      </c>
      <c r="W3698" s="10">
        <v>1.1320106671154129</v>
      </c>
      <c r="X3698" s="420"/>
      <c r="Y3698" s="420"/>
    </row>
    <row r="3699" spans="17:25">
      <c r="Q3699" s="6">
        <v>3669</v>
      </c>
      <c r="R3699" s="7">
        <v>46336</v>
      </c>
      <c r="S3699" s="210">
        <v>4.25</v>
      </c>
      <c r="T3699" s="8">
        <v>1.0001180555555556</v>
      </c>
      <c r="U3699" s="98">
        <v>4.2472884370781561</v>
      </c>
      <c r="V3699" s="106">
        <v>35609.77719732168</v>
      </c>
      <c r="W3699" s="10">
        <v>1.1320507040332828</v>
      </c>
      <c r="X3699" s="420"/>
      <c r="Y3699" s="420"/>
    </row>
    <row r="3700" spans="17:25">
      <c r="Q3700" s="6">
        <v>3670</v>
      </c>
      <c r="R3700" s="7">
        <v>46337</v>
      </c>
      <c r="S3700" s="210">
        <v>4.25</v>
      </c>
      <c r="T3700" s="8">
        <v>1.0001180555555556</v>
      </c>
      <c r="U3700" s="98">
        <v>4.2473308197251036</v>
      </c>
      <c r="V3700" s="106">
        <v>35612.741098913764</v>
      </c>
      <c r="W3700" s="10">
        <v>1.1320907191485041</v>
      </c>
      <c r="X3700" s="420"/>
      <c r="Y3700" s="420"/>
    </row>
    <row r="3701" spans="17:25">
      <c r="Q3701" s="6">
        <v>3671</v>
      </c>
      <c r="R3701" s="7">
        <v>46338</v>
      </c>
      <c r="S3701" s="210">
        <v>4.25</v>
      </c>
      <c r="T3701" s="8">
        <v>1.0001180555555556</v>
      </c>
      <c r="U3701" s="98">
        <v>4.2473731792987524</v>
      </c>
      <c r="V3701" s="106">
        <v>35615.705247199679</v>
      </c>
      <c r="W3701" s="10">
        <v>1.1321307124788627</v>
      </c>
      <c r="X3701" s="420"/>
      <c r="Y3701" s="420"/>
    </row>
    <row r="3702" spans="17:25">
      <c r="Q3702" s="6">
        <v>3672</v>
      </c>
      <c r="R3702" s="7">
        <v>46339</v>
      </c>
      <c r="S3702" s="210">
        <v>4.25</v>
      </c>
      <c r="T3702" s="8">
        <v>1.0001180555555556</v>
      </c>
      <c r="U3702" s="98">
        <v>4.2474155158179538</v>
      </c>
      <c r="V3702" s="106">
        <v>35618.669642199973</v>
      </c>
      <c r="W3702" s="10">
        <v>1.1321706840421886</v>
      </c>
      <c r="X3702" s="420"/>
      <c r="Y3702" s="420"/>
    </row>
    <row r="3703" spans="17:25">
      <c r="Q3703" s="6">
        <v>3673</v>
      </c>
      <c r="R3703" s="7">
        <v>46340</v>
      </c>
      <c r="S3703" s="210">
        <v>4.25</v>
      </c>
      <c r="T3703" s="8">
        <v>1.0001180555555556</v>
      </c>
      <c r="U3703" s="98">
        <v>4.2474578293014931</v>
      </c>
      <c r="V3703" s="106">
        <v>35621.634283935171</v>
      </c>
      <c r="W3703" s="10">
        <v>1.1322106338562232</v>
      </c>
      <c r="X3703" s="420"/>
      <c r="Y3703" s="420"/>
    </row>
    <row r="3704" spans="17:25">
      <c r="Q3704" s="6">
        <v>3674</v>
      </c>
      <c r="R3704" s="7">
        <v>46341</v>
      </c>
      <c r="S3704" s="210">
        <v>4.25</v>
      </c>
      <c r="T3704" s="8">
        <v>1.0001180555555556</v>
      </c>
      <c r="U3704" s="98">
        <v>4.2475001197681772</v>
      </c>
      <c r="V3704" s="106">
        <v>35624.599172425806</v>
      </c>
      <c r="W3704" s="10">
        <v>1.1322505619386858</v>
      </c>
      <c r="X3704" s="420"/>
      <c r="Y3704" s="420"/>
    </row>
    <row r="3705" spans="17:25">
      <c r="Q3705" s="6">
        <v>3675</v>
      </c>
      <c r="R3705" s="7">
        <v>46342</v>
      </c>
      <c r="S3705" s="210">
        <v>4.25</v>
      </c>
      <c r="T3705" s="8">
        <v>1.0001180555555556</v>
      </c>
      <c r="U3705" s="98">
        <v>4.2475423872367912</v>
      </c>
      <c r="V3705" s="106">
        <v>35627.564307692432</v>
      </c>
      <c r="W3705" s="10">
        <v>1.132290468307362</v>
      </c>
      <c r="X3705" s="420"/>
      <c r="Y3705" s="420"/>
    </row>
    <row r="3706" spans="17:25">
      <c r="Q3706" s="6">
        <v>3676</v>
      </c>
      <c r="R3706" s="7">
        <v>46343</v>
      </c>
      <c r="S3706" s="210">
        <v>4.25</v>
      </c>
      <c r="T3706" s="8">
        <v>1.0001180555555556</v>
      </c>
      <c r="U3706" s="98">
        <v>4.2475846317260757</v>
      </c>
      <c r="V3706" s="106">
        <v>35630.529689755575</v>
      </c>
      <c r="W3706" s="10">
        <v>1.1323303529799045</v>
      </c>
      <c r="X3706" s="420"/>
      <c r="Y3706" s="420"/>
    </row>
    <row r="3707" spans="17:25">
      <c r="Q3707" s="6">
        <v>3677</v>
      </c>
      <c r="R3707" s="7">
        <v>46344</v>
      </c>
      <c r="S3707" s="210">
        <v>4.25</v>
      </c>
      <c r="T3707" s="8">
        <v>1.0001180555555556</v>
      </c>
      <c r="U3707" s="98">
        <v>4.2476268532547712</v>
      </c>
      <c r="V3707" s="106">
        <v>35633.495318635774</v>
      </c>
      <c r="W3707" s="10">
        <v>1.1323702159740323</v>
      </c>
      <c r="X3707" s="420"/>
      <c r="Y3707" s="420"/>
    </row>
    <row r="3708" spans="17:25">
      <c r="Q3708" s="6">
        <v>3678</v>
      </c>
      <c r="R3708" s="7">
        <v>46345</v>
      </c>
      <c r="S3708" s="210">
        <v>4.25</v>
      </c>
      <c r="T3708" s="8">
        <v>1.0001180555555556</v>
      </c>
      <c r="U3708" s="98">
        <v>4.247669051841596</v>
      </c>
      <c r="V3708" s="106">
        <v>35636.461194353593</v>
      </c>
      <c r="W3708" s="10">
        <v>1.1324100573074203</v>
      </c>
      <c r="X3708" s="420"/>
      <c r="Y3708" s="420"/>
    </row>
    <row r="3709" spans="17:25">
      <c r="Q3709" s="6">
        <v>3679</v>
      </c>
      <c r="R3709" s="7">
        <v>46346</v>
      </c>
      <c r="S3709" s="210">
        <v>4.25</v>
      </c>
      <c r="T3709" s="8">
        <v>1.0001180555555556</v>
      </c>
      <c r="U3709" s="98">
        <v>4.2477112275052464</v>
      </c>
      <c r="V3709" s="106">
        <v>35639.427316929556</v>
      </c>
      <c r="W3709" s="10">
        <v>1.1324498769976987</v>
      </c>
      <c r="X3709" s="420"/>
      <c r="Y3709" s="420"/>
    </row>
    <row r="3710" spans="17:25">
      <c r="Q3710" s="6">
        <v>3680</v>
      </c>
      <c r="R3710" s="7">
        <v>46347</v>
      </c>
      <c r="S3710" s="210">
        <v>4.25</v>
      </c>
      <c r="T3710" s="8">
        <v>1.0001180555555556</v>
      </c>
      <c r="U3710" s="98">
        <v>4.2477533802643741</v>
      </c>
      <c r="V3710" s="106">
        <v>35642.393686384217</v>
      </c>
      <c r="W3710" s="10">
        <v>1.132489675062498</v>
      </c>
      <c r="X3710" s="420"/>
      <c r="Y3710" s="420"/>
    </row>
    <row r="3711" spans="17:25">
      <c r="Q3711" s="6">
        <v>3681</v>
      </c>
      <c r="R3711" s="7">
        <v>46348</v>
      </c>
      <c r="S3711" s="210">
        <v>4.25</v>
      </c>
      <c r="T3711" s="8">
        <v>1.0001180555555556</v>
      </c>
      <c r="U3711" s="98">
        <v>4.247795510137653</v>
      </c>
      <c r="V3711" s="106">
        <v>35645.360302738125</v>
      </c>
      <c r="W3711" s="10">
        <v>1.1325294515194484</v>
      </c>
      <c r="X3711" s="420"/>
      <c r="Y3711" s="420"/>
    </row>
    <row r="3712" spans="17:25">
      <c r="Q3712" s="6">
        <v>3682</v>
      </c>
      <c r="R3712" s="7">
        <v>46349</v>
      </c>
      <c r="S3712" s="210">
        <v>4.25</v>
      </c>
      <c r="T3712" s="8">
        <v>1.0001180555555556</v>
      </c>
      <c r="U3712" s="98">
        <v>4.2478376171437127</v>
      </c>
      <c r="V3712" s="106">
        <v>35648.327166011833</v>
      </c>
      <c r="W3712" s="10">
        <v>1.1325692063861359</v>
      </c>
      <c r="X3712" s="420"/>
      <c r="Y3712" s="420"/>
    </row>
    <row r="3713" spans="17:25">
      <c r="Q3713" s="6">
        <v>3683</v>
      </c>
      <c r="R3713" s="7">
        <v>46350</v>
      </c>
      <c r="S3713" s="210">
        <v>4.25</v>
      </c>
      <c r="T3713" s="8">
        <v>1.0001180555555556</v>
      </c>
      <c r="U3713" s="98">
        <v>4.2478797013011604</v>
      </c>
      <c r="V3713" s="106">
        <v>35651.294276225883</v>
      </c>
      <c r="W3713" s="10">
        <v>1.1326089396801242</v>
      </c>
      <c r="X3713" s="420"/>
      <c r="Y3713" s="420"/>
    </row>
    <row r="3714" spans="17:25">
      <c r="Q3714" s="6">
        <v>3684</v>
      </c>
      <c r="R3714" s="7">
        <v>46351</v>
      </c>
      <c r="S3714" s="210">
        <v>4.25</v>
      </c>
      <c r="T3714" s="8">
        <v>1.0001180555555556</v>
      </c>
      <c r="U3714" s="98">
        <v>4.2479217626286037</v>
      </c>
      <c r="V3714" s="106">
        <v>35654.261633400834</v>
      </c>
      <c r="W3714" s="10">
        <v>1.1326486514189771</v>
      </c>
      <c r="X3714" s="420"/>
      <c r="Y3714" s="420"/>
    </row>
    <row r="3715" spans="17:25">
      <c r="Q3715" s="6">
        <v>3685</v>
      </c>
      <c r="R3715" s="7">
        <v>46352</v>
      </c>
      <c r="S3715" s="210">
        <v>4.25</v>
      </c>
      <c r="T3715" s="8">
        <v>1.0001180555555556</v>
      </c>
      <c r="U3715" s="98">
        <v>4.2479638011446053</v>
      </c>
      <c r="V3715" s="106">
        <v>35657.229237557243</v>
      </c>
      <c r="W3715" s="10">
        <v>1.132688341620236</v>
      </c>
      <c r="X3715" s="420"/>
      <c r="Y3715" s="420"/>
    </row>
    <row r="3716" spans="17:25">
      <c r="Q3716" s="6">
        <v>3686</v>
      </c>
      <c r="R3716" s="7">
        <v>46353</v>
      </c>
      <c r="S3716" s="210">
        <v>4.25</v>
      </c>
      <c r="T3716" s="8">
        <v>1.0001180555555556</v>
      </c>
      <c r="U3716" s="98">
        <v>4.248005816867706</v>
      </c>
      <c r="V3716" s="106">
        <v>35660.197088715664</v>
      </c>
      <c r="W3716" s="10">
        <v>1.1327280103013981</v>
      </c>
      <c r="X3716" s="420"/>
      <c r="Y3716" s="420"/>
    </row>
    <row r="3717" spans="17:25">
      <c r="Q3717" s="6">
        <v>3687</v>
      </c>
      <c r="R3717" s="7">
        <v>46354</v>
      </c>
      <c r="S3717" s="210">
        <v>4.25</v>
      </c>
      <c r="T3717" s="8">
        <v>1.0001180555555556</v>
      </c>
      <c r="U3717" s="98">
        <v>4.2480478098164465</v>
      </c>
      <c r="V3717" s="106">
        <v>35663.165186896666</v>
      </c>
      <c r="W3717" s="10">
        <v>1.1327676574799828</v>
      </c>
      <c r="X3717" s="420"/>
      <c r="Y3717" s="420"/>
    </row>
    <row r="3718" spans="17:25">
      <c r="Q3718" s="6">
        <v>3688</v>
      </c>
      <c r="R3718" s="7">
        <v>46355</v>
      </c>
      <c r="S3718" s="210">
        <v>4.25</v>
      </c>
      <c r="T3718" s="8">
        <v>1.0001180555555556</v>
      </c>
      <c r="U3718" s="98">
        <v>4.2480897800093453</v>
      </c>
      <c r="V3718" s="106">
        <v>35666.133532120795</v>
      </c>
      <c r="W3718" s="10">
        <v>1.1328072831734648</v>
      </c>
      <c r="X3718" s="420"/>
      <c r="Y3718" s="420"/>
    </row>
    <row r="3719" spans="17:25">
      <c r="Q3719" s="6">
        <v>3689</v>
      </c>
      <c r="R3719" s="7">
        <v>46356</v>
      </c>
      <c r="S3719" s="210">
        <v>4.25</v>
      </c>
      <c r="T3719" s="8">
        <v>1.0001180555555556</v>
      </c>
      <c r="U3719" s="98">
        <v>4.2481317274648989</v>
      </c>
      <c r="V3719" s="106">
        <v>35669.102124408622</v>
      </c>
      <c r="W3719" s="10">
        <v>1.132846887399297</v>
      </c>
      <c r="X3719" s="420"/>
      <c r="Y3719" s="420"/>
    </row>
    <row r="3720" spans="17:25">
      <c r="Q3720" s="6">
        <v>3690</v>
      </c>
      <c r="R3720" s="7">
        <v>46357</v>
      </c>
      <c r="S3720" s="210">
        <v>4.25</v>
      </c>
      <c r="T3720" s="8">
        <v>1.0001180555555556</v>
      </c>
      <c r="U3720" s="98">
        <v>4.248173652201559</v>
      </c>
      <c r="V3720" s="106">
        <v>35672.070963780701</v>
      </c>
      <c r="W3720" s="10">
        <v>1.1328864701749097</v>
      </c>
      <c r="X3720" s="420"/>
      <c r="Y3720" s="420"/>
    </row>
    <row r="3721" spans="17:25">
      <c r="Q3721" s="6">
        <v>3691</v>
      </c>
      <c r="R3721" s="7">
        <v>46358</v>
      </c>
      <c r="S3721" s="210">
        <v>4.25</v>
      </c>
      <c r="T3721" s="8">
        <v>1.0001180555555556</v>
      </c>
      <c r="U3721" s="98">
        <v>4.2482155542377775</v>
      </c>
      <c r="V3721" s="106">
        <v>35675.040050257616</v>
      </c>
      <c r="W3721" s="10">
        <v>1.1329260315177336</v>
      </c>
      <c r="X3721" s="420"/>
      <c r="Y3721" s="420"/>
    </row>
    <row r="3722" spans="17:25">
      <c r="Q3722" s="6">
        <v>3692</v>
      </c>
      <c r="R3722" s="7">
        <v>46359</v>
      </c>
      <c r="S3722" s="210">
        <v>4.25</v>
      </c>
      <c r="T3722" s="8">
        <v>1.0001180555555556</v>
      </c>
      <c r="U3722" s="98">
        <v>4.2482574335920065</v>
      </c>
      <c r="V3722" s="106">
        <v>35678.009383859913</v>
      </c>
      <c r="W3722" s="10">
        <v>1.132965571445177</v>
      </c>
      <c r="X3722" s="420"/>
      <c r="Y3722" s="420"/>
    </row>
    <row r="3723" spans="17:25">
      <c r="Q3723" s="6">
        <v>3693</v>
      </c>
      <c r="R3723" s="7">
        <v>46360</v>
      </c>
      <c r="S3723" s="210">
        <v>4.25</v>
      </c>
      <c r="T3723" s="8">
        <v>1.0001180555555556</v>
      </c>
      <c r="U3723" s="98">
        <v>4.2482992902826533</v>
      </c>
      <c r="V3723" s="106">
        <v>35680.97896460817</v>
      </c>
      <c r="W3723" s="10">
        <v>1.1330050899746258</v>
      </c>
      <c r="X3723" s="420"/>
      <c r="Y3723" s="420"/>
    </row>
    <row r="3724" spans="17:25">
      <c r="Q3724" s="6">
        <v>3694</v>
      </c>
      <c r="R3724" s="7">
        <v>46361</v>
      </c>
      <c r="S3724" s="210">
        <v>4.25</v>
      </c>
      <c r="T3724" s="8">
        <v>1.0001180555555556</v>
      </c>
      <c r="U3724" s="98">
        <v>4.2483411243281033</v>
      </c>
      <c r="V3724" s="106">
        <v>35683.94879252297</v>
      </c>
      <c r="W3724" s="10">
        <v>1.133044587123444</v>
      </c>
      <c r="X3724" s="420"/>
      <c r="Y3724" s="420"/>
    </row>
    <row r="3725" spans="17:25">
      <c r="Q3725" s="6">
        <v>3695</v>
      </c>
      <c r="R3725" s="7">
        <v>46362</v>
      </c>
      <c r="S3725" s="210">
        <v>4.25</v>
      </c>
      <c r="T3725" s="8">
        <v>1.0001180555555556</v>
      </c>
      <c r="U3725" s="98">
        <v>4.2483829357467195</v>
      </c>
      <c r="V3725" s="106">
        <v>35686.91886762486</v>
      </c>
      <c r="W3725" s="10">
        <v>1.1330840629089733</v>
      </c>
      <c r="X3725" s="420"/>
      <c r="Y3725" s="420"/>
    </row>
    <row r="3726" spans="17:25">
      <c r="Q3726" s="6">
        <v>3696</v>
      </c>
      <c r="R3726" s="7">
        <v>46363</v>
      </c>
      <c r="S3726" s="210">
        <v>4.25</v>
      </c>
      <c r="T3726" s="8">
        <v>1.0001180555555556</v>
      </c>
      <c r="U3726" s="98">
        <v>4.2484247245568652</v>
      </c>
      <c r="V3726" s="106">
        <v>35689.889189934438</v>
      </c>
      <c r="W3726" s="10">
        <v>1.133123517348511</v>
      </c>
      <c r="X3726" s="420"/>
      <c r="Y3726" s="420"/>
    </row>
    <row r="3727" spans="17:25">
      <c r="Q3727" s="6">
        <v>3697</v>
      </c>
      <c r="R3727" s="7">
        <v>46364</v>
      </c>
      <c r="S3727" s="210">
        <v>4.25</v>
      </c>
      <c r="T3727" s="8">
        <v>1.0001180555555556</v>
      </c>
      <c r="U3727" s="98">
        <v>4.248466490776881</v>
      </c>
      <c r="V3727" s="106">
        <v>35692.859759472267</v>
      </c>
      <c r="W3727" s="10">
        <v>1.1331629504594432</v>
      </c>
      <c r="X3727" s="420"/>
      <c r="Y3727" s="420"/>
    </row>
    <row r="3728" spans="17:25">
      <c r="Q3728" s="6">
        <v>3698</v>
      </c>
      <c r="R3728" s="7">
        <v>46365</v>
      </c>
      <c r="S3728" s="210">
        <v>4.25</v>
      </c>
      <c r="T3728" s="8">
        <v>1.0001180555555556</v>
      </c>
      <c r="U3728" s="98">
        <v>4.2485082344250635</v>
      </c>
      <c r="V3728" s="106">
        <v>35695.830576258915</v>
      </c>
      <c r="W3728" s="10">
        <v>1.1332023622589782</v>
      </c>
      <c r="X3728" s="420"/>
      <c r="Y3728" s="420"/>
    </row>
    <row r="3729" spans="17:25">
      <c r="Q3729" s="6">
        <v>3699</v>
      </c>
      <c r="R3729" s="7">
        <v>46366</v>
      </c>
      <c r="S3729" s="210">
        <v>4.25</v>
      </c>
      <c r="T3729" s="8">
        <v>1.0001180555555556</v>
      </c>
      <c r="U3729" s="98">
        <v>4.2485499555197315</v>
      </c>
      <c r="V3729" s="106">
        <v>35698.801640314981</v>
      </c>
      <c r="W3729" s="10">
        <v>1.1332417527644578</v>
      </c>
      <c r="X3729" s="420"/>
      <c r="Y3729" s="420"/>
    </row>
    <row r="3730" spans="17:25">
      <c r="Q3730" s="6">
        <v>3700</v>
      </c>
      <c r="R3730" s="7">
        <v>46367</v>
      </c>
      <c r="S3730" s="210">
        <v>4.25</v>
      </c>
      <c r="T3730" s="8">
        <v>1.0001180555555556</v>
      </c>
      <c r="U3730" s="98">
        <v>4.2485916540791369</v>
      </c>
      <c r="V3730" s="106">
        <v>35701.772951661049</v>
      </c>
      <c r="W3730" s="10">
        <v>1.1332811219931127</v>
      </c>
      <c r="X3730" s="420"/>
      <c r="Y3730" s="420"/>
    </row>
    <row r="3731" spans="17:25">
      <c r="Q3731" s="6">
        <v>3701</v>
      </c>
      <c r="R3731" s="7">
        <v>46368</v>
      </c>
      <c r="S3731" s="210">
        <v>4.25</v>
      </c>
      <c r="T3731" s="8">
        <v>1.0001180555555556</v>
      </c>
      <c r="U3731" s="98">
        <v>4.2486333301215318</v>
      </c>
      <c r="V3731" s="106">
        <v>35704.74451031768</v>
      </c>
      <c r="W3731" s="10">
        <v>1.1333204699621291</v>
      </c>
      <c r="X3731" s="420"/>
      <c r="Y3731" s="420"/>
    </row>
    <row r="3732" spans="17:25">
      <c r="Q3732" s="6">
        <v>3702</v>
      </c>
      <c r="R3732" s="7">
        <v>46369</v>
      </c>
      <c r="S3732" s="210">
        <v>4.25</v>
      </c>
      <c r="T3732" s="8">
        <v>1.0001180555555556</v>
      </c>
      <c r="U3732" s="98">
        <v>4.2486749836651461</v>
      </c>
      <c r="V3732" s="106">
        <v>35707.716316305472</v>
      </c>
      <c r="W3732" s="10">
        <v>1.1333597966887821</v>
      </c>
      <c r="X3732" s="420"/>
      <c r="Y3732" s="420"/>
    </row>
    <row r="3733" spans="17:25">
      <c r="Q3733" s="6">
        <v>3703</v>
      </c>
      <c r="R3733" s="7">
        <v>46370</v>
      </c>
      <c r="S3733" s="210">
        <v>4.25</v>
      </c>
      <c r="T3733" s="8">
        <v>1.0001180555555556</v>
      </c>
      <c r="U3733" s="98">
        <v>4.2487166147282096</v>
      </c>
      <c r="V3733" s="106">
        <v>35710.688369645002</v>
      </c>
      <c r="W3733" s="10">
        <v>1.1333991021902357</v>
      </c>
      <c r="X3733" s="420"/>
      <c r="Y3733" s="420"/>
    </row>
    <row r="3734" spans="17:25">
      <c r="Q3734" s="6">
        <v>3704</v>
      </c>
      <c r="R3734" s="7">
        <v>46371</v>
      </c>
      <c r="S3734" s="210">
        <v>4.25</v>
      </c>
      <c r="T3734" s="8">
        <v>1.0001180555555556</v>
      </c>
      <c r="U3734" s="98">
        <v>4.2487582233289078</v>
      </c>
      <c r="V3734" s="106">
        <v>35713.660670356876</v>
      </c>
      <c r="W3734" s="10">
        <v>1.1334383864836983</v>
      </c>
      <c r="X3734" s="420"/>
      <c r="Y3734" s="420"/>
    </row>
    <row r="3735" spans="17:25">
      <c r="Q3735" s="6">
        <v>3705</v>
      </c>
      <c r="R3735" s="7">
        <v>46372</v>
      </c>
      <c r="S3735" s="210">
        <v>4.25</v>
      </c>
      <c r="T3735" s="8">
        <v>1.0001180555555556</v>
      </c>
      <c r="U3735" s="98">
        <v>4.2487998094854262</v>
      </c>
      <c r="V3735" s="106">
        <v>35716.633218461655</v>
      </c>
      <c r="W3735" s="10">
        <v>1.1334776495863119</v>
      </c>
      <c r="X3735" s="420"/>
      <c r="Y3735" s="420"/>
    </row>
    <row r="3736" spans="17:25">
      <c r="Q3736" s="6">
        <v>3706</v>
      </c>
      <c r="R3736" s="7">
        <v>46373</v>
      </c>
      <c r="S3736" s="210">
        <v>4.25</v>
      </c>
      <c r="T3736" s="8">
        <v>1.0001180555555556</v>
      </c>
      <c r="U3736" s="98">
        <v>4.2488413732159058</v>
      </c>
      <c r="V3736" s="106">
        <v>35719.606013979959</v>
      </c>
      <c r="W3736" s="10">
        <v>1.1335168915151961</v>
      </c>
      <c r="X3736" s="420"/>
      <c r="Y3736" s="420"/>
    </row>
    <row r="3737" spans="17:25">
      <c r="Q3737" s="6">
        <v>3707</v>
      </c>
      <c r="R3737" s="7">
        <v>46374</v>
      </c>
      <c r="S3737" s="210">
        <v>4.25</v>
      </c>
      <c r="T3737" s="8">
        <v>1.0001180555555556</v>
      </c>
      <c r="U3737" s="98">
        <v>4.2488829145384877</v>
      </c>
      <c r="V3737" s="106">
        <v>35722.579056932365</v>
      </c>
      <c r="W3737" s="10">
        <v>1.1335561122875148</v>
      </c>
      <c r="X3737" s="420"/>
      <c r="Y3737" s="420"/>
    </row>
    <row r="3738" spans="17:25">
      <c r="Q3738" s="6">
        <v>3708</v>
      </c>
      <c r="R3738" s="7">
        <v>46375</v>
      </c>
      <c r="S3738" s="210">
        <v>4.25</v>
      </c>
      <c r="T3738" s="8">
        <v>1.0001180555555556</v>
      </c>
      <c r="U3738" s="98">
        <v>4.2489244334712684</v>
      </c>
      <c r="V3738" s="106">
        <v>35725.552347339471</v>
      </c>
      <c r="W3738" s="10">
        <v>1.1335953119203435</v>
      </c>
      <c r="X3738" s="420"/>
      <c r="Y3738" s="420"/>
    </row>
    <row r="3739" spans="17:25">
      <c r="Q3739" s="6">
        <v>3709</v>
      </c>
      <c r="R3739" s="7">
        <v>46376</v>
      </c>
      <c r="S3739" s="210">
        <v>4.25</v>
      </c>
      <c r="T3739" s="8">
        <v>1.0001180555555556</v>
      </c>
      <c r="U3739" s="98">
        <v>4.2489659300323668</v>
      </c>
      <c r="V3739" s="106">
        <v>35728.525885221876</v>
      </c>
      <c r="W3739" s="10">
        <v>1.1336344904307571</v>
      </c>
      <c r="X3739" s="420"/>
      <c r="Y3739" s="420"/>
    </row>
    <row r="3740" spans="17:25">
      <c r="Q3740" s="6">
        <v>3710</v>
      </c>
      <c r="R3740" s="7">
        <v>46377</v>
      </c>
      <c r="S3740" s="210">
        <v>4.25</v>
      </c>
      <c r="T3740" s="8">
        <v>1.0001180555555556</v>
      </c>
      <c r="U3740" s="98">
        <v>4.2490074042398573</v>
      </c>
      <c r="V3740" s="106">
        <v>35731.499670600177</v>
      </c>
      <c r="W3740" s="10">
        <v>1.1336736478358533</v>
      </c>
      <c r="X3740" s="420"/>
      <c r="Y3740" s="420"/>
    </row>
    <row r="3741" spans="17:25">
      <c r="Q3741" s="6">
        <v>3711</v>
      </c>
      <c r="R3741" s="7">
        <v>46378</v>
      </c>
      <c r="S3741" s="210">
        <v>4.25</v>
      </c>
      <c r="T3741" s="8">
        <v>1.0001180555555556</v>
      </c>
      <c r="U3741" s="98">
        <v>4.2490488561117923</v>
      </c>
      <c r="V3741" s="106">
        <v>35734.473703494965</v>
      </c>
      <c r="W3741" s="10">
        <v>1.1337127841526851</v>
      </c>
      <c r="X3741" s="420"/>
      <c r="Y3741" s="420"/>
    </row>
    <row r="3742" spans="17:25">
      <c r="Q3742" s="6">
        <v>3712</v>
      </c>
      <c r="R3742" s="7">
        <v>46379</v>
      </c>
      <c r="S3742" s="210">
        <v>4.25</v>
      </c>
      <c r="T3742" s="8">
        <v>1.0001180555555556</v>
      </c>
      <c r="U3742" s="98">
        <v>4.2490902856662238</v>
      </c>
      <c r="V3742" s="106">
        <v>35737.447983926853</v>
      </c>
      <c r="W3742" s="10">
        <v>1.1337518993982831</v>
      </c>
      <c r="X3742" s="420"/>
      <c r="Y3742" s="420"/>
    </row>
    <row r="3743" spans="17:25">
      <c r="Q3743" s="6">
        <v>3713</v>
      </c>
      <c r="R3743" s="7">
        <v>46380</v>
      </c>
      <c r="S3743" s="210">
        <v>4.25</v>
      </c>
      <c r="T3743" s="8">
        <v>1.0001180555555556</v>
      </c>
      <c r="U3743" s="98">
        <v>4.2491316929211598</v>
      </c>
      <c r="V3743" s="106">
        <v>35740.422511916448</v>
      </c>
      <c r="W3743" s="10">
        <v>1.133790993589634</v>
      </c>
      <c r="X3743" s="420"/>
      <c r="Y3743" s="420"/>
    </row>
    <row r="3744" spans="17:25">
      <c r="Q3744" s="6">
        <v>3714</v>
      </c>
      <c r="R3744" s="7">
        <v>46381</v>
      </c>
      <c r="S3744" s="210">
        <v>4.25</v>
      </c>
      <c r="T3744" s="8">
        <v>1.0001180555555556</v>
      </c>
      <c r="U3744" s="98">
        <v>4.249173077894608</v>
      </c>
      <c r="V3744" s="106">
        <v>35743.397287484331</v>
      </c>
      <c r="W3744" s="10">
        <v>1.1338300667437684</v>
      </c>
      <c r="X3744" s="420"/>
      <c r="Y3744" s="420"/>
    </row>
    <row r="3745" spans="17:25">
      <c r="Q3745" s="6">
        <v>3715</v>
      </c>
      <c r="R3745" s="7">
        <v>46382</v>
      </c>
      <c r="S3745" s="210">
        <v>4.25</v>
      </c>
      <c r="T3745" s="8">
        <v>1.0001180555555556</v>
      </c>
      <c r="U3745" s="98">
        <v>4.2492144406045318</v>
      </c>
      <c r="V3745" s="106">
        <v>35746.372310651139</v>
      </c>
      <c r="W3745" s="10">
        <v>1.1338691188776284</v>
      </c>
      <c r="X3745" s="420"/>
      <c r="Y3745" s="420"/>
    </row>
    <row r="3746" spans="17:25">
      <c r="Q3746" s="6">
        <v>3716</v>
      </c>
      <c r="R3746" s="7">
        <v>46383</v>
      </c>
      <c r="S3746" s="210">
        <v>4.25</v>
      </c>
      <c r="T3746" s="8">
        <v>1.0001180555555556</v>
      </c>
      <c r="U3746" s="98">
        <v>4.2492557810688947</v>
      </c>
      <c r="V3746" s="106">
        <v>35749.347581437454</v>
      </c>
      <c r="W3746" s="10">
        <v>1.1339081500081782</v>
      </c>
      <c r="X3746" s="420"/>
      <c r="Y3746" s="420"/>
    </row>
    <row r="3747" spans="17:25">
      <c r="Q3747" s="6">
        <v>3717</v>
      </c>
      <c r="R3747" s="7">
        <v>46384</v>
      </c>
      <c r="S3747" s="210">
        <v>4.25</v>
      </c>
      <c r="T3747" s="8">
        <v>1.0001180555555556</v>
      </c>
      <c r="U3747" s="98">
        <v>4.2492970993056378</v>
      </c>
      <c r="V3747" s="106">
        <v>35752.323099863905</v>
      </c>
      <c r="W3747" s="10">
        <v>1.1339471601523377</v>
      </c>
      <c r="X3747" s="420"/>
      <c r="Y3747" s="420"/>
    </row>
    <row r="3748" spans="17:25">
      <c r="Q3748" s="6">
        <v>3718</v>
      </c>
      <c r="R3748" s="7">
        <v>46385</v>
      </c>
      <c r="S3748" s="210">
        <v>4.25</v>
      </c>
      <c r="T3748" s="8">
        <v>1.0001180555555556</v>
      </c>
      <c r="U3748" s="98">
        <v>4.2493383953327024</v>
      </c>
      <c r="V3748" s="106">
        <v>35755.298865951096</v>
      </c>
      <c r="W3748" s="10">
        <v>1.1339861493270931</v>
      </c>
      <c r="X3748" s="420"/>
      <c r="Y3748" s="420"/>
    </row>
    <row r="3749" spans="17:25">
      <c r="Q3749" s="6">
        <v>3719</v>
      </c>
      <c r="R3749" s="7">
        <v>46386</v>
      </c>
      <c r="S3749" s="210">
        <v>4.25</v>
      </c>
      <c r="T3749" s="8">
        <v>1.0001180555555556</v>
      </c>
      <c r="U3749" s="98">
        <v>4.2493796691679631</v>
      </c>
      <c r="V3749" s="106">
        <v>35758.27487971964</v>
      </c>
      <c r="W3749" s="10">
        <v>1.1340251175492977</v>
      </c>
      <c r="X3749" s="420"/>
      <c r="Y3749" s="420"/>
    </row>
    <row r="3750" spans="17:25">
      <c r="Q3750" s="6">
        <v>3720</v>
      </c>
      <c r="R3750" s="7">
        <v>46387</v>
      </c>
      <c r="S3750" s="210">
        <v>4.25</v>
      </c>
      <c r="T3750" s="8">
        <v>1.0001180555555556</v>
      </c>
      <c r="U3750" s="98">
        <v>4.2494209208293388</v>
      </c>
      <c r="V3750" s="106">
        <v>35761.251141190151</v>
      </c>
      <c r="W3750" s="10">
        <v>1.1340640648358491</v>
      </c>
      <c r="X3750" s="420"/>
      <c r="Y3750" s="420"/>
    </row>
    <row r="3751" spans="17:25">
      <c r="Q3751" s="6">
        <v>3721</v>
      </c>
      <c r="R3751" s="7">
        <v>46388</v>
      </c>
      <c r="S3751" s="210">
        <v>4.25</v>
      </c>
      <c r="T3751" s="8">
        <v>1.0001180555555556</v>
      </c>
      <c r="U3751" s="98">
        <v>4.2494621503346597</v>
      </c>
      <c r="V3751" s="106">
        <v>35764.227650383255</v>
      </c>
      <c r="W3751" s="10">
        <v>1.1341029912036227</v>
      </c>
      <c r="X3751" s="420"/>
      <c r="Y3751" s="420"/>
    </row>
    <row r="3752" spans="17:25">
      <c r="Q3752" s="6">
        <v>3722</v>
      </c>
      <c r="R3752" s="7">
        <v>46389</v>
      </c>
      <c r="S3752" s="210">
        <v>4.25</v>
      </c>
      <c r="T3752" s="8">
        <v>1.0001180555555556</v>
      </c>
      <c r="U3752" s="98">
        <v>4.2495033577017782</v>
      </c>
      <c r="V3752" s="106">
        <v>35767.204407319565</v>
      </c>
      <c r="W3752" s="10">
        <v>1.1341418966694272</v>
      </c>
      <c r="X3752" s="420"/>
      <c r="Y3752" s="420"/>
    </row>
    <row r="3753" spans="17:25">
      <c r="Q3753" s="6">
        <v>3723</v>
      </c>
      <c r="R3753" s="7">
        <v>46390</v>
      </c>
      <c r="S3753" s="210">
        <v>4.25</v>
      </c>
      <c r="T3753" s="8">
        <v>1.0001180555555556</v>
      </c>
      <c r="U3753" s="98">
        <v>4.2495445429485246</v>
      </c>
      <c r="V3753" s="106">
        <v>35770.181412019694</v>
      </c>
      <c r="W3753" s="10">
        <v>1.1341807812501381</v>
      </c>
      <c r="X3753" s="420"/>
      <c r="Y3753" s="420"/>
    </row>
    <row r="3754" spans="17:25">
      <c r="Q3754" s="6">
        <v>3724</v>
      </c>
      <c r="R3754" s="7">
        <v>46391</v>
      </c>
      <c r="S3754" s="210">
        <v>4.25</v>
      </c>
      <c r="T3754" s="8">
        <v>1.0001180555555556</v>
      </c>
      <c r="U3754" s="98">
        <v>4.2495857060927067</v>
      </c>
      <c r="V3754" s="106">
        <v>35773.15866450427</v>
      </c>
      <c r="W3754" s="10">
        <v>1.1342196449625641</v>
      </c>
      <c r="X3754" s="420"/>
      <c r="Y3754" s="420"/>
    </row>
    <row r="3755" spans="17:25">
      <c r="Q3755" s="6">
        <v>3725</v>
      </c>
      <c r="R3755" s="7">
        <v>46392</v>
      </c>
      <c r="S3755" s="210">
        <v>4.25</v>
      </c>
      <c r="T3755" s="8">
        <v>1.0001180555555556</v>
      </c>
      <c r="U3755" s="98">
        <v>4.2496268471521104</v>
      </c>
      <c r="V3755" s="106">
        <v>35776.136164793919</v>
      </c>
      <c r="W3755" s="10">
        <v>1.1342584878234918</v>
      </c>
      <c r="X3755" s="420"/>
      <c r="Y3755" s="420"/>
    </row>
    <row r="3756" spans="17:25">
      <c r="Q3756" s="6">
        <v>3726</v>
      </c>
      <c r="R3756" s="7">
        <v>46393</v>
      </c>
      <c r="S3756" s="210">
        <v>4.25</v>
      </c>
      <c r="T3756" s="8">
        <v>1.0001180555555556</v>
      </c>
      <c r="U3756" s="98">
        <v>4.2496679661445214</v>
      </c>
      <c r="V3756" s="106">
        <v>35779.11391290927</v>
      </c>
      <c r="W3756" s="10">
        <v>1.1342973098496856</v>
      </c>
      <c r="X3756" s="420"/>
      <c r="Y3756" s="420"/>
    </row>
    <row r="3757" spans="17:25">
      <c r="Q3757" s="6">
        <v>3727</v>
      </c>
      <c r="R3757" s="7">
        <v>46394</v>
      </c>
      <c r="S3757" s="210">
        <v>4.25</v>
      </c>
      <c r="T3757" s="8">
        <v>1.0001180555555556</v>
      </c>
      <c r="U3757" s="98">
        <v>4.2497090630876588</v>
      </c>
      <c r="V3757" s="106">
        <v>35782.091908870942</v>
      </c>
      <c r="W3757" s="10">
        <v>1.1343361110579098</v>
      </c>
      <c r="X3757" s="420"/>
      <c r="Y3757" s="420"/>
    </row>
    <row r="3758" spans="17:25">
      <c r="Q3758" s="6">
        <v>3728</v>
      </c>
      <c r="R3758" s="7">
        <v>46395</v>
      </c>
      <c r="S3758" s="210">
        <v>4.25</v>
      </c>
      <c r="T3758" s="8">
        <v>1.0001180555555556</v>
      </c>
      <c r="U3758" s="98">
        <v>4.2497501379992864</v>
      </c>
      <c r="V3758" s="106">
        <v>35785.070152699562</v>
      </c>
      <c r="W3758" s="10">
        <v>1.1343748914649288</v>
      </c>
      <c r="X3758" s="420"/>
      <c r="Y3758" s="420"/>
    </row>
    <row r="3759" spans="17:25">
      <c r="Q3759" s="6">
        <v>3729</v>
      </c>
      <c r="R3759" s="7">
        <v>46396</v>
      </c>
      <c r="S3759" s="210">
        <v>4.25</v>
      </c>
      <c r="T3759" s="8">
        <v>1.0001180555555556</v>
      </c>
      <c r="U3759" s="98">
        <v>4.2497911908971009</v>
      </c>
      <c r="V3759" s="106">
        <v>35788.048644415772</v>
      </c>
      <c r="W3759" s="10">
        <v>1.1344136510874625</v>
      </c>
      <c r="X3759" s="420"/>
      <c r="Y3759" s="420"/>
    </row>
    <row r="3760" spans="17:25">
      <c r="Q3760" s="6">
        <v>3730</v>
      </c>
      <c r="R3760" s="7">
        <v>46397</v>
      </c>
      <c r="S3760" s="210">
        <v>4.25</v>
      </c>
      <c r="T3760" s="8">
        <v>1.0001180555555556</v>
      </c>
      <c r="U3760" s="98">
        <v>4.2498322217987772</v>
      </c>
      <c r="V3760" s="106">
        <v>35791.027384040193</v>
      </c>
      <c r="W3760" s="10">
        <v>1.1344523899421644</v>
      </c>
      <c r="X3760" s="420"/>
      <c r="Y3760" s="420"/>
    </row>
    <row r="3761" spans="14:25">
      <c r="Q3761" s="6">
        <v>3731</v>
      </c>
      <c r="R3761" s="7">
        <v>46398</v>
      </c>
      <c r="S3761" s="210">
        <v>4.25</v>
      </c>
      <c r="T3761" s="8">
        <v>1.0001180555555556</v>
      </c>
      <c r="U3761" s="98">
        <v>4.2498732307220122</v>
      </c>
      <c r="V3761" s="106">
        <v>35794.006371593474</v>
      </c>
      <c r="W3761" s="10">
        <v>1.1344911080457765</v>
      </c>
      <c r="X3761" s="420"/>
      <c r="Y3761" s="420"/>
    </row>
    <row r="3762" spans="14:25">
      <c r="Q3762" s="6">
        <v>3732</v>
      </c>
      <c r="R3762" s="7">
        <v>46399</v>
      </c>
      <c r="S3762" s="210">
        <v>4.25</v>
      </c>
      <c r="T3762" s="8">
        <v>1.0001180555555556</v>
      </c>
      <c r="U3762" s="98">
        <v>4.2499142176844362</v>
      </c>
      <c r="V3762" s="106">
        <v>35796.985607096234</v>
      </c>
      <c r="W3762" s="10">
        <v>1.13452980541493</v>
      </c>
      <c r="X3762" s="420"/>
      <c r="Y3762" s="420"/>
    </row>
    <row r="3763" spans="14:25">
      <c r="Q3763" s="6">
        <v>3733</v>
      </c>
      <c r="R3763" s="7">
        <v>46400</v>
      </c>
      <c r="S3763" s="210">
        <v>4.25</v>
      </c>
      <c r="T3763" s="8">
        <v>1.0001180555555556</v>
      </c>
      <c r="U3763" s="98">
        <v>4.2499551827037019</v>
      </c>
      <c r="V3763" s="106">
        <v>35799.965090569116</v>
      </c>
      <c r="W3763" s="10">
        <v>1.1345684820663005</v>
      </c>
      <c r="X3763" s="420"/>
      <c r="Y3763" s="420"/>
    </row>
    <row r="3764" spans="14:25">
      <c r="Q3764" s="6">
        <v>3734</v>
      </c>
      <c r="R3764" s="7">
        <v>46401</v>
      </c>
      <c r="S3764" s="210">
        <v>4.25</v>
      </c>
      <c r="T3764" s="8">
        <v>1.0001180555555556</v>
      </c>
      <c r="U3764" s="98">
        <v>4.2499961257974173</v>
      </c>
      <c r="V3764" s="106">
        <v>35802.944822032761</v>
      </c>
      <c r="W3764" s="10">
        <v>1.1346071380164968</v>
      </c>
      <c r="X3764" s="420"/>
      <c r="Y3764" s="420"/>
    </row>
    <row r="3765" spans="14:25">
      <c r="Q3765" s="6">
        <v>3735</v>
      </c>
      <c r="R3765" s="7">
        <v>46402</v>
      </c>
      <c r="S3765" s="210">
        <v>4.25</v>
      </c>
      <c r="T3765" s="8">
        <v>1.0001180555555556</v>
      </c>
      <c r="U3765" s="98">
        <v>4.2500370469831905</v>
      </c>
      <c r="V3765" s="106">
        <v>35805.924801507812</v>
      </c>
      <c r="W3765" s="10">
        <v>1.1346457732821724</v>
      </c>
      <c r="X3765" s="420"/>
      <c r="Y3765" s="420"/>
    </row>
    <row r="3766" spans="14:25">
      <c r="Q3766" s="6">
        <v>3736</v>
      </c>
      <c r="R3766" s="7">
        <v>46403</v>
      </c>
      <c r="S3766" s="210">
        <v>4.25</v>
      </c>
      <c r="T3766" s="8">
        <v>1.0001180555555556</v>
      </c>
      <c r="U3766" s="98">
        <v>4.2500779462786076</v>
      </c>
      <c r="V3766" s="106">
        <v>35808.90502901491</v>
      </c>
      <c r="W3766" s="10">
        <v>1.134684387879914</v>
      </c>
      <c r="X3766" s="420"/>
      <c r="Y3766" s="420"/>
    </row>
    <row r="3767" spans="14:25">
      <c r="N3767" s="23">
        <v>10950</v>
      </c>
      <c r="Q3767" s="6">
        <v>3737</v>
      </c>
      <c r="R3767" s="7">
        <v>46404</v>
      </c>
      <c r="S3767" s="210">
        <v>4.25</v>
      </c>
      <c r="T3767" s="8">
        <v>1.0001180555555556</v>
      </c>
      <c r="U3767" s="98">
        <v>4.25011882370121</v>
      </c>
      <c r="V3767" s="106">
        <v>35811.885504574697</v>
      </c>
      <c r="W3767" s="10">
        <v>1.1347229818262639</v>
      </c>
      <c r="X3767" s="420"/>
      <c r="Y3767" s="420"/>
    </row>
    <row r="3768" spans="14:25">
      <c r="Q3768" s="6">
        <v>3738</v>
      </c>
      <c r="R3768" s="7">
        <v>46405</v>
      </c>
      <c r="S3768" s="210">
        <v>4.25</v>
      </c>
      <c r="T3768" s="8">
        <v>1.0001180555555556</v>
      </c>
      <c r="U3768" s="98">
        <v>4.2501596792685614</v>
      </c>
      <c r="V3768" s="106">
        <v>35814.866228207822</v>
      </c>
      <c r="W3768" s="10">
        <v>1.1347615551378532</v>
      </c>
      <c r="X3768" s="420"/>
      <c r="Y3768" s="420"/>
    </row>
    <row r="3769" spans="14:25">
      <c r="Q3769" s="6">
        <v>3739</v>
      </c>
      <c r="R3769" s="7">
        <v>46406</v>
      </c>
      <c r="S3769" s="210">
        <v>4.25</v>
      </c>
      <c r="T3769" s="8">
        <v>1.0001180555555556</v>
      </c>
      <c r="U3769" s="98">
        <v>4.250200512998159</v>
      </c>
      <c r="V3769" s="106">
        <v>35817.847199934935</v>
      </c>
      <c r="W3769" s="10">
        <v>1.1348001078311576</v>
      </c>
      <c r="X3769" s="420"/>
      <c r="Y3769" s="420"/>
    </row>
    <row r="3770" spans="14:25">
      <c r="Q3770" s="6">
        <v>3740</v>
      </c>
      <c r="R3770" s="7">
        <v>46407</v>
      </c>
      <c r="S3770" s="210">
        <v>4.25</v>
      </c>
      <c r="T3770" s="8">
        <v>1.0001180555555556</v>
      </c>
      <c r="U3770" s="98">
        <v>4.2502413249075222</v>
      </c>
      <c r="V3770" s="106">
        <v>35820.828419776677</v>
      </c>
      <c r="W3770" s="10">
        <v>1.1348386399227417</v>
      </c>
      <c r="X3770" s="420"/>
      <c r="Y3770" s="420"/>
    </row>
    <row r="3771" spans="14:25">
      <c r="Q3771" s="6">
        <v>3741</v>
      </c>
      <c r="R3771" s="7">
        <v>46408</v>
      </c>
      <c r="S3771" s="210">
        <v>4.25</v>
      </c>
      <c r="T3771" s="8">
        <v>1.0001180555555556</v>
      </c>
      <c r="U3771" s="98">
        <v>4.2502821150141257</v>
      </c>
      <c r="V3771" s="106">
        <v>35823.809887753698</v>
      </c>
      <c r="W3771" s="10">
        <v>1.1348771514291034</v>
      </c>
      <c r="X3771" s="420"/>
      <c r="Y3771" s="420"/>
    </row>
    <row r="3772" spans="14:25">
      <c r="Q3772" s="6">
        <v>3742</v>
      </c>
      <c r="R3772" s="7">
        <v>46409</v>
      </c>
      <c r="S3772" s="210">
        <v>4.25</v>
      </c>
      <c r="T3772" s="8">
        <v>1.0001180555555556</v>
      </c>
      <c r="U3772" s="98">
        <v>4.2503228833354445</v>
      </c>
      <c r="V3772" s="106">
        <v>35826.791603886668</v>
      </c>
      <c r="W3772" s="10">
        <v>1.1349156423667184</v>
      </c>
      <c r="X3772" s="420"/>
      <c r="Y3772" s="420"/>
    </row>
    <row r="3773" spans="14:25">
      <c r="Q3773" s="6">
        <v>3743</v>
      </c>
      <c r="R3773" s="7">
        <v>46410</v>
      </c>
      <c r="S3773" s="210">
        <v>4.25</v>
      </c>
      <c r="T3773" s="8">
        <v>1.0001180555555556</v>
      </c>
      <c r="U3773" s="98">
        <v>4.2503636298889313</v>
      </c>
      <c r="V3773" s="106">
        <v>35829.773568196237</v>
      </c>
      <c r="W3773" s="10">
        <v>1.1349541127521068</v>
      </c>
      <c r="X3773" s="420"/>
      <c r="Y3773" s="420"/>
    </row>
    <row r="3774" spans="14:25">
      <c r="Q3774" s="6">
        <v>3744</v>
      </c>
      <c r="R3774" s="7">
        <v>46411</v>
      </c>
      <c r="S3774" s="210">
        <v>4.25</v>
      </c>
      <c r="T3774" s="8">
        <v>1.0001180555555556</v>
      </c>
      <c r="U3774" s="98">
        <v>4.2504043546920167</v>
      </c>
      <c r="V3774" s="106">
        <v>35832.755780703046</v>
      </c>
      <c r="W3774" s="10">
        <v>1.1349925626016999</v>
      </c>
      <c r="X3774" s="420"/>
      <c r="Y3774" s="420"/>
    </row>
    <row r="3775" spans="14:25">
      <c r="Q3775" s="6">
        <v>3745</v>
      </c>
      <c r="R3775" s="7">
        <v>46412</v>
      </c>
      <c r="S3775" s="210">
        <v>4.25</v>
      </c>
      <c r="T3775" s="8">
        <v>1.0001180555555556</v>
      </c>
      <c r="U3775" s="98">
        <v>4.2504450577621089</v>
      </c>
      <c r="V3775" s="106">
        <v>35835.73824142776</v>
      </c>
      <c r="W3775" s="10">
        <v>1.135030991931929</v>
      </c>
      <c r="X3775" s="420"/>
      <c r="Y3775" s="420"/>
    </row>
    <row r="3776" spans="14:25">
      <c r="Q3776" s="6">
        <v>3746</v>
      </c>
      <c r="R3776" s="7">
        <v>46413</v>
      </c>
      <c r="S3776" s="210">
        <v>4.25</v>
      </c>
      <c r="T3776" s="8">
        <v>1.0001180555555556</v>
      </c>
      <c r="U3776" s="98">
        <v>4.250485739116594</v>
      </c>
      <c r="V3776" s="106">
        <v>35838.720950391042</v>
      </c>
      <c r="W3776" s="10">
        <v>1.1350694007592255</v>
      </c>
      <c r="X3776" s="420"/>
      <c r="Y3776" s="420"/>
    </row>
    <row r="3777" spans="17:25">
      <c r="Q3777" s="6">
        <v>3747</v>
      </c>
      <c r="R3777" s="7">
        <v>46414</v>
      </c>
      <c r="S3777" s="210">
        <v>4.25</v>
      </c>
      <c r="T3777" s="8">
        <v>1.0001180555555556</v>
      </c>
      <c r="U3777" s="98">
        <v>4.2505263987728359</v>
      </c>
      <c r="V3777" s="106">
        <v>35841.703907613562</v>
      </c>
      <c r="W3777" s="10">
        <v>1.1351077890999761</v>
      </c>
      <c r="X3777" s="420"/>
      <c r="Y3777" s="420"/>
    </row>
    <row r="3778" spans="17:25">
      <c r="Q3778" s="6">
        <v>3748</v>
      </c>
      <c r="R3778" s="7">
        <v>46415</v>
      </c>
      <c r="S3778" s="210">
        <v>4.25</v>
      </c>
      <c r="T3778" s="8">
        <v>1.0001180555555556</v>
      </c>
      <c r="U3778" s="98">
        <v>4.2505670367481985</v>
      </c>
      <c r="V3778" s="106">
        <v>35844.687113115971</v>
      </c>
      <c r="W3778" s="10">
        <v>1.1351461569705679</v>
      </c>
      <c r="X3778" s="420"/>
      <c r="Y3778" s="420"/>
    </row>
    <row r="3779" spans="17:25">
      <c r="Q3779" s="6">
        <v>3749</v>
      </c>
      <c r="R3779" s="7">
        <v>46416</v>
      </c>
      <c r="S3779" s="210">
        <v>4.25</v>
      </c>
      <c r="T3779" s="8">
        <v>1.0001180555555556</v>
      </c>
      <c r="U3779" s="98">
        <v>4.2506076530600234</v>
      </c>
      <c r="V3779" s="106">
        <v>35847.670566918932</v>
      </c>
      <c r="W3779" s="10">
        <v>1.1351845043873876</v>
      </c>
      <c r="X3779" s="420"/>
      <c r="Y3779" s="420"/>
    </row>
    <row r="3780" spans="17:25">
      <c r="Q3780" s="6">
        <v>3750</v>
      </c>
      <c r="R3780" s="7">
        <v>46417</v>
      </c>
      <c r="S3780" s="210">
        <v>4.25</v>
      </c>
      <c r="T3780" s="8">
        <v>1.0001180555555556</v>
      </c>
      <c r="U3780" s="98">
        <v>4.2506482477256302</v>
      </c>
      <c r="V3780" s="106">
        <v>35850.654269043131</v>
      </c>
      <c r="W3780" s="10">
        <v>1.1352228313668</v>
      </c>
      <c r="X3780" s="420"/>
      <c r="Y3780" s="420"/>
    </row>
    <row r="3781" spans="17:25">
      <c r="Q3781" s="6">
        <v>3751</v>
      </c>
      <c r="R3781" s="7">
        <v>46418</v>
      </c>
      <c r="S3781" s="210">
        <v>4.25</v>
      </c>
      <c r="T3781" s="8">
        <v>1.0001180555555556</v>
      </c>
      <c r="U3781" s="98">
        <v>4.2506888207623161</v>
      </c>
      <c r="V3781" s="106">
        <v>35853.638219509216</v>
      </c>
      <c r="W3781" s="10">
        <v>1.1352611379251032</v>
      </c>
      <c r="X3781" s="420"/>
      <c r="Y3781" s="420"/>
    </row>
    <row r="3782" spans="17:25">
      <c r="Q3782" s="6">
        <v>3752</v>
      </c>
      <c r="R3782" s="7">
        <v>46419</v>
      </c>
      <c r="S3782" s="210">
        <v>4.25</v>
      </c>
      <c r="T3782" s="8">
        <v>1.0001180555555556</v>
      </c>
      <c r="U3782" s="98">
        <v>4.2507293721873562</v>
      </c>
      <c r="V3782" s="106">
        <v>35856.622418337858</v>
      </c>
      <c r="W3782" s="10">
        <v>1.1352994240786174</v>
      </c>
      <c r="X3782" s="420"/>
      <c r="Y3782" s="420"/>
    </row>
    <row r="3783" spans="17:25">
      <c r="Q3783" s="6">
        <v>3753</v>
      </c>
      <c r="R3783" s="7">
        <v>46420</v>
      </c>
      <c r="S3783" s="210">
        <v>4.25</v>
      </c>
      <c r="T3783" s="8">
        <v>1.0001180555555556</v>
      </c>
      <c r="U3783" s="98">
        <v>4.2507699020180256</v>
      </c>
      <c r="V3783" s="106">
        <v>35859.606865549744</v>
      </c>
      <c r="W3783" s="10">
        <v>1.1353376898436851</v>
      </c>
      <c r="X3783" s="420"/>
      <c r="Y3783" s="420"/>
    </row>
    <row r="3784" spans="17:25">
      <c r="Q3784" s="6">
        <v>3754</v>
      </c>
      <c r="R3784" s="7">
        <v>46421</v>
      </c>
      <c r="S3784" s="210">
        <v>4.25</v>
      </c>
      <c r="T3784" s="8">
        <v>1.0001180555555556</v>
      </c>
      <c r="U3784" s="98">
        <v>4.2508104102715549</v>
      </c>
      <c r="V3784" s="106">
        <v>35862.591561165529</v>
      </c>
      <c r="W3784" s="10">
        <v>1.1353759352365378</v>
      </c>
      <c r="X3784" s="420"/>
      <c r="Y3784" s="420"/>
    </row>
    <row r="3785" spans="17:25">
      <c r="Q3785" s="6">
        <v>3755</v>
      </c>
      <c r="R3785" s="7">
        <v>46422</v>
      </c>
      <c r="S3785" s="210">
        <v>4.25</v>
      </c>
      <c r="T3785" s="8">
        <v>1.0001180555555556</v>
      </c>
      <c r="U3785" s="98">
        <v>4.250850896965197</v>
      </c>
      <c r="V3785" s="106">
        <v>35865.576505205907</v>
      </c>
      <c r="W3785" s="10">
        <v>1.1354141602734735</v>
      </c>
      <c r="X3785" s="420"/>
      <c r="Y3785" s="420"/>
    </row>
    <row r="3786" spans="17:25">
      <c r="Q3786" s="6">
        <v>3756</v>
      </c>
      <c r="R3786" s="7">
        <v>46423</v>
      </c>
      <c r="S3786" s="210">
        <v>4.25</v>
      </c>
      <c r="T3786" s="8">
        <v>1.0001180555555556</v>
      </c>
      <c r="U3786" s="98">
        <v>4.2508913621161382</v>
      </c>
      <c r="V3786" s="106">
        <v>35868.561697691541</v>
      </c>
      <c r="W3786" s="10">
        <v>1.1354523649707238</v>
      </c>
      <c r="X3786" s="420"/>
      <c r="Y3786" s="420"/>
    </row>
    <row r="3787" spans="17:25">
      <c r="Q3787" s="6">
        <v>3757</v>
      </c>
      <c r="R3787" s="7">
        <v>46424</v>
      </c>
      <c r="S3787" s="210">
        <v>4.25</v>
      </c>
      <c r="T3787" s="8">
        <v>1.0001180555555556</v>
      </c>
      <c r="U3787" s="98">
        <v>4.2509318057415646</v>
      </c>
      <c r="V3787" s="106">
        <v>35871.547138643116</v>
      </c>
      <c r="W3787" s="10">
        <v>1.13549054934452</v>
      </c>
      <c r="X3787" s="420"/>
      <c r="Y3787" s="420"/>
    </row>
    <row r="3788" spans="17:25">
      <c r="Q3788" s="6">
        <v>3758</v>
      </c>
      <c r="R3788" s="7">
        <v>46425</v>
      </c>
      <c r="S3788" s="210">
        <v>4.25</v>
      </c>
      <c r="T3788" s="8">
        <v>1.0001180555555556</v>
      </c>
      <c r="U3788" s="98">
        <v>4.2509722278586404</v>
      </c>
      <c r="V3788" s="106">
        <v>35874.532828081312</v>
      </c>
      <c r="W3788" s="10">
        <v>1.1355287134110714</v>
      </c>
      <c r="X3788" s="420"/>
      <c r="Y3788" s="420"/>
    </row>
    <row r="3789" spans="17:25">
      <c r="Q3789" s="6">
        <v>3759</v>
      </c>
      <c r="R3789" s="7">
        <v>46426</v>
      </c>
      <c r="S3789" s="210">
        <v>4.25</v>
      </c>
      <c r="T3789" s="8">
        <v>1.0001180555555556</v>
      </c>
      <c r="U3789" s="98">
        <v>4.2510126284845295</v>
      </c>
      <c r="V3789" s="106">
        <v>35877.518766026806</v>
      </c>
      <c r="W3789" s="10">
        <v>1.1355668571865651</v>
      </c>
      <c r="X3789" s="420"/>
      <c r="Y3789" s="420"/>
    </row>
    <row r="3790" spans="17:25">
      <c r="Q3790" s="6">
        <v>3760</v>
      </c>
      <c r="R3790" s="7">
        <v>46427</v>
      </c>
      <c r="S3790" s="210">
        <v>4.25</v>
      </c>
      <c r="T3790" s="8">
        <v>1.0001180555555556</v>
      </c>
      <c r="U3790" s="98">
        <v>4.2510530076363739</v>
      </c>
      <c r="V3790" s="106">
        <v>35880.504952500291</v>
      </c>
      <c r="W3790" s="10">
        <v>1.1356049806871882</v>
      </c>
      <c r="X3790" s="420"/>
      <c r="Y3790" s="420"/>
    </row>
    <row r="3791" spans="17:25">
      <c r="Q3791" s="6">
        <v>3761</v>
      </c>
      <c r="R3791" s="7">
        <v>46428</v>
      </c>
      <c r="S3791" s="210">
        <v>4.25</v>
      </c>
      <c r="T3791" s="8">
        <v>1.0001180555555556</v>
      </c>
      <c r="U3791" s="98">
        <v>4.2510933653312932</v>
      </c>
      <c r="V3791" s="106">
        <v>35883.491387522452</v>
      </c>
      <c r="W3791" s="10">
        <v>1.1356430839291276</v>
      </c>
      <c r="X3791" s="420"/>
      <c r="Y3791" s="420"/>
    </row>
    <row r="3792" spans="17:25">
      <c r="Q3792" s="6">
        <v>3762</v>
      </c>
      <c r="R3792" s="7">
        <v>46429</v>
      </c>
      <c r="S3792" s="210">
        <v>4.25</v>
      </c>
      <c r="T3792" s="8">
        <v>1.0001180555555556</v>
      </c>
      <c r="U3792" s="98">
        <v>4.2511337015863626</v>
      </c>
      <c r="V3792" s="106">
        <v>35886.478071113968</v>
      </c>
      <c r="W3792" s="10">
        <v>1.1356811669284816</v>
      </c>
      <c r="X3792" s="420"/>
      <c r="Y3792" s="420"/>
    </row>
    <row r="3793" spans="17:25">
      <c r="Q3793" s="6">
        <v>3763</v>
      </c>
      <c r="R3793" s="7">
        <v>46430</v>
      </c>
      <c r="S3793" s="210">
        <v>4.25</v>
      </c>
      <c r="T3793" s="8">
        <v>1.0001180555555556</v>
      </c>
      <c r="U3793" s="98">
        <v>4.2511740164186795</v>
      </c>
      <c r="V3793" s="106">
        <v>35889.46500329554</v>
      </c>
      <c r="W3793" s="10">
        <v>1.1357192297014151</v>
      </c>
      <c r="X3793" s="420"/>
      <c r="Y3793" s="420"/>
    </row>
    <row r="3794" spans="17:25">
      <c r="Q3794" s="6">
        <v>3764</v>
      </c>
      <c r="R3794" s="7">
        <v>46431</v>
      </c>
      <c r="S3794" s="210">
        <v>4.25</v>
      </c>
      <c r="T3794" s="8">
        <v>1.0001180555555556</v>
      </c>
      <c r="U3794" s="98">
        <v>4.2512143098453192</v>
      </c>
      <c r="V3794" s="106">
        <v>35892.452184087844</v>
      </c>
      <c r="W3794" s="10">
        <v>1.1357572722640263</v>
      </c>
      <c r="X3794" s="420"/>
      <c r="Y3794" s="420"/>
    </row>
    <row r="3795" spans="17:25">
      <c r="Q3795" s="6">
        <v>3765</v>
      </c>
      <c r="R3795" s="7">
        <v>46432</v>
      </c>
      <c r="S3795" s="210">
        <v>4.25</v>
      </c>
      <c r="T3795" s="8">
        <v>1.0001180555555556</v>
      </c>
      <c r="U3795" s="98">
        <v>4.2512545818832903</v>
      </c>
      <c r="V3795" s="106">
        <v>35895.439613511582</v>
      </c>
      <c r="W3795" s="10">
        <v>1.1357952946323913</v>
      </c>
      <c r="X3795" s="420"/>
      <c r="Y3795" s="420"/>
    </row>
    <row r="3796" spans="17:25">
      <c r="Q3796" s="6">
        <v>3766</v>
      </c>
      <c r="R3796" s="7">
        <v>46433</v>
      </c>
      <c r="S3796" s="210">
        <v>4.25</v>
      </c>
      <c r="T3796" s="8">
        <v>1.0001180555555556</v>
      </c>
      <c r="U3796" s="98">
        <v>4.2512948325496458</v>
      </c>
      <c r="V3796" s="106">
        <v>35898.427291587446</v>
      </c>
      <c r="W3796" s="10">
        <v>1.1358332968226081</v>
      </c>
      <c r="X3796" s="420"/>
      <c r="Y3796" s="420"/>
    </row>
    <row r="3797" spans="17:25">
      <c r="Q3797" s="6">
        <v>3767</v>
      </c>
      <c r="R3797" s="7">
        <v>46434</v>
      </c>
      <c r="S3797" s="210">
        <v>4.25</v>
      </c>
      <c r="T3797" s="8">
        <v>1.0001180555555556</v>
      </c>
      <c r="U3797" s="98">
        <v>4.2513350618613943</v>
      </c>
      <c r="V3797" s="106">
        <v>35901.415218336129</v>
      </c>
      <c r="W3797" s="10">
        <v>1.1358712788507086</v>
      </c>
      <c r="X3797" s="420"/>
      <c r="Y3797" s="420"/>
    </row>
    <row r="3798" spans="17:25">
      <c r="Q3798" s="6">
        <v>3768</v>
      </c>
      <c r="R3798" s="7">
        <v>46435</v>
      </c>
      <c r="S3798" s="210">
        <v>4.25</v>
      </c>
      <c r="T3798" s="8">
        <v>1.0001180555555556</v>
      </c>
      <c r="U3798" s="98">
        <v>4.2513752698355001</v>
      </c>
      <c r="V3798" s="106">
        <v>35904.403393778339</v>
      </c>
      <c r="W3798" s="10">
        <v>1.1359092407327687</v>
      </c>
      <c r="X3798" s="420"/>
      <c r="Y3798" s="420"/>
    </row>
    <row r="3799" spans="17:25">
      <c r="Q3799" s="6">
        <v>3769</v>
      </c>
      <c r="R3799" s="7">
        <v>46436</v>
      </c>
      <c r="S3799" s="210">
        <v>4.25</v>
      </c>
      <c r="T3799" s="8">
        <v>1.0001180555555556</v>
      </c>
      <c r="U3799" s="98">
        <v>4.2514154564889495</v>
      </c>
      <c r="V3799" s="106">
        <v>35907.391817934767</v>
      </c>
      <c r="W3799" s="10">
        <v>1.1359471824847756</v>
      </c>
      <c r="X3799" s="420"/>
      <c r="Y3799" s="420"/>
    </row>
    <row r="3800" spans="17:25">
      <c r="Q3800" s="6">
        <v>3770</v>
      </c>
      <c r="R3800" s="7">
        <v>46437</v>
      </c>
      <c r="S3800" s="210">
        <v>4.25</v>
      </c>
      <c r="T3800" s="8">
        <v>1.0001180555555556</v>
      </c>
      <c r="U3800" s="98">
        <v>4.2514556218387067</v>
      </c>
      <c r="V3800" s="106">
        <v>35910.380490826108</v>
      </c>
      <c r="W3800" s="10">
        <v>1.1359851041227609</v>
      </c>
      <c r="X3800" s="420"/>
      <c r="Y3800" s="420"/>
    </row>
    <row r="3801" spans="17:25">
      <c r="Q3801" s="6">
        <v>3771</v>
      </c>
      <c r="R3801" s="7">
        <v>46438</v>
      </c>
      <c r="S3801" s="210">
        <v>4.25</v>
      </c>
      <c r="T3801" s="8">
        <v>1.0001180555555556</v>
      </c>
      <c r="U3801" s="98">
        <v>4.2514957659016916</v>
      </c>
      <c r="V3801" s="106">
        <v>35913.36941247309</v>
      </c>
      <c r="W3801" s="10">
        <v>1.1360230056626897</v>
      </c>
      <c r="X3801" s="420"/>
      <c r="Y3801" s="420"/>
    </row>
    <row r="3802" spans="17:25">
      <c r="Q3802" s="6">
        <v>3772</v>
      </c>
      <c r="R3802" s="7">
        <v>46439</v>
      </c>
      <c r="S3802" s="210">
        <v>4.25</v>
      </c>
      <c r="T3802" s="8">
        <v>1.0001180555555556</v>
      </c>
      <c r="U3802" s="98">
        <v>4.2515358886948462</v>
      </c>
      <c r="V3802" s="106">
        <v>35916.358582896391</v>
      </c>
      <c r="W3802" s="10">
        <v>1.1360608871205935</v>
      </c>
      <c r="X3802" s="420"/>
      <c r="Y3802" s="420"/>
    </row>
    <row r="3803" spans="17:25">
      <c r="Q3803" s="6">
        <v>3773</v>
      </c>
      <c r="R3803" s="7">
        <v>46440</v>
      </c>
      <c r="S3803" s="210">
        <v>4.25</v>
      </c>
      <c r="T3803" s="8">
        <v>1.0001180555555556</v>
      </c>
      <c r="U3803" s="98">
        <v>4.2515759902350458</v>
      </c>
      <c r="V3803" s="106">
        <v>35919.34800211672</v>
      </c>
      <c r="W3803" s="10">
        <v>1.1360987485123708</v>
      </c>
      <c r="X3803" s="420"/>
      <c r="Y3803" s="420"/>
    </row>
    <row r="3804" spans="17:25">
      <c r="Q3804" s="6">
        <v>3774</v>
      </c>
      <c r="R3804" s="7">
        <v>46441</v>
      </c>
      <c r="S3804" s="210">
        <v>4.25</v>
      </c>
      <c r="T3804" s="8">
        <v>1.0001180555555556</v>
      </c>
      <c r="U3804" s="98">
        <v>4.2516160705391881</v>
      </c>
      <c r="V3804" s="106">
        <v>35922.337670154797</v>
      </c>
      <c r="W3804" s="10">
        <v>1.1361365898540088</v>
      </c>
      <c r="X3804" s="420"/>
      <c r="Y3804" s="420"/>
    </row>
    <row r="3805" spans="17:25">
      <c r="Q3805" s="6">
        <v>3775</v>
      </c>
      <c r="R3805" s="7">
        <v>46442</v>
      </c>
      <c r="S3805" s="210">
        <v>4.25</v>
      </c>
      <c r="T3805" s="8">
        <v>1.0001180555555556</v>
      </c>
      <c r="U3805" s="98">
        <v>4.2516561296241262</v>
      </c>
      <c r="V3805" s="106">
        <v>35925.327587031323</v>
      </c>
      <c r="W3805" s="10">
        <v>1.1361744111613836</v>
      </c>
      <c r="X3805" s="420"/>
      <c r="Y3805" s="420"/>
    </row>
    <row r="3806" spans="17:25">
      <c r="Q3806" s="6">
        <v>3776</v>
      </c>
      <c r="R3806" s="7">
        <v>46443</v>
      </c>
      <c r="S3806" s="210">
        <v>4.25</v>
      </c>
      <c r="T3806" s="8">
        <v>1.0001180555555556</v>
      </c>
      <c r="U3806" s="98">
        <v>4.2516961675067133</v>
      </c>
      <c r="V3806" s="106">
        <v>35928.317752767027</v>
      </c>
      <c r="W3806" s="10">
        <v>1.1362122124504159</v>
      </c>
      <c r="X3806" s="420"/>
      <c r="Y3806" s="420"/>
    </row>
    <row r="3807" spans="17:25">
      <c r="Q3807" s="6">
        <v>3777</v>
      </c>
      <c r="R3807" s="7">
        <v>46444</v>
      </c>
      <c r="S3807" s="210">
        <v>4.25</v>
      </c>
      <c r="T3807" s="8">
        <v>1.0001180555555556</v>
      </c>
      <c r="U3807" s="98">
        <v>4.2517361842037582</v>
      </c>
      <c r="V3807" s="106">
        <v>35931.308167382595</v>
      </c>
      <c r="W3807" s="10">
        <v>1.1362499937369819</v>
      </c>
      <c r="X3807" s="420"/>
      <c r="Y3807" s="420"/>
    </row>
    <row r="3808" spans="17:25">
      <c r="Q3808" s="6">
        <v>3778</v>
      </c>
      <c r="R3808" s="7">
        <v>46445</v>
      </c>
      <c r="S3808" s="210">
        <v>4.25</v>
      </c>
      <c r="T3808" s="8">
        <v>1.0001180555555556</v>
      </c>
      <c r="U3808" s="98">
        <v>4.2517761797320919</v>
      </c>
      <c r="V3808" s="106">
        <v>35934.298830898755</v>
      </c>
      <c r="W3808" s="10">
        <v>1.1362877550369799</v>
      </c>
      <c r="X3808" s="420"/>
      <c r="Y3808" s="420"/>
    </row>
    <row r="3809" spans="17:25">
      <c r="Q3809" s="6">
        <v>3779</v>
      </c>
      <c r="R3809" s="7">
        <v>46446</v>
      </c>
      <c r="S3809" s="210">
        <v>4.25</v>
      </c>
      <c r="T3809" s="8">
        <v>1.0001180555555556</v>
      </c>
      <c r="U3809" s="98">
        <v>4.2518161541085009</v>
      </c>
      <c r="V3809" s="106">
        <v>35937.28974333623</v>
      </c>
      <c r="W3809" s="10">
        <v>1.1363254963662417</v>
      </c>
      <c r="X3809" s="420"/>
      <c r="Y3809" s="420"/>
    </row>
    <row r="3810" spans="17:25">
      <c r="Q3810" s="6">
        <v>3780</v>
      </c>
      <c r="R3810" s="7">
        <v>46447</v>
      </c>
      <c r="S3810" s="210">
        <v>4.25</v>
      </c>
      <c r="T3810" s="8">
        <v>1.0001180555555556</v>
      </c>
      <c r="U3810" s="98">
        <v>4.2518561073497718</v>
      </c>
      <c r="V3810" s="106">
        <v>35940.280904715735</v>
      </c>
      <c r="W3810" s="10">
        <v>1.1363632177406435</v>
      </c>
      <c r="X3810" s="420"/>
      <c r="Y3810" s="420"/>
    </row>
    <row r="3811" spans="17:25">
      <c r="Q3811" s="6">
        <v>3781</v>
      </c>
      <c r="R3811" s="7">
        <v>46448</v>
      </c>
      <c r="S3811" s="210">
        <v>4.25</v>
      </c>
      <c r="T3811" s="8">
        <v>1.0001180555555556</v>
      </c>
      <c r="U3811" s="98">
        <v>4.2518960394726468</v>
      </c>
      <c r="V3811" s="106">
        <v>35943.272315057984</v>
      </c>
      <c r="W3811" s="10">
        <v>1.1364009191759727</v>
      </c>
      <c r="X3811" s="420"/>
      <c r="Y3811" s="420"/>
    </row>
    <row r="3812" spans="17:25">
      <c r="Q3812" s="6">
        <v>3782</v>
      </c>
      <c r="R3812" s="7">
        <v>46449</v>
      </c>
      <c r="S3812" s="210">
        <v>4.25</v>
      </c>
      <c r="T3812" s="8">
        <v>1.0001180555555556</v>
      </c>
      <c r="U3812" s="98">
        <v>4.2519359504938681</v>
      </c>
      <c r="V3812" s="106">
        <v>35946.263974383699</v>
      </c>
      <c r="W3812" s="10">
        <v>1.1364386006880611</v>
      </c>
      <c r="X3812" s="420"/>
      <c r="Y3812" s="420"/>
    </row>
    <row r="3813" spans="17:25">
      <c r="Q3813" s="6">
        <v>3783</v>
      </c>
      <c r="R3813" s="7">
        <v>46450</v>
      </c>
      <c r="S3813" s="210">
        <v>4.25</v>
      </c>
      <c r="T3813" s="8">
        <v>1.0001180555555556</v>
      </c>
      <c r="U3813" s="98">
        <v>4.2519758404301555</v>
      </c>
      <c r="V3813" s="106">
        <v>35949.255882713609</v>
      </c>
      <c r="W3813" s="10">
        <v>1.1364762622926516</v>
      </c>
      <c r="X3813" s="420"/>
      <c r="Y3813" s="420"/>
    </row>
    <row r="3814" spans="17:25">
      <c r="Q3814" s="6">
        <v>3784</v>
      </c>
      <c r="R3814" s="7">
        <v>46451</v>
      </c>
      <c r="S3814" s="210">
        <v>4.25</v>
      </c>
      <c r="T3814" s="8">
        <v>1.0001180555555556</v>
      </c>
      <c r="U3814" s="98">
        <v>4.2520157092982291</v>
      </c>
      <c r="V3814" s="106">
        <v>35952.248040068444</v>
      </c>
      <c r="W3814" s="10">
        <v>1.1365139040055539</v>
      </c>
      <c r="X3814" s="420"/>
      <c r="Y3814" s="420"/>
    </row>
    <row r="3815" spans="17:25">
      <c r="Q3815" s="6">
        <v>3785</v>
      </c>
      <c r="R3815" s="7">
        <v>46452</v>
      </c>
      <c r="S3815" s="210">
        <v>4.25</v>
      </c>
      <c r="T3815" s="8">
        <v>1.0001180555555556</v>
      </c>
      <c r="U3815" s="98">
        <v>4.2520555571147645</v>
      </c>
      <c r="V3815" s="106">
        <v>35955.240446468917</v>
      </c>
      <c r="W3815" s="10">
        <v>1.1365515258425329</v>
      </c>
      <c r="X3815" s="420"/>
      <c r="Y3815" s="420"/>
    </row>
    <row r="3816" spans="17:25">
      <c r="Q3816" s="6">
        <v>3786</v>
      </c>
      <c r="R3816" s="7">
        <v>46453</v>
      </c>
      <c r="S3816" s="210">
        <v>4.25</v>
      </c>
      <c r="T3816" s="8">
        <v>1.0001180555555556</v>
      </c>
      <c r="U3816" s="98">
        <v>4.2520953838964148</v>
      </c>
      <c r="V3816" s="106">
        <v>35958.233101935766</v>
      </c>
      <c r="W3816" s="10">
        <v>1.1365891278192874</v>
      </c>
      <c r="X3816" s="420"/>
      <c r="Y3816" s="420"/>
    </row>
    <row r="3817" spans="17:25">
      <c r="Q3817" s="6">
        <v>3787</v>
      </c>
      <c r="R3817" s="7">
        <v>46454</v>
      </c>
      <c r="S3817" s="210">
        <v>4.25</v>
      </c>
      <c r="T3817" s="8">
        <v>1.0001180555555556</v>
      </c>
      <c r="U3817" s="98">
        <v>4.2521351896598558</v>
      </c>
      <c r="V3817" s="106">
        <v>35961.22600648972</v>
      </c>
      <c r="W3817" s="10">
        <v>1.1366267099515603</v>
      </c>
      <c r="X3817" s="420"/>
      <c r="Y3817" s="420"/>
    </row>
    <row r="3818" spans="17:25">
      <c r="Q3818" s="6">
        <v>3788</v>
      </c>
      <c r="R3818" s="7">
        <v>46455</v>
      </c>
      <c r="S3818" s="210">
        <v>4.25</v>
      </c>
      <c r="T3818" s="8">
        <v>1.0001180555555556</v>
      </c>
      <c r="U3818" s="98">
        <v>4.2521749744217185</v>
      </c>
      <c r="V3818" s="106">
        <v>35964.219160151508</v>
      </c>
      <c r="W3818" s="10">
        <v>1.1366642722550502</v>
      </c>
      <c r="X3818" s="420"/>
      <c r="Y3818" s="420"/>
    </row>
    <row r="3819" spans="17:25">
      <c r="Q3819" s="6">
        <v>3789</v>
      </c>
      <c r="R3819" s="7">
        <v>46456</v>
      </c>
      <c r="S3819" s="210">
        <v>4.25</v>
      </c>
      <c r="T3819" s="8">
        <v>1.0001180555555556</v>
      </c>
      <c r="U3819" s="98">
        <v>4.252214738198612</v>
      </c>
      <c r="V3819" s="106">
        <v>35967.212562941873</v>
      </c>
      <c r="W3819" s="10">
        <v>1.1367018147454777</v>
      </c>
      <c r="X3819" s="420"/>
      <c r="Y3819" s="420"/>
    </row>
    <row r="3820" spans="17:25">
      <c r="Q3820" s="6">
        <v>3790</v>
      </c>
      <c r="R3820" s="7">
        <v>46457</v>
      </c>
      <c r="S3820" s="210">
        <v>4.25</v>
      </c>
      <c r="T3820" s="8">
        <v>1.0001180555555556</v>
      </c>
      <c r="U3820" s="98">
        <v>4.252254481007145</v>
      </c>
      <c r="V3820" s="106">
        <v>35970.206214881546</v>
      </c>
      <c r="W3820" s="10">
        <v>1.1367393374384749</v>
      </c>
      <c r="X3820" s="420"/>
      <c r="Y3820" s="420"/>
    </row>
    <row r="3821" spans="17:25">
      <c r="Q3821" s="6">
        <v>3791</v>
      </c>
      <c r="R3821" s="7">
        <v>46458</v>
      </c>
      <c r="S3821" s="210">
        <v>4.25</v>
      </c>
      <c r="T3821" s="8">
        <v>1.0001180555555556</v>
      </c>
      <c r="U3821" s="98">
        <v>4.2522942028638822</v>
      </c>
      <c r="V3821" s="106">
        <v>35973.200115991262</v>
      </c>
      <c r="W3821" s="10">
        <v>1.136776840349718</v>
      </c>
      <c r="X3821" s="420"/>
      <c r="Y3821" s="420"/>
    </row>
    <row r="3822" spans="17:25">
      <c r="Q3822" s="6">
        <v>3792</v>
      </c>
      <c r="R3822" s="7">
        <v>46459</v>
      </c>
      <c r="S3822" s="210">
        <v>4.25</v>
      </c>
      <c r="T3822" s="8">
        <v>1.0001180555555556</v>
      </c>
      <c r="U3822" s="98">
        <v>4.252333903785388</v>
      </c>
      <c r="V3822" s="106">
        <v>35976.19426629175</v>
      </c>
      <c r="W3822" s="10">
        <v>1.1368143234948391</v>
      </c>
      <c r="X3822" s="420"/>
      <c r="Y3822" s="420"/>
    </row>
    <row r="3823" spans="17:25">
      <c r="Q3823" s="6">
        <v>3793</v>
      </c>
      <c r="R3823" s="7">
        <v>46460</v>
      </c>
      <c r="S3823" s="210">
        <v>4.25</v>
      </c>
      <c r="T3823" s="8">
        <v>1.0001180555555556</v>
      </c>
      <c r="U3823" s="98">
        <v>4.2523735837882271</v>
      </c>
      <c r="V3823" s="106">
        <v>35979.188665803777</v>
      </c>
      <c r="W3823" s="10">
        <v>1.1368517868894479</v>
      </c>
      <c r="X3823" s="420"/>
      <c r="Y3823" s="420"/>
    </row>
    <row r="3824" spans="17:25">
      <c r="Q3824" s="6">
        <v>3794</v>
      </c>
      <c r="R3824" s="7">
        <v>46461</v>
      </c>
      <c r="S3824" s="210">
        <v>4.25</v>
      </c>
      <c r="T3824" s="8">
        <v>1.0001180555555556</v>
      </c>
      <c r="U3824" s="98">
        <v>4.2524132428889194</v>
      </c>
      <c r="V3824" s="106">
        <v>35982.183314548063</v>
      </c>
      <c r="W3824" s="10">
        <v>1.1368892305491984</v>
      </c>
      <c r="X3824" s="420"/>
      <c r="Y3824" s="420"/>
    </row>
    <row r="3825" spans="17:25">
      <c r="Q3825" s="6">
        <v>3795</v>
      </c>
      <c r="R3825" s="7">
        <v>46462</v>
      </c>
      <c r="S3825" s="210">
        <v>4.25</v>
      </c>
      <c r="T3825" s="8">
        <v>1.0001180555555556</v>
      </c>
      <c r="U3825" s="98">
        <v>4.252452881103963</v>
      </c>
      <c r="V3825" s="106">
        <v>35985.178212545354</v>
      </c>
      <c r="W3825" s="10">
        <v>1.1369266544896117</v>
      </c>
      <c r="X3825" s="420"/>
      <c r="Y3825" s="420"/>
    </row>
    <row r="3826" spans="17:25">
      <c r="Q3826" s="6">
        <v>3796</v>
      </c>
      <c r="R3826" s="7">
        <v>46463</v>
      </c>
      <c r="S3826" s="210">
        <v>4.25</v>
      </c>
      <c r="T3826" s="8">
        <v>1.0001180555555556</v>
      </c>
      <c r="U3826" s="98">
        <v>4.252492498449878</v>
      </c>
      <c r="V3826" s="106">
        <v>35988.173359816414</v>
      </c>
      <c r="W3826" s="10">
        <v>1.1369640587263197</v>
      </c>
      <c r="X3826" s="420"/>
      <c r="Y3826" s="420"/>
    </row>
    <row r="3827" spans="17:25">
      <c r="Q3827" s="6">
        <v>3797</v>
      </c>
      <c r="R3827" s="7">
        <v>46464</v>
      </c>
      <c r="S3827" s="210">
        <v>4.25</v>
      </c>
      <c r="T3827" s="8">
        <v>1.0001180555555556</v>
      </c>
      <c r="U3827" s="98">
        <v>4.2525320949431178</v>
      </c>
      <c r="V3827" s="106">
        <v>35991.168756381972</v>
      </c>
      <c r="W3827" s="10">
        <v>1.1370014432748432</v>
      </c>
      <c r="X3827" s="420"/>
      <c r="Y3827" s="420"/>
    </row>
    <row r="3828" spans="17:25">
      <c r="Q3828" s="6">
        <v>3798</v>
      </c>
      <c r="R3828" s="7">
        <v>46465</v>
      </c>
      <c r="S3828" s="210">
        <v>4.25</v>
      </c>
      <c r="T3828" s="8">
        <v>1.0001180555555556</v>
      </c>
      <c r="U3828" s="98">
        <v>4.2525716706001582</v>
      </c>
      <c r="V3828" s="106">
        <v>35994.164402262781</v>
      </c>
      <c r="W3828" s="10">
        <v>1.1370388081507254</v>
      </c>
      <c r="X3828" s="420"/>
      <c r="Y3828" s="420"/>
    </row>
    <row r="3829" spans="17:25">
      <c r="Q3829" s="6">
        <v>3799</v>
      </c>
      <c r="R3829" s="7">
        <v>46466</v>
      </c>
      <c r="S3829" s="210">
        <v>4.25</v>
      </c>
      <c r="T3829" s="8">
        <v>1.0001180555555556</v>
      </c>
      <c r="U3829" s="98">
        <v>4.2526112254374304</v>
      </c>
      <c r="V3829" s="106">
        <v>35997.160297479597</v>
      </c>
      <c r="W3829" s="10">
        <v>1.1370761533695317</v>
      </c>
      <c r="X3829" s="420"/>
      <c r="Y3829" s="420"/>
    </row>
    <row r="3830" spans="17:25">
      <c r="Q3830" s="6">
        <v>3800</v>
      </c>
      <c r="R3830" s="7">
        <v>46467</v>
      </c>
      <c r="S3830" s="210">
        <v>4.25</v>
      </c>
      <c r="T3830" s="8">
        <v>1.0001180555555556</v>
      </c>
      <c r="U3830" s="98">
        <v>4.2526507594713658</v>
      </c>
      <c r="V3830" s="106">
        <v>36000.156442053179</v>
      </c>
      <c r="W3830" s="10">
        <v>1.1371134789467163</v>
      </c>
      <c r="X3830" s="420"/>
      <c r="Y3830" s="420"/>
    </row>
    <row r="3831" spans="17:25">
      <c r="Q3831" s="6">
        <v>3801</v>
      </c>
      <c r="R3831" s="7">
        <v>46468</v>
      </c>
      <c r="S3831" s="210">
        <v>4.25</v>
      </c>
      <c r="T3831" s="8">
        <v>1.0001180555555556</v>
      </c>
      <c r="U3831" s="98">
        <v>4.2526902727183735</v>
      </c>
      <c r="V3831" s="106">
        <v>36003.152836004265</v>
      </c>
      <c r="W3831" s="10">
        <v>1.1371507848978002</v>
      </c>
      <c r="X3831" s="420"/>
      <c r="Y3831" s="420"/>
    </row>
    <row r="3832" spans="17:25">
      <c r="Q3832" s="6">
        <v>3802</v>
      </c>
      <c r="R3832" s="7">
        <v>46469</v>
      </c>
      <c r="S3832" s="210">
        <v>4.25</v>
      </c>
      <c r="T3832" s="8">
        <v>1.0001180555555556</v>
      </c>
      <c r="U3832" s="98">
        <v>4.2527297651948182</v>
      </c>
      <c r="V3832" s="106">
        <v>36006.149479353626</v>
      </c>
      <c r="W3832" s="10">
        <v>1.1371880712382376</v>
      </c>
      <c r="X3832" s="420"/>
      <c r="Y3832" s="420"/>
    </row>
    <row r="3833" spans="17:25">
      <c r="Q3833" s="6">
        <v>3803</v>
      </c>
      <c r="R3833" s="7">
        <v>46470</v>
      </c>
      <c r="S3833" s="210">
        <v>4.25</v>
      </c>
      <c r="T3833" s="8">
        <v>1.0001180555555556</v>
      </c>
      <c r="U3833" s="98">
        <v>4.2527692369171088</v>
      </c>
      <c r="V3833" s="106">
        <v>36009.146372122013</v>
      </c>
      <c r="W3833" s="10">
        <v>1.1372253379835051</v>
      </c>
      <c r="X3833" s="420"/>
      <c r="Y3833" s="420"/>
    </row>
    <row r="3834" spans="17:25">
      <c r="Q3834" s="6">
        <v>3804</v>
      </c>
      <c r="R3834" s="7">
        <v>46471</v>
      </c>
      <c r="S3834" s="210">
        <v>4.25</v>
      </c>
      <c r="T3834" s="8">
        <v>1.0001180555555556</v>
      </c>
      <c r="U3834" s="98">
        <v>4.2528086879015881</v>
      </c>
      <c r="V3834" s="106">
        <v>36012.143514330186</v>
      </c>
      <c r="W3834" s="10">
        <v>1.137262585149057</v>
      </c>
      <c r="X3834" s="420"/>
      <c r="Y3834" s="420"/>
    </row>
    <row r="3835" spans="17:25">
      <c r="Q3835" s="6">
        <v>3805</v>
      </c>
      <c r="R3835" s="7">
        <v>46472</v>
      </c>
      <c r="S3835" s="210">
        <v>4.25</v>
      </c>
      <c r="T3835" s="8">
        <v>1.0001180555555556</v>
      </c>
      <c r="U3835" s="98">
        <v>4.2528481181645983</v>
      </c>
      <c r="V3835" s="106">
        <v>36015.140905998909</v>
      </c>
      <c r="W3835" s="10">
        <v>1.1372998127503031</v>
      </c>
      <c r="X3835" s="420"/>
      <c r="Y3835" s="420"/>
    </row>
    <row r="3836" spans="17:25">
      <c r="Q3836" s="6">
        <v>3806</v>
      </c>
      <c r="R3836" s="7">
        <v>46473</v>
      </c>
      <c r="S3836" s="210">
        <v>4.25</v>
      </c>
      <c r="T3836" s="8">
        <v>1.0001180555555556</v>
      </c>
      <c r="U3836" s="98">
        <v>4.2528875277224376</v>
      </c>
      <c r="V3836" s="106">
        <v>36018.138547148934</v>
      </c>
      <c r="W3836" s="10">
        <v>1.1373370208026312</v>
      </c>
      <c r="X3836" s="420"/>
      <c r="Y3836" s="420"/>
    </row>
    <row r="3837" spans="17:25">
      <c r="Q3837" s="6">
        <v>3807</v>
      </c>
      <c r="R3837" s="7">
        <v>46474</v>
      </c>
      <c r="S3837" s="210">
        <v>4.25</v>
      </c>
      <c r="T3837" s="8">
        <v>1.0001180555555556</v>
      </c>
      <c r="U3837" s="98">
        <v>4.2529269165914263</v>
      </c>
      <c r="V3837" s="106">
        <v>36021.136437801048</v>
      </c>
      <c r="W3837" s="10">
        <v>1.1373742093214734</v>
      </c>
      <c r="X3837" s="420"/>
      <c r="Y3837" s="420"/>
    </row>
    <row r="3838" spans="17:25">
      <c r="Q3838" s="6">
        <v>3808</v>
      </c>
      <c r="R3838" s="7">
        <v>46475</v>
      </c>
      <c r="S3838" s="210">
        <v>4.25</v>
      </c>
      <c r="T3838" s="8">
        <v>1.0001180555555556</v>
      </c>
      <c r="U3838" s="98">
        <v>4.2529662847878624</v>
      </c>
      <c r="V3838" s="106">
        <v>36024.134577976001</v>
      </c>
      <c r="W3838" s="10">
        <v>1.1374113783221951</v>
      </c>
      <c r="X3838" s="420"/>
      <c r="Y3838" s="420"/>
    </row>
    <row r="3839" spans="17:25">
      <c r="Q3839" s="6">
        <v>3809</v>
      </c>
      <c r="R3839" s="7">
        <v>46476</v>
      </c>
      <c r="S3839" s="210">
        <v>4.25</v>
      </c>
      <c r="T3839" s="8">
        <v>1.0001180555555556</v>
      </c>
      <c r="U3839" s="98">
        <v>4.2530056323279997</v>
      </c>
      <c r="V3839" s="106">
        <v>36027.132967694575</v>
      </c>
      <c r="W3839" s="10">
        <v>1.1374485278201396</v>
      </c>
      <c r="X3839" s="420"/>
      <c r="Y3839" s="420"/>
    </row>
    <row r="3840" spans="17:25">
      <c r="Q3840" s="6">
        <v>3810</v>
      </c>
      <c r="R3840" s="7">
        <v>46477</v>
      </c>
      <c r="S3840" s="210">
        <v>4.25</v>
      </c>
      <c r="T3840" s="8">
        <v>1.0001180555555556</v>
      </c>
      <c r="U3840" s="98">
        <v>4.2530449592281139</v>
      </c>
      <c r="V3840" s="106">
        <v>36030.13160697752</v>
      </c>
      <c r="W3840" s="10">
        <v>1.1374856578306947</v>
      </c>
      <c r="X3840" s="420"/>
      <c r="Y3840" s="420"/>
    </row>
    <row r="3841" spans="17:25">
      <c r="Q3841" s="6">
        <v>3811</v>
      </c>
      <c r="R3841" s="7">
        <v>46478</v>
      </c>
      <c r="S3841" s="210">
        <v>4.25</v>
      </c>
      <c r="T3841" s="8">
        <v>1.0001180555555556</v>
      </c>
      <c r="U3841" s="98">
        <v>4.2530842655044143</v>
      </c>
      <c r="V3841" s="106">
        <v>36033.130495845624</v>
      </c>
      <c r="W3841" s="10">
        <v>1.1375227683691591</v>
      </c>
      <c r="X3841" s="420"/>
      <c r="Y3841" s="420"/>
    </row>
    <row r="3842" spans="17:25">
      <c r="Q3842" s="6">
        <v>3812</v>
      </c>
      <c r="R3842" s="7">
        <v>46479</v>
      </c>
      <c r="S3842" s="210">
        <v>4.25</v>
      </c>
      <c r="T3842" s="8">
        <v>1.0001180555555556</v>
      </c>
      <c r="U3842" s="98">
        <v>4.2531235511731325</v>
      </c>
      <c r="V3842" s="106">
        <v>36036.129634319659</v>
      </c>
      <c r="W3842" s="10">
        <v>1.1375598594508318</v>
      </c>
      <c r="X3842" s="420"/>
      <c r="Y3842" s="420"/>
    </row>
    <row r="3843" spans="17:25">
      <c r="Q3843" s="6">
        <v>3813</v>
      </c>
      <c r="R3843" s="7">
        <v>46480</v>
      </c>
      <c r="S3843" s="210">
        <v>4.25</v>
      </c>
      <c r="T3843" s="8">
        <v>1.0001180555555556</v>
      </c>
      <c r="U3843" s="98">
        <v>4.2531628162504775</v>
      </c>
      <c r="V3843" s="106">
        <v>36039.129022420399</v>
      </c>
      <c r="W3843" s="10">
        <v>1.1375969310910561</v>
      </c>
      <c r="X3843" s="420"/>
      <c r="Y3843" s="420"/>
    </row>
    <row r="3844" spans="17:25">
      <c r="Q3844" s="6">
        <v>3814</v>
      </c>
      <c r="R3844" s="7">
        <v>46481</v>
      </c>
      <c r="S3844" s="210">
        <v>4.25</v>
      </c>
      <c r="T3844" s="8">
        <v>1.0001180555555556</v>
      </c>
      <c r="U3844" s="98">
        <v>4.2532020607526366</v>
      </c>
      <c r="V3844" s="106">
        <v>36042.128660168615</v>
      </c>
      <c r="W3844" s="10">
        <v>1.1376339833050864</v>
      </c>
      <c r="X3844" s="420"/>
      <c r="Y3844" s="420"/>
    </row>
    <row r="3845" spans="17:25">
      <c r="Q3845" s="6">
        <v>3815</v>
      </c>
      <c r="R3845" s="7">
        <v>46482</v>
      </c>
      <c r="S3845" s="210">
        <v>4.25</v>
      </c>
      <c r="T3845" s="8">
        <v>1.0001180555555556</v>
      </c>
      <c r="U3845" s="98">
        <v>4.2532412846957524</v>
      </c>
      <c r="V3845" s="106">
        <v>36045.128547585089</v>
      </c>
      <c r="W3845" s="10">
        <v>1.1376710161081993</v>
      </c>
      <c r="X3845" s="420"/>
      <c r="Y3845" s="420"/>
    </row>
    <row r="3846" spans="17:25">
      <c r="Q3846" s="6">
        <v>3816</v>
      </c>
      <c r="R3846" s="7">
        <v>46483</v>
      </c>
      <c r="S3846" s="210">
        <v>4.25</v>
      </c>
      <c r="T3846" s="8">
        <v>1.0001180555555556</v>
      </c>
      <c r="U3846" s="98">
        <v>4.2532804880959896</v>
      </c>
      <c r="V3846" s="106">
        <v>36048.128684690608</v>
      </c>
      <c r="W3846" s="10">
        <v>1.137708029515605</v>
      </c>
      <c r="X3846" s="420"/>
      <c r="Y3846" s="420"/>
    </row>
    <row r="3847" spans="17:25">
      <c r="Q3847" s="6">
        <v>3817</v>
      </c>
      <c r="R3847" s="7">
        <v>46484</v>
      </c>
      <c r="S3847" s="210">
        <v>4.25</v>
      </c>
      <c r="T3847" s="8">
        <v>1.0001180555555556</v>
      </c>
      <c r="U3847" s="98">
        <v>4.2533196709694909</v>
      </c>
      <c r="V3847" s="106">
        <v>36051.129071505944</v>
      </c>
      <c r="W3847" s="10">
        <v>1.1377450235426023</v>
      </c>
      <c r="X3847" s="420"/>
      <c r="Y3847" s="420"/>
    </row>
    <row r="3848" spans="17:25">
      <c r="Q3848" s="6">
        <v>3818</v>
      </c>
      <c r="R3848" s="7">
        <v>46485</v>
      </c>
      <c r="S3848" s="210">
        <v>4.25</v>
      </c>
      <c r="T3848" s="8">
        <v>1.0001180555555556</v>
      </c>
      <c r="U3848" s="98">
        <v>4.2533588333323769</v>
      </c>
      <c r="V3848" s="106">
        <v>36054.129708051885</v>
      </c>
      <c r="W3848" s="10">
        <v>1.1377819982043569</v>
      </c>
      <c r="X3848" s="420"/>
      <c r="Y3848" s="420"/>
    </row>
    <row r="3849" spans="17:25">
      <c r="Q3849" s="6">
        <v>3819</v>
      </c>
      <c r="R3849" s="7">
        <v>46486</v>
      </c>
      <c r="S3849" s="210">
        <v>4.25</v>
      </c>
      <c r="T3849" s="8">
        <v>1.0001180555555556</v>
      </c>
      <c r="U3849" s="98">
        <v>4.2533979752007234</v>
      </c>
      <c r="V3849" s="106">
        <v>36057.130594349226</v>
      </c>
      <c r="W3849" s="10">
        <v>1.1378189535160788</v>
      </c>
      <c r="X3849" s="420"/>
      <c r="Y3849" s="420"/>
    </row>
    <row r="3850" spans="17:25">
      <c r="Q3850" s="6">
        <v>3820</v>
      </c>
      <c r="R3850" s="7">
        <v>46487</v>
      </c>
      <c r="S3850" s="210">
        <v>4.25</v>
      </c>
      <c r="T3850" s="8">
        <v>1.0001180555555556</v>
      </c>
      <c r="U3850" s="98">
        <v>4.2534370965906287</v>
      </c>
      <c r="V3850" s="106">
        <v>36060.131730418747</v>
      </c>
      <c r="W3850" s="10">
        <v>1.137855889492978</v>
      </c>
      <c r="X3850" s="420"/>
      <c r="Y3850" s="420"/>
    </row>
    <row r="3851" spans="17:25">
      <c r="Q3851" s="6">
        <v>3821</v>
      </c>
      <c r="R3851" s="7">
        <v>46488</v>
      </c>
      <c r="S3851" s="210">
        <v>4.25</v>
      </c>
      <c r="T3851" s="8">
        <v>1.0001180555555556</v>
      </c>
      <c r="U3851" s="98">
        <v>4.253476197518169</v>
      </c>
      <c r="V3851" s="106">
        <v>36063.133116281235</v>
      </c>
      <c r="W3851" s="10">
        <v>1.1378928061501981</v>
      </c>
      <c r="X3851" s="420"/>
      <c r="Y3851" s="420"/>
    </row>
    <row r="3852" spans="17:25">
      <c r="Q3852" s="6">
        <v>3822</v>
      </c>
      <c r="R3852" s="7">
        <v>46489</v>
      </c>
      <c r="S3852" s="210">
        <v>4.25</v>
      </c>
      <c r="T3852" s="8">
        <v>1.0001180555555556</v>
      </c>
      <c r="U3852" s="98">
        <v>4.2535152779993757</v>
      </c>
      <c r="V3852" s="106">
        <v>36066.134751957485</v>
      </c>
      <c r="W3852" s="10">
        <v>1.1379297035029046</v>
      </c>
      <c r="X3852" s="420"/>
      <c r="Y3852" s="420"/>
    </row>
    <row r="3853" spans="17:25">
      <c r="Q3853" s="6">
        <v>3823</v>
      </c>
      <c r="R3853" s="7">
        <v>46490</v>
      </c>
      <c r="S3853" s="210">
        <v>4.25</v>
      </c>
      <c r="T3853" s="8">
        <v>1.0001180555555556</v>
      </c>
      <c r="U3853" s="98">
        <v>4.2535543380503027</v>
      </c>
      <c r="V3853" s="106">
        <v>36069.136637468277</v>
      </c>
      <c r="W3853" s="10">
        <v>1.137966581566241</v>
      </c>
      <c r="X3853" s="420"/>
      <c r="Y3853" s="420"/>
    </row>
    <row r="3854" spans="17:25">
      <c r="Q3854" s="6">
        <v>3824</v>
      </c>
      <c r="R3854" s="7">
        <v>46491</v>
      </c>
      <c r="S3854" s="210">
        <v>4.25</v>
      </c>
      <c r="T3854" s="8">
        <v>1.0001180555555556</v>
      </c>
      <c r="U3854" s="98">
        <v>4.2535933776869594</v>
      </c>
      <c r="V3854" s="106">
        <v>36072.138772834427</v>
      </c>
      <c r="W3854" s="10">
        <v>1.1380034403553285</v>
      </c>
      <c r="X3854" s="420"/>
      <c r="Y3854" s="420"/>
    </row>
    <row r="3855" spans="17:25">
      <c r="Q3855" s="6">
        <v>3825</v>
      </c>
      <c r="R3855" s="7">
        <v>46492</v>
      </c>
      <c r="S3855" s="210">
        <v>4.25</v>
      </c>
      <c r="T3855" s="8">
        <v>1.0001180555555556</v>
      </c>
      <c r="U3855" s="98">
        <v>4.2536323969253331</v>
      </c>
      <c r="V3855" s="106">
        <v>36075.141158076724</v>
      </c>
      <c r="W3855" s="10">
        <v>1.1380402798852662</v>
      </c>
      <c r="X3855" s="420"/>
      <c r="Y3855" s="420"/>
    </row>
    <row r="3856" spans="17:25">
      <c r="Q3856" s="6">
        <v>3826</v>
      </c>
      <c r="R3856" s="7">
        <v>46493</v>
      </c>
      <c r="S3856" s="210">
        <v>4.25</v>
      </c>
      <c r="T3856" s="8">
        <v>1.0001180555555556</v>
      </c>
      <c r="U3856" s="98">
        <v>4.253671395781411</v>
      </c>
      <c r="V3856" s="106">
        <v>36078.143793215953</v>
      </c>
      <c r="W3856" s="10">
        <v>1.138077100171131</v>
      </c>
      <c r="X3856" s="420"/>
      <c r="Y3856" s="420"/>
    </row>
    <row r="3857" spans="17:25">
      <c r="Q3857" s="6">
        <v>3827</v>
      </c>
      <c r="R3857" s="7">
        <v>46494</v>
      </c>
      <c r="S3857" s="210">
        <v>4.25</v>
      </c>
      <c r="T3857" s="8">
        <v>1.0001180555555556</v>
      </c>
      <c r="U3857" s="98">
        <v>4.2537103742711802</v>
      </c>
      <c r="V3857" s="106">
        <v>36081.146678272919</v>
      </c>
      <c r="W3857" s="10">
        <v>1.1381139012280439</v>
      </c>
      <c r="X3857" s="420"/>
      <c r="Y3857" s="420"/>
    </row>
    <row r="3858" spans="17:25">
      <c r="Q3858" s="6">
        <v>3828</v>
      </c>
      <c r="R3858" s="7">
        <v>46495</v>
      </c>
      <c r="S3858" s="210">
        <v>4.25</v>
      </c>
      <c r="T3858" s="8">
        <v>1.0001180555555556</v>
      </c>
      <c r="U3858" s="98">
        <v>4.2537493324105613</v>
      </c>
      <c r="V3858" s="106">
        <v>36084.149813268436</v>
      </c>
      <c r="W3858" s="10">
        <v>1.1381506830710153</v>
      </c>
      <c r="X3858" s="420"/>
      <c r="Y3858" s="420"/>
    </row>
    <row r="3859" spans="17:25">
      <c r="Q3859" s="6">
        <v>3829</v>
      </c>
      <c r="R3859" s="7">
        <v>46496</v>
      </c>
      <c r="S3859" s="210">
        <v>4.25</v>
      </c>
      <c r="T3859" s="8">
        <v>1.0001180555555556</v>
      </c>
      <c r="U3859" s="98">
        <v>4.2537882702154972</v>
      </c>
      <c r="V3859" s="106">
        <v>36087.153198223299</v>
      </c>
      <c r="W3859" s="10">
        <v>1.1381874457150998</v>
      </c>
      <c r="X3859" s="420"/>
      <c r="Y3859" s="420"/>
    </row>
    <row r="3860" spans="17:25">
      <c r="Q3860" s="6">
        <v>3830</v>
      </c>
      <c r="R3860" s="7">
        <v>46497</v>
      </c>
      <c r="S3860" s="210">
        <v>4.25</v>
      </c>
      <c r="T3860" s="8">
        <v>1.0001180555555556</v>
      </c>
      <c r="U3860" s="98">
        <v>4.2538271877019085</v>
      </c>
      <c r="V3860" s="106">
        <v>36090.156833158311</v>
      </c>
      <c r="W3860" s="10">
        <v>1.138224189175352</v>
      </c>
      <c r="X3860" s="420"/>
      <c r="Y3860" s="420"/>
    </row>
    <row r="3861" spans="17:25">
      <c r="Q3861" s="6">
        <v>3831</v>
      </c>
      <c r="R3861" s="7">
        <v>46498</v>
      </c>
      <c r="S3861" s="210">
        <v>4.25</v>
      </c>
      <c r="T3861" s="8">
        <v>1.0001180555555556</v>
      </c>
      <c r="U3861" s="98">
        <v>4.2538660848856935</v>
      </c>
      <c r="V3861" s="106">
        <v>36093.160718094274</v>
      </c>
      <c r="W3861" s="10">
        <v>1.1382609134667376</v>
      </c>
      <c r="X3861" s="420"/>
      <c r="Y3861" s="420"/>
    </row>
    <row r="3862" spans="17:25">
      <c r="Q3862" s="6">
        <v>3832</v>
      </c>
      <c r="R3862" s="7">
        <v>46499</v>
      </c>
      <c r="S3862" s="210">
        <v>4.25</v>
      </c>
      <c r="T3862" s="8">
        <v>1.0001180555555556</v>
      </c>
      <c r="U3862" s="98">
        <v>4.2539049617827507</v>
      </c>
      <c r="V3862" s="106">
        <v>36096.164853052003</v>
      </c>
      <c r="W3862" s="10">
        <v>1.1382976186043114</v>
      </c>
      <c r="X3862" s="420"/>
      <c r="Y3862" s="420"/>
    </row>
    <row r="3863" spans="17:25">
      <c r="Q3863" s="6">
        <v>3833</v>
      </c>
      <c r="R3863" s="7">
        <v>46500</v>
      </c>
      <c r="S3863" s="210">
        <v>4.25</v>
      </c>
      <c r="T3863" s="8">
        <v>1.0001180555555556</v>
      </c>
      <c r="U3863" s="98">
        <v>4.253943818408934</v>
      </c>
      <c r="V3863" s="106">
        <v>36099.169238052309</v>
      </c>
      <c r="W3863" s="10">
        <v>1.1383343046030392</v>
      </c>
      <c r="X3863" s="420"/>
      <c r="Y3863" s="420"/>
    </row>
    <row r="3864" spans="17:25">
      <c r="Q3864" s="6">
        <v>3834</v>
      </c>
      <c r="R3864" s="7">
        <v>46501</v>
      </c>
      <c r="S3864" s="210">
        <v>4.25</v>
      </c>
      <c r="T3864" s="8">
        <v>1.0001180555555556</v>
      </c>
      <c r="U3864" s="98">
        <v>4.2539826547800752</v>
      </c>
      <c r="V3864" s="106">
        <v>36102.173873116008</v>
      </c>
      <c r="W3864" s="10">
        <v>1.1383709714778423</v>
      </c>
      <c r="X3864" s="420"/>
      <c r="Y3864" s="420"/>
    </row>
    <row r="3865" spans="17:25">
      <c r="Q3865" s="6">
        <v>3835</v>
      </c>
      <c r="R3865" s="7">
        <v>46502</v>
      </c>
      <c r="S3865" s="210">
        <v>4.25</v>
      </c>
      <c r="T3865" s="8">
        <v>1.0001180555555556</v>
      </c>
      <c r="U3865" s="98">
        <v>4.2540214709120283</v>
      </c>
      <c r="V3865" s="106">
        <v>36105.178758263901</v>
      </c>
      <c r="W3865" s="10">
        <v>1.1384076192437087</v>
      </c>
      <c r="X3865" s="420"/>
      <c r="Y3865" s="420"/>
    </row>
    <row r="3866" spans="17:25">
      <c r="Q3866" s="6">
        <v>3836</v>
      </c>
      <c r="R3866" s="7">
        <v>46503</v>
      </c>
      <c r="S3866" s="210">
        <v>4.25</v>
      </c>
      <c r="T3866" s="8">
        <v>1.0001180555555556</v>
      </c>
      <c r="U3866" s="98">
        <v>4.2540602668206029</v>
      </c>
      <c r="V3866" s="106">
        <v>36108.183893516805</v>
      </c>
      <c r="W3866" s="10">
        <v>1.1384442479155377</v>
      </c>
      <c r="X3866" s="420"/>
      <c r="Y3866" s="420"/>
    </row>
    <row r="3867" spans="17:25">
      <c r="Q3867" s="6">
        <v>3837</v>
      </c>
      <c r="R3867" s="7">
        <v>46504</v>
      </c>
      <c r="S3867" s="210">
        <v>4.25</v>
      </c>
      <c r="T3867" s="8">
        <v>1.0001180555555556</v>
      </c>
      <c r="U3867" s="98">
        <v>4.2540990425216085</v>
      </c>
      <c r="V3867" s="106">
        <v>36111.189278895552</v>
      </c>
      <c r="W3867" s="10">
        <v>1.138480857508295</v>
      </c>
      <c r="X3867" s="420"/>
      <c r="Y3867" s="420"/>
    </row>
    <row r="3868" spans="17:25">
      <c r="Q3868" s="6">
        <v>3838</v>
      </c>
      <c r="R3868" s="7">
        <v>46505</v>
      </c>
      <c r="S3868" s="210">
        <v>4.25</v>
      </c>
      <c r="T3868" s="8">
        <v>1.0001180555555556</v>
      </c>
      <c r="U3868" s="98">
        <v>4.2541377980308104</v>
      </c>
      <c r="V3868" s="106">
        <v>36114.194914420943</v>
      </c>
      <c r="W3868" s="10">
        <v>1.1385174480368576</v>
      </c>
      <c r="X3868" s="420"/>
      <c r="Y3868" s="420"/>
    </row>
    <row r="3869" spans="17:25">
      <c r="Q3869" s="6">
        <v>3839</v>
      </c>
      <c r="R3869" s="7">
        <v>46506</v>
      </c>
      <c r="S3869" s="210">
        <v>4.25</v>
      </c>
      <c r="T3869" s="8">
        <v>1.0001180555555556</v>
      </c>
      <c r="U3869" s="98">
        <v>4.2541765333639958</v>
      </c>
      <c r="V3869" s="106">
        <v>36117.200800113802</v>
      </c>
      <c r="W3869" s="10">
        <v>1.1385540195161248</v>
      </c>
      <c r="X3869" s="420"/>
      <c r="Y3869" s="420"/>
    </row>
    <row r="3870" spans="17:25">
      <c r="Q3870" s="6">
        <v>3840</v>
      </c>
      <c r="R3870" s="7">
        <v>46507</v>
      </c>
      <c r="S3870" s="210">
        <v>4.25</v>
      </c>
      <c r="T3870" s="8">
        <v>1.0001180555555556</v>
      </c>
      <c r="U3870" s="98">
        <v>4.2542152485369078</v>
      </c>
      <c r="V3870" s="106">
        <v>36120.20693599496</v>
      </c>
      <c r="W3870" s="10">
        <v>1.1385905719609513</v>
      </c>
      <c r="X3870" s="420"/>
      <c r="Y3870" s="420"/>
    </row>
    <row r="3871" spans="17:25">
      <c r="Q3871" s="6">
        <v>3841</v>
      </c>
      <c r="R3871" s="7">
        <v>46508</v>
      </c>
      <c r="S3871" s="210">
        <v>4.25</v>
      </c>
      <c r="T3871" s="8">
        <v>1.0001180555555556</v>
      </c>
      <c r="U3871" s="98">
        <v>4.2542539435652893</v>
      </c>
      <c r="V3871" s="106">
        <v>36123.213322085241</v>
      </c>
      <c r="W3871" s="10">
        <v>1.1386271053861918</v>
      </c>
      <c r="X3871" s="420"/>
      <c r="Y3871" s="420"/>
    </row>
    <row r="3872" spans="17:25">
      <c r="Q3872" s="6">
        <v>3842</v>
      </c>
      <c r="R3872" s="7">
        <v>46509</v>
      </c>
      <c r="S3872" s="210">
        <v>4.25</v>
      </c>
      <c r="T3872" s="8">
        <v>1.0001180555555556</v>
      </c>
      <c r="U3872" s="98">
        <v>4.2542926184648611</v>
      </c>
      <c r="V3872" s="106">
        <v>36126.219958405454</v>
      </c>
      <c r="W3872" s="10">
        <v>1.1386636198067235</v>
      </c>
      <c r="X3872" s="420"/>
      <c r="Y3872" s="420"/>
    </row>
    <row r="3873" spans="17:25">
      <c r="Q3873" s="6">
        <v>3843</v>
      </c>
      <c r="R3873" s="7">
        <v>46510</v>
      </c>
      <c r="S3873" s="210">
        <v>4.25</v>
      </c>
      <c r="T3873" s="8">
        <v>1.0001180555555556</v>
      </c>
      <c r="U3873" s="98">
        <v>4.2543312732512995</v>
      </c>
      <c r="V3873" s="106">
        <v>36129.226844976445</v>
      </c>
      <c r="W3873" s="10">
        <v>1.1387001152373344</v>
      </c>
      <c r="X3873" s="420"/>
      <c r="Y3873" s="420"/>
    </row>
    <row r="3874" spans="17:25">
      <c r="Q3874" s="6">
        <v>3844</v>
      </c>
      <c r="R3874" s="7">
        <v>46511</v>
      </c>
      <c r="S3874" s="210">
        <v>4.25</v>
      </c>
      <c r="T3874" s="8">
        <v>1.0001180555555556</v>
      </c>
      <c r="U3874" s="98">
        <v>4.2543699079403252</v>
      </c>
      <c r="V3874" s="106">
        <v>36132.23398181903</v>
      </c>
      <c r="W3874" s="10">
        <v>1.1387365916928571</v>
      </c>
      <c r="X3874" s="420"/>
      <c r="Y3874" s="420"/>
    </row>
    <row r="3875" spans="17:25">
      <c r="Q3875" s="6">
        <v>3845</v>
      </c>
      <c r="R3875" s="7">
        <v>46512</v>
      </c>
      <c r="S3875" s="210">
        <v>4.25</v>
      </c>
      <c r="T3875" s="8">
        <v>1.0001180555555556</v>
      </c>
      <c r="U3875" s="98">
        <v>4.2544085225475703</v>
      </c>
      <c r="V3875" s="106">
        <v>36135.241368954048</v>
      </c>
      <c r="W3875" s="10">
        <v>1.1387730491880577</v>
      </c>
      <c r="X3875" s="420"/>
      <c r="Y3875" s="420"/>
    </row>
    <row r="3876" spans="17:25">
      <c r="Q3876" s="6">
        <v>3846</v>
      </c>
      <c r="R3876" s="7">
        <v>46513</v>
      </c>
      <c r="S3876" s="210">
        <v>4.25</v>
      </c>
      <c r="T3876" s="8">
        <v>1.0001180555555556</v>
      </c>
      <c r="U3876" s="98">
        <v>4.254447117088711</v>
      </c>
      <c r="V3876" s="106">
        <v>36138.24900640233</v>
      </c>
      <c r="W3876" s="10">
        <v>1.1388094877377464</v>
      </c>
      <c r="X3876" s="420"/>
      <c r="Y3876" s="420"/>
    </row>
    <row r="3877" spans="17:25">
      <c r="Q3877" s="6">
        <v>3847</v>
      </c>
      <c r="R3877" s="7">
        <v>46514</v>
      </c>
      <c r="S3877" s="210">
        <v>4.25</v>
      </c>
      <c r="T3877" s="8">
        <v>1.0001180555555556</v>
      </c>
      <c r="U3877" s="98">
        <v>4.2544856915793794</v>
      </c>
      <c r="V3877" s="106">
        <v>36141.256894184706</v>
      </c>
      <c r="W3877" s="10">
        <v>1.138845907356667</v>
      </c>
      <c r="X3877" s="420"/>
      <c r="Y3877" s="420"/>
    </row>
    <row r="3878" spans="17:25">
      <c r="Q3878" s="6">
        <v>3848</v>
      </c>
      <c r="R3878" s="7">
        <v>46515</v>
      </c>
      <c r="S3878" s="210">
        <v>4.25</v>
      </c>
      <c r="T3878" s="8">
        <v>1.0001180555555556</v>
      </c>
      <c r="U3878" s="98">
        <v>4.2545242460352073</v>
      </c>
      <c r="V3878" s="106">
        <v>36144.265032322015</v>
      </c>
      <c r="W3878" s="10">
        <v>1.1388823080595856</v>
      </c>
      <c r="X3878" s="420"/>
      <c r="Y3878" s="420"/>
    </row>
    <row r="3879" spans="17:25">
      <c r="Q3879" s="6">
        <v>3849</v>
      </c>
      <c r="R3879" s="7">
        <v>46516</v>
      </c>
      <c r="S3879" s="210">
        <v>4.25</v>
      </c>
      <c r="T3879" s="8">
        <v>1.0001180555555556</v>
      </c>
      <c r="U3879" s="98">
        <v>4.2545627804717823</v>
      </c>
      <c r="V3879" s="106">
        <v>36147.273420835096</v>
      </c>
      <c r="W3879" s="10">
        <v>1.1389186898612014</v>
      </c>
      <c r="X3879" s="420"/>
      <c r="Y3879" s="420"/>
    </row>
    <row r="3880" spans="17:25">
      <c r="Q3880" s="6">
        <v>3850</v>
      </c>
      <c r="R3880" s="7">
        <v>46517</v>
      </c>
      <c r="S3880" s="210">
        <v>4.25</v>
      </c>
      <c r="T3880" s="8">
        <v>1.0001180555555556</v>
      </c>
      <c r="U3880" s="98">
        <v>4.2546012949047141</v>
      </c>
      <c r="V3880" s="106">
        <v>36150.282059744786</v>
      </c>
      <c r="W3880" s="10">
        <v>1.1389550527763026</v>
      </c>
      <c r="X3880" s="420"/>
      <c r="Y3880" s="420"/>
    </row>
    <row r="3881" spans="17:25">
      <c r="Q3881" s="6">
        <v>3851</v>
      </c>
      <c r="R3881" s="7">
        <v>46518</v>
      </c>
      <c r="S3881" s="210">
        <v>4.25</v>
      </c>
      <c r="T3881" s="8">
        <v>1.0001180555555556</v>
      </c>
      <c r="U3881" s="98">
        <v>4.2546397893495458</v>
      </c>
      <c r="V3881" s="106">
        <v>36153.290949071932</v>
      </c>
      <c r="W3881" s="10">
        <v>1.1389913968194998</v>
      </c>
      <c r="X3881" s="420"/>
      <c r="Y3881" s="420"/>
    </row>
    <row r="3882" spans="17:25">
      <c r="Q3882" s="6">
        <v>3852</v>
      </c>
      <c r="R3882" s="7">
        <v>46519</v>
      </c>
      <c r="S3882" s="210">
        <v>4.25</v>
      </c>
      <c r="T3882" s="8">
        <v>1.0001180555555556</v>
      </c>
      <c r="U3882" s="98">
        <v>4.254678263821865</v>
      </c>
      <c r="V3882" s="106">
        <v>36156.300088837372</v>
      </c>
      <c r="W3882" s="10">
        <v>1.1390277220055589</v>
      </c>
      <c r="X3882" s="420"/>
      <c r="Y3882" s="420"/>
    </row>
    <row r="3883" spans="17:25">
      <c r="Q3883" s="6">
        <v>3853</v>
      </c>
      <c r="R3883" s="7">
        <v>46520</v>
      </c>
      <c r="S3883" s="210">
        <v>4.25</v>
      </c>
      <c r="T3883" s="8">
        <v>1.0001180555555556</v>
      </c>
      <c r="U3883" s="98">
        <v>4.2547167183371926</v>
      </c>
      <c r="V3883" s="106">
        <v>36159.309479061943</v>
      </c>
      <c r="W3883" s="10">
        <v>1.1390640283491349</v>
      </c>
      <c r="X3883" s="420"/>
      <c r="Y3883" s="420"/>
    </row>
    <row r="3884" spans="17:25">
      <c r="Q3884" s="6">
        <v>3854</v>
      </c>
      <c r="R3884" s="7">
        <v>46521</v>
      </c>
      <c r="S3884" s="210">
        <v>4.25</v>
      </c>
      <c r="T3884" s="8">
        <v>1.0001180555555556</v>
      </c>
      <c r="U3884" s="98">
        <v>4.2547551529110494</v>
      </c>
      <c r="V3884" s="106">
        <v>36162.319119766515</v>
      </c>
      <c r="W3884" s="10">
        <v>1.1391003158648383</v>
      </c>
      <c r="X3884" s="420"/>
      <c r="Y3884" s="420"/>
    </row>
    <row r="3885" spans="17:25">
      <c r="Q3885" s="6">
        <v>3855</v>
      </c>
      <c r="R3885" s="7">
        <v>46522</v>
      </c>
      <c r="S3885" s="210">
        <v>4.25</v>
      </c>
      <c r="T3885" s="8">
        <v>1.0001180555555556</v>
      </c>
      <c r="U3885" s="98">
        <v>4.2547935675589565</v>
      </c>
      <c r="V3885" s="106">
        <v>36165.329010971909</v>
      </c>
      <c r="W3885" s="10">
        <v>1.1391365845673684</v>
      </c>
      <c r="X3885" s="420"/>
      <c r="Y3885" s="420"/>
    </row>
    <row r="3886" spans="17:25">
      <c r="Q3886" s="6">
        <v>3856</v>
      </c>
      <c r="R3886" s="7">
        <v>46523</v>
      </c>
      <c r="S3886" s="210">
        <v>4.25</v>
      </c>
      <c r="T3886" s="8">
        <v>1.0001180555555556</v>
      </c>
      <c r="U3886" s="98">
        <v>4.2548319622963904</v>
      </c>
      <c r="V3886" s="106">
        <v>36168.339152698987</v>
      </c>
      <c r="W3886" s="10">
        <v>1.1391728344713137</v>
      </c>
      <c r="X3886" s="420"/>
      <c r="Y3886" s="420"/>
    </row>
    <row r="3887" spans="17:25">
      <c r="Q3887" s="6">
        <v>3857</v>
      </c>
      <c r="R3887" s="7">
        <v>46524</v>
      </c>
      <c r="S3887" s="210">
        <v>4.25</v>
      </c>
      <c r="T3887" s="8">
        <v>1.0001180555555556</v>
      </c>
      <c r="U3887" s="98">
        <v>4.2548703371388275</v>
      </c>
      <c r="V3887" s="106">
        <v>36171.349544968602</v>
      </c>
      <c r="W3887" s="10">
        <v>1.1392090655912845</v>
      </c>
      <c r="X3887" s="420"/>
      <c r="Y3887" s="420"/>
    </row>
    <row r="3888" spans="17:25">
      <c r="Q3888" s="6">
        <v>3858</v>
      </c>
      <c r="R3888" s="7">
        <v>46525</v>
      </c>
      <c r="S3888" s="210">
        <v>4.25</v>
      </c>
      <c r="T3888" s="8">
        <v>1.0001180555555556</v>
      </c>
      <c r="U3888" s="98">
        <v>4.2549086921017443</v>
      </c>
      <c r="V3888" s="106">
        <v>36174.360187801605</v>
      </c>
      <c r="W3888" s="10">
        <v>1.1392452779419138</v>
      </c>
      <c r="X3888" s="420"/>
      <c r="Y3888" s="420"/>
    </row>
    <row r="3889" spans="17:25">
      <c r="Q3889" s="6">
        <v>3859</v>
      </c>
      <c r="R3889" s="7">
        <v>46526</v>
      </c>
      <c r="S3889" s="210">
        <v>4.25</v>
      </c>
      <c r="T3889" s="8">
        <v>1.0001180555555556</v>
      </c>
      <c r="U3889" s="98">
        <v>4.2549470272005729</v>
      </c>
      <c r="V3889" s="106">
        <v>36177.371081218851</v>
      </c>
      <c r="W3889" s="10">
        <v>1.1392814715377453</v>
      </c>
      <c r="X3889" s="420"/>
      <c r="Y3889" s="420"/>
    </row>
    <row r="3890" spans="17:25">
      <c r="Q3890" s="6">
        <v>3860</v>
      </c>
      <c r="R3890" s="7">
        <v>46527</v>
      </c>
      <c r="S3890" s="210">
        <v>4.25</v>
      </c>
      <c r="T3890" s="8">
        <v>1.0001180555555556</v>
      </c>
      <c r="U3890" s="98">
        <v>4.2549853424507234</v>
      </c>
      <c r="V3890" s="106">
        <v>36180.382225241199</v>
      </c>
      <c r="W3890" s="10">
        <v>1.1393176463933674</v>
      </c>
      <c r="X3890" s="420"/>
      <c r="Y3890" s="420"/>
    </row>
    <row r="3891" spans="17:25">
      <c r="Q3891" s="6">
        <v>3861</v>
      </c>
      <c r="R3891" s="7">
        <v>46528</v>
      </c>
      <c r="S3891" s="210">
        <v>4.25</v>
      </c>
      <c r="T3891" s="8">
        <v>1.0001180555555556</v>
      </c>
      <c r="U3891" s="98">
        <v>4.2550236378676276</v>
      </c>
      <c r="V3891" s="106">
        <v>36183.39361988951</v>
      </c>
      <c r="W3891" s="10">
        <v>1.1393538025233019</v>
      </c>
      <c r="X3891" s="420"/>
      <c r="Y3891" s="420"/>
    </row>
    <row r="3892" spans="17:25">
      <c r="Q3892" s="6">
        <v>3862</v>
      </c>
      <c r="R3892" s="7">
        <v>46529</v>
      </c>
      <c r="S3892" s="210">
        <v>4.25</v>
      </c>
      <c r="T3892" s="8">
        <v>1.0001180555555556</v>
      </c>
      <c r="U3892" s="98">
        <v>4.2550619134666734</v>
      </c>
      <c r="V3892" s="106">
        <v>36186.405265184629</v>
      </c>
      <c r="W3892" s="10">
        <v>1.1393899399421148</v>
      </c>
      <c r="X3892" s="420"/>
      <c r="Y3892" s="420"/>
    </row>
    <row r="3893" spans="17:25">
      <c r="Q3893" s="6">
        <v>3863</v>
      </c>
      <c r="R3893" s="7">
        <v>46530</v>
      </c>
      <c r="S3893" s="210">
        <v>4.25</v>
      </c>
      <c r="T3893" s="8">
        <v>1.0001180555555556</v>
      </c>
      <c r="U3893" s="98">
        <v>4.2551001692632484</v>
      </c>
      <c r="V3893" s="106">
        <v>36189.417161147445</v>
      </c>
      <c r="W3893" s="10">
        <v>1.1394260586643279</v>
      </c>
      <c r="X3893" s="420"/>
      <c r="Y3893" s="420"/>
    </row>
    <row r="3894" spans="17:25">
      <c r="Q3894" s="6">
        <v>3864</v>
      </c>
      <c r="R3894" s="7">
        <v>46531</v>
      </c>
      <c r="S3894" s="210">
        <v>4.25</v>
      </c>
      <c r="T3894" s="8">
        <v>1.0001180555555556</v>
      </c>
      <c r="U3894" s="98">
        <v>4.2551384052727181</v>
      </c>
      <c r="V3894" s="106">
        <v>36192.429307798797</v>
      </c>
      <c r="W3894" s="10">
        <v>1.1394621587044407</v>
      </c>
      <c r="X3894" s="420"/>
      <c r="Y3894" s="420"/>
    </row>
    <row r="3895" spans="17:25">
      <c r="Q3895" s="6">
        <v>3865</v>
      </c>
      <c r="R3895" s="7">
        <v>46532</v>
      </c>
      <c r="S3895" s="210">
        <v>4.25</v>
      </c>
      <c r="T3895" s="8">
        <v>1.0001180555555556</v>
      </c>
      <c r="U3895" s="98">
        <v>4.2551766215104259</v>
      </c>
      <c r="V3895" s="106">
        <v>36195.441705159559</v>
      </c>
      <c r="W3895" s="10">
        <v>1.1394982400769305</v>
      </c>
      <c r="X3895" s="420"/>
      <c r="Y3895" s="420"/>
    </row>
    <row r="3896" spans="17:25">
      <c r="Q3896" s="6">
        <v>3866</v>
      </c>
      <c r="R3896" s="7">
        <v>46533</v>
      </c>
      <c r="S3896" s="210">
        <v>4.25</v>
      </c>
      <c r="T3896" s="8">
        <v>1.0001180555555556</v>
      </c>
      <c r="U3896" s="98">
        <v>4.2552148179917149</v>
      </c>
      <c r="V3896" s="106">
        <v>36198.4543532506</v>
      </c>
      <c r="W3896" s="10">
        <v>1.139534302796319</v>
      </c>
      <c r="X3896" s="420"/>
      <c r="Y3896" s="420"/>
    </row>
    <row r="3897" spans="17:25">
      <c r="Q3897" s="6">
        <v>3867</v>
      </c>
      <c r="R3897" s="7">
        <v>46534</v>
      </c>
      <c r="S3897" s="210">
        <v>4.25</v>
      </c>
      <c r="T3897" s="8">
        <v>1.0001180555555556</v>
      </c>
      <c r="U3897" s="98">
        <v>4.255252994731884</v>
      </c>
      <c r="V3897" s="106">
        <v>36201.467252092785</v>
      </c>
      <c r="W3897" s="10">
        <v>1.1395703468770169</v>
      </c>
      <c r="X3897" s="420"/>
      <c r="Y3897" s="420"/>
    </row>
    <row r="3898" spans="17:25">
      <c r="Q3898" s="6">
        <v>3868</v>
      </c>
      <c r="R3898" s="7">
        <v>46535</v>
      </c>
      <c r="S3898" s="210">
        <v>4.25</v>
      </c>
      <c r="T3898" s="8">
        <v>1.0001180555555556</v>
      </c>
      <c r="U3898" s="98">
        <v>4.2552911517462322</v>
      </c>
      <c r="V3898" s="106">
        <v>36204.480401706991</v>
      </c>
      <c r="W3898" s="10">
        <v>1.1396063723334793</v>
      </c>
      <c r="X3898" s="420"/>
      <c r="Y3898" s="420"/>
    </row>
    <row r="3899" spans="17:25">
      <c r="Q3899" s="6">
        <v>3869</v>
      </c>
      <c r="R3899" s="7">
        <v>46536</v>
      </c>
      <c r="S3899" s="210">
        <v>4.25</v>
      </c>
      <c r="T3899" s="8">
        <v>1.0001180555555556</v>
      </c>
      <c r="U3899" s="98">
        <v>4.2553292890500583</v>
      </c>
      <c r="V3899" s="106">
        <v>36207.493802114092</v>
      </c>
      <c r="W3899" s="10">
        <v>1.1396423791801391</v>
      </c>
      <c r="X3899" s="420"/>
      <c r="Y3899" s="420"/>
    </row>
    <row r="3900" spans="17:25">
      <c r="Q3900" s="6">
        <v>3870</v>
      </c>
      <c r="R3900" s="7">
        <v>46537</v>
      </c>
      <c r="S3900" s="210">
        <v>4.25</v>
      </c>
      <c r="T3900" s="8">
        <v>1.0001180555555556</v>
      </c>
      <c r="U3900" s="98">
        <v>4.2553674066586167</v>
      </c>
      <c r="V3900" s="106">
        <v>36210.507453334947</v>
      </c>
      <c r="W3900" s="10">
        <v>1.1396783674314293</v>
      </c>
      <c r="X3900" s="420"/>
      <c r="Y3900" s="420"/>
    </row>
    <row r="3901" spans="17:25">
      <c r="Q3901" s="6">
        <v>3871</v>
      </c>
      <c r="R3901" s="7">
        <v>46538</v>
      </c>
      <c r="S3901" s="210">
        <v>4.25</v>
      </c>
      <c r="T3901" s="8">
        <v>1.0001180555555556</v>
      </c>
      <c r="U3901" s="98">
        <v>4.2554055045871619</v>
      </c>
      <c r="V3901" s="106">
        <v>36213.521355390447</v>
      </c>
      <c r="W3901" s="10">
        <v>1.139714337101716</v>
      </c>
      <c r="X3901" s="420"/>
      <c r="Y3901" s="420"/>
    </row>
    <row r="3902" spans="17:25">
      <c r="Q3902" s="6">
        <v>3872</v>
      </c>
      <c r="R3902" s="7">
        <v>46539</v>
      </c>
      <c r="S3902" s="210">
        <v>4.25</v>
      </c>
      <c r="T3902" s="8">
        <v>1.0001180555555556</v>
      </c>
      <c r="U3902" s="98">
        <v>4.2554435828509485</v>
      </c>
      <c r="V3902" s="106">
        <v>36216.535508301466</v>
      </c>
      <c r="W3902" s="10">
        <v>1.1397502882054544</v>
      </c>
      <c r="X3902" s="420"/>
      <c r="Y3902" s="420"/>
    </row>
    <row r="3903" spans="17:25">
      <c r="Q3903" s="6">
        <v>3873</v>
      </c>
      <c r="R3903" s="7">
        <v>46540</v>
      </c>
      <c r="S3903" s="210">
        <v>4.25</v>
      </c>
      <c r="T3903" s="8">
        <v>1.0001180555555556</v>
      </c>
      <c r="U3903" s="98">
        <v>4.2554816414651864</v>
      </c>
      <c r="V3903" s="106">
        <v>36219.549912088885</v>
      </c>
      <c r="W3903" s="10">
        <v>1.1397862207569442</v>
      </c>
      <c r="X3903" s="420"/>
      <c r="Y3903" s="420"/>
    </row>
    <row r="3904" spans="17:25">
      <c r="Q3904" s="6">
        <v>3874</v>
      </c>
      <c r="R3904" s="7">
        <v>46541</v>
      </c>
      <c r="S3904" s="210">
        <v>4.25</v>
      </c>
      <c r="T3904" s="8">
        <v>1.0001180555555556</v>
      </c>
      <c r="U3904" s="98">
        <v>4.2555196804450857</v>
      </c>
      <c r="V3904" s="106">
        <v>36222.564566773573</v>
      </c>
      <c r="W3904" s="10">
        <v>1.1398221347705739</v>
      </c>
      <c r="X3904" s="420"/>
      <c r="Y3904" s="420"/>
    </row>
    <row r="3905" spans="17:25">
      <c r="Q3905" s="6">
        <v>3875</v>
      </c>
      <c r="R3905" s="7">
        <v>46542</v>
      </c>
      <c r="S3905" s="210">
        <v>4.25</v>
      </c>
      <c r="T3905" s="8">
        <v>1.0001180555555556</v>
      </c>
      <c r="U3905" s="98">
        <v>4.255557699805812</v>
      </c>
      <c r="V3905" s="106">
        <v>36225.579472376434</v>
      </c>
      <c r="W3905" s="10">
        <v>1.1398580302606875</v>
      </c>
      <c r="X3905" s="420"/>
      <c r="Y3905" s="420"/>
    </row>
    <row r="3906" spans="17:25">
      <c r="Q3906" s="6">
        <v>3876</v>
      </c>
      <c r="R3906" s="7">
        <v>46543</v>
      </c>
      <c r="S3906" s="210">
        <v>4.25</v>
      </c>
      <c r="T3906" s="8">
        <v>1.0001180555555556</v>
      </c>
      <c r="U3906" s="98">
        <v>4.2555956995625754</v>
      </c>
      <c r="V3906" s="106">
        <v>36228.594628918334</v>
      </c>
      <c r="W3906" s="10">
        <v>1.139893907241607</v>
      </c>
      <c r="X3906" s="420"/>
      <c r="Y3906" s="420"/>
    </row>
    <row r="3907" spans="17:25">
      <c r="Q3907" s="6">
        <v>3877</v>
      </c>
      <c r="R3907" s="7">
        <v>46544</v>
      </c>
      <c r="S3907" s="210">
        <v>4.25</v>
      </c>
      <c r="T3907" s="8">
        <v>1.0001180555555556</v>
      </c>
      <c r="U3907" s="98">
        <v>4.2556336797305194</v>
      </c>
      <c r="V3907" s="106">
        <v>36231.61003642017</v>
      </c>
      <c r="W3907" s="10">
        <v>1.1399297657276319</v>
      </c>
      <c r="X3907" s="420"/>
      <c r="Y3907" s="420"/>
    </row>
    <row r="3908" spans="17:25">
      <c r="Q3908" s="6">
        <v>3878</v>
      </c>
      <c r="R3908" s="7">
        <v>46545</v>
      </c>
      <c r="S3908" s="210">
        <v>4.25</v>
      </c>
      <c r="T3908" s="8">
        <v>1.0001180555555556</v>
      </c>
      <c r="U3908" s="98">
        <v>4.2556716403247874</v>
      </c>
      <c r="V3908" s="106">
        <v>36234.625694902825</v>
      </c>
      <c r="W3908" s="10">
        <v>1.1399656057330843</v>
      </c>
      <c r="X3908" s="420"/>
      <c r="Y3908" s="420"/>
    </row>
    <row r="3909" spans="17:25">
      <c r="Q3909" s="6">
        <v>3879</v>
      </c>
      <c r="R3909" s="7">
        <v>46546</v>
      </c>
      <c r="S3909" s="210">
        <v>4.25</v>
      </c>
      <c r="T3909" s="8">
        <v>1.0001180555555556</v>
      </c>
      <c r="U3909" s="98">
        <v>4.2557095813605006</v>
      </c>
      <c r="V3909" s="106">
        <v>36237.641604387187</v>
      </c>
      <c r="W3909" s="10">
        <v>1.1400014272722414</v>
      </c>
      <c r="X3909" s="420"/>
      <c r="Y3909" s="420"/>
    </row>
    <row r="3910" spans="17:25">
      <c r="Q3910" s="6">
        <v>3880</v>
      </c>
      <c r="R3910" s="7">
        <v>46547</v>
      </c>
      <c r="S3910" s="210">
        <v>4.25</v>
      </c>
      <c r="T3910" s="8">
        <v>1.0001180555555556</v>
      </c>
      <c r="U3910" s="98">
        <v>4.2557475028527803</v>
      </c>
      <c r="V3910" s="106">
        <v>36240.657764894153</v>
      </c>
      <c r="W3910" s="10">
        <v>1.1400372303593587</v>
      </c>
      <c r="X3910" s="420"/>
      <c r="Y3910" s="420"/>
    </row>
    <row r="3911" spans="17:25">
      <c r="Q3911" s="6">
        <v>3881</v>
      </c>
      <c r="R3911" s="7">
        <v>46548</v>
      </c>
      <c r="S3911" s="210">
        <v>4.25</v>
      </c>
      <c r="T3911" s="8">
        <v>1.0001180555555556</v>
      </c>
      <c r="U3911" s="98">
        <v>4.2557854048167032</v>
      </c>
      <c r="V3911" s="106">
        <v>36243.674176444612</v>
      </c>
      <c r="W3911" s="10">
        <v>1.1400730150086913</v>
      </c>
      <c r="X3911" s="420"/>
      <c r="Y3911" s="420"/>
    </row>
    <row r="3912" spans="17:25">
      <c r="Q3912" s="6">
        <v>3882</v>
      </c>
      <c r="R3912" s="7">
        <v>46549</v>
      </c>
      <c r="S3912" s="210">
        <v>4.25</v>
      </c>
      <c r="T3912" s="8">
        <v>1.0001180555555556</v>
      </c>
      <c r="U3912" s="98">
        <v>4.2558232872673685</v>
      </c>
      <c r="V3912" s="106">
        <v>36246.690839059462</v>
      </c>
      <c r="W3912" s="10">
        <v>1.1401087812344723</v>
      </c>
      <c r="X3912" s="420"/>
      <c r="Y3912" s="420"/>
    </row>
    <row r="3913" spans="17:25">
      <c r="Q3913" s="6">
        <v>3883</v>
      </c>
      <c r="R3913" s="7">
        <v>46550</v>
      </c>
      <c r="S3913" s="210">
        <v>4.25</v>
      </c>
      <c r="T3913" s="8">
        <v>1.0001180555555556</v>
      </c>
      <c r="U3913" s="98">
        <v>4.2558611502198307</v>
      </c>
      <c r="V3913" s="106">
        <v>36249.707752759605</v>
      </c>
      <c r="W3913" s="10">
        <v>1.1401445290509349</v>
      </c>
      <c r="X3913" s="420"/>
      <c r="Y3913" s="420"/>
    </row>
    <row r="3914" spans="17:25">
      <c r="Q3914" s="6">
        <v>3884</v>
      </c>
      <c r="R3914" s="7">
        <v>46551</v>
      </c>
      <c r="S3914" s="210">
        <v>4.25</v>
      </c>
      <c r="T3914" s="8">
        <v>1.0001180555555556</v>
      </c>
      <c r="U3914" s="98">
        <v>4.2558989936891667</v>
      </c>
      <c r="V3914" s="106">
        <v>36252.724917565924</v>
      </c>
      <c r="W3914" s="10">
        <v>1.140180258472312</v>
      </c>
      <c r="X3914" s="420"/>
      <c r="Y3914" s="420"/>
    </row>
    <row r="3915" spans="17:25">
      <c r="Q3915" s="6">
        <v>3885</v>
      </c>
      <c r="R3915" s="7">
        <v>46552</v>
      </c>
      <c r="S3915" s="210">
        <v>4.25</v>
      </c>
      <c r="T3915" s="8">
        <v>1.0001180555555556</v>
      </c>
      <c r="U3915" s="98">
        <v>4.2559368176903867</v>
      </c>
      <c r="V3915" s="106">
        <v>36255.742333499336</v>
      </c>
      <c r="W3915" s="10">
        <v>1.1402159695127478</v>
      </c>
      <c r="X3915" s="420"/>
      <c r="Y3915" s="420"/>
    </row>
    <row r="3916" spans="17:25">
      <c r="Q3916" s="6">
        <v>3886</v>
      </c>
      <c r="R3916" s="7">
        <v>46553</v>
      </c>
      <c r="S3916" s="210">
        <v>4.25</v>
      </c>
      <c r="T3916" s="8">
        <v>1.0001180555555556</v>
      </c>
      <c r="U3916" s="98">
        <v>4.2559746222385009</v>
      </c>
      <c r="V3916" s="106">
        <v>36258.76000058074</v>
      </c>
      <c r="W3916" s="10">
        <v>1.1402516621864756</v>
      </c>
      <c r="X3916" s="420"/>
      <c r="Y3916" s="420"/>
    </row>
    <row r="3917" spans="17:25">
      <c r="Q3917" s="6">
        <v>3887</v>
      </c>
      <c r="R3917" s="7">
        <v>46554</v>
      </c>
      <c r="S3917" s="210">
        <v>4.25</v>
      </c>
      <c r="T3917" s="8">
        <v>1.0001180555555556</v>
      </c>
      <c r="U3917" s="98">
        <v>4.2560124073485417</v>
      </c>
      <c r="V3917" s="106">
        <v>36261.777918831023</v>
      </c>
      <c r="W3917" s="10">
        <v>1.1402873365076394</v>
      </c>
      <c r="X3917" s="420"/>
      <c r="Y3917" s="420"/>
    </row>
    <row r="3918" spans="17:25">
      <c r="Q3918" s="6">
        <v>3888</v>
      </c>
      <c r="R3918" s="7">
        <v>46555</v>
      </c>
      <c r="S3918" s="210">
        <v>4.25</v>
      </c>
      <c r="T3918" s="8">
        <v>1.0001180555555556</v>
      </c>
      <c r="U3918" s="98">
        <v>4.2560501730354749</v>
      </c>
      <c r="V3918" s="106">
        <v>36264.796088271105</v>
      </c>
      <c r="W3918" s="10">
        <v>1.1403229924903835</v>
      </c>
      <c r="X3918" s="420"/>
      <c r="Y3918" s="420"/>
    </row>
    <row r="3919" spans="17:25">
      <c r="Q3919" s="6">
        <v>3889</v>
      </c>
      <c r="R3919" s="7">
        <v>46556</v>
      </c>
      <c r="S3919" s="210">
        <v>4.25</v>
      </c>
      <c r="T3919" s="8">
        <v>1.0001180555555556</v>
      </c>
      <c r="U3919" s="98">
        <v>4.2560879193142886</v>
      </c>
      <c r="V3919" s="106">
        <v>36267.814508921896</v>
      </c>
      <c r="W3919" s="10">
        <v>1.1403586301488522</v>
      </c>
      <c r="X3919" s="420"/>
      <c r="Y3919" s="420"/>
    </row>
    <row r="3920" spans="17:25">
      <c r="Q3920" s="6">
        <v>3890</v>
      </c>
      <c r="R3920" s="7">
        <v>46557</v>
      </c>
      <c r="S3920" s="210">
        <v>4.25</v>
      </c>
      <c r="T3920" s="8">
        <v>1.0001180555555556</v>
      </c>
      <c r="U3920" s="98">
        <v>4.2561256461999264</v>
      </c>
      <c r="V3920" s="106">
        <v>36270.833180804308</v>
      </c>
      <c r="W3920" s="10">
        <v>1.1403942494971453</v>
      </c>
      <c r="X3920" s="420"/>
      <c r="Y3920" s="420"/>
    </row>
    <row r="3921" spans="17:25">
      <c r="Q3921" s="6">
        <v>3891</v>
      </c>
      <c r="R3921" s="7">
        <v>46558</v>
      </c>
      <c r="S3921" s="210">
        <v>4.25</v>
      </c>
      <c r="T3921" s="8">
        <v>1.0001180555555556</v>
      </c>
      <c r="U3921" s="98">
        <v>4.2561633537073318</v>
      </c>
      <c r="V3921" s="106">
        <v>36273.852103939236</v>
      </c>
      <c r="W3921" s="10">
        <v>1.140429850549407</v>
      </c>
      <c r="X3921" s="420"/>
      <c r="Y3921" s="420"/>
    </row>
    <row r="3922" spans="17:25">
      <c r="Q3922" s="6">
        <v>3892</v>
      </c>
      <c r="R3922" s="7">
        <v>46559</v>
      </c>
      <c r="S3922" s="210">
        <v>4.25</v>
      </c>
      <c r="T3922" s="8">
        <v>1.0001180555555556</v>
      </c>
      <c r="U3922" s="98">
        <v>4.2562010418514262</v>
      </c>
      <c r="V3922" s="106">
        <v>36276.871278347593</v>
      </c>
      <c r="W3922" s="10">
        <v>1.1404654333197151</v>
      </c>
      <c r="X3922" s="420"/>
      <c r="Y3922" s="420"/>
    </row>
    <row r="3923" spans="17:25">
      <c r="Q3923" s="6">
        <v>3893</v>
      </c>
      <c r="R3923" s="7">
        <v>46560</v>
      </c>
      <c r="S3923" s="210">
        <v>4.25</v>
      </c>
      <c r="T3923" s="8">
        <v>1.0001180555555556</v>
      </c>
      <c r="U3923" s="98">
        <v>4.2562387106471311</v>
      </c>
      <c r="V3923" s="106">
        <v>36279.890704050304</v>
      </c>
      <c r="W3923" s="10">
        <v>1.1405009978221248</v>
      </c>
      <c r="X3923" s="420"/>
      <c r="Y3923" s="420"/>
    </row>
    <row r="3924" spans="17:25">
      <c r="Q3924" s="6">
        <v>3894</v>
      </c>
      <c r="R3924" s="7">
        <v>46561</v>
      </c>
      <c r="S3924" s="210">
        <v>4.25</v>
      </c>
      <c r="T3924" s="8">
        <v>1.0001180555555556</v>
      </c>
      <c r="U3924" s="98">
        <v>4.2562763601093456</v>
      </c>
      <c r="V3924" s="106">
        <v>36282.910381068294</v>
      </c>
      <c r="W3924" s="10">
        <v>1.1405365440707582</v>
      </c>
      <c r="X3924" s="420"/>
      <c r="Y3924" s="420"/>
    </row>
    <row r="3925" spans="17:25">
      <c r="Q3925" s="6">
        <v>3895</v>
      </c>
      <c r="R3925" s="7">
        <v>46562</v>
      </c>
      <c r="S3925" s="210">
        <v>4.25</v>
      </c>
      <c r="T3925" s="8">
        <v>1.0001180555555556</v>
      </c>
      <c r="U3925" s="98">
        <v>4.2563139902529468</v>
      </c>
      <c r="V3925" s="106">
        <v>36285.930309422452</v>
      </c>
      <c r="W3925" s="10">
        <v>1.1405720720796042</v>
      </c>
      <c r="X3925" s="420"/>
      <c r="Y3925" s="420"/>
    </row>
    <row r="3926" spans="17:25">
      <c r="Q3926" s="6">
        <v>3896</v>
      </c>
      <c r="R3926" s="7">
        <v>46563</v>
      </c>
      <c r="S3926" s="210">
        <v>4.25</v>
      </c>
      <c r="T3926" s="8">
        <v>1.0001180555555556</v>
      </c>
      <c r="U3926" s="98">
        <v>4.2563516010927893</v>
      </c>
      <c r="V3926" s="106">
        <v>36288.95048913372</v>
      </c>
      <c r="W3926" s="10">
        <v>1.1406075818627182</v>
      </c>
      <c r="X3926" s="420"/>
      <c r="Y3926" s="420"/>
    </row>
    <row r="3927" spans="17:25">
      <c r="Q3927" s="6">
        <v>3897</v>
      </c>
      <c r="R3927" s="7">
        <v>46564</v>
      </c>
      <c r="S3927" s="210">
        <v>4.25</v>
      </c>
      <c r="T3927" s="8">
        <v>1.0001180555555556</v>
      </c>
      <c r="U3927" s="98">
        <v>4.2563891926437281</v>
      </c>
      <c r="V3927" s="106">
        <v>36291.970920223015</v>
      </c>
      <c r="W3927" s="10">
        <v>1.1406430734341333</v>
      </c>
      <c r="X3927" s="420"/>
      <c r="Y3927" s="420"/>
    </row>
    <row r="3928" spans="17:25">
      <c r="Q3928" s="6">
        <v>3898</v>
      </c>
      <c r="R3928" s="7">
        <v>46565</v>
      </c>
      <c r="S3928" s="210">
        <v>4.25</v>
      </c>
      <c r="T3928" s="8">
        <v>1.0001180555555556</v>
      </c>
      <c r="U3928" s="98">
        <v>4.2564267649205956</v>
      </c>
      <c r="V3928" s="106">
        <v>36294.991602711256</v>
      </c>
      <c r="W3928" s="10">
        <v>1.1406785468078384</v>
      </c>
      <c r="X3928" s="420"/>
      <c r="Y3928" s="420"/>
    </row>
    <row r="3929" spans="17:25">
      <c r="Q3929" s="6">
        <v>3899</v>
      </c>
      <c r="R3929" s="7">
        <v>46566</v>
      </c>
      <c r="S3929" s="210">
        <v>4.25</v>
      </c>
      <c r="T3929" s="8">
        <v>1.0001180555555556</v>
      </c>
      <c r="U3929" s="98">
        <v>4.2564643179382244</v>
      </c>
      <c r="V3929" s="106">
        <v>36298.012536619368</v>
      </c>
      <c r="W3929" s="10">
        <v>1.1407140019978446</v>
      </c>
      <c r="X3929" s="420"/>
      <c r="Y3929" s="420"/>
    </row>
    <row r="3930" spans="17:25">
      <c r="Q3930" s="6">
        <v>3900</v>
      </c>
      <c r="R3930" s="7">
        <v>46567</v>
      </c>
      <c r="S3930" s="210">
        <v>4.25</v>
      </c>
      <c r="T3930" s="8">
        <v>1.0001180555555556</v>
      </c>
      <c r="U3930" s="98">
        <v>4.256501851711425</v>
      </c>
      <c r="V3930" s="106">
        <v>36301.033721968284</v>
      </c>
      <c r="W3930" s="10">
        <v>1.1407494390181405</v>
      </c>
      <c r="X3930" s="420"/>
      <c r="Y3930" s="420"/>
    </row>
    <row r="3931" spans="17:25">
      <c r="Q3931" s="6">
        <v>3901</v>
      </c>
      <c r="R3931" s="7">
        <v>46568</v>
      </c>
      <c r="S3931" s="210">
        <v>4.25</v>
      </c>
      <c r="T3931" s="8">
        <v>1.0001180555555556</v>
      </c>
      <c r="U3931" s="98">
        <v>4.2565393662549633</v>
      </c>
      <c r="V3931" s="106">
        <v>36304.055158778923</v>
      </c>
      <c r="W3931" s="10">
        <v>1.1407848578826485</v>
      </c>
      <c r="X3931" s="420"/>
      <c r="Y3931" s="420"/>
    </row>
    <row r="3932" spans="17:25">
      <c r="Q3932" s="6">
        <v>3902</v>
      </c>
      <c r="R3932" s="7">
        <v>46569</v>
      </c>
      <c r="S3932" s="210">
        <v>4.25</v>
      </c>
      <c r="T3932" s="8">
        <v>1.0001180555555556</v>
      </c>
      <c r="U3932" s="98">
        <v>4.2565768615836275</v>
      </c>
      <c r="V3932" s="106">
        <v>36307.076847072218</v>
      </c>
      <c r="W3932" s="10">
        <v>1.1408202586053573</v>
      </c>
      <c r="X3932" s="420"/>
      <c r="Y3932" s="420"/>
    </row>
    <row r="3933" spans="17:25">
      <c r="Q3933" s="6">
        <v>3903</v>
      </c>
      <c r="R3933" s="7">
        <v>46570</v>
      </c>
      <c r="S3933" s="210">
        <v>4.25</v>
      </c>
      <c r="T3933" s="8">
        <v>1.0001180555555556</v>
      </c>
      <c r="U3933" s="98">
        <v>4.2566143377121612</v>
      </c>
      <c r="V3933" s="106">
        <v>36310.098786869101</v>
      </c>
      <c r="W3933" s="10">
        <v>1.1408556412001669</v>
      </c>
      <c r="X3933" s="420"/>
      <c r="Y3933" s="420"/>
    </row>
    <row r="3934" spans="17:25">
      <c r="Q3934" s="6">
        <v>3904</v>
      </c>
      <c r="R3934" s="7">
        <v>46571</v>
      </c>
      <c r="S3934" s="210">
        <v>4.25</v>
      </c>
      <c r="T3934" s="8">
        <v>1.0001180555555556</v>
      </c>
      <c r="U3934" s="98">
        <v>4.2566517946553306</v>
      </c>
      <c r="V3934" s="106">
        <v>36313.120978190505</v>
      </c>
      <c r="W3934" s="10">
        <v>1.140891005681044</v>
      </c>
      <c r="X3934" s="420"/>
      <c r="Y3934" s="420"/>
    </row>
    <row r="3935" spans="17:25">
      <c r="Q3935" s="6">
        <v>3905</v>
      </c>
      <c r="R3935" s="7">
        <v>46572</v>
      </c>
      <c r="S3935" s="210">
        <v>4.25</v>
      </c>
      <c r="T3935" s="8">
        <v>1.0001180555555556</v>
      </c>
      <c r="U3935" s="98">
        <v>4.2566892324278571</v>
      </c>
      <c r="V3935" s="106">
        <v>36316.143421057372</v>
      </c>
      <c r="W3935" s="10">
        <v>1.140926352061844</v>
      </c>
      <c r="X3935" s="420"/>
      <c r="Y3935" s="420"/>
    </row>
    <row r="3936" spans="17:25">
      <c r="Q3936" s="6">
        <v>3906</v>
      </c>
      <c r="R3936" s="7">
        <v>46573</v>
      </c>
      <c r="S3936" s="210">
        <v>4.25</v>
      </c>
      <c r="T3936" s="8">
        <v>1.0001180555555556</v>
      </c>
      <c r="U3936" s="98">
        <v>4.2567266510444401</v>
      </c>
      <c r="V3936" s="106">
        <v>36319.166115490632</v>
      </c>
      <c r="W3936" s="10">
        <v>1.1409616803564893</v>
      </c>
      <c r="X3936" s="420"/>
      <c r="Y3936" s="420"/>
    </row>
    <row r="3937" spans="17:25">
      <c r="Q3937" s="6">
        <v>3907</v>
      </c>
      <c r="R3937" s="7">
        <v>46574</v>
      </c>
      <c r="S3937" s="210">
        <v>4.25</v>
      </c>
      <c r="T3937" s="8">
        <v>1.0001180555555556</v>
      </c>
      <c r="U3937" s="98">
        <v>4.2567640505198012</v>
      </c>
      <c r="V3937" s="106">
        <v>36322.189061511213</v>
      </c>
      <c r="W3937" s="10">
        <v>1.1409969905788575</v>
      </c>
      <c r="X3937" s="420"/>
      <c r="Y3937" s="420"/>
    </row>
    <row r="3938" spans="17:25">
      <c r="Q3938" s="6">
        <v>3908</v>
      </c>
      <c r="R3938" s="7">
        <v>46575</v>
      </c>
      <c r="S3938" s="210">
        <v>4.25</v>
      </c>
      <c r="T3938" s="8">
        <v>1.0001180555555556</v>
      </c>
      <c r="U3938" s="98">
        <v>4.2568014308685953</v>
      </c>
      <c r="V3938" s="106">
        <v>36325.212259140077</v>
      </c>
      <c r="W3938" s="10">
        <v>1.1410322827427821</v>
      </c>
      <c r="X3938" s="420"/>
      <c r="Y3938" s="420"/>
    </row>
    <row r="3939" spans="17:25">
      <c r="Q3939" s="6">
        <v>3909</v>
      </c>
      <c r="R3939" s="7">
        <v>46576</v>
      </c>
      <c r="S3939" s="210">
        <v>4.25</v>
      </c>
      <c r="T3939" s="8">
        <v>1.0001180555555556</v>
      </c>
      <c r="U3939" s="98">
        <v>4.2568387921055217</v>
      </c>
      <c r="V3939" s="106">
        <v>36328.235708398155</v>
      </c>
      <c r="W3939" s="10">
        <v>1.1410675568621409</v>
      </c>
      <c r="X3939" s="420"/>
      <c r="Y3939" s="420"/>
    </row>
    <row r="3940" spans="17:25">
      <c r="Q3940" s="6">
        <v>3910</v>
      </c>
      <c r="R3940" s="7">
        <v>46577</v>
      </c>
      <c r="S3940" s="210">
        <v>4.25</v>
      </c>
      <c r="T3940" s="8">
        <v>1.0001180555555556</v>
      </c>
      <c r="U3940" s="98">
        <v>4.2568761342452133</v>
      </c>
      <c r="V3940" s="106">
        <v>36331.259409306382</v>
      </c>
      <c r="W3940" s="10">
        <v>1.1411028129507894</v>
      </c>
      <c r="X3940" s="420"/>
      <c r="Y3940" s="420"/>
    </row>
    <row r="3941" spans="17:25">
      <c r="Q3941" s="6">
        <v>3911</v>
      </c>
      <c r="R3941" s="7">
        <v>46578</v>
      </c>
      <c r="S3941" s="210">
        <v>4.25</v>
      </c>
      <c r="T3941" s="8">
        <v>1.0001180555555556</v>
      </c>
      <c r="U3941" s="98">
        <v>4.2569134573023026</v>
      </c>
      <c r="V3941" s="106">
        <v>36334.283361885718</v>
      </c>
      <c r="W3941" s="10">
        <v>1.1411380510224944</v>
      </c>
      <c r="X3941" s="420"/>
      <c r="Y3941" s="420"/>
    </row>
    <row r="3942" spans="17:25">
      <c r="Q3942" s="6">
        <v>3912</v>
      </c>
      <c r="R3942" s="7">
        <v>46579</v>
      </c>
      <c r="S3942" s="210">
        <v>4.25</v>
      </c>
      <c r="T3942" s="8">
        <v>1.0001180555555556</v>
      </c>
      <c r="U3942" s="98">
        <v>4.2569507612914448</v>
      </c>
      <c r="V3942" s="106">
        <v>36337.307566157113</v>
      </c>
      <c r="W3942" s="10">
        <v>1.1411732710911116</v>
      </c>
      <c r="X3942" s="420"/>
      <c r="Y3942" s="420"/>
    </row>
    <row r="3943" spans="17:25">
      <c r="Q3943" s="6">
        <v>3913</v>
      </c>
      <c r="R3943" s="7">
        <v>46580</v>
      </c>
      <c r="S3943" s="210">
        <v>4.25</v>
      </c>
      <c r="T3943" s="8">
        <v>1.0001180555555556</v>
      </c>
      <c r="U3943" s="98">
        <v>4.256988046227228</v>
      </c>
      <c r="V3943" s="106">
        <v>36340.332022141498</v>
      </c>
      <c r="W3943" s="10">
        <v>1.1412084731704075</v>
      </c>
      <c r="X3943" s="420"/>
      <c r="Y3943" s="420"/>
    </row>
    <row r="3944" spans="17:25">
      <c r="Q3944" s="6">
        <v>3914</v>
      </c>
      <c r="R3944" s="7">
        <v>46581</v>
      </c>
      <c r="S3944" s="210">
        <v>4.25</v>
      </c>
      <c r="T3944" s="8">
        <v>1.0001180555555556</v>
      </c>
      <c r="U3944" s="98">
        <v>4.2570253121242407</v>
      </c>
      <c r="V3944" s="106">
        <v>36343.356729859843</v>
      </c>
      <c r="W3944" s="10">
        <v>1.1412436572741713</v>
      </c>
      <c r="X3944" s="420"/>
      <c r="Y3944" s="420"/>
    </row>
    <row r="3945" spans="17:25">
      <c r="Q3945" s="6">
        <v>3915</v>
      </c>
      <c r="R3945" s="7">
        <v>46582</v>
      </c>
      <c r="S3945" s="210">
        <v>4.25</v>
      </c>
      <c r="T3945" s="8">
        <v>1.0001180555555556</v>
      </c>
      <c r="U3945" s="98">
        <v>4.2570625589970712</v>
      </c>
      <c r="V3945" s="106">
        <v>36346.381689333088</v>
      </c>
      <c r="W3945" s="10">
        <v>1.1412788234161697</v>
      </c>
      <c r="X3945" s="420"/>
      <c r="Y3945" s="420"/>
    </row>
    <row r="3946" spans="17:25">
      <c r="Q3946" s="6">
        <v>3916</v>
      </c>
      <c r="R3946" s="7">
        <v>46583</v>
      </c>
      <c r="S3946" s="210">
        <v>4.25</v>
      </c>
      <c r="T3946" s="8">
        <v>1.0001180555555556</v>
      </c>
      <c r="U3946" s="98">
        <v>4.2570997868602856</v>
      </c>
      <c r="V3946" s="106">
        <v>36349.406900582188</v>
      </c>
      <c r="W3946" s="10">
        <v>1.1413139716101695</v>
      </c>
      <c r="X3946" s="420"/>
      <c r="Y3946" s="420"/>
    </row>
    <row r="3947" spans="17:25">
      <c r="Q3947" s="6">
        <v>3917</v>
      </c>
      <c r="R3947" s="7">
        <v>46584</v>
      </c>
      <c r="S3947" s="210">
        <v>4.25</v>
      </c>
      <c r="T3947" s="8">
        <v>1.0001180555555556</v>
      </c>
      <c r="U3947" s="98">
        <v>4.2571369957284277</v>
      </c>
      <c r="V3947" s="106">
        <v>36352.432363628104</v>
      </c>
      <c r="W3947" s="10">
        <v>1.1413491018698707</v>
      </c>
      <c r="X3947" s="420"/>
      <c r="Y3947" s="420"/>
    </row>
    <row r="3948" spans="17:25">
      <c r="Q3948" s="6">
        <v>3918</v>
      </c>
      <c r="R3948" s="7">
        <v>46585</v>
      </c>
      <c r="S3948" s="210">
        <v>4.25</v>
      </c>
      <c r="T3948" s="8">
        <v>1.0001180555555556</v>
      </c>
      <c r="U3948" s="98">
        <v>4.2571741856160195</v>
      </c>
      <c r="V3948" s="106">
        <v>36355.458078491785</v>
      </c>
      <c r="W3948" s="10">
        <v>1.1413842142089958</v>
      </c>
      <c r="X3948" s="420"/>
      <c r="Y3948" s="420"/>
    </row>
    <row r="3949" spans="17:25">
      <c r="Q3949" s="6">
        <v>3919</v>
      </c>
      <c r="R3949" s="7">
        <v>46586</v>
      </c>
      <c r="S3949" s="210">
        <v>4.25</v>
      </c>
      <c r="T3949" s="8">
        <v>1.0001180555555556</v>
      </c>
      <c r="U3949" s="98">
        <v>4.2572113565376046</v>
      </c>
      <c r="V3949" s="106">
        <v>36358.4840451942</v>
      </c>
      <c r="W3949" s="10">
        <v>1.1414193086412894</v>
      </c>
      <c r="X3949" s="420"/>
      <c r="Y3949" s="420"/>
    </row>
    <row r="3950" spans="17:25">
      <c r="Q3950" s="6">
        <v>3920</v>
      </c>
      <c r="R3950" s="7">
        <v>46587</v>
      </c>
      <c r="S3950" s="210">
        <v>4.25</v>
      </c>
      <c r="T3950" s="8">
        <v>1.0001180555555556</v>
      </c>
      <c r="U3950" s="98">
        <v>4.2572485085076606</v>
      </c>
      <c r="V3950" s="106">
        <v>36361.51026375631</v>
      </c>
      <c r="W3950" s="10">
        <v>1.1414543851804071</v>
      </c>
      <c r="X3950" s="420"/>
      <c r="Y3950" s="420"/>
    </row>
    <row r="3951" spans="17:25">
      <c r="Q3951" s="6">
        <v>3921</v>
      </c>
      <c r="R3951" s="7">
        <v>46588</v>
      </c>
      <c r="S3951" s="210">
        <v>4.25</v>
      </c>
      <c r="T3951" s="8">
        <v>1.0001180555555556</v>
      </c>
      <c r="U3951" s="98">
        <v>4.257285641540709</v>
      </c>
      <c r="V3951" s="106">
        <v>36364.536734199079</v>
      </c>
      <c r="W3951" s="10">
        <v>1.1414894438400713</v>
      </c>
      <c r="X3951" s="420"/>
      <c r="Y3951" s="420"/>
    </row>
    <row r="3952" spans="17:25">
      <c r="Q3952" s="6">
        <v>3922</v>
      </c>
      <c r="R3952" s="7">
        <v>46589</v>
      </c>
      <c r="S3952" s="210">
        <v>4.25</v>
      </c>
      <c r="T3952" s="8">
        <v>1.0001180555555556</v>
      </c>
      <c r="U3952" s="98">
        <v>4.257322755651205</v>
      </c>
      <c r="V3952" s="106">
        <v>36367.563456543459</v>
      </c>
      <c r="W3952" s="10">
        <v>1.1415244846339379</v>
      </c>
      <c r="X3952" s="420"/>
      <c r="Y3952" s="420"/>
    </row>
    <row r="3953" spans="17:25">
      <c r="Q3953" s="6">
        <v>3923</v>
      </c>
      <c r="R3953" s="7">
        <v>46590</v>
      </c>
      <c r="S3953" s="210">
        <v>4.25</v>
      </c>
      <c r="T3953" s="8">
        <v>1.0001180555555556</v>
      </c>
      <c r="U3953" s="98">
        <v>4.2573598508536037</v>
      </c>
      <c r="V3953" s="106">
        <v>36370.590430810436</v>
      </c>
      <c r="W3953" s="10">
        <v>1.141559507575618</v>
      </c>
      <c r="X3953" s="420"/>
      <c r="Y3953" s="420"/>
    </row>
    <row r="3954" spans="17:25">
      <c r="Q3954" s="6">
        <v>3924</v>
      </c>
      <c r="R3954" s="7">
        <v>46591</v>
      </c>
      <c r="S3954" s="210">
        <v>4.25</v>
      </c>
      <c r="T3954" s="8">
        <v>1.0001180555555556</v>
      </c>
      <c r="U3954" s="98">
        <v>4.2573969271623602</v>
      </c>
      <c r="V3954" s="106">
        <v>36373.617657020957</v>
      </c>
      <c r="W3954" s="10">
        <v>1.1415945126788118</v>
      </c>
      <c r="X3954" s="420"/>
      <c r="Y3954" s="420"/>
    </row>
    <row r="3955" spans="17:25">
      <c r="Q3955" s="6">
        <v>3925</v>
      </c>
      <c r="R3955" s="7">
        <v>46592</v>
      </c>
      <c r="S3955" s="210">
        <v>4.25</v>
      </c>
      <c r="T3955" s="8">
        <v>1.0001180555555556</v>
      </c>
      <c r="U3955" s="98">
        <v>4.2574339845919074</v>
      </c>
      <c r="V3955" s="106">
        <v>36376.645135196006</v>
      </c>
      <c r="W3955" s="10">
        <v>1.1416294999570864</v>
      </c>
      <c r="X3955" s="420"/>
      <c r="Y3955" s="420"/>
    </row>
    <row r="3956" spans="17:25">
      <c r="Q3956" s="6">
        <v>3926</v>
      </c>
      <c r="R3956" s="7">
        <v>46593</v>
      </c>
      <c r="S3956" s="210">
        <v>4.25</v>
      </c>
      <c r="T3956" s="8">
        <v>1.0001180555555556</v>
      </c>
      <c r="U3956" s="98">
        <v>4.2574710231566559</v>
      </c>
      <c r="V3956" s="106">
        <v>36379.672865356559</v>
      </c>
      <c r="W3956" s="10">
        <v>1.1416644694240974</v>
      </c>
      <c r="X3956" s="420"/>
      <c r="Y3956" s="420"/>
    </row>
    <row r="3957" spans="17:25">
      <c r="Q3957" s="6">
        <v>3927</v>
      </c>
      <c r="R3957" s="7">
        <v>46594</v>
      </c>
      <c r="S3957" s="210">
        <v>4.25</v>
      </c>
      <c r="T3957" s="8">
        <v>1.0001180555555556</v>
      </c>
      <c r="U3957" s="98">
        <v>4.2575080428710166</v>
      </c>
      <c r="V3957" s="106">
        <v>36382.700847523571</v>
      </c>
      <c r="W3957" s="10">
        <v>1.1416994210934339</v>
      </c>
      <c r="X3957" s="420"/>
      <c r="Y3957" s="420"/>
    </row>
    <row r="3958" spans="17:25">
      <c r="Q3958" s="6">
        <v>3928</v>
      </c>
      <c r="R3958" s="7">
        <v>46595</v>
      </c>
      <c r="S3958" s="210">
        <v>4.25</v>
      </c>
      <c r="T3958" s="8">
        <v>1.0001180555555556</v>
      </c>
      <c r="U3958" s="98">
        <v>4.2575450437493778</v>
      </c>
      <c r="V3958" s="106">
        <v>36385.72908171804</v>
      </c>
      <c r="W3958" s="10">
        <v>1.1417343549786851</v>
      </c>
      <c r="X3958" s="420"/>
      <c r="Y3958" s="420"/>
    </row>
    <row r="3959" spans="17:25">
      <c r="Q3959" s="6">
        <v>3929</v>
      </c>
      <c r="R3959" s="7">
        <v>46596</v>
      </c>
      <c r="S3959" s="210">
        <v>4.25</v>
      </c>
      <c r="T3959" s="8">
        <v>1.0001180555555556</v>
      </c>
      <c r="U3959" s="98">
        <v>4.2575820258061059</v>
      </c>
      <c r="V3959" s="106">
        <v>36388.757567960922</v>
      </c>
      <c r="W3959" s="10">
        <v>1.141769271093418</v>
      </c>
      <c r="X3959" s="420"/>
      <c r="Y3959" s="420"/>
    </row>
    <row r="3960" spans="17:25">
      <c r="Q3960" s="6">
        <v>3930</v>
      </c>
      <c r="R3960" s="7">
        <v>46597</v>
      </c>
      <c r="S3960" s="210">
        <v>4.25</v>
      </c>
      <c r="T3960" s="8">
        <v>1.0001180555555556</v>
      </c>
      <c r="U3960" s="98">
        <v>4.2576189890555449</v>
      </c>
      <c r="V3960" s="106">
        <v>36391.786306273207</v>
      </c>
      <c r="W3960" s="10">
        <v>1.1418041694511549</v>
      </c>
      <c r="X3960" s="420"/>
      <c r="Y3960" s="420"/>
    </row>
    <row r="3961" spans="17:25">
      <c r="Q3961" s="6">
        <v>3931</v>
      </c>
      <c r="R3961" s="7">
        <v>46598</v>
      </c>
      <c r="S3961" s="210">
        <v>4.25</v>
      </c>
      <c r="T3961" s="8">
        <v>1.0001180555555556</v>
      </c>
      <c r="U3961" s="98">
        <v>4.2576559335120612</v>
      </c>
      <c r="V3961" s="106">
        <v>36394.815296675864</v>
      </c>
      <c r="W3961" s="10">
        <v>1.1418390500654629</v>
      </c>
      <c r="X3961" s="420"/>
      <c r="Y3961" s="420"/>
    </row>
    <row r="3962" spans="17:25">
      <c r="Q3962" s="6">
        <v>3932</v>
      </c>
      <c r="R3962" s="7">
        <v>46599</v>
      </c>
      <c r="S3962" s="210">
        <v>4.25</v>
      </c>
      <c r="T3962" s="8">
        <v>1.0001180555555556</v>
      </c>
      <c r="U3962" s="98">
        <v>4.2576928591899543</v>
      </c>
      <c r="V3962" s="106">
        <v>36397.844539189893</v>
      </c>
      <c r="W3962" s="10">
        <v>1.1418739129498645</v>
      </c>
      <c r="X3962" s="420"/>
      <c r="Y3962" s="420"/>
    </row>
    <row r="3963" spans="17:25">
      <c r="Q3963" s="6">
        <v>3933</v>
      </c>
      <c r="R3963" s="7">
        <v>46600</v>
      </c>
      <c r="S3963" s="210">
        <v>4.25</v>
      </c>
      <c r="T3963" s="8">
        <v>1.0001180555555556</v>
      </c>
      <c r="U3963" s="98">
        <v>4.2577297661035685</v>
      </c>
      <c r="V3963" s="106">
        <v>36400.874033836277</v>
      </c>
      <c r="W3963" s="10">
        <v>1.1419087581179044</v>
      </c>
      <c r="X3963" s="420"/>
      <c r="Y3963" s="420"/>
    </row>
    <row r="3964" spans="17:25">
      <c r="Q3964" s="6">
        <v>3934</v>
      </c>
      <c r="R3964" s="7">
        <v>46601</v>
      </c>
      <c r="S3964" s="210">
        <v>4.25</v>
      </c>
      <c r="T3964" s="8">
        <v>1.0001180555555556</v>
      </c>
      <c r="U3964" s="98">
        <v>4.257766654267181</v>
      </c>
      <c r="V3964" s="106">
        <v>36403.903780635985</v>
      </c>
      <c r="W3964" s="10">
        <v>1.1419435855830384</v>
      </c>
      <c r="X3964" s="420"/>
      <c r="Y3964" s="420"/>
    </row>
    <row r="3965" spans="17:25">
      <c r="Q3965" s="6">
        <v>3935</v>
      </c>
      <c r="R3965" s="7">
        <v>46602</v>
      </c>
      <c r="S3965" s="210">
        <v>4.25</v>
      </c>
      <c r="T3965" s="8">
        <v>1.0001180555555556</v>
      </c>
      <c r="U3965" s="98">
        <v>4.2578035236950917</v>
      </c>
      <c r="V3965" s="106">
        <v>36406.933779610008</v>
      </c>
      <c r="W3965" s="10">
        <v>1.1419783953587892</v>
      </c>
      <c r="X3965" s="420"/>
      <c r="Y3965" s="420"/>
    </row>
    <row r="3966" spans="17:25">
      <c r="Q3966" s="6">
        <v>3936</v>
      </c>
      <c r="R3966" s="7">
        <v>46603</v>
      </c>
      <c r="S3966" s="210">
        <v>4.25</v>
      </c>
      <c r="T3966" s="8">
        <v>1.0001180555555556</v>
      </c>
      <c r="U3966" s="98">
        <v>4.257840374401578</v>
      </c>
      <c r="V3966" s="106">
        <v>36409.964030779352</v>
      </c>
      <c r="W3966" s="10">
        <v>1.1420131874586126</v>
      </c>
      <c r="X3966" s="420"/>
      <c r="Y3966" s="420"/>
    </row>
    <row r="3967" spans="17:25">
      <c r="Q3967" s="6">
        <v>3937</v>
      </c>
      <c r="R3967" s="7">
        <v>46604</v>
      </c>
      <c r="S3967" s="210">
        <v>4.25</v>
      </c>
      <c r="T3967" s="8">
        <v>1.0001180555555556</v>
      </c>
      <c r="U3967" s="98">
        <v>4.257877206400873</v>
      </c>
      <c r="V3967" s="106">
        <v>36412.994534164987</v>
      </c>
      <c r="W3967" s="10">
        <v>1.1420479618959867</v>
      </c>
      <c r="X3967" s="420"/>
      <c r="Y3967" s="420"/>
    </row>
    <row r="3968" spans="17:25">
      <c r="Q3968" s="6">
        <v>3938</v>
      </c>
      <c r="R3968" s="7">
        <v>46605</v>
      </c>
      <c r="S3968" s="210">
        <v>4.25</v>
      </c>
      <c r="T3968" s="8">
        <v>1.0001180555555556</v>
      </c>
      <c r="U3968" s="98">
        <v>4.2579140197072318</v>
      </c>
      <c r="V3968" s="106">
        <v>36416.025289787925</v>
      </c>
      <c r="W3968" s="10">
        <v>1.1420827186843452</v>
      </c>
      <c r="X3968" s="420"/>
      <c r="Y3968" s="420"/>
    </row>
    <row r="3969" spans="17:25">
      <c r="Q3969" s="6">
        <v>3939</v>
      </c>
      <c r="R3969" s="7">
        <v>46606</v>
      </c>
      <c r="S3969" s="210">
        <v>4.25</v>
      </c>
      <c r="T3969" s="8">
        <v>1.0001180555555556</v>
      </c>
      <c r="U3969" s="98">
        <v>4.2579508143348654</v>
      </c>
      <c r="V3969" s="106">
        <v>36419.056297669151</v>
      </c>
      <c r="W3969" s="10">
        <v>1.1421174578370774</v>
      </c>
      <c r="X3969" s="420"/>
      <c r="Y3969" s="420"/>
    </row>
    <row r="3970" spans="17:25">
      <c r="Q3970" s="6">
        <v>3940</v>
      </c>
      <c r="R3970" s="7">
        <v>46607</v>
      </c>
      <c r="S3970" s="210">
        <v>4.25</v>
      </c>
      <c r="T3970" s="8">
        <v>1.0001180555555556</v>
      </c>
      <c r="U3970" s="98">
        <v>4.2579875902980069</v>
      </c>
      <c r="V3970" s="106">
        <v>36422.087557829647</v>
      </c>
      <c r="W3970" s="10">
        <v>1.1421521793676837</v>
      </c>
      <c r="X3970" s="420"/>
      <c r="Y3970" s="420"/>
    </row>
    <row r="3971" spans="17:25">
      <c r="Q3971" s="6">
        <v>3941</v>
      </c>
      <c r="R3971" s="7">
        <v>46608</v>
      </c>
      <c r="S3971" s="210">
        <v>4.25</v>
      </c>
      <c r="T3971" s="8">
        <v>1.0001180555555556</v>
      </c>
      <c r="U3971" s="98">
        <v>4.2580243476108448</v>
      </c>
      <c r="V3971" s="106">
        <v>36425.119070290435</v>
      </c>
      <c r="W3971" s="10">
        <v>1.1421868832895088</v>
      </c>
      <c r="X3971" s="420"/>
      <c r="Y3971" s="420"/>
    </row>
    <row r="3972" spans="17:25">
      <c r="Q3972" s="6">
        <v>3942</v>
      </c>
      <c r="R3972" s="7">
        <v>46609</v>
      </c>
      <c r="S3972" s="210">
        <v>4.25</v>
      </c>
      <c r="T3972" s="8">
        <v>1.0001180555555556</v>
      </c>
      <c r="U3972" s="98">
        <v>4.2580610862875679</v>
      </c>
      <c r="V3972" s="106">
        <v>36428.150835072498</v>
      </c>
      <c r="W3972" s="10">
        <v>1.1422215696159865</v>
      </c>
      <c r="X3972" s="420"/>
      <c r="Y3972" s="420"/>
    </row>
    <row r="3973" spans="17:25">
      <c r="Q3973" s="6">
        <v>3943</v>
      </c>
      <c r="R3973" s="7">
        <v>46610</v>
      </c>
      <c r="S3973" s="210">
        <v>4.25</v>
      </c>
      <c r="T3973" s="8">
        <v>1.0001180555555556</v>
      </c>
      <c r="U3973" s="98">
        <v>4.2580978063423425</v>
      </c>
      <c r="V3973" s="106">
        <v>36431.182852196849</v>
      </c>
      <c r="W3973" s="10">
        <v>1.142256238360484</v>
      </c>
      <c r="X3973" s="420"/>
      <c r="Y3973" s="420"/>
    </row>
    <row r="3974" spans="17:25">
      <c r="Q3974" s="6">
        <v>3944</v>
      </c>
      <c r="R3974" s="7">
        <v>46611</v>
      </c>
      <c r="S3974" s="210">
        <v>4.25</v>
      </c>
      <c r="T3974" s="8">
        <v>1.0001180555555556</v>
      </c>
      <c r="U3974" s="98">
        <v>4.2581345077893129</v>
      </c>
      <c r="V3974" s="106">
        <v>36434.215121684487</v>
      </c>
      <c r="W3974" s="10">
        <v>1.1422908895363237</v>
      </c>
      <c r="X3974" s="420"/>
      <c r="Y3974" s="420"/>
    </row>
    <row r="3975" spans="17:25">
      <c r="Q3975" s="6">
        <v>3945</v>
      </c>
      <c r="R3975" s="7">
        <v>46612</v>
      </c>
      <c r="S3975" s="210">
        <v>4.25</v>
      </c>
      <c r="T3975" s="8">
        <v>1.0001180555555556</v>
      </c>
      <c r="U3975" s="98">
        <v>4.2581711906426456</v>
      </c>
      <c r="V3975" s="106">
        <v>36437.247643556409</v>
      </c>
      <c r="W3975" s="10">
        <v>1.1423255231569174</v>
      </c>
      <c r="X3975" s="420"/>
      <c r="Y3975" s="420"/>
    </row>
    <row r="3976" spans="17:25">
      <c r="Q3976" s="6">
        <v>3946</v>
      </c>
      <c r="R3976" s="7">
        <v>46613</v>
      </c>
      <c r="S3976" s="210">
        <v>4.25</v>
      </c>
      <c r="T3976" s="8">
        <v>1.0001180555555556</v>
      </c>
      <c r="U3976" s="98">
        <v>4.2582078549164404</v>
      </c>
      <c r="V3976" s="106">
        <v>36440.280417833637</v>
      </c>
      <c r="W3976" s="10">
        <v>1.1423601392355653</v>
      </c>
      <c r="X3976" s="420"/>
      <c r="Y3976" s="420"/>
    </row>
    <row r="3977" spans="17:25">
      <c r="Q3977" s="6">
        <v>3947</v>
      </c>
      <c r="R3977" s="7">
        <v>46614</v>
      </c>
      <c r="S3977" s="210">
        <v>4.25</v>
      </c>
      <c r="T3977" s="8">
        <v>1.0001180555555556</v>
      </c>
      <c r="U3977" s="98">
        <v>4.2582445006248193</v>
      </c>
      <c r="V3977" s="106">
        <v>36443.313444537162</v>
      </c>
      <c r="W3977" s="10">
        <v>1.1423947377855903</v>
      </c>
      <c r="X3977" s="420"/>
      <c r="Y3977" s="420"/>
    </row>
    <row r="3978" spans="17:25">
      <c r="Q3978" s="6">
        <v>3948</v>
      </c>
      <c r="R3978" s="7">
        <v>46615</v>
      </c>
      <c r="S3978" s="210">
        <v>4.25</v>
      </c>
      <c r="T3978" s="8">
        <v>1.0001180555555556</v>
      </c>
      <c r="U3978" s="98">
        <v>4.2582811277818822</v>
      </c>
      <c r="V3978" s="106">
        <v>36446.346723688017</v>
      </c>
      <c r="W3978" s="10">
        <v>1.142429318820315</v>
      </c>
      <c r="X3978" s="420"/>
      <c r="Y3978" s="420"/>
    </row>
    <row r="3979" spans="17:25">
      <c r="Q3979" s="6">
        <v>3949</v>
      </c>
      <c r="R3979" s="7">
        <v>46616</v>
      </c>
      <c r="S3979" s="210">
        <v>4.25</v>
      </c>
      <c r="T3979" s="8">
        <v>1.0001180555555556</v>
      </c>
      <c r="U3979" s="98">
        <v>4.2583177364017066</v>
      </c>
      <c r="V3979" s="106">
        <v>36449.38025530718</v>
      </c>
      <c r="W3979" s="10">
        <v>1.1424638823530398</v>
      </c>
      <c r="X3979" s="420"/>
      <c r="Y3979" s="420"/>
    </row>
    <row r="3980" spans="17:25">
      <c r="Q3980" s="6">
        <v>3950</v>
      </c>
      <c r="R3980" s="7">
        <v>46617</v>
      </c>
      <c r="S3980" s="210">
        <v>4.25</v>
      </c>
      <c r="T3980" s="8">
        <v>1.0001180555555556</v>
      </c>
      <c r="U3980" s="98">
        <v>4.2583543264983703</v>
      </c>
      <c r="V3980" s="106">
        <v>36452.4140394157</v>
      </c>
      <c r="W3980" s="10">
        <v>1.142498428397043</v>
      </c>
      <c r="X3980" s="420"/>
      <c r="Y3980" s="420"/>
    </row>
    <row r="3981" spans="17:25">
      <c r="Q3981" s="6">
        <v>3951</v>
      </c>
      <c r="R3981" s="7">
        <v>46618</v>
      </c>
      <c r="S3981" s="210">
        <v>4.25</v>
      </c>
      <c r="T3981" s="8">
        <v>1.0001180555555556</v>
      </c>
      <c r="U3981" s="98">
        <v>4.2583908980859286</v>
      </c>
      <c r="V3981" s="106">
        <v>36455.448076034569</v>
      </c>
      <c r="W3981" s="10">
        <v>1.1425329569656251</v>
      </c>
      <c r="X3981" s="420"/>
      <c r="Y3981" s="420"/>
    </row>
    <row r="3982" spans="17:25">
      <c r="Q3982" s="6">
        <v>3952</v>
      </c>
      <c r="R3982" s="7">
        <v>46619</v>
      </c>
      <c r="S3982" s="210">
        <v>4.25</v>
      </c>
      <c r="T3982" s="8">
        <v>1.0001180555555556</v>
      </c>
      <c r="U3982" s="98">
        <v>4.2584274511784148</v>
      </c>
      <c r="V3982" s="106">
        <v>36458.48236518482</v>
      </c>
      <c r="W3982" s="10">
        <v>1.1425674680719755</v>
      </c>
      <c r="X3982" s="420"/>
      <c r="Y3982" s="420"/>
    </row>
    <row r="3983" spans="17:25">
      <c r="Q3983" s="6">
        <v>3953</v>
      </c>
      <c r="R3983" s="7">
        <v>46620</v>
      </c>
      <c r="S3983" s="210">
        <v>4.25</v>
      </c>
      <c r="T3983" s="8">
        <v>1.0001180555555556</v>
      </c>
      <c r="U3983" s="98">
        <v>4.2584639857898621</v>
      </c>
      <c r="V3983" s="106">
        <v>36461.51690688746</v>
      </c>
      <c r="W3983" s="10">
        <v>1.142601961729417</v>
      </c>
      <c r="X3983" s="420"/>
      <c r="Y3983" s="420"/>
    </row>
    <row r="3984" spans="17:25">
      <c r="Q3984" s="6">
        <v>3954</v>
      </c>
      <c r="R3984" s="7">
        <v>46621</v>
      </c>
      <c r="S3984" s="210">
        <v>4.25</v>
      </c>
      <c r="T3984" s="8">
        <v>1.0001180555555556</v>
      </c>
      <c r="U3984" s="98">
        <v>4.2585005019342814</v>
      </c>
      <c r="V3984" s="106">
        <v>36464.551701163502</v>
      </c>
      <c r="W3984" s="10">
        <v>1.1426364379511167</v>
      </c>
      <c r="X3984" s="420"/>
      <c r="Y3984" s="420"/>
    </row>
    <row r="3985" spans="17:25">
      <c r="Q3985" s="6">
        <v>3955</v>
      </c>
      <c r="R3985" s="7">
        <v>46622</v>
      </c>
      <c r="S3985" s="210">
        <v>4.25</v>
      </c>
      <c r="T3985" s="8">
        <v>1.0001180555555556</v>
      </c>
      <c r="U3985" s="98">
        <v>4.2585369996256617</v>
      </c>
      <c r="V3985" s="106">
        <v>36467.586748033995</v>
      </c>
      <c r="W3985" s="10">
        <v>1.1426708967503085</v>
      </c>
      <c r="X3985" s="420"/>
      <c r="Y3985" s="420"/>
    </row>
    <row r="3986" spans="17:25">
      <c r="Q3986" s="6">
        <v>3956</v>
      </c>
      <c r="R3986" s="7">
        <v>46623</v>
      </c>
      <c r="S3986" s="210">
        <v>4.25</v>
      </c>
      <c r="T3986" s="8">
        <v>1.0001180555555556</v>
      </c>
      <c r="U3986" s="98">
        <v>4.2585734788779916</v>
      </c>
      <c r="V3986" s="106">
        <v>36470.622047519944</v>
      </c>
      <c r="W3986" s="10">
        <v>1.1427053381402041</v>
      </c>
      <c r="X3986" s="420"/>
      <c r="Y3986" s="420"/>
    </row>
    <row r="3987" spans="17:25">
      <c r="Q3987" s="6">
        <v>3957</v>
      </c>
      <c r="R3987" s="7">
        <v>46624</v>
      </c>
      <c r="S3987" s="210">
        <v>4.25</v>
      </c>
      <c r="T3987" s="8">
        <v>1.0001180555555556</v>
      </c>
      <c r="U3987" s="98">
        <v>4.2586099397052379</v>
      </c>
      <c r="V3987" s="106">
        <v>36473.657599642378</v>
      </c>
      <c r="W3987" s="10">
        <v>1.1427397621339708</v>
      </c>
      <c r="X3987" s="420"/>
      <c r="Y3987" s="420"/>
    </row>
    <row r="3988" spans="17:25">
      <c r="Q3988" s="6">
        <v>3958</v>
      </c>
      <c r="R3988" s="7">
        <v>46625</v>
      </c>
      <c r="S3988" s="210">
        <v>4.25</v>
      </c>
      <c r="T3988" s="8">
        <v>1.0001180555555556</v>
      </c>
      <c r="U3988" s="98">
        <v>4.2586463821213671</v>
      </c>
      <c r="V3988" s="106">
        <v>36476.693404422331</v>
      </c>
      <c r="W3988" s="10">
        <v>1.1427741687448201</v>
      </c>
      <c r="X3988" s="420"/>
      <c r="Y3988" s="420"/>
    </row>
    <row r="3989" spans="17:25">
      <c r="Q3989" s="6">
        <v>3959</v>
      </c>
      <c r="R3989" s="7">
        <v>46626</v>
      </c>
      <c r="S3989" s="210">
        <v>4.25</v>
      </c>
      <c r="T3989" s="8">
        <v>1.0001180555555556</v>
      </c>
      <c r="U3989" s="98">
        <v>4.2586828061403237</v>
      </c>
      <c r="V3989" s="106">
        <v>36479.729461880823</v>
      </c>
      <c r="W3989" s="10">
        <v>1.1428085579859193</v>
      </c>
      <c r="X3989" s="420"/>
      <c r="Y3989" s="420"/>
    </row>
    <row r="3990" spans="17:25">
      <c r="Q3990" s="6">
        <v>3960</v>
      </c>
      <c r="R3990" s="7">
        <v>46627</v>
      </c>
      <c r="S3990" s="210">
        <v>4.25</v>
      </c>
      <c r="T3990" s="8">
        <v>1.0001180555555556</v>
      </c>
      <c r="U3990" s="98">
        <v>4.2587192117760075</v>
      </c>
      <c r="V3990" s="106">
        <v>36482.765772038882</v>
      </c>
      <c r="W3990" s="10">
        <v>1.1428429298703691</v>
      </c>
      <c r="X3990" s="420"/>
      <c r="Y3990" s="420"/>
    </row>
    <row r="3991" spans="17:25">
      <c r="Q3991" s="6">
        <v>3961</v>
      </c>
      <c r="R3991" s="7">
        <v>46628</v>
      </c>
      <c r="S3991" s="210">
        <v>4.25</v>
      </c>
      <c r="T3991" s="8">
        <v>1.0001180555555556</v>
      </c>
      <c r="U3991" s="98">
        <v>4.2587555990423631</v>
      </c>
      <c r="V3991" s="106">
        <v>36485.802334917556</v>
      </c>
      <c r="W3991" s="10">
        <v>1.1428772844113588</v>
      </c>
      <c r="X3991" s="420"/>
      <c r="Y3991" s="420"/>
    </row>
    <row r="3992" spans="17:25">
      <c r="Q3992" s="6">
        <v>3962</v>
      </c>
      <c r="R3992" s="7">
        <v>46629</v>
      </c>
      <c r="S3992" s="210">
        <v>4.25</v>
      </c>
      <c r="T3992" s="8">
        <v>1.0001180555555556</v>
      </c>
      <c r="U3992" s="98">
        <v>4.2587919679532682</v>
      </c>
      <c r="V3992" s="106">
        <v>36488.839150537868</v>
      </c>
      <c r="W3992" s="10">
        <v>1.142911621621967</v>
      </c>
      <c r="X3992" s="420"/>
      <c r="Y3992" s="420"/>
    </row>
    <row r="3993" spans="17:25">
      <c r="Q3993" s="6">
        <v>3963</v>
      </c>
      <c r="R3993" s="7">
        <v>46630</v>
      </c>
      <c r="S3993" s="210">
        <v>4.25</v>
      </c>
      <c r="T3993" s="8">
        <v>1.0001180555555556</v>
      </c>
      <c r="U3993" s="98">
        <v>4.2588283185226228</v>
      </c>
      <c r="V3993" s="106">
        <v>36491.876218920857</v>
      </c>
      <c r="W3993" s="10">
        <v>1.1429459415153387</v>
      </c>
      <c r="X3993" s="420"/>
      <c r="Y3993" s="420"/>
    </row>
    <row r="3994" spans="17:25">
      <c r="Q3994" s="6">
        <v>3964</v>
      </c>
      <c r="R3994" s="7">
        <v>46631</v>
      </c>
      <c r="S3994" s="210">
        <v>4.25</v>
      </c>
      <c r="T3994" s="8">
        <v>1.0001180555555556</v>
      </c>
      <c r="U3994" s="98">
        <v>4.2588646507643046</v>
      </c>
      <c r="V3994" s="106">
        <v>36494.913540087575</v>
      </c>
      <c r="W3994" s="10">
        <v>1.1429802441045522</v>
      </c>
      <c r="X3994" s="420"/>
      <c r="Y3994" s="420"/>
    </row>
    <row r="3995" spans="17:25">
      <c r="Q3995" s="6">
        <v>3965</v>
      </c>
      <c r="R3995" s="7">
        <v>46632</v>
      </c>
      <c r="S3995" s="210">
        <v>4.25</v>
      </c>
      <c r="T3995" s="8">
        <v>1.0001180555555556</v>
      </c>
      <c r="U3995" s="98">
        <v>4.2589009646921472</v>
      </c>
      <c r="V3995" s="106">
        <v>36497.951114059033</v>
      </c>
      <c r="W3995" s="10">
        <v>1.1430145294026861</v>
      </c>
      <c r="X3995" s="420"/>
      <c r="Y3995" s="420"/>
    </row>
    <row r="3996" spans="17:25">
      <c r="Q3996" s="6">
        <v>3966</v>
      </c>
      <c r="R3996" s="7">
        <v>46633</v>
      </c>
      <c r="S3996" s="210">
        <v>4.25</v>
      </c>
      <c r="T3996" s="8">
        <v>1.0001180555555556</v>
      </c>
      <c r="U3996" s="98">
        <v>4.258937260320006</v>
      </c>
      <c r="V3996" s="106">
        <v>36500.988940856303</v>
      </c>
      <c r="W3996" s="10">
        <v>1.1430487974228409</v>
      </c>
      <c r="X3996" s="420"/>
      <c r="Y3996" s="420"/>
    </row>
    <row r="3997" spans="17:25">
      <c r="Q3997" s="6">
        <v>3967</v>
      </c>
      <c r="R3997" s="7">
        <v>46634</v>
      </c>
      <c r="S3997" s="210">
        <v>4.25</v>
      </c>
      <c r="T3997" s="8">
        <v>1.0001180555555556</v>
      </c>
      <c r="U3997" s="98">
        <v>4.2589735376617144</v>
      </c>
      <c r="V3997" s="106">
        <v>36504.027020500398</v>
      </c>
      <c r="W3997" s="10">
        <v>1.1430830481780507</v>
      </c>
      <c r="X3997" s="420"/>
      <c r="Y3997" s="420"/>
    </row>
    <row r="3998" spans="17:25">
      <c r="Q3998" s="6">
        <v>3968</v>
      </c>
      <c r="R3998" s="7">
        <v>46635</v>
      </c>
      <c r="S3998" s="210">
        <v>4.25</v>
      </c>
      <c r="T3998" s="8">
        <v>1.0001180555555556</v>
      </c>
      <c r="U3998" s="98">
        <v>4.2590097967310836</v>
      </c>
      <c r="V3998" s="106">
        <v>36507.065353012396</v>
      </c>
      <c r="W3998" s="10">
        <v>1.1431172816813495</v>
      </c>
      <c r="X3998" s="420"/>
      <c r="Y3998" s="420"/>
    </row>
    <row r="3999" spans="17:25">
      <c r="Q3999" s="6">
        <v>3969</v>
      </c>
      <c r="R3999" s="7">
        <v>46636</v>
      </c>
      <c r="S3999" s="210">
        <v>4.25</v>
      </c>
      <c r="T3999" s="8">
        <v>1.0001180555555556</v>
      </c>
      <c r="U3999" s="98">
        <v>4.2590460375419248</v>
      </c>
      <c r="V3999" s="106">
        <v>36510.103938413318</v>
      </c>
      <c r="W3999" s="10">
        <v>1.1431514979457935</v>
      </c>
      <c r="X3999" s="420"/>
      <c r="Y3999" s="420"/>
    </row>
    <row r="4000" spans="17:25">
      <c r="Q4000" s="6">
        <v>3970</v>
      </c>
      <c r="R4000" s="7">
        <v>46637</v>
      </c>
      <c r="S4000" s="210">
        <v>4.25</v>
      </c>
      <c r="T4000" s="8">
        <v>1.0001180555555556</v>
      </c>
      <c r="U4000" s="98">
        <v>4.2590822601080269</v>
      </c>
      <c r="V4000" s="106">
        <v>36513.14277672422</v>
      </c>
      <c r="W4000" s="10">
        <v>1.1431856969844167</v>
      </c>
      <c r="X4000" s="420"/>
      <c r="Y4000" s="420"/>
    </row>
    <row r="4001" spans="17:25">
      <c r="Q4001" s="6">
        <v>3971</v>
      </c>
      <c r="R4001" s="7">
        <v>46638</v>
      </c>
      <c r="S4001" s="210">
        <v>4.25</v>
      </c>
      <c r="T4001" s="8">
        <v>1.0001180555555556</v>
      </c>
      <c r="U4001" s="98">
        <v>4.2591184644431568</v>
      </c>
      <c r="V4001" s="106">
        <v>36516.181867966159</v>
      </c>
      <c r="W4001" s="10">
        <v>1.1432198788101866</v>
      </c>
      <c r="X4001" s="420"/>
      <c r="Y4001" s="420"/>
    </row>
    <row r="4002" spans="17:25">
      <c r="Q4002" s="6">
        <v>3972</v>
      </c>
      <c r="R4002" s="7">
        <v>46639</v>
      </c>
      <c r="S4002" s="210">
        <v>4.25</v>
      </c>
      <c r="T4002" s="8">
        <v>1.0001180555555556</v>
      </c>
      <c r="U4002" s="98">
        <v>4.2591546505610589</v>
      </c>
      <c r="V4002" s="106">
        <v>36519.221212160184</v>
      </c>
      <c r="W4002" s="10">
        <v>1.1432540434360927</v>
      </c>
      <c r="X4002" s="420"/>
      <c r="Y4002" s="420"/>
    </row>
    <row r="4003" spans="17:25">
      <c r="Q4003" s="6">
        <v>3973</v>
      </c>
      <c r="R4003" s="7">
        <v>46640</v>
      </c>
      <c r="S4003" s="210">
        <v>4.25</v>
      </c>
      <c r="T4003" s="8">
        <v>1.0001180555555556</v>
      </c>
      <c r="U4003" s="98">
        <v>4.2591908184755001</v>
      </c>
      <c r="V4003" s="106">
        <v>36522.260809327337</v>
      </c>
      <c r="W4003" s="10">
        <v>1.1432881908751469</v>
      </c>
      <c r="X4003" s="420"/>
      <c r="Y4003" s="420"/>
    </row>
    <row r="4004" spans="17:25">
      <c r="Q4004" s="6">
        <v>3974</v>
      </c>
      <c r="R4004" s="7">
        <v>46641</v>
      </c>
      <c r="S4004" s="210">
        <v>4.25</v>
      </c>
      <c r="T4004" s="8">
        <v>1.0001180555555556</v>
      </c>
      <c r="U4004" s="98">
        <v>4.2592269682002026</v>
      </c>
      <c r="V4004" s="106">
        <v>36525.300659488697</v>
      </c>
      <c r="W4004" s="10">
        <v>1.1433223211402721</v>
      </c>
      <c r="X4004" s="420"/>
      <c r="Y4004" s="420"/>
    </row>
    <row r="4005" spans="17:25">
      <c r="Q4005" s="6">
        <v>3975</v>
      </c>
      <c r="R4005" s="7">
        <v>46642</v>
      </c>
      <c r="S4005" s="210">
        <v>4.25</v>
      </c>
      <c r="T4005" s="8">
        <v>1.0001180555555556</v>
      </c>
      <c r="U4005" s="98">
        <v>4.2592630997488889</v>
      </c>
      <c r="V4005" s="106">
        <v>36528.340762665306</v>
      </c>
      <c r="W4005" s="10">
        <v>1.143356434244458</v>
      </c>
      <c r="X4005" s="420"/>
      <c r="Y4005" s="420"/>
    </row>
    <row r="4006" spans="17:25">
      <c r="Q4006" s="6">
        <v>3976</v>
      </c>
      <c r="R4006" s="7">
        <v>46643</v>
      </c>
      <c r="S4006" s="210">
        <v>4.25</v>
      </c>
      <c r="T4006" s="8">
        <v>1.0001180555555556</v>
      </c>
      <c r="U4006" s="98">
        <v>4.2592992131352592</v>
      </c>
      <c r="V4006" s="106">
        <v>36531.38111887822</v>
      </c>
      <c r="W4006" s="10">
        <v>1.1433905302006275</v>
      </c>
      <c r="X4006" s="420"/>
      <c r="Y4006" s="420"/>
    </row>
    <row r="4007" spans="17:25">
      <c r="Q4007" s="6">
        <v>3977</v>
      </c>
      <c r="R4007" s="7">
        <v>46644</v>
      </c>
      <c r="S4007" s="210">
        <v>4.25</v>
      </c>
      <c r="T4007" s="8">
        <v>1.0001180555555556</v>
      </c>
      <c r="U4007" s="98">
        <v>4.2593353083730134</v>
      </c>
      <c r="V4007" s="106">
        <v>36534.421728148503</v>
      </c>
      <c r="W4007" s="10">
        <v>1.1434246090217259</v>
      </c>
      <c r="X4007" s="420"/>
      <c r="Y4007" s="420"/>
    </row>
    <row r="4008" spans="17:25">
      <c r="Q4008" s="6">
        <v>3978</v>
      </c>
      <c r="R4008" s="7">
        <v>46645</v>
      </c>
      <c r="S4008" s="210">
        <v>4.25</v>
      </c>
      <c r="T4008" s="8">
        <v>1.0001180555555556</v>
      </c>
      <c r="U4008" s="98">
        <v>4.2593713854758297</v>
      </c>
      <c r="V4008" s="106">
        <v>36537.462590497227</v>
      </c>
      <c r="W4008" s="10">
        <v>1.1434586707206318</v>
      </c>
      <c r="X4008" s="420"/>
      <c r="Y4008" s="420"/>
    </row>
    <row r="4009" spans="17:25">
      <c r="Q4009" s="6">
        <v>3979</v>
      </c>
      <c r="R4009" s="7">
        <v>46646</v>
      </c>
      <c r="S4009" s="210">
        <v>4.25</v>
      </c>
      <c r="T4009" s="8">
        <v>1.0001180555555556</v>
      </c>
      <c r="U4009" s="98">
        <v>4.2594074444573637</v>
      </c>
      <c r="V4009" s="106">
        <v>36540.503705945455</v>
      </c>
      <c r="W4009" s="10">
        <v>1.1434927153102681</v>
      </c>
      <c r="X4009" s="420"/>
      <c r="Y4009" s="420"/>
    </row>
    <row r="4010" spans="17:25">
      <c r="Q4010" s="6">
        <v>3980</v>
      </c>
      <c r="R4010" s="7">
        <v>46647</v>
      </c>
      <c r="S4010" s="210">
        <v>4.25</v>
      </c>
      <c r="T4010" s="8">
        <v>1.0001180555555556</v>
      </c>
      <c r="U4010" s="98">
        <v>4.2594434853312713</v>
      </c>
      <c r="V4010" s="106">
        <v>36543.545074514237</v>
      </c>
      <c r="W4010" s="10">
        <v>1.1435267428035356</v>
      </c>
      <c r="X4010" s="420"/>
      <c r="Y4010" s="420"/>
    </row>
    <row r="4011" spans="17:25">
      <c r="Q4011" s="6">
        <v>3981</v>
      </c>
      <c r="R4011" s="7">
        <v>46648</v>
      </c>
      <c r="S4011" s="210">
        <v>4.25</v>
      </c>
      <c r="T4011" s="8">
        <v>1.0001180555555556</v>
      </c>
      <c r="U4011" s="98">
        <v>4.2594795081111858</v>
      </c>
      <c r="V4011" s="106">
        <v>36546.586696224658</v>
      </c>
      <c r="W4011" s="10">
        <v>1.1435607532132908</v>
      </c>
      <c r="X4011" s="420"/>
      <c r="Y4011" s="420"/>
    </row>
    <row r="4012" spans="17:25">
      <c r="Q4012" s="6">
        <v>3982</v>
      </c>
      <c r="R4012" s="7">
        <v>46649</v>
      </c>
      <c r="S4012" s="210">
        <v>4.25</v>
      </c>
      <c r="T4012" s="8">
        <v>1.0001180555555556</v>
      </c>
      <c r="U4012" s="98">
        <v>4.2595155128107187</v>
      </c>
      <c r="V4012" s="106">
        <v>36549.628571097783</v>
      </c>
      <c r="W4012" s="10">
        <v>1.1435947465523899</v>
      </c>
      <c r="X4012" s="420"/>
      <c r="Y4012" s="420"/>
    </row>
    <row r="4013" spans="17:25">
      <c r="Q4013" s="6">
        <v>3983</v>
      </c>
      <c r="R4013" s="7">
        <v>46650</v>
      </c>
      <c r="S4013" s="210">
        <v>4.25</v>
      </c>
      <c r="T4013" s="8">
        <v>1.0001180555555556</v>
      </c>
      <c r="U4013" s="98">
        <v>4.2595514994435035</v>
      </c>
      <c r="V4013" s="106">
        <v>36552.670699154674</v>
      </c>
      <c r="W4013" s="10">
        <v>1.1436287228337116</v>
      </c>
      <c r="X4013" s="420"/>
      <c r="Y4013" s="420"/>
    </row>
    <row r="4014" spans="17:25">
      <c r="Q4014" s="6">
        <v>3984</v>
      </c>
      <c r="R4014" s="7">
        <v>46651</v>
      </c>
      <c r="S4014" s="210">
        <v>4.25</v>
      </c>
      <c r="T4014" s="8">
        <v>1.0001180555555556</v>
      </c>
      <c r="U4014" s="98">
        <v>4.2595874680231072</v>
      </c>
      <c r="V4014" s="106">
        <v>36555.713080416419</v>
      </c>
      <c r="W4014" s="10">
        <v>1.1436626820700457</v>
      </c>
      <c r="X4014" s="420"/>
      <c r="Y4014" s="420"/>
    </row>
    <row r="4015" spans="17:25">
      <c r="Q4015" s="6">
        <v>3985</v>
      </c>
      <c r="R4015" s="7">
        <v>46652</v>
      </c>
      <c r="S4015" s="210">
        <v>4.25</v>
      </c>
      <c r="T4015" s="8">
        <v>1.0001180555555556</v>
      </c>
      <c r="U4015" s="98">
        <v>4.259623418563141</v>
      </c>
      <c r="V4015" s="106">
        <v>36558.75571490408</v>
      </c>
      <c r="W4015" s="10">
        <v>1.1436966242742708</v>
      </c>
      <c r="X4015" s="420"/>
      <c r="Y4015" s="420"/>
    </row>
    <row r="4016" spans="17:25">
      <c r="Q4016" s="6">
        <v>3986</v>
      </c>
      <c r="R4016" s="7">
        <v>46653</v>
      </c>
      <c r="S4016" s="210">
        <v>4.25</v>
      </c>
      <c r="T4016" s="8">
        <v>1.0001180555555556</v>
      </c>
      <c r="U4016" s="98">
        <v>4.2596593510771497</v>
      </c>
      <c r="V4016" s="106">
        <v>36561.798602638744</v>
      </c>
      <c r="W4016" s="10">
        <v>1.1437305494591321</v>
      </c>
      <c r="X4016" s="420"/>
      <c r="Y4016" s="420"/>
    </row>
    <row r="4017" spans="17:25">
      <c r="Q4017" s="6">
        <v>3987</v>
      </c>
      <c r="R4017" s="7">
        <v>46654</v>
      </c>
      <c r="S4017" s="210">
        <v>4.25</v>
      </c>
      <c r="T4017" s="8">
        <v>1.0001180555555556</v>
      </c>
      <c r="U4017" s="98">
        <v>4.2596952655787002</v>
      </c>
      <c r="V4017" s="106">
        <v>36564.841743641482</v>
      </c>
      <c r="W4017" s="10">
        <v>1.1437644576375083</v>
      </c>
      <c r="X4017" s="420"/>
      <c r="Y4017" s="420"/>
    </row>
    <row r="4018" spans="17:25">
      <c r="Q4018" s="6">
        <v>3988</v>
      </c>
      <c r="R4018" s="7">
        <v>46655</v>
      </c>
      <c r="S4018" s="210">
        <v>4.25</v>
      </c>
      <c r="T4018" s="8">
        <v>1.0001180555555556</v>
      </c>
      <c r="U4018" s="98">
        <v>4.259731162081315</v>
      </c>
      <c r="V4018" s="106">
        <v>36567.885137933379</v>
      </c>
      <c r="W4018" s="10">
        <v>1.1437983488221004</v>
      </c>
      <c r="X4018" s="420"/>
      <c r="Y4018" s="420"/>
    </row>
    <row r="4019" spans="17:25">
      <c r="Q4019" s="6">
        <v>3989</v>
      </c>
      <c r="R4019" s="7">
        <v>46656</v>
      </c>
      <c r="S4019" s="210">
        <v>4.25</v>
      </c>
      <c r="T4019" s="8">
        <v>1.0001180555555556</v>
      </c>
      <c r="U4019" s="98">
        <v>4.2597670405985388</v>
      </c>
      <c r="V4019" s="106">
        <v>36570.928785535514</v>
      </c>
      <c r="W4019" s="10">
        <v>1.1438322230257203</v>
      </c>
      <c r="X4019" s="420"/>
      <c r="Y4019" s="420"/>
    </row>
    <row r="4020" spans="17:25">
      <c r="Q4020" s="6">
        <v>3990</v>
      </c>
      <c r="R4020" s="7">
        <v>46657</v>
      </c>
      <c r="S4020" s="210">
        <v>4.25</v>
      </c>
      <c r="T4020" s="8">
        <v>1.0001180555555556</v>
      </c>
      <c r="U4020" s="98">
        <v>4.2598029011438943</v>
      </c>
      <c r="V4020" s="106">
        <v>36573.972686468973</v>
      </c>
      <c r="W4020" s="10">
        <v>1.1438660802611578</v>
      </c>
      <c r="X4020" s="420"/>
      <c r="Y4020" s="420"/>
    </row>
    <row r="4021" spans="17:25">
      <c r="Q4021" s="6">
        <v>3991</v>
      </c>
      <c r="R4021" s="7">
        <v>46658</v>
      </c>
      <c r="S4021" s="210">
        <v>4.25</v>
      </c>
      <c r="T4021" s="8">
        <v>1.0001180555555556</v>
      </c>
      <c r="U4021" s="98">
        <v>4.2598387437308594</v>
      </c>
      <c r="V4021" s="106">
        <v>36577.016840754848</v>
      </c>
      <c r="W4021" s="10">
        <v>1.1438999205410916</v>
      </c>
      <c r="X4021" s="420"/>
      <c r="Y4021" s="420"/>
    </row>
    <row r="4022" spans="17:25">
      <c r="Q4022" s="6">
        <v>3992</v>
      </c>
      <c r="R4022" s="7">
        <v>46659</v>
      </c>
      <c r="S4022" s="210">
        <v>4.25</v>
      </c>
      <c r="T4022" s="8">
        <v>1.0001180555555556</v>
      </c>
      <c r="U4022" s="98">
        <v>4.2598745683729344</v>
      </c>
      <c r="V4022" s="106">
        <v>36580.061248414218</v>
      </c>
      <c r="W4022" s="10">
        <v>1.1439337438783115</v>
      </c>
      <c r="X4022" s="420"/>
      <c r="Y4022" s="420"/>
    </row>
    <row r="4023" spans="17:25">
      <c r="Q4023" s="6">
        <v>3993</v>
      </c>
      <c r="R4023" s="7">
        <v>46660</v>
      </c>
      <c r="S4023" s="210">
        <v>4.25</v>
      </c>
      <c r="T4023" s="8">
        <v>1.0001180555555556</v>
      </c>
      <c r="U4023" s="98">
        <v>4.2599103750835754</v>
      </c>
      <c r="V4023" s="106">
        <v>36583.105909468162</v>
      </c>
      <c r="W4023" s="10">
        <v>1.1439675502855184</v>
      </c>
      <c r="X4023" s="420"/>
      <c r="Y4023" s="420"/>
    </row>
    <row r="4024" spans="17:25">
      <c r="Q4024" s="6">
        <v>3994</v>
      </c>
      <c r="R4024" s="7">
        <v>46661</v>
      </c>
      <c r="S4024" s="210">
        <v>4.25</v>
      </c>
      <c r="T4024" s="8">
        <v>1.0001180555555556</v>
      </c>
      <c r="U4024" s="98">
        <v>4.2599461638762603</v>
      </c>
      <c r="V4024" s="106">
        <v>36586.150823937787</v>
      </c>
      <c r="W4024" s="10">
        <v>1.1440013397754134</v>
      </c>
      <c r="X4024" s="420"/>
      <c r="Y4024" s="420"/>
    </row>
    <row r="4025" spans="17:25">
      <c r="Q4025" s="6">
        <v>3995</v>
      </c>
      <c r="R4025" s="7">
        <v>46662</v>
      </c>
      <c r="S4025" s="210">
        <v>4.25</v>
      </c>
      <c r="T4025" s="8">
        <v>1.0001180555555556</v>
      </c>
      <c r="U4025" s="98">
        <v>4.259981934764423</v>
      </c>
      <c r="V4025" s="106">
        <v>36589.195991844179</v>
      </c>
      <c r="W4025" s="10">
        <v>1.1440351123606751</v>
      </c>
      <c r="X4025" s="420"/>
      <c r="Y4025" s="420"/>
    </row>
    <row r="4026" spans="17:25">
      <c r="Q4026" s="6">
        <v>3996</v>
      </c>
      <c r="R4026" s="7">
        <v>46663</v>
      </c>
      <c r="S4026" s="210">
        <v>4.25</v>
      </c>
      <c r="T4026" s="8">
        <v>1.0001180555555556</v>
      </c>
      <c r="U4026" s="98">
        <v>4.260017687761497</v>
      </c>
      <c r="V4026" s="106">
        <v>36592.241413208438</v>
      </c>
      <c r="W4026" s="10">
        <v>1.1440688680540267</v>
      </c>
      <c r="X4026" s="420"/>
      <c r="Y4026" s="420"/>
    </row>
    <row r="4027" spans="17:25">
      <c r="Q4027" s="6">
        <v>3997</v>
      </c>
      <c r="R4027" s="7">
        <v>46664</v>
      </c>
      <c r="S4027" s="210">
        <v>4.25</v>
      </c>
      <c r="T4027" s="8">
        <v>1.0001180555555556</v>
      </c>
      <c r="U4027" s="98">
        <v>4.2600534228809162</v>
      </c>
      <c r="V4027" s="106">
        <v>36595.287088051649</v>
      </c>
      <c r="W4027" s="10">
        <v>1.1441026068681248</v>
      </c>
      <c r="X4027" s="420"/>
      <c r="Y4027" s="420"/>
    </row>
    <row r="4028" spans="17:25">
      <c r="Q4028" s="6">
        <v>3998</v>
      </c>
      <c r="R4028" s="7">
        <v>46665</v>
      </c>
      <c r="S4028" s="210">
        <v>4.25</v>
      </c>
      <c r="T4028" s="8">
        <v>1.0001180555555556</v>
      </c>
      <c r="U4028" s="98">
        <v>4.2600891401360697</v>
      </c>
      <c r="V4028" s="106">
        <v>36598.333016394921</v>
      </c>
      <c r="W4028" s="10">
        <v>1.1441363288156259</v>
      </c>
      <c r="X4028" s="420"/>
      <c r="Y4028" s="420"/>
    </row>
    <row r="4029" spans="17:25">
      <c r="Q4029" s="6">
        <v>3999</v>
      </c>
      <c r="R4029" s="7">
        <v>46666</v>
      </c>
      <c r="S4029" s="210">
        <v>4.25</v>
      </c>
      <c r="T4029" s="8">
        <v>1.0001180555555556</v>
      </c>
      <c r="U4029" s="98">
        <v>4.260124839540369</v>
      </c>
      <c r="V4029" s="106">
        <v>36601.379198259347</v>
      </c>
      <c r="W4029" s="10">
        <v>1.1441700339091865</v>
      </c>
      <c r="X4029" s="420"/>
      <c r="Y4029" s="420"/>
    </row>
    <row r="4030" spans="17:25">
      <c r="Q4030" s="6">
        <v>4000</v>
      </c>
      <c r="R4030" s="7">
        <v>46667</v>
      </c>
      <c r="S4030" s="210">
        <v>4.25</v>
      </c>
      <c r="T4030" s="8">
        <v>1.0001180555555556</v>
      </c>
      <c r="U4030" s="98">
        <v>4.2601605211071814</v>
      </c>
      <c r="V4030" s="106">
        <v>36604.425633666033</v>
      </c>
      <c r="W4030" s="10">
        <v>1.1442037221613965</v>
      </c>
      <c r="X4030" s="420"/>
      <c r="Y4030" s="420"/>
    </row>
    <row r="4031" spans="17:25">
      <c r="Q4031" s="6">
        <v>4001</v>
      </c>
      <c r="R4031" s="7">
        <v>46668</v>
      </c>
      <c r="S4031" s="210">
        <v>4.25</v>
      </c>
      <c r="T4031" s="8">
        <v>1.0001180555555556</v>
      </c>
      <c r="U4031" s="98">
        <v>4.2601961848498737</v>
      </c>
      <c r="V4031" s="106">
        <v>36607.472322636073</v>
      </c>
      <c r="W4031" s="10">
        <v>1.1442373935849348</v>
      </c>
      <c r="X4031" s="420"/>
      <c r="Y4031" s="420"/>
    </row>
    <row r="4032" spans="17:25">
      <c r="Q4032" s="6">
        <v>4002</v>
      </c>
      <c r="R4032" s="7">
        <v>46669</v>
      </c>
      <c r="S4032" s="210">
        <v>4.25</v>
      </c>
      <c r="T4032" s="8">
        <v>1.0001180555555556</v>
      </c>
      <c r="U4032" s="98">
        <v>4.260231830781791</v>
      </c>
      <c r="V4032" s="106">
        <v>36610.519265190582</v>
      </c>
      <c r="W4032" s="10">
        <v>1.1442710481923468</v>
      </c>
      <c r="X4032" s="420"/>
      <c r="Y4032" s="420"/>
    </row>
    <row r="4033" spans="17:25">
      <c r="Q4033" s="6">
        <v>4003</v>
      </c>
      <c r="R4033" s="7">
        <v>46670</v>
      </c>
      <c r="S4033" s="210">
        <v>4.25</v>
      </c>
      <c r="T4033" s="8">
        <v>1.0001180555555556</v>
      </c>
      <c r="U4033" s="98">
        <v>4.2602674589162781</v>
      </c>
      <c r="V4033" s="106">
        <v>36613.56646135066</v>
      </c>
      <c r="W4033" s="10">
        <v>1.1443046859962669</v>
      </c>
      <c r="X4033" s="420"/>
      <c r="Y4033" s="420"/>
    </row>
    <row r="4034" spans="17:25">
      <c r="Q4034" s="6">
        <v>4004</v>
      </c>
      <c r="R4034" s="7">
        <v>46671</v>
      </c>
      <c r="S4034" s="210">
        <v>4.25</v>
      </c>
      <c r="T4034" s="8">
        <v>1.0001180555555556</v>
      </c>
      <c r="U4034" s="98">
        <v>4.2603030692666577</v>
      </c>
      <c r="V4034" s="106">
        <v>36616.613911137414</v>
      </c>
      <c r="W4034" s="10">
        <v>1.1443383070092628</v>
      </c>
      <c r="X4034" s="420"/>
      <c r="Y4034" s="420"/>
    </row>
    <row r="4035" spans="17:25">
      <c r="Q4035" s="6">
        <v>4005</v>
      </c>
      <c r="R4035" s="7">
        <v>46672</v>
      </c>
      <c r="S4035" s="210">
        <v>4.25</v>
      </c>
      <c r="T4035" s="8">
        <v>1.0001180555555556</v>
      </c>
      <c r="U4035" s="98">
        <v>4.2603386618462524</v>
      </c>
      <c r="V4035" s="106">
        <v>36619.66161457196</v>
      </c>
      <c r="W4035" s="10">
        <v>1.1443719112439243</v>
      </c>
      <c r="X4035" s="420"/>
      <c r="Y4035" s="420"/>
    </row>
    <row r="4036" spans="17:25">
      <c r="Q4036" s="6">
        <v>4006</v>
      </c>
      <c r="R4036" s="7">
        <v>46673</v>
      </c>
      <c r="S4036" s="210">
        <v>4.25</v>
      </c>
      <c r="T4036" s="8">
        <v>1.0001180555555556</v>
      </c>
      <c r="U4036" s="98">
        <v>4.2603742366683406</v>
      </c>
      <c r="V4036" s="106">
        <v>36622.709571675412</v>
      </c>
      <c r="W4036" s="10">
        <v>1.144405498712775</v>
      </c>
      <c r="X4036" s="420"/>
      <c r="Y4036" s="420"/>
    </row>
    <row r="4037" spans="17:25">
      <c r="Q4037" s="6">
        <v>4007</v>
      </c>
      <c r="R4037" s="7">
        <v>46674</v>
      </c>
      <c r="S4037" s="210">
        <v>4.25</v>
      </c>
      <c r="T4037" s="8">
        <v>1.0001180555555556</v>
      </c>
      <c r="U4037" s="98">
        <v>4.2604097937462226</v>
      </c>
      <c r="V4037" s="106">
        <v>36625.757782468871</v>
      </c>
      <c r="W4037" s="10">
        <v>1.1444390694283602</v>
      </c>
      <c r="X4037" s="420"/>
      <c r="Y4037" s="420"/>
    </row>
    <row r="4038" spans="17:25">
      <c r="Q4038" s="6">
        <v>4008</v>
      </c>
      <c r="R4038" s="7">
        <v>46675</v>
      </c>
      <c r="S4038" s="210">
        <v>4.25</v>
      </c>
      <c r="T4038" s="8">
        <v>1.0001180555555556</v>
      </c>
      <c r="U4038" s="98">
        <v>4.2604453330931769</v>
      </c>
      <c r="V4038" s="106">
        <v>36628.806246973472</v>
      </c>
      <c r="W4038" s="10">
        <v>1.1444726234032476</v>
      </c>
      <c r="X4038" s="420"/>
      <c r="Y4038" s="420"/>
    </row>
    <row r="4039" spans="17:25">
      <c r="Q4039" s="6">
        <v>4009</v>
      </c>
      <c r="R4039" s="7">
        <v>46676</v>
      </c>
      <c r="S4039" s="210">
        <v>4.25</v>
      </c>
      <c r="T4039" s="8">
        <v>1.0001180555555556</v>
      </c>
      <c r="U4039" s="98">
        <v>4.2604808547224593</v>
      </c>
      <c r="V4039" s="106">
        <v>36631.854965210317</v>
      </c>
      <c r="W4039" s="10">
        <v>1.1445061606499163</v>
      </c>
      <c r="X4039" s="420"/>
      <c r="Y4039" s="420"/>
    </row>
    <row r="4040" spans="17:25">
      <c r="Q4040" s="6">
        <v>4010</v>
      </c>
      <c r="R4040" s="7">
        <v>46677</v>
      </c>
      <c r="S4040" s="210">
        <v>4.25</v>
      </c>
      <c r="T4040" s="8">
        <v>1.0001180555555556</v>
      </c>
      <c r="U4040" s="98">
        <v>4.2605163586473038</v>
      </c>
      <c r="V4040" s="106">
        <v>36634.903937200521</v>
      </c>
      <c r="W4040" s="10">
        <v>1.1445396811809116</v>
      </c>
      <c r="X4040" s="420"/>
      <c r="Y4040" s="420"/>
    </row>
    <row r="4041" spans="17:25">
      <c r="Q4041" s="6">
        <v>4011</v>
      </c>
      <c r="R4041" s="7">
        <v>46678</v>
      </c>
      <c r="S4041" s="210">
        <v>4.25</v>
      </c>
      <c r="T4041" s="8">
        <v>1.0001180555555556</v>
      </c>
      <c r="U4041" s="98">
        <v>4.2605518448809443</v>
      </c>
      <c r="V4041" s="106">
        <v>36637.953162965212</v>
      </c>
      <c r="W4041" s="10">
        <v>1.1445731850086904</v>
      </c>
      <c r="X4041" s="420"/>
      <c r="Y4041" s="420"/>
    </row>
    <row r="4042" spans="17:25">
      <c r="Q4042" s="6">
        <v>4012</v>
      </c>
      <c r="R4042" s="7">
        <v>46679</v>
      </c>
      <c r="S4042" s="210">
        <v>4.25</v>
      </c>
      <c r="T4042" s="8">
        <v>1.0001180555555556</v>
      </c>
      <c r="U4042" s="98">
        <v>4.2605873134366146</v>
      </c>
      <c r="V4042" s="106">
        <v>36641.00264252552</v>
      </c>
      <c r="W4042" s="10">
        <v>1.1446066721457537</v>
      </c>
      <c r="X4042" s="420"/>
      <c r="Y4042" s="420"/>
    </row>
    <row r="4043" spans="17:25">
      <c r="Q4043" s="6">
        <v>4013</v>
      </c>
      <c r="R4043" s="7">
        <v>46680</v>
      </c>
      <c r="S4043" s="210">
        <v>4.25</v>
      </c>
      <c r="T4043" s="8">
        <v>1.0001180555555556</v>
      </c>
      <c r="U4043" s="98">
        <v>4.2606227643275041</v>
      </c>
      <c r="V4043" s="106">
        <v>36644.052375902553</v>
      </c>
      <c r="W4043" s="10">
        <v>1.1446401426045583</v>
      </c>
      <c r="X4043" s="420"/>
      <c r="Y4043" s="420"/>
    </row>
    <row r="4044" spans="17:25">
      <c r="Q4044" s="6">
        <v>4014</v>
      </c>
      <c r="R4044" s="7">
        <v>46681</v>
      </c>
      <c r="S4044" s="210">
        <v>4.25</v>
      </c>
      <c r="T4044" s="8">
        <v>1.0001180555555556</v>
      </c>
      <c r="U4044" s="98">
        <v>4.2606581975668245</v>
      </c>
      <c r="V4044" s="106">
        <v>36647.102363117454</v>
      </c>
      <c r="W4044" s="10">
        <v>1.1446735963975829</v>
      </c>
      <c r="X4044" s="420"/>
      <c r="Y4044" s="420"/>
    </row>
    <row r="4045" spans="17:25">
      <c r="Q4045" s="6">
        <v>4015</v>
      </c>
      <c r="R4045" s="7">
        <v>46682</v>
      </c>
      <c r="S4045" s="210">
        <v>4.25</v>
      </c>
      <c r="T4045" s="8">
        <v>1.0001180555555556</v>
      </c>
      <c r="U4045" s="98">
        <v>4.2606936131677431</v>
      </c>
      <c r="V4045" s="106">
        <v>36650.152604191338</v>
      </c>
      <c r="W4045" s="10">
        <v>1.1447070335372622</v>
      </c>
      <c r="X4045" s="420"/>
      <c r="Y4045" s="420"/>
    </row>
    <row r="4046" spans="17:25">
      <c r="Q4046" s="6">
        <v>4016</v>
      </c>
      <c r="R4046" s="7">
        <v>46683</v>
      </c>
      <c r="S4046" s="210">
        <v>4.25</v>
      </c>
      <c r="T4046" s="8">
        <v>1.0001180555555556</v>
      </c>
      <c r="U4046" s="98">
        <v>4.2607290111434271</v>
      </c>
      <c r="V4046" s="106">
        <v>36653.203099145336</v>
      </c>
      <c r="W4046" s="10">
        <v>1.1447404540360084</v>
      </c>
      <c r="X4046" s="420"/>
      <c r="Y4046" s="420"/>
    </row>
    <row r="4047" spans="17:25">
      <c r="Q4047" s="6">
        <v>4017</v>
      </c>
      <c r="R4047" s="7">
        <v>46684</v>
      </c>
      <c r="S4047" s="210">
        <v>4.25</v>
      </c>
      <c r="T4047" s="8">
        <v>1.0001180555555556</v>
      </c>
      <c r="U4047" s="98">
        <v>4.2607643915070437</v>
      </c>
      <c r="V4047" s="106">
        <v>36656.253848000582</v>
      </c>
      <c r="W4047" s="10">
        <v>1.1447738579062561</v>
      </c>
      <c r="X4047" s="420"/>
      <c r="Y4047" s="420"/>
    </row>
    <row r="4048" spans="17:25">
      <c r="Q4048" s="6">
        <v>4018</v>
      </c>
      <c r="R4048" s="7">
        <v>46685</v>
      </c>
      <c r="S4048" s="210">
        <v>4.25</v>
      </c>
      <c r="T4048" s="8">
        <v>1.0001180555555556</v>
      </c>
      <c r="U4048" s="98">
        <v>4.2607997542717158</v>
      </c>
      <c r="V4048" s="106">
        <v>36659.304850778215</v>
      </c>
      <c r="W4048" s="10">
        <v>1.1448072451604174</v>
      </c>
      <c r="X4048" s="420"/>
      <c r="Y4048" s="420"/>
    </row>
    <row r="4049" spans="17:25">
      <c r="Q4049" s="6">
        <v>4019</v>
      </c>
      <c r="R4049" s="7">
        <v>46686</v>
      </c>
      <c r="S4049" s="210">
        <v>4.25</v>
      </c>
      <c r="T4049" s="8">
        <v>1.0001180555555556</v>
      </c>
      <c r="U4049" s="98">
        <v>4.2608350994505884</v>
      </c>
      <c r="V4049" s="106">
        <v>36662.356107499356</v>
      </c>
      <c r="W4049" s="10">
        <v>1.1448406158109048</v>
      </c>
      <c r="X4049" s="420"/>
      <c r="Y4049" s="420"/>
    </row>
    <row r="4050" spans="17:25">
      <c r="Q4050" s="6">
        <v>4020</v>
      </c>
      <c r="R4050" s="7">
        <v>46687</v>
      </c>
      <c r="S4050" s="210">
        <v>4.25</v>
      </c>
      <c r="T4050" s="8">
        <v>1.0001180555555556</v>
      </c>
      <c r="U4050" s="98">
        <v>4.2608704270567621</v>
      </c>
      <c r="V4050" s="106">
        <v>36665.407618185149</v>
      </c>
      <c r="W4050" s="10">
        <v>1.1448739698700638</v>
      </c>
      <c r="X4050" s="420"/>
      <c r="Y4050" s="420"/>
    </row>
    <row r="4051" spans="17:25">
      <c r="Q4051" s="6">
        <v>4021</v>
      </c>
      <c r="R4051" s="7">
        <v>46688</v>
      </c>
      <c r="S4051" s="210">
        <v>4.25</v>
      </c>
      <c r="T4051" s="8">
        <v>1.0001180555555556</v>
      </c>
      <c r="U4051" s="98">
        <v>4.2609057371033598</v>
      </c>
      <c r="V4051" s="106">
        <v>36668.45938285673</v>
      </c>
      <c r="W4051" s="10">
        <v>1.1449073073502847</v>
      </c>
      <c r="X4051" s="420"/>
      <c r="Y4051" s="420"/>
    </row>
    <row r="4052" spans="17:25">
      <c r="Q4052" s="6">
        <v>4022</v>
      </c>
      <c r="R4052" s="7">
        <v>46689</v>
      </c>
      <c r="S4052" s="210">
        <v>4.25</v>
      </c>
      <c r="T4052" s="8">
        <v>1.0001180555555556</v>
      </c>
      <c r="U4052" s="98">
        <v>4.2609410296034378</v>
      </c>
      <c r="V4052" s="106">
        <v>36671.511401535245</v>
      </c>
      <c r="W4052" s="10">
        <v>1.144940628263913</v>
      </c>
      <c r="X4052" s="420"/>
      <c r="Y4052" s="420"/>
    </row>
    <row r="4053" spans="17:25">
      <c r="Q4053" s="6">
        <v>4023</v>
      </c>
      <c r="R4053" s="7">
        <v>46690</v>
      </c>
      <c r="S4053" s="210">
        <v>4.25</v>
      </c>
      <c r="T4053" s="8">
        <v>1.0001180555555556</v>
      </c>
      <c r="U4053" s="98">
        <v>4.2609763045700966</v>
      </c>
      <c r="V4053" s="106">
        <v>36674.563674241836</v>
      </c>
      <c r="W4053" s="10">
        <v>1.1449739326233166</v>
      </c>
      <c r="X4053" s="420"/>
      <c r="Y4053" s="420"/>
    </row>
    <row r="4054" spans="17:25">
      <c r="Q4054" s="6">
        <v>4024</v>
      </c>
      <c r="R4054" s="7">
        <v>46691</v>
      </c>
      <c r="S4054" s="210">
        <v>4.25</v>
      </c>
      <c r="T4054" s="8">
        <v>1.0001180555555556</v>
      </c>
      <c r="U4054" s="98">
        <v>4.2610115620163924</v>
      </c>
      <c r="V4054" s="106">
        <v>36677.616200997632</v>
      </c>
      <c r="W4054" s="10">
        <v>1.145007220440819</v>
      </c>
      <c r="X4054" s="420"/>
      <c r="Y4054" s="420"/>
    </row>
    <row r="4055" spans="17:25">
      <c r="Q4055" s="6">
        <v>4025</v>
      </c>
      <c r="R4055" s="7">
        <v>46692</v>
      </c>
      <c r="S4055" s="210">
        <v>4.25</v>
      </c>
      <c r="T4055" s="8">
        <v>1.0001180555555556</v>
      </c>
      <c r="U4055" s="98">
        <v>4.2610468019553815</v>
      </c>
      <c r="V4055" s="106">
        <v>36680.668981823794</v>
      </c>
      <c r="W4055" s="10">
        <v>1.1450404917287216</v>
      </c>
      <c r="X4055" s="420"/>
      <c r="Y4055" s="420"/>
    </row>
    <row r="4056" spans="17:25">
      <c r="Q4056" s="6">
        <v>4026</v>
      </c>
      <c r="R4056" s="7">
        <v>46693</v>
      </c>
      <c r="S4056" s="210">
        <v>4.25</v>
      </c>
      <c r="T4056" s="8">
        <v>1.0001180555555556</v>
      </c>
      <c r="U4056" s="98">
        <v>4.2610820244000758</v>
      </c>
      <c r="V4056" s="106">
        <v>36683.722016741456</v>
      </c>
      <c r="W4056" s="10">
        <v>1.1450737464993477</v>
      </c>
      <c r="X4056" s="420"/>
      <c r="Y4056" s="420"/>
    </row>
    <row r="4057" spans="17:25">
      <c r="Q4057" s="6">
        <v>4027</v>
      </c>
      <c r="R4057" s="7">
        <v>46694</v>
      </c>
      <c r="S4057" s="210">
        <v>4.25</v>
      </c>
      <c r="T4057" s="8">
        <v>1.0001180555555556</v>
      </c>
      <c r="U4057" s="98">
        <v>4.2611172293635313</v>
      </c>
      <c r="V4057" s="106">
        <v>36686.775305771778</v>
      </c>
      <c r="W4057" s="10">
        <v>1.1451069847650208</v>
      </c>
      <c r="X4057" s="420"/>
      <c r="Y4057" s="420"/>
    </row>
    <row r="4058" spans="17:25">
      <c r="Q4058" s="6">
        <v>4028</v>
      </c>
      <c r="R4058" s="7">
        <v>46695</v>
      </c>
      <c r="S4058" s="210">
        <v>4.25</v>
      </c>
      <c r="T4058" s="8">
        <v>1.0001180555555556</v>
      </c>
      <c r="U4058" s="98">
        <v>4.2611524168587378</v>
      </c>
      <c r="V4058" s="106">
        <v>36689.828848935904</v>
      </c>
      <c r="W4058" s="10">
        <v>1.1451402065379979</v>
      </c>
      <c r="X4058" s="420"/>
      <c r="Y4058" s="420"/>
    </row>
    <row r="4059" spans="17:25">
      <c r="Q4059" s="6">
        <v>4029</v>
      </c>
      <c r="R4059" s="7">
        <v>46696</v>
      </c>
      <c r="S4059" s="210">
        <v>4.25</v>
      </c>
      <c r="T4059" s="8">
        <v>1.0001180555555556</v>
      </c>
      <c r="U4059" s="98">
        <v>4.261187586898707</v>
      </c>
      <c r="V4059" s="106">
        <v>36692.882646254991</v>
      </c>
      <c r="W4059" s="10">
        <v>1.1451734118305357</v>
      </c>
      <c r="X4059" s="420"/>
      <c r="Y4059" s="420"/>
    </row>
    <row r="4060" spans="17:25">
      <c r="Q4060" s="6">
        <v>4030</v>
      </c>
      <c r="R4060" s="7">
        <v>46697</v>
      </c>
      <c r="S4060" s="210">
        <v>4.25</v>
      </c>
      <c r="T4060" s="8">
        <v>1.0001180555555556</v>
      </c>
      <c r="U4060" s="98">
        <v>4.2612227394964064</v>
      </c>
      <c r="V4060" s="106">
        <v>36695.936697750192</v>
      </c>
      <c r="W4060" s="10">
        <v>1.1452066006549133</v>
      </c>
      <c r="X4060" s="420"/>
      <c r="Y4060" s="420"/>
    </row>
    <row r="4061" spans="17:25">
      <c r="Q4061" s="6">
        <v>4031</v>
      </c>
      <c r="R4061" s="7">
        <v>46698</v>
      </c>
      <c r="S4061" s="210">
        <v>4.25</v>
      </c>
      <c r="T4061" s="8">
        <v>1.0001180555555556</v>
      </c>
      <c r="U4061" s="98">
        <v>4.2612578746648255</v>
      </c>
      <c r="V4061" s="106">
        <v>36698.991003442665</v>
      </c>
      <c r="W4061" s="10">
        <v>1.1452397730233876</v>
      </c>
      <c r="X4061" s="420"/>
      <c r="Y4061" s="420"/>
    </row>
    <row r="4062" spans="17:25">
      <c r="Q4062" s="6">
        <v>4032</v>
      </c>
      <c r="R4062" s="7">
        <v>46699</v>
      </c>
      <c r="S4062" s="210">
        <v>4.25</v>
      </c>
      <c r="T4062" s="8">
        <v>1.0001180555555556</v>
      </c>
      <c r="U4062" s="98">
        <v>4.2612929924169096</v>
      </c>
      <c r="V4062" s="106">
        <v>36702.045563353553</v>
      </c>
      <c r="W4062" s="10">
        <v>1.1452729289481933</v>
      </c>
      <c r="X4062" s="420"/>
      <c r="Y4062" s="420"/>
    </row>
    <row r="4063" spans="17:25">
      <c r="Q4063" s="6">
        <v>4033</v>
      </c>
      <c r="R4063" s="7">
        <v>46700</v>
      </c>
      <c r="S4063" s="210">
        <v>4.25</v>
      </c>
      <c r="T4063" s="8">
        <v>1.0001180555555556</v>
      </c>
      <c r="U4063" s="98">
        <v>4.2613280927656261</v>
      </c>
      <c r="V4063" s="106">
        <v>36705.10037750403</v>
      </c>
      <c r="W4063" s="10">
        <v>1.1453060684415428</v>
      </c>
      <c r="X4063" s="420"/>
      <c r="Y4063" s="420"/>
    </row>
    <row r="4064" spans="17:25">
      <c r="Q4064" s="6">
        <v>4034</v>
      </c>
      <c r="R4064" s="7">
        <v>46701</v>
      </c>
      <c r="S4064" s="210">
        <v>4.25</v>
      </c>
      <c r="T4064" s="8">
        <v>1.0001180555555556</v>
      </c>
      <c r="U4064" s="98">
        <v>4.2613631757238979</v>
      </c>
      <c r="V4064" s="106">
        <v>36708.155445915254</v>
      </c>
      <c r="W4064" s="10">
        <v>1.1453391915156486</v>
      </c>
      <c r="X4064" s="420"/>
      <c r="Y4064" s="420"/>
    </row>
    <row r="4065" spans="17:25">
      <c r="Q4065" s="6">
        <v>4035</v>
      </c>
      <c r="R4065" s="7">
        <v>46702</v>
      </c>
      <c r="S4065" s="210">
        <v>4.25</v>
      </c>
      <c r="T4065" s="8">
        <v>1.0001180555555556</v>
      </c>
      <c r="U4065" s="98">
        <v>4.2613982413046259</v>
      </c>
      <c r="V4065" s="106">
        <v>36711.210768608391</v>
      </c>
      <c r="W4065" s="10">
        <v>1.1453722981827008</v>
      </c>
      <c r="X4065" s="420"/>
      <c r="Y4065" s="420"/>
    </row>
    <row r="4066" spans="17:25">
      <c r="Q4066" s="6">
        <v>4036</v>
      </c>
      <c r="R4066" s="7">
        <v>46703</v>
      </c>
      <c r="S4066" s="210">
        <v>4.25</v>
      </c>
      <c r="T4066" s="8">
        <v>1.0001180555555556</v>
      </c>
      <c r="U4066" s="98">
        <v>4.2614332895207552</v>
      </c>
      <c r="V4066" s="106">
        <v>36714.266345604599</v>
      </c>
      <c r="W4066" s="10">
        <v>1.145405388454912</v>
      </c>
      <c r="X4066" s="420"/>
      <c r="Y4066" s="420"/>
    </row>
    <row r="4067" spans="17:25">
      <c r="Q4067" s="6">
        <v>4037</v>
      </c>
      <c r="R4067" s="7">
        <v>46704</v>
      </c>
      <c r="S4067" s="210">
        <v>4.25</v>
      </c>
      <c r="T4067" s="8">
        <v>1.0001180555555556</v>
      </c>
      <c r="U4067" s="98">
        <v>4.2614683203851422</v>
      </c>
      <c r="V4067" s="106">
        <v>36717.322176925045</v>
      </c>
      <c r="W4067" s="10">
        <v>1.1454384623444502</v>
      </c>
      <c r="X4067" s="420"/>
      <c r="Y4067" s="420"/>
    </row>
    <row r="4068" spans="17:25">
      <c r="Q4068" s="6">
        <v>4038</v>
      </c>
      <c r="R4068" s="7">
        <v>46705</v>
      </c>
      <c r="S4068" s="210">
        <v>4.25</v>
      </c>
      <c r="T4068" s="8">
        <v>1.0001180555555556</v>
      </c>
      <c r="U4068" s="98">
        <v>4.2615033339106878</v>
      </c>
      <c r="V4068" s="106">
        <v>36720.378262590901</v>
      </c>
      <c r="W4068" s="10">
        <v>1.1454715198634391</v>
      </c>
      <c r="X4068" s="420"/>
      <c r="Y4068" s="420"/>
    </row>
    <row r="4069" spans="17:25">
      <c r="Q4069" s="6">
        <v>4039</v>
      </c>
      <c r="R4069" s="7">
        <v>46706</v>
      </c>
      <c r="S4069" s="210">
        <v>4.25</v>
      </c>
      <c r="T4069" s="8">
        <v>1.0001180555555556</v>
      </c>
      <c r="U4069" s="98">
        <v>4.2615383301102705</v>
      </c>
      <c r="V4069" s="106">
        <v>36723.43460262334</v>
      </c>
      <c r="W4069" s="10">
        <v>1.145504561024091</v>
      </c>
      <c r="X4069" s="420"/>
      <c r="Y4069" s="420"/>
    </row>
    <row r="4070" spans="17:25">
      <c r="Q4070" s="6">
        <v>4040</v>
      </c>
      <c r="R4070" s="7">
        <v>46707</v>
      </c>
      <c r="S4070" s="210">
        <v>4.25</v>
      </c>
      <c r="T4070" s="8">
        <v>1.0001180555555556</v>
      </c>
      <c r="U4070" s="98">
        <v>4.2615733089967467</v>
      </c>
      <c r="V4070" s="106">
        <v>36726.491197043521</v>
      </c>
      <c r="W4070" s="10">
        <v>1.1455375858385297</v>
      </c>
      <c r="X4070" s="420"/>
      <c r="Y4070" s="420"/>
    </row>
    <row r="4071" spans="17:25">
      <c r="Q4071" s="6">
        <v>4041</v>
      </c>
      <c r="R4071" s="7">
        <v>46708</v>
      </c>
      <c r="S4071" s="210">
        <v>4.25</v>
      </c>
      <c r="T4071" s="8">
        <v>1.0001180555555556</v>
      </c>
      <c r="U4071" s="98">
        <v>4.2616082705829506</v>
      </c>
      <c r="V4071" s="106">
        <v>36729.548045872623</v>
      </c>
      <c r="W4071" s="10">
        <v>1.1455705943188565</v>
      </c>
      <c r="X4071" s="420"/>
      <c r="Y4071" s="420"/>
    </row>
    <row r="4072" spans="17:25">
      <c r="Q4072" s="6">
        <v>4042</v>
      </c>
      <c r="R4072" s="7">
        <v>46709</v>
      </c>
      <c r="S4072" s="210">
        <v>4.25</v>
      </c>
      <c r="T4072" s="8">
        <v>1.0001180555555556</v>
      </c>
      <c r="U4072" s="98">
        <v>4.2616432148817163</v>
      </c>
      <c r="V4072" s="106">
        <v>36732.605149131836</v>
      </c>
      <c r="W4072" s="10">
        <v>1.1456035864771952</v>
      </c>
      <c r="X4072" s="420"/>
      <c r="Y4072" s="420"/>
    </row>
    <row r="4073" spans="17:25">
      <c r="Q4073" s="6">
        <v>4043</v>
      </c>
      <c r="R4073" s="7">
        <v>46710</v>
      </c>
      <c r="S4073" s="210">
        <v>4.25</v>
      </c>
      <c r="T4073" s="8">
        <v>1.0001180555555556</v>
      </c>
      <c r="U4073" s="98">
        <v>4.2616781419058558</v>
      </c>
      <c r="V4073" s="106">
        <v>36735.662506842316</v>
      </c>
      <c r="W4073" s="10">
        <v>1.145636562325647</v>
      </c>
      <c r="X4073" s="420"/>
      <c r="Y4073" s="420"/>
    </row>
    <row r="4074" spans="17:25">
      <c r="Q4074" s="6">
        <v>4044</v>
      </c>
      <c r="R4074" s="7">
        <v>46711</v>
      </c>
      <c r="S4074" s="210">
        <v>4.25</v>
      </c>
      <c r="T4074" s="8">
        <v>1.0001180555555556</v>
      </c>
      <c r="U4074" s="98">
        <v>4.2617130516681812</v>
      </c>
      <c r="V4074" s="106">
        <v>36738.720119025245</v>
      </c>
      <c r="W4074" s="10">
        <v>1.1456695218763358</v>
      </c>
      <c r="X4074" s="420"/>
      <c r="Y4074" s="420"/>
    </row>
    <row r="4075" spans="17:25">
      <c r="Q4075" s="6">
        <v>4045</v>
      </c>
      <c r="R4075" s="7">
        <v>46712</v>
      </c>
      <c r="S4075" s="210">
        <v>4.25</v>
      </c>
      <c r="T4075" s="8">
        <v>1.0001180555555556</v>
      </c>
      <c r="U4075" s="98">
        <v>4.2617479441815043</v>
      </c>
      <c r="V4075" s="106">
        <v>36741.777985701818</v>
      </c>
      <c r="W4075" s="10">
        <v>1.1457024651412961</v>
      </c>
      <c r="X4075" s="420"/>
      <c r="Y4075" s="420"/>
    </row>
    <row r="4076" spans="17:25">
      <c r="Q4076" s="6">
        <v>4046</v>
      </c>
      <c r="R4076" s="7">
        <v>46713</v>
      </c>
      <c r="S4076" s="210">
        <v>4.25</v>
      </c>
      <c r="T4076" s="8">
        <v>1.0001180555555556</v>
      </c>
      <c r="U4076" s="98">
        <v>4.2617828194585927</v>
      </c>
      <c r="V4076" s="106">
        <v>36744.836106893199</v>
      </c>
      <c r="W4076" s="10">
        <v>1.1457353921326519</v>
      </c>
      <c r="X4076" s="420"/>
      <c r="Y4076" s="420"/>
    </row>
    <row r="4077" spans="17:25">
      <c r="Q4077" s="6">
        <v>4047</v>
      </c>
      <c r="R4077" s="7">
        <v>46714</v>
      </c>
      <c r="S4077" s="210">
        <v>4.25</v>
      </c>
      <c r="T4077" s="8">
        <v>1.0001180555555556</v>
      </c>
      <c r="U4077" s="98">
        <v>4.2618176775122141</v>
      </c>
      <c r="V4077" s="106">
        <v>36747.894482620584</v>
      </c>
      <c r="W4077" s="10">
        <v>1.1457683028623933</v>
      </c>
      <c r="X4077" s="420"/>
      <c r="Y4077" s="420"/>
    </row>
    <row r="4078" spans="17:25">
      <c r="Q4078" s="6">
        <v>4048</v>
      </c>
      <c r="R4078" s="7">
        <v>46715</v>
      </c>
      <c r="S4078" s="210">
        <v>4.25</v>
      </c>
      <c r="T4078" s="8">
        <v>1.0001180555555556</v>
      </c>
      <c r="U4078" s="98">
        <v>4.2618525183551137</v>
      </c>
      <c r="V4078" s="106">
        <v>36750.953112905154</v>
      </c>
      <c r="W4078" s="10">
        <v>1.1458011973425997</v>
      </c>
      <c r="X4078" s="420"/>
      <c r="Y4078" s="420"/>
    </row>
    <row r="4079" spans="17:25">
      <c r="Q4079" s="6">
        <v>4049</v>
      </c>
      <c r="R4079" s="7">
        <v>46716</v>
      </c>
      <c r="S4079" s="210">
        <v>4.25</v>
      </c>
      <c r="T4079" s="8">
        <v>1.0001180555555556</v>
      </c>
      <c r="U4079" s="98">
        <v>4.2618873420000369</v>
      </c>
      <c r="V4079" s="106">
        <v>36754.011997768102</v>
      </c>
      <c r="W4079" s="10">
        <v>1.1458340755853058</v>
      </c>
      <c r="X4079" s="420"/>
      <c r="Y4079" s="420"/>
    </row>
    <row r="4080" spans="17:25">
      <c r="Q4080" s="6">
        <v>4050</v>
      </c>
      <c r="R4080" s="7">
        <v>46717</v>
      </c>
      <c r="S4080" s="210">
        <v>4.25</v>
      </c>
      <c r="T4080" s="8">
        <v>1.0001180555555556</v>
      </c>
      <c r="U4080" s="98">
        <v>4.2619221484597292</v>
      </c>
      <c r="V4080" s="106">
        <v>36757.07113723061</v>
      </c>
      <c r="W4080" s="10">
        <v>1.1458669376025021</v>
      </c>
      <c r="X4080" s="420"/>
      <c r="Y4080" s="420"/>
    </row>
    <row r="4081" spans="17:25">
      <c r="Q4081" s="6">
        <v>4051</v>
      </c>
      <c r="R4081" s="7">
        <v>46718</v>
      </c>
      <c r="S4081" s="210">
        <v>4.25</v>
      </c>
      <c r="T4081" s="8">
        <v>1.0001180555555556</v>
      </c>
      <c r="U4081" s="98">
        <v>4.2619569377468913</v>
      </c>
      <c r="V4081" s="106">
        <v>36760.130531313873</v>
      </c>
      <c r="W4081" s="10">
        <v>1.1458997834062234</v>
      </c>
      <c r="X4081" s="420"/>
      <c r="Y4081" s="420"/>
    </row>
    <row r="4082" spans="17:25">
      <c r="Q4082" s="6">
        <v>4052</v>
      </c>
      <c r="R4082" s="7">
        <v>46719</v>
      </c>
      <c r="S4082" s="210">
        <v>4.25</v>
      </c>
      <c r="T4082" s="8">
        <v>1.0001180555555556</v>
      </c>
      <c r="U4082" s="98">
        <v>4.2619917098742466</v>
      </c>
      <c r="V4082" s="106">
        <v>36763.190180039084</v>
      </c>
      <c r="W4082" s="10">
        <v>1.1459326130084602</v>
      </c>
      <c r="X4082" s="420"/>
      <c r="Y4082" s="420"/>
    </row>
    <row r="4083" spans="17:25">
      <c r="Q4083" s="6">
        <v>4053</v>
      </c>
      <c r="R4083" s="7">
        <v>46720</v>
      </c>
      <c r="S4083" s="210">
        <v>4.25</v>
      </c>
      <c r="T4083" s="8">
        <v>1.0001180555555556</v>
      </c>
      <c r="U4083" s="98">
        <v>4.2620264648544737</v>
      </c>
      <c r="V4083" s="106">
        <v>36766.250083427432</v>
      </c>
      <c r="W4083" s="10">
        <v>1.1459654264212027</v>
      </c>
      <c r="X4083" s="420"/>
      <c r="Y4083" s="420"/>
    </row>
    <row r="4084" spans="17:25">
      <c r="Q4084" s="6">
        <v>4054</v>
      </c>
      <c r="R4084" s="7">
        <v>46721</v>
      </c>
      <c r="S4084" s="210">
        <v>4.25</v>
      </c>
      <c r="T4084" s="8">
        <v>1.0001180555555556</v>
      </c>
      <c r="U4084" s="98">
        <v>4.2620612027002513</v>
      </c>
      <c r="V4084" s="106">
        <v>36769.310241500127</v>
      </c>
      <c r="W4084" s="10">
        <v>1.145998223656397</v>
      </c>
      <c r="X4084" s="420"/>
      <c r="Y4084" s="420"/>
    </row>
    <row r="4085" spans="17:25">
      <c r="Q4085" s="6">
        <v>4055</v>
      </c>
      <c r="R4085" s="7">
        <v>46722</v>
      </c>
      <c r="S4085" s="210">
        <v>4.25</v>
      </c>
      <c r="T4085" s="8">
        <v>1.0001180555555556</v>
      </c>
      <c r="U4085" s="98">
        <v>4.2620959234242584</v>
      </c>
      <c r="V4085" s="106">
        <v>36772.370654278348</v>
      </c>
      <c r="W4085" s="10">
        <v>1.1460310047260336</v>
      </c>
      <c r="X4085" s="420"/>
      <c r="Y4085" s="420"/>
    </row>
    <row r="4086" spans="17:25">
      <c r="Q4086" s="6">
        <v>4056</v>
      </c>
      <c r="R4086" s="7">
        <v>46723</v>
      </c>
      <c r="S4086" s="210">
        <v>4.25</v>
      </c>
      <c r="T4086" s="8">
        <v>1.0001180555555556</v>
      </c>
      <c r="U4086" s="98">
        <v>4.2621306270391512</v>
      </c>
      <c r="V4086" s="106">
        <v>36775.431321783304</v>
      </c>
      <c r="W4086" s="10">
        <v>1.1460637696420362</v>
      </c>
      <c r="X4086" s="420"/>
      <c r="Y4086" s="420"/>
    </row>
    <row r="4087" spans="17:25">
      <c r="Q4087" s="6">
        <v>4057</v>
      </c>
      <c r="R4087" s="7">
        <v>46724</v>
      </c>
      <c r="S4087" s="210">
        <v>4.25</v>
      </c>
      <c r="T4087" s="8">
        <v>1.0001180555555556</v>
      </c>
      <c r="U4087" s="98">
        <v>4.2621653135575643</v>
      </c>
      <c r="V4087" s="106">
        <v>36778.492244036206</v>
      </c>
      <c r="W4087" s="10">
        <v>1.1460965184163729</v>
      </c>
      <c r="X4087" s="420"/>
      <c r="Y4087" s="420"/>
    </row>
    <row r="4088" spans="17:25">
      <c r="Q4088" s="6">
        <v>4058</v>
      </c>
      <c r="R4088" s="7">
        <v>46725</v>
      </c>
      <c r="S4088" s="210">
        <v>4.25</v>
      </c>
      <c r="T4088" s="8">
        <v>1.0001180555555556</v>
      </c>
      <c r="U4088" s="98">
        <v>4.262199982992132</v>
      </c>
      <c r="V4088" s="106">
        <v>36781.553421058241</v>
      </c>
      <c r="W4088" s="10">
        <v>1.1461292510609455</v>
      </c>
      <c r="X4088" s="420"/>
      <c r="Y4088" s="420"/>
    </row>
    <row r="4089" spans="17:25">
      <c r="Q4089" s="6">
        <v>4059</v>
      </c>
      <c r="R4089" s="7">
        <v>46726</v>
      </c>
      <c r="S4089" s="210">
        <v>4.25</v>
      </c>
      <c r="T4089" s="8">
        <v>1.0001180555555556</v>
      </c>
      <c r="U4089" s="98">
        <v>4.2622346353554885</v>
      </c>
      <c r="V4089" s="106">
        <v>36784.614852870633</v>
      </c>
      <c r="W4089" s="10">
        <v>1.1461619675876999</v>
      </c>
      <c r="X4089" s="420"/>
      <c r="Y4089" s="420"/>
    </row>
    <row r="4090" spans="17:25">
      <c r="Q4090" s="6">
        <v>4060</v>
      </c>
      <c r="R4090" s="7">
        <v>46727</v>
      </c>
      <c r="S4090" s="210">
        <v>4.25</v>
      </c>
      <c r="T4090" s="8">
        <v>1.0001180555555556</v>
      </c>
      <c r="U4090" s="98">
        <v>4.2622692706602239</v>
      </c>
      <c r="V4090" s="106">
        <v>36787.676539494569</v>
      </c>
      <c r="W4090" s="10">
        <v>1.1461946680084933</v>
      </c>
      <c r="X4090" s="420"/>
      <c r="Y4090" s="420"/>
    </row>
    <row r="4091" spans="17:25">
      <c r="Q4091" s="6">
        <v>4061</v>
      </c>
      <c r="R4091" s="7">
        <v>46728</v>
      </c>
      <c r="S4091" s="210">
        <v>4.25</v>
      </c>
      <c r="T4091" s="8">
        <v>1.0001180555555556</v>
      </c>
      <c r="U4091" s="98">
        <v>4.262303888918928</v>
      </c>
      <c r="V4091" s="106">
        <v>36790.738480951266</v>
      </c>
      <c r="W4091" s="10">
        <v>1.1462273523352495</v>
      </c>
      <c r="X4091" s="420"/>
      <c r="Y4091" s="420"/>
    </row>
    <row r="4092" spans="17:25">
      <c r="Q4092" s="6">
        <v>4062</v>
      </c>
      <c r="R4092" s="7">
        <v>46729</v>
      </c>
      <c r="S4092" s="210">
        <v>4.25</v>
      </c>
      <c r="T4092" s="8">
        <v>1.0001180555555556</v>
      </c>
      <c r="U4092" s="98">
        <v>4.2623384901441685</v>
      </c>
      <c r="V4092" s="106">
        <v>36793.800677261934</v>
      </c>
      <c r="W4092" s="10">
        <v>1.1462600205798257</v>
      </c>
      <c r="X4092" s="420"/>
      <c r="Y4092" s="420"/>
    </row>
    <row r="4093" spans="17:25">
      <c r="Q4093" s="6">
        <v>4063</v>
      </c>
      <c r="R4093" s="7">
        <v>46730</v>
      </c>
      <c r="S4093" s="210">
        <v>4.25</v>
      </c>
      <c r="T4093" s="8">
        <v>1.0001180555555556</v>
      </c>
      <c r="U4093" s="98">
        <v>4.2623730743485355</v>
      </c>
      <c r="V4093" s="106">
        <v>36796.863128447796</v>
      </c>
      <c r="W4093" s="10">
        <v>1.146292672754079</v>
      </c>
      <c r="X4093" s="420"/>
      <c r="Y4093" s="420"/>
    </row>
    <row r="4094" spans="17:25">
      <c r="Q4094" s="6">
        <v>4064</v>
      </c>
      <c r="R4094" s="7">
        <v>46731</v>
      </c>
      <c r="S4094" s="210">
        <v>4.25</v>
      </c>
      <c r="T4094" s="8">
        <v>1.0001180555555556</v>
      </c>
      <c r="U4094" s="98">
        <v>4.2624076415445744</v>
      </c>
      <c r="V4094" s="106">
        <v>36799.925834530048</v>
      </c>
      <c r="W4094" s="10">
        <v>1.1463253088698888</v>
      </c>
      <c r="X4094" s="420"/>
      <c r="Y4094" s="420"/>
    </row>
    <row r="4095" spans="17:25">
      <c r="Q4095" s="6">
        <v>4065</v>
      </c>
      <c r="R4095" s="7">
        <v>46732</v>
      </c>
      <c r="S4095" s="210">
        <v>4.25</v>
      </c>
      <c r="T4095" s="8">
        <v>1.0001180555555556</v>
      </c>
      <c r="U4095" s="98">
        <v>4.2624421917448529</v>
      </c>
      <c r="V4095" s="106">
        <v>36802.988795529905</v>
      </c>
      <c r="W4095" s="10">
        <v>1.1463579289391124</v>
      </c>
      <c r="X4095" s="420"/>
      <c r="Y4095" s="420"/>
    </row>
    <row r="4096" spans="17:25">
      <c r="Q4096" s="6">
        <v>4066</v>
      </c>
      <c r="R4096" s="7">
        <v>46733</v>
      </c>
      <c r="S4096" s="210">
        <v>4.25</v>
      </c>
      <c r="T4096" s="8">
        <v>1.0001180555555556</v>
      </c>
      <c r="U4096" s="98">
        <v>4.2624767249618722</v>
      </c>
      <c r="V4096" s="106">
        <v>36806.052011468615</v>
      </c>
      <c r="W4096" s="10">
        <v>1.1463905329735402</v>
      </c>
      <c r="X4096" s="420"/>
      <c r="Y4096" s="420"/>
    </row>
    <row r="4097" spans="17:25">
      <c r="Q4097" s="6">
        <v>4067</v>
      </c>
      <c r="R4097" s="7">
        <v>46734</v>
      </c>
      <c r="S4097" s="210">
        <v>4.25</v>
      </c>
      <c r="T4097" s="8">
        <v>1.0001180555555556</v>
      </c>
      <c r="U4097" s="98">
        <v>4.2625112412081778</v>
      </c>
      <c r="V4097" s="106">
        <v>36809.115482367357</v>
      </c>
      <c r="W4097" s="10">
        <v>1.1464231209850295</v>
      </c>
      <c r="X4097" s="420"/>
      <c r="Y4097" s="420"/>
    </row>
    <row r="4098" spans="17:25">
      <c r="Q4098" s="6">
        <v>4068</v>
      </c>
      <c r="R4098" s="7">
        <v>46735</v>
      </c>
      <c r="S4098" s="210">
        <v>4.25</v>
      </c>
      <c r="T4098" s="8">
        <v>1.0001180555555556</v>
      </c>
      <c r="U4098" s="98">
        <v>4.2625457404962486</v>
      </c>
      <c r="V4098" s="106">
        <v>36812.179208247384</v>
      </c>
      <c r="W4098" s="10">
        <v>1.1464556929853487</v>
      </c>
      <c r="X4098" s="420"/>
      <c r="Y4098" s="420"/>
    </row>
    <row r="4099" spans="17:25">
      <c r="Q4099" s="6">
        <v>4069</v>
      </c>
      <c r="R4099" s="7">
        <v>46736</v>
      </c>
      <c r="S4099" s="210">
        <v>4.25</v>
      </c>
      <c r="T4099" s="8">
        <v>1.0001180555555556</v>
      </c>
      <c r="U4099" s="98">
        <v>4.2625802228386078</v>
      </c>
      <c r="V4099" s="106">
        <v>36815.243189129898</v>
      </c>
      <c r="W4099" s="10">
        <v>1.1464882489863548</v>
      </c>
      <c r="X4099" s="420"/>
      <c r="Y4099" s="420"/>
    </row>
    <row r="4100" spans="17:25">
      <c r="Q4100" s="6">
        <v>4070</v>
      </c>
      <c r="R4100" s="7">
        <v>46737</v>
      </c>
      <c r="S4100" s="210">
        <v>4.25</v>
      </c>
      <c r="T4100" s="8">
        <v>1.0001180555555556</v>
      </c>
      <c r="U4100" s="98">
        <v>4.2626146882477123</v>
      </c>
      <c r="V4100" s="106">
        <v>36818.307425036131</v>
      </c>
      <c r="W4100" s="10">
        <v>1.1465207889997719</v>
      </c>
      <c r="X4100" s="420"/>
      <c r="Y4100" s="420"/>
    </row>
    <row r="4101" spans="17:25">
      <c r="Q4101" s="6">
        <v>4071</v>
      </c>
      <c r="R4101" s="7">
        <v>46738</v>
      </c>
      <c r="S4101" s="210">
        <v>4.25</v>
      </c>
      <c r="T4101" s="8">
        <v>1.0001180555555556</v>
      </c>
      <c r="U4101" s="98">
        <v>4.2626491367360408</v>
      </c>
      <c r="V4101" s="106">
        <v>36821.371915987307</v>
      </c>
      <c r="W4101" s="10">
        <v>1.1465533130374128</v>
      </c>
      <c r="X4101" s="420"/>
      <c r="Y4101" s="420"/>
    </row>
    <row r="4102" spans="17:25">
      <c r="Q4102" s="6">
        <v>4072</v>
      </c>
      <c r="R4102" s="7">
        <v>46739</v>
      </c>
      <c r="S4102" s="210">
        <v>4.25</v>
      </c>
      <c r="T4102" s="8">
        <v>1.0001180555555556</v>
      </c>
      <c r="U4102" s="98">
        <v>4.2626835683160502</v>
      </c>
      <c r="V4102" s="106">
        <v>36824.436662004664</v>
      </c>
      <c r="W4102" s="10">
        <v>1.1465858211110014</v>
      </c>
      <c r="X4102" s="420"/>
      <c r="Y4102" s="420"/>
    </row>
    <row r="4103" spans="17:25">
      <c r="Q4103" s="6">
        <v>4073</v>
      </c>
      <c r="R4103" s="7">
        <v>46740</v>
      </c>
      <c r="S4103" s="210">
        <v>4.25</v>
      </c>
      <c r="T4103" s="8">
        <v>1.0001180555555556</v>
      </c>
      <c r="U4103" s="98">
        <v>4.2627179830001971</v>
      </c>
      <c r="V4103" s="106">
        <v>36827.501663109411</v>
      </c>
      <c r="W4103" s="10">
        <v>1.1466183132323504</v>
      </c>
      <c r="X4103" s="420"/>
      <c r="Y4103" s="420"/>
    </row>
    <row r="4104" spans="17:25">
      <c r="Q4104" s="6">
        <v>4074</v>
      </c>
      <c r="R4104" s="7">
        <v>46741</v>
      </c>
      <c r="S4104" s="210">
        <v>4.25</v>
      </c>
      <c r="T4104" s="8">
        <v>1.0001180555555556</v>
      </c>
      <c r="U4104" s="98">
        <v>4.2627523808008938</v>
      </c>
      <c r="V4104" s="106">
        <v>36830.56691932281</v>
      </c>
      <c r="W4104" s="10">
        <v>1.1466507894131173</v>
      </c>
      <c r="X4104" s="420"/>
      <c r="Y4104" s="420"/>
    </row>
    <row r="4105" spans="17:25">
      <c r="Q4105" s="6">
        <v>4075</v>
      </c>
      <c r="R4105" s="7">
        <v>46742</v>
      </c>
      <c r="S4105" s="210">
        <v>4.25</v>
      </c>
      <c r="T4105" s="8">
        <v>1.0001180555555556</v>
      </c>
      <c r="U4105" s="98">
        <v>4.2627867617305748</v>
      </c>
      <c r="V4105" s="106">
        <v>36833.632430666068</v>
      </c>
      <c r="W4105" s="10">
        <v>1.1466832496650925</v>
      </c>
      <c r="X4105" s="420"/>
      <c r="Y4105" s="420"/>
    </row>
    <row r="4106" spans="17:25">
      <c r="Q4106" s="6">
        <v>4076</v>
      </c>
      <c r="R4106" s="7">
        <v>46743</v>
      </c>
      <c r="S4106" s="210">
        <v>4.25</v>
      </c>
      <c r="T4106" s="8">
        <v>1.0001180555555556</v>
      </c>
      <c r="U4106" s="98">
        <v>4.2628211258016524</v>
      </c>
      <c r="V4106" s="106">
        <v>36836.698197160425</v>
      </c>
      <c r="W4106" s="10">
        <v>1.1467156939999779</v>
      </c>
      <c r="X4106" s="420"/>
      <c r="Y4106" s="420"/>
    </row>
    <row r="4107" spans="17:25">
      <c r="Q4107" s="6">
        <v>4077</v>
      </c>
      <c r="R4107" s="7">
        <v>46744</v>
      </c>
      <c r="S4107" s="210">
        <v>4.25</v>
      </c>
      <c r="T4107" s="8">
        <v>1.0001180555555556</v>
      </c>
      <c r="U4107" s="98">
        <v>4.2628554730265167</v>
      </c>
      <c r="V4107" s="106">
        <v>36839.764218827135</v>
      </c>
      <c r="W4107" s="10">
        <v>1.1467481224294529</v>
      </c>
      <c r="X4107" s="420"/>
      <c r="Y4107" s="420"/>
    </row>
    <row r="4108" spans="17:25">
      <c r="Q4108" s="6">
        <v>4078</v>
      </c>
      <c r="R4108" s="7">
        <v>46745</v>
      </c>
      <c r="S4108" s="210">
        <v>4.25</v>
      </c>
      <c r="T4108" s="8">
        <v>1.0001180555555556</v>
      </c>
      <c r="U4108" s="98">
        <v>4.2628898034175577</v>
      </c>
      <c r="V4108" s="106">
        <v>36842.83049568742</v>
      </c>
      <c r="W4108" s="10">
        <v>1.1467805349652638</v>
      </c>
      <c r="X4108" s="420"/>
      <c r="Y4108" s="420"/>
    </row>
    <row r="4109" spans="17:25">
      <c r="Q4109" s="6">
        <v>4079</v>
      </c>
      <c r="R4109" s="7">
        <v>46746</v>
      </c>
      <c r="S4109" s="210">
        <v>4.25</v>
      </c>
      <c r="T4109" s="8">
        <v>1.0001180555555556</v>
      </c>
      <c r="U4109" s="98">
        <v>4.2629241169871435</v>
      </c>
      <c r="V4109" s="106">
        <v>36845.897027762519</v>
      </c>
      <c r="W4109" s="10">
        <v>1.1468129316190234</v>
      </c>
      <c r="X4109" s="420"/>
      <c r="Y4109" s="420"/>
    </row>
    <row r="4110" spans="17:25">
      <c r="Q4110" s="6">
        <v>4080</v>
      </c>
      <c r="R4110" s="7">
        <v>46747</v>
      </c>
      <c r="S4110" s="210">
        <v>4.25</v>
      </c>
      <c r="T4110" s="8">
        <v>1.0001180555555556</v>
      </c>
      <c r="U4110" s="98">
        <v>4.2629584137476417</v>
      </c>
      <c r="V4110" s="106">
        <v>36848.963815073686</v>
      </c>
      <c r="W4110" s="10">
        <v>1.146845312402478</v>
      </c>
      <c r="X4110" s="420"/>
      <c r="Y4110" s="420"/>
    </row>
    <row r="4111" spans="17:25">
      <c r="Q4111" s="6">
        <v>4081</v>
      </c>
      <c r="R4111" s="7">
        <v>46748</v>
      </c>
      <c r="S4111" s="210">
        <v>4.25</v>
      </c>
      <c r="T4111" s="8">
        <v>1.0001180555555556</v>
      </c>
      <c r="U4111" s="98">
        <v>4.2629926937113982</v>
      </c>
      <c r="V4111" s="106">
        <v>36852.030857642152</v>
      </c>
      <c r="W4111" s="10">
        <v>1.1468776773272404</v>
      </c>
      <c r="X4111" s="420"/>
      <c r="Y4111" s="420"/>
    </row>
    <row r="4112" spans="17:25">
      <c r="Q4112" s="6">
        <v>4082</v>
      </c>
      <c r="R4112" s="7">
        <v>46749</v>
      </c>
      <c r="S4112" s="210">
        <v>4.25</v>
      </c>
      <c r="T4112" s="8">
        <v>1.0001180555555556</v>
      </c>
      <c r="U4112" s="98">
        <v>4.2630269568907586</v>
      </c>
      <c r="V4112" s="106">
        <v>36855.098155489177</v>
      </c>
      <c r="W4112" s="10">
        <v>1.1469100264049681</v>
      </c>
      <c r="X4112" s="420"/>
      <c r="Y4112" s="420"/>
    </row>
    <row r="4113" spans="17:25">
      <c r="Q4113" s="6">
        <v>4083</v>
      </c>
      <c r="R4113" s="7">
        <v>46750</v>
      </c>
      <c r="S4113" s="210">
        <v>4.25</v>
      </c>
      <c r="T4113" s="8">
        <v>1.0001180555555556</v>
      </c>
      <c r="U4113" s="98">
        <v>4.2630612032980242</v>
      </c>
      <c r="V4113" s="106">
        <v>36858.165708636006</v>
      </c>
      <c r="W4113" s="10">
        <v>1.1469423596472739</v>
      </c>
      <c r="X4113" s="420"/>
      <c r="Y4113" s="420"/>
    </row>
    <row r="4114" spans="17:25">
      <c r="Q4114" s="6">
        <v>4084</v>
      </c>
      <c r="R4114" s="7">
        <v>46751</v>
      </c>
      <c r="S4114" s="210">
        <v>4.25</v>
      </c>
      <c r="T4114" s="8">
        <v>1.0001180555555556</v>
      </c>
      <c r="U4114" s="98">
        <v>4.2630954329455184</v>
      </c>
      <c r="V4114" s="106">
        <v>36861.233517103872</v>
      </c>
      <c r="W4114" s="10">
        <v>1.1469746770658373</v>
      </c>
      <c r="X4114" s="420"/>
      <c r="Y4114" s="420"/>
    </row>
    <row r="4115" spans="17:25">
      <c r="Q4115" s="6">
        <v>4085</v>
      </c>
      <c r="R4115" s="7">
        <v>46752</v>
      </c>
      <c r="S4115" s="210">
        <v>4.25</v>
      </c>
      <c r="T4115" s="8">
        <v>1.0001180555555556</v>
      </c>
      <c r="U4115" s="98">
        <v>4.2631296458455425</v>
      </c>
      <c r="V4115" s="106">
        <v>36864.301580914042</v>
      </c>
      <c r="W4115" s="10">
        <v>1.1470069786722048</v>
      </c>
      <c r="X4115" s="420"/>
      <c r="Y4115" s="420"/>
    </row>
    <row r="4116" spans="17:25">
      <c r="Q4116" s="6">
        <v>4086</v>
      </c>
      <c r="R4116" s="7">
        <v>46753</v>
      </c>
      <c r="S4116" s="210">
        <v>4.25</v>
      </c>
      <c r="T4116" s="8">
        <v>1.0001180555555556</v>
      </c>
      <c r="U4116" s="98">
        <v>4.2631638420103757</v>
      </c>
      <c r="V4116" s="106">
        <v>36867.36990008776</v>
      </c>
      <c r="W4116" s="10">
        <v>1.1470392644780336</v>
      </c>
      <c r="X4116" s="420"/>
      <c r="Y4116" s="420"/>
    </row>
    <row r="4117" spans="17:25">
      <c r="Q4117" s="6">
        <v>4087</v>
      </c>
      <c r="R4117" s="7">
        <v>46754</v>
      </c>
      <c r="S4117" s="210">
        <v>4.25</v>
      </c>
      <c r="T4117" s="8">
        <v>1.0001180555555556</v>
      </c>
      <c r="U4117" s="98">
        <v>4.2631980214522969</v>
      </c>
      <c r="V4117" s="106">
        <v>36870.438474646297</v>
      </c>
      <c r="W4117" s="10">
        <v>1.1470715344948701</v>
      </c>
      <c r="X4117" s="420"/>
      <c r="Y4117" s="420"/>
    </row>
    <row r="4118" spans="17:25">
      <c r="Q4118" s="6">
        <v>4088</v>
      </c>
      <c r="R4118" s="7">
        <v>46755</v>
      </c>
      <c r="S4118" s="210">
        <v>4.25</v>
      </c>
      <c r="T4118" s="8">
        <v>1.0001180555555556</v>
      </c>
      <c r="U4118" s="98">
        <v>4.2632321841835852</v>
      </c>
      <c r="V4118" s="106">
        <v>36873.507304610888</v>
      </c>
      <c r="W4118" s="10">
        <v>1.1471037887343272</v>
      </c>
      <c r="X4118" s="420"/>
      <c r="Y4118" s="420"/>
    </row>
    <row r="4119" spans="17:25">
      <c r="Q4119" s="6">
        <v>4089</v>
      </c>
      <c r="R4119" s="7">
        <v>46756</v>
      </c>
      <c r="S4119" s="210">
        <v>4.25</v>
      </c>
      <c r="T4119" s="8">
        <v>1.0001180555555556</v>
      </c>
      <c r="U4119" s="98">
        <v>4.2632663302164753</v>
      </c>
      <c r="V4119" s="106">
        <v>36876.576390002803</v>
      </c>
      <c r="W4119" s="10">
        <v>1.1471360272079512</v>
      </c>
      <c r="X4119" s="420"/>
      <c r="Y4119" s="420"/>
    </row>
    <row r="4120" spans="17:25">
      <c r="Q4120" s="6">
        <v>4090</v>
      </c>
      <c r="R4120" s="7">
        <v>46757</v>
      </c>
      <c r="S4120" s="210">
        <v>4.25</v>
      </c>
      <c r="T4120" s="8">
        <v>1.0001180555555556</v>
      </c>
      <c r="U4120" s="98">
        <v>4.263300459563224</v>
      </c>
      <c r="V4120" s="106">
        <v>36879.645730843302</v>
      </c>
      <c r="W4120" s="10">
        <v>1.1471682499273328</v>
      </c>
      <c r="X4120" s="420"/>
      <c r="Y4120" s="420"/>
    </row>
    <row r="4121" spans="17:25">
      <c r="Q4121" s="6">
        <v>4091</v>
      </c>
      <c r="R4121" s="7">
        <v>46758</v>
      </c>
      <c r="S4121" s="210">
        <v>4.25</v>
      </c>
      <c r="T4121" s="8">
        <v>1.0001180555555556</v>
      </c>
      <c r="U4121" s="98">
        <v>4.2633345722360438</v>
      </c>
      <c r="V4121" s="106">
        <v>36882.715327153637</v>
      </c>
      <c r="W4121" s="10">
        <v>1.147200456903974</v>
      </c>
      <c r="X4121" s="420"/>
      <c r="Y4121" s="420"/>
    </row>
    <row r="4122" spans="17:25">
      <c r="Q4122" s="6">
        <v>4092</v>
      </c>
      <c r="R4122" s="7">
        <v>46759</v>
      </c>
      <c r="S4122" s="210">
        <v>4.25</v>
      </c>
      <c r="T4122" s="8">
        <v>1.0001180555555556</v>
      </c>
      <c r="U4122" s="98">
        <v>4.2633686682471472</v>
      </c>
      <c r="V4122" s="106">
        <v>36885.785178955091</v>
      </c>
      <c r="W4122" s="10">
        <v>1.1472326481494211</v>
      </c>
      <c r="X4122" s="420"/>
      <c r="Y4122" s="420"/>
    </row>
    <row r="4123" spans="17:25">
      <c r="Q4123" s="6">
        <v>4093</v>
      </c>
      <c r="R4123" s="7">
        <v>46760</v>
      </c>
      <c r="S4123" s="210">
        <v>4.25</v>
      </c>
      <c r="T4123" s="8">
        <v>1.0001180555555556</v>
      </c>
      <c r="U4123" s="98">
        <v>4.2634027476087466</v>
      </c>
      <c r="V4123" s="106">
        <v>36888.85528626891</v>
      </c>
      <c r="W4123" s="10">
        <v>1.1472648236751981</v>
      </c>
      <c r="X4123" s="420"/>
      <c r="Y4123" s="420"/>
    </row>
    <row r="4124" spans="17:25">
      <c r="Q4124" s="6">
        <v>4094</v>
      </c>
      <c r="R4124" s="7">
        <v>46761</v>
      </c>
      <c r="S4124" s="210">
        <v>4.25</v>
      </c>
      <c r="T4124" s="8">
        <v>1.0001180555555556</v>
      </c>
      <c r="U4124" s="98">
        <v>4.2634368103330322</v>
      </c>
      <c r="V4124" s="106">
        <v>36891.925649116369</v>
      </c>
      <c r="W4124" s="10">
        <v>1.1472969834928293</v>
      </c>
      <c r="X4124" s="420"/>
      <c r="Y4124" s="420"/>
    </row>
    <row r="4125" spans="17:25">
      <c r="Q4125" s="6">
        <v>4095</v>
      </c>
      <c r="R4125" s="7">
        <v>46762</v>
      </c>
      <c r="S4125" s="210">
        <v>4.25</v>
      </c>
      <c r="T4125" s="8">
        <v>1.0001180555555556</v>
      </c>
      <c r="U4125" s="98">
        <v>4.2634708564321944</v>
      </c>
      <c r="V4125" s="106">
        <v>36894.996267518734</v>
      </c>
      <c r="W4125" s="10">
        <v>1.1473291276138164</v>
      </c>
      <c r="X4125" s="420"/>
      <c r="Y4125" s="420"/>
    </row>
    <row r="4126" spans="17:25">
      <c r="Q4126" s="6">
        <v>4096</v>
      </c>
      <c r="R4126" s="7">
        <v>46763</v>
      </c>
      <c r="S4126" s="210">
        <v>4.25</v>
      </c>
      <c r="T4126" s="8">
        <v>1.0001180555555556</v>
      </c>
      <c r="U4126" s="98">
        <v>4.263504885918401</v>
      </c>
      <c r="V4126" s="106">
        <v>36898.067141497282</v>
      </c>
      <c r="W4126" s="10">
        <v>1.1473612560496393</v>
      </c>
      <c r="X4126" s="420"/>
      <c r="Y4126" s="420"/>
    </row>
    <row r="4127" spans="17:25">
      <c r="Q4127" s="6">
        <v>4097</v>
      </c>
      <c r="R4127" s="7">
        <v>46764</v>
      </c>
      <c r="S4127" s="210">
        <v>4.25</v>
      </c>
      <c r="T4127" s="8">
        <v>1.0001180555555556</v>
      </c>
      <c r="U4127" s="98">
        <v>4.2635388988037981</v>
      </c>
      <c r="V4127" s="106">
        <v>36901.13827107328</v>
      </c>
      <c r="W4127" s="10">
        <v>1.1473933688117777</v>
      </c>
      <c r="X4127" s="420"/>
      <c r="Y4127" s="420"/>
    </row>
    <row r="4128" spans="17:25">
      <c r="Q4128" s="6">
        <v>4098</v>
      </c>
      <c r="R4128" s="7">
        <v>46765</v>
      </c>
      <c r="S4128" s="210">
        <v>4.25</v>
      </c>
      <c r="T4128" s="8">
        <v>1.0001180555555556</v>
      </c>
      <c r="U4128" s="98">
        <v>4.2635728951005314</v>
      </c>
      <c r="V4128" s="106">
        <v>36904.209656267994</v>
      </c>
      <c r="W4128" s="10">
        <v>1.1474254659117111</v>
      </c>
      <c r="X4128" s="420"/>
      <c r="Y4128" s="420"/>
    </row>
    <row r="4129" spans="17:25">
      <c r="Q4129" s="6">
        <v>4099</v>
      </c>
      <c r="R4129" s="7">
        <v>46766</v>
      </c>
      <c r="S4129" s="210">
        <v>4.25</v>
      </c>
      <c r="T4129" s="8">
        <v>1.0001180555555556</v>
      </c>
      <c r="U4129" s="98">
        <v>4.2636068748207467</v>
      </c>
      <c r="V4129" s="106">
        <v>36907.281297102716</v>
      </c>
      <c r="W4129" s="10">
        <v>1.147457547360875</v>
      </c>
      <c r="X4129" s="420"/>
      <c r="Y4129" s="420"/>
    </row>
    <row r="4130" spans="17:25">
      <c r="Q4130" s="6">
        <v>4100</v>
      </c>
      <c r="R4130" s="7">
        <v>46767</v>
      </c>
      <c r="S4130" s="210">
        <v>4.25</v>
      </c>
      <c r="T4130" s="8">
        <v>1.0001180555555556</v>
      </c>
      <c r="U4130" s="98">
        <v>4.2636408379765456</v>
      </c>
      <c r="V4130" s="106">
        <v>36910.353193598719</v>
      </c>
      <c r="W4130" s="10">
        <v>1.1474896131707046</v>
      </c>
      <c r="X4130" s="420"/>
      <c r="Y4130" s="420"/>
    </row>
    <row r="4131" spans="17:25">
      <c r="Q4131" s="6">
        <v>4101</v>
      </c>
      <c r="R4131" s="7">
        <v>46768</v>
      </c>
      <c r="S4131" s="210">
        <v>4.25</v>
      </c>
      <c r="T4131" s="8">
        <v>1.0001180555555556</v>
      </c>
      <c r="U4131" s="98">
        <v>4.2636747845800516</v>
      </c>
      <c r="V4131" s="106">
        <v>36913.425345777272</v>
      </c>
      <c r="W4131" s="10">
        <v>1.1475216633526575</v>
      </c>
      <c r="X4131" s="420"/>
      <c r="Y4131" s="420"/>
    </row>
    <row r="4132" spans="17:25">
      <c r="Q4132" s="6">
        <v>4102</v>
      </c>
      <c r="R4132" s="7">
        <v>46769</v>
      </c>
      <c r="S4132" s="210">
        <v>4.25</v>
      </c>
      <c r="T4132" s="8">
        <v>1.0001180555555556</v>
      </c>
      <c r="U4132" s="98">
        <v>4.2637087146433439</v>
      </c>
      <c r="V4132" s="106">
        <v>36916.497753659671</v>
      </c>
      <c r="W4132" s="10">
        <v>1.1475536979181244</v>
      </c>
      <c r="X4132" s="420"/>
      <c r="Y4132" s="420"/>
    </row>
    <row r="4133" spans="17:25">
      <c r="Q4133" s="6">
        <v>4103</v>
      </c>
      <c r="R4133" s="7">
        <v>46770</v>
      </c>
      <c r="S4133" s="210">
        <v>4.25</v>
      </c>
      <c r="T4133" s="8">
        <v>1.0001180555555556</v>
      </c>
      <c r="U4133" s="98">
        <v>4.263742628178524</v>
      </c>
      <c r="V4133" s="106">
        <v>36919.57041726719</v>
      </c>
      <c r="W4133" s="10">
        <v>1.147585716878563</v>
      </c>
      <c r="X4133" s="420"/>
      <c r="Y4133" s="420"/>
    </row>
    <row r="4134" spans="17:25">
      <c r="Q4134" s="6">
        <v>4104</v>
      </c>
      <c r="R4134" s="7">
        <v>46771</v>
      </c>
      <c r="S4134" s="210">
        <v>4.25</v>
      </c>
      <c r="T4134" s="8">
        <v>1.0001180555555556</v>
      </c>
      <c r="U4134" s="98">
        <v>4.2637765251976711</v>
      </c>
      <c r="V4134" s="106">
        <v>36922.643336621113</v>
      </c>
      <c r="W4134" s="10">
        <v>1.1476177202453419</v>
      </c>
      <c r="X4134" s="420"/>
      <c r="Y4134" s="420"/>
    </row>
    <row r="4135" spans="17:25">
      <c r="Q4135" s="6">
        <v>4105</v>
      </c>
      <c r="R4135" s="7">
        <v>46772</v>
      </c>
      <c r="S4135" s="210">
        <v>4.25</v>
      </c>
      <c r="T4135" s="8">
        <v>1.0001180555555556</v>
      </c>
      <c r="U4135" s="98">
        <v>4.2638104057128423</v>
      </c>
      <c r="V4135" s="106">
        <v>36925.716511742728</v>
      </c>
      <c r="W4135" s="10">
        <v>1.147649708029852</v>
      </c>
      <c r="X4135" s="420"/>
      <c r="Y4135" s="420"/>
    </row>
    <row r="4136" spans="17:25">
      <c r="Q4136" s="6">
        <v>4106</v>
      </c>
      <c r="R4136" s="7">
        <v>46773</v>
      </c>
      <c r="S4136" s="210">
        <v>4.25</v>
      </c>
      <c r="T4136" s="8">
        <v>1.0001180555555556</v>
      </c>
      <c r="U4136" s="98">
        <v>4.2638442697360723</v>
      </c>
      <c r="V4136" s="106">
        <v>36928.789942653326</v>
      </c>
      <c r="W4136" s="10">
        <v>1.1476816802434842</v>
      </c>
      <c r="X4136" s="420"/>
      <c r="Y4136" s="420"/>
    </row>
    <row r="4137" spans="17:25">
      <c r="Q4137" s="6">
        <v>4107</v>
      </c>
      <c r="R4137" s="7">
        <v>46774</v>
      </c>
      <c r="S4137" s="210">
        <v>4.25</v>
      </c>
      <c r="T4137" s="8">
        <v>1.0001180555555556</v>
      </c>
      <c r="U4137" s="98">
        <v>4.2638781172794182</v>
      </c>
      <c r="V4137" s="106">
        <v>36931.863629374202</v>
      </c>
      <c r="W4137" s="10">
        <v>1.1477136368975849</v>
      </c>
      <c r="X4137" s="420"/>
      <c r="Y4137" s="420"/>
    </row>
    <row r="4138" spans="17:25">
      <c r="Q4138" s="6">
        <v>4108</v>
      </c>
      <c r="R4138" s="7">
        <v>46775</v>
      </c>
      <c r="S4138" s="210">
        <v>4.25</v>
      </c>
      <c r="T4138" s="8">
        <v>1.0001180555555556</v>
      </c>
      <c r="U4138" s="98">
        <v>4.2639119483548926</v>
      </c>
      <c r="V4138" s="106">
        <v>36934.937571926639</v>
      </c>
      <c r="W4138" s="10">
        <v>1.1477455780035006</v>
      </c>
      <c r="X4138" s="420"/>
      <c r="Y4138" s="420"/>
    </row>
    <row r="4139" spans="17:25">
      <c r="Q4139" s="6">
        <v>4109</v>
      </c>
      <c r="R4139" s="7">
        <v>46776</v>
      </c>
      <c r="S4139" s="210">
        <v>4.25</v>
      </c>
      <c r="T4139" s="8">
        <v>1.0001180555555556</v>
      </c>
      <c r="U4139" s="98">
        <v>4.2639457629745303</v>
      </c>
      <c r="V4139" s="106">
        <v>36938.011770331927</v>
      </c>
      <c r="W4139" s="10">
        <v>1.1477775035726223</v>
      </c>
      <c r="X4139" s="420"/>
      <c r="Y4139" s="420"/>
    </row>
    <row r="4140" spans="17:25">
      <c r="Q4140" s="6">
        <v>4110</v>
      </c>
      <c r="R4140" s="7">
        <v>46777</v>
      </c>
      <c r="S4140" s="210">
        <v>4.25</v>
      </c>
      <c r="T4140" s="8">
        <v>1.0001180555555556</v>
      </c>
      <c r="U4140" s="98">
        <v>4.2639795611503217</v>
      </c>
      <c r="V4140" s="106">
        <v>36941.086224611368</v>
      </c>
      <c r="W4140" s="10">
        <v>1.147809413616252</v>
      </c>
      <c r="X4140" s="420"/>
      <c r="Y4140" s="420"/>
    </row>
    <row r="4141" spans="17:25">
      <c r="Q4141" s="6">
        <v>4111</v>
      </c>
      <c r="R4141" s="7">
        <v>46778</v>
      </c>
      <c r="S4141" s="210">
        <v>4.25</v>
      </c>
      <c r="T4141" s="8">
        <v>1.0001180555555556</v>
      </c>
      <c r="U4141" s="98">
        <v>4.2640133428942573</v>
      </c>
      <c r="V4141" s="106">
        <v>36944.160934786261</v>
      </c>
      <c r="W4141" s="10">
        <v>1.1478413081457139</v>
      </c>
      <c r="X4141" s="420"/>
      <c r="Y4141" s="420"/>
    </row>
    <row r="4142" spans="17:25">
      <c r="Q4142" s="6">
        <v>4112</v>
      </c>
      <c r="R4142" s="7">
        <v>46779</v>
      </c>
      <c r="S4142" s="210">
        <v>4.25</v>
      </c>
      <c r="T4142" s="8">
        <v>1.0001180555555556</v>
      </c>
      <c r="U4142" s="98">
        <v>4.2640471082183273</v>
      </c>
      <c r="V4142" s="106">
        <v>36947.235900877902</v>
      </c>
      <c r="W4142" s="10">
        <v>1.1478731871723324</v>
      </c>
      <c r="X4142" s="420"/>
      <c r="Y4142" s="420"/>
    </row>
    <row r="4143" spans="17:25">
      <c r="Q4143" s="6">
        <v>4113</v>
      </c>
      <c r="R4143" s="7">
        <v>46780</v>
      </c>
      <c r="S4143" s="210">
        <v>4.25</v>
      </c>
      <c r="T4143" s="8">
        <v>1.0001180555555556</v>
      </c>
      <c r="U4143" s="98">
        <v>4.2640808571345001</v>
      </c>
      <c r="V4143" s="106">
        <v>36950.311122907588</v>
      </c>
      <c r="W4143" s="10">
        <v>1.1479050507074096</v>
      </c>
      <c r="X4143" s="420"/>
      <c r="Y4143" s="420"/>
    </row>
    <row r="4144" spans="17:25">
      <c r="Q4144" s="6">
        <v>4114</v>
      </c>
      <c r="R4144" s="7">
        <v>46781</v>
      </c>
      <c r="S4144" s="210">
        <v>4.25</v>
      </c>
      <c r="T4144" s="8">
        <v>1.0001180555555556</v>
      </c>
      <c r="U4144" s="98">
        <v>4.2641145896547217</v>
      </c>
      <c r="V4144" s="106">
        <v>36953.386600896629</v>
      </c>
      <c r="W4144" s="10">
        <v>1.147936898762203</v>
      </c>
      <c r="X4144" s="420"/>
      <c r="Y4144" s="420"/>
    </row>
    <row r="4145" spans="17:25">
      <c r="Q4145" s="6">
        <v>4115</v>
      </c>
      <c r="R4145" s="7">
        <v>46782</v>
      </c>
      <c r="S4145" s="210">
        <v>4.25</v>
      </c>
      <c r="T4145" s="8">
        <v>1.0001180555555556</v>
      </c>
      <c r="U4145" s="98">
        <v>4.264148305790938</v>
      </c>
      <c r="V4145" s="106">
        <v>36956.46233486633</v>
      </c>
      <c r="W4145" s="10">
        <v>1.1479687313480147</v>
      </c>
      <c r="X4145" s="420"/>
      <c r="Y4145" s="420"/>
    </row>
    <row r="4146" spans="17:25">
      <c r="Q4146" s="6">
        <v>4116</v>
      </c>
      <c r="R4146" s="7">
        <v>46783</v>
      </c>
      <c r="S4146" s="210">
        <v>4.25</v>
      </c>
      <c r="T4146" s="8">
        <v>1.0001180555555556</v>
      </c>
      <c r="U4146" s="98">
        <v>4.264182005555095</v>
      </c>
      <c r="V4146" s="106">
        <v>36959.53832483798</v>
      </c>
      <c r="W4146" s="10">
        <v>1.1480005484761024</v>
      </c>
      <c r="X4146" s="420"/>
      <c r="Y4146" s="420"/>
    </row>
    <row r="4147" spans="17:25">
      <c r="Q4147" s="6">
        <v>4117</v>
      </c>
      <c r="R4147" s="7">
        <v>46784</v>
      </c>
      <c r="S4147" s="210">
        <v>4.25</v>
      </c>
      <c r="T4147" s="8">
        <v>1.0001180555555556</v>
      </c>
      <c r="U4147" s="98">
        <v>4.2642156889590943</v>
      </c>
      <c r="V4147" s="106">
        <v>36962.614570832913</v>
      </c>
      <c r="W4147" s="10">
        <v>1.1480323501577461</v>
      </c>
      <c r="X4147" s="420"/>
      <c r="Y4147" s="420"/>
    </row>
    <row r="4148" spans="17:25">
      <c r="Q4148" s="6">
        <v>4118</v>
      </c>
      <c r="R4148" s="7">
        <v>46785</v>
      </c>
      <c r="S4148" s="210">
        <v>4.25</v>
      </c>
      <c r="T4148" s="8">
        <v>1.0001180555555556</v>
      </c>
      <c r="U4148" s="98">
        <v>4.2642493560148598</v>
      </c>
      <c r="V4148" s="106">
        <v>36965.691072872411</v>
      </c>
      <c r="W4148" s="10">
        <v>1.1480641364041588</v>
      </c>
      <c r="X4148" s="420"/>
      <c r="Y4148" s="420"/>
    </row>
    <row r="4149" spans="17:25">
      <c r="Q4149" s="6">
        <v>4119</v>
      </c>
      <c r="R4149" s="7">
        <v>46786</v>
      </c>
      <c r="S4149" s="210">
        <v>4.25</v>
      </c>
      <c r="T4149" s="8">
        <v>1.0001180555555556</v>
      </c>
      <c r="U4149" s="98">
        <v>4.2642830067342929</v>
      </c>
      <c r="V4149" s="106">
        <v>36968.767830977806</v>
      </c>
      <c r="W4149" s="10">
        <v>1.1480959072265762</v>
      </c>
      <c r="X4149" s="420"/>
      <c r="Y4149" s="420"/>
    </row>
    <row r="4150" spans="17:25">
      <c r="Q4150" s="6">
        <v>4120</v>
      </c>
      <c r="R4150" s="7">
        <v>46787</v>
      </c>
      <c r="S4150" s="210">
        <v>4.25</v>
      </c>
      <c r="T4150" s="8">
        <v>1.0001180555555556</v>
      </c>
      <c r="U4150" s="98">
        <v>4.2643166411292732</v>
      </c>
      <c r="V4150" s="106">
        <v>36971.844845170403</v>
      </c>
      <c r="W4150" s="10">
        <v>1.1481276626362558</v>
      </c>
      <c r="X4150" s="420"/>
      <c r="Y4150" s="420"/>
    </row>
    <row r="4151" spans="17:25">
      <c r="Q4151" s="6">
        <v>4121</v>
      </c>
      <c r="R4151" s="7">
        <v>46788</v>
      </c>
      <c r="S4151" s="210">
        <v>4.25</v>
      </c>
      <c r="T4151" s="8">
        <v>1.0001180555555556</v>
      </c>
      <c r="U4151" s="98">
        <v>4.26435025921168</v>
      </c>
      <c r="V4151" s="106">
        <v>36974.92211547152</v>
      </c>
      <c r="W4151" s="10">
        <v>1.1481594026443664</v>
      </c>
      <c r="X4151" s="420"/>
      <c r="Y4151" s="420"/>
    </row>
    <row r="4152" spans="17:25">
      <c r="Q4152" s="6">
        <v>4122</v>
      </c>
      <c r="R4152" s="7">
        <v>46789</v>
      </c>
      <c r="S4152" s="210">
        <v>4.25</v>
      </c>
      <c r="T4152" s="8">
        <v>1.0001180555555556</v>
      </c>
      <c r="U4152" s="98">
        <v>4.2643838609933926</v>
      </c>
      <c r="V4152" s="106">
        <v>36977.999641902476</v>
      </c>
      <c r="W4152" s="10">
        <v>1.1481911272621659</v>
      </c>
      <c r="X4152" s="420"/>
      <c r="Y4152" s="420"/>
    </row>
    <row r="4153" spans="17:25">
      <c r="Q4153" s="6">
        <v>4123</v>
      </c>
      <c r="R4153" s="7">
        <v>46790</v>
      </c>
      <c r="S4153" s="210">
        <v>4.25</v>
      </c>
      <c r="T4153" s="8">
        <v>1.0001180555555556</v>
      </c>
      <c r="U4153" s="98">
        <v>4.2644174464862461</v>
      </c>
      <c r="V4153" s="106">
        <v>36981.077424484582</v>
      </c>
      <c r="W4153" s="10">
        <v>1.1482228365008007</v>
      </c>
      <c r="X4153" s="420"/>
      <c r="Y4153" s="420"/>
    </row>
    <row r="4154" spans="17:25">
      <c r="Q4154" s="6">
        <v>4124</v>
      </c>
      <c r="R4154" s="7">
        <v>46791</v>
      </c>
      <c r="S4154" s="210">
        <v>4.25</v>
      </c>
      <c r="T4154" s="8">
        <v>1.0001180555555556</v>
      </c>
      <c r="U4154" s="98">
        <v>4.2644510157020754</v>
      </c>
      <c r="V4154" s="106">
        <v>36984.155463239156</v>
      </c>
      <c r="W4154" s="10">
        <v>1.148254530371462</v>
      </c>
      <c r="X4154" s="420"/>
      <c r="Y4154" s="420"/>
    </row>
    <row r="4155" spans="17:25">
      <c r="Q4155" s="6">
        <v>4125</v>
      </c>
      <c r="R4155" s="7">
        <v>46792</v>
      </c>
      <c r="S4155" s="210">
        <v>4.25</v>
      </c>
      <c r="T4155" s="8">
        <v>1.0001180555555556</v>
      </c>
      <c r="U4155" s="98">
        <v>4.2644845686527377</v>
      </c>
      <c r="V4155" s="106">
        <v>36987.233758187525</v>
      </c>
      <c r="W4155" s="10">
        <v>1.1482862088853407</v>
      </c>
      <c r="X4155" s="420"/>
      <c r="Y4155" s="420"/>
    </row>
    <row r="4156" spans="17:25">
      <c r="Q4156" s="6">
        <v>4126</v>
      </c>
      <c r="R4156" s="7">
        <v>46793</v>
      </c>
      <c r="S4156" s="210">
        <v>4.25</v>
      </c>
      <c r="T4156" s="8">
        <v>1.0001180555555556</v>
      </c>
      <c r="U4156" s="98">
        <v>4.2645181053500236</v>
      </c>
      <c r="V4156" s="106">
        <v>36990.312309351022</v>
      </c>
      <c r="W4156" s="10">
        <v>1.1483178720535614</v>
      </c>
      <c r="X4156" s="420"/>
      <c r="Y4156" s="420"/>
    </row>
    <row r="4157" spans="17:25">
      <c r="Q4157" s="6">
        <v>4127</v>
      </c>
      <c r="R4157" s="7">
        <v>46794</v>
      </c>
      <c r="S4157" s="210">
        <v>4.25</v>
      </c>
      <c r="T4157" s="8">
        <v>1.0001180555555556</v>
      </c>
      <c r="U4157" s="98">
        <v>4.2645516258057459</v>
      </c>
      <c r="V4157" s="106">
        <v>36993.391116750958</v>
      </c>
      <c r="W4157" s="10">
        <v>1.1483495198872706</v>
      </c>
      <c r="X4157" s="420"/>
      <c r="Y4157" s="420"/>
    </row>
    <row r="4158" spans="17:25">
      <c r="Q4158" s="6">
        <v>4128</v>
      </c>
      <c r="R4158" s="7">
        <v>46795</v>
      </c>
      <c r="S4158" s="210">
        <v>4.25</v>
      </c>
      <c r="T4158" s="8">
        <v>1.0001180555555556</v>
      </c>
      <c r="U4158" s="98">
        <v>4.2645851300317172</v>
      </c>
      <c r="V4158" s="106">
        <v>36996.470180408665</v>
      </c>
      <c r="W4158" s="10">
        <v>1.1483811523976595</v>
      </c>
      <c r="X4158" s="420"/>
      <c r="Y4158" s="420"/>
    </row>
    <row r="4159" spans="17:25">
      <c r="Q4159" s="6">
        <v>4129</v>
      </c>
      <c r="R4159" s="7">
        <v>46796</v>
      </c>
      <c r="S4159" s="210">
        <v>4.25</v>
      </c>
      <c r="T4159" s="8">
        <v>1.0001180555555556</v>
      </c>
      <c r="U4159" s="98">
        <v>4.2646186180397061</v>
      </c>
      <c r="V4159" s="106">
        <v>36999.549500345471</v>
      </c>
      <c r="W4159" s="10">
        <v>1.1484127695957858</v>
      </c>
      <c r="X4159" s="420"/>
      <c r="Y4159" s="420"/>
    </row>
    <row r="4160" spans="17:25">
      <c r="Q4160" s="6">
        <v>4130</v>
      </c>
      <c r="R4160" s="7">
        <v>46797</v>
      </c>
      <c r="S4160" s="210">
        <v>4.25</v>
      </c>
      <c r="T4160" s="8">
        <v>1.0001180555555556</v>
      </c>
      <c r="U4160" s="98">
        <v>4.264652089841503</v>
      </c>
      <c r="V4160" s="106">
        <v>37002.629076582707</v>
      </c>
      <c r="W4160" s="10">
        <v>1.1484443714928183</v>
      </c>
      <c r="X4160" s="420"/>
      <c r="Y4160" s="420"/>
    </row>
    <row r="4161" spans="17:25">
      <c r="Q4161" s="6">
        <v>4131</v>
      </c>
      <c r="R4161" s="7">
        <v>46798</v>
      </c>
      <c r="S4161" s="210">
        <v>4.25</v>
      </c>
      <c r="T4161" s="8">
        <v>1.0001180555555556</v>
      </c>
      <c r="U4161" s="98">
        <v>4.2646855454488541</v>
      </c>
      <c r="V4161" s="106">
        <v>37005.708909141715</v>
      </c>
      <c r="W4161" s="10">
        <v>1.1484759580998372</v>
      </c>
      <c r="X4161" s="420"/>
      <c r="Y4161" s="420"/>
    </row>
    <row r="4162" spans="17:25">
      <c r="Q4162" s="6">
        <v>4132</v>
      </c>
      <c r="R4162" s="7">
        <v>46799</v>
      </c>
      <c r="S4162" s="210">
        <v>4.25</v>
      </c>
      <c r="T4162" s="8">
        <v>1.0001180555555556</v>
      </c>
      <c r="U4162" s="98">
        <v>4.2647189848735056</v>
      </c>
      <c r="V4162" s="106">
        <v>37008.788998043819</v>
      </c>
      <c r="W4162" s="10">
        <v>1.1485075294279223</v>
      </c>
      <c r="X4162" s="420"/>
      <c r="Y4162" s="420"/>
    </row>
    <row r="4163" spans="17:25">
      <c r="Q4163" s="6">
        <v>4133</v>
      </c>
      <c r="R4163" s="7">
        <v>46800</v>
      </c>
      <c r="S4163" s="210">
        <v>4.25</v>
      </c>
      <c r="T4163" s="8">
        <v>1.0001180555555556</v>
      </c>
      <c r="U4163" s="98">
        <v>4.2647524081272037</v>
      </c>
      <c r="V4163" s="106">
        <v>37011.869343310354</v>
      </c>
      <c r="W4163" s="10">
        <v>1.1485390854881983</v>
      </c>
      <c r="X4163" s="420"/>
      <c r="Y4163" s="420"/>
    </row>
    <row r="4164" spans="17:25">
      <c r="Q4164" s="6">
        <v>4134</v>
      </c>
      <c r="R4164" s="7">
        <v>46801</v>
      </c>
      <c r="S4164" s="210">
        <v>4.25</v>
      </c>
      <c r="T4164" s="8">
        <v>1.0001180555555556</v>
      </c>
      <c r="U4164" s="98">
        <v>4.2647858152216722</v>
      </c>
      <c r="V4164" s="106">
        <v>37014.94994496266</v>
      </c>
      <c r="W4164" s="10">
        <v>1.1485706262917006</v>
      </c>
      <c r="X4164" s="420"/>
      <c r="Y4164" s="420"/>
    </row>
    <row r="4165" spans="17:25">
      <c r="Q4165" s="6">
        <v>4135</v>
      </c>
      <c r="R4165" s="7">
        <v>46802</v>
      </c>
      <c r="S4165" s="210">
        <v>4.25</v>
      </c>
      <c r="T4165" s="8">
        <v>1.0001180555555556</v>
      </c>
      <c r="U4165" s="98">
        <v>4.2648192061686352</v>
      </c>
      <c r="V4165" s="106">
        <v>37018.030803022084</v>
      </c>
      <c r="W4165" s="10">
        <v>1.1486021518494871</v>
      </c>
      <c r="X4165" s="420"/>
      <c r="Y4165" s="420"/>
    </row>
    <row r="4166" spans="17:25">
      <c r="Q4166" s="6">
        <v>4136</v>
      </c>
      <c r="R4166" s="7">
        <v>46803</v>
      </c>
      <c r="S4166" s="210">
        <v>4.25</v>
      </c>
      <c r="T4166" s="8">
        <v>1.0001180555555556</v>
      </c>
      <c r="U4166" s="98">
        <v>4.2648525809797944</v>
      </c>
      <c r="V4166" s="106">
        <v>37021.111917509959</v>
      </c>
      <c r="W4166" s="10">
        <v>1.1486336621726601</v>
      </c>
      <c r="X4166" s="420"/>
      <c r="Y4166" s="420"/>
    </row>
    <row r="4167" spans="17:25">
      <c r="Q4167" s="6">
        <v>4137</v>
      </c>
      <c r="R4167" s="7">
        <v>46804</v>
      </c>
      <c r="S4167" s="210">
        <v>4.25</v>
      </c>
      <c r="T4167" s="8">
        <v>1.0001180555555556</v>
      </c>
      <c r="U4167" s="98">
        <v>4.2648859396668293</v>
      </c>
      <c r="V4167" s="106">
        <v>37024.193288447634</v>
      </c>
      <c r="W4167" s="10">
        <v>1.1486651572722106</v>
      </c>
      <c r="X4167" s="420"/>
      <c r="Y4167" s="420"/>
    </row>
    <row r="4168" spans="17:25">
      <c r="Q4168" s="6">
        <v>4138</v>
      </c>
      <c r="R4168" s="7">
        <v>46805</v>
      </c>
      <c r="S4168" s="210">
        <v>4.25</v>
      </c>
      <c r="T4168" s="8">
        <v>1.0001180555555556</v>
      </c>
      <c r="U4168" s="98">
        <v>4.2649192822414417</v>
      </c>
      <c r="V4168" s="106">
        <v>37027.274915856447</v>
      </c>
      <c r="W4168" s="10">
        <v>1.1486966371591745</v>
      </c>
      <c r="X4168" s="420"/>
      <c r="Y4168" s="420"/>
    </row>
    <row r="4169" spans="17:25">
      <c r="Q4169" s="6">
        <v>4139</v>
      </c>
      <c r="R4169" s="7">
        <v>46806</v>
      </c>
      <c r="S4169" s="210">
        <v>4.25</v>
      </c>
      <c r="T4169" s="8">
        <v>1.0001180555555556</v>
      </c>
      <c r="U4169" s="98">
        <v>4.2649526087152889</v>
      </c>
      <c r="V4169" s="106">
        <v>37030.356799757748</v>
      </c>
      <c r="W4169" s="10">
        <v>1.1487281018445872</v>
      </c>
      <c r="X4169" s="420"/>
      <c r="Y4169" s="420"/>
    </row>
    <row r="4170" spans="17:25">
      <c r="Q4170" s="6">
        <v>4140</v>
      </c>
      <c r="R4170" s="7">
        <v>46807</v>
      </c>
      <c r="S4170" s="210">
        <v>4.25</v>
      </c>
      <c r="T4170" s="8">
        <v>1.0001180555555556</v>
      </c>
      <c r="U4170" s="98">
        <v>4.2649859191000283</v>
      </c>
      <c r="V4170" s="106">
        <v>37033.438940172891</v>
      </c>
      <c r="W4170" s="10">
        <v>1.14875955133944</v>
      </c>
      <c r="X4170" s="420"/>
      <c r="Y4170" s="420"/>
    </row>
    <row r="4171" spans="17:25">
      <c r="Q4171" s="6">
        <v>4141</v>
      </c>
      <c r="R4171" s="7">
        <v>46808</v>
      </c>
      <c r="S4171" s="210">
        <v>4.25</v>
      </c>
      <c r="T4171" s="8">
        <v>1.0001180555555556</v>
      </c>
      <c r="U4171" s="98">
        <v>4.2650192134073173</v>
      </c>
      <c r="V4171" s="106">
        <v>37036.521337123224</v>
      </c>
      <c r="W4171" s="10">
        <v>1.1487909856547462</v>
      </c>
      <c r="X4171" s="420"/>
      <c r="Y4171" s="420"/>
    </row>
    <row r="4172" spans="17:25">
      <c r="Q4172" s="6">
        <v>4142</v>
      </c>
      <c r="R4172" s="7">
        <v>46809</v>
      </c>
      <c r="S4172" s="210">
        <v>4.25</v>
      </c>
      <c r="T4172" s="8">
        <v>1.0001180555555556</v>
      </c>
      <c r="U4172" s="98">
        <v>4.2650524916487909</v>
      </c>
      <c r="V4172" s="106">
        <v>37039.603990630094</v>
      </c>
      <c r="W4172" s="10">
        <v>1.148822404801475</v>
      </c>
      <c r="X4172" s="420"/>
      <c r="Y4172" s="420"/>
    </row>
    <row r="4173" spans="17:25">
      <c r="Q4173" s="6">
        <v>4143</v>
      </c>
      <c r="R4173" s="7">
        <v>46810</v>
      </c>
      <c r="S4173" s="210">
        <v>4.25</v>
      </c>
      <c r="T4173" s="8">
        <v>1.0001180555555556</v>
      </c>
      <c r="U4173" s="98">
        <v>4.265085753836062</v>
      </c>
      <c r="V4173" s="106">
        <v>37042.686900714856</v>
      </c>
      <c r="W4173" s="10">
        <v>1.1488538087906175</v>
      </c>
      <c r="X4173" s="420"/>
      <c r="Y4173" s="420"/>
    </row>
    <row r="4174" spans="17:25">
      <c r="Q4174" s="6">
        <v>4144</v>
      </c>
      <c r="R4174" s="7">
        <v>46811</v>
      </c>
      <c r="S4174" s="210">
        <v>4.25</v>
      </c>
      <c r="T4174" s="8">
        <v>1.0001180555555556</v>
      </c>
      <c r="U4174" s="98">
        <v>4.2651189999807659</v>
      </c>
      <c r="V4174" s="106">
        <v>37045.770067398866</v>
      </c>
      <c r="W4174" s="10">
        <v>1.1488851976331427</v>
      </c>
      <c r="X4174" s="420"/>
      <c r="Y4174" s="420"/>
    </row>
    <row r="4175" spans="17:25">
      <c r="Q4175" s="6">
        <v>4145</v>
      </c>
      <c r="R4175" s="7">
        <v>46812</v>
      </c>
      <c r="S4175" s="210">
        <v>4.25</v>
      </c>
      <c r="T4175" s="8">
        <v>1.0001180555555556</v>
      </c>
      <c r="U4175" s="98">
        <v>4.2651522300944933</v>
      </c>
      <c r="V4175" s="106">
        <v>37048.853490703485</v>
      </c>
      <c r="W4175" s="10">
        <v>1.1489165713399974</v>
      </c>
      <c r="X4175" s="420"/>
      <c r="Y4175" s="420"/>
    </row>
    <row r="4176" spans="17:25">
      <c r="Q4176" s="6">
        <v>4146</v>
      </c>
      <c r="R4176" s="7">
        <v>46813</v>
      </c>
      <c r="S4176" s="210">
        <v>4.25</v>
      </c>
      <c r="T4176" s="8">
        <v>1.0001180555555556</v>
      </c>
      <c r="U4176" s="98">
        <v>4.265185444188857</v>
      </c>
      <c r="V4176" s="106">
        <v>37051.937170650075</v>
      </c>
      <c r="W4176" s="10">
        <v>1.1489479299221284</v>
      </c>
      <c r="X4176" s="420"/>
      <c r="Y4176" s="420"/>
    </row>
    <row r="4177" spans="17:25">
      <c r="Q4177" s="6">
        <v>4147</v>
      </c>
      <c r="R4177" s="7">
        <v>46814</v>
      </c>
      <c r="S4177" s="210">
        <v>4.25</v>
      </c>
      <c r="T4177" s="8">
        <v>1.0001180555555556</v>
      </c>
      <c r="U4177" s="98">
        <v>4.2652186422754035</v>
      </c>
      <c r="V4177" s="106">
        <v>37055.021107259992</v>
      </c>
      <c r="W4177" s="10">
        <v>1.1489792733904824</v>
      </c>
      <c r="X4177" s="420"/>
      <c r="Y4177" s="420"/>
    </row>
    <row r="4178" spans="17:25">
      <c r="Q4178" s="6">
        <v>4148</v>
      </c>
      <c r="R4178" s="7">
        <v>46815</v>
      </c>
      <c r="S4178" s="210">
        <v>4.25</v>
      </c>
      <c r="T4178" s="8">
        <v>1.0001180555555556</v>
      </c>
      <c r="U4178" s="98">
        <v>4.2652518243657234</v>
      </c>
      <c r="V4178" s="106">
        <v>37058.105300554591</v>
      </c>
      <c r="W4178" s="10">
        <v>1.149010601755962</v>
      </c>
      <c r="X4178" s="420"/>
      <c r="Y4178" s="420"/>
    </row>
    <row r="4179" spans="17:25">
      <c r="Q4179" s="6">
        <v>4149</v>
      </c>
      <c r="R4179" s="7">
        <v>46816</v>
      </c>
      <c r="S4179" s="210">
        <v>4.25</v>
      </c>
      <c r="T4179" s="8">
        <v>1.0001180555555556</v>
      </c>
      <c r="U4179" s="98">
        <v>4.2652849904713852</v>
      </c>
      <c r="V4179" s="106">
        <v>37061.189750555255</v>
      </c>
      <c r="W4179" s="10">
        <v>1.1490419150295139</v>
      </c>
      <c r="X4179" s="420"/>
      <c r="Y4179" s="420"/>
    </row>
    <row r="4180" spans="17:25">
      <c r="Q4180" s="6">
        <v>4150</v>
      </c>
      <c r="R4180" s="7">
        <v>46817</v>
      </c>
      <c r="S4180" s="210">
        <v>4.25</v>
      </c>
      <c r="T4180" s="8">
        <v>1.0001180555555556</v>
      </c>
      <c r="U4180" s="98">
        <v>4.2653181406039131</v>
      </c>
      <c r="V4180" s="106">
        <v>37064.274457283333</v>
      </c>
      <c r="W4180" s="10">
        <v>1.1490732132219961</v>
      </c>
      <c r="X4180" s="420"/>
      <c r="Y4180" s="420"/>
    </row>
    <row r="4181" spans="17:25">
      <c r="Q4181" s="6">
        <v>4151</v>
      </c>
      <c r="R4181" s="7">
        <v>46818</v>
      </c>
      <c r="S4181" s="210">
        <v>4.25</v>
      </c>
      <c r="T4181" s="8">
        <v>1.0001180555555556</v>
      </c>
      <c r="U4181" s="98">
        <v>4.2653512747748534</v>
      </c>
      <c r="V4181" s="106">
        <v>37067.3594207602</v>
      </c>
      <c r="W4181" s="10">
        <v>1.1491044963443331</v>
      </c>
      <c r="X4181" s="420"/>
      <c r="Y4181" s="420"/>
    </row>
    <row r="4182" spans="17:25">
      <c r="Q4182" s="6">
        <v>4152</v>
      </c>
      <c r="R4182" s="7">
        <v>46819</v>
      </c>
      <c r="S4182" s="210">
        <v>4.25</v>
      </c>
      <c r="T4182" s="8">
        <v>1.0001180555555556</v>
      </c>
      <c r="U4182" s="98">
        <v>4.2653843929957302</v>
      </c>
      <c r="V4182" s="106">
        <v>37070.444641007234</v>
      </c>
      <c r="W4182" s="10">
        <v>1.149135764407383</v>
      </c>
      <c r="X4182" s="420"/>
      <c r="Y4182" s="420"/>
    </row>
    <row r="4183" spans="17:25">
      <c r="Q4183" s="6">
        <v>4153</v>
      </c>
      <c r="R4183" s="7">
        <v>46820</v>
      </c>
      <c r="S4183" s="210">
        <v>4.25</v>
      </c>
      <c r="T4183" s="8">
        <v>1.0001180555555556</v>
      </c>
      <c r="U4183" s="98">
        <v>4.2654174952780677</v>
      </c>
      <c r="V4183" s="106">
        <v>37073.53011804579</v>
      </c>
      <c r="W4183" s="10">
        <v>1.1491670174220259</v>
      </c>
      <c r="X4183" s="420"/>
      <c r="Y4183" s="420"/>
    </row>
    <row r="4184" spans="17:25">
      <c r="Q4184" s="6">
        <v>4154</v>
      </c>
      <c r="R4184" s="7">
        <v>46821</v>
      </c>
      <c r="S4184" s="210">
        <v>4.25</v>
      </c>
      <c r="T4184" s="8">
        <v>1.0001180555555556</v>
      </c>
      <c r="U4184" s="98">
        <v>4.2654505816333677</v>
      </c>
      <c r="V4184" s="106">
        <v>37076.615851897252</v>
      </c>
      <c r="W4184" s="10">
        <v>1.1491982553991642</v>
      </c>
      <c r="X4184" s="420"/>
      <c r="Y4184" s="420"/>
    </row>
    <row r="4185" spans="17:25">
      <c r="Q4185" s="6">
        <v>4155</v>
      </c>
      <c r="R4185" s="7">
        <v>46822</v>
      </c>
      <c r="S4185" s="210">
        <v>4.25</v>
      </c>
      <c r="T4185" s="8">
        <v>1.0001180555555556</v>
      </c>
      <c r="U4185" s="98">
        <v>4.2654836520731099</v>
      </c>
      <c r="V4185" s="106">
        <v>37079.701842582996</v>
      </c>
      <c r="W4185" s="10">
        <v>1.1492294783495893</v>
      </c>
      <c r="X4185" s="420"/>
      <c r="Y4185" s="420"/>
    </row>
    <row r="4186" spans="17:25">
      <c r="Q4186" s="6">
        <v>4156</v>
      </c>
      <c r="R4186" s="7">
        <v>46823</v>
      </c>
      <c r="S4186" s="210">
        <v>4.25</v>
      </c>
      <c r="T4186" s="8">
        <v>1.0001180555555556</v>
      </c>
      <c r="U4186" s="98">
        <v>4.265516706608774</v>
      </c>
      <c r="V4186" s="106">
        <v>37082.788090124392</v>
      </c>
      <c r="W4186" s="10">
        <v>1.1492606862841592</v>
      </c>
      <c r="X4186" s="420"/>
      <c r="Y4186" s="420"/>
    </row>
    <row r="4187" spans="17:25">
      <c r="Q4187" s="6">
        <v>4157</v>
      </c>
      <c r="R4187" s="7">
        <v>46824</v>
      </c>
      <c r="S4187" s="210">
        <v>4.25</v>
      </c>
      <c r="T4187" s="8">
        <v>1.0001180555555556</v>
      </c>
      <c r="U4187" s="98">
        <v>4.2655497452518398</v>
      </c>
      <c r="V4187" s="106">
        <v>37085.874594542831</v>
      </c>
      <c r="W4187" s="10">
        <v>1.1492918792137097</v>
      </c>
      <c r="X4187" s="420"/>
      <c r="Y4187" s="420"/>
    </row>
    <row r="4188" spans="17:25">
      <c r="Q4188" s="6">
        <v>4158</v>
      </c>
      <c r="R4188" s="7">
        <v>46825</v>
      </c>
      <c r="S4188" s="210">
        <v>4.25</v>
      </c>
      <c r="T4188" s="8">
        <v>1.0001180555555556</v>
      </c>
      <c r="U4188" s="98">
        <v>4.2655827680137648</v>
      </c>
      <c r="V4188" s="106">
        <v>37088.961355859683</v>
      </c>
      <c r="W4188" s="10">
        <v>1.1493230571490543</v>
      </c>
      <c r="X4188" s="420"/>
      <c r="Y4188" s="420"/>
    </row>
    <row r="4189" spans="17:25">
      <c r="Q4189" s="6">
        <v>4159</v>
      </c>
      <c r="R4189" s="7">
        <v>46826</v>
      </c>
      <c r="S4189" s="210">
        <v>4.25</v>
      </c>
      <c r="T4189" s="8">
        <v>1.0001180555555556</v>
      </c>
      <c r="U4189" s="98">
        <v>4.2656157749060064</v>
      </c>
      <c r="V4189" s="106">
        <v>37092.048374096332</v>
      </c>
      <c r="W4189" s="10">
        <v>1.1493542201010287</v>
      </c>
      <c r="X4189" s="420"/>
      <c r="Y4189" s="420"/>
    </row>
    <row r="4190" spans="17:25">
      <c r="Q4190" s="6">
        <v>4160</v>
      </c>
      <c r="R4190" s="7">
        <v>46827</v>
      </c>
      <c r="S4190" s="210">
        <v>4.25</v>
      </c>
      <c r="T4190" s="8">
        <v>1.0001180555555556</v>
      </c>
      <c r="U4190" s="98">
        <v>4.2656487659399778</v>
      </c>
      <c r="V4190" s="106">
        <v>37095.135649274169</v>
      </c>
      <c r="W4190" s="10">
        <v>1.1493853680804023</v>
      </c>
      <c r="X4190" s="420"/>
      <c r="Y4190" s="420"/>
    </row>
    <row r="4191" spans="17:25">
      <c r="Q4191" s="6">
        <v>4161</v>
      </c>
      <c r="R4191" s="7">
        <v>46828</v>
      </c>
      <c r="S4191" s="210">
        <v>4.25</v>
      </c>
      <c r="T4191" s="8">
        <v>1.0001180555555556</v>
      </c>
      <c r="U4191" s="98">
        <v>4.2656817411271142</v>
      </c>
      <c r="V4191" s="106">
        <v>37098.223181414563</v>
      </c>
      <c r="W4191" s="10">
        <v>1.149416501097944</v>
      </c>
      <c r="X4191" s="420"/>
      <c r="Y4191" s="420"/>
    </row>
    <row r="4192" spans="17:25">
      <c r="Q4192" s="6">
        <v>4162</v>
      </c>
      <c r="R4192" s="7">
        <v>46829</v>
      </c>
      <c r="S4192" s="210">
        <v>4.25</v>
      </c>
      <c r="T4192" s="8">
        <v>1.0001180555555556</v>
      </c>
      <c r="U4192" s="98">
        <v>4.2657147004788509</v>
      </c>
      <c r="V4192" s="106">
        <v>37101.310970538922</v>
      </c>
      <c r="W4192" s="10">
        <v>1.1494476191644898</v>
      </c>
      <c r="X4192" s="420"/>
      <c r="Y4192" s="420"/>
    </row>
    <row r="4193" spans="17:25">
      <c r="Q4193" s="6">
        <v>4163</v>
      </c>
      <c r="R4193" s="7">
        <v>46830</v>
      </c>
      <c r="S4193" s="210">
        <v>4.25</v>
      </c>
      <c r="T4193" s="8">
        <v>1.0001180555555556</v>
      </c>
      <c r="U4193" s="98">
        <v>4.2657476440065567</v>
      </c>
      <c r="V4193" s="106">
        <v>37104.399016668627</v>
      </c>
      <c r="W4193" s="10">
        <v>1.1494787222907421</v>
      </c>
      <c r="X4193" s="420"/>
      <c r="Y4193" s="420"/>
    </row>
    <row r="4194" spans="17:25">
      <c r="Q4194" s="6">
        <v>4164</v>
      </c>
      <c r="R4194" s="7">
        <v>46831</v>
      </c>
      <c r="S4194" s="210">
        <v>4.25</v>
      </c>
      <c r="T4194" s="8">
        <v>1.0001180555555556</v>
      </c>
      <c r="U4194" s="98">
        <v>4.2657805717216668</v>
      </c>
      <c r="V4194" s="106">
        <v>37107.487319825072</v>
      </c>
      <c r="W4194" s="10">
        <v>1.1495098104875145</v>
      </c>
      <c r="X4194" s="420"/>
      <c r="Y4194" s="420"/>
    </row>
    <row r="4195" spans="17:25">
      <c r="Q4195" s="6">
        <v>4165</v>
      </c>
      <c r="R4195" s="7">
        <v>46832</v>
      </c>
      <c r="S4195" s="210">
        <v>4.25</v>
      </c>
      <c r="T4195" s="8">
        <v>1.0001180555555556</v>
      </c>
      <c r="U4195" s="98">
        <v>4.2658134836355277</v>
      </c>
      <c r="V4195" s="106">
        <v>37110.575880029639</v>
      </c>
      <c r="W4195" s="10">
        <v>1.1495408837655319</v>
      </c>
      <c r="X4195" s="420"/>
      <c r="Y4195" s="420"/>
    </row>
    <row r="4196" spans="17:25">
      <c r="Q4196" s="6">
        <v>4166</v>
      </c>
      <c r="R4196" s="7">
        <v>46833</v>
      </c>
      <c r="S4196" s="210">
        <v>4.25</v>
      </c>
      <c r="T4196" s="8">
        <v>1.0001180555555556</v>
      </c>
      <c r="U4196" s="98">
        <v>4.2658463797595303</v>
      </c>
      <c r="V4196" s="106">
        <v>37113.664697303735</v>
      </c>
      <c r="W4196" s="10">
        <v>1.1495719421355188</v>
      </c>
      <c r="X4196" s="420"/>
      <c r="Y4196" s="420"/>
    </row>
    <row r="4197" spans="17:25">
      <c r="Q4197" s="6">
        <v>4167</v>
      </c>
      <c r="R4197" s="7">
        <v>46834</v>
      </c>
      <c r="S4197" s="210">
        <v>4.25</v>
      </c>
      <c r="T4197" s="8">
        <v>1.0001180555555556</v>
      </c>
      <c r="U4197" s="98">
        <v>4.2658792601050211</v>
      </c>
      <c r="V4197" s="106">
        <v>37116.753771668751</v>
      </c>
      <c r="W4197" s="10">
        <v>1.1496029856082224</v>
      </c>
      <c r="X4197" s="420"/>
      <c r="Y4197" s="420"/>
    </row>
    <row r="4198" spans="17:25">
      <c r="Q4198" s="6">
        <v>4168</v>
      </c>
      <c r="R4198" s="7">
        <v>46835</v>
      </c>
      <c r="S4198" s="210">
        <v>4.25</v>
      </c>
      <c r="T4198" s="8">
        <v>1.0001180555555556</v>
      </c>
      <c r="U4198" s="98">
        <v>4.2659121246833465</v>
      </c>
      <c r="V4198" s="106">
        <v>37119.843103146086</v>
      </c>
      <c r="W4198" s="10">
        <v>1.1496340141943229</v>
      </c>
      <c r="X4198" s="420"/>
      <c r="Y4198" s="420"/>
    </row>
    <row r="4199" spans="17:25">
      <c r="Q4199" s="6">
        <v>4169</v>
      </c>
      <c r="R4199" s="7">
        <v>46836</v>
      </c>
      <c r="S4199" s="210">
        <v>4.25</v>
      </c>
      <c r="T4199" s="8">
        <v>1.0001180555555556</v>
      </c>
      <c r="U4199" s="98">
        <v>4.2659449735058752</v>
      </c>
      <c r="V4199" s="106">
        <v>37122.932691757145</v>
      </c>
      <c r="W4199" s="10">
        <v>1.1496650279045673</v>
      </c>
      <c r="X4199" s="420"/>
      <c r="Y4199" s="420"/>
    </row>
    <row r="4200" spans="17:25">
      <c r="Q4200" s="6">
        <v>4170</v>
      </c>
      <c r="R4200" s="7">
        <v>46837</v>
      </c>
      <c r="S4200" s="210">
        <v>4.25</v>
      </c>
      <c r="T4200" s="8">
        <v>1.0001180555555556</v>
      </c>
      <c r="U4200" s="98">
        <v>4.2659778065839093</v>
      </c>
      <c r="V4200" s="106">
        <v>37126.022537523328</v>
      </c>
      <c r="W4200" s="10">
        <v>1.1496960267496359</v>
      </c>
      <c r="X4200" s="420"/>
      <c r="Y4200" s="420"/>
    </row>
    <row r="4201" spans="17:25">
      <c r="Q4201" s="6">
        <v>4171</v>
      </c>
      <c r="R4201" s="7">
        <v>46838</v>
      </c>
      <c r="S4201" s="210">
        <v>4.25</v>
      </c>
      <c r="T4201" s="8">
        <v>1.0001180555555556</v>
      </c>
      <c r="U4201" s="98">
        <v>4.2660106239287732</v>
      </c>
      <c r="V4201" s="106">
        <v>37129.112640466024</v>
      </c>
      <c r="W4201" s="10">
        <v>1.1497270107402091</v>
      </c>
      <c r="X4201" s="420"/>
      <c r="Y4201" s="420"/>
    </row>
    <row r="4202" spans="17:25">
      <c r="Q4202" s="6">
        <v>4172</v>
      </c>
      <c r="R4202" s="7">
        <v>46839</v>
      </c>
      <c r="S4202" s="210">
        <v>4.25</v>
      </c>
      <c r="T4202" s="8">
        <v>1.0001180555555556</v>
      </c>
      <c r="U4202" s="98">
        <v>4.2660434255517687</v>
      </c>
      <c r="V4202" s="106">
        <v>37132.203000606663</v>
      </c>
      <c r="W4202" s="10">
        <v>1.1497579798869451</v>
      </c>
      <c r="X4202" s="420"/>
      <c r="Y4202" s="420"/>
    </row>
    <row r="4203" spans="17:25">
      <c r="Q4203" s="6">
        <v>4173</v>
      </c>
      <c r="R4203" s="7">
        <v>46840</v>
      </c>
      <c r="S4203" s="210">
        <v>4.25</v>
      </c>
      <c r="T4203" s="8">
        <v>1.0001180555555556</v>
      </c>
      <c r="U4203" s="98">
        <v>4.2660762114641981</v>
      </c>
      <c r="V4203" s="106">
        <v>37135.293617966643</v>
      </c>
      <c r="W4203" s="10">
        <v>1.1497889342005463</v>
      </c>
      <c r="X4203" s="420"/>
      <c r="Y4203" s="420"/>
    </row>
    <row r="4204" spans="17:25">
      <c r="Q4204" s="6">
        <v>4174</v>
      </c>
      <c r="R4204" s="7">
        <v>46841</v>
      </c>
      <c r="S4204" s="210">
        <v>4.25</v>
      </c>
      <c r="T4204" s="8">
        <v>1.0001180555555556</v>
      </c>
      <c r="U4204" s="98">
        <v>4.266108981677319</v>
      </c>
      <c r="V4204" s="106">
        <v>37138.384492567362</v>
      </c>
      <c r="W4204" s="10">
        <v>1.1498198736916265</v>
      </c>
      <c r="X4204" s="420"/>
      <c r="Y4204" s="420"/>
    </row>
    <row r="4205" spans="17:25">
      <c r="Q4205" s="6">
        <v>4175</v>
      </c>
      <c r="R4205" s="7">
        <v>46842</v>
      </c>
      <c r="S4205" s="210">
        <v>4.25</v>
      </c>
      <c r="T4205" s="8">
        <v>1.0001180555555556</v>
      </c>
      <c r="U4205" s="98">
        <v>4.2661417362024334</v>
      </c>
      <c r="V4205" s="106">
        <v>37141.475624430248</v>
      </c>
      <c r="W4205" s="10">
        <v>1.1498507983708661</v>
      </c>
      <c r="X4205" s="420"/>
      <c r="Y4205" s="420"/>
    </row>
    <row r="4206" spans="17:25">
      <c r="Q4206" s="6">
        <v>4176</v>
      </c>
      <c r="R4206" s="7">
        <v>46843</v>
      </c>
      <c r="S4206" s="210">
        <v>4.25</v>
      </c>
      <c r="T4206" s="8">
        <v>1.0001180555555556</v>
      </c>
      <c r="U4206" s="98">
        <v>4.2661744750507991</v>
      </c>
      <c r="V4206" s="106">
        <v>37144.567013576692</v>
      </c>
      <c r="W4206" s="10">
        <v>1.1498817082488788</v>
      </c>
      <c r="X4206" s="420"/>
      <c r="Y4206" s="420"/>
    </row>
    <row r="4207" spans="17:25">
      <c r="Q4207" s="6">
        <v>4177</v>
      </c>
      <c r="R4207" s="7">
        <v>46844</v>
      </c>
      <c r="S4207" s="210">
        <v>4.25</v>
      </c>
      <c r="T4207" s="8">
        <v>1.0001180555555556</v>
      </c>
      <c r="U4207" s="98">
        <v>4.2662071982336736</v>
      </c>
      <c r="V4207" s="106">
        <v>37147.658660028137</v>
      </c>
      <c r="W4207" s="10">
        <v>1.1499126033363005</v>
      </c>
      <c r="X4207" s="420"/>
      <c r="Y4207" s="420"/>
    </row>
    <row r="4208" spans="17:25">
      <c r="Q4208" s="6">
        <v>4178</v>
      </c>
      <c r="R4208" s="7">
        <v>46845</v>
      </c>
      <c r="S4208" s="210">
        <v>4.25</v>
      </c>
      <c r="T4208" s="8">
        <v>1.0001180555555556</v>
      </c>
      <c r="U4208" s="98">
        <v>4.2662399057622924</v>
      </c>
      <c r="V4208" s="106">
        <v>37150.750563805974</v>
      </c>
      <c r="W4208" s="10">
        <v>1.1499434836437228</v>
      </c>
      <c r="X4208" s="420"/>
      <c r="Y4208" s="420"/>
    </row>
    <row r="4209" spans="17:25">
      <c r="Q4209" s="6">
        <v>4179</v>
      </c>
      <c r="R4209" s="7">
        <v>46846</v>
      </c>
      <c r="S4209" s="210">
        <v>4.25</v>
      </c>
      <c r="T4209" s="8">
        <v>1.0001180555555556</v>
      </c>
      <c r="U4209" s="98">
        <v>4.2662725976478688</v>
      </c>
      <c r="V4209" s="106">
        <v>37153.842724931637</v>
      </c>
      <c r="W4209" s="10">
        <v>1.1499743491817815</v>
      </c>
      <c r="X4209" s="420"/>
      <c r="Y4209" s="420"/>
    </row>
    <row r="4210" spans="17:25">
      <c r="Q4210" s="6">
        <v>4180</v>
      </c>
      <c r="R4210" s="7">
        <v>46847</v>
      </c>
      <c r="S4210" s="210">
        <v>4.25</v>
      </c>
      <c r="T4210" s="8">
        <v>1.0001180555555556</v>
      </c>
      <c r="U4210" s="98">
        <v>4.2663052739016383</v>
      </c>
      <c r="V4210" s="106">
        <v>37156.935143426534</v>
      </c>
      <c r="W4210" s="10">
        <v>1.1500051999610239</v>
      </c>
      <c r="X4210" s="420"/>
      <c r="Y4210" s="420"/>
    </row>
    <row r="4211" spans="17:25">
      <c r="Q4211" s="6">
        <v>4181</v>
      </c>
      <c r="R4211" s="7">
        <v>46848</v>
      </c>
      <c r="S4211" s="210">
        <v>4.25</v>
      </c>
      <c r="T4211" s="8">
        <v>1.0001180555555556</v>
      </c>
      <c r="U4211" s="98">
        <v>4.266337934534814</v>
      </c>
      <c r="V4211" s="106">
        <v>37160.027819312098</v>
      </c>
      <c r="W4211" s="10">
        <v>1.1500360359920858</v>
      </c>
      <c r="X4211" s="420"/>
      <c r="Y4211" s="420"/>
    </row>
    <row r="4212" spans="17:25">
      <c r="Q4212" s="6">
        <v>4182</v>
      </c>
      <c r="R4212" s="7">
        <v>46849</v>
      </c>
      <c r="S4212" s="210">
        <v>4.25</v>
      </c>
      <c r="T4212" s="8">
        <v>1.0001180555555556</v>
      </c>
      <c r="U4212" s="98">
        <v>4.2663705795585871</v>
      </c>
      <c r="V4212" s="106">
        <v>37163.120752609742</v>
      </c>
      <c r="W4212" s="10">
        <v>1.1500668572854922</v>
      </c>
      <c r="X4212" s="420"/>
      <c r="Y4212" s="420"/>
    </row>
    <row r="4213" spans="17:25">
      <c r="Q4213" s="6">
        <v>4183</v>
      </c>
      <c r="R4213" s="7">
        <v>46850</v>
      </c>
      <c r="S4213" s="210">
        <v>4.25</v>
      </c>
      <c r="T4213" s="8">
        <v>1.0001180555555556</v>
      </c>
      <c r="U4213" s="98">
        <v>4.2664032089841486</v>
      </c>
      <c r="V4213" s="106">
        <v>37166.213943340903</v>
      </c>
      <c r="W4213" s="10">
        <v>1.1500976638518567</v>
      </c>
      <c r="X4213" s="420"/>
      <c r="Y4213" s="420"/>
    </row>
    <row r="4214" spans="17:25">
      <c r="Q4214" s="6">
        <v>4184</v>
      </c>
      <c r="R4214" s="7">
        <v>46851</v>
      </c>
      <c r="S4214" s="210">
        <v>4.25</v>
      </c>
      <c r="T4214" s="8">
        <v>1.0001180555555556</v>
      </c>
      <c r="U4214" s="98">
        <v>4.2664358228226673</v>
      </c>
      <c r="V4214" s="106">
        <v>37169.307391526992</v>
      </c>
      <c r="W4214" s="10">
        <v>1.1501284557016822</v>
      </c>
      <c r="X4214" s="420"/>
      <c r="Y4214" s="420"/>
    </row>
    <row r="4215" spans="17:25">
      <c r="Q4215" s="6">
        <v>4185</v>
      </c>
      <c r="R4215" s="7">
        <v>46852</v>
      </c>
      <c r="S4215" s="210">
        <v>4.25</v>
      </c>
      <c r="T4215" s="8">
        <v>1.0001180555555556</v>
      </c>
      <c r="U4215" s="98">
        <v>4.2664684210853343</v>
      </c>
      <c r="V4215" s="106">
        <v>37172.401097189446</v>
      </c>
      <c r="W4215" s="10">
        <v>1.1501592328455379</v>
      </c>
      <c r="X4215" s="420"/>
      <c r="Y4215" s="420"/>
    </row>
    <row r="4216" spans="17:25">
      <c r="Q4216" s="6">
        <v>4186</v>
      </c>
      <c r="R4216" s="7">
        <v>46853</v>
      </c>
      <c r="S4216" s="210">
        <v>4.25</v>
      </c>
      <c r="T4216" s="8">
        <v>1.0001180555555556</v>
      </c>
      <c r="U4216" s="98">
        <v>4.266501003783274</v>
      </c>
      <c r="V4216" s="106">
        <v>37175.495060349705</v>
      </c>
      <c r="W4216" s="10">
        <v>1.1501899952939709</v>
      </c>
      <c r="X4216" s="420"/>
      <c r="Y4216" s="420"/>
    </row>
    <row r="4217" spans="17:25">
      <c r="Q4217" s="6">
        <v>4187</v>
      </c>
      <c r="R4217" s="7">
        <v>46854</v>
      </c>
      <c r="S4217" s="210">
        <v>4.25</v>
      </c>
      <c r="T4217" s="8">
        <v>1.0001180555555556</v>
      </c>
      <c r="U4217" s="98">
        <v>4.2665335709276553</v>
      </c>
      <c r="V4217" s="106">
        <v>37178.589281029184</v>
      </c>
      <c r="W4217" s="10">
        <v>1.150220743057484</v>
      </c>
      <c r="X4217" s="420"/>
      <c r="Y4217" s="420"/>
    </row>
    <row r="4218" spans="17:25">
      <c r="Q4218" s="6">
        <v>4188</v>
      </c>
      <c r="R4218" s="7">
        <v>46855</v>
      </c>
      <c r="S4218" s="210">
        <v>4.25</v>
      </c>
      <c r="T4218" s="8">
        <v>1.0001180555555556</v>
      </c>
      <c r="U4218" s="98">
        <v>4.2665661225296025</v>
      </c>
      <c r="V4218" s="106">
        <v>37181.683759249332</v>
      </c>
      <c r="W4218" s="10">
        <v>1.1502514761465799</v>
      </c>
      <c r="X4218" s="420"/>
      <c r="Y4218" s="420"/>
    </row>
    <row r="4219" spans="17:25">
      <c r="Q4219" s="6">
        <v>4189</v>
      </c>
      <c r="R4219" s="7">
        <v>46856</v>
      </c>
      <c r="S4219" s="210">
        <v>4.25</v>
      </c>
      <c r="T4219" s="8">
        <v>1.0001180555555556</v>
      </c>
      <c r="U4219" s="98">
        <v>4.2665986586002402</v>
      </c>
      <c r="V4219" s="106">
        <v>37184.778495031569</v>
      </c>
      <c r="W4219" s="10">
        <v>1.1502821945717834</v>
      </c>
      <c r="X4219" s="420"/>
      <c r="Y4219" s="420"/>
    </row>
    <row r="4220" spans="17:25">
      <c r="Q4220" s="6">
        <v>4190</v>
      </c>
      <c r="R4220" s="7">
        <v>46857</v>
      </c>
      <c r="S4220" s="210">
        <v>4.25</v>
      </c>
      <c r="T4220" s="8">
        <v>1.0001180555555556</v>
      </c>
      <c r="U4220" s="98">
        <v>4.2666311791506706</v>
      </c>
      <c r="V4220" s="106">
        <v>37187.873488397352</v>
      </c>
      <c r="W4220" s="10">
        <v>1.1503128983435751</v>
      </c>
      <c r="X4220" s="420"/>
      <c r="Y4220" s="420"/>
    </row>
    <row r="4221" spans="17:25">
      <c r="Q4221" s="6">
        <v>4191</v>
      </c>
      <c r="R4221" s="7">
        <v>46858</v>
      </c>
      <c r="S4221" s="210">
        <v>4.25</v>
      </c>
      <c r="T4221" s="8">
        <v>1.0001180555555556</v>
      </c>
      <c r="U4221" s="98">
        <v>4.2666636841919958</v>
      </c>
      <c r="V4221" s="106">
        <v>37190.968739368102</v>
      </c>
      <c r="W4221" s="10">
        <v>1.1503435874724133</v>
      </c>
      <c r="X4221" s="420"/>
      <c r="Y4221" s="420"/>
    </row>
    <row r="4222" spans="17:25">
      <c r="Q4222" s="6">
        <v>4192</v>
      </c>
      <c r="R4222" s="7">
        <v>46859</v>
      </c>
      <c r="S4222" s="210">
        <v>4.25</v>
      </c>
      <c r="T4222" s="8">
        <v>1.0001180555555556</v>
      </c>
      <c r="U4222" s="98">
        <v>4.2666961737353182</v>
      </c>
      <c r="V4222" s="106">
        <v>37194.064247965274</v>
      </c>
      <c r="W4222" s="10">
        <v>1.1503742619688229</v>
      </c>
      <c r="X4222" s="420"/>
      <c r="Y4222" s="420"/>
    </row>
    <row r="4223" spans="17:25">
      <c r="Q4223" s="6">
        <v>4193</v>
      </c>
      <c r="R4223" s="7">
        <v>46860</v>
      </c>
      <c r="S4223" s="210">
        <v>4.25</v>
      </c>
      <c r="T4223" s="8">
        <v>1.0001180555555556</v>
      </c>
      <c r="U4223" s="98">
        <v>4.2667286477917177</v>
      </c>
      <c r="V4223" s="106">
        <v>37197.160014210298</v>
      </c>
      <c r="W4223" s="10">
        <v>1.1504049218432177</v>
      </c>
      <c r="X4223" s="420"/>
      <c r="Y4223" s="420"/>
    </row>
    <row r="4224" spans="17:25">
      <c r="Q4224" s="6">
        <v>4194</v>
      </c>
      <c r="R4224" s="7">
        <v>46861</v>
      </c>
      <c r="S4224" s="210">
        <v>4.25</v>
      </c>
      <c r="T4224" s="8">
        <v>1.0001180555555556</v>
      </c>
      <c r="U4224" s="98">
        <v>4.2667611063722743</v>
      </c>
      <c r="V4224" s="106">
        <v>37200.256038124629</v>
      </c>
      <c r="W4224" s="10">
        <v>1.1504355671060784</v>
      </c>
      <c r="X4224" s="420"/>
      <c r="Y4224" s="420"/>
    </row>
    <row r="4225" spans="17:25">
      <c r="Q4225" s="6">
        <v>4195</v>
      </c>
      <c r="R4225" s="7">
        <v>46862</v>
      </c>
      <c r="S4225" s="210">
        <v>4.25</v>
      </c>
      <c r="T4225" s="8">
        <v>1.0001180555555556</v>
      </c>
      <c r="U4225" s="98">
        <v>4.266793549488046</v>
      </c>
      <c r="V4225" s="106">
        <v>37203.352319729711</v>
      </c>
      <c r="W4225" s="10">
        <v>1.1504661977678632</v>
      </c>
      <c r="X4225" s="420"/>
      <c r="Y4225" s="420"/>
    </row>
    <row r="4226" spans="17:25">
      <c r="Q4226" s="6">
        <v>4196</v>
      </c>
      <c r="R4226" s="7">
        <v>46863</v>
      </c>
      <c r="S4226" s="210">
        <v>4.25</v>
      </c>
      <c r="T4226" s="8">
        <v>1.0001180555555556</v>
      </c>
      <c r="U4226" s="98">
        <v>4.2668259771500683</v>
      </c>
      <c r="V4226" s="106">
        <v>37206.448859046992</v>
      </c>
      <c r="W4226" s="10">
        <v>1.1504968138389637</v>
      </c>
      <c r="X4226" s="420"/>
      <c r="Y4226" s="420"/>
    </row>
    <row r="4227" spans="17:25">
      <c r="Q4227" s="6">
        <v>4197</v>
      </c>
      <c r="R4227" s="7">
        <v>46864</v>
      </c>
      <c r="S4227" s="210">
        <v>4.25</v>
      </c>
      <c r="T4227" s="8">
        <v>1.0001180555555556</v>
      </c>
      <c r="U4227" s="98">
        <v>4.2668583893693768</v>
      </c>
      <c r="V4227" s="106">
        <v>37209.545656097915</v>
      </c>
      <c r="W4227" s="10">
        <v>1.1505274153298384</v>
      </c>
      <c r="X4227" s="420"/>
      <c r="Y4227" s="420"/>
    </row>
    <row r="4228" spans="17:25">
      <c r="Q4228" s="6">
        <v>4198</v>
      </c>
      <c r="R4228" s="7">
        <v>46865</v>
      </c>
      <c r="S4228" s="210">
        <v>4.25</v>
      </c>
      <c r="T4228" s="8">
        <v>1.0001180555555556</v>
      </c>
      <c r="U4228" s="98">
        <v>4.2668907861570071</v>
      </c>
      <c r="V4228" s="106">
        <v>37212.642710903951</v>
      </c>
      <c r="W4228" s="10">
        <v>1.1505580022508566</v>
      </c>
      <c r="X4228" s="420"/>
      <c r="Y4228" s="420"/>
    </row>
    <row r="4229" spans="17:25">
      <c r="Q4229" s="6">
        <v>4199</v>
      </c>
      <c r="R4229" s="7">
        <v>46866</v>
      </c>
      <c r="S4229" s="210">
        <v>4.25</v>
      </c>
      <c r="T4229" s="8">
        <v>1.0001180555555556</v>
      </c>
      <c r="U4229" s="98">
        <v>4.2669231675239949</v>
      </c>
      <c r="V4229" s="106">
        <v>37215.740023486534</v>
      </c>
      <c r="W4229" s="10">
        <v>1.1505885746124545</v>
      </c>
      <c r="X4229" s="420"/>
      <c r="Y4229" s="420"/>
    </row>
    <row r="4230" spans="17:25">
      <c r="Q4230" s="6">
        <v>4200</v>
      </c>
      <c r="R4230" s="7">
        <v>46867</v>
      </c>
      <c r="S4230" s="210">
        <v>4.25</v>
      </c>
      <c r="T4230" s="8">
        <v>1.0001180555555556</v>
      </c>
      <c r="U4230" s="98">
        <v>4.2669555334813314</v>
      </c>
      <c r="V4230" s="106">
        <v>37218.837593867131</v>
      </c>
      <c r="W4230" s="10">
        <v>1.1506191324250459</v>
      </c>
      <c r="X4230" s="420"/>
      <c r="Y4230" s="420"/>
    </row>
    <row r="4231" spans="17:25">
      <c r="Q4231" s="6">
        <v>4201</v>
      </c>
      <c r="R4231" s="7">
        <v>46868</v>
      </c>
      <c r="S4231" s="210">
        <v>4.25</v>
      </c>
      <c r="T4231" s="8">
        <v>1.0001180555555556</v>
      </c>
      <c r="U4231" s="98">
        <v>4.2669878840400077</v>
      </c>
      <c r="V4231" s="106">
        <v>37221.935422067196</v>
      </c>
      <c r="W4231" s="10">
        <v>1.1506496756989559</v>
      </c>
      <c r="X4231" s="420"/>
      <c r="Y4231" s="420"/>
    </row>
    <row r="4232" spans="17:25">
      <c r="Q4232" s="6">
        <v>4202</v>
      </c>
      <c r="R4232" s="7">
        <v>46869</v>
      </c>
      <c r="S4232" s="210">
        <v>4.25</v>
      </c>
      <c r="T4232" s="8">
        <v>1.0001180555555556</v>
      </c>
      <c r="U4232" s="98">
        <v>4.2670202192110152</v>
      </c>
      <c r="V4232" s="106">
        <v>37225.033508108179</v>
      </c>
      <c r="W4232" s="10">
        <v>1.1506802044445985</v>
      </c>
      <c r="X4232" s="420"/>
      <c r="Y4232" s="420"/>
    </row>
    <row r="4233" spans="17:25">
      <c r="Q4233" s="6">
        <v>4203</v>
      </c>
      <c r="R4233" s="7">
        <v>46870</v>
      </c>
      <c r="S4233" s="210">
        <v>4.25</v>
      </c>
      <c r="T4233" s="8">
        <v>1.0001180555555556</v>
      </c>
      <c r="U4233" s="98">
        <v>4.2670525390053449</v>
      </c>
      <c r="V4233" s="106">
        <v>37228.13185201156</v>
      </c>
      <c r="W4233" s="10">
        <v>1.1507107186723209</v>
      </c>
      <c r="X4233" s="420"/>
      <c r="Y4233" s="420"/>
    </row>
    <row r="4234" spans="17:25">
      <c r="Q4234" s="6">
        <v>4204</v>
      </c>
      <c r="R4234" s="7">
        <v>46871</v>
      </c>
      <c r="S4234" s="210">
        <v>4.25</v>
      </c>
      <c r="T4234" s="8">
        <v>1.0001180555555556</v>
      </c>
      <c r="U4234" s="98">
        <v>4.2670848434339437</v>
      </c>
      <c r="V4234" s="106">
        <v>37231.23045379878</v>
      </c>
      <c r="W4234" s="10">
        <v>1.1507412183924925</v>
      </c>
      <c r="X4234" s="420"/>
      <c r="Y4234" s="420"/>
    </row>
    <row r="4235" spans="17:25">
      <c r="Q4235" s="6">
        <v>4205</v>
      </c>
      <c r="R4235" s="7">
        <v>46872</v>
      </c>
      <c r="S4235" s="210">
        <v>4.25</v>
      </c>
      <c r="T4235" s="8">
        <v>1.0001180555555556</v>
      </c>
      <c r="U4235" s="98">
        <v>4.2671171325077806</v>
      </c>
      <c r="V4235" s="106">
        <v>37234.329313491318</v>
      </c>
      <c r="W4235" s="10">
        <v>1.1507717036154386</v>
      </c>
      <c r="X4235" s="420"/>
      <c r="Y4235" s="420"/>
    </row>
    <row r="4236" spans="17:25">
      <c r="Q4236" s="6">
        <v>4206</v>
      </c>
      <c r="R4236" s="7">
        <v>46873</v>
      </c>
      <c r="S4236" s="210">
        <v>4.25</v>
      </c>
      <c r="T4236" s="8">
        <v>1.0001180555555556</v>
      </c>
      <c r="U4236" s="98">
        <v>4.2671494062378024</v>
      </c>
      <c r="V4236" s="106">
        <v>37237.428431110638</v>
      </c>
      <c r="W4236" s="10">
        <v>1.1508021743515284</v>
      </c>
      <c r="X4236" s="420"/>
      <c r="Y4236" s="420"/>
    </row>
    <row r="4237" spans="17:25">
      <c r="Q4237" s="6">
        <v>4207</v>
      </c>
      <c r="R4237" s="7">
        <v>46874</v>
      </c>
      <c r="S4237" s="210">
        <v>4.25</v>
      </c>
      <c r="T4237" s="8">
        <v>1.0001180555555556</v>
      </c>
      <c r="U4237" s="98">
        <v>4.2671816646349336</v>
      </c>
      <c r="V4237" s="106">
        <v>37240.527806678212</v>
      </c>
      <c r="W4237" s="10">
        <v>1.1508326306110428</v>
      </c>
      <c r="X4237" s="420"/>
      <c r="Y4237" s="420"/>
    </row>
    <row r="4238" spans="17:25">
      <c r="Q4238" s="6">
        <v>4208</v>
      </c>
      <c r="R4238" s="7">
        <v>46875</v>
      </c>
      <c r="S4238" s="210">
        <v>4.25</v>
      </c>
      <c r="T4238" s="8">
        <v>1.0001180555555556</v>
      </c>
      <c r="U4238" s="98">
        <v>4.267213907710099</v>
      </c>
      <c r="V4238" s="106">
        <v>37243.627440215489</v>
      </c>
      <c r="W4238" s="10">
        <v>1.1508630724043067</v>
      </c>
      <c r="X4238" s="420"/>
      <c r="Y4238" s="420"/>
    </row>
    <row r="4239" spans="17:25">
      <c r="Q4239" s="6">
        <v>4209</v>
      </c>
      <c r="R4239" s="7">
        <v>46876</v>
      </c>
      <c r="S4239" s="210">
        <v>4.25</v>
      </c>
      <c r="T4239" s="8">
        <v>1.0001180555555556</v>
      </c>
      <c r="U4239" s="98">
        <v>4.2672461354742008</v>
      </c>
      <c r="V4239" s="106">
        <v>37246.727331743969</v>
      </c>
      <c r="W4239" s="10">
        <v>1.1508934997416453</v>
      </c>
      <c r="X4239" s="420"/>
      <c r="Y4239" s="420"/>
    </row>
    <row r="4240" spans="17:25">
      <c r="Q4240" s="6">
        <v>4210</v>
      </c>
      <c r="R4240" s="7">
        <v>46877</v>
      </c>
      <c r="S4240" s="210">
        <v>4.25</v>
      </c>
      <c r="T4240" s="8">
        <v>1.0001180555555556</v>
      </c>
      <c r="U4240" s="98">
        <v>4.2672783479381637</v>
      </c>
      <c r="V4240" s="106">
        <v>37249.827481285101</v>
      </c>
      <c r="W4240" s="10">
        <v>1.1509239126333171</v>
      </c>
      <c r="X4240" s="420"/>
      <c r="Y4240" s="420"/>
    </row>
    <row r="4241" spans="17:25">
      <c r="Q4241" s="6">
        <v>4211</v>
      </c>
      <c r="R4241" s="7">
        <v>46878</v>
      </c>
      <c r="S4241" s="210">
        <v>4.25</v>
      </c>
      <c r="T4241" s="8">
        <v>1.0001180555555556</v>
      </c>
      <c r="U4241" s="98">
        <v>4.2673105451128679</v>
      </c>
      <c r="V4241" s="106">
        <v>37252.927888860373</v>
      </c>
      <c r="W4241" s="10">
        <v>1.150954311089647</v>
      </c>
      <c r="X4241" s="420"/>
      <c r="Y4241" s="420"/>
    </row>
    <row r="4242" spans="17:25">
      <c r="Q4242" s="6">
        <v>4212</v>
      </c>
      <c r="R4242" s="7">
        <v>46879</v>
      </c>
      <c r="S4242" s="210">
        <v>4.25</v>
      </c>
      <c r="T4242" s="8">
        <v>1.0001180555555556</v>
      </c>
      <c r="U4242" s="98">
        <v>4.2673427270091935</v>
      </c>
      <c r="V4242" s="106">
        <v>37256.028554491262</v>
      </c>
      <c r="W4242" s="10">
        <v>1.1509846951208713</v>
      </c>
      <c r="X4242" s="420"/>
      <c r="Y4242" s="420"/>
    </row>
    <row r="4243" spans="17:25">
      <c r="Q4243" s="6">
        <v>4213</v>
      </c>
      <c r="R4243" s="7">
        <v>46880</v>
      </c>
      <c r="S4243" s="210">
        <v>4.25</v>
      </c>
      <c r="T4243" s="8">
        <v>1.0001180555555556</v>
      </c>
      <c r="U4243" s="98">
        <v>4.2673748936380207</v>
      </c>
      <c r="V4243" s="106">
        <v>37259.129478199247</v>
      </c>
      <c r="W4243" s="10">
        <v>1.1510150647372708</v>
      </c>
      <c r="X4243" s="420"/>
      <c r="Y4243" s="420"/>
    </row>
    <row r="4244" spans="17:25">
      <c r="Q4244" s="6">
        <v>4214</v>
      </c>
      <c r="R4244" s="7">
        <v>46881</v>
      </c>
      <c r="S4244" s="210">
        <v>4.25</v>
      </c>
      <c r="T4244" s="8">
        <v>1.0001180555555556</v>
      </c>
      <c r="U4244" s="98">
        <v>4.2674070450102297</v>
      </c>
      <c r="V4244" s="106">
        <v>37262.230660005807</v>
      </c>
      <c r="W4244" s="10">
        <v>1.151045419949126</v>
      </c>
      <c r="X4244" s="420"/>
      <c r="Y4244" s="420"/>
    </row>
    <row r="4245" spans="17:25">
      <c r="Q4245" s="6">
        <v>4215</v>
      </c>
      <c r="R4245" s="7">
        <v>46882</v>
      </c>
      <c r="S4245" s="210">
        <v>4.25</v>
      </c>
      <c r="T4245" s="8">
        <v>1.0001180555555556</v>
      </c>
      <c r="U4245" s="98">
        <v>4.2674391811366341</v>
      </c>
      <c r="V4245" s="106">
        <v>37265.332099932421</v>
      </c>
      <c r="W4245" s="10">
        <v>1.1510757607666511</v>
      </c>
      <c r="X4245" s="420"/>
      <c r="Y4245" s="420"/>
    </row>
    <row r="4246" spans="17:25">
      <c r="Q4246" s="6">
        <v>4216</v>
      </c>
      <c r="R4246" s="7">
        <v>46883</v>
      </c>
      <c r="S4246" s="210">
        <v>4.25</v>
      </c>
      <c r="T4246" s="8">
        <v>1.0001180555555556</v>
      </c>
      <c r="U4246" s="98">
        <v>4.2674713020280919</v>
      </c>
      <c r="V4246" s="106">
        <v>37268.433798000573</v>
      </c>
      <c r="W4246" s="10">
        <v>1.1511060872001044</v>
      </c>
      <c r="X4246" s="420"/>
      <c r="Y4246" s="420"/>
    </row>
    <row r="4247" spans="17:25">
      <c r="Q4247" s="6">
        <v>4217</v>
      </c>
      <c r="R4247" s="7">
        <v>46884</v>
      </c>
      <c r="S4247" s="210">
        <v>4.25</v>
      </c>
      <c r="T4247" s="8">
        <v>1.0001180555555556</v>
      </c>
      <c r="U4247" s="98">
        <v>4.2675034076954388</v>
      </c>
      <c r="V4247" s="106">
        <v>37271.535754231758</v>
      </c>
      <c r="W4247" s="10">
        <v>1.1511363992596779</v>
      </c>
      <c r="X4247" s="420"/>
      <c r="Y4247" s="420"/>
    </row>
    <row r="4248" spans="17:25">
      <c r="Q4248" s="6">
        <v>4218</v>
      </c>
      <c r="R4248" s="7">
        <v>46885</v>
      </c>
      <c r="S4248" s="210">
        <v>4.25</v>
      </c>
      <c r="T4248" s="8">
        <v>1.0001180555555556</v>
      </c>
      <c r="U4248" s="98">
        <v>4.2675354981495106</v>
      </c>
      <c r="V4248" s="106">
        <v>37274.637968647454</v>
      </c>
      <c r="W4248" s="10">
        <v>1.15116669695563</v>
      </c>
      <c r="X4248" s="420"/>
      <c r="Y4248" s="420"/>
    </row>
    <row r="4249" spans="17:25">
      <c r="Q4249" s="6">
        <v>4219</v>
      </c>
      <c r="R4249" s="7">
        <v>46886</v>
      </c>
      <c r="S4249" s="210">
        <v>4.25</v>
      </c>
      <c r="T4249" s="8">
        <v>1.0001180555555556</v>
      </c>
      <c r="U4249" s="98">
        <v>4.2675675734010987</v>
      </c>
      <c r="V4249" s="106">
        <v>37277.740441269147</v>
      </c>
      <c r="W4249" s="10">
        <v>1.1511969802981747</v>
      </c>
      <c r="X4249" s="420"/>
      <c r="Y4249" s="420"/>
    </row>
    <row r="4250" spans="17:25">
      <c r="Q4250" s="6">
        <v>4220</v>
      </c>
      <c r="R4250" s="7">
        <v>46887</v>
      </c>
      <c r="S4250" s="210">
        <v>4.25</v>
      </c>
      <c r="T4250" s="8">
        <v>1.0001180555555556</v>
      </c>
      <c r="U4250" s="98">
        <v>4.2675996334609945</v>
      </c>
      <c r="V4250" s="106">
        <v>37280.843172118337</v>
      </c>
      <c r="W4250" s="10">
        <v>1.1512272492974596</v>
      </c>
      <c r="X4250" s="420"/>
      <c r="Y4250" s="420"/>
    </row>
    <row r="4251" spans="17:25">
      <c r="Q4251" s="6">
        <v>4221</v>
      </c>
      <c r="R4251" s="7">
        <v>46888</v>
      </c>
      <c r="S4251" s="210">
        <v>4.25</v>
      </c>
      <c r="T4251" s="8">
        <v>1.0001180555555556</v>
      </c>
      <c r="U4251" s="98">
        <v>4.2676316783400114</v>
      </c>
      <c r="V4251" s="106">
        <v>37283.946161216525</v>
      </c>
      <c r="W4251" s="10">
        <v>1.1512575039636985</v>
      </c>
      <c r="X4251" s="420"/>
      <c r="Y4251" s="420"/>
    </row>
    <row r="4252" spans="17:25">
      <c r="Q4252" s="6">
        <v>4222</v>
      </c>
      <c r="R4252" s="7">
        <v>46889</v>
      </c>
      <c r="S4252" s="210">
        <v>4.25</v>
      </c>
      <c r="T4252" s="8">
        <v>1.0001180555555556</v>
      </c>
      <c r="U4252" s="98">
        <v>4.2676637080489188</v>
      </c>
      <c r="V4252" s="106">
        <v>37287.049408585182</v>
      </c>
      <c r="W4252" s="10">
        <v>1.1512877443070613</v>
      </c>
      <c r="X4252" s="420"/>
      <c r="Y4252" s="420"/>
    </row>
    <row r="4253" spans="17:25">
      <c r="Q4253" s="6">
        <v>4223</v>
      </c>
      <c r="R4253" s="7">
        <v>46890</v>
      </c>
      <c r="S4253" s="210">
        <v>4.25</v>
      </c>
      <c r="T4253" s="8">
        <v>1.0001180555555556</v>
      </c>
      <c r="U4253" s="98">
        <v>4.2676957225984857</v>
      </c>
      <c r="V4253" s="106">
        <v>37290.152914245817</v>
      </c>
      <c r="W4253" s="10">
        <v>1.1513179703377396</v>
      </c>
      <c r="X4253" s="420"/>
      <c r="Y4253" s="420"/>
    </row>
    <row r="4254" spans="17:25">
      <c r="Q4254" s="6">
        <v>4224</v>
      </c>
      <c r="R4254" s="7">
        <v>46891</v>
      </c>
      <c r="S4254" s="210">
        <v>4.25</v>
      </c>
      <c r="T4254" s="8">
        <v>1.0001180555555556</v>
      </c>
      <c r="U4254" s="98">
        <v>4.2677277219994592</v>
      </c>
      <c r="V4254" s="106">
        <v>37293.256678219943</v>
      </c>
      <c r="W4254" s="10">
        <v>1.1513481820658589</v>
      </c>
      <c r="X4254" s="420"/>
      <c r="Y4254" s="420"/>
    </row>
    <row r="4255" spans="17:25">
      <c r="Q4255" s="6">
        <v>4225</v>
      </c>
      <c r="R4255" s="7">
        <v>46892</v>
      </c>
      <c r="S4255" s="210">
        <v>4.25</v>
      </c>
      <c r="T4255" s="8">
        <v>1.0001180555555556</v>
      </c>
      <c r="U4255" s="98">
        <v>4.2677597062626083</v>
      </c>
      <c r="V4255" s="106">
        <v>37296.360700529032</v>
      </c>
      <c r="W4255" s="10">
        <v>1.1513783795016108</v>
      </c>
      <c r="X4255" s="420"/>
      <c r="Y4255" s="420"/>
    </row>
    <row r="4256" spans="17:25">
      <c r="Q4256" s="6">
        <v>4226</v>
      </c>
      <c r="R4256" s="7">
        <v>46893</v>
      </c>
      <c r="S4256" s="210">
        <v>4.25</v>
      </c>
      <c r="T4256" s="8">
        <v>1.0001180555555556</v>
      </c>
      <c r="U4256" s="98">
        <v>4.2677916753986578</v>
      </c>
      <c r="V4256" s="106">
        <v>37299.464981194607</v>
      </c>
      <c r="W4256" s="10">
        <v>1.1514085626550763</v>
      </c>
      <c r="X4256" s="420"/>
      <c r="Y4256" s="420"/>
    </row>
    <row r="4257" spans="17:25">
      <c r="Q4257" s="6">
        <v>4227</v>
      </c>
      <c r="R4257" s="7">
        <v>46894</v>
      </c>
      <c r="S4257" s="210">
        <v>4.25</v>
      </c>
      <c r="T4257" s="8">
        <v>1.0001180555555556</v>
      </c>
      <c r="U4257" s="98">
        <v>4.2678236294183547</v>
      </c>
      <c r="V4257" s="106">
        <v>37302.569520238161</v>
      </c>
      <c r="W4257" s="10">
        <v>1.1514387315364472</v>
      </c>
      <c r="X4257" s="420"/>
      <c r="Y4257" s="420"/>
    </row>
    <row r="4258" spans="17:25">
      <c r="Q4258" s="6">
        <v>4228</v>
      </c>
      <c r="R4258" s="7">
        <v>46895</v>
      </c>
      <c r="S4258" s="210">
        <v>4.25</v>
      </c>
      <c r="T4258" s="8">
        <v>1.0001180555555556</v>
      </c>
      <c r="U4258" s="98">
        <v>4.2678555683324015</v>
      </c>
      <c r="V4258" s="106">
        <v>37305.674317681209</v>
      </c>
      <c r="W4258" s="10">
        <v>1.1514688861558042</v>
      </c>
      <c r="X4258" s="420"/>
      <c r="Y4258" s="420"/>
    </row>
    <row r="4259" spans="17:25">
      <c r="Q4259" s="6">
        <v>4229</v>
      </c>
      <c r="R4259" s="7">
        <v>46896</v>
      </c>
      <c r="S4259" s="210">
        <v>4.25</v>
      </c>
      <c r="T4259" s="8">
        <v>1.0001180555555556</v>
      </c>
      <c r="U4259" s="98">
        <v>4.2678874921515009</v>
      </c>
      <c r="V4259" s="106">
        <v>37308.779373545251</v>
      </c>
      <c r="W4259" s="10">
        <v>1.1514990265232505</v>
      </c>
      <c r="X4259" s="420"/>
      <c r="Y4259" s="420"/>
    </row>
    <row r="4260" spans="17:25">
      <c r="Q4260" s="6">
        <v>4230</v>
      </c>
      <c r="R4260" s="7">
        <v>46897</v>
      </c>
      <c r="S4260" s="210">
        <v>4.25</v>
      </c>
      <c r="T4260" s="8">
        <v>1.0001180555555556</v>
      </c>
      <c r="U4260" s="98">
        <v>4.2679194008863774</v>
      </c>
      <c r="V4260" s="106">
        <v>37311.884687851802</v>
      </c>
      <c r="W4260" s="10">
        <v>1.1515291526489335</v>
      </c>
      <c r="X4260" s="420"/>
      <c r="Y4260" s="420"/>
    </row>
    <row r="4261" spans="17:25">
      <c r="Q4261" s="6">
        <v>4231</v>
      </c>
      <c r="R4261" s="7">
        <v>46898</v>
      </c>
      <c r="S4261" s="210">
        <v>4.25</v>
      </c>
      <c r="T4261" s="8">
        <v>1.0001180555555556</v>
      </c>
      <c r="U4261" s="98">
        <v>4.2679512945476894</v>
      </c>
      <c r="V4261" s="106">
        <v>37314.990260622355</v>
      </c>
      <c r="W4261" s="10">
        <v>1.1515592645429118</v>
      </c>
      <c r="X4261" s="420"/>
      <c r="Y4261" s="420"/>
    </row>
    <row r="4262" spans="17:25">
      <c r="Q4262" s="6">
        <v>4232</v>
      </c>
      <c r="R4262" s="7">
        <v>46899</v>
      </c>
      <c r="S4262" s="210">
        <v>4.25</v>
      </c>
      <c r="T4262" s="8">
        <v>1.0001180555555556</v>
      </c>
      <c r="U4262" s="98">
        <v>4.2679831731461393</v>
      </c>
      <c r="V4262" s="106">
        <v>37318.096091878448</v>
      </c>
      <c r="W4262" s="10">
        <v>1.1515893622152662</v>
      </c>
      <c r="X4262" s="420"/>
      <c r="Y4262" s="420"/>
    </row>
    <row r="4263" spans="17:25">
      <c r="Q4263" s="6">
        <v>4233</v>
      </c>
      <c r="R4263" s="7">
        <v>46900</v>
      </c>
      <c r="S4263" s="210">
        <v>4.25</v>
      </c>
      <c r="T4263" s="8">
        <v>1.0001180555555556</v>
      </c>
      <c r="U4263" s="98">
        <v>4.2680150366923852</v>
      </c>
      <c r="V4263" s="106">
        <v>37321.202181641587</v>
      </c>
      <c r="W4263" s="10">
        <v>1.1516194456760775</v>
      </c>
      <c r="X4263" s="420"/>
      <c r="Y4263" s="420"/>
    </row>
    <row r="4264" spans="17:25">
      <c r="Q4264" s="6">
        <v>4234</v>
      </c>
      <c r="R4264" s="7">
        <v>46901</v>
      </c>
      <c r="S4264" s="210">
        <v>4.25</v>
      </c>
      <c r="T4264" s="8">
        <v>1.0001180555555556</v>
      </c>
      <c r="U4264" s="98">
        <v>4.2680468851970854</v>
      </c>
      <c r="V4264" s="106">
        <v>37324.308529933274</v>
      </c>
      <c r="W4264" s="10">
        <v>1.1516495149354045</v>
      </c>
      <c r="X4264" s="420"/>
      <c r="Y4264" s="420"/>
    </row>
    <row r="4265" spans="17:25">
      <c r="Q4265" s="6">
        <v>4235</v>
      </c>
      <c r="R4265" s="7">
        <v>46902</v>
      </c>
      <c r="S4265" s="210">
        <v>4.25</v>
      </c>
      <c r="T4265" s="8">
        <v>1.0001180555555556</v>
      </c>
      <c r="U4265" s="98">
        <v>4.2680787186708979</v>
      </c>
      <c r="V4265" s="106">
        <v>37327.415136775046</v>
      </c>
      <c r="W4265" s="10">
        <v>1.1516795700033056</v>
      </c>
      <c r="X4265" s="420"/>
      <c r="Y4265" s="420"/>
    </row>
    <row r="4266" spans="17:25">
      <c r="Q4266" s="6">
        <v>4236</v>
      </c>
      <c r="R4266" s="7">
        <v>46903</v>
      </c>
      <c r="S4266" s="210">
        <v>4.25</v>
      </c>
      <c r="T4266" s="8">
        <v>1.0001180555555556</v>
      </c>
      <c r="U4266" s="98">
        <v>4.2681105371244588</v>
      </c>
      <c r="V4266" s="106">
        <v>37330.522002188409</v>
      </c>
      <c r="W4266" s="10">
        <v>1.1517096108898395</v>
      </c>
      <c r="X4266" s="420"/>
      <c r="Y4266" s="420"/>
    </row>
    <row r="4267" spans="17:25">
      <c r="Q4267" s="6">
        <v>4237</v>
      </c>
      <c r="R4267" s="7">
        <v>46904</v>
      </c>
      <c r="S4267" s="210">
        <v>4.25</v>
      </c>
      <c r="T4267" s="8">
        <v>1.0001180555555556</v>
      </c>
      <c r="U4267" s="98">
        <v>4.2681423405683816</v>
      </c>
      <c r="V4267" s="106">
        <v>37333.629126194901</v>
      </c>
      <c r="W4267" s="10">
        <v>1.1517396376050204</v>
      </c>
      <c r="X4267" s="420"/>
      <c r="Y4267" s="420"/>
    </row>
    <row r="4268" spans="17:25">
      <c r="Q4268" s="6">
        <v>4238</v>
      </c>
      <c r="R4268" s="7">
        <v>46905</v>
      </c>
      <c r="S4268" s="210">
        <v>4.25</v>
      </c>
      <c r="T4268" s="8">
        <v>1.0001180555555556</v>
      </c>
      <c r="U4268" s="98">
        <v>4.2681741290133024</v>
      </c>
      <c r="V4268" s="106">
        <v>37336.73650881603</v>
      </c>
      <c r="W4268" s="10">
        <v>1.1517696501588848</v>
      </c>
      <c r="X4268" s="420"/>
      <c r="Y4268" s="420"/>
    </row>
    <row r="4269" spans="17:25">
      <c r="Q4269" s="6">
        <v>4239</v>
      </c>
      <c r="R4269" s="7">
        <v>46906</v>
      </c>
      <c r="S4269" s="210">
        <v>4.25</v>
      </c>
      <c r="T4269" s="8">
        <v>1.0001180555555556</v>
      </c>
      <c r="U4269" s="98">
        <v>4.2682059024698127</v>
      </c>
      <c r="V4269" s="106">
        <v>37339.844150073317</v>
      </c>
      <c r="W4269" s="10">
        <v>1.1517996485614246</v>
      </c>
      <c r="X4269" s="420"/>
      <c r="Y4269" s="420"/>
    </row>
    <row r="4270" spans="17:25">
      <c r="Q4270" s="6">
        <v>4240</v>
      </c>
      <c r="R4270" s="7">
        <v>46907</v>
      </c>
      <c r="S4270" s="210">
        <v>4.25</v>
      </c>
      <c r="T4270" s="8">
        <v>1.0001180555555556</v>
      </c>
      <c r="U4270" s="98">
        <v>4.2682376609485262</v>
      </c>
      <c r="V4270" s="106">
        <v>37342.952049988315</v>
      </c>
      <c r="W4270" s="10">
        <v>1.1518296328226763</v>
      </c>
      <c r="X4270" s="420"/>
      <c r="Y4270" s="420"/>
    </row>
    <row r="4271" spans="17:25">
      <c r="Q4271" s="6">
        <v>4241</v>
      </c>
      <c r="R4271" s="7">
        <v>46908</v>
      </c>
      <c r="S4271" s="210">
        <v>4.25</v>
      </c>
      <c r="T4271" s="8">
        <v>1.0001180555555556</v>
      </c>
      <c r="U4271" s="98">
        <v>4.2682694044600122</v>
      </c>
      <c r="V4271" s="106">
        <v>37346.060208582523</v>
      </c>
      <c r="W4271" s="10">
        <v>1.1518596029526318</v>
      </c>
      <c r="X4271" s="420"/>
      <c r="Y4271" s="420"/>
    </row>
    <row r="4272" spans="17:25">
      <c r="Q4272" s="6">
        <v>4242</v>
      </c>
      <c r="R4272" s="7">
        <v>46909</v>
      </c>
      <c r="S4272" s="210">
        <v>4.25</v>
      </c>
      <c r="T4272" s="8">
        <v>1.0001180555555556</v>
      </c>
      <c r="U4272" s="98">
        <v>4.2683011330148624</v>
      </c>
      <c r="V4272" s="106">
        <v>37349.168625877493</v>
      </c>
      <c r="W4272" s="10">
        <v>1.151889558961261</v>
      </c>
      <c r="X4272" s="420"/>
      <c r="Y4272" s="420"/>
    </row>
    <row r="4273" spans="17:25">
      <c r="Q4273" s="6">
        <v>4243</v>
      </c>
      <c r="R4273" s="7">
        <v>46910</v>
      </c>
      <c r="S4273" s="210">
        <v>4.25</v>
      </c>
      <c r="T4273" s="8">
        <v>1.0001180555555556</v>
      </c>
      <c r="U4273" s="98">
        <v>4.2683328466236459</v>
      </c>
      <c r="V4273" s="106">
        <v>37352.277301894748</v>
      </c>
      <c r="W4273" s="10">
        <v>1.1519195008585559</v>
      </c>
      <c r="X4273" s="420"/>
      <c r="Y4273" s="420"/>
    </row>
    <row r="4274" spans="17:25">
      <c r="Q4274" s="6">
        <v>4244</v>
      </c>
      <c r="R4274" s="7">
        <v>46911</v>
      </c>
      <c r="S4274" s="210">
        <v>4.25</v>
      </c>
      <c r="T4274" s="8">
        <v>1.0001180555555556</v>
      </c>
      <c r="U4274" s="98">
        <v>4.2683645452969321</v>
      </c>
      <c r="V4274" s="106">
        <v>37355.386236655817</v>
      </c>
      <c r="W4274" s="10">
        <v>1.1519494286544862</v>
      </c>
      <c r="X4274" s="420"/>
      <c r="Y4274" s="420"/>
    </row>
    <row r="4275" spans="17:25">
      <c r="Q4275" s="6">
        <v>4245</v>
      </c>
      <c r="R4275" s="7">
        <v>46912</v>
      </c>
      <c r="S4275" s="210">
        <v>4.25</v>
      </c>
      <c r="T4275" s="8">
        <v>1.0001180555555556</v>
      </c>
      <c r="U4275" s="98">
        <v>4.268396229045246</v>
      </c>
      <c r="V4275" s="106">
        <v>37358.495430182251</v>
      </c>
      <c r="W4275" s="10">
        <v>1.1519793423589997</v>
      </c>
      <c r="X4275" s="420"/>
      <c r="Y4275" s="420"/>
    </row>
    <row r="4276" spans="17:25">
      <c r="Q4276" s="6">
        <v>4246</v>
      </c>
      <c r="R4276" s="7">
        <v>46913</v>
      </c>
      <c r="S4276" s="210">
        <v>4.25</v>
      </c>
      <c r="T4276" s="8">
        <v>1.0001180555555556</v>
      </c>
      <c r="U4276" s="98">
        <v>4.2684278978791346</v>
      </c>
      <c r="V4276" s="106">
        <v>37361.604882495572</v>
      </c>
      <c r="W4276" s="10">
        <v>1.152009241982066</v>
      </c>
      <c r="X4276" s="420"/>
      <c r="Y4276" s="420"/>
    </row>
    <row r="4277" spans="17:25">
      <c r="Q4277" s="6">
        <v>4247</v>
      </c>
      <c r="R4277" s="7">
        <v>46914</v>
      </c>
      <c r="S4277" s="210">
        <v>4.25</v>
      </c>
      <c r="T4277" s="8">
        <v>1.0001180555555556</v>
      </c>
      <c r="U4277" s="98">
        <v>4.2684595518091228</v>
      </c>
      <c r="V4277" s="106">
        <v>37364.71459361734</v>
      </c>
      <c r="W4277" s="10">
        <v>1.1520391275336106</v>
      </c>
      <c r="X4277" s="420"/>
      <c r="Y4277" s="420"/>
    </row>
    <row r="4278" spans="17:25">
      <c r="Q4278" s="6">
        <v>4248</v>
      </c>
      <c r="R4278" s="7">
        <v>46915</v>
      </c>
      <c r="S4278" s="210">
        <v>4.25</v>
      </c>
      <c r="T4278" s="8">
        <v>1.0001180555555556</v>
      </c>
      <c r="U4278" s="98">
        <v>4.2684911908457357</v>
      </c>
      <c r="V4278" s="106">
        <v>37367.824563569069</v>
      </c>
      <c r="W4278" s="10">
        <v>1.1520689990235589</v>
      </c>
      <c r="X4278" s="420"/>
      <c r="Y4278" s="420"/>
    </row>
    <row r="4279" spans="17:25">
      <c r="Q4279" s="6">
        <v>4249</v>
      </c>
      <c r="R4279" s="7">
        <v>46916</v>
      </c>
      <c r="S4279" s="210">
        <v>4.25</v>
      </c>
      <c r="T4279" s="8">
        <v>1.0001180555555556</v>
      </c>
      <c r="U4279" s="98">
        <v>4.2685228149994758</v>
      </c>
      <c r="V4279" s="106">
        <v>37370.934792372325</v>
      </c>
      <c r="W4279" s="10">
        <v>1.1520988564618584</v>
      </c>
      <c r="X4279" s="420"/>
      <c r="Y4279" s="420"/>
    </row>
    <row r="4280" spans="17:25">
      <c r="Q4280" s="6">
        <v>4250</v>
      </c>
      <c r="R4280" s="7">
        <v>46917</v>
      </c>
      <c r="S4280" s="210">
        <v>4.25</v>
      </c>
      <c r="T4280" s="8">
        <v>1.0001180555555556</v>
      </c>
      <c r="U4280" s="98">
        <v>4.268554424280846</v>
      </c>
      <c r="V4280" s="106">
        <v>37374.045280048631</v>
      </c>
      <c r="W4280" s="10">
        <v>1.1521286998583902</v>
      </c>
      <c r="X4280" s="420"/>
      <c r="Y4280" s="420"/>
    </row>
    <row r="4281" spans="17:25">
      <c r="Q4281" s="6">
        <v>4251</v>
      </c>
      <c r="R4281" s="7">
        <v>46918</v>
      </c>
      <c r="S4281" s="210">
        <v>4.25</v>
      </c>
      <c r="T4281" s="8">
        <v>1.0001180555555556</v>
      </c>
      <c r="U4281" s="98">
        <v>4.2685860187003488</v>
      </c>
      <c r="V4281" s="106">
        <v>37377.156026619559</v>
      </c>
      <c r="W4281" s="10">
        <v>1.1521585292230796</v>
      </c>
      <c r="X4281" s="420"/>
      <c r="Y4281" s="420"/>
    </row>
    <row r="4282" spans="17:25">
      <c r="Q4282" s="6">
        <v>4252</v>
      </c>
      <c r="R4282" s="7">
        <v>46919</v>
      </c>
      <c r="S4282" s="210">
        <v>4.25</v>
      </c>
      <c r="T4282" s="8">
        <v>1.0001180555555556</v>
      </c>
      <c r="U4282" s="98">
        <v>4.2686175982684427</v>
      </c>
      <c r="V4282" s="106">
        <v>37380.26703210664</v>
      </c>
      <c r="W4282" s="10">
        <v>1.1521883445658077</v>
      </c>
      <c r="X4282" s="420"/>
      <c r="Y4282" s="420"/>
    </row>
    <row r="4283" spans="17:25">
      <c r="Q4283" s="6">
        <v>4253</v>
      </c>
      <c r="R4283" s="7">
        <v>46920</v>
      </c>
      <c r="S4283" s="210">
        <v>4.25</v>
      </c>
      <c r="T4283" s="8">
        <v>1.0001180555555556</v>
      </c>
      <c r="U4283" s="98">
        <v>4.268649162995608</v>
      </c>
      <c r="V4283" s="106">
        <v>37383.378296531439</v>
      </c>
      <c r="W4283" s="10">
        <v>1.1522181458964775</v>
      </c>
      <c r="X4283" s="420"/>
      <c r="Y4283" s="420"/>
    </row>
    <row r="4284" spans="17:25">
      <c r="Q4284" s="6">
        <v>4254</v>
      </c>
      <c r="R4284" s="7">
        <v>46921</v>
      </c>
      <c r="S4284" s="210">
        <v>4.25</v>
      </c>
      <c r="T4284" s="8">
        <v>1.0001180555555556</v>
      </c>
      <c r="U4284" s="98">
        <v>4.2686807128923032</v>
      </c>
      <c r="V4284" s="106">
        <v>37386.489819915485</v>
      </c>
      <c r="W4284" s="10">
        <v>1.1522479332249702</v>
      </c>
      <c r="X4284" s="420"/>
      <c r="Y4284" s="420"/>
    </row>
    <row r="4285" spans="17:25">
      <c r="Q4285" s="6">
        <v>4255</v>
      </c>
      <c r="R4285" s="7">
        <v>46922</v>
      </c>
      <c r="S4285" s="210">
        <v>4.25</v>
      </c>
      <c r="T4285" s="8">
        <v>1.0001180555555556</v>
      </c>
      <c r="U4285" s="98">
        <v>4.2687122479689643</v>
      </c>
      <c r="V4285" s="106">
        <v>37389.601602280352</v>
      </c>
      <c r="W4285" s="10">
        <v>1.1522777065611001</v>
      </c>
      <c r="X4285" s="420"/>
      <c r="Y4285" s="420"/>
    </row>
    <row r="4286" spans="17:25">
      <c r="Q4286" s="6">
        <v>4256</v>
      </c>
      <c r="R4286" s="7">
        <v>46923</v>
      </c>
      <c r="S4286" s="210">
        <v>4.25</v>
      </c>
      <c r="T4286" s="8">
        <v>1.0001180555555556</v>
      </c>
      <c r="U4286" s="98">
        <v>4.2687437682360496</v>
      </c>
      <c r="V4286" s="106">
        <v>37392.713643647592</v>
      </c>
      <c r="W4286" s="10">
        <v>1.1523074659147925</v>
      </c>
      <c r="X4286" s="420"/>
      <c r="Y4286" s="420"/>
    </row>
    <row r="4287" spans="17:25">
      <c r="Q4287" s="6">
        <v>4257</v>
      </c>
      <c r="R4287" s="7">
        <v>46924</v>
      </c>
      <c r="S4287" s="210">
        <v>4.25</v>
      </c>
      <c r="T4287" s="8">
        <v>1.0001180555555556</v>
      </c>
      <c r="U4287" s="98">
        <v>4.268775273703973</v>
      </c>
      <c r="V4287" s="106">
        <v>37395.825944038756</v>
      </c>
      <c r="W4287" s="10">
        <v>1.1523372112958397</v>
      </c>
      <c r="X4287" s="420"/>
      <c r="Y4287" s="420"/>
    </row>
    <row r="4288" spans="17:25">
      <c r="Q4288" s="6">
        <v>4258</v>
      </c>
      <c r="R4288" s="7">
        <v>46925</v>
      </c>
      <c r="S4288" s="210">
        <v>4.25</v>
      </c>
      <c r="T4288" s="8">
        <v>1.0001180555555556</v>
      </c>
      <c r="U4288" s="98">
        <v>4.2688067643831706</v>
      </c>
      <c r="V4288" s="106">
        <v>37398.938503475416</v>
      </c>
      <c r="W4288" s="10">
        <v>1.1523669427141003</v>
      </c>
      <c r="X4288" s="420"/>
      <c r="Y4288" s="420"/>
    </row>
    <row r="4289" spans="17:25">
      <c r="Q4289" s="6">
        <v>4259</v>
      </c>
      <c r="R4289" s="7">
        <v>46926</v>
      </c>
      <c r="S4289" s="210">
        <v>4.25</v>
      </c>
      <c r="T4289" s="8">
        <v>1.0001180555555556</v>
      </c>
      <c r="U4289" s="98">
        <v>4.2688382402840341</v>
      </c>
      <c r="V4289" s="106">
        <v>37402.05132197911</v>
      </c>
      <c r="W4289" s="10">
        <v>1.1523966601793889</v>
      </c>
      <c r="X4289" s="420"/>
      <c r="Y4289" s="420"/>
    </row>
    <row r="4290" spans="17:25">
      <c r="Q4290" s="6">
        <v>4260</v>
      </c>
      <c r="R4290" s="7">
        <v>46927</v>
      </c>
      <c r="S4290" s="210">
        <v>4.25</v>
      </c>
      <c r="T4290" s="8">
        <v>1.0001180555555556</v>
      </c>
      <c r="U4290" s="98">
        <v>4.2688697014169774</v>
      </c>
      <c r="V4290" s="106">
        <v>37405.164399571426</v>
      </c>
      <c r="W4290" s="10">
        <v>1.1524263637015641</v>
      </c>
      <c r="X4290" s="420"/>
      <c r="Y4290" s="420"/>
    </row>
    <row r="4291" spans="17:25">
      <c r="Q4291" s="6">
        <v>4261</v>
      </c>
      <c r="R4291" s="7">
        <v>46928</v>
      </c>
      <c r="S4291" s="210">
        <v>4.25</v>
      </c>
      <c r="T4291" s="8">
        <v>1.0001180555555556</v>
      </c>
      <c r="U4291" s="98">
        <v>4.2689011477923922</v>
      </c>
      <c r="V4291" s="106">
        <v>37408.277736273914</v>
      </c>
      <c r="W4291" s="10">
        <v>1.152456053290396</v>
      </c>
      <c r="X4291" s="420"/>
      <c r="Y4291" s="420"/>
    </row>
    <row r="4292" spans="17:25">
      <c r="Q4292" s="6">
        <v>4262</v>
      </c>
      <c r="R4292" s="7">
        <v>46929</v>
      </c>
      <c r="S4292" s="210">
        <v>4.25</v>
      </c>
      <c r="T4292" s="8">
        <v>1.0001180555555556</v>
      </c>
      <c r="U4292" s="98">
        <v>4.2689325794206479</v>
      </c>
      <c r="V4292" s="106">
        <v>37411.391332108142</v>
      </c>
      <c r="W4292" s="10">
        <v>1.1524857289557211</v>
      </c>
      <c r="X4292" s="420"/>
      <c r="Y4292" s="420"/>
    </row>
    <row r="4293" spans="17:25">
      <c r="Q4293" s="6">
        <v>4263</v>
      </c>
      <c r="R4293" s="7">
        <v>46930</v>
      </c>
      <c r="S4293" s="210">
        <v>4.25</v>
      </c>
      <c r="T4293" s="8">
        <v>1.0001180555555556</v>
      </c>
      <c r="U4293" s="98">
        <v>4.2689639963121362</v>
      </c>
      <c r="V4293" s="106">
        <v>37414.505187095681</v>
      </c>
      <c r="W4293" s="10">
        <v>1.1525153907073094</v>
      </c>
      <c r="X4293" s="420"/>
      <c r="Y4293" s="420"/>
    </row>
    <row r="4294" spans="17:25">
      <c r="Q4294" s="6">
        <v>4264</v>
      </c>
      <c r="R4294" s="7">
        <v>46931</v>
      </c>
      <c r="S4294" s="210">
        <v>4.25</v>
      </c>
      <c r="T4294" s="8">
        <v>1.0001180555555556</v>
      </c>
      <c r="U4294" s="98">
        <v>4.2689953984772044</v>
      </c>
      <c r="V4294" s="106">
        <v>37417.619301258106</v>
      </c>
      <c r="W4294" s="10">
        <v>1.1525450385549307</v>
      </c>
      <c r="X4294" s="420"/>
      <c r="Y4294" s="420"/>
    </row>
    <row r="4295" spans="17:25">
      <c r="Q4295" s="6">
        <v>4265</v>
      </c>
      <c r="R4295" s="7">
        <v>46932</v>
      </c>
      <c r="S4295" s="210">
        <v>4.25</v>
      </c>
      <c r="T4295" s="8">
        <v>1.0001180555555556</v>
      </c>
      <c r="U4295" s="98">
        <v>4.2690267859261999</v>
      </c>
      <c r="V4295" s="106">
        <v>37420.733674616982</v>
      </c>
      <c r="W4295" s="10">
        <v>1.1525746725083996</v>
      </c>
      <c r="X4295" s="420"/>
      <c r="Y4295" s="420"/>
    </row>
    <row r="4296" spans="17:25">
      <c r="Q4296" s="6">
        <v>4266</v>
      </c>
      <c r="R4296" s="7">
        <v>46933</v>
      </c>
      <c r="S4296" s="210">
        <v>4.25</v>
      </c>
      <c r="T4296" s="8">
        <v>1.0001180555555556</v>
      </c>
      <c r="U4296" s="98">
        <v>4.2690581586694698</v>
      </c>
      <c r="V4296" s="106">
        <v>37423.848307193883</v>
      </c>
      <c r="W4296" s="10">
        <v>1.1526042925774416</v>
      </c>
      <c r="X4296" s="420"/>
      <c r="Y4296" s="420"/>
    </row>
    <row r="4297" spans="17:25">
      <c r="Q4297" s="6">
        <v>4267</v>
      </c>
      <c r="R4297" s="7">
        <v>46934</v>
      </c>
      <c r="S4297" s="210">
        <v>4.25</v>
      </c>
      <c r="T4297" s="8">
        <v>1.0001180555555556</v>
      </c>
      <c r="U4297" s="98">
        <v>4.2690895167173393</v>
      </c>
      <c r="V4297" s="106">
        <v>37426.963199010381</v>
      </c>
      <c r="W4297" s="10">
        <v>1.1526338987718265</v>
      </c>
      <c r="X4297" s="420"/>
      <c r="Y4297" s="420"/>
    </row>
    <row r="4298" spans="17:25">
      <c r="Q4298" s="6">
        <v>4268</v>
      </c>
      <c r="R4298" s="7">
        <v>46935</v>
      </c>
      <c r="S4298" s="210">
        <v>4.25</v>
      </c>
      <c r="T4298" s="8">
        <v>1.0001180555555556</v>
      </c>
      <c r="U4298" s="98">
        <v>4.2691208600801556</v>
      </c>
      <c r="V4298" s="106">
        <v>37430.078350088064</v>
      </c>
      <c r="W4298" s="10">
        <v>1.1526634911013023</v>
      </c>
      <c r="X4298" s="420"/>
      <c r="Y4298" s="420"/>
    </row>
    <row r="4299" spans="17:25">
      <c r="Q4299" s="6">
        <v>4269</v>
      </c>
      <c r="R4299" s="7">
        <v>46936</v>
      </c>
      <c r="S4299" s="210">
        <v>4.25</v>
      </c>
      <c r="T4299" s="8">
        <v>1.0001180555555556</v>
      </c>
      <c r="U4299" s="98">
        <v>4.2691521887681994</v>
      </c>
      <c r="V4299" s="106">
        <v>37433.193760448507</v>
      </c>
      <c r="W4299" s="10">
        <v>1.1526930695755944</v>
      </c>
      <c r="X4299" s="420"/>
      <c r="Y4299" s="420"/>
    </row>
    <row r="4300" spans="17:25">
      <c r="Q4300" s="6">
        <v>4270</v>
      </c>
      <c r="R4300" s="7">
        <v>46937</v>
      </c>
      <c r="S4300" s="210">
        <v>4.25</v>
      </c>
      <c r="T4300" s="8">
        <v>1.0001180555555556</v>
      </c>
      <c r="U4300" s="98">
        <v>4.2691835027917957</v>
      </c>
      <c r="V4300" s="106">
        <v>37436.309430113281</v>
      </c>
      <c r="W4300" s="10">
        <v>1.1527226342044727</v>
      </c>
      <c r="X4300" s="420"/>
      <c r="Y4300" s="420"/>
    </row>
    <row r="4301" spans="17:25">
      <c r="Q4301" s="6">
        <v>4271</v>
      </c>
      <c r="R4301" s="7">
        <v>46938</v>
      </c>
      <c r="S4301" s="210">
        <v>4.25</v>
      </c>
      <c r="T4301" s="8">
        <v>1.0001180555555556</v>
      </c>
      <c r="U4301" s="98">
        <v>4.2692148021612475</v>
      </c>
      <c r="V4301" s="106">
        <v>37439.425359103981</v>
      </c>
      <c r="W4301" s="10">
        <v>1.1527521849976186</v>
      </c>
      <c r="X4301" s="420"/>
      <c r="Y4301" s="420"/>
    </row>
    <row r="4302" spans="17:25">
      <c r="Q4302" s="6">
        <v>4272</v>
      </c>
      <c r="R4302" s="7">
        <v>46939</v>
      </c>
      <c r="S4302" s="210">
        <v>4.25</v>
      </c>
      <c r="T4302" s="8">
        <v>1.0001180555555556</v>
      </c>
      <c r="U4302" s="98">
        <v>4.2692460868868132</v>
      </c>
      <c r="V4302" s="106">
        <v>37442.541547442182</v>
      </c>
      <c r="W4302" s="10">
        <v>1.1527817219647352</v>
      </c>
      <c r="X4302" s="420"/>
      <c r="Y4302" s="420"/>
    </row>
    <row r="4303" spans="17:25">
      <c r="Q4303" s="6">
        <v>4273</v>
      </c>
      <c r="R4303" s="7">
        <v>46940</v>
      </c>
      <c r="S4303" s="210">
        <v>4.25</v>
      </c>
      <c r="T4303" s="8">
        <v>1.0001180555555556</v>
      </c>
      <c r="U4303" s="98">
        <v>4.2692773569787734</v>
      </c>
      <c r="V4303" s="106">
        <v>37445.657995149479</v>
      </c>
      <c r="W4303" s="10">
        <v>1.1528112451155481</v>
      </c>
      <c r="X4303" s="420"/>
      <c r="Y4303" s="420"/>
    </row>
    <row r="4304" spans="17:25">
      <c r="Q4304" s="6">
        <v>4274</v>
      </c>
      <c r="R4304" s="7">
        <v>46941</v>
      </c>
      <c r="S4304" s="210">
        <v>4.25</v>
      </c>
      <c r="T4304" s="8">
        <v>1.0001180555555556</v>
      </c>
      <c r="U4304" s="98">
        <v>4.2693086124474089</v>
      </c>
      <c r="V4304" s="106">
        <v>37448.774702247458</v>
      </c>
      <c r="W4304" s="10">
        <v>1.1528407544597385</v>
      </c>
      <c r="X4304" s="420"/>
      <c r="Y4304" s="420"/>
    </row>
    <row r="4305" spans="17:25">
      <c r="Q4305" s="6">
        <v>4275</v>
      </c>
      <c r="R4305" s="7">
        <v>46942</v>
      </c>
      <c r="S4305" s="210">
        <v>4.25</v>
      </c>
      <c r="T4305" s="8">
        <v>1.0001180555555556</v>
      </c>
      <c r="U4305" s="98">
        <v>4.2693398533029558</v>
      </c>
      <c r="V4305" s="106">
        <v>37451.891668757708</v>
      </c>
      <c r="W4305" s="10">
        <v>1.1528702500069876</v>
      </c>
      <c r="X4305" s="420"/>
      <c r="Y4305" s="420"/>
    </row>
    <row r="4306" spans="17:25">
      <c r="Q4306" s="6">
        <v>4276</v>
      </c>
      <c r="R4306" s="7">
        <v>46943</v>
      </c>
      <c r="S4306" s="210">
        <v>4.25</v>
      </c>
      <c r="T4306" s="8">
        <v>1.0001180555555556</v>
      </c>
      <c r="U4306" s="98">
        <v>4.2693710795556727</v>
      </c>
      <c r="V4306" s="106">
        <v>37455.008894701816</v>
      </c>
      <c r="W4306" s="10">
        <v>1.1528997317669543</v>
      </c>
      <c r="X4306" s="420"/>
      <c r="Y4306" s="420"/>
    </row>
    <row r="4307" spans="17:25">
      <c r="Q4307" s="6">
        <v>4277</v>
      </c>
      <c r="R4307" s="7">
        <v>46944</v>
      </c>
      <c r="S4307" s="210">
        <v>4.25</v>
      </c>
      <c r="T4307" s="8">
        <v>1.0001180555555556</v>
      </c>
      <c r="U4307" s="98">
        <v>4.2694022912157958</v>
      </c>
      <c r="V4307" s="106">
        <v>37458.126380101377</v>
      </c>
      <c r="W4307" s="10">
        <v>1.1529291997493418</v>
      </c>
      <c r="X4307" s="420"/>
      <c r="Y4307" s="420"/>
    </row>
    <row r="4308" spans="17:25">
      <c r="Q4308" s="6">
        <v>4278</v>
      </c>
      <c r="R4308" s="7">
        <v>46945</v>
      </c>
      <c r="S4308" s="210">
        <v>4.25</v>
      </c>
      <c r="T4308" s="8">
        <v>1.0001180555555556</v>
      </c>
      <c r="U4308" s="98">
        <v>4.2694334882935614</v>
      </c>
      <c r="V4308" s="106">
        <v>37461.244124977988</v>
      </c>
      <c r="W4308" s="10">
        <v>1.1529586539638093</v>
      </c>
      <c r="X4308" s="420"/>
      <c r="Y4308" s="420"/>
    </row>
    <row r="4309" spans="17:25">
      <c r="Q4309" s="6">
        <v>4279</v>
      </c>
      <c r="R4309" s="7">
        <v>46946</v>
      </c>
      <c r="S4309" s="210">
        <v>4.25</v>
      </c>
      <c r="T4309" s="8">
        <v>1.0001180555555556</v>
      </c>
      <c r="U4309" s="98">
        <v>4.2694646707991613</v>
      </c>
      <c r="V4309" s="106">
        <v>37464.362129353249</v>
      </c>
      <c r="W4309" s="10">
        <v>1.1529880944199489</v>
      </c>
      <c r="X4309" s="420"/>
      <c r="Y4309" s="420"/>
    </row>
    <row r="4310" spans="17:25">
      <c r="Q4310" s="6">
        <v>4280</v>
      </c>
      <c r="R4310" s="7">
        <v>46947</v>
      </c>
      <c r="S4310" s="210">
        <v>4.25</v>
      </c>
      <c r="T4310" s="8">
        <v>1.0001180555555556</v>
      </c>
      <c r="U4310" s="98">
        <v>4.2694958387428095</v>
      </c>
      <c r="V4310" s="106">
        <v>37467.480393248748</v>
      </c>
      <c r="W4310" s="10">
        <v>1.1530175211274418</v>
      </c>
      <c r="X4310" s="420"/>
      <c r="Y4310" s="420"/>
    </row>
    <row r="4311" spans="17:25">
      <c r="Q4311" s="6">
        <v>4281</v>
      </c>
      <c r="R4311" s="7">
        <v>46948</v>
      </c>
      <c r="S4311" s="210">
        <v>4.25</v>
      </c>
      <c r="T4311" s="8">
        <v>1.0001180555555556</v>
      </c>
      <c r="U4311" s="98">
        <v>4.2695269921347201</v>
      </c>
      <c r="V4311" s="106">
        <v>37470.598916686111</v>
      </c>
      <c r="W4311" s="10">
        <v>1.1530469340958804</v>
      </c>
      <c r="X4311" s="420"/>
      <c r="Y4311" s="420"/>
    </row>
    <row r="4312" spans="17:25">
      <c r="Q4312" s="6">
        <v>4282</v>
      </c>
      <c r="R4312" s="7">
        <v>46949</v>
      </c>
      <c r="S4312" s="210">
        <v>4.25</v>
      </c>
      <c r="T4312" s="8">
        <v>1.0001180555555556</v>
      </c>
      <c r="U4312" s="98">
        <v>4.2695581309850628</v>
      </c>
      <c r="V4312" s="106">
        <v>37473.717699686902</v>
      </c>
      <c r="W4312" s="10">
        <v>1.1530763333349237</v>
      </c>
      <c r="X4312" s="420"/>
      <c r="Y4312" s="420"/>
    </row>
    <row r="4313" spans="17:25">
      <c r="Q4313" s="6">
        <v>4283</v>
      </c>
      <c r="R4313" s="7">
        <v>46950</v>
      </c>
      <c r="S4313" s="210">
        <v>4.25</v>
      </c>
      <c r="T4313" s="8">
        <v>1.0001180555555556</v>
      </c>
      <c r="U4313" s="98">
        <v>4.2695892553040293</v>
      </c>
      <c r="V4313" s="106">
        <v>37476.836742272761</v>
      </c>
      <c r="W4313" s="10">
        <v>1.1531057188541638</v>
      </c>
      <c r="X4313" s="420"/>
      <c r="Y4313" s="420"/>
    </row>
    <row r="4314" spans="17:25">
      <c r="Q4314" s="6">
        <v>4284</v>
      </c>
      <c r="R4314" s="7">
        <v>46951</v>
      </c>
      <c r="S4314" s="210">
        <v>4.25</v>
      </c>
      <c r="T4314" s="8">
        <v>1.0001180555555556</v>
      </c>
      <c r="U4314" s="98">
        <v>4.2696203651017894</v>
      </c>
      <c r="V4314" s="106">
        <v>37479.956044465274</v>
      </c>
      <c r="W4314" s="10">
        <v>1.1531350906632154</v>
      </c>
      <c r="X4314" s="420"/>
      <c r="Y4314" s="420"/>
    </row>
    <row r="4315" spans="17:25">
      <c r="Q4315" s="6">
        <v>4285</v>
      </c>
      <c r="R4315" s="7">
        <v>46952</v>
      </c>
      <c r="S4315" s="210">
        <v>4.25</v>
      </c>
      <c r="T4315" s="8">
        <v>1.0001180555555556</v>
      </c>
      <c r="U4315" s="98">
        <v>4.2696514603884905</v>
      </c>
      <c r="V4315" s="106">
        <v>37483.075606286053</v>
      </c>
      <c r="W4315" s="10">
        <v>1.1531644487716486</v>
      </c>
      <c r="X4315" s="420"/>
      <c r="Y4315" s="420"/>
    </row>
    <row r="4316" spans="17:25">
      <c r="Q4316" s="6">
        <v>4286</v>
      </c>
      <c r="R4316" s="7">
        <v>46953</v>
      </c>
      <c r="S4316" s="210">
        <v>4.25</v>
      </c>
      <c r="T4316" s="8">
        <v>1.0001180555555556</v>
      </c>
      <c r="U4316" s="98">
        <v>4.2696825411743022</v>
      </c>
      <c r="V4316" s="106">
        <v>37486.195427756713</v>
      </c>
      <c r="W4316" s="10">
        <v>1.1531937931890557</v>
      </c>
      <c r="X4316" s="420"/>
      <c r="Y4316" s="420"/>
    </row>
    <row r="4317" spans="17:25">
      <c r="Q4317" s="6">
        <v>4287</v>
      </c>
      <c r="R4317" s="7">
        <v>46954</v>
      </c>
      <c r="S4317" s="210">
        <v>4.25</v>
      </c>
      <c r="T4317" s="8">
        <v>1.0001180555555556</v>
      </c>
      <c r="U4317" s="98">
        <v>4.2697136074693498</v>
      </c>
      <c r="V4317" s="106">
        <v>37489.31550889885</v>
      </c>
      <c r="W4317" s="10">
        <v>1.153223123925029</v>
      </c>
      <c r="X4317" s="420"/>
      <c r="Y4317" s="420"/>
    </row>
    <row r="4318" spans="17:25">
      <c r="Q4318" s="6">
        <v>4288</v>
      </c>
      <c r="R4318" s="7">
        <v>46955</v>
      </c>
      <c r="S4318" s="210">
        <v>4.25</v>
      </c>
      <c r="T4318" s="8">
        <v>1.0001180555555556</v>
      </c>
      <c r="U4318" s="98">
        <v>4.2697446592837807</v>
      </c>
      <c r="V4318" s="106">
        <v>37492.435849734095</v>
      </c>
      <c r="W4318" s="10">
        <v>1.1532524409891165</v>
      </c>
      <c r="X4318" s="420"/>
      <c r="Y4318" s="420"/>
    </row>
    <row r="4319" spans="17:25">
      <c r="Q4319" s="6">
        <v>4289</v>
      </c>
      <c r="R4319" s="7">
        <v>46956</v>
      </c>
      <c r="S4319" s="210">
        <v>4.25</v>
      </c>
      <c r="T4319" s="8">
        <v>1.0001180555555556</v>
      </c>
      <c r="U4319" s="98">
        <v>4.2697756966276978</v>
      </c>
      <c r="V4319" s="106">
        <v>37495.556450284057</v>
      </c>
      <c r="W4319" s="10">
        <v>1.1532817443908661</v>
      </c>
      <c r="X4319" s="420"/>
      <c r="Y4319" s="420"/>
    </row>
    <row r="4320" spans="17:25">
      <c r="Q4320" s="6">
        <v>4290</v>
      </c>
      <c r="R4320" s="7">
        <v>46957</v>
      </c>
      <c r="S4320" s="210">
        <v>4.25</v>
      </c>
      <c r="T4320" s="8">
        <v>1.0001180555555556</v>
      </c>
      <c r="U4320" s="98">
        <v>4.2698067195112266</v>
      </c>
      <c r="V4320" s="106">
        <v>37498.677310570354</v>
      </c>
      <c r="W4320" s="10">
        <v>1.1533110341398478</v>
      </c>
      <c r="X4320" s="420"/>
      <c r="Y4320" s="420"/>
    </row>
    <row r="4321" spans="17:25">
      <c r="Q4321" s="6">
        <v>4291</v>
      </c>
      <c r="R4321" s="7">
        <v>46958</v>
      </c>
      <c r="S4321" s="210">
        <v>4.25</v>
      </c>
      <c r="T4321" s="8">
        <v>1.0001180555555556</v>
      </c>
      <c r="U4321" s="98">
        <v>4.2698377279444699</v>
      </c>
      <c r="V4321" s="106">
        <v>37501.798430614595</v>
      </c>
      <c r="W4321" s="10">
        <v>1.1533403102456097</v>
      </c>
      <c r="X4321" s="420"/>
      <c r="Y4321" s="420"/>
    </row>
    <row r="4322" spans="17:25">
      <c r="Q4322" s="6">
        <v>4292</v>
      </c>
      <c r="R4322" s="7">
        <v>46959</v>
      </c>
      <c r="S4322" s="210">
        <v>4.25</v>
      </c>
      <c r="T4322" s="8">
        <v>1.0001180555555556</v>
      </c>
      <c r="U4322" s="98">
        <v>4.2698687219375087</v>
      </c>
      <c r="V4322" s="106">
        <v>37504.919810438412</v>
      </c>
      <c r="W4322" s="10">
        <v>1.1533695727176552</v>
      </c>
      <c r="X4322" s="420"/>
      <c r="Y4322" s="420"/>
    </row>
    <row r="4323" spans="17:25">
      <c r="Q4323" s="6">
        <v>4293</v>
      </c>
      <c r="R4323" s="7">
        <v>46960</v>
      </c>
      <c r="S4323" s="210">
        <v>4.25</v>
      </c>
      <c r="T4323" s="8">
        <v>1.0001180555555556</v>
      </c>
      <c r="U4323" s="98">
        <v>4.2698997015004458</v>
      </c>
      <c r="V4323" s="106">
        <v>37508.041450063422</v>
      </c>
      <c r="W4323" s="10">
        <v>1.15339882156551</v>
      </c>
      <c r="X4323" s="420"/>
      <c r="Y4323" s="420"/>
    </row>
    <row r="4324" spans="17:25">
      <c r="Q4324" s="6">
        <v>4294</v>
      </c>
      <c r="R4324" s="7">
        <v>46961</v>
      </c>
      <c r="S4324" s="210">
        <v>4.25</v>
      </c>
      <c r="T4324" s="8">
        <v>1.0001180555555556</v>
      </c>
      <c r="U4324" s="98">
        <v>4.2699306666433401</v>
      </c>
      <c r="V4324" s="106">
        <v>37511.163349511247</v>
      </c>
      <c r="W4324" s="10">
        <v>1.1534280567986777</v>
      </c>
      <c r="X4324" s="420"/>
      <c r="Y4324" s="420"/>
    </row>
    <row r="4325" spans="17:25">
      <c r="Q4325" s="6">
        <v>4295</v>
      </c>
      <c r="R4325" s="7">
        <v>46962</v>
      </c>
      <c r="S4325" s="210">
        <v>4.25</v>
      </c>
      <c r="T4325" s="8">
        <v>1.0001180555555556</v>
      </c>
      <c r="U4325" s="98">
        <v>4.2699616173762722</v>
      </c>
      <c r="V4325" s="106">
        <v>37514.285508803521</v>
      </c>
      <c r="W4325" s="10">
        <v>1.1534572784267061</v>
      </c>
      <c r="X4325" s="420"/>
      <c r="Y4325" s="420"/>
    </row>
    <row r="4326" spans="17:25">
      <c r="Q4326" s="6">
        <v>4296</v>
      </c>
      <c r="R4326" s="7">
        <v>46963</v>
      </c>
      <c r="S4326" s="210">
        <v>4.25</v>
      </c>
      <c r="T4326" s="8">
        <v>1.0001180555555556</v>
      </c>
      <c r="U4326" s="98">
        <v>4.2699925537093009</v>
      </c>
      <c r="V4326" s="106">
        <v>37517.407927961867</v>
      </c>
      <c r="W4326" s="10">
        <v>1.1534864864590544</v>
      </c>
      <c r="X4326" s="420"/>
      <c r="Y4326" s="420"/>
    </row>
    <row r="4327" spans="17:25">
      <c r="Q4327" s="6">
        <v>4297</v>
      </c>
      <c r="R4327" s="7">
        <v>46964</v>
      </c>
      <c r="S4327" s="210">
        <v>4.25</v>
      </c>
      <c r="T4327" s="8">
        <v>1.0001180555555556</v>
      </c>
      <c r="U4327" s="98">
        <v>4.2700234756524624</v>
      </c>
      <c r="V4327" s="106">
        <v>37520.53060700791</v>
      </c>
      <c r="W4327" s="10">
        <v>1.1535156809052038</v>
      </c>
      <c r="X4327" s="420"/>
      <c r="Y4327" s="420"/>
    </row>
    <row r="4328" spans="17:25">
      <c r="Q4328" s="6">
        <v>4298</v>
      </c>
      <c r="R4328" s="7">
        <v>46965</v>
      </c>
      <c r="S4328" s="210">
        <v>4.25</v>
      </c>
      <c r="T4328" s="8">
        <v>1.0001180555555556</v>
      </c>
      <c r="U4328" s="98">
        <v>4.2700543832157933</v>
      </c>
      <c r="V4328" s="106">
        <v>37523.65354596328</v>
      </c>
      <c r="W4328" s="10">
        <v>1.153544861774658</v>
      </c>
      <c r="X4328" s="420"/>
      <c r="Y4328" s="420"/>
    </row>
    <row r="4329" spans="17:25">
      <c r="Q4329" s="6">
        <v>4299</v>
      </c>
      <c r="R4329" s="7">
        <v>46966</v>
      </c>
      <c r="S4329" s="210">
        <v>4.25</v>
      </c>
      <c r="T4329" s="8">
        <v>1.0001180555555556</v>
      </c>
      <c r="U4329" s="98">
        <v>4.27008527640933</v>
      </c>
      <c r="V4329" s="106">
        <v>37526.776744849623</v>
      </c>
      <c r="W4329" s="10">
        <v>1.1535740290768759</v>
      </c>
      <c r="X4329" s="420"/>
      <c r="Y4329" s="420"/>
    </row>
    <row r="4330" spans="17:25">
      <c r="Q4330" s="6">
        <v>4300</v>
      </c>
      <c r="R4330" s="7">
        <v>46967</v>
      </c>
      <c r="S4330" s="210">
        <v>4.25</v>
      </c>
      <c r="T4330" s="8">
        <v>1.0001180555555556</v>
      </c>
      <c r="U4330" s="98">
        <v>4.2701161552430866</v>
      </c>
      <c r="V4330" s="106">
        <v>37529.900203688565</v>
      </c>
      <c r="W4330" s="10">
        <v>1.1536031828212945</v>
      </c>
      <c r="X4330" s="420"/>
      <c r="Y4330" s="420"/>
    </row>
    <row r="4331" spans="17:25">
      <c r="Q4331" s="6">
        <v>4301</v>
      </c>
      <c r="R4331" s="7">
        <v>46968</v>
      </c>
      <c r="S4331" s="210">
        <v>4.25</v>
      </c>
      <c r="T4331" s="8">
        <v>1.0001180555555556</v>
      </c>
      <c r="U4331" s="98">
        <v>4.2701470197270552</v>
      </c>
      <c r="V4331" s="106">
        <v>37533.023922501743</v>
      </c>
      <c r="W4331" s="10">
        <v>1.1536323230173728</v>
      </c>
      <c r="X4331" s="420"/>
      <c r="Y4331" s="420"/>
    </row>
    <row r="4332" spans="17:25">
      <c r="Q4332" s="6">
        <v>4302</v>
      </c>
      <c r="R4332" s="7">
        <v>46969</v>
      </c>
      <c r="S4332" s="210">
        <v>4.25</v>
      </c>
      <c r="T4332" s="8">
        <v>1.0001180555555556</v>
      </c>
      <c r="U4332" s="98">
        <v>4.27017786987125</v>
      </c>
      <c r="V4332" s="106">
        <v>37536.147901310782</v>
      </c>
      <c r="W4332" s="10">
        <v>1.1536614496745701</v>
      </c>
      <c r="X4332" s="420"/>
      <c r="Y4332" s="420"/>
    </row>
    <row r="4333" spans="17:25">
      <c r="Q4333" s="6">
        <v>4303</v>
      </c>
      <c r="R4333" s="7">
        <v>46970</v>
      </c>
      <c r="S4333" s="210">
        <v>4.25</v>
      </c>
      <c r="T4333" s="8">
        <v>1.0001180555555556</v>
      </c>
      <c r="U4333" s="98">
        <v>4.2702087056856852</v>
      </c>
      <c r="V4333" s="106">
        <v>37539.272140137349</v>
      </c>
      <c r="W4333" s="10">
        <v>1.1536905628023231</v>
      </c>
      <c r="X4333" s="420"/>
      <c r="Y4333" s="420"/>
    </row>
    <row r="4334" spans="17:25">
      <c r="Q4334" s="6">
        <v>4304</v>
      </c>
      <c r="R4334" s="7">
        <v>46971</v>
      </c>
      <c r="S4334" s="210">
        <v>4.25</v>
      </c>
      <c r="T4334" s="8">
        <v>1.0001180555555556</v>
      </c>
      <c r="U4334" s="98">
        <v>4.2702395271803084</v>
      </c>
      <c r="V4334" s="106">
        <v>37542.396639003076</v>
      </c>
      <c r="W4334" s="10">
        <v>1.1537196624100243</v>
      </c>
      <c r="X4334" s="420"/>
      <c r="Y4334" s="420"/>
    </row>
    <row r="4335" spans="17:25">
      <c r="Q4335" s="6">
        <v>4305</v>
      </c>
      <c r="R4335" s="7">
        <v>46972</v>
      </c>
      <c r="S4335" s="210">
        <v>4.25</v>
      </c>
      <c r="T4335" s="8">
        <v>1.0001180555555556</v>
      </c>
      <c r="U4335" s="98">
        <v>4.2702703343651116</v>
      </c>
      <c r="V4335" s="106">
        <v>37545.521397929595</v>
      </c>
      <c r="W4335" s="10">
        <v>1.1537487485071107</v>
      </c>
      <c r="X4335" s="420"/>
      <c r="Y4335" s="420"/>
    </row>
    <row r="4336" spans="17:25">
      <c r="Q4336" s="6">
        <v>4306</v>
      </c>
      <c r="R4336" s="7">
        <v>46973</v>
      </c>
      <c r="S4336" s="210">
        <v>4.25</v>
      </c>
      <c r="T4336" s="8">
        <v>1.0001180555555556</v>
      </c>
      <c r="U4336" s="98">
        <v>4.2703011272500646</v>
      </c>
      <c r="V4336" s="106">
        <v>37548.646416938565</v>
      </c>
      <c r="W4336" s="10">
        <v>1.153777821102997</v>
      </c>
      <c r="X4336" s="420"/>
      <c r="Y4336" s="420"/>
    </row>
    <row r="4337" spans="17:25">
      <c r="Q4337" s="6">
        <v>4307</v>
      </c>
      <c r="R4337" s="7">
        <v>46974</v>
      </c>
      <c r="S4337" s="210">
        <v>4.25</v>
      </c>
      <c r="T4337" s="8">
        <v>1.0001180555555556</v>
      </c>
      <c r="U4337" s="98">
        <v>4.2703319058450928</v>
      </c>
      <c r="V4337" s="106">
        <v>37551.771696051626</v>
      </c>
      <c r="W4337" s="10">
        <v>1.1538068802070756</v>
      </c>
      <c r="X4337" s="420"/>
      <c r="Y4337" s="420"/>
    </row>
    <row r="4338" spans="17:25">
      <c r="Q4338" s="6">
        <v>4308</v>
      </c>
      <c r="R4338" s="7">
        <v>46975</v>
      </c>
      <c r="S4338" s="210">
        <v>4.25</v>
      </c>
      <c r="T4338" s="8">
        <v>1.0001180555555556</v>
      </c>
      <c r="U4338" s="98">
        <v>4.270362670160166</v>
      </c>
      <c r="V4338" s="106">
        <v>37554.897235290431</v>
      </c>
      <c r="W4338" s="10">
        <v>1.1538359258287167</v>
      </c>
      <c r="X4338" s="420"/>
      <c r="Y4338" s="420"/>
    </row>
    <row r="4339" spans="17:25">
      <c r="Q4339" s="6">
        <v>4309</v>
      </c>
      <c r="R4339" s="7">
        <v>46976</v>
      </c>
      <c r="S4339" s="210">
        <v>4.25</v>
      </c>
      <c r="T4339" s="8">
        <v>1.0001180555555556</v>
      </c>
      <c r="U4339" s="98">
        <v>4.2703934202052096</v>
      </c>
      <c r="V4339" s="106">
        <v>37558.023034676633</v>
      </c>
      <c r="W4339" s="10">
        <v>1.1538649579773352</v>
      </c>
      <c r="X4339" s="420"/>
      <c r="Y4339" s="420"/>
    </row>
    <row r="4340" spans="17:25">
      <c r="Q4340" s="6">
        <v>4310</v>
      </c>
      <c r="R4340" s="7">
        <v>46977</v>
      </c>
      <c r="S4340" s="210">
        <v>4.25</v>
      </c>
      <c r="T4340" s="8">
        <v>1.0001180555555556</v>
      </c>
      <c r="U4340" s="98">
        <v>4.270424155990149</v>
      </c>
      <c r="V4340" s="106">
        <v>37561.149094231871</v>
      </c>
      <c r="W4340" s="10">
        <v>1.1538939766622569</v>
      </c>
      <c r="X4340" s="420"/>
      <c r="Y4340" s="420"/>
    </row>
    <row r="4341" spans="17:25">
      <c r="Q4341" s="6">
        <v>4311</v>
      </c>
      <c r="R4341" s="7">
        <v>46978</v>
      </c>
      <c r="S4341" s="210">
        <v>4.25</v>
      </c>
      <c r="T4341" s="8">
        <v>1.0001180555555556</v>
      </c>
      <c r="U4341" s="98">
        <v>4.2704548775249096</v>
      </c>
      <c r="V4341" s="106">
        <v>37564.275413977819</v>
      </c>
      <c r="W4341" s="10">
        <v>1.1539229818928964</v>
      </c>
      <c r="X4341" s="420"/>
      <c r="Y4341" s="420"/>
    </row>
    <row r="4342" spans="17:25">
      <c r="Q4342" s="6">
        <v>4312</v>
      </c>
      <c r="R4342" s="7">
        <v>46979</v>
      </c>
      <c r="S4342" s="210">
        <v>4.25</v>
      </c>
      <c r="T4342" s="8">
        <v>1.0001180555555556</v>
      </c>
      <c r="U4342" s="98">
        <v>4.2704855848193946</v>
      </c>
      <c r="V4342" s="106">
        <v>37567.401993936124</v>
      </c>
      <c r="W4342" s="10">
        <v>1.1539519736785797</v>
      </c>
      <c r="X4342" s="420"/>
      <c r="Y4342" s="420"/>
    </row>
    <row r="4343" spans="17:25">
      <c r="Q4343" s="6">
        <v>4313</v>
      </c>
      <c r="R4343" s="7">
        <v>46980</v>
      </c>
      <c r="S4343" s="210">
        <v>4.25</v>
      </c>
      <c r="T4343" s="8">
        <v>1.0001180555555556</v>
      </c>
      <c r="U4343" s="98">
        <v>4.2705162778835071</v>
      </c>
      <c r="V4343" s="106">
        <v>37570.528834128447</v>
      </c>
      <c r="W4343" s="10">
        <v>1.153980952028677</v>
      </c>
      <c r="X4343" s="420"/>
      <c r="Y4343" s="420"/>
    </row>
    <row r="4344" spans="17:25">
      <c r="Q4344" s="6">
        <v>4314</v>
      </c>
      <c r="R4344" s="7">
        <v>46981</v>
      </c>
      <c r="S4344" s="210">
        <v>4.25</v>
      </c>
      <c r="T4344" s="8">
        <v>1.0001180555555556</v>
      </c>
      <c r="U4344" s="98">
        <v>4.2705469567271281</v>
      </c>
      <c r="V4344" s="106">
        <v>37573.655934576433</v>
      </c>
      <c r="W4344" s="10">
        <v>1.154009916952492</v>
      </c>
      <c r="X4344" s="420"/>
      <c r="Y4344" s="420"/>
    </row>
    <row r="4345" spans="17:25">
      <c r="Q4345" s="6">
        <v>4315</v>
      </c>
      <c r="R4345" s="7">
        <v>46982</v>
      </c>
      <c r="S4345" s="210">
        <v>4.25</v>
      </c>
      <c r="T4345" s="8">
        <v>1.0001180555555556</v>
      </c>
      <c r="U4345" s="98">
        <v>4.2705776213601387</v>
      </c>
      <c r="V4345" s="106">
        <v>37576.783295301764</v>
      </c>
      <c r="W4345" s="10">
        <v>1.1540388684593728</v>
      </c>
      <c r="X4345" s="420"/>
      <c r="Y4345" s="420"/>
    </row>
    <row r="4346" spans="17:25">
      <c r="Q4346" s="6">
        <v>4316</v>
      </c>
      <c r="R4346" s="7">
        <v>46983</v>
      </c>
      <c r="S4346" s="210">
        <v>4.25</v>
      </c>
      <c r="T4346" s="8">
        <v>1.0001180555555556</v>
      </c>
      <c r="U4346" s="98">
        <v>4.2706082717924199</v>
      </c>
      <c r="V4346" s="106">
        <v>37579.910916326102</v>
      </c>
      <c r="W4346" s="10">
        <v>1.154067806558623</v>
      </c>
      <c r="X4346" s="420"/>
      <c r="Y4346" s="420"/>
    </row>
    <row r="4347" spans="17:25">
      <c r="Q4347" s="6">
        <v>4317</v>
      </c>
      <c r="R4347" s="7">
        <v>46984</v>
      </c>
      <c r="S4347" s="210">
        <v>4.25</v>
      </c>
      <c r="T4347" s="8">
        <v>1.0001180555555556</v>
      </c>
      <c r="U4347" s="98">
        <v>4.2706389080338303</v>
      </c>
      <c r="V4347" s="106">
        <v>37583.038797671099</v>
      </c>
      <c r="W4347" s="10">
        <v>1.1540967312595907</v>
      </c>
      <c r="X4347" s="420"/>
      <c r="Y4347" s="420"/>
    </row>
    <row r="4348" spans="17:25">
      <c r="Q4348" s="6">
        <v>4318</v>
      </c>
      <c r="R4348" s="7">
        <v>46985</v>
      </c>
      <c r="S4348" s="210">
        <v>4.25</v>
      </c>
      <c r="T4348" s="8">
        <v>1.0001180555555556</v>
      </c>
      <c r="U4348" s="98">
        <v>4.2706695300942288</v>
      </c>
      <c r="V4348" s="106">
        <v>37586.166939358431</v>
      </c>
      <c r="W4348" s="10">
        <v>1.1541256425715574</v>
      </c>
      <c r="X4348" s="420"/>
      <c r="Y4348" s="420"/>
    </row>
    <row r="4349" spans="17:25">
      <c r="Q4349" s="6">
        <v>4319</v>
      </c>
      <c r="R4349" s="7">
        <v>46986</v>
      </c>
      <c r="S4349" s="210">
        <v>4.25</v>
      </c>
      <c r="T4349" s="8">
        <v>1.0001180555555556</v>
      </c>
      <c r="U4349" s="98">
        <v>4.2707001379834519</v>
      </c>
      <c r="V4349" s="106">
        <v>37589.295341409772</v>
      </c>
      <c r="W4349" s="10">
        <v>1.1541545405038045</v>
      </c>
      <c r="X4349" s="420"/>
      <c r="Y4349" s="420"/>
    </row>
    <row r="4350" spans="17:25">
      <c r="Q4350" s="6">
        <v>4320</v>
      </c>
      <c r="R4350" s="7">
        <v>46987</v>
      </c>
      <c r="S4350" s="210">
        <v>4.25</v>
      </c>
      <c r="T4350" s="8">
        <v>1.0001180555555556</v>
      </c>
      <c r="U4350" s="98">
        <v>4.2707307317113363</v>
      </c>
      <c r="V4350" s="106">
        <v>37592.424003846776</v>
      </c>
      <c r="W4350" s="10">
        <v>1.154183425065658</v>
      </c>
      <c r="X4350" s="420"/>
      <c r="Y4350" s="420"/>
    </row>
    <row r="4351" spans="17:25">
      <c r="Q4351" s="6">
        <v>4321</v>
      </c>
      <c r="R4351" s="7">
        <v>46988</v>
      </c>
      <c r="S4351" s="210">
        <v>4.25</v>
      </c>
      <c r="T4351" s="8">
        <v>1.0001180555555556</v>
      </c>
      <c r="U4351" s="98">
        <v>4.2707613112876963</v>
      </c>
      <c r="V4351" s="106">
        <v>37595.552926691133</v>
      </c>
      <c r="W4351" s="10">
        <v>1.1542122962663326</v>
      </c>
      <c r="X4351" s="420"/>
      <c r="Y4351" s="420"/>
    </row>
    <row r="4352" spans="17:25">
      <c r="Q4352" s="6">
        <v>4322</v>
      </c>
      <c r="R4352" s="7">
        <v>46989</v>
      </c>
      <c r="S4352" s="210">
        <v>4.25</v>
      </c>
      <c r="T4352" s="8">
        <v>1.0001180555555556</v>
      </c>
      <c r="U4352" s="98">
        <v>4.2707918767223463</v>
      </c>
      <c r="V4352" s="106">
        <v>37598.682109964502</v>
      </c>
      <c r="W4352" s="10">
        <v>1.1542411541151321</v>
      </c>
      <c r="X4352" s="420"/>
      <c r="Y4352" s="420"/>
    </row>
    <row r="4353" spans="17:25">
      <c r="Q4353" s="6">
        <v>4323</v>
      </c>
      <c r="R4353" s="7">
        <v>46990</v>
      </c>
      <c r="S4353" s="210">
        <v>4.25</v>
      </c>
      <c r="T4353" s="8">
        <v>1.0001180555555556</v>
      </c>
      <c r="U4353" s="98">
        <v>4.2708224280251228</v>
      </c>
      <c r="V4353" s="106">
        <v>37601.811553688582</v>
      </c>
      <c r="W4353" s="10">
        <v>1.1542699986213156</v>
      </c>
      <c r="X4353" s="420"/>
      <c r="Y4353" s="420"/>
    </row>
    <row r="4354" spans="17:25">
      <c r="Q4354" s="6">
        <v>4324</v>
      </c>
      <c r="R4354" s="7">
        <v>46991</v>
      </c>
      <c r="S4354" s="210">
        <v>4.25</v>
      </c>
      <c r="T4354" s="8">
        <v>1.0001180555555556</v>
      </c>
      <c r="U4354" s="98">
        <v>4.2708529652057958</v>
      </c>
      <c r="V4354" s="106">
        <v>37604.941257885024</v>
      </c>
      <c r="W4354" s="10">
        <v>1.1542988297941204</v>
      </c>
      <c r="X4354" s="420"/>
      <c r="Y4354" s="420"/>
    </row>
    <row r="4355" spans="17:25">
      <c r="Q4355" s="6">
        <v>4325</v>
      </c>
      <c r="R4355" s="7">
        <v>46992</v>
      </c>
      <c r="S4355" s="210">
        <v>4.25</v>
      </c>
      <c r="T4355" s="8">
        <v>1.0001180555555556</v>
      </c>
      <c r="U4355" s="98">
        <v>4.2708834882741797</v>
      </c>
      <c r="V4355" s="106">
        <v>37608.071222575527</v>
      </c>
      <c r="W4355" s="10">
        <v>1.1543276476428277</v>
      </c>
      <c r="X4355" s="420"/>
      <c r="Y4355" s="420"/>
    </row>
    <row r="4356" spans="17:25">
      <c r="Q4356" s="6">
        <v>4326</v>
      </c>
      <c r="R4356" s="7">
        <v>46993</v>
      </c>
      <c r="S4356" s="210">
        <v>4.25</v>
      </c>
      <c r="T4356" s="8">
        <v>1.0001180555555556</v>
      </c>
      <c r="U4356" s="98">
        <v>4.2709139972400445</v>
      </c>
      <c r="V4356" s="106">
        <v>37611.201447781765</v>
      </c>
      <c r="W4356" s="10">
        <v>1.1543564521766525</v>
      </c>
      <c r="X4356" s="420"/>
      <c r="Y4356" s="420"/>
    </row>
    <row r="4357" spans="17:25">
      <c r="Q4357" s="6">
        <v>4327</v>
      </c>
      <c r="R4357" s="7">
        <v>46994</v>
      </c>
      <c r="S4357" s="210">
        <v>4.25</v>
      </c>
      <c r="T4357" s="8">
        <v>1.0001180555555556</v>
      </c>
      <c r="U4357" s="98">
        <v>4.2709444921131379</v>
      </c>
      <c r="V4357" s="106">
        <v>37614.331933525427</v>
      </c>
      <c r="W4357" s="10">
        <v>1.1543852434047874</v>
      </c>
      <c r="X4357" s="420"/>
      <c r="Y4357" s="420"/>
    </row>
    <row r="4358" spans="17:25">
      <c r="Q4358" s="6">
        <v>4328</v>
      </c>
      <c r="R4358" s="7">
        <v>46995</v>
      </c>
      <c r="S4358" s="210">
        <v>4.25</v>
      </c>
      <c r="T4358" s="8">
        <v>1.0001180555555556</v>
      </c>
      <c r="U4358" s="98">
        <v>4.270974972903252</v>
      </c>
      <c r="V4358" s="106">
        <v>37617.46267982819</v>
      </c>
      <c r="W4358" s="10">
        <v>1.1544140213364917</v>
      </c>
      <c r="X4358" s="420"/>
      <c r="Y4358" s="420"/>
    </row>
    <row r="4359" spans="17:25">
      <c r="Q4359" s="6">
        <v>4329</v>
      </c>
      <c r="R4359" s="7">
        <v>46996</v>
      </c>
      <c r="S4359" s="210">
        <v>4.25</v>
      </c>
      <c r="T4359" s="8">
        <v>1.0001180555555556</v>
      </c>
      <c r="U4359" s="98">
        <v>4.2710054396201347</v>
      </c>
      <c r="V4359" s="106">
        <v>37620.593686711749</v>
      </c>
      <c r="W4359" s="10">
        <v>1.1544427859809803</v>
      </c>
      <c r="X4359" s="420"/>
      <c r="Y4359" s="420"/>
    </row>
    <row r="4360" spans="17:25">
      <c r="Q4360" s="6">
        <v>4330</v>
      </c>
      <c r="R4360" s="7">
        <v>46997</v>
      </c>
      <c r="S4360" s="210">
        <v>4.25</v>
      </c>
      <c r="T4360" s="8">
        <v>1.0001180555555556</v>
      </c>
      <c r="U4360" s="98">
        <v>4.2710358922735336</v>
      </c>
      <c r="V4360" s="106">
        <v>37623.724954197787</v>
      </c>
      <c r="W4360" s="10">
        <v>1.1544715373474235</v>
      </c>
      <c r="X4360" s="420"/>
      <c r="Y4360" s="420"/>
    </row>
    <row r="4361" spans="17:25">
      <c r="Q4361" s="6">
        <v>4331</v>
      </c>
      <c r="R4361" s="7">
        <v>46998</v>
      </c>
      <c r="S4361" s="210">
        <v>4.25</v>
      </c>
      <c r="T4361" s="8">
        <v>1.0001180555555556</v>
      </c>
      <c r="U4361" s="98">
        <v>4.2710663308731744</v>
      </c>
      <c r="V4361" s="106">
        <v>37626.856482307994</v>
      </c>
      <c r="W4361" s="10">
        <v>1.154500275445014</v>
      </c>
      <c r="X4361" s="420"/>
      <c r="Y4361" s="420"/>
    </row>
    <row r="4362" spans="17:25">
      <c r="Q4362" s="6">
        <v>4332</v>
      </c>
      <c r="R4362" s="7">
        <v>46999</v>
      </c>
      <c r="S4362" s="210">
        <v>4.25</v>
      </c>
      <c r="T4362" s="8">
        <v>1.0001180555555556</v>
      </c>
      <c r="U4362" s="98">
        <v>4.2710967554287826</v>
      </c>
      <c r="V4362" s="106">
        <v>37629.988271064067</v>
      </c>
      <c r="W4362" s="10">
        <v>1.1545290002829445</v>
      </c>
      <c r="X4362" s="420"/>
      <c r="Y4362" s="420"/>
    </row>
    <row r="4363" spans="17:25">
      <c r="Q4363" s="6">
        <v>4333</v>
      </c>
      <c r="R4363" s="7">
        <v>47000</v>
      </c>
      <c r="S4363" s="210">
        <v>4.25</v>
      </c>
      <c r="T4363" s="8">
        <v>1.0001180555555556</v>
      </c>
      <c r="U4363" s="98">
        <v>4.2711271659500838</v>
      </c>
      <c r="V4363" s="106">
        <v>37633.120320487695</v>
      </c>
      <c r="W4363" s="10">
        <v>1.1545577118703854</v>
      </c>
      <c r="X4363" s="420"/>
      <c r="Y4363" s="420"/>
    </row>
    <row r="4364" spans="17:25">
      <c r="Q4364" s="6">
        <v>4334</v>
      </c>
      <c r="R4364" s="7">
        <v>47001</v>
      </c>
      <c r="S4364" s="210">
        <v>4.25</v>
      </c>
      <c r="T4364" s="8">
        <v>1.0001180555555556</v>
      </c>
      <c r="U4364" s="98">
        <v>4.2711575624467812</v>
      </c>
      <c r="V4364" s="106">
        <v>37636.252630600575</v>
      </c>
      <c r="W4364" s="10">
        <v>1.1545864102165071</v>
      </c>
      <c r="X4364" s="420"/>
      <c r="Y4364" s="420"/>
    </row>
    <row r="4365" spans="17:25">
      <c r="Q4365" s="6">
        <v>4335</v>
      </c>
      <c r="R4365" s="7">
        <v>47002</v>
      </c>
      <c r="S4365" s="210">
        <v>4.25</v>
      </c>
      <c r="T4365" s="8">
        <v>1.0001180555555556</v>
      </c>
      <c r="U4365" s="98">
        <v>4.2711879449285783</v>
      </c>
      <c r="V4365" s="106">
        <v>37639.385201424418</v>
      </c>
      <c r="W4365" s="10">
        <v>1.1546150953304801</v>
      </c>
      <c r="X4365" s="420"/>
      <c r="Y4365" s="420"/>
    </row>
    <row r="4366" spans="17:25">
      <c r="Q4366" s="6">
        <v>4336</v>
      </c>
      <c r="R4366" s="7">
        <v>47003</v>
      </c>
      <c r="S4366" s="210">
        <v>4.25</v>
      </c>
      <c r="T4366" s="8">
        <v>1.0001180555555556</v>
      </c>
      <c r="U4366" s="98">
        <v>4.2712183134051562</v>
      </c>
      <c r="V4366" s="106">
        <v>37642.518032980908</v>
      </c>
      <c r="W4366" s="10">
        <v>1.1546437672214305</v>
      </c>
      <c r="X4366" s="420"/>
      <c r="Y4366" s="420"/>
    </row>
    <row r="4367" spans="17:25">
      <c r="Q4367" s="6">
        <v>4337</v>
      </c>
      <c r="R4367" s="7">
        <v>47004</v>
      </c>
      <c r="S4367" s="210">
        <v>4.25</v>
      </c>
      <c r="T4367" s="8">
        <v>1.0001180555555556</v>
      </c>
      <c r="U4367" s="98">
        <v>4.2712486678861961</v>
      </c>
      <c r="V4367" s="106">
        <v>37645.651125291755</v>
      </c>
      <c r="W4367" s="10">
        <v>1.1546724258985064</v>
      </c>
      <c r="X4367" s="420"/>
      <c r="Y4367" s="420"/>
    </row>
    <row r="4368" spans="17:25">
      <c r="Q4368" s="6">
        <v>4338</v>
      </c>
      <c r="R4368" s="7">
        <v>47005</v>
      </c>
      <c r="S4368" s="210">
        <v>4.25</v>
      </c>
      <c r="T4368" s="8">
        <v>1.0001180555555556</v>
      </c>
      <c r="U4368" s="98">
        <v>4.271279008381379</v>
      </c>
      <c r="V4368" s="106">
        <v>37648.784478378657</v>
      </c>
      <c r="W4368" s="10">
        <v>1.1547010713708561</v>
      </c>
      <c r="X4368" s="420"/>
      <c r="Y4368" s="420"/>
    </row>
    <row r="4369" spans="17:25">
      <c r="Q4369" s="6">
        <v>4339</v>
      </c>
      <c r="R4369" s="7">
        <v>47006</v>
      </c>
      <c r="S4369" s="210">
        <v>4.25</v>
      </c>
      <c r="T4369" s="8">
        <v>1.0001180555555556</v>
      </c>
      <c r="U4369" s="98">
        <v>4.2713093349003639</v>
      </c>
      <c r="V4369" s="106">
        <v>37651.918092263317</v>
      </c>
      <c r="W4369" s="10">
        <v>1.1547297036475612</v>
      </c>
      <c r="X4369" s="420"/>
      <c r="Y4369" s="420"/>
    </row>
    <row r="4370" spans="17:25">
      <c r="Q4370" s="6">
        <v>4340</v>
      </c>
      <c r="R4370" s="7">
        <v>47007</v>
      </c>
      <c r="S4370" s="210">
        <v>4.25</v>
      </c>
      <c r="T4370" s="8">
        <v>1.0001180555555556</v>
      </c>
      <c r="U4370" s="98">
        <v>4.2713396474528098</v>
      </c>
      <c r="V4370" s="106">
        <v>37655.051966967447</v>
      </c>
      <c r="W4370" s="10">
        <v>1.1547583227377922</v>
      </c>
      <c r="X4370" s="420"/>
      <c r="Y4370" s="420"/>
    </row>
    <row r="4371" spans="17:25">
      <c r="Q4371" s="6">
        <v>4341</v>
      </c>
      <c r="R4371" s="7">
        <v>47008</v>
      </c>
      <c r="S4371" s="210">
        <v>4.25</v>
      </c>
      <c r="T4371" s="8">
        <v>1.0001180555555556</v>
      </c>
      <c r="U4371" s="98">
        <v>4.2713699460483534</v>
      </c>
      <c r="V4371" s="106">
        <v>37658.186102512758</v>
      </c>
      <c r="W4371" s="10">
        <v>1.1547869286506085</v>
      </c>
      <c r="X4371" s="420"/>
      <c r="Y4371" s="420"/>
    </row>
    <row r="4372" spans="17:25">
      <c r="Q4372" s="6">
        <v>4342</v>
      </c>
      <c r="R4372" s="7">
        <v>47009</v>
      </c>
      <c r="S4372" s="210">
        <v>4.25</v>
      </c>
      <c r="T4372" s="8">
        <v>1.0001180555555556</v>
      </c>
      <c r="U4372" s="98">
        <v>4.2714002306966536</v>
      </c>
      <c r="V4372" s="106">
        <v>37661.320498920963</v>
      </c>
      <c r="W4372" s="10">
        <v>1.1548155213951583</v>
      </c>
      <c r="X4372" s="420"/>
      <c r="Y4372" s="420"/>
    </row>
    <row r="4373" spans="17:25">
      <c r="Q4373" s="6">
        <v>4343</v>
      </c>
      <c r="R4373" s="7">
        <v>47010</v>
      </c>
      <c r="S4373" s="210">
        <v>4.25</v>
      </c>
      <c r="T4373" s="8">
        <v>1.0001180555555556</v>
      </c>
      <c r="U4373" s="98">
        <v>4.2714305014073251</v>
      </c>
      <c r="V4373" s="106">
        <v>37664.455156213757</v>
      </c>
      <c r="W4373" s="10">
        <v>1.1548441009805011</v>
      </c>
      <c r="X4373" s="420"/>
      <c r="Y4373" s="420"/>
    </row>
    <row r="4374" spans="17:25">
      <c r="Q4374" s="6">
        <v>4344</v>
      </c>
      <c r="R4374" s="7">
        <v>47011</v>
      </c>
      <c r="S4374" s="210">
        <v>4.25</v>
      </c>
      <c r="T4374" s="8">
        <v>1.0001180555555556</v>
      </c>
      <c r="U4374" s="98">
        <v>4.2714607581899822</v>
      </c>
      <c r="V4374" s="106">
        <v>37667.590074412874</v>
      </c>
      <c r="W4374" s="10">
        <v>1.1548726674157184</v>
      </c>
      <c r="X4374" s="420"/>
      <c r="Y4374" s="420"/>
    </row>
    <row r="4375" spans="17:25">
      <c r="Q4375" s="6">
        <v>4345</v>
      </c>
      <c r="R4375" s="7">
        <v>47012</v>
      </c>
      <c r="S4375" s="210">
        <v>4.25</v>
      </c>
      <c r="T4375" s="8">
        <v>1.0001180555555556</v>
      </c>
      <c r="U4375" s="98">
        <v>4.2714910010542395</v>
      </c>
      <c r="V4375" s="106">
        <v>37670.725253540018</v>
      </c>
      <c r="W4375" s="10">
        <v>1.1549012207098919</v>
      </c>
      <c r="X4375" s="420"/>
      <c r="Y4375" s="420"/>
    </row>
    <row r="4376" spans="17:25">
      <c r="Q4376" s="6">
        <v>4346</v>
      </c>
      <c r="R4376" s="7">
        <v>47013</v>
      </c>
      <c r="S4376" s="210">
        <v>4.25</v>
      </c>
      <c r="T4376" s="8">
        <v>1.0001180555555556</v>
      </c>
      <c r="U4376" s="98">
        <v>4.2715212300096894</v>
      </c>
      <c r="V4376" s="106">
        <v>37673.860693616909</v>
      </c>
      <c r="W4376" s="10">
        <v>1.154929760872081</v>
      </c>
      <c r="X4376" s="420"/>
      <c r="Y4376" s="420"/>
    </row>
    <row r="4377" spans="17:25">
      <c r="Q4377" s="6">
        <v>4347</v>
      </c>
      <c r="R4377" s="7">
        <v>47014</v>
      </c>
      <c r="S4377" s="210">
        <v>4.25</v>
      </c>
      <c r="T4377" s="8">
        <v>1.0001180555555556</v>
      </c>
      <c r="U4377" s="98">
        <v>4.2715514450659464</v>
      </c>
      <c r="V4377" s="106">
        <v>37676.996394665272</v>
      </c>
      <c r="W4377" s="10">
        <v>1.1549582879113451</v>
      </c>
      <c r="X4377" s="420"/>
      <c r="Y4377" s="420"/>
    </row>
    <row r="4378" spans="17:25">
      <c r="Q4378" s="6">
        <v>4348</v>
      </c>
      <c r="R4378" s="7">
        <v>47015</v>
      </c>
      <c r="S4378" s="210">
        <v>4.25</v>
      </c>
      <c r="T4378" s="8">
        <v>1.0001180555555556</v>
      </c>
      <c r="U4378" s="98">
        <v>4.2715816462325806</v>
      </c>
      <c r="V4378" s="106">
        <v>37680.132356706825</v>
      </c>
      <c r="W4378" s="10">
        <v>1.1549868018367437</v>
      </c>
      <c r="X4378" s="420"/>
      <c r="Y4378" s="420"/>
    </row>
    <row r="4379" spans="17:25">
      <c r="Q4379" s="6">
        <v>4349</v>
      </c>
      <c r="R4379" s="7">
        <v>47016</v>
      </c>
      <c r="S4379" s="210">
        <v>4.25</v>
      </c>
      <c r="T4379" s="8">
        <v>1.0001180555555556</v>
      </c>
      <c r="U4379" s="98">
        <v>4.2716118335191622</v>
      </c>
      <c r="V4379" s="106">
        <v>37683.268579763288</v>
      </c>
      <c r="W4379" s="10">
        <v>1.1550153026572918</v>
      </c>
      <c r="X4379" s="420"/>
      <c r="Y4379" s="420"/>
    </row>
    <row r="4380" spans="17:25">
      <c r="Q4380" s="6">
        <v>4350</v>
      </c>
      <c r="R4380" s="7">
        <v>47017</v>
      </c>
      <c r="S4380" s="210">
        <v>4.25</v>
      </c>
      <c r="T4380" s="8">
        <v>1.0001180555555556</v>
      </c>
      <c r="U4380" s="98">
        <v>4.2716420069352834</v>
      </c>
      <c r="V4380" s="106">
        <v>37686.405063856393</v>
      </c>
      <c r="W4380" s="10">
        <v>1.1550437903820709</v>
      </c>
      <c r="X4380" s="420"/>
      <c r="Y4380" s="420"/>
    </row>
    <row r="4381" spans="17:25">
      <c r="Q4381" s="6">
        <v>4351</v>
      </c>
      <c r="R4381" s="7">
        <v>47018</v>
      </c>
      <c r="S4381" s="210">
        <v>4.25</v>
      </c>
      <c r="T4381" s="8">
        <v>1.0001180555555556</v>
      </c>
      <c r="U4381" s="98">
        <v>4.27167216649047</v>
      </c>
      <c r="V4381" s="106">
        <v>37689.541809007853</v>
      </c>
      <c r="W4381" s="10">
        <v>1.1550722650200518</v>
      </c>
      <c r="X4381" s="420"/>
      <c r="Y4381" s="420"/>
    </row>
    <row r="4382" spans="17:25">
      <c r="Q4382" s="6">
        <v>4352</v>
      </c>
      <c r="R4382" s="7">
        <v>47019</v>
      </c>
      <c r="S4382" s="210">
        <v>4.25</v>
      </c>
      <c r="T4382" s="8">
        <v>1.0001180555555556</v>
      </c>
      <c r="U4382" s="98">
        <v>4.2717023121942921</v>
      </c>
      <c r="V4382" s="106">
        <v>37692.678815239415</v>
      </c>
      <c r="W4382" s="10">
        <v>1.1551007265802715</v>
      </c>
      <c r="X4382" s="420"/>
      <c r="Y4382" s="420"/>
    </row>
    <row r="4383" spans="17:25">
      <c r="Q4383" s="6">
        <v>4353</v>
      </c>
      <c r="R4383" s="7">
        <v>47020</v>
      </c>
      <c r="S4383" s="210">
        <v>4.25</v>
      </c>
      <c r="T4383" s="8">
        <v>1.0001180555555556</v>
      </c>
      <c r="U4383" s="98">
        <v>4.2717324440562754</v>
      </c>
      <c r="V4383" s="106">
        <v>37695.816082572797</v>
      </c>
      <c r="W4383" s="10">
        <v>1.1551291750717452</v>
      </c>
      <c r="X4383" s="420"/>
      <c r="Y4383" s="420"/>
    </row>
    <row r="4384" spans="17:25">
      <c r="Q4384" s="6">
        <v>4354</v>
      </c>
      <c r="R4384" s="7">
        <v>47021</v>
      </c>
      <c r="S4384" s="210">
        <v>4.25</v>
      </c>
      <c r="T4384" s="8">
        <v>1.0001180555555556</v>
      </c>
      <c r="U4384" s="98">
        <v>4.2717625620859678</v>
      </c>
      <c r="V4384" s="106">
        <v>37698.953611029734</v>
      </c>
      <c r="W4384" s="10">
        <v>1.1551576105034655</v>
      </c>
      <c r="X4384" s="420"/>
      <c r="Y4384" s="420"/>
    </row>
    <row r="4385" spans="17:25">
      <c r="Q4385" s="6">
        <v>4355</v>
      </c>
      <c r="R4385" s="7">
        <v>47022</v>
      </c>
      <c r="S4385" s="210">
        <v>4.25</v>
      </c>
      <c r="T4385" s="8">
        <v>1.0001180555555556</v>
      </c>
      <c r="U4385" s="98">
        <v>4.2717926662928729</v>
      </c>
      <c r="V4385" s="106">
        <v>37702.091400631965</v>
      </c>
      <c r="W4385" s="10">
        <v>1.1551860328844255</v>
      </c>
      <c r="X4385" s="420"/>
      <c r="Y4385" s="420"/>
    </row>
    <row r="4386" spans="17:25">
      <c r="Q4386" s="6">
        <v>4356</v>
      </c>
      <c r="R4386" s="7">
        <v>47023</v>
      </c>
      <c r="S4386" s="210">
        <v>4.25</v>
      </c>
      <c r="T4386" s="8">
        <v>1.0001180555555556</v>
      </c>
      <c r="U4386" s="98">
        <v>4.2718227566865163</v>
      </c>
      <c r="V4386" s="106">
        <v>37705.229451401225</v>
      </c>
      <c r="W4386" s="10">
        <v>1.1552144422235955</v>
      </c>
      <c r="X4386" s="420"/>
      <c r="Y4386" s="420"/>
    </row>
    <row r="4387" spans="17:25">
      <c r="Q4387" s="6">
        <v>4357</v>
      </c>
      <c r="R4387" s="7">
        <v>47024</v>
      </c>
      <c r="S4387" s="210">
        <v>4.25</v>
      </c>
      <c r="T4387" s="8">
        <v>1.0001180555555556</v>
      </c>
      <c r="U4387" s="98">
        <v>4.2718528332764016</v>
      </c>
      <c r="V4387" s="106">
        <v>37708.367763359238</v>
      </c>
      <c r="W4387" s="10">
        <v>1.1552428385299685</v>
      </c>
      <c r="X4387" s="420"/>
      <c r="Y4387" s="420"/>
    </row>
    <row r="4388" spans="17:25">
      <c r="Q4388" s="6">
        <v>4358</v>
      </c>
      <c r="R4388" s="7">
        <v>47025</v>
      </c>
      <c r="S4388" s="210">
        <v>4.25</v>
      </c>
      <c r="T4388" s="8">
        <v>1.0001180555555556</v>
      </c>
      <c r="U4388" s="98">
        <v>4.2718828960720323</v>
      </c>
      <c r="V4388" s="106">
        <v>37711.506336527753</v>
      </c>
      <c r="W4388" s="10">
        <v>1.1552712218124928</v>
      </c>
      <c r="X4388" s="420"/>
      <c r="Y4388" s="420"/>
    </row>
    <row r="4389" spans="17:25">
      <c r="Q4389" s="6">
        <v>4359</v>
      </c>
      <c r="R4389" s="7">
        <v>47026</v>
      </c>
      <c r="S4389" s="210">
        <v>4.25</v>
      </c>
      <c r="T4389" s="8">
        <v>1.0001180555555556</v>
      </c>
      <c r="U4389" s="98">
        <v>4.2719129450828675</v>
      </c>
      <c r="V4389" s="106">
        <v>37714.645170928517</v>
      </c>
      <c r="W4389" s="10">
        <v>1.155299592080139</v>
      </c>
      <c r="X4389" s="420"/>
      <c r="Y4389" s="420"/>
    </row>
    <row r="4390" spans="17:25">
      <c r="Q4390" s="6">
        <v>4360</v>
      </c>
      <c r="R4390" s="7">
        <v>47027</v>
      </c>
      <c r="S4390" s="210">
        <v>4.25</v>
      </c>
      <c r="T4390" s="8">
        <v>1.0001180555555556</v>
      </c>
      <c r="U4390" s="98">
        <v>4.2719429803184106</v>
      </c>
      <c r="V4390" s="106">
        <v>37717.78426658328</v>
      </c>
      <c r="W4390" s="10">
        <v>1.1553279493418334</v>
      </c>
      <c r="X4390" s="420"/>
      <c r="Y4390" s="420"/>
    </row>
    <row r="4391" spans="17:25">
      <c r="Q4391" s="6">
        <v>4361</v>
      </c>
      <c r="R4391" s="7">
        <v>47028</v>
      </c>
      <c r="S4391" s="210">
        <v>4.25</v>
      </c>
      <c r="T4391" s="8">
        <v>1.0001180555555556</v>
      </c>
      <c r="U4391" s="98">
        <v>4.271973001788143</v>
      </c>
      <c r="V4391" s="106">
        <v>37720.923623513758</v>
      </c>
      <c r="W4391" s="10">
        <v>1.1553562936065687</v>
      </c>
      <c r="X4391" s="420"/>
      <c r="Y4391" s="420"/>
    </row>
    <row r="4392" spans="17:25">
      <c r="Q4392" s="6">
        <v>4362</v>
      </c>
      <c r="R4392" s="7">
        <v>47029</v>
      </c>
      <c r="S4392" s="210">
        <v>4.25</v>
      </c>
      <c r="T4392" s="8">
        <v>1.0001180555555556</v>
      </c>
      <c r="U4392" s="98">
        <v>4.2720030095015016</v>
      </c>
      <c r="V4392" s="106">
        <v>37724.063241741722</v>
      </c>
      <c r="W4392" s="10">
        <v>1.1553846248832267</v>
      </c>
      <c r="X4392" s="420"/>
      <c r="Y4392" s="420"/>
    </row>
    <row r="4393" spans="17:25">
      <c r="Q4393" s="6">
        <v>4363</v>
      </c>
      <c r="R4393" s="7">
        <v>47030</v>
      </c>
      <c r="S4393" s="210">
        <v>4.25</v>
      </c>
      <c r="T4393" s="8">
        <v>1.0001180555555556</v>
      </c>
      <c r="U4393" s="98">
        <v>4.2720330034679455</v>
      </c>
      <c r="V4393" s="106">
        <v>37727.203121288912</v>
      </c>
      <c r="W4393" s="10">
        <v>1.1554129431807558</v>
      </c>
      <c r="X4393" s="420"/>
      <c r="Y4393" s="420"/>
    </row>
    <row r="4394" spans="17:25">
      <c r="Q4394" s="6">
        <v>4364</v>
      </c>
      <c r="R4394" s="7">
        <v>47031</v>
      </c>
      <c r="S4394" s="210">
        <v>4.25</v>
      </c>
      <c r="T4394" s="8">
        <v>1.0001180555555556</v>
      </c>
      <c r="U4394" s="98">
        <v>4.2720629836969337</v>
      </c>
      <c r="V4394" s="106">
        <v>37730.343262177084</v>
      </c>
      <c r="W4394" s="10">
        <v>1.1554412485080601</v>
      </c>
      <c r="X4394" s="420"/>
      <c r="Y4394" s="420"/>
    </row>
    <row r="4395" spans="17:25">
      <c r="Q4395" s="6">
        <v>4365</v>
      </c>
      <c r="R4395" s="7">
        <v>47032</v>
      </c>
      <c r="S4395" s="210">
        <v>4.25</v>
      </c>
      <c r="T4395" s="8">
        <v>1.0001180555555556</v>
      </c>
      <c r="U4395" s="98">
        <v>4.272092950197881</v>
      </c>
      <c r="V4395" s="106">
        <v>37733.483664427986</v>
      </c>
      <c r="W4395" s="10">
        <v>1.1554695408740656</v>
      </c>
      <c r="X4395" s="420"/>
      <c r="Y4395" s="420"/>
    </row>
    <row r="4396" spans="17:25">
      <c r="Q4396" s="6">
        <v>4366</v>
      </c>
      <c r="R4396" s="7">
        <v>47033</v>
      </c>
      <c r="S4396" s="210">
        <v>4.25</v>
      </c>
      <c r="T4396" s="8">
        <v>1.0001180555555556</v>
      </c>
      <c r="U4396" s="98">
        <v>4.2721229029802243</v>
      </c>
      <c r="V4396" s="106">
        <v>37736.624328063364</v>
      </c>
      <c r="W4396" s="10">
        <v>1.1554978202876764</v>
      </c>
      <c r="X4396" s="420"/>
      <c r="Y4396" s="420"/>
    </row>
    <row r="4397" spans="17:25">
      <c r="Q4397" s="6">
        <v>4367</v>
      </c>
      <c r="R4397" s="7">
        <v>47034</v>
      </c>
      <c r="S4397" s="210">
        <v>4.25</v>
      </c>
      <c r="T4397" s="8">
        <v>1.0001180555555556</v>
      </c>
      <c r="U4397" s="98">
        <v>4.2721528420533783</v>
      </c>
      <c r="V4397" s="106">
        <v>37739.765253104983</v>
      </c>
      <c r="W4397" s="10">
        <v>1.1555260867577521</v>
      </c>
      <c r="X4397" s="420"/>
      <c r="Y4397" s="420"/>
    </row>
    <row r="4398" spans="17:25">
      <c r="Q4398" s="6">
        <v>4368</v>
      </c>
      <c r="R4398" s="7">
        <v>47035</v>
      </c>
      <c r="S4398" s="210">
        <v>4.25</v>
      </c>
      <c r="T4398" s="8">
        <v>1.0001180555555556</v>
      </c>
      <c r="U4398" s="98">
        <v>4.2721827674267576</v>
      </c>
      <c r="V4398" s="106">
        <v>37742.906439574595</v>
      </c>
      <c r="W4398" s="10">
        <v>1.1555543402931967</v>
      </c>
      <c r="X4398" s="420"/>
      <c r="Y4398" s="420"/>
    </row>
    <row r="4399" spans="17:25">
      <c r="Q4399" s="6">
        <v>4369</v>
      </c>
      <c r="R4399" s="7">
        <v>47036</v>
      </c>
      <c r="S4399" s="210">
        <v>4.25</v>
      </c>
      <c r="T4399" s="8">
        <v>1.0001180555555556</v>
      </c>
      <c r="U4399" s="98">
        <v>4.2722126791097548</v>
      </c>
      <c r="V4399" s="106">
        <v>37746.047887493973</v>
      </c>
      <c r="W4399" s="10">
        <v>1.1555825809028919</v>
      </c>
      <c r="X4399" s="420"/>
      <c r="Y4399" s="420"/>
    </row>
    <row r="4400" spans="17:25">
      <c r="Q4400" s="6">
        <v>4370</v>
      </c>
      <c r="R4400" s="7">
        <v>47037</v>
      </c>
      <c r="S4400" s="210">
        <v>4.25</v>
      </c>
      <c r="T4400" s="8">
        <v>1.0001180555555556</v>
      </c>
      <c r="U4400" s="98">
        <v>4.2722425771117845</v>
      </c>
      <c r="V4400" s="106">
        <v>37749.189596884869</v>
      </c>
      <c r="W4400" s="10">
        <v>1.1556108085957195</v>
      </c>
      <c r="X4400" s="420"/>
      <c r="Y4400" s="420"/>
    </row>
    <row r="4401" spans="17:25">
      <c r="Q4401" s="6">
        <v>4371</v>
      </c>
      <c r="R4401" s="7">
        <v>47038</v>
      </c>
      <c r="S4401" s="210">
        <v>4.25</v>
      </c>
      <c r="T4401" s="8">
        <v>1.0001180555555556</v>
      </c>
      <c r="U4401" s="98">
        <v>4.272272461442217</v>
      </c>
      <c r="V4401" s="106">
        <v>37752.331567769041</v>
      </c>
      <c r="W4401" s="10">
        <v>1.1556390233805169</v>
      </c>
      <c r="X4401" s="420"/>
      <c r="Y4401" s="420"/>
    </row>
    <row r="4402" spans="17:25">
      <c r="Q4402" s="6">
        <v>4372</v>
      </c>
      <c r="R4402" s="7">
        <v>47039</v>
      </c>
      <c r="S4402" s="210">
        <v>4.25</v>
      </c>
      <c r="T4402" s="8">
        <v>1.0001180555555556</v>
      </c>
      <c r="U4402" s="98">
        <v>4.2723023321104225</v>
      </c>
      <c r="V4402" s="106">
        <v>37755.473800168264</v>
      </c>
      <c r="W4402" s="10">
        <v>1.1556672252661437</v>
      </c>
      <c r="X4402" s="420"/>
      <c r="Y4402" s="420"/>
    </row>
    <row r="4403" spans="17:25">
      <c r="Q4403" s="6">
        <v>4373</v>
      </c>
      <c r="R4403" s="7">
        <v>47040</v>
      </c>
      <c r="S4403" s="210">
        <v>4.25</v>
      </c>
      <c r="T4403" s="8">
        <v>1.0001180555555556</v>
      </c>
      <c r="U4403" s="98">
        <v>4.2723321891257715</v>
      </c>
      <c r="V4403" s="106">
        <v>37758.616294104293</v>
      </c>
      <c r="W4403" s="10">
        <v>1.1556954142614373</v>
      </c>
      <c r="X4403" s="420"/>
      <c r="Y4403" s="420"/>
    </row>
    <row r="4404" spans="17:25">
      <c r="Q4404" s="6">
        <v>4374</v>
      </c>
      <c r="R4404" s="7">
        <v>47041</v>
      </c>
      <c r="S4404" s="210">
        <v>4.25</v>
      </c>
      <c r="T4404" s="8">
        <v>1.0001180555555556</v>
      </c>
      <c r="U4404" s="98">
        <v>4.2723620324976119</v>
      </c>
      <c r="V4404" s="106">
        <v>37761.759049598906</v>
      </c>
      <c r="W4404" s="10">
        <v>1.1557235903752128</v>
      </c>
      <c r="X4404" s="420"/>
      <c r="Y4404" s="420"/>
    </row>
    <row r="4405" spans="17:25">
      <c r="Q4405" s="6">
        <v>4375</v>
      </c>
      <c r="R4405" s="7">
        <v>47042</v>
      </c>
      <c r="S4405" s="210">
        <v>4.25</v>
      </c>
      <c r="T4405" s="8">
        <v>1.0001180555555556</v>
      </c>
      <c r="U4405" s="98">
        <v>4.2723918622353141</v>
      </c>
      <c r="V4405" s="106">
        <v>37764.902066673865</v>
      </c>
      <c r="W4405" s="10">
        <v>1.155751753616352</v>
      </c>
      <c r="X4405" s="420"/>
      <c r="Y4405" s="420"/>
    </row>
    <row r="4406" spans="17:25">
      <c r="Q4406" s="6">
        <v>4376</v>
      </c>
      <c r="R4406" s="7">
        <v>47043</v>
      </c>
      <c r="S4406" s="210">
        <v>4.25</v>
      </c>
      <c r="T4406" s="8">
        <v>1.0001180555555556</v>
      </c>
      <c r="U4406" s="98">
        <v>4.2724216783482039</v>
      </c>
      <c r="V4406" s="106">
        <v>37768.045345350954</v>
      </c>
      <c r="W4406" s="10">
        <v>1.1557799039936256</v>
      </c>
      <c r="X4406" s="420"/>
      <c r="Y4406" s="420"/>
    </row>
    <row r="4407" spans="17:25">
      <c r="Q4407" s="6">
        <v>4377</v>
      </c>
      <c r="R4407" s="7">
        <v>47044</v>
      </c>
      <c r="S4407" s="210">
        <v>4.25</v>
      </c>
      <c r="T4407" s="8">
        <v>1.0001180555555556</v>
      </c>
      <c r="U4407" s="98">
        <v>4.2724514808456293</v>
      </c>
      <c r="V4407" s="106">
        <v>37771.188885651929</v>
      </c>
      <c r="W4407" s="10">
        <v>1.1558080415158933</v>
      </c>
      <c r="X4407" s="420"/>
      <c r="Y4407" s="420"/>
    </row>
    <row r="4408" spans="17:25">
      <c r="Q4408" s="6">
        <v>4378</v>
      </c>
      <c r="R4408" s="7">
        <v>47045</v>
      </c>
      <c r="S4408" s="210">
        <v>4.25</v>
      </c>
      <c r="T4408" s="8">
        <v>1.0001180555555556</v>
      </c>
      <c r="U4408" s="98">
        <v>4.2724812697368941</v>
      </c>
      <c r="V4408" s="106">
        <v>37774.332687598588</v>
      </c>
      <c r="W4408" s="10">
        <v>1.1558361661919037</v>
      </c>
      <c r="X4408" s="420"/>
      <c r="Y4408" s="420"/>
    </row>
    <row r="4409" spans="17:25">
      <c r="Q4409" s="6">
        <v>4379</v>
      </c>
      <c r="R4409" s="7">
        <v>47046</v>
      </c>
      <c r="S4409" s="210">
        <v>4.25</v>
      </c>
      <c r="T4409" s="8">
        <v>1.0001180555555556</v>
      </c>
      <c r="U4409" s="98">
        <v>4.2725110450313242</v>
      </c>
      <c r="V4409" s="106">
        <v>37777.476751212693</v>
      </c>
      <c r="W4409" s="10">
        <v>1.1558642780304718</v>
      </c>
      <c r="X4409" s="420"/>
      <c r="Y4409" s="420"/>
    </row>
    <row r="4410" spans="17:25">
      <c r="Q4410" s="6">
        <v>4380</v>
      </c>
      <c r="R4410" s="7">
        <v>47047</v>
      </c>
      <c r="S4410" s="210">
        <v>4.25</v>
      </c>
      <c r="T4410" s="8">
        <v>1.0001180555555556</v>
      </c>
      <c r="U4410" s="98">
        <v>4.2725408067382231</v>
      </c>
      <c r="V4410" s="106">
        <v>37780.621076516029</v>
      </c>
      <c r="W4410" s="10">
        <v>1.1558923770404128</v>
      </c>
      <c r="X4410" s="420"/>
      <c r="Y4410" s="420"/>
    </row>
    <row r="4411" spans="17:25">
      <c r="Q4411" s="6">
        <v>4381</v>
      </c>
      <c r="R4411" s="7">
        <v>47048</v>
      </c>
      <c r="S4411" s="210">
        <v>4.25</v>
      </c>
      <c r="T4411" s="8">
        <v>1.0001180555555556</v>
      </c>
      <c r="U4411" s="98">
        <v>4.2725705548668946</v>
      </c>
      <c r="V4411" s="106">
        <v>37783.765663530379</v>
      </c>
      <c r="W4411" s="10">
        <v>1.1559204632304754</v>
      </c>
      <c r="X4411" s="420"/>
      <c r="Y4411" s="420"/>
    </row>
    <row r="4412" spans="17:25">
      <c r="Q4412" s="6">
        <v>4382</v>
      </c>
      <c r="R4412" s="7">
        <v>47049</v>
      </c>
      <c r="S4412" s="210">
        <v>4.25</v>
      </c>
      <c r="T4412" s="8">
        <v>1.0001180555555556</v>
      </c>
      <c r="U4412" s="98">
        <v>4.2726002894266202</v>
      </c>
      <c r="V4412" s="106">
        <v>37786.910512277507</v>
      </c>
      <c r="W4412" s="10">
        <v>1.1559485366094302</v>
      </c>
      <c r="X4412" s="420"/>
      <c r="Y4412" s="420"/>
    </row>
    <row r="4413" spans="17:25">
      <c r="Q4413" s="6">
        <v>4383</v>
      </c>
      <c r="R4413" s="7">
        <v>47050</v>
      </c>
      <c r="S4413" s="210">
        <v>4.25</v>
      </c>
      <c r="T4413" s="8">
        <v>1.0001180555555556</v>
      </c>
      <c r="U4413" s="98">
        <v>4.2726300104267034</v>
      </c>
      <c r="V4413" s="106">
        <v>37790.055622779226</v>
      </c>
      <c r="W4413" s="10">
        <v>1.1559765971860703</v>
      </c>
      <c r="X4413" s="420"/>
      <c r="Y4413" s="420"/>
    </row>
    <row r="4414" spans="17:25">
      <c r="Q4414" s="6">
        <v>4384</v>
      </c>
      <c r="R4414" s="7">
        <v>47051</v>
      </c>
      <c r="S4414" s="210">
        <v>4.25</v>
      </c>
      <c r="T4414" s="8">
        <v>1.0001180555555556</v>
      </c>
      <c r="U4414" s="98">
        <v>4.2726597178763814</v>
      </c>
      <c r="V4414" s="106">
        <v>37793.200995057305</v>
      </c>
      <c r="W4414" s="10">
        <v>1.1560046449690997</v>
      </c>
      <c r="X4414" s="420"/>
      <c r="Y4414" s="420"/>
    </row>
    <row r="4415" spans="17:25">
      <c r="Q4415" s="6">
        <v>4385</v>
      </c>
      <c r="R4415" s="7">
        <v>47052</v>
      </c>
      <c r="S4415" s="210">
        <v>4.25</v>
      </c>
      <c r="T4415" s="8">
        <v>1.0001180555555556</v>
      </c>
      <c r="U4415" s="98">
        <v>4.2726894117849579</v>
      </c>
      <c r="V4415" s="106">
        <v>37796.346629133535</v>
      </c>
      <c r="W4415" s="10">
        <v>1.1560326799673337</v>
      </c>
      <c r="X4415" s="420"/>
      <c r="Y4415" s="420"/>
    </row>
    <row r="4416" spans="17:25">
      <c r="Q4416" s="6">
        <v>4386</v>
      </c>
      <c r="R4416" s="7">
        <v>47053</v>
      </c>
      <c r="S4416" s="210">
        <v>4.25</v>
      </c>
      <c r="T4416" s="8">
        <v>1.0001180555555556</v>
      </c>
      <c r="U4416" s="98">
        <v>4.2727190921616698</v>
      </c>
      <c r="V4416" s="106">
        <v>37799.492525029724</v>
      </c>
      <c r="W4416" s="10">
        <v>1.1560607021894542</v>
      </c>
      <c r="X4416" s="420"/>
      <c r="Y4416" s="420"/>
    </row>
    <row r="4417" spans="17:25">
      <c r="Q4417" s="6">
        <v>4387</v>
      </c>
      <c r="R4417" s="7">
        <v>47054</v>
      </c>
      <c r="S4417" s="210">
        <v>4.25</v>
      </c>
      <c r="T4417" s="8">
        <v>1.0001180555555556</v>
      </c>
      <c r="U4417" s="98">
        <v>4.2727487590157542</v>
      </c>
      <c r="V4417" s="106">
        <v>37802.638682767632</v>
      </c>
      <c r="W4417" s="10">
        <v>1.1560887116442098</v>
      </c>
      <c r="X4417" s="420"/>
      <c r="Y4417" s="420"/>
    </row>
    <row r="4418" spans="17:25">
      <c r="Q4418" s="6">
        <v>4388</v>
      </c>
      <c r="R4418" s="7">
        <v>47055</v>
      </c>
      <c r="S4418" s="210">
        <v>4.25</v>
      </c>
      <c r="T4418" s="8">
        <v>1.0001180555555556</v>
      </c>
      <c r="U4418" s="98">
        <v>4.2727784123564705</v>
      </c>
      <c r="V4418" s="106">
        <v>37805.785102369075</v>
      </c>
      <c r="W4418" s="10">
        <v>1.156116708340349</v>
      </c>
      <c r="X4418" s="420"/>
      <c r="Y4418" s="420"/>
    </row>
    <row r="4419" spans="17:25">
      <c r="Q4419" s="6">
        <v>4389</v>
      </c>
      <c r="R4419" s="7">
        <v>47056</v>
      </c>
      <c r="S4419" s="210">
        <v>4.25</v>
      </c>
      <c r="T4419" s="8">
        <v>1.0001180555555556</v>
      </c>
      <c r="U4419" s="98">
        <v>4.2728080521930334</v>
      </c>
      <c r="V4419" s="106">
        <v>37808.931783855842</v>
      </c>
      <c r="W4419" s="10">
        <v>1.1561446922865315</v>
      </c>
      <c r="X4419" s="420"/>
      <c r="Y4419" s="420"/>
    </row>
    <row r="4420" spans="17:25">
      <c r="Q4420" s="6">
        <v>4390</v>
      </c>
      <c r="R4420" s="7">
        <v>47057</v>
      </c>
      <c r="S4420" s="210">
        <v>4.25</v>
      </c>
      <c r="T4420" s="8">
        <v>1.0001180555555556</v>
      </c>
      <c r="U4420" s="98">
        <v>4.27283767853468</v>
      </c>
      <c r="V4420" s="106">
        <v>37812.078727249733</v>
      </c>
      <c r="W4420" s="10">
        <v>1.1561726634915281</v>
      </c>
      <c r="X4420" s="420"/>
      <c r="Y4420" s="420"/>
    </row>
    <row r="4421" spans="17:25">
      <c r="Q4421" s="6">
        <v>4391</v>
      </c>
      <c r="R4421" s="7">
        <v>47058</v>
      </c>
      <c r="S4421" s="210">
        <v>4.25</v>
      </c>
      <c r="T4421" s="8">
        <v>1.0001180555555556</v>
      </c>
      <c r="U4421" s="98">
        <v>4.272867291390603</v>
      </c>
      <c r="V4421" s="106">
        <v>37815.225932572539</v>
      </c>
      <c r="W4421" s="10">
        <v>1.1562006219639986</v>
      </c>
      <c r="X4421" s="420"/>
      <c r="Y4421" s="420"/>
    </row>
    <row r="4422" spans="17:25">
      <c r="Q4422" s="6">
        <v>4392</v>
      </c>
      <c r="R4422" s="7">
        <v>47059</v>
      </c>
      <c r="S4422" s="210">
        <v>4.25</v>
      </c>
      <c r="T4422" s="8">
        <v>1.0001180555555556</v>
      </c>
      <c r="U4422" s="98">
        <v>4.2728968907700393</v>
      </c>
      <c r="V4422" s="106">
        <v>37818.373399846074</v>
      </c>
      <c r="W4422" s="10">
        <v>1.1562285677126471</v>
      </c>
      <c r="X4422" s="420"/>
      <c r="Y4422" s="420"/>
    </row>
    <row r="4423" spans="17:25">
      <c r="Q4423" s="6">
        <v>4393</v>
      </c>
      <c r="R4423" s="7">
        <v>47060</v>
      </c>
      <c r="S4423" s="210">
        <v>4.25</v>
      </c>
      <c r="T4423" s="8">
        <v>1.0001180555555556</v>
      </c>
      <c r="U4423" s="98">
        <v>4.2729264766821595</v>
      </c>
      <c r="V4423" s="106">
        <v>37821.521129092136</v>
      </c>
      <c r="W4423" s="10">
        <v>1.1562565007461556</v>
      </c>
      <c r="X4423" s="420"/>
      <c r="Y4423" s="420"/>
    </row>
    <row r="4424" spans="17:25">
      <c r="Q4424" s="6">
        <v>4394</v>
      </c>
      <c r="R4424" s="7">
        <v>47061</v>
      </c>
      <c r="S4424" s="210">
        <v>4.25</v>
      </c>
      <c r="T4424" s="8">
        <v>1.0001180555555556</v>
      </c>
      <c r="U4424" s="98">
        <v>4.2729560491361784</v>
      </c>
      <c r="V4424" s="106">
        <v>37824.669120332524</v>
      </c>
      <c r="W4424" s="10">
        <v>1.1562844210732059</v>
      </c>
      <c r="X4424" s="420"/>
      <c r="Y4424" s="420"/>
    </row>
    <row r="4425" spans="17:25">
      <c r="Q4425" s="6">
        <v>4395</v>
      </c>
      <c r="R4425" s="7">
        <v>47062</v>
      </c>
      <c r="S4425" s="210">
        <v>4.25</v>
      </c>
      <c r="T4425" s="8">
        <v>1.0001180555555556</v>
      </c>
      <c r="U4425" s="98">
        <v>4.2729856081412443</v>
      </c>
      <c r="V4425" s="106">
        <v>37827.817373589045</v>
      </c>
      <c r="W4425" s="10">
        <v>1.1563123287024579</v>
      </c>
      <c r="X4425" s="420"/>
      <c r="Y4425" s="420"/>
    </row>
    <row r="4426" spans="17:25">
      <c r="Q4426" s="6">
        <v>4396</v>
      </c>
      <c r="R4426" s="7">
        <v>47063</v>
      </c>
      <c r="S4426" s="210">
        <v>4.25</v>
      </c>
      <c r="T4426" s="8">
        <v>1.0001180555555556</v>
      </c>
      <c r="U4426" s="98">
        <v>4.2730151537065497</v>
      </c>
      <c r="V4426" s="106">
        <v>37830.965888883518</v>
      </c>
      <c r="W4426" s="10">
        <v>1.1563402236425713</v>
      </c>
      <c r="X4426" s="420"/>
      <c r="Y4426" s="420"/>
    </row>
    <row r="4427" spans="17:25">
      <c r="Q4427" s="6">
        <v>4397</v>
      </c>
      <c r="R4427" s="7">
        <v>47064</v>
      </c>
      <c r="S4427" s="210">
        <v>4.25</v>
      </c>
      <c r="T4427" s="8">
        <v>1.0001180555555556</v>
      </c>
      <c r="U4427" s="98">
        <v>4.2730446858412652</v>
      </c>
      <c r="V4427" s="106">
        <v>37834.114666237743</v>
      </c>
      <c r="W4427" s="10">
        <v>1.1563681059022279</v>
      </c>
      <c r="X4427" s="420"/>
      <c r="Y4427" s="420"/>
    </row>
    <row r="4428" spans="17:25">
      <c r="Q4428" s="6">
        <v>4398</v>
      </c>
      <c r="R4428" s="7">
        <v>47065</v>
      </c>
      <c r="S4428" s="210">
        <v>4.25</v>
      </c>
      <c r="T4428" s="8">
        <v>1.0001180555555556</v>
      </c>
      <c r="U4428" s="98">
        <v>4.2730742045545389</v>
      </c>
      <c r="V4428" s="106">
        <v>37837.263705673533</v>
      </c>
      <c r="W4428" s="10">
        <v>1.156395975490021</v>
      </c>
      <c r="X4428" s="420"/>
      <c r="Y4428" s="420"/>
    </row>
    <row r="4429" spans="17:25">
      <c r="Q4429" s="6">
        <v>4399</v>
      </c>
      <c r="R4429" s="7">
        <v>47066</v>
      </c>
      <c r="S4429" s="210">
        <v>4.25</v>
      </c>
      <c r="T4429" s="8">
        <v>1.0001180555555556</v>
      </c>
      <c r="U4429" s="98">
        <v>4.2731037098555191</v>
      </c>
      <c r="V4429" s="106">
        <v>37840.413007212701</v>
      </c>
      <c r="W4429" s="10">
        <v>1.1564238324146325</v>
      </c>
      <c r="X4429" s="420"/>
      <c r="Y4429" s="420"/>
    </row>
    <row r="4430" spans="17:25">
      <c r="Q4430" s="6">
        <v>4400</v>
      </c>
      <c r="R4430" s="7">
        <v>47067</v>
      </c>
      <c r="S4430" s="210">
        <v>4.25</v>
      </c>
      <c r="T4430" s="8">
        <v>1.0001180555555556</v>
      </c>
      <c r="U4430" s="98">
        <v>4.2731332017533319</v>
      </c>
      <c r="V4430" s="106">
        <v>37843.562570877082</v>
      </c>
      <c r="W4430" s="10">
        <v>1.1564516766846555</v>
      </c>
      <c r="X4430" s="420"/>
      <c r="Y4430" s="420"/>
    </row>
    <row r="4431" spans="17:25">
      <c r="Q4431" s="6">
        <v>4401</v>
      </c>
      <c r="R4431" s="7">
        <v>47068</v>
      </c>
      <c r="S4431" s="210">
        <v>4.25</v>
      </c>
      <c r="T4431" s="8">
        <v>1.0001180555555556</v>
      </c>
      <c r="U4431" s="98">
        <v>4.2731626802571254</v>
      </c>
      <c r="V4431" s="106">
        <v>37846.712396688461</v>
      </c>
      <c r="W4431" s="10">
        <v>1.1564795083087498</v>
      </c>
      <c r="X4431" s="420"/>
      <c r="Y4431" s="420"/>
    </row>
    <row r="4432" spans="17:25">
      <c r="Q4432" s="6">
        <v>4402</v>
      </c>
      <c r="R4432" s="7">
        <v>47069</v>
      </c>
      <c r="S4432" s="210">
        <v>4.25</v>
      </c>
      <c r="T4432" s="8">
        <v>1.0001180555555556</v>
      </c>
      <c r="U4432" s="98">
        <v>4.2731921453760036</v>
      </c>
      <c r="V4432" s="106">
        <v>37849.86248466868</v>
      </c>
      <c r="W4432" s="10">
        <v>1.156507327295464</v>
      </c>
      <c r="X4432" s="420"/>
      <c r="Y4432" s="420"/>
    </row>
    <row r="4433" spans="17:25">
      <c r="Q4433" s="6">
        <v>4403</v>
      </c>
      <c r="R4433" s="7">
        <v>47070</v>
      </c>
      <c r="S4433" s="210">
        <v>4.25</v>
      </c>
      <c r="T4433" s="8">
        <v>1.0001180555555556</v>
      </c>
      <c r="U4433" s="98">
        <v>4.2732215971190923</v>
      </c>
      <c r="V4433" s="106">
        <v>37853.012834839545</v>
      </c>
      <c r="W4433" s="10">
        <v>1.1565351336534802</v>
      </c>
      <c r="X4433" s="420"/>
      <c r="Y4433" s="420"/>
    </row>
    <row r="4434" spans="17:25">
      <c r="Q4434" s="6">
        <v>4404</v>
      </c>
      <c r="R4434" s="7">
        <v>47071</v>
      </c>
      <c r="S4434" s="210">
        <v>4.25</v>
      </c>
      <c r="T4434" s="8">
        <v>1.0001180555555556</v>
      </c>
      <c r="U4434" s="98">
        <v>4.2732510354954956</v>
      </c>
      <c r="V4434" s="106">
        <v>37856.163447222898</v>
      </c>
      <c r="W4434" s="10">
        <v>1.1565629273913469</v>
      </c>
      <c r="X4434" s="420"/>
      <c r="Y4434" s="420"/>
    </row>
    <row r="4435" spans="17:25">
      <c r="Q4435" s="6">
        <v>4405</v>
      </c>
      <c r="R4435" s="7">
        <v>47072</v>
      </c>
      <c r="S4435" s="210">
        <v>4.25</v>
      </c>
      <c r="T4435" s="8">
        <v>1.0001180555555556</v>
      </c>
      <c r="U4435" s="98">
        <v>4.2732804605143171</v>
      </c>
      <c r="V4435" s="106">
        <v>37859.314321840553</v>
      </c>
      <c r="W4435" s="10">
        <v>1.1565907085176574</v>
      </c>
      <c r="X4435" s="420"/>
      <c r="Y4435" s="420"/>
    </row>
    <row r="4436" spans="17:25">
      <c r="Q4436" s="6">
        <v>4406</v>
      </c>
      <c r="R4436" s="7">
        <v>47073</v>
      </c>
      <c r="S4436" s="210">
        <v>4.25</v>
      </c>
      <c r="T4436" s="8">
        <v>1.0001180555555556</v>
      </c>
      <c r="U4436" s="98">
        <v>4.2733098721846385</v>
      </c>
      <c r="V4436" s="106">
        <v>37862.465458714323</v>
      </c>
      <c r="W4436" s="10">
        <v>1.1566184770410048</v>
      </c>
      <c r="X4436" s="420"/>
      <c r="Y4436" s="420"/>
    </row>
    <row r="4437" spans="17:25">
      <c r="Q4437" s="6">
        <v>4407</v>
      </c>
      <c r="R4437" s="7">
        <v>47074</v>
      </c>
      <c r="S4437" s="210">
        <v>4.25</v>
      </c>
      <c r="T4437" s="8">
        <v>1.0001180555555556</v>
      </c>
      <c r="U4437" s="98">
        <v>4.2733392705155415</v>
      </c>
      <c r="V4437" s="106">
        <v>37865.616857866065</v>
      </c>
      <c r="W4437" s="10">
        <v>1.1566462329699823</v>
      </c>
      <c r="X4437" s="420"/>
      <c r="Y4437" s="420"/>
    </row>
    <row r="4438" spans="17:25">
      <c r="Q4438" s="6">
        <v>4408</v>
      </c>
      <c r="R4438" s="7">
        <v>47075</v>
      </c>
      <c r="S4438" s="210">
        <v>4.25</v>
      </c>
      <c r="T4438" s="8">
        <v>1.0001180555555556</v>
      </c>
      <c r="U4438" s="98">
        <v>4.2733686555161077</v>
      </c>
      <c r="V4438" s="106">
        <v>37868.768519317578</v>
      </c>
      <c r="W4438" s="10">
        <v>1.1566739763131162</v>
      </c>
      <c r="X4438" s="420"/>
      <c r="Y4438" s="420"/>
    </row>
    <row r="4439" spans="17:25">
      <c r="Q4439" s="6">
        <v>4409</v>
      </c>
      <c r="R4439" s="7">
        <v>47076</v>
      </c>
      <c r="S4439" s="210">
        <v>4.25</v>
      </c>
      <c r="T4439" s="8">
        <v>1.0001180555555556</v>
      </c>
      <c r="U4439" s="98">
        <v>4.2733980271953964</v>
      </c>
      <c r="V4439" s="106">
        <v>37871.920443090727</v>
      </c>
      <c r="W4439" s="10">
        <v>1.1567017070789998</v>
      </c>
      <c r="X4439" s="420"/>
      <c r="Y4439" s="420"/>
    </row>
    <row r="4440" spans="17:25">
      <c r="Q4440" s="6">
        <v>4410</v>
      </c>
      <c r="R4440" s="7">
        <v>47077</v>
      </c>
      <c r="S4440" s="210">
        <v>4.25</v>
      </c>
      <c r="T4440" s="8">
        <v>1.0001180555555556</v>
      </c>
      <c r="U4440" s="98">
        <v>4.2734273855624672</v>
      </c>
      <c r="V4440" s="106">
        <v>37875.072629207316</v>
      </c>
      <c r="W4440" s="10">
        <v>1.1567294252761595</v>
      </c>
      <c r="X4440" s="420"/>
      <c r="Y4440" s="420"/>
    </row>
    <row r="4441" spans="17:25">
      <c r="Q4441" s="6">
        <v>4411</v>
      </c>
      <c r="R4441" s="7">
        <v>47078</v>
      </c>
      <c r="S4441" s="210">
        <v>4.25</v>
      </c>
      <c r="T4441" s="8">
        <v>1.0001180555555556</v>
      </c>
      <c r="U4441" s="98">
        <v>4.2734567306263571</v>
      </c>
      <c r="V4441" s="106">
        <v>37878.225077689196</v>
      </c>
      <c r="W4441" s="10">
        <v>1.1567571309131663</v>
      </c>
      <c r="X4441" s="420"/>
      <c r="Y4441" s="420"/>
    </row>
    <row r="4442" spans="17:25">
      <c r="Q4442" s="6">
        <v>4412</v>
      </c>
      <c r="R4442" s="7">
        <v>47079</v>
      </c>
      <c r="S4442" s="210">
        <v>4.25</v>
      </c>
      <c r="T4442" s="8">
        <v>1.0001180555555556</v>
      </c>
      <c r="U4442" s="98">
        <v>4.2734860623961257</v>
      </c>
      <c r="V4442" s="106">
        <v>37881.377788558202</v>
      </c>
      <c r="W4442" s="10">
        <v>1.1567848239985246</v>
      </c>
      <c r="X4442" s="420"/>
      <c r="Y4442" s="420"/>
    </row>
    <row r="4443" spans="17:25">
      <c r="Q4443" s="6">
        <v>4413</v>
      </c>
      <c r="R4443" s="7">
        <v>47080</v>
      </c>
      <c r="S4443" s="210">
        <v>4.25</v>
      </c>
      <c r="T4443" s="8">
        <v>1.0001180555555556</v>
      </c>
      <c r="U4443" s="98">
        <v>4.273515380880788</v>
      </c>
      <c r="V4443" s="106">
        <v>37884.530761836169</v>
      </c>
      <c r="W4443" s="10">
        <v>1.1568125045407829</v>
      </c>
      <c r="X4443" s="420"/>
      <c r="Y4443" s="420"/>
    </row>
    <row r="4444" spans="17:25">
      <c r="Q4444" s="6">
        <v>4414</v>
      </c>
      <c r="R4444" s="7">
        <v>47081</v>
      </c>
      <c r="S4444" s="210">
        <v>4.25</v>
      </c>
      <c r="T4444" s="8">
        <v>1.0001180555555556</v>
      </c>
      <c r="U4444" s="98">
        <v>4.2735446860893589</v>
      </c>
      <c r="V4444" s="106">
        <v>37887.683997544955</v>
      </c>
      <c r="W4444" s="10">
        <v>1.1568401725484234</v>
      </c>
      <c r="X4444" s="420"/>
      <c r="Y4444" s="420"/>
    </row>
    <row r="4445" spans="17:25">
      <c r="Q4445" s="6">
        <v>4415</v>
      </c>
      <c r="R4445" s="7">
        <v>47082</v>
      </c>
      <c r="S4445" s="210">
        <v>4.25</v>
      </c>
      <c r="T4445" s="8">
        <v>1.0001180555555556</v>
      </c>
      <c r="U4445" s="98">
        <v>4.2735739780308757</v>
      </c>
      <c r="V4445" s="106">
        <v>37890.837495706372</v>
      </c>
      <c r="W4445" s="10">
        <v>1.1568678280300171</v>
      </c>
      <c r="X4445" s="420"/>
      <c r="Y4445" s="420"/>
    </row>
    <row r="4446" spans="17:25">
      <c r="Q4446" s="6">
        <v>4416</v>
      </c>
      <c r="R4446" s="7">
        <v>47083</v>
      </c>
      <c r="S4446" s="210">
        <v>4.25</v>
      </c>
      <c r="T4446" s="8">
        <v>1.0001180555555556</v>
      </c>
      <c r="U4446" s="98">
        <v>4.2736032567143312</v>
      </c>
      <c r="V4446" s="106">
        <v>37893.991256342291</v>
      </c>
      <c r="W4446" s="10">
        <v>1.1568954709940238</v>
      </c>
      <c r="X4446" s="420"/>
      <c r="Y4446" s="420"/>
    </row>
    <row r="4447" spans="17:25">
      <c r="Q4447" s="6">
        <v>4417</v>
      </c>
      <c r="R4447" s="7">
        <v>47084</v>
      </c>
      <c r="S4447" s="210">
        <v>4.25</v>
      </c>
      <c r="T4447" s="8">
        <v>1.0001180555555556</v>
      </c>
      <c r="U4447" s="98">
        <v>4.2736325221487403</v>
      </c>
      <c r="V4447" s="106">
        <v>37897.145279474556</v>
      </c>
      <c r="W4447" s="10">
        <v>1.1569231014489478</v>
      </c>
      <c r="X4447" s="420"/>
      <c r="Y4447" s="420"/>
    </row>
    <row r="4448" spans="17:25">
      <c r="Q4448" s="6">
        <v>4418</v>
      </c>
      <c r="R4448" s="7">
        <v>47085</v>
      </c>
      <c r="S4448" s="210">
        <v>4.25</v>
      </c>
      <c r="T4448" s="8">
        <v>1.0001180555555556</v>
      </c>
      <c r="U4448" s="98">
        <v>4.2736617743430738</v>
      </c>
      <c r="V4448" s="106">
        <v>37900.299565124995</v>
      </c>
      <c r="W4448" s="10">
        <v>1.1569507194032935</v>
      </c>
      <c r="X4448" s="420"/>
      <c r="Y4448" s="420"/>
    </row>
    <row r="4449" spans="17:25">
      <c r="Q4449" s="6">
        <v>4419</v>
      </c>
      <c r="R4449" s="7">
        <v>47086</v>
      </c>
      <c r="S4449" s="210">
        <v>4.25</v>
      </c>
      <c r="T4449" s="8">
        <v>1.0001180555555556</v>
      </c>
      <c r="U4449" s="98">
        <v>4.2736910133063244</v>
      </c>
      <c r="V4449" s="106">
        <v>37903.454113315485</v>
      </c>
      <c r="W4449" s="10">
        <v>1.156978324865543</v>
      </c>
      <c r="X4449" s="420"/>
      <c r="Y4449" s="420"/>
    </row>
    <row r="4450" spans="17:25">
      <c r="Q4450" s="6">
        <v>4420</v>
      </c>
      <c r="R4450" s="7">
        <v>47087</v>
      </c>
      <c r="S4450" s="210">
        <v>4.25</v>
      </c>
      <c r="T4450" s="8">
        <v>1.0001180555555556</v>
      </c>
      <c r="U4450" s="98">
        <v>4.2737202390474849</v>
      </c>
      <c r="V4450" s="106">
        <v>37906.608924067856</v>
      </c>
      <c r="W4450" s="10">
        <v>1.1570059178441561</v>
      </c>
      <c r="X4450" s="420"/>
      <c r="Y4450" s="420"/>
    </row>
    <row r="4451" spans="17:25">
      <c r="Q4451" s="6">
        <v>4421</v>
      </c>
      <c r="R4451" s="7">
        <v>47088</v>
      </c>
      <c r="S4451" s="210">
        <v>4.25</v>
      </c>
      <c r="T4451" s="8">
        <v>1.0001180555555556</v>
      </c>
      <c r="U4451" s="98">
        <v>4.2737494515755037</v>
      </c>
      <c r="V4451" s="106">
        <v>37909.76399740397</v>
      </c>
      <c r="W4451" s="10">
        <v>1.1570334983476149</v>
      </c>
      <c r="X4451" s="420"/>
      <c r="Y4451" s="420"/>
    </row>
    <row r="4452" spans="17:25">
      <c r="Q4452" s="6">
        <v>4422</v>
      </c>
      <c r="R4452" s="7">
        <v>47089</v>
      </c>
      <c r="S4452" s="210">
        <v>4.25</v>
      </c>
      <c r="T4452" s="8">
        <v>1.0001180555555556</v>
      </c>
      <c r="U4452" s="98">
        <v>4.2737786508993292</v>
      </c>
      <c r="V4452" s="106">
        <v>37912.919333345686</v>
      </c>
      <c r="W4452" s="10">
        <v>1.1570610663843572</v>
      </c>
      <c r="X4452" s="420"/>
      <c r="Y4452" s="420"/>
    </row>
    <row r="4453" spans="17:25">
      <c r="Q4453" s="6">
        <v>4423</v>
      </c>
      <c r="R4453" s="7">
        <v>47090</v>
      </c>
      <c r="S4453" s="210">
        <v>4.25</v>
      </c>
      <c r="T4453" s="8">
        <v>1.0001180555555556</v>
      </c>
      <c r="U4453" s="98">
        <v>4.273807837027932</v>
      </c>
      <c r="V4453" s="106">
        <v>37916.07493191486</v>
      </c>
      <c r="W4453" s="10">
        <v>1.1570886219628429</v>
      </c>
      <c r="X4453" s="420"/>
      <c r="Y4453" s="420"/>
    </row>
    <row r="4454" spans="17:25">
      <c r="Q4454" s="6">
        <v>4424</v>
      </c>
      <c r="R4454" s="7">
        <v>47091</v>
      </c>
      <c r="S4454" s="210">
        <v>4.25</v>
      </c>
      <c r="T4454" s="8">
        <v>1.0001180555555556</v>
      </c>
      <c r="U4454" s="98">
        <v>4.2738370099702383</v>
      </c>
      <c r="V4454" s="106">
        <v>37919.230793133349</v>
      </c>
      <c r="W4454" s="10">
        <v>1.1571161650915096</v>
      </c>
      <c r="X4454" s="420"/>
      <c r="Y4454" s="420"/>
    </row>
    <row r="4455" spans="17:25">
      <c r="Q4455" s="6">
        <v>4425</v>
      </c>
      <c r="R4455" s="7">
        <v>47092</v>
      </c>
      <c r="S4455" s="210">
        <v>4.25</v>
      </c>
      <c r="T4455" s="8">
        <v>1.0001180555555556</v>
      </c>
      <c r="U4455" s="98">
        <v>4.2738661697351965</v>
      </c>
      <c r="V4455" s="106">
        <v>37922.386917023017</v>
      </c>
      <c r="W4455" s="10">
        <v>1.1571436957788173</v>
      </c>
      <c r="X4455" s="420"/>
      <c r="Y4455" s="420"/>
    </row>
    <row r="4456" spans="17:25">
      <c r="Q4456" s="6">
        <v>4426</v>
      </c>
      <c r="R4456" s="7">
        <v>47093</v>
      </c>
      <c r="S4456" s="210">
        <v>4.25</v>
      </c>
      <c r="T4456" s="8">
        <v>1.0001180555555556</v>
      </c>
      <c r="U4456" s="98">
        <v>4.2738953163317328</v>
      </c>
      <c r="V4456" s="106">
        <v>37925.543303605722</v>
      </c>
      <c r="W4456" s="10">
        <v>1.1571712140331591</v>
      </c>
      <c r="X4456" s="420"/>
      <c r="Y4456" s="420"/>
    </row>
    <row r="4457" spans="17:25">
      <c r="Q4457" s="6">
        <v>4427</v>
      </c>
      <c r="R4457" s="7">
        <v>47094</v>
      </c>
      <c r="S4457" s="210">
        <v>4.25</v>
      </c>
      <c r="T4457" s="8">
        <v>1.0001180555555556</v>
      </c>
      <c r="U4457" s="98">
        <v>4.2739244497687512</v>
      </c>
      <c r="V4457" s="106">
        <v>37928.699952903335</v>
      </c>
      <c r="W4457" s="10">
        <v>1.1571987198629952</v>
      </c>
      <c r="X4457" s="420"/>
      <c r="Y4457" s="420"/>
    </row>
    <row r="4458" spans="17:25">
      <c r="Q4458" s="6">
        <v>4428</v>
      </c>
      <c r="R4458" s="7">
        <v>47095</v>
      </c>
      <c r="S4458" s="210">
        <v>4.25</v>
      </c>
      <c r="T4458" s="8">
        <v>1.0001180555555556</v>
      </c>
      <c r="U4458" s="98">
        <v>4.2739535700551778</v>
      </c>
      <c r="V4458" s="106">
        <v>37931.856864937719</v>
      </c>
      <c r="W4458" s="10">
        <v>1.1572262132766964</v>
      </c>
      <c r="X4458" s="420"/>
      <c r="Y4458" s="420"/>
    </row>
    <row r="4459" spans="17:25">
      <c r="Q4459" s="6">
        <v>4429</v>
      </c>
      <c r="R4459" s="7">
        <v>47096</v>
      </c>
      <c r="S4459" s="210">
        <v>4.25</v>
      </c>
      <c r="T4459" s="8">
        <v>1.0001180555555556</v>
      </c>
      <c r="U4459" s="98">
        <v>4.2739826771998946</v>
      </c>
      <c r="V4459" s="106">
        <v>37935.014039730733</v>
      </c>
      <c r="W4459" s="10">
        <v>1.1572536942826783</v>
      </c>
      <c r="X4459" s="420"/>
      <c r="Y4459" s="420"/>
    </row>
    <row r="4460" spans="17:25">
      <c r="Q4460" s="6">
        <v>4430</v>
      </c>
      <c r="R4460" s="7">
        <v>47097</v>
      </c>
      <c r="S4460" s="210">
        <v>4.25</v>
      </c>
      <c r="T4460" s="8">
        <v>1.0001180555555556</v>
      </c>
      <c r="U4460" s="98">
        <v>4.2740117712118053</v>
      </c>
      <c r="V4460" s="106">
        <v>37938.171477304262</v>
      </c>
      <c r="W4460" s="10">
        <v>1.1572811628893565</v>
      </c>
      <c r="X4460" s="420"/>
      <c r="Y4460" s="420"/>
    </row>
    <row r="4461" spans="17:25">
      <c r="Q4461" s="6">
        <v>4431</v>
      </c>
      <c r="R4461" s="7">
        <v>47098</v>
      </c>
      <c r="S4461" s="210">
        <v>4.25</v>
      </c>
      <c r="T4461" s="8">
        <v>1.0001180555555556</v>
      </c>
      <c r="U4461" s="98">
        <v>4.2740408520998141</v>
      </c>
      <c r="V4461" s="106">
        <v>37941.329177680178</v>
      </c>
      <c r="W4461" s="10">
        <v>1.1573086191051241</v>
      </c>
      <c r="X4461" s="420"/>
      <c r="Y4461" s="420"/>
    </row>
    <row r="4462" spans="17:25">
      <c r="Q4462" s="6">
        <v>4432</v>
      </c>
      <c r="R4462" s="7">
        <v>47099</v>
      </c>
      <c r="S4462" s="210">
        <v>4.25</v>
      </c>
      <c r="T4462" s="8">
        <v>1.0001180555555556</v>
      </c>
      <c r="U4462" s="98">
        <v>4.2740699198727805</v>
      </c>
      <c r="V4462" s="106">
        <v>37944.487140880345</v>
      </c>
      <c r="W4462" s="10">
        <v>1.15733606293833</v>
      </c>
      <c r="X4462" s="420"/>
      <c r="Y4462" s="420"/>
    </row>
    <row r="4463" spans="17:25">
      <c r="Q4463" s="6">
        <v>4433</v>
      </c>
      <c r="R4463" s="7">
        <v>47100</v>
      </c>
      <c r="S4463" s="210">
        <v>4.25</v>
      </c>
      <c r="T4463" s="8">
        <v>1.0001180555555556</v>
      </c>
      <c r="U4463" s="98">
        <v>4.2740989745395641</v>
      </c>
      <c r="V4463" s="106">
        <v>37947.645366926648</v>
      </c>
      <c r="W4463" s="10">
        <v>1.1573634943973676</v>
      </c>
      <c r="X4463" s="420"/>
      <c r="Y4463" s="420"/>
    </row>
    <row r="4464" spans="17:25">
      <c r="Q4464" s="6">
        <v>4434</v>
      </c>
      <c r="R4464" s="7">
        <v>47101</v>
      </c>
      <c r="S4464" s="210">
        <v>4.25</v>
      </c>
      <c r="T4464" s="8">
        <v>1.0001180555555556</v>
      </c>
      <c r="U4464" s="98">
        <v>4.2741280161090467</v>
      </c>
      <c r="V4464" s="106">
        <v>37950.803855840953</v>
      </c>
      <c r="W4464" s="10">
        <v>1.157390913490608</v>
      </c>
      <c r="X4464" s="420"/>
      <c r="Y4464" s="420"/>
    </row>
    <row r="4465" spans="17:25">
      <c r="Q4465" s="6">
        <v>4435</v>
      </c>
      <c r="R4465" s="7">
        <v>47102</v>
      </c>
      <c r="S4465" s="210">
        <v>4.25</v>
      </c>
      <c r="T4465" s="8">
        <v>1.0001180555555556</v>
      </c>
      <c r="U4465" s="98">
        <v>4.2741570445900878</v>
      </c>
      <c r="V4465" s="106">
        <v>37953.962607645146</v>
      </c>
      <c r="W4465" s="10">
        <v>1.1574183202264221</v>
      </c>
      <c r="X4465" s="420"/>
      <c r="Y4465" s="420"/>
    </row>
    <row r="4466" spans="17:25">
      <c r="Q4466" s="6">
        <v>4436</v>
      </c>
      <c r="R4466" s="7">
        <v>47103</v>
      </c>
      <c r="S4466" s="210">
        <v>4.25</v>
      </c>
      <c r="T4466" s="8">
        <v>1.0001180555555556</v>
      </c>
      <c r="U4466" s="98">
        <v>4.2741860599915027</v>
      </c>
      <c r="V4466" s="106">
        <v>37957.121622361105</v>
      </c>
      <c r="W4466" s="10">
        <v>1.1574457146131367</v>
      </c>
      <c r="X4466" s="420"/>
      <c r="Y4466" s="420"/>
    </row>
    <row r="4467" spans="17:25">
      <c r="Q4467" s="6">
        <v>4437</v>
      </c>
      <c r="R4467" s="7">
        <v>47104</v>
      </c>
      <c r="S4467" s="210">
        <v>4.25</v>
      </c>
      <c r="T4467" s="8">
        <v>1.0001180555555556</v>
      </c>
      <c r="U4467" s="98">
        <v>4.2742150623221509</v>
      </c>
      <c r="V4467" s="106">
        <v>37960.28090001073</v>
      </c>
      <c r="W4467" s="10">
        <v>1.1574730966591007</v>
      </c>
      <c r="X4467" s="420"/>
      <c r="Y4467" s="420"/>
    </row>
    <row r="4468" spans="17:25">
      <c r="Q4468" s="6">
        <v>4438</v>
      </c>
      <c r="R4468" s="7">
        <v>47105</v>
      </c>
      <c r="S4468" s="210">
        <v>4.25</v>
      </c>
      <c r="T4468" s="8">
        <v>1.0001180555555556</v>
      </c>
      <c r="U4468" s="98">
        <v>4.2742440515908697</v>
      </c>
      <c r="V4468" s="106">
        <v>37963.440440615872</v>
      </c>
      <c r="W4468" s="10">
        <v>1.1575004663726629</v>
      </c>
      <c r="X4468" s="420"/>
      <c r="Y4468" s="420"/>
    </row>
    <row r="4469" spans="17:25">
      <c r="Q4469" s="6">
        <v>4439</v>
      </c>
      <c r="R4469" s="7">
        <v>47106</v>
      </c>
      <c r="S4469" s="210">
        <v>4.25</v>
      </c>
      <c r="T4469" s="8">
        <v>1.0001180555555556</v>
      </c>
      <c r="U4469" s="98">
        <v>4.2742730278064744</v>
      </c>
      <c r="V4469" s="106">
        <v>37966.600244198453</v>
      </c>
      <c r="W4469" s="10">
        <v>1.15752782376215</v>
      </c>
      <c r="X4469" s="420"/>
      <c r="Y4469" s="420"/>
    </row>
    <row r="4470" spans="17:25">
      <c r="Q4470" s="6">
        <v>4440</v>
      </c>
      <c r="R4470" s="7">
        <v>47107</v>
      </c>
      <c r="S4470" s="210">
        <v>4.25</v>
      </c>
      <c r="T4470" s="8">
        <v>1.0001180555555556</v>
      </c>
      <c r="U4470" s="98">
        <v>4.2743019909777802</v>
      </c>
      <c r="V4470" s="106">
        <v>37969.76031078033</v>
      </c>
      <c r="W4470" s="10">
        <v>1.1575551688359109</v>
      </c>
      <c r="X4470" s="420"/>
      <c r="Y4470" s="420"/>
    </row>
    <row r="4471" spans="17:25">
      <c r="Q4471" s="6">
        <v>4441</v>
      </c>
      <c r="R4471" s="7">
        <v>47108</v>
      </c>
      <c r="S4471" s="210">
        <v>4.25</v>
      </c>
      <c r="T4471" s="8">
        <v>1.0001180555555556</v>
      </c>
      <c r="U4471" s="98">
        <v>4.2743309411135799</v>
      </c>
      <c r="V4471" s="106">
        <v>37972.920640383418</v>
      </c>
      <c r="W4471" s="10">
        <v>1.1575825016022057</v>
      </c>
      <c r="X4471" s="420"/>
      <c r="Y4471" s="420"/>
    </row>
    <row r="4472" spans="17:25">
      <c r="Q4472" s="6">
        <v>4442</v>
      </c>
      <c r="R4472" s="7">
        <v>47109</v>
      </c>
      <c r="S4472" s="210">
        <v>4.25</v>
      </c>
      <c r="T4472" s="8">
        <v>1.0001180555555556</v>
      </c>
      <c r="U4472" s="98">
        <v>4.2743598782226888</v>
      </c>
      <c r="V4472" s="106">
        <v>37976.081233029596</v>
      </c>
      <c r="W4472" s="10">
        <v>1.1576098220693609</v>
      </c>
      <c r="X4472" s="420"/>
      <c r="Y4472" s="420"/>
    </row>
    <row r="4473" spans="17:25">
      <c r="Q4473" s="6">
        <v>4443</v>
      </c>
      <c r="R4473" s="7">
        <v>47110</v>
      </c>
      <c r="S4473" s="210">
        <v>4.25</v>
      </c>
      <c r="T4473" s="8">
        <v>1.0001180555555556</v>
      </c>
      <c r="U4473" s="98">
        <v>4.2743888023138776</v>
      </c>
      <c r="V4473" s="106">
        <v>37979.242088740757</v>
      </c>
      <c r="W4473" s="10">
        <v>1.1576371302456812</v>
      </c>
      <c r="X4473" s="420"/>
      <c r="Y4473" s="420"/>
    </row>
    <row r="4474" spans="17:25">
      <c r="Q4474" s="6">
        <v>4444</v>
      </c>
      <c r="R4474" s="7">
        <v>47111</v>
      </c>
      <c r="S4474" s="210">
        <v>4.25</v>
      </c>
      <c r="T4474" s="8">
        <v>1.0001180555555556</v>
      </c>
      <c r="U4474" s="98">
        <v>4.2744177133959393</v>
      </c>
      <c r="V4474" s="106">
        <v>37982.40320753881</v>
      </c>
      <c r="W4474" s="10">
        <v>1.1576644261394708</v>
      </c>
      <c r="X4474" s="420"/>
      <c r="Y4474" s="420"/>
    </row>
    <row r="4475" spans="17:25">
      <c r="Q4475" s="6">
        <v>4445</v>
      </c>
      <c r="R4475" s="7">
        <v>47112</v>
      </c>
      <c r="S4475" s="210">
        <v>4.25</v>
      </c>
      <c r="T4475" s="8">
        <v>1.0001180555555556</v>
      </c>
      <c r="U4475" s="98">
        <v>4.2744466114776669</v>
      </c>
      <c r="V4475" s="106">
        <v>37985.564589445639</v>
      </c>
      <c r="W4475" s="10">
        <v>1.1576917097590123</v>
      </c>
      <c r="X4475" s="420"/>
      <c r="Y4475" s="420"/>
    </row>
    <row r="4476" spans="17:25">
      <c r="Q4476" s="6">
        <v>4446</v>
      </c>
      <c r="R4476" s="7">
        <v>47113</v>
      </c>
      <c r="S4476" s="210">
        <v>4.25</v>
      </c>
      <c r="T4476" s="8">
        <v>1.0001180555555556</v>
      </c>
      <c r="U4476" s="98">
        <v>4.2744754965678089</v>
      </c>
      <c r="V4476" s="106">
        <v>37988.726234483147</v>
      </c>
      <c r="W4476" s="10">
        <v>1.1577189811125654</v>
      </c>
      <c r="X4476" s="420"/>
      <c r="Y4476" s="420"/>
    </row>
    <row r="4477" spans="17:25">
      <c r="Q4477" s="6">
        <v>4447</v>
      </c>
      <c r="R4477" s="7">
        <v>47114</v>
      </c>
      <c r="S4477" s="210">
        <v>4.25</v>
      </c>
      <c r="T4477" s="8">
        <v>1.0001180555555556</v>
      </c>
      <c r="U4477" s="98">
        <v>4.2745043686751139</v>
      </c>
      <c r="V4477" s="106">
        <v>37991.888142673233</v>
      </c>
      <c r="W4477" s="10">
        <v>1.1577462402083905</v>
      </c>
      <c r="X4477" s="420"/>
      <c r="Y4477" s="420"/>
    </row>
    <row r="4478" spans="17:25">
      <c r="Q4478" s="6">
        <v>4448</v>
      </c>
      <c r="R4478" s="7">
        <v>47115</v>
      </c>
      <c r="S4478" s="210">
        <v>4.25</v>
      </c>
      <c r="T4478" s="8">
        <v>1.0001180555555556</v>
      </c>
      <c r="U4478" s="98">
        <v>4.2745332278083525</v>
      </c>
      <c r="V4478" s="106">
        <v>37995.050314037806</v>
      </c>
      <c r="W4478" s="10">
        <v>1.1577734870547918</v>
      </c>
      <c r="X4478" s="420"/>
      <c r="Y4478" s="420"/>
    </row>
    <row r="4479" spans="17:25">
      <c r="Q4479" s="6">
        <v>4449</v>
      </c>
      <c r="R4479" s="7">
        <v>47116</v>
      </c>
      <c r="S4479" s="210">
        <v>4.25</v>
      </c>
      <c r="T4479" s="8">
        <v>1.0001180555555556</v>
      </c>
      <c r="U4479" s="98">
        <v>4.2745620739762513</v>
      </c>
      <c r="V4479" s="106">
        <v>37998.212748598766</v>
      </c>
      <c r="W4479" s="10">
        <v>1.157800721659985</v>
      </c>
      <c r="X4479" s="420"/>
      <c r="Y4479" s="420"/>
    </row>
    <row r="4480" spans="17:25">
      <c r="Q4480" s="6">
        <v>4450</v>
      </c>
      <c r="R4480" s="7">
        <v>47117</v>
      </c>
      <c r="S4480" s="210">
        <v>4.25</v>
      </c>
      <c r="T4480" s="8">
        <v>1.0001180555555556</v>
      </c>
      <c r="U4480" s="98">
        <v>4.2745909071875587</v>
      </c>
      <c r="V4480" s="106">
        <v>38001.375446378021</v>
      </c>
      <c r="W4480" s="10">
        <v>1.1578279440322525</v>
      </c>
      <c r="X4480" s="420"/>
      <c r="Y4480" s="420"/>
    </row>
    <row r="4481" spans="17:25">
      <c r="Q4481" s="6">
        <v>4451</v>
      </c>
      <c r="R4481" s="7">
        <v>47118</v>
      </c>
      <c r="S4481" s="210">
        <v>4.25</v>
      </c>
      <c r="T4481" s="8">
        <v>1.0001180555555556</v>
      </c>
      <c r="U4481" s="98">
        <v>4.2746197274510012</v>
      </c>
      <c r="V4481" s="106">
        <v>38004.538407397478</v>
      </c>
      <c r="W4481" s="10">
        <v>1.1578551541798099</v>
      </c>
      <c r="X4481" s="420"/>
      <c r="Y4481" s="420"/>
    </row>
    <row r="4482" spans="17:25">
      <c r="Q4482" s="6">
        <v>4452</v>
      </c>
      <c r="R4482" s="7">
        <v>47119</v>
      </c>
      <c r="S4482" s="210">
        <v>4.25</v>
      </c>
      <c r="T4482" s="8">
        <v>1.0001180555555556</v>
      </c>
      <c r="U4482" s="98">
        <v>4.2746485347753049</v>
      </c>
      <c r="V4482" s="106">
        <v>38007.701631679047</v>
      </c>
      <c r="W4482" s="10">
        <v>1.157882352110895</v>
      </c>
      <c r="X4482" s="420"/>
      <c r="Y4482" s="420"/>
    </row>
    <row r="4483" spans="17:25">
      <c r="Q4483" s="6">
        <v>4453</v>
      </c>
      <c r="R4483" s="7">
        <v>47120</v>
      </c>
      <c r="S4483" s="210">
        <v>4.25</v>
      </c>
      <c r="T4483" s="8">
        <v>1.0001180555555556</v>
      </c>
      <c r="U4483" s="98">
        <v>4.274677329169152</v>
      </c>
      <c r="V4483" s="106">
        <v>38010.865119244649</v>
      </c>
      <c r="W4483" s="10">
        <v>1.1579095378337234</v>
      </c>
      <c r="X4483" s="420"/>
      <c r="Y4483" s="420"/>
    </row>
    <row r="4484" spans="17:25">
      <c r="Q4484" s="6">
        <v>4454</v>
      </c>
      <c r="R4484" s="7">
        <v>47121</v>
      </c>
      <c r="S4484" s="210">
        <v>4.25</v>
      </c>
      <c r="T4484" s="8">
        <v>1.0001180555555556</v>
      </c>
      <c r="U4484" s="98">
        <v>4.2747061106412687</v>
      </c>
      <c r="V4484" s="106">
        <v>38014.028870116177</v>
      </c>
      <c r="W4484" s="10">
        <v>1.1579367113565109</v>
      </c>
      <c r="X4484" s="420"/>
      <c r="Y4484" s="420"/>
    </row>
    <row r="4485" spans="17:25">
      <c r="Q4485" s="6">
        <v>4455</v>
      </c>
      <c r="R4485" s="7">
        <v>47122</v>
      </c>
      <c r="S4485" s="210">
        <v>4.25</v>
      </c>
      <c r="T4485" s="8">
        <v>1.0001180555555556</v>
      </c>
      <c r="U4485" s="98">
        <v>4.2747348792003592</v>
      </c>
      <c r="V4485" s="106">
        <v>38017.192884315569</v>
      </c>
      <c r="W4485" s="10">
        <v>1.1579638726874952</v>
      </c>
      <c r="X4485" s="420"/>
      <c r="Y4485" s="420"/>
    </row>
    <row r="4486" spans="17:25">
      <c r="Q4486" s="6">
        <v>4456</v>
      </c>
      <c r="R4486" s="7">
        <v>47123</v>
      </c>
      <c r="S4486" s="210">
        <v>4.25</v>
      </c>
      <c r="T4486" s="8">
        <v>1.0001180555555556</v>
      </c>
      <c r="U4486" s="98">
        <v>4.2747636348551055</v>
      </c>
      <c r="V4486" s="106">
        <v>38020.35716186474</v>
      </c>
      <c r="W4486" s="10">
        <v>1.1579910218348699</v>
      </c>
      <c r="X4486" s="420"/>
      <c r="Y4486" s="420"/>
    </row>
    <row r="4487" spans="17:25">
      <c r="Q4487" s="6">
        <v>4457</v>
      </c>
      <c r="R4487" s="7">
        <v>47124</v>
      </c>
      <c r="S4487" s="210">
        <v>4.25</v>
      </c>
      <c r="T4487" s="8">
        <v>1.0001180555555556</v>
      </c>
      <c r="U4487" s="98">
        <v>4.2747923776141894</v>
      </c>
      <c r="V4487" s="106">
        <v>38023.521702785583</v>
      </c>
      <c r="W4487" s="10">
        <v>1.1580181588068506</v>
      </c>
      <c r="X4487" s="420"/>
      <c r="Y4487" s="420"/>
    </row>
    <row r="4488" spans="17:25">
      <c r="Q4488" s="6">
        <v>4458</v>
      </c>
      <c r="R4488" s="7">
        <v>47125</v>
      </c>
      <c r="S4488" s="210">
        <v>4.25</v>
      </c>
      <c r="T4488" s="8">
        <v>1.0001180555555556</v>
      </c>
      <c r="U4488" s="98">
        <v>4.2748211074862708</v>
      </c>
      <c r="V4488" s="106">
        <v>38026.686507100057</v>
      </c>
      <c r="W4488" s="10">
        <v>1.158045283611564</v>
      </c>
      <c r="X4488" s="420"/>
      <c r="Y4488" s="420"/>
    </row>
    <row r="4489" spans="17:25">
      <c r="Q4489" s="6">
        <v>4459</v>
      </c>
      <c r="R4489" s="7">
        <v>47126</v>
      </c>
      <c r="S4489" s="210">
        <v>4.25</v>
      </c>
      <c r="T4489" s="8">
        <v>1.0001180555555556</v>
      </c>
      <c r="U4489" s="98">
        <v>4.2748498244800093</v>
      </c>
      <c r="V4489" s="106">
        <v>38029.851574830063</v>
      </c>
      <c r="W4489" s="10">
        <v>1.1580723962572481</v>
      </c>
      <c r="X4489" s="420"/>
      <c r="Y4489" s="420"/>
    </row>
    <row r="4490" spans="17:25">
      <c r="Q4490" s="6">
        <v>4460</v>
      </c>
      <c r="R4490" s="7">
        <v>47127</v>
      </c>
      <c r="S4490" s="210">
        <v>4.25</v>
      </c>
      <c r="T4490" s="8">
        <v>1.0001180555555556</v>
      </c>
      <c r="U4490" s="98">
        <v>4.2748785286040869</v>
      </c>
      <c r="V4490" s="106">
        <v>38033.016905997523</v>
      </c>
      <c r="W4490" s="10">
        <v>1.1580994967520519</v>
      </c>
      <c r="X4490" s="420"/>
      <c r="Y4490" s="420"/>
    </row>
    <row r="4491" spans="17:25">
      <c r="Q4491" s="6">
        <v>4461</v>
      </c>
      <c r="R4491" s="7">
        <v>47128</v>
      </c>
      <c r="S4491" s="210">
        <v>4.25</v>
      </c>
      <c r="T4491" s="8">
        <v>1.0001180555555556</v>
      </c>
      <c r="U4491" s="98">
        <v>4.2749072198671412</v>
      </c>
      <c r="V4491" s="106">
        <v>38036.182500624382</v>
      </c>
      <c r="W4491" s="10">
        <v>1.1581265851041245</v>
      </c>
      <c r="X4491" s="420"/>
      <c r="Y4491" s="420"/>
    </row>
    <row r="4492" spans="17:25">
      <c r="Q4492" s="6">
        <v>4462</v>
      </c>
      <c r="R4492" s="7">
        <v>47129</v>
      </c>
      <c r="S4492" s="210">
        <v>4.25</v>
      </c>
      <c r="T4492" s="8">
        <v>1.0001180555555556</v>
      </c>
      <c r="U4492" s="98">
        <v>4.2749358982778096</v>
      </c>
      <c r="V4492" s="106">
        <v>38039.348358732546</v>
      </c>
      <c r="W4492" s="10">
        <v>1.1581536613216814</v>
      </c>
      <c r="X4492" s="420"/>
      <c r="Y4492" s="420"/>
    </row>
    <row r="4493" spans="17:25">
      <c r="Q4493" s="6">
        <v>4463</v>
      </c>
      <c r="R4493" s="7">
        <v>47130</v>
      </c>
      <c r="S4493" s="210">
        <v>4.25</v>
      </c>
      <c r="T4493" s="8">
        <v>1.0001180555555556</v>
      </c>
      <c r="U4493" s="98">
        <v>4.2749645638447298</v>
      </c>
      <c r="V4493" s="106">
        <v>38042.514480343962</v>
      </c>
      <c r="W4493" s="10">
        <v>1.1581807254128051</v>
      </c>
      <c r="X4493" s="420"/>
      <c r="Y4493" s="420"/>
    </row>
    <row r="4494" spans="17:25">
      <c r="Q4494" s="6">
        <v>4464</v>
      </c>
      <c r="R4494" s="7">
        <v>47131</v>
      </c>
      <c r="S4494" s="210">
        <v>4.25</v>
      </c>
      <c r="T4494" s="8">
        <v>1.0001180555555556</v>
      </c>
      <c r="U4494" s="98">
        <v>4.2749932165765392</v>
      </c>
      <c r="V4494" s="106">
        <v>38045.68086548055</v>
      </c>
      <c r="W4494" s="10">
        <v>1.1582077773857113</v>
      </c>
      <c r="X4494" s="420"/>
      <c r="Y4494" s="420"/>
    </row>
    <row r="4495" spans="17:25">
      <c r="Q4495" s="6">
        <v>4465</v>
      </c>
      <c r="R4495" s="7">
        <v>47132</v>
      </c>
      <c r="S4495" s="210">
        <v>4.25</v>
      </c>
      <c r="T4495" s="8">
        <v>1.0001180555555556</v>
      </c>
      <c r="U4495" s="98">
        <v>4.275021856481831</v>
      </c>
      <c r="V4495" s="106">
        <v>38048.847514164256</v>
      </c>
      <c r="W4495" s="10">
        <v>1.1582348172484824</v>
      </c>
      <c r="X4495" s="420"/>
      <c r="Y4495" s="420"/>
    </row>
    <row r="4496" spans="17:25">
      <c r="Q4496" s="6">
        <v>4466</v>
      </c>
      <c r="R4496" s="7">
        <v>47133</v>
      </c>
      <c r="S4496" s="210">
        <v>4.25</v>
      </c>
      <c r="T4496" s="8">
        <v>1.0001180555555556</v>
      </c>
      <c r="U4496" s="98">
        <v>4.2750504835692427</v>
      </c>
      <c r="V4496" s="106">
        <v>38052.014426417016</v>
      </c>
      <c r="W4496" s="10">
        <v>1.1582618450092674</v>
      </c>
      <c r="X4496" s="420"/>
      <c r="Y4496" s="420"/>
    </row>
    <row r="4497" spans="17:25">
      <c r="Q4497" s="6">
        <v>4467</v>
      </c>
      <c r="R4497" s="7">
        <v>47134</v>
      </c>
      <c r="S4497" s="210">
        <v>4.25</v>
      </c>
      <c r="T4497" s="8">
        <v>1.0001180555555556</v>
      </c>
      <c r="U4497" s="98">
        <v>4.2750790978473674</v>
      </c>
      <c r="V4497" s="106">
        <v>38055.181602260745</v>
      </c>
      <c r="W4497" s="10">
        <v>1.1582888606761932</v>
      </c>
      <c r="X4497" s="420"/>
      <c r="Y4497" s="420"/>
    </row>
    <row r="4498" spans="17:25">
      <c r="Q4498" s="6">
        <v>4468</v>
      </c>
      <c r="R4498" s="7">
        <v>47135</v>
      </c>
      <c r="S4498" s="210">
        <v>4.25</v>
      </c>
      <c r="T4498" s="8">
        <v>1.0001180555555556</v>
      </c>
      <c r="U4498" s="98">
        <v>4.2751076993247983</v>
      </c>
      <c r="V4498" s="106">
        <v>38058.349041717411</v>
      </c>
      <c r="W4498" s="10">
        <v>1.1583158642573865</v>
      </c>
      <c r="X4498" s="420"/>
      <c r="Y4498" s="420"/>
    </row>
    <row r="4499" spans="17:25">
      <c r="Q4499" s="6">
        <v>4469</v>
      </c>
      <c r="R4499" s="7">
        <v>47136</v>
      </c>
      <c r="S4499" s="210">
        <v>4.25</v>
      </c>
      <c r="T4499" s="8">
        <v>1.0001180555555556</v>
      </c>
      <c r="U4499" s="98">
        <v>4.2751362880101285</v>
      </c>
      <c r="V4499" s="106">
        <v>38061.516744808941</v>
      </c>
      <c r="W4499" s="10">
        <v>1.1583428557609299</v>
      </c>
      <c r="X4499" s="420"/>
      <c r="Y4499" s="420"/>
    </row>
    <row r="4500" spans="17:25">
      <c r="Q4500" s="6">
        <v>4470</v>
      </c>
      <c r="R4500" s="7">
        <v>47137</v>
      </c>
      <c r="S4500" s="210">
        <v>4.25</v>
      </c>
      <c r="T4500" s="8">
        <v>1.0001180555555556</v>
      </c>
      <c r="U4500" s="98">
        <v>4.2751648639119288</v>
      </c>
      <c r="V4500" s="106">
        <v>38064.684711557275</v>
      </c>
      <c r="W4500" s="10">
        <v>1.1583698351949279</v>
      </c>
      <c r="X4500" s="420"/>
      <c r="Y4500" s="420"/>
    </row>
    <row r="4501" spans="17:25">
      <c r="Q4501" s="6">
        <v>4471</v>
      </c>
      <c r="R4501" s="7">
        <v>47138</v>
      </c>
      <c r="S4501" s="210">
        <v>4.25</v>
      </c>
      <c r="T4501" s="8">
        <v>1.0001180555555556</v>
      </c>
      <c r="U4501" s="98">
        <v>4.2751934270387704</v>
      </c>
      <c r="V4501" s="106">
        <v>38067.852941984369</v>
      </c>
      <c r="W4501" s="10">
        <v>1.1583968025674851</v>
      </c>
      <c r="X4501" s="420"/>
      <c r="Y4501" s="420"/>
    </row>
    <row r="4502" spans="17:25">
      <c r="Q4502" s="6">
        <v>4472</v>
      </c>
      <c r="R4502" s="7">
        <v>47139</v>
      </c>
      <c r="S4502" s="210">
        <v>4.25</v>
      </c>
      <c r="T4502" s="8">
        <v>1.0001180555555556</v>
      </c>
      <c r="U4502" s="98">
        <v>4.2752219773992239</v>
      </c>
      <c r="V4502" s="106">
        <v>38071.021436112169</v>
      </c>
      <c r="W4502" s="10">
        <v>1.1584237578866841</v>
      </c>
      <c r="X4502" s="420"/>
      <c r="Y4502" s="420"/>
    </row>
    <row r="4503" spans="17:25">
      <c r="Q4503" s="6">
        <v>4473</v>
      </c>
      <c r="R4503" s="7">
        <v>47140</v>
      </c>
      <c r="S4503" s="210">
        <v>4.25</v>
      </c>
      <c r="T4503" s="8">
        <v>1.0001180555555556</v>
      </c>
      <c r="U4503" s="98">
        <v>4.2752505150018605</v>
      </c>
      <c r="V4503" s="106">
        <v>38074.190193962611</v>
      </c>
      <c r="W4503" s="10">
        <v>1.1584507011606293</v>
      </c>
      <c r="X4503" s="420"/>
      <c r="Y4503" s="420"/>
    </row>
    <row r="4504" spans="17:25">
      <c r="Q4504" s="6">
        <v>4474</v>
      </c>
      <c r="R4504" s="7">
        <v>47141</v>
      </c>
      <c r="S4504" s="210">
        <v>4.25</v>
      </c>
      <c r="T4504" s="8">
        <v>1.0001180555555556</v>
      </c>
      <c r="U4504" s="98">
        <v>4.2752790398552065</v>
      </c>
      <c r="V4504" s="106">
        <v>38077.359215557655</v>
      </c>
      <c r="W4504" s="10">
        <v>1.1584776323973367</v>
      </c>
      <c r="X4504" s="420"/>
      <c r="Y4504" s="420"/>
    </row>
    <row r="4505" spans="17:25">
      <c r="Q4505" s="6">
        <v>4475</v>
      </c>
      <c r="R4505" s="7">
        <v>47142</v>
      </c>
      <c r="S4505" s="210">
        <v>4.25</v>
      </c>
      <c r="T4505" s="8">
        <v>1.0001180555555556</v>
      </c>
      <c r="U4505" s="98">
        <v>4.2753075519678108</v>
      </c>
      <c r="V4505" s="106">
        <v>38080.528500919252</v>
      </c>
      <c r="W4505" s="10">
        <v>1.1585045516049108</v>
      </c>
      <c r="X4505" s="420"/>
      <c r="Y4505" s="420"/>
    </row>
    <row r="4506" spans="17:25">
      <c r="Q4506" s="6">
        <v>4476</v>
      </c>
      <c r="R4506" s="7">
        <v>47143</v>
      </c>
      <c r="S4506" s="210">
        <v>4.25</v>
      </c>
      <c r="T4506" s="8">
        <v>1.0001180555555556</v>
      </c>
      <c r="U4506" s="98">
        <v>4.2753360513481997</v>
      </c>
      <c r="V4506" s="106">
        <v>38083.698050069353</v>
      </c>
      <c r="W4506" s="10">
        <v>1.1585314587913897</v>
      </c>
      <c r="X4506" s="420"/>
      <c r="Y4506" s="420"/>
    </row>
    <row r="4507" spans="17:25">
      <c r="Q4507" s="6">
        <v>4477</v>
      </c>
      <c r="R4507" s="7">
        <v>47144</v>
      </c>
      <c r="S4507" s="210">
        <v>4.25</v>
      </c>
      <c r="T4507" s="8">
        <v>1.0001180555555556</v>
      </c>
      <c r="U4507" s="98">
        <v>4.2753645380049221</v>
      </c>
      <c r="V4507" s="106">
        <v>38086.867863029918</v>
      </c>
      <c r="W4507" s="10">
        <v>1.1585583539648558</v>
      </c>
      <c r="X4507" s="420"/>
      <c r="Y4507" s="420"/>
    </row>
    <row r="4508" spans="17:25">
      <c r="Q4508" s="6">
        <v>4478</v>
      </c>
      <c r="R4508" s="7">
        <v>47145</v>
      </c>
      <c r="S4508" s="210">
        <v>4.25</v>
      </c>
      <c r="T4508" s="8">
        <v>1.0001180555555556</v>
      </c>
      <c r="U4508" s="98">
        <v>4.2753930119464822</v>
      </c>
      <c r="V4508" s="106">
        <v>38090.037939822898</v>
      </c>
      <c r="W4508" s="10">
        <v>1.158585237133325</v>
      </c>
      <c r="X4508" s="420"/>
      <c r="Y4508" s="420"/>
    </row>
    <row r="4509" spans="17:25">
      <c r="Q4509" s="6">
        <v>4479</v>
      </c>
      <c r="R4509" s="7">
        <v>47146</v>
      </c>
      <c r="S4509" s="210">
        <v>4.25</v>
      </c>
      <c r="T4509" s="8">
        <v>1.0001180555555556</v>
      </c>
      <c r="U4509" s="98">
        <v>4.2754214731813844</v>
      </c>
      <c r="V4509" s="106">
        <v>38093.208280470266</v>
      </c>
      <c r="W4509" s="10">
        <v>1.1586121083048129</v>
      </c>
      <c r="X4509" s="420"/>
      <c r="Y4509" s="420"/>
    </row>
    <row r="4510" spans="17:25">
      <c r="Q4510" s="6">
        <v>4480</v>
      </c>
      <c r="R4510" s="7">
        <v>47147</v>
      </c>
      <c r="S4510" s="210">
        <v>4.25</v>
      </c>
      <c r="T4510" s="8">
        <v>1.0001180555555556</v>
      </c>
      <c r="U4510" s="98">
        <v>4.2754499217181552</v>
      </c>
      <c r="V4510" s="106">
        <v>38096.378884993966</v>
      </c>
      <c r="W4510" s="10">
        <v>1.1586389674874242</v>
      </c>
      <c r="X4510" s="420"/>
      <c r="Y4510" s="420"/>
    </row>
    <row r="4511" spans="17:25">
      <c r="Q4511" s="6">
        <v>4481</v>
      </c>
      <c r="R4511" s="7">
        <v>47148</v>
      </c>
      <c r="S4511" s="210">
        <v>4.25</v>
      </c>
      <c r="T4511" s="8">
        <v>1.0001180555555556</v>
      </c>
      <c r="U4511" s="98">
        <v>4.2754783575652766</v>
      </c>
      <c r="V4511" s="106">
        <v>38099.549753415973</v>
      </c>
      <c r="W4511" s="10">
        <v>1.1586658146891082</v>
      </c>
      <c r="X4511" s="420"/>
      <c r="Y4511" s="420"/>
    </row>
    <row r="4512" spans="17:25">
      <c r="Q4512" s="6">
        <v>4482</v>
      </c>
      <c r="R4512" s="7">
        <v>47149</v>
      </c>
      <c r="S4512" s="210">
        <v>4.25</v>
      </c>
      <c r="T4512" s="8">
        <v>1.0001180555555556</v>
      </c>
      <c r="U4512" s="98">
        <v>4.2755067807312308</v>
      </c>
      <c r="V4512" s="106">
        <v>38102.720885758245</v>
      </c>
      <c r="W4512" s="10">
        <v>1.1586926499179029</v>
      </c>
      <c r="X4512" s="420"/>
      <c r="Y4512" s="420"/>
    </row>
    <row r="4513" spans="17:25">
      <c r="Q4513" s="6">
        <v>4483</v>
      </c>
      <c r="R4513" s="7">
        <v>47150</v>
      </c>
      <c r="S4513" s="210">
        <v>4.25</v>
      </c>
      <c r="T4513" s="8">
        <v>1.0001180555555556</v>
      </c>
      <c r="U4513" s="98">
        <v>4.2755351912244999</v>
      </c>
      <c r="V4513" s="106">
        <v>38105.892282042754</v>
      </c>
      <c r="W4513" s="10">
        <v>1.1587194731818018</v>
      </c>
      <c r="X4513" s="420"/>
      <c r="Y4513" s="420"/>
    </row>
    <row r="4514" spans="17:25">
      <c r="Q4514" s="6">
        <v>4484</v>
      </c>
      <c r="R4514" s="7">
        <v>47151</v>
      </c>
      <c r="S4514" s="210">
        <v>4.25</v>
      </c>
      <c r="T4514" s="8">
        <v>1.0001180555555556</v>
      </c>
      <c r="U4514" s="98">
        <v>4.2755635890535659</v>
      </c>
      <c r="V4514" s="106">
        <v>38109.063942291468</v>
      </c>
      <c r="W4514" s="10">
        <v>1.1587462844888208</v>
      </c>
      <c r="X4514" s="420"/>
      <c r="Y4514" s="420"/>
    </row>
    <row r="4515" spans="17:25">
      <c r="Q4515" s="6">
        <v>4485</v>
      </c>
      <c r="R4515" s="7">
        <v>47152</v>
      </c>
      <c r="S4515" s="210">
        <v>4.25</v>
      </c>
      <c r="T4515" s="8">
        <v>1.0001180555555556</v>
      </c>
      <c r="U4515" s="98">
        <v>4.2755919742268889</v>
      </c>
      <c r="V4515" s="106">
        <v>38112.23586652636</v>
      </c>
      <c r="W4515" s="10">
        <v>1.1587730838469534</v>
      </c>
      <c r="X4515" s="420"/>
      <c r="Y4515" s="420"/>
    </row>
    <row r="4516" spans="17:25">
      <c r="Q4516" s="6">
        <v>4486</v>
      </c>
      <c r="R4516" s="7">
        <v>47153</v>
      </c>
      <c r="S4516" s="210">
        <v>4.25</v>
      </c>
      <c r="T4516" s="8">
        <v>1.0001180555555556</v>
      </c>
      <c r="U4516" s="98">
        <v>4.2756203467529286</v>
      </c>
      <c r="V4516" s="106">
        <v>38115.408054769396</v>
      </c>
      <c r="W4516" s="10">
        <v>1.1587998712641934</v>
      </c>
      <c r="X4516" s="420"/>
      <c r="Y4516" s="420"/>
    </row>
    <row r="4517" spans="17:25">
      <c r="Q4517" s="6">
        <v>4487</v>
      </c>
      <c r="R4517" s="7">
        <v>47154</v>
      </c>
      <c r="S4517" s="210">
        <v>4.25</v>
      </c>
      <c r="T4517" s="8">
        <v>1.0001180555555556</v>
      </c>
      <c r="U4517" s="98">
        <v>4.275648706640145</v>
      </c>
      <c r="V4517" s="106">
        <v>38118.580507042556</v>
      </c>
      <c r="W4517" s="10">
        <v>1.158826646748512</v>
      </c>
      <c r="X4517" s="420"/>
      <c r="Y4517" s="420"/>
    </row>
    <row r="4518" spans="17:25">
      <c r="Q4518" s="6">
        <v>4488</v>
      </c>
      <c r="R4518" s="7">
        <v>47155</v>
      </c>
      <c r="S4518" s="210">
        <v>4.25</v>
      </c>
      <c r="T4518" s="8">
        <v>1.0001180555555556</v>
      </c>
      <c r="U4518" s="98">
        <v>4.2756770538969757</v>
      </c>
      <c r="V4518" s="106">
        <v>38121.753223367807</v>
      </c>
      <c r="W4518" s="10">
        <v>1.1588534103078807</v>
      </c>
      <c r="X4518" s="420"/>
      <c r="Y4518" s="420"/>
    </row>
    <row r="4519" spans="17:25">
      <c r="Q4519" s="6">
        <v>4489</v>
      </c>
      <c r="R4519" s="7">
        <v>47156</v>
      </c>
      <c r="S4519" s="210">
        <v>4.25</v>
      </c>
      <c r="T4519" s="8">
        <v>1.0001180555555556</v>
      </c>
      <c r="U4519" s="98">
        <v>4.2757053885318586</v>
      </c>
      <c r="V4519" s="106">
        <v>38124.926203767136</v>
      </c>
      <c r="W4519" s="10">
        <v>1.1588801619502487</v>
      </c>
      <c r="X4519" s="420"/>
      <c r="Y4519" s="420"/>
    </row>
    <row r="4520" spans="17:25">
      <c r="Q4520" s="6">
        <v>4490</v>
      </c>
      <c r="R4520" s="7">
        <v>47157</v>
      </c>
      <c r="S4520" s="210">
        <v>4.25</v>
      </c>
      <c r="T4520" s="8">
        <v>1.0001180555555556</v>
      </c>
      <c r="U4520" s="98">
        <v>4.2757337105532089</v>
      </c>
      <c r="V4520" s="106">
        <v>38128.099448262517</v>
      </c>
      <c r="W4520" s="10">
        <v>1.1589069016836095</v>
      </c>
      <c r="X4520" s="420"/>
      <c r="Y4520" s="420"/>
    </row>
    <row r="4521" spans="17:25">
      <c r="Q4521" s="6">
        <v>4491</v>
      </c>
      <c r="R4521" s="7">
        <v>47158</v>
      </c>
      <c r="S4521" s="210">
        <v>4.25</v>
      </c>
      <c r="T4521" s="8">
        <v>1.0001180555555556</v>
      </c>
      <c r="U4521" s="98">
        <v>4.2757620199694646</v>
      </c>
      <c r="V4521" s="106">
        <v>38131.272956875939</v>
      </c>
      <c r="W4521" s="10">
        <v>1.1589336295158903</v>
      </c>
      <c r="X4521" s="420"/>
      <c r="Y4521" s="420"/>
    </row>
    <row r="4522" spans="17:25">
      <c r="Q4522" s="6">
        <v>4492</v>
      </c>
      <c r="R4522" s="7">
        <v>47159</v>
      </c>
      <c r="S4522" s="210">
        <v>4.25</v>
      </c>
      <c r="T4522" s="8">
        <v>1.0001180555555556</v>
      </c>
      <c r="U4522" s="98">
        <v>4.2757903167890188</v>
      </c>
      <c r="V4522" s="106">
        <v>38134.446729629373</v>
      </c>
      <c r="W4522" s="10">
        <v>1.1589603454550179</v>
      </c>
      <c r="X4522" s="420"/>
      <c r="Y4522" s="420"/>
    </row>
    <row r="4523" spans="17:25">
      <c r="Q4523" s="6">
        <v>4493</v>
      </c>
      <c r="R4523" s="7">
        <v>47160</v>
      </c>
      <c r="S4523" s="210">
        <v>4.25</v>
      </c>
      <c r="T4523" s="8">
        <v>1.0001180555555556</v>
      </c>
      <c r="U4523" s="98">
        <v>4.275818601020287</v>
      </c>
      <c r="V4523" s="106">
        <v>38137.620766544824</v>
      </c>
      <c r="W4523" s="10">
        <v>1.1589870495089416</v>
      </c>
      <c r="X4523" s="420"/>
      <c r="Y4523" s="420"/>
    </row>
    <row r="4524" spans="17:25">
      <c r="Q4524" s="6">
        <v>4494</v>
      </c>
      <c r="R4524" s="7">
        <v>47161</v>
      </c>
      <c r="S4524" s="210">
        <v>4.25</v>
      </c>
      <c r="T4524" s="8">
        <v>1.0001180555555556</v>
      </c>
      <c r="U4524" s="98">
        <v>4.2758468726716625</v>
      </c>
      <c r="V4524" s="106">
        <v>38140.795067644256</v>
      </c>
      <c r="W4524" s="10">
        <v>1.1590137416855884</v>
      </c>
      <c r="X4524" s="420"/>
      <c r="Y4524" s="420"/>
    </row>
    <row r="4525" spans="17:25">
      <c r="Q4525" s="6">
        <v>4495</v>
      </c>
      <c r="R4525" s="7">
        <v>47162</v>
      </c>
      <c r="S4525" s="210">
        <v>4.25</v>
      </c>
      <c r="T4525" s="8">
        <v>1.0001180555555556</v>
      </c>
      <c r="U4525" s="98">
        <v>4.2758751317515609</v>
      </c>
      <c r="V4525" s="106">
        <v>38143.969632949673</v>
      </c>
      <c r="W4525" s="10">
        <v>1.1590404219929074</v>
      </c>
      <c r="X4525" s="420"/>
      <c r="Y4525" s="420"/>
    </row>
    <row r="4526" spans="17:25">
      <c r="Q4526" s="6">
        <v>4496</v>
      </c>
      <c r="R4526" s="7">
        <v>47163</v>
      </c>
      <c r="S4526" s="210">
        <v>4.25</v>
      </c>
      <c r="T4526" s="8">
        <v>1.0001180555555556</v>
      </c>
      <c r="U4526" s="98">
        <v>4.2759033782683309</v>
      </c>
      <c r="V4526" s="106">
        <v>38147.144462483047</v>
      </c>
      <c r="W4526" s="10">
        <v>1.1590670904388034</v>
      </c>
      <c r="X4526" s="420"/>
      <c r="Y4526" s="420"/>
    </row>
    <row r="4527" spans="17:25">
      <c r="Q4527" s="6">
        <v>4497</v>
      </c>
      <c r="R4527" s="7">
        <v>47164</v>
      </c>
      <c r="S4527" s="210">
        <v>4.25</v>
      </c>
      <c r="T4527" s="8">
        <v>1.0001180555555556</v>
      </c>
      <c r="U4527" s="98">
        <v>4.2759316122303659</v>
      </c>
      <c r="V4527" s="106">
        <v>38150.319556266397</v>
      </c>
      <c r="W4527" s="10">
        <v>1.1590937470311369</v>
      </c>
      <c r="X4527" s="420"/>
      <c r="Y4527" s="420"/>
    </row>
    <row r="4528" spans="17:25">
      <c r="Q4528" s="6">
        <v>4498</v>
      </c>
      <c r="R4528" s="7">
        <v>47165</v>
      </c>
      <c r="S4528" s="210">
        <v>4.25</v>
      </c>
      <c r="T4528" s="8">
        <v>1.0001180555555556</v>
      </c>
      <c r="U4528" s="98">
        <v>4.2759598336460369</v>
      </c>
      <c r="V4528" s="106">
        <v>38153.494914321702</v>
      </c>
      <c r="W4528" s="10">
        <v>1.1591203917778792</v>
      </c>
      <c r="X4528" s="420"/>
      <c r="Y4528" s="420"/>
    </row>
    <row r="4529" spans="17:25">
      <c r="Q4529" s="6">
        <v>4499</v>
      </c>
      <c r="R4529" s="7">
        <v>47166</v>
      </c>
      <c r="S4529" s="210">
        <v>4.25</v>
      </c>
      <c r="T4529" s="8">
        <v>1.0001180555555556</v>
      </c>
      <c r="U4529" s="98">
        <v>4.2759880425237151</v>
      </c>
      <c r="V4529" s="106">
        <v>38156.670536670965</v>
      </c>
      <c r="W4529" s="10">
        <v>1.1591470246868907</v>
      </c>
      <c r="X4529" s="420"/>
      <c r="Y4529" s="420"/>
    </row>
    <row r="4530" spans="17:25">
      <c r="Q4530" s="6">
        <v>4500</v>
      </c>
      <c r="R4530" s="7">
        <v>47167</v>
      </c>
      <c r="S4530" s="210">
        <v>4.25</v>
      </c>
      <c r="T4530" s="8">
        <v>1.0001180555555556</v>
      </c>
      <c r="U4530" s="98">
        <v>4.2760162388717271</v>
      </c>
      <c r="V4530" s="106">
        <v>38159.846423336174</v>
      </c>
      <c r="W4530" s="10">
        <v>1.159173645766054</v>
      </c>
      <c r="X4530" s="420"/>
      <c r="Y4530" s="420"/>
    </row>
    <row r="4531" spans="17:25">
      <c r="Q4531" s="6">
        <v>4501</v>
      </c>
      <c r="R4531" s="7">
        <v>47168</v>
      </c>
      <c r="S4531" s="210">
        <v>4.25</v>
      </c>
      <c r="T4531" s="8">
        <v>1.0001180555555556</v>
      </c>
      <c r="U4531" s="98">
        <v>4.276044422698444</v>
      </c>
      <c r="V4531" s="106">
        <v>38163.022574339331</v>
      </c>
      <c r="W4531" s="10">
        <v>1.1592002550232738</v>
      </c>
      <c r="X4531" s="420"/>
      <c r="Y4531" s="420"/>
    </row>
    <row r="4532" spans="17:25">
      <c r="Q4532" s="6">
        <v>4502</v>
      </c>
      <c r="R4532" s="7">
        <v>47169</v>
      </c>
      <c r="S4532" s="210">
        <v>4.25</v>
      </c>
      <c r="T4532" s="8">
        <v>1.0001180555555556</v>
      </c>
      <c r="U4532" s="98">
        <v>4.2760725940121924</v>
      </c>
      <c r="V4532" s="106">
        <v>38166.198989702447</v>
      </c>
      <c r="W4532" s="10">
        <v>1.1592268524664107</v>
      </c>
      <c r="X4532" s="420"/>
      <c r="Y4532" s="420"/>
    </row>
    <row r="4533" spans="17:25">
      <c r="Q4533" s="6">
        <v>4503</v>
      </c>
      <c r="R4533" s="7">
        <v>47170</v>
      </c>
      <c r="S4533" s="210">
        <v>4.25</v>
      </c>
      <c r="T4533" s="8">
        <v>1.0001180555555556</v>
      </c>
      <c r="U4533" s="98">
        <v>4.2761007528212991</v>
      </c>
      <c r="V4533" s="106">
        <v>38169.375669447516</v>
      </c>
      <c r="W4533" s="10">
        <v>1.1592534381033026</v>
      </c>
      <c r="X4533" s="420"/>
      <c r="Y4533" s="420"/>
    </row>
    <row r="4534" spans="17:25">
      <c r="Q4534" s="6">
        <v>4504</v>
      </c>
      <c r="R4534" s="7">
        <v>47171</v>
      </c>
      <c r="S4534" s="210">
        <v>4.25</v>
      </c>
      <c r="T4534" s="8">
        <v>1.0001180555555556</v>
      </c>
      <c r="U4534" s="98">
        <v>4.2761288991340907</v>
      </c>
      <c r="V4534" s="106">
        <v>38172.552613596548</v>
      </c>
      <c r="W4534" s="10">
        <v>1.1592800119418323</v>
      </c>
      <c r="X4534" s="420"/>
      <c r="Y4534" s="420"/>
    </row>
    <row r="4535" spans="17:25">
      <c r="Q4535" s="6">
        <v>4505</v>
      </c>
      <c r="R4535" s="7">
        <v>47172</v>
      </c>
      <c r="S4535" s="210">
        <v>4.25</v>
      </c>
      <c r="T4535" s="8">
        <v>1.0001180555555556</v>
      </c>
      <c r="U4535" s="98">
        <v>4.2761570329588938</v>
      </c>
      <c r="V4535" s="106">
        <v>38175.729822171546</v>
      </c>
      <c r="W4535" s="10">
        <v>1.1593065739898822</v>
      </c>
      <c r="X4535" s="420"/>
      <c r="Y4535" s="420"/>
    </row>
    <row r="4536" spans="17:25">
      <c r="Q4536" s="6">
        <v>4506</v>
      </c>
      <c r="R4536" s="7">
        <v>47173</v>
      </c>
      <c r="S4536" s="210">
        <v>4.25</v>
      </c>
      <c r="T4536" s="8">
        <v>1.0001180555555556</v>
      </c>
      <c r="U4536" s="98">
        <v>4.276185154304013</v>
      </c>
      <c r="V4536" s="106">
        <v>38178.90729519452</v>
      </c>
      <c r="W4536" s="10">
        <v>1.1593331242552463</v>
      </c>
      <c r="X4536" s="420"/>
      <c r="Y4536" s="420"/>
    </row>
    <row r="4537" spans="17:25">
      <c r="Q4537" s="6">
        <v>4507</v>
      </c>
      <c r="R4537" s="7">
        <v>47174</v>
      </c>
      <c r="S4537" s="210">
        <v>4.25</v>
      </c>
      <c r="T4537" s="8">
        <v>1.0001180555555556</v>
      </c>
      <c r="U4537" s="98">
        <v>4.2762132631777305</v>
      </c>
      <c r="V4537" s="106">
        <v>38182.085032687493</v>
      </c>
      <c r="W4537" s="10">
        <v>1.1593596627457625</v>
      </c>
      <c r="X4537" s="420"/>
      <c r="Y4537" s="420"/>
    </row>
    <row r="4538" spans="17:25">
      <c r="Q4538" s="6">
        <v>4508</v>
      </c>
      <c r="R4538" s="7">
        <v>47175</v>
      </c>
      <c r="S4538" s="210">
        <v>4.25</v>
      </c>
      <c r="T4538" s="8">
        <v>1.0001180555555556</v>
      </c>
      <c r="U4538" s="98">
        <v>4.276241359588373</v>
      </c>
      <c r="V4538" s="106">
        <v>38185.263034672455</v>
      </c>
      <c r="W4538" s="10">
        <v>1.1593861894693136</v>
      </c>
      <c r="X4538" s="420"/>
      <c r="Y4538" s="420"/>
    </row>
    <row r="4539" spans="17:25">
      <c r="Q4539" s="6">
        <v>4509</v>
      </c>
      <c r="R4539" s="7">
        <v>47176</v>
      </c>
      <c r="S4539" s="210">
        <v>4.25</v>
      </c>
      <c r="T4539" s="8">
        <v>1.0001180555555556</v>
      </c>
      <c r="U4539" s="98">
        <v>4.2762694435442006</v>
      </c>
      <c r="V4539" s="106">
        <v>38188.441301171435</v>
      </c>
      <c r="W4539" s="10">
        <v>1.1594127044336711</v>
      </c>
      <c r="X4539" s="420"/>
      <c r="Y4539" s="420"/>
    </row>
    <row r="4540" spans="17:25">
      <c r="Q4540" s="6">
        <v>4510</v>
      </c>
      <c r="R4540" s="7">
        <v>47177</v>
      </c>
      <c r="S4540" s="210">
        <v>4.25</v>
      </c>
      <c r="T4540" s="8">
        <v>1.0001180555555556</v>
      </c>
      <c r="U4540" s="98">
        <v>4.2762975150534954</v>
      </c>
      <c r="V4540" s="106">
        <v>38191.619832206445</v>
      </c>
      <c r="W4540" s="10">
        <v>1.1594392076466731</v>
      </c>
      <c r="X4540" s="420"/>
      <c r="Y4540" s="420"/>
    </row>
    <row r="4541" spans="17:25">
      <c r="Q4541" s="6">
        <v>4511</v>
      </c>
      <c r="R4541" s="7">
        <v>47178</v>
      </c>
      <c r="S4541" s="210">
        <v>4.25</v>
      </c>
      <c r="T4541" s="8">
        <v>1.0001180555555556</v>
      </c>
      <c r="U4541" s="98">
        <v>4.2763255741245398</v>
      </c>
      <c r="V4541" s="106">
        <v>38194.798627799508</v>
      </c>
      <c r="W4541" s="10">
        <v>1.1594656991161356</v>
      </c>
      <c r="X4541" s="420"/>
      <c r="Y4541" s="420"/>
    </row>
    <row r="4542" spans="17:25">
      <c r="Q4542" s="6">
        <v>4512</v>
      </c>
      <c r="R4542" s="7">
        <v>47179</v>
      </c>
      <c r="S4542" s="210">
        <v>4.25</v>
      </c>
      <c r="T4542" s="8">
        <v>1.0001180555555556</v>
      </c>
      <c r="U4542" s="98">
        <v>4.2763536207656161</v>
      </c>
      <c r="V4542" s="106">
        <v>38197.977687972641</v>
      </c>
      <c r="W4542" s="10">
        <v>1.1594921788498747</v>
      </c>
      <c r="X4542" s="420"/>
      <c r="Y4542" s="420"/>
    </row>
    <row r="4543" spans="17:25">
      <c r="Q4543" s="6">
        <v>4513</v>
      </c>
      <c r="R4543" s="7">
        <v>47180</v>
      </c>
      <c r="S4543" s="210">
        <v>4.25</v>
      </c>
      <c r="T4543" s="8">
        <v>1.0001180555555556</v>
      </c>
      <c r="U4543" s="98">
        <v>4.276381654984962</v>
      </c>
      <c r="V4543" s="106">
        <v>38201.157012747863</v>
      </c>
      <c r="W4543" s="10">
        <v>1.1595186468556617</v>
      </c>
      <c r="X4543" s="420"/>
      <c r="Y4543" s="420"/>
    </row>
    <row r="4544" spans="17:25">
      <c r="Q4544" s="6">
        <v>4514</v>
      </c>
      <c r="R4544" s="7">
        <v>47181</v>
      </c>
      <c r="S4544" s="210">
        <v>4.25</v>
      </c>
      <c r="T4544" s="8">
        <v>1.0001180555555556</v>
      </c>
      <c r="U4544" s="98">
        <v>4.2764096767908155</v>
      </c>
      <c r="V4544" s="106">
        <v>38204.336602147196</v>
      </c>
      <c r="W4544" s="10">
        <v>1.1595451031412907</v>
      </c>
      <c r="X4544" s="420"/>
      <c r="Y4544" s="420"/>
    </row>
    <row r="4545" spans="17:25">
      <c r="Q4545" s="6">
        <v>4515</v>
      </c>
      <c r="R4545" s="7">
        <v>47182</v>
      </c>
      <c r="S4545" s="210">
        <v>4.25</v>
      </c>
      <c r="T4545" s="8">
        <v>1.0001180555555556</v>
      </c>
      <c r="U4545" s="98">
        <v>4.2764376861914366</v>
      </c>
      <c r="V4545" s="106">
        <v>38207.516456192672</v>
      </c>
      <c r="W4545" s="10">
        <v>1.1595715477145552</v>
      </c>
      <c r="X4545" s="420"/>
      <c r="Y4545" s="420"/>
    </row>
    <row r="4546" spans="17:25">
      <c r="Q4546" s="6">
        <v>4516</v>
      </c>
      <c r="R4546" s="7">
        <v>47183</v>
      </c>
      <c r="S4546" s="210">
        <v>4.25</v>
      </c>
      <c r="T4546" s="8">
        <v>1.0001180555555556</v>
      </c>
      <c r="U4546" s="98">
        <v>4.2764656831950631</v>
      </c>
      <c r="V4546" s="106">
        <v>38210.696574906317</v>
      </c>
      <c r="W4546" s="10">
        <v>1.1595979805832046</v>
      </c>
      <c r="X4546" s="420"/>
      <c r="Y4546" s="420"/>
    </row>
    <row r="4547" spans="17:25">
      <c r="Q4547" s="6">
        <v>4517</v>
      </c>
      <c r="R4547" s="7">
        <v>47184</v>
      </c>
      <c r="S4547" s="210">
        <v>4.25</v>
      </c>
      <c r="T4547" s="8">
        <v>1.0001180555555556</v>
      </c>
      <c r="U4547" s="98">
        <v>4.2764936678099108</v>
      </c>
      <c r="V4547" s="106">
        <v>38213.87695831016</v>
      </c>
      <c r="W4547" s="10">
        <v>1.1596244017550328</v>
      </c>
      <c r="X4547" s="420"/>
      <c r="Y4547" s="420"/>
    </row>
    <row r="4548" spans="17:25">
      <c r="Q4548" s="6">
        <v>4518</v>
      </c>
      <c r="R4548" s="7">
        <v>47185</v>
      </c>
      <c r="S4548" s="210">
        <v>4.25</v>
      </c>
      <c r="T4548" s="8">
        <v>1.0001180555555556</v>
      </c>
      <c r="U4548" s="98">
        <v>4.2765216400442174</v>
      </c>
      <c r="V4548" s="106">
        <v>38217.05760642622</v>
      </c>
      <c r="W4548" s="10">
        <v>1.1596508112378334</v>
      </c>
      <c r="X4548" s="420"/>
      <c r="Y4548" s="420"/>
    </row>
    <row r="4549" spans="17:25">
      <c r="Q4549" s="6">
        <v>4519</v>
      </c>
      <c r="R4549" s="7">
        <v>47186</v>
      </c>
      <c r="S4549" s="210">
        <v>4.25</v>
      </c>
      <c r="T4549" s="8">
        <v>1.0001180555555556</v>
      </c>
      <c r="U4549" s="98">
        <v>4.2765495999061987</v>
      </c>
      <c r="V4549" s="106">
        <v>38220.238519276551</v>
      </c>
      <c r="W4549" s="10">
        <v>1.1596772090393115</v>
      </c>
      <c r="X4549" s="420"/>
      <c r="Y4549" s="420"/>
    </row>
    <row r="4550" spans="17:25">
      <c r="Q4550" s="6">
        <v>4520</v>
      </c>
      <c r="R4550" s="7">
        <v>47187</v>
      </c>
      <c r="S4550" s="210">
        <v>4.25</v>
      </c>
      <c r="T4550" s="8">
        <v>1.0001180555555556</v>
      </c>
      <c r="U4550" s="98">
        <v>4.2765775474040479</v>
      </c>
      <c r="V4550" s="106">
        <v>38223.419696883175</v>
      </c>
      <c r="W4550" s="10">
        <v>1.1597035951672163</v>
      </c>
      <c r="X4550" s="420"/>
      <c r="Y4550" s="420"/>
    </row>
    <row r="4551" spans="17:25">
      <c r="Q4551" s="6">
        <v>4521</v>
      </c>
      <c r="R4551" s="7">
        <v>47188</v>
      </c>
      <c r="S4551" s="210">
        <v>4.25</v>
      </c>
      <c r="T4551" s="8">
        <v>1.0001180555555556</v>
      </c>
      <c r="U4551" s="98">
        <v>4.2766054825459587</v>
      </c>
      <c r="V4551" s="106">
        <v>38226.601139268125</v>
      </c>
      <c r="W4551" s="10">
        <v>1.1597299696293195</v>
      </c>
      <c r="X4551" s="420"/>
      <c r="Y4551" s="420"/>
    </row>
    <row r="4552" spans="17:25">
      <c r="Q4552" s="6">
        <v>4522</v>
      </c>
      <c r="R4552" s="7">
        <v>47189</v>
      </c>
      <c r="S4552" s="210">
        <v>4.25</v>
      </c>
      <c r="T4552" s="8">
        <v>1.0001180555555556</v>
      </c>
      <c r="U4552" s="98">
        <v>4.2766334053401467</v>
      </c>
      <c r="V4552" s="106">
        <v>38229.782846453447</v>
      </c>
      <c r="W4552" s="10">
        <v>1.159756332433326</v>
      </c>
      <c r="X4552" s="420"/>
      <c r="Y4552" s="420"/>
    </row>
    <row r="4553" spans="17:25">
      <c r="Q4553" s="6">
        <v>4523</v>
      </c>
      <c r="R4553" s="7">
        <v>47190</v>
      </c>
      <c r="S4553" s="210">
        <v>4.25</v>
      </c>
      <c r="T4553" s="8">
        <v>1.0001180555555556</v>
      </c>
      <c r="U4553" s="98">
        <v>4.276661315794783</v>
      </c>
      <c r="V4553" s="106">
        <v>38232.96481846118</v>
      </c>
      <c r="W4553" s="10">
        <v>1.1597826835870073</v>
      </c>
      <c r="X4553" s="420"/>
      <c r="Y4553" s="420"/>
    </row>
    <row r="4554" spans="17:25">
      <c r="Q4554" s="6">
        <v>4524</v>
      </c>
      <c r="R4554" s="7">
        <v>47191</v>
      </c>
      <c r="S4554" s="210">
        <v>4.25</v>
      </c>
      <c r="T4554" s="8">
        <v>1.0001180555555556</v>
      </c>
      <c r="U4554" s="98">
        <v>4.276689213918039</v>
      </c>
      <c r="V4554" s="106">
        <v>38236.147055313362</v>
      </c>
      <c r="W4554" s="10">
        <v>1.159809023098024</v>
      </c>
      <c r="X4554" s="420"/>
      <c r="Y4554" s="420"/>
    </row>
    <row r="4555" spans="17:25">
      <c r="Q4555" s="6">
        <v>4525</v>
      </c>
      <c r="R4555" s="7">
        <v>47192</v>
      </c>
      <c r="S4555" s="210">
        <v>4.25</v>
      </c>
      <c r="T4555" s="8">
        <v>1.0001180555555556</v>
      </c>
      <c r="U4555" s="98">
        <v>4.2767170997180859</v>
      </c>
      <c r="V4555" s="106">
        <v>38239.329557032041</v>
      </c>
      <c r="W4555" s="10">
        <v>1.1598353509741255</v>
      </c>
      <c r="X4555" s="420"/>
      <c r="Y4555" s="420"/>
    </row>
    <row r="4556" spans="17:25">
      <c r="Q4556" s="6">
        <v>4526</v>
      </c>
      <c r="R4556" s="7">
        <v>47193</v>
      </c>
      <c r="S4556" s="210">
        <v>4.25</v>
      </c>
      <c r="T4556" s="8">
        <v>1.0001180555555556</v>
      </c>
      <c r="U4556" s="98">
        <v>4.2767449732030949</v>
      </c>
      <c r="V4556" s="106">
        <v>38242.512323639254</v>
      </c>
      <c r="W4556" s="10">
        <v>1.1598616672230166</v>
      </c>
      <c r="X4556" s="420"/>
      <c r="Y4556" s="420"/>
    </row>
    <row r="4557" spans="17:25">
      <c r="Q4557" s="6">
        <v>4527</v>
      </c>
      <c r="R4557" s="7">
        <v>47194</v>
      </c>
      <c r="S4557" s="210">
        <v>4.25</v>
      </c>
      <c r="T4557" s="8">
        <v>1.0001180555555556</v>
      </c>
      <c r="U4557" s="98">
        <v>4.276772834381215</v>
      </c>
      <c r="V4557" s="106">
        <v>38245.695355157062</v>
      </c>
      <c r="W4557" s="10">
        <v>1.1598879718524024</v>
      </c>
      <c r="X4557" s="420"/>
      <c r="Y4557" s="420"/>
    </row>
    <row r="4558" spans="17:25">
      <c r="Q4558" s="6">
        <v>4528</v>
      </c>
      <c r="R4558" s="7">
        <v>47195</v>
      </c>
      <c r="S4558" s="210">
        <v>4.25</v>
      </c>
      <c r="T4558" s="8">
        <v>1.0001180555555556</v>
      </c>
      <c r="U4558" s="98">
        <v>4.2768006832606176</v>
      </c>
      <c r="V4558" s="106">
        <v>38248.878651607505</v>
      </c>
      <c r="W4558" s="10">
        <v>1.1599142648699656</v>
      </c>
      <c r="X4558" s="420"/>
      <c r="Y4558" s="420"/>
    </row>
    <row r="4559" spans="17:25">
      <c r="Q4559" s="6">
        <v>4529</v>
      </c>
      <c r="R4559" s="7">
        <v>47196</v>
      </c>
      <c r="S4559" s="210">
        <v>4.25</v>
      </c>
      <c r="T4559" s="8">
        <v>1.0001180555555556</v>
      </c>
      <c r="U4559" s="98">
        <v>4.2768285198494072</v>
      </c>
      <c r="V4559" s="106">
        <v>38252.062213012636</v>
      </c>
      <c r="W4559" s="10">
        <v>1.1599405462833889</v>
      </c>
      <c r="X4559" s="420"/>
      <c r="Y4559" s="420"/>
    </row>
    <row r="4560" spans="17:25">
      <c r="Q4560" s="6">
        <v>4530</v>
      </c>
      <c r="R4560" s="7">
        <v>47197</v>
      </c>
      <c r="S4560" s="210">
        <v>4.25</v>
      </c>
      <c r="T4560" s="8">
        <v>1.0001180555555556</v>
      </c>
      <c r="U4560" s="98">
        <v>4.276856344155755</v>
      </c>
      <c r="V4560" s="106">
        <v>38255.246039394508</v>
      </c>
      <c r="W4560" s="10">
        <v>1.1599668161003995</v>
      </c>
      <c r="X4560" s="420"/>
      <c r="Y4560" s="420"/>
    </row>
    <row r="4561" spans="17:25">
      <c r="Q4561" s="6">
        <v>4531</v>
      </c>
      <c r="R4561" s="7">
        <v>47198</v>
      </c>
      <c r="S4561" s="210">
        <v>4.25</v>
      </c>
      <c r="T4561" s="8">
        <v>1.0001180555555556</v>
      </c>
      <c r="U4561" s="98">
        <v>4.2768841561877657</v>
      </c>
      <c r="V4561" s="106">
        <v>38258.430130775181</v>
      </c>
      <c r="W4561" s="10">
        <v>1.1599930743285913</v>
      </c>
      <c r="X4561" s="420"/>
      <c r="Y4561" s="420"/>
    </row>
    <row r="4562" spans="17:25">
      <c r="Q4562" s="6">
        <v>4532</v>
      </c>
      <c r="R4562" s="7">
        <v>47199</v>
      </c>
      <c r="S4562" s="210">
        <v>4.25</v>
      </c>
      <c r="T4562" s="8">
        <v>1.0001180555555556</v>
      </c>
      <c r="U4562" s="98">
        <v>4.2769119559535662</v>
      </c>
      <c r="V4562" s="106">
        <v>38261.614487176696</v>
      </c>
      <c r="W4562" s="10">
        <v>1.1600193209757137</v>
      </c>
      <c r="X4562" s="420"/>
      <c r="Y4562" s="420"/>
    </row>
    <row r="4563" spans="17:25">
      <c r="Q4563" s="6">
        <v>4533</v>
      </c>
      <c r="R4563" s="7">
        <v>47200</v>
      </c>
      <c r="S4563" s="210">
        <v>4.25</v>
      </c>
      <c r="T4563" s="8">
        <v>1.0001180555555556</v>
      </c>
      <c r="U4563" s="98">
        <v>4.276939743461261</v>
      </c>
      <c r="V4563" s="106">
        <v>38264.799108621133</v>
      </c>
      <c r="W4563" s="10">
        <v>1.1600455560493605</v>
      </c>
      <c r="X4563" s="420"/>
      <c r="Y4563" s="420"/>
    </row>
    <row r="4564" spans="17:25">
      <c r="Q4564" s="6">
        <v>4534</v>
      </c>
      <c r="R4564" s="7">
        <v>47201</v>
      </c>
      <c r="S4564" s="210">
        <v>4.25</v>
      </c>
      <c r="T4564" s="8">
        <v>1.0001180555555556</v>
      </c>
      <c r="U4564" s="98">
        <v>4.2769675187189771</v>
      </c>
      <c r="V4564" s="106">
        <v>38267.98399513054</v>
      </c>
      <c r="W4564" s="10">
        <v>1.1600717795572146</v>
      </c>
      <c r="X4564" s="420"/>
      <c r="Y4564" s="420"/>
    </row>
    <row r="4565" spans="17:25">
      <c r="Q4565" s="6">
        <v>4535</v>
      </c>
      <c r="R4565" s="7">
        <v>47202</v>
      </c>
      <c r="S4565" s="210">
        <v>4.25</v>
      </c>
      <c r="T4565" s="8">
        <v>1.0001180555555556</v>
      </c>
      <c r="U4565" s="98">
        <v>4.2769952817347967</v>
      </c>
      <c r="V4565" s="106">
        <v>38271.16914672697</v>
      </c>
      <c r="W4565" s="10">
        <v>1.1600979915069365</v>
      </c>
      <c r="X4565" s="420"/>
      <c r="Y4565" s="420"/>
    </row>
    <row r="4566" spans="17:25">
      <c r="Q4566" s="6">
        <v>4536</v>
      </c>
      <c r="R4566" s="7">
        <v>47203</v>
      </c>
      <c r="S4566" s="210">
        <v>4.25</v>
      </c>
      <c r="T4566" s="8">
        <v>1.0001180555555556</v>
      </c>
      <c r="U4566" s="98">
        <v>4.2770230325168024</v>
      </c>
      <c r="V4566" s="106">
        <v>38274.354563432506</v>
      </c>
      <c r="W4566" s="10">
        <v>1.16012419190612</v>
      </c>
      <c r="X4566" s="420"/>
      <c r="Y4566" s="420"/>
    </row>
    <row r="4567" spans="17:25">
      <c r="Q4567" s="6">
        <v>4537</v>
      </c>
      <c r="R4567" s="7">
        <v>47204</v>
      </c>
      <c r="S4567" s="210">
        <v>4.25</v>
      </c>
      <c r="T4567" s="8">
        <v>1.0001180555555556</v>
      </c>
      <c r="U4567" s="98">
        <v>4.2770507710730987</v>
      </c>
      <c r="V4567" s="106">
        <v>38277.540245269207</v>
      </c>
      <c r="W4567" s="10">
        <v>1.1601503807624258</v>
      </c>
      <c r="X4567" s="420"/>
      <c r="Y4567" s="420"/>
    </row>
    <row r="4568" spans="17:25">
      <c r="Q4568" s="6">
        <v>4538</v>
      </c>
      <c r="R4568" s="7">
        <v>47205</v>
      </c>
      <c r="S4568" s="210">
        <v>4.25</v>
      </c>
      <c r="T4568" s="8">
        <v>1.0001180555555556</v>
      </c>
      <c r="U4568" s="98">
        <v>4.2770784974117459</v>
      </c>
      <c r="V4568" s="106">
        <v>38280.726192259135</v>
      </c>
      <c r="W4568" s="10">
        <v>1.1601765580834922</v>
      </c>
      <c r="X4568" s="420"/>
      <c r="Y4568" s="420"/>
    </row>
    <row r="4569" spans="17:25">
      <c r="Q4569" s="6">
        <v>4539</v>
      </c>
      <c r="R4569" s="7">
        <v>47206</v>
      </c>
      <c r="S4569" s="210">
        <v>4.25</v>
      </c>
      <c r="T4569" s="8">
        <v>1.0001180555555556</v>
      </c>
      <c r="U4569" s="98">
        <v>4.2771062115408265</v>
      </c>
      <c r="V4569" s="106">
        <v>38283.912404424365</v>
      </c>
      <c r="W4569" s="10">
        <v>1.1602027238769352</v>
      </c>
      <c r="X4569" s="420"/>
      <c r="Y4569" s="420"/>
    </row>
    <row r="4570" spans="17:25">
      <c r="Q4570" s="6">
        <v>4540</v>
      </c>
      <c r="R4570" s="7">
        <v>47207</v>
      </c>
      <c r="S4570" s="210">
        <v>4.25</v>
      </c>
      <c r="T4570" s="8">
        <v>1.0001180555555556</v>
      </c>
      <c r="U4570" s="98">
        <v>4.2771339134684006</v>
      </c>
      <c r="V4570" s="106">
        <v>38287.098881786958</v>
      </c>
      <c r="W4570" s="10">
        <v>1.1602288781503489</v>
      </c>
      <c r="X4570" s="420"/>
      <c r="Y4570" s="420"/>
    </row>
    <row r="4571" spans="17:25">
      <c r="Q4571" s="6">
        <v>4541</v>
      </c>
      <c r="R4571" s="7">
        <v>47208</v>
      </c>
      <c r="S4571" s="210">
        <v>4.25</v>
      </c>
      <c r="T4571" s="8">
        <v>1.0001180555555556</v>
      </c>
      <c r="U4571" s="98">
        <v>4.2771616032025284</v>
      </c>
      <c r="V4571" s="106">
        <v>38290.285624369004</v>
      </c>
      <c r="W4571" s="10">
        <v>1.1602550209113494</v>
      </c>
      <c r="X4571" s="420"/>
      <c r="Y4571" s="420"/>
    </row>
    <row r="4572" spans="17:25">
      <c r="Q4572" s="6">
        <v>4542</v>
      </c>
      <c r="R4572" s="7">
        <v>47209</v>
      </c>
      <c r="S4572" s="210">
        <v>4.25</v>
      </c>
      <c r="T4572" s="8">
        <v>1.0001180555555556</v>
      </c>
      <c r="U4572" s="98">
        <v>4.2771892807512479</v>
      </c>
      <c r="V4572" s="106">
        <v>38293.472632192563</v>
      </c>
      <c r="W4572" s="10">
        <v>1.1602811521675527</v>
      </c>
      <c r="X4572" s="420"/>
      <c r="Y4572" s="420"/>
    </row>
    <row r="4573" spans="17:25">
      <c r="Q4573" s="6">
        <v>4543</v>
      </c>
      <c r="R4573" s="7">
        <v>47210</v>
      </c>
      <c r="S4573" s="210">
        <v>4.25</v>
      </c>
      <c r="T4573" s="8">
        <v>1.0001180555555556</v>
      </c>
      <c r="U4573" s="98">
        <v>4.2772169461226195</v>
      </c>
      <c r="V4573" s="106">
        <v>38296.659905279725</v>
      </c>
      <c r="W4573" s="10">
        <v>1.1603072719265306</v>
      </c>
      <c r="X4573" s="420"/>
      <c r="Y4573" s="420"/>
    </row>
    <row r="4574" spans="17:25">
      <c r="Q4574" s="6">
        <v>4544</v>
      </c>
      <c r="R4574" s="7">
        <v>47211</v>
      </c>
      <c r="S4574" s="210">
        <v>4.25</v>
      </c>
      <c r="T4574" s="8">
        <v>1.0001180555555556</v>
      </c>
      <c r="U4574" s="98">
        <v>4.2772445993246588</v>
      </c>
      <c r="V4574" s="106">
        <v>38299.847443652558</v>
      </c>
      <c r="W4574" s="10">
        <v>1.1603333801958771</v>
      </c>
      <c r="X4574" s="420"/>
      <c r="Y4574" s="420"/>
    </row>
    <row r="4575" spans="17:25">
      <c r="Q4575" s="6">
        <v>4545</v>
      </c>
      <c r="R4575" s="7">
        <v>47212</v>
      </c>
      <c r="S4575" s="210">
        <v>4.25</v>
      </c>
      <c r="T4575" s="8">
        <v>1.0001180555555556</v>
      </c>
      <c r="U4575" s="98">
        <v>4.277272240365404</v>
      </c>
      <c r="V4575" s="106">
        <v>38303.035247333151</v>
      </c>
      <c r="W4575" s="10">
        <v>1.1603594769831638</v>
      </c>
      <c r="X4575" s="420"/>
      <c r="Y4575" s="420"/>
    </row>
    <row r="4576" spans="17:25">
      <c r="Q4576" s="6">
        <v>4546</v>
      </c>
      <c r="R4576" s="7">
        <v>47213</v>
      </c>
      <c r="S4576" s="210">
        <v>4.25</v>
      </c>
      <c r="T4576" s="8">
        <v>1.0001180555555556</v>
      </c>
      <c r="U4576" s="98">
        <v>4.2772998692528708</v>
      </c>
      <c r="V4576" s="106">
        <v>38306.223316343581</v>
      </c>
      <c r="W4576" s="10">
        <v>1.1603855622959847</v>
      </c>
      <c r="X4576" s="420"/>
      <c r="Y4576" s="420"/>
    </row>
    <row r="4577" spans="17:25">
      <c r="Q4577" s="6">
        <v>4547</v>
      </c>
      <c r="R4577" s="7">
        <v>47214</v>
      </c>
      <c r="S4577" s="210">
        <v>4.25</v>
      </c>
      <c r="T4577" s="8">
        <v>1.0001180555555556</v>
      </c>
      <c r="U4577" s="98">
        <v>4.277327485995075</v>
      </c>
      <c r="V4577" s="106">
        <v>38309.41165070593</v>
      </c>
      <c r="W4577" s="10">
        <v>1.160411636141867</v>
      </c>
      <c r="X4577" s="420"/>
      <c r="Y4577" s="420"/>
    </row>
    <row r="4578" spans="17:25">
      <c r="Q4578" s="6">
        <v>4548</v>
      </c>
      <c r="R4578" s="7">
        <v>47215</v>
      </c>
      <c r="S4578" s="210">
        <v>4.25</v>
      </c>
      <c r="T4578" s="8">
        <v>1.0001180555555556</v>
      </c>
      <c r="U4578" s="98">
        <v>4.2773550906000324</v>
      </c>
      <c r="V4578" s="106">
        <v>38312.600250442287</v>
      </c>
      <c r="W4578" s="10">
        <v>1.160437698528427</v>
      </c>
      <c r="X4578" s="420"/>
      <c r="Y4578" s="420"/>
    </row>
    <row r="4579" spans="17:25">
      <c r="Q4579" s="6">
        <v>4549</v>
      </c>
      <c r="R4579" s="7">
        <v>47216</v>
      </c>
      <c r="S4579" s="210">
        <v>4.25</v>
      </c>
      <c r="T4579" s="8">
        <v>1.0001180555555556</v>
      </c>
      <c r="U4579" s="98">
        <v>4.2773826830757145</v>
      </c>
      <c r="V4579" s="106">
        <v>38315.789115574742</v>
      </c>
      <c r="W4579" s="10">
        <v>1.1604637494631476</v>
      </c>
      <c r="X4579" s="420"/>
      <c r="Y4579" s="420"/>
    </row>
    <row r="4580" spans="17:25">
      <c r="Q4580" s="6">
        <v>4550</v>
      </c>
      <c r="R4580" s="7">
        <v>47217</v>
      </c>
      <c r="S4580" s="210">
        <v>4.25</v>
      </c>
      <c r="T4580" s="8">
        <v>1.0001180555555556</v>
      </c>
      <c r="U4580" s="98">
        <v>4.277410263430137</v>
      </c>
      <c r="V4580" s="106">
        <v>38318.978246125378</v>
      </c>
      <c r="W4580" s="10">
        <v>1.1604897889536225</v>
      </c>
      <c r="X4580" s="420"/>
      <c r="Y4580" s="420"/>
    </row>
    <row r="4581" spans="17:25">
      <c r="Q4581" s="6">
        <v>4551</v>
      </c>
      <c r="R4581" s="7">
        <v>47218</v>
      </c>
      <c r="S4581" s="210">
        <v>4.25</v>
      </c>
      <c r="T4581" s="8">
        <v>1.0001180555555556</v>
      </c>
      <c r="U4581" s="98">
        <v>4.2774378316712935</v>
      </c>
      <c r="V4581" s="106">
        <v>38322.167642116299</v>
      </c>
      <c r="W4581" s="10">
        <v>1.1605158170074015</v>
      </c>
      <c r="X4581" s="420"/>
      <c r="Y4581" s="420"/>
    </row>
    <row r="4582" spans="17:25">
      <c r="Q4582" s="6">
        <v>4552</v>
      </c>
      <c r="R4582" s="7">
        <v>47219</v>
      </c>
      <c r="S4582" s="210">
        <v>4.25</v>
      </c>
      <c r="T4582" s="8">
        <v>1.0001180555555556</v>
      </c>
      <c r="U4582" s="98">
        <v>4.2774653878071334</v>
      </c>
      <c r="V4582" s="106">
        <v>38325.357303569581</v>
      </c>
      <c r="W4582" s="10">
        <v>1.1605418336319673</v>
      </c>
      <c r="X4582" s="420"/>
      <c r="Y4582" s="420"/>
    </row>
    <row r="4583" spans="17:25">
      <c r="Q4583" s="6">
        <v>4553</v>
      </c>
      <c r="R4583" s="7">
        <v>47220</v>
      </c>
      <c r="S4583" s="210">
        <v>4.25</v>
      </c>
      <c r="T4583" s="8">
        <v>1.0001180555555556</v>
      </c>
      <c r="U4583" s="98">
        <v>4.27749293184565</v>
      </c>
      <c r="V4583" s="106">
        <v>38328.547230507334</v>
      </c>
      <c r="W4583" s="10">
        <v>1.1605678388348917</v>
      </c>
      <c r="X4583" s="420"/>
      <c r="Y4583" s="420"/>
    </row>
    <row r="4584" spans="17:25">
      <c r="Q4584" s="6">
        <v>4554</v>
      </c>
      <c r="R4584" s="7">
        <v>47221</v>
      </c>
      <c r="S4584" s="210">
        <v>4.25</v>
      </c>
      <c r="T4584" s="8">
        <v>1.0001180555555556</v>
      </c>
      <c r="U4584" s="98">
        <v>4.2775204637947928</v>
      </c>
      <c r="V4584" s="106">
        <v>38331.737422951643</v>
      </c>
      <c r="W4584" s="10">
        <v>1.1605938326236798</v>
      </c>
      <c r="X4584" s="420"/>
      <c r="Y4584" s="420"/>
    </row>
    <row r="4585" spans="17:25">
      <c r="Q4585" s="6">
        <v>4555</v>
      </c>
      <c r="R4585" s="7">
        <v>47222</v>
      </c>
      <c r="S4585" s="210">
        <v>4.25</v>
      </c>
      <c r="T4585" s="8">
        <v>1.0001180555555556</v>
      </c>
      <c r="U4585" s="98">
        <v>4.277547983662533</v>
      </c>
      <c r="V4585" s="106">
        <v>38334.927880924617</v>
      </c>
      <c r="W4585" s="10">
        <v>1.1606198150058367</v>
      </c>
      <c r="X4585" s="420"/>
      <c r="Y4585" s="420"/>
    </row>
    <row r="4586" spans="17:25">
      <c r="Q4586" s="6">
        <v>4556</v>
      </c>
      <c r="R4586" s="7">
        <v>47223</v>
      </c>
      <c r="S4586" s="210">
        <v>4.25</v>
      </c>
      <c r="T4586" s="8">
        <v>1.0001180555555556</v>
      </c>
      <c r="U4586" s="98">
        <v>4.2775754914568198</v>
      </c>
      <c r="V4586" s="106">
        <v>38338.118604448355</v>
      </c>
      <c r="W4586" s="10">
        <v>1.1606457859888675</v>
      </c>
      <c r="X4586" s="420"/>
      <c r="Y4586" s="420"/>
    </row>
    <row r="4587" spans="17:25">
      <c r="Q4587" s="6">
        <v>4557</v>
      </c>
      <c r="R4587" s="7">
        <v>47224</v>
      </c>
      <c r="S4587" s="210">
        <v>4.25</v>
      </c>
      <c r="T4587" s="8">
        <v>1.0001180555555556</v>
      </c>
      <c r="U4587" s="98">
        <v>4.2776029871856025</v>
      </c>
      <c r="V4587" s="106">
        <v>38341.309593544953</v>
      </c>
      <c r="W4587" s="10">
        <v>1.1606717455803217</v>
      </c>
      <c r="X4587" s="420"/>
      <c r="Y4587" s="420"/>
    </row>
    <row r="4588" spans="17:25">
      <c r="Q4588" s="6">
        <v>4558</v>
      </c>
      <c r="R4588" s="7">
        <v>47225</v>
      </c>
      <c r="S4588" s="210">
        <v>4.25</v>
      </c>
      <c r="T4588" s="8">
        <v>1.0001180555555556</v>
      </c>
      <c r="U4588" s="98">
        <v>4.277630470856808</v>
      </c>
      <c r="V4588" s="106">
        <v>38344.500848236523</v>
      </c>
      <c r="W4588" s="10">
        <v>1.1606976937876157</v>
      </c>
      <c r="X4588" s="420"/>
      <c r="Y4588" s="420"/>
    </row>
    <row r="4589" spans="17:25">
      <c r="Q4589" s="6">
        <v>4559</v>
      </c>
      <c r="R4589" s="7">
        <v>47226</v>
      </c>
      <c r="S4589" s="210">
        <v>4.25</v>
      </c>
      <c r="T4589" s="8">
        <v>1.0001180555555556</v>
      </c>
      <c r="U4589" s="98">
        <v>4.2776579424783634</v>
      </c>
      <c r="V4589" s="106">
        <v>38347.692368545169</v>
      </c>
      <c r="W4589" s="10">
        <v>1.1607236306182767</v>
      </c>
      <c r="X4589" s="420"/>
      <c r="Y4589" s="420"/>
    </row>
    <row r="4590" spans="17:25">
      <c r="Q4590" s="6">
        <v>4560</v>
      </c>
      <c r="R4590" s="7">
        <v>47227</v>
      </c>
      <c r="S4590" s="210">
        <v>4.25</v>
      </c>
      <c r="T4590" s="8">
        <v>1.0001180555555556</v>
      </c>
      <c r="U4590" s="98">
        <v>4.2776854020581956</v>
      </c>
      <c r="V4590" s="106">
        <v>38350.884154492989</v>
      </c>
      <c r="W4590" s="10">
        <v>1.1607495560798098</v>
      </c>
      <c r="X4590" s="420"/>
      <c r="Y4590" s="420"/>
    </row>
    <row r="4591" spans="17:25">
      <c r="Q4591" s="6">
        <v>4561</v>
      </c>
      <c r="R4591" s="7">
        <v>47228</v>
      </c>
      <c r="S4591" s="210">
        <v>4.25</v>
      </c>
      <c r="T4591" s="8">
        <v>1.0001180555555556</v>
      </c>
      <c r="U4591" s="98">
        <v>4.2777128496042094</v>
      </c>
      <c r="V4591" s="106">
        <v>38354.076206102116</v>
      </c>
      <c r="W4591" s="10">
        <v>1.1607754701796091</v>
      </c>
      <c r="X4591" s="420"/>
      <c r="Y4591" s="420"/>
    </row>
    <row r="4592" spans="17:25">
      <c r="Q4592" s="6">
        <v>4562</v>
      </c>
      <c r="R4592" s="7">
        <v>47229</v>
      </c>
      <c r="S4592" s="210">
        <v>4.25</v>
      </c>
      <c r="T4592" s="8">
        <v>1.0001180555555556</v>
      </c>
      <c r="U4592" s="98">
        <v>4.2777402851243318</v>
      </c>
      <c r="V4592" s="106">
        <v>38357.268523394639</v>
      </c>
      <c r="W4592" s="10">
        <v>1.1608013729252242</v>
      </c>
      <c r="X4592" s="420"/>
      <c r="Y4592" s="420"/>
    </row>
    <row r="4593" spans="17:25">
      <c r="Q4593" s="6">
        <v>4563</v>
      </c>
      <c r="R4593" s="7">
        <v>47230</v>
      </c>
      <c r="S4593" s="210">
        <v>4.25</v>
      </c>
      <c r="T4593" s="8">
        <v>1.0001180555555556</v>
      </c>
      <c r="U4593" s="98">
        <v>4.2777677086264454</v>
      </c>
      <c r="V4593" s="106">
        <v>38360.461106392686</v>
      </c>
      <c r="W4593" s="10">
        <v>1.1608272643240714</v>
      </c>
      <c r="X4593" s="420"/>
      <c r="Y4593" s="420"/>
    </row>
    <row r="4594" spans="17:25">
      <c r="Q4594" s="6">
        <v>4564</v>
      </c>
      <c r="R4594" s="7">
        <v>47231</v>
      </c>
      <c r="S4594" s="210">
        <v>4.25</v>
      </c>
      <c r="T4594" s="8">
        <v>1.0001180555555556</v>
      </c>
      <c r="U4594" s="98">
        <v>4.277795120118455</v>
      </c>
      <c r="V4594" s="106">
        <v>38363.653955118367</v>
      </c>
      <c r="W4594" s="10">
        <v>1.1608531443836112</v>
      </c>
      <c r="X4594" s="420"/>
      <c r="Y4594" s="420"/>
    </row>
    <row r="4595" spans="17:25">
      <c r="Q4595" s="6">
        <v>4565</v>
      </c>
      <c r="R4595" s="7">
        <v>47232</v>
      </c>
      <c r="S4595" s="210">
        <v>4.25</v>
      </c>
      <c r="T4595" s="8">
        <v>1.0001180555555556</v>
      </c>
      <c r="U4595" s="98">
        <v>4.2778225196082653</v>
      </c>
      <c r="V4595" s="106">
        <v>38366.847069593787</v>
      </c>
      <c r="W4595" s="10">
        <v>1.1608790131113045</v>
      </c>
      <c r="X4595" s="420"/>
      <c r="Y4595" s="420"/>
    </row>
    <row r="4596" spans="17:25">
      <c r="Q4596" s="6">
        <v>4566</v>
      </c>
      <c r="R4596" s="7">
        <v>47233</v>
      </c>
      <c r="S4596" s="210">
        <v>4.25</v>
      </c>
      <c r="T4596" s="8">
        <v>1.0001180555555556</v>
      </c>
      <c r="U4596" s="98">
        <v>4.2778499071037368</v>
      </c>
      <c r="V4596" s="106">
        <v>38370.040449841086</v>
      </c>
      <c r="W4596" s="10">
        <v>1.1609048705145897</v>
      </c>
      <c r="X4596" s="420"/>
      <c r="Y4596" s="420"/>
    </row>
    <row r="4597" spans="17:25">
      <c r="Q4597" s="6">
        <v>4567</v>
      </c>
      <c r="R4597" s="7">
        <v>47234</v>
      </c>
      <c r="S4597" s="210">
        <v>4.25</v>
      </c>
      <c r="T4597" s="8">
        <v>1.0001180555555556</v>
      </c>
      <c r="U4597" s="98">
        <v>4.277877282612752</v>
      </c>
      <c r="V4597" s="106">
        <v>38373.234095882377</v>
      </c>
      <c r="W4597" s="10">
        <v>1.1609307166009053</v>
      </c>
      <c r="X4597" s="420"/>
      <c r="Y4597" s="420"/>
    </row>
    <row r="4598" spans="17:25">
      <c r="Q4598" s="6">
        <v>4568</v>
      </c>
      <c r="R4598" s="7">
        <v>47235</v>
      </c>
      <c r="S4598" s="210">
        <v>4.25</v>
      </c>
      <c r="T4598" s="8">
        <v>1.0001180555555556</v>
      </c>
      <c r="U4598" s="98">
        <v>4.2779046461431713</v>
      </c>
      <c r="V4598" s="106">
        <v>38376.428007739778</v>
      </c>
      <c r="W4598" s="10">
        <v>1.1609565513776676</v>
      </c>
      <c r="X4598" s="420"/>
      <c r="Y4598" s="420"/>
    </row>
    <row r="4599" spans="17:25">
      <c r="Q4599" s="6">
        <v>4569</v>
      </c>
      <c r="R4599" s="7">
        <v>47236</v>
      </c>
      <c r="S4599" s="210">
        <v>4.25</v>
      </c>
      <c r="T4599" s="8">
        <v>1.0001180555555556</v>
      </c>
      <c r="U4599" s="98">
        <v>4.2779319977028551</v>
      </c>
      <c r="V4599" s="106">
        <v>38379.622185435423</v>
      </c>
      <c r="W4599" s="10">
        <v>1.1609823748522929</v>
      </c>
      <c r="X4599" s="420"/>
      <c r="Y4599" s="420"/>
    </row>
    <row r="4600" spans="17:25">
      <c r="Q4600" s="6">
        <v>4570</v>
      </c>
      <c r="R4600" s="7">
        <v>47237</v>
      </c>
      <c r="S4600" s="210">
        <v>4.25</v>
      </c>
      <c r="T4600" s="8">
        <v>1.0001180555555556</v>
      </c>
      <c r="U4600" s="98">
        <v>4.2779593372996638</v>
      </c>
      <c r="V4600" s="106">
        <v>38382.816628991422</v>
      </c>
      <c r="W4600" s="10">
        <v>1.1610081870321975</v>
      </c>
      <c r="X4600" s="420"/>
      <c r="Y4600" s="420"/>
    </row>
    <row r="4601" spans="17:25">
      <c r="Q4601" s="6">
        <v>4571</v>
      </c>
      <c r="R4601" s="7">
        <v>47238</v>
      </c>
      <c r="S4601" s="210">
        <v>4.25</v>
      </c>
      <c r="T4601" s="8">
        <v>1.0001180555555556</v>
      </c>
      <c r="U4601" s="98">
        <v>4.2779866649414355</v>
      </c>
      <c r="V4601" s="106">
        <v>38386.011338429926</v>
      </c>
      <c r="W4601" s="10">
        <v>1.1610339879247977</v>
      </c>
      <c r="X4601" s="420"/>
      <c r="Y4601" s="420"/>
    </row>
    <row r="4602" spans="17:25">
      <c r="Q4602" s="6">
        <v>4572</v>
      </c>
      <c r="R4602" s="7">
        <v>47239</v>
      </c>
      <c r="S4602" s="210">
        <v>4.25</v>
      </c>
      <c r="T4602" s="8">
        <v>1.0001180555555556</v>
      </c>
      <c r="U4602" s="98">
        <v>4.2780139806360085</v>
      </c>
      <c r="V4602" s="106">
        <v>38389.206313773044</v>
      </c>
      <c r="W4602" s="10">
        <v>1.1610597775374876</v>
      </c>
      <c r="X4602" s="420"/>
      <c r="Y4602" s="420"/>
    </row>
    <row r="4603" spans="17:25">
      <c r="Q4603" s="6">
        <v>4573</v>
      </c>
      <c r="R4603" s="7">
        <v>47240</v>
      </c>
      <c r="S4603" s="210">
        <v>4.25</v>
      </c>
      <c r="T4603" s="8">
        <v>1.0001180555555556</v>
      </c>
      <c r="U4603" s="98">
        <v>4.278041284391243</v>
      </c>
      <c r="V4603" s="106">
        <v>38392.401555042925</v>
      </c>
      <c r="W4603" s="10">
        <v>1.1610855558776834</v>
      </c>
      <c r="X4603" s="420"/>
      <c r="Y4603" s="420"/>
    </row>
    <row r="4604" spans="17:25">
      <c r="Q4604" s="6">
        <v>4574</v>
      </c>
      <c r="R4604" s="7">
        <v>47241</v>
      </c>
      <c r="S4604" s="210">
        <v>4.25</v>
      </c>
      <c r="T4604" s="8">
        <v>1.0001180555555556</v>
      </c>
      <c r="U4604" s="98">
        <v>4.2780685762149329</v>
      </c>
      <c r="V4604" s="106">
        <v>38395.597062261688</v>
      </c>
      <c r="W4604" s="10">
        <v>1.161111322952757</v>
      </c>
      <c r="X4604" s="420"/>
      <c r="Y4604" s="420"/>
    </row>
    <row r="4605" spans="17:25">
      <c r="Q4605" s="6">
        <v>4575</v>
      </c>
      <c r="R4605" s="7">
        <v>47242</v>
      </c>
      <c r="S4605" s="210">
        <v>4.25</v>
      </c>
      <c r="T4605" s="8">
        <v>1.0001180555555556</v>
      </c>
      <c r="U4605" s="98">
        <v>4.2780958561149163</v>
      </c>
      <c r="V4605" s="106">
        <v>38398.792835451488</v>
      </c>
      <c r="W4605" s="10">
        <v>1.1611370787701025</v>
      </c>
      <c r="X4605" s="420"/>
      <c r="Y4605" s="420"/>
    </row>
    <row r="4606" spans="17:25">
      <c r="Q4606" s="6">
        <v>4576</v>
      </c>
      <c r="R4606" s="7">
        <v>47243</v>
      </c>
      <c r="S4606" s="210">
        <v>4.25</v>
      </c>
      <c r="T4606" s="8">
        <v>1.0001180555555556</v>
      </c>
      <c r="U4606" s="98">
        <v>4.278123124098987</v>
      </c>
      <c r="V4606" s="106">
        <v>38401.988874634437</v>
      </c>
      <c r="W4606" s="10">
        <v>1.1611628233370697</v>
      </c>
      <c r="X4606" s="420"/>
      <c r="Y4606" s="420"/>
    </row>
    <row r="4607" spans="17:25">
      <c r="Q4607" s="6">
        <v>4577</v>
      </c>
      <c r="R4607" s="7">
        <v>47244</v>
      </c>
      <c r="S4607" s="210">
        <v>4.25</v>
      </c>
      <c r="T4607" s="8">
        <v>1.0001180555555556</v>
      </c>
      <c r="U4607" s="98">
        <v>4.278150380174961</v>
      </c>
      <c r="V4607" s="106">
        <v>38405.18517983269</v>
      </c>
      <c r="W4607" s="10">
        <v>1.1611885566610525</v>
      </c>
      <c r="X4607" s="420"/>
      <c r="Y4607" s="420"/>
    </row>
    <row r="4608" spans="17:25">
      <c r="Q4608" s="6">
        <v>4578</v>
      </c>
      <c r="R4608" s="7">
        <v>47245</v>
      </c>
      <c r="S4608" s="210">
        <v>4.25</v>
      </c>
      <c r="T4608" s="8">
        <v>1.0001180555555556</v>
      </c>
      <c r="U4608" s="98">
        <v>4.2781776243506542</v>
      </c>
      <c r="V4608" s="106">
        <v>38408.381751068395</v>
      </c>
      <c r="W4608" s="10">
        <v>1.1612142787494228</v>
      </c>
      <c r="X4608" s="420"/>
      <c r="Y4608" s="420"/>
    </row>
    <row r="4609" spans="17:25">
      <c r="Q4609" s="6">
        <v>4579</v>
      </c>
      <c r="R4609" s="7">
        <v>47246</v>
      </c>
      <c r="S4609" s="210">
        <v>4.25</v>
      </c>
      <c r="T4609" s="8">
        <v>1.0001180555555556</v>
      </c>
      <c r="U4609" s="98">
        <v>4.2782048566338382</v>
      </c>
      <c r="V4609" s="106">
        <v>38411.578588363678</v>
      </c>
      <c r="W4609" s="10">
        <v>1.1612399896095305</v>
      </c>
      <c r="X4609" s="420"/>
      <c r="Y4609" s="420"/>
    </row>
    <row r="4610" spans="17:25">
      <c r="Q4610" s="6">
        <v>4580</v>
      </c>
      <c r="R4610" s="7">
        <v>47247</v>
      </c>
      <c r="S4610" s="210">
        <v>4.25</v>
      </c>
      <c r="T4610" s="8">
        <v>1.0001180555555556</v>
      </c>
      <c r="U4610" s="98">
        <v>4.2782320770323068</v>
      </c>
      <c r="V4610" s="106">
        <v>38414.775691740688</v>
      </c>
      <c r="W4610" s="10">
        <v>1.1612656892487028</v>
      </c>
      <c r="X4610" s="420"/>
      <c r="Y4610" s="420"/>
    </row>
    <row r="4611" spans="17:25">
      <c r="Q4611" s="6">
        <v>4581</v>
      </c>
      <c r="R4611" s="7">
        <v>47248</v>
      </c>
      <c r="S4611" s="210">
        <v>4.25</v>
      </c>
      <c r="T4611" s="8">
        <v>1.0001180555555556</v>
      </c>
      <c r="U4611" s="98">
        <v>4.2782592855538315</v>
      </c>
      <c r="V4611" s="106">
        <v>38417.973061221586</v>
      </c>
      <c r="W4611" s="10">
        <v>1.1612913776743117</v>
      </c>
      <c r="X4611" s="420"/>
      <c r="Y4611" s="420"/>
    </row>
    <row r="4612" spans="17:25">
      <c r="Q4612" s="6">
        <v>4582</v>
      </c>
      <c r="R4612" s="7">
        <v>47249</v>
      </c>
      <c r="S4612" s="210">
        <v>4.25</v>
      </c>
      <c r="T4612" s="8">
        <v>1.0001180555555556</v>
      </c>
      <c r="U4612" s="98">
        <v>4.2782864822061839</v>
      </c>
      <c r="V4612" s="106">
        <v>38421.170696828507</v>
      </c>
      <c r="W4612" s="10">
        <v>1.1613170548936624</v>
      </c>
      <c r="X4612" s="420"/>
      <c r="Y4612" s="420"/>
    </row>
    <row r="4613" spans="17:25">
      <c r="Q4613" s="6">
        <v>4583</v>
      </c>
      <c r="R4613" s="7">
        <v>47250</v>
      </c>
      <c r="S4613" s="210">
        <v>4.25</v>
      </c>
      <c r="T4613" s="8">
        <v>1.0001180555555556</v>
      </c>
      <c r="U4613" s="98">
        <v>4.2783136669971356</v>
      </c>
      <c r="V4613" s="106">
        <v>38424.368598583598</v>
      </c>
      <c r="W4613" s="10">
        <v>1.1613427209141269</v>
      </c>
      <c r="X4613" s="420"/>
      <c r="Y4613" s="420"/>
    </row>
    <row r="4614" spans="17:25">
      <c r="Q4614" s="6">
        <v>4584</v>
      </c>
      <c r="R4614" s="7">
        <v>47251</v>
      </c>
      <c r="S4614" s="210">
        <v>4.25</v>
      </c>
      <c r="T4614" s="8">
        <v>1.0001180555555556</v>
      </c>
      <c r="U4614" s="98">
        <v>4.2783408399344358</v>
      </c>
      <c r="V4614" s="106">
        <v>38427.566766509022</v>
      </c>
      <c r="W4614" s="10">
        <v>1.1613683757430104</v>
      </c>
      <c r="X4614" s="420"/>
      <c r="Y4614" s="420"/>
    </row>
    <row r="4615" spans="17:25">
      <c r="Q4615" s="6">
        <v>4585</v>
      </c>
      <c r="R4615" s="7">
        <v>47252</v>
      </c>
      <c r="S4615" s="210">
        <v>4.25</v>
      </c>
      <c r="T4615" s="8">
        <v>1.0001180555555556</v>
      </c>
      <c r="U4615" s="98">
        <v>4.278368001025834</v>
      </c>
      <c r="V4615" s="106">
        <v>38430.765200626927</v>
      </c>
      <c r="W4615" s="10">
        <v>1.161394019387596</v>
      </c>
      <c r="X4615" s="420"/>
      <c r="Y4615" s="420"/>
    </row>
    <row r="4616" spans="17:25">
      <c r="Q4616" s="6">
        <v>4586</v>
      </c>
      <c r="R4616" s="7">
        <v>47253</v>
      </c>
      <c r="S4616" s="210">
        <v>4.25</v>
      </c>
      <c r="T4616" s="8">
        <v>1.0001180555555556</v>
      </c>
      <c r="U4616" s="98">
        <v>4.2783951502790796</v>
      </c>
      <c r="V4616" s="106">
        <v>38433.963900959468</v>
      </c>
      <c r="W4616" s="10">
        <v>1.1614196518552555</v>
      </c>
      <c r="X4616" s="420"/>
      <c r="Y4616" s="420"/>
    </row>
    <row r="4617" spans="17:25">
      <c r="Q4617" s="6">
        <v>4587</v>
      </c>
      <c r="R4617" s="7">
        <v>47254</v>
      </c>
      <c r="S4617" s="210">
        <v>4.25</v>
      </c>
      <c r="T4617" s="8">
        <v>1.0001180555555556</v>
      </c>
      <c r="U4617" s="98">
        <v>4.2784222877019218</v>
      </c>
      <c r="V4617" s="106">
        <v>38437.162867528816</v>
      </c>
      <c r="W4617" s="10">
        <v>1.1614452731532721</v>
      </c>
      <c r="X4617" s="420"/>
      <c r="Y4617" s="420"/>
    </row>
    <row r="4618" spans="17:25">
      <c r="Q4618" s="6">
        <v>4588</v>
      </c>
      <c r="R4618" s="7">
        <v>47255</v>
      </c>
      <c r="S4618" s="210">
        <v>4.25</v>
      </c>
      <c r="T4618" s="8">
        <v>1.0001180555555556</v>
      </c>
      <c r="U4618" s="98">
        <v>4.2784494133020878</v>
      </c>
      <c r="V4618" s="106">
        <v>38440.362100357117</v>
      </c>
      <c r="W4618" s="10">
        <v>1.1614708832889509</v>
      </c>
      <c r="X4618" s="420"/>
      <c r="Y4618" s="420"/>
    </row>
    <row r="4619" spans="17:25">
      <c r="Q4619" s="6">
        <v>4589</v>
      </c>
      <c r="R4619" s="7">
        <v>47256</v>
      </c>
      <c r="S4619" s="210">
        <v>4.25</v>
      </c>
      <c r="T4619" s="8">
        <v>1.0001180555555556</v>
      </c>
      <c r="U4619" s="98">
        <v>4.2784765270872827</v>
      </c>
      <c r="V4619" s="106">
        <v>38443.561599466528</v>
      </c>
      <c r="W4619" s="10">
        <v>1.1614964822695528</v>
      </c>
      <c r="X4619" s="420"/>
      <c r="Y4619" s="420"/>
    </row>
    <row r="4620" spans="17:25">
      <c r="Q4620" s="6">
        <v>4590</v>
      </c>
      <c r="R4620" s="7">
        <v>47257</v>
      </c>
      <c r="S4620" s="210">
        <v>4.25</v>
      </c>
      <c r="T4620" s="8">
        <v>1.0001180555555556</v>
      </c>
      <c r="U4620" s="98">
        <v>4.2785036290652334</v>
      </c>
      <c r="V4620" s="106">
        <v>38446.761364879225</v>
      </c>
      <c r="W4620" s="10">
        <v>1.1615220701023832</v>
      </c>
      <c r="X4620" s="420"/>
      <c r="Y4620" s="420"/>
    </row>
    <row r="4621" spans="17:25">
      <c r="Q4621" s="6">
        <v>4591</v>
      </c>
      <c r="R4621" s="7">
        <v>47258</v>
      </c>
      <c r="S4621" s="210">
        <v>4.25</v>
      </c>
      <c r="T4621" s="8">
        <v>1.0001180555555556</v>
      </c>
      <c r="U4621" s="98">
        <v>4.2785307192436672</v>
      </c>
      <c r="V4621" s="106">
        <v>38449.961396617371</v>
      </c>
      <c r="W4621" s="10">
        <v>1.1615476467947472</v>
      </c>
      <c r="X4621" s="420"/>
      <c r="Y4621" s="420"/>
    </row>
    <row r="4622" spans="17:25">
      <c r="Q4622" s="6">
        <v>4592</v>
      </c>
      <c r="R4622" s="7">
        <v>47259</v>
      </c>
      <c r="S4622" s="210">
        <v>4.25</v>
      </c>
      <c r="T4622" s="8">
        <v>1.0001180555555556</v>
      </c>
      <c r="U4622" s="98">
        <v>4.2785577976302669</v>
      </c>
      <c r="V4622" s="106">
        <v>38453.161694703129</v>
      </c>
      <c r="W4622" s="10">
        <v>1.1615732123539058</v>
      </c>
      <c r="X4622" s="420"/>
      <c r="Y4622" s="420"/>
    </row>
    <row r="4623" spans="17:25">
      <c r="Q4623" s="6">
        <v>4593</v>
      </c>
      <c r="R4623" s="7">
        <v>47260</v>
      </c>
      <c r="S4623" s="210">
        <v>4.25</v>
      </c>
      <c r="T4623" s="8">
        <v>1.0001180555555556</v>
      </c>
      <c r="U4623" s="98">
        <v>4.2785848642327373</v>
      </c>
      <c r="V4623" s="106">
        <v>38456.362259158668</v>
      </c>
      <c r="W4623" s="10">
        <v>1.1615987667870975</v>
      </c>
      <c r="X4623" s="420"/>
      <c r="Y4623" s="420"/>
    </row>
    <row r="4624" spans="17:25">
      <c r="Q4624" s="6">
        <v>4594</v>
      </c>
      <c r="R4624" s="7">
        <v>47261</v>
      </c>
      <c r="S4624" s="210">
        <v>4.25</v>
      </c>
      <c r="T4624" s="8">
        <v>1.0001180555555556</v>
      </c>
      <c r="U4624" s="98">
        <v>4.2786119190587835</v>
      </c>
      <c r="V4624" s="106">
        <v>38459.563090006151</v>
      </c>
      <c r="W4624" s="10">
        <v>1.1616243101016277</v>
      </c>
      <c r="X4624" s="420"/>
      <c r="Y4624" s="420"/>
    </row>
    <row r="4625" spans="17:25">
      <c r="Q4625" s="6">
        <v>4595</v>
      </c>
      <c r="R4625" s="7">
        <v>47262</v>
      </c>
      <c r="S4625" s="210">
        <v>4.25</v>
      </c>
      <c r="T4625" s="8">
        <v>1.0001180555555556</v>
      </c>
      <c r="U4625" s="98">
        <v>4.2786389621160659</v>
      </c>
      <c r="V4625" s="106">
        <v>38462.76418726777</v>
      </c>
      <c r="W4625" s="10">
        <v>1.1616498423047128</v>
      </c>
      <c r="X4625" s="420"/>
      <c r="Y4625" s="420"/>
    </row>
    <row r="4626" spans="17:25">
      <c r="Q4626" s="6">
        <v>4596</v>
      </c>
      <c r="R4626" s="7">
        <v>47263</v>
      </c>
      <c r="S4626" s="210">
        <v>4.25</v>
      </c>
      <c r="T4626" s="8">
        <v>1.0001180555555556</v>
      </c>
      <c r="U4626" s="98">
        <v>4.2786659934122673</v>
      </c>
      <c r="V4626" s="106">
        <v>38465.965550965688</v>
      </c>
      <c r="W4626" s="10">
        <v>1.1616753634036137</v>
      </c>
      <c r="X4626" s="420"/>
      <c r="Y4626" s="420"/>
    </row>
    <row r="4627" spans="17:25">
      <c r="Q4627" s="6">
        <v>4597</v>
      </c>
      <c r="R4627" s="7">
        <v>47264</v>
      </c>
      <c r="S4627" s="210">
        <v>4.25</v>
      </c>
      <c r="T4627" s="8">
        <v>1.0001180555555556</v>
      </c>
      <c r="U4627" s="98">
        <v>4.2786930129550704</v>
      </c>
      <c r="V4627" s="106">
        <v>38469.16718112208</v>
      </c>
      <c r="W4627" s="10">
        <v>1.1617008734055911</v>
      </c>
      <c r="X4627" s="420"/>
      <c r="Y4627" s="420"/>
    </row>
    <row r="4628" spans="17:25">
      <c r="Q4628" s="6">
        <v>4598</v>
      </c>
      <c r="R4628" s="7">
        <v>47265</v>
      </c>
      <c r="S4628" s="210">
        <v>4.25</v>
      </c>
      <c r="T4628" s="8">
        <v>1.0001180555555556</v>
      </c>
      <c r="U4628" s="98">
        <v>4.2787200207521359</v>
      </c>
      <c r="V4628" s="106">
        <v>38472.369077759133</v>
      </c>
      <c r="W4628" s="10">
        <v>1.1617263723178617</v>
      </c>
      <c r="X4628" s="420"/>
      <c r="Y4628" s="420"/>
    </row>
    <row r="4629" spans="17:25">
      <c r="Q4629" s="6">
        <v>4599</v>
      </c>
      <c r="R4629" s="7">
        <v>47266</v>
      </c>
      <c r="S4629" s="210">
        <v>4.25</v>
      </c>
      <c r="T4629" s="8">
        <v>1.0001180555555556</v>
      </c>
      <c r="U4629" s="98">
        <v>4.2787470168111241</v>
      </c>
      <c r="V4629" s="106">
        <v>38475.571240899</v>
      </c>
      <c r="W4629" s="10">
        <v>1.1617518601476862</v>
      </c>
      <c r="X4629" s="420"/>
      <c r="Y4629" s="420"/>
    </row>
    <row r="4630" spans="17:25">
      <c r="Q4630" s="6">
        <v>4600</v>
      </c>
      <c r="R4630" s="7">
        <v>47267</v>
      </c>
      <c r="S4630" s="210">
        <v>4.25</v>
      </c>
      <c r="T4630" s="8">
        <v>1.0001180555555556</v>
      </c>
      <c r="U4630" s="98">
        <v>4.2787740011396735</v>
      </c>
      <c r="V4630" s="106">
        <v>38478.773670563904</v>
      </c>
      <c r="W4630" s="10">
        <v>1.1617773369022366</v>
      </c>
      <c r="X4630" s="420"/>
      <c r="Y4630" s="420"/>
    </row>
    <row r="4631" spans="17:25">
      <c r="Q4631" s="6">
        <v>4601</v>
      </c>
      <c r="R4631" s="7">
        <v>47268</v>
      </c>
      <c r="S4631" s="210">
        <v>4.25</v>
      </c>
      <c r="T4631" s="8">
        <v>1.0001180555555556</v>
      </c>
      <c r="U4631" s="98">
        <v>4.2788009737454447</v>
      </c>
      <c r="V4631" s="106">
        <v>38481.976366775998</v>
      </c>
      <c r="W4631" s="10">
        <v>1.1618028025887739</v>
      </c>
      <c r="X4631" s="420"/>
      <c r="Y4631" s="420"/>
    </row>
    <row r="4632" spans="17:25">
      <c r="Q4632" s="6">
        <v>4602</v>
      </c>
      <c r="R4632" s="7">
        <v>47269</v>
      </c>
      <c r="S4632" s="210">
        <v>4.25</v>
      </c>
      <c r="T4632" s="8">
        <v>1.0001180555555556</v>
      </c>
      <c r="U4632" s="98">
        <v>4.2788279346360536</v>
      </c>
      <c r="V4632" s="106">
        <v>38485.179329557483</v>
      </c>
      <c r="W4632" s="10">
        <v>1.16182825721447</v>
      </c>
      <c r="X4632" s="420"/>
      <c r="Y4632" s="420"/>
    </row>
    <row r="4633" spans="17:25">
      <c r="Q4633" s="6">
        <v>4603</v>
      </c>
      <c r="R4633" s="7">
        <v>47270</v>
      </c>
      <c r="S4633" s="210">
        <v>4.25</v>
      </c>
      <c r="T4633" s="8">
        <v>1.0001180555555556</v>
      </c>
      <c r="U4633" s="98">
        <v>4.2788548838191387</v>
      </c>
      <c r="V4633" s="106">
        <v>38488.382558930527</v>
      </c>
      <c r="W4633" s="10">
        <v>1.1618537007865637</v>
      </c>
      <c r="X4633" s="420"/>
      <c r="Y4633" s="420"/>
    </row>
    <row r="4634" spans="17:25">
      <c r="Q4634" s="6">
        <v>4604</v>
      </c>
      <c r="R4634" s="7">
        <v>47271</v>
      </c>
      <c r="S4634" s="210">
        <v>4.25</v>
      </c>
      <c r="T4634" s="8">
        <v>1.0001180555555556</v>
      </c>
      <c r="U4634" s="98">
        <v>4.2788818213023383</v>
      </c>
      <c r="V4634" s="106">
        <v>38491.586054917345</v>
      </c>
      <c r="W4634" s="10">
        <v>1.1618791333122491</v>
      </c>
      <c r="X4634" s="420"/>
      <c r="Y4634" s="420"/>
    </row>
    <row r="4635" spans="17:25">
      <c r="Q4635" s="6">
        <v>4605</v>
      </c>
      <c r="R4635" s="7">
        <v>47272</v>
      </c>
      <c r="S4635" s="210">
        <v>4.25</v>
      </c>
      <c r="T4635" s="8">
        <v>1.0001180555555556</v>
      </c>
      <c r="U4635" s="98">
        <v>4.2789087470932463</v>
      </c>
      <c r="V4635" s="106">
        <v>38494.789817540106</v>
      </c>
      <c r="W4635" s="10">
        <v>1.1619045547986984</v>
      </c>
      <c r="X4635" s="420"/>
      <c r="Y4635" s="420"/>
    </row>
    <row r="4636" spans="17:25">
      <c r="Q4636" s="6">
        <v>4606</v>
      </c>
      <c r="R4636" s="7">
        <v>47273</v>
      </c>
      <c r="S4636" s="210">
        <v>4.25</v>
      </c>
      <c r="T4636" s="8">
        <v>1.0001180555555556</v>
      </c>
      <c r="U4636" s="98">
        <v>4.2789356611995011</v>
      </c>
      <c r="V4636" s="106">
        <v>38497.993846821024</v>
      </c>
      <c r="W4636" s="10">
        <v>1.1619299652531057</v>
      </c>
      <c r="X4636" s="420"/>
      <c r="Y4636" s="420"/>
    </row>
    <row r="4637" spans="17:25">
      <c r="Q4637" s="6">
        <v>4607</v>
      </c>
      <c r="R4637" s="7">
        <v>47274</v>
      </c>
      <c r="S4637" s="210">
        <v>4.25</v>
      </c>
      <c r="T4637" s="8">
        <v>1.0001180555555556</v>
      </c>
      <c r="U4637" s="98">
        <v>4.2789625636286743</v>
      </c>
      <c r="V4637" s="106">
        <v>38501.198142782268</v>
      </c>
      <c r="W4637" s="10">
        <v>1.1619553646826652</v>
      </c>
      <c r="X4637" s="420"/>
      <c r="Y4637" s="420"/>
    </row>
    <row r="4638" spans="17:25">
      <c r="Q4638" s="6">
        <v>4608</v>
      </c>
      <c r="R4638" s="7">
        <v>47275</v>
      </c>
      <c r="S4638" s="210">
        <v>4.25</v>
      </c>
      <c r="T4638" s="8">
        <v>1.0001180555555556</v>
      </c>
      <c r="U4638" s="98">
        <v>4.2789894543883822</v>
      </c>
      <c r="V4638" s="106">
        <v>38504.40270544606</v>
      </c>
      <c r="W4638" s="10">
        <v>1.1619807530945048</v>
      </c>
      <c r="X4638" s="420"/>
      <c r="Y4638" s="420"/>
    </row>
    <row r="4639" spans="17:25">
      <c r="Q4639" s="6">
        <v>4609</v>
      </c>
      <c r="R4639" s="7">
        <v>47276</v>
      </c>
      <c r="S4639" s="210">
        <v>4.25</v>
      </c>
      <c r="T4639" s="8">
        <v>1.0001180555555556</v>
      </c>
      <c r="U4639" s="98">
        <v>4.2790163334862186</v>
      </c>
      <c r="V4639" s="106">
        <v>38507.607534834577</v>
      </c>
      <c r="W4639" s="10">
        <v>1.1620061304958629</v>
      </c>
      <c r="X4639" s="420"/>
      <c r="Y4639" s="420"/>
    </row>
    <row r="4640" spans="17:25">
      <c r="Q4640" s="6">
        <v>4610</v>
      </c>
      <c r="R4640" s="7">
        <v>47277</v>
      </c>
      <c r="S4640" s="210">
        <v>4.25</v>
      </c>
      <c r="T4640" s="8">
        <v>1.0001180555555556</v>
      </c>
      <c r="U4640" s="98">
        <v>4.2790432009297774</v>
      </c>
      <c r="V4640" s="106">
        <v>38510.812630970038</v>
      </c>
      <c r="W4640" s="10">
        <v>1.1620314968938672</v>
      </c>
      <c r="X4640" s="420"/>
      <c r="Y4640" s="420"/>
    </row>
    <row r="4641" spans="17:25">
      <c r="Q4641" s="6">
        <v>4611</v>
      </c>
      <c r="R4641" s="7">
        <v>47278</v>
      </c>
      <c r="S4641" s="210">
        <v>4.25</v>
      </c>
      <c r="T4641" s="8">
        <v>1.0001180555555556</v>
      </c>
      <c r="U4641" s="98">
        <v>4.2790700567266082</v>
      </c>
      <c r="V4641" s="106">
        <v>38514.017993874637</v>
      </c>
      <c r="W4641" s="10">
        <v>1.1620568522956454</v>
      </c>
      <c r="X4641" s="420"/>
      <c r="Y4641" s="420"/>
    </row>
    <row r="4642" spans="17:25">
      <c r="Q4642" s="6">
        <v>4612</v>
      </c>
      <c r="R4642" s="7">
        <v>47279</v>
      </c>
      <c r="S4642" s="210">
        <v>4.25</v>
      </c>
      <c r="T4642" s="8">
        <v>1.0001180555555556</v>
      </c>
      <c r="U4642" s="98">
        <v>4.2790969008843049</v>
      </c>
      <c r="V4642" s="106">
        <v>38517.223623570571</v>
      </c>
      <c r="W4642" s="10">
        <v>1.1620821967083916</v>
      </c>
      <c r="X4642" s="420"/>
      <c r="Y4642" s="420"/>
    </row>
    <row r="4643" spans="17:25">
      <c r="Q4643" s="6">
        <v>4613</v>
      </c>
      <c r="R4643" s="7">
        <v>47280</v>
      </c>
      <c r="S4643" s="210">
        <v>4.25</v>
      </c>
      <c r="T4643" s="8">
        <v>1.0001180555555556</v>
      </c>
      <c r="U4643" s="98">
        <v>4.2791237334104393</v>
      </c>
      <c r="V4643" s="106">
        <v>38520.429520080055</v>
      </c>
      <c r="W4643" s="10">
        <v>1.1621075301392336</v>
      </c>
      <c r="X4643" s="420"/>
      <c r="Y4643" s="420"/>
    </row>
    <row r="4644" spans="17:25">
      <c r="Q4644" s="6">
        <v>4614</v>
      </c>
      <c r="R4644" s="7">
        <v>47281</v>
      </c>
      <c r="S4644" s="210">
        <v>4.25</v>
      </c>
      <c r="T4644" s="8">
        <v>1.0001180555555556</v>
      </c>
      <c r="U4644" s="98">
        <v>4.2791505543125385</v>
      </c>
      <c r="V4644" s="106">
        <v>38523.635683425287</v>
      </c>
      <c r="W4644" s="10">
        <v>1.1621328525952768</v>
      </c>
      <c r="X4644" s="420"/>
      <c r="Y4644" s="420"/>
    </row>
    <row r="4645" spans="17:25">
      <c r="Q4645" s="6">
        <v>4615</v>
      </c>
      <c r="R4645" s="7">
        <v>47282</v>
      </c>
      <c r="S4645" s="210">
        <v>4.25</v>
      </c>
      <c r="T4645" s="8">
        <v>1.0001180555555556</v>
      </c>
      <c r="U4645" s="98">
        <v>4.2791773635981745</v>
      </c>
      <c r="V4645" s="106">
        <v>38526.842113628496</v>
      </c>
      <c r="W4645" s="10">
        <v>1.1621581640836709</v>
      </c>
      <c r="X4645" s="420"/>
      <c r="Y4645" s="420"/>
    </row>
    <row r="4646" spans="17:25">
      <c r="Q4646" s="6">
        <v>4616</v>
      </c>
      <c r="R4646" s="7">
        <v>47283</v>
      </c>
      <c r="S4646" s="210">
        <v>4.25</v>
      </c>
      <c r="T4646" s="8">
        <v>1.0001180555555556</v>
      </c>
      <c r="U4646" s="98">
        <v>4.2792041612748966</v>
      </c>
      <c r="V4646" s="106">
        <v>38530.048810711873</v>
      </c>
      <c r="W4646" s="10">
        <v>1.1621834646115659</v>
      </c>
      <c r="X4646" s="420"/>
      <c r="Y4646" s="420"/>
    </row>
    <row r="4647" spans="17:25">
      <c r="Q4647" s="6">
        <v>4617</v>
      </c>
      <c r="R4647" s="7">
        <v>47284</v>
      </c>
      <c r="S4647" s="210">
        <v>4.25</v>
      </c>
      <c r="T4647" s="8">
        <v>1.0001180555555556</v>
      </c>
      <c r="U4647" s="98">
        <v>4.2792309473502321</v>
      </c>
      <c r="V4647" s="106">
        <v>38533.255774697638</v>
      </c>
      <c r="W4647" s="10">
        <v>1.1622087541860449</v>
      </c>
      <c r="X4647" s="420"/>
      <c r="Y4647" s="420"/>
    </row>
    <row r="4648" spans="17:25">
      <c r="Q4648" s="6">
        <v>4618</v>
      </c>
      <c r="R4648" s="7">
        <v>47285</v>
      </c>
      <c r="S4648" s="210">
        <v>4.25</v>
      </c>
      <c r="T4648" s="8">
        <v>1.0001180555555556</v>
      </c>
      <c r="U4648" s="98">
        <v>4.2792577218317307</v>
      </c>
      <c r="V4648" s="106">
        <v>38536.463005608006</v>
      </c>
      <c r="W4648" s="10">
        <v>1.1622340328142577</v>
      </c>
      <c r="X4648" s="420"/>
      <c r="Y4648" s="420"/>
    </row>
    <row r="4649" spans="17:25">
      <c r="Q4649" s="6">
        <v>4619</v>
      </c>
      <c r="R4649" s="7">
        <v>47286</v>
      </c>
      <c r="S4649" s="210">
        <v>4.25</v>
      </c>
      <c r="T4649" s="8">
        <v>1.0001180555555556</v>
      </c>
      <c r="U4649" s="98">
        <v>4.2792844847268974</v>
      </c>
      <c r="V4649" s="106">
        <v>38539.67050346519</v>
      </c>
      <c r="W4649" s="10">
        <v>1.1622593005032655</v>
      </c>
      <c r="X4649" s="420"/>
      <c r="Y4649" s="420"/>
    </row>
    <row r="4650" spans="17:25">
      <c r="Q4650" s="6">
        <v>4620</v>
      </c>
      <c r="R4650" s="7">
        <v>47287</v>
      </c>
      <c r="S4650" s="210">
        <v>4.25</v>
      </c>
      <c r="T4650" s="8">
        <v>1.0001180555555556</v>
      </c>
      <c r="U4650" s="98">
        <v>4.2793112360432595</v>
      </c>
      <c r="V4650" s="106">
        <v>38542.878268291424</v>
      </c>
      <c r="W4650" s="10">
        <v>1.1622845572601959</v>
      </c>
      <c r="X4650" s="420"/>
      <c r="Y4650" s="420"/>
    </row>
    <row r="4651" spans="17:25">
      <c r="Q4651" s="6">
        <v>4621</v>
      </c>
      <c r="R4651" s="7">
        <v>47288</v>
      </c>
      <c r="S4651" s="210">
        <v>4.25</v>
      </c>
      <c r="T4651" s="8">
        <v>1.0001180555555556</v>
      </c>
      <c r="U4651" s="98">
        <v>4.2793379757883221</v>
      </c>
      <c r="V4651" s="106">
        <v>38546.086300108916</v>
      </c>
      <c r="W4651" s="10">
        <v>1.1623098030921097</v>
      </c>
      <c r="X4651" s="420"/>
      <c r="Y4651" s="420"/>
    </row>
    <row r="4652" spans="17:25">
      <c r="Q4652" s="6">
        <v>4622</v>
      </c>
      <c r="R4652" s="7">
        <v>47289</v>
      </c>
      <c r="S4652" s="210">
        <v>4.25</v>
      </c>
      <c r="T4652" s="8">
        <v>1.0001180555555556</v>
      </c>
      <c r="U4652" s="98">
        <v>4.2793647039696125</v>
      </c>
      <c r="V4652" s="106">
        <v>38549.29459893988</v>
      </c>
      <c r="W4652" s="10">
        <v>1.162335038006157</v>
      </c>
      <c r="X4652" s="420"/>
      <c r="Y4652" s="420"/>
    </row>
    <row r="4653" spans="17:25">
      <c r="Q4653" s="6">
        <v>4623</v>
      </c>
      <c r="R4653" s="7">
        <v>47290</v>
      </c>
      <c r="S4653" s="210">
        <v>4.25</v>
      </c>
      <c r="T4653" s="8">
        <v>1.0001180555555556</v>
      </c>
      <c r="U4653" s="98">
        <v>4.2793914205946137</v>
      </c>
      <c r="V4653" s="106">
        <v>38552.503164806563</v>
      </c>
      <c r="W4653" s="10">
        <v>1.1623602620093543</v>
      </c>
      <c r="X4653" s="420"/>
      <c r="Y4653" s="420"/>
    </row>
    <row r="4654" spans="17:25">
      <c r="Q4654" s="6">
        <v>4624</v>
      </c>
      <c r="R4654" s="7">
        <v>47291</v>
      </c>
      <c r="S4654" s="210">
        <v>4.25</v>
      </c>
      <c r="T4654" s="8">
        <v>1.0001180555555556</v>
      </c>
      <c r="U4654" s="98">
        <v>4.2794181256708086</v>
      </c>
      <c r="V4654" s="106">
        <v>38555.711997731167</v>
      </c>
      <c r="W4654" s="10">
        <v>1.162385475108807</v>
      </c>
      <c r="X4654" s="420"/>
      <c r="Y4654" s="420"/>
    </row>
    <row r="4655" spans="17:25">
      <c r="Q4655" s="6">
        <v>4625</v>
      </c>
      <c r="R4655" s="7">
        <v>47292</v>
      </c>
      <c r="S4655" s="210">
        <v>4.25</v>
      </c>
      <c r="T4655" s="8">
        <v>1.0001180555555556</v>
      </c>
      <c r="U4655" s="98">
        <v>4.2794448192057022</v>
      </c>
      <c r="V4655" s="106">
        <v>38558.92109773594</v>
      </c>
      <c r="W4655" s="10">
        <v>1.1624106773115539</v>
      </c>
      <c r="X4655" s="420"/>
      <c r="Y4655" s="420"/>
    </row>
    <row r="4656" spans="17:25">
      <c r="Q4656" s="6">
        <v>4626</v>
      </c>
      <c r="R4656" s="7">
        <v>47293</v>
      </c>
      <c r="S4656" s="210">
        <v>4.25</v>
      </c>
      <c r="T4656" s="8">
        <v>1.0001180555555556</v>
      </c>
      <c r="U4656" s="98">
        <v>4.2794715012067774</v>
      </c>
      <c r="V4656" s="106">
        <v>38562.130464843103</v>
      </c>
      <c r="W4656" s="10">
        <v>1.1624358686247227</v>
      </c>
      <c r="X4656" s="420"/>
      <c r="Y4656" s="420"/>
    </row>
    <row r="4657" spans="17:25">
      <c r="Q4657" s="6">
        <v>4627</v>
      </c>
      <c r="R4657" s="7">
        <v>47294</v>
      </c>
      <c r="S4657" s="210">
        <v>4.25</v>
      </c>
      <c r="T4657" s="8">
        <v>1.0001180555555556</v>
      </c>
      <c r="U4657" s="98">
        <v>4.279498171681495</v>
      </c>
      <c r="V4657" s="106">
        <v>38565.340099074878</v>
      </c>
      <c r="W4657" s="10">
        <v>1.1624610490553078</v>
      </c>
      <c r="X4657" s="420"/>
      <c r="Y4657" s="420"/>
    </row>
    <row r="4658" spans="17:25">
      <c r="Q4658" s="6">
        <v>4628</v>
      </c>
      <c r="R4658" s="7">
        <v>47295</v>
      </c>
      <c r="S4658" s="210">
        <v>4.25</v>
      </c>
      <c r="T4658" s="8">
        <v>1.0001180555555556</v>
      </c>
      <c r="U4658" s="98">
        <v>4.2795248306373379</v>
      </c>
      <c r="V4658" s="106">
        <v>38568.550000453521</v>
      </c>
      <c r="W4658" s="10">
        <v>1.1624862186103702</v>
      </c>
      <c r="X4658" s="420"/>
      <c r="Y4658" s="420"/>
    </row>
    <row r="4659" spans="17:25">
      <c r="Q4659" s="6">
        <v>4629</v>
      </c>
      <c r="R4659" s="7">
        <v>47296</v>
      </c>
      <c r="S4659" s="210">
        <v>4.25</v>
      </c>
      <c r="T4659" s="8">
        <v>1.0001180555555556</v>
      </c>
      <c r="U4659" s="98">
        <v>4.2795514780817445</v>
      </c>
      <c r="V4659" s="106">
        <v>38571.760169001253</v>
      </c>
      <c r="W4659" s="10">
        <v>1.1625113772969708</v>
      </c>
      <c r="X4659" s="420"/>
      <c r="Y4659" s="420"/>
    </row>
    <row r="4660" spans="17:25">
      <c r="Q4660" s="6">
        <v>4630</v>
      </c>
      <c r="R4660" s="7">
        <v>47297</v>
      </c>
      <c r="S4660" s="210">
        <v>4.25</v>
      </c>
      <c r="T4660" s="8">
        <v>1.0001180555555556</v>
      </c>
      <c r="U4660" s="98">
        <v>4.2795781140221756</v>
      </c>
      <c r="V4660" s="106">
        <v>38574.970604740316</v>
      </c>
      <c r="W4660" s="10">
        <v>1.1625365251221487</v>
      </c>
      <c r="X4660" s="420"/>
      <c r="Y4660" s="420"/>
    </row>
    <row r="4661" spans="17:25">
      <c r="Q4661" s="6">
        <v>4631</v>
      </c>
      <c r="R4661" s="7">
        <v>47298</v>
      </c>
      <c r="S4661" s="210">
        <v>4.25</v>
      </c>
      <c r="T4661" s="8">
        <v>1.0001180555555556</v>
      </c>
      <c r="U4661" s="98">
        <v>4.2796047384660918</v>
      </c>
      <c r="V4661" s="106">
        <v>38578.181307692932</v>
      </c>
      <c r="W4661" s="10">
        <v>1.1625616620929202</v>
      </c>
      <c r="X4661" s="420"/>
      <c r="Y4661" s="420"/>
    </row>
    <row r="4662" spans="17:25">
      <c r="Q4662" s="6">
        <v>4632</v>
      </c>
      <c r="R4662" s="7">
        <v>47299</v>
      </c>
      <c r="S4662" s="210">
        <v>4.25</v>
      </c>
      <c r="T4662" s="8">
        <v>1.0001180555555556</v>
      </c>
      <c r="U4662" s="98">
        <v>4.2796313514209317</v>
      </c>
      <c r="V4662" s="106">
        <v>38581.392277881372</v>
      </c>
      <c r="W4662" s="10">
        <v>1.1625867882163243</v>
      </c>
      <c r="X4662" s="420"/>
      <c r="Y4662" s="420"/>
    </row>
    <row r="4663" spans="17:25">
      <c r="Q4663" s="6">
        <v>4633</v>
      </c>
      <c r="R4663" s="7">
        <v>47300</v>
      </c>
      <c r="S4663" s="210">
        <v>4.25</v>
      </c>
      <c r="T4663" s="8">
        <v>1.0001180555555556</v>
      </c>
      <c r="U4663" s="98">
        <v>4.2796579528941114</v>
      </c>
      <c r="V4663" s="106">
        <v>38584.603515327857</v>
      </c>
      <c r="W4663" s="10">
        <v>1.1626119034993776</v>
      </c>
      <c r="X4663" s="420"/>
      <c r="Y4663" s="420"/>
    </row>
    <row r="4664" spans="17:25">
      <c r="Q4664" s="6">
        <v>4634</v>
      </c>
      <c r="R4664" s="7">
        <v>47301</v>
      </c>
      <c r="S4664" s="210">
        <v>4.25</v>
      </c>
      <c r="T4664" s="8">
        <v>1.0001180555555556</v>
      </c>
      <c r="U4664" s="98">
        <v>4.2796845428930919</v>
      </c>
      <c r="V4664" s="106">
        <v>38587.815020054637</v>
      </c>
      <c r="W4664" s="10">
        <v>1.1626370079490966</v>
      </c>
      <c r="X4664" s="420"/>
      <c r="Y4664" s="420"/>
    </row>
    <row r="4665" spans="17:25">
      <c r="Q4665" s="6">
        <v>4635</v>
      </c>
      <c r="R4665" s="7">
        <v>47302</v>
      </c>
      <c r="S4665" s="210">
        <v>4.25</v>
      </c>
      <c r="T4665" s="8">
        <v>1.0001180555555556</v>
      </c>
      <c r="U4665" s="98">
        <v>4.279711121425267</v>
      </c>
      <c r="V4665" s="106">
        <v>38591.026792083954</v>
      </c>
      <c r="W4665" s="10">
        <v>1.1626621015724758</v>
      </c>
      <c r="X4665" s="420"/>
      <c r="Y4665" s="420"/>
    </row>
    <row r="4666" spans="17:25">
      <c r="Q4666" s="6">
        <v>4636</v>
      </c>
      <c r="R4666" s="7">
        <v>47303</v>
      </c>
      <c r="S4666" s="210">
        <v>4.25</v>
      </c>
      <c r="T4666" s="8">
        <v>1.0001180555555556</v>
      </c>
      <c r="U4666" s="98">
        <v>4.2797376884980753</v>
      </c>
      <c r="V4666" s="106">
        <v>38594.238831438073</v>
      </c>
      <c r="W4666" s="10">
        <v>1.1626871843765318</v>
      </c>
      <c r="X4666" s="420"/>
      <c r="Y4666" s="420"/>
    </row>
    <row r="4667" spans="17:25">
      <c r="Q4667" s="6">
        <v>4637</v>
      </c>
      <c r="R4667" s="7">
        <v>47304</v>
      </c>
      <c r="S4667" s="210">
        <v>4.25</v>
      </c>
      <c r="T4667" s="8">
        <v>1.0001180555555556</v>
      </c>
      <c r="U4667" s="98">
        <v>4.279764244118911</v>
      </c>
      <c r="V4667" s="106">
        <v>38597.451138139229</v>
      </c>
      <c r="W4667" s="10">
        <v>1.1627122563682368</v>
      </c>
      <c r="X4667" s="420"/>
      <c r="Y4667" s="420"/>
    </row>
    <row r="4668" spans="17:25">
      <c r="Q4668" s="6">
        <v>4638</v>
      </c>
      <c r="R4668" s="7">
        <v>47305</v>
      </c>
      <c r="S4668" s="210">
        <v>4.25</v>
      </c>
      <c r="T4668" s="8">
        <v>1.0001180555555556</v>
      </c>
      <c r="U4668" s="98">
        <v>4.279790788295168</v>
      </c>
      <c r="V4668" s="106">
        <v>38600.663712209673</v>
      </c>
      <c r="W4668" s="10">
        <v>1.1627373175546074</v>
      </c>
      <c r="X4668" s="420"/>
      <c r="Y4668" s="420"/>
    </row>
    <row r="4669" spans="17:25">
      <c r="Q4669" s="6">
        <v>4639</v>
      </c>
      <c r="R4669" s="7">
        <v>47306</v>
      </c>
      <c r="S4669" s="210">
        <v>4.25</v>
      </c>
      <c r="T4669" s="8">
        <v>1.0001180555555556</v>
      </c>
      <c r="U4669" s="98">
        <v>4.2798173210342627</v>
      </c>
      <c r="V4669" s="106">
        <v>38603.876553671667</v>
      </c>
      <c r="W4669" s="10">
        <v>1.162762367942638</v>
      </c>
      <c r="X4669" s="420"/>
      <c r="Y4669" s="420"/>
    </row>
    <row r="4670" spans="17:25">
      <c r="Q4670" s="6">
        <v>4640</v>
      </c>
      <c r="R4670" s="7">
        <v>47307</v>
      </c>
      <c r="S4670" s="210">
        <v>4.25</v>
      </c>
      <c r="T4670" s="8">
        <v>1.0001180555555556</v>
      </c>
      <c r="U4670" s="98">
        <v>4.2798438423435892</v>
      </c>
      <c r="V4670" s="106">
        <v>38607.089662547463</v>
      </c>
      <c r="W4670" s="10">
        <v>1.1627874075392786</v>
      </c>
      <c r="X4670" s="420"/>
      <c r="Y4670" s="420"/>
    </row>
    <row r="4671" spans="17:25">
      <c r="Q4671" s="6">
        <v>4641</v>
      </c>
      <c r="R4671" s="7">
        <v>47308</v>
      </c>
      <c r="S4671" s="210">
        <v>4.25</v>
      </c>
      <c r="T4671" s="8">
        <v>1.0001180555555556</v>
      </c>
      <c r="U4671" s="98">
        <v>4.2798703522305193</v>
      </c>
      <c r="V4671" s="106">
        <v>38610.303038859318</v>
      </c>
      <c r="W4671" s="10">
        <v>1.1628124363515013</v>
      </c>
      <c r="X4671" s="420"/>
      <c r="Y4671" s="420"/>
    </row>
    <row r="4672" spans="17:25">
      <c r="Q4672" s="6">
        <v>4642</v>
      </c>
      <c r="R4672" s="7">
        <v>47309</v>
      </c>
      <c r="S4672" s="210">
        <v>4.25</v>
      </c>
      <c r="T4672" s="8">
        <v>1.0001180555555556</v>
      </c>
      <c r="U4672" s="98">
        <v>4.2798968507024249</v>
      </c>
      <c r="V4672" s="106">
        <v>38613.516682629495</v>
      </c>
      <c r="W4672" s="10">
        <v>1.1628374543862785</v>
      </c>
      <c r="X4672" s="420"/>
      <c r="Y4672" s="420"/>
    </row>
    <row r="4673" spans="17:25">
      <c r="Q4673" s="6">
        <v>4643</v>
      </c>
      <c r="R4673" s="7">
        <v>47310</v>
      </c>
      <c r="S4673" s="210">
        <v>4.25</v>
      </c>
      <c r="T4673" s="8">
        <v>1.0001180555555556</v>
      </c>
      <c r="U4673" s="98">
        <v>4.2799233377666779</v>
      </c>
      <c r="V4673" s="106">
        <v>38616.730593880253</v>
      </c>
      <c r="W4673" s="10">
        <v>1.1628624616505823</v>
      </c>
      <c r="X4673" s="420"/>
      <c r="Y4673" s="420"/>
    </row>
    <row r="4674" spans="17:25">
      <c r="Q4674" s="6">
        <v>4644</v>
      </c>
      <c r="R4674" s="7">
        <v>47311</v>
      </c>
      <c r="S4674" s="210">
        <v>4.25</v>
      </c>
      <c r="T4674" s="8">
        <v>1.0001180555555556</v>
      </c>
      <c r="U4674" s="98">
        <v>4.2799498134306502</v>
      </c>
      <c r="V4674" s="106">
        <v>38619.944772633855</v>
      </c>
      <c r="W4674" s="10">
        <v>1.1628874581513404</v>
      </c>
      <c r="X4674" s="420"/>
      <c r="Y4674" s="420"/>
    </row>
    <row r="4675" spans="17:25">
      <c r="Q4675" s="6">
        <v>4645</v>
      </c>
      <c r="R4675" s="7">
        <v>47312</v>
      </c>
      <c r="S4675" s="210">
        <v>4.25</v>
      </c>
      <c r="T4675" s="8">
        <v>1.0001180555555556</v>
      </c>
      <c r="U4675" s="98">
        <v>4.2799762777017136</v>
      </c>
      <c r="V4675" s="106">
        <v>38623.159218912566</v>
      </c>
      <c r="W4675" s="10">
        <v>1.1629124438955252</v>
      </c>
      <c r="X4675" s="420"/>
      <c r="Y4675" s="420"/>
    </row>
    <row r="4676" spans="17:25">
      <c r="Q4676" s="6">
        <v>4646</v>
      </c>
      <c r="R4676" s="7">
        <v>47313</v>
      </c>
      <c r="S4676" s="210">
        <v>4.25</v>
      </c>
      <c r="T4676" s="8">
        <v>1.0001180555555556</v>
      </c>
      <c r="U4676" s="98">
        <v>4.2800027305871957</v>
      </c>
      <c r="V4676" s="106">
        <v>38626.37393273865</v>
      </c>
      <c r="W4676" s="10">
        <v>1.1629374188900421</v>
      </c>
      <c r="X4676" s="420"/>
      <c r="Y4676" s="420"/>
    </row>
    <row r="4677" spans="17:25">
      <c r="Q4677" s="6">
        <v>4647</v>
      </c>
      <c r="R4677" s="7">
        <v>47314</v>
      </c>
      <c r="S4677" s="210">
        <v>4.25</v>
      </c>
      <c r="T4677" s="8">
        <v>1.0001180555555556</v>
      </c>
      <c r="U4677" s="98">
        <v>4.2800291720944683</v>
      </c>
      <c r="V4677" s="106">
        <v>38629.58891413438</v>
      </c>
      <c r="W4677" s="10">
        <v>1.1629623831418856</v>
      </c>
      <c r="X4677" s="420"/>
      <c r="Y4677" s="420"/>
    </row>
    <row r="4678" spans="17:25">
      <c r="Q4678" s="6">
        <v>4648</v>
      </c>
      <c r="R4678" s="7">
        <v>47315</v>
      </c>
      <c r="S4678" s="210">
        <v>4.25</v>
      </c>
      <c r="T4678" s="8">
        <v>1.0001180555555556</v>
      </c>
      <c r="U4678" s="98">
        <v>4.2800556022308367</v>
      </c>
      <c r="V4678" s="106">
        <v>38632.804163122019</v>
      </c>
      <c r="W4678" s="10">
        <v>1.1629873366579391</v>
      </c>
      <c r="X4678" s="420"/>
      <c r="Y4678" s="420"/>
    </row>
    <row r="4679" spans="17:25">
      <c r="Q4679" s="6">
        <v>4649</v>
      </c>
      <c r="R4679" s="7">
        <v>47316</v>
      </c>
      <c r="S4679" s="210">
        <v>4.25</v>
      </c>
      <c r="T4679" s="8">
        <v>1.0001180555555556</v>
      </c>
      <c r="U4679" s="98">
        <v>4.2800820210036727</v>
      </c>
      <c r="V4679" s="106">
        <v>38636.019679723853</v>
      </c>
      <c r="W4679" s="10">
        <v>1.1630122794451525</v>
      </c>
      <c r="X4679" s="420"/>
      <c r="Y4679" s="420"/>
    </row>
    <row r="4680" spans="17:25">
      <c r="Q4680" s="6">
        <v>4650</v>
      </c>
      <c r="R4680" s="7">
        <v>47317</v>
      </c>
      <c r="S4680" s="210">
        <v>4.25</v>
      </c>
      <c r="T4680" s="8">
        <v>1.0001180555555556</v>
      </c>
      <c r="U4680" s="98">
        <v>4.2801084284202817</v>
      </c>
      <c r="V4680" s="106">
        <v>38639.235463962148</v>
      </c>
      <c r="W4680" s="10">
        <v>1.1630372115104315</v>
      </c>
      <c r="X4680" s="420"/>
      <c r="Y4680" s="420"/>
    </row>
    <row r="4681" spans="17:25">
      <c r="Q4681" s="6">
        <v>4651</v>
      </c>
      <c r="R4681" s="7">
        <v>47318</v>
      </c>
      <c r="S4681" s="210">
        <v>4.25</v>
      </c>
      <c r="T4681" s="8">
        <v>1.0001180555555556</v>
      </c>
      <c r="U4681" s="98">
        <v>4.2801348244879689</v>
      </c>
      <c r="V4681" s="106">
        <v>38642.451515859182</v>
      </c>
      <c r="W4681" s="10">
        <v>1.1630621328606594</v>
      </c>
      <c r="X4681" s="420"/>
      <c r="Y4681" s="420"/>
    </row>
    <row r="4682" spans="17:25">
      <c r="Q4682" s="6">
        <v>4652</v>
      </c>
      <c r="R4682" s="7">
        <v>47319</v>
      </c>
      <c r="S4682" s="210">
        <v>4.25</v>
      </c>
      <c r="T4682" s="8">
        <v>1.0001180555555556</v>
      </c>
      <c r="U4682" s="98">
        <v>4.2801612092140839</v>
      </c>
      <c r="V4682" s="106">
        <v>38645.667835437227</v>
      </c>
      <c r="W4682" s="10">
        <v>1.1630870435028084</v>
      </c>
      <c r="X4682" s="420"/>
      <c r="Y4682" s="420"/>
    </row>
    <row r="4683" spans="17:25">
      <c r="Q4683" s="6">
        <v>4653</v>
      </c>
      <c r="R4683" s="7">
        <v>47320</v>
      </c>
      <c r="S4683" s="210">
        <v>4.25</v>
      </c>
      <c r="T4683" s="8">
        <v>1.0001180555555556</v>
      </c>
      <c r="U4683" s="98">
        <v>4.2801875826059099</v>
      </c>
      <c r="V4683" s="106">
        <v>38648.884422718576</v>
      </c>
      <c r="W4683" s="10">
        <v>1.1631119434437176</v>
      </c>
      <c r="X4683" s="420"/>
      <c r="Y4683" s="420"/>
    </row>
    <row r="4684" spans="17:25">
      <c r="Q4684" s="6">
        <v>4654</v>
      </c>
      <c r="R4684" s="7">
        <v>47321</v>
      </c>
      <c r="S4684" s="210">
        <v>4.25</v>
      </c>
      <c r="T4684" s="8">
        <v>1.0001180555555556</v>
      </c>
      <c r="U4684" s="98">
        <v>4.2802139446707521</v>
      </c>
      <c r="V4684" s="106">
        <v>38652.101277725495</v>
      </c>
      <c r="W4684" s="10">
        <v>1.1631368326902924</v>
      </c>
      <c r="X4684" s="420"/>
      <c r="Y4684" s="420"/>
    </row>
    <row r="4685" spans="17:25">
      <c r="Q4685" s="6">
        <v>4655</v>
      </c>
      <c r="R4685" s="7">
        <v>47322</v>
      </c>
      <c r="S4685" s="210">
        <v>4.25</v>
      </c>
      <c r="T4685" s="8">
        <v>1.0001180555555556</v>
      </c>
      <c r="U4685" s="98">
        <v>4.2802402954159158</v>
      </c>
      <c r="V4685" s="106">
        <v>38655.318400480275</v>
      </c>
      <c r="W4685" s="10">
        <v>1.1631617112494608</v>
      </c>
      <c r="X4685" s="420"/>
      <c r="Y4685" s="420"/>
    </row>
    <row r="4686" spans="17:25">
      <c r="Q4686" s="6">
        <v>4656</v>
      </c>
      <c r="R4686" s="7">
        <v>47323</v>
      </c>
      <c r="S4686" s="210">
        <v>4.25</v>
      </c>
      <c r="T4686" s="8">
        <v>1.0001180555555556</v>
      </c>
      <c r="U4686" s="98">
        <v>4.280266634848684</v>
      </c>
      <c r="V4686" s="106">
        <v>38658.535791005204</v>
      </c>
      <c r="W4686" s="10">
        <v>1.1631865791280616</v>
      </c>
      <c r="X4686" s="420"/>
      <c r="Y4686" s="420"/>
    </row>
    <row r="4687" spans="17:25">
      <c r="Q4687" s="6">
        <v>4657</v>
      </c>
      <c r="R4687" s="7">
        <v>47324</v>
      </c>
      <c r="S4687" s="210">
        <v>4.25</v>
      </c>
      <c r="T4687" s="8">
        <v>1.0001180555555556</v>
      </c>
      <c r="U4687" s="98">
        <v>4.2802929629763398</v>
      </c>
      <c r="V4687" s="106">
        <v>38661.753449322576</v>
      </c>
      <c r="W4687" s="10">
        <v>1.1632114363329782</v>
      </c>
      <c r="X4687" s="420"/>
      <c r="Y4687" s="420"/>
    </row>
    <row r="4688" spans="17:25">
      <c r="Q4688" s="6">
        <v>4658</v>
      </c>
      <c r="R4688" s="7">
        <v>47325</v>
      </c>
      <c r="S4688" s="210">
        <v>4.25</v>
      </c>
      <c r="T4688" s="8">
        <v>1.0001180555555556</v>
      </c>
      <c r="U4688" s="98">
        <v>4.2803192798061662</v>
      </c>
      <c r="V4688" s="106">
        <v>38664.971375454654</v>
      </c>
      <c r="W4688" s="10">
        <v>1.1632362828711162</v>
      </c>
      <c r="X4688" s="420"/>
      <c r="Y4688" s="420"/>
    </row>
    <row r="4689" spans="17:25">
      <c r="Q4689" s="6">
        <v>4659</v>
      </c>
      <c r="R4689" s="7">
        <v>47326</v>
      </c>
      <c r="S4689" s="210">
        <v>4.25</v>
      </c>
      <c r="T4689" s="8">
        <v>1.0001180555555556</v>
      </c>
      <c r="U4689" s="98">
        <v>4.2803455853454242</v>
      </c>
      <c r="V4689" s="106">
        <v>38668.189569423754</v>
      </c>
      <c r="W4689" s="10">
        <v>1.1632611187492925</v>
      </c>
      <c r="X4689" s="420"/>
      <c r="Y4689" s="420"/>
    </row>
    <row r="4690" spans="17:25">
      <c r="Q4690" s="6">
        <v>4660</v>
      </c>
      <c r="R4690" s="7">
        <v>47327</v>
      </c>
      <c r="S4690" s="210">
        <v>4.25</v>
      </c>
      <c r="T4690" s="8">
        <v>1.0001180555555556</v>
      </c>
      <c r="U4690" s="98">
        <v>4.2803718796013968</v>
      </c>
      <c r="V4690" s="106">
        <v>38671.408031252162</v>
      </c>
      <c r="W4690" s="10">
        <v>1.1632859439743903</v>
      </c>
      <c r="X4690" s="420"/>
      <c r="Y4690" s="420"/>
    </row>
    <row r="4691" spans="17:25">
      <c r="Q4691" s="6">
        <v>4661</v>
      </c>
      <c r="R4691" s="7">
        <v>47328</v>
      </c>
      <c r="S4691" s="210">
        <v>4.25</v>
      </c>
      <c r="T4691" s="8">
        <v>1.0001180555555556</v>
      </c>
      <c r="U4691" s="98">
        <v>4.2803981625813226</v>
      </c>
      <c r="V4691" s="106">
        <v>38674.626760962172</v>
      </c>
      <c r="W4691" s="10">
        <v>1.1633107585532709</v>
      </c>
      <c r="X4691" s="420"/>
      <c r="Y4691" s="420"/>
    </row>
    <row r="4692" spans="17:25">
      <c r="Q4692" s="6">
        <v>4662</v>
      </c>
      <c r="R4692" s="7">
        <v>47329</v>
      </c>
      <c r="S4692" s="210">
        <v>4.25</v>
      </c>
      <c r="T4692" s="8">
        <v>1.0001180555555556</v>
      </c>
      <c r="U4692" s="98">
        <v>4.2804244342924624</v>
      </c>
      <c r="V4692" s="106">
        <v>38677.84575857607</v>
      </c>
      <c r="W4692" s="10">
        <v>1.1633355624927733</v>
      </c>
      <c r="X4692" s="420"/>
      <c r="Y4692" s="420"/>
    </row>
    <row r="4693" spans="17:25">
      <c r="Q4693" s="6">
        <v>4663</v>
      </c>
      <c r="R4693" s="7">
        <v>47330</v>
      </c>
      <c r="S4693" s="210">
        <v>4.25</v>
      </c>
      <c r="T4693" s="8">
        <v>1.0001180555555556</v>
      </c>
      <c r="U4693" s="98">
        <v>4.2804506947420551</v>
      </c>
      <c r="V4693" s="106">
        <v>38681.065024116171</v>
      </c>
      <c r="W4693" s="10">
        <v>1.1633603557997363</v>
      </c>
      <c r="X4693" s="420"/>
      <c r="Y4693" s="420"/>
    </row>
    <row r="4694" spans="17:25">
      <c r="Q4694" s="6">
        <v>4664</v>
      </c>
      <c r="R4694" s="7">
        <v>47331</v>
      </c>
      <c r="S4694" s="210">
        <v>4.25</v>
      </c>
      <c r="T4694" s="8">
        <v>1.0001180555555556</v>
      </c>
      <c r="U4694" s="98">
        <v>4.2804769439373391</v>
      </c>
      <c r="V4694" s="106">
        <v>38684.284557604769</v>
      </c>
      <c r="W4694" s="10">
        <v>1.1633851384809768</v>
      </c>
      <c r="X4694" s="420"/>
      <c r="Y4694" s="420"/>
    </row>
    <row r="4695" spans="17:25">
      <c r="Q4695" s="6">
        <v>4665</v>
      </c>
      <c r="R4695" s="7">
        <v>47332</v>
      </c>
      <c r="S4695" s="210">
        <v>4.25</v>
      </c>
      <c r="T4695" s="8">
        <v>1.0001180555555556</v>
      </c>
      <c r="U4695" s="98">
        <v>4.2805031818855532</v>
      </c>
      <c r="V4695" s="106">
        <v>38687.504359064173</v>
      </c>
      <c r="W4695" s="10">
        <v>1.163409910543356</v>
      </c>
      <c r="X4695" s="420"/>
      <c r="Y4695" s="420"/>
    </row>
    <row r="4696" spans="17:25">
      <c r="Q4696" s="6">
        <v>4666</v>
      </c>
      <c r="R4696" s="7">
        <v>47333</v>
      </c>
      <c r="S4696" s="210">
        <v>4.25</v>
      </c>
      <c r="T4696" s="8">
        <v>1.0001180555555556</v>
      </c>
      <c r="U4696" s="98">
        <v>4.2805294085939138</v>
      </c>
      <c r="V4696" s="106">
        <v>38690.724428516667</v>
      </c>
      <c r="W4696" s="10">
        <v>1.1634346719936461</v>
      </c>
      <c r="X4696" s="420"/>
      <c r="Y4696" s="420"/>
    </row>
    <row r="4697" spans="17:25">
      <c r="Q4697" s="6">
        <v>4667</v>
      </c>
      <c r="R4697" s="7">
        <v>47334</v>
      </c>
      <c r="S4697" s="210">
        <v>4.25</v>
      </c>
      <c r="T4697" s="8">
        <v>1.0001180555555556</v>
      </c>
      <c r="U4697" s="98">
        <v>4.2805556240696596</v>
      </c>
      <c r="V4697" s="106">
        <v>38693.944765984568</v>
      </c>
      <c r="W4697" s="10">
        <v>1.1634594228387307</v>
      </c>
      <c r="X4697" s="420"/>
      <c r="Y4697" s="420"/>
    </row>
    <row r="4698" spans="17:25">
      <c r="Q4698" s="6">
        <v>4668</v>
      </c>
      <c r="R4698" s="7">
        <v>47335</v>
      </c>
      <c r="S4698" s="210">
        <v>4.25</v>
      </c>
      <c r="T4698" s="8">
        <v>1.0001180555555556</v>
      </c>
      <c r="U4698" s="98">
        <v>4.2805818283199848</v>
      </c>
      <c r="V4698" s="106">
        <v>38697.165371490199</v>
      </c>
      <c r="W4698" s="10">
        <v>1.1634841630853821</v>
      </c>
      <c r="X4698" s="420"/>
      <c r="Y4698" s="420"/>
    </row>
    <row r="4699" spans="17:25">
      <c r="Q4699" s="6">
        <v>4669</v>
      </c>
      <c r="R4699" s="7">
        <v>47336</v>
      </c>
      <c r="S4699" s="210">
        <v>4.25</v>
      </c>
      <c r="T4699" s="8">
        <v>1.0001180555555556</v>
      </c>
      <c r="U4699" s="98">
        <v>4.280608021352128</v>
      </c>
      <c r="V4699" s="106">
        <v>38700.386245055844</v>
      </c>
      <c r="W4699" s="10">
        <v>1.1635088927404169</v>
      </c>
      <c r="X4699" s="420"/>
      <c r="Y4699" s="420"/>
    </row>
    <row r="4700" spans="17:25">
      <c r="Q4700" s="6">
        <v>4670</v>
      </c>
      <c r="R4700" s="7">
        <v>47337</v>
      </c>
      <c r="S4700" s="210">
        <v>4.25</v>
      </c>
      <c r="T4700" s="8">
        <v>1.0001180555555556</v>
      </c>
      <c r="U4700" s="98">
        <v>4.2806342031732614</v>
      </c>
      <c r="V4700" s="106">
        <v>38703.607386703829</v>
      </c>
      <c r="W4700" s="10">
        <v>1.1635336118106521</v>
      </c>
      <c r="X4700" s="420"/>
      <c r="Y4700" s="420"/>
    </row>
    <row r="4701" spans="17:25">
      <c r="Q4701" s="6">
        <v>4671</v>
      </c>
      <c r="R4701" s="7">
        <v>47338</v>
      </c>
      <c r="S4701" s="210">
        <v>4.25</v>
      </c>
      <c r="T4701" s="8">
        <v>1.0001180555555556</v>
      </c>
      <c r="U4701" s="98">
        <v>4.2806603737906013</v>
      </c>
      <c r="V4701" s="106">
        <v>38706.828796456466</v>
      </c>
      <c r="W4701" s="10">
        <v>1.1635583203028377</v>
      </c>
      <c r="X4701" s="420"/>
      <c r="Y4701" s="420"/>
    </row>
    <row r="4702" spans="17:25">
      <c r="Q4702" s="6">
        <v>4672</v>
      </c>
      <c r="R4702" s="7">
        <v>47339</v>
      </c>
      <c r="S4702" s="210">
        <v>4.25</v>
      </c>
      <c r="T4702" s="8">
        <v>1.0001180555555556</v>
      </c>
      <c r="U4702" s="98">
        <v>4.2806865332113198</v>
      </c>
      <c r="V4702" s="106">
        <v>38710.050474336065</v>
      </c>
      <c r="W4702" s="10">
        <v>1.1635830182238127</v>
      </c>
      <c r="X4702" s="420"/>
      <c r="Y4702" s="420"/>
    </row>
    <row r="4703" spans="17:25">
      <c r="Q4703" s="6">
        <v>4673</v>
      </c>
      <c r="R4703" s="7">
        <v>47340</v>
      </c>
      <c r="S4703" s="210">
        <v>4.25</v>
      </c>
      <c r="T4703" s="8">
        <v>1.0001180555555556</v>
      </c>
      <c r="U4703" s="98">
        <v>4.2807126814426111</v>
      </c>
      <c r="V4703" s="106">
        <v>38713.272420364949</v>
      </c>
      <c r="W4703" s="10">
        <v>1.1636077055803051</v>
      </c>
      <c r="X4703" s="420"/>
      <c r="Y4703" s="420"/>
    </row>
    <row r="4704" spans="17:25">
      <c r="Q4704" s="6">
        <v>4674</v>
      </c>
      <c r="R4704" s="7">
        <v>47341</v>
      </c>
      <c r="S4704" s="210">
        <v>4.25</v>
      </c>
      <c r="T4704" s="8">
        <v>1.0001180555555556</v>
      </c>
      <c r="U4704" s="98">
        <v>4.2807388184916473</v>
      </c>
      <c r="V4704" s="106">
        <v>38716.494634565432</v>
      </c>
      <c r="W4704" s="10">
        <v>1.1636323823791317</v>
      </c>
      <c r="X4704" s="420"/>
      <c r="Y4704" s="420"/>
    </row>
    <row r="4705" spans="17:25">
      <c r="Q4705" s="6">
        <v>4675</v>
      </c>
      <c r="R4705" s="7">
        <v>47342</v>
      </c>
      <c r="S4705" s="210">
        <v>4.25</v>
      </c>
      <c r="T4705" s="8">
        <v>1.0001180555555556</v>
      </c>
      <c r="U4705" s="98">
        <v>4.2807649443656226</v>
      </c>
      <c r="V4705" s="106">
        <v>38719.717116959844</v>
      </c>
      <c r="W4705" s="10">
        <v>1.1636570486270648</v>
      </c>
      <c r="X4705" s="420"/>
      <c r="Y4705" s="420"/>
    </row>
    <row r="4706" spans="17:25">
      <c r="Q4706" s="6">
        <v>4676</v>
      </c>
      <c r="R4706" s="7">
        <v>47343</v>
      </c>
      <c r="S4706" s="210">
        <v>4.25</v>
      </c>
      <c r="T4706" s="8">
        <v>1.0001180555555556</v>
      </c>
      <c r="U4706" s="98">
        <v>4.2807910590716869</v>
      </c>
      <c r="V4706" s="106">
        <v>38722.939867570494</v>
      </c>
      <c r="W4706" s="10">
        <v>1.1636817043308767</v>
      </c>
      <c r="X4706" s="420"/>
      <c r="Y4706" s="420"/>
    </row>
    <row r="4707" spans="17:25">
      <c r="Q4707" s="6">
        <v>4677</v>
      </c>
      <c r="R4707" s="7">
        <v>47344</v>
      </c>
      <c r="S4707" s="210">
        <v>4.25</v>
      </c>
      <c r="T4707" s="8">
        <v>1.0001180555555556</v>
      </c>
      <c r="U4707" s="98">
        <v>4.28081716261699</v>
      </c>
      <c r="V4707" s="106">
        <v>38726.162886419712</v>
      </c>
      <c r="W4707" s="10">
        <v>1.1637063494972955</v>
      </c>
      <c r="X4707" s="420"/>
      <c r="Y4707" s="420"/>
    </row>
    <row r="4708" spans="17:25">
      <c r="Q4708" s="6">
        <v>4678</v>
      </c>
      <c r="R4708" s="7">
        <v>47345</v>
      </c>
      <c r="S4708" s="210">
        <v>4.25</v>
      </c>
      <c r="T4708" s="8">
        <v>1.0001180555555556</v>
      </c>
      <c r="U4708" s="98">
        <v>4.2808432550086817</v>
      </c>
      <c r="V4708" s="106">
        <v>38729.386173529827</v>
      </c>
      <c r="W4708" s="10">
        <v>1.1637309841330712</v>
      </c>
      <c r="X4708" s="420"/>
      <c r="Y4708" s="420"/>
    </row>
    <row r="4709" spans="17:25">
      <c r="Q4709" s="6">
        <v>4679</v>
      </c>
      <c r="R4709" s="7">
        <v>47346</v>
      </c>
      <c r="S4709" s="210">
        <v>4.25</v>
      </c>
      <c r="T4709" s="8">
        <v>1.0001180555555556</v>
      </c>
      <c r="U4709" s="98">
        <v>4.2808693362539341</v>
      </c>
      <c r="V4709" s="106">
        <v>38732.609728923162</v>
      </c>
      <c r="W4709" s="10">
        <v>1.1637556082449985</v>
      </c>
      <c r="X4709" s="420"/>
      <c r="Y4709" s="420"/>
    </row>
    <row r="4710" spans="17:25">
      <c r="Q4710" s="6">
        <v>4680</v>
      </c>
      <c r="R4710" s="7">
        <v>47347</v>
      </c>
      <c r="S4710" s="210">
        <v>4.25</v>
      </c>
      <c r="T4710" s="8">
        <v>1.0001180555555556</v>
      </c>
      <c r="U4710" s="98">
        <v>4.2808954063598748</v>
      </c>
      <c r="V4710" s="106">
        <v>38735.833552622047</v>
      </c>
      <c r="W4710" s="10">
        <v>1.163780221839783</v>
      </c>
      <c r="X4710" s="420"/>
      <c r="Y4710" s="420"/>
    </row>
    <row r="4711" spans="17:25">
      <c r="Q4711" s="6">
        <v>4681</v>
      </c>
      <c r="R4711" s="7">
        <v>47348</v>
      </c>
      <c r="S4711" s="210">
        <v>4.25</v>
      </c>
      <c r="T4711" s="8">
        <v>1.0001180555555556</v>
      </c>
      <c r="U4711" s="98">
        <v>4.2809214653336314</v>
      </c>
      <c r="V4711" s="106">
        <v>38739.057644648827</v>
      </c>
      <c r="W4711" s="10">
        <v>1.1638048249241528</v>
      </c>
      <c r="X4711" s="420"/>
      <c r="Y4711" s="420"/>
    </row>
    <row r="4712" spans="17:25">
      <c r="Q4712" s="6">
        <v>4682</v>
      </c>
      <c r="R4712" s="7">
        <v>47349</v>
      </c>
      <c r="S4712" s="210">
        <v>4.25</v>
      </c>
      <c r="T4712" s="8">
        <v>1.0001180555555556</v>
      </c>
      <c r="U4712" s="98">
        <v>4.2809475131823316</v>
      </c>
      <c r="V4712" s="106">
        <v>38742.282005025816</v>
      </c>
      <c r="W4712" s="10">
        <v>1.163829417504858</v>
      </c>
      <c r="X4712" s="420"/>
      <c r="Y4712" s="420"/>
    </row>
    <row r="4713" spans="17:25">
      <c r="Q4713" s="6">
        <v>4683</v>
      </c>
      <c r="R4713" s="7">
        <v>47350</v>
      </c>
      <c r="S4713" s="210">
        <v>4.25</v>
      </c>
      <c r="T4713" s="8">
        <v>1.0001180555555556</v>
      </c>
      <c r="U4713" s="98">
        <v>4.280973549913103</v>
      </c>
      <c r="V4713" s="106">
        <v>38745.506633775367</v>
      </c>
      <c r="W4713" s="10">
        <v>1.1638539995886266</v>
      </c>
      <c r="X4713" s="420"/>
      <c r="Y4713" s="420"/>
    </row>
    <row r="4714" spans="17:25">
      <c r="Q4714" s="6">
        <v>4684</v>
      </c>
      <c r="R4714" s="7">
        <v>47351</v>
      </c>
      <c r="S4714" s="210">
        <v>4.25</v>
      </c>
      <c r="T4714" s="8">
        <v>1.0001180555555556</v>
      </c>
      <c r="U4714" s="98">
        <v>4.2809995755330732</v>
      </c>
      <c r="V4714" s="106">
        <v>38748.731530919802</v>
      </c>
      <c r="W4714" s="10">
        <v>1.1638785711821642</v>
      </c>
      <c r="X4714" s="420"/>
      <c r="Y4714" s="420"/>
    </row>
    <row r="4715" spans="17:25">
      <c r="Q4715" s="6">
        <v>4685</v>
      </c>
      <c r="R4715" s="7">
        <v>47352</v>
      </c>
      <c r="S4715" s="210">
        <v>4.25</v>
      </c>
      <c r="T4715" s="8">
        <v>1.0001180555555556</v>
      </c>
      <c r="U4715" s="98">
        <v>4.2810255900493477</v>
      </c>
      <c r="V4715" s="106">
        <v>38751.956696481473</v>
      </c>
      <c r="W4715" s="10">
        <v>1.1639031322921989</v>
      </c>
      <c r="X4715" s="420"/>
      <c r="Y4715" s="420"/>
    </row>
    <row r="4716" spans="17:25">
      <c r="Q4716" s="6">
        <v>4686</v>
      </c>
      <c r="R4716" s="7">
        <v>47353</v>
      </c>
      <c r="S4716" s="210">
        <v>4.25</v>
      </c>
      <c r="T4716" s="8">
        <v>1.0001180555555556</v>
      </c>
      <c r="U4716" s="98">
        <v>4.2810515934690319</v>
      </c>
      <c r="V4716" s="106">
        <v>38755.182130482717</v>
      </c>
      <c r="W4716" s="10">
        <v>1.1639276829254364</v>
      </c>
      <c r="X4716" s="420"/>
      <c r="Y4716" s="420"/>
    </row>
    <row r="4717" spans="17:25">
      <c r="Q4717" s="6">
        <v>4687</v>
      </c>
      <c r="R4717" s="7">
        <v>47354</v>
      </c>
      <c r="S4717" s="210">
        <v>4.25</v>
      </c>
      <c r="T4717" s="8">
        <v>1.0001180555555556</v>
      </c>
      <c r="U4717" s="98">
        <v>4.2810775857992089</v>
      </c>
      <c r="V4717" s="106">
        <v>38758.407832945872</v>
      </c>
      <c r="W4717" s="10">
        <v>1.1639522230885602</v>
      </c>
      <c r="X4717" s="420"/>
      <c r="Y4717" s="420"/>
    </row>
    <row r="4718" spans="17:25">
      <c r="Q4718" s="6">
        <v>4688</v>
      </c>
      <c r="R4718" s="7">
        <v>47355</v>
      </c>
      <c r="S4718" s="210">
        <v>4.25</v>
      </c>
      <c r="T4718" s="8">
        <v>1.0001180555555556</v>
      </c>
      <c r="U4718" s="98">
        <v>4.2811035670469844</v>
      </c>
      <c r="V4718" s="106">
        <v>38761.633803893288</v>
      </c>
      <c r="W4718" s="10">
        <v>1.1639767527882761</v>
      </c>
      <c r="X4718" s="420"/>
      <c r="Y4718" s="420"/>
    </row>
    <row r="4719" spans="17:25">
      <c r="Q4719" s="6">
        <v>4689</v>
      </c>
      <c r="R4719" s="7">
        <v>47356</v>
      </c>
      <c r="S4719" s="210">
        <v>4.25</v>
      </c>
      <c r="T4719" s="8">
        <v>1.0001180555555556</v>
      </c>
      <c r="U4719" s="98">
        <v>4.2811295372194413</v>
      </c>
      <c r="V4719" s="106">
        <v>38764.860043347311</v>
      </c>
      <c r="W4719" s="10">
        <v>1.1640012720312898</v>
      </c>
      <c r="X4719" s="420"/>
      <c r="Y4719" s="420"/>
    </row>
    <row r="4720" spans="17:25">
      <c r="Q4720" s="6">
        <v>4690</v>
      </c>
      <c r="R4720" s="7">
        <v>47357</v>
      </c>
      <c r="S4720" s="210">
        <v>4.25</v>
      </c>
      <c r="T4720" s="8">
        <v>1.0001180555555556</v>
      </c>
      <c r="U4720" s="98">
        <v>4.2811554963236631</v>
      </c>
      <c r="V4720" s="106">
        <v>38768.086551330285</v>
      </c>
      <c r="W4720" s="10">
        <v>1.1640257808242849</v>
      </c>
      <c r="X4720" s="420"/>
      <c r="Y4720" s="420"/>
    </row>
    <row r="4721" spans="17:25">
      <c r="Q4721" s="6">
        <v>4691</v>
      </c>
      <c r="R4721" s="7">
        <v>47358</v>
      </c>
      <c r="S4721" s="210">
        <v>4.25</v>
      </c>
      <c r="T4721" s="8">
        <v>1.0001180555555556</v>
      </c>
      <c r="U4721" s="98">
        <v>4.2811814443667329</v>
      </c>
      <c r="V4721" s="106">
        <v>38771.313327864569</v>
      </c>
      <c r="W4721" s="10">
        <v>1.1640502791739227</v>
      </c>
      <c r="X4721" s="420"/>
      <c r="Y4721" s="420"/>
    </row>
    <row r="4722" spans="17:25">
      <c r="Q4722" s="6">
        <v>4692</v>
      </c>
      <c r="R4722" s="7">
        <v>47359</v>
      </c>
      <c r="S4722" s="210">
        <v>4.25</v>
      </c>
      <c r="T4722" s="8">
        <v>1.0001180555555556</v>
      </c>
      <c r="U4722" s="98">
        <v>4.2812073813557117</v>
      </c>
      <c r="V4722" s="106">
        <v>38774.540372972508</v>
      </c>
      <c r="W4722" s="10">
        <v>1.1640747670868867</v>
      </c>
      <c r="X4722" s="420"/>
      <c r="Y4722" s="420"/>
    </row>
    <row r="4723" spans="17:25">
      <c r="Q4723" s="6">
        <v>4693</v>
      </c>
      <c r="R4723" s="7">
        <v>47360</v>
      </c>
      <c r="S4723" s="210">
        <v>4.25</v>
      </c>
      <c r="T4723" s="8">
        <v>1.0001180555555556</v>
      </c>
      <c r="U4723" s="98">
        <v>4.2812333072976383</v>
      </c>
      <c r="V4723" s="106">
        <v>38777.76768667646</v>
      </c>
      <c r="W4723" s="10">
        <v>1.1640992445698384</v>
      </c>
      <c r="X4723" s="420"/>
      <c r="Y4723" s="420"/>
    </row>
    <row r="4724" spans="17:25">
      <c r="Q4724" s="6">
        <v>4694</v>
      </c>
      <c r="R4724" s="7">
        <v>47361</v>
      </c>
      <c r="S4724" s="210">
        <v>4.25</v>
      </c>
      <c r="T4724" s="8">
        <v>1.0001180555555556</v>
      </c>
      <c r="U4724" s="98">
        <v>4.281259222199596</v>
      </c>
      <c r="V4724" s="106">
        <v>38780.995268998784</v>
      </c>
      <c r="W4724" s="10">
        <v>1.164123711629439</v>
      </c>
      <c r="X4724" s="420"/>
      <c r="Y4724" s="420"/>
    </row>
    <row r="4725" spans="17:25">
      <c r="Q4725" s="6">
        <v>4695</v>
      </c>
      <c r="R4725" s="7">
        <v>47362</v>
      </c>
      <c r="S4725" s="210">
        <v>4.25</v>
      </c>
      <c r="T4725" s="8">
        <v>1.0001180555555556</v>
      </c>
      <c r="U4725" s="98">
        <v>4.2812851260686235</v>
      </c>
      <c r="V4725" s="106">
        <v>38784.223119961825</v>
      </c>
      <c r="W4725" s="10">
        <v>1.164148168272372</v>
      </c>
      <c r="X4725" s="420"/>
      <c r="Y4725" s="420"/>
    </row>
    <row r="4726" spans="17:25">
      <c r="Q4726" s="6">
        <v>4696</v>
      </c>
      <c r="R4726" s="7">
        <v>47363</v>
      </c>
      <c r="S4726" s="210">
        <v>4.25</v>
      </c>
      <c r="T4726" s="8">
        <v>1.0001180555555556</v>
      </c>
      <c r="U4726" s="98">
        <v>4.281311018911782</v>
      </c>
      <c r="V4726" s="106">
        <v>38787.451239587957</v>
      </c>
      <c r="W4726" s="10">
        <v>1.1641726145052544</v>
      </c>
      <c r="X4726" s="420"/>
      <c r="Y4726" s="420"/>
    </row>
    <row r="4727" spans="17:25">
      <c r="Q4727" s="6">
        <v>4697</v>
      </c>
      <c r="R4727" s="7">
        <v>47364</v>
      </c>
      <c r="S4727" s="210">
        <v>4.25</v>
      </c>
      <c r="T4727" s="8">
        <v>1.0001180555555556</v>
      </c>
      <c r="U4727" s="98">
        <v>4.281336900736088</v>
      </c>
      <c r="V4727" s="106">
        <v>38790.679627899532</v>
      </c>
      <c r="W4727" s="10">
        <v>1.1641970503347476</v>
      </c>
      <c r="X4727" s="420"/>
      <c r="Y4727" s="420"/>
    </row>
    <row r="4728" spans="17:25">
      <c r="Q4728" s="6">
        <v>4698</v>
      </c>
      <c r="R4728" s="7">
        <v>47365</v>
      </c>
      <c r="S4728" s="210">
        <v>4.25</v>
      </c>
      <c r="T4728" s="8">
        <v>1.0001180555555556</v>
      </c>
      <c r="U4728" s="98">
        <v>4.2813627715485802</v>
      </c>
      <c r="V4728" s="106">
        <v>38793.908284918922</v>
      </c>
      <c r="W4728" s="10">
        <v>1.1642214757674685</v>
      </c>
      <c r="X4728" s="420"/>
      <c r="Y4728" s="420"/>
    </row>
    <row r="4729" spans="17:25">
      <c r="Q4729" s="6">
        <v>4699</v>
      </c>
      <c r="R4729" s="7">
        <v>47366</v>
      </c>
      <c r="S4729" s="210">
        <v>4.25</v>
      </c>
      <c r="T4729" s="8">
        <v>1.0001180555555556</v>
      </c>
      <c r="U4729" s="98">
        <v>4.2813886313562977</v>
      </c>
      <c r="V4729" s="106">
        <v>38797.137210668487</v>
      </c>
      <c r="W4729" s="10">
        <v>1.1642458908101005</v>
      </c>
      <c r="X4729" s="420"/>
      <c r="Y4729" s="420"/>
    </row>
    <row r="4730" spans="17:25">
      <c r="Q4730" s="6">
        <v>4700</v>
      </c>
      <c r="R4730" s="7">
        <v>47367</v>
      </c>
      <c r="S4730" s="210">
        <v>4.25</v>
      </c>
      <c r="T4730" s="8">
        <v>1.0001180555555556</v>
      </c>
      <c r="U4730" s="98">
        <v>4.2814144801662568</v>
      </c>
      <c r="V4730" s="106">
        <v>38800.366405170585</v>
      </c>
      <c r="W4730" s="10">
        <v>1.1642702954692385</v>
      </c>
      <c r="X4730" s="420"/>
      <c r="Y4730" s="420"/>
    </row>
    <row r="4731" spans="17:25">
      <c r="Q4731" s="6">
        <v>4701</v>
      </c>
      <c r="R4731" s="7">
        <v>47368</v>
      </c>
      <c r="S4731" s="210">
        <v>4.25</v>
      </c>
      <c r="T4731" s="8">
        <v>1.0001180555555556</v>
      </c>
      <c r="U4731" s="98">
        <v>4.2814403179854521</v>
      </c>
      <c r="V4731" s="106">
        <v>38803.595868447606</v>
      </c>
      <c r="W4731" s="10">
        <v>1.1642946897514772</v>
      </c>
      <c r="X4731" s="420"/>
      <c r="Y4731" s="420"/>
    </row>
    <row r="4732" spans="17:25">
      <c r="Q4732" s="6">
        <v>4702</v>
      </c>
      <c r="R4732" s="7">
        <v>47369</v>
      </c>
      <c r="S4732" s="210">
        <v>4.25</v>
      </c>
      <c r="T4732" s="8">
        <v>1.0001180555555556</v>
      </c>
      <c r="U4732" s="98">
        <v>4.2814661448209002</v>
      </c>
      <c r="V4732" s="106">
        <v>38806.825600521901</v>
      </c>
      <c r="W4732" s="10">
        <v>1.1643190736634779</v>
      </c>
      <c r="X4732" s="420"/>
      <c r="Y4732" s="420"/>
    </row>
    <row r="4733" spans="17:25">
      <c r="Q4733" s="6">
        <v>4703</v>
      </c>
      <c r="R4733" s="7">
        <v>47370</v>
      </c>
      <c r="S4733" s="210">
        <v>4.25</v>
      </c>
      <c r="T4733" s="8">
        <v>1.0001180555555556</v>
      </c>
      <c r="U4733" s="98">
        <v>4.2814919606796176</v>
      </c>
      <c r="V4733" s="106">
        <v>38810.055601415857</v>
      </c>
      <c r="W4733" s="10">
        <v>1.1643434472118575</v>
      </c>
      <c r="X4733" s="420"/>
      <c r="Y4733" s="420"/>
    </row>
    <row r="4734" spans="17:25">
      <c r="Q4734" s="6">
        <v>4704</v>
      </c>
      <c r="R4734" s="7">
        <v>47371</v>
      </c>
      <c r="S4734" s="210">
        <v>4.25</v>
      </c>
      <c r="T4734" s="8">
        <v>1.0001180555555556</v>
      </c>
      <c r="U4734" s="98">
        <v>4.2815177655685988</v>
      </c>
      <c r="V4734" s="106">
        <v>38813.285871151849</v>
      </c>
      <c r="W4734" s="10">
        <v>1.1643678104031885</v>
      </c>
      <c r="X4734" s="420"/>
      <c r="Y4734" s="420"/>
    </row>
    <row r="4735" spans="17:25">
      <c r="Q4735" s="6">
        <v>4705</v>
      </c>
      <c r="R4735" s="7">
        <v>47372</v>
      </c>
      <c r="S4735" s="210">
        <v>4.25</v>
      </c>
      <c r="T4735" s="8">
        <v>1.0001180555555556</v>
      </c>
      <c r="U4735" s="98">
        <v>4.2815435594948159</v>
      </c>
      <c r="V4735" s="106">
        <v>38816.516409752236</v>
      </c>
      <c r="W4735" s="10">
        <v>1.1643921632440879</v>
      </c>
      <c r="X4735" s="420"/>
      <c r="Y4735" s="420"/>
    </row>
    <row r="4736" spans="17:25">
      <c r="Q4736" s="6">
        <v>4706</v>
      </c>
      <c r="R4736" s="7">
        <v>47373</v>
      </c>
      <c r="S4736" s="210">
        <v>4.25</v>
      </c>
      <c r="T4736" s="8">
        <v>1.0001180555555556</v>
      </c>
      <c r="U4736" s="98">
        <v>4.2815693424652634</v>
      </c>
      <c r="V4736" s="106">
        <v>38819.747217239412</v>
      </c>
      <c r="W4736" s="10">
        <v>1.1644165057411504</v>
      </c>
      <c r="X4736" s="420"/>
      <c r="Y4736" s="420"/>
    </row>
    <row r="4737" spans="17:25">
      <c r="Q4737" s="6">
        <v>4707</v>
      </c>
      <c r="R4737" s="7">
        <v>47374</v>
      </c>
      <c r="S4737" s="210">
        <v>4.25</v>
      </c>
      <c r="T4737" s="8">
        <v>1.0001180555555556</v>
      </c>
      <c r="U4737" s="98">
        <v>4.2815951144869135</v>
      </c>
      <c r="V4737" s="106">
        <v>38822.978293635759</v>
      </c>
      <c r="W4737" s="10">
        <v>1.1644408379009263</v>
      </c>
      <c r="X4737" s="420"/>
      <c r="Y4737" s="420"/>
    </row>
    <row r="4738" spans="17:25">
      <c r="Q4738" s="6">
        <v>4708</v>
      </c>
      <c r="R4738" s="7">
        <v>47375</v>
      </c>
      <c r="S4738" s="210">
        <v>4.25</v>
      </c>
      <c r="T4738" s="8">
        <v>1.0001180555555556</v>
      </c>
      <c r="U4738" s="98">
        <v>4.2816208755667606</v>
      </c>
      <c r="V4738" s="106">
        <v>38826.20963896365</v>
      </c>
      <c r="W4738" s="10">
        <v>1.164465159730077</v>
      </c>
      <c r="X4738" s="420"/>
      <c r="Y4738" s="420"/>
    </row>
    <row r="4739" spans="17:25">
      <c r="Q4739" s="6">
        <v>4709</v>
      </c>
      <c r="R4739" s="7">
        <v>47376</v>
      </c>
      <c r="S4739" s="210">
        <v>4.25</v>
      </c>
      <c r="T4739" s="8">
        <v>1.0001180555555556</v>
      </c>
      <c r="U4739" s="98">
        <v>4.2816466257117547</v>
      </c>
      <c r="V4739" s="106">
        <v>38829.441253245466</v>
      </c>
      <c r="W4739" s="10">
        <v>1.1644894712351306</v>
      </c>
      <c r="X4739" s="420"/>
      <c r="Y4739" s="420"/>
    </row>
    <row r="4740" spans="17:25">
      <c r="Q4740" s="6">
        <v>4710</v>
      </c>
      <c r="R4740" s="7">
        <v>47377</v>
      </c>
      <c r="S4740" s="210">
        <v>4.25</v>
      </c>
      <c r="T4740" s="8">
        <v>1.0001180555555556</v>
      </c>
      <c r="U4740" s="98">
        <v>4.2816723649288679</v>
      </c>
      <c r="V4740" s="106">
        <v>38832.673136503603</v>
      </c>
      <c r="W4740" s="10">
        <v>1.1645137724226595</v>
      </c>
      <c r="X4740" s="420"/>
      <c r="Y4740" s="420"/>
    </row>
    <row r="4741" spans="17:25">
      <c r="Q4741" s="6">
        <v>4711</v>
      </c>
      <c r="R4741" s="7">
        <v>47378</v>
      </c>
      <c r="S4741" s="210">
        <v>4.25</v>
      </c>
      <c r="T4741" s="8">
        <v>1.0001180555555556</v>
      </c>
      <c r="U4741" s="98">
        <v>4.2816980932250281</v>
      </c>
      <c r="V4741" s="106">
        <v>38835.905288760448</v>
      </c>
      <c r="W4741" s="10">
        <v>1.1645380632992364</v>
      </c>
      <c r="X4741" s="420"/>
      <c r="Y4741" s="420"/>
    </row>
    <row r="4742" spans="17:25">
      <c r="Q4742" s="6">
        <v>4712</v>
      </c>
      <c r="R4742" s="7">
        <v>47379</v>
      </c>
      <c r="S4742" s="210">
        <v>4.25</v>
      </c>
      <c r="T4742" s="8">
        <v>1.0001180555555556</v>
      </c>
      <c r="U4742" s="98">
        <v>4.2817238106072075</v>
      </c>
      <c r="V4742" s="106">
        <v>38839.137710038383</v>
      </c>
      <c r="W4742" s="10">
        <v>1.1645623438714336</v>
      </c>
      <c r="X4742" s="420"/>
      <c r="Y4742" s="420"/>
    </row>
    <row r="4743" spans="17:25">
      <c r="Q4743" s="6">
        <v>4713</v>
      </c>
      <c r="R4743" s="7">
        <v>47380</v>
      </c>
      <c r="S4743" s="210">
        <v>4.25</v>
      </c>
      <c r="T4743" s="8">
        <v>1.0001180555555556</v>
      </c>
      <c r="U4743" s="98">
        <v>4.2817495170823561</v>
      </c>
      <c r="V4743" s="106">
        <v>38842.370400359803</v>
      </c>
      <c r="W4743" s="10">
        <v>1.1645866141457795</v>
      </c>
      <c r="X4743" s="420"/>
      <c r="Y4743" s="420"/>
    </row>
    <row r="4744" spans="17:25">
      <c r="Q4744" s="6">
        <v>4714</v>
      </c>
      <c r="R4744" s="7">
        <v>47381</v>
      </c>
      <c r="S4744" s="210">
        <v>4.25</v>
      </c>
      <c r="T4744" s="8">
        <v>1.0001180555555556</v>
      </c>
      <c r="U4744" s="98">
        <v>4.2817752126573794</v>
      </c>
      <c r="V4744" s="106">
        <v>38845.603359747103</v>
      </c>
      <c r="W4744" s="10">
        <v>1.1646108741288463</v>
      </c>
      <c r="X4744" s="420"/>
      <c r="Y4744" s="420"/>
    </row>
    <row r="4745" spans="17:25">
      <c r="Q4745" s="6">
        <v>4715</v>
      </c>
      <c r="R4745" s="7">
        <v>47382</v>
      </c>
      <c r="S4745" s="210">
        <v>4.25</v>
      </c>
      <c r="T4745" s="8">
        <v>1.0001180555555556</v>
      </c>
      <c r="U4745" s="98">
        <v>4.2818008973392496</v>
      </c>
      <c r="V4745" s="106">
        <v>38848.836588222679</v>
      </c>
      <c r="W4745" s="10">
        <v>1.1646351238271846</v>
      </c>
      <c r="X4745" s="420"/>
      <c r="Y4745" s="420"/>
    </row>
    <row r="4746" spans="17:25">
      <c r="Q4746" s="6">
        <v>4716</v>
      </c>
      <c r="R4746" s="7">
        <v>47383</v>
      </c>
      <c r="S4746" s="210">
        <v>4.25</v>
      </c>
      <c r="T4746" s="8">
        <v>1.0001180555555556</v>
      </c>
      <c r="U4746" s="98">
        <v>4.2818265711348724</v>
      </c>
      <c r="V4746" s="106">
        <v>38852.070085808926</v>
      </c>
      <c r="W4746" s="10">
        <v>1.1646593632473223</v>
      </c>
      <c r="X4746" s="420"/>
      <c r="Y4746" s="420"/>
    </row>
    <row r="4747" spans="17:25">
      <c r="Q4747" s="6">
        <v>4717</v>
      </c>
      <c r="R4747" s="7">
        <v>47384</v>
      </c>
      <c r="S4747" s="210">
        <v>4.25</v>
      </c>
      <c r="T4747" s="8">
        <v>1.0001180555555556</v>
      </c>
      <c r="U4747" s="98">
        <v>4.2818522340511533</v>
      </c>
      <c r="V4747" s="106">
        <v>38855.303852528232</v>
      </c>
      <c r="W4747" s="10">
        <v>1.1646835923957655</v>
      </c>
      <c r="X4747" s="420"/>
      <c r="Y4747" s="420"/>
    </row>
    <row r="4748" spans="17:25">
      <c r="Q4748" s="6">
        <v>4718</v>
      </c>
      <c r="R4748" s="7">
        <v>47385</v>
      </c>
      <c r="S4748" s="210">
        <v>4.25</v>
      </c>
      <c r="T4748" s="8">
        <v>1.0001180555555556</v>
      </c>
      <c r="U4748" s="98">
        <v>4.2818778860950202</v>
      </c>
      <c r="V4748" s="106">
        <v>38858.537888403021</v>
      </c>
      <c r="W4748" s="10">
        <v>1.1647078112790865</v>
      </c>
      <c r="X4748" s="420"/>
      <c r="Y4748" s="420"/>
    </row>
    <row r="4749" spans="17:25">
      <c r="Q4749" s="6">
        <v>4719</v>
      </c>
      <c r="R4749" s="7">
        <v>47386</v>
      </c>
      <c r="S4749" s="210">
        <v>4.25</v>
      </c>
      <c r="T4749" s="8">
        <v>1.0001180555555556</v>
      </c>
      <c r="U4749" s="98">
        <v>4.2819035272733785</v>
      </c>
      <c r="V4749" s="106">
        <v>38861.772193455676</v>
      </c>
      <c r="W4749" s="10">
        <v>1.1647320199037692</v>
      </c>
      <c r="X4749" s="420"/>
      <c r="Y4749" s="420"/>
    </row>
    <row r="4750" spans="17:25">
      <c r="Q4750" s="6">
        <v>4720</v>
      </c>
      <c r="R4750" s="7">
        <v>47387</v>
      </c>
      <c r="S4750" s="210">
        <v>4.25</v>
      </c>
      <c r="T4750" s="8">
        <v>1.0001180555555556</v>
      </c>
      <c r="U4750" s="98">
        <v>4.281929157593134</v>
      </c>
      <c r="V4750" s="106">
        <v>38865.006767708612</v>
      </c>
      <c r="W4750" s="10">
        <v>1.164756218276386</v>
      </c>
      <c r="X4750" s="420"/>
      <c r="Y4750" s="420"/>
    </row>
    <row r="4751" spans="17:25">
      <c r="Q4751" s="6">
        <v>4721</v>
      </c>
      <c r="R4751" s="7">
        <v>47388</v>
      </c>
      <c r="S4751" s="210">
        <v>4.25</v>
      </c>
      <c r="T4751" s="8">
        <v>1.0001180555555556</v>
      </c>
      <c r="U4751" s="98">
        <v>4.2819547770611699</v>
      </c>
      <c r="V4751" s="106">
        <v>38868.241611184225</v>
      </c>
      <c r="W4751" s="10">
        <v>1.1647804064033762</v>
      </c>
      <c r="X4751" s="420"/>
      <c r="Y4751" s="420"/>
    </row>
    <row r="4752" spans="17:25">
      <c r="Q4752" s="6">
        <v>4722</v>
      </c>
      <c r="R4752" s="7">
        <v>47389</v>
      </c>
      <c r="S4752" s="210">
        <v>4.25</v>
      </c>
      <c r="T4752" s="8">
        <v>1.0001180555555556</v>
      </c>
      <c r="U4752" s="98">
        <v>4.2819803856843919</v>
      </c>
      <c r="V4752" s="106">
        <v>38871.47672390494</v>
      </c>
      <c r="W4752" s="10">
        <v>1.1648045842912902</v>
      </c>
      <c r="X4752" s="420"/>
      <c r="Y4752" s="420"/>
    </row>
    <row r="4753" spans="17:25">
      <c r="Q4753" s="6">
        <v>4723</v>
      </c>
      <c r="R4753" s="7">
        <v>47390</v>
      </c>
      <c r="S4753" s="210">
        <v>4.25</v>
      </c>
      <c r="T4753" s="8">
        <v>1.0001180555555556</v>
      </c>
      <c r="U4753" s="98">
        <v>4.2820059834696833</v>
      </c>
      <c r="V4753" s="106">
        <v>38874.712105893152</v>
      </c>
      <c r="W4753" s="10">
        <v>1.1648287519466116</v>
      </c>
      <c r="X4753" s="420"/>
      <c r="Y4753" s="420"/>
    </row>
    <row r="4754" spans="17:25">
      <c r="Q4754" s="6">
        <v>4724</v>
      </c>
      <c r="R4754" s="7">
        <v>47391</v>
      </c>
      <c r="S4754" s="210">
        <v>4.25</v>
      </c>
      <c r="T4754" s="8">
        <v>1.0001180555555556</v>
      </c>
      <c r="U4754" s="98">
        <v>4.2820315704239276</v>
      </c>
      <c r="V4754" s="106">
        <v>38877.94775717127</v>
      </c>
      <c r="W4754" s="10">
        <v>1.1648529093758686</v>
      </c>
      <c r="X4754" s="420"/>
      <c r="Y4754" s="420"/>
    </row>
    <row r="4755" spans="17:25">
      <c r="Q4755" s="6">
        <v>4725</v>
      </c>
      <c r="R4755" s="7">
        <v>47392</v>
      </c>
      <c r="S4755" s="210">
        <v>4.25</v>
      </c>
      <c r="T4755" s="8">
        <v>1.0001180555555556</v>
      </c>
      <c r="U4755" s="98">
        <v>4.2820571465539858</v>
      </c>
      <c r="V4755" s="106">
        <v>38881.183677761728</v>
      </c>
      <c r="W4755" s="10">
        <v>1.1648770565855004</v>
      </c>
      <c r="X4755" s="420"/>
      <c r="Y4755" s="420"/>
    </row>
    <row r="4756" spans="17:25">
      <c r="Q4756" s="6">
        <v>4726</v>
      </c>
      <c r="R4756" s="7">
        <v>47393</v>
      </c>
      <c r="S4756" s="210">
        <v>4.25</v>
      </c>
      <c r="T4756" s="8">
        <v>1.0001180555555556</v>
      </c>
      <c r="U4756" s="98">
        <v>4.2820827118667193</v>
      </c>
      <c r="V4756" s="106">
        <v>38884.41986768692</v>
      </c>
      <c r="W4756" s="10">
        <v>1.1649011935820131</v>
      </c>
      <c r="X4756" s="420"/>
      <c r="Y4756" s="420"/>
    </row>
    <row r="4757" spans="17:25">
      <c r="Q4757" s="6">
        <v>4727</v>
      </c>
      <c r="R4757" s="7">
        <v>47394</v>
      </c>
      <c r="S4757" s="210">
        <v>4.25</v>
      </c>
      <c r="T4757" s="8">
        <v>1.0001180555555556</v>
      </c>
      <c r="U4757" s="98">
        <v>4.2821082663690113</v>
      </c>
      <c r="V4757" s="106">
        <v>38887.656326969278</v>
      </c>
      <c r="W4757" s="10">
        <v>1.1649253203719123</v>
      </c>
      <c r="X4757" s="420"/>
      <c r="Y4757" s="420"/>
    </row>
    <row r="4758" spans="17:25">
      <c r="Q4758" s="6">
        <v>4728</v>
      </c>
      <c r="R4758" s="7">
        <v>47395</v>
      </c>
      <c r="S4758" s="210">
        <v>4.25</v>
      </c>
      <c r="T4758" s="8">
        <v>1.0001180555555556</v>
      </c>
      <c r="U4758" s="98">
        <v>4.2821338100677009</v>
      </c>
      <c r="V4758" s="106">
        <v>38890.893055631212</v>
      </c>
      <c r="W4758" s="10">
        <v>1.1649494369616153</v>
      </c>
      <c r="X4758" s="420"/>
      <c r="Y4758" s="420"/>
    </row>
    <row r="4759" spans="17:25">
      <c r="Q4759" s="6">
        <v>4729</v>
      </c>
      <c r="R4759" s="7">
        <v>47396</v>
      </c>
      <c r="S4759" s="210">
        <v>4.25</v>
      </c>
      <c r="T4759" s="8">
        <v>1.0001180555555556</v>
      </c>
      <c r="U4759" s="98">
        <v>4.282159342969627</v>
      </c>
      <c r="V4759" s="106">
        <v>38894.130053695153</v>
      </c>
      <c r="W4759" s="10">
        <v>1.164973543357628</v>
      </c>
      <c r="X4759" s="420"/>
      <c r="Y4759" s="420"/>
    </row>
    <row r="4760" spans="17:25">
      <c r="Q4760" s="6">
        <v>4730</v>
      </c>
      <c r="R4760" s="7">
        <v>47397</v>
      </c>
      <c r="S4760" s="210">
        <v>4.25</v>
      </c>
      <c r="T4760" s="8">
        <v>1.0001180555555556</v>
      </c>
      <c r="U4760" s="98">
        <v>4.2821848650816507</v>
      </c>
      <c r="V4760" s="106">
        <v>38897.367321183512</v>
      </c>
      <c r="W4760" s="10">
        <v>1.1649976395663897</v>
      </c>
      <c r="X4760" s="420"/>
      <c r="Y4760" s="420"/>
    </row>
    <row r="4761" spans="17:25">
      <c r="Q4761" s="6">
        <v>4731</v>
      </c>
      <c r="R4761" s="7">
        <v>47398</v>
      </c>
      <c r="S4761" s="210">
        <v>4.25</v>
      </c>
      <c r="T4761" s="8">
        <v>1.0001180555555556</v>
      </c>
      <c r="U4761" s="98">
        <v>4.2822103764106112</v>
      </c>
      <c r="V4761" s="106">
        <v>38900.604858118721</v>
      </c>
      <c r="W4761" s="10">
        <v>1.165021725594384</v>
      </c>
      <c r="X4761" s="420"/>
      <c r="Y4761" s="420"/>
    </row>
    <row r="4762" spans="17:25">
      <c r="Q4762" s="6">
        <v>4732</v>
      </c>
      <c r="R4762" s="7">
        <v>47399</v>
      </c>
      <c r="S4762" s="210">
        <v>4.25</v>
      </c>
      <c r="T4762" s="8">
        <v>1.0001180555555556</v>
      </c>
      <c r="U4762" s="98">
        <v>4.2822358769633473</v>
      </c>
      <c r="V4762" s="106">
        <v>38903.84266452321</v>
      </c>
      <c r="W4762" s="10">
        <v>1.1650458014480503</v>
      </c>
      <c r="X4762" s="420"/>
      <c r="Y4762" s="420"/>
    </row>
    <row r="4763" spans="17:25">
      <c r="Q4763" s="6">
        <v>4733</v>
      </c>
      <c r="R4763" s="7">
        <v>47400</v>
      </c>
      <c r="S4763" s="210">
        <v>4.25</v>
      </c>
      <c r="T4763" s="8">
        <v>1.0001180555555556</v>
      </c>
      <c r="U4763" s="98">
        <v>4.2822613667466758</v>
      </c>
      <c r="V4763" s="106">
        <v>38907.080740419398</v>
      </c>
      <c r="W4763" s="10">
        <v>1.1650698671338278</v>
      </c>
      <c r="X4763" s="420"/>
      <c r="Y4763" s="420"/>
    </row>
    <row r="4764" spans="17:25">
      <c r="Q4764" s="6">
        <v>4734</v>
      </c>
      <c r="R4764" s="7">
        <v>47401</v>
      </c>
      <c r="S4764" s="210">
        <v>4.25</v>
      </c>
      <c r="T4764" s="8">
        <v>1.0001180555555556</v>
      </c>
      <c r="U4764" s="98">
        <v>4.2822868457674135</v>
      </c>
      <c r="V4764" s="106">
        <v>38910.319085829724</v>
      </c>
      <c r="W4764" s="10">
        <v>1.1650939226581558</v>
      </c>
      <c r="X4764" s="420"/>
      <c r="Y4764" s="420"/>
    </row>
    <row r="4765" spans="17:25">
      <c r="Q4765" s="6">
        <v>4735</v>
      </c>
      <c r="R4765" s="7">
        <v>47402</v>
      </c>
      <c r="S4765" s="210">
        <v>4.25</v>
      </c>
      <c r="T4765" s="8">
        <v>1.0001180555555556</v>
      </c>
      <c r="U4765" s="98">
        <v>4.2823123140323771</v>
      </c>
      <c r="V4765" s="106">
        <v>38913.557700776619</v>
      </c>
      <c r="W4765" s="10">
        <v>1.1651179680274737</v>
      </c>
      <c r="X4765" s="420"/>
      <c r="Y4765" s="420"/>
    </row>
    <row r="4766" spans="17:25">
      <c r="Q4766" s="6">
        <v>4736</v>
      </c>
      <c r="R4766" s="7">
        <v>47403</v>
      </c>
      <c r="S4766" s="210">
        <v>4.25</v>
      </c>
      <c r="T4766" s="8">
        <v>1.0001180555555556</v>
      </c>
      <c r="U4766" s="98">
        <v>4.2823377715483613</v>
      </c>
      <c r="V4766" s="106">
        <v>38916.796585282515</v>
      </c>
      <c r="W4766" s="10">
        <v>1.1651420032481985</v>
      </c>
      <c r="X4766" s="420"/>
      <c r="Y4766" s="420"/>
    </row>
    <row r="4767" spans="17:25">
      <c r="Q4767" s="6">
        <v>4737</v>
      </c>
      <c r="R4767" s="7">
        <v>47404</v>
      </c>
      <c r="S4767" s="210">
        <v>4.25</v>
      </c>
      <c r="T4767" s="8">
        <v>1.0001180555555556</v>
      </c>
      <c r="U4767" s="98">
        <v>4.2823632183222049</v>
      </c>
      <c r="V4767" s="106">
        <v>38920.03573936985</v>
      </c>
      <c r="W4767" s="10">
        <v>1.1651660283267695</v>
      </c>
      <c r="X4767" s="420"/>
      <c r="Y4767" s="420"/>
    </row>
    <row r="4768" spans="17:25">
      <c r="Q4768" s="6">
        <v>4738</v>
      </c>
      <c r="R4768" s="7">
        <v>47405</v>
      </c>
      <c r="S4768" s="210">
        <v>4.25</v>
      </c>
      <c r="T4768" s="8">
        <v>1.0001180555555556</v>
      </c>
      <c r="U4768" s="98">
        <v>4.2823886543606804</v>
      </c>
      <c r="V4768" s="106">
        <v>38923.275163061051</v>
      </c>
      <c r="W4768" s="10">
        <v>1.1651900432696038</v>
      </c>
      <c r="X4768" s="420"/>
      <c r="Y4768" s="420"/>
    </row>
    <row r="4769" spans="17:25">
      <c r="Q4769" s="6">
        <v>4739</v>
      </c>
      <c r="R4769" s="7">
        <v>47406</v>
      </c>
      <c r="S4769" s="210">
        <v>4.25</v>
      </c>
      <c r="T4769" s="8">
        <v>1.0001180555555556</v>
      </c>
      <c r="U4769" s="98">
        <v>4.2824140796705823</v>
      </c>
      <c r="V4769" s="106">
        <v>38926.514856378577</v>
      </c>
      <c r="W4769" s="10">
        <v>1.1652140480831186</v>
      </c>
      <c r="X4769" s="420"/>
      <c r="Y4769" s="420"/>
    </row>
    <row r="4770" spans="17:25">
      <c r="Q4770" s="6">
        <v>4740</v>
      </c>
      <c r="R4770" s="7">
        <v>47407</v>
      </c>
      <c r="S4770" s="210">
        <v>4.25</v>
      </c>
      <c r="T4770" s="8">
        <v>1.0001180555555556</v>
      </c>
      <c r="U4770" s="98">
        <v>4.2824394942587052</v>
      </c>
      <c r="V4770" s="106">
        <v>38929.75481934486</v>
      </c>
      <c r="W4770" s="10">
        <v>1.1652380427736864</v>
      </c>
      <c r="X4770" s="420"/>
      <c r="Y4770" s="420"/>
    </row>
    <row r="4771" spans="17:25">
      <c r="Q4771" s="6">
        <v>4741</v>
      </c>
      <c r="R4771" s="7">
        <v>47408</v>
      </c>
      <c r="S4771" s="210">
        <v>4.25</v>
      </c>
      <c r="T4771" s="8">
        <v>1.0001180555555556</v>
      </c>
      <c r="U4771" s="98">
        <v>4.2824648981318214</v>
      </c>
      <c r="V4771" s="106">
        <v>38932.995051982347</v>
      </c>
      <c r="W4771" s="10">
        <v>1.1652620273477465</v>
      </c>
      <c r="X4771" s="420"/>
      <c r="Y4771" s="420"/>
    </row>
    <row r="4772" spans="17:25">
      <c r="Q4772" s="6">
        <v>4742</v>
      </c>
      <c r="R4772" s="7">
        <v>47409</v>
      </c>
      <c r="S4772" s="210">
        <v>4.25</v>
      </c>
      <c r="T4772" s="8">
        <v>1.0001180555555556</v>
      </c>
      <c r="U4772" s="98">
        <v>4.2824902912967033</v>
      </c>
      <c r="V4772" s="106">
        <v>38936.235554313476</v>
      </c>
      <c r="W4772" s="10">
        <v>1.165286001811694</v>
      </c>
      <c r="X4772" s="420"/>
      <c r="Y4772" s="420"/>
    </row>
    <row r="4773" spans="17:25">
      <c r="Q4773" s="6">
        <v>4743</v>
      </c>
      <c r="R4773" s="7">
        <v>47410</v>
      </c>
      <c r="S4773" s="210">
        <v>4.25</v>
      </c>
      <c r="T4773" s="8">
        <v>1.0001180555555556</v>
      </c>
      <c r="U4773" s="98">
        <v>4.2825156737601233</v>
      </c>
      <c r="V4773" s="106">
        <v>38939.476326360702</v>
      </c>
      <c r="W4773" s="10">
        <v>1.1653099661719013</v>
      </c>
      <c r="X4773" s="420"/>
      <c r="Y4773" s="420"/>
    </row>
    <row r="4774" spans="17:25">
      <c r="Q4774" s="6">
        <v>4744</v>
      </c>
      <c r="R4774" s="7">
        <v>47411</v>
      </c>
      <c r="S4774" s="210">
        <v>4.25</v>
      </c>
      <c r="T4774" s="8">
        <v>1.0001180555555556</v>
      </c>
      <c r="U4774" s="98">
        <v>4.2825410455288537</v>
      </c>
      <c r="V4774" s="106">
        <v>38942.717368146463</v>
      </c>
      <c r="W4774" s="10">
        <v>1.1653339204347635</v>
      </c>
      <c r="X4774" s="420"/>
      <c r="Y4774" s="420"/>
    </row>
    <row r="4775" spans="17:25">
      <c r="Q4775" s="6">
        <v>4745</v>
      </c>
      <c r="R4775" s="7">
        <v>47412</v>
      </c>
      <c r="S4775" s="210">
        <v>4.25</v>
      </c>
      <c r="T4775" s="8">
        <v>1.0001180555555556</v>
      </c>
      <c r="U4775" s="98">
        <v>4.2825664066096447</v>
      </c>
      <c r="V4775" s="106">
        <v>38945.958679693234</v>
      </c>
      <c r="W4775" s="10">
        <v>1.1653578646066531</v>
      </c>
      <c r="X4775" s="420"/>
      <c r="Y4775" s="420"/>
    </row>
    <row r="4776" spans="17:25">
      <c r="Q4776" s="6">
        <v>4746</v>
      </c>
      <c r="R4776" s="7">
        <v>47413</v>
      </c>
      <c r="S4776" s="210">
        <v>4.25</v>
      </c>
      <c r="T4776" s="8">
        <v>1.0001180555555556</v>
      </c>
      <c r="U4776" s="98">
        <v>4.2825917570092464</v>
      </c>
      <c r="V4776" s="106">
        <v>38949.200261023441</v>
      </c>
      <c r="W4776" s="10">
        <v>1.165381798693943</v>
      </c>
      <c r="X4776" s="420"/>
      <c r="Y4776" s="420"/>
    </row>
    <row r="4777" spans="17:25">
      <c r="Q4777" s="6">
        <v>4747</v>
      </c>
      <c r="R4777" s="7">
        <v>47414</v>
      </c>
      <c r="S4777" s="210">
        <v>4.25</v>
      </c>
      <c r="T4777" s="8">
        <v>1.0001180555555556</v>
      </c>
      <c r="U4777" s="98">
        <v>4.282617096734409</v>
      </c>
      <c r="V4777" s="106">
        <v>38952.442112159559</v>
      </c>
      <c r="W4777" s="10">
        <v>1.1654057227030279</v>
      </c>
      <c r="X4777" s="420"/>
      <c r="Y4777" s="420"/>
    </row>
    <row r="4778" spans="17:25">
      <c r="Q4778" s="6">
        <v>4748</v>
      </c>
      <c r="R4778" s="7">
        <v>47415</v>
      </c>
      <c r="S4778" s="210">
        <v>4.25</v>
      </c>
      <c r="T4778" s="8">
        <v>1.0001180555555556</v>
      </c>
      <c r="U4778" s="98">
        <v>4.2826424257918827</v>
      </c>
      <c r="V4778" s="106">
        <v>38955.684233124026</v>
      </c>
      <c r="W4778" s="10">
        <v>1.1654296366402583</v>
      </c>
      <c r="X4778" s="420"/>
      <c r="Y4778" s="420"/>
    </row>
    <row r="4779" spans="17:25">
      <c r="Q4779" s="6">
        <v>4749</v>
      </c>
      <c r="R4779" s="7">
        <v>47416</v>
      </c>
      <c r="S4779" s="210">
        <v>4.25</v>
      </c>
      <c r="T4779" s="8">
        <v>1.0001180555555556</v>
      </c>
      <c r="U4779" s="98">
        <v>4.2826677441883954</v>
      </c>
      <c r="V4779" s="106">
        <v>38958.926623939311</v>
      </c>
      <c r="W4779" s="10">
        <v>1.165453540512007</v>
      </c>
      <c r="X4779" s="420"/>
      <c r="Y4779" s="420"/>
    </row>
    <row r="4780" spans="17:25">
      <c r="Q4780" s="6">
        <v>4750</v>
      </c>
      <c r="R4780" s="7">
        <v>47417</v>
      </c>
      <c r="S4780" s="210">
        <v>4.25</v>
      </c>
      <c r="T4780" s="8">
        <v>1.0001180555555556</v>
      </c>
      <c r="U4780" s="98">
        <v>4.282693051930675</v>
      </c>
      <c r="V4780" s="106">
        <v>38962.169284627875</v>
      </c>
      <c r="W4780" s="10">
        <v>1.1654774343246022</v>
      </c>
      <c r="X4780" s="420"/>
      <c r="Y4780" s="420"/>
    </row>
    <row r="4781" spans="17:25">
      <c r="Q4781" s="6">
        <v>4751</v>
      </c>
      <c r="R4781" s="7">
        <v>47418</v>
      </c>
      <c r="S4781" s="210">
        <v>4.25</v>
      </c>
      <c r="T4781" s="8">
        <v>1.0001180555555556</v>
      </c>
      <c r="U4781" s="98">
        <v>4.2827183490254273</v>
      </c>
      <c r="V4781" s="106">
        <v>38965.412215212185</v>
      </c>
      <c r="W4781" s="10">
        <v>1.1655013180843943</v>
      </c>
      <c r="X4781" s="420"/>
      <c r="Y4781" s="420"/>
    </row>
    <row r="4782" spans="17:25">
      <c r="Q4782" s="6">
        <v>4752</v>
      </c>
      <c r="R4782" s="7">
        <v>47419</v>
      </c>
      <c r="S4782" s="210">
        <v>4.25</v>
      </c>
      <c r="T4782" s="8">
        <v>1.0001180555555556</v>
      </c>
      <c r="U4782" s="98">
        <v>4.2827436354794024</v>
      </c>
      <c r="V4782" s="106">
        <v>38968.655415714697</v>
      </c>
      <c r="W4782" s="10">
        <v>1.1655251917977338</v>
      </c>
      <c r="X4782" s="420"/>
      <c r="Y4782" s="420"/>
    </row>
    <row r="4783" spans="17:25">
      <c r="Q4783" s="6">
        <v>4753</v>
      </c>
      <c r="R4783" s="7">
        <v>47420</v>
      </c>
      <c r="S4783" s="210">
        <v>4.25</v>
      </c>
      <c r="T4783" s="8">
        <v>1.0001180555555556</v>
      </c>
      <c r="U4783" s="98">
        <v>4.2827689112992839</v>
      </c>
      <c r="V4783" s="106">
        <v>38971.898886157884</v>
      </c>
      <c r="W4783" s="10">
        <v>1.1655490554709491</v>
      </c>
      <c r="X4783" s="420"/>
      <c r="Y4783" s="420"/>
    </row>
    <row r="4784" spans="17:25">
      <c r="Q4784" s="6">
        <v>4754</v>
      </c>
      <c r="R4784" s="7">
        <v>47421</v>
      </c>
      <c r="S4784" s="210">
        <v>4.25</v>
      </c>
      <c r="T4784" s="8">
        <v>1.0001180555555556</v>
      </c>
      <c r="U4784" s="98">
        <v>4.2827941764917998</v>
      </c>
      <c r="V4784" s="106">
        <v>38975.1426265642</v>
      </c>
      <c r="W4784" s="10">
        <v>1.1655729091104128</v>
      </c>
      <c r="X4784" s="420"/>
      <c r="Y4784" s="420"/>
    </row>
    <row r="4785" spans="17:25">
      <c r="Q4785" s="6">
        <v>4755</v>
      </c>
      <c r="R4785" s="7">
        <v>47422</v>
      </c>
      <c r="S4785" s="210">
        <v>4.25</v>
      </c>
      <c r="T4785" s="8">
        <v>1.0001180555555556</v>
      </c>
      <c r="U4785" s="98">
        <v>4.2828194310636336</v>
      </c>
      <c r="V4785" s="106">
        <v>38978.386636956129</v>
      </c>
      <c r="W4785" s="10">
        <v>1.1655967527223865</v>
      </c>
      <c r="X4785" s="420"/>
      <c r="Y4785" s="420"/>
    </row>
    <row r="4786" spans="17:25">
      <c r="Q4786" s="6">
        <v>4756</v>
      </c>
      <c r="R4786" s="7">
        <v>47423</v>
      </c>
      <c r="S4786" s="210">
        <v>4.25</v>
      </c>
      <c r="T4786" s="8">
        <v>1.0001180555555556</v>
      </c>
      <c r="U4786" s="98">
        <v>4.282844675021491</v>
      </c>
      <c r="V4786" s="106">
        <v>38981.630917356139</v>
      </c>
      <c r="W4786" s="10">
        <v>1.1656205863132429</v>
      </c>
      <c r="X4786" s="420"/>
      <c r="Y4786" s="420"/>
    </row>
    <row r="4787" spans="17:25">
      <c r="Q4787" s="6">
        <v>4757</v>
      </c>
      <c r="R4787" s="7">
        <v>47424</v>
      </c>
      <c r="S4787" s="210">
        <v>4.25</v>
      </c>
      <c r="T4787" s="8">
        <v>1.0001180555555556</v>
      </c>
      <c r="U4787" s="98">
        <v>4.2828699083720778</v>
      </c>
      <c r="V4787" s="106">
        <v>38984.875467786704</v>
      </c>
      <c r="W4787" s="10">
        <v>1.1656444098892882</v>
      </c>
      <c r="X4787" s="420"/>
      <c r="Y4787" s="420"/>
    </row>
    <row r="4788" spans="17:25">
      <c r="Q4788" s="6">
        <v>4758</v>
      </c>
      <c r="R4788" s="7">
        <v>47425</v>
      </c>
      <c r="S4788" s="210">
        <v>4.25</v>
      </c>
      <c r="T4788" s="8">
        <v>1.0001180555555556</v>
      </c>
      <c r="U4788" s="98">
        <v>4.2828951311220553</v>
      </c>
      <c r="V4788" s="106">
        <v>38988.120288270286</v>
      </c>
      <c r="W4788" s="10">
        <v>1.1656682234568061</v>
      </c>
      <c r="X4788" s="420"/>
      <c r="Y4788" s="420"/>
    </row>
    <row r="4789" spans="17:25">
      <c r="Q4789" s="6">
        <v>4759</v>
      </c>
      <c r="R4789" s="7">
        <v>47426</v>
      </c>
      <c r="S4789" s="210">
        <v>4.25</v>
      </c>
      <c r="T4789" s="8">
        <v>1.0001180555555556</v>
      </c>
      <c r="U4789" s="98">
        <v>4.2829203432781071</v>
      </c>
      <c r="V4789" s="106">
        <v>38991.365378829389</v>
      </c>
      <c r="W4789" s="10">
        <v>1.1656920270221471</v>
      </c>
      <c r="X4789" s="420"/>
      <c r="Y4789" s="420"/>
    </row>
    <row r="4790" spans="17:25">
      <c r="Q4790" s="6">
        <v>4760</v>
      </c>
      <c r="R4790" s="7">
        <v>47427</v>
      </c>
      <c r="S4790" s="210">
        <v>4.25</v>
      </c>
      <c r="T4790" s="8">
        <v>1.0001180555555556</v>
      </c>
      <c r="U4790" s="98">
        <v>4.2829455448469167</v>
      </c>
      <c r="V4790" s="106">
        <v>38994.610739486467</v>
      </c>
      <c r="W4790" s="10">
        <v>1.165715820591573</v>
      </c>
      <c r="X4790" s="420"/>
      <c r="Y4790" s="420"/>
    </row>
    <row r="4791" spans="17:25">
      <c r="Q4791" s="6">
        <v>4761</v>
      </c>
      <c r="R4791" s="7">
        <v>47428</v>
      </c>
      <c r="S4791" s="210">
        <v>4.25</v>
      </c>
      <c r="T4791" s="8">
        <v>1.0001180555555556</v>
      </c>
      <c r="U4791" s="98">
        <v>4.2829707358351454</v>
      </c>
      <c r="V4791" s="106">
        <v>38997.856370264024</v>
      </c>
      <c r="W4791" s="10">
        <v>1.1657396041714119</v>
      </c>
      <c r="X4791" s="420"/>
      <c r="Y4791" s="420"/>
    </row>
    <row r="4792" spans="17:25">
      <c r="Q4792" s="6">
        <v>4762</v>
      </c>
      <c r="R4792" s="7">
        <v>47429</v>
      </c>
      <c r="S4792" s="210">
        <v>4.25</v>
      </c>
      <c r="T4792" s="8">
        <v>1.0001180555555556</v>
      </c>
      <c r="U4792" s="98">
        <v>4.2829959162494324</v>
      </c>
      <c r="V4792" s="106">
        <v>39001.102271184514</v>
      </c>
      <c r="W4792" s="10">
        <v>1.1657633777679255</v>
      </c>
      <c r="X4792" s="420"/>
      <c r="Y4792" s="420"/>
    </row>
    <row r="4793" spans="17:25">
      <c r="Q4793" s="6">
        <v>4763</v>
      </c>
      <c r="R4793" s="7">
        <v>47430</v>
      </c>
      <c r="S4793" s="210">
        <v>4.25</v>
      </c>
      <c r="T4793" s="8">
        <v>1.0001180555555556</v>
      </c>
      <c r="U4793" s="98">
        <v>4.2830210860964613</v>
      </c>
      <c r="V4793" s="106">
        <v>39004.348442270442</v>
      </c>
      <c r="W4793" s="10">
        <v>1.1657871413873977</v>
      </c>
      <c r="X4793" s="420"/>
      <c r="Y4793" s="420"/>
    </row>
    <row r="4794" spans="17:25">
      <c r="Q4794" s="6">
        <v>4764</v>
      </c>
      <c r="R4794" s="7">
        <v>47431</v>
      </c>
      <c r="S4794" s="210">
        <v>4.25</v>
      </c>
      <c r="T4794" s="8">
        <v>1.0001180555555556</v>
      </c>
      <c r="U4794" s="98">
        <v>4.283046245382871</v>
      </c>
      <c r="V4794" s="106">
        <v>39007.594883544298</v>
      </c>
      <c r="W4794" s="10">
        <v>1.1658108950361123</v>
      </c>
      <c r="X4794" s="420"/>
      <c r="Y4794" s="420"/>
    </row>
    <row r="4795" spans="17:25">
      <c r="Q4795" s="6">
        <v>4765</v>
      </c>
      <c r="R4795" s="7">
        <v>47432</v>
      </c>
      <c r="S4795" s="210">
        <v>4.25</v>
      </c>
      <c r="T4795" s="8">
        <v>1.0001180555555556</v>
      </c>
      <c r="U4795" s="98">
        <v>4.2830713941153231</v>
      </c>
      <c r="V4795" s="106">
        <v>39010.841595028556</v>
      </c>
      <c r="W4795" s="10">
        <v>1.1658346387203755</v>
      </c>
      <c r="X4795" s="420"/>
      <c r="Y4795" s="420"/>
    </row>
    <row r="4796" spans="17:25">
      <c r="Q4796" s="6">
        <v>4766</v>
      </c>
      <c r="R4796" s="7">
        <v>47433</v>
      </c>
      <c r="S4796" s="210">
        <v>4.25</v>
      </c>
      <c r="T4796" s="8">
        <v>1.0001180555555556</v>
      </c>
      <c r="U4796" s="98">
        <v>4.2830965323004344</v>
      </c>
      <c r="V4796" s="106">
        <v>39014.088576745715</v>
      </c>
      <c r="W4796" s="10">
        <v>1.1658583724464044</v>
      </c>
      <c r="X4796" s="420"/>
      <c r="Y4796" s="420"/>
    </row>
    <row r="4797" spans="17:25">
      <c r="Q4797" s="6">
        <v>4767</v>
      </c>
      <c r="R4797" s="7">
        <v>47434</v>
      </c>
      <c r="S4797" s="210">
        <v>4.25</v>
      </c>
      <c r="T4797" s="8">
        <v>1.0001180555555556</v>
      </c>
      <c r="U4797" s="98">
        <v>4.2831216599448441</v>
      </c>
      <c r="V4797" s="106">
        <v>39017.335828718271</v>
      </c>
      <c r="W4797" s="10">
        <v>1.165882096220483</v>
      </c>
      <c r="X4797" s="420"/>
      <c r="Y4797" s="420"/>
    </row>
    <row r="4798" spans="17:25">
      <c r="Q4798" s="6">
        <v>4768</v>
      </c>
      <c r="R4798" s="7">
        <v>47435</v>
      </c>
      <c r="S4798" s="210">
        <v>4.25</v>
      </c>
      <c r="T4798" s="8">
        <v>1.0001180555555556</v>
      </c>
      <c r="U4798" s="98">
        <v>4.2831467770551912</v>
      </c>
      <c r="V4798" s="106">
        <v>39020.583350968707</v>
      </c>
      <c r="W4798" s="10">
        <v>1.165905810048895</v>
      </c>
      <c r="X4798" s="420"/>
      <c r="Y4798" s="420"/>
    </row>
    <row r="4799" spans="17:25">
      <c r="Q4799" s="6">
        <v>4769</v>
      </c>
      <c r="R4799" s="7">
        <v>47436</v>
      </c>
      <c r="S4799" s="210">
        <v>4.25</v>
      </c>
      <c r="T4799" s="8">
        <v>1.0001180555555556</v>
      </c>
      <c r="U4799" s="98">
        <v>4.2831718836380928</v>
      </c>
      <c r="V4799" s="106">
        <v>39023.831143519528</v>
      </c>
      <c r="W4799" s="10">
        <v>1.1659295139378578</v>
      </c>
      <c r="X4799" s="420"/>
      <c r="Y4799" s="420"/>
    </row>
    <row r="4800" spans="17:25">
      <c r="Q4800" s="6">
        <v>4770</v>
      </c>
      <c r="R4800" s="7">
        <v>47437</v>
      </c>
      <c r="S4800" s="210">
        <v>4.25</v>
      </c>
      <c r="T4800" s="8">
        <v>1.0001180555555556</v>
      </c>
      <c r="U4800" s="98">
        <v>4.2831969797001657</v>
      </c>
      <c r="V4800" s="106">
        <v>39027.079206393224</v>
      </c>
      <c r="W4800" s="10">
        <v>1.1659532078936552</v>
      </c>
      <c r="X4800" s="420"/>
      <c r="Y4800" s="420"/>
    </row>
    <row r="4801" spans="17:25">
      <c r="Q4801" s="6">
        <v>4771</v>
      </c>
      <c r="R4801" s="7">
        <v>47438</v>
      </c>
      <c r="S4801" s="210">
        <v>4.25</v>
      </c>
      <c r="T4801" s="8">
        <v>1.0001180555555556</v>
      </c>
      <c r="U4801" s="98">
        <v>4.2832220652480268</v>
      </c>
      <c r="V4801" s="106">
        <v>39030.327539612306</v>
      </c>
      <c r="W4801" s="10">
        <v>1.1659768919224822</v>
      </c>
      <c r="X4801" s="420"/>
      <c r="Y4801" s="420"/>
    </row>
    <row r="4802" spans="17:25">
      <c r="Q4802" s="6">
        <v>4772</v>
      </c>
      <c r="R4802" s="7">
        <v>47439</v>
      </c>
      <c r="S4802" s="210">
        <v>4.25</v>
      </c>
      <c r="T4802" s="8">
        <v>1.0001180555555556</v>
      </c>
      <c r="U4802" s="98">
        <v>4.283247140288271</v>
      </c>
      <c r="V4802" s="106">
        <v>39033.576143199258</v>
      </c>
      <c r="W4802" s="10">
        <v>1.1660005660306227</v>
      </c>
      <c r="X4802" s="420"/>
      <c r="Y4802" s="420"/>
    </row>
    <row r="4803" spans="17:25">
      <c r="Q4803" s="6">
        <v>4773</v>
      </c>
      <c r="R4803" s="7">
        <v>47440</v>
      </c>
      <c r="S4803" s="210">
        <v>4.25</v>
      </c>
      <c r="T4803" s="8">
        <v>1.0001180555555556</v>
      </c>
      <c r="U4803" s="98">
        <v>4.2832722048275151</v>
      </c>
      <c r="V4803" s="106">
        <v>39036.825017176598</v>
      </c>
      <c r="W4803" s="10">
        <v>1.1660242302242718</v>
      </c>
      <c r="X4803" s="420"/>
      <c r="Y4803" s="420"/>
    </row>
    <row r="4804" spans="17:25">
      <c r="Q4804" s="6">
        <v>4774</v>
      </c>
      <c r="R4804" s="7">
        <v>47441</v>
      </c>
      <c r="S4804" s="210">
        <v>4.25</v>
      </c>
      <c r="T4804" s="8">
        <v>1.0001180555555556</v>
      </c>
      <c r="U4804" s="98">
        <v>4.2832972588723317</v>
      </c>
      <c r="V4804" s="106">
        <v>39040.074161566838</v>
      </c>
      <c r="W4804" s="10">
        <v>1.1660478845096689</v>
      </c>
      <c r="X4804" s="420"/>
      <c r="Y4804" s="420"/>
    </row>
    <row r="4805" spans="17:25">
      <c r="Q4805" s="6">
        <v>4775</v>
      </c>
      <c r="R4805" s="7">
        <v>47442</v>
      </c>
      <c r="S4805" s="210">
        <v>4.25</v>
      </c>
      <c r="T4805" s="8">
        <v>1.0001180555555556</v>
      </c>
      <c r="U4805" s="98">
        <v>4.2833223024293376</v>
      </c>
      <c r="V4805" s="106">
        <v>39043.32357639246</v>
      </c>
      <c r="W4805" s="10">
        <v>1.1660715288930756</v>
      </c>
      <c r="X4805" s="420"/>
      <c r="Y4805" s="420"/>
    </row>
    <row r="4806" spans="17:25">
      <c r="Q4806" s="6">
        <v>4776</v>
      </c>
      <c r="R4806" s="7">
        <v>47443</v>
      </c>
      <c r="S4806" s="210">
        <v>4.25</v>
      </c>
      <c r="T4806" s="8">
        <v>1.0001180555555556</v>
      </c>
      <c r="U4806" s="98">
        <v>4.2833473355050833</v>
      </c>
      <c r="V4806" s="106">
        <v>39046.573261676</v>
      </c>
      <c r="W4806" s="10">
        <v>1.1660951633806205</v>
      </c>
      <c r="X4806" s="420"/>
      <c r="Y4806" s="420"/>
    </row>
    <row r="4807" spans="17:25">
      <c r="Q4807" s="6">
        <v>4777</v>
      </c>
      <c r="R4807" s="7">
        <v>47444</v>
      </c>
      <c r="S4807" s="210">
        <v>4.25</v>
      </c>
      <c r="T4807" s="8">
        <v>1.0001180555555556</v>
      </c>
      <c r="U4807" s="98">
        <v>4.2833723581061856</v>
      </c>
      <c r="V4807" s="106">
        <v>39049.823217439953</v>
      </c>
      <c r="W4807" s="10">
        <v>1.1661187879786095</v>
      </c>
      <c r="X4807" s="420"/>
      <c r="Y4807" s="420"/>
    </row>
    <row r="4808" spans="17:25">
      <c r="Q4808" s="6">
        <v>4778</v>
      </c>
      <c r="R4808" s="7">
        <v>47445</v>
      </c>
      <c r="S4808" s="210">
        <v>4.25</v>
      </c>
      <c r="T4808" s="8">
        <v>1.0001180555555556</v>
      </c>
      <c r="U4808" s="98">
        <v>4.2833973702391948</v>
      </c>
      <c r="V4808" s="106">
        <v>39053.073443706831</v>
      </c>
      <c r="W4808" s="10">
        <v>1.1661424026931932</v>
      </c>
      <c r="X4808" s="420"/>
      <c r="Y4808" s="420"/>
    </row>
    <row r="4809" spans="17:25">
      <c r="Q4809" s="6">
        <v>4779</v>
      </c>
      <c r="R4809" s="7">
        <v>47446</v>
      </c>
      <c r="S4809" s="210">
        <v>4.25</v>
      </c>
      <c r="T4809" s="8">
        <v>1.0001180555555556</v>
      </c>
      <c r="U4809" s="98">
        <v>4.2834223719106834</v>
      </c>
      <c r="V4809" s="106">
        <v>39056.323940499162</v>
      </c>
      <c r="W4809" s="10">
        <v>1.1661660075305891</v>
      </c>
      <c r="X4809" s="420"/>
      <c r="Y4809" s="420"/>
    </row>
    <row r="4810" spans="17:25">
      <c r="Q4810" s="6">
        <v>4780</v>
      </c>
      <c r="R4810" s="7">
        <v>47447</v>
      </c>
      <c r="S4810" s="210">
        <v>4.25</v>
      </c>
      <c r="T4810" s="8">
        <v>1.0001180555555556</v>
      </c>
      <c r="U4810" s="98">
        <v>4.2834473631272019</v>
      </c>
      <c r="V4810" s="106">
        <v>39059.574707839449</v>
      </c>
      <c r="W4810" s="10">
        <v>1.1661896024969698</v>
      </c>
      <c r="X4810" s="420"/>
      <c r="Y4810" s="420"/>
    </row>
    <row r="4811" spans="17:25">
      <c r="Q4811" s="6">
        <v>4781</v>
      </c>
      <c r="R4811" s="7">
        <v>47448</v>
      </c>
      <c r="S4811" s="210">
        <v>4.25</v>
      </c>
      <c r="T4811" s="8">
        <v>1.0001180555555556</v>
      </c>
      <c r="U4811" s="98">
        <v>4.2834723438953226</v>
      </c>
      <c r="V4811" s="106">
        <v>39062.825745750211</v>
      </c>
      <c r="W4811" s="10">
        <v>1.1662131875985526</v>
      </c>
      <c r="X4811" s="420"/>
      <c r="Y4811" s="420"/>
    </row>
    <row r="4812" spans="17:25">
      <c r="Q4812" s="6">
        <v>4782</v>
      </c>
      <c r="R4812" s="7">
        <v>47449</v>
      </c>
      <c r="S4812" s="210">
        <v>4.25</v>
      </c>
      <c r="T4812" s="8">
        <v>1.0001180555555556</v>
      </c>
      <c r="U4812" s="98">
        <v>4.283497314221596</v>
      </c>
      <c r="V4812" s="106">
        <v>39066.077054253983</v>
      </c>
      <c r="W4812" s="10">
        <v>1.1662367628415327</v>
      </c>
      <c r="X4812" s="420"/>
      <c r="Y4812" s="420"/>
    </row>
    <row r="4813" spans="17:25">
      <c r="Q4813" s="6">
        <v>4783</v>
      </c>
      <c r="R4813" s="7">
        <v>47450</v>
      </c>
      <c r="S4813" s="210">
        <v>4.25</v>
      </c>
      <c r="T4813" s="8">
        <v>1.0001180555555556</v>
      </c>
      <c r="U4813" s="98">
        <v>4.28352227411255</v>
      </c>
      <c r="V4813" s="106">
        <v>39069.328633373276</v>
      </c>
      <c r="W4813" s="10">
        <v>1.1662603282320383</v>
      </c>
      <c r="X4813" s="420"/>
      <c r="Y4813" s="420"/>
    </row>
    <row r="4814" spans="17:25">
      <c r="Q4814" s="6">
        <v>4784</v>
      </c>
      <c r="R4814" s="7">
        <v>47451</v>
      </c>
      <c r="S4814" s="210">
        <v>4.25</v>
      </c>
      <c r="T4814" s="8">
        <v>1.0001180555555556</v>
      </c>
      <c r="U4814" s="98">
        <v>4.2835472235747352</v>
      </c>
      <c r="V4814" s="106">
        <v>39072.580483130609</v>
      </c>
      <c r="W4814" s="10">
        <v>1.1662838837762868</v>
      </c>
      <c r="X4814" s="420"/>
      <c r="Y4814" s="420"/>
    </row>
    <row r="4815" spans="17:25">
      <c r="Q4815" s="6">
        <v>4785</v>
      </c>
      <c r="R4815" s="7">
        <v>47452</v>
      </c>
      <c r="S4815" s="210">
        <v>4.25</v>
      </c>
      <c r="T4815" s="8">
        <v>1.0001180555555556</v>
      </c>
      <c r="U4815" s="98">
        <v>4.2835721626147016</v>
      </c>
      <c r="V4815" s="106">
        <v>39075.832603548522</v>
      </c>
      <c r="W4815" s="10">
        <v>1.166307429480451</v>
      </c>
      <c r="X4815" s="420"/>
      <c r="Y4815" s="420"/>
    </row>
    <row r="4816" spans="17:25">
      <c r="Q4816" s="6">
        <v>4786</v>
      </c>
      <c r="R4816" s="7">
        <v>47453</v>
      </c>
      <c r="S4816" s="210">
        <v>4.25</v>
      </c>
      <c r="T4816" s="8">
        <v>1.0001180555555556</v>
      </c>
      <c r="U4816" s="98">
        <v>4.2835970912389554</v>
      </c>
      <c r="V4816" s="106">
        <v>39079.084994649529</v>
      </c>
      <c r="W4816" s="10">
        <v>1.1663309653506815</v>
      </c>
      <c r="X4816" s="420"/>
      <c r="Y4816" s="420"/>
    </row>
    <row r="4817" spans="17:25">
      <c r="Q4817" s="6">
        <v>4787</v>
      </c>
      <c r="R4817" s="7">
        <v>47454</v>
      </c>
      <c r="S4817" s="210">
        <v>4.25</v>
      </c>
      <c r="T4817" s="8">
        <v>1.0001180555555556</v>
      </c>
      <c r="U4817" s="98">
        <v>4.2836220094540245</v>
      </c>
      <c r="V4817" s="106">
        <v>39082.337656456162</v>
      </c>
      <c r="W4817" s="10">
        <v>1.166354491393129</v>
      </c>
      <c r="X4817" s="420"/>
      <c r="Y4817" s="420"/>
    </row>
    <row r="4818" spans="17:25">
      <c r="Q4818" s="6">
        <v>4788</v>
      </c>
      <c r="R4818" s="7">
        <v>47455</v>
      </c>
      <c r="S4818" s="210">
        <v>4.25</v>
      </c>
      <c r="T4818" s="8">
        <v>1.0001180555555556</v>
      </c>
      <c r="U4818" s="98">
        <v>4.2836469172664371</v>
      </c>
      <c r="V4818" s="106">
        <v>39085.590588990963</v>
      </c>
      <c r="W4818" s="10">
        <v>1.1663780076139663</v>
      </c>
      <c r="X4818" s="420"/>
      <c r="Y4818" s="420"/>
    </row>
    <row r="4819" spans="17:25">
      <c r="Q4819" s="6">
        <v>4789</v>
      </c>
      <c r="R4819" s="7">
        <v>47456</v>
      </c>
      <c r="S4819" s="210">
        <v>4.25</v>
      </c>
      <c r="T4819" s="8">
        <v>1.0001180555555556</v>
      </c>
      <c r="U4819" s="98">
        <v>4.2836718146826991</v>
      </c>
      <c r="V4819" s="106">
        <v>39088.843792276457</v>
      </c>
      <c r="W4819" s="10">
        <v>1.1664015140193218</v>
      </c>
      <c r="X4819" s="420"/>
      <c r="Y4819" s="420"/>
    </row>
    <row r="4820" spans="17:25">
      <c r="Q4820" s="6">
        <v>4790</v>
      </c>
      <c r="R4820" s="7">
        <v>47457</v>
      </c>
      <c r="S4820" s="210">
        <v>4.25</v>
      </c>
      <c r="T4820" s="8">
        <v>1.0001180555555556</v>
      </c>
      <c r="U4820" s="98">
        <v>4.2836967017093164</v>
      </c>
      <c r="V4820" s="106">
        <v>39092.097266335186</v>
      </c>
      <c r="W4820" s="10">
        <v>1.1664250106153462</v>
      </c>
      <c r="X4820" s="420"/>
      <c r="Y4820" s="420"/>
    </row>
    <row r="4821" spans="17:25">
      <c r="Q4821" s="6">
        <v>4791</v>
      </c>
      <c r="R4821" s="7">
        <v>47458</v>
      </c>
      <c r="S4821" s="210">
        <v>4.25</v>
      </c>
      <c r="T4821" s="8">
        <v>1.0001180555555556</v>
      </c>
      <c r="U4821" s="98">
        <v>4.2837215783527949</v>
      </c>
      <c r="V4821" s="106">
        <v>39095.351011189676</v>
      </c>
      <c r="W4821" s="10">
        <v>1.1664484974081901</v>
      </c>
      <c r="X4821" s="420"/>
      <c r="Y4821" s="420"/>
    </row>
    <row r="4822" spans="17:25">
      <c r="Q4822" s="6">
        <v>4792</v>
      </c>
      <c r="R4822" s="7">
        <v>47459</v>
      </c>
      <c r="S4822" s="210">
        <v>4.25</v>
      </c>
      <c r="T4822" s="8">
        <v>1.0001180555555556</v>
      </c>
      <c r="U4822" s="98">
        <v>4.2837464446196405</v>
      </c>
      <c r="V4822" s="106">
        <v>39098.605026862475</v>
      </c>
      <c r="W4822" s="10">
        <v>1.1664719744040042</v>
      </c>
      <c r="X4822" s="420"/>
      <c r="Y4822" s="420"/>
    </row>
    <row r="4823" spans="17:25">
      <c r="Q4823" s="6">
        <v>4793</v>
      </c>
      <c r="R4823" s="7">
        <v>47460</v>
      </c>
      <c r="S4823" s="210">
        <v>4.25</v>
      </c>
      <c r="T4823" s="8">
        <v>1.0001180555555556</v>
      </c>
      <c r="U4823" s="98">
        <v>4.2837713005163369</v>
      </c>
      <c r="V4823" s="106">
        <v>39101.859313376117</v>
      </c>
      <c r="W4823" s="10">
        <v>1.1664954416088724</v>
      </c>
      <c r="X4823" s="420"/>
      <c r="Y4823" s="420"/>
    </row>
    <row r="4824" spans="17:25">
      <c r="Q4824" s="6">
        <v>4794</v>
      </c>
      <c r="R4824" s="7">
        <v>47461</v>
      </c>
      <c r="S4824" s="210">
        <v>4.25</v>
      </c>
      <c r="T4824" s="8">
        <v>1.0001180555555556</v>
      </c>
      <c r="U4824" s="98">
        <v>4.2837961460493679</v>
      </c>
      <c r="V4824" s="106">
        <v>39105.11387075315</v>
      </c>
      <c r="W4824" s="10">
        <v>1.1665188990289677</v>
      </c>
      <c r="X4824" s="420"/>
      <c r="Y4824" s="420"/>
    </row>
    <row r="4825" spans="17:25">
      <c r="Q4825" s="6">
        <v>4795</v>
      </c>
      <c r="R4825" s="7">
        <v>47462</v>
      </c>
      <c r="S4825" s="210">
        <v>4.25</v>
      </c>
      <c r="T4825" s="8">
        <v>1.0001180555555556</v>
      </c>
      <c r="U4825" s="98">
        <v>4.283820981225217</v>
      </c>
      <c r="V4825" s="106">
        <v>39108.36869901613</v>
      </c>
      <c r="W4825" s="10">
        <v>1.1665423466703517</v>
      </c>
      <c r="X4825" s="420"/>
      <c r="Y4825" s="420"/>
    </row>
    <row r="4826" spans="17:25">
      <c r="Q4826" s="6">
        <v>4796</v>
      </c>
      <c r="R4826" s="7">
        <v>47463</v>
      </c>
      <c r="S4826" s="210">
        <v>4.25</v>
      </c>
      <c r="T4826" s="8">
        <v>1.0001180555555556</v>
      </c>
      <c r="U4826" s="98">
        <v>4.2838458060503459</v>
      </c>
      <c r="V4826" s="106">
        <v>39111.623798187582</v>
      </c>
      <c r="W4826" s="10">
        <v>1.1665657845391753</v>
      </c>
      <c r="X4826" s="420"/>
      <c r="Y4826" s="420"/>
    </row>
    <row r="4827" spans="17:25">
      <c r="Q4827" s="6">
        <v>4797</v>
      </c>
      <c r="R4827" s="7">
        <v>47464</v>
      </c>
      <c r="S4827" s="210">
        <v>4.25</v>
      </c>
      <c r="T4827" s="8">
        <v>1.0001180555555556</v>
      </c>
      <c r="U4827" s="98">
        <v>4.2838706205312382</v>
      </c>
      <c r="V4827" s="106">
        <v>39114.879168290063</v>
      </c>
      <c r="W4827" s="10">
        <v>1.1665892126415445</v>
      </c>
      <c r="X4827" s="420"/>
      <c r="Y4827" s="420"/>
    </row>
    <row r="4828" spans="17:25">
      <c r="Q4828" s="6">
        <v>4798</v>
      </c>
      <c r="R4828" s="7">
        <v>47465</v>
      </c>
      <c r="S4828" s="210">
        <v>4.25</v>
      </c>
      <c r="T4828" s="8">
        <v>1.0001180555555556</v>
      </c>
      <c r="U4828" s="98">
        <v>4.2838954246743555</v>
      </c>
      <c r="V4828" s="106">
        <v>39118.13480934612</v>
      </c>
      <c r="W4828" s="10">
        <v>1.1666126309835656</v>
      </c>
      <c r="X4828" s="420"/>
      <c r="Y4828" s="420"/>
    </row>
    <row r="4829" spans="17:25">
      <c r="Q4829" s="6">
        <v>4799</v>
      </c>
      <c r="R4829" s="7">
        <v>47466</v>
      </c>
      <c r="S4829" s="210">
        <v>4.25</v>
      </c>
      <c r="T4829" s="8">
        <v>1.0001180555555556</v>
      </c>
      <c r="U4829" s="98">
        <v>4.2839202184861591</v>
      </c>
      <c r="V4829" s="106">
        <v>39121.390721378317</v>
      </c>
      <c r="W4829" s="10">
        <v>1.1666360395713227</v>
      </c>
      <c r="X4829" s="420"/>
      <c r="Y4829" s="420"/>
    </row>
    <row r="4830" spans="17:25">
      <c r="Q4830" s="6">
        <v>4800</v>
      </c>
      <c r="R4830" s="7">
        <v>47467</v>
      </c>
      <c r="S4830" s="210">
        <v>4.25</v>
      </c>
      <c r="T4830" s="8">
        <v>1.0001180555555556</v>
      </c>
      <c r="U4830" s="98">
        <v>4.2839450019731107</v>
      </c>
      <c r="V4830" s="106">
        <v>39124.646904409201</v>
      </c>
      <c r="W4830" s="10">
        <v>1.1666594384109219</v>
      </c>
      <c r="X4830" s="420"/>
      <c r="Y4830" s="420"/>
    </row>
    <row r="4831" spans="17:25">
      <c r="Q4831" s="6">
        <v>4801</v>
      </c>
      <c r="R4831" s="7">
        <v>47468</v>
      </c>
      <c r="S4831" s="210">
        <v>4.25</v>
      </c>
      <c r="T4831" s="8">
        <v>1.0001180555555556</v>
      </c>
      <c r="U4831" s="98">
        <v>4.2839697751416272</v>
      </c>
      <c r="V4831" s="106">
        <v>39127.903358461328</v>
      </c>
      <c r="W4831" s="10">
        <v>1.1666828275084251</v>
      </c>
      <c r="X4831" s="420"/>
      <c r="Y4831" s="420"/>
    </row>
    <row r="4832" spans="17:25">
      <c r="Q4832" s="6">
        <v>4802</v>
      </c>
      <c r="R4832" s="7">
        <v>47469</v>
      </c>
      <c r="S4832" s="210">
        <v>4.25</v>
      </c>
      <c r="T4832" s="8">
        <v>1.0001180555555556</v>
      </c>
      <c r="U4832" s="98">
        <v>4.2839945379981703</v>
      </c>
      <c r="V4832" s="106">
        <v>39131.160083557254</v>
      </c>
      <c r="W4832" s="10">
        <v>1.1667062068699385</v>
      </c>
      <c r="X4832" s="420"/>
      <c r="Y4832" s="420"/>
    </row>
    <row r="4833" spans="17:25">
      <c r="Q4833" s="6">
        <v>4803</v>
      </c>
      <c r="R4833" s="7">
        <v>47470</v>
      </c>
      <c r="S4833" s="210">
        <v>4.25</v>
      </c>
      <c r="T4833" s="8">
        <v>1.0001180555555556</v>
      </c>
      <c r="U4833" s="98">
        <v>4.2840192905491792</v>
      </c>
      <c r="V4833" s="106">
        <v>39134.41707971954</v>
      </c>
      <c r="W4833" s="10">
        <v>1.1667295765015462</v>
      </c>
      <c r="X4833" s="420"/>
      <c r="Y4833" s="420"/>
    </row>
    <row r="4834" spans="17:25">
      <c r="Q4834" s="6">
        <v>4804</v>
      </c>
      <c r="R4834" s="7">
        <v>47471</v>
      </c>
      <c r="S4834" s="210">
        <v>4.25</v>
      </c>
      <c r="T4834" s="8">
        <v>1.0001180555555556</v>
      </c>
      <c r="U4834" s="98">
        <v>4.2840440328010931</v>
      </c>
      <c r="V4834" s="106">
        <v>39137.674346970743</v>
      </c>
      <c r="W4834" s="10">
        <v>1.1667529364093099</v>
      </c>
      <c r="X4834" s="420"/>
      <c r="Y4834" s="420"/>
    </row>
    <row r="4835" spans="17:25">
      <c r="Q4835" s="6">
        <v>4805</v>
      </c>
      <c r="R4835" s="7">
        <v>47472</v>
      </c>
      <c r="S4835" s="210">
        <v>4.25</v>
      </c>
      <c r="T4835" s="8">
        <v>1.0001180555555556</v>
      </c>
      <c r="U4835" s="98">
        <v>4.2840687647603293</v>
      </c>
      <c r="V4835" s="106">
        <v>39140.931885333448</v>
      </c>
      <c r="W4835" s="10">
        <v>1.1667762865992914</v>
      </c>
      <c r="X4835" s="420"/>
      <c r="Y4835" s="420"/>
    </row>
    <row r="4836" spans="17:25">
      <c r="Q4836" s="6">
        <v>4806</v>
      </c>
      <c r="R4836" s="7">
        <v>47473</v>
      </c>
      <c r="S4836" s="210">
        <v>4.25</v>
      </c>
      <c r="T4836" s="8">
        <v>1.0001180555555556</v>
      </c>
      <c r="U4836" s="98">
        <v>4.2840934864333047</v>
      </c>
      <c r="V4836" s="106">
        <v>39144.189694830187</v>
      </c>
      <c r="W4836" s="10">
        <v>1.1667996270775527</v>
      </c>
      <c r="X4836" s="420"/>
      <c r="Y4836" s="420"/>
    </row>
    <row r="4837" spans="17:25">
      <c r="Q4837" s="6">
        <v>4807</v>
      </c>
      <c r="R4837" s="7">
        <v>47474</v>
      </c>
      <c r="S4837" s="210">
        <v>4.25</v>
      </c>
      <c r="T4837" s="8">
        <v>1.0001180555555556</v>
      </c>
      <c r="U4837" s="98">
        <v>4.2841181978264364</v>
      </c>
      <c r="V4837" s="106">
        <v>39147.447775483553</v>
      </c>
      <c r="W4837" s="10">
        <v>1.1668229578501776</v>
      </c>
      <c r="X4837" s="420"/>
      <c r="Y4837" s="420"/>
    </row>
    <row r="4838" spans="17:25">
      <c r="Q4838" s="6">
        <v>4808</v>
      </c>
      <c r="R4838" s="7">
        <v>47475</v>
      </c>
      <c r="S4838" s="210">
        <v>4.25</v>
      </c>
      <c r="T4838" s="8">
        <v>1.0001180555555556</v>
      </c>
      <c r="U4838" s="98">
        <v>4.2841428989461416</v>
      </c>
      <c r="V4838" s="106">
        <v>39150.706127316102</v>
      </c>
      <c r="W4838" s="10">
        <v>1.1668462789231837</v>
      </c>
      <c r="X4838" s="420"/>
      <c r="Y4838" s="420"/>
    </row>
    <row r="4839" spans="17:25">
      <c r="Q4839" s="6">
        <v>4809</v>
      </c>
      <c r="R4839" s="7">
        <v>47476</v>
      </c>
      <c r="S4839" s="210">
        <v>4.25</v>
      </c>
      <c r="T4839" s="8">
        <v>1.0001180555555556</v>
      </c>
      <c r="U4839" s="98">
        <v>4.2841675897988152</v>
      </c>
      <c r="V4839" s="106">
        <v>39153.964750350409</v>
      </c>
      <c r="W4839" s="10">
        <v>1.1668695903026327</v>
      </c>
      <c r="X4839" s="420"/>
      <c r="Y4839" s="420"/>
    </row>
    <row r="4840" spans="17:25">
      <c r="Q4840" s="6">
        <v>4810</v>
      </c>
      <c r="R4840" s="7">
        <v>47477</v>
      </c>
      <c r="S4840" s="210">
        <v>4.25</v>
      </c>
      <c r="T4840" s="8">
        <v>1.0001180555555556</v>
      </c>
      <c r="U4840" s="98">
        <v>4.2841922703908741</v>
      </c>
      <c r="V4840" s="106">
        <v>39157.223644609046</v>
      </c>
      <c r="W4840" s="10">
        <v>1.1668928919945643</v>
      </c>
      <c r="X4840" s="420"/>
      <c r="Y4840" s="420"/>
    </row>
    <row r="4841" spans="17:25">
      <c r="Q4841" s="6">
        <v>4811</v>
      </c>
      <c r="R4841" s="7">
        <v>47478</v>
      </c>
      <c r="S4841" s="210">
        <v>4.25</v>
      </c>
      <c r="T4841" s="8">
        <v>1.0001180555555556</v>
      </c>
      <c r="U4841" s="98">
        <v>4.2842169407287134</v>
      </c>
      <c r="V4841" s="106">
        <v>39160.48281011459</v>
      </c>
      <c r="W4841" s="10">
        <v>1.1669161840050402</v>
      </c>
      <c r="X4841" s="420"/>
      <c r="Y4841" s="420"/>
    </row>
    <row r="4842" spans="17:25">
      <c r="Q4842" s="6">
        <v>4812</v>
      </c>
      <c r="R4842" s="7">
        <v>47479</v>
      </c>
      <c r="S4842" s="210">
        <v>4.25</v>
      </c>
      <c r="T4842" s="8">
        <v>1.0001180555555556</v>
      </c>
      <c r="U4842" s="98">
        <v>4.2842416008187056</v>
      </c>
      <c r="V4842" s="106">
        <v>39163.742246889611</v>
      </c>
      <c r="W4842" s="10">
        <v>1.1669394663400778</v>
      </c>
      <c r="X4842" s="420"/>
      <c r="Y4842" s="420"/>
    </row>
    <row r="4843" spans="17:25">
      <c r="Q4843" s="6">
        <v>4813</v>
      </c>
      <c r="R4843" s="7">
        <v>47480</v>
      </c>
      <c r="S4843" s="210">
        <v>4.25</v>
      </c>
      <c r="T4843" s="8">
        <v>1.0001180555555556</v>
      </c>
      <c r="U4843" s="98">
        <v>4.2842662506672458</v>
      </c>
      <c r="V4843" s="106">
        <v>39167.001954956701</v>
      </c>
      <c r="W4843" s="10">
        <v>1.1669627390056947</v>
      </c>
      <c r="X4843" s="420"/>
      <c r="Y4843" s="420"/>
    </row>
    <row r="4844" spans="17:25">
      <c r="Q4844" s="6">
        <v>4814</v>
      </c>
      <c r="R4844" s="7">
        <v>47481</v>
      </c>
      <c r="S4844" s="210">
        <v>4.25</v>
      </c>
      <c r="T4844" s="8">
        <v>1.0001180555555556</v>
      </c>
      <c r="U4844" s="98">
        <v>4.2842908902807064</v>
      </c>
      <c r="V4844" s="106">
        <v>39170.261934338436</v>
      </c>
      <c r="W4844" s="10">
        <v>1.1669860020079303</v>
      </c>
      <c r="X4844" s="420"/>
      <c r="Y4844" s="420"/>
    </row>
    <row r="4845" spans="17:25">
      <c r="Q4845" s="6">
        <v>4815</v>
      </c>
      <c r="R4845" s="7">
        <v>47482</v>
      </c>
      <c r="S4845" s="210">
        <v>4.25</v>
      </c>
      <c r="T4845" s="8">
        <v>1.0001180555555556</v>
      </c>
      <c r="U4845" s="98">
        <v>4.2843155196654603</v>
      </c>
      <c r="V4845" s="106">
        <v>39173.522185057387</v>
      </c>
      <c r="W4845" s="10">
        <v>1.1670092553527578</v>
      </c>
      <c r="X4845" s="420"/>
      <c r="Y4845" s="420"/>
    </row>
    <row r="4846" spans="17:25">
      <c r="Q4846" s="6">
        <v>4816</v>
      </c>
      <c r="R4846" s="7">
        <v>47483</v>
      </c>
      <c r="S4846" s="210">
        <v>4.25</v>
      </c>
      <c r="T4846" s="8">
        <v>1.0001180555555556</v>
      </c>
      <c r="U4846" s="98">
        <v>4.2843401388278801</v>
      </c>
      <c r="V4846" s="106">
        <v>39176.782707136146</v>
      </c>
      <c r="W4846" s="10">
        <v>1.1670324990462611</v>
      </c>
      <c r="X4846" s="420"/>
      <c r="Y4846" s="420"/>
    </row>
    <row r="4847" spans="17:25">
      <c r="Q4847" s="6">
        <v>4817</v>
      </c>
      <c r="R4847" s="7">
        <v>47484</v>
      </c>
      <c r="S4847" s="210">
        <v>4.25</v>
      </c>
      <c r="T4847" s="8">
        <v>1.0001180555555556</v>
      </c>
      <c r="U4847" s="98">
        <v>4.2843647477743163</v>
      </c>
      <c r="V4847" s="106">
        <v>39180.043500597298</v>
      </c>
      <c r="W4847" s="10">
        <v>1.1670557330943687</v>
      </c>
      <c r="X4847" s="420"/>
      <c r="Y4847" s="420"/>
    </row>
    <row r="4848" spans="17:25">
      <c r="Q4848" s="6">
        <v>4818</v>
      </c>
      <c r="R4848" s="7">
        <v>47485</v>
      </c>
      <c r="S4848" s="210">
        <v>4.25</v>
      </c>
      <c r="T4848" s="8">
        <v>1.0001180555555556</v>
      </c>
      <c r="U4848" s="98">
        <v>4.2843893465111416</v>
      </c>
      <c r="V4848" s="106">
        <v>39183.304565463441</v>
      </c>
      <c r="W4848" s="10">
        <v>1.1670789575031426</v>
      </c>
      <c r="X4848" s="420"/>
      <c r="Y4848" s="420"/>
    </row>
    <row r="4849" spans="17:25">
      <c r="Q4849" s="6">
        <v>4819</v>
      </c>
      <c r="R4849" s="7">
        <v>47486</v>
      </c>
      <c r="S4849" s="210">
        <v>4.25</v>
      </c>
      <c r="T4849" s="8">
        <v>1.0001180555555556</v>
      </c>
      <c r="U4849" s="98">
        <v>4.2844139350447064</v>
      </c>
      <c r="V4849" s="106">
        <v>39186.565901757145</v>
      </c>
      <c r="W4849" s="10">
        <v>1.1671021722785557</v>
      </c>
      <c r="X4849" s="420"/>
      <c r="Y4849" s="420"/>
    </row>
    <row r="4850" spans="17:25">
      <c r="Q4850" s="6">
        <v>4820</v>
      </c>
      <c r="R4850" s="7">
        <v>47487</v>
      </c>
      <c r="S4850" s="210">
        <v>4.25</v>
      </c>
      <c r="T4850" s="8">
        <v>1.0001180555555556</v>
      </c>
      <c r="U4850" s="98">
        <v>4.284438513381339</v>
      </c>
      <c r="V4850" s="106">
        <v>39189.827509501018</v>
      </c>
      <c r="W4850" s="10">
        <v>1.1671253774266033</v>
      </c>
      <c r="X4850" s="420"/>
      <c r="Y4850" s="420"/>
    </row>
    <row r="4851" spans="17:25">
      <c r="Q4851" s="6">
        <v>4821</v>
      </c>
      <c r="R4851" s="7">
        <v>47488</v>
      </c>
      <c r="S4851" s="210">
        <v>4.25</v>
      </c>
      <c r="T4851" s="8">
        <v>1.0001180555555556</v>
      </c>
      <c r="U4851" s="98">
        <v>4.2844630815274121</v>
      </c>
      <c r="V4851" s="106">
        <v>39193.08938871765</v>
      </c>
      <c r="W4851" s="10">
        <v>1.1671485729532804</v>
      </c>
      <c r="X4851" s="420"/>
      <c r="Y4851" s="420"/>
    </row>
    <row r="4852" spans="17:25">
      <c r="Q4852" s="6">
        <v>4822</v>
      </c>
      <c r="R4852" s="7">
        <v>47489</v>
      </c>
      <c r="S4852" s="210">
        <v>4.25</v>
      </c>
      <c r="T4852" s="8">
        <v>1.0001180555555556</v>
      </c>
      <c r="U4852" s="98">
        <v>4.2844876394892317</v>
      </c>
      <c r="V4852" s="106">
        <v>39196.351539429626</v>
      </c>
      <c r="W4852" s="10">
        <v>1.1671717588645603</v>
      </c>
      <c r="X4852" s="420"/>
      <c r="Y4852" s="420"/>
    </row>
    <row r="4853" spans="17:25">
      <c r="Q4853" s="6">
        <v>4823</v>
      </c>
      <c r="R4853" s="7">
        <v>47490</v>
      </c>
      <c r="S4853" s="210">
        <v>4.25</v>
      </c>
      <c r="T4853" s="8">
        <v>1.0001180555555556</v>
      </c>
      <c r="U4853" s="98">
        <v>4.2845121872731484</v>
      </c>
      <c r="V4853" s="106">
        <v>39199.613961659561</v>
      </c>
      <c r="W4853" s="10">
        <v>1.1671949351664157</v>
      </c>
      <c r="X4853" s="420"/>
      <c r="Y4853" s="420"/>
    </row>
    <row r="4854" spans="17:25">
      <c r="Q4854" s="6">
        <v>4824</v>
      </c>
      <c r="R4854" s="7">
        <v>47491</v>
      </c>
      <c r="S4854" s="210">
        <v>4.25</v>
      </c>
      <c r="T4854" s="8">
        <v>1.0001180555555556</v>
      </c>
      <c r="U4854" s="98">
        <v>4.2845367248854904</v>
      </c>
      <c r="V4854" s="106">
        <v>39202.876655430031</v>
      </c>
      <c r="W4854" s="10">
        <v>1.167218101864842</v>
      </c>
      <c r="X4854" s="420"/>
      <c r="Y4854" s="420"/>
    </row>
    <row r="4855" spans="17:25">
      <c r="Q4855" s="6">
        <v>4825</v>
      </c>
      <c r="R4855" s="7">
        <v>47492</v>
      </c>
      <c r="S4855" s="210">
        <v>4.25</v>
      </c>
      <c r="T4855" s="8">
        <v>1.0001180555555556</v>
      </c>
      <c r="U4855" s="98">
        <v>4.2845612523325638</v>
      </c>
      <c r="V4855" s="106">
        <v>39206.139620763664</v>
      </c>
      <c r="W4855" s="10">
        <v>1.1672412589657899</v>
      </c>
      <c r="X4855" s="420"/>
      <c r="Y4855" s="420"/>
    </row>
    <row r="4856" spans="17:25">
      <c r="Q4856" s="6">
        <v>4826</v>
      </c>
      <c r="R4856" s="7">
        <v>47493</v>
      </c>
      <c r="S4856" s="210">
        <v>4.25</v>
      </c>
      <c r="T4856" s="8">
        <v>1.0001180555555556</v>
      </c>
      <c r="U4856" s="98">
        <v>4.2845857696206968</v>
      </c>
      <c r="V4856" s="106">
        <v>39209.402857683046</v>
      </c>
      <c r="W4856" s="10">
        <v>1.1672644064752324</v>
      </c>
      <c r="X4856" s="420"/>
      <c r="Y4856" s="420"/>
    </row>
    <row r="4857" spans="17:25">
      <c r="Q4857" s="6">
        <v>4827</v>
      </c>
      <c r="R4857" s="7">
        <v>47494</v>
      </c>
      <c r="S4857" s="210">
        <v>4.25</v>
      </c>
      <c r="T4857" s="8">
        <v>1.0001180555555556</v>
      </c>
      <c r="U4857" s="98">
        <v>4.2846102767561955</v>
      </c>
      <c r="V4857" s="106">
        <v>39212.666366210782</v>
      </c>
      <c r="W4857" s="10">
        <v>1.1672875443991204</v>
      </c>
      <c r="X4857" s="420"/>
      <c r="Y4857" s="420"/>
    </row>
    <row r="4858" spans="17:25">
      <c r="Q4858" s="6">
        <v>4828</v>
      </c>
      <c r="R4858" s="7">
        <v>47495</v>
      </c>
      <c r="S4858" s="210">
        <v>4.25</v>
      </c>
      <c r="T4858" s="8">
        <v>1.0001180555555556</v>
      </c>
      <c r="U4858" s="98">
        <v>4.2846347737453661</v>
      </c>
      <c r="V4858" s="106">
        <v>39215.930146369486</v>
      </c>
      <c r="W4858" s="10">
        <v>1.1673106727434046</v>
      </c>
      <c r="X4858" s="420"/>
      <c r="Y4858" s="420"/>
    </row>
    <row r="4859" spans="17:25">
      <c r="Q4859" s="6">
        <v>4829</v>
      </c>
      <c r="R4859" s="7">
        <v>47496</v>
      </c>
      <c r="S4859" s="210">
        <v>4.25</v>
      </c>
      <c r="T4859" s="8">
        <v>1.0001180555555556</v>
      </c>
      <c r="U4859" s="98">
        <v>4.2846592605944922</v>
      </c>
      <c r="V4859" s="106">
        <v>39219.194198181765</v>
      </c>
      <c r="W4859" s="10">
        <v>1.1673337915140136</v>
      </c>
      <c r="X4859" s="420"/>
      <c r="Y4859" s="420"/>
    </row>
    <row r="4860" spans="17:25">
      <c r="Q4860" s="6">
        <v>4830</v>
      </c>
      <c r="R4860" s="7">
        <v>47497</v>
      </c>
      <c r="S4860" s="210">
        <v>4.25</v>
      </c>
      <c r="T4860" s="8">
        <v>1.0001180555555556</v>
      </c>
      <c r="U4860" s="98">
        <v>4.2846837373099023</v>
      </c>
      <c r="V4860" s="106">
        <v>39222.458521670225</v>
      </c>
      <c r="W4860" s="10">
        <v>1.1673569007169426</v>
      </c>
      <c r="X4860" s="420"/>
      <c r="Y4860" s="420"/>
    </row>
    <row r="4861" spans="17:25">
      <c r="Q4861" s="6">
        <v>4831</v>
      </c>
      <c r="R4861" s="7">
        <v>47498</v>
      </c>
      <c r="S4861" s="210">
        <v>4.25</v>
      </c>
      <c r="T4861" s="8">
        <v>1.0001180555555556</v>
      </c>
      <c r="U4861" s="98">
        <v>4.2847082038978579</v>
      </c>
      <c r="V4861" s="106">
        <v>39225.72311685748</v>
      </c>
      <c r="W4861" s="10">
        <v>1.1673800003580981</v>
      </c>
      <c r="X4861" s="420"/>
      <c r="Y4861" s="420"/>
    </row>
    <row r="4862" spans="17:25">
      <c r="Q4862" s="6">
        <v>4832</v>
      </c>
      <c r="R4862" s="7">
        <v>47499</v>
      </c>
      <c r="S4862" s="210">
        <v>4.25</v>
      </c>
      <c r="T4862" s="8">
        <v>1.0001180555555556</v>
      </c>
      <c r="U4862" s="98">
        <v>4.284732660364643</v>
      </c>
      <c r="V4862" s="106">
        <v>39228.987983766143</v>
      </c>
      <c r="W4862" s="10">
        <v>1.1674030904434085</v>
      </c>
      <c r="X4862" s="420"/>
      <c r="Y4862" s="420"/>
    </row>
    <row r="4863" spans="17:25">
      <c r="Q4863" s="6">
        <v>4833</v>
      </c>
      <c r="R4863" s="7">
        <v>47500</v>
      </c>
      <c r="S4863" s="210">
        <v>4.25</v>
      </c>
      <c r="T4863" s="8">
        <v>1.0001180555555556</v>
      </c>
      <c r="U4863" s="98">
        <v>4.2847571067165413</v>
      </c>
      <c r="V4863" s="106">
        <v>39232.253122418835</v>
      </c>
      <c r="W4863" s="10">
        <v>1.1674261709787803</v>
      </c>
      <c r="X4863" s="420"/>
      <c r="Y4863" s="420"/>
    </row>
    <row r="4864" spans="17:25">
      <c r="Q4864" s="6">
        <v>4834</v>
      </c>
      <c r="R4864" s="7">
        <v>47501</v>
      </c>
      <c r="S4864" s="210">
        <v>4.25</v>
      </c>
      <c r="T4864" s="8">
        <v>1.0001180555555556</v>
      </c>
      <c r="U4864" s="98">
        <v>4.2847815429598368</v>
      </c>
      <c r="V4864" s="106">
        <v>39235.518532838178</v>
      </c>
      <c r="W4864" s="10">
        <v>1.1674492419702087</v>
      </c>
      <c r="X4864" s="420"/>
      <c r="Y4864" s="420"/>
    </row>
    <row r="4865" spans="17:25">
      <c r="Q4865" s="6">
        <v>4835</v>
      </c>
      <c r="R4865" s="7">
        <v>47502</v>
      </c>
      <c r="S4865" s="210">
        <v>4.25</v>
      </c>
      <c r="T4865" s="8">
        <v>1.0001180555555556</v>
      </c>
      <c r="U4865" s="98">
        <v>4.2848059691007911</v>
      </c>
      <c r="V4865" s="106">
        <v>39238.784215046777</v>
      </c>
      <c r="W4865" s="10">
        <v>1.1674723034235335</v>
      </c>
      <c r="X4865" s="420"/>
      <c r="Y4865" s="420"/>
    </row>
    <row r="4866" spans="17:25">
      <c r="Q4866" s="6">
        <v>4836</v>
      </c>
      <c r="R4866" s="7">
        <v>47503</v>
      </c>
      <c r="S4866" s="210">
        <v>4.25</v>
      </c>
      <c r="T4866" s="8">
        <v>1.0001180555555556</v>
      </c>
      <c r="U4866" s="98">
        <v>4.2848303851456659</v>
      </c>
      <c r="V4866" s="106">
        <v>39242.050169067261</v>
      </c>
      <c r="W4866" s="10">
        <v>1.1674953553447276</v>
      </c>
      <c r="X4866" s="420"/>
      <c r="Y4866" s="420"/>
    </row>
    <row r="4867" spans="17:25">
      <c r="Q4867" s="6">
        <v>4837</v>
      </c>
      <c r="R4867" s="7">
        <v>47504</v>
      </c>
      <c r="S4867" s="210">
        <v>4.25</v>
      </c>
      <c r="T4867" s="8">
        <v>1.0001180555555556</v>
      </c>
      <c r="U4867" s="98">
        <v>4.2848547911007229</v>
      </c>
      <c r="V4867" s="106">
        <v>39245.316394922258</v>
      </c>
      <c r="W4867" s="10">
        <v>1.167518397739653</v>
      </c>
      <c r="X4867" s="420"/>
      <c r="Y4867" s="420"/>
    </row>
    <row r="4868" spans="17:25">
      <c r="Q4868" s="6">
        <v>4838</v>
      </c>
      <c r="R4868" s="7">
        <v>47505</v>
      </c>
      <c r="S4868" s="210">
        <v>4.25</v>
      </c>
      <c r="T4868" s="8">
        <v>1.0001180555555556</v>
      </c>
      <c r="U4868" s="98">
        <v>4.2848791869722236</v>
      </c>
      <c r="V4868" s="106">
        <v>39248.582892634389</v>
      </c>
      <c r="W4868" s="10">
        <v>1.1675414306142606</v>
      </c>
      <c r="X4868" s="420"/>
      <c r="Y4868" s="420"/>
    </row>
    <row r="4869" spans="17:25">
      <c r="Q4869" s="6">
        <v>4839</v>
      </c>
      <c r="R4869" s="7">
        <v>47506</v>
      </c>
      <c r="S4869" s="210">
        <v>4.25</v>
      </c>
      <c r="T4869" s="8">
        <v>1.0001180555555556</v>
      </c>
      <c r="U4869" s="98">
        <v>4.2849035727664075</v>
      </c>
      <c r="V4869" s="106">
        <v>39251.849662226283</v>
      </c>
      <c r="W4869" s="10">
        <v>1.1675644539744345</v>
      </c>
      <c r="X4869" s="420"/>
      <c r="Y4869" s="420"/>
    </row>
    <row r="4870" spans="17:25">
      <c r="Q4870" s="6">
        <v>4840</v>
      </c>
      <c r="R4870" s="7">
        <v>47507</v>
      </c>
      <c r="S4870" s="210">
        <v>4.25</v>
      </c>
      <c r="T4870" s="8">
        <v>1.0001180555555556</v>
      </c>
      <c r="U4870" s="98">
        <v>4.2849279484895142</v>
      </c>
      <c r="V4870" s="106">
        <v>39255.11670372056</v>
      </c>
      <c r="W4870" s="10">
        <v>1.1675874678260589</v>
      </c>
      <c r="X4870" s="420"/>
      <c r="Y4870" s="420"/>
    </row>
    <row r="4871" spans="17:25">
      <c r="Q4871" s="6">
        <v>4841</v>
      </c>
      <c r="R4871" s="7">
        <v>47508</v>
      </c>
      <c r="S4871" s="210">
        <v>4.25</v>
      </c>
      <c r="T4871" s="8">
        <v>1.0001180555555556</v>
      </c>
      <c r="U4871" s="98">
        <v>4.284952314147783</v>
      </c>
      <c r="V4871" s="106">
        <v>39258.384017139877</v>
      </c>
      <c r="W4871" s="10">
        <v>1.1676104721749958</v>
      </c>
      <c r="X4871" s="420"/>
      <c r="Y4871" s="420"/>
    </row>
    <row r="4872" spans="17:25">
      <c r="Q4872" s="6">
        <v>4842</v>
      </c>
      <c r="R4872" s="7">
        <v>47509</v>
      </c>
      <c r="S4872" s="210">
        <v>4.25</v>
      </c>
      <c r="T4872" s="8">
        <v>1.0001180555555556</v>
      </c>
      <c r="U4872" s="98">
        <v>4.2849766697474312</v>
      </c>
      <c r="V4872" s="106">
        <v>39261.651602506834</v>
      </c>
      <c r="W4872" s="10">
        <v>1.1676334670271737</v>
      </c>
      <c r="X4872" s="420"/>
      <c r="Y4872" s="420"/>
    </row>
    <row r="4873" spans="17:25">
      <c r="Q4873" s="6">
        <v>4843</v>
      </c>
      <c r="R4873" s="7">
        <v>47510</v>
      </c>
      <c r="S4873" s="210">
        <v>4.25</v>
      </c>
      <c r="T4873" s="8">
        <v>1.0001180555555556</v>
      </c>
      <c r="U4873" s="98">
        <v>4.2850010152946982</v>
      </c>
      <c r="V4873" s="106">
        <v>39264.919459844095</v>
      </c>
      <c r="W4873" s="10">
        <v>1.1676564523884325</v>
      </c>
      <c r="X4873" s="420"/>
      <c r="Y4873" s="420"/>
    </row>
    <row r="4874" spans="17:25">
      <c r="Q4874" s="6">
        <v>4844</v>
      </c>
      <c r="R4874" s="7">
        <v>47511</v>
      </c>
      <c r="S4874" s="210">
        <v>4.25</v>
      </c>
      <c r="T4874" s="8">
        <v>1.0001180555555556</v>
      </c>
      <c r="U4874" s="98">
        <v>4.2850253507958236</v>
      </c>
      <c r="V4874" s="106">
        <v>39268.187589174275</v>
      </c>
      <c r="W4874" s="10">
        <v>1.1676794282647007</v>
      </c>
      <c r="X4874" s="420"/>
      <c r="Y4874" s="420"/>
    </row>
    <row r="4875" spans="17:25">
      <c r="Q4875" s="6">
        <v>4845</v>
      </c>
      <c r="R4875" s="7">
        <v>47512</v>
      </c>
      <c r="S4875" s="210">
        <v>4.25</v>
      </c>
      <c r="T4875" s="8">
        <v>1.0001180555555556</v>
      </c>
      <c r="U4875" s="98">
        <v>4.2850496762570023</v>
      </c>
      <c r="V4875" s="106">
        <v>39271.455990520022</v>
      </c>
      <c r="W4875" s="10">
        <v>1.1677023946617959</v>
      </c>
      <c r="X4875" s="420"/>
      <c r="Y4875" s="420"/>
    </row>
    <row r="4876" spans="17:25">
      <c r="Q4876" s="6">
        <v>4846</v>
      </c>
      <c r="R4876" s="7">
        <v>47513</v>
      </c>
      <c r="S4876" s="210">
        <v>4.25</v>
      </c>
      <c r="T4876" s="8">
        <v>1.0001180555555556</v>
      </c>
      <c r="U4876" s="98">
        <v>4.2850739916844516</v>
      </c>
      <c r="V4876" s="106">
        <v>39274.724663903988</v>
      </c>
      <c r="W4876" s="10">
        <v>1.1677253515856245</v>
      </c>
      <c r="X4876" s="420"/>
      <c r="Y4876" s="420"/>
    </row>
    <row r="4877" spans="17:25">
      <c r="Q4877" s="6">
        <v>4847</v>
      </c>
      <c r="R4877" s="7">
        <v>47514</v>
      </c>
      <c r="S4877" s="210">
        <v>4.25</v>
      </c>
      <c r="T4877" s="8">
        <v>1.0001180555555556</v>
      </c>
      <c r="U4877" s="98">
        <v>4.2850982970843887</v>
      </c>
      <c r="V4877" s="106">
        <v>39277.993609348792</v>
      </c>
      <c r="W4877" s="10">
        <v>1.1677482990420041</v>
      </c>
      <c r="X4877" s="420"/>
      <c r="Y4877" s="420"/>
    </row>
    <row r="4878" spans="17:25">
      <c r="Q4878" s="6">
        <v>4848</v>
      </c>
      <c r="R4878" s="7">
        <v>47515</v>
      </c>
      <c r="S4878" s="210">
        <v>4.25</v>
      </c>
      <c r="T4878" s="8">
        <v>1.0001180555555556</v>
      </c>
      <c r="U4878" s="98">
        <v>4.2851225924630088</v>
      </c>
      <c r="V4878" s="106">
        <v>39281.262826877093</v>
      </c>
      <c r="W4878" s="10">
        <v>1.1677712370368409</v>
      </c>
      <c r="X4878" s="420"/>
      <c r="Y4878" s="420"/>
    </row>
    <row r="4879" spans="17:25">
      <c r="Q4879" s="6">
        <v>4849</v>
      </c>
      <c r="R4879" s="7">
        <v>47516</v>
      </c>
      <c r="S4879" s="210">
        <v>4.25</v>
      </c>
      <c r="T4879" s="8">
        <v>1.0001180555555556</v>
      </c>
      <c r="U4879" s="98">
        <v>4.2851468778265067</v>
      </c>
      <c r="V4879" s="106">
        <v>39284.532316511533</v>
      </c>
      <c r="W4879" s="10">
        <v>1.1677941655759527</v>
      </c>
      <c r="X4879" s="420"/>
      <c r="Y4879" s="420"/>
    </row>
    <row r="4880" spans="17:25">
      <c r="Q4880" s="6">
        <v>4850</v>
      </c>
      <c r="R4880" s="7">
        <v>47517</v>
      </c>
      <c r="S4880" s="210">
        <v>4.25</v>
      </c>
      <c r="T4880" s="8">
        <v>1.0001180555555556</v>
      </c>
      <c r="U4880" s="98">
        <v>4.2851711531810777</v>
      </c>
      <c r="V4880" s="106">
        <v>39287.80207827477</v>
      </c>
      <c r="W4880" s="10">
        <v>1.1678170846651792</v>
      </c>
      <c r="X4880" s="420"/>
      <c r="Y4880" s="420"/>
    </row>
    <row r="4881" spans="17:25">
      <c r="Q4881" s="6">
        <v>4851</v>
      </c>
      <c r="R4881" s="7">
        <v>47518</v>
      </c>
      <c r="S4881" s="210">
        <v>4.25</v>
      </c>
      <c r="T4881" s="8">
        <v>1.0001180555555556</v>
      </c>
      <c r="U4881" s="98">
        <v>4.2851954185328944</v>
      </c>
      <c r="V4881" s="106">
        <v>39291.072112189438</v>
      </c>
      <c r="W4881" s="10">
        <v>1.1678399943103823</v>
      </c>
      <c r="X4881" s="420"/>
      <c r="Y4881" s="420"/>
    </row>
    <row r="4882" spans="17:25">
      <c r="Q4882" s="6">
        <v>4852</v>
      </c>
      <c r="R4882" s="7">
        <v>47519</v>
      </c>
      <c r="S4882" s="210">
        <v>4.25</v>
      </c>
      <c r="T4882" s="8">
        <v>1.0001180555555556</v>
      </c>
      <c r="U4882" s="98">
        <v>4.2852196738881521</v>
      </c>
      <c r="V4882" s="106">
        <v>39294.342418278196</v>
      </c>
      <c r="W4882" s="10">
        <v>1.1678628945173797</v>
      </c>
      <c r="X4882" s="420"/>
      <c r="Y4882" s="420"/>
    </row>
    <row r="4883" spans="17:25">
      <c r="Q4883" s="6">
        <v>4853</v>
      </c>
      <c r="R4883" s="7">
        <v>47520</v>
      </c>
      <c r="S4883" s="210">
        <v>4.25</v>
      </c>
      <c r="T4883" s="8">
        <v>1.0001180555555556</v>
      </c>
      <c r="U4883" s="98">
        <v>4.2852439192530234</v>
      </c>
      <c r="V4883" s="106">
        <v>39297.612996563701</v>
      </c>
      <c r="W4883" s="10">
        <v>1.167885785292011</v>
      </c>
      <c r="X4883" s="420"/>
      <c r="Y4883" s="420"/>
    </row>
    <row r="4884" spans="17:25">
      <c r="Q4884" s="6">
        <v>4854</v>
      </c>
      <c r="R4884" s="7">
        <v>47521</v>
      </c>
      <c r="S4884" s="210">
        <v>4.25</v>
      </c>
      <c r="T4884" s="8">
        <v>1.0001180555555556</v>
      </c>
      <c r="U4884" s="98">
        <v>4.2852681546336813</v>
      </c>
      <c r="V4884" s="106">
        <v>39300.88384706861</v>
      </c>
      <c r="W4884" s="10">
        <v>1.1679086666401162</v>
      </c>
      <c r="X4884" s="420"/>
      <c r="Y4884" s="420"/>
    </row>
    <row r="4885" spans="17:25">
      <c r="Q4885" s="6">
        <v>4855</v>
      </c>
      <c r="R4885" s="7">
        <v>47522</v>
      </c>
      <c r="S4885" s="210">
        <v>4.25</v>
      </c>
      <c r="T4885" s="8">
        <v>1.0001180555555556</v>
      </c>
      <c r="U4885" s="98">
        <v>4.2852923800362763</v>
      </c>
      <c r="V4885" s="106">
        <v>39304.154969815572</v>
      </c>
      <c r="W4885" s="10">
        <v>1.1679315385674904</v>
      </c>
      <c r="X4885" s="420"/>
      <c r="Y4885" s="420"/>
    </row>
    <row r="4886" spans="17:25">
      <c r="Q4886" s="6">
        <v>4856</v>
      </c>
      <c r="R4886" s="7">
        <v>47523</v>
      </c>
      <c r="S4886" s="210">
        <v>4.25</v>
      </c>
      <c r="T4886" s="8">
        <v>1.0001180555555556</v>
      </c>
      <c r="U4886" s="98">
        <v>4.2853165954669814</v>
      </c>
      <c r="V4886" s="106">
        <v>39307.426364827254</v>
      </c>
      <c r="W4886" s="10">
        <v>1.1679544010799514</v>
      </c>
      <c r="X4886" s="420"/>
      <c r="Y4886" s="420"/>
    </row>
    <row r="4887" spans="17:25">
      <c r="Q4887" s="6">
        <v>4857</v>
      </c>
      <c r="R4887" s="7">
        <v>47524</v>
      </c>
      <c r="S4887" s="210">
        <v>4.25</v>
      </c>
      <c r="T4887" s="8">
        <v>1.0001180555555556</v>
      </c>
      <c r="U4887" s="98">
        <v>4.2853408009319693</v>
      </c>
      <c r="V4887" s="106">
        <v>39310.698032126311</v>
      </c>
      <c r="W4887" s="10">
        <v>1.1679772541833389</v>
      </c>
      <c r="X4887" s="420"/>
      <c r="Y4887" s="420"/>
    </row>
    <row r="4888" spans="17:25">
      <c r="Q4888" s="6">
        <v>4858</v>
      </c>
      <c r="R4888" s="7">
        <v>47525</v>
      </c>
      <c r="S4888" s="210">
        <v>4.25</v>
      </c>
      <c r="T4888" s="8">
        <v>1.0001180555555556</v>
      </c>
      <c r="U4888" s="98">
        <v>4.2853649964373686</v>
      </c>
      <c r="V4888" s="106">
        <v>39313.969971735409</v>
      </c>
      <c r="W4888" s="10">
        <v>1.1680000978834482</v>
      </c>
      <c r="X4888" s="420"/>
      <c r="Y4888" s="420"/>
    </row>
    <row r="4889" spans="17:25">
      <c r="Q4889" s="6">
        <v>4859</v>
      </c>
      <c r="R4889" s="7">
        <v>47526</v>
      </c>
      <c r="S4889" s="210">
        <v>4.25</v>
      </c>
      <c r="T4889" s="8">
        <v>1.0001180555555556</v>
      </c>
      <c r="U4889" s="98">
        <v>4.2853891819893297</v>
      </c>
      <c r="V4889" s="106">
        <v>39317.242183677212</v>
      </c>
      <c r="W4889" s="10">
        <v>1.1680229321860747</v>
      </c>
      <c r="X4889" s="420"/>
      <c r="Y4889" s="420"/>
    </row>
    <row r="4890" spans="17:25">
      <c r="Q4890" s="6">
        <v>4860</v>
      </c>
      <c r="R4890" s="7">
        <v>47527</v>
      </c>
      <c r="S4890" s="210">
        <v>4.25</v>
      </c>
      <c r="T4890" s="8">
        <v>1.0001180555555556</v>
      </c>
      <c r="U4890" s="98">
        <v>4.2854133575939812</v>
      </c>
      <c r="V4890" s="106">
        <v>39320.514667974399</v>
      </c>
      <c r="W4890" s="10">
        <v>1.1680457570970137</v>
      </c>
      <c r="X4890" s="420"/>
      <c r="Y4890" s="420"/>
    </row>
    <row r="4891" spans="17:25">
      <c r="Q4891" s="6">
        <v>4861</v>
      </c>
      <c r="R4891" s="7">
        <v>47528</v>
      </c>
      <c r="S4891" s="210">
        <v>4.25</v>
      </c>
      <c r="T4891" s="8">
        <v>1.0001180555555556</v>
      </c>
      <c r="U4891" s="98">
        <v>4.2854375232574737</v>
      </c>
      <c r="V4891" s="106">
        <v>39323.787424649614</v>
      </c>
      <c r="W4891" s="10">
        <v>1.1680685726220608</v>
      </c>
      <c r="X4891" s="420"/>
      <c r="Y4891" s="420"/>
    </row>
    <row r="4892" spans="17:25">
      <c r="Q4892" s="6">
        <v>4862</v>
      </c>
      <c r="R4892" s="7">
        <v>47529</v>
      </c>
      <c r="S4892" s="210">
        <v>4.25</v>
      </c>
      <c r="T4892" s="8">
        <v>1.0001180555555556</v>
      </c>
      <c r="U4892" s="98">
        <v>4.2854616789859357</v>
      </c>
      <c r="V4892" s="106">
        <v>39327.060453725557</v>
      </c>
      <c r="W4892" s="10">
        <v>1.1680913787669889</v>
      </c>
      <c r="X4892" s="420"/>
      <c r="Y4892" s="420"/>
    </row>
    <row r="4893" spans="17:25">
      <c r="Q4893" s="6">
        <v>4863</v>
      </c>
      <c r="R4893" s="7">
        <v>47530</v>
      </c>
      <c r="S4893" s="210">
        <v>4.25</v>
      </c>
      <c r="T4893" s="8">
        <v>1.0001180555555556</v>
      </c>
      <c r="U4893" s="98">
        <v>4.2854858247854954</v>
      </c>
      <c r="V4893" s="106">
        <v>39330.333755224878</v>
      </c>
      <c r="W4893" s="10">
        <v>1.1681141755376157</v>
      </c>
      <c r="X4893" s="420"/>
      <c r="Y4893" s="420"/>
    </row>
    <row r="4894" spans="17:25">
      <c r="Q4894" s="6">
        <v>4864</v>
      </c>
      <c r="R4894" s="7">
        <v>47531</v>
      </c>
      <c r="S4894" s="210">
        <v>4.25</v>
      </c>
      <c r="T4894" s="8">
        <v>1.0001180555555556</v>
      </c>
      <c r="U4894" s="98">
        <v>4.2855099606622815</v>
      </c>
      <c r="V4894" s="106">
        <v>39333.607329170263</v>
      </c>
      <c r="W4894" s="10">
        <v>1.1681369629397143</v>
      </c>
      <c r="X4894" s="420"/>
      <c r="Y4894" s="420"/>
    </row>
    <row r="4895" spans="17:25">
      <c r="Q4895" s="6">
        <v>4865</v>
      </c>
      <c r="R4895" s="7">
        <v>47532</v>
      </c>
      <c r="S4895" s="210">
        <v>4.25</v>
      </c>
      <c r="T4895" s="8">
        <v>1.0001180555555556</v>
      </c>
      <c r="U4895" s="98">
        <v>4.2855340866224001</v>
      </c>
      <c r="V4895" s="106">
        <v>39336.881175584385</v>
      </c>
      <c r="W4895" s="10">
        <v>1.1681597409790578</v>
      </c>
      <c r="X4895" s="420"/>
      <c r="Y4895" s="420"/>
    </row>
    <row r="4896" spans="17:25">
      <c r="Q4896" s="6">
        <v>4866</v>
      </c>
      <c r="R4896" s="7">
        <v>47533</v>
      </c>
      <c r="S4896" s="210">
        <v>4.25</v>
      </c>
      <c r="T4896" s="8">
        <v>1.0001180555555556</v>
      </c>
      <c r="U4896" s="98">
        <v>4.2855582026719574</v>
      </c>
      <c r="V4896" s="106">
        <v>39340.155294489923</v>
      </c>
      <c r="W4896" s="10">
        <v>1.1681825096613974</v>
      </c>
      <c r="X4896" s="420"/>
      <c r="Y4896" s="420"/>
    </row>
    <row r="4897" spans="17:25">
      <c r="Q4897" s="6">
        <v>4867</v>
      </c>
      <c r="R4897" s="7">
        <v>47534</v>
      </c>
      <c r="S4897" s="210">
        <v>4.25</v>
      </c>
      <c r="T4897" s="8">
        <v>1.0001180555555556</v>
      </c>
      <c r="U4897" s="98">
        <v>4.2855823088170597</v>
      </c>
      <c r="V4897" s="106">
        <v>39343.429685909556</v>
      </c>
      <c r="W4897" s="10">
        <v>1.168205268992506</v>
      </c>
      <c r="X4897" s="420"/>
      <c r="Y4897" s="420"/>
    </row>
    <row r="4898" spans="17:25">
      <c r="Q4898" s="6">
        <v>4868</v>
      </c>
      <c r="R4898" s="7">
        <v>47535</v>
      </c>
      <c r="S4898" s="210">
        <v>4.25</v>
      </c>
      <c r="T4898" s="8">
        <v>1.0001180555555556</v>
      </c>
      <c r="U4898" s="98">
        <v>4.2856064050638132</v>
      </c>
      <c r="V4898" s="106">
        <v>39346.70434986597</v>
      </c>
      <c r="W4898" s="10">
        <v>1.1682280189781569</v>
      </c>
      <c r="X4898" s="420"/>
      <c r="Y4898" s="420"/>
    </row>
    <row r="4899" spans="17:25">
      <c r="Q4899" s="6">
        <v>4869</v>
      </c>
      <c r="R4899" s="7">
        <v>47536</v>
      </c>
      <c r="S4899" s="210">
        <v>4.25</v>
      </c>
      <c r="T4899" s="8">
        <v>1.0001180555555556</v>
      </c>
      <c r="U4899" s="98">
        <v>4.2856304914183019</v>
      </c>
      <c r="V4899" s="106">
        <v>39349.979286381844</v>
      </c>
      <c r="W4899" s="10">
        <v>1.1682507596240566</v>
      </c>
      <c r="X4899" s="420"/>
      <c r="Y4899" s="420"/>
    </row>
    <row r="4900" spans="17:25">
      <c r="Q4900" s="6">
        <v>4870</v>
      </c>
      <c r="R4900" s="7">
        <v>47537</v>
      </c>
      <c r="S4900" s="210">
        <v>4.25</v>
      </c>
      <c r="T4900" s="8">
        <v>1.0001180555555556</v>
      </c>
      <c r="U4900" s="98">
        <v>4.285654567886632</v>
      </c>
      <c r="V4900" s="106">
        <v>39353.254495479858</v>
      </c>
      <c r="W4900" s="10">
        <v>1.1682734909360226</v>
      </c>
      <c r="X4900" s="420"/>
      <c r="Y4900" s="420"/>
    </row>
    <row r="4901" spans="17:25">
      <c r="Q4901" s="6">
        <v>4871</v>
      </c>
      <c r="R4901" s="7">
        <v>47538</v>
      </c>
      <c r="S4901" s="210">
        <v>4.25</v>
      </c>
      <c r="T4901" s="8">
        <v>1.0001180555555556</v>
      </c>
      <c r="U4901" s="98">
        <v>4.2856786344748654</v>
      </c>
      <c r="V4901" s="106">
        <v>39356.529977182719</v>
      </c>
      <c r="W4901" s="10">
        <v>1.1682962129197394</v>
      </c>
      <c r="X4901" s="420"/>
      <c r="Y4901" s="420"/>
    </row>
    <row r="4902" spans="17:25">
      <c r="Q4902" s="6">
        <v>4872</v>
      </c>
      <c r="R4902" s="7">
        <v>47539</v>
      </c>
      <c r="S4902" s="210">
        <v>4.25</v>
      </c>
      <c r="T4902" s="8">
        <v>1.0001180555555556</v>
      </c>
      <c r="U4902" s="98">
        <v>4.2857026911891083</v>
      </c>
      <c r="V4902" s="106">
        <v>39359.805731513108</v>
      </c>
      <c r="W4902" s="10">
        <v>1.1683189255810023</v>
      </c>
      <c r="X4902" s="420"/>
      <c r="Y4902" s="420"/>
    </row>
    <row r="4903" spans="17:25">
      <c r="Q4903" s="6">
        <v>4873</v>
      </c>
      <c r="R4903" s="7">
        <v>47540</v>
      </c>
      <c r="S4903" s="210">
        <v>4.25</v>
      </c>
      <c r="T4903" s="8">
        <v>1.0001180555555556</v>
      </c>
      <c r="U4903" s="98">
        <v>4.2857267380354225</v>
      </c>
      <c r="V4903" s="106">
        <v>39363.081758493696</v>
      </c>
      <c r="W4903" s="10">
        <v>1.1683416289255177</v>
      </c>
      <c r="X4903" s="420"/>
      <c r="Y4903" s="420"/>
    </row>
    <row r="4904" spans="17:25">
      <c r="Q4904" s="6">
        <v>4874</v>
      </c>
      <c r="R4904" s="7">
        <v>47541</v>
      </c>
      <c r="S4904" s="210">
        <v>4.25</v>
      </c>
      <c r="T4904" s="8">
        <v>1.0001180555555556</v>
      </c>
      <c r="U4904" s="98">
        <v>4.285750775019892</v>
      </c>
      <c r="V4904" s="106">
        <v>39366.358058147212</v>
      </c>
      <c r="W4904" s="10">
        <v>1.1683643229590146</v>
      </c>
      <c r="X4904" s="420"/>
      <c r="Y4904" s="420"/>
    </row>
    <row r="4905" spans="17:25">
      <c r="Q4905" s="6">
        <v>4875</v>
      </c>
      <c r="R4905" s="7">
        <v>47542</v>
      </c>
      <c r="S4905" s="210">
        <v>4.25</v>
      </c>
      <c r="T4905" s="8">
        <v>1.0001180555555556</v>
      </c>
      <c r="U4905" s="98">
        <v>4.2857748021485564</v>
      </c>
      <c r="V4905" s="106">
        <v>39369.63463049633</v>
      </c>
      <c r="W4905" s="10">
        <v>1.1683870076872216</v>
      </c>
      <c r="X4905" s="420"/>
      <c r="Y4905" s="420"/>
    </row>
    <row r="4906" spans="17:25">
      <c r="Q4906" s="6">
        <v>4876</v>
      </c>
      <c r="R4906" s="7">
        <v>47543</v>
      </c>
      <c r="S4906" s="210">
        <v>4.25</v>
      </c>
      <c r="T4906" s="8">
        <v>1.0001180555555556</v>
      </c>
      <c r="U4906" s="98">
        <v>4.2857988194274999</v>
      </c>
      <c r="V4906" s="106">
        <v>39372.911475563749</v>
      </c>
      <c r="W4906" s="10">
        <v>1.1684096831158897</v>
      </c>
      <c r="X4906" s="420"/>
      <c r="Y4906" s="420"/>
    </row>
    <row r="4907" spans="17:25">
      <c r="Q4907" s="6">
        <v>4877</v>
      </c>
      <c r="R4907" s="7">
        <v>47544</v>
      </c>
      <c r="S4907" s="210">
        <v>4.25</v>
      </c>
      <c r="T4907" s="8">
        <v>1.0001180555555556</v>
      </c>
      <c r="U4907" s="98">
        <v>4.2858228268627618</v>
      </c>
      <c r="V4907" s="106">
        <v>39376.188593372164</v>
      </c>
      <c r="W4907" s="10">
        <v>1.168432349250681</v>
      </c>
      <c r="X4907" s="420"/>
      <c r="Y4907" s="420"/>
    </row>
    <row r="4908" spans="17:25">
      <c r="Q4908" s="6">
        <v>4878</v>
      </c>
      <c r="R4908" s="7">
        <v>47545</v>
      </c>
      <c r="S4908" s="210">
        <v>4.25</v>
      </c>
      <c r="T4908" s="8">
        <v>1.0001180555555556</v>
      </c>
      <c r="U4908" s="98">
        <v>4.2858468244604042</v>
      </c>
      <c r="V4908" s="106">
        <v>39379.465983944283</v>
      </c>
      <c r="W4908" s="10">
        <v>1.1684550060973464</v>
      </c>
      <c r="X4908" s="420"/>
      <c r="Y4908" s="420"/>
    </row>
    <row r="4909" spans="17:25">
      <c r="Q4909" s="6">
        <v>4879</v>
      </c>
      <c r="R4909" s="7">
        <v>47546</v>
      </c>
      <c r="S4909" s="210">
        <v>4.25</v>
      </c>
      <c r="T4909" s="8">
        <v>1.0001180555555556</v>
      </c>
      <c r="U4909" s="98">
        <v>4.2858708122264666</v>
      </c>
      <c r="V4909" s="106">
        <v>39382.743647302814</v>
      </c>
      <c r="W4909" s="10">
        <v>1.1684776536615926</v>
      </c>
      <c r="X4909" s="420"/>
      <c r="Y4909" s="420"/>
    </row>
    <row r="4910" spans="17:25">
      <c r="Q4910" s="6">
        <v>4880</v>
      </c>
      <c r="R4910" s="7">
        <v>47547</v>
      </c>
      <c r="S4910" s="210">
        <v>4.25</v>
      </c>
      <c r="T4910" s="8">
        <v>1.0001180555555556</v>
      </c>
      <c r="U4910" s="98">
        <v>4.2858947901669886</v>
      </c>
      <c r="V4910" s="106">
        <v>39386.02158347045</v>
      </c>
      <c r="W4910" s="10">
        <v>1.1685002919491261</v>
      </c>
      <c r="X4910" s="420"/>
      <c r="Y4910" s="420"/>
    </row>
    <row r="4911" spans="17:25">
      <c r="Q4911" s="6">
        <v>4881</v>
      </c>
      <c r="R4911" s="7">
        <v>47548</v>
      </c>
      <c r="S4911" s="210">
        <v>4.25</v>
      </c>
      <c r="T4911" s="8">
        <v>1.0001180555555556</v>
      </c>
      <c r="U4911" s="98">
        <v>4.2859187582880098</v>
      </c>
      <c r="V4911" s="106">
        <v>39389.299792469908</v>
      </c>
      <c r="W4911" s="10">
        <v>1.1685229209656089</v>
      </c>
      <c r="X4911" s="420"/>
      <c r="Y4911" s="420"/>
    </row>
    <row r="4912" spans="17:25">
      <c r="Q4912" s="6">
        <v>4882</v>
      </c>
      <c r="R4912" s="7">
        <v>47549</v>
      </c>
      <c r="S4912" s="210">
        <v>4.25</v>
      </c>
      <c r="T4912" s="8">
        <v>1.0001180555555556</v>
      </c>
      <c r="U4912" s="98">
        <v>4.2859427165955699</v>
      </c>
      <c r="V4912" s="106">
        <v>39392.578274323896</v>
      </c>
      <c r="W4912" s="10">
        <v>1.1685455407167922</v>
      </c>
      <c r="X4912" s="420"/>
      <c r="Y4912" s="420"/>
    </row>
    <row r="4913" spans="17:25">
      <c r="Q4913" s="6">
        <v>4883</v>
      </c>
      <c r="R4913" s="7">
        <v>47550</v>
      </c>
      <c r="S4913" s="210">
        <v>4.25</v>
      </c>
      <c r="T4913" s="8">
        <v>1.0001180555555556</v>
      </c>
      <c r="U4913" s="98">
        <v>4.2859666650956862</v>
      </c>
      <c r="V4913" s="106">
        <v>39395.857029055114</v>
      </c>
      <c r="W4913" s="10">
        <v>1.1685681512083379</v>
      </c>
      <c r="X4913" s="420"/>
      <c r="Y4913" s="420"/>
    </row>
    <row r="4914" spans="17:25">
      <c r="Q4914" s="6">
        <v>4884</v>
      </c>
      <c r="R4914" s="7">
        <v>47551</v>
      </c>
      <c r="S4914" s="210">
        <v>4.25</v>
      </c>
      <c r="T4914" s="8">
        <v>1.0001180555555556</v>
      </c>
      <c r="U4914" s="98">
        <v>4.2859906037943762</v>
      </c>
      <c r="V4914" s="106">
        <v>39399.136056686271</v>
      </c>
      <c r="W4914" s="10">
        <v>1.1685907524459083</v>
      </c>
      <c r="X4914" s="420"/>
      <c r="Y4914" s="420"/>
    </row>
    <row r="4915" spans="17:25">
      <c r="Q4915" s="6">
        <v>4885</v>
      </c>
      <c r="R4915" s="7">
        <v>47552</v>
      </c>
      <c r="S4915" s="210">
        <v>4.25</v>
      </c>
      <c r="T4915" s="8">
        <v>1.0001180555555556</v>
      </c>
      <c r="U4915" s="98">
        <v>4.2860145326976573</v>
      </c>
      <c r="V4915" s="106">
        <v>39402.415357240112</v>
      </c>
      <c r="W4915" s="10">
        <v>1.1686133444352098</v>
      </c>
      <c r="X4915" s="420"/>
      <c r="Y4915" s="420"/>
    </row>
    <row r="4916" spans="17:25">
      <c r="Q4916" s="6">
        <v>4886</v>
      </c>
      <c r="R4916" s="7">
        <v>47553</v>
      </c>
      <c r="S4916" s="210">
        <v>4.25</v>
      </c>
      <c r="T4916" s="8">
        <v>1.0001180555555556</v>
      </c>
      <c r="U4916" s="98">
        <v>4.2860384518115247</v>
      </c>
      <c r="V4916" s="106">
        <v>39405.694930739315</v>
      </c>
      <c r="W4916" s="10">
        <v>1.1686359271819047</v>
      </c>
      <c r="X4916" s="420"/>
      <c r="Y4916" s="420"/>
    </row>
    <row r="4917" spans="17:25">
      <c r="Q4917" s="6">
        <v>4887</v>
      </c>
      <c r="R4917" s="7">
        <v>47554</v>
      </c>
      <c r="S4917" s="210">
        <v>4.25</v>
      </c>
      <c r="T4917" s="8">
        <v>1.0001180555555556</v>
      </c>
      <c r="U4917" s="98">
        <v>4.2860623611420179</v>
      </c>
      <c r="V4917" s="106">
        <v>39408.974777206618</v>
      </c>
      <c r="W4917" s="10">
        <v>1.1686585006916772</v>
      </c>
      <c r="X4917" s="420"/>
      <c r="Y4917" s="420"/>
    </row>
    <row r="4918" spans="17:25">
      <c r="Q4918" s="6">
        <v>4888</v>
      </c>
      <c r="R4918" s="7">
        <v>47555</v>
      </c>
      <c r="S4918" s="210">
        <v>4.25</v>
      </c>
      <c r="T4918" s="8">
        <v>1.0001180555555556</v>
      </c>
      <c r="U4918" s="98">
        <v>4.28608626069511</v>
      </c>
      <c r="V4918" s="106">
        <v>39412.254896664745</v>
      </c>
      <c r="W4918" s="10">
        <v>1.1686810649701895</v>
      </c>
      <c r="X4918" s="420"/>
      <c r="Y4918" s="420"/>
    </row>
    <row r="4919" spans="17:25">
      <c r="Q4919" s="6">
        <v>4889</v>
      </c>
      <c r="R4919" s="7">
        <v>47556</v>
      </c>
      <c r="S4919" s="210">
        <v>4.25</v>
      </c>
      <c r="T4919" s="8">
        <v>1.0001180555555556</v>
      </c>
      <c r="U4919" s="98">
        <v>4.2861101504768184</v>
      </c>
      <c r="V4919" s="106">
        <v>39415.535289136402</v>
      </c>
      <c r="W4919" s="10">
        <v>1.1687036200231038</v>
      </c>
      <c r="X4919" s="420"/>
      <c r="Y4919" s="420"/>
    </row>
    <row r="4920" spans="17:25">
      <c r="Q4920" s="6">
        <v>4890</v>
      </c>
      <c r="R4920" s="7">
        <v>47557</v>
      </c>
      <c r="S4920" s="210">
        <v>4.25</v>
      </c>
      <c r="T4920" s="8">
        <v>1.0001180555555556</v>
      </c>
      <c r="U4920" s="98">
        <v>4.2861340304931161</v>
      </c>
      <c r="V4920" s="106">
        <v>39418.815954644335</v>
      </c>
      <c r="W4920" s="10">
        <v>1.1687261658560599</v>
      </c>
      <c r="X4920" s="420"/>
      <c r="Y4920" s="420"/>
    </row>
    <row r="4921" spans="17:25">
      <c r="Q4921" s="6">
        <v>4891</v>
      </c>
      <c r="R4921" s="7">
        <v>47558</v>
      </c>
      <c r="S4921" s="210">
        <v>4.25</v>
      </c>
      <c r="T4921" s="8">
        <v>1.0001180555555556</v>
      </c>
      <c r="U4921" s="98">
        <v>4.2861579007499984</v>
      </c>
      <c r="V4921" s="106">
        <v>39422.096893211237</v>
      </c>
      <c r="W4921" s="10">
        <v>1.1687487024747201</v>
      </c>
      <c r="X4921" s="420"/>
      <c r="Y4921" s="420"/>
    </row>
    <row r="4922" spans="17:25">
      <c r="Q4922" s="6">
        <v>4892</v>
      </c>
      <c r="R4922" s="7">
        <v>47559</v>
      </c>
      <c r="S4922" s="210">
        <v>4.25</v>
      </c>
      <c r="T4922" s="8">
        <v>1.0001180555555556</v>
      </c>
      <c r="U4922" s="98">
        <v>4.2861817612534381</v>
      </c>
      <c r="V4922" s="106">
        <v>39425.378104859868</v>
      </c>
      <c r="W4922" s="10">
        <v>1.1687712298847464</v>
      </c>
      <c r="X4922" s="420"/>
      <c r="Y4922" s="420"/>
    </row>
    <row r="4923" spans="17:25">
      <c r="Q4923" s="6">
        <v>4893</v>
      </c>
      <c r="R4923" s="7">
        <v>47560</v>
      </c>
      <c r="S4923" s="210">
        <v>4.25</v>
      </c>
      <c r="T4923" s="8">
        <v>1.0001180555555556</v>
      </c>
      <c r="U4923" s="98">
        <v>4.2862056120094305</v>
      </c>
      <c r="V4923" s="106">
        <v>39428.659589612944</v>
      </c>
      <c r="W4923" s="10">
        <v>1.1687937480917565</v>
      </c>
      <c r="X4923" s="420"/>
      <c r="Y4923" s="420"/>
    </row>
    <row r="4924" spans="17:25">
      <c r="Q4924" s="6">
        <v>4894</v>
      </c>
      <c r="R4924" s="7">
        <v>47561</v>
      </c>
      <c r="S4924" s="210">
        <v>4.25</v>
      </c>
      <c r="T4924" s="8">
        <v>1.0001180555555556</v>
      </c>
      <c r="U4924" s="98">
        <v>4.2862294530239264</v>
      </c>
      <c r="V4924" s="106">
        <v>39431.941347493186</v>
      </c>
      <c r="W4924" s="10">
        <v>1.1688162571014127</v>
      </c>
      <c r="X4924" s="420"/>
      <c r="Y4924" s="420"/>
    </row>
    <row r="4925" spans="17:25">
      <c r="Q4925" s="6">
        <v>4895</v>
      </c>
      <c r="R4925" s="7">
        <v>47562</v>
      </c>
      <c r="S4925" s="210">
        <v>4.25</v>
      </c>
      <c r="T4925" s="8">
        <v>1.0001180555555556</v>
      </c>
      <c r="U4925" s="98">
        <v>4.2862532843029211</v>
      </c>
      <c r="V4925" s="106">
        <v>39435.223378523347</v>
      </c>
      <c r="W4925" s="10">
        <v>1.1688387569193326</v>
      </c>
      <c r="X4925" s="420"/>
      <c r="Y4925" s="420"/>
    </row>
    <row r="4926" spans="17:25">
      <c r="Q4926" s="6">
        <v>4896</v>
      </c>
      <c r="R4926" s="7">
        <v>47563</v>
      </c>
      <c r="S4926" s="210">
        <v>4.25</v>
      </c>
      <c r="T4926" s="8">
        <v>1.0001180555555556</v>
      </c>
      <c r="U4926" s="98">
        <v>4.286277105852343</v>
      </c>
      <c r="V4926" s="106">
        <v>39438.505682726151</v>
      </c>
      <c r="W4926" s="10">
        <v>1.1688612475511562</v>
      </c>
      <c r="X4926" s="420"/>
      <c r="Y4926" s="420"/>
    </row>
    <row r="4927" spans="17:25">
      <c r="Q4927" s="6">
        <v>4897</v>
      </c>
      <c r="R4927" s="7">
        <v>47564</v>
      </c>
      <c r="S4927" s="210">
        <v>4.25</v>
      </c>
      <c r="T4927" s="8">
        <v>1.0001180555555556</v>
      </c>
      <c r="U4927" s="98">
        <v>4.2863009176781652</v>
      </c>
      <c r="V4927" s="106">
        <v>39441.788260124333</v>
      </c>
      <c r="W4927" s="10">
        <v>1.1688837290025011</v>
      </c>
      <c r="X4927" s="420"/>
      <c r="Y4927" s="420"/>
    </row>
    <row r="4928" spans="17:25">
      <c r="Q4928" s="6">
        <v>4898</v>
      </c>
      <c r="R4928" s="7">
        <v>47565</v>
      </c>
      <c r="S4928" s="210">
        <v>4.25</v>
      </c>
      <c r="T4928" s="8">
        <v>1.0001180555555556</v>
      </c>
      <c r="U4928" s="98">
        <v>4.2863247197863386</v>
      </c>
      <c r="V4928" s="106">
        <v>39445.071110740631</v>
      </c>
      <c r="W4928" s="10">
        <v>1.1689062012789853</v>
      </c>
      <c r="X4928" s="420"/>
      <c r="Y4928" s="420"/>
    </row>
    <row r="4929" spans="17:25">
      <c r="Q4929" s="6">
        <v>4899</v>
      </c>
      <c r="R4929" s="7">
        <v>47566</v>
      </c>
      <c r="S4929" s="210">
        <v>4.25</v>
      </c>
      <c r="T4929" s="8">
        <v>1.0001180555555556</v>
      </c>
      <c r="U4929" s="98">
        <v>4.2863485121828138</v>
      </c>
      <c r="V4929" s="106">
        <v>39448.354234597798</v>
      </c>
      <c r="W4929" s="10">
        <v>1.1689286643862262</v>
      </c>
      <c r="X4929" s="420"/>
      <c r="Y4929" s="420"/>
    </row>
    <row r="4930" spans="17:25">
      <c r="Q4930" s="6">
        <v>4900</v>
      </c>
      <c r="R4930" s="7">
        <v>47567</v>
      </c>
      <c r="S4930" s="210">
        <v>4.25</v>
      </c>
      <c r="T4930" s="8">
        <v>1.0001180555555556</v>
      </c>
      <c r="U4930" s="98">
        <v>4.2863722948735417</v>
      </c>
      <c r="V4930" s="106">
        <v>39451.637631718564</v>
      </c>
      <c r="W4930" s="10">
        <v>1.1689511183298418</v>
      </c>
      <c r="X4930" s="420"/>
      <c r="Y4930" s="420"/>
    </row>
    <row r="4931" spans="17:25">
      <c r="Q4931" s="6">
        <v>4901</v>
      </c>
      <c r="R4931" s="7">
        <v>47568</v>
      </c>
      <c r="S4931" s="210">
        <v>4.25</v>
      </c>
      <c r="T4931" s="8">
        <v>1.0001180555555556</v>
      </c>
      <c r="U4931" s="98">
        <v>4.2863960678644508</v>
      </c>
      <c r="V4931" s="106">
        <v>39454.921302125673</v>
      </c>
      <c r="W4931" s="10">
        <v>1.1689735631154496</v>
      </c>
      <c r="X4931" s="420"/>
      <c r="Y4931" s="420"/>
    </row>
    <row r="4932" spans="17:25">
      <c r="Q4932" s="6">
        <v>4902</v>
      </c>
      <c r="R4932" s="7">
        <v>47569</v>
      </c>
      <c r="S4932" s="210">
        <v>4.25</v>
      </c>
      <c r="T4932" s="8">
        <v>1.0001180555555556</v>
      </c>
      <c r="U4932" s="98">
        <v>4.2864198311614699</v>
      </c>
      <c r="V4932" s="106">
        <v>39458.205245841884</v>
      </c>
      <c r="W4932" s="10">
        <v>1.1689959987486009</v>
      </c>
      <c r="X4932" s="420"/>
      <c r="Y4932" s="420"/>
    </row>
    <row r="4933" spans="17:25">
      <c r="Q4933" s="6">
        <v>4903</v>
      </c>
      <c r="R4933" s="7">
        <v>47570</v>
      </c>
      <c r="S4933" s="210">
        <v>4.25</v>
      </c>
      <c r="T4933" s="8">
        <v>1.0001180555555556</v>
      </c>
      <c r="U4933" s="98">
        <v>4.2864435847705273</v>
      </c>
      <c r="V4933" s="106">
        <v>39461.489462889935</v>
      </c>
      <c r="W4933" s="10">
        <v>1.1690184252349578</v>
      </c>
      <c r="X4933" s="420"/>
      <c r="Y4933" s="420"/>
    </row>
    <row r="4934" spans="17:25">
      <c r="Q4934" s="6">
        <v>4904</v>
      </c>
      <c r="R4934" s="7">
        <v>47571</v>
      </c>
      <c r="S4934" s="210">
        <v>4.25</v>
      </c>
      <c r="T4934" s="8">
        <v>1.0001180555555556</v>
      </c>
      <c r="U4934" s="98">
        <v>4.2864673286975519</v>
      </c>
      <c r="V4934" s="106">
        <v>39464.773953292577</v>
      </c>
      <c r="W4934" s="10">
        <v>1.1690408425800713</v>
      </c>
      <c r="X4934" s="420"/>
      <c r="Y4934" s="420"/>
    </row>
    <row r="4935" spans="17:25">
      <c r="Q4935" s="6">
        <v>4905</v>
      </c>
      <c r="R4935" s="7">
        <v>47572</v>
      </c>
      <c r="S4935" s="210">
        <v>4.25</v>
      </c>
      <c r="T4935" s="8">
        <v>1.0001180555555556</v>
      </c>
      <c r="U4935" s="98">
        <v>4.2864910629484498</v>
      </c>
      <c r="V4935" s="106">
        <v>39468.058717072563</v>
      </c>
      <c r="W4935" s="10">
        <v>1.1690632507895371</v>
      </c>
      <c r="X4935" s="420"/>
      <c r="Y4935" s="420"/>
    </row>
    <row r="4936" spans="17:25">
      <c r="Q4936" s="6">
        <v>4906</v>
      </c>
      <c r="R4936" s="7">
        <v>47573</v>
      </c>
      <c r="S4936" s="210">
        <v>4.25</v>
      </c>
      <c r="T4936" s="8">
        <v>1.0001180555555556</v>
      </c>
      <c r="U4936" s="98">
        <v>4.2865147875291498</v>
      </c>
      <c r="V4936" s="106">
        <v>39471.343754252652</v>
      </c>
      <c r="W4936" s="10">
        <v>1.1690856498689284</v>
      </c>
      <c r="X4936" s="420"/>
      <c r="Y4936" s="420"/>
    </row>
    <row r="4937" spans="17:25">
      <c r="Q4937" s="6">
        <v>4907</v>
      </c>
      <c r="R4937" s="7">
        <v>47574</v>
      </c>
      <c r="S4937" s="210">
        <v>4.25</v>
      </c>
      <c r="T4937" s="8">
        <v>1.0001180555555556</v>
      </c>
      <c r="U4937" s="98">
        <v>4.2865385024455582</v>
      </c>
      <c r="V4937" s="106">
        <v>39474.629064855588</v>
      </c>
      <c r="W4937" s="10">
        <v>1.1691080398238629</v>
      </c>
      <c r="X4937" s="420"/>
      <c r="Y4937" s="420"/>
    </row>
    <row r="4938" spans="17:25">
      <c r="Q4938" s="6">
        <v>4908</v>
      </c>
      <c r="R4938" s="7">
        <v>47575</v>
      </c>
      <c r="S4938" s="210">
        <v>4.25</v>
      </c>
      <c r="T4938" s="8">
        <v>1.0001180555555556</v>
      </c>
      <c r="U4938" s="98">
        <v>4.2865622077035814</v>
      </c>
      <c r="V4938" s="106">
        <v>39477.914648904145</v>
      </c>
      <c r="W4938" s="10">
        <v>1.1691304206598696</v>
      </c>
      <c r="X4938" s="420"/>
      <c r="Y4938" s="420"/>
    </row>
    <row r="4939" spans="17:25">
      <c r="Q4939" s="6">
        <v>4909</v>
      </c>
      <c r="R4939" s="7">
        <v>47576</v>
      </c>
      <c r="S4939" s="210">
        <v>4.25</v>
      </c>
      <c r="T4939" s="8">
        <v>1.0001180555555556</v>
      </c>
      <c r="U4939" s="98">
        <v>4.2865859033091036</v>
      </c>
      <c r="V4939" s="106">
        <v>39481.200506421068</v>
      </c>
      <c r="W4939" s="10">
        <v>1.169152792382544</v>
      </c>
      <c r="X4939" s="420"/>
      <c r="Y4939" s="420"/>
    </row>
    <row r="4940" spans="17:25">
      <c r="Q4940" s="6">
        <v>4910</v>
      </c>
      <c r="R4940" s="7">
        <v>47577</v>
      </c>
      <c r="S4940" s="210">
        <v>4.25</v>
      </c>
      <c r="T4940" s="8">
        <v>1.0001180555555556</v>
      </c>
      <c r="U4940" s="98">
        <v>4.2866095892680312</v>
      </c>
      <c r="V4940" s="106">
        <v>39484.48663742913</v>
      </c>
      <c r="W4940" s="10">
        <v>1.1691751549974372</v>
      </c>
      <c r="X4940" s="420"/>
      <c r="Y4940" s="420"/>
    </row>
    <row r="4941" spans="17:25">
      <c r="Q4941" s="6">
        <v>4911</v>
      </c>
      <c r="R4941" s="7">
        <v>47578</v>
      </c>
      <c r="S4941" s="210">
        <v>4.25</v>
      </c>
      <c r="T4941" s="8">
        <v>1.0001180555555556</v>
      </c>
      <c r="U4941" s="98">
        <v>4.2866332655862482</v>
      </c>
      <c r="V4941" s="106">
        <v>39487.773041951084</v>
      </c>
      <c r="W4941" s="10">
        <v>1.1691975085101225</v>
      </c>
      <c r="X4941" s="420"/>
      <c r="Y4941" s="420"/>
    </row>
    <row r="4942" spans="17:25">
      <c r="Q4942" s="6">
        <v>4912</v>
      </c>
      <c r="R4942" s="7">
        <v>47579</v>
      </c>
      <c r="S4942" s="210">
        <v>4.25</v>
      </c>
      <c r="T4942" s="8">
        <v>1.0001180555555556</v>
      </c>
      <c r="U4942" s="98">
        <v>4.2866569322696391</v>
      </c>
      <c r="V4942" s="106">
        <v>39491.059720009696</v>
      </c>
      <c r="W4942" s="10">
        <v>1.1692198529261288</v>
      </c>
      <c r="X4942" s="420"/>
      <c r="Y4942" s="420"/>
    </row>
    <row r="4943" spans="17:25">
      <c r="Q4943" s="6">
        <v>4913</v>
      </c>
      <c r="R4943" s="7">
        <v>47580</v>
      </c>
      <c r="S4943" s="210">
        <v>4.25</v>
      </c>
      <c r="T4943" s="8">
        <v>1.0001180555555556</v>
      </c>
      <c r="U4943" s="98">
        <v>4.2866805893240878</v>
      </c>
      <c r="V4943" s="106">
        <v>39494.346671627747</v>
      </c>
      <c r="W4943" s="10">
        <v>1.1692421882510518</v>
      </c>
      <c r="X4943" s="420"/>
      <c r="Y4943" s="420"/>
    </row>
    <row r="4944" spans="17:25">
      <c r="Q4944" s="6">
        <v>4914</v>
      </c>
      <c r="R4944" s="7">
        <v>47581</v>
      </c>
      <c r="S4944" s="210">
        <v>4.25</v>
      </c>
      <c r="T4944" s="8">
        <v>1.0001180555555556</v>
      </c>
      <c r="U4944" s="98">
        <v>4.2867042367554786</v>
      </c>
      <c r="V4944" s="106">
        <v>39497.633896827996</v>
      </c>
      <c r="W4944" s="10">
        <v>1.1692645144904201</v>
      </c>
      <c r="X4944" s="420"/>
      <c r="Y4944" s="420"/>
    </row>
    <row r="4945" spans="17:25">
      <c r="Q4945" s="6">
        <v>4915</v>
      </c>
      <c r="R4945" s="7">
        <v>47582</v>
      </c>
      <c r="S4945" s="210">
        <v>4.25</v>
      </c>
      <c r="T4945" s="8">
        <v>1.0001180555555556</v>
      </c>
      <c r="U4945" s="98">
        <v>4.2867278745696735</v>
      </c>
      <c r="V4945" s="106">
        <v>39500.921395633202</v>
      </c>
      <c r="W4945" s="10">
        <v>1.1692868316497851</v>
      </c>
      <c r="X4945" s="420"/>
      <c r="Y4945" s="420"/>
    </row>
    <row r="4946" spans="17:25">
      <c r="Q4946" s="6">
        <v>4916</v>
      </c>
      <c r="R4946" s="7">
        <v>47583</v>
      </c>
      <c r="S4946" s="210">
        <v>4.25</v>
      </c>
      <c r="T4946" s="8">
        <v>1.0001180555555556</v>
      </c>
      <c r="U4946" s="98">
        <v>4.2867515027725345</v>
      </c>
      <c r="V4946" s="106">
        <v>39504.209168066162</v>
      </c>
      <c r="W4946" s="10">
        <v>1.1693091397346533</v>
      </c>
      <c r="X4946" s="420"/>
      <c r="Y4946" s="420"/>
    </row>
    <row r="4947" spans="17:25">
      <c r="Q4947" s="6">
        <v>4917</v>
      </c>
      <c r="R4947" s="7">
        <v>47584</v>
      </c>
      <c r="S4947" s="210">
        <v>4.25</v>
      </c>
      <c r="T4947" s="8">
        <v>1.0001180555555556</v>
      </c>
      <c r="U4947" s="98">
        <v>4.2867751213699234</v>
      </c>
      <c r="V4947" s="106">
        <v>39507.497214149633</v>
      </c>
      <c r="W4947" s="10">
        <v>1.169331438750576</v>
      </c>
      <c r="X4947" s="420"/>
      <c r="Y4947" s="420"/>
    </row>
    <row r="4948" spans="17:25">
      <c r="Q4948" s="6">
        <v>4918</v>
      </c>
      <c r="R4948" s="7">
        <v>47585</v>
      </c>
      <c r="S4948" s="210">
        <v>4.25</v>
      </c>
      <c r="T4948" s="8">
        <v>1.0001180555555556</v>
      </c>
      <c r="U4948" s="98">
        <v>4.2867987303677024</v>
      </c>
      <c r="V4948" s="106">
        <v>39510.785533906404</v>
      </c>
      <c r="W4948" s="10">
        <v>1.169353728703082</v>
      </c>
      <c r="X4948" s="420"/>
      <c r="Y4948" s="420"/>
    </row>
    <row r="4949" spans="17:25">
      <c r="Q4949" s="6">
        <v>4919</v>
      </c>
      <c r="R4949" s="7">
        <v>47586</v>
      </c>
      <c r="S4949" s="210">
        <v>4.25</v>
      </c>
      <c r="T4949" s="8">
        <v>1.0001180555555556</v>
      </c>
      <c r="U4949" s="98">
        <v>4.2868223297717112</v>
      </c>
      <c r="V4949" s="106">
        <v>39514.07412735925</v>
      </c>
      <c r="W4949" s="10">
        <v>1.1693760095977002</v>
      </c>
      <c r="X4949" s="420"/>
      <c r="Y4949" s="420"/>
    </row>
    <row r="4950" spans="17:25">
      <c r="Q4950" s="6">
        <v>4920</v>
      </c>
      <c r="R4950" s="7">
        <v>47587</v>
      </c>
      <c r="S4950" s="210">
        <v>4.25</v>
      </c>
      <c r="T4950" s="8">
        <v>1.0001180555555556</v>
      </c>
      <c r="U4950" s="98">
        <v>4.2868459195878117</v>
      </c>
      <c r="V4950" s="106">
        <v>39517.362994530937</v>
      </c>
      <c r="W4950" s="10">
        <v>1.1693982814399595</v>
      </c>
      <c r="X4950" s="420"/>
      <c r="Y4950" s="420"/>
    </row>
    <row r="4951" spans="17:25">
      <c r="Q4951" s="6">
        <v>4921</v>
      </c>
      <c r="R4951" s="7">
        <v>47588</v>
      </c>
      <c r="S4951" s="210">
        <v>4.25</v>
      </c>
      <c r="T4951" s="8">
        <v>1.0001180555555556</v>
      </c>
      <c r="U4951" s="98">
        <v>4.2868694998218437</v>
      </c>
      <c r="V4951" s="106">
        <v>39520.652135444267</v>
      </c>
      <c r="W4951" s="10">
        <v>1.1694205442353889</v>
      </c>
      <c r="X4951" s="420"/>
      <c r="Y4951" s="420"/>
    </row>
    <row r="4952" spans="17:25">
      <c r="Q4952" s="6">
        <v>4922</v>
      </c>
      <c r="R4952" s="7">
        <v>47589</v>
      </c>
      <c r="S4952" s="210">
        <v>4.25</v>
      </c>
      <c r="T4952" s="8">
        <v>1.0001180555555556</v>
      </c>
      <c r="U4952" s="98">
        <v>4.2868930704796249</v>
      </c>
      <c r="V4952" s="106">
        <v>39523.941550122014</v>
      </c>
      <c r="W4952" s="10">
        <v>1.1694427979894284</v>
      </c>
      <c r="X4952" s="420"/>
      <c r="Y4952" s="420"/>
    </row>
    <row r="4953" spans="17:25">
      <c r="Q4953" s="6">
        <v>4923</v>
      </c>
      <c r="R4953" s="7">
        <v>47590</v>
      </c>
      <c r="S4953" s="210">
        <v>4.25</v>
      </c>
      <c r="T4953" s="8">
        <v>1.0001180555555556</v>
      </c>
      <c r="U4953" s="98">
        <v>4.2869166315669949</v>
      </c>
      <c r="V4953" s="106">
        <v>39527.231238586974</v>
      </c>
      <c r="W4953" s="10">
        <v>1.1694650427076514</v>
      </c>
      <c r="X4953" s="420"/>
      <c r="Y4953" s="420"/>
    </row>
    <row r="4954" spans="17:25">
      <c r="Q4954" s="6">
        <v>4924</v>
      </c>
      <c r="R4954" s="7">
        <v>47591</v>
      </c>
      <c r="S4954" s="210">
        <v>4.25</v>
      </c>
      <c r="T4954" s="8">
        <v>1.0001180555555556</v>
      </c>
      <c r="U4954" s="98">
        <v>4.2869401830897935</v>
      </c>
      <c r="V4954" s="106">
        <v>39530.52120086192</v>
      </c>
      <c r="W4954" s="10">
        <v>1.1694872783955201</v>
      </c>
      <c r="X4954" s="420"/>
      <c r="Y4954" s="420"/>
    </row>
    <row r="4955" spans="17:25">
      <c r="Q4955" s="6">
        <v>4925</v>
      </c>
      <c r="R4955" s="7">
        <v>47592</v>
      </c>
      <c r="S4955" s="210">
        <v>4.25</v>
      </c>
      <c r="T4955" s="8">
        <v>1.0001180555555556</v>
      </c>
      <c r="U4955" s="98">
        <v>4.2869637250538384</v>
      </c>
      <c r="V4955" s="106">
        <v>39533.811436969656</v>
      </c>
      <c r="W4955" s="10">
        <v>1.1695095050585635</v>
      </c>
      <c r="X4955" s="420"/>
      <c r="Y4955" s="420"/>
    </row>
    <row r="4956" spans="17:25">
      <c r="Q4956" s="6">
        <v>4926</v>
      </c>
      <c r="R4956" s="7">
        <v>47593</v>
      </c>
      <c r="S4956" s="210">
        <v>4.25</v>
      </c>
      <c r="T4956" s="8">
        <v>1.0001180555555556</v>
      </c>
      <c r="U4956" s="98">
        <v>4.286987257464947</v>
      </c>
      <c r="V4956" s="106">
        <v>39537.101946932962</v>
      </c>
      <c r="W4956" s="10">
        <v>1.1695317227022661</v>
      </c>
      <c r="X4956" s="420"/>
      <c r="Y4956" s="420"/>
    </row>
    <row r="4957" spans="17:25">
      <c r="Q4957" s="6">
        <v>4927</v>
      </c>
      <c r="R4957" s="7">
        <v>47594</v>
      </c>
      <c r="S4957" s="210">
        <v>4.25</v>
      </c>
      <c r="T4957" s="8">
        <v>1.0001180555555556</v>
      </c>
      <c r="U4957" s="98">
        <v>4.287010780328937</v>
      </c>
      <c r="V4957" s="106">
        <v>39540.392730774642</v>
      </c>
      <c r="W4957" s="10">
        <v>1.1695539313321124</v>
      </c>
      <c r="X4957" s="420"/>
      <c r="Y4957" s="420"/>
    </row>
    <row r="4958" spans="17:25">
      <c r="Q4958" s="6">
        <v>4928</v>
      </c>
      <c r="R4958" s="7">
        <v>47595</v>
      </c>
      <c r="S4958" s="210">
        <v>4.25</v>
      </c>
      <c r="T4958" s="8">
        <v>1.0001180555555556</v>
      </c>
      <c r="U4958" s="98">
        <v>4.2870342936516037</v>
      </c>
      <c r="V4958" s="106">
        <v>39543.683788517483</v>
      </c>
      <c r="W4958" s="10">
        <v>1.1695761309535868</v>
      </c>
      <c r="X4958" s="420"/>
      <c r="Y4958" s="420"/>
    </row>
    <row r="4959" spans="17:25">
      <c r="Q4959" s="6">
        <v>4929</v>
      </c>
      <c r="R4959" s="7">
        <v>47596</v>
      </c>
      <c r="S4959" s="210">
        <v>4.25</v>
      </c>
      <c r="T4959" s="8">
        <v>1.0001180555555556</v>
      </c>
      <c r="U4959" s="98">
        <v>4.2870577974387647</v>
      </c>
      <c r="V4959" s="106">
        <v>39546.975120184288</v>
      </c>
      <c r="W4959" s="10">
        <v>1.1695983215721739</v>
      </c>
      <c r="X4959" s="420"/>
      <c r="Y4959" s="420"/>
    </row>
    <row r="4960" spans="17:25">
      <c r="Q4960" s="6">
        <v>4930</v>
      </c>
      <c r="R4960" s="7">
        <v>47597</v>
      </c>
      <c r="S4960" s="210">
        <v>4.25</v>
      </c>
      <c r="T4960" s="8">
        <v>1.0001180555555556</v>
      </c>
      <c r="U4960" s="98">
        <v>4.2870812916962153</v>
      </c>
      <c r="V4960" s="106">
        <v>39550.266725797861</v>
      </c>
      <c r="W4960" s="10">
        <v>1.1696205031933582</v>
      </c>
      <c r="X4960" s="420"/>
      <c r="Y4960" s="420"/>
    </row>
    <row r="4961" spans="17:25">
      <c r="Q4961" s="6">
        <v>4931</v>
      </c>
      <c r="R4961" s="7">
        <v>47598</v>
      </c>
      <c r="S4961" s="210">
        <v>4.25</v>
      </c>
      <c r="T4961" s="8">
        <v>1.0001180555555556</v>
      </c>
      <c r="U4961" s="98">
        <v>4.287104776429751</v>
      </c>
      <c r="V4961" s="106">
        <v>39553.558605380989</v>
      </c>
      <c r="W4961" s="10">
        <v>1.1696426758225797</v>
      </c>
      <c r="X4961" s="420"/>
      <c r="Y4961" s="420"/>
    </row>
    <row r="4962" spans="17:25">
      <c r="Q4962" s="6">
        <v>4932</v>
      </c>
      <c r="R4962" s="7">
        <v>47599</v>
      </c>
      <c r="S4962" s="210">
        <v>4.25</v>
      </c>
      <c r="T4962" s="8">
        <v>1.0001180555555556</v>
      </c>
      <c r="U4962" s="98">
        <v>4.287128251645167</v>
      </c>
      <c r="V4962" s="106">
        <v>39556.850758956483</v>
      </c>
      <c r="W4962" s="10">
        <v>1.1696648394653453</v>
      </c>
      <c r="X4962" s="420"/>
      <c r="Y4962" s="420"/>
    </row>
    <row r="4963" spans="17:25">
      <c r="Q4963" s="6">
        <v>4933</v>
      </c>
      <c r="R4963" s="7">
        <v>47600</v>
      </c>
      <c r="S4963" s="210">
        <v>4.25</v>
      </c>
      <c r="T4963" s="8">
        <v>1.0001180555555556</v>
      </c>
      <c r="U4963" s="98">
        <v>4.2871517173482365</v>
      </c>
      <c r="V4963" s="106">
        <v>39560.143186547153</v>
      </c>
      <c r="W4963" s="10">
        <v>1.1696869941270727</v>
      </c>
      <c r="X4963" s="420"/>
      <c r="Y4963" s="420"/>
    </row>
    <row r="4964" spans="17:25">
      <c r="Q4964" s="6">
        <v>4934</v>
      </c>
      <c r="R4964" s="7">
        <v>47601</v>
      </c>
      <c r="S4964" s="210">
        <v>4.25</v>
      </c>
      <c r="T4964" s="8">
        <v>1.0001180555555556</v>
      </c>
      <c r="U4964" s="98">
        <v>4.2871751735447328</v>
      </c>
      <c r="V4964" s="106">
        <v>39563.435888175809</v>
      </c>
      <c r="W4964" s="10">
        <v>1.1697091398132464</v>
      </c>
      <c r="X4964" s="420"/>
      <c r="Y4964" s="420"/>
    </row>
    <row r="4965" spans="17:25">
      <c r="Q4965" s="6">
        <v>4935</v>
      </c>
      <c r="R4965" s="7">
        <v>47602</v>
      </c>
      <c r="S4965" s="210">
        <v>4.25</v>
      </c>
      <c r="T4965" s="8">
        <v>1.0001180555555556</v>
      </c>
      <c r="U4965" s="98">
        <v>4.2871986202404511</v>
      </c>
      <c r="V4965" s="106">
        <v>39566.728863865246</v>
      </c>
      <c r="W4965" s="10">
        <v>1.1697312765293288</v>
      </c>
      <c r="X4965" s="420"/>
      <c r="Y4965" s="420"/>
    </row>
    <row r="4966" spans="17:25">
      <c r="Q4966" s="6">
        <v>4936</v>
      </c>
      <c r="R4966" s="7">
        <v>47603</v>
      </c>
      <c r="S4966" s="210">
        <v>4.25</v>
      </c>
      <c r="T4966" s="8">
        <v>1.0001180555555556</v>
      </c>
      <c r="U4966" s="98">
        <v>4.2872220574411646</v>
      </c>
      <c r="V4966" s="106">
        <v>39570.022113638282</v>
      </c>
      <c r="W4966" s="10">
        <v>1.1697534042807378</v>
      </c>
      <c r="X4966" s="420"/>
      <c r="Y4966" s="420"/>
    </row>
    <row r="4967" spans="17:25">
      <c r="Q4967" s="6">
        <v>4937</v>
      </c>
      <c r="R4967" s="7">
        <v>47604</v>
      </c>
      <c r="S4967" s="210">
        <v>4.25</v>
      </c>
      <c r="T4967" s="8">
        <v>1.0001180555555556</v>
      </c>
      <c r="U4967" s="98">
        <v>4.2872454851526243</v>
      </c>
      <c r="V4967" s="106">
        <v>39573.315637517728</v>
      </c>
      <c r="W4967" s="10">
        <v>1.1697755230729578</v>
      </c>
      <c r="X4967" s="420"/>
      <c r="Y4967" s="420"/>
    </row>
    <row r="4968" spans="17:25">
      <c r="Q4968" s="6">
        <v>4938</v>
      </c>
      <c r="R4968" s="7">
        <v>47605</v>
      </c>
      <c r="S4968" s="210">
        <v>4.25</v>
      </c>
      <c r="T4968" s="8">
        <v>1.0001180555555556</v>
      </c>
      <c r="U4968" s="98">
        <v>4.2872689033806033</v>
      </c>
      <c r="V4968" s="106">
        <v>39576.609435526399</v>
      </c>
      <c r="W4968" s="10">
        <v>1.1697976329113846</v>
      </c>
      <c r="X4968" s="420"/>
      <c r="Y4968" s="420"/>
    </row>
    <row r="4969" spans="17:25">
      <c r="Q4969" s="6">
        <v>4939</v>
      </c>
      <c r="R4969" s="7">
        <v>47606</v>
      </c>
      <c r="S4969" s="210">
        <v>4.25</v>
      </c>
      <c r="T4969" s="8">
        <v>1.0001180555555556</v>
      </c>
      <c r="U4969" s="98">
        <v>4.2872923121308526</v>
      </c>
      <c r="V4969" s="106">
        <v>39579.903507687122</v>
      </c>
      <c r="W4969" s="10">
        <v>1.1698197338015026</v>
      </c>
      <c r="X4969" s="420"/>
      <c r="Y4969" s="420"/>
    </row>
    <row r="4970" spans="17:25">
      <c r="Q4970" s="6">
        <v>4940</v>
      </c>
      <c r="R4970" s="7">
        <v>47607</v>
      </c>
      <c r="S4970" s="210">
        <v>4.25</v>
      </c>
      <c r="T4970" s="8">
        <v>1.0001180555555556</v>
      </c>
      <c r="U4970" s="98">
        <v>4.2873157114091232</v>
      </c>
      <c r="V4970" s="106">
        <v>39583.197854022699</v>
      </c>
      <c r="W4970" s="10">
        <v>1.1698418257486853</v>
      </c>
      <c r="X4970" s="420"/>
      <c r="Y4970" s="420"/>
    </row>
    <row r="4971" spans="17:25">
      <c r="Q4971" s="6">
        <v>4941</v>
      </c>
      <c r="R4971" s="7">
        <v>47608</v>
      </c>
      <c r="S4971" s="210">
        <v>4.25</v>
      </c>
      <c r="T4971" s="8">
        <v>1.0001180555555556</v>
      </c>
      <c r="U4971" s="98">
        <v>4.2873391012211659</v>
      </c>
      <c r="V4971" s="106">
        <v>39586.492474555955</v>
      </c>
      <c r="W4971" s="10">
        <v>1.1698639087584173</v>
      </c>
      <c r="X4971" s="420"/>
      <c r="Y4971" s="420"/>
    </row>
    <row r="4972" spans="17:25">
      <c r="Q4972" s="6">
        <v>4942</v>
      </c>
      <c r="R4972" s="7">
        <v>47609</v>
      </c>
      <c r="S4972" s="210">
        <v>4.25</v>
      </c>
      <c r="T4972" s="8">
        <v>1.0001180555555556</v>
      </c>
      <c r="U4972" s="98">
        <v>4.2873624815727318</v>
      </c>
      <c r="V4972" s="106">
        <v>39589.787369309721</v>
      </c>
      <c r="W4972" s="10">
        <v>1.1698859828360941</v>
      </c>
      <c r="X4972" s="420"/>
      <c r="Y4972" s="420"/>
    </row>
    <row r="4973" spans="17:25">
      <c r="Q4973" s="6">
        <v>4943</v>
      </c>
      <c r="R4973" s="7">
        <v>47610</v>
      </c>
      <c r="S4973" s="210">
        <v>4.25</v>
      </c>
      <c r="T4973" s="8">
        <v>1.0001180555555556</v>
      </c>
      <c r="U4973" s="98">
        <v>4.2873858524695496</v>
      </c>
      <c r="V4973" s="106">
        <v>39593.082538306815</v>
      </c>
      <c r="W4973" s="10">
        <v>1.1699080479871338</v>
      </c>
      <c r="X4973" s="420"/>
      <c r="Y4973" s="420"/>
    </row>
    <row r="4974" spans="17:25">
      <c r="Q4974" s="6">
        <v>4944</v>
      </c>
      <c r="R4974" s="7">
        <v>47611</v>
      </c>
      <c r="S4974" s="210">
        <v>4.25</v>
      </c>
      <c r="T4974" s="8">
        <v>1.0001180555555556</v>
      </c>
      <c r="U4974" s="98">
        <v>4.2874092139173481</v>
      </c>
      <c r="V4974" s="106">
        <v>39596.377981570062</v>
      </c>
      <c r="W4974" s="10">
        <v>1.1699301042169319</v>
      </c>
      <c r="X4974" s="420"/>
      <c r="Y4974" s="420"/>
    </row>
    <row r="4975" spans="17:25">
      <c r="Q4975" s="6">
        <v>4945</v>
      </c>
      <c r="R4975" s="7">
        <v>47612</v>
      </c>
      <c r="S4975" s="210">
        <v>4.25</v>
      </c>
      <c r="T4975" s="8">
        <v>1.0001180555555556</v>
      </c>
      <c r="U4975" s="98">
        <v>4.287432565921856</v>
      </c>
      <c r="V4975" s="106">
        <v>39599.673699122286</v>
      </c>
      <c r="W4975" s="10">
        <v>1.1699521515309286</v>
      </c>
      <c r="X4975" s="420"/>
      <c r="Y4975" s="420"/>
    </row>
    <row r="4976" spans="17:25">
      <c r="Q4976" s="6">
        <v>4946</v>
      </c>
      <c r="R4976" s="7">
        <v>47613</v>
      </c>
      <c r="S4976" s="210">
        <v>4.25</v>
      </c>
      <c r="T4976" s="8">
        <v>1.0001180555555556</v>
      </c>
      <c r="U4976" s="98">
        <v>4.2874559084888242</v>
      </c>
      <c r="V4976" s="106">
        <v>39602.969690986327</v>
      </c>
      <c r="W4976" s="10">
        <v>1.1699741899345195</v>
      </c>
      <c r="X4976" s="420"/>
      <c r="Y4976" s="420"/>
    </row>
    <row r="4977" spans="17:25">
      <c r="Q4977" s="6">
        <v>4947</v>
      </c>
      <c r="R4977" s="7">
        <v>47614</v>
      </c>
      <c r="S4977" s="210">
        <v>4.25</v>
      </c>
      <c r="T4977" s="8">
        <v>1.0001180555555556</v>
      </c>
      <c r="U4977" s="98">
        <v>4.2874792416239371</v>
      </c>
      <c r="V4977" s="106">
        <v>39606.265957185009</v>
      </c>
      <c r="W4977" s="10">
        <v>1.1699962194330782</v>
      </c>
      <c r="X4977" s="420"/>
      <c r="Y4977" s="420"/>
    </row>
    <row r="4978" spans="17:25">
      <c r="Q4978" s="6">
        <v>4948</v>
      </c>
      <c r="R4978" s="7">
        <v>47615</v>
      </c>
      <c r="S4978" s="210">
        <v>4.25</v>
      </c>
      <c r="T4978" s="8">
        <v>1.0001180555555556</v>
      </c>
      <c r="U4978" s="98">
        <v>4.2875025653329457</v>
      </c>
      <c r="V4978" s="106">
        <v>39609.562497741164</v>
      </c>
      <c r="W4978" s="10">
        <v>1.1700182400320669</v>
      </c>
      <c r="X4978" s="420"/>
      <c r="Y4978" s="420"/>
    </row>
    <row r="4979" spans="17:25">
      <c r="Q4979" s="6">
        <v>4949</v>
      </c>
      <c r="R4979" s="7">
        <v>47616</v>
      </c>
      <c r="S4979" s="210">
        <v>4.25</v>
      </c>
      <c r="T4979" s="8">
        <v>1.0001180555555556</v>
      </c>
      <c r="U4979" s="98">
        <v>4.2875258796215343</v>
      </c>
      <c r="V4979" s="106">
        <v>39612.859312677647</v>
      </c>
      <c r="W4979" s="10">
        <v>1.1700402517368147</v>
      </c>
      <c r="X4979" s="420"/>
      <c r="Y4979" s="420"/>
    </row>
    <row r="4980" spans="17:25">
      <c r="Q4980" s="6">
        <v>4950</v>
      </c>
      <c r="R4980" s="7">
        <v>47617</v>
      </c>
      <c r="S4980" s="210">
        <v>4.25</v>
      </c>
      <c r="T4980" s="8">
        <v>1.0001180555555556</v>
      </c>
      <c r="U4980" s="98">
        <v>4.2875491844954094</v>
      </c>
      <c r="V4980" s="106">
        <v>39616.156402017266</v>
      </c>
      <c r="W4980" s="10">
        <v>1.1700622545527173</v>
      </c>
      <c r="X4980" s="420"/>
      <c r="Y4980" s="420"/>
    </row>
    <row r="4981" spans="17:25">
      <c r="Q4981" s="6">
        <v>4951</v>
      </c>
      <c r="R4981" s="7">
        <v>47618</v>
      </c>
      <c r="S4981" s="210">
        <v>4.25</v>
      </c>
      <c r="T4981" s="8">
        <v>1.0001180555555556</v>
      </c>
      <c r="U4981" s="98">
        <v>4.2875724799602777</v>
      </c>
      <c r="V4981" s="106">
        <v>39619.453765782877</v>
      </c>
      <c r="W4981" s="10">
        <v>1.1700842484851703</v>
      </c>
      <c r="X4981" s="420"/>
      <c r="Y4981" s="420"/>
    </row>
    <row r="4982" spans="17:25">
      <c r="Q4982" s="6">
        <v>4952</v>
      </c>
      <c r="R4982" s="7">
        <v>47619</v>
      </c>
      <c r="S4982" s="210">
        <v>4.25</v>
      </c>
      <c r="T4982" s="8">
        <v>1.0001180555555556</v>
      </c>
      <c r="U4982" s="98">
        <v>4.2875957660218456</v>
      </c>
      <c r="V4982" s="106">
        <v>39622.751403997318</v>
      </c>
      <c r="W4982" s="10">
        <v>1.1701062335395696</v>
      </c>
      <c r="X4982" s="420"/>
      <c r="Y4982" s="420"/>
    </row>
    <row r="4983" spans="17:25">
      <c r="Q4983" s="6">
        <v>4953</v>
      </c>
      <c r="R4983" s="7">
        <v>47620</v>
      </c>
      <c r="S4983" s="210">
        <v>4.25</v>
      </c>
      <c r="T4983" s="8">
        <v>1.0001180555555556</v>
      </c>
      <c r="U4983" s="98">
        <v>4.2876190426857974</v>
      </c>
      <c r="V4983" s="106">
        <v>39626.049316683442</v>
      </c>
      <c r="W4983" s="10">
        <v>1.1701282097212662</v>
      </c>
      <c r="X4983" s="420"/>
      <c r="Y4983" s="420"/>
    </row>
    <row r="4984" spans="17:25">
      <c r="Q4984" s="6">
        <v>4954</v>
      </c>
      <c r="R4984" s="7">
        <v>47621</v>
      </c>
      <c r="S4984" s="210">
        <v>4.25</v>
      </c>
      <c r="T4984" s="8">
        <v>1.0001180555555556</v>
      </c>
      <c r="U4984" s="98">
        <v>4.2876423099578176</v>
      </c>
      <c r="V4984" s="106">
        <v>39629.347503864075</v>
      </c>
      <c r="W4984" s="10">
        <v>1.1701501770356337</v>
      </c>
      <c r="X4984" s="420"/>
      <c r="Y4984" s="420"/>
    </row>
    <row r="4985" spans="17:25">
      <c r="Q4985" s="6">
        <v>4955</v>
      </c>
      <c r="R4985" s="7">
        <v>47622</v>
      </c>
      <c r="S4985" s="210">
        <v>4.25</v>
      </c>
      <c r="T4985" s="8">
        <v>1.0001180555555556</v>
      </c>
      <c r="U4985" s="98">
        <v>4.2876655678436126</v>
      </c>
      <c r="V4985" s="106">
        <v>39632.645965562071</v>
      </c>
      <c r="W4985" s="10">
        <v>1.1701721354880679</v>
      </c>
      <c r="X4985" s="420"/>
      <c r="Y4985" s="420"/>
    </row>
    <row r="4986" spans="17:25">
      <c r="Q4986" s="6">
        <v>4956</v>
      </c>
      <c r="R4986" s="7">
        <v>47623</v>
      </c>
      <c r="S4986" s="210">
        <v>4.25</v>
      </c>
      <c r="T4986" s="8">
        <v>1.0001180555555556</v>
      </c>
      <c r="U4986" s="98">
        <v>4.2876888163488225</v>
      </c>
      <c r="V4986" s="106">
        <v>39635.94470180029</v>
      </c>
      <c r="W4986" s="10">
        <v>1.1701940850838755</v>
      </c>
      <c r="X4986" s="420"/>
      <c r="Y4986" s="420"/>
    </row>
    <row r="4987" spans="17:25">
      <c r="Q4987" s="6">
        <v>4957</v>
      </c>
      <c r="R4987" s="7">
        <v>47624</v>
      </c>
      <c r="S4987" s="210">
        <v>4.25</v>
      </c>
      <c r="T4987" s="8">
        <v>1.0001180555555556</v>
      </c>
      <c r="U4987" s="98">
        <v>4.2877120554791537</v>
      </c>
      <c r="V4987" s="106">
        <v>39639.243712601579</v>
      </c>
      <c r="W4987" s="10">
        <v>1.1702160258284744</v>
      </c>
      <c r="X4987" s="420"/>
      <c r="Y4987" s="420"/>
    </row>
    <row r="4988" spans="17:25">
      <c r="Q4988" s="6">
        <v>4958</v>
      </c>
      <c r="R4988" s="7">
        <v>47625</v>
      </c>
      <c r="S4988" s="210">
        <v>4.25</v>
      </c>
      <c r="T4988" s="8">
        <v>1.0001180555555556</v>
      </c>
      <c r="U4988" s="98">
        <v>4.2877352852402684</v>
      </c>
      <c r="V4988" s="106">
        <v>39642.542997988778</v>
      </c>
      <c r="W4988" s="10">
        <v>1.1702379577271715</v>
      </c>
      <c r="X4988" s="420"/>
      <c r="Y4988" s="420"/>
    </row>
    <row r="4989" spans="17:25">
      <c r="Q4989" s="6">
        <v>4959</v>
      </c>
      <c r="R4989" s="7">
        <v>47626</v>
      </c>
      <c r="S4989" s="210">
        <v>4.25</v>
      </c>
      <c r="T4989" s="8">
        <v>1.0001180555555556</v>
      </c>
      <c r="U4989" s="98">
        <v>4.2877585056378287</v>
      </c>
      <c r="V4989" s="106">
        <v>39645.842557984746</v>
      </c>
      <c r="W4989" s="10">
        <v>1.1702598807853182</v>
      </c>
      <c r="X4989" s="420"/>
      <c r="Y4989" s="420"/>
    </row>
    <row r="4990" spans="17:25">
      <c r="Q4990" s="6">
        <v>4960</v>
      </c>
      <c r="R4990" s="7">
        <v>47627</v>
      </c>
      <c r="S4990" s="210">
        <v>4.25</v>
      </c>
      <c r="T4990" s="8">
        <v>1.0001180555555556</v>
      </c>
      <c r="U4990" s="98">
        <v>4.2877817166774745</v>
      </c>
      <c r="V4990" s="106">
        <v>39649.142392612353</v>
      </c>
      <c r="W4990" s="10">
        <v>1.1702817950082656</v>
      </c>
      <c r="X4990" s="420"/>
      <c r="Y4990" s="420"/>
    </row>
    <row r="4991" spans="17:25">
      <c r="Q4991" s="6">
        <v>4961</v>
      </c>
      <c r="R4991" s="7">
        <v>47628</v>
      </c>
      <c r="S4991" s="210">
        <v>4.25</v>
      </c>
      <c r="T4991" s="8">
        <v>1.0001180555555556</v>
      </c>
      <c r="U4991" s="98">
        <v>4.2878049183648903</v>
      </c>
      <c r="V4991" s="106">
        <v>39652.442501894438</v>
      </c>
      <c r="W4991" s="10">
        <v>1.1703037004013872</v>
      </c>
      <c r="X4991" s="420"/>
      <c r="Y4991" s="420"/>
    </row>
    <row r="4992" spans="17:25">
      <c r="Q4992" s="6">
        <v>4962</v>
      </c>
      <c r="R4992" s="7">
        <v>47629</v>
      </c>
      <c r="S4992" s="210">
        <v>4.25</v>
      </c>
      <c r="T4992" s="8">
        <v>1.0001180555555556</v>
      </c>
      <c r="U4992" s="98">
        <v>4.2878281107057159</v>
      </c>
      <c r="V4992" s="106">
        <v>39655.742885853877</v>
      </c>
      <c r="W4992" s="10">
        <v>1.1703255969699677</v>
      </c>
      <c r="X4992" s="420"/>
      <c r="Y4992" s="420"/>
    </row>
    <row r="4993" spans="17:25">
      <c r="Q4993" s="6">
        <v>4963</v>
      </c>
      <c r="R4993" s="7">
        <v>47630</v>
      </c>
      <c r="S4993" s="210">
        <v>4.25</v>
      </c>
      <c r="T4993" s="8">
        <v>1.0001180555555556</v>
      </c>
      <c r="U4993" s="98">
        <v>4.2878512937055913</v>
      </c>
      <c r="V4993" s="106">
        <v>39659.043544513523</v>
      </c>
      <c r="W4993" s="10">
        <v>1.1703474847193585</v>
      </c>
      <c r="X4993" s="420"/>
      <c r="Y4993" s="420"/>
    </row>
    <row r="4994" spans="17:25">
      <c r="Q4994" s="6">
        <v>4964</v>
      </c>
      <c r="R4994" s="7">
        <v>47631</v>
      </c>
      <c r="S4994" s="210">
        <v>4.25</v>
      </c>
      <c r="T4994" s="8">
        <v>1.0001180555555556</v>
      </c>
      <c r="U4994" s="98">
        <v>4.2878744673701785</v>
      </c>
      <c r="V4994" s="106">
        <v>39662.344477896244</v>
      </c>
      <c r="W4994" s="10">
        <v>1.1703693636548884</v>
      </c>
      <c r="X4994" s="420"/>
      <c r="Y4994" s="420"/>
    </row>
    <row r="4995" spans="17:25">
      <c r="Q4995" s="6">
        <v>4965</v>
      </c>
      <c r="R4995" s="7">
        <v>47632</v>
      </c>
      <c r="S4995" s="210">
        <v>4.25</v>
      </c>
      <c r="T4995" s="8">
        <v>1.0001180555555556</v>
      </c>
      <c r="U4995" s="98">
        <v>4.2878976317050954</v>
      </c>
      <c r="V4995" s="106">
        <v>39665.645686024902</v>
      </c>
      <c r="W4995" s="10">
        <v>1.1703912337818867</v>
      </c>
      <c r="X4995" s="420"/>
      <c r="Y4995" s="420"/>
    </row>
    <row r="4996" spans="17:25">
      <c r="Q4996" s="6">
        <v>4966</v>
      </c>
      <c r="R4996" s="7">
        <v>47633</v>
      </c>
      <c r="S4996" s="210">
        <v>4.25</v>
      </c>
      <c r="T4996" s="8">
        <v>1.0001180555555556</v>
      </c>
      <c r="U4996" s="98">
        <v>4.2879207867159819</v>
      </c>
      <c r="V4996" s="106">
        <v>39668.947168922372</v>
      </c>
      <c r="W4996" s="10">
        <v>1.1704130951056602</v>
      </c>
      <c r="X4996" s="420"/>
      <c r="Y4996" s="420"/>
    </row>
    <row r="4997" spans="17:25">
      <c r="Q4997" s="6">
        <v>4967</v>
      </c>
      <c r="R4997" s="7">
        <v>47634</v>
      </c>
      <c r="S4997" s="210">
        <v>4.25</v>
      </c>
      <c r="T4997" s="8">
        <v>1.0001180555555556</v>
      </c>
      <c r="U4997" s="98">
        <v>4.2879439324084556</v>
      </c>
      <c r="V4997" s="106">
        <v>39672.248926611523</v>
      </c>
      <c r="W4997" s="10">
        <v>1.1704349476315157</v>
      </c>
      <c r="X4997" s="420"/>
      <c r="Y4997" s="420"/>
    </row>
    <row r="4998" spans="17:25">
      <c r="Q4998" s="6">
        <v>4968</v>
      </c>
      <c r="R4998" s="7">
        <v>47635</v>
      </c>
      <c r="S4998" s="210">
        <v>4.25</v>
      </c>
      <c r="T4998" s="8">
        <v>1.0001180555555556</v>
      </c>
      <c r="U4998" s="98">
        <v>4.2879670687881566</v>
      </c>
      <c r="V4998" s="106">
        <v>39675.550959115215</v>
      </c>
      <c r="W4998" s="10">
        <v>1.1704567913648045</v>
      </c>
      <c r="X4998" s="420"/>
      <c r="Y4998" s="420"/>
    </row>
    <row r="4999" spans="17:25">
      <c r="Q4999" s="6">
        <v>4969</v>
      </c>
      <c r="R4999" s="7">
        <v>47636</v>
      </c>
      <c r="S4999" s="210">
        <v>4.25</v>
      </c>
      <c r="T4999" s="8">
        <v>1.0001180555555556</v>
      </c>
      <c r="U4999" s="98">
        <v>4.2879901958607025</v>
      </c>
      <c r="V4999" s="106">
        <v>39678.853266456332</v>
      </c>
      <c r="W4999" s="10">
        <v>1.1704786263107669</v>
      </c>
      <c r="X4999" s="420"/>
      <c r="Y4999" s="420"/>
    </row>
    <row r="5000" spans="17:25">
      <c r="Q5000" s="6">
        <v>4970</v>
      </c>
      <c r="R5000" s="7">
        <v>47637</v>
      </c>
      <c r="S5000" s="210">
        <v>4.25</v>
      </c>
      <c r="T5000" s="8">
        <v>1.0001180555555556</v>
      </c>
      <c r="U5000" s="98">
        <v>4.2880133136317111</v>
      </c>
      <c r="V5000" s="106">
        <v>39682.155848657749</v>
      </c>
      <c r="W5000" s="10">
        <v>1.1705004524747764</v>
      </c>
      <c r="X5000" s="420"/>
      <c r="Y5000" s="420"/>
    </row>
    <row r="5001" spans="17:25">
      <c r="Q5001" s="6">
        <v>4971</v>
      </c>
      <c r="R5001" s="7">
        <v>47638</v>
      </c>
      <c r="S5001" s="210">
        <v>4.25</v>
      </c>
      <c r="T5001" s="8">
        <v>1.0001180555555556</v>
      </c>
      <c r="U5001" s="98">
        <v>4.2880364221067779</v>
      </c>
      <c r="V5001" s="106">
        <v>39685.458705742341</v>
      </c>
      <c r="W5001" s="10">
        <v>1.1705222698620732</v>
      </c>
      <c r="X5001" s="420"/>
      <c r="Y5001" s="420"/>
    </row>
    <row r="5002" spans="17:25">
      <c r="Q5002" s="6">
        <v>4972</v>
      </c>
      <c r="R5002" s="7">
        <v>47639</v>
      </c>
      <c r="S5002" s="210">
        <v>4.25</v>
      </c>
      <c r="T5002" s="8">
        <v>1.0001180555555556</v>
      </c>
      <c r="U5002" s="98">
        <v>4.2880595212915207</v>
      </c>
      <c r="V5002" s="106">
        <v>39688.761837732993</v>
      </c>
      <c r="W5002" s="10">
        <v>1.1705440784779642</v>
      </c>
      <c r="X5002" s="420"/>
      <c r="Y5002" s="420"/>
    </row>
    <row r="5003" spans="17:25">
      <c r="Q5003" s="6">
        <v>4973</v>
      </c>
      <c r="R5003" s="7">
        <v>47640</v>
      </c>
      <c r="S5003" s="210">
        <v>4.25</v>
      </c>
      <c r="T5003" s="8">
        <v>1.0001180555555556</v>
      </c>
      <c r="U5003" s="98">
        <v>4.2880826111915349</v>
      </c>
      <c r="V5003" s="106">
        <v>39692.065244652578</v>
      </c>
      <c r="W5003" s="10">
        <v>1.1705658783277562</v>
      </c>
      <c r="X5003" s="420"/>
      <c r="Y5003" s="420"/>
    </row>
    <row r="5004" spans="17:25">
      <c r="Q5004" s="6">
        <v>4974</v>
      </c>
      <c r="R5004" s="7">
        <v>47641</v>
      </c>
      <c r="S5004" s="210">
        <v>4.25</v>
      </c>
      <c r="T5004" s="8">
        <v>1.0001180555555556</v>
      </c>
      <c r="U5004" s="98">
        <v>4.2881056918124161</v>
      </c>
      <c r="V5004" s="106">
        <v>39695.368926523981</v>
      </c>
      <c r="W5004" s="10">
        <v>1.1705876694167117</v>
      </c>
      <c r="X5004" s="420"/>
      <c r="Y5004" s="420"/>
    </row>
    <row r="5005" spans="17:25">
      <c r="Q5005" s="6">
        <v>4975</v>
      </c>
      <c r="R5005" s="7">
        <v>47642</v>
      </c>
      <c r="S5005" s="210">
        <v>4.25</v>
      </c>
      <c r="T5005" s="8">
        <v>1.0001180555555556</v>
      </c>
      <c r="U5005" s="98">
        <v>4.288128763159782</v>
      </c>
      <c r="V5005" s="106">
        <v>39698.672883370091</v>
      </c>
      <c r="W5005" s="10">
        <v>1.1706094517501597</v>
      </c>
      <c r="X5005" s="420"/>
      <c r="Y5005" s="420"/>
    </row>
    <row r="5006" spans="17:25">
      <c r="Q5006" s="6">
        <v>4976</v>
      </c>
      <c r="R5006" s="7">
        <v>47643</v>
      </c>
      <c r="S5006" s="210">
        <v>4.25</v>
      </c>
      <c r="T5006" s="8">
        <v>1.0001180555555556</v>
      </c>
      <c r="U5006" s="98">
        <v>4.2881518252391837</v>
      </c>
      <c r="V5006" s="106">
        <v>39701.977115213791</v>
      </c>
      <c r="W5006" s="10">
        <v>1.1706312253332962</v>
      </c>
      <c r="X5006" s="420"/>
      <c r="Y5006" s="420"/>
    </row>
    <row r="5007" spans="17:25">
      <c r="Q5007" s="6">
        <v>4977</v>
      </c>
      <c r="R5007" s="7">
        <v>47644</v>
      </c>
      <c r="S5007" s="210">
        <v>4.25</v>
      </c>
      <c r="T5007" s="8">
        <v>1.0001180555555556</v>
      </c>
      <c r="U5007" s="98">
        <v>4.2881748780562168</v>
      </c>
      <c r="V5007" s="106">
        <v>39705.281622077964</v>
      </c>
      <c r="W5007" s="10">
        <v>1.1706529901714502</v>
      </c>
      <c r="X5007" s="420"/>
      <c r="Y5007" s="420"/>
    </row>
    <row r="5008" spans="17:25">
      <c r="Q5008" s="6">
        <v>4978</v>
      </c>
      <c r="R5008" s="7">
        <v>47645</v>
      </c>
      <c r="S5008" s="210">
        <v>4.25</v>
      </c>
      <c r="T5008" s="8">
        <v>1.0001180555555556</v>
      </c>
      <c r="U5008" s="98">
        <v>4.2881979216164767</v>
      </c>
      <c r="V5008" s="106">
        <v>39708.586403985522</v>
      </c>
      <c r="W5008" s="10">
        <v>1.1706747462698619</v>
      </c>
      <c r="X5008" s="420"/>
      <c r="Y5008" s="420"/>
    </row>
    <row r="5009" spans="17:25">
      <c r="Q5009" s="6">
        <v>4979</v>
      </c>
      <c r="R5009" s="7">
        <v>47646</v>
      </c>
      <c r="S5009" s="210">
        <v>4.25</v>
      </c>
      <c r="T5009" s="8">
        <v>1.0001180555555556</v>
      </c>
      <c r="U5009" s="98">
        <v>4.2882209559255147</v>
      </c>
      <c r="V5009" s="106">
        <v>39711.891460959334</v>
      </c>
      <c r="W5009" s="10">
        <v>1.170696493633816</v>
      </c>
      <c r="X5009" s="420"/>
      <c r="Y5009" s="420"/>
    </row>
    <row r="5010" spans="17:25">
      <c r="Q5010" s="6">
        <v>4980</v>
      </c>
      <c r="R5010" s="7">
        <v>47647</v>
      </c>
      <c r="S5010" s="210">
        <v>4.25</v>
      </c>
      <c r="T5010" s="8">
        <v>1.0001180555555556</v>
      </c>
      <c r="U5010" s="98">
        <v>4.2882439809889261</v>
      </c>
      <c r="V5010" s="106">
        <v>39715.196793022311</v>
      </c>
      <c r="W5010" s="10">
        <v>1.170718232268575</v>
      </c>
      <c r="X5010" s="420"/>
      <c r="Y5010" s="420"/>
    </row>
    <row r="5011" spans="17:25">
      <c r="Q5011" s="6">
        <v>4981</v>
      </c>
      <c r="R5011" s="7">
        <v>47648</v>
      </c>
      <c r="S5011" s="210">
        <v>4.25</v>
      </c>
      <c r="T5011" s="8">
        <v>1.0001180555555556</v>
      </c>
      <c r="U5011" s="98">
        <v>4.28826699681224</v>
      </c>
      <c r="V5011" s="106">
        <v>39718.502400197329</v>
      </c>
      <c r="W5011" s="10">
        <v>1.1707399621793568</v>
      </c>
      <c r="X5011" s="420"/>
      <c r="Y5011" s="420"/>
    </row>
    <row r="5012" spans="17:25">
      <c r="Q5012" s="6">
        <v>4982</v>
      </c>
      <c r="R5012" s="7">
        <v>47649</v>
      </c>
      <c r="S5012" s="210">
        <v>4.25</v>
      </c>
      <c r="T5012" s="8">
        <v>1.0001180555555556</v>
      </c>
      <c r="U5012" s="98">
        <v>4.2882900034010518</v>
      </c>
      <c r="V5012" s="106">
        <v>39721.808282507314</v>
      </c>
      <c r="W5012" s="10">
        <v>1.1707616833714463</v>
      </c>
      <c r="X5012" s="420"/>
      <c r="Y5012" s="420"/>
    </row>
    <row r="5013" spans="17:25">
      <c r="Q5013" s="6">
        <v>4983</v>
      </c>
      <c r="R5013" s="7">
        <v>47650</v>
      </c>
      <c r="S5013" s="210">
        <v>4.25</v>
      </c>
      <c r="T5013" s="8">
        <v>1.0001180555555556</v>
      </c>
      <c r="U5013" s="98">
        <v>4.2883130007608905</v>
      </c>
      <c r="V5013" s="106">
        <v>39725.114439975143</v>
      </c>
      <c r="W5013" s="10">
        <v>1.1707833958500613</v>
      </c>
      <c r="X5013" s="420"/>
      <c r="Y5013" s="420"/>
    </row>
    <row r="5014" spans="17:25">
      <c r="Q5014" s="6">
        <v>4984</v>
      </c>
      <c r="R5014" s="7">
        <v>47651</v>
      </c>
      <c r="S5014" s="210">
        <v>4.25</v>
      </c>
      <c r="T5014" s="8">
        <v>1.0001180555555556</v>
      </c>
      <c r="U5014" s="98">
        <v>4.2883359888973294</v>
      </c>
      <c r="V5014" s="106">
        <v>39728.420872623734</v>
      </c>
      <c r="W5014" s="10">
        <v>1.1708050996204644</v>
      </c>
      <c r="X5014" s="420"/>
      <c r="Y5014" s="420"/>
    </row>
    <row r="5015" spans="17:25">
      <c r="Q5015" s="6">
        <v>4985</v>
      </c>
      <c r="R5015" s="7">
        <v>47652</v>
      </c>
      <c r="S5015" s="210">
        <v>4.25</v>
      </c>
      <c r="T5015" s="8">
        <v>1.0001180555555556</v>
      </c>
      <c r="U5015" s="98">
        <v>4.2883589678159195</v>
      </c>
      <c r="V5015" s="106">
        <v>39731.727580475977</v>
      </c>
      <c r="W5015" s="10">
        <v>1.1708267946879181</v>
      </c>
      <c r="X5015" s="420"/>
      <c r="Y5015" s="420"/>
    </row>
    <row r="5016" spans="17:25">
      <c r="Q5016" s="6">
        <v>4986</v>
      </c>
      <c r="R5016" s="7">
        <v>47653</v>
      </c>
      <c r="S5016" s="210">
        <v>4.25</v>
      </c>
      <c r="T5016" s="8">
        <v>1.0001180555555556</v>
      </c>
      <c r="U5016" s="98">
        <v>4.2883819375221899</v>
      </c>
      <c r="V5016" s="106">
        <v>39735.034563554793</v>
      </c>
      <c r="W5016" s="10">
        <v>1.1708484810575959</v>
      </c>
      <c r="X5016" s="420"/>
      <c r="Y5016" s="420"/>
    </row>
    <row r="5017" spans="17:25">
      <c r="Q5017" s="6">
        <v>4987</v>
      </c>
      <c r="R5017" s="7">
        <v>47654</v>
      </c>
      <c r="S5017" s="210">
        <v>4.25</v>
      </c>
      <c r="T5017" s="8">
        <v>1.0001180555555556</v>
      </c>
      <c r="U5017" s="98">
        <v>4.2884048980216694</v>
      </c>
      <c r="V5017" s="106">
        <v>39738.341821883078</v>
      </c>
      <c r="W5017" s="10">
        <v>1.1708701587347603</v>
      </c>
      <c r="X5017" s="420"/>
      <c r="Y5017" s="420"/>
    </row>
    <row r="5018" spans="17:25">
      <c r="Q5018" s="6">
        <v>4988</v>
      </c>
      <c r="R5018" s="7">
        <v>47655</v>
      </c>
      <c r="S5018" s="210">
        <v>4.25</v>
      </c>
      <c r="T5018" s="8">
        <v>1.0001180555555556</v>
      </c>
      <c r="U5018" s="98">
        <v>4.2884278493199091</v>
      </c>
      <c r="V5018" s="106">
        <v>39741.649355483751</v>
      </c>
      <c r="W5018" s="10">
        <v>1.1708918277246516</v>
      </c>
      <c r="X5018" s="420"/>
      <c r="Y5018" s="420"/>
    </row>
    <row r="5019" spans="17:25">
      <c r="Q5019" s="6">
        <v>4989</v>
      </c>
      <c r="R5019" s="7">
        <v>47656</v>
      </c>
      <c r="S5019" s="210">
        <v>4.25</v>
      </c>
      <c r="T5019" s="8">
        <v>1.0001180555555556</v>
      </c>
      <c r="U5019" s="98">
        <v>4.2884507914224379</v>
      </c>
      <c r="V5019" s="106">
        <v>39744.957164379703</v>
      </c>
      <c r="W5019" s="10">
        <v>1.1709134880324656</v>
      </c>
      <c r="X5019" s="420"/>
      <c r="Y5019" s="420"/>
    </row>
    <row r="5020" spans="17:25">
      <c r="Q5020" s="6">
        <v>4990</v>
      </c>
      <c r="R5020" s="7">
        <v>47657</v>
      </c>
      <c r="S5020" s="210">
        <v>4.25</v>
      </c>
      <c r="T5020" s="8">
        <v>1.0001180555555556</v>
      </c>
      <c r="U5020" s="98">
        <v>4.2884737243347848</v>
      </c>
      <c r="V5020" s="106">
        <v>39748.265248593882</v>
      </c>
      <c r="W5020" s="10">
        <v>1.1709351396634204</v>
      </c>
      <c r="X5020" s="420"/>
      <c r="Y5020" s="420"/>
    </row>
    <row r="5021" spans="17:25">
      <c r="Q5021" s="6">
        <v>4991</v>
      </c>
      <c r="R5021" s="7">
        <v>47658</v>
      </c>
      <c r="S5021" s="210">
        <v>4.25</v>
      </c>
      <c r="T5021" s="8">
        <v>1.0001180555555556</v>
      </c>
      <c r="U5021" s="98">
        <v>4.2884966480624565</v>
      </c>
      <c r="V5021" s="106">
        <v>39751.57360814917</v>
      </c>
      <c r="W5021" s="10">
        <v>1.1709567826227341</v>
      </c>
      <c r="X5021" s="420"/>
      <c r="Y5021" s="420"/>
    </row>
    <row r="5022" spans="17:25">
      <c r="Q5022" s="6">
        <v>4992</v>
      </c>
      <c r="R5022" s="7">
        <v>47659</v>
      </c>
      <c r="S5022" s="210">
        <v>4.25</v>
      </c>
      <c r="T5022" s="8">
        <v>1.0001180555555556</v>
      </c>
      <c r="U5022" s="98">
        <v>4.2885195626109818</v>
      </c>
      <c r="V5022" s="106">
        <v>39754.882243068503</v>
      </c>
      <c r="W5022" s="10">
        <v>1.1709784169156245</v>
      </c>
      <c r="X5022" s="420"/>
      <c r="Y5022" s="420"/>
    </row>
    <row r="5023" spans="17:25">
      <c r="Q5023" s="6">
        <v>4993</v>
      </c>
      <c r="R5023" s="7">
        <v>47660</v>
      </c>
      <c r="S5023" s="210">
        <v>4.25</v>
      </c>
      <c r="T5023" s="8">
        <v>1.0001180555555556</v>
      </c>
      <c r="U5023" s="98">
        <v>4.2885424679858675</v>
      </c>
      <c r="V5023" s="106">
        <v>39758.191153374806</v>
      </c>
      <c r="W5023" s="10">
        <v>1.1710000425472877</v>
      </c>
      <c r="X5023" s="420"/>
      <c r="Y5023" s="420"/>
    </row>
    <row r="5024" spans="17:25">
      <c r="Q5024" s="6">
        <v>4994</v>
      </c>
      <c r="R5024" s="7">
        <v>47661</v>
      </c>
      <c r="S5024" s="210">
        <v>4.25</v>
      </c>
      <c r="T5024" s="8">
        <v>1.0001180555555556</v>
      </c>
      <c r="U5024" s="98">
        <v>4.2885653641926202</v>
      </c>
      <c r="V5024" s="106">
        <v>39761.500339090984</v>
      </c>
      <c r="W5024" s="10">
        <v>1.1710216595229417</v>
      </c>
      <c r="X5024" s="420"/>
      <c r="Y5024" s="420"/>
    </row>
    <row r="5025" spans="17:25">
      <c r="Q5025" s="6">
        <v>4995</v>
      </c>
      <c r="R5025" s="7">
        <v>47662</v>
      </c>
      <c r="S5025" s="210">
        <v>4.25</v>
      </c>
      <c r="T5025" s="8">
        <v>1.0001180555555556</v>
      </c>
      <c r="U5025" s="98">
        <v>4.2885882512367468</v>
      </c>
      <c r="V5025" s="106">
        <v>39764.809800239971</v>
      </c>
      <c r="W5025" s="10">
        <v>1.1710432678477378</v>
      </c>
      <c r="X5025" s="420"/>
      <c r="Y5025" s="420"/>
    </row>
    <row r="5026" spans="17:25">
      <c r="Q5026" s="6">
        <v>4996</v>
      </c>
      <c r="R5026" s="7">
        <v>47663</v>
      </c>
      <c r="S5026" s="210">
        <v>4.25</v>
      </c>
      <c r="T5026" s="8">
        <v>1.0001180555555556</v>
      </c>
      <c r="U5026" s="98">
        <v>4.2886111291237539</v>
      </c>
      <c r="V5026" s="106">
        <v>39768.119536844679</v>
      </c>
      <c r="W5026" s="10">
        <v>1.1710648675269164</v>
      </c>
      <c r="X5026" s="420"/>
      <c r="Y5026" s="420"/>
    </row>
    <row r="5027" spans="17:25">
      <c r="Q5027" s="6">
        <v>4997</v>
      </c>
      <c r="R5027" s="7">
        <v>47664</v>
      </c>
      <c r="S5027" s="210">
        <v>4.25</v>
      </c>
      <c r="T5027" s="8">
        <v>1.0001180555555556</v>
      </c>
      <c r="U5027" s="98">
        <v>4.2886339978591259</v>
      </c>
      <c r="V5027" s="106">
        <v>39771.429548928048</v>
      </c>
      <c r="W5027" s="10">
        <v>1.1710864585656511</v>
      </c>
      <c r="X5027" s="420"/>
      <c r="Y5027" s="420"/>
    </row>
    <row r="5028" spans="17:25">
      <c r="Q5028" s="6">
        <v>4998</v>
      </c>
      <c r="R5028" s="7">
        <v>47665</v>
      </c>
      <c r="S5028" s="210">
        <v>4.25</v>
      </c>
      <c r="T5028" s="8">
        <v>1.0001180555555556</v>
      </c>
      <c r="U5028" s="98">
        <v>4.2886568574483475</v>
      </c>
      <c r="V5028" s="106">
        <v>39774.739836513007</v>
      </c>
      <c r="W5028" s="10">
        <v>1.1711080409690933</v>
      </c>
      <c r="X5028" s="420"/>
      <c r="Y5028" s="420"/>
    </row>
    <row r="5029" spans="17:25">
      <c r="Q5029" s="6">
        <v>4999</v>
      </c>
      <c r="R5029" s="7">
        <v>47666</v>
      </c>
      <c r="S5029" s="210">
        <v>4.25</v>
      </c>
      <c r="T5029" s="8">
        <v>1.0001180555555556</v>
      </c>
      <c r="U5029" s="98">
        <v>4.2886797078969252</v>
      </c>
      <c r="V5029" s="106">
        <v>39778.050399622472</v>
      </c>
      <c r="W5029" s="10">
        <v>1.171129614742461</v>
      </c>
      <c r="X5029" s="420"/>
      <c r="Y5029" s="420"/>
    </row>
    <row r="5030" spans="17:25">
      <c r="Q5030" s="6">
        <v>5000</v>
      </c>
      <c r="R5030" s="7">
        <v>47667</v>
      </c>
      <c r="S5030" s="210">
        <v>4.25</v>
      </c>
      <c r="T5030" s="8">
        <v>1.0001180555555556</v>
      </c>
      <c r="U5030" s="98">
        <v>4.2887025492103215</v>
      </c>
      <c r="V5030" s="106">
        <v>39781.361238279394</v>
      </c>
      <c r="W5030" s="10">
        <v>1.171151179890928</v>
      </c>
      <c r="X5030" s="420"/>
      <c r="Y5030" s="420"/>
    </row>
    <row r="5031" spans="17:25">
      <c r="Q5031" s="6">
        <v>5001</v>
      </c>
      <c r="R5031" s="7">
        <v>47668</v>
      </c>
      <c r="S5031" s="210">
        <v>4.25</v>
      </c>
      <c r="T5031" s="8">
        <v>1.0001180555555556</v>
      </c>
      <c r="U5031" s="98">
        <v>4.2887253813940207</v>
      </c>
      <c r="V5031" s="106">
        <v>39784.672352506699</v>
      </c>
      <c r="W5031" s="10">
        <v>1.1711727364196456</v>
      </c>
      <c r="X5031" s="420"/>
      <c r="Y5031" s="420"/>
    </row>
    <row r="5032" spans="17:25">
      <c r="Q5032" s="6">
        <v>5002</v>
      </c>
      <c r="R5032" s="7">
        <v>47669</v>
      </c>
      <c r="S5032" s="210">
        <v>4.25</v>
      </c>
      <c r="T5032" s="8">
        <v>1.0001180555555556</v>
      </c>
      <c r="U5032" s="98">
        <v>4.2887482044534853</v>
      </c>
      <c r="V5032" s="106">
        <v>39787.983742327327</v>
      </c>
      <c r="W5032" s="10">
        <v>1.1711942843337875</v>
      </c>
      <c r="X5032" s="420"/>
      <c r="Y5032" s="420"/>
    </row>
    <row r="5033" spans="17:25">
      <c r="Q5033" s="6">
        <v>5003</v>
      </c>
      <c r="R5033" s="7">
        <v>47670</v>
      </c>
      <c r="S5033" s="210">
        <v>4.25</v>
      </c>
      <c r="T5033" s="8">
        <v>1.0001180555555556</v>
      </c>
      <c r="U5033" s="98">
        <v>4.2887710183941996</v>
      </c>
      <c r="V5033" s="106">
        <v>39791.295407764206</v>
      </c>
      <c r="W5033" s="10">
        <v>1.1712158236385273</v>
      </c>
      <c r="X5033" s="420"/>
      <c r="Y5033" s="420"/>
    </row>
    <row r="5034" spans="17:25">
      <c r="Q5034" s="6">
        <v>5004</v>
      </c>
      <c r="R5034" s="7">
        <v>47671</v>
      </c>
      <c r="S5034" s="210">
        <v>4.25</v>
      </c>
      <c r="T5034" s="8">
        <v>1.0001180555555556</v>
      </c>
      <c r="U5034" s="98">
        <v>4.2887938232216261</v>
      </c>
      <c r="V5034" s="106">
        <v>39794.607348840291</v>
      </c>
      <c r="W5034" s="10">
        <v>1.1712373543390164</v>
      </c>
      <c r="X5034" s="420"/>
      <c r="Y5034" s="420"/>
    </row>
    <row r="5035" spans="17:25">
      <c r="Q5035" s="6">
        <v>5005</v>
      </c>
      <c r="R5035" s="7">
        <v>47672</v>
      </c>
      <c r="S5035" s="210">
        <v>4.25</v>
      </c>
      <c r="T5035" s="8">
        <v>1.0001180555555556</v>
      </c>
      <c r="U5035" s="98">
        <v>4.2888166189412047</v>
      </c>
      <c r="V5035" s="106">
        <v>39797.919565578508</v>
      </c>
      <c r="W5035" s="10">
        <v>1.1712588764403842</v>
      </c>
      <c r="X5035" s="420"/>
      <c r="Y5035" s="420"/>
    </row>
    <row r="5036" spans="17:25">
      <c r="Q5036" s="6">
        <v>5006</v>
      </c>
      <c r="R5036" s="7">
        <v>47673</v>
      </c>
      <c r="S5036" s="210">
        <v>4.25</v>
      </c>
      <c r="T5036" s="8">
        <v>1.0001180555555556</v>
      </c>
      <c r="U5036" s="98">
        <v>4.28883940555842</v>
      </c>
      <c r="V5036" s="106">
        <v>39801.23205800182</v>
      </c>
      <c r="W5036" s="10">
        <v>1.1712803899478486</v>
      </c>
      <c r="X5036" s="420"/>
      <c r="Y5036" s="420"/>
    </row>
    <row r="5037" spans="17:25">
      <c r="Q5037" s="6">
        <v>5007</v>
      </c>
      <c r="R5037" s="7">
        <v>47674</v>
      </c>
      <c r="S5037" s="210">
        <v>4.25</v>
      </c>
      <c r="T5037" s="8">
        <v>1.0001180555555556</v>
      </c>
      <c r="U5037" s="98">
        <v>4.2888621830787121</v>
      </c>
      <c r="V5037" s="106">
        <v>39804.544826133162</v>
      </c>
      <c r="W5037" s="10">
        <v>1.1713018948664944</v>
      </c>
      <c r="X5037" s="420"/>
      <c r="Y5037" s="420"/>
    </row>
    <row r="5038" spans="17:25">
      <c r="Q5038" s="6">
        <v>5008</v>
      </c>
      <c r="R5038" s="7">
        <v>47675</v>
      </c>
      <c r="S5038" s="210">
        <v>4.25</v>
      </c>
      <c r="T5038" s="8">
        <v>1.0001180555555556</v>
      </c>
      <c r="U5038" s="98">
        <v>4.2888849515075211</v>
      </c>
      <c r="V5038" s="106">
        <v>39807.857869995481</v>
      </c>
      <c r="W5038" s="10">
        <v>1.1713233912014953</v>
      </c>
      <c r="X5038" s="420"/>
      <c r="Y5038" s="420"/>
    </row>
    <row r="5039" spans="17:25">
      <c r="Q5039" s="6">
        <v>5009</v>
      </c>
      <c r="R5039" s="7">
        <v>47676</v>
      </c>
      <c r="S5039" s="210">
        <v>4.25</v>
      </c>
      <c r="T5039" s="8">
        <v>1.0001180555555556</v>
      </c>
      <c r="U5039" s="98">
        <v>4.2889077108502871</v>
      </c>
      <c r="V5039" s="106">
        <v>39811.171189611734</v>
      </c>
      <c r="W5039" s="10">
        <v>1.1713448789579584</v>
      </c>
      <c r="X5039" s="420"/>
      <c r="Y5039" s="420"/>
    </row>
    <row r="5040" spans="17:25">
      <c r="Q5040" s="6">
        <v>5010</v>
      </c>
      <c r="R5040" s="7">
        <v>47677</v>
      </c>
      <c r="S5040" s="210">
        <v>4.25</v>
      </c>
      <c r="T5040" s="8">
        <v>1.0001180555555556</v>
      </c>
      <c r="U5040" s="98">
        <v>4.2889304611124501</v>
      </c>
      <c r="V5040" s="106">
        <v>39814.484785004861</v>
      </c>
      <c r="W5040" s="10">
        <v>1.171366358141035</v>
      </c>
      <c r="X5040" s="420"/>
      <c r="Y5040" s="420"/>
    </row>
    <row r="5041" spans="17:25">
      <c r="Q5041" s="6">
        <v>5011</v>
      </c>
      <c r="R5041" s="7">
        <v>47678</v>
      </c>
      <c r="S5041" s="210">
        <v>4.25</v>
      </c>
      <c r="T5041" s="8">
        <v>1.0001180555555556</v>
      </c>
      <c r="U5041" s="98">
        <v>4.2889532022994281</v>
      </c>
      <c r="V5041" s="106">
        <v>39817.798656197825</v>
      </c>
      <c r="W5041" s="10">
        <v>1.1713878287558543</v>
      </c>
      <c r="X5041" s="420"/>
      <c r="Y5041" s="420"/>
    </row>
    <row r="5042" spans="17:25">
      <c r="Q5042" s="6">
        <v>5012</v>
      </c>
      <c r="R5042" s="7">
        <v>47679</v>
      </c>
      <c r="S5042" s="210">
        <v>4.25</v>
      </c>
      <c r="T5042" s="8">
        <v>1.0001180555555556</v>
      </c>
      <c r="U5042" s="98">
        <v>4.2889759344166833</v>
      </c>
      <c r="V5042" s="106">
        <v>39821.112803213575</v>
      </c>
      <c r="W5042" s="10">
        <v>1.1714092908075457</v>
      </c>
      <c r="X5042" s="420"/>
      <c r="Y5042" s="420"/>
    </row>
    <row r="5043" spans="17:25">
      <c r="Q5043" s="6">
        <v>5013</v>
      </c>
      <c r="R5043" s="7">
        <v>47680</v>
      </c>
      <c r="S5043" s="210">
        <v>4.25</v>
      </c>
      <c r="T5043" s="8">
        <v>1.0001180555555556</v>
      </c>
      <c r="U5043" s="98">
        <v>4.2889986574696115</v>
      </c>
      <c r="V5043" s="106">
        <v>39824.427226075073</v>
      </c>
      <c r="W5043" s="10">
        <v>1.1714307443012384</v>
      </c>
      <c r="X5043" s="420"/>
      <c r="Y5043" s="420"/>
    </row>
    <row r="5044" spans="17:25">
      <c r="Q5044" s="6">
        <v>5014</v>
      </c>
      <c r="R5044" s="7">
        <v>47681</v>
      </c>
      <c r="S5044" s="210">
        <v>4.25</v>
      </c>
      <c r="T5044" s="8">
        <v>1.0001180555555556</v>
      </c>
      <c r="U5044" s="98">
        <v>4.2890213714636527</v>
      </c>
      <c r="V5044" s="106">
        <v>39827.74192480529</v>
      </c>
      <c r="W5044" s="10">
        <v>1.1714521892420393</v>
      </c>
      <c r="X5044" s="420"/>
      <c r="Y5044" s="420"/>
    </row>
    <row r="5045" spans="17:25">
      <c r="Q5045" s="6">
        <v>5015</v>
      </c>
      <c r="R5045" s="7">
        <v>47682</v>
      </c>
      <c r="S5045" s="210">
        <v>4.25</v>
      </c>
      <c r="T5045" s="8">
        <v>1.0001180555555556</v>
      </c>
      <c r="U5045" s="98">
        <v>4.2890440764042026</v>
      </c>
      <c r="V5045" s="106">
        <v>39831.056899427167</v>
      </c>
      <c r="W5045" s="10">
        <v>1.1714736256350333</v>
      </c>
      <c r="X5045" s="420"/>
      <c r="Y5045" s="420"/>
    </row>
    <row r="5046" spans="17:25">
      <c r="Q5046" s="6">
        <v>5016</v>
      </c>
      <c r="R5046" s="7">
        <v>47683</v>
      </c>
      <c r="S5046" s="210">
        <v>4.25</v>
      </c>
      <c r="T5046" s="8">
        <v>1.0001180555555556</v>
      </c>
      <c r="U5046" s="98">
        <v>4.2890667722967013</v>
      </c>
      <c r="V5046" s="106">
        <v>39834.372149963674</v>
      </c>
      <c r="W5046" s="10">
        <v>1.1714950534853941</v>
      </c>
      <c r="X5046" s="420"/>
      <c r="Y5046" s="420"/>
    </row>
    <row r="5047" spans="17:25">
      <c r="Q5047" s="6">
        <v>5017</v>
      </c>
      <c r="R5047" s="7">
        <v>47684</v>
      </c>
      <c r="S5047" s="210">
        <v>4.25</v>
      </c>
      <c r="T5047" s="8">
        <v>1.0001180555555556</v>
      </c>
      <c r="U5047" s="98">
        <v>4.2890894591465445</v>
      </c>
      <c r="V5047" s="106">
        <v>39837.687676437781</v>
      </c>
      <c r="W5047" s="10">
        <v>1.1715164727981842</v>
      </c>
      <c r="X5047" s="420"/>
      <c r="Y5047" s="420"/>
    </row>
    <row r="5048" spans="17:25">
      <c r="Q5048" s="6">
        <v>5018</v>
      </c>
      <c r="R5048" s="7">
        <v>47685</v>
      </c>
      <c r="S5048" s="210">
        <v>4.25</v>
      </c>
      <c r="T5048" s="8">
        <v>1.0001180555555556</v>
      </c>
      <c r="U5048" s="98">
        <v>4.2891121369591279</v>
      </c>
      <c r="V5048" s="106">
        <v>39841.003478872452</v>
      </c>
      <c r="W5048" s="10">
        <v>1.1715378835785328</v>
      </c>
      <c r="X5048" s="420"/>
      <c r="Y5048" s="420"/>
    </row>
    <row r="5049" spans="17:25">
      <c r="Q5049" s="6">
        <v>5019</v>
      </c>
      <c r="R5049" s="7">
        <v>47686</v>
      </c>
      <c r="S5049" s="210">
        <v>4.25</v>
      </c>
      <c r="T5049" s="8">
        <v>1.0001180555555556</v>
      </c>
      <c r="U5049" s="98">
        <v>4.2891348057398471</v>
      </c>
      <c r="V5049" s="106">
        <v>39844.319557290655</v>
      </c>
      <c r="W5049" s="10">
        <v>1.1715592858314805</v>
      </c>
      <c r="X5049" s="420"/>
      <c r="Y5049" s="420"/>
    </row>
    <row r="5050" spans="17:25">
      <c r="Q5050" s="6">
        <v>5020</v>
      </c>
      <c r="R5050" s="7">
        <v>47687</v>
      </c>
      <c r="S5050" s="210">
        <v>4.25</v>
      </c>
      <c r="T5050" s="8">
        <v>1.0001180555555556</v>
      </c>
      <c r="U5050" s="98">
        <v>4.28915746549412</v>
      </c>
      <c r="V5050" s="106">
        <v>39847.635911715362</v>
      </c>
      <c r="W5050" s="10">
        <v>1.1715806795622008</v>
      </c>
      <c r="X5050" s="420"/>
      <c r="Y5050" s="420"/>
    </row>
    <row r="5051" spans="17:25">
      <c r="Q5051" s="6">
        <v>5021</v>
      </c>
      <c r="R5051" s="7">
        <v>47688</v>
      </c>
      <c r="S5051" s="210">
        <v>4.25</v>
      </c>
      <c r="T5051" s="8">
        <v>1.0001180555555556</v>
      </c>
      <c r="U5051" s="98">
        <v>4.2891801162273202</v>
      </c>
      <c r="V5051" s="106">
        <v>39850.952542169543</v>
      </c>
      <c r="W5051" s="10">
        <v>1.1716020647757341</v>
      </c>
      <c r="X5051" s="420"/>
      <c r="Y5051" s="420"/>
    </row>
    <row r="5052" spans="17:25">
      <c r="Q5052" s="6">
        <v>5022</v>
      </c>
      <c r="R5052" s="7">
        <v>47689</v>
      </c>
      <c r="S5052" s="210">
        <v>4.25</v>
      </c>
      <c r="T5052" s="8">
        <v>1.0001180555555556</v>
      </c>
      <c r="U5052" s="98">
        <v>4.2892027579448211</v>
      </c>
      <c r="V5052" s="106">
        <v>39854.269448676176</v>
      </c>
      <c r="W5052" s="10">
        <v>1.1716234414771431</v>
      </c>
      <c r="X5052" s="420"/>
      <c r="Y5052" s="420"/>
    </row>
    <row r="5053" spans="17:25">
      <c r="Q5053" s="6">
        <v>5023</v>
      </c>
      <c r="R5053" s="7">
        <v>47690</v>
      </c>
      <c r="S5053" s="210">
        <v>4.25</v>
      </c>
      <c r="T5053" s="8">
        <v>1.0001180555555556</v>
      </c>
      <c r="U5053" s="98">
        <v>4.2892253906520184</v>
      </c>
      <c r="V5053" s="106">
        <v>39857.586631258237</v>
      </c>
      <c r="W5053" s="10">
        <v>1.171644809671557</v>
      </c>
      <c r="X5053" s="420"/>
      <c r="Y5053" s="420"/>
    </row>
    <row r="5054" spans="17:25">
      <c r="Q5054" s="6">
        <v>5024</v>
      </c>
      <c r="R5054" s="7">
        <v>47691</v>
      </c>
      <c r="S5054" s="210">
        <v>4.25</v>
      </c>
      <c r="T5054" s="8">
        <v>1.0001180555555556</v>
      </c>
      <c r="U5054" s="98">
        <v>4.2892480143542855</v>
      </c>
      <c r="V5054" s="106">
        <v>39860.904089938711</v>
      </c>
      <c r="W5054" s="10">
        <v>1.1716661693640384</v>
      </c>
      <c r="X5054" s="420"/>
      <c r="Y5054" s="420"/>
    </row>
    <row r="5055" spans="17:25">
      <c r="Q5055" s="6">
        <v>5025</v>
      </c>
      <c r="R5055" s="7">
        <v>47692</v>
      </c>
      <c r="S5055" s="210">
        <v>4.25</v>
      </c>
      <c r="T5055" s="8">
        <v>1.0001180555555556</v>
      </c>
      <c r="U5055" s="98">
        <v>4.289270629056996</v>
      </c>
      <c r="V5055" s="106">
        <v>39864.221824740569</v>
      </c>
      <c r="W5055" s="10">
        <v>1.1716875205596278</v>
      </c>
      <c r="X5055" s="420"/>
      <c r="Y5055" s="420"/>
    </row>
    <row r="5056" spans="17:25">
      <c r="Q5056" s="6">
        <v>5026</v>
      </c>
      <c r="R5056" s="7">
        <v>47693</v>
      </c>
      <c r="S5056" s="210">
        <v>4.25</v>
      </c>
      <c r="T5056" s="8">
        <v>1.0001180555555556</v>
      </c>
      <c r="U5056" s="98">
        <v>4.2892932347655233</v>
      </c>
      <c r="V5056" s="106">
        <v>39867.539835686788</v>
      </c>
      <c r="W5056" s="10">
        <v>1.1717088632634542</v>
      </c>
      <c r="X5056" s="420"/>
      <c r="Y5056" s="420"/>
    </row>
    <row r="5057" spans="17:25">
      <c r="Q5057" s="6">
        <v>5027</v>
      </c>
      <c r="R5057" s="7">
        <v>47694</v>
      </c>
      <c r="S5057" s="210">
        <v>4.25</v>
      </c>
      <c r="T5057" s="8">
        <v>1.0001180555555556</v>
      </c>
      <c r="U5057" s="98">
        <v>4.2893158314852409</v>
      </c>
      <c r="V5057" s="106">
        <v>39870.858122800368</v>
      </c>
      <c r="W5057" s="10">
        <v>1.1717301974805361</v>
      </c>
      <c r="X5057" s="420"/>
      <c r="Y5057" s="420"/>
    </row>
    <row r="5058" spans="17:25">
      <c r="Q5058" s="6">
        <v>5028</v>
      </c>
      <c r="R5058" s="7">
        <v>47695</v>
      </c>
      <c r="S5058" s="210">
        <v>4.25</v>
      </c>
      <c r="T5058" s="8">
        <v>1.0001180555555556</v>
      </c>
      <c r="U5058" s="98">
        <v>4.2893384192215001</v>
      </c>
      <c r="V5058" s="106">
        <v>39874.176686104285</v>
      </c>
      <c r="W5058" s="10">
        <v>1.1717515232159581</v>
      </c>
      <c r="X5058" s="420"/>
      <c r="Y5058" s="420"/>
    </row>
    <row r="5059" spans="17:25">
      <c r="Q5059" s="6">
        <v>5029</v>
      </c>
      <c r="R5059" s="7">
        <v>47696</v>
      </c>
      <c r="S5059" s="210">
        <v>4.25</v>
      </c>
      <c r="T5059" s="8">
        <v>1.0001180555555556</v>
      </c>
      <c r="U5059" s="98">
        <v>4.2893609979796521</v>
      </c>
      <c r="V5059" s="106">
        <v>39877.495525621533</v>
      </c>
      <c r="W5059" s="10">
        <v>1.1717728404747829</v>
      </c>
      <c r="X5059" s="420"/>
      <c r="Y5059" s="420"/>
    </row>
    <row r="5060" spans="17:25">
      <c r="Q5060" s="6">
        <v>5030</v>
      </c>
      <c r="R5060" s="7">
        <v>47697</v>
      </c>
      <c r="S5060" s="210">
        <v>4.25</v>
      </c>
      <c r="T5060" s="8">
        <v>1.0001180555555556</v>
      </c>
      <c r="U5060" s="98">
        <v>4.2893835677650483</v>
      </c>
      <c r="V5060" s="106">
        <v>39880.814641375095</v>
      </c>
      <c r="W5060" s="10">
        <v>1.1717941492620287</v>
      </c>
      <c r="X5060" s="420"/>
      <c r="Y5060" s="420"/>
    </row>
    <row r="5061" spans="17:25">
      <c r="Q5061" s="6">
        <v>5031</v>
      </c>
      <c r="R5061" s="7">
        <v>47698</v>
      </c>
      <c r="S5061" s="210">
        <v>4.25</v>
      </c>
      <c r="T5061" s="8">
        <v>1.0001180555555556</v>
      </c>
      <c r="U5061" s="98">
        <v>4.2894061285830398</v>
      </c>
      <c r="V5061" s="106">
        <v>39884.134033387963</v>
      </c>
      <c r="W5061" s="10">
        <v>1.1718154495827582</v>
      </c>
      <c r="X5061" s="420"/>
      <c r="Y5061" s="420"/>
    </row>
    <row r="5062" spans="17:25">
      <c r="Q5062" s="6">
        <v>5032</v>
      </c>
      <c r="R5062" s="7">
        <v>47699</v>
      </c>
      <c r="S5062" s="210">
        <v>4.25</v>
      </c>
      <c r="T5062" s="8">
        <v>1.0001180555555556</v>
      </c>
      <c r="U5062" s="98">
        <v>4.2894286804389781</v>
      </c>
      <c r="V5062" s="106">
        <v>39887.453701683138</v>
      </c>
      <c r="W5062" s="10">
        <v>1.1718367414420339</v>
      </c>
      <c r="X5062" s="420"/>
      <c r="Y5062" s="420"/>
    </row>
    <row r="5063" spans="17:25">
      <c r="Q5063" s="6">
        <v>5033</v>
      </c>
      <c r="R5063" s="7">
        <v>47700</v>
      </c>
      <c r="S5063" s="210">
        <v>4.25</v>
      </c>
      <c r="T5063" s="8">
        <v>1.0001180555555556</v>
      </c>
      <c r="U5063" s="98">
        <v>4.2894512233381921</v>
      </c>
      <c r="V5063" s="106">
        <v>39890.773646283618</v>
      </c>
      <c r="W5063" s="10">
        <v>1.1718580248448962</v>
      </c>
      <c r="X5063" s="420"/>
      <c r="Y5063" s="420"/>
    </row>
    <row r="5064" spans="17:25">
      <c r="Q5064" s="6">
        <v>5034</v>
      </c>
      <c r="R5064" s="7">
        <v>47701</v>
      </c>
      <c r="S5064" s="210">
        <v>4.25</v>
      </c>
      <c r="T5064" s="8">
        <v>1.0001180555555556</v>
      </c>
      <c r="U5064" s="98">
        <v>4.2894737572860109</v>
      </c>
      <c r="V5064" s="106">
        <v>39894.093867212388</v>
      </c>
      <c r="W5064" s="10">
        <v>1.1718792997963634</v>
      </c>
      <c r="X5064" s="420"/>
      <c r="Y5064" s="420"/>
    </row>
    <row r="5065" spans="17:25">
      <c r="Q5065" s="6">
        <v>5035</v>
      </c>
      <c r="R5065" s="7">
        <v>47702</v>
      </c>
      <c r="S5065" s="210">
        <v>4.25</v>
      </c>
      <c r="T5065" s="8">
        <v>1.0001180555555556</v>
      </c>
      <c r="U5065" s="98">
        <v>4.2894962822877858</v>
      </c>
      <c r="V5065" s="106">
        <v>39897.414364492455</v>
      </c>
      <c r="W5065" s="10">
        <v>1.1719005663014759</v>
      </c>
      <c r="X5065" s="420"/>
      <c r="Y5065" s="420"/>
    </row>
    <row r="5066" spans="17:25">
      <c r="Q5066" s="6">
        <v>5036</v>
      </c>
      <c r="R5066" s="7">
        <v>47703</v>
      </c>
      <c r="S5066" s="210">
        <v>4.25</v>
      </c>
      <c r="T5066" s="8">
        <v>1.0001180555555556</v>
      </c>
      <c r="U5066" s="98">
        <v>4.2895187983488237</v>
      </c>
      <c r="V5066" s="106">
        <v>39900.735138146818</v>
      </c>
      <c r="W5066" s="10">
        <v>1.171921824365274</v>
      </c>
      <c r="X5066" s="420"/>
      <c r="Y5066" s="420"/>
    </row>
    <row r="5067" spans="17:25">
      <c r="Q5067" s="6">
        <v>5037</v>
      </c>
      <c r="R5067" s="7">
        <v>47704</v>
      </c>
      <c r="S5067" s="210">
        <v>4.25</v>
      </c>
      <c r="T5067" s="8">
        <v>1.0001180555555556</v>
      </c>
      <c r="U5067" s="98">
        <v>4.2895413054744536</v>
      </c>
      <c r="V5067" s="106">
        <v>39904.05618819849</v>
      </c>
      <c r="W5067" s="10">
        <v>1.1719430739927761</v>
      </c>
      <c r="X5067" s="420"/>
      <c r="Y5067" s="420"/>
    </row>
    <row r="5068" spans="17:25">
      <c r="Q5068" s="6">
        <v>5038</v>
      </c>
      <c r="R5068" s="7">
        <v>47705</v>
      </c>
      <c r="S5068" s="210">
        <v>4.25</v>
      </c>
      <c r="T5068" s="8">
        <v>1.0001180555555556</v>
      </c>
      <c r="U5068" s="98">
        <v>4.2895638036699824</v>
      </c>
      <c r="V5068" s="106">
        <v>39907.377514670465</v>
      </c>
      <c r="W5068" s="10">
        <v>1.1719643151889558</v>
      </c>
      <c r="X5068" s="420"/>
      <c r="Y5068" s="420"/>
    </row>
    <row r="5069" spans="17:25">
      <c r="Q5069" s="6">
        <v>5039</v>
      </c>
      <c r="R5069" s="7">
        <v>47706</v>
      </c>
      <c r="S5069" s="210">
        <v>4.25</v>
      </c>
      <c r="T5069" s="8">
        <v>1.0001180555555556</v>
      </c>
      <c r="U5069" s="98">
        <v>4.2895862929407391</v>
      </c>
      <c r="V5069" s="106">
        <v>39910.699117585755</v>
      </c>
      <c r="W5069" s="10">
        <v>1.1719855479589203</v>
      </c>
      <c r="X5069" s="420"/>
      <c r="Y5069" s="420"/>
    </row>
    <row r="5070" spans="17:25">
      <c r="Q5070" s="6">
        <v>5040</v>
      </c>
      <c r="R5070" s="7">
        <v>47707</v>
      </c>
      <c r="S5070" s="210">
        <v>4.25</v>
      </c>
      <c r="T5070" s="8">
        <v>1.0001180555555556</v>
      </c>
      <c r="U5070" s="98">
        <v>4.2896087732920307</v>
      </c>
      <c r="V5070" s="106">
        <v>39914.020996967374</v>
      </c>
      <c r="W5070" s="10">
        <v>1.1720067723075989</v>
      </c>
      <c r="X5070" s="420"/>
      <c r="Y5070" s="420"/>
    </row>
    <row r="5071" spans="17:25">
      <c r="Q5071" s="6">
        <v>5041</v>
      </c>
      <c r="R5071" s="7">
        <v>47708</v>
      </c>
      <c r="S5071" s="210">
        <v>4.25</v>
      </c>
      <c r="T5071" s="8">
        <v>1.0001180555555556</v>
      </c>
      <c r="U5071" s="98">
        <v>4.289631244729164</v>
      </c>
      <c r="V5071" s="106">
        <v>39917.343152838315</v>
      </c>
      <c r="W5071" s="10">
        <v>1.1720279882400542</v>
      </c>
      <c r="X5071" s="420"/>
      <c r="Y5071" s="420"/>
    </row>
    <row r="5072" spans="17:25">
      <c r="Q5072" s="6">
        <v>5042</v>
      </c>
      <c r="R5072" s="7">
        <v>47709</v>
      </c>
      <c r="S5072" s="210">
        <v>4.25</v>
      </c>
      <c r="T5072" s="8">
        <v>1.0001180555555556</v>
      </c>
      <c r="U5072" s="98">
        <v>4.2896537072574459</v>
      </c>
      <c r="V5072" s="106">
        <v>39920.665585221606</v>
      </c>
      <c r="W5072" s="10">
        <v>1.1720491957613044</v>
      </c>
      <c r="X5072" s="420"/>
      <c r="Y5072" s="420"/>
    </row>
    <row r="5073" spans="17:25">
      <c r="Q5073" s="6">
        <v>5043</v>
      </c>
      <c r="R5073" s="7">
        <v>47710</v>
      </c>
      <c r="S5073" s="210">
        <v>4.25</v>
      </c>
      <c r="T5073" s="8">
        <v>1.0001180555555556</v>
      </c>
      <c r="U5073" s="98">
        <v>4.289676160882161</v>
      </c>
      <c r="V5073" s="106">
        <v>39923.988294140268</v>
      </c>
      <c r="W5073" s="10">
        <v>1.1720703948763012</v>
      </c>
      <c r="X5073" s="420"/>
      <c r="Y5073" s="420"/>
    </row>
    <row r="5074" spans="17:25">
      <c r="Q5074" s="6">
        <v>5044</v>
      </c>
      <c r="R5074" s="7">
        <v>47711</v>
      </c>
      <c r="S5074" s="210">
        <v>4.25</v>
      </c>
      <c r="T5074" s="8">
        <v>1.0001180555555556</v>
      </c>
      <c r="U5074" s="98">
        <v>4.289698605608594</v>
      </c>
      <c r="V5074" s="106">
        <v>39927.311279617301</v>
      </c>
      <c r="W5074" s="10">
        <v>1.1720915855900405</v>
      </c>
      <c r="X5074" s="420"/>
      <c r="Y5074" s="420"/>
    </row>
    <row r="5075" spans="17:25">
      <c r="Q5075" s="6">
        <v>5045</v>
      </c>
      <c r="R5075" s="7">
        <v>47712</v>
      </c>
      <c r="S5075" s="210">
        <v>4.25</v>
      </c>
      <c r="T5075" s="8">
        <v>1.0001180555555556</v>
      </c>
      <c r="U5075" s="98">
        <v>4.2897210414420517</v>
      </c>
      <c r="V5075" s="106">
        <v>39930.634541675732</v>
      </c>
      <c r="W5075" s="10">
        <v>1.1721127679075627</v>
      </c>
      <c r="X5075" s="420"/>
      <c r="Y5075" s="420"/>
    </row>
    <row r="5076" spans="17:25">
      <c r="Q5076" s="6">
        <v>5046</v>
      </c>
      <c r="R5076" s="7">
        <v>47713</v>
      </c>
      <c r="S5076" s="210">
        <v>4.25</v>
      </c>
      <c r="T5076" s="8">
        <v>1.0001180555555556</v>
      </c>
      <c r="U5076" s="98">
        <v>4.2897434683877966</v>
      </c>
      <c r="V5076" s="106">
        <v>39933.958080338583</v>
      </c>
      <c r="W5076" s="10">
        <v>1.1721339418337973</v>
      </c>
      <c r="X5076" s="420"/>
      <c r="Y5076" s="420"/>
    </row>
    <row r="5077" spans="17:25">
      <c r="Q5077" s="6">
        <v>5047</v>
      </c>
      <c r="R5077" s="7">
        <v>47714</v>
      </c>
      <c r="S5077" s="210">
        <v>4.25</v>
      </c>
      <c r="T5077" s="8">
        <v>1.0001180555555556</v>
      </c>
      <c r="U5077" s="98">
        <v>4.2897658864511357</v>
      </c>
      <c r="V5077" s="106">
        <v>39937.281895628876</v>
      </c>
      <c r="W5077" s="10">
        <v>1.1721551073737846</v>
      </c>
      <c r="X5077" s="420"/>
      <c r="Y5077" s="420"/>
    </row>
    <row r="5078" spans="17:25">
      <c r="Q5078" s="6">
        <v>5048</v>
      </c>
      <c r="R5078" s="7">
        <v>47715</v>
      </c>
      <c r="S5078" s="210">
        <v>4.25</v>
      </c>
      <c r="T5078" s="8">
        <v>1.0001180555555556</v>
      </c>
      <c r="U5078" s="98">
        <v>4.2897882956373312</v>
      </c>
      <c r="V5078" s="106">
        <v>39940.60598756963</v>
      </c>
      <c r="W5078" s="10">
        <v>1.1721762645324985</v>
      </c>
      <c r="X5078" s="420"/>
      <c r="Y5078" s="420"/>
    </row>
    <row r="5079" spans="17:25">
      <c r="Q5079" s="6">
        <v>5049</v>
      </c>
      <c r="R5079" s="7">
        <v>47716</v>
      </c>
      <c r="S5079" s="210">
        <v>4.25</v>
      </c>
      <c r="T5079" s="8">
        <v>1.0001180555555556</v>
      </c>
      <c r="U5079" s="98">
        <v>4.2898106959516458</v>
      </c>
      <c r="V5079" s="106">
        <v>39943.930356183875</v>
      </c>
      <c r="W5079" s="10">
        <v>1.1721974133148683</v>
      </c>
      <c r="X5079" s="420"/>
      <c r="Y5079" s="420"/>
    </row>
    <row r="5080" spans="17:25">
      <c r="Q5080" s="6">
        <v>5050</v>
      </c>
      <c r="R5080" s="7">
        <v>47717</v>
      </c>
      <c r="S5080" s="210">
        <v>4.25</v>
      </c>
      <c r="T5080" s="8">
        <v>1.0001180555555556</v>
      </c>
      <c r="U5080" s="98">
        <v>4.289833087399364</v>
      </c>
      <c r="V5080" s="106">
        <v>39947.255001494646</v>
      </c>
      <c r="W5080" s="10">
        <v>1.1722185537259122</v>
      </c>
      <c r="X5080" s="420"/>
      <c r="Y5080" s="420"/>
    </row>
    <row r="5081" spans="17:25">
      <c r="Q5081" s="6">
        <v>5051</v>
      </c>
      <c r="R5081" s="7">
        <v>47718</v>
      </c>
      <c r="S5081" s="210">
        <v>4.25</v>
      </c>
      <c r="T5081" s="8">
        <v>1.0001180555555556</v>
      </c>
      <c r="U5081" s="98">
        <v>4.2898554699857483</v>
      </c>
      <c r="V5081" s="106">
        <v>39950.579923524958</v>
      </c>
      <c r="W5081" s="10">
        <v>1.1722396857706041</v>
      </c>
      <c r="X5081" s="420"/>
      <c r="Y5081" s="420"/>
    </row>
    <row r="5082" spans="17:25">
      <c r="Q5082" s="6">
        <v>5052</v>
      </c>
      <c r="R5082" s="7">
        <v>47719</v>
      </c>
      <c r="S5082" s="210">
        <v>4.25</v>
      </c>
      <c r="T5082" s="8">
        <v>1.0001180555555556</v>
      </c>
      <c r="U5082" s="98">
        <v>4.289877843716039</v>
      </c>
      <c r="V5082" s="106">
        <v>39953.905122297867</v>
      </c>
      <c r="W5082" s="10">
        <v>1.1722608094538733</v>
      </c>
      <c r="X5082" s="420"/>
      <c r="Y5082" s="420"/>
    </row>
    <row r="5083" spans="17:25">
      <c r="Q5083" s="6">
        <v>5053</v>
      </c>
      <c r="R5083" s="7">
        <v>47720</v>
      </c>
      <c r="S5083" s="210">
        <v>4.25</v>
      </c>
      <c r="T5083" s="8">
        <v>1.0001180555555556</v>
      </c>
      <c r="U5083" s="98">
        <v>4.2899002085955207</v>
      </c>
      <c r="V5083" s="106">
        <v>39957.23059783638</v>
      </c>
      <c r="W5083" s="10">
        <v>1.1722819247807159</v>
      </c>
      <c r="X5083" s="420"/>
      <c r="Y5083" s="420"/>
    </row>
    <row r="5084" spans="17:25">
      <c r="Q5084" s="6">
        <v>5054</v>
      </c>
      <c r="R5084" s="7">
        <v>47721</v>
      </c>
      <c r="S5084" s="210">
        <v>4.25</v>
      </c>
      <c r="T5084" s="8">
        <v>1.0001180555555556</v>
      </c>
      <c r="U5084" s="98">
        <v>4.2899225646294115</v>
      </c>
      <c r="V5084" s="106">
        <v>39960.556350163548</v>
      </c>
      <c r="W5084" s="10">
        <v>1.1723030317560612</v>
      </c>
      <c r="X5084" s="420"/>
      <c r="Y5084" s="420"/>
    </row>
    <row r="5085" spans="17:25">
      <c r="Q5085" s="6">
        <v>5055</v>
      </c>
      <c r="R5085" s="7">
        <v>47722</v>
      </c>
      <c r="S5085" s="210">
        <v>4.25</v>
      </c>
      <c r="T5085" s="8">
        <v>1.0001180555555556</v>
      </c>
      <c r="U5085" s="98">
        <v>4.2899449118229738</v>
      </c>
      <c r="V5085" s="106">
        <v>39963.882379302413</v>
      </c>
      <c r="W5085" s="10">
        <v>1.172324130384883</v>
      </c>
      <c r="X5085" s="420"/>
      <c r="Y5085" s="420"/>
    </row>
    <row r="5086" spans="17:25">
      <c r="Q5086" s="6">
        <v>5056</v>
      </c>
      <c r="R5086" s="7">
        <v>47723</v>
      </c>
      <c r="S5086" s="210">
        <v>4.25</v>
      </c>
      <c r="T5086" s="8">
        <v>1.0001180555555556</v>
      </c>
      <c r="U5086" s="98">
        <v>4.2899672501814701</v>
      </c>
      <c r="V5086" s="106">
        <v>39967.208685276004</v>
      </c>
      <c r="W5086" s="10">
        <v>1.172345220672133</v>
      </c>
      <c r="X5086" s="420"/>
      <c r="Y5086" s="420"/>
    </row>
    <row r="5087" spans="17:25">
      <c r="Q5087" s="6">
        <v>5057</v>
      </c>
      <c r="R5087" s="7">
        <v>47724</v>
      </c>
      <c r="S5087" s="210">
        <v>4.25</v>
      </c>
      <c r="T5087" s="8">
        <v>1.0001180555555556</v>
      </c>
      <c r="U5087" s="98">
        <v>4.2899895797101184</v>
      </c>
      <c r="V5087" s="106">
        <v>39970.535268107364</v>
      </c>
      <c r="W5087" s="10">
        <v>1.1723663026227626</v>
      </c>
      <c r="X5087" s="420"/>
      <c r="Y5087" s="420"/>
    </row>
    <row r="5088" spans="17:25">
      <c r="Q5088" s="6">
        <v>5058</v>
      </c>
      <c r="R5088" s="7">
        <v>47725</v>
      </c>
      <c r="S5088" s="210">
        <v>4.25</v>
      </c>
      <c r="T5088" s="8">
        <v>1.0001180555555556</v>
      </c>
      <c r="U5088" s="98">
        <v>4.2900119004141368</v>
      </c>
      <c r="V5088" s="106">
        <v>39973.862127819542</v>
      </c>
      <c r="W5088" s="10">
        <v>1.1723873762416792</v>
      </c>
      <c r="X5088" s="420"/>
      <c r="Y5088" s="420"/>
    </row>
    <row r="5089" spans="17:25">
      <c r="Q5089" s="6">
        <v>5059</v>
      </c>
      <c r="R5089" s="7">
        <v>47726</v>
      </c>
      <c r="S5089" s="210">
        <v>4.25</v>
      </c>
      <c r="T5089" s="8">
        <v>1.0001180555555556</v>
      </c>
      <c r="U5089" s="98">
        <v>4.2900342122987878</v>
      </c>
      <c r="V5089" s="106">
        <v>39977.189264435576</v>
      </c>
      <c r="W5089" s="10">
        <v>1.1724084415338565</v>
      </c>
      <c r="X5089" s="420"/>
      <c r="Y5089" s="420"/>
    </row>
    <row r="5090" spans="17:25">
      <c r="Q5090" s="6">
        <v>5060</v>
      </c>
      <c r="R5090" s="7">
        <v>47727</v>
      </c>
      <c r="S5090" s="210">
        <v>4.25</v>
      </c>
      <c r="T5090" s="8">
        <v>1.0001180555555556</v>
      </c>
      <c r="U5090" s="98">
        <v>4.2900565153692671</v>
      </c>
      <c r="V5090" s="106">
        <v>39980.516677978529</v>
      </c>
      <c r="W5090" s="10">
        <v>1.1724294985042016</v>
      </c>
      <c r="X5090" s="420"/>
      <c r="Y5090" s="420"/>
    </row>
    <row r="5091" spans="17:25">
      <c r="Q5091" s="6">
        <v>5061</v>
      </c>
      <c r="R5091" s="7">
        <v>47728</v>
      </c>
      <c r="S5091" s="210">
        <v>4.25</v>
      </c>
      <c r="T5091" s="8">
        <v>1.0001180555555556</v>
      </c>
      <c r="U5091" s="98">
        <v>4.2900788096308151</v>
      </c>
      <c r="V5091" s="106">
        <v>39983.844368471429</v>
      </c>
      <c r="W5091" s="10">
        <v>1.1724505471576441</v>
      </c>
      <c r="X5091" s="420"/>
      <c r="Y5091" s="420"/>
    </row>
    <row r="5092" spans="17:25">
      <c r="Q5092" s="6">
        <v>5062</v>
      </c>
      <c r="R5092" s="7">
        <v>47729</v>
      </c>
      <c r="S5092" s="210">
        <v>4.25</v>
      </c>
      <c r="T5092" s="8">
        <v>1.0001180555555556</v>
      </c>
      <c r="U5092" s="98">
        <v>4.2901010950886498</v>
      </c>
      <c r="V5092" s="106">
        <v>39987.17233593735</v>
      </c>
      <c r="W5092" s="10">
        <v>1.1724715874991576</v>
      </c>
      <c r="X5092" s="420"/>
      <c r="Y5092" s="420"/>
    </row>
    <row r="5093" spans="17:25">
      <c r="Q5093" s="6">
        <v>5063</v>
      </c>
      <c r="R5093" s="7">
        <v>47730</v>
      </c>
      <c r="S5093" s="210">
        <v>4.25</v>
      </c>
      <c r="T5093" s="8">
        <v>1.0001180555555556</v>
      </c>
      <c r="U5093" s="98">
        <v>4.2901233717479892</v>
      </c>
      <c r="V5093" s="106">
        <v>39990.500580399326</v>
      </c>
      <c r="W5093" s="10">
        <v>1.172492619533605</v>
      </c>
      <c r="X5093" s="420"/>
      <c r="Y5093" s="420"/>
    </row>
    <row r="5094" spans="17:25">
      <c r="Q5094" s="6">
        <v>5064</v>
      </c>
      <c r="R5094" s="7">
        <v>47731</v>
      </c>
      <c r="S5094" s="210">
        <v>4.25</v>
      </c>
      <c r="T5094" s="8">
        <v>1.0001180555555556</v>
      </c>
      <c r="U5094" s="98">
        <v>4.2901456396140292</v>
      </c>
      <c r="V5094" s="106">
        <v>39993.829101880416</v>
      </c>
      <c r="W5094" s="10">
        <v>1.17251364326596</v>
      </c>
      <c r="X5094" s="420"/>
      <c r="Y5094" s="420"/>
    </row>
    <row r="5095" spans="17:25">
      <c r="Q5095" s="6">
        <v>5065</v>
      </c>
      <c r="R5095" s="7">
        <v>47732</v>
      </c>
      <c r="S5095" s="210">
        <v>4.25</v>
      </c>
      <c r="T5095" s="8">
        <v>1.0001180555555556</v>
      </c>
      <c r="U5095" s="98">
        <v>4.2901678986919878</v>
      </c>
      <c r="V5095" s="106">
        <v>39997.157900403683</v>
      </c>
      <c r="W5095" s="10">
        <v>1.1725346587010854</v>
      </c>
      <c r="X5095" s="420"/>
      <c r="Y5095" s="420"/>
    </row>
    <row r="5096" spans="17:25">
      <c r="Q5096" s="6">
        <v>5066</v>
      </c>
      <c r="R5096" s="7">
        <v>47733</v>
      </c>
      <c r="S5096" s="210">
        <v>4.25</v>
      </c>
      <c r="T5096" s="8">
        <v>1.0001180555555556</v>
      </c>
      <c r="U5096" s="98">
        <v>4.2901901489870609</v>
      </c>
      <c r="V5096" s="106">
        <v>40000.486975992186</v>
      </c>
      <c r="W5096" s="10">
        <v>1.1725556658439329</v>
      </c>
      <c r="X5096" s="420"/>
      <c r="Y5096" s="420"/>
    </row>
    <row r="5097" spans="17:25">
      <c r="Q5097" s="6">
        <v>5067</v>
      </c>
      <c r="R5097" s="7">
        <v>47734</v>
      </c>
      <c r="S5097" s="210">
        <v>4.25</v>
      </c>
      <c r="T5097" s="8">
        <v>1.0001180555555556</v>
      </c>
      <c r="U5097" s="98">
        <v>4.2902123905044443</v>
      </c>
      <c r="V5097" s="106">
        <v>40003.816328668989</v>
      </c>
      <c r="W5097" s="10">
        <v>1.1725766646993874</v>
      </c>
      <c r="X5097" s="420"/>
      <c r="Y5097" s="420"/>
    </row>
    <row r="5098" spans="17:25">
      <c r="Q5098" s="6">
        <v>5068</v>
      </c>
      <c r="R5098" s="7">
        <v>47735</v>
      </c>
      <c r="S5098" s="210">
        <v>4.25</v>
      </c>
      <c r="T5098" s="8">
        <v>1.0001180555555556</v>
      </c>
      <c r="U5098" s="98">
        <v>4.2902346232493338</v>
      </c>
      <c r="V5098" s="106">
        <v>40007.145958457142</v>
      </c>
      <c r="W5098" s="10">
        <v>1.172597655272356</v>
      </c>
      <c r="X5098" s="420"/>
      <c r="Y5098" s="420"/>
    </row>
    <row r="5099" spans="17:25">
      <c r="Q5099" s="6">
        <v>5069</v>
      </c>
      <c r="R5099" s="7">
        <v>47736</v>
      </c>
      <c r="S5099" s="210">
        <v>4.25</v>
      </c>
      <c r="T5099" s="8">
        <v>1.0001180555555556</v>
      </c>
      <c r="U5099" s="98">
        <v>4.2902568472269031</v>
      </c>
      <c r="V5099" s="106">
        <v>40010.475865379718</v>
      </c>
      <c r="W5099" s="10">
        <v>1.1726186375677239</v>
      </c>
      <c r="X5099" s="420"/>
      <c r="Y5099" s="420"/>
    </row>
    <row r="5100" spans="17:25">
      <c r="Q5100" s="6">
        <v>5070</v>
      </c>
      <c r="R5100" s="7">
        <v>47737</v>
      </c>
      <c r="S5100" s="210">
        <v>4.25</v>
      </c>
      <c r="T5100" s="8">
        <v>1.0001180555555556</v>
      </c>
      <c r="U5100" s="98">
        <v>4.2902790624423703</v>
      </c>
      <c r="V5100" s="106">
        <v>40013.806049459788</v>
      </c>
      <c r="W5100" s="10">
        <v>1.1726396115904203</v>
      </c>
      <c r="X5100" s="420"/>
      <c r="Y5100" s="420"/>
    </row>
    <row r="5101" spans="17:25">
      <c r="Q5101" s="6">
        <v>5071</v>
      </c>
      <c r="R5101" s="7">
        <v>47738</v>
      </c>
      <c r="S5101" s="210">
        <v>4.25</v>
      </c>
      <c r="T5101" s="8">
        <v>1.0001180555555556</v>
      </c>
      <c r="U5101" s="98">
        <v>4.2903012689008868</v>
      </c>
      <c r="V5101" s="106">
        <v>40017.136510720411</v>
      </c>
      <c r="W5101" s="10">
        <v>1.172660577345308</v>
      </c>
      <c r="X5101" s="420"/>
      <c r="Y5101" s="420"/>
    </row>
    <row r="5102" spans="17:25">
      <c r="Q5102" s="6">
        <v>5072</v>
      </c>
      <c r="R5102" s="7">
        <v>47739</v>
      </c>
      <c r="S5102" s="210">
        <v>4.25</v>
      </c>
      <c r="T5102" s="8">
        <v>1.0001180555555556</v>
      </c>
      <c r="U5102" s="98">
        <v>4.2903234666076262</v>
      </c>
      <c r="V5102" s="106">
        <v>40020.467249184665</v>
      </c>
      <c r="W5102" s="10">
        <v>1.1726815348372721</v>
      </c>
      <c r="X5102" s="420"/>
      <c r="Y5102" s="420"/>
    </row>
    <row r="5103" spans="17:25">
      <c r="Q5103" s="6">
        <v>5073</v>
      </c>
      <c r="R5103" s="7">
        <v>47740</v>
      </c>
      <c r="S5103" s="210">
        <v>4.25</v>
      </c>
      <c r="T5103" s="8">
        <v>1.0001180555555556</v>
      </c>
      <c r="U5103" s="98">
        <v>4.2903456555677844</v>
      </c>
      <c r="V5103" s="106">
        <v>40023.798264875615</v>
      </c>
      <c r="W5103" s="10">
        <v>1.1727024840712197</v>
      </c>
      <c r="X5103" s="420"/>
      <c r="Y5103" s="420"/>
    </row>
    <row r="5104" spans="17:25">
      <c r="Q5104" s="6">
        <v>5074</v>
      </c>
      <c r="R5104" s="7">
        <v>47741</v>
      </c>
      <c r="S5104" s="210">
        <v>4.25</v>
      </c>
      <c r="T5104" s="8">
        <v>1.0001180555555556</v>
      </c>
      <c r="U5104" s="98">
        <v>4.2903678357865127</v>
      </c>
      <c r="V5104" s="106">
        <v>40027.129557816341</v>
      </c>
      <c r="W5104" s="10">
        <v>1.1727234250520135</v>
      </c>
      <c r="X5104" s="420"/>
      <c r="Y5104" s="420"/>
    </row>
    <row r="5105" spans="17:25">
      <c r="Q5105" s="6">
        <v>5075</v>
      </c>
      <c r="R5105" s="7">
        <v>47742</v>
      </c>
      <c r="S5105" s="210">
        <v>4.25</v>
      </c>
      <c r="T5105" s="8">
        <v>1.0001180555555556</v>
      </c>
      <c r="U5105" s="98">
        <v>4.2903900072689849</v>
      </c>
      <c r="V5105" s="106">
        <v>40030.461128029914</v>
      </c>
      <c r="W5105" s="10">
        <v>1.1727443577845387</v>
      </c>
      <c r="X5105" s="420"/>
      <c r="Y5105" s="420"/>
    </row>
    <row r="5106" spans="17:25">
      <c r="Q5106" s="6">
        <v>5076</v>
      </c>
      <c r="R5106" s="7">
        <v>47743</v>
      </c>
      <c r="S5106" s="210">
        <v>4.25</v>
      </c>
      <c r="T5106" s="8">
        <v>1.0001180555555556</v>
      </c>
      <c r="U5106" s="98">
        <v>4.2904121700203746</v>
      </c>
      <c r="V5106" s="106">
        <v>40033.792975539429</v>
      </c>
      <c r="W5106" s="10">
        <v>1.17276528227368</v>
      </c>
      <c r="X5106" s="420"/>
      <c r="Y5106" s="420"/>
    </row>
    <row r="5107" spans="17:25">
      <c r="Q5107" s="6">
        <v>5077</v>
      </c>
      <c r="R5107" s="7">
        <v>47744</v>
      </c>
      <c r="S5107" s="210">
        <v>4.25</v>
      </c>
      <c r="T5107" s="8">
        <v>1.0001180555555556</v>
      </c>
      <c r="U5107" s="98">
        <v>4.2904343240458109</v>
      </c>
      <c r="V5107" s="106">
        <v>40037.12510036795</v>
      </c>
      <c r="W5107" s="10">
        <v>1.1727861985243004</v>
      </c>
      <c r="X5107" s="420"/>
      <c r="Y5107" s="420"/>
    </row>
    <row r="5108" spans="17:25">
      <c r="Q5108" s="6">
        <v>5078</v>
      </c>
      <c r="R5108" s="7">
        <v>47745</v>
      </c>
      <c r="S5108" s="210">
        <v>4.25</v>
      </c>
      <c r="T5108" s="8">
        <v>1.0001180555555556</v>
      </c>
      <c r="U5108" s="98">
        <v>4.2904564693504676</v>
      </c>
      <c r="V5108" s="106">
        <v>40040.457502538557</v>
      </c>
      <c r="W5108" s="10">
        <v>1.1728071065412404</v>
      </c>
      <c r="X5108" s="420"/>
      <c r="Y5108" s="420"/>
    </row>
    <row r="5109" spans="17:25">
      <c r="Q5109" s="6">
        <v>5079</v>
      </c>
      <c r="R5109" s="7">
        <v>47746</v>
      </c>
      <c r="S5109" s="210">
        <v>4.25</v>
      </c>
      <c r="T5109" s="8">
        <v>1.0001180555555556</v>
      </c>
      <c r="U5109" s="98">
        <v>4.2904786059394739</v>
      </c>
      <c r="V5109" s="106">
        <v>40043.790182074335</v>
      </c>
      <c r="W5109" s="10">
        <v>1.1728280063293628</v>
      </c>
      <c r="X5109" s="420"/>
      <c r="Y5109" s="420"/>
    </row>
    <row r="5110" spans="17:25">
      <c r="Q5110" s="6">
        <v>5080</v>
      </c>
      <c r="R5110" s="7">
        <v>47747</v>
      </c>
      <c r="S5110" s="210">
        <v>4.25</v>
      </c>
      <c r="T5110" s="8">
        <v>1.0001180555555556</v>
      </c>
      <c r="U5110" s="98">
        <v>4.2905007338179812</v>
      </c>
      <c r="V5110" s="106">
        <v>40047.12313899838</v>
      </c>
      <c r="W5110" s="10">
        <v>1.1728488978935303</v>
      </c>
      <c r="X5110" s="420"/>
      <c r="Y5110" s="420"/>
    </row>
    <row r="5111" spans="17:25">
      <c r="Q5111" s="6">
        <v>5081</v>
      </c>
      <c r="R5111" s="7">
        <v>47748</v>
      </c>
      <c r="S5111" s="210">
        <v>4.25</v>
      </c>
      <c r="T5111" s="8">
        <v>1.0001180555555556</v>
      </c>
      <c r="U5111" s="98">
        <v>4.290522852991141</v>
      </c>
      <c r="V5111" s="106">
        <v>40050.456373333778</v>
      </c>
      <c r="W5111" s="10">
        <v>1.172869781238628</v>
      </c>
      <c r="X5111" s="420"/>
      <c r="Y5111" s="420"/>
    </row>
    <row r="5112" spans="17:25">
      <c r="Q5112" s="6">
        <v>5082</v>
      </c>
      <c r="R5112" s="7">
        <v>47749</v>
      </c>
      <c r="S5112" s="210">
        <v>4.25</v>
      </c>
      <c r="T5112" s="8">
        <v>1.0001180555555556</v>
      </c>
      <c r="U5112" s="98">
        <v>4.2905449634640824</v>
      </c>
      <c r="V5112" s="106">
        <v>40053.789885103608</v>
      </c>
      <c r="W5112" s="10">
        <v>1.1728906563694741</v>
      </c>
      <c r="X5112" s="420"/>
      <c r="Y5112" s="420"/>
    </row>
    <row r="5113" spans="17:25">
      <c r="Q5113" s="6">
        <v>5083</v>
      </c>
      <c r="R5113" s="7">
        <v>47750</v>
      </c>
      <c r="S5113" s="210">
        <v>4.25</v>
      </c>
      <c r="T5113" s="8">
        <v>1.0001180555555556</v>
      </c>
      <c r="U5113" s="98">
        <v>4.2905670652419348</v>
      </c>
      <c r="V5113" s="106">
        <v>40057.123674330971</v>
      </c>
      <c r="W5113" s="10">
        <v>1.1729115232909315</v>
      </c>
      <c r="X5113" s="420"/>
      <c r="Y5113" s="420"/>
    </row>
    <row r="5114" spans="17:25">
      <c r="Q5114" s="6">
        <v>5084</v>
      </c>
      <c r="R5114" s="7">
        <v>47751</v>
      </c>
      <c r="S5114" s="210">
        <v>4.25</v>
      </c>
      <c r="T5114" s="8">
        <v>1.0001180555555556</v>
      </c>
      <c r="U5114" s="98">
        <v>4.2905891583298272</v>
      </c>
      <c r="V5114" s="106">
        <v>40060.457741038961</v>
      </c>
      <c r="W5114" s="10">
        <v>1.1729323820078186</v>
      </c>
      <c r="X5114" s="420"/>
      <c r="Y5114" s="420"/>
    </row>
    <row r="5115" spans="17:25">
      <c r="Q5115" s="6">
        <v>5085</v>
      </c>
      <c r="R5115" s="7">
        <v>47752</v>
      </c>
      <c r="S5115" s="210">
        <v>4.25</v>
      </c>
      <c r="T5115" s="8">
        <v>1.0001180555555556</v>
      </c>
      <c r="U5115" s="98">
        <v>4.2906112427328891</v>
      </c>
      <c r="V5115" s="106">
        <v>40063.792085250665</v>
      </c>
      <c r="W5115" s="10">
        <v>1.1729532325249981</v>
      </c>
      <c r="X5115" s="420"/>
      <c r="Y5115" s="420"/>
    </row>
    <row r="5116" spans="17:25">
      <c r="Q5116" s="6">
        <v>5086</v>
      </c>
      <c r="R5116" s="7">
        <v>47753</v>
      </c>
      <c r="S5116" s="210">
        <v>4.25</v>
      </c>
      <c r="T5116" s="8">
        <v>1.0001180555555556</v>
      </c>
      <c r="U5116" s="98">
        <v>4.2906333184562273</v>
      </c>
      <c r="V5116" s="106">
        <v>40067.126706989191</v>
      </c>
      <c r="W5116" s="10">
        <v>1.1729740748472661</v>
      </c>
      <c r="X5116" s="420"/>
      <c r="Y5116" s="420"/>
    </row>
    <row r="5117" spans="17:25">
      <c r="Q5117" s="6">
        <v>5087</v>
      </c>
      <c r="R5117" s="7">
        <v>47754</v>
      </c>
      <c r="S5117" s="210">
        <v>4.25</v>
      </c>
      <c r="T5117" s="8">
        <v>1.0001180555555556</v>
      </c>
      <c r="U5117" s="98">
        <v>4.2906553855049712</v>
      </c>
      <c r="V5117" s="106">
        <v>40070.461606277633</v>
      </c>
      <c r="W5117" s="10">
        <v>1.1729949089795078</v>
      </c>
      <c r="X5117" s="420"/>
      <c r="Y5117" s="420"/>
    </row>
    <row r="5118" spans="17:25">
      <c r="Q5118" s="6">
        <v>5088</v>
      </c>
      <c r="R5118" s="7">
        <v>47755</v>
      </c>
      <c r="S5118" s="210">
        <v>4.25</v>
      </c>
      <c r="T5118" s="8">
        <v>1.0001180555555556</v>
      </c>
      <c r="U5118" s="98">
        <v>4.2906774438842277</v>
      </c>
      <c r="V5118" s="106">
        <v>40073.796783139092</v>
      </c>
      <c r="W5118" s="10">
        <v>1.1730157349264969</v>
      </c>
      <c r="X5118" s="420"/>
      <c r="Y5118" s="420"/>
    </row>
    <row r="5119" spans="17:25">
      <c r="Q5119" s="6">
        <v>5089</v>
      </c>
      <c r="R5119" s="7">
        <v>47756</v>
      </c>
      <c r="S5119" s="210">
        <v>4.25</v>
      </c>
      <c r="T5119" s="8">
        <v>1.0001180555555556</v>
      </c>
      <c r="U5119" s="98">
        <v>4.2906994935991039</v>
      </c>
      <c r="V5119" s="106">
        <v>40077.13223759667</v>
      </c>
      <c r="W5119" s="10">
        <v>1.1730365526930964</v>
      </c>
      <c r="X5119" s="420"/>
      <c r="Y5119" s="420"/>
    </row>
    <row r="5120" spans="17:25">
      <c r="Q5120" s="6">
        <v>5090</v>
      </c>
      <c r="R5120" s="7">
        <v>47757</v>
      </c>
      <c r="S5120" s="210">
        <v>4.25</v>
      </c>
      <c r="T5120" s="8">
        <v>1.0001180555555556</v>
      </c>
      <c r="U5120" s="98">
        <v>4.2907215346546845</v>
      </c>
      <c r="V5120" s="106">
        <v>40080.467969673467</v>
      </c>
      <c r="W5120" s="10">
        <v>1.1730573622840801</v>
      </c>
      <c r="X5120" s="420"/>
      <c r="Y5120" s="420"/>
    </row>
    <row r="5121" spans="17:25">
      <c r="Q5121" s="6">
        <v>5091</v>
      </c>
      <c r="R5121" s="7">
        <v>47758</v>
      </c>
      <c r="S5121" s="210">
        <v>4.25</v>
      </c>
      <c r="T5121" s="8">
        <v>1.0001180555555556</v>
      </c>
      <c r="U5121" s="98">
        <v>4.2907435670560989</v>
      </c>
      <c r="V5121" s="106">
        <v>40083.803979392607</v>
      </c>
      <c r="W5121" s="10">
        <v>1.1730781637042886</v>
      </c>
      <c r="X5121" s="420"/>
      <c r="Y5121" s="420"/>
    </row>
    <row r="5122" spans="17:25">
      <c r="Q5122" s="6">
        <v>5092</v>
      </c>
      <c r="R5122" s="7">
        <v>47759</v>
      </c>
      <c r="S5122" s="210">
        <v>4.25</v>
      </c>
      <c r="T5122" s="8">
        <v>1.0001180555555556</v>
      </c>
      <c r="U5122" s="98">
        <v>4.2907655908084319</v>
      </c>
      <c r="V5122" s="106">
        <v>40087.140266777191</v>
      </c>
      <c r="W5122" s="10">
        <v>1.1730989569585626</v>
      </c>
      <c r="X5122" s="420"/>
      <c r="Y5122" s="420"/>
    </row>
    <row r="5123" spans="17:25">
      <c r="Q5123" s="6">
        <v>5093</v>
      </c>
      <c r="R5123" s="7">
        <v>47760</v>
      </c>
      <c r="S5123" s="210">
        <v>4.25</v>
      </c>
      <c r="T5123" s="8">
        <v>1.0001180555555556</v>
      </c>
      <c r="U5123" s="98">
        <v>4.2907876059167682</v>
      </c>
      <c r="V5123" s="106">
        <v>40090.476831850319</v>
      </c>
      <c r="W5123" s="10">
        <v>1.1731197420516537</v>
      </c>
      <c r="X5123" s="420"/>
      <c r="Y5123" s="420"/>
    </row>
    <row r="5124" spans="17:25">
      <c r="Q5124" s="6">
        <v>5094</v>
      </c>
      <c r="R5124" s="7">
        <v>47761</v>
      </c>
      <c r="S5124" s="210">
        <v>4.25</v>
      </c>
      <c r="T5124" s="8">
        <v>1.0001180555555556</v>
      </c>
      <c r="U5124" s="98">
        <v>4.2908096123862149</v>
      </c>
      <c r="V5124" s="106">
        <v>40093.813674635116</v>
      </c>
      <c r="W5124" s="10">
        <v>1.1731405189884025</v>
      </c>
      <c r="X5124" s="420"/>
      <c r="Y5124" s="420"/>
    </row>
    <row r="5125" spans="17:25">
      <c r="Q5125" s="6">
        <v>5095</v>
      </c>
      <c r="R5125" s="7">
        <v>47762</v>
      </c>
      <c r="S5125" s="210">
        <v>4.25</v>
      </c>
      <c r="T5125" s="8">
        <v>1.0001180555555556</v>
      </c>
      <c r="U5125" s="98">
        <v>4.2908316102218347</v>
      </c>
      <c r="V5125" s="106">
        <v>40097.150795154696</v>
      </c>
      <c r="W5125" s="10">
        <v>1.1731612877736053</v>
      </c>
      <c r="X5125" s="420"/>
      <c r="Y5125" s="420"/>
    </row>
    <row r="5126" spans="17:25">
      <c r="Q5126" s="6">
        <v>5096</v>
      </c>
      <c r="R5126" s="7">
        <v>47763</v>
      </c>
      <c r="S5126" s="210">
        <v>4.25</v>
      </c>
      <c r="T5126" s="8">
        <v>1.0001180555555556</v>
      </c>
      <c r="U5126" s="98">
        <v>4.2908535994287345</v>
      </c>
      <c r="V5126" s="106">
        <v>40100.488193432167</v>
      </c>
      <c r="W5126" s="10">
        <v>1.1731820484120581</v>
      </c>
      <c r="X5126" s="420"/>
      <c r="Y5126" s="420"/>
    </row>
    <row r="5127" spans="17:25">
      <c r="Q5127" s="6">
        <v>5097</v>
      </c>
      <c r="R5127" s="7">
        <v>47764</v>
      </c>
      <c r="S5127" s="210">
        <v>4.25</v>
      </c>
      <c r="T5127" s="8">
        <v>1.0001180555555556</v>
      </c>
      <c r="U5127" s="98">
        <v>4.2908755800119769</v>
      </c>
      <c r="V5127" s="106">
        <v>40103.825869490662</v>
      </c>
      <c r="W5127" s="10">
        <v>1.1732028009085571</v>
      </c>
      <c r="X5127" s="420"/>
      <c r="Y5127" s="420"/>
    </row>
    <row r="5128" spans="17:25">
      <c r="Q5128" s="6">
        <v>5098</v>
      </c>
      <c r="R5128" s="7">
        <v>47765</v>
      </c>
      <c r="S5128" s="210">
        <v>4.25</v>
      </c>
      <c r="T5128" s="8">
        <v>1.0001180555555556</v>
      </c>
      <c r="U5128" s="98">
        <v>4.2908975519766246</v>
      </c>
      <c r="V5128" s="106">
        <v>40107.163823353279</v>
      </c>
      <c r="W5128" s="10">
        <v>1.1732235452678985</v>
      </c>
      <c r="X5128" s="420"/>
      <c r="Y5128" s="420"/>
    </row>
    <row r="5129" spans="17:25">
      <c r="Q5129" s="6">
        <v>5099</v>
      </c>
      <c r="R5129" s="7">
        <v>47766</v>
      </c>
      <c r="S5129" s="210">
        <v>4.25</v>
      </c>
      <c r="T5129" s="8">
        <v>1.0001180555555556</v>
      </c>
      <c r="U5129" s="98">
        <v>4.2909195153277402</v>
      </c>
      <c r="V5129" s="106">
        <v>40110.502055043165</v>
      </c>
      <c r="W5129" s="10">
        <v>1.1732442814948119</v>
      </c>
      <c r="X5129" s="420"/>
      <c r="Y5129" s="420"/>
    </row>
    <row r="5130" spans="17:25">
      <c r="Q5130" s="6">
        <v>5100</v>
      </c>
      <c r="R5130" s="7">
        <v>47767</v>
      </c>
      <c r="S5130" s="210">
        <v>4.25</v>
      </c>
      <c r="T5130" s="8">
        <v>1.0001180555555556</v>
      </c>
      <c r="U5130" s="98">
        <v>4.2909414700704085</v>
      </c>
      <c r="V5130" s="106">
        <v>40113.840564583435</v>
      </c>
      <c r="W5130" s="10">
        <v>1.1732650095941377</v>
      </c>
      <c r="X5130" s="420"/>
      <c r="Y5130" s="420"/>
    </row>
    <row r="5131" spans="17:25">
      <c r="Q5131" s="6">
        <v>5101</v>
      </c>
      <c r="R5131" s="7">
        <v>47768</v>
      </c>
      <c r="S5131" s="210">
        <v>4.25</v>
      </c>
      <c r="T5131" s="8">
        <v>1.0001180555555556</v>
      </c>
      <c r="U5131" s="98">
        <v>4.2909634162096921</v>
      </c>
      <c r="V5131" s="106">
        <v>40117.179351997213</v>
      </c>
      <c r="W5131" s="10">
        <v>1.17328572957065</v>
      </c>
      <c r="X5131" s="420"/>
      <c r="Y5131" s="420"/>
    </row>
    <row r="5132" spans="17:25">
      <c r="Q5132" s="6">
        <v>5102</v>
      </c>
      <c r="R5132" s="7">
        <v>47769</v>
      </c>
      <c r="S5132" s="210">
        <v>4.25</v>
      </c>
      <c r="T5132" s="8">
        <v>1.0001180555555556</v>
      </c>
      <c r="U5132" s="98">
        <v>4.2909853537506315</v>
      </c>
      <c r="V5132" s="106">
        <v>40120.51841730762</v>
      </c>
      <c r="W5132" s="10">
        <v>1.1733064414291006</v>
      </c>
      <c r="X5132" s="420"/>
      <c r="Y5132" s="420"/>
    </row>
    <row r="5133" spans="17:25">
      <c r="Q5133" s="6">
        <v>5103</v>
      </c>
      <c r="R5133" s="7">
        <v>47770</v>
      </c>
      <c r="S5133" s="210">
        <v>4.25</v>
      </c>
      <c r="T5133" s="8">
        <v>1.0001180555555556</v>
      </c>
      <c r="U5133" s="98">
        <v>4.291007282698267</v>
      </c>
      <c r="V5133" s="106">
        <v>40123.857760537801</v>
      </c>
      <c r="W5133" s="10">
        <v>1.1733271451742411</v>
      </c>
      <c r="X5133" s="420"/>
      <c r="Y5133" s="420"/>
    </row>
    <row r="5134" spans="17:25">
      <c r="Q5134" s="6">
        <v>5104</v>
      </c>
      <c r="R5134" s="7">
        <v>47771</v>
      </c>
      <c r="S5134" s="210">
        <v>4.25</v>
      </c>
      <c r="T5134" s="8">
        <v>1.0001180555555556</v>
      </c>
      <c r="U5134" s="98">
        <v>4.2910292030576835</v>
      </c>
      <c r="V5134" s="106">
        <v>40127.197381710881</v>
      </c>
      <c r="W5134" s="10">
        <v>1.1733478408108899</v>
      </c>
      <c r="X5134" s="420"/>
      <c r="Y5134" s="420"/>
    </row>
    <row r="5135" spans="17:25">
      <c r="Q5135" s="6">
        <v>5105</v>
      </c>
      <c r="R5135" s="7">
        <v>47772</v>
      </c>
      <c r="S5135" s="210">
        <v>4.25</v>
      </c>
      <c r="T5135" s="8">
        <v>1.0001180555555556</v>
      </c>
      <c r="U5135" s="98">
        <v>4.2910511148338992</v>
      </c>
      <c r="V5135" s="106">
        <v>40130.537280849989</v>
      </c>
      <c r="W5135" s="10">
        <v>1.1733685283437767</v>
      </c>
      <c r="X5135" s="420"/>
      <c r="Y5135" s="420"/>
    </row>
    <row r="5136" spans="17:25">
      <c r="Q5136" s="6">
        <v>5106</v>
      </c>
      <c r="R5136" s="7">
        <v>47773</v>
      </c>
      <c r="S5136" s="210">
        <v>4.25</v>
      </c>
      <c r="T5136" s="8">
        <v>1.0001180555555556</v>
      </c>
      <c r="U5136" s="98">
        <v>4.2910730180319545</v>
      </c>
      <c r="V5136" s="106">
        <v>40133.877457978277</v>
      </c>
      <c r="W5136" s="10">
        <v>1.1733892077776753</v>
      </c>
      <c r="X5136" s="420"/>
      <c r="Y5136" s="420"/>
    </row>
    <row r="5137" spans="17:25">
      <c r="Q5137" s="6">
        <v>5107</v>
      </c>
      <c r="R5137" s="7">
        <v>47774</v>
      </c>
      <c r="S5137" s="210">
        <v>4.25</v>
      </c>
      <c r="T5137" s="8">
        <v>1.0001180555555556</v>
      </c>
      <c r="U5137" s="98">
        <v>4.2910949126568898</v>
      </c>
      <c r="V5137" s="106">
        <v>40137.21791311886</v>
      </c>
      <c r="W5137" s="10">
        <v>1.1734098791173153</v>
      </c>
      <c r="X5137" s="420"/>
      <c r="Y5137" s="420"/>
    </row>
    <row r="5138" spans="17:25">
      <c r="Q5138" s="6">
        <v>5108</v>
      </c>
      <c r="R5138" s="7">
        <v>47775</v>
      </c>
      <c r="S5138" s="210">
        <v>4.25</v>
      </c>
      <c r="T5138" s="8">
        <v>1.0001180555555556</v>
      </c>
      <c r="U5138" s="98">
        <v>4.2911167987137455</v>
      </c>
      <c r="V5138" s="106">
        <v>40140.5586462949</v>
      </c>
      <c r="W5138" s="10">
        <v>1.1734305423674707</v>
      </c>
      <c r="X5138" s="420"/>
      <c r="Y5138" s="420"/>
    </row>
    <row r="5139" spans="17:25">
      <c r="Q5139" s="6">
        <v>5109</v>
      </c>
      <c r="R5139" s="7">
        <v>47776</v>
      </c>
      <c r="S5139" s="210">
        <v>4.25</v>
      </c>
      <c r="T5139" s="8">
        <v>1.0001180555555556</v>
      </c>
      <c r="U5139" s="98">
        <v>4.2911386762075399</v>
      </c>
      <c r="V5139" s="106">
        <v>40143.899657529517</v>
      </c>
      <c r="W5139" s="10">
        <v>1.1734511975328932</v>
      </c>
      <c r="X5139" s="420"/>
      <c r="Y5139" s="420"/>
    </row>
    <row r="5140" spans="17:25">
      <c r="Q5140" s="6">
        <v>5110</v>
      </c>
      <c r="R5140" s="7">
        <v>47777</v>
      </c>
      <c r="S5140" s="210">
        <v>4.25</v>
      </c>
      <c r="T5140" s="8">
        <v>1.0001180555555556</v>
      </c>
      <c r="U5140" s="98">
        <v>4.291160545143291</v>
      </c>
      <c r="V5140" s="106">
        <v>40147.240946845879</v>
      </c>
      <c r="W5140" s="10">
        <v>1.1734718446182901</v>
      </c>
      <c r="X5140" s="420"/>
      <c r="Y5140" s="420"/>
    </row>
    <row r="5141" spans="17:25">
      <c r="Q5141" s="6">
        <v>5111</v>
      </c>
      <c r="R5141" s="7">
        <v>47778</v>
      </c>
      <c r="S5141" s="210">
        <v>4.25</v>
      </c>
      <c r="T5141" s="8">
        <v>1.0001180555555556</v>
      </c>
      <c r="U5141" s="98">
        <v>4.2911824055260395</v>
      </c>
      <c r="V5141" s="106">
        <v>40150.582514267109</v>
      </c>
      <c r="W5141" s="10">
        <v>1.1734924836284355</v>
      </c>
      <c r="X5141" s="420"/>
      <c r="Y5141" s="420"/>
    </row>
    <row r="5142" spans="17:25">
      <c r="Q5142" s="6">
        <v>5112</v>
      </c>
      <c r="R5142" s="7">
        <v>47779</v>
      </c>
      <c r="S5142" s="210">
        <v>4.25</v>
      </c>
      <c r="T5142" s="8">
        <v>1.0001180555555556</v>
      </c>
      <c r="U5142" s="98">
        <v>4.2912042573607811</v>
      </c>
      <c r="V5142" s="106">
        <v>40153.924359816367</v>
      </c>
      <c r="W5142" s="10">
        <v>1.1735131145680588</v>
      </c>
      <c r="X5142" s="420"/>
      <c r="Y5142" s="420"/>
    </row>
    <row r="5143" spans="17:25">
      <c r="Q5143" s="6">
        <v>5113</v>
      </c>
      <c r="R5143" s="7">
        <v>47780</v>
      </c>
      <c r="S5143" s="210">
        <v>4.25</v>
      </c>
      <c r="T5143" s="8">
        <v>1.0001180555555556</v>
      </c>
      <c r="U5143" s="98">
        <v>4.2912261006525565</v>
      </c>
      <c r="V5143" s="106">
        <v>40157.266483516796</v>
      </c>
      <c r="W5143" s="10">
        <v>1.1735337374419119</v>
      </c>
      <c r="X5143" s="420"/>
      <c r="Y5143" s="420"/>
    </row>
    <row r="5144" spans="17:25">
      <c r="Q5144" s="6">
        <v>5114</v>
      </c>
      <c r="R5144" s="7">
        <v>47781</v>
      </c>
      <c r="S5144" s="210">
        <v>4.25</v>
      </c>
      <c r="T5144" s="8">
        <v>1.0001180555555556</v>
      </c>
      <c r="U5144" s="98">
        <v>4.2912479354063393</v>
      </c>
      <c r="V5144" s="106">
        <v>40160.60888539155</v>
      </c>
      <c r="W5144" s="10">
        <v>1.1735543522546799</v>
      </c>
      <c r="X5144" s="420"/>
      <c r="Y5144" s="420"/>
    </row>
    <row r="5145" spans="17:25">
      <c r="Q5145" s="6">
        <v>5115</v>
      </c>
      <c r="R5145" s="7">
        <v>47782</v>
      </c>
      <c r="S5145" s="210">
        <v>4.25</v>
      </c>
      <c r="T5145" s="8">
        <v>1.0001180555555556</v>
      </c>
      <c r="U5145" s="98">
        <v>4.29126976162717</v>
      </c>
      <c r="V5145" s="106">
        <v>40163.951565463794</v>
      </c>
      <c r="W5145" s="10">
        <v>1.1735749590111366</v>
      </c>
      <c r="X5145" s="420"/>
      <c r="Y5145" s="420"/>
    </row>
    <row r="5146" spans="17:25">
      <c r="Q5146" s="6">
        <v>5116</v>
      </c>
      <c r="R5146" s="7">
        <v>47783</v>
      </c>
      <c r="S5146" s="210">
        <v>4.25</v>
      </c>
      <c r="T5146" s="8">
        <v>1.0001180555555556</v>
      </c>
      <c r="U5146" s="98">
        <v>4.2912915793200224</v>
      </c>
      <c r="V5146" s="106">
        <v>40167.29452375666</v>
      </c>
      <c r="W5146" s="10">
        <v>1.1735955577159674</v>
      </c>
      <c r="X5146" s="420"/>
      <c r="Y5146" s="420"/>
    </row>
    <row r="5147" spans="17:25">
      <c r="Q5147" s="6">
        <v>5117</v>
      </c>
      <c r="R5147" s="7">
        <v>47784</v>
      </c>
      <c r="S5147" s="210">
        <v>4.25</v>
      </c>
      <c r="T5147" s="8">
        <v>1.0001180555555556</v>
      </c>
      <c r="U5147" s="98">
        <v>4.2913133884899146</v>
      </c>
      <c r="V5147" s="106">
        <v>40170.637760293328</v>
      </c>
      <c r="W5147" s="10">
        <v>1.1736161483739016</v>
      </c>
      <c r="X5147" s="420"/>
      <c r="Y5147" s="420"/>
    </row>
    <row r="5148" spans="17:25">
      <c r="Q5148" s="6">
        <v>5118</v>
      </c>
      <c r="R5148" s="7">
        <v>47785</v>
      </c>
      <c r="S5148" s="210">
        <v>4.25</v>
      </c>
      <c r="T5148" s="8">
        <v>1.0001180555555556</v>
      </c>
      <c r="U5148" s="98">
        <v>4.2913351891418205</v>
      </c>
      <c r="V5148" s="106">
        <v>40173.981275096936</v>
      </c>
      <c r="W5148" s="10">
        <v>1.1736367309896689</v>
      </c>
      <c r="X5148" s="420"/>
      <c r="Y5148" s="420"/>
    </row>
    <row r="5149" spans="17:25">
      <c r="Q5149" s="6">
        <v>5119</v>
      </c>
      <c r="R5149" s="7">
        <v>47786</v>
      </c>
      <c r="S5149" s="210">
        <v>4.25</v>
      </c>
      <c r="T5149" s="8">
        <v>1.0001180555555556</v>
      </c>
      <c r="U5149" s="98">
        <v>4.2913569812807362</v>
      </c>
      <c r="V5149" s="106">
        <v>40177.325068190657</v>
      </c>
      <c r="W5149" s="10">
        <v>1.1736573055679544</v>
      </c>
      <c r="X5149" s="420"/>
      <c r="Y5149" s="420"/>
    </row>
    <row r="5150" spans="17:25">
      <c r="Q5150" s="6">
        <v>5120</v>
      </c>
      <c r="R5150" s="7">
        <v>47787</v>
      </c>
      <c r="S5150" s="210">
        <v>4.25</v>
      </c>
      <c r="T5150" s="8">
        <v>1.0001180555555556</v>
      </c>
      <c r="U5150" s="98">
        <v>4.2913787649116575</v>
      </c>
      <c r="V5150" s="106">
        <v>40180.669139597652</v>
      </c>
      <c r="W5150" s="10">
        <v>1.1736778721134877</v>
      </c>
      <c r="X5150" s="420"/>
      <c r="Y5150" s="420"/>
    </row>
    <row r="5151" spans="17:25">
      <c r="Q5151" s="6">
        <v>5121</v>
      </c>
      <c r="R5151" s="7">
        <v>47788</v>
      </c>
      <c r="S5151" s="210">
        <v>4.25</v>
      </c>
      <c r="T5151" s="8">
        <v>1.0001180555555556</v>
      </c>
      <c r="U5151" s="98">
        <v>4.2914005400395583</v>
      </c>
      <c r="V5151" s="106">
        <v>40184.013489341087</v>
      </c>
      <c r="W5151" s="10">
        <v>1.1736984306309539</v>
      </c>
      <c r="X5151" s="420"/>
      <c r="Y5151" s="420"/>
    </row>
    <row r="5152" spans="17:25">
      <c r="Q5152" s="6">
        <v>5122</v>
      </c>
      <c r="R5152" s="7">
        <v>47789</v>
      </c>
      <c r="S5152" s="210">
        <v>4.25</v>
      </c>
      <c r="T5152" s="8">
        <v>1.0001180555555556</v>
      </c>
      <c r="U5152" s="98">
        <v>4.2914223066694124</v>
      </c>
      <c r="V5152" s="106">
        <v>40187.358117444128</v>
      </c>
      <c r="W5152" s="10">
        <v>1.1737189811250603</v>
      </c>
      <c r="X5152" s="420"/>
      <c r="Y5152" s="420"/>
    </row>
    <row r="5153" spans="17:25">
      <c r="Q5153" s="6">
        <v>5123</v>
      </c>
      <c r="R5153" s="7">
        <v>47790</v>
      </c>
      <c r="S5153" s="210">
        <v>4.25</v>
      </c>
      <c r="T5153" s="8">
        <v>1.0001180555555556</v>
      </c>
      <c r="U5153" s="98">
        <v>4.2914440648061936</v>
      </c>
      <c r="V5153" s="106">
        <v>40190.703023929942</v>
      </c>
      <c r="W5153" s="10">
        <v>1.1737395236005144</v>
      </c>
      <c r="X5153" s="420"/>
      <c r="Y5153" s="420"/>
    </row>
    <row r="5154" spans="17:25">
      <c r="Q5154" s="6">
        <v>5124</v>
      </c>
      <c r="R5154" s="7">
        <v>47791</v>
      </c>
      <c r="S5154" s="210">
        <v>4.25</v>
      </c>
      <c r="T5154" s="8">
        <v>1.0001180555555556</v>
      </c>
      <c r="U5154" s="98">
        <v>4.2914658144548756</v>
      </c>
      <c r="V5154" s="106">
        <v>40194.048208821703</v>
      </c>
      <c r="W5154" s="10">
        <v>1.1737600580619789</v>
      </c>
      <c r="X5154" s="420"/>
      <c r="Y5154" s="420"/>
    </row>
    <row r="5155" spans="17:25">
      <c r="Q5155" s="6">
        <v>5125</v>
      </c>
      <c r="R5155" s="7">
        <v>47792</v>
      </c>
      <c r="S5155" s="210">
        <v>4.25</v>
      </c>
      <c r="T5155" s="8">
        <v>1.0001180555555556</v>
      </c>
      <c r="U5155" s="98">
        <v>4.2914875556204102</v>
      </c>
      <c r="V5155" s="106">
        <v>40197.393672142578</v>
      </c>
      <c r="W5155" s="10">
        <v>1.1737805845141613</v>
      </c>
      <c r="X5155" s="420"/>
      <c r="Y5155" s="420"/>
    </row>
    <row r="5156" spans="17:25">
      <c r="Q5156" s="6">
        <v>5126</v>
      </c>
      <c r="R5156" s="7">
        <v>47793</v>
      </c>
      <c r="S5156" s="210">
        <v>4.25</v>
      </c>
      <c r="T5156" s="8">
        <v>1.0001180555555556</v>
      </c>
      <c r="U5156" s="98">
        <v>4.291509288307771</v>
      </c>
      <c r="V5156" s="106">
        <v>40200.739413915748</v>
      </c>
      <c r="W5156" s="10">
        <v>1.1738011029617246</v>
      </c>
      <c r="X5156" s="420"/>
      <c r="Y5156" s="420"/>
    </row>
    <row r="5157" spans="17:25">
      <c r="Q5157" s="6">
        <v>5127</v>
      </c>
      <c r="R5157" s="7">
        <v>47794</v>
      </c>
      <c r="S5157" s="210">
        <v>4.25</v>
      </c>
      <c r="T5157" s="8">
        <v>1.0001180555555556</v>
      </c>
      <c r="U5157" s="98">
        <v>4.2915310125219319</v>
      </c>
      <c r="V5157" s="106">
        <v>40204.085434164379</v>
      </c>
      <c r="W5157" s="10">
        <v>1.1738216134094204</v>
      </c>
      <c r="X5157" s="420"/>
      <c r="Y5157" s="420"/>
    </row>
    <row r="5158" spans="17:25">
      <c r="Q5158" s="6">
        <v>5128</v>
      </c>
      <c r="R5158" s="7">
        <v>47795</v>
      </c>
      <c r="S5158" s="210">
        <v>4.25</v>
      </c>
      <c r="T5158" s="8">
        <v>1.0001180555555556</v>
      </c>
      <c r="U5158" s="98">
        <v>4.2915527282678223</v>
      </c>
      <c r="V5158" s="106">
        <v>40207.431732911667</v>
      </c>
      <c r="W5158" s="10">
        <v>1.1738421158618451</v>
      </c>
      <c r="X5158" s="420"/>
      <c r="Y5158" s="420"/>
    </row>
    <row r="5159" spans="17:25">
      <c r="Q5159" s="6">
        <v>5129</v>
      </c>
      <c r="R5159" s="7">
        <v>47796</v>
      </c>
      <c r="S5159" s="210">
        <v>4.25</v>
      </c>
      <c r="T5159" s="8">
        <v>1.0001180555555556</v>
      </c>
      <c r="U5159" s="98">
        <v>4.291574435550416</v>
      </c>
      <c r="V5159" s="106">
        <v>40210.778310180773</v>
      </c>
      <c r="W5159" s="10">
        <v>1.173862610323706</v>
      </c>
      <c r="X5159" s="420"/>
      <c r="Y5159" s="420"/>
    </row>
    <row r="5160" spans="17:25">
      <c r="Q5160" s="6">
        <v>5130</v>
      </c>
      <c r="R5160" s="7">
        <v>47797</v>
      </c>
      <c r="S5160" s="210">
        <v>4.25</v>
      </c>
      <c r="T5160" s="8">
        <v>1.0001180555555556</v>
      </c>
      <c r="U5160" s="98">
        <v>4.2915961343746423</v>
      </c>
      <c r="V5160" s="106">
        <v>40214.12516599489</v>
      </c>
      <c r="W5160" s="10">
        <v>1.1738830967996883</v>
      </c>
      <c r="X5160" s="420"/>
      <c r="Y5160" s="420"/>
    </row>
    <row r="5161" spans="17:25">
      <c r="Q5161" s="6">
        <v>5131</v>
      </c>
      <c r="R5161" s="7">
        <v>47798</v>
      </c>
      <c r="S5161" s="210">
        <v>4.25</v>
      </c>
      <c r="T5161" s="8">
        <v>1.0001180555555556</v>
      </c>
      <c r="U5161" s="98">
        <v>4.2916178247454528</v>
      </c>
      <c r="V5161" s="106">
        <v>40217.472300377194</v>
      </c>
      <c r="W5161" s="10">
        <v>1.1739035752944327</v>
      </c>
      <c r="X5161" s="420"/>
      <c r="Y5161" s="420"/>
    </row>
    <row r="5162" spans="17:25">
      <c r="Q5162" s="6">
        <v>5132</v>
      </c>
      <c r="R5162" s="7">
        <v>47799</v>
      </c>
      <c r="S5162" s="210">
        <v>4.25</v>
      </c>
      <c r="T5162" s="8">
        <v>1.0001180555555556</v>
      </c>
      <c r="U5162" s="98">
        <v>4.291639506667777</v>
      </c>
      <c r="V5162" s="106">
        <v>40220.819713350887</v>
      </c>
      <c r="W5162" s="10">
        <v>1.1739240458126021</v>
      </c>
      <c r="X5162" s="420"/>
      <c r="Y5162" s="420"/>
    </row>
    <row r="5163" spans="17:25">
      <c r="Q5163" s="6">
        <v>5133</v>
      </c>
      <c r="R5163" s="7">
        <v>47800</v>
      </c>
      <c r="S5163" s="210">
        <v>4.25</v>
      </c>
      <c r="T5163" s="8">
        <v>1.0001180555555556</v>
      </c>
      <c r="U5163" s="98">
        <v>4.2916611801465443</v>
      </c>
      <c r="V5163" s="106">
        <v>40224.167404939144</v>
      </c>
      <c r="W5163" s="10">
        <v>1.1739445083588818</v>
      </c>
      <c r="X5163" s="420"/>
      <c r="Y5163" s="420"/>
    </row>
    <row r="5164" spans="17:25">
      <c r="Q5164" s="6">
        <v>5134</v>
      </c>
      <c r="R5164" s="7">
        <v>47801</v>
      </c>
      <c r="S5164" s="210">
        <v>4.25</v>
      </c>
      <c r="T5164" s="8">
        <v>1.0001180555555556</v>
      </c>
      <c r="U5164" s="98">
        <v>4.2916828451867062</v>
      </c>
      <c r="V5164" s="106">
        <v>40227.515375165152</v>
      </c>
      <c r="W5164" s="10">
        <v>1.1739649629379123</v>
      </c>
      <c r="X5164" s="420"/>
      <c r="Y5164" s="420"/>
    </row>
    <row r="5165" spans="17:25">
      <c r="Q5165" s="6">
        <v>5135</v>
      </c>
      <c r="R5165" s="7">
        <v>47802</v>
      </c>
      <c r="S5165" s="210">
        <v>4.25</v>
      </c>
      <c r="T5165" s="8">
        <v>1.0001180555555556</v>
      </c>
      <c r="U5165" s="98">
        <v>4.2917045017931921</v>
      </c>
      <c r="V5165" s="106">
        <v>40230.863624052115</v>
      </c>
      <c r="W5165" s="10">
        <v>1.1739854095543345</v>
      </c>
      <c r="X5165" s="420"/>
      <c r="Y5165" s="420"/>
    </row>
    <row r="5166" spans="17:25">
      <c r="Q5166" s="6">
        <v>5136</v>
      </c>
      <c r="R5166" s="7">
        <v>47803</v>
      </c>
      <c r="S5166" s="210">
        <v>4.25</v>
      </c>
      <c r="T5166" s="8">
        <v>1.0001180555555556</v>
      </c>
      <c r="U5166" s="98">
        <v>4.2917261499709092</v>
      </c>
      <c r="V5166" s="106">
        <v>40234.212151623215</v>
      </c>
      <c r="W5166" s="10">
        <v>1.1740058482128335</v>
      </c>
      <c r="X5166" s="420"/>
      <c r="Y5166" s="420"/>
    </row>
    <row r="5167" spans="17:25">
      <c r="Q5167" s="6">
        <v>5137</v>
      </c>
      <c r="R5167" s="7">
        <v>47804</v>
      </c>
      <c r="S5167" s="210">
        <v>4.25</v>
      </c>
      <c r="T5167" s="8">
        <v>1.0001180555555556</v>
      </c>
      <c r="U5167" s="98">
        <v>4.2917477897247647</v>
      </c>
      <c r="V5167" s="106">
        <v>40237.560957901653</v>
      </c>
      <c r="W5167" s="10">
        <v>1.1740262789179834</v>
      </c>
      <c r="X5167" s="420"/>
      <c r="Y5167" s="420"/>
    </row>
    <row r="5168" spans="17:25">
      <c r="Q5168" s="6">
        <v>5138</v>
      </c>
      <c r="R5168" s="7">
        <v>47805</v>
      </c>
      <c r="S5168" s="210">
        <v>4.25</v>
      </c>
      <c r="T5168" s="8">
        <v>1.0001180555555556</v>
      </c>
      <c r="U5168" s="98">
        <v>4.2917694210597102</v>
      </c>
      <c r="V5168" s="106">
        <v>40240.910042910633</v>
      </c>
      <c r="W5168" s="10">
        <v>1.1740467016745137</v>
      </c>
      <c r="X5168" s="420"/>
      <c r="Y5168" s="420"/>
    </row>
    <row r="5169" spans="17:25">
      <c r="Q5169" s="6">
        <v>5139</v>
      </c>
      <c r="R5169" s="7">
        <v>47806</v>
      </c>
      <c r="S5169" s="210">
        <v>4.25</v>
      </c>
      <c r="T5169" s="8">
        <v>1.0001180555555556</v>
      </c>
      <c r="U5169" s="98">
        <v>4.2917910439806306</v>
      </c>
      <c r="V5169" s="106">
        <v>40244.259406673344</v>
      </c>
      <c r="W5169" s="10">
        <v>1.1740671164869987</v>
      </c>
      <c r="X5169" s="420"/>
      <c r="Y5169" s="420"/>
    </row>
    <row r="5170" spans="17:25">
      <c r="Q5170" s="6">
        <v>5140</v>
      </c>
      <c r="R5170" s="7">
        <v>47807</v>
      </c>
      <c r="S5170" s="210">
        <v>4.25</v>
      </c>
      <c r="T5170" s="8">
        <v>1.0001180555555556</v>
      </c>
      <c r="U5170" s="98">
        <v>4.2918126584924554</v>
      </c>
      <c r="V5170" s="106">
        <v>40247.609049212981</v>
      </c>
      <c r="W5170" s="10">
        <v>1.1740875233601011</v>
      </c>
      <c r="X5170" s="420"/>
      <c r="Y5170" s="420"/>
    </row>
    <row r="5171" spans="17:25">
      <c r="Q5171" s="6">
        <v>5141</v>
      </c>
      <c r="R5171" s="7">
        <v>47808</v>
      </c>
      <c r="S5171" s="210">
        <v>4.25</v>
      </c>
      <c r="T5171" s="8">
        <v>1.0001180555555556</v>
      </c>
      <c r="U5171" s="98">
        <v>4.2918342646000696</v>
      </c>
      <c r="V5171" s="106">
        <v>40250.958970552769</v>
      </c>
      <c r="W5171" s="10">
        <v>1.1741079222984396</v>
      </c>
      <c r="X5171" s="420"/>
      <c r="Y5171" s="420"/>
    </row>
    <row r="5172" spans="17:25">
      <c r="Q5172" s="6">
        <v>5142</v>
      </c>
      <c r="R5172" s="7">
        <v>47809</v>
      </c>
      <c r="S5172" s="210">
        <v>4.25</v>
      </c>
      <c r="T5172" s="8">
        <v>1.0001180555555556</v>
      </c>
      <c r="U5172" s="98">
        <v>4.2918558623083802</v>
      </c>
      <c r="V5172" s="106">
        <v>40254.309170715904</v>
      </c>
      <c r="W5172" s="10">
        <v>1.1741283133066549</v>
      </c>
      <c r="X5172" s="420"/>
      <c r="Y5172" s="420"/>
    </row>
    <row r="5173" spans="17:25">
      <c r="Q5173" s="6">
        <v>5143</v>
      </c>
      <c r="R5173" s="7">
        <v>47810</v>
      </c>
      <c r="S5173" s="210">
        <v>4.25</v>
      </c>
      <c r="T5173" s="8">
        <v>1.0001180555555556</v>
      </c>
      <c r="U5173" s="98">
        <v>4.2918774516222946</v>
      </c>
      <c r="V5173" s="106">
        <v>40257.659649725589</v>
      </c>
      <c r="W5173" s="10">
        <v>1.1741486963893655</v>
      </c>
      <c r="X5173" s="420"/>
      <c r="Y5173" s="420"/>
    </row>
    <row r="5174" spans="17:25">
      <c r="Q5174" s="6">
        <v>5144</v>
      </c>
      <c r="R5174" s="7">
        <v>47811</v>
      </c>
      <c r="S5174" s="210">
        <v>4.25</v>
      </c>
      <c r="T5174" s="8">
        <v>1.0001180555555556</v>
      </c>
      <c r="U5174" s="98">
        <v>4.2918990325466977</v>
      </c>
      <c r="V5174" s="106">
        <v>40261.010407605034</v>
      </c>
      <c r="W5174" s="10">
        <v>1.1741690715511677</v>
      </c>
      <c r="X5174" s="420"/>
      <c r="Y5174" s="420"/>
    </row>
    <row r="5175" spans="17:25">
      <c r="Q5175" s="6">
        <v>5145</v>
      </c>
      <c r="R5175" s="7">
        <v>47812</v>
      </c>
      <c r="S5175" s="210">
        <v>4.25</v>
      </c>
      <c r="T5175" s="8">
        <v>1.0001180555555556</v>
      </c>
      <c r="U5175" s="98">
        <v>4.2919206050864744</v>
      </c>
      <c r="V5175" s="106">
        <v>40264.361444377442</v>
      </c>
      <c r="W5175" s="10">
        <v>1.1741894387967244</v>
      </c>
      <c r="X5175" s="420"/>
      <c r="Y5175" s="420"/>
    </row>
    <row r="5176" spans="17:25">
      <c r="Q5176" s="6">
        <v>5146</v>
      </c>
      <c r="R5176" s="7">
        <v>47813</v>
      </c>
      <c r="S5176" s="210">
        <v>4.25</v>
      </c>
      <c r="T5176" s="8">
        <v>1.0001180555555556</v>
      </c>
      <c r="U5176" s="98">
        <v>4.2919421692465098</v>
      </c>
      <c r="V5176" s="106">
        <v>40267.712760066053</v>
      </c>
      <c r="W5176" s="10">
        <v>1.1742097981306099</v>
      </c>
      <c r="X5176" s="420"/>
      <c r="Y5176" s="420"/>
    </row>
    <row r="5177" spans="17:25">
      <c r="Q5177" s="6">
        <v>5147</v>
      </c>
      <c r="R5177" s="7">
        <v>47814</v>
      </c>
      <c r="S5177" s="210">
        <v>4.25</v>
      </c>
      <c r="T5177" s="8">
        <v>1.0001180555555556</v>
      </c>
      <c r="U5177" s="98">
        <v>4.2919637250316889</v>
      </c>
      <c r="V5177" s="106">
        <v>40271.064354694056</v>
      </c>
      <c r="W5177" s="10">
        <v>1.1742301495574203</v>
      </c>
      <c r="X5177" s="420"/>
      <c r="Y5177" s="420"/>
    </row>
    <row r="5178" spans="17:25">
      <c r="Q5178" s="6">
        <v>5148</v>
      </c>
      <c r="R5178" s="7">
        <v>47815</v>
      </c>
      <c r="S5178" s="210">
        <v>4.25</v>
      </c>
      <c r="T5178" s="8">
        <v>1.0001180555555556</v>
      </c>
      <c r="U5178" s="98">
        <v>4.2919852724468965</v>
      </c>
      <c r="V5178" s="106">
        <v>40274.416228284674</v>
      </c>
      <c r="W5178" s="10">
        <v>1.1742504930818187</v>
      </c>
      <c r="X5178" s="420"/>
      <c r="Y5178" s="420"/>
    </row>
    <row r="5179" spans="17:25">
      <c r="Q5179" s="6">
        <v>5149</v>
      </c>
      <c r="R5179" s="7">
        <v>47816</v>
      </c>
      <c r="S5179" s="210">
        <v>4.25</v>
      </c>
      <c r="T5179" s="8">
        <v>1.0001180555555556</v>
      </c>
      <c r="U5179" s="98">
        <v>4.2920068114969956</v>
      </c>
      <c r="V5179" s="106">
        <v>40277.768380861133</v>
      </c>
      <c r="W5179" s="10">
        <v>1.174270828708357</v>
      </c>
      <c r="X5179" s="420"/>
      <c r="Y5179" s="420"/>
    </row>
    <row r="5180" spans="17:25">
      <c r="Q5180" s="6">
        <v>5150</v>
      </c>
      <c r="R5180" s="7">
        <v>47817</v>
      </c>
      <c r="S5180" s="210">
        <v>4.25</v>
      </c>
      <c r="T5180" s="8">
        <v>1.0001180555555556</v>
      </c>
      <c r="U5180" s="98">
        <v>4.2920283421868488</v>
      </c>
      <c r="V5180" s="106">
        <v>40281.120812446643</v>
      </c>
      <c r="W5180" s="10">
        <v>1.1742911564416314</v>
      </c>
      <c r="X5180" s="420"/>
      <c r="Y5180" s="420"/>
    </row>
    <row r="5181" spans="17:25">
      <c r="Q5181" s="6">
        <v>5151</v>
      </c>
      <c r="R5181" s="7">
        <v>47818</v>
      </c>
      <c r="S5181" s="210">
        <v>4.25</v>
      </c>
      <c r="T5181" s="8">
        <v>1.0001180555555556</v>
      </c>
      <c r="U5181" s="98">
        <v>4.2920498645213412</v>
      </c>
      <c r="V5181" s="106">
        <v>40284.473523064444</v>
      </c>
      <c r="W5181" s="10">
        <v>1.1743114762862827</v>
      </c>
      <c r="X5181" s="420"/>
      <c r="Y5181" s="420"/>
    </row>
    <row r="5182" spans="17:25">
      <c r="Q5182" s="6">
        <v>5152</v>
      </c>
      <c r="R5182" s="7">
        <v>47819</v>
      </c>
      <c r="S5182" s="210">
        <v>4.25</v>
      </c>
      <c r="T5182" s="8">
        <v>1.0001180555555556</v>
      </c>
      <c r="U5182" s="98">
        <v>4.2920713785053355</v>
      </c>
      <c r="V5182" s="106">
        <v>40287.826512737738</v>
      </c>
      <c r="W5182" s="10">
        <v>1.1743317882468629</v>
      </c>
      <c r="X5182" s="420"/>
      <c r="Y5182" s="420"/>
    </row>
    <row r="5183" spans="17:25">
      <c r="Q5183" s="6">
        <v>5153</v>
      </c>
      <c r="R5183" s="7">
        <v>47820</v>
      </c>
      <c r="S5183" s="210">
        <v>4.25</v>
      </c>
      <c r="T5183" s="8">
        <v>1.0001180555555556</v>
      </c>
      <c r="U5183" s="98">
        <v>4.2920928841436723</v>
      </c>
      <c r="V5183" s="106">
        <v>40291.179781489765</v>
      </c>
      <c r="W5183" s="10">
        <v>1.1743520923279682</v>
      </c>
      <c r="X5183" s="420"/>
      <c r="Y5183" s="420"/>
    </row>
    <row r="5184" spans="17:25">
      <c r="Q5184" s="6">
        <v>5154</v>
      </c>
      <c r="R5184" s="7">
        <v>47821</v>
      </c>
      <c r="S5184" s="210">
        <v>4.25</v>
      </c>
      <c r="T5184" s="8">
        <v>1.0001180555555556</v>
      </c>
      <c r="U5184" s="98">
        <v>4.2921143814412144</v>
      </c>
      <c r="V5184" s="106">
        <v>40294.533329343758</v>
      </c>
      <c r="W5184" s="10">
        <v>1.1743723885341728</v>
      </c>
      <c r="X5184" s="420"/>
      <c r="Y5184" s="420"/>
    </row>
    <row r="5185" spans="17:25">
      <c r="Q5185" s="6">
        <v>5155</v>
      </c>
      <c r="R5185" s="7">
        <v>47822</v>
      </c>
      <c r="S5185" s="210">
        <v>4.25</v>
      </c>
      <c r="T5185" s="8">
        <v>1.0001180555555556</v>
      </c>
      <c r="U5185" s="98">
        <v>4.2921358704028245</v>
      </c>
      <c r="V5185" s="106">
        <v>40297.887156322933</v>
      </c>
      <c r="W5185" s="10">
        <v>1.174392676870073</v>
      </c>
      <c r="X5185" s="420"/>
      <c r="Y5185" s="420"/>
    </row>
    <row r="5186" spans="17:25">
      <c r="Q5186" s="6">
        <v>5156</v>
      </c>
      <c r="R5186" s="7">
        <v>47823</v>
      </c>
      <c r="S5186" s="210">
        <v>4.25</v>
      </c>
      <c r="T5186" s="8">
        <v>1.0001180555555556</v>
      </c>
      <c r="U5186" s="98">
        <v>4.2921573510333433</v>
      </c>
      <c r="V5186" s="106">
        <v>40301.24126245053</v>
      </c>
      <c r="W5186" s="10">
        <v>1.1744129573402651</v>
      </c>
      <c r="X5186" s="420"/>
      <c r="Y5186" s="420"/>
    </row>
    <row r="5187" spans="17:25">
      <c r="Q5187" s="6">
        <v>5157</v>
      </c>
      <c r="R5187" s="7">
        <v>47824</v>
      </c>
      <c r="S5187" s="210">
        <v>4.25</v>
      </c>
      <c r="T5187" s="8">
        <v>1.0001180555555556</v>
      </c>
      <c r="U5187" s="98">
        <v>4.2921788233376112</v>
      </c>
      <c r="V5187" s="106">
        <v>40304.595647749789</v>
      </c>
      <c r="W5187" s="10">
        <v>1.1744332299492788</v>
      </c>
      <c r="X5187" s="420"/>
      <c r="Y5187" s="420"/>
    </row>
    <row r="5188" spans="17:25">
      <c r="Q5188" s="6">
        <v>5158</v>
      </c>
      <c r="R5188" s="7">
        <v>47825</v>
      </c>
      <c r="S5188" s="210">
        <v>4.25</v>
      </c>
      <c r="T5188" s="8">
        <v>1.0001180555555556</v>
      </c>
      <c r="U5188" s="98">
        <v>4.292200287320469</v>
      </c>
      <c r="V5188" s="106">
        <v>40307.950312243935</v>
      </c>
      <c r="W5188" s="10">
        <v>1.1744534947017105</v>
      </c>
      <c r="X5188" s="420"/>
      <c r="Y5188" s="420"/>
    </row>
    <row r="5189" spans="17:25">
      <c r="Q5189" s="6">
        <v>5159</v>
      </c>
      <c r="R5189" s="7">
        <v>47826</v>
      </c>
      <c r="S5189" s="210">
        <v>4.25</v>
      </c>
      <c r="T5189" s="8">
        <v>1.0001180555555556</v>
      </c>
      <c r="U5189" s="98">
        <v>4.2922217429867571</v>
      </c>
      <c r="V5189" s="106">
        <v>40311.30525595622</v>
      </c>
      <c r="W5189" s="10">
        <v>1.174473751602112</v>
      </c>
      <c r="X5189" s="420"/>
      <c r="Y5189" s="420"/>
    </row>
    <row r="5190" spans="17:25">
      <c r="Q5190" s="6">
        <v>5160</v>
      </c>
      <c r="R5190" s="7">
        <v>47827</v>
      </c>
      <c r="S5190" s="210">
        <v>4.25</v>
      </c>
      <c r="T5190" s="8">
        <v>1.0001180555555556</v>
      </c>
      <c r="U5190" s="98">
        <v>4.2922431903413161</v>
      </c>
      <c r="V5190" s="106">
        <v>40314.660478909871</v>
      </c>
      <c r="W5190" s="10">
        <v>1.1744940006550575</v>
      </c>
      <c r="X5190" s="420"/>
      <c r="Y5190" s="420"/>
    </row>
    <row r="5191" spans="17:25">
      <c r="Q5191" s="6">
        <v>5161</v>
      </c>
      <c r="R5191" s="7">
        <v>47828</v>
      </c>
      <c r="S5191" s="210">
        <v>4.25</v>
      </c>
      <c r="T5191" s="8">
        <v>1.0001180555555556</v>
      </c>
      <c r="U5191" s="98">
        <v>4.2922646293889644</v>
      </c>
      <c r="V5191" s="106">
        <v>40318.015981128141</v>
      </c>
      <c r="W5191" s="10">
        <v>1.1745142418651211</v>
      </c>
      <c r="X5191" s="420"/>
      <c r="Y5191" s="420"/>
    </row>
    <row r="5192" spans="17:25">
      <c r="Q5192" s="6">
        <v>5162</v>
      </c>
      <c r="R5192" s="7">
        <v>47829</v>
      </c>
      <c r="S5192" s="210">
        <v>4.25</v>
      </c>
      <c r="T5192" s="8">
        <v>1.0001180555555556</v>
      </c>
      <c r="U5192" s="98">
        <v>4.2922860601345203</v>
      </c>
      <c r="V5192" s="106">
        <v>40321.371762634262</v>
      </c>
      <c r="W5192" s="10">
        <v>1.1745344752368325</v>
      </c>
      <c r="X5192" s="420"/>
      <c r="Y5192" s="420"/>
    </row>
    <row r="5193" spans="17:25">
      <c r="Q5193" s="6">
        <v>5163</v>
      </c>
      <c r="R5193" s="7">
        <v>47830</v>
      </c>
      <c r="S5193" s="210">
        <v>4.25</v>
      </c>
      <c r="T5193" s="8">
        <v>1.0001180555555556</v>
      </c>
      <c r="U5193" s="98">
        <v>4.2923074825828245</v>
      </c>
      <c r="V5193" s="106">
        <v>40324.727823451489</v>
      </c>
      <c r="W5193" s="10">
        <v>1.1745547007747437</v>
      </c>
      <c r="X5193" s="420"/>
      <c r="Y5193" s="420"/>
    </row>
    <row r="5194" spans="17:25">
      <c r="Q5194" s="6">
        <v>5164</v>
      </c>
      <c r="R5194" s="7">
        <v>47831</v>
      </c>
      <c r="S5194" s="210">
        <v>4.25</v>
      </c>
      <c r="T5194" s="8">
        <v>1.0001180555555556</v>
      </c>
      <c r="U5194" s="98">
        <v>4.292328896738673</v>
      </c>
      <c r="V5194" s="106">
        <v>40328.084163603067</v>
      </c>
      <c r="W5194" s="10">
        <v>1.1745749184834287</v>
      </c>
      <c r="X5194" s="420"/>
      <c r="Y5194" s="420"/>
    </row>
    <row r="5195" spans="17:25">
      <c r="Q5195" s="6">
        <v>5165</v>
      </c>
      <c r="R5195" s="7">
        <v>47832</v>
      </c>
      <c r="S5195" s="210">
        <v>4.25</v>
      </c>
      <c r="T5195" s="8">
        <v>1.0001180555555556</v>
      </c>
      <c r="U5195" s="98">
        <v>4.2923503026069065</v>
      </c>
      <c r="V5195" s="106">
        <v>40331.440783112244</v>
      </c>
      <c r="W5195" s="10">
        <v>1.1745951283674172</v>
      </c>
      <c r="X5195" s="420"/>
      <c r="Y5195" s="420"/>
    </row>
    <row r="5196" spans="17:25">
      <c r="Q5196" s="6">
        <v>5166</v>
      </c>
      <c r="R5196" s="7">
        <v>47833</v>
      </c>
      <c r="S5196" s="210">
        <v>4.25</v>
      </c>
      <c r="T5196" s="8">
        <v>1.0001180555555556</v>
      </c>
      <c r="U5196" s="98">
        <v>4.2923717001923212</v>
      </c>
      <c r="V5196" s="106">
        <v>40334.797682002274</v>
      </c>
      <c r="W5196" s="10">
        <v>1.1746153304312612</v>
      </c>
      <c r="X5196" s="420"/>
      <c r="Y5196" s="420"/>
    </row>
    <row r="5197" spans="17:25">
      <c r="Q5197" s="6">
        <v>5167</v>
      </c>
      <c r="R5197" s="7">
        <v>47834</v>
      </c>
      <c r="S5197" s="210">
        <v>4.25</v>
      </c>
      <c r="T5197" s="8">
        <v>1.0001180555555556</v>
      </c>
      <c r="U5197" s="98">
        <v>4.2923930894997131</v>
      </c>
      <c r="V5197" s="106">
        <v>40338.15486029641</v>
      </c>
      <c r="W5197" s="10">
        <v>1.1746355246794682</v>
      </c>
      <c r="X5197" s="420"/>
      <c r="Y5197" s="420"/>
    </row>
    <row r="5198" spans="17:25">
      <c r="Q5198" s="6">
        <v>5168</v>
      </c>
      <c r="R5198" s="7">
        <v>47835</v>
      </c>
      <c r="S5198" s="210">
        <v>4.25</v>
      </c>
      <c r="T5198" s="8">
        <v>1.0001180555555556</v>
      </c>
      <c r="U5198" s="98">
        <v>4.2924144705339007</v>
      </c>
      <c r="V5198" s="106">
        <v>40341.5123180179</v>
      </c>
      <c r="W5198" s="10">
        <v>1.1746557111165901</v>
      </c>
      <c r="X5198" s="420"/>
      <c r="Y5198" s="420"/>
    </row>
    <row r="5199" spans="17:25">
      <c r="Q5199" s="6">
        <v>5169</v>
      </c>
      <c r="R5199" s="7">
        <v>47836</v>
      </c>
      <c r="S5199" s="210">
        <v>4.25</v>
      </c>
      <c r="T5199" s="8">
        <v>1.0001180555555556</v>
      </c>
      <c r="U5199" s="98">
        <v>4.2924358432996579</v>
      </c>
      <c r="V5199" s="106">
        <v>40344.870055190018</v>
      </c>
      <c r="W5199" s="10">
        <v>1.1746758897471565</v>
      </c>
      <c r="X5199" s="420"/>
      <c r="Y5199" s="420"/>
    </row>
    <row r="5200" spans="17:25">
      <c r="Q5200" s="6">
        <v>5170</v>
      </c>
      <c r="R5200" s="7">
        <v>47837</v>
      </c>
      <c r="S5200" s="210">
        <v>4.25</v>
      </c>
      <c r="T5200" s="8">
        <v>1.0001180555555556</v>
      </c>
      <c r="U5200" s="98">
        <v>4.2924572078018031</v>
      </c>
      <c r="V5200" s="106">
        <v>40348.22807183602</v>
      </c>
      <c r="W5200" s="10">
        <v>1.1746960605756973</v>
      </c>
      <c r="X5200" s="420"/>
      <c r="Y5200" s="420"/>
    </row>
    <row r="5201" spans="17:25">
      <c r="Q5201" s="6">
        <v>5171</v>
      </c>
      <c r="R5201" s="7">
        <v>47838</v>
      </c>
      <c r="S5201" s="210">
        <v>4.25</v>
      </c>
      <c r="T5201" s="8">
        <v>1.0001180555555556</v>
      </c>
      <c r="U5201" s="98">
        <v>4.2924785640451324</v>
      </c>
      <c r="V5201" s="106">
        <v>40351.586367979151</v>
      </c>
      <c r="W5201" s="10">
        <v>1.1747162236067643</v>
      </c>
      <c r="X5201" s="420"/>
      <c r="Y5201" s="420"/>
    </row>
    <row r="5202" spans="17:25">
      <c r="Q5202" s="6">
        <v>5172</v>
      </c>
      <c r="R5202" s="7">
        <v>47839</v>
      </c>
      <c r="S5202" s="210">
        <v>4.25</v>
      </c>
      <c r="T5202" s="8">
        <v>1.0001180555555556</v>
      </c>
      <c r="U5202" s="98">
        <v>4.2924999120344198</v>
      </c>
      <c r="V5202" s="106">
        <v>40354.944943642695</v>
      </c>
      <c r="W5202" s="10">
        <v>1.1747363788448206</v>
      </c>
      <c r="X5202" s="420"/>
      <c r="Y5202" s="420"/>
    </row>
    <row r="5203" spans="17:25">
      <c r="Q5203" s="6">
        <v>5173</v>
      </c>
      <c r="R5203" s="7">
        <v>47840</v>
      </c>
      <c r="S5203" s="210">
        <v>4.25</v>
      </c>
      <c r="T5203" s="8">
        <v>1.0001180555555556</v>
      </c>
      <c r="U5203" s="98">
        <v>4.2925212517744615</v>
      </c>
      <c r="V5203" s="106">
        <v>40358.303798849898</v>
      </c>
      <c r="W5203" s="10">
        <v>1.1747565262944404</v>
      </c>
      <c r="X5203" s="420"/>
      <c r="Y5203" s="420"/>
    </row>
    <row r="5204" spans="17:25">
      <c r="Q5204" s="6">
        <v>5174</v>
      </c>
      <c r="R5204" s="7">
        <v>47841</v>
      </c>
      <c r="S5204" s="210">
        <v>4.25</v>
      </c>
      <c r="T5204" s="8">
        <v>1.0001180555555556</v>
      </c>
      <c r="U5204" s="98">
        <v>4.2925425832700093</v>
      </c>
      <c r="V5204" s="106">
        <v>40361.662933624044</v>
      </c>
      <c r="W5204" s="10">
        <v>1.1747766659600867</v>
      </c>
      <c r="X5204" s="420"/>
      <c r="Y5204" s="420"/>
    </row>
    <row r="5205" spans="17:25">
      <c r="Q5205" s="6">
        <v>5175</v>
      </c>
      <c r="R5205" s="7">
        <v>47842</v>
      </c>
      <c r="S5205" s="210">
        <v>4.25</v>
      </c>
      <c r="T5205" s="8">
        <v>1.0001180555555556</v>
      </c>
      <c r="U5205" s="98">
        <v>4.2925639065258814</v>
      </c>
      <c r="V5205" s="106">
        <v>40365.022347988386</v>
      </c>
      <c r="W5205" s="10">
        <v>1.1747967978463114</v>
      </c>
      <c r="X5205" s="420"/>
      <c r="Y5205" s="420"/>
    </row>
    <row r="5206" spans="17:25">
      <c r="Q5206" s="6">
        <v>5176</v>
      </c>
      <c r="R5206" s="7">
        <v>47843</v>
      </c>
      <c r="S5206" s="210">
        <v>4.25</v>
      </c>
      <c r="T5206" s="8">
        <v>1.0001180555555556</v>
      </c>
      <c r="U5206" s="98">
        <v>4.2925852215468296</v>
      </c>
      <c r="V5206" s="106">
        <v>40368.382041966215</v>
      </c>
      <c r="W5206" s="10">
        <v>1.1748169219575999</v>
      </c>
      <c r="X5206" s="420"/>
      <c r="Y5206" s="420"/>
    </row>
    <row r="5207" spans="17:25">
      <c r="Q5207" s="6">
        <v>5177</v>
      </c>
      <c r="R5207" s="7">
        <v>47844</v>
      </c>
      <c r="S5207" s="210">
        <v>4.25</v>
      </c>
      <c r="T5207" s="8">
        <v>1.0001180555555556</v>
      </c>
      <c r="U5207" s="98">
        <v>4.292606528337628</v>
      </c>
      <c r="V5207" s="106">
        <v>40371.742015580785</v>
      </c>
      <c r="W5207" s="10">
        <v>1.1748370382984819</v>
      </c>
      <c r="X5207" s="420"/>
      <c r="Y5207" s="420"/>
    </row>
    <row r="5208" spans="17:25">
      <c r="Q5208" s="6">
        <v>5178</v>
      </c>
      <c r="R5208" s="7">
        <v>47845</v>
      </c>
      <c r="S5208" s="210">
        <v>4.25</v>
      </c>
      <c r="T5208" s="8">
        <v>1.0001180555555556</v>
      </c>
      <c r="U5208" s="98">
        <v>4.2926278269030282</v>
      </c>
      <c r="V5208" s="106">
        <v>40375.102268855386</v>
      </c>
      <c r="W5208" s="10">
        <v>1.1748571468733982</v>
      </c>
      <c r="X5208" s="420"/>
      <c r="Y5208" s="420"/>
    </row>
    <row r="5209" spans="17:25">
      <c r="Q5209" s="6">
        <v>5179</v>
      </c>
      <c r="R5209" s="7">
        <v>47846</v>
      </c>
      <c r="S5209" s="210">
        <v>4.25</v>
      </c>
      <c r="T5209" s="8">
        <v>1.0001180555555556</v>
      </c>
      <c r="U5209" s="98">
        <v>4.2926491172478043</v>
      </c>
      <c r="V5209" s="106">
        <v>40378.462801813286</v>
      </c>
      <c r="W5209" s="10">
        <v>1.1748772476869007</v>
      </c>
      <c r="X5209" s="420"/>
      <c r="Y5209" s="420"/>
    </row>
    <row r="5210" spans="17:25">
      <c r="Q5210" s="6">
        <v>5180</v>
      </c>
      <c r="R5210" s="7">
        <v>47847</v>
      </c>
      <c r="S5210" s="210">
        <v>4.25</v>
      </c>
      <c r="T5210" s="8">
        <v>1.0001180555555556</v>
      </c>
      <c r="U5210" s="98">
        <v>4.2926703993767079</v>
      </c>
      <c r="V5210" s="106">
        <v>40381.823614477762</v>
      </c>
      <c r="W5210" s="10">
        <v>1.1748973407434304</v>
      </c>
      <c r="X5210" s="420"/>
      <c r="Y5210" s="420"/>
    </row>
    <row r="5211" spans="17:25">
      <c r="Q5211" s="6">
        <v>5181</v>
      </c>
      <c r="R5211" s="7">
        <v>47848</v>
      </c>
      <c r="S5211" s="210">
        <v>4.25</v>
      </c>
      <c r="T5211" s="8">
        <v>1.0001180555555556</v>
      </c>
      <c r="U5211" s="98">
        <v>4.2926916732945131</v>
      </c>
      <c r="V5211" s="106">
        <v>40385.184706872096</v>
      </c>
      <c r="W5211" s="10">
        <v>1.1749174260475392</v>
      </c>
      <c r="X5211" s="420"/>
      <c r="Y5211" s="420"/>
    </row>
    <row r="5212" spans="17:25">
      <c r="Q5212" s="6">
        <v>5182</v>
      </c>
      <c r="R5212" s="7">
        <v>47849</v>
      </c>
      <c r="S5212" s="210">
        <v>4.25</v>
      </c>
      <c r="T5212" s="8">
        <v>1.0001180555555556</v>
      </c>
      <c r="U5212" s="98">
        <v>4.2927129390059493</v>
      </c>
      <c r="V5212" s="106">
        <v>40388.546079019579</v>
      </c>
      <c r="W5212" s="10">
        <v>1.1749375036036902</v>
      </c>
      <c r="X5212" s="420"/>
      <c r="Y5212" s="420"/>
    </row>
    <row r="5213" spans="17:25">
      <c r="Q5213" s="6">
        <v>5183</v>
      </c>
      <c r="R5213" s="7">
        <v>47850</v>
      </c>
      <c r="S5213" s="210">
        <v>4.25</v>
      </c>
      <c r="T5213" s="8">
        <v>1.0001180555555556</v>
      </c>
      <c r="U5213" s="98">
        <v>4.2927341965157684</v>
      </c>
      <c r="V5213" s="106">
        <v>40391.907730943487</v>
      </c>
      <c r="W5213" s="10">
        <v>1.1749575734163242</v>
      </c>
      <c r="X5213" s="420"/>
      <c r="Y5213" s="420"/>
    </row>
    <row r="5214" spans="17:25">
      <c r="Q5214" s="6">
        <v>5184</v>
      </c>
      <c r="R5214" s="7">
        <v>47851</v>
      </c>
      <c r="S5214" s="210">
        <v>4.25</v>
      </c>
      <c r="T5214" s="8">
        <v>1.0001180555555556</v>
      </c>
      <c r="U5214" s="98">
        <v>4.292755445828722</v>
      </c>
      <c r="V5214" s="106">
        <v>40395.26966266711</v>
      </c>
      <c r="W5214" s="10">
        <v>1.174977635489971</v>
      </c>
      <c r="X5214" s="420"/>
      <c r="Y5214" s="420"/>
    </row>
    <row r="5215" spans="17:25">
      <c r="Q5215" s="6">
        <v>5185</v>
      </c>
      <c r="R5215" s="7">
        <v>47852</v>
      </c>
      <c r="S5215" s="210">
        <v>4.25</v>
      </c>
      <c r="T5215" s="8">
        <v>1.0001180555555556</v>
      </c>
      <c r="U5215" s="98">
        <v>4.2927766869495398</v>
      </c>
      <c r="V5215" s="106">
        <v>40398.631874213737</v>
      </c>
      <c r="W5215" s="10">
        <v>1.1749976898290937</v>
      </c>
      <c r="X5215" s="420"/>
      <c r="Y5215" s="420"/>
    </row>
    <row r="5216" spans="17:25">
      <c r="Q5216" s="6">
        <v>5186</v>
      </c>
      <c r="R5216" s="7">
        <v>47853</v>
      </c>
      <c r="S5216" s="210">
        <v>4.25</v>
      </c>
      <c r="T5216" s="8">
        <v>1.0001180555555556</v>
      </c>
      <c r="U5216" s="98">
        <v>4.2927979198829735</v>
      </c>
      <c r="V5216" s="106">
        <v>40401.994365606661</v>
      </c>
      <c r="W5216" s="10">
        <v>1.1750177364381553</v>
      </c>
      <c r="X5216" s="420"/>
      <c r="Y5216" s="420"/>
    </row>
    <row r="5217" spans="17:25">
      <c r="Q5217" s="6">
        <v>5187</v>
      </c>
      <c r="R5217" s="7">
        <v>47854</v>
      </c>
      <c r="S5217" s="210">
        <v>4.25</v>
      </c>
      <c r="T5217" s="8">
        <v>1.0001180555555556</v>
      </c>
      <c r="U5217" s="98">
        <v>4.2928191446337527</v>
      </c>
      <c r="V5217" s="106">
        <v>40405.357136869163</v>
      </c>
      <c r="W5217" s="10">
        <v>1.1750377753216412</v>
      </c>
      <c r="X5217" s="420"/>
      <c r="Y5217" s="420"/>
    </row>
    <row r="5218" spans="17:25">
      <c r="Q5218" s="6">
        <v>5188</v>
      </c>
      <c r="R5218" s="7">
        <v>47855</v>
      </c>
      <c r="S5218" s="210">
        <v>4.25</v>
      </c>
      <c r="T5218" s="8">
        <v>1.0001180555555556</v>
      </c>
      <c r="U5218" s="98">
        <v>4.2928403612065846</v>
      </c>
      <c r="V5218" s="106">
        <v>40408.720188024548</v>
      </c>
      <c r="W5218" s="10">
        <v>1.1750578064839701</v>
      </c>
      <c r="X5218" s="420"/>
      <c r="Y5218" s="420"/>
    </row>
    <row r="5219" spans="17:25">
      <c r="Q5219" s="6">
        <v>5189</v>
      </c>
      <c r="R5219" s="7">
        <v>47856</v>
      </c>
      <c r="S5219" s="210">
        <v>4.25</v>
      </c>
      <c r="T5219" s="8">
        <v>1.0001180555555556</v>
      </c>
      <c r="U5219" s="98">
        <v>4.2928615696062211</v>
      </c>
      <c r="V5219" s="106">
        <v>40412.083519096115</v>
      </c>
      <c r="W5219" s="10">
        <v>1.1750778299296494</v>
      </c>
      <c r="X5219" s="420"/>
      <c r="Y5219" s="420"/>
    </row>
    <row r="5220" spans="17:25">
      <c r="Q5220" s="6">
        <v>5190</v>
      </c>
      <c r="R5220" s="7">
        <v>47857</v>
      </c>
      <c r="S5220" s="210">
        <v>4.25</v>
      </c>
      <c r="T5220" s="8">
        <v>1.0001180555555556</v>
      </c>
      <c r="U5220" s="98">
        <v>4.2928827698373695</v>
      </c>
      <c r="V5220" s="106">
        <v>40415.447130107153</v>
      </c>
      <c r="W5220" s="10">
        <v>1.1750978456631422</v>
      </c>
      <c r="X5220" s="420"/>
      <c r="Y5220" s="420"/>
    </row>
    <row r="5221" spans="17:25">
      <c r="Q5221" s="6">
        <v>5191</v>
      </c>
      <c r="R5221" s="7">
        <v>47858</v>
      </c>
      <c r="S5221" s="210">
        <v>4.25</v>
      </c>
      <c r="T5221" s="8">
        <v>1.0001180555555556</v>
      </c>
      <c r="U5221" s="98">
        <v>4.2929039619047593</v>
      </c>
      <c r="V5221" s="106">
        <v>40418.811021080961</v>
      </c>
      <c r="W5221" s="10">
        <v>1.1751178536888673</v>
      </c>
      <c r="X5221" s="420"/>
      <c r="Y5221" s="420"/>
    </row>
    <row r="5222" spans="17:25">
      <c r="Q5222" s="6">
        <v>5192</v>
      </c>
      <c r="R5222" s="7">
        <v>47859</v>
      </c>
      <c r="S5222" s="210">
        <v>4.25</v>
      </c>
      <c r="T5222" s="8">
        <v>1.0001180555555556</v>
      </c>
      <c r="U5222" s="98">
        <v>4.2929251458130979</v>
      </c>
      <c r="V5222" s="106">
        <v>40422.17519204085</v>
      </c>
      <c r="W5222" s="10">
        <v>1.17513785401131</v>
      </c>
      <c r="X5222" s="420"/>
      <c r="Y5222" s="420"/>
    </row>
    <row r="5223" spans="17:25">
      <c r="Q5223" s="6">
        <v>5193</v>
      </c>
      <c r="R5223" s="7">
        <v>47860</v>
      </c>
      <c r="S5223" s="210">
        <v>4.25</v>
      </c>
      <c r="T5223" s="8">
        <v>1.0001180555555556</v>
      </c>
      <c r="U5223" s="98">
        <v>4.2929463215670927</v>
      </c>
      <c r="V5223" s="106">
        <v>40425.539643010117</v>
      </c>
      <c r="W5223" s="10">
        <v>1.1751578466349111</v>
      </c>
      <c r="X5223" s="420"/>
      <c r="Y5223" s="420"/>
    </row>
    <row r="5224" spans="17:25">
      <c r="Q5224" s="6">
        <v>5194</v>
      </c>
      <c r="R5224" s="7">
        <v>47861</v>
      </c>
      <c r="S5224" s="210">
        <v>4.25</v>
      </c>
      <c r="T5224" s="8">
        <v>1.0001180555555556</v>
      </c>
      <c r="U5224" s="98">
        <v>4.2929674891714509</v>
      </c>
      <c r="V5224" s="106">
        <v>40428.904374012069</v>
      </c>
      <c r="W5224" s="10">
        <v>1.1751778315640893</v>
      </c>
      <c r="X5224" s="420"/>
      <c r="Y5224" s="420"/>
    </row>
    <row r="5225" spans="17:25">
      <c r="Q5225" s="6">
        <v>5195</v>
      </c>
      <c r="R5225" s="7">
        <v>47862</v>
      </c>
      <c r="S5225" s="210">
        <v>4.25</v>
      </c>
      <c r="T5225" s="8">
        <v>1.0001180555555556</v>
      </c>
      <c r="U5225" s="98">
        <v>4.2929886486308799</v>
      </c>
      <c r="V5225" s="106">
        <v>40432.269385070023</v>
      </c>
      <c r="W5225" s="10">
        <v>1.1751978088032855</v>
      </c>
      <c r="X5225" s="420"/>
      <c r="Y5225" s="420"/>
    </row>
    <row r="5226" spans="17:25">
      <c r="Q5226" s="6">
        <v>5196</v>
      </c>
      <c r="R5226" s="7">
        <v>47863</v>
      </c>
      <c r="S5226" s="210">
        <v>4.25</v>
      </c>
      <c r="T5226" s="8">
        <v>1.0001180555555556</v>
      </c>
      <c r="U5226" s="98">
        <v>4.2930097999500871</v>
      </c>
      <c r="V5226" s="106">
        <v>40435.634676207279</v>
      </c>
      <c r="W5226" s="10">
        <v>1.175217778356985</v>
      </c>
      <c r="X5226" s="420"/>
      <c r="Y5226" s="420"/>
    </row>
    <row r="5227" spans="17:25">
      <c r="Q5227" s="6">
        <v>5197</v>
      </c>
      <c r="R5227" s="7">
        <v>47864</v>
      </c>
      <c r="S5227" s="210">
        <v>4.25</v>
      </c>
      <c r="T5227" s="8">
        <v>1.0001180555555556</v>
      </c>
      <c r="U5227" s="98">
        <v>4.2930309431337577</v>
      </c>
      <c r="V5227" s="106">
        <v>40439.000247447148</v>
      </c>
      <c r="W5227" s="10">
        <v>1.1752377402295844</v>
      </c>
      <c r="X5227" s="420"/>
      <c r="Y5227" s="420"/>
    </row>
    <row r="5228" spans="17:25">
      <c r="Q5228" s="6">
        <v>5198</v>
      </c>
      <c r="R5228" s="7">
        <v>47865</v>
      </c>
      <c r="S5228" s="210">
        <v>4.25</v>
      </c>
      <c r="T5228" s="8">
        <v>1.0001180555555556</v>
      </c>
      <c r="U5228" s="98">
        <v>4.2930520781865988</v>
      </c>
      <c r="V5228" s="106">
        <v>40442.366098812949</v>
      </c>
      <c r="W5228" s="10">
        <v>1.1752576944255244</v>
      </c>
      <c r="X5228" s="420"/>
      <c r="Y5228" s="420"/>
    </row>
    <row r="5229" spans="17:25">
      <c r="Q5229" s="6">
        <v>5199</v>
      </c>
      <c r="R5229" s="7">
        <v>47866</v>
      </c>
      <c r="S5229" s="210">
        <v>4.25</v>
      </c>
      <c r="T5229" s="8">
        <v>1.0001180555555556</v>
      </c>
      <c r="U5229" s="98">
        <v>4.2930732051132958</v>
      </c>
      <c r="V5229" s="106">
        <v>40445.732230327994</v>
      </c>
      <c r="W5229" s="10">
        <v>1.175277640949246</v>
      </c>
      <c r="X5229" s="420"/>
      <c r="Y5229" s="420"/>
    </row>
    <row r="5230" spans="17:25">
      <c r="Q5230" s="6">
        <v>5200</v>
      </c>
      <c r="R5230" s="7">
        <v>47867</v>
      </c>
      <c r="S5230" s="210">
        <v>4.25</v>
      </c>
      <c r="T5230" s="8">
        <v>1.0001180555555556</v>
      </c>
      <c r="U5230" s="98">
        <v>4.2930943239185115</v>
      </c>
      <c r="V5230" s="106">
        <v>40449.098642015604</v>
      </c>
      <c r="W5230" s="10">
        <v>1.1752975798051235</v>
      </c>
      <c r="X5230" s="420"/>
      <c r="Y5230" s="420"/>
    </row>
    <row r="5231" spans="17:25">
      <c r="Q5231" s="6">
        <v>5201</v>
      </c>
      <c r="R5231" s="7">
        <v>47868</v>
      </c>
      <c r="S5231" s="210">
        <v>4.25</v>
      </c>
      <c r="T5231" s="8">
        <v>1.0001180555555556</v>
      </c>
      <c r="U5231" s="98">
        <v>4.2931154346069533</v>
      </c>
      <c r="V5231" s="106">
        <v>40452.465333899097</v>
      </c>
      <c r="W5231" s="10">
        <v>1.1753175109976421</v>
      </c>
      <c r="X5231" s="420"/>
      <c r="Y5231" s="420"/>
    </row>
    <row r="5232" spans="17:25">
      <c r="Q5232" s="6">
        <v>5202</v>
      </c>
      <c r="R5232" s="7">
        <v>47869</v>
      </c>
      <c r="S5232" s="210">
        <v>4.25</v>
      </c>
      <c r="T5232" s="8">
        <v>1.0001180555555556</v>
      </c>
      <c r="U5232" s="98">
        <v>4.2931365371832841</v>
      </c>
      <c r="V5232" s="106">
        <v>40455.832306001794</v>
      </c>
      <c r="W5232" s="10">
        <v>1.175337434531154</v>
      </c>
      <c r="X5232" s="420"/>
      <c r="Y5232" s="420"/>
    </row>
    <row r="5233" spans="17:25">
      <c r="Q5233" s="6">
        <v>5203</v>
      </c>
      <c r="R5233" s="7">
        <v>47870</v>
      </c>
      <c r="S5233" s="210">
        <v>4.25</v>
      </c>
      <c r="T5233" s="8">
        <v>1.0001180555555556</v>
      </c>
      <c r="U5233" s="98">
        <v>4.2931576316521891</v>
      </c>
      <c r="V5233" s="106">
        <v>40459.199558347027</v>
      </c>
      <c r="W5233" s="10">
        <v>1.1753573504101222</v>
      </c>
      <c r="X5233" s="420"/>
      <c r="Y5233" s="420"/>
    </row>
    <row r="5234" spans="17:25">
      <c r="Q5234" s="6">
        <v>5204</v>
      </c>
      <c r="R5234" s="7">
        <v>47871</v>
      </c>
      <c r="S5234" s="210">
        <v>4.25</v>
      </c>
      <c r="T5234" s="8">
        <v>1.0001180555555556</v>
      </c>
      <c r="U5234" s="98">
        <v>4.2931787180183534</v>
      </c>
      <c r="V5234" s="106">
        <v>40462.567090958102</v>
      </c>
      <c r="W5234" s="10">
        <v>1.1753772586389655</v>
      </c>
      <c r="X5234" s="420"/>
      <c r="Y5234" s="420"/>
    </row>
    <row r="5235" spans="17:25">
      <c r="Q5235" s="6">
        <v>5205</v>
      </c>
      <c r="R5235" s="7">
        <v>47872</v>
      </c>
      <c r="S5235" s="210">
        <v>4.25</v>
      </c>
      <c r="T5235" s="8">
        <v>1.0001180555555556</v>
      </c>
      <c r="U5235" s="98">
        <v>4.2931997962864177</v>
      </c>
      <c r="V5235" s="106">
        <v>40465.93490385836</v>
      </c>
      <c r="W5235" s="10">
        <v>1.175397159222058</v>
      </c>
      <c r="X5235" s="420"/>
      <c r="Y5235" s="420"/>
    </row>
    <row r="5236" spans="17:25">
      <c r="Q5236" s="6">
        <v>5206</v>
      </c>
      <c r="R5236" s="7">
        <v>47873</v>
      </c>
      <c r="S5236" s="210">
        <v>4.25</v>
      </c>
      <c r="T5236" s="8">
        <v>1.0001180555555556</v>
      </c>
      <c r="U5236" s="98">
        <v>4.2932208664610672</v>
      </c>
      <c r="V5236" s="106">
        <v>40469.302997071121</v>
      </c>
      <c r="W5236" s="10">
        <v>1.1754170521638185</v>
      </c>
      <c r="X5236" s="420"/>
      <c r="Y5236" s="420"/>
    </row>
    <row r="5237" spans="17:25">
      <c r="Q5237" s="6">
        <v>5207</v>
      </c>
      <c r="R5237" s="7">
        <v>47874</v>
      </c>
      <c r="S5237" s="210">
        <v>4.25</v>
      </c>
      <c r="T5237" s="8">
        <v>1.0001180555555556</v>
      </c>
      <c r="U5237" s="98">
        <v>4.2932419285469425</v>
      </c>
      <c r="V5237" s="106">
        <v>40472.671370619733</v>
      </c>
      <c r="W5237" s="10">
        <v>1.1754369374686435</v>
      </c>
      <c r="X5237" s="420"/>
      <c r="Y5237" s="420"/>
    </row>
    <row r="5238" spans="17:25">
      <c r="Q5238" s="6">
        <v>5208</v>
      </c>
      <c r="R5238" s="7">
        <v>47875</v>
      </c>
      <c r="S5238" s="210">
        <v>4.25</v>
      </c>
      <c r="T5238" s="8">
        <v>1.0001180555555556</v>
      </c>
      <c r="U5238" s="98">
        <v>4.2932629825487068</v>
      </c>
      <c r="V5238" s="106">
        <v>40476.040024527523</v>
      </c>
      <c r="W5238" s="10">
        <v>1.1754568151409073</v>
      </c>
      <c r="X5238" s="420"/>
      <c r="Y5238" s="420"/>
    </row>
    <row r="5239" spans="17:25">
      <c r="Q5239" s="6">
        <v>5209</v>
      </c>
      <c r="R5239" s="7">
        <v>47876</v>
      </c>
      <c r="S5239" s="210">
        <v>4.25</v>
      </c>
      <c r="T5239" s="8">
        <v>1.0001180555555556</v>
      </c>
      <c r="U5239" s="98">
        <v>4.2932840284710228</v>
      </c>
      <c r="V5239" s="106">
        <v>40479.40895881781</v>
      </c>
      <c r="W5239" s="10">
        <v>1.1754766851850507</v>
      </c>
      <c r="X5239" s="420"/>
      <c r="Y5239" s="420"/>
    </row>
    <row r="5240" spans="17:25">
      <c r="Q5240" s="6">
        <v>5210</v>
      </c>
      <c r="R5240" s="7">
        <v>47877</v>
      </c>
      <c r="S5240" s="210">
        <v>4.25</v>
      </c>
      <c r="T5240" s="8">
        <v>1.0001180555555556</v>
      </c>
      <c r="U5240" s="98">
        <v>4.2933050663185313</v>
      </c>
      <c r="V5240" s="106">
        <v>40482.778173513951</v>
      </c>
      <c r="W5240" s="10">
        <v>1.1754965476054258</v>
      </c>
      <c r="X5240" s="420"/>
      <c r="Y5240" s="420"/>
    </row>
    <row r="5241" spans="17:25">
      <c r="Q5241" s="6">
        <v>5211</v>
      </c>
      <c r="R5241" s="7">
        <v>47878</v>
      </c>
      <c r="S5241" s="210">
        <v>4.25</v>
      </c>
      <c r="T5241" s="8">
        <v>1.0001180555555556</v>
      </c>
      <c r="U5241" s="98">
        <v>4.293326096095873</v>
      </c>
      <c r="V5241" s="106">
        <v>40486.147668639278</v>
      </c>
      <c r="W5241" s="10">
        <v>1.1755164024064069</v>
      </c>
      <c r="X5241" s="420"/>
      <c r="Y5241" s="420"/>
    </row>
    <row r="5242" spans="17:25">
      <c r="Q5242" s="6">
        <v>5212</v>
      </c>
      <c r="R5242" s="7">
        <v>47879</v>
      </c>
      <c r="S5242" s="210">
        <v>4.25</v>
      </c>
      <c r="T5242" s="8">
        <v>1.0001180555555556</v>
      </c>
      <c r="U5242" s="98">
        <v>4.2933471178077109</v>
      </c>
      <c r="V5242" s="106">
        <v>40489.517444217126</v>
      </c>
      <c r="W5242" s="10">
        <v>1.1755362495924349</v>
      </c>
      <c r="X5242" s="420"/>
      <c r="Y5242" s="420"/>
    </row>
    <row r="5243" spans="17:25">
      <c r="Q5243" s="6">
        <v>5213</v>
      </c>
      <c r="R5243" s="7">
        <v>47880</v>
      </c>
      <c r="S5243" s="210">
        <v>4.25</v>
      </c>
      <c r="T5243" s="8">
        <v>1.0001180555555556</v>
      </c>
      <c r="U5243" s="98">
        <v>4.2933681314586636</v>
      </c>
      <c r="V5243" s="106">
        <v>40492.887500270845</v>
      </c>
      <c r="W5243" s="10">
        <v>1.1755560891678396</v>
      </c>
      <c r="X5243" s="420"/>
      <c r="Y5243" s="420"/>
    </row>
    <row r="5244" spans="17:25">
      <c r="Q5244" s="6">
        <v>5214</v>
      </c>
      <c r="R5244" s="7">
        <v>47881</v>
      </c>
      <c r="S5244" s="210">
        <v>4.25</v>
      </c>
      <c r="T5244" s="8">
        <v>1.0001180555555556</v>
      </c>
      <c r="U5244" s="98">
        <v>4.2933891370533939</v>
      </c>
      <c r="V5244" s="106">
        <v>40496.257836823774</v>
      </c>
      <c r="W5244" s="10">
        <v>1.1755759211370398</v>
      </c>
      <c r="X5244" s="420"/>
      <c r="Y5244" s="420"/>
    </row>
    <row r="5245" spans="17:25">
      <c r="Q5245" s="6">
        <v>5215</v>
      </c>
      <c r="R5245" s="7">
        <v>47882</v>
      </c>
      <c r="S5245" s="210">
        <v>4.25</v>
      </c>
      <c r="T5245" s="8">
        <v>1.0001180555555556</v>
      </c>
      <c r="U5245" s="98">
        <v>4.2934101345964981</v>
      </c>
      <c r="V5245" s="106">
        <v>40499.62845389927</v>
      </c>
      <c r="W5245" s="10">
        <v>1.1755957455043653</v>
      </c>
      <c r="X5245" s="420"/>
      <c r="Y5245" s="420"/>
    </row>
    <row r="5246" spans="17:25">
      <c r="Q5246" s="6">
        <v>5216</v>
      </c>
      <c r="R5246" s="7">
        <v>47883</v>
      </c>
      <c r="S5246" s="210">
        <v>4.25</v>
      </c>
      <c r="T5246" s="8">
        <v>1.0001180555555556</v>
      </c>
      <c r="U5246" s="98">
        <v>4.2934311240926393</v>
      </c>
      <c r="V5246" s="106">
        <v>40502.999351520673</v>
      </c>
      <c r="W5246" s="10">
        <v>1.1756155622742126</v>
      </c>
      <c r="X5246" s="420"/>
      <c r="Y5246" s="420"/>
    </row>
    <row r="5247" spans="17:25">
      <c r="Q5247" s="6">
        <v>5217</v>
      </c>
      <c r="R5247" s="7">
        <v>47884</v>
      </c>
      <c r="S5247" s="210">
        <v>4.25</v>
      </c>
      <c r="T5247" s="8">
        <v>1.0001180555555556</v>
      </c>
      <c r="U5247" s="98">
        <v>4.2934521055464137</v>
      </c>
      <c r="V5247" s="106">
        <v>40506.370529711334</v>
      </c>
      <c r="W5247" s="10">
        <v>1.1756353714509338</v>
      </c>
      <c r="X5247" s="420"/>
      <c r="Y5247" s="420"/>
    </row>
    <row r="5248" spans="17:25">
      <c r="Q5248" s="6">
        <v>5218</v>
      </c>
      <c r="R5248" s="7">
        <v>47885</v>
      </c>
      <c r="S5248" s="210">
        <v>4.25</v>
      </c>
      <c r="T5248" s="8">
        <v>1.0001180555555556</v>
      </c>
      <c r="U5248" s="98">
        <v>4.293473078962462</v>
      </c>
      <c r="V5248" s="106">
        <v>40509.741988494607</v>
      </c>
      <c r="W5248" s="10">
        <v>1.1756551730389031</v>
      </c>
      <c r="X5248" s="420"/>
      <c r="Y5248" s="420"/>
    </row>
    <row r="5249" spans="17:25">
      <c r="Q5249" s="6">
        <v>5219</v>
      </c>
      <c r="R5249" s="7">
        <v>47886</v>
      </c>
      <c r="S5249" s="210">
        <v>4.25</v>
      </c>
      <c r="T5249" s="8">
        <v>1.0001180555555556</v>
      </c>
      <c r="U5249" s="98">
        <v>4.2934940443453806</v>
      </c>
      <c r="V5249" s="106">
        <v>40513.113727893855</v>
      </c>
      <c r="W5249" s="10">
        <v>1.1756749670424727</v>
      </c>
      <c r="X5249" s="420"/>
      <c r="Y5249" s="420"/>
    </row>
    <row r="5250" spans="17:25">
      <c r="Q5250" s="6">
        <v>5220</v>
      </c>
      <c r="R5250" s="7">
        <v>47887</v>
      </c>
      <c r="S5250" s="210">
        <v>4.25</v>
      </c>
      <c r="T5250" s="8">
        <v>1.0001180555555556</v>
      </c>
      <c r="U5250" s="98">
        <v>4.2935150016998103</v>
      </c>
      <c r="V5250" s="106">
        <v>40516.485747932413</v>
      </c>
      <c r="W5250" s="10">
        <v>1.1756947534660167</v>
      </c>
      <c r="X5250" s="420"/>
      <c r="Y5250" s="420"/>
    </row>
    <row r="5251" spans="17:25">
      <c r="Q5251" s="6">
        <v>5221</v>
      </c>
      <c r="R5251" s="7">
        <v>47888</v>
      </c>
      <c r="S5251" s="210">
        <v>4.25</v>
      </c>
      <c r="T5251" s="8">
        <v>1.0001180555555556</v>
      </c>
      <c r="U5251" s="98">
        <v>4.2935359510303472</v>
      </c>
      <c r="V5251" s="106">
        <v>40519.858048633665</v>
      </c>
      <c r="W5251" s="10">
        <v>1.1757145323138651</v>
      </c>
      <c r="X5251" s="420"/>
      <c r="Y5251" s="420"/>
    </row>
    <row r="5252" spans="17:25">
      <c r="Q5252" s="6">
        <v>5222</v>
      </c>
      <c r="R5252" s="7">
        <v>47889</v>
      </c>
      <c r="S5252" s="210">
        <v>4.25</v>
      </c>
      <c r="T5252" s="8">
        <v>1.0001180555555556</v>
      </c>
      <c r="U5252" s="98">
        <v>4.2935568923415879</v>
      </c>
      <c r="V5252" s="106">
        <v>40523.230630020946</v>
      </c>
      <c r="W5252" s="10">
        <v>1.17573430359037</v>
      </c>
      <c r="X5252" s="420"/>
      <c r="Y5252" s="420"/>
    </row>
    <row r="5253" spans="17:25">
      <c r="Q5253" s="6">
        <v>5223</v>
      </c>
      <c r="R5253" s="7">
        <v>47890</v>
      </c>
      <c r="S5253" s="210">
        <v>4.25</v>
      </c>
      <c r="T5253" s="8">
        <v>1.0001180555555556</v>
      </c>
      <c r="U5253" s="98">
        <v>4.2935778256381507</v>
      </c>
      <c r="V5253" s="106">
        <v>40526.60349211764</v>
      </c>
      <c r="W5253" s="10">
        <v>1.1757540672998834</v>
      </c>
      <c r="X5253" s="420"/>
      <c r="Y5253" s="420"/>
    </row>
    <row r="5254" spans="17:25">
      <c r="Q5254" s="6">
        <v>5224</v>
      </c>
      <c r="R5254" s="7">
        <v>47891</v>
      </c>
      <c r="S5254" s="210">
        <v>4.25</v>
      </c>
      <c r="T5254" s="8">
        <v>1.0001180555555556</v>
      </c>
      <c r="U5254" s="98">
        <v>4.2935987509246321</v>
      </c>
      <c r="V5254" s="106">
        <v>40529.976634947103</v>
      </c>
      <c r="W5254" s="10">
        <v>1.1757738234467352</v>
      </c>
      <c r="X5254" s="420"/>
      <c r="Y5254" s="420"/>
    </row>
    <row r="5255" spans="17:25">
      <c r="Q5255" s="6">
        <v>5225</v>
      </c>
      <c r="R5255" s="7">
        <v>47892</v>
      </c>
      <c r="S5255" s="210">
        <v>4.25</v>
      </c>
      <c r="T5255" s="8">
        <v>1.0001180555555556</v>
      </c>
      <c r="U5255" s="98">
        <v>4.2936196682056504</v>
      </c>
      <c r="V5255" s="106">
        <v>40533.350058532691</v>
      </c>
      <c r="W5255" s="10">
        <v>1.1757935720353219</v>
      </c>
      <c r="X5255" s="420"/>
      <c r="Y5255" s="420"/>
    </row>
    <row r="5256" spans="17:25">
      <c r="Q5256" s="6">
        <v>5226</v>
      </c>
      <c r="R5256" s="7">
        <v>47893</v>
      </c>
      <c r="S5256" s="210">
        <v>4.25</v>
      </c>
      <c r="T5256" s="8">
        <v>1.0001180555555556</v>
      </c>
      <c r="U5256" s="98">
        <v>4.2936405774857578</v>
      </c>
      <c r="V5256" s="106">
        <v>40536.723762897789</v>
      </c>
      <c r="W5256" s="10">
        <v>1.1758133130699289</v>
      </c>
      <c r="X5256" s="420"/>
      <c r="Y5256" s="420"/>
    </row>
    <row r="5257" spans="17:25">
      <c r="Q5257" s="6">
        <v>5227</v>
      </c>
      <c r="R5257" s="7">
        <v>47894</v>
      </c>
      <c r="S5257" s="210">
        <v>4.25</v>
      </c>
      <c r="T5257" s="8">
        <v>1.0001180555555556</v>
      </c>
      <c r="U5257" s="98">
        <v>4.2936614787695726</v>
      </c>
      <c r="V5257" s="106">
        <v>40540.09774806576</v>
      </c>
      <c r="W5257" s="10">
        <v>1.1758330465548861</v>
      </c>
      <c r="X5257" s="420"/>
      <c r="Y5257" s="420"/>
    </row>
    <row r="5258" spans="17:25">
      <c r="Q5258" s="6">
        <v>5228</v>
      </c>
      <c r="R5258" s="7">
        <v>47895</v>
      </c>
      <c r="S5258" s="210">
        <v>4.25</v>
      </c>
      <c r="T5258" s="8">
        <v>1.0001180555555556</v>
      </c>
      <c r="U5258" s="98">
        <v>4.293682372061669</v>
      </c>
      <c r="V5258" s="106">
        <v>40543.472014059975</v>
      </c>
      <c r="W5258" s="10">
        <v>1.1758527724945456</v>
      </c>
      <c r="X5258" s="420"/>
      <c r="Y5258" s="420"/>
    </row>
    <row r="5259" spans="17:25">
      <c r="Q5259" s="6">
        <v>5229</v>
      </c>
      <c r="R5259" s="7">
        <v>47896</v>
      </c>
      <c r="S5259" s="210">
        <v>4.25</v>
      </c>
      <c r="T5259" s="8">
        <v>1.0001180555555556</v>
      </c>
      <c r="U5259" s="98">
        <v>4.2937032573666434</v>
      </c>
      <c r="V5259" s="106">
        <v>40546.84656090381</v>
      </c>
      <c r="W5259" s="10">
        <v>1.175872490893215</v>
      </c>
      <c r="X5259" s="420"/>
      <c r="Y5259" s="420"/>
    </row>
    <row r="5260" spans="17:25">
      <c r="Q5260" s="6">
        <v>5230</v>
      </c>
      <c r="R5260" s="7">
        <v>47897</v>
      </c>
      <c r="S5260" s="210">
        <v>4.25</v>
      </c>
      <c r="T5260" s="8">
        <v>1.0001180555555556</v>
      </c>
      <c r="U5260" s="98">
        <v>4.2937241346890698</v>
      </c>
      <c r="V5260" s="106">
        <v>40550.221388620637</v>
      </c>
      <c r="W5260" s="10">
        <v>1.1758922017552464</v>
      </c>
      <c r="X5260" s="420"/>
      <c r="Y5260" s="420"/>
    </row>
    <row r="5261" spans="17:25">
      <c r="Q5261" s="6">
        <v>5231</v>
      </c>
      <c r="R5261" s="7">
        <v>47898</v>
      </c>
      <c r="S5261" s="210">
        <v>4.25</v>
      </c>
      <c r="T5261" s="8">
        <v>1.0001180555555556</v>
      </c>
      <c r="U5261" s="98">
        <v>4.2937450040335223</v>
      </c>
      <c r="V5261" s="106">
        <v>40553.596497233848</v>
      </c>
      <c r="W5261" s="10">
        <v>1.1759119050849476</v>
      </c>
      <c r="X5261" s="420"/>
      <c r="Y5261" s="420"/>
    </row>
    <row r="5262" spans="17:25">
      <c r="Q5262" s="6">
        <v>5232</v>
      </c>
      <c r="R5262" s="7">
        <v>47899</v>
      </c>
      <c r="S5262" s="210">
        <v>4.25</v>
      </c>
      <c r="T5262" s="8">
        <v>1.0001180555555556</v>
      </c>
      <c r="U5262" s="98">
        <v>4.293765865404553</v>
      </c>
      <c r="V5262" s="106">
        <v>40556.971886766798</v>
      </c>
      <c r="W5262" s="10">
        <v>1.1759316008866039</v>
      </c>
      <c r="X5262" s="420"/>
      <c r="Y5262" s="420"/>
    </row>
    <row r="5263" spans="17:25">
      <c r="Q5263" s="6">
        <v>5233</v>
      </c>
      <c r="R5263" s="7">
        <v>47900</v>
      </c>
      <c r="S5263" s="210">
        <v>4.25</v>
      </c>
      <c r="T5263" s="8">
        <v>1.0001180555555556</v>
      </c>
      <c r="U5263" s="98">
        <v>4.293786718806758</v>
      </c>
      <c r="V5263" s="106">
        <v>40560.34755724288</v>
      </c>
      <c r="W5263" s="10">
        <v>1.1759512891645674</v>
      </c>
      <c r="X5263" s="420"/>
      <c r="Y5263" s="420"/>
    </row>
    <row r="5264" spans="17:25">
      <c r="Q5264" s="6">
        <v>5234</v>
      </c>
      <c r="R5264" s="7">
        <v>47901</v>
      </c>
      <c r="S5264" s="210">
        <v>4.25</v>
      </c>
      <c r="T5264" s="8">
        <v>1.0001180555555556</v>
      </c>
      <c r="U5264" s="98">
        <v>4.2938075642446893</v>
      </c>
      <c r="V5264" s="106">
        <v>40563.7235086855</v>
      </c>
      <c r="W5264" s="10">
        <v>1.1759709699231458</v>
      </c>
      <c r="X5264" s="420"/>
      <c r="Y5264" s="420"/>
    </row>
    <row r="5265" spans="17:25">
      <c r="Q5265" s="6">
        <v>5235</v>
      </c>
      <c r="R5265" s="7">
        <v>47902</v>
      </c>
      <c r="S5265" s="210">
        <v>4.25</v>
      </c>
      <c r="T5265" s="8">
        <v>1.0001180555555556</v>
      </c>
      <c r="U5265" s="98">
        <v>4.2938284017229211</v>
      </c>
      <c r="V5265" s="106">
        <v>40567.099741118</v>
      </c>
      <c r="W5265" s="10">
        <v>1.1759906431666245</v>
      </c>
      <c r="X5265" s="420"/>
      <c r="Y5265" s="420"/>
    </row>
    <row r="5266" spans="17:25">
      <c r="Q5266" s="6">
        <v>5236</v>
      </c>
      <c r="R5266" s="7">
        <v>47903</v>
      </c>
      <c r="S5266" s="210">
        <v>4.25</v>
      </c>
      <c r="T5266" s="8">
        <v>1.0001180555555556</v>
      </c>
      <c r="U5266" s="98">
        <v>4.2938492312459831</v>
      </c>
      <c r="V5266" s="106">
        <v>40570.4762545638</v>
      </c>
      <c r="W5266" s="10">
        <v>1.1760103088993334</v>
      </c>
      <c r="X5266" s="420"/>
      <c r="Y5266" s="420"/>
    </row>
    <row r="5267" spans="17:25">
      <c r="Q5267" s="6">
        <v>5237</v>
      </c>
      <c r="R5267" s="7">
        <v>47904</v>
      </c>
      <c r="S5267" s="210">
        <v>4.25</v>
      </c>
      <c r="T5267" s="8">
        <v>1.0001180555555556</v>
      </c>
      <c r="U5267" s="98">
        <v>4.2938700528184492</v>
      </c>
      <c r="V5267" s="106">
        <v>40573.853049046287</v>
      </c>
      <c r="W5267" s="10">
        <v>1.1760299671255137</v>
      </c>
      <c r="X5267" s="420"/>
      <c r="Y5267" s="420"/>
    </row>
    <row r="5268" spans="17:25">
      <c r="Q5268" s="6">
        <v>5238</v>
      </c>
      <c r="R5268" s="7">
        <v>47905</v>
      </c>
      <c r="S5268" s="210">
        <v>4.25</v>
      </c>
      <c r="T5268" s="8">
        <v>1.0001180555555556</v>
      </c>
      <c r="U5268" s="98">
        <v>4.2938908664448716</v>
      </c>
      <c r="V5268" s="106">
        <v>40577.230124588837</v>
      </c>
      <c r="W5268" s="10">
        <v>1.1760496178495394</v>
      </c>
      <c r="X5268" s="420"/>
      <c r="Y5268" s="420"/>
    </row>
    <row r="5269" spans="17:25">
      <c r="Q5269" s="6">
        <v>5239</v>
      </c>
      <c r="R5269" s="7">
        <v>47906</v>
      </c>
      <c r="S5269" s="210">
        <v>4.25</v>
      </c>
      <c r="T5269" s="8">
        <v>1.0001180555555556</v>
      </c>
      <c r="U5269" s="98">
        <v>4.2939116721298021</v>
      </c>
      <c r="V5269" s="106">
        <v>40580.607481214858</v>
      </c>
      <c r="W5269" s="10">
        <v>1.176069261075674</v>
      </c>
      <c r="X5269" s="420"/>
      <c r="Y5269" s="420"/>
    </row>
    <row r="5270" spans="17:25">
      <c r="Q5270" s="6">
        <v>5240</v>
      </c>
      <c r="R5270" s="7">
        <v>47907</v>
      </c>
      <c r="S5270" s="210">
        <v>4.25</v>
      </c>
      <c r="T5270" s="8">
        <v>1.0001180555555556</v>
      </c>
      <c r="U5270" s="98">
        <v>4.2939324698777925</v>
      </c>
      <c r="V5270" s="106">
        <v>40583.985118947734</v>
      </c>
      <c r="W5270" s="10">
        <v>1.1760888968082028</v>
      </c>
      <c r="X5270" s="420"/>
      <c r="Y5270" s="420"/>
    </row>
    <row r="5271" spans="17:25">
      <c r="Q5271" s="6">
        <v>5241</v>
      </c>
      <c r="R5271" s="7">
        <v>47908</v>
      </c>
      <c r="S5271" s="210">
        <v>4.25</v>
      </c>
      <c r="T5271" s="8">
        <v>1.0001180555555556</v>
      </c>
      <c r="U5271" s="98">
        <v>4.2939532596933505</v>
      </c>
      <c r="V5271" s="106">
        <v>40587.363037810872</v>
      </c>
      <c r="W5271" s="10">
        <v>1.1761085250514114</v>
      </c>
      <c r="X5271" s="420"/>
      <c r="Y5271" s="420"/>
    </row>
    <row r="5272" spans="17:25">
      <c r="Q5272" s="6">
        <v>5242</v>
      </c>
      <c r="R5272" s="7">
        <v>47909</v>
      </c>
      <c r="S5272" s="210">
        <v>4.25</v>
      </c>
      <c r="T5272" s="8">
        <v>1.0001180555555556</v>
      </c>
      <c r="U5272" s="98">
        <v>4.2939740415810501</v>
      </c>
      <c r="V5272" s="106">
        <v>40590.741237827671</v>
      </c>
      <c r="W5272" s="10">
        <v>1.1761281458095851</v>
      </c>
      <c r="X5272" s="420"/>
      <c r="Y5272" s="420"/>
    </row>
    <row r="5273" spans="17:25">
      <c r="Q5273" s="6">
        <v>5243</v>
      </c>
      <c r="R5273" s="7">
        <v>47910</v>
      </c>
      <c r="S5273" s="210">
        <v>4.25</v>
      </c>
      <c r="T5273" s="8">
        <v>1.0001180555555556</v>
      </c>
      <c r="U5273" s="98">
        <v>4.2939948155453989</v>
      </c>
      <c r="V5273" s="106">
        <v>40594.119719021524</v>
      </c>
      <c r="W5273" s="10">
        <v>1.1761477590870095</v>
      </c>
      <c r="X5273" s="420"/>
      <c r="Y5273" s="420"/>
    </row>
    <row r="5274" spans="17:25">
      <c r="Q5274" s="6">
        <v>5244</v>
      </c>
      <c r="R5274" s="7">
        <v>47911</v>
      </c>
      <c r="S5274" s="210">
        <v>4.25</v>
      </c>
      <c r="T5274" s="8">
        <v>1.0001180555555556</v>
      </c>
      <c r="U5274" s="98">
        <v>4.2940155815909486</v>
      </c>
      <c r="V5274" s="106">
        <v>40597.498481415838</v>
      </c>
      <c r="W5274" s="10">
        <v>1.1761673648879922</v>
      </c>
      <c r="X5274" s="420"/>
      <c r="Y5274" s="420"/>
    </row>
    <row r="5275" spans="17:25">
      <c r="Q5275" s="6">
        <v>5245</v>
      </c>
      <c r="R5275" s="7">
        <v>47912</v>
      </c>
      <c r="S5275" s="210">
        <v>4.25</v>
      </c>
      <c r="T5275" s="8">
        <v>1.0001180555555556</v>
      </c>
      <c r="U5275" s="98">
        <v>4.294036339722207</v>
      </c>
      <c r="V5275" s="106">
        <v>40600.877525034019</v>
      </c>
      <c r="W5275" s="10">
        <v>1.1761869632167299</v>
      </c>
      <c r="X5275" s="420"/>
      <c r="Y5275" s="420"/>
    </row>
    <row r="5276" spans="17:25">
      <c r="Q5276" s="6">
        <v>5246</v>
      </c>
      <c r="R5276" s="7">
        <v>47913</v>
      </c>
      <c r="S5276" s="210">
        <v>4.25</v>
      </c>
      <c r="T5276" s="8">
        <v>1.0001180555555556</v>
      </c>
      <c r="U5276" s="98">
        <v>4.2940570899437036</v>
      </c>
      <c r="V5276" s="106">
        <v>40604.256849899473</v>
      </c>
      <c r="W5276" s="10">
        <v>1.1762065540775524</v>
      </c>
      <c r="X5276" s="420"/>
      <c r="Y5276" s="420"/>
    </row>
    <row r="5277" spans="17:25">
      <c r="Q5277" s="6">
        <v>5247</v>
      </c>
      <c r="R5277" s="7">
        <v>47914</v>
      </c>
      <c r="S5277" s="210">
        <v>4.25</v>
      </c>
      <c r="T5277" s="8">
        <v>1.0001180555555556</v>
      </c>
      <c r="U5277" s="98">
        <v>4.2940778322599682</v>
      </c>
      <c r="V5277" s="106">
        <v>40607.636456035609</v>
      </c>
      <c r="W5277" s="10">
        <v>1.1762261374747451</v>
      </c>
      <c r="X5277" s="420"/>
      <c r="Y5277" s="420"/>
    </row>
    <row r="5278" spans="17:25">
      <c r="Q5278" s="6">
        <v>5248</v>
      </c>
      <c r="R5278" s="7">
        <v>47915</v>
      </c>
      <c r="S5278" s="210">
        <v>4.25</v>
      </c>
      <c r="T5278" s="8">
        <v>1.0001180555555556</v>
      </c>
      <c r="U5278" s="98">
        <v>4.2940985666755083</v>
      </c>
      <c r="V5278" s="106">
        <v>40611.016343465839</v>
      </c>
      <c r="W5278" s="10">
        <v>1.1762457134125048</v>
      </c>
      <c r="X5278" s="420"/>
      <c r="Y5278" s="420"/>
    </row>
    <row r="5279" spans="17:25">
      <c r="Q5279" s="6">
        <v>5249</v>
      </c>
      <c r="R5279" s="7">
        <v>47916</v>
      </c>
      <c r="S5279" s="210">
        <v>4.25</v>
      </c>
      <c r="T5279" s="8">
        <v>1.0001180555555556</v>
      </c>
      <c r="U5279" s="98">
        <v>4.2941192931948313</v>
      </c>
      <c r="V5279" s="106">
        <v>40614.396512213578</v>
      </c>
      <c r="W5279" s="10">
        <v>1.1762652818951391</v>
      </c>
      <c r="X5279" s="420"/>
      <c r="Y5279" s="420"/>
    </row>
    <row r="5280" spans="17:25">
      <c r="Q5280" s="6">
        <v>5250</v>
      </c>
      <c r="R5280" s="7">
        <v>47917</v>
      </c>
      <c r="S5280" s="210">
        <v>4.25</v>
      </c>
      <c r="T5280" s="8">
        <v>1.0001180555555556</v>
      </c>
      <c r="U5280" s="98">
        <v>4.2941400118224671</v>
      </c>
      <c r="V5280" s="106">
        <v>40617.776962302247</v>
      </c>
      <c r="W5280" s="10">
        <v>1.1762848429269113</v>
      </c>
      <c r="X5280" s="420"/>
      <c r="Y5280" s="420"/>
    </row>
    <row r="5281" spans="17:25">
      <c r="Q5281" s="6">
        <v>5251</v>
      </c>
      <c r="R5281" s="7">
        <v>47918</v>
      </c>
      <c r="S5281" s="210">
        <v>4.25</v>
      </c>
      <c r="T5281" s="8">
        <v>1.0001180555555556</v>
      </c>
      <c r="U5281" s="98">
        <v>4.2941607225629008</v>
      </c>
      <c r="V5281" s="106">
        <v>40621.157693755238</v>
      </c>
      <c r="W5281" s="10">
        <v>1.1763043965120401</v>
      </c>
      <c r="X5281" s="420"/>
      <c r="Y5281" s="420"/>
    </row>
    <row r="5282" spans="17:25">
      <c r="Q5282" s="6">
        <v>5252</v>
      </c>
      <c r="R5282" s="7">
        <v>47919</v>
      </c>
      <c r="S5282" s="210">
        <v>4.25</v>
      </c>
      <c r="T5282" s="8">
        <v>1.0001180555555556</v>
      </c>
      <c r="U5282" s="98">
        <v>4.2941814254206401</v>
      </c>
      <c r="V5282" s="106">
        <v>40624.538706596002</v>
      </c>
      <c r="W5282" s="10">
        <v>1.1763239426548111</v>
      </c>
      <c r="X5282" s="420"/>
      <c r="Y5282" s="420"/>
    </row>
    <row r="5283" spans="17:25">
      <c r="Q5283" s="6">
        <v>5253</v>
      </c>
      <c r="R5283" s="7">
        <v>47920</v>
      </c>
      <c r="S5283" s="210">
        <v>4.25</v>
      </c>
      <c r="T5283" s="8">
        <v>1.0001180555555556</v>
      </c>
      <c r="U5283" s="98">
        <v>4.2942021204001923</v>
      </c>
      <c r="V5283" s="106">
        <v>40627.920000847931</v>
      </c>
      <c r="W5283" s="10">
        <v>1.1763434813594431</v>
      </c>
      <c r="X5283" s="420"/>
      <c r="Y5283" s="420"/>
    </row>
    <row r="5284" spans="17:25">
      <c r="Q5284" s="6">
        <v>5254</v>
      </c>
      <c r="R5284" s="7">
        <v>47921</v>
      </c>
      <c r="S5284" s="210">
        <v>4.25</v>
      </c>
      <c r="T5284" s="8">
        <v>1.0001180555555556</v>
      </c>
      <c r="U5284" s="98">
        <v>4.2942228075060429</v>
      </c>
      <c r="V5284" s="106">
        <v>40631.301576534461</v>
      </c>
      <c r="W5284" s="10">
        <v>1.1763630126301994</v>
      </c>
      <c r="X5284" s="420"/>
      <c r="Y5284" s="420"/>
    </row>
    <row r="5285" spans="17:25">
      <c r="Q5285" s="6">
        <v>5255</v>
      </c>
      <c r="R5285" s="7">
        <v>47922</v>
      </c>
      <c r="S5285" s="210">
        <v>4.25</v>
      </c>
      <c r="T5285" s="8">
        <v>1.0001180555555556</v>
      </c>
      <c r="U5285" s="98">
        <v>4.2942434867426993</v>
      </c>
      <c r="V5285" s="106">
        <v>40634.68343367902</v>
      </c>
      <c r="W5285" s="10">
        <v>1.1763825364713432</v>
      </c>
      <c r="X5285" s="420"/>
      <c r="Y5285" s="420"/>
    </row>
    <row r="5286" spans="17:25">
      <c r="Q5286" s="6">
        <v>5256</v>
      </c>
      <c r="R5286" s="7">
        <v>47923</v>
      </c>
      <c r="S5286" s="210">
        <v>4.25</v>
      </c>
      <c r="T5286" s="8">
        <v>1.0001180555555556</v>
      </c>
      <c r="U5286" s="98">
        <v>4.2942641581146468</v>
      </c>
      <c r="V5286" s="106">
        <v>40638.065572305029</v>
      </c>
      <c r="W5286" s="10">
        <v>1.1764020528870711</v>
      </c>
      <c r="X5286" s="420"/>
      <c r="Y5286" s="420"/>
    </row>
    <row r="5287" spans="17:25">
      <c r="Q5287" s="6">
        <v>5257</v>
      </c>
      <c r="R5287" s="7">
        <v>47924</v>
      </c>
      <c r="S5287" s="210">
        <v>4.25</v>
      </c>
      <c r="T5287" s="8">
        <v>1.0001180555555556</v>
      </c>
      <c r="U5287" s="98">
        <v>4.2942848216263485</v>
      </c>
      <c r="V5287" s="106">
        <v>40641.447992435926</v>
      </c>
      <c r="W5287" s="10">
        <v>1.1764215618816243</v>
      </c>
      <c r="X5287" s="420"/>
      <c r="Y5287" s="420"/>
    </row>
    <row r="5288" spans="17:25">
      <c r="Q5288" s="6">
        <v>5258</v>
      </c>
      <c r="R5288" s="7">
        <v>47925</v>
      </c>
      <c r="S5288" s="210">
        <v>4.25</v>
      </c>
      <c r="T5288" s="8">
        <v>1.0001180555555556</v>
      </c>
      <c r="U5288" s="98">
        <v>4.2943054772823119</v>
      </c>
      <c r="V5288" s="106">
        <v>40644.830694095122</v>
      </c>
      <c r="W5288" s="10">
        <v>1.1764410634592659</v>
      </c>
      <c r="X5288" s="420"/>
      <c r="Y5288" s="420"/>
    </row>
    <row r="5289" spans="17:25">
      <c r="Q5289" s="6">
        <v>5259</v>
      </c>
      <c r="R5289" s="7">
        <v>47926</v>
      </c>
      <c r="S5289" s="210">
        <v>4.25</v>
      </c>
      <c r="T5289" s="8">
        <v>1.0001180555555556</v>
      </c>
      <c r="U5289" s="98">
        <v>4.2943261250870002</v>
      </c>
      <c r="V5289" s="106">
        <v>40648.21367730607</v>
      </c>
      <c r="W5289" s="10">
        <v>1.1764605576241927</v>
      </c>
      <c r="X5289" s="420"/>
      <c r="Y5289" s="420"/>
    </row>
    <row r="5290" spans="17:25">
      <c r="Q5290" s="6">
        <v>5260</v>
      </c>
      <c r="R5290" s="7">
        <v>47927</v>
      </c>
      <c r="S5290" s="210">
        <v>4.25</v>
      </c>
      <c r="T5290" s="8">
        <v>1.0001180555555556</v>
      </c>
      <c r="U5290" s="98">
        <v>4.2943467650448985</v>
      </c>
      <c r="V5290" s="106">
        <v>40651.59694209219</v>
      </c>
      <c r="W5290" s="10">
        <v>1.1764800443806456</v>
      </c>
      <c r="X5290" s="420"/>
      <c r="Y5290" s="420"/>
    </row>
    <row r="5291" spans="17:25">
      <c r="Q5291" s="6">
        <v>5261</v>
      </c>
      <c r="R5291" s="7">
        <v>47928</v>
      </c>
      <c r="S5291" s="210">
        <v>4.25</v>
      </c>
      <c r="T5291" s="8">
        <v>1.0001180555555556</v>
      </c>
      <c r="U5291" s="98">
        <v>4.2943673971604923</v>
      </c>
      <c r="V5291" s="106">
        <v>40654.980488476926</v>
      </c>
      <c r="W5291" s="10">
        <v>1.1764995237328435</v>
      </c>
      <c r="X5291" s="420"/>
      <c r="Y5291" s="420"/>
    </row>
    <row r="5292" spans="17:25">
      <c r="Q5292" s="6">
        <v>5262</v>
      </c>
      <c r="R5292" s="7">
        <v>47929</v>
      </c>
      <c r="S5292" s="210">
        <v>4.25</v>
      </c>
      <c r="T5292" s="8">
        <v>1.0001180555555556</v>
      </c>
      <c r="U5292" s="98">
        <v>4.2943880214382224</v>
      </c>
      <c r="V5292" s="106">
        <v>40658.364316483712</v>
      </c>
      <c r="W5292" s="10">
        <v>1.1765189956850053</v>
      </c>
      <c r="X5292" s="420"/>
      <c r="Y5292" s="420"/>
    </row>
    <row r="5293" spans="17:25">
      <c r="Q5293" s="6">
        <v>5263</v>
      </c>
      <c r="R5293" s="7">
        <v>47930</v>
      </c>
      <c r="S5293" s="210">
        <v>4.25</v>
      </c>
      <c r="T5293" s="8">
        <v>1.0001180555555556</v>
      </c>
      <c r="U5293" s="98">
        <v>4.2944086378825741</v>
      </c>
      <c r="V5293" s="106">
        <v>40661.748426135993</v>
      </c>
      <c r="W5293" s="10">
        <v>1.1765384602413498</v>
      </c>
      <c r="X5293" s="420"/>
      <c r="Y5293" s="420"/>
    </row>
    <row r="5294" spans="17:25">
      <c r="Q5294" s="6">
        <v>5264</v>
      </c>
      <c r="R5294" s="7">
        <v>47931</v>
      </c>
      <c r="S5294" s="210">
        <v>4.25</v>
      </c>
      <c r="T5294" s="8">
        <v>1.0001180555555556</v>
      </c>
      <c r="U5294" s="98">
        <v>4.2944292464980105</v>
      </c>
      <c r="V5294" s="106">
        <v>40665.132817457205</v>
      </c>
      <c r="W5294" s="10">
        <v>1.1765579174060958</v>
      </c>
      <c r="X5294" s="420"/>
      <c r="Y5294" s="420"/>
    </row>
    <row r="5295" spans="17:25">
      <c r="Q5295" s="6">
        <v>5265</v>
      </c>
      <c r="R5295" s="7">
        <v>47932</v>
      </c>
      <c r="S5295" s="210">
        <v>4.25</v>
      </c>
      <c r="T5295" s="8">
        <v>1.0001180555555556</v>
      </c>
      <c r="U5295" s="98">
        <v>4.2944498472889725</v>
      </c>
      <c r="V5295" s="106">
        <v>40668.517490470796</v>
      </c>
      <c r="W5295" s="10">
        <v>1.1765773671834401</v>
      </c>
      <c r="X5295" s="420"/>
      <c r="Y5295" s="420"/>
    </row>
    <row r="5296" spans="17:25">
      <c r="Q5296" s="6">
        <v>5266</v>
      </c>
      <c r="R5296" s="7">
        <v>47933</v>
      </c>
      <c r="S5296" s="210">
        <v>4.25</v>
      </c>
      <c r="T5296" s="8">
        <v>1.0001180555555556</v>
      </c>
      <c r="U5296" s="98">
        <v>4.2944704402599232</v>
      </c>
      <c r="V5296" s="106">
        <v>40671.902445200212</v>
      </c>
      <c r="W5296" s="10">
        <v>1.1765968095776014</v>
      </c>
      <c r="X5296" s="420"/>
      <c r="Y5296" s="420"/>
    </row>
    <row r="5297" spans="17:25">
      <c r="Q5297" s="6">
        <v>5267</v>
      </c>
      <c r="R5297" s="7">
        <v>47934</v>
      </c>
      <c r="S5297" s="210">
        <v>4.25</v>
      </c>
      <c r="T5297" s="8">
        <v>1.0001180555555556</v>
      </c>
      <c r="U5297" s="98">
        <v>4.2944910254153257</v>
      </c>
      <c r="V5297" s="106">
        <v>40675.287681668895</v>
      </c>
      <c r="W5297" s="10">
        <v>1.1766162445927542</v>
      </c>
      <c r="X5297" s="420"/>
      <c r="Y5297" s="420"/>
    </row>
    <row r="5298" spans="17:25">
      <c r="Q5298" s="6">
        <v>5268</v>
      </c>
      <c r="R5298" s="7">
        <v>47935</v>
      </c>
      <c r="S5298" s="210">
        <v>4.25</v>
      </c>
      <c r="T5298" s="8">
        <v>1.0001180555555556</v>
      </c>
      <c r="U5298" s="98">
        <v>4.2945116027596208</v>
      </c>
      <c r="V5298" s="106">
        <v>40678.67319990031</v>
      </c>
      <c r="W5298" s="10">
        <v>1.1766356722331395</v>
      </c>
      <c r="X5298" s="420"/>
      <c r="Y5298" s="420"/>
    </row>
    <row r="5299" spans="17:25">
      <c r="Q5299" s="6">
        <v>5269</v>
      </c>
      <c r="R5299" s="7">
        <v>47936</v>
      </c>
      <c r="S5299" s="210">
        <v>4.25</v>
      </c>
      <c r="T5299" s="8">
        <v>1.0001180555555556</v>
      </c>
      <c r="U5299" s="98">
        <v>4.2945321722972496</v>
      </c>
      <c r="V5299" s="106">
        <v>40682.058999917892</v>
      </c>
      <c r="W5299" s="10">
        <v>1.176655092502954</v>
      </c>
      <c r="X5299" s="420"/>
      <c r="Y5299" s="420"/>
    </row>
    <row r="5300" spans="17:25">
      <c r="Q5300" s="6">
        <v>5270</v>
      </c>
      <c r="R5300" s="7">
        <v>47937</v>
      </c>
      <c r="S5300" s="210">
        <v>4.25</v>
      </c>
      <c r="T5300" s="8">
        <v>1.0001180555555556</v>
      </c>
      <c r="U5300" s="98">
        <v>4.2945527340326528</v>
      </c>
      <c r="V5300" s="106">
        <v>40685.4450817451</v>
      </c>
      <c r="W5300" s="10">
        <v>1.1766745054063499</v>
      </c>
      <c r="X5300" s="420"/>
      <c r="Y5300" s="420"/>
    </row>
    <row r="5301" spans="17:25">
      <c r="Q5301" s="6">
        <v>5271</v>
      </c>
      <c r="R5301" s="7">
        <v>47938</v>
      </c>
      <c r="S5301" s="210">
        <v>4.25</v>
      </c>
      <c r="T5301" s="8">
        <v>1.0001180555555556</v>
      </c>
      <c r="U5301" s="98">
        <v>4.2945732879702714</v>
      </c>
      <c r="V5301" s="106">
        <v>40688.831445405398</v>
      </c>
      <c r="W5301" s="10">
        <v>1.1766939109475238</v>
      </c>
      <c r="X5301" s="420"/>
      <c r="Y5301" s="420"/>
    </row>
    <row r="5302" spans="17:25">
      <c r="Q5302" s="6">
        <v>5272</v>
      </c>
      <c r="R5302" s="7">
        <v>47939</v>
      </c>
      <c r="S5302" s="210">
        <v>4.25</v>
      </c>
      <c r="T5302" s="8">
        <v>1.0001180555555556</v>
      </c>
      <c r="U5302" s="98">
        <v>4.2945938341145462</v>
      </c>
      <c r="V5302" s="106">
        <v>40692.218090922237</v>
      </c>
      <c r="W5302" s="10">
        <v>1.1767133091306947</v>
      </c>
      <c r="X5302" s="420"/>
      <c r="Y5302" s="420"/>
    </row>
    <row r="5303" spans="17:25">
      <c r="Q5303" s="6">
        <v>5273</v>
      </c>
      <c r="R5303" s="7">
        <v>47940</v>
      </c>
      <c r="S5303" s="210">
        <v>4.25</v>
      </c>
      <c r="T5303" s="8">
        <v>1.0001180555555556</v>
      </c>
      <c r="U5303" s="98">
        <v>4.294614372469896</v>
      </c>
      <c r="V5303" s="106">
        <v>40695.605018319075</v>
      </c>
      <c r="W5303" s="10">
        <v>1.1767326999600369</v>
      </c>
      <c r="X5303" s="420"/>
      <c r="Y5303" s="420"/>
    </row>
    <row r="5304" spans="17:25">
      <c r="Q5304" s="6">
        <v>5274</v>
      </c>
      <c r="R5304" s="7">
        <v>47941</v>
      </c>
      <c r="S5304" s="210">
        <v>4.25</v>
      </c>
      <c r="T5304" s="8">
        <v>1.0001180555555556</v>
      </c>
      <c r="U5304" s="98">
        <v>4.2946349030407616</v>
      </c>
      <c r="V5304" s="106">
        <v>40698.992227619376</v>
      </c>
      <c r="W5304" s="10">
        <v>1.1767520834397249</v>
      </c>
      <c r="X5304" s="420"/>
      <c r="Y5304" s="420"/>
    </row>
    <row r="5305" spans="17:25">
      <c r="Q5305" s="6">
        <v>5275</v>
      </c>
      <c r="R5305" s="7">
        <v>47942</v>
      </c>
      <c r="S5305" s="210">
        <v>4.25</v>
      </c>
      <c r="T5305" s="8">
        <v>1.0001180555555556</v>
      </c>
      <c r="U5305" s="98">
        <v>4.2946554258315617</v>
      </c>
      <c r="V5305" s="106">
        <v>40702.379718846605</v>
      </c>
      <c r="W5305" s="10">
        <v>1.1767714595739331</v>
      </c>
      <c r="X5305" s="420"/>
      <c r="Y5305" s="420"/>
    </row>
    <row r="5306" spans="17:25">
      <c r="Q5306" s="6">
        <v>5276</v>
      </c>
      <c r="R5306" s="7">
        <v>47943</v>
      </c>
      <c r="S5306" s="210">
        <v>4.25</v>
      </c>
      <c r="T5306" s="8">
        <v>1.0001180555555556</v>
      </c>
      <c r="U5306" s="98">
        <v>4.294675940846715</v>
      </c>
      <c r="V5306" s="106">
        <v>40705.767492024221</v>
      </c>
      <c r="W5306" s="10">
        <v>1.176790828366836</v>
      </c>
      <c r="X5306" s="420"/>
      <c r="Y5306" s="420"/>
    </row>
    <row r="5307" spans="17:25">
      <c r="Q5307" s="6">
        <v>5277</v>
      </c>
      <c r="R5307" s="7">
        <v>47944</v>
      </c>
      <c r="S5307" s="210">
        <v>4.25</v>
      </c>
      <c r="T5307" s="8">
        <v>1.0001180555555556</v>
      </c>
      <c r="U5307" s="98">
        <v>4.2946964480906624</v>
      </c>
      <c r="V5307" s="106">
        <v>40709.155547175702</v>
      </c>
      <c r="W5307" s="10">
        <v>1.176810189822608</v>
      </c>
      <c r="X5307" s="420"/>
      <c r="Y5307" s="420"/>
    </row>
    <row r="5308" spans="17:25">
      <c r="Q5308" s="6">
        <v>5278</v>
      </c>
      <c r="R5308" s="7">
        <v>47945</v>
      </c>
      <c r="S5308" s="210">
        <v>4.25</v>
      </c>
      <c r="T5308" s="8">
        <v>1.0001180555555556</v>
      </c>
      <c r="U5308" s="98">
        <v>4.2947169475678004</v>
      </c>
      <c r="V5308" s="106">
        <v>40712.543884324499</v>
      </c>
      <c r="W5308" s="10">
        <v>1.1768295439454457</v>
      </c>
      <c r="X5308" s="420"/>
      <c r="Y5308" s="420"/>
    </row>
    <row r="5309" spans="17:25">
      <c r="Q5309" s="6">
        <v>5279</v>
      </c>
      <c r="R5309" s="7">
        <v>47946</v>
      </c>
      <c r="S5309" s="210">
        <v>4.25</v>
      </c>
      <c r="T5309" s="8">
        <v>1.0001180555555556</v>
      </c>
      <c r="U5309" s="98">
        <v>4.2947374392825255</v>
      </c>
      <c r="V5309" s="106">
        <v>40715.932503494114</v>
      </c>
      <c r="W5309" s="10">
        <v>1.176848890739457</v>
      </c>
      <c r="X5309" s="420"/>
      <c r="Y5309" s="420"/>
    </row>
    <row r="5310" spans="17:25">
      <c r="Q5310" s="6">
        <v>5280</v>
      </c>
      <c r="R5310" s="7">
        <v>47947</v>
      </c>
      <c r="S5310" s="210">
        <v>4.25</v>
      </c>
      <c r="T5310" s="8">
        <v>1.0001180555555556</v>
      </c>
      <c r="U5310" s="98">
        <v>4.2947579232392785</v>
      </c>
      <c r="V5310" s="106">
        <v>40719.321404707996</v>
      </c>
      <c r="W5310" s="10">
        <v>1.1768682302088607</v>
      </c>
      <c r="X5310" s="420"/>
      <c r="Y5310" s="420"/>
    </row>
    <row r="5311" spans="17:25">
      <c r="Q5311" s="6">
        <v>5281</v>
      </c>
      <c r="R5311" s="7">
        <v>47948</v>
      </c>
      <c r="S5311" s="210">
        <v>4.25</v>
      </c>
      <c r="T5311" s="8">
        <v>1.0001180555555556</v>
      </c>
      <c r="U5311" s="98">
        <v>4.2947783994424338</v>
      </c>
      <c r="V5311" s="106">
        <v>40722.710587989626</v>
      </c>
      <c r="W5311" s="10">
        <v>1.1768875623577646</v>
      </c>
      <c r="X5311" s="420"/>
      <c r="Y5311" s="420"/>
    </row>
    <row r="5312" spans="17:25">
      <c r="Q5312" s="6">
        <v>5282</v>
      </c>
      <c r="R5312" s="7">
        <v>47949</v>
      </c>
      <c r="S5312" s="210">
        <v>4.25</v>
      </c>
      <c r="T5312" s="8">
        <v>1.0001180555555556</v>
      </c>
      <c r="U5312" s="98">
        <v>4.29479886789641</v>
      </c>
      <c r="V5312" s="106">
        <v>40726.100053362483</v>
      </c>
      <c r="W5312" s="10">
        <v>1.1769068871903654</v>
      </c>
      <c r="X5312" s="420"/>
      <c r="Y5312" s="420"/>
    </row>
    <row r="5313" spans="17:25">
      <c r="Q5313" s="6">
        <v>5283</v>
      </c>
      <c r="R5313" s="7">
        <v>47950</v>
      </c>
      <c r="S5313" s="210">
        <v>4.25</v>
      </c>
      <c r="T5313" s="8">
        <v>1.0001180555555556</v>
      </c>
      <c r="U5313" s="98">
        <v>4.2948193286056036</v>
      </c>
      <c r="V5313" s="106">
        <v>40729.489800850053</v>
      </c>
      <c r="W5313" s="10">
        <v>1.1769262047107931</v>
      </c>
      <c r="X5313" s="420"/>
      <c r="Y5313" s="420"/>
    </row>
    <row r="5314" spans="17:25">
      <c r="Q5314" s="6">
        <v>5284</v>
      </c>
      <c r="R5314" s="7">
        <v>47951</v>
      </c>
      <c r="S5314" s="210">
        <v>4.25</v>
      </c>
      <c r="T5314" s="8">
        <v>1.0001180555555556</v>
      </c>
      <c r="U5314" s="98">
        <v>4.294839781574411</v>
      </c>
      <c r="V5314" s="106">
        <v>40732.879830475795</v>
      </c>
      <c r="W5314" s="10">
        <v>1.1769455149232222</v>
      </c>
      <c r="X5314" s="420"/>
      <c r="Y5314" s="420"/>
    </row>
    <row r="5315" spans="17:25">
      <c r="Q5315" s="6">
        <v>5285</v>
      </c>
      <c r="R5315" s="7">
        <v>47952</v>
      </c>
      <c r="S5315" s="210">
        <v>4.25</v>
      </c>
      <c r="T5315" s="8">
        <v>1.0001180555555556</v>
      </c>
      <c r="U5315" s="98">
        <v>4.2948602268072067</v>
      </c>
      <c r="V5315" s="106">
        <v>40736.270142263224</v>
      </c>
      <c r="W5315" s="10">
        <v>1.1769648178317604</v>
      </c>
      <c r="X5315" s="420"/>
      <c r="Y5315" s="420"/>
    </row>
    <row r="5316" spans="17:25">
      <c r="Q5316" s="6">
        <v>5286</v>
      </c>
      <c r="R5316" s="7">
        <v>47953</v>
      </c>
      <c r="S5316" s="210">
        <v>4.25</v>
      </c>
      <c r="T5316" s="8">
        <v>1.0001180555555556</v>
      </c>
      <c r="U5316" s="98">
        <v>4.2948806643084092</v>
      </c>
      <c r="V5316" s="106">
        <v>40739.660736235797</v>
      </c>
      <c r="W5316" s="10">
        <v>1.1769841134405823</v>
      </c>
      <c r="X5316" s="420"/>
      <c r="Y5316" s="420"/>
    </row>
    <row r="5317" spans="17:25">
      <c r="Q5317" s="6">
        <v>5287</v>
      </c>
      <c r="R5317" s="7">
        <v>47954</v>
      </c>
      <c r="S5317" s="210">
        <v>4.25</v>
      </c>
      <c r="T5317" s="8">
        <v>1.0001180555555556</v>
      </c>
      <c r="U5317" s="98">
        <v>4.2949010940823706</v>
      </c>
      <c r="V5317" s="106">
        <v>40743.05161241701</v>
      </c>
      <c r="W5317" s="10">
        <v>1.1770034017537956</v>
      </c>
      <c r="X5317" s="420"/>
      <c r="Y5317" s="420"/>
    </row>
    <row r="5318" spans="17:25">
      <c r="Q5318" s="6">
        <v>5288</v>
      </c>
      <c r="R5318" s="7">
        <v>47955</v>
      </c>
      <c r="S5318" s="210">
        <v>4.25</v>
      </c>
      <c r="T5318" s="8">
        <v>1.0001180555555556</v>
      </c>
      <c r="U5318" s="98">
        <v>4.2949215161334875</v>
      </c>
      <c r="V5318" s="106">
        <v>40746.442770830363</v>
      </c>
      <c r="W5318" s="10">
        <v>1.1770226827755748</v>
      </c>
      <c r="X5318" s="420"/>
      <c r="Y5318" s="420"/>
    </row>
    <row r="5319" spans="17:25">
      <c r="Q5319" s="6">
        <v>5289</v>
      </c>
      <c r="R5319" s="7">
        <v>47956</v>
      </c>
      <c r="S5319" s="210">
        <v>4.25</v>
      </c>
      <c r="T5319" s="8">
        <v>1.0001180555555556</v>
      </c>
      <c r="U5319" s="98">
        <v>4.2949419304661562</v>
      </c>
      <c r="V5319" s="106">
        <v>40749.834211499336</v>
      </c>
      <c r="W5319" s="10">
        <v>1.1770419565100276</v>
      </c>
      <c r="X5319" s="420"/>
      <c r="Y5319" s="420"/>
    </row>
    <row r="5320" spans="17:25">
      <c r="Q5320" s="6">
        <v>5290</v>
      </c>
      <c r="R5320" s="7">
        <v>47957</v>
      </c>
      <c r="S5320" s="210">
        <v>4.25</v>
      </c>
      <c r="T5320" s="8">
        <v>1.0001180555555556</v>
      </c>
      <c r="U5320" s="98">
        <v>4.294962337084729</v>
      </c>
      <c r="V5320" s="106">
        <v>40753.225934447422</v>
      </c>
      <c r="W5320" s="10">
        <v>1.1770612229613064</v>
      </c>
      <c r="X5320" s="420"/>
      <c r="Y5320" s="420"/>
    </row>
    <row r="5321" spans="17:25">
      <c r="Q5321" s="6">
        <v>5291</v>
      </c>
      <c r="R5321" s="7">
        <v>47958</v>
      </c>
      <c r="S5321" s="210">
        <v>4.25</v>
      </c>
      <c r="T5321" s="8">
        <v>1.0001180555555556</v>
      </c>
      <c r="U5321" s="98">
        <v>4.2949827359935799</v>
      </c>
      <c r="V5321" s="106">
        <v>40756.617939698117</v>
      </c>
      <c r="W5321" s="10">
        <v>1.177080482133519</v>
      </c>
      <c r="X5321" s="420"/>
      <c r="Y5321" s="420"/>
    </row>
    <row r="5322" spans="17:25">
      <c r="Q5322" s="6">
        <v>5292</v>
      </c>
      <c r="R5322" s="7">
        <v>47959</v>
      </c>
      <c r="S5322" s="210">
        <v>4.25</v>
      </c>
      <c r="T5322" s="8">
        <v>1.0001180555555556</v>
      </c>
      <c r="U5322" s="98">
        <v>4.2950031271970834</v>
      </c>
      <c r="V5322" s="106">
        <v>40760.010227274921</v>
      </c>
      <c r="W5322" s="10">
        <v>1.1770997340308176</v>
      </c>
      <c r="X5322" s="420"/>
      <c r="Y5322" s="420"/>
    </row>
    <row r="5323" spans="17:25">
      <c r="Q5323" s="6">
        <v>5293</v>
      </c>
      <c r="R5323" s="7">
        <v>47960</v>
      </c>
      <c r="S5323" s="210">
        <v>4.25</v>
      </c>
      <c r="T5323" s="8">
        <v>1.0001180555555556</v>
      </c>
      <c r="U5323" s="98">
        <v>4.2950235106995915</v>
      </c>
      <c r="V5323" s="106">
        <v>40763.402797201328</v>
      </c>
      <c r="W5323" s="10">
        <v>1.1771189786572656</v>
      </c>
      <c r="X5323" s="420"/>
      <c r="Y5323" s="420"/>
    </row>
    <row r="5324" spans="17:25">
      <c r="Q5324" s="6">
        <v>5294</v>
      </c>
      <c r="R5324" s="7">
        <v>47961</v>
      </c>
      <c r="S5324" s="210">
        <v>4.25</v>
      </c>
      <c r="T5324" s="8">
        <v>1.0001180555555556</v>
      </c>
      <c r="U5324" s="98">
        <v>4.2950438865054785</v>
      </c>
      <c r="V5324" s="106">
        <v>40766.795649500848</v>
      </c>
      <c r="W5324" s="10">
        <v>1.1771382160170374</v>
      </c>
      <c r="X5324" s="420"/>
      <c r="Y5324" s="420"/>
    </row>
    <row r="5325" spans="17:25">
      <c r="Q5325" s="6">
        <v>5295</v>
      </c>
      <c r="R5325" s="7">
        <v>47962</v>
      </c>
      <c r="S5325" s="210">
        <v>4.25</v>
      </c>
      <c r="T5325" s="8">
        <v>1.0001180555555556</v>
      </c>
      <c r="U5325" s="98">
        <v>4.2950642546190965</v>
      </c>
      <c r="V5325" s="106">
        <v>40770.188784196966</v>
      </c>
      <c r="W5325" s="10">
        <v>1.1771574461142187</v>
      </c>
      <c r="X5325" s="420"/>
      <c r="Y5325" s="420"/>
    </row>
    <row r="5326" spans="17:25">
      <c r="Q5326" s="6">
        <v>5296</v>
      </c>
      <c r="R5326" s="7">
        <v>47963</v>
      </c>
      <c r="S5326" s="210">
        <v>4.25</v>
      </c>
      <c r="T5326" s="8">
        <v>1.0001180555555556</v>
      </c>
      <c r="U5326" s="98">
        <v>4.2950846150448196</v>
      </c>
      <c r="V5326" s="106">
        <v>40773.582201313206</v>
      </c>
      <c r="W5326" s="10">
        <v>1.1771766689529395</v>
      </c>
      <c r="X5326" s="420"/>
      <c r="Y5326" s="420"/>
    </row>
    <row r="5327" spans="17:25">
      <c r="Q5327" s="6">
        <v>5297</v>
      </c>
      <c r="R5327" s="7">
        <v>47964</v>
      </c>
      <c r="S5327" s="210">
        <v>4.25</v>
      </c>
      <c r="T5327" s="8">
        <v>1.0001180555555556</v>
      </c>
      <c r="U5327" s="98">
        <v>4.2951049677869779</v>
      </c>
      <c r="V5327" s="106">
        <v>40776.975900873069</v>
      </c>
      <c r="W5327" s="10">
        <v>1.1771958845373076</v>
      </c>
      <c r="X5327" s="420"/>
      <c r="Y5327" s="420"/>
    </row>
    <row r="5328" spans="17:25">
      <c r="Q5328" s="6">
        <v>5298</v>
      </c>
      <c r="R5328" s="7">
        <v>47965</v>
      </c>
      <c r="S5328" s="210">
        <v>4.25</v>
      </c>
      <c r="T5328" s="8">
        <v>1.0001180555555556</v>
      </c>
      <c r="U5328" s="98">
        <v>4.2951253128499234</v>
      </c>
      <c r="V5328" s="106">
        <v>40780.369882900057</v>
      </c>
      <c r="W5328" s="10">
        <v>1.1772150928714087</v>
      </c>
      <c r="X5328" s="420"/>
      <c r="Y5328" s="420"/>
    </row>
    <row r="5329" spans="17:25">
      <c r="Q5329" s="6">
        <v>5299</v>
      </c>
      <c r="R5329" s="7">
        <v>47966</v>
      </c>
      <c r="S5329" s="210">
        <v>4.25</v>
      </c>
      <c r="T5329" s="8">
        <v>1.0001180555555556</v>
      </c>
      <c r="U5329" s="98">
        <v>4.2951456502380081</v>
      </c>
      <c r="V5329" s="106">
        <v>40783.764147417685</v>
      </c>
      <c r="W5329" s="10">
        <v>1.1772342939593727</v>
      </c>
      <c r="X5329" s="420"/>
      <c r="Y5329" s="420"/>
    </row>
    <row r="5330" spans="17:25">
      <c r="Q5330" s="6">
        <v>5300</v>
      </c>
      <c r="R5330" s="7">
        <v>47967</v>
      </c>
      <c r="S5330" s="210">
        <v>4.25</v>
      </c>
      <c r="T5330" s="8">
        <v>1.0001180555555556</v>
      </c>
      <c r="U5330" s="98">
        <v>4.2951659799555619</v>
      </c>
      <c r="V5330" s="106">
        <v>40787.158694449463</v>
      </c>
      <c r="W5330" s="10">
        <v>1.1772534878052854</v>
      </c>
      <c r="X5330" s="420"/>
      <c r="Y5330" s="420"/>
    </row>
    <row r="5331" spans="17:25">
      <c r="Q5331" s="6">
        <v>5301</v>
      </c>
      <c r="R5331" s="7">
        <v>47968</v>
      </c>
      <c r="S5331" s="210">
        <v>4.25</v>
      </c>
      <c r="T5331" s="8">
        <v>1.0001180555555556</v>
      </c>
      <c r="U5331" s="98">
        <v>4.295186302006937</v>
      </c>
      <c r="V5331" s="106">
        <v>40790.553524018913</v>
      </c>
      <c r="W5331" s="10">
        <v>1.1772726744132322</v>
      </c>
      <c r="X5331" s="420"/>
      <c r="Y5331" s="420"/>
    </row>
    <row r="5332" spans="17:25">
      <c r="Q5332" s="6">
        <v>5302</v>
      </c>
      <c r="R5332" s="7">
        <v>47969</v>
      </c>
      <c r="S5332" s="210">
        <v>4.25</v>
      </c>
      <c r="T5332" s="8">
        <v>1.0001180555555556</v>
      </c>
      <c r="U5332" s="98">
        <v>4.2952066163964631</v>
      </c>
      <c r="V5332" s="106">
        <v>40793.948636149536</v>
      </c>
      <c r="W5332" s="10">
        <v>1.1772918537873212</v>
      </c>
      <c r="X5332" s="420"/>
      <c r="Y5332" s="420"/>
    </row>
    <row r="5333" spans="17:25">
      <c r="Q5333" s="6">
        <v>5303</v>
      </c>
      <c r="R5333" s="7">
        <v>47970</v>
      </c>
      <c r="S5333" s="210">
        <v>4.25</v>
      </c>
      <c r="T5333" s="8">
        <v>1.0001180555555556</v>
      </c>
      <c r="U5333" s="98">
        <v>4.2952269231284701</v>
      </c>
      <c r="V5333" s="106">
        <v>40797.344030864864</v>
      </c>
      <c r="W5333" s="10">
        <v>1.1773110259316377</v>
      </c>
      <c r="X5333" s="420"/>
      <c r="Y5333" s="420"/>
    </row>
    <row r="5334" spans="17:25">
      <c r="Q5334" s="6">
        <v>5304</v>
      </c>
      <c r="R5334" s="7">
        <v>47971</v>
      </c>
      <c r="S5334" s="210">
        <v>4.25</v>
      </c>
      <c r="T5334" s="8">
        <v>1.0001180555555556</v>
      </c>
      <c r="U5334" s="98">
        <v>4.2952472222072879</v>
      </c>
      <c r="V5334" s="106">
        <v>40800.739708188419</v>
      </c>
      <c r="W5334" s="10">
        <v>1.1773301908502454</v>
      </c>
      <c r="X5334" s="420"/>
      <c r="Y5334" s="420"/>
    </row>
    <row r="5335" spans="17:25">
      <c r="Q5335" s="6">
        <v>5305</v>
      </c>
      <c r="R5335" s="7">
        <v>47972</v>
      </c>
      <c r="S5335" s="210">
        <v>4.25</v>
      </c>
      <c r="T5335" s="8">
        <v>1.0001180555555556</v>
      </c>
      <c r="U5335" s="98">
        <v>4.2952675136372465</v>
      </c>
      <c r="V5335" s="106">
        <v>40804.13566814371</v>
      </c>
      <c r="W5335" s="10">
        <v>1.1773493485472741</v>
      </c>
      <c r="X5335" s="420"/>
      <c r="Y5335" s="420"/>
    </row>
    <row r="5336" spans="17:25">
      <c r="Q5336" s="6">
        <v>5306</v>
      </c>
      <c r="R5336" s="7">
        <v>47973</v>
      </c>
      <c r="S5336" s="210">
        <v>4.25</v>
      </c>
      <c r="T5336" s="8">
        <v>1.0001180555555556</v>
      </c>
      <c r="U5336" s="98">
        <v>4.2952877974226755</v>
      </c>
      <c r="V5336" s="106">
        <v>40807.531910754275</v>
      </c>
      <c r="W5336" s="10">
        <v>1.1773684990268096</v>
      </c>
      <c r="X5336" s="420"/>
      <c r="Y5336" s="420"/>
    </row>
    <row r="5337" spans="17:25">
      <c r="Q5337" s="6">
        <v>5307</v>
      </c>
      <c r="R5337" s="7">
        <v>47974</v>
      </c>
      <c r="S5337" s="210">
        <v>4.25</v>
      </c>
      <c r="T5337" s="8">
        <v>1.0001180555555556</v>
      </c>
      <c r="U5337" s="98">
        <v>4.2953080735678828</v>
      </c>
      <c r="V5337" s="106">
        <v>40810.928436043636</v>
      </c>
      <c r="W5337" s="10">
        <v>1.1773876422928709</v>
      </c>
      <c r="X5337" s="420"/>
      <c r="Y5337" s="420"/>
    </row>
    <row r="5338" spans="17:25">
      <c r="Q5338" s="6">
        <v>5308</v>
      </c>
      <c r="R5338" s="7">
        <v>47975</v>
      </c>
      <c r="S5338" s="210">
        <v>4.25</v>
      </c>
      <c r="T5338" s="8">
        <v>1.0001180555555556</v>
      </c>
      <c r="U5338" s="98">
        <v>4.295328342077176</v>
      </c>
      <c r="V5338" s="106">
        <v>40814.325244035317</v>
      </c>
      <c r="W5338" s="10">
        <v>1.1774067783495656</v>
      </c>
      <c r="X5338" s="420"/>
      <c r="Y5338" s="420"/>
    </row>
    <row r="5339" spans="17:25">
      <c r="Q5339" s="6">
        <v>5309</v>
      </c>
      <c r="R5339" s="7">
        <v>47976</v>
      </c>
      <c r="S5339" s="210">
        <v>4.25</v>
      </c>
      <c r="T5339" s="8">
        <v>1.0001180555555556</v>
      </c>
      <c r="U5339" s="98">
        <v>4.2953486029548849</v>
      </c>
      <c r="V5339" s="106">
        <v>40817.722334752849</v>
      </c>
      <c r="W5339" s="10">
        <v>1.1774259072009796</v>
      </c>
      <c r="X5339" s="420"/>
      <c r="Y5339" s="420"/>
    </row>
    <row r="5340" spans="17:25">
      <c r="Q5340" s="6">
        <v>5310</v>
      </c>
      <c r="R5340" s="7">
        <v>47977</v>
      </c>
      <c r="S5340" s="210">
        <v>4.25</v>
      </c>
      <c r="T5340" s="8">
        <v>1.0001180555555556</v>
      </c>
      <c r="U5340" s="98">
        <v>4.2953688562053172</v>
      </c>
      <c r="V5340" s="106">
        <v>40821.119708219761</v>
      </c>
      <c r="W5340" s="10">
        <v>1.1774450288511762</v>
      </c>
      <c r="X5340" s="420"/>
      <c r="Y5340" s="420"/>
    </row>
    <row r="5341" spans="17:25">
      <c r="Q5341" s="6">
        <v>5311</v>
      </c>
      <c r="R5341" s="7">
        <v>47978</v>
      </c>
      <c r="S5341" s="210">
        <v>4.25</v>
      </c>
      <c r="T5341" s="8">
        <v>1.0001180555555556</v>
      </c>
      <c r="U5341" s="98">
        <v>4.2953891018327583</v>
      </c>
      <c r="V5341" s="106">
        <v>40824.5173644596</v>
      </c>
      <c r="W5341" s="10">
        <v>1.1774641433041966</v>
      </c>
      <c r="X5341" s="420"/>
      <c r="Y5341" s="420"/>
    </row>
    <row r="5342" spans="17:25">
      <c r="Q5342" s="6">
        <v>5312</v>
      </c>
      <c r="R5342" s="7">
        <v>47979</v>
      </c>
      <c r="S5342" s="210">
        <v>4.25</v>
      </c>
      <c r="T5342" s="8">
        <v>1.0001180555555556</v>
      </c>
      <c r="U5342" s="98">
        <v>4.2954093398415383</v>
      </c>
      <c r="V5342" s="106">
        <v>40827.915303495894</v>
      </c>
      <c r="W5342" s="10">
        <v>1.1774832505641042</v>
      </c>
      <c r="X5342" s="420"/>
      <c r="Y5342" s="420"/>
    </row>
    <row r="5343" spans="17:25">
      <c r="Q5343" s="6">
        <v>5313</v>
      </c>
      <c r="R5343" s="7">
        <v>47980</v>
      </c>
      <c r="S5343" s="210">
        <v>4.25</v>
      </c>
      <c r="T5343" s="8">
        <v>1.0001180555555556</v>
      </c>
      <c r="U5343" s="98">
        <v>4.2954295702359424</v>
      </c>
      <c r="V5343" s="106">
        <v>40831.313525352169</v>
      </c>
      <c r="W5343" s="10">
        <v>1.1775023506350069</v>
      </c>
      <c r="X5343" s="420"/>
      <c r="Y5343" s="420"/>
    </row>
    <row r="5344" spans="17:25">
      <c r="Q5344" s="6">
        <v>5314</v>
      </c>
      <c r="R5344" s="7">
        <v>47981</v>
      </c>
      <c r="S5344" s="210">
        <v>4.25</v>
      </c>
      <c r="T5344" s="8">
        <v>1.0001180555555556</v>
      </c>
      <c r="U5344" s="98">
        <v>4.2954497930202784</v>
      </c>
      <c r="V5344" s="106">
        <v>40834.712030051982</v>
      </c>
      <c r="W5344" s="10">
        <v>1.1775214435209236</v>
      </c>
      <c r="X5344" s="420"/>
      <c r="Y5344" s="420"/>
    </row>
    <row r="5345" spans="17:25">
      <c r="Q5345" s="6">
        <v>5315</v>
      </c>
      <c r="R5345" s="7">
        <v>47982</v>
      </c>
      <c r="S5345" s="210">
        <v>4.25</v>
      </c>
      <c r="T5345" s="8">
        <v>1.0001180555555556</v>
      </c>
      <c r="U5345" s="98">
        <v>4.2954700081988317</v>
      </c>
      <c r="V5345" s="106">
        <v>40838.110817618872</v>
      </c>
      <c r="W5345" s="10">
        <v>1.1775405292259178</v>
      </c>
      <c r="X5345" s="420"/>
      <c r="Y5345" s="420"/>
    </row>
    <row r="5346" spans="17:25">
      <c r="Q5346" s="6">
        <v>5316</v>
      </c>
      <c r="R5346" s="7">
        <v>47983</v>
      </c>
      <c r="S5346" s="210">
        <v>4.25</v>
      </c>
      <c r="T5346" s="8">
        <v>1.0001180555555556</v>
      </c>
      <c r="U5346" s="98">
        <v>4.2954902157758879</v>
      </c>
      <c r="V5346" s="106">
        <v>40841.509888076384</v>
      </c>
      <c r="W5346" s="10">
        <v>1.1775596077540085</v>
      </c>
      <c r="X5346" s="420"/>
      <c r="Y5346" s="420"/>
    </row>
    <row r="5347" spans="17:25">
      <c r="Q5347" s="6">
        <v>5317</v>
      </c>
      <c r="R5347" s="7">
        <v>47984</v>
      </c>
      <c r="S5347" s="210">
        <v>4.25</v>
      </c>
      <c r="T5347" s="8">
        <v>1.0001180555555556</v>
      </c>
      <c r="U5347" s="98">
        <v>4.2955104157557322</v>
      </c>
      <c r="V5347" s="106">
        <v>40844.909241448055</v>
      </c>
      <c r="W5347" s="10">
        <v>1.1775786791092813</v>
      </c>
      <c r="X5347" s="420"/>
      <c r="Y5347" s="420"/>
    </row>
    <row r="5348" spans="17:25">
      <c r="Q5348" s="6">
        <v>5318</v>
      </c>
      <c r="R5348" s="7">
        <v>47985</v>
      </c>
      <c r="S5348" s="210">
        <v>4.25</v>
      </c>
      <c r="T5348" s="8">
        <v>1.0001180555555556</v>
      </c>
      <c r="U5348" s="98">
        <v>4.2955306081426503</v>
      </c>
      <c r="V5348" s="106">
        <v>40848.308877757438</v>
      </c>
      <c r="W5348" s="10">
        <v>1.1775977432957552</v>
      </c>
      <c r="X5348" s="420"/>
      <c r="Y5348" s="420"/>
    </row>
    <row r="5349" spans="17:25">
      <c r="Q5349" s="6">
        <v>5319</v>
      </c>
      <c r="R5349" s="7">
        <v>47986</v>
      </c>
      <c r="S5349" s="210">
        <v>4.25</v>
      </c>
      <c r="T5349" s="8">
        <v>1.0001180555555556</v>
      </c>
      <c r="U5349" s="98">
        <v>4.2955507929409276</v>
      </c>
      <c r="V5349" s="106">
        <v>40851.708797028077</v>
      </c>
      <c r="W5349" s="10">
        <v>1.1776168003174936</v>
      </c>
      <c r="X5349" s="420"/>
      <c r="Y5349" s="420"/>
    </row>
    <row r="5350" spans="17:25">
      <c r="Q5350" s="6">
        <v>5320</v>
      </c>
      <c r="R5350" s="7">
        <v>47987</v>
      </c>
      <c r="S5350" s="210">
        <v>4.25</v>
      </c>
      <c r="T5350" s="8">
        <v>1.0001180555555556</v>
      </c>
      <c r="U5350" s="98">
        <v>4.2955709701548495</v>
      </c>
      <c r="V5350" s="106">
        <v>40855.108999283533</v>
      </c>
      <c r="W5350" s="10">
        <v>1.1776358501785378</v>
      </c>
      <c r="X5350" s="420"/>
      <c r="Y5350" s="420"/>
    </row>
    <row r="5351" spans="17:25">
      <c r="Q5351" s="6">
        <v>5321</v>
      </c>
      <c r="R5351" s="7">
        <v>47988</v>
      </c>
      <c r="S5351" s="210">
        <v>4.25</v>
      </c>
      <c r="T5351" s="8">
        <v>1.0001180555555556</v>
      </c>
      <c r="U5351" s="98">
        <v>4.2955911397886792</v>
      </c>
      <c r="V5351" s="106">
        <v>40858.509484547358</v>
      </c>
      <c r="W5351" s="10">
        <v>1.1776548928829289</v>
      </c>
      <c r="X5351" s="420"/>
      <c r="Y5351" s="420"/>
    </row>
    <row r="5352" spans="17:25">
      <c r="Q5352" s="6">
        <v>5322</v>
      </c>
      <c r="R5352" s="7">
        <v>47989</v>
      </c>
      <c r="S5352" s="210">
        <v>4.25</v>
      </c>
      <c r="T5352" s="8">
        <v>1.0001180555555556</v>
      </c>
      <c r="U5352" s="98">
        <v>4.2956113018466802</v>
      </c>
      <c r="V5352" s="106">
        <v>40861.910252843103</v>
      </c>
      <c r="W5352" s="10">
        <v>1.1776739284346416</v>
      </c>
      <c r="X5352" s="420"/>
      <c r="Y5352" s="420"/>
    </row>
    <row r="5353" spans="17:25">
      <c r="Q5353" s="6">
        <v>5323</v>
      </c>
      <c r="R5353" s="7">
        <v>47990</v>
      </c>
      <c r="S5353" s="210">
        <v>4.25</v>
      </c>
      <c r="T5353" s="8">
        <v>1.0001180555555556</v>
      </c>
      <c r="U5353" s="98">
        <v>4.2956314563331155</v>
      </c>
      <c r="V5353" s="106">
        <v>40865.311304194329</v>
      </c>
      <c r="W5353" s="10">
        <v>1.1776929568377392</v>
      </c>
      <c r="X5353" s="420"/>
      <c r="Y5353" s="420"/>
    </row>
    <row r="5354" spans="17:25">
      <c r="Q5354" s="6">
        <v>5324</v>
      </c>
      <c r="R5354" s="7">
        <v>47991</v>
      </c>
      <c r="S5354" s="210">
        <v>4.25</v>
      </c>
      <c r="T5354" s="8">
        <v>1.0001180555555556</v>
      </c>
      <c r="U5354" s="98">
        <v>4.2956516032522707</v>
      </c>
      <c r="V5354" s="106">
        <v>40868.712638624602</v>
      </c>
      <c r="W5354" s="10">
        <v>1.177711978096263</v>
      </c>
      <c r="X5354" s="420"/>
      <c r="Y5354" s="420"/>
    </row>
    <row r="5355" spans="17:25">
      <c r="Q5355" s="6">
        <v>5325</v>
      </c>
      <c r="R5355" s="7">
        <v>47992</v>
      </c>
      <c r="S5355" s="210">
        <v>4.25</v>
      </c>
      <c r="T5355" s="8">
        <v>1.0001180555555556</v>
      </c>
      <c r="U5355" s="98">
        <v>4.295671742608409</v>
      </c>
      <c r="V5355" s="106">
        <v>40872.11425615746</v>
      </c>
      <c r="W5355" s="10">
        <v>1.1777309922142543</v>
      </c>
      <c r="X5355" s="420"/>
      <c r="Y5355" s="420"/>
    </row>
    <row r="5356" spans="17:25">
      <c r="Q5356" s="6">
        <v>5326</v>
      </c>
      <c r="R5356" s="7">
        <v>47993</v>
      </c>
      <c r="S5356" s="210">
        <v>4.25</v>
      </c>
      <c r="T5356" s="8">
        <v>1.0001180555555556</v>
      </c>
      <c r="U5356" s="98">
        <v>4.2956918744057715</v>
      </c>
      <c r="V5356" s="106">
        <v>40875.516156816491</v>
      </c>
      <c r="W5356" s="10">
        <v>1.1777499991956875</v>
      </c>
      <c r="X5356" s="420"/>
      <c r="Y5356" s="420"/>
    </row>
    <row r="5357" spans="17:25">
      <c r="Q5357" s="6">
        <v>5327</v>
      </c>
      <c r="R5357" s="7">
        <v>47994</v>
      </c>
      <c r="S5357" s="210">
        <v>4.25</v>
      </c>
      <c r="T5357" s="8">
        <v>1.0001180555555556</v>
      </c>
      <c r="U5357" s="98">
        <v>4.2957119986486214</v>
      </c>
      <c r="V5357" s="106">
        <v>40878.918340625249</v>
      </c>
      <c r="W5357" s="10">
        <v>1.1777689990446039</v>
      </c>
      <c r="X5357" s="420"/>
      <c r="Y5357" s="420"/>
    </row>
    <row r="5358" spans="17:25">
      <c r="Q5358" s="6">
        <v>5328</v>
      </c>
      <c r="R5358" s="7">
        <v>47995</v>
      </c>
      <c r="S5358" s="210">
        <v>4.25</v>
      </c>
      <c r="T5358" s="8">
        <v>1.0001180555555556</v>
      </c>
      <c r="U5358" s="98">
        <v>4.2957321153411998</v>
      </c>
      <c r="V5358" s="106">
        <v>40882.320807607306</v>
      </c>
      <c r="W5358" s="10">
        <v>1.1777879917650003</v>
      </c>
      <c r="X5358" s="420"/>
      <c r="Y5358" s="420"/>
    </row>
    <row r="5359" spans="17:25">
      <c r="Q5359" s="6">
        <v>5329</v>
      </c>
      <c r="R5359" s="7">
        <v>47996</v>
      </c>
      <c r="S5359" s="210">
        <v>4.25</v>
      </c>
      <c r="T5359" s="8">
        <v>1.0001180555555556</v>
      </c>
      <c r="U5359" s="98">
        <v>4.2957522244877699</v>
      </c>
      <c r="V5359" s="106">
        <v>40885.72355778623</v>
      </c>
      <c r="W5359" s="10">
        <v>1.1778069773608957</v>
      </c>
      <c r="X5359" s="420"/>
      <c r="Y5359" s="420"/>
    </row>
    <row r="5360" spans="17:25">
      <c r="Q5360" s="6">
        <v>5330</v>
      </c>
      <c r="R5360" s="7">
        <v>47997</v>
      </c>
      <c r="S5360" s="210">
        <v>4.25</v>
      </c>
      <c r="T5360" s="8">
        <v>1.0001180555555556</v>
      </c>
      <c r="U5360" s="98">
        <v>4.2957723260925507</v>
      </c>
      <c r="V5360" s="106">
        <v>40889.126591185588</v>
      </c>
      <c r="W5360" s="10">
        <v>1.1778259558362869</v>
      </c>
      <c r="X5360" s="420"/>
      <c r="Y5360" s="420"/>
    </row>
    <row r="5361" spans="17:25">
      <c r="Q5361" s="6">
        <v>5331</v>
      </c>
      <c r="R5361" s="7">
        <v>47998</v>
      </c>
      <c r="S5361" s="210">
        <v>4.25</v>
      </c>
      <c r="T5361" s="8">
        <v>1.0001180555555556</v>
      </c>
      <c r="U5361" s="98">
        <v>4.2957924201598052</v>
      </c>
      <c r="V5361" s="106">
        <v>40892.529907828954</v>
      </c>
      <c r="W5361" s="10">
        <v>1.1778449271952152</v>
      </c>
      <c r="X5361" s="420"/>
      <c r="Y5361" s="420"/>
    </row>
    <row r="5362" spans="17:25">
      <c r="Q5362" s="6">
        <v>5332</v>
      </c>
      <c r="R5362" s="7">
        <v>47999</v>
      </c>
      <c r="S5362" s="210">
        <v>4.25</v>
      </c>
      <c r="T5362" s="8">
        <v>1.0001180555555556</v>
      </c>
      <c r="U5362" s="98">
        <v>4.2958125066937747</v>
      </c>
      <c r="V5362" s="106">
        <v>40895.933507739908</v>
      </c>
      <c r="W5362" s="10">
        <v>1.177863891441655</v>
      </c>
      <c r="X5362" s="420"/>
      <c r="Y5362" s="420"/>
    </row>
    <row r="5363" spans="17:25">
      <c r="Q5363" s="6">
        <v>5333</v>
      </c>
      <c r="R5363" s="7">
        <v>48000</v>
      </c>
      <c r="S5363" s="210">
        <v>4.25</v>
      </c>
      <c r="T5363" s="8">
        <v>1.0001180555555556</v>
      </c>
      <c r="U5363" s="98">
        <v>4.2958325856987001</v>
      </c>
      <c r="V5363" s="106">
        <v>40899.337390942026</v>
      </c>
      <c r="W5363" s="10">
        <v>1.1778828485796033</v>
      </c>
      <c r="X5363" s="420"/>
      <c r="Y5363" s="420"/>
    </row>
    <row r="5364" spans="17:25">
      <c r="Q5364" s="6">
        <v>5334</v>
      </c>
      <c r="R5364" s="7">
        <v>48001</v>
      </c>
      <c r="S5364" s="210">
        <v>4.25</v>
      </c>
      <c r="T5364" s="8">
        <v>1.0001180555555556</v>
      </c>
      <c r="U5364" s="98">
        <v>4.2958526571788003</v>
      </c>
      <c r="V5364" s="106">
        <v>40902.741557458881</v>
      </c>
      <c r="W5364" s="10">
        <v>1.1779017986130791</v>
      </c>
      <c r="X5364" s="420"/>
      <c r="Y5364" s="420"/>
    </row>
    <row r="5365" spans="17:25">
      <c r="Q5365" s="6">
        <v>5335</v>
      </c>
      <c r="R5365" s="7">
        <v>48002</v>
      </c>
      <c r="S5365" s="210">
        <v>4.25</v>
      </c>
      <c r="T5365" s="8">
        <v>1.0001180555555556</v>
      </c>
      <c r="U5365" s="98">
        <v>4.2958727211382941</v>
      </c>
      <c r="V5365" s="106">
        <v>40906.14600731407</v>
      </c>
      <c r="W5365" s="10">
        <v>1.1779207415460347</v>
      </c>
      <c r="X5365" s="420"/>
      <c r="Y5365" s="420"/>
    </row>
    <row r="5366" spans="17:25">
      <c r="Q5366" s="6">
        <v>5336</v>
      </c>
      <c r="R5366" s="7">
        <v>48003</v>
      </c>
      <c r="S5366" s="210">
        <v>4.25</v>
      </c>
      <c r="T5366" s="8">
        <v>1.0001180555555556</v>
      </c>
      <c r="U5366" s="98">
        <v>4.2958927775814226</v>
      </c>
      <c r="V5366" s="106">
        <v>40909.550740531158</v>
      </c>
      <c r="W5366" s="10">
        <v>1.1779396773825113</v>
      </c>
      <c r="X5366" s="420"/>
      <c r="Y5366" s="420"/>
    </row>
    <row r="5367" spans="17:25">
      <c r="Q5367" s="6">
        <v>5337</v>
      </c>
      <c r="R5367" s="7">
        <v>48004</v>
      </c>
      <c r="S5367" s="210">
        <v>4.25</v>
      </c>
      <c r="T5367" s="8">
        <v>1.0001180555555556</v>
      </c>
      <c r="U5367" s="98">
        <v>4.2959128265124047</v>
      </c>
      <c r="V5367" s="106">
        <v>40912.955757133743</v>
      </c>
      <c r="W5367" s="10">
        <v>1.1779586061264391</v>
      </c>
      <c r="X5367" s="420"/>
      <c r="Y5367" s="420"/>
    </row>
    <row r="5368" spans="17:25">
      <c r="Q5368" s="6">
        <v>5338</v>
      </c>
      <c r="R5368" s="7">
        <v>48005</v>
      </c>
      <c r="S5368" s="210">
        <v>4.25</v>
      </c>
      <c r="T5368" s="8">
        <v>1.0001180555555556</v>
      </c>
      <c r="U5368" s="98">
        <v>4.2959328679354591</v>
      </c>
      <c r="V5368" s="106">
        <v>40916.361057145397</v>
      </c>
      <c r="W5368" s="10">
        <v>1.1779775277818372</v>
      </c>
      <c r="X5368" s="420"/>
      <c r="Y5368" s="420"/>
    </row>
    <row r="5369" spans="17:25">
      <c r="Q5369" s="6">
        <v>5339</v>
      </c>
      <c r="R5369" s="7">
        <v>48006</v>
      </c>
      <c r="S5369" s="210">
        <v>4.25</v>
      </c>
      <c r="T5369" s="8">
        <v>1.0001180555555556</v>
      </c>
      <c r="U5369" s="98">
        <v>4.2959529018548048</v>
      </c>
      <c r="V5369" s="106">
        <v>40919.766640589725</v>
      </c>
      <c r="W5369" s="10">
        <v>1.1779964423527023</v>
      </c>
      <c r="X5369" s="420"/>
      <c r="Y5369" s="420"/>
    </row>
    <row r="5370" spans="17:25">
      <c r="Q5370" s="6">
        <v>5340</v>
      </c>
      <c r="R5370" s="7">
        <v>48007</v>
      </c>
      <c r="S5370" s="210">
        <v>4.25</v>
      </c>
      <c r="T5370" s="8">
        <v>1.0001180555555556</v>
      </c>
      <c r="U5370" s="98">
        <v>4.2959729282746606</v>
      </c>
      <c r="V5370" s="106">
        <v>40923.172507490315</v>
      </c>
      <c r="W5370" s="10">
        <v>1.1780153498429646</v>
      </c>
      <c r="X5370" s="420"/>
      <c r="Y5370" s="420"/>
    </row>
    <row r="5371" spans="17:25">
      <c r="Q5371" s="6">
        <v>5341</v>
      </c>
      <c r="R5371" s="7">
        <v>48008</v>
      </c>
      <c r="S5371" s="210">
        <v>4.25</v>
      </c>
      <c r="T5371" s="8">
        <v>1.0001180555555556</v>
      </c>
      <c r="U5371" s="98">
        <v>4.2959929471992453</v>
      </c>
      <c r="V5371" s="106">
        <v>40926.578657870748</v>
      </c>
      <c r="W5371" s="10">
        <v>1.1780342502566654</v>
      </c>
      <c r="X5371" s="420"/>
      <c r="Y5371" s="420"/>
    </row>
    <row r="5372" spans="17:25">
      <c r="Q5372" s="6">
        <v>5342</v>
      </c>
      <c r="R5372" s="7">
        <v>48009</v>
      </c>
      <c r="S5372" s="210">
        <v>4.25</v>
      </c>
      <c r="T5372" s="8">
        <v>1.0001180555555556</v>
      </c>
      <c r="U5372" s="98">
        <v>4.2960129586327556</v>
      </c>
      <c r="V5372" s="106">
        <v>40929.985091754621</v>
      </c>
      <c r="W5372" s="10">
        <v>1.1780531435977126</v>
      </c>
      <c r="X5372" s="420"/>
      <c r="Y5372" s="420"/>
    </row>
    <row r="5373" spans="17:25">
      <c r="Q5373" s="6">
        <v>5343</v>
      </c>
      <c r="R5373" s="7">
        <v>48010</v>
      </c>
      <c r="S5373" s="210">
        <v>4.25</v>
      </c>
      <c r="T5373" s="8">
        <v>1.0001180555555556</v>
      </c>
      <c r="U5373" s="98">
        <v>4.296032962579388</v>
      </c>
      <c r="V5373" s="106">
        <v>40933.391809165551</v>
      </c>
      <c r="W5373" s="10">
        <v>1.1780720298701253</v>
      </c>
      <c r="X5373" s="420"/>
      <c r="Y5373" s="420"/>
    </row>
    <row r="5374" spans="17:25">
      <c r="Q5374" s="6">
        <v>5344</v>
      </c>
      <c r="R5374" s="7">
        <v>48011</v>
      </c>
      <c r="S5374" s="210">
        <v>4.25</v>
      </c>
      <c r="T5374" s="8">
        <v>1.0001180555555556</v>
      </c>
      <c r="U5374" s="98">
        <v>4.2960529590433394</v>
      </c>
      <c r="V5374" s="106">
        <v>40936.798810127111</v>
      </c>
      <c r="W5374" s="10">
        <v>1.1780909090778335</v>
      </c>
      <c r="X5374" s="420"/>
      <c r="Y5374" s="420"/>
    </row>
    <row r="5375" spans="17:25">
      <c r="Q5375" s="6">
        <v>5345</v>
      </c>
      <c r="R5375" s="7">
        <v>48012</v>
      </c>
      <c r="S5375" s="210">
        <v>4.25</v>
      </c>
      <c r="T5375" s="8">
        <v>1.0001180555555556</v>
      </c>
      <c r="U5375" s="98">
        <v>4.2960729480288284</v>
      </c>
      <c r="V5375" s="106">
        <v>40940.206094662921</v>
      </c>
      <c r="W5375" s="10">
        <v>1.178109781224812</v>
      </c>
      <c r="X5375" s="420"/>
      <c r="Y5375" s="420"/>
    </row>
    <row r="5376" spans="17:25">
      <c r="Q5376" s="6">
        <v>5346</v>
      </c>
      <c r="R5376" s="7">
        <v>48013</v>
      </c>
      <c r="S5376" s="210">
        <v>4.25</v>
      </c>
      <c r="T5376" s="8">
        <v>1.0001180555555556</v>
      </c>
      <c r="U5376" s="98">
        <v>4.2960929295400296</v>
      </c>
      <c r="V5376" s="106">
        <v>40943.613662796568</v>
      </c>
      <c r="W5376" s="10">
        <v>1.1781286463150131</v>
      </c>
      <c r="X5376" s="420"/>
      <c r="Y5376" s="420"/>
    </row>
    <row r="5377" spans="17:25">
      <c r="Q5377" s="6">
        <v>5347</v>
      </c>
      <c r="R5377" s="7">
        <v>48014</v>
      </c>
      <c r="S5377" s="210">
        <v>4.25</v>
      </c>
      <c r="T5377" s="8">
        <v>1.0001180555555556</v>
      </c>
      <c r="U5377" s="98">
        <v>4.2961129035811396</v>
      </c>
      <c r="V5377" s="106">
        <v>40947.02151455167</v>
      </c>
      <c r="W5377" s="10">
        <v>1.1781475043524114</v>
      </c>
      <c r="X5377" s="420"/>
      <c r="Y5377" s="420"/>
    </row>
    <row r="5378" spans="17:25">
      <c r="Q5378" s="6">
        <v>5348</v>
      </c>
      <c r="R5378" s="7">
        <v>48015</v>
      </c>
      <c r="S5378" s="210">
        <v>4.25</v>
      </c>
      <c r="T5378" s="8">
        <v>1.0001180555555556</v>
      </c>
      <c r="U5378" s="98">
        <v>4.296132870156355</v>
      </c>
      <c r="V5378" s="106">
        <v>40950.429649951831</v>
      </c>
      <c r="W5378" s="10">
        <v>1.1781663553409594</v>
      </c>
      <c r="X5378" s="420"/>
      <c r="Y5378" s="420"/>
    </row>
    <row r="5379" spans="17:25">
      <c r="Q5379" s="6">
        <v>5349</v>
      </c>
      <c r="R5379" s="7">
        <v>48016</v>
      </c>
      <c r="S5379" s="210">
        <v>4.25</v>
      </c>
      <c r="T5379" s="8">
        <v>1.0001180555555556</v>
      </c>
      <c r="U5379" s="98">
        <v>4.2961528292698503</v>
      </c>
      <c r="V5379" s="106">
        <v>40953.838069020647</v>
      </c>
      <c r="W5379" s="10">
        <v>1.1781851992845871</v>
      </c>
      <c r="X5379" s="420"/>
      <c r="Y5379" s="420"/>
    </row>
    <row r="5380" spans="17:25">
      <c r="Q5380" s="6">
        <v>5350</v>
      </c>
      <c r="R5380" s="7">
        <v>48017</v>
      </c>
      <c r="S5380" s="210">
        <v>4.25</v>
      </c>
      <c r="T5380" s="8">
        <v>1.0001180555555556</v>
      </c>
      <c r="U5380" s="98">
        <v>4.2961727809258221</v>
      </c>
      <c r="V5380" s="106">
        <v>40957.246771781742</v>
      </c>
      <c r="W5380" s="10">
        <v>1.1782040361872692</v>
      </c>
      <c r="X5380" s="420"/>
      <c r="Y5380" s="420"/>
    </row>
    <row r="5381" spans="17:25">
      <c r="Q5381" s="6">
        <v>5351</v>
      </c>
      <c r="R5381" s="7">
        <v>48018</v>
      </c>
      <c r="S5381" s="210">
        <v>4.25</v>
      </c>
      <c r="T5381" s="8">
        <v>1.0001180555555556</v>
      </c>
      <c r="U5381" s="98">
        <v>4.2961927251284227</v>
      </c>
      <c r="V5381" s="106">
        <v>40960.655758258727</v>
      </c>
      <c r="W5381" s="10">
        <v>1.1782228660529359</v>
      </c>
      <c r="X5381" s="420"/>
      <c r="Y5381" s="420"/>
    </row>
    <row r="5382" spans="17:25">
      <c r="Q5382" s="6">
        <v>5352</v>
      </c>
      <c r="R5382" s="7">
        <v>48019</v>
      </c>
      <c r="S5382" s="210">
        <v>4.25</v>
      </c>
      <c r="T5382" s="8">
        <v>1.0001180555555556</v>
      </c>
      <c r="U5382" s="98">
        <v>4.2962126618818486</v>
      </c>
      <c r="V5382" s="106">
        <v>40964.065028475212</v>
      </c>
      <c r="W5382" s="10">
        <v>1.1782416888855174</v>
      </c>
      <c r="X5382" s="420"/>
      <c r="Y5382" s="420"/>
    </row>
    <row r="5383" spans="17:25">
      <c r="Q5383" s="6">
        <v>5353</v>
      </c>
      <c r="R5383" s="7">
        <v>48020</v>
      </c>
      <c r="S5383" s="210">
        <v>4.25</v>
      </c>
      <c r="T5383" s="8">
        <v>1.0001180555555556</v>
      </c>
      <c r="U5383" s="98">
        <v>4.2962325911902743</v>
      </c>
      <c r="V5383" s="106">
        <v>40967.474582454808</v>
      </c>
      <c r="W5383" s="10">
        <v>1.1782605046889882</v>
      </c>
      <c r="X5383" s="420"/>
      <c r="Y5383" s="420"/>
    </row>
    <row r="5384" spans="17:25">
      <c r="Q5384" s="6">
        <v>5354</v>
      </c>
      <c r="R5384" s="7">
        <v>48021</v>
      </c>
      <c r="S5384" s="210">
        <v>4.25</v>
      </c>
      <c r="T5384" s="8">
        <v>1.0001180555555556</v>
      </c>
      <c r="U5384" s="98">
        <v>4.2962525130578522</v>
      </c>
      <c r="V5384" s="106">
        <v>40970.884420221155</v>
      </c>
      <c r="W5384" s="10">
        <v>1.1782793134672565</v>
      </c>
      <c r="X5384" s="420"/>
      <c r="Y5384" s="420"/>
    </row>
    <row r="5385" spans="17:25">
      <c r="Q5385" s="6">
        <v>5355</v>
      </c>
      <c r="R5385" s="7">
        <v>48022</v>
      </c>
      <c r="S5385" s="210">
        <v>4.25</v>
      </c>
      <c r="T5385" s="8">
        <v>1.0001180555555556</v>
      </c>
      <c r="U5385" s="98">
        <v>4.2962724274887787</v>
      </c>
      <c r="V5385" s="106">
        <v>40974.294541797848</v>
      </c>
      <c r="W5385" s="10">
        <v>1.1782981152242744</v>
      </c>
      <c r="X5385" s="420"/>
      <c r="Y5385" s="420"/>
    </row>
    <row r="5386" spans="17:25">
      <c r="Q5386" s="6">
        <v>5356</v>
      </c>
      <c r="R5386" s="7">
        <v>48023</v>
      </c>
      <c r="S5386" s="210">
        <v>4.25</v>
      </c>
      <c r="T5386" s="8">
        <v>1.0001180555555556</v>
      </c>
      <c r="U5386" s="98">
        <v>4.296292334487184</v>
      </c>
      <c r="V5386" s="106">
        <v>40977.704947208535</v>
      </c>
      <c r="W5386" s="10">
        <v>1.1783169099639501</v>
      </c>
      <c r="X5386" s="420"/>
      <c r="Y5386" s="420"/>
    </row>
    <row r="5387" spans="17:25">
      <c r="Q5387" s="6">
        <v>5357</v>
      </c>
      <c r="R5387" s="7">
        <v>48024</v>
      </c>
      <c r="S5387" s="210">
        <v>4.25</v>
      </c>
      <c r="T5387" s="8">
        <v>1.0001180555555556</v>
      </c>
      <c r="U5387" s="98">
        <v>4.2963122340572424</v>
      </c>
      <c r="V5387" s="106">
        <v>40981.11563647681</v>
      </c>
      <c r="W5387" s="10">
        <v>1.1783356976902359</v>
      </c>
      <c r="X5387" s="420"/>
      <c r="Y5387" s="420"/>
    </row>
    <row r="5388" spans="17:25">
      <c r="Q5388" s="6">
        <v>5358</v>
      </c>
      <c r="R5388" s="7">
        <v>48025</v>
      </c>
      <c r="S5388" s="210">
        <v>4.25</v>
      </c>
      <c r="T5388" s="8">
        <v>1.0001180555555556</v>
      </c>
      <c r="U5388" s="98">
        <v>4.2963321262031062</v>
      </c>
      <c r="V5388" s="106">
        <v>40984.526609626322</v>
      </c>
      <c r="W5388" s="10">
        <v>1.1783544784070399</v>
      </c>
      <c r="X5388" s="420"/>
      <c r="Y5388" s="420"/>
    </row>
    <row r="5389" spans="17:25">
      <c r="Q5389" s="6">
        <v>5359</v>
      </c>
      <c r="R5389" s="7">
        <v>48026</v>
      </c>
      <c r="S5389" s="210">
        <v>4.25</v>
      </c>
      <c r="T5389" s="8">
        <v>1.0001180555555556</v>
      </c>
      <c r="U5389" s="98">
        <v>4.2963520109289499</v>
      </c>
      <c r="V5389" s="106">
        <v>40987.937866680688</v>
      </c>
      <c r="W5389" s="10">
        <v>1.1783732521182921</v>
      </c>
      <c r="X5389" s="420"/>
      <c r="Y5389" s="420"/>
    </row>
    <row r="5390" spans="17:25">
      <c r="Q5390" s="6">
        <v>5360</v>
      </c>
      <c r="R5390" s="7">
        <v>48027</v>
      </c>
      <c r="S5390" s="210">
        <v>4.25</v>
      </c>
      <c r="T5390" s="8">
        <v>1.0001180555555556</v>
      </c>
      <c r="U5390" s="98">
        <v>4.2963718882389035</v>
      </c>
      <c r="V5390" s="106">
        <v>40991.349407663547</v>
      </c>
      <c r="W5390" s="10">
        <v>1.1783920188279229</v>
      </c>
      <c r="X5390" s="420"/>
      <c r="Y5390" s="420"/>
    </row>
    <row r="5391" spans="17:25">
      <c r="Q5391" s="6">
        <v>5361</v>
      </c>
      <c r="R5391" s="7">
        <v>48028</v>
      </c>
      <c r="S5391" s="210">
        <v>4.25</v>
      </c>
      <c r="T5391" s="8">
        <v>1.0001180555555556</v>
      </c>
      <c r="U5391" s="98">
        <v>4.2963917581371192</v>
      </c>
      <c r="V5391" s="106">
        <v>40994.761232598525</v>
      </c>
      <c r="W5391" s="10">
        <v>1.1784107785398179</v>
      </c>
      <c r="X5391" s="420"/>
      <c r="Y5391" s="420"/>
    </row>
    <row r="5392" spans="17:25">
      <c r="Q5392" s="6">
        <v>5362</v>
      </c>
      <c r="R5392" s="7">
        <v>48029</v>
      </c>
      <c r="S5392" s="210">
        <v>4.25</v>
      </c>
      <c r="T5392" s="8">
        <v>1.0001180555555556</v>
      </c>
      <c r="U5392" s="98">
        <v>4.2964116206277492</v>
      </c>
      <c r="V5392" s="106">
        <v>40998.173341509253</v>
      </c>
      <c r="W5392" s="10">
        <v>1.1784295312579296</v>
      </c>
      <c r="X5392" s="420"/>
      <c r="Y5392" s="420"/>
    </row>
    <row r="5393" spans="17:25">
      <c r="Q5393" s="6">
        <v>5363</v>
      </c>
      <c r="R5393" s="7">
        <v>48030</v>
      </c>
      <c r="S5393" s="210">
        <v>4.25</v>
      </c>
      <c r="T5393" s="8">
        <v>1.0001180555555556</v>
      </c>
      <c r="U5393" s="98">
        <v>4.2964314757149236</v>
      </c>
      <c r="V5393" s="106">
        <v>41001.585734419379</v>
      </c>
      <c r="W5393" s="10">
        <v>1.1784482769861215</v>
      </c>
      <c r="X5393" s="420"/>
      <c r="Y5393" s="420"/>
    </row>
    <row r="5394" spans="17:25">
      <c r="Q5394" s="6">
        <v>5364</v>
      </c>
      <c r="R5394" s="7">
        <v>48031</v>
      </c>
      <c r="S5394" s="210">
        <v>4.25</v>
      </c>
      <c r="T5394" s="8">
        <v>1.0001180555555556</v>
      </c>
      <c r="U5394" s="98">
        <v>4.2964513234027724</v>
      </c>
      <c r="V5394" s="106">
        <v>41004.998411352535</v>
      </c>
      <c r="W5394" s="10">
        <v>1.1784670157283239</v>
      </c>
      <c r="X5394" s="420"/>
      <c r="Y5394" s="420"/>
    </row>
    <row r="5395" spans="17:25">
      <c r="Q5395" s="6">
        <v>5365</v>
      </c>
      <c r="R5395" s="7">
        <v>48032</v>
      </c>
      <c r="S5395" s="210">
        <v>4.25</v>
      </c>
      <c r="T5395" s="8">
        <v>1.0001180555555556</v>
      </c>
      <c r="U5395" s="98">
        <v>4.2964711636954478</v>
      </c>
      <c r="V5395" s="106">
        <v>41008.411372332353</v>
      </c>
      <c r="W5395" s="10">
        <v>1.1784857474884447</v>
      </c>
      <c r="X5395" s="420"/>
      <c r="Y5395" s="420"/>
    </row>
    <row r="5396" spans="17:25">
      <c r="Q5396" s="6">
        <v>5366</v>
      </c>
      <c r="R5396" s="7">
        <v>48033</v>
      </c>
      <c r="S5396" s="210">
        <v>4.25</v>
      </c>
      <c r="T5396" s="8">
        <v>1.0001180555555556</v>
      </c>
      <c r="U5396" s="98">
        <v>4.2964909965970799</v>
      </c>
      <c r="V5396" s="106">
        <v>41011.824617382488</v>
      </c>
      <c r="W5396" s="10">
        <v>1.1785044722703919</v>
      </c>
      <c r="X5396" s="420"/>
      <c r="Y5396" s="420"/>
    </row>
    <row r="5397" spans="17:25">
      <c r="Q5397" s="6">
        <v>5367</v>
      </c>
      <c r="R5397" s="7">
        <v>48034</v>
      </c>
      <c r="S5397" s="210">
        <v>4.25</v>
      </c>
      <c r="T5397" s="8">
        <v>1.0001180555555556</v>
      </c>
      <c r="U5397" s="98">
        <v>4.2965108221117987</v>
      </c>
      <c r="V5397" s="106">
        <v>41015.238146526572</v>
      </c>
      <c r="W5397" s="10">
        <v>1.1785231900780513</v>
      </c>
      <c r="X5397" s="420"/>
      <c r="Y5397" s="420"/>
    </row>
    <row r="5398" spans="17:25">
      <c r="Q5398" s="6">
        <v>5368</v>
      </c>
      <c r="R5398" s="7">
        <v>48035</v>
      </c>
      <c r="S5398" s="210">
        <v>4.25</v>
      </c>
      <c r="T5398" s="8">
        <v>1.0001180555555556</v>
      </c>
      <c r="U5398" s="98">
        <v>4.2965306402437342</v>
      </c>
      <c r="V5398" s="106">
        <v>41018.651959788258</v>
      </c>
      <c r="W5398" s="10">
        <v>1.1785419009153308</v>
      </c>
      <c r="X5398" s="420"/>
      <c r="Y5398" s="420"/>
    </row>
    <row r="5399" spans="17:25">
      <c r="Q5399" s="6">
        <v>5369</v>
      </c>
      <c r="R5399" s="7">
        <v>48036</v>
      </c>
      <c r="S5399" s="210">
        <v>4.25</v>
      </c>
      <c r="T5399" s="8">
        <v>1.0001180555555556</v>
      </c>
      <c r="U5399" s="98">
        <v>4.2965504509969943</v>
      </c>
      <c r="V5399" s="106">
        <v>41022.066057191201</v>
      </c>
      <c r="W5399" s="10">
        <v>1.1785606047861164</v>
      </c>
      <c r="X5399" s="420"/>
      <c r="Y5399" s="420"/>
    </row>
    <row r="5400" spans="17:25">
      <c r="Q5400" s="6">
        <v>5370</v>
      </c>
      <c r="R5400" s="7">
        <v>48037</v>
      </c>
      <c r="S5400" s="210">
        <v>4.25</v>
      </c>
      <c r="T5400" s="8">
        <v>1.0001180555555556</v>
      </c>
      <c r="U5400" s="98">
        <v>4.2965702543757089</v>
      </c>
      <c r="V5400" s="106">
        <v>41025.480438759034</v>
      </c>
      <c r="W5400" s="10">
        <v>1.1785793016942714</v>
      </c>
      <c r="X5400" s="420"/>
      <c r="Y5400" s="420"/>
    </row>
    <row r="5401" spans="17:25">
      <c r="Q5401" s="6">
        <v>5371</v>
      </c>
      <c r="R5401" s="7">
        <v>48038</v>
      </c>
      <c r="S5401" s="210">
        <v>4.25</v>
      </c>
      <c r="T5401" s="8">
        <v>1.0001180555555556</v>
      </c>
      <c r="U5401" s="98">
        <v>4.2965900503840082</v>
      </c>
      <c r="V5401" s="106">
        <v>41028.895104515424</v>
      </c>
      <c r="W5401" s="10">
        <v>1.1785979916437483</v>
      </c>
      <c r="X5401" s="420"/>
      <c r="Y5401" s="420"/>
    </row>
    <row r="5402" spans="17:25">
      <c r="Q5402" s="6">
        <v>5372</v>
      </c>
      <c r="R5402" s="7">
        <v>48039</v>
      </c>
      <c r="S5402" s="210">
        <v>4.25</v>
      </c>
      <c r="T5402" s="8">
        <v>1.0001180555555556</v>
      </c>
      <c r="U5402" s="98">
        <v>4.2966098390259777</v>
      </c>
      <c r="V5402" s="106">
        <v>41032.310054484013</v>
      </c>
      <c r="W5402" s="10">
        <v>1.1786166746383664</v>
      </c>
      <c r="X5402" s="420"/>
      <c r="Y5402" s="420"/>
    </row>
    <row r="5403" spans="17:25">
      <c r="Q5403" s="6">
        <v>5373</v>
      </c>
      <c r="R5403" s="7">
        <v>48040</v>
      </c>
      <c r="S5403" s="210">
        <v>4.25</v>
      </c>
      <c r="T5403" s="8">
        <v>1.0001180555555556</v>
      </c>
      <c r="U5403" s="98">
        <v>4.2966296203057475</v>
      </c>
      <c r="V5403" s="106">
        <v>41035.72528868846</v>
      </c>
      <c r="W5403" s="10">
        <v>1.1786353506820335</v>
      </c>
      <c r="X5403" s="420"/>
      <c r="Y5403" s="420"/>
    </row>
    <row r="5404" spans="17:25">
      <c r="Q5404" s="6">
        <v>5374</v>
      </c>
      <c r="R5404" s="7">
        <v>48041</v>
      </c>
      <c r="S5404" s="210">
        <v>4.25</v>
      </c>
      <c r="T5404" s="8">
        <v>1.0001180555555556</v>
      </c>
      <c r="U5404" s="98">
        <v>4.2966493942274253</v>
      </c>
      <c r="V5404" s="106">
        <v>41039.140807152427</v>
      </c>
      <c r="W5404" s="10">
        <v>1.1786540197786577</v>
      </c>
      <c r="X5404" s="420"/>
      <c r="Y5404" s="420"/>
    </row>
    <row r="5405" spans="17:25">
      <c r="Q5405" s="6">
        <v>5375</v>
      </c>
      <c r="R5405" s="7">
        <v>48042</v>
      </c>
      <c r="S5405" s="210">
        <v>4.25</v>
      </c>
      <c r="T5405" s="8">
        <v>1.0001180555555556</v>
      </c>
      <c r="U5405" s="98">
        <v>4.2966691607951191</v>
      </c>
      <c r="V5405" s="106">
        <v>41042.55660989957</v>
      </c>
      <c r="W5405" s="10">
        <v>1.1786726819320581</v>
      </c>
      <c r="X5405" s="420"/>
      <c r="Y5405" s="420"/>
    </row>
    <row r="5406" spans="17:25">
      <c r="Q5406" s="6">
        <v>5376</v>
      </c>
      <c r="R5406" s="7">
        <v>48043</v>
      </c>
      <c r="S5406" s="210">
        <v>4.25</v>
      </c>
      <c r="T5406" s="8">
        <v>1.0001180555555556</v>
      </c>
      <c r="U5406" s="98">
        <v>4.2966889200129144</v>
      </c>
      <c r="V5406" s="106">
        <v>41045.972696953562</v>
      </c>
      <c r="W5406" s="10">
        <v>1.1786913371461427</v>
      </c>
      <c r="X5406" s="420"/>
      <c r="Y5406" s="420"/>
    </row>
    <row r="5407" spans="17:25">
      <c r="Q5407" s="6">
        <v>5377</v>
      </c>
      <c r="R5407" s="7">
        <v>48044</v>
      </c>
      <c r="S5407" s="210">
        <v>4.25</v>
      </c>
      <c r="T5407" s="8">
        <v>1.0001180555555556</v>
      </c>
      <c r="U5407" s="98">
        <v>4.296708671884919</v>
      </c>
      <c r="V5407" s="106">
        <v>41049.389068338045</v>
      </c>
      <c r="W5407" s="10">
        <v>1.1787099854247751</v>
      </c>
      <c r="X5407" s="420"/>
      <c r="Y5407" s="420"/>
    </row>
    <row r="5408" spans="17:25">
      <c r="Q5408" s="6">
        <v>5378</v>
      </c>
      <c r="R5408" s="7">
        <v>48045</v>
      </c>
      <c r="S5408" s="210">
        <v>4.25</v>
      </c>
      <c r="T5408" s="8">
        <v>1.0001180555555556</v>
      </c>
      <c r="U5408" s="98">
        <v>4.2967284164152408</v>
      </c>
      <c r="V5408" s="106">
        <v>41052.805724076701</v>
      </c>
      <c r="W5408" s="10">
        <v>1.1787286267718189</v>
      </c>
      <c r="X5408" s="420"/>
      <c r="Y5408" s="420"/>
    </row>
    <row r="5409" spans="17:25">
      <c r="Q5409" s="6">
        <v>5379</v>
      </c>
      <c r="R5409" s="7">
        <v>48046</v>
      </c>
      <c r="S5409" s="210">
        <v>4.25</v>
      </c>
      <c r="T5409" s="8">
        <v>1.0001180555555556</v>
      </c>
      <c r="U5409" s="98">
        <v>4.2967481536079433</v>
      </c>
      <c r="V5409" s="106">
        <v>41056.222664193199</v>
      </c>
      <c r="W5409" s="10">
        <v>1.1787472611911154</v>
      </c>
      <c r="X5409" s="420"/>
      <c r="Y5409" s="420"/>
    </row>
    <row r="5410" spans="17:25">
      <c r="Q5410" s="6">
        <v>5380</v>
      </c>
      <c r="R5410" s="7">
        <v>48047</v>
      </c>
      <c r="S5410" s="210">
        <v>4.25</v>
      </c>
      <c r="T5410" s="8">
        <v>1.0001180555555556</v>
      </c>
      <c r="U5410" s="98">
        <v>4.2967678834671341</v>
      </c>
      <c r="V5410" s="106">
        <v>41059.639888711194</v>
      </c>
      <c r="W5410" s="10">
        <v>1.1787658886865726</v>
      </c>
      <c r="X5410" s="420"/>
      <c r="Y5410" s="420"/>
    </row>
    <row r="5411" spans="17:25">
      <c r="Q5411" s="6">
        <v>5381</v>
      </c>
      <c r="R5411" s="7">
        <v>48048</v>
      </c>
      <c r="S5411" s="210">
        <v>4.25</v>
      </c>
      <c r="T5411" s="8">
        <v>1.0001180555555556</v>
      </c>
      <c r="U5411" s="98">
        <v>4.296787605996899</v>
      </c>
      <c r="V5411" s="106">
        <v>41063.057397654367</v>
      </c>
      <c r="W5411" s="10">
        <v>1.1787845092620097</v>
      </c>
      <c r="X5411" s="420"/>
      <c r="Y5411" s="420"/>
    </row>
    <row r="5412" spans="17:25">
      <c r="Q5412" s="6">
        <v>5382</v>
      </c>
      <c r="R5412" s="7">
        <v>48049</v>
      </c>
      <c r="S5412" s="210">
        <v>4.25</v>
      </c>
      <c r="T5412" s="8">
        <v>1.0001180555555556</v>
      </c>
      <c r="U5412" s="98">
        <v>4.2968073212013236</v>
      </c>
      <c r="V5412" s="106">
        <v>41066.475191046397</v>
      </c>
      <c r="W5412" s="10">
        <v>1.1788031229213125</v>
      </c>
      <c r="X5412" s="420"/>
      <c r="Y5412" s="420"/>
    </row>
    <row r="5413" spans="17:25">
      <c r="Q5413" s="6">
        <v>5383</v>
      </c>
      <c r="R5413" s="7">
        <v>48050</v>
      </c>
      <c r="S5413" s="210">
        <v>4.25</v>
      </c>
      <c r="T5413" s="8">
        <v>1.0001180555555556</v>
      </c>
      <c r="U5413" s="98">
        <v>4.2968270290844934</v>
      </c>
      <c r="V5413" s="106">
        <v>41069.893268910942</v>
      </c>
      <c r="W5413" s="10">
        <v>1.1788217296683223</v>
      </c>
      <c r="X5413" s="420"/>
      <c r="Y5413" s="420"/>
    </row>
    <row r="5414" spans="17:25">
      <c r="Q5414" s="6">
        <v>5384</v>
      </c>
      <c r="R5414" s="7">
        <v>48051</v>
      </c>
      <c r="S5414" s="210">
        <v>4.25</v>
      </c>
      <c r="T5414" s="8">
        <v>1.0001180555555556</v>
      </c>
      <c r="U5414" s="98">
        <v>4.296846729650472</v>
      </c>
      <c r="V5414" s="106">
        <v>41073.31163127171</v>
      </c>
      <c r="W5414" s="10">
        <v>1.1788403295068584</v>
      </c>
      <c r="X5414" s="420"/>
      <c r="Y5414" s="420"/>
    </row>
    <row r="5415" spans="17:25">
      <c r="Q5415" s="6">
        <v>5385</v>
      </c>
      <c r="R5415" s="7">
        <v>48052</v>
      </c>
      <c r="S5415" s="210">
        <v>4.25</v>
      </c>
      <c r="T5415" s="8">
        <v>1.0001180555555556</v>
      </c>
      <c r="U5415" s="98">
        <v>4.2968664229033449</v>
      </c>
      <c r="V5415" s="106">
        <v>41076.730278152339</v>
      </c>
      <c r="W5415" s="10">
        <v>1.1788589224408286</v>
      </c>
      <c r="X5415" s="420"/>
      <c r="Y5415" s="420"/>
    </row>
    <row r="5416" spans="17:25">
      <c r="Q5416" s="6">
        <v>5386</v>
      </c>
      <c r="R5416" s="7">
        <v>48053</v>
      </c>
      <c r="S5416" s="210">
        <v>4.25</v>
      </c>
      <c r="T5416" s="8">
        <v>1.0001180555555556</v>
      </c>
      <c r="U5416" s="98">
        <v>4.2968861088471755</v>
      </c>
      <c r="V5416" s="106">
        <v>41080.14920957655</v>
      </c>
      <c r="W5416" s="10">
        <v>1.1788775084740299</v>
      </c>
      <c r="X5416" s="420"/>
      <c r="Y5416" s="420"/>
    </row>
    <row r="5417" spans="17:25">
      <c r="Q5417" s="6">
        <v>5387</v>
      </c>
      <c r="R5417" s="7">
        <v>48054</v>
      </c>
      <c r="S5417" s="210">
        <v>4.25</v>
      </c>
      <c r="T5417" s="8">
        <v>1.0001180555555556</v>
      </c>
      <c r="U5417" s="98">
        <v>4.2969057874860273</v>
      </c>
      <c r="V5417" s="106">
        <v>41083.568425567995</v>
      </c>
      <c r="W5417" s="10">
        <v>1.1788960876103038</v>
      </c>
      <c r="X5417" s="420"/>
      <c r="Y5417" s="420"/>
    </row>
    <row r="5418" spans="17:25">
      <c r="Q5418" s="6">
        <v>5388</v>
      </c>
      <c r="R5418" s="7">
        <v>48055</v>
      </c>
      <c r="S5418" s="210">
        <v>4.25</v>
      </c>
      <c r="T5418" s="8">
        <v>1.0001180555555556</v>
      </c>
      <c r="U5418" s="98">
        <v>4.2969254588239636</v>
      </c>
      <c r="V5418" s="106">
        <v>41086.987926150381</v>
      </c>
      <c r="W5418" s="10">
        <v>1.1789146598534916</v>
      </c>
      <c r="X5418" s="420"/>
      <c r="Y5418" s="420"/>
    </row>
    <row r="5419" spans="17:25">
      <c r="Q5419" s="6">
        <v>5389</v>
      </c>
      <c r="R5419" s="7">
        <v>48056</v>
      </c>
      <c r="S5419" s="210">
        <v>4.25</v>
      </c>
      <c r="T5419" s="8">
        <v>1.0001180555555556</v>
      </c>
      <c r="U5419" s="98">
        <v>4.2969451228650701</v>
      </c>
      <c r="V5419" s="106">
        <v>41090.40771134739</v>
      </c>
      <c r="W5419" s="10">
        <v>1.1789332252074569</v>
      </c>
      <c r="X5419" s="420"/>
      <c r="Y5419" s="420"/>
    </row>
    <row r="5420" spans="17:25">
      <c r="Q5420" s="6">
        <v>5390</v>
      </c>
      <c r="R5420" s="7">
        <v>48057</v>
      </c>
      <c r="S5420" s="210">
        <v>4.25</v>
      </c>
      <c r="T5420" s="8">
        <v>1.0001180555555556</v>
      </c>
      <c r="U5420" s="98">
        <v>4.2969647796133881</v>
      </c>
      <c r="V5420" s="106">
        <v>41093.827781182699</v>
      </c>
      <c r="W5420" s="10">
        <v>1.1789517836759966</v>
      </c>
      <c r="X5420" s="420"/>
      <c r="Y5420" s="420"/>
    </row>
    <row r="5421" spans="17:25">
      <c r="Q5421" s="6">
        <v>5391</v>
      </c>
      <c r="R5421" s="7">
        <v>48058</v>
      </c>
      <c r="S5421" s="210">
        <v>4.25</v>
      </c>
      <c r="T5421" s="8">
        <v>1.0001180555555556</v>
      </c>
      <c r="U5421" s="98">
        <v>4.2969844290729808</v>
      </c>
      <c r="V5421" s="106">
        <v>41097.24813568002</v>
      </c>
      <c r="W5421" s="10">
        <v>1.1789703352629743</v>
      </c>
      <c r="X5421" s="420"/>
      <c r="Y5421" s="420"/>
    </row>
    <row r="5422" spans="17:25">
      <c r="Q5422" s="6">
        <v>5392</v>
      </c>
      <c r="R5422" s="7">
        <v>48059</v>
      </c>
      <c r="S5422" s="210">
        <v>4.25</v>
      </c>
      <c r="T5422" s="8">
        <v>1.0001180555555556</v>
      </c>
      <c r="U5422" s="98">
        <v>4.2970040712478896</v>
      </c>
      <c r="V5422" s="106">
        <v>41100.668774863028</v>
      </c>
      <c r="W5422" s="10">
        <v>1.178988879972187</v>
      </c>
      <c r="X5422" s="420"/>
      <c r="Y5422" s="420"/>
    </row>
    <row r="5423" spans="17:25">
      <c r="Q5423" s="6">
        <v>5393</v>
      </c>
      <c r="R5423" s="7">
        <v>48060</v>
      </c>
      <c r="S5423" s="210">
        <v>4.25</v>
      </c>
      <c r="T5423" s="8">
        <v>1.0001180555555556</v>
      </c>
      <c r="U5423" s="98">
        <v>4.2970237061421779</v>
      </c>
      <c r="V5423" s="106">
        <v>41104.089698755422</v>
      </c>
      <c r="W5423" s="10">
        <v>1.1790074178074761</v>
      </c>
      <c r="X5423" s="420"/>
      <c r="Y5423" s="420"/>
    </row>
    <row r="5424" spans="17:25">
      <c r="Q5424" s="6">
        <v>5394</v>
      </c>
      <c r="R5424" s="7">
        <v>48061</v>
      </c>
      <c r="S5424" s="210">
        <v>4.25</v>
      </c>
      <c r="T5424" s="8">
        <v>1.0001180555555556</v>
      </c>
      <c r="U5424" s="98">
        <v>4.2970433337598868</v>
      </c>
      <c r="V5424" s="106">
        <v>41107.510907380914</v>
      </c>
      <c r="W5424" s="10">
        <v>1.1790259487726384</v>
      </c>
      <c r="X5424" s="420"/>
      <c r="Y5424" s="420"/>
    </row>
    <row r="5425" spans="17:25">
      <c r="Q5425" s="6">
        <v>5395</v>
      </c>
      <c r="R5425" s="7">
        <v>48062</v>
      </c>
      <c r="S5425" s="210">
        <v>4.25</v>
      </c>
      <c r="T5425" s="8">
        <v>1.0001180555555556</v>
      </c>
      <c r="U5425" s="98">
        <v>4.2970629541050576</v>
      </c>
      <c r="V5425" s="106">
        <v>41110.93240076318</v>
      </c>
      <c r="W5425" s="10">
        <v>1.1790444728715377</v>
      </c>
      <c r="X5425" s="420"/>
      <c r="Y5425" s="420"/>
    </row>
    <row r="5426" spans="17:25">
      <c r="Q5426" s="6">
        <v>5396</v>
      </c>
      <c r="R5426" s="7">
        <v>48063</v>
      </c>
      <c r="S5426" s="210">
        <v>4.25</v>
      </c>
      <c r="T5426" s="8">
        <v>1.0001180555555556</v>
      </c>
      <c r="U5426" s="98">
        <v>4.2970825671817536</v>
      </c>
      <c r="V5426" s="106">
        <v>41114.35417892594</v>
      </c>
      <c r="W5426" s="10">
        <v>1.1790629901079486</v>
      </c>
      <c r="X5426" s="420"/>
      <c r="Y5426" s="420"/>
    </row>
    <row r="5427" spans="17:25">
      <c r="Q5427" s="6">
        <v>5397</v>
      </c>
      <c r="R5427" s="7">
        <v>48064</v>
      </c>
      <c r="S5427" s="210">
        <v>4.25</v>
      </c>
      <c r="T5427" s="8">
        <v>1.0001180555555556</v>
      </c>
      <c r="U5427" s="98">
        <v>4.297102172993994</v>
      </c>
      <c r="V5427" s="106">
        <v>41117.776241892891</v>
      </c>
      <c r="W5427" s="10">
        <v>1.1790815004857125</v>
      </c>
      <c r="X5427" s="420"/>
      <c r="Y5427" s="420"/>
    </row>
    <row r="5428" spans="17:25">
      <c r="Q5428" s="6">
        <v>5398</v>
      </c>
      <c r="R5428" s="7">
        <v>48065</v>
      </c>
      <c r="S5428" s="210">
        <v>4.25</v>
      </c>
      <c r="T5428" s="8">
        <v>1.0001180555555556</v>
      </c>
      <c r="U5428" s="98">
        <v>4.2971217715457977</v>
      </c>
      <c r="V5428" s="106">
        <v>41121.19858968773</v>
      </c>
      <c r="W5428" s="10">
        <v>1.1791000040086264</v>
      </c>
      <c r="X5428" s="420"/>
      <c r="Y5428" s="420"/>
    </row>
    <row r="5429" spans="17:25">
      <c r="Q5429" s="6">
        <v>5399</v>
      </c>
      <c r="R5429" s="7">
        <v>48066</v>
      </c>
      <c r="S5429" s="210">
        <v>4.25</v>
      </c>
      <c r="T5429" s="8">
        <v>1.0001180555555556</v>
      </c>
      <c r="U5429" s="98">
        <v>4.2971413628412281</v>
      </c>
      <c r="V5429" s="106">
        <v>41124.621222334179</v>
      </c>
      <c r="W5429" s="10">
        <v>1.1791185006804872</v>
      </c>
      <c r="X5429" s="420"/>
      <c r="Y5429" s="420"/>
    </row>
    <row r="5430" spans="17:25">
      <c r="Q5430" s="6">
        <v>5400</v>
      </c>
      <c r="R5430" s="7">
        <v>48067</v>
      </c>
      <c r="S5430" s="210">
        <v>4.25</v>
      </c>
      <c r="T5430" s="8">
        <v>1.0001180555555556</v>
      </c>
      <c r="U5430" s="98">
        <v>4.2971609468843042</v>
      </c>
      <c r="V5430" s="106">
        <v>41128.044139855927</v>
      </c>
      <c r="W5430" s="10">
        <v>1.1791369905051141</v>
      </c>
      <c r="X5430" s="420"/>
      <c r="Y5430" s="420"/>
    </row>
    <row r="5431" spans="17:25">
      <c r="Q5431" s="308"/>
      <c r="R5431" s="309"/>
      <c r="S5431" s="210"/>
      <c r="T5431" s="310"/>
      <c r="U5431" s="106"/>
      <c r="V5431" s="106"/>
      <c r="W5431" s="106"/>
      <c r="X5431" s="420"/>
      <c r="Y5431" s="420"/>
    </row>
    <row r="5432" spans="17:25">
      <c r="Q5432" s="308"/>
      <c r="R5432" s="309"/>
      <c r="S5432" s="210"/>
      <c r="T5432" s="310"/>
      <c r="U5432" s="106"/>
      <c r="V5432" s="106"/>
      <c r="W5432" s="106"/>
      <c r="X5432" s="420"/>
      <c r="Y5432" s="420"/>
    </row>
    <row r="5433" spans="17:25">
      <c r="Q5433" s="308"/>
      <c r="R5433" s="309"/>
      <c r="S5433" s="210"/>
      <c r="T5433" s="310"/>
      <c r="U5433" s="106"/>
      <c r="V5433" s="106"/>
      <c r="W5433" s="106"/>
      <c r="X5433" s="420"/>
      <c r="Y5433" s="420"/>
    </row>
    <row r="5434" spans="17:25">
      <c r="Q5434" s="308"/>
      <c r="R5434" s="309"/>
      <c r="S5434" s="210"/>
      <c r="T5434" s="310"/>
      <c r="U5434" s="106"/>
      <c r="V5434" s="106"/>
      <c r="W5434" s="106"/>
      <c r="X5434" s="420"/>
      <c r="Y5434" s="420"/>
    </row>
    <row r="5435" spans="17:25">
      <c r="Q5435" s="308"/>
      <c r="R5435" s="309"/>
      <c r="S5435" s="210"/>
      <c r="T5435" s="310"/>
      <c r="U5435" s="106"/>
      <c r="V5435" s="106"/>
      <c r="W5435" s="106"/>
      <c r="X5435" s="420"/>
      <c r="Y5435" s="420"/>
    </row>
    <row r="5436" spans="17:25">
      <c r="Q5436" s="308"/>
      <c r="R5436" s="309"/>
      <c r="S5436" s="210"/>
      <c r="T5436" s="310"/>
      <c r="U5436" s="106"/>
      <c r="V5436" s="106"/>
      <c r="W5436" s="106"/>
      <c r="X5436" s="420"/>
      <c r="Y5436" s="420"/>
    </row>
    <row r="5437" spans="17:25">
      <c r="Q5437" s="308"/>
      <c r="R5437" s="309"/>
      <c r="S5437" s="210"/>
      <c r="T5437" s="310"/>
      <c r="U5437" s="106"/>
      <c r="V5437" s="106"/>
      <c r="W5437" s="106"/>
      <c r="X5437" s="420"/>
      <c r="Y5437" s="420"/>
    </row>
    <row r="5438" spans="17:25">
      <c r="Q5438" s="308"/>
      <c r="R5438" s="309"/>
      <c r="S5438" s="210"/>
      <c r="T5438" s="310"/>
      <c r="U5438" s="106"/>
      <c r="V5438" s="106"/>
      <c r="W5438" s="106"/>
      <c r="X5438" s="420"/>
      <c r="Y5438" s="420"/>
    </row>
    <row r="5439" spans="17:25">
      <c r="Q5439" s="308"/>
      <c r="R5439" s="309"/>
      <c r="S5439" s="210"/>
      <c r="T5439" s="310"/>
      <c r="U5439" s="106"/>
      <c r="V5439" s="106"/>
      <c r="W5439" s="106"/>
      <c r="X5439" s="420"/>
      <c r="Y5439" s="420"/>
    </row>
    <row r="5440" spans="17:25">
      <c r="Q5440" s="308"/>
      <c r="R5440" s="309"/>
      <c r="S5440" s="210"/>
      <c r="T5440" s="310"/>
      <c r="U5440" s="106"/>
      <c r="V5440" s="106"/>
      <c r="W5440" s="106"/>
      <c r="X5440" s="420"/>
      <c r="Y5440" s="420"/>
    </row>
    <row r="5441" spans="17:25">
      <c r="Q5441" s="308"/>
      <c r="R5441" s="309"/>
      <c r="S5441" s="210"/>
      <c r="T5441" s="310"/>
      <c r="U5441" s="106"/>
      <c r="V5441" s="106"/>
      <c r="W5441" s="106"/>
      <c r="X5441" s="420"/>
      <c r="Y5441" s="420"/>
    </row>
    <row r="5442" spans="17:25">
      <c r="Q5442" s="308"/>
      <c r="R5442" s="309"/>
      <c r="S5442" s="210"/>
      <c r="T5442" s="310"/>
      <c r="U5442" s="106"/>
      <c r="V5442" s="106"/>
      <c r="W5442" s="106"/>
      <c r="X5442" s="420"/>
      <c r="Y5442" s="420"/>
    </row>
    <row r="5443" spans="17:25">
      <c r="Q5443" s="308"/>
      <c r="R5443" s="309"/>
      <c r="S5443" s="210"/>
      <c r="T5443" s="310"/>
      <c r="U5443" s="106"/>
      <c r="V5443" s="106"/>
      <c r="W5443" s="106"/>
      <c r="X5443" s="420"/>
      <c r="Y5443" s="420"/>
    </row>
    <row r="5444" spans="17:25">
      <c r="Q5444" s="308"/>
      <c r="R5444" s="309"/>
      <c r="S5444" s="210"/>
      <c r="T5444" s="310"/>
      <c r="U5444" s="106"/>
      <c r="V5444" s="106"/>
      <c r="W5444" s="106"/>
      <c r="X5444" s="420"/>
      <c r="Y5444" s="420"/>
    </row>
    <row r="5445" spans="17:25">
      <c r="Q5445" s="308"/>
      <c r="R5445" s="309"/>
      <c r="S5445" s="210"/>
      <c r="T5445" s="310"/>
      <c r="U5445" s="106"/>
      <c r="V5445" s="106"/>
      <c r="W5445" s="106"/>
      <c r="X5445" s="420"/>
      <c r="Y5445" s="420"/>
    </row>
    <row r="5446" spans="17:25">
      <c r="Q5446" s="308"/>
      <c r="R5446" s="309"/>
      <c r="S5446" s="210"/>
      <c r="T5446" s="310"/>
      <c r="U5446" s="106"/>
      <c r="V5446" s="106"/>
      <c r="W5446" s="106"/>
      <c r="X5446" s="420"/>
      <c r="Y5446" s="420"/>
    </row>
    <row r="5447" spans="17:25">
      <c r="Q5447" s="308"/>
      <c r="R5447" s="309"/>
      <c r="S5447" s="210"/>
      <c r="T5447" s="310"/>
      <c r="U5447" s="106"/>
      <c r="V5447" s="106"/>
      <c r="W5447" s="106"/>
      <c r="X5447" s="420"/>
      <c r="Y5447" s="420"/>
    </row>
    <row r="5448" spans="17:25">
      <c r="Q5448" s="308"/>
      <c r="R5448" s="309"/>
      <c r="S5448" s="210"/>
      <c r="T5448" s="310"/>
      <c r="U5448" s="106"/>
      <c r="V5448" s="106"/>
      <c r="W5448" s="106"/>
      <c r="X5448" s="420"/>
      <c r="Y5448" s="420"/>
    </row>
    <row r="5449" spans="17:25">
      <c r="Q5449" s="308"/>
      <c r="R5449" s="309"/>
      <c r="S5449" s="210"/>
      <c r="T5449" s="310"/>
      <c r="U5449" s="106"/>
      <c r="V5449" s="106"/>
      <c r="W5449" s="106"/>
      <c r="X5449" s="420"/>
      <c r="Y5449" s="420"/>
    </row>
    <row r="5450" spans="17:25">
      <c r="Q5450" s="308"/>
      <c r="R5450" s="309"/>
      <c r="S5450" s="210"/>
      <c r="T5450" s="310"/>
      <c r="U5450" s="106"/>
      <c r="V5450" s="106"/>
      <c r="W5450" s="106"/>
      <c r="X5450" s="420"/>
      <c r="Y5450" s="420"/>
    </row>
    <row r="5451" spans="17:25">
      <c r="Q5451" s="308"/>
      <c r="R5451" s="309"/>
      <c r="S5451" s="210"/>
      <c r="T5451" s="310"/>
      <c r="U5451" s="106"/>
      <c r="V5451" s="106"/>
      <c r="W5451" s="106"/>
      <c r="X5451" s="420"/>
      <c r="Y5451" s="420"/>
    </row>
    <row r="5452" spans="17:25">
      <c r="Q5452" s="308"/>
      <c r="R5452" s="309"/>
      <c r="S5452" s="210"/>
      <c r="T5452" s="310"/>
      <c r="U5452" s="106"/>
      <c r="V5452" s="106"/>
      <c r="W5452" s="106"/>
      <c r="X5452" s="420"/>
      <c r="Y5452" s="420"/>
    </row>
    <row r="5453" spans="17:25">
      <c r="Q5453" s="308"/>
      <c r="R5453" s="309"/>
      <c r="S5453" s="210"/>
      <c r="T5453" s="310"/>
      <c r="U5453" s="106"/>
      <c r="V5453" s="106"/>
      <c r="W5453" s="106"/>
      <c r="X5453" s="420"/>
      <c r="Y5453" s="420"/>
    </row>
    <row r="5454" spans="17:25">
      <c r="Q5454" s="308"/>
      <c r="R5454" s="309"/>
      <c r="S5454" s="210"/>
      <c r="T5454" s="310"/>
      <c r="U5454" s="106"/>
      <c r="V5454" s="106"/>
      <c r="W5454" s="106"/>
      <c r="X5454" s="420"/>
      <c r="Y5454" s="420"/>
    </row>
    <row r="5455" spans="17:25">
      <c r="Q5455" s="308"/>
      <c r="R5455" s="309"/>
      <c r="S5455" s="210"/>
      <c r="T5455" s="310"/>
      <c r="U5455" s="106"/>
      <c r="V5455" s="106"/>
      <c r="W5455" s="106"/>
      <c r="X5455" s="420"/>
      <c r="Y5455" s="420"/>
    </row>
    <row r="5456" spans="17:25">
      <c r="Q5456" s="308"/>
      <c r="R5456" s="309"/>
      <c r="S5456" s="210"/>
      <c r="T5456" s="310"/>
      <c r="U5456" s="106"/>
      <c r="V5456" s="106"/>
      <c r="W5456" s="106"/>
      <c r="X5456" s="420"/>
      <c r="Y5456" s="420"/>
    </row>
    <row r="5457" spans="17:25">
      <c r="Q5457" s="308"/>
      <c r="R5457" s="309"/>
      <c r="S5457" s="210"/>
      <c r="T5457" s="310"/>
      <c r="U5457" s="106"/>
      <c r="V5457" s="106"/>
      <c r="W5457" s="106"/>
      <c r="X5457" s="420"/>
      <c r="Y5457" s="420"/>
    </row>
    <row r="5458" spans="17:25">
      <c r="Q5458" s="308"/>
      <c r="R5458" s="309"/>
      <c r="S5458" s="210"/>
      <c r="T5458" s="310"/>
      <c r="U5458" s="106"/>
      <c r="V5458" s="106"/>
      <c r="W5458" s="106"/>
      <c r="X5458" s="420"/>
      <c r="Y5458" s="420"/>
    </row>
    <row r="5459" spans="17:25">
      <c r="Q5459" s="308"/>
      <c r="R5459" s="309"/>
      <c r="S5459" s="210"/>
      <c r="T5459" s="310"/>
      <c r="U5459" s="106"/>
      <c r="V5459" s="106"/>
      <c r="W5459" s="106"/>
      <c r="X5459" s="420"/>
      <c r="Y5459" s="420"/>
    </row>
    <row r="5460" spans="17:25">
      <c r="Q5460" s="308"/>
      <c r="R5460" s="309"/>
      <c r="S5460" s="210"/>
      <c r="T5460" s="310"/>
      <c r="U5460" s="106"/>
      <c r="V5460" s="106"/>
      <c r="W5460" s="106"/>
      <c r="X5460" s="420"/>
      <c r="Y5460" s="420"/>
    </row>
    <row r="5461" spans="17:25">
      <c r="Q5461" s="308"/>
      <c r="R5461" s="309"/>
      <c r="S5461" s="210"/>
      <c r="T5461" s="310"/>
      <c r="U5461" s="106"/>
      <c r="V5461" s="106"/>
      <c r="W5461" s="106"/>
      <c r="X5461" s="420"/>
      <c r="Y5461" s="420"/>
    </row>
    <row r="5462" spans="17:25">
      <c r="Q5462" s="308"/>
      <c r="R5462" s="309"/>
      <c r="S5462" s="210"/>
      <c r="T5462" s="310"/>
      <c r="U5462" s="106"/>
      <c r="V5462" s="106"/>
      <c r="W5462" s="106"/>
      <c r="X5462" s="420"/>
      <c r="Y5462" s="420"/>
    </row>
    <row r="5463" spans="17:25">
      <c r="Q5463" s="308"/>
      <c r="R5463" s="309"/>
      <c r="S5463" s="210"/>
      <c r="T5463" s="310"/>
      <c r="U5463" s="106"/>
      <c r="V5463" s="106"/>
      <c r="W5463" s="106"/>
      <c r="X5463" s="420"/>
      <c r="Y5463" s="420"/>
    </row>
    <row r="5464" spans="17:25">
      <c r="Q5464" s="308"/>
      <c r="R5464" s="309"/>
      <c r="S5464" s="210"/>
      <c r="T5464" s="310"/>
      <c r="U5464" s="106"/>
      <c r="V5464" s="106"/>
      <c r="W5464" s="106"/>
      <c r="X5464" s="420"/>
      <c r="Y5464" s="420"/>
    </row>
    <row r="5465" spans="17:25">
      <c r="Q5465" s="308"/>
      <c r="R5465" s="309"/>
      <c r="S5465" s="210"/>
      <c r="T5465" s="310"/>
      <c r="U5465" s="106"/>
      <c r="V5465" s="106"/>
      <c r="W5465" s="106"/>
      <c r="X5465" s="420"/>
      <c r="Y5465" s="420"/>
    </row>
    <row r="5466" spans="17:25">
      <c r="Q5466" s="308"/>
      <c r="R5466" s="309"/>
      <c r="S5466" s="210"/>
      <c r="T5466" s="310"/>
      <c r="U5466" s="106"/>
      <c r="V5466" s="106"/>
      <c r="W5466" s="106"/>
      <c r="X5466" s="420"/>
      <c r="Y5466" s="420"/>
    </row>
    <row r="5467" spans="17:25">
      <c r="Q5467" s="308"/>
      <c r="R5467" s="309"/>
      <c r="S5467" s="210"/>
      <c r="T5467" s="310"/>
      <c r="U5467" s="106"/>
      <c r="V5467" s="106"/>
      <c r="W5467" s="106"/>
      <c r="X5467" s="420"/>
      <c r="Y5467" s="420"/>
    </row>
    <row r="5468" spans="17:25">
      <c r="Q5468" s="308"/>
      <c r="R5468" s="309"/>
      <c r="S5468" s="210"/>
      <c r="T5468" s="310"/>
      <c r="U5468" s="106"/>
      <c r="V5468" s="106"/>
      <c r="W5468" s="106"/>
      <c r="X5468" s="420"/>
      <c r="Y5468" s="420"/>
    </row>
    <row r="5469" spans="17:25">
      <c r="Q5469" s="308"/>
      <c r="R5469" s="309"/>
      <c r="S5469" s="210"/>
      <c r="T5469" s="310"/>
      <c r="U5469" s="106"/>
      <c r="V5469" s="106"/>
      <c r="W5469" s="106"/>
      <c r="X5469" s="420"/>
      <c r="Y5469" s="420"/>
    </row>
    <row r="5470" spans="17:25">
      <c r="Q5470" s="308"/>
      <c r="R5470" s="309"/>
      <c r="S5470" s="210"/>
      <c r="T5470" s="310"/>
      <c r="U5470" s="106"/>
      <c r="V5470" s="106"/>
      <c r="W5470" s="106"/>
      <c r="X5470" s="420"/>
      <c r="Y5470" s="420"/>
    </row>
    <row r="5471" spans="17:25">
      <c r="Q5471" s="308"/>
      <c r="R5471" s="309"/>
      <c r="S5471" s="210"/>
      <c r="T5471" s="310"/>
      <c r="U5471" s="106"/>
      <c r="V5471" s="106"/>
      <c r="W5471" s="106"/>
      <c r="X5471" s="420"/>
      <c r="Y5471" s="420"/>
    </row>
    <row r="5472" spans="17:25">
      <c r="Q5472" s="308"/>
      <c r="R5472" s="309"/>
      <c r="S5472" s="210"/>
      <c r="T5472" s="310"/>
      <c r="U5472" s="106"/>
      <c r="V5472" s="106"/>
      <c r="W5472" s="106"/>
      <c r="X5472" s="420"/>
      <c r="Y5472" s="420"/>
    </row>
    <row r="5473" spans="17:25">
      <c r="Q5473" s="308"/>
      <c r="R5473" s="309"/>
      <c r="S5473" s="210"/>
      <c r="T5473" s="310"/>
      <c r="U5473" s="106"/>
      <c r="V5473" s="106"/>
      <c r="W5473" s="106"/>
      <c r="X5473" s="420"/>
      <c r="Y5473" s="420"/>
    </row>
    <row r="5474" spans="17:25">
      <c r="Q5474" s="308"/>
      <c r="R5474" s="309"/>
      <c r="S5474" s="210"/>
      <c r="T5474" s="310"/>
      <c r="U5474" s="106"/>
      <c r="V5474" s="106"/>
      <c r="W5474" s="106"/>
      <c r="X5474" s="420"/>
      <c r="Y5474" s="420"/>
    </row>
    <row r="5475" spans="17:25">
      <c r="Q5475" s="308"/>
      <c r="R5475" s="309"/>
      <c r="S5475" s="210"/>
      <c r="T5475" s="310"/>
      <c r="U5475" s="106"/>
      <c r="V5475" s="106"/>
      <c r="W5475" s="106"/>
      <c r="X5475" s="420"/>
      <c r="Y5475" s="420"/>
    </row>
    <row r="5476" spans="17:25">
      <c r="Q5476" s="308"/>
      <c r="R5476" s="309"/>
      <c r="S5476" s="210"/>
      <c r="T5476" s="310"/>
      <c r="U5476" s="106"/>
      <c r="V5476" s="106"/>
      <c r="W5476" s="106"/>
      <c r="X5476" s="420"/>
      <c r="Y5476" s="420"/>
    </row>
    <row r="5477" spans="17:25">
      <c r="Q5477" s="308"/>
      <c r="R5477" s="309"/>
      <c r="S5477" s="210"/>
      <c r="T5477" s="310"/>
      <c r="U5477" s="106"/>
      <c r="V5477" s="106"/>
      <c r="W5477" s="106"/>
      <c r="X5477" s="420"/>
      <c r="Y5477" s="420"/>
    </row>
    <row r="5478" spans="17:25">
      <c r="Q5478" s="308"/>
      <c r="R5478" s="309"/>
      <c r="S5478" s="210"/>
      <c r="T5478" s="310"/>
      <c r="U5478" s="106"/>
      <c r="V5478" s="106"/>
      <c r="W5478" s="106"/>
      <c r="X5478" s="420"/>
      <c r="Y5478" s="420"/>
    </row>
    <row r="5479" spans="17:25">
      <c r="Q5479" s="308"/>
      <c r="R5479" s="309"/>
      <c r="S5479" s="210"/>
      <c r="T5479" s="310"/>
      <c r="U5479" s="106"/>
      <c r="V5479" s="106"/>
      <c r="W5479" s="106"/>
      <c r="X5479" s="420"/>
      <c r="Y5479" s="420"/>
    </row>
    <row r="5480" spans="17:25">
      <c r="Q5480" s="308"/>
      <c r="R5480" s="309"/>
      <c r="S5480" s="210"/>
      <c r="T5480" s="310"/>
      <c r="U5480" s="106"/>
      <c r="V5480" s="106"/>
      <c r="W5480" s="106"/>
      <c r="X5480" s="420"/>
      <c r="Y5480" s="420"/>
    </row>
    <row r="5481" spans="17:25">
      <c r="Q5481" s="308"/>
      <c r="R5481" s="309"/>
      <c r="S5481" s="210"/>
      <c r="T5481" s="310"/>
      <c r="U5481" s="106"/>
      <c r="V5481" s="106"/>
      <c r="W5481" s="106"/>
      <c r="X5481" s="420"/>
      <c r="Y5481" s="420"/>
    </row>
    <row r="5482" spans="17:25">
      <c r="Q5482" s="308"/>
      <c r="R5482" s="309"/>
      <c r="S5482" s="210"/>
      <c r="T5482" s="310"/>
      <c r="U5482" s="106"/>
      <c r="V5482" s="106"/>
      <c r="W5482" s="106"/>
      <c r="X5482" s="420"/>
      <c r="Y5482" s="420"/>
    </row>
    <row r="5483" spans="17:25">
      <c r="Q5483" s="308"/>
      <c r="R5483" s="309"/>
      <c r="S5483" s="210"/>
      <c r="T5483" s="310"/>
      <c r="U5483" s="106"/>
      <c r="V5483" s="106"/>
      <c r="W5483" s="106"/>
      <c r="X5483" s="420"/>
      <c r="Y5483" s="420"/>
    </row>
    <row r="5484" spans="17:25">
      <c r="Q5484" s="308"/>
      <c r="R5484" s="309"/>
      <c r="S5484" s="210"/>
      <c r="T5484" s="310"/>
      <c r="U5484" s="106"/>
      <c r="V5484" s="106"/>
      <c r="W5484" s="106"/>
      <c r="X5484" s="420"/>
      <c r="Y5484" s="420"/>
    </row>
    <row r="5485" spans="17:25">
      <c r="Q5485" s="308"/>
      <c r="R5485" s="309"/>
      <c r="S5485" s="210"/>
      <c r="T5485" s="310"/>
      <c r="U5485" s="106"/>
      <c r="V5485" s="106"/>
      <c r="W5485" s="106"/>
      <c r="X5485" s="420"/>
      <c r="Y5485" s="420"/>
    </row>
    <row r="5486" spans="17:25">
      <c r="Q5486" s="308"/>
      <c r="R5486" s="309"/>
      <c r="S5486" s="210"/>
      <c r="T5486" s="310"/>
      <c r="U5486" s="106"/>
      <c r="V5486" s="106"/>
      <c r="W5486" s="106"/>
      <c r="X5486" s="420"/>
      <c r="Y5486" s="420"/>
    </row>
    <row r="5487" spans="17:25">
      <c r="Q5487" s="308"/>
      <c r="R5487" s="309"/>
      <c r="S5487" s="210"/>
      <c r="T5487" s="310"/>
      <c r="U5487" s="106"/>
      <c r="V5487" s="106"/>
      <c r="W5487" s="106"/>
      <c r="X5487" s="420"/>
      <c r="Y5487" s="420"/>
    </row>
    <row r="5488" spans="17:25">
      <c r="Q5488" s="308"/>
      <c r="R5488" s="309"/>
      <c r="S5488" s="210"/>
      <c r="T5488" s="310"/>
      <c r="U5488" s="106"/>
      <c r="V5488" s="106"/>
      <c r="W5488" s="106"/>
      <c r="X5488" s="420"/>
      <c r="Y5488" s="420"/>
    </row>
    <row r="5489" spans="17:25">
      <c r="Q5489" s="308"/>
      <c r="R5489" s="309"/>
      <c r="S5489" s="210"/>
      <c r="T5489" s="310"/>
      <c r="U5489" s="106"/>
      <c r="V5489" s="106"/>
      <c r="W5489" s="106"/>
      <c r="X5489" s="420"/>
      <c r="Y5489" s="420"/>
    </row>
    <row r="5490" spans="17:25">
      <c r="Q5490" s="308"/>
      <c r="R5490" s="309"/>
      <c r="S5490" s="210"/>
      <c r="T5490" s="310"/>
      <c r="U5490" s="106"/>
      <c r="V5490" s="106"/>
      <c r="W5490" s="106"/>
      <c r="X5490" s="420"/>
      <c r="Y5490" s="420"/>
    </row>
    <row r="5491" spans="17:25">
      <c r="Q5491" s="308"/>
      <c r="R5491" s="309"/>
      <c r="S5491" s="210"/>
      <c r="T5491" s="310"/>
      <c r="U5491" s="106"/>
      <c r="V5491" s="106"/>
      <c r="W5491" s="106"/>
      <c r="X5491" s="420"/>
      <c r="Y5491" s="420"/>
    </row>
    <row r="5492" spans="17:25">
      <c r="Q5492" s="308"/>
      <c r="R5492" s="309"/>
      <c r="S5492" s="210"/>
      <c r="T5492" s="310"/>
      <c r="U5492" s="106"/>
      <c r="V5492" s="106"/>
      <c r="W5492" s="106"/>
      <c r="X5492" s="420"/>
      <c r="Y5492" s="420"/>
    </row>
    <row r="5493" spans="17:25">
      <c r="Q5493" s="308"/>
      <c r="R5493" s="309"/>
      <c r="S5493" s="210"/>
      <c r="T5493" s="310"/>
      <c r="U5493" s="106"/>
      <c r="V5493" s="106"/>
      <c r="W5493" s="106"/>
      <c r="X5493" s="420"/>
      <c r="Y5493" s="420"/>
    </row>
    <row r="5494" spans="17:25">
      <c r="Q5494" s="308"/>
      <c r="R5494" s="309"/>
      <c r="S5494" s="210"/>
      <c r="T5494" s="310"/>
      <c r="U5494" s="106"/>
      <c r="V5494" s="106"/>
      <c r="W5494" s="106"/>
      <c r="X5494" s="420"/>
      <c r="Y5494" s="420"/>
    </row>
    <row r="5495" spans="17:25">
      <c r="Q5495" s="308"/>
      <c r="R5495" s="309"/>
      <c r="S5495" s="210"/>
      <c r="T5495" s="310"/>
      <c r="U5495" s="106"/>
      <c r="V5495" s="106"/>
      <c r="W5495" s="106"/>
      <c r="X5495" s="420"/>
      <c r="Y5495" s="420"/>
    </row>
    <row r="5496" spans="17:25">
      <c r="Q5496" s="308"/>
      <c r="R5496" s="309"/>
      <c r="S5496" s="210"/>
      <c r="T5496" s="310"/>
      <c r="U5496" s="106"/>
      <c r="V5496" s="106"/>
      <c r="W5496" s="106"/>
      <c r="X5496" s="420"/>
      <c r="Y5496" s="420"/>
    </row>
    <row r="5497" spans="17:25">
      <c r="Q5497" s="308"/>
      <c r="R5497" s="309"/>
      <c r="S5497" s="210"/>
      <c r="T5497" s="310"/>
      <c r="U5497" s="106"/>
      <c r="V5497" s="106"/>
      <c r="W5497" s="106"/>
      <c r="X5497" s="420"/>
      <c r="Y5497" s="420"/>
    </row>
    <row r="5498" spans="17:25">
      <c r="Q5498" s="308"/>
      <c r="R5498" s="309"/>
      <c r="S5498" s="210"/>
      <c r="T5498" s="310"/>
      <c r="U5498" s="106"/>
      <c r="V5498" s="106"/>
      <c r="W5498" s="106"/>
      <c r="X5498" s="420"/>
      <c r="Y5498" s="420"/>
    </row>
    <row r="5499" spans="17:25">
      <c r="Q5499" s="308"/>
      <c r="R5499" s="309"/>
      <c r="S5499" s="210"/>
      <c r="T5499" s="310"/>
      <c r="U5499" s="106"/>
      <c r="V5499" s="106"/>
      <c r="W5499" s="106"/>
      <c r="X5499" s="420"/>
      <c r="Y5499" s="420"/>
    </row>
    <row r="5500" spans="17:25">
      <c r="Q5500" s="308"/>
      <c r="R5500" s="309"/>
      <c r="S5500" s="210"/>
      <c r="T5500" s="310"/>
      <c r="U5500" s="106"/>
      <c r="V5500" s="106"/>
      <c r="W5500" s="106"/>
      <c r="X5500" s="420"/>
      <c r="Y5500" s="420"/>
    </row>
    <row r="5501" spans="17:25">
      <c r="Q5501" s="308"/>
      <c r="R5501" s="309"/>
      <c r="S5501" s="210"/>
      <c r="T5501" s="310"/>
      <c r="U5501" s="106"/>
      <c r="V5501" s="106"/>
      <c r="W5501" s="106"/>
      <c r="X5501" s="420"/>
      <c r="Y5501" s="420"/>
    </row>
    <row r="5502" spans="17:25">
      <c r="Q5502" s="308"/>
      <c r="R5502" s="309"/>
      <c r="S5502" s="210"/>
      <c r="T5502" s="310"/>
      <c r="U5502" s="106"/>
      <c r="V5502" s="106"/>
      <c r="W5502" s="106"/>
      <c r="X5502" s="420"/>
      <c r="Y5502" s="420"/>
    </row>
    <row r="5503" spans="17:25">
      <c r="Q5503" s="308"/>
      <c r="R5503" s="309"/>
      <c r="S5503" s="210"/>
      <c r="T5503" s="310"/>
      <c r="U5503" s="106"/>
      <c r="V5503" s="106"/>
      <c r="W5503" s="106"/>
      <c r="X5503" s="420"/>
      <c r="Y5503" s="420"/>
    </row>
    <row r="5504" spans="17:25">
      <c r="Q5504" s="308"/>
      <c r="R5504" s="309"/>
      <c r="S5504" s="210"/>
      <c r="T5504" s="310"/>
      <c r="U5504" s="106"/>
      <c r="V5504" s="106"/>
      <c r="W5504" s="106"/>
      <c r="X5504" s="420"/>
      <c r="Y5504" s="420"/>
    </row>
    <row r="5505" spans="17:25">
      <c r="Q5505" s="308"/>
      <c r="R5505" s="309"/>
      <c r="S5505" s="210"/>
      <c r="T5505" s="310"/>
      <c r="U5505" s="106"/>
      <c r="V5505" s="106"/>
      <c r="W5505" s="106"/>
      <c r="X5505" s="420"/>
      <c r="Y5505" s="420"/>
    </row>
    <row r="5506" spans="17:25">
      <c r="Q5506" s="308"/>
      <c r="R5506" s="309"/>
      <c r="S5506" s="210"/>
      <c r="T5506" s="310"/>
      <c r="U5506" s="106"/>
      <c r="V5506" s="106"/>
      <c r="W5506" s="106"/>
      <c r="X5506" s="420"/>
      <c r="Y5506" s="420"/>
    </row>
    <row r="5507" spans="17:25">
      <c r="Q5507" s="308"/>
      <c r="R5507" s="309"/>
      <c r="S5507" s="210"/>
      <c r="T5507" s="310"/>
      <c r="U5507" s="106"/>
      <c r="V5507" s="106"/>
      <c r="W5507" s="106"/>
      <c r="X5507" s="420"/>
      <c r="Y5507" s="420"/>
    </row>
    <row r="5508" spans="17:25">
      <c r="Q5508" s="308"/>
      <c r="R5508" s="309"/>
      <c r="S5508" s="210"/>
      <c r="T5508" s="310"/>
      <c r="U5508" s="106"/>
      <c r="V5508" s="106"/>
      <c r="W5508" s="106"/>
      <c r="X5508" s="420"/>
      <c r="Y5508" s="420"/>
    </row>
    <row r="5509" spans="17:25">
      <c r="Q5509" s="308"/>
      <c r="R5509" s="309"/>
      <c r="S5509" s="210"/>
      <c r="T5509" s="310"/>
      <c r="U5509" s="106"/>
      <c r="V5509" s="106"/>
      <c r="W5509" s="106"/>
      <c r="X5509" s="420"/>
      <c r="Y5509" s="420"/>
    </row>
    <row r="5510" spans="17:25">
      <c r="Q5510" s="308"/>
      <c r="R5510" s="309"/>
      <c r="S5510" s="210"/>
      <c r="T5510" s="310"/>
      <c r="U5510" s="106"/>
      <c r="V5510" s="106"/>
      <c r="W5510" s="106"/>
      <c r="X5510" s="420"/>
      <c r="Y5510" s="420"/>
    </row>
    <row r="5511" spans="17:25">
      <c r="Q5511" s="308"/>
      <c r="R5511" s="309"/>
      <c r="S5511" s="210"/>
      <c r="T5511" s="310"/>
      <c r="U5511" s="106"/>
      <c r="V5511" s="106"/>
      <c r="W5511" s="106"/>
      <c r="X5511" s="420"/>
      <c r="Y5511" s="420"/>
    </row>
    <row r="5512" spans="17:25">
      <c r="Q5512" s="308"/>
      <c r="R5512" s="309"/>
      <c r="S5512" s="210"/>
      <c r="T5512" s="310"/>
      <c r="U5512" s="106"/>
      <c r="V5512" s="106"/>
      <c r="W5512" s="106"/>
      <c r="X5512" s="420"/>
      <c r="Y5512" s="420"/>
    </row>
    <row r="5513" spans="17:25">
      <c r="Q5513" s="308"/>
      <c r="R5513" s="309"/>
      <c r="S5513" s="210"/>
      <c r="T5513" s="310"/>
      <c r="U5513" s="106"/>
      <c r="V5513" s="106"/>
      <c r="W5513" s="106"/>
      <c r="X5513" s="420"/>
      <c r="Y5513" s="420"/>
    </row>
    <row r="5514" spans="17:25">
      <c r="Q5514" s="308"/>
      <c r="R5514" s="309"/>
      <c r="S5514" s="210"/>
      <c r="T5514" s="310"/>
      <c r="U5514" s="106"/>
      <c r="V5514" s="106"/>
      <c r="W5514" s="106"/>
      <c r="X5514" s="420"/>
      <c r="Y5514" s="420"/>
    </row>
    <row r="5515" spans="17:25">
      <c r="Q5515" s="308"/>
      <c r="R5515" s="309"/>
      <c r="S5515" s="210"/>
      <c r="T5515" s="310"/>
      <c r="U5515" s="106"/>
      <c r="V5515" s="106"/>
      <c r="W5515" s="106"/>
      <c r="X5515" s="420"/>
      <c r="Y5515" s="420"/>
    </row>
    <row r="5516" spans="17:25">
      <c r="Q5516" s="308"/>
      <c r="R5516" s="309"/>
      <c r="S5516" s="210"/>
      <c r="T5516" s="310"/>
      <c r="U5516" s="106"/>
      <c r="V5516" s="106"/>
      <c r="W5516" s="106"/>
      <c r="X5516" s="420"/>
      <c r="Y5516" s="420"/>
    </row>
    <row r="5517" spans="17:25">
      <c r="Q5517" s="308"/>
      <c r="R5517" s="309"/>
      <c r="S5517" s="210"/>
      <c r="T5517" s="310"/>
      <c r="U5517" s="106"/>
      <c r="V5517" s="106"/>
      <c r="W5517" s="106"/>
      <c r="X5517" s="420"/>
      <c r="Y5517" s="420"/>
    </row>
    <row r="5518" spans="17:25">
      <c r="Q5518" s="308"/>
      <c r="R5518" s="309"/>
      <c r="S5518" s="210"/>
      <c r="T5518" s="310"/>
      <c r="U5518" s="106"/>
      <c r="V5518" s="106"/>
      <c r="W5518" s="106"/>
      <c r="X5518" s="420"/>
      <c r="Y5518" s="420"/>
    </row>
    <row r="5519" spans="17:25">
      <c r="Q5519" s="308"/>
      <c r="R5519" s="309"/>
      <c r="S5519" s="210"/>
      <c r="T5519" s="310"/>
      <c r="U5519" s="106"/>
      <c r="V5519" s="106"/>
      <c r="W5519" s="106"/>
      <c r="X5519" s="420"/>
      <c r="Y5519" s="420"/>
    </row>
    <row r="5520" spans="17:25">
      <c r="Q5520" s="308"/>
      <c r="R5520" s="309"/>
      <c r="S5520" s="210"/>
      <c r="T5520" s="310"/>
      <c r="U5520" s="106"/>
      <c r="V5520" s="106"/>
      <c r="W5520" s="106"/>
      <c r="X5520" s="420"/>
      <c r="Y5520" s="420"/>
    </row>
    <row r="5521" spans="17:25">
      <c r="Q5521" s="308"/>
      <c r="R5521" s="309"/>
      <c r="S5521" s="210"/>
      <c r="T5521" s="310"/>
      <c r="U5521" s="106"/>
      <c r="V5521" s="106"/>
      <c r="W5521" s="106"/>
      <c r="X5521" s="420"/>
      <c r="Y5521" s="420"/>
    </row>
    <row r="5522" spans="17:25">
      <c r="Q5522" s="308"/>
      <c r="R5522" s="309"/>
      <c r="S5522" s="210"/>
      <c r="T5522" s="310"/>
      <c r="U5522" s="106"/>
      <c r="V5522" s="106"/>
      <c r="W5522" s="106"/>
      <c r="X5522" s="420"/>
      <c r="Y5522" s="420"/>
    </row>
    <row r="5523" spans="17:25">
      <c r="Q5523" s="308"/>
      <c r="R5523" s="309"/>
      <c r="S5523" s="210"/>
      <c r="T5523" s="310"/>
      <c r="U5523" s="106"/>
      <c r="V5523" s="106"/>
      <c r="W5523" s="106"/>
      <c r="X5523" s="420"/>
      <c r="Y5523" s="420"/>
    </row>
    <row r="5524" spans="17:25">
      <c r="Q5524" s="308"/>
      <c r="R5524" s="309"/>
      <c r="S5524" s="210"/>
      <c r="T5524" s="310"/>
      <c r="U5524" s="106"/>
      <c r="V5524" s="106"/>
      <c r="W5524" s="106"/>
      <c r="X5524" s="420"/>
      <c r="Y5524" s="420"/>
    </row>
    <row r="5525" spans="17:25">
      <c r="Q5525" s="308"/>
      <c r="R5525" s="309"/>
      <c r="S5525" s="210"/>
      <c r="T5525" s="310"/>
      <c r="U5525" s="106"/>
      <c r="V5525" s="106"/>
      <c r="W5525" s="106"/>
      <c r="X5525" s="420"/>
      <c r="Y5525" s="420"/>
    </row>
    <row r="5526" spans="17:25">
      <c r="Q5526" s="308"/>
      <c r="R5526" s="309"/>
      <c r="S5526" s="210"/>
      <c r="T5526" s="310"/>
      <c r="U5526" s="106"/>
      <c r="V5526" s="106"/>
      <c r="W5526" s="106"/>
      <c r="X5526" s="420"/>
      <c r="Y5526" s="420"/>
    </row>
    <row r="5527" spans="17:25">
      <c r="Q5527" s="308"/>
      <c r="R5527" s="309"/>
      <c r="S5527" s="210"/>
      <c r="T5527" s="310"/>
      <c r="U5527" s="106"/>
      <c r="V5527" s="106"/>
      <c r="W5527" s="106"/>
      <c r="X5527" s="420"/>
      <c r="Y5527" s="420"/>
    </row>
    <row r="5528" spans="17:25">
      <c r="Q5528" s="308"/>
      <c r="R5528" s="309"/>
      <c r="S5528" s="210"/>
      <c r="T5528" s="310"/>
      <c r="U5528" s="106"/>
      <c r="V5528" s="106"/>
      <c r="W5528" s="106"/>
      <c r="X5528" s="420"/>
      <c r="Y5528" s="420"/>
    </row>
    <row r="5529" spans="17:25">
      <c r="Q5529" s="308"/>
      <c r="R5529" s="309"/>
      <c r="S5529" s="210"/>
      <c r="T5529" s="310"/>
      <c r="U5529" s="106"/>
      <c r="V5529" s="106"/>
      <c r="W5529" s="106"/>
      <c r="X5529" s="420"/>
      <c r="Y5529" s="420"/>
    </row>
    <row r="5530" spans="17:25">
      <c r="Q5530" s="308"/>
      <c r="R5530" s="309"/>
      <c r="S5530" s="210"/>
      <c r="T5530" s="310"/>
      <c r="U5530" s="106"/>
      <c r="V5530" s="106"/>
      <c r="W5530" s="106"/>
      <c r="X5530" s="420"/>
      <c r="Y5530" s="420"/>
    </row>
    <row r="5531" spans="17:25">
      <c r="Q5531" s="308"/>
      <c r="R5531" s="309"/>
      <c r="S5531" s="210"/>
      <c r="T5531" s="310"/>
      <c r="U5531" s="106"/>
      <c r="V5531" s="106"/>
      <c r="W5531" s="106"/>
      <c r="X5531" s="420"/>
      <c r="Y5531" s="420"/>
    </row>
    <row r="5532" spans="17:25">
      <c r="Q5532" s="308"/>
      <c r="R5532" s="309"/>
      <c r="S5532" s="210"/>
      <c r="T5532" s="310"/>
      <c r="U5532" s="106"/>
      <c r="V5532" s="106"/>
      <c r="W5532" s="106"/>
      <c r="X5532" s="420"/>
      <c r="Y5532" s="420"/>
    </row>
    <row r="5533" spans="17:25">
      <c r="Q5533" s="308"/>
      <c r="R5533" s="309"/>
      <c r="S5533" s="210"/>
      <c r="T5533" s="310"/>
      <c r="U5533" s="106"/>
      <c r="V5533" s="106"/>
      <c r="W5533" s="106"/>
      <c r="X5533" s="420"/>
      <c r="Y5533" s="420"/>
    </row>
    <row r="5534" spans="17:25">
      <c r="Q5534" s="308"/>
      <c r="R5534" s="309"/>
      <c r="S5534" s="210"/>
      <c r="T5534" s="310"/>
      <c r="U5534" s="106"/>
      <c r="V5534" s="106"/>
      <c r="W5534" s="106"/>
      <c r="X5534" s="420"/>
      <c r="Y5534" s="420"/>
    </row>
    <row r="5535" spans="17:25">
      <c r="Q5535" s="308"/>
      <c r="R5535" s="309"/>
      <c r="S5535" s="210"/>
      <c r="T5535" s="310"/>
      <c r="U5535" s="106"/>
      <c r="V5535" s="106"/>
      <c r="W5535" s="106"/>
      <c r="X5535" s="420"/>
      <c r="Y5535" s="420"/>
    </row>
    <row r="5536" spans="17:25">
      <c r="Q5536" s="308"/>
      <c r="R5536" s="309"/>
      <c r="S5536" s="210"/>
      <c r="T5536" s="310"/>
      <c r="U5536" s="106"/>
      <c r="V5536" s="106"/>
      <c r="W5536" s="106"/>
      <c r="X5536" s="420"/>
      <c r="Y5536" s="420"/>
    </row>
    <row r="5537" spans="17:25">
      <c r="Q5537" s="308"/>
      <c r="R5537" s="309"/>
      <c r="S5537" s="210"/>
      <c r="T5537" s="310"/>
      <c r="U5537" s="106"/>
      <c r="V5537" s="106"/>
      <c r="W5537" s="106"/>
      <c r="X5537" s="420"/>
      <c r="Y5537" s="420"/>
    </row>
    <row r="5538" spans="17:25">
      <c r="Q5538" s="308"/>
      <c r="R5538" s="309"/>
      <c r="S5538" s="210"/>
      <c r="T5538" s="310"/>
      <c r="U5538" s="106"/>
      <c r="V5538" s="106"/>
      <c r="W5538" s="106"/>
      <c r="X5538" s="420"/>
      <c r="Y5538" s="420"/>
    </row>
    <row r="5539" spans="17:25">
      <c r="Q5539" s="308"/>
      <c r="R5539" s="309"/>
      <c r="S5539" s="210"/>
      <c r="T5539" s="310"/>
      <c r="U5539" s="106"/>
      <c r="V5539" s="106"/>
      <c r="W5539" s="106"/>
      <c r="X5539" s="420"/>
      <c r="Y5539" s="420"/>
    </row>
    <row r="5540" spans="17:25">
      <c r="Q5540" s="308"/>
      <c r="R5540" s="309"/>
      <c r="S5540" s="210"/>
      <c r="T5540" s="310"/>
      <c r="U5540" s="106"/>
      <c r="V5540" s="106"/>
      <c r="W5540" s="106"/>
      <c r="X5540" s="420"/>
      <c r="Y5540" s="420"/>
    </row>
    <row r="5541" spans="17:25">
      <c r="Q5541" s="308"/>
      <c r="R5541" s="309"/>
      <c r="S5541" s="210"/>
      <c r="T5541" s="310"/>
      <c r="U5541" s="106"/>
      <c r="V5541" s="106"/>
      <c r="W5541" s="106"/>
      <c r="X5541" s="420"/>
      <c r="Y5541" s="420"/>
    </row>
    <row r="5542" spans="17:25">
      <c r="Q5542" s="308"/>
      <c r="R5542" s="309"/>
      <c r="S5542" s="210"/>
      <c r="T5542" s="310"/>
      <c r="U5542" s="106"/>
      <c r="V5542" s="106"/>
      <c r="W5542" s="106"/>
      <c r="X5542" s="420"/>
      <c r="Y5542" s="420"/>
    </row>
    <row r="5543" spans="17:25">
      <c r="Q5543" s="308"/>
      <c r="R5543" s="309"/>
      <c r="S5543" s="210"/>
      <c r="T5543" s="310"/>
      <c r="U5543" s="106"/>
      <c r="V5543" s="106"/>
      <c r="W5543" s="106"/>
      <c r="X5543" s="420"/>
      <c r="Y5543" s="420"/>
    </row>
    <row r="5544" spans="17:25">
      <c r="Q5544" s="308"/>
      <c r="R5544" s="309"/>
      <c r="S5544" s="210"/>
      <c r="T5544" s="310"/>
      <c r="U5544" s="106"/>
      <c r="V5544" s="106"/>
      <c r="W5544" s="106"/>
      <c r="X5544" s="420"/>
      <c r="Y5544" s="420"/>
    </row>
    <row r="5545" spans="17:25">
      <c r="Q5545" s="308"/>
      <c r="R5545" s="309"/>
      <c r="S5545" s="210"/>
      <c r="T5545" s="310"/>
      <c r="U5545" s="106"/>
      <c r="V5545" s="106"/>
      <c r="W5545" s="106"/>
      <c r="X5545" s="420"/>
      <c r="Y5545" s="420"/>
    </row>
    <row r="5546" spans="17:25">
      <c r="Q5546" s="308"/>
      <c r="R5546" s="309"/>
      <c r="S5546" s="210"/>
      <c r="T5546" s="310"/>
      <c r="U5546" s="106"/>
      <c r="V5546" s="106"/>
      <c r="W5546" s="106"/>
      <c r="X5546" s="420"/>
      <c r="Y5546" s="420"/>
    </row>
    <row r="5547" spans="17:25">
      <c r="Q5547" s="308"/>
      <c r="R5547" s="309"/>
      <c r="S5547" s="210"/>
      <c r="T5547" s="310"/>
      <c r="U5547" s="106"/>
      <c r="V5547" s="106"/>
      <c r="W5547" s="106"/>
      <c r="X5547" s="420"/>
      <c r="Y5547" s="420"/>
    </row>
    <row r="5548" spans="17:25">
      <c r="Q5548" s="308"/>
      <c r="R5548" s="309"/>
      <c r="S5548" s="210"/>
      <c r="T5548" s="310"/>
      <c r="U5548" s="106"/>
      <c r="V5548" s="106"/>
      <c r="W5548" s="106"/>
      <c r="X5548" s="420"/>
      <c r="Y5548" s="420"/>
    </row>
    <row r="5549" spans="17:25">
      <c r="Q5549" s="308"/>
      <c r="R5549" s="309"/>
      <c r="S5549" s="210"/>
      <c r="T5549" s="310"/>
      <c r="U5549" s="106"/>
      <c r="V5549" s="106"/>
      <c r="W5549" s="106"/>
      <c r="X5549" s="420"/>
      <c r="Y5549" s="420"/>
    </row>
    <row r="5550" spans="17:25">
      <c r="Q5550" s="308"/>
      <c r="R5550" s="309"/>
      <c r="S5550" s="210"/>
      <c r="T5550" s="310"/>
      <c r="U5550" s="106"/>
      <c r="V5550" s="106"/>
      <c r="W5550" s="106"/>
      <c r="X5550" s="420"/>
      <c r="Y5550" s="420"/>
    </row>
    <row r="5551" spans="17:25">
      <c r="Q5551" s="308"/>
      <c r="R5551" s="309"/>
      <c r="S5551" s="210"/>
      <c r="T5551" s="310"/>
      <c r="U5551" s="106"/>
      <c r="V5551" s="106"/>
      <c r="W5551" s="106"/>
      <c r="X5551" s="420"/>
      <c r="Y5551" s="420"/>
    </row>
    <row r="5552" spans="17:25">
      <c r="Q5552" s="308"/>
      <c r="R5552" s="309"/>
      <c r="S5552" s="210"/>
      <c r="T5552" s="310"/>
      <c r="U5552" s="106"/>
      <c r="V5552" s="106"/>
      <c r="W5552" s="106"/>
      <c r="X5552" s="420"/>
      <c r="Y5552" s="420"/>
    </row>
    <row r="5553" spans="17:25">
      <c r="Q5553" s="308"/>
      <c r="R5553" s="309"/>
      <c r="S5553" s="210"/>
      <c r="T5553" s="310"/>
      <c r="U5553" s="106"/>
      <c r="V5553" s="106"/>
      <c r="W5553" s="106"/>
      <c r="X5553" s="420"/>
      <c r="Y5553" s="420"/>
    </row>
    <row r="5554" spans="17:25">
      <c r="Q5554" s="308"/>
      <c r="R5554" s="309"/>
      <c r="S5554" s="210"/>
      <c r="T5554" s="310"/>
      <c r="U5554" s="106"/>
      <c r="V5554" s="106"/>
      <c r="W5554" s="106"/>
      <c r="X5554" s="420"/>
      <c r="Y5554" s="420"/>
    </row>
    <row r="5555" spans="17:25">
      <c r="Q5555" s="308"/>
      <c r="R5555" s="309"/>
      <c r="S5555" s="210"/>
      <c r="T5555" s="310"/>
      <c r="U5555" s="106"/>
      <c r="V5555" s="106"/>
      <c r="W5555" s="106"/>
      <c r="X5555" s="420"/>
      <c r="Y5555" s="420"/>
    </row>
    <row r="5556" spans="17:25">
      <c r="Q5556" s="308"/>
      <c r="R5556" s="309"/>
      <c r="S5556" s="210"/>
      <c r="T5556" s="310"/>
      <c r="U5556" s="106"/>
      <c r="V5556" s="106"/>
      <c r="W5556" s="106"/>
      <c r="X5556" s="420"/>
      <c r="Y5556" s="420"/>
    </row>
    <row r="5557" spans="17:25">
      <c r="Q5557" s="308"/>
      <c r="R5557" s="309"/>
      <c r="S5557" s="210"/>
      <c r="T5557" s="310"/>
      <c r="U5557" s="106"/>
      <c r="V5557" s="106"/>
      <c r="W5557" s="106"/>
      <c r="X5557" s="420"/>
      <c r="Y5557" s="420"/>
    </row>
    <row r="5558" spans="17:25">
      <c r="Q5558" s="308"/>
      <c r="R5558" s="309"/>
      <c r="S5558" s="210"/>
      <c r="T5558" s="310"/>
      <c r="U5558" s="106"/>
      <c r="V5558" s="106"/>
      <c r="W5558" s="106"/>
      <c r="X5558" s="420"/>
      <c r="Y5558" s="420"/>
    </row>
    <row r="5559" spans="17:25">
      <c r="Q5559" s="308"/>
      <c r="R5559" s="309"/>
      <c r="S5559" s="210"/>
      <c r="T5559" s="310"/>
      <c r="U5559" s="106"/>
      <c r="V5559" s="106"/>
      <c r="W5559" s="106"/>
      <c r="X5559" s="420"/>
      <c r="Y5559" s="420"/>
    </row>
    <row r="5560" spans="17:25">
      <c r="Q5560" s="308"/>
      <c r="R5560" s="309"/>
      <c r="S5560" s="210"/>
      <c r="T5560" s="310"/>
      <c r="U5560" s="106"/>
      <c r="V5560" s="106"/>
      <c r="W5560" s="106"/>
      <c r="X5560" s="420"/>
      <c r="Y5560" s="420"/>
    </row>
    <row r="5561" spans="17:25">
      <c r="Q5561" s="308"/>
      <c r="R5561" s="309"/>
      <c r="S5561" s="210"/>
      <c r="T5561" s="310"/>
      <c r="U5561" s="106"/>
      <c r="V5561" s="106"/>
      <c r="W5561" s="106"/>
      <c r="X5561" s="420"/>
      <c r="Y5561" s="420"/>
    </row>
    <row r="5562" spans="17:25">
      <c r="Q5562" s="308"/>
      <c r="R5562" s="309"/>
      <c r="S5562" s="210"/>
      <c r="T5562" s="310"/>
      <c r="U5562" s="106"/>
      <c r="V5562" s="106"/>
      <c r="W5562" s="106"/>
      <c r="X5562" s="420"/>
      <c r="Y5562" s="420"/>
    </row>
    <row r="5563" spans="17:25">
      <c r="Q5563" s="308"/>
      <c r="R5563" s="309"/>
      <c r="S5563" s="210"/>
      <c r="T5563" s="310"/>
      <c r="U5563" s="106"/>
      <c r="V5563" s="106"/>
      <c r="W5563" s="106"/>
      <c r="X5563" s="420"/>
      <c r="Y5563" s="420"/>
    </row>
    <row r="5564" spans="17:25">
      <c r="Q5564" s="308"/>
      <c r="R5564" s="309"/>
      <c r="S5564" s="210"/>
      <c r="T5564" s="310"/>
      <c r="U5564" s="106"/>
      <c r="V5564" s="106"/>
      <c r="W5564" s="106"/>
      <c r="X5564" s="420"/>
      <c r="Y5564" s="420"/>
    </row>
    <row r="5565" spans="17:25">
      <c r="Q5565" s="308"/>
      <c r="R5565" s="309"/>
      <c r="S5565" s="210"/>
      <c r="T5565" s="310"/>
      <c r="U5565" s="106"/>
      <c r="V5565" s="106"/>
      <c r="W5565" s="106"/>
      <c r="X5565" s="420"/>
      <c r="Y5565" s="420"/>
    </row>
    <row r="5566" spans="17:25">
      <c r="Q5566" s="308"/>
      <c r="R5566" s="309"/>
      <c r="S5566" s="210"/>
      <c r="T5566" s="310"/>
      <c r="U5566" s="106"/>
      <c r="V5566" s="106"/>
      <c r="W5566" s="106"/>
      <c r="X5566" s="420"/>
      <c r="Y5566" s="420"/>
    </row>
    <row r="5567" spans="17:25">
      <c r="Q5567" s="308"/>
      <c r="R5567" s="309"/>
      <c r="S5567" s="210"/>
      <c r="T5567" s="310"/>
      <c r="U5567" s="106"/>
      <c r="V5567" s="106"/>
      <c r="W5567" s="106"/>
      <c r="X5567" s="420"/>
      <c r="Y5567" s="420"/>
    </row>
    <row r="5568" spans="17:25">
      <c r="Q5568" s="308"/>
      <c r="R5568" s="309"/>
      <c r="S5568" s="210"/>
      <c r="T5568" s="310"/>
      <c r="U5568" s="106"/>
      <c r="V5568" s="106"/>
      <c r="W5568" s="106"/>
      <c r="X5568" s="420"/>
      <c r="Y5568" s="420"/>
    </row>
    <row r="5569" spans="17:25">
      <c r="Q5569" s="308"/>
      <c r="R5569" s="309"/>
      <c r="S5569" s="210"/>
      <c r="T5569" s="310"/>
      <c r="U5569" s="106"/>
      <c r="V5569" s="106"/>
      <c r="W5569" s="106"/>
      <c r="X5569" s="420"/>
      <c r="Y5569" s="420"/>
    </row>
    <row r="5570" spans="17:25">
      <c r="Q5570" s="308"/>
      <c r="R5570" s="309"/>
      <c r="S5570" s="210"/>
      <c r="T5570" s="310"/>
      <c r="U5570" s="106"/>
      <c r="V5570" s="106"/>
      <c r="W5570" s="106"/>
      <c r="X5570" s="420"/>
      <c r="Y5570" s="420"/>
    </row>
    <row r="5571" spans="17:25">
      <c r="Q5571" s="308"/>
      <c r="R5571" s="309"/>
      <c r="S5571" s="210"/>
      <c r="T5571" s="310"/>
      <c r="U5571" s="106"/>
      <c r="V5571" s="106"/>
      <c r="W5571" s="106"/>
      <c r="X5571" s="420"/>
      <c r="Y5571" s="420"/>
    </row>
    <row r="5572" spans="17:25">
      <c r="Q5572" s="308"/>
      <c r="R5572" s="309"/>
      <c r="S5572" s="210"/>
      <c r="T5572" s="310"/>
      <c r="U5572" s="106"/>
      <c r="V5572" s="106"/>
      <c r="W5572" s="106"/>
      <c r="X5572" s="420"/>
      <c r="Y5572" s="420"/>
    </row>
    <row r="5573" spans="17:25">
      <c r="Q5573" s="308"/>
      <c r="R5573" s="309"/>
      <c r="S5573" s="210"/>
      <c r="T5573" s="310"/>
      <c r="U5573" s="106"/>
      <c r="V5573" s="106"/>
      <c r="W5573" s="106"/>
      <c r="X5573" s="420"/>
      <c r="Y5573" s="420"/>
    </row>
    <row r="5574" spans="17:25">
      <c r="Q5574" s="308"/>
      <c r="R5574" s="309"/>
      <c r="S5574" s="210"/>
      <c r="T5574" s="310"/>
      <c r="U5574" s="106"/>
      <c r="V5574" s="106"/>
      <c r="W5574" s="106"/>
      <c r="X5574" s="420"/>
      <c r="Y5574" s="420"/>
    </row>
    <row r="5575" spans="17:25">
      <c r="Q5575" s="308"/>
      <c r="R5575" s="309"/>
      <c r="S5575" s="210"/>
      <c r="T5575" s="310"/>
      <c r="U5575" s="106"/>
      <c r="V5575" s="106"/>
      <c r="W5575" s="106"/>
      <c r="X5575" s="420"/>
      <c r="Y5575" s="420"/>
    </row>
    <row r="5576" spans="17:25">
      <c r="Q5576" s="308"/>
      <c r="R5576" s="309"/>
      <c r="S5576" s="210"/>
      <c r="T5576" s="310"/>
      <c r="U5576" s="106"/>
      <c r="V5576" s="106"/>
      <c r="W5576" s="106"/>
      <c r="X5576" s="420"/>
      <c r="Y5576" s="420"/>
    </row>
    <row r="5577" spans="17:25">
      <c r="Q5577" s="308"/>
      <c r="R5577" s="309"/>
      <c r="S5577" s="210"/>
      <c r="T5577" s="310"/>
      <c r="U5577" s="106"/>
      <c r="V5577" s="106"/>
      <c r="W5577" s="106"/>
      <c r="X5577" s="420"/>
      <c r="Y5577" s="420"/>
    </row>
    <row r="5578" spans="17:25">
      <c r="Q5578" s="308"/>
      <c r="R5578" s="309"/>
      <c r="S5578" s="210"/>
      <c r="T5578" s="310"/>
      <c r="U5578" s="106"/>
      <c r="V5578" s="106"/>
      <c r="W5578" s="106"/>
      <c r="X5578" s="420"/>
      <c r="Y5578" s="420"/>
    </row>
    <row r="5579" spans="17:25">
      <c r="Q5579" s="308"/>
      <c r="R5579" s="309"/>
      <c r="S5579" s="210"/>
      <c r="T5579" s="310"/>
      <c r="U5579" s="106"/>
      <c r="V5579" s="106"/>
      <c r="W5579" s="106"/>
      <c r="X5579" s="420"/>
      <c r="Y5579" s="420"/>
    </row>
    <row r="5580" spans="17:25">
      <c r="Q5580" s="308"/>
      <c r="R5580" s="309"/>
      <c r="S5580" s="210"/>
      <c r="T5580" s="310"/>
      <c r="U5580" s="106"/>
      <c r="V5580" s="106"/>
      <c r="W5580" s="106"/>
      <c r="X5580" s="420"/>
      <c r="Y5580" s="420"/>
    </row>
    <row r="5581" spans="17:25">
      <c r="Q5581" s="308"/>
      <c r="R5581" s="309"/>
      <c r="S5581" s="210"/>
      <c r="T5581" s="310"/>
      <c r="U5581" s="106"/>
      <c r="V5581" s="106"/>
      <c r="W5581" s="106"/>
      <c r="X5581" s="420"/>
      <c r="Y5581" s="420"/>
    </row>
    <row r="5582" spans="17:25">
      <c r="Q5582" s="308"/>
      <c r="R5582" s="309"/>
      <c r="S5582" s="210"/>
      <c r="T5582" s="310"/>
      <c r="U5582" s="106"/>
      <c r="V5582" s="106"/>
      <c r="W5582" s="106"/>
      <c r="X5582" s="420"/>
      <c r="Y5582" s="420"/>
    </row>
    <row r="5583" spans="17:25">
      <c r="Q5583" s="308"/>
      <c r="R5583" s="309"/>
      <c r="S5583" s="210"/>
      <c r="T5583" s="310"/>
      <c r="U5583" s="106"/>
      <c r="V5583" s="106"/>
      <c r="W5583" s="106"/>
      <c r="X5583" s="420"/>
      <c r="Y5583" s="420"/>
    </row>
    <row r="5584" spans="17:25">
      <c r="Q5584" s="308"/>
      <c r="R5584" s="309"/>
      <c r="S5584" s="210"/>
      <c r="T5584" s="310"/>
      <c r="U5584" s="106"/>
      <c r="V5584" s="106"/>
      <c r="W5584" s="106"/>
      <c r="X5584" s="420"/>
      <c r="Y5584" s="420"/>
    </row>
    <row r="5585" spans="17:25">
      <c r="Q5585" s="308"/>
      <c r="R5585" s="309"/>
      <c r="S5585" s="210"/>
      <c r="T5585" s="310"/>
      <c r="U5585" s="106"/>
      <c r="V5585" s="106"/>
      <c r="W5585" s="106"/>
      <c r="X5585" s="420"/>
      <c r="Y5585" s="420"/>
    </row>
    <row r="5586" spans="17:25">
      <c r="Q5586" s="308"/>
      <c r="R5586" s="309"/>
      <c r="S5586" s="210"/>
      <c r="T5586" s="310"/>
      <c r="U5586" s="106"/>
      <c r="V5586" s="106"/>
      <c r="W5586" s="106"/>
      <c r="X5586" s="420"/>
      <c r="Y5586" s="420"/>
    </row>
    <row r="5587" spans="17:25">
      <c r="Q5587" s="308"/>
      <c r="R5587" s="309"/>
      <c r="S5587" s="210"/>
      <c r="T5587" s="310"/>
      <c r="U5587" s="106"/>
      <c r="V5587" s="106"/>
      <c r="W5587" s="106"/>
      <c r="X5587" s="420"/>
      <c r="Y5587" s="420"/>
    </row>
    <row r="5588" spans="17:25">
      <c r="Q5588" s="308"/>
      <c r="R5588" s="309"/>
      <c r="S5588" s="210"/>
      <c r="T5588" s="310"/>
      <c r="U5588" s="106"/>
      <c r="V5588" s="106"/>
      <c r="W5588" s="106"/>
      <c r="X5588" s="420"/>
      <c r="Y5588" s="420"/>
    </row>
    <row r="5589" spans="17:25">
      <c r="Q5589" s="308"/>
      <c r="R5589" s="309"/>
      <c r="S5589" s="210"/>
      <c r="T5589" s="310"/>
      <c r="U5589" s="106"/>
      <c r="V5589" s="106"/>
      <c r="W5589" s="106"/>
      <c r="X5589" s="420"/>
      <c r="Y5589" s="420"/>
    </row>
    <row r="5590" spans="17:25">
      <c r="Q5590" s="308"/>
      <c r="R5590" s="309"/>
      <c r="S5590" s="210"/>
      <c r="T5590" s="310"/>
      <c r="U5590" s="106"/>
      <c r="V5590" s="106"/>
      <c r="W5590" s="106"/>
      <c r="X5590" s="420"/>
      <c r="Y5590" s="420"/>
    </row>
    <row r="5591" spans="17:25">
      <c r="Q5591" s="308"/>
      <c r="R5591" s="309"/>
      <c r="S5591" s="210"/>
      <c r="T5591" s="310"/>
      <c r="U5591" s="106"/>
      <c r="V5591" s="106"/>
      <c r="W5591" s="106"/>
      <c r="X5591" s="420"/>
      <c r="Y5591" s="420"/>
    </row>
    <row r="5592" spans="17:25">
      <c r="Q5592" s="308"/>
      <c r="R5592" s="309"/>
      <c r="S5592" s="210"/>
      <c r="T5592" s="310"/>
      <c r="U5592" s="106"/>
      <c r="V5592" s="106"/>
      <c r="W5592" s="106"/>
      <c r="X5592" s="420"/>
      <c r="Y5592" s="420"/>
    </row>
    <row r="5593" spans="17:25">
      <c r="Q5593" s="308"/>
      <c r="R5593" s="309"/>
      <c r="S5593" s="210"/>
      <c r="T5593" s="310"/>
      <c r="U5593" s="106"/>
      <c r="V5593" s="106"/>
      <c r="W5593" s="106"/>
      <c r="X5593" s="420"/>
      <c r="Y5593" s="420"/>
    </row>
    <row r="5594" spans="17:25">
      <c r="Q5594" s="308"/>
      <c r="R5594" s="309"/>
      <c r="S5594" s="210"/>
      <c r="T5594" s="310"/>
      <c r="U5594" s="106"/>
      <c r="V5594" s="106"/>
      <c r="W5594" s="106"/>
      <c r="X5594" s="420"/>
      <c r="Y5594" s="420"/>
    </row>
    <row r="5595" spans="17:25">
      <c r="Q5595" s="308"/>
      <c r="R5595" s="309"/>
      <c r="S5595" s="210"/>
      <c r="T5595" s="310"/>
      <c r="U5595" s="106"/>
      <c r="V5595" s="106"/>
      <c r="W5595" s="106"/>
      <c r="X5595" s="420"/>
      <c r="Y5595" s="420"/>
    </row>
    <row r="5596" spans="17:25">
      <c r="Q5596" s="308"/>
      <c r="R5596" s="309"/>
      <c r="S5596" s="210"/>
      <c r="T5596" s="310"/>
      <c r="U5596" s="106"/>
      <c r="V5596" s="106"/>
      <c r="W5596" s="106"/>
      <c r="X5596" s="420"/>
      <c r="Y5596" s="420"/>
    </row>
    <row r="5597" spans="17:25">
      <c r="Q5597" s="308"/>
      <c r="R5597" s="309"/>
      <c r="S5597" s="210"/>
      <c r="T5597" s="310"/>
      <c r="U5597" s="106"/>
      <c r="V5597" s="106"/>
      <c r="W5597" s="106"/>
      <c r="X5597" s="420"/>
      <c r="Y5597" s="420"/>
    </row>
    <row r="5598" spans="17:25">
      <c r="Q5598" s="308"/>
      <c r="R5598" s="309"/>
      <c r="S5598" s="210"/>
      <c r="T5598" s="310"/>
      <c r="U5598" s="106"/>
      <c r="V5598" s="106"/>
      <c r="W5598" s="106"/>
      <c r="X5598" s="420"/>
      <c r="Y5598" s="420"/>
    </row>
    <row r="5599" spans="17:25">
      <c r="Q5599" s="308"/>
      <c r="R5599" s="309"/>
      <c r="S5599" s="210"/>
      <c r="T5599" s="310"/>
      <c r="U5599" s="106"/>
      <c r="V5599" s="106"/>
      <c r="W5599" s="106"/>
      <c r="X5599" s="420"/>
      <c r="Y5599" s="420"/>
    </row>
    <row r="5600" spans="17:25">
      <c r="Q5600" s="308"/>
      <c r="R5600" s="309"/>
      <c r="S5600" s="210"/>
      <c r="T5600" s="310"/>
      <c r="U5600" s="106"/>
      <c r="V5600" s="106"/>
      <c r="W5600" s="106"/>
      <c r="X5600" s="420"/>
      <c r="Y5600" s="420"/>
    </row>
    <row r="5601" spans="17:25">
      <c r="Q5601" s="308"/>
      <c r="R5601" s="309"/>
      <c r="S5601" s="210"/>
      <c r="T5601" s="310"/>
      <c r="U5601" s="106"/>
      <c r="V5601" s="106"/>
      <c r="W5601" s="106"/>
      <c r="X5601" s="420"/>
      <c r="Y5601" s="420"/>
    </row>
    <row r="5602" spans="17:25">
      <c r="Q5602" s="308"/>
      <c r="R5602" s="309"/>
      <c r="S5602" s="210"/>
      <c r="T5602" s="310"/>
      <c r="U5602" s="106"/>
      <c r="V5602" s="106"/>
      <c r="W5602" s="106"/>
      <c r="X5602" s="420"/>
      <c r="Y5602" s="420"/>
    </row>
    <row r="5603" spans="17:25">
      <c r="Q5603" s="308"/>
      <c r="R5603" s="309"/>
      <c r="S5603" s="210"/>
      <c r="T5603" s="310"/>
      <c r="U5603" s="106"/>
      <c r="V5603" s="106"/>
      <c r="W5603" s="106"/>
      <c r="X5603" s="420"/>
      <c r="Y5603" s="420"/>
    </row>
    <row r="5604" spans="17:25">
      <c r="Q5604" s="308"/>
      <c r="R5604" s="309"/>
      <c r="S5604" s="210"/>
      <c r="T5604" s="310"/>
      <c r="U5604" s="106"/>
      <c r="V5604" s="106"/>
      <c r="W5604" s="106"/>
      <c r="X5604" s="420"/>
      <c r="Y5604" s="420"/>
    </row>
    <row r="5605" spans="17:25">
      <c r="Q5605" s="308"/>
      <c r="R5605" s="309"/>
      <c r="S5605" s="210"/>
      <c r="T5605" s="310"/>
      <c r="U5605" s="106"/>
      <c r="V5605" s="106"/>
      <c r="W5605" s="106"/>
      <c r="X5605" s="420"/>
      <c r="Y5605" s="420"/>
    </row>
    <row r="5606" spans="17:25">
      <c r="Q5606" s="308"/>
      <c r="R5606" s="309"/>
      <c r="S5606" s="210"/>
      <c r="T5606" s="310"/>
      <c r="U5606" s="106"/>
      <c r="V5606" s="106"/>
      <c r="W5606" s="106"/>
      <c r="X5606" s="420"/>
      <c r="Y5606" s="420"/>
    </row>
    <row r="5607" spans="17:25">
      <c r="Q5607" s="308"/>
      <c r="R5607" s="309"/>
      <c r="S5607" s="210"/>
      <c r="T5607" s="310"/>
      <c r="U5607" s="106"/>
      <c r="V5607" s="106"/>
      <c r="W5607" s="106"/>
      <c r="X5607" s="420"/>
      <c r="Y5607" s="420"/>
    </row>
    <row r="5608" spans="17:25">
      <c r="Q5608" s="308"/>
      <c r="R5608" s="309"/>
      <c r="S5608" s="210"/>
      <c r="T5608" s="310"/>
      <c r="U5608" s="106"/>
      <c r="V5608" s="106"/>
      <c r="W5608" s="106"/>
      <c r="X5608" s="420"/>
      <c r="Y5608" s="420"/>
    </row>
    <row r="5609" spans="17:25">
      <c r="Q5609" s="308"/>
      <c r="R5609" s="309"/>
      <c r="S5609" s="210"/>
      <c r="T5609" s="310"/>
      <c r="U5609" s="106"/>
      <c r="V5609" s="106"/>
      <c r="W5609" s="106"/>
      <c r="X5609" s="420"/>
      <c r="Y5609" s="420"/>
    </row>
    <row r="5610" spans="17:25">
      <c r="Q5610" s="308"/>
      <c r="R5610" s="309"/>
      <c r="S5610" s="210"/>
      <c r="T5610" s="310"/>
      <c r="U5610" s="106"/>
      <c r="V5610" s="106"/>
      <c r="W5610" s="106"/>
      <c r="X5610" s="420"/>
      <c r="Y5610" s="420"/>
    </row>
    <row r="5611" spans="17:25">
      <c r="Q5611" s="308"/>
      <c r="R5611" s="309"/>
      <c r="S5611" s="210"/>
      <c r="T5611" s="310"/>
      <c r="U5611" s="106"/>
      <c r="V5611" s="106"/>
      <c r="W5611" s="106"/>
      <c r="X5611" s="420"/>
      <c r="Y5611" s="420"/>
    </row>
    <row r="5612" spans="17:25">
      <c r="Q5612" s="308"/>
      <c r="R5612" s="309"/>
      <c r="S5612" s="210"/>
      <c r="T5612" s="310"/>
      <c r="U5612" s="106"/>
      <c r="V5612" s="106"/>
      <c r="W5612" s="106"/>
      <c r="X5612" s="420"/>
      <c r="Y5612" s="420"/>
    </row>
    <row r="5613" spans="17:25">
      <c r="Q5613" s="308"/>
      <c r="R5613" s="309"/>
      <c r="S5613" s="210"/>
      <c r="T5613" s="310"/>
      <c r="U5613" s="106"/>
      <c r="V5613" s="106"/>
      <c r="W5613" s="106"/>
      <c r="X5613" s="420"/>
      <c r="Y5613" s="420"/>
    </row>
    <row r="5614" spans="17:25">
      <c r="Q5614" s="308"/>
      <c r="R5614" s="309"/>
      <c r="S5614" s="210"/>
      <c r="T5614" s="310"/>
      <c r="U5614" s="106"/>
      <c r="V5614" s="106"/>
      <c r="W5614" s="106"/>
      <c r="X5614" s="420"/>
      <c r="Y5614" s="420"/>
    </row>
    <row r="5615" spans="17:25">
      <c r="Q5615" s="308"/>
      <c r="R5615" s="309"/>
      <c r="S5615" s="210"/>
      <c r="T5615" s="310"/>
      <c r="U5615" s="106"/>
      <c r="V5615" s="106"/>
      <c r="W5615" s="106"/>
      <c r="X5615" s="420"/>
      <c r="Y5615" s="420"/>
    </row>
    <row r="5616" spans="17:25">
      <c r="Q5616" s="308"/>
      <c r="R5616" s="309"/>
      <c r="S5616" s="210"/>
      <c r="T5616" s="310"/>
      <c r="U5616" s="106"/>
      <c r="V5616" s="106"/>
      <c r="W5616" s="106"/>
      <c r="X5616" s="420"/>
      <c r="Y5616" s="420"/>
    </row>
    <row r="5617" spans="17:25">
      <c r="Q5617" s="308"/>
      <c r="R5617" s="309"/>
      <c r="S5617" s="210"/>
      <c r="T5617" s="310"/>
      <c r="U5617" s="106"/>
      <c r="V5617" s="106"/>
      <c r="W5617" s="106"/>
      <c r="X5617" s="420"/>
      <c r="Y5617" s="420"/>
    </row>
    <row r="5618" spans="17:25">
      <c r="Q5618" s="308"/>
      <c r="R5618" s="309"/>
      <c r="S5618" s="210"/>
      <c r="T5618" s="310"/>
      <c r="U5618" s="106"/>
      <c r="V5618" s="106"/>
      <c r="W5618" s="106"/>
      <c r="X5618" s="420"/>
      <c r="Y5618" s="420"/>
    </row>
    <row r="5619" spans="17:25">
      <c r="Q5619" s="308"/>
      <c r="R5619" s="309"/>
      <c r="S5619" s="210"/>
      <c r="T5619" s="310"/>
      <c r="U5619" s="106"/>
      <c r="V5619" s="106"/>
      <c r="W5619" s="106"/>
      <c r="X5619" s="420"/>
      <c r="Y5619" s="420"/>
    </row>
    <row r="5620" spans="17:25">
      <c r="Q5620" s="308"/>
      <c r="R5620" s="309"/>
      <c r="S5620" s="210"/>
      <c r="T5620" s="310"/>
      <c r="U5620" s="106"/>
      <c r="V5620" s="106"/>
      <c r="W5620" s="106"/>
      <c r="X5620" s="420"/>
      <c r="Y5620" s="420"/>
    </row>
    <row r="5621" spans="17:25">
      <c r="Q5621" s="308"/>
      <c r="R5621" s="309"/>
      <c r="S5621" s="210"/>
      <c r="T5621" s="310"/>
      <c r="U5621" s="106"/>
      <c r="V5621" s="106"/>
      <c r="W5621" s="106"/>
      <c r="X5621" s="420"/>
      <c r="Y5621" s="420"/>
    </row>
    <row r="5622" spans="17:25">
      <c r="Q5622" s="308"/>
      <c r="R5622" s="309"/>
      <c r="S5622" s="210"/>
      <c r="T5622" s="310"/>
      <c r="U5622" s="106"/>
      <c r="V5622" s="106"/>
      <c r="W5622" s="106"/>
      <c r="X5622" s="420"/>
      <c r="Y5622" s="420"/>
    </row>
    <row r="5623" spans="17:25">
      <c r="Q5623" s="308"/>
      <c r="R5623" s="309"/>
      <c r="S5623" s="210"/>
      <c r="T5623" s="310"/>
      <c r="U5623" s="106"/>
      <c r="V5623" s="106"/>
      <c r="W5623" s="106"/>
      <c r="X5623" s="420"/>
      <c r="Y5623" s="420"/>
    </row>
    <row r="5624" spans="17:25">
      <c r="Q5624" s="308"/>
      <c r="R5624" s="309"/>
      <c r="S5624" s="210"/>
      <c r="T5624" s="310"/>
      <c r="U5624" s="106"/>
      <c r="V5624" s="106"/>
      <c r="W5624" s="106"/>
      <c r="X5624" s="420"/>
      <c r="Y5624" s="420"/>
    </row>
    <row r="5625" spans="17:25">
      <c r="Q5625" s="308"/>
      <c r="R5625" s="309"/>
      <c r="S5625" s="210"/>
      <c r="T5625" s="310"/>
      <c r="U5625" s="106"/>
      <c r="V5625" s="106"/>
      <c r="W5625" s="106"/>
      <c r="X5625" s="420"/>
      <c r="Y5625" s="420"/>
    </row>
    <row r="5626" spans="17:25">
      <c r="Q5626" s="308"/>
      <c r="R5626" s="309"/>
      <c r="S5626" s="210"/>
      <c r="T5626" s="310"/>
      <c r="U5626" s="106"/>
      <c r="V5626" s="106"/>
      <c r="W5626" s="106"/>
      <c r="X5626" s="420"/>
      <c r="Y5626" s="420"/>
    </row>
    <row r="5627" spans="17:25">
      <c r="Q5627" s="308"/>
      <c r="R5627" s="309"/>
      <c r="S5627" s="210"/>
      <c r="T5627" s="310"/>
      <c r="U5627" s="106"/>
      <c r="V5627" s="106"/>
      <c r="W5627" s="106"/>
      <c r="X5627" s="420"/>
      <c r="Y5627" s="420"/>
    </row>
    <row r="5628" spans="17:25">
      <c r="Q5628" s="308"/>
      <c r="R5628" s="309"/>
      <c r="S5628" s="210"/>
      <c r="T5628" s="310"/>
      <c r="U5628" s="106"/>
      <c r="V5628" s="106"/>
      <c r="W5628" s="106"/>
      <c r="X5628" s="420"/>
      <c r="Y5628" s="420"/>
    </row>
    <row r="5629" spans="17:25">
      <c r="Q5629" s="308"/>
      <c r="R5629" s="309"/>
      <c r="S5629" s="210"/>
      <c r="T5629" s="310"/>
      <c r="U5629" s="106"/>
      <c r="V5629" s="106"/>
      <c r="W5629" s="106"/>
      <c r="X5629" s="420"/>
      <c r="Y5629" s="420"/>
    </row>
    <row r="5630" spans="17:25">
      <c r="Q5630" s="308"/>
      <c r="R5630" s="309"/>
      <c r="S5630" s="210"/>
      <c r="T5630" s="310"/>
      <c r="U5630" s="106"/>
      <c r="V5630" s="106"/>
      <c r="W5630" s="106"/>
      <c r="X5630" s="420"/>
      <c r="Y5630" s="420"/>
    </row>
    <row r="5631" spans="17:25">
      <c r="Q5631" s="308"/>
      <c r="R5631" s="309"/>
      <c r="S5631" s="210"/>
      <c r="T5631" s="310"/>
      <c r="U5631" s="106"/>
      <c r="V5631" s="106"/>
      <c r="W5631" s="106"/>
      <c r="X5631" s="420"/>
      <c r="Y5631" s="420"/>
    </row>
    <row r="5632" spans="17:25">
      <c r="Q5632" s="308"/>
      <c r="R5632" s="309"/>
      <c r="S5632" s="210"/>
      <c r="T5632" s="310"/>
      <c r="U5632" s="106"/>
      <c r="V5632" s="106"/>
      <c r="W5632" s="106"/>
      <c r="X5632" s="420"/>
      <c r="Y5632" s="420"/>
    </row>
    <row r="5633" spans="17:25">
      <c r="Q5633" s="308"/>
      <c r="R5633" s="309"/>
      <c r="S5633" s="210"/>
      <c r="T5633" s="310"/>
      <c r="U5633" s="106"/>
      <c r="V5633" s="106"/>
      <c r="W5633" s="106"/>
      <c r="X5633" s="420"/>
      <c r="Y5633" s="420"/>
    </row>
    <row r="5634" spans="17:25">
      <c r="Q5634" s="308"/>
      <c r="R5634" s="309"/>
      <c r="S5634" s="210"/>
      <c r="T5634" s="310"/>
      <c r="U5634" s="106"/>
      <c r="V5634" s="106"/>
      <c r="W5634" s="106"/>
      <c r="X5634" s="420"/>
      <c r="Y5634" s="420"/>
    </row>
    <row r="5635" spans="17:25">
      <c r="Q5635" s="308"/>
      <c r="R5635" s="309"/>
      <c r="S5635" s="210"/>
      <c r="T5635" s="310"/>
      <c r="U5635" s="106"/>
      <c r="V5635" s="106"/>
      <c r="W5635" s="106"/>
      <c r="X5635" s="420"/>
      <c r="Y5635" s="420"/>
    </row>
    <row r="5636" spans="17:25">
      <c r="Q5636" s="308"/>
      <c r="R5636" s="309"/>
      <c r="S5636" s="210"/>
      <c r="T5636" s="310"/>
      <c r="U5636" s="106"/>
      <c r="V5636" s="106"/>
      <c r="W5636" s="106"/>
      <c r="X5636" s="420"/>
      <c r="Y5636" s="420"/>
    </row>
    <row r="5637" spans="17:25">
      <c r="Q5637" s="308"/>
      <c r="R5637" s="309"/>
      <c r="S5637" s="210"/>
      <c r="T5637" s="310"/>
      <c r="U5637" s="106"/>
      <c r="V5637" s="106"/>
      <c r="W5637" s="106"/>
      <c r="X5637" s="420"/>
      <c r="Y5637" s="420"/>
    </row>
    <row r="5638" spans="17:25">
      <c r="Q5638" s="308"/>
      <c r="R5638" s="309"/>
      <c r="S5638" s="210"/>
      <c r="T5638" s="310"/>
      <c r="U5638" s="106"/>
      <c r="V5638" s="106"/>
      <c r="W5638" s="106"/>
      <c r="X5638" s="420"/>
      <c r="Y5638" s="420"/>
    </row>
    <row r="5639" spans="17:25">
      <c r="Q5639" s="308"/>
      <c r="R5639" s="309"/>
      <c r="S5639" s="210"/>
      <c r="T5639" s="310"/>
      <c r="U5639" s="106"/>
      <c r="V5639" s="106"/>
      <c r="W5639" s="106"/>
      <c r="X5639" s="420"/>
      <c r="Y5639" s="420"/>
    </row>
    <row r="5640" spans="17:25">
      <c r="Q5640" s="308"/>
      <c r="R5640" s="309"/>
      <c r="S5640" s="210"/>
      <c r="T5640" s="310"/>
      <c r="U5640" s="106"/>
      <c r="V5640" s="106"/>
      <c r="W5640" s="106"/>
      <c r="X5640" s="420"/>
      <c r="Y5640" s="420"/>
    </row>
    <row r="5641" spans="17:25">
      <c r="Q5641" s="308"/>
      <c r="R5641" s="309"/>
      <c r="S5641" s="210"/>
      <c r="T5641" s="310"/>
      <c r="U5641" s="106"/>
      <c r="V5641" s="106"/>
      <c r="W5641" s="106"/>
      <c r="X5641" s="420"/>
      <c r="Y5641" s="420"/>
    </row>
    <row r="5642" spans="17:25">
      <c r="Q5642" s="308"/>
      <c r="R5642" s="309"/>
      <c r="S5642" s="210"/>
      <c r="T5642" s="310"/>
      <c r="U5642" s="106"/>
      <c r="V5642" s="106"/>
      <c r="W5642" s="106"/>
      <c r="X5642" s="420"/>
      <c r="Y5642" s="420"/>
    </row>
    <row r="5643" spans="17:25">
      <c r="Q5643" s="308"/>
      <c r="R5643" s="309"/>
      <c r="S5643" s="210"/>
      <c r="T5643" s="310"/>
      <c r="U5643" s="106"/>
      <c r="V5643" s="106"/>
      <c r="W5643" s="106"/>
      <c r="X5643" s="420"/>
      <c r="Y5643" s="420"/>
    </row>
    <row r="5644" spans="17:25">
      <c r="Q5644" s="308"/>
      <c r="R5644" s="309"/>
      <c r="S5644" s="210"/>
      <c r="T5644" s="310"/>
      <c r="U5644" s="106"/>
      <c r="V5644" s="106"/>
      <c r="W5644" s="106"/>
      <c r="X5644" s="420"/>
      <c r="Y5644" s="420"/>
    </row>
    <row r="5645" spans="17:25">
      <c r="Q5645" s="308"/>
      <c r="R5645" s="309"/>
      <c r="S5645" s="210"/>
      <c r="T5645" s="310"/>
      <c r="U5645" s="106"/>
      <c r="V5645" s="106"/>
      <c r="W5645" s="106"/>
      <c r="X5645" s="420"/>
      <c r="Y5645" s="420"/>
    </row>
    <row r="5646" spans="17:25">
      <c r="Q5646" s="308"/>
      <c r="R5646" s="309"/>
      <c r="S5646" s="210"/>
      <c r="T5646" s="310"/>
      <c r="U5646" s="106"/>
      <c r="V5646" s="106"/>
      <c r="W5646" s="106"/>
      <c r="X5646" s="420"/>
      <c r="Y5646" s="420"/>
    </row>
    <row r="5647" spans="17:25">
      <c r="Q5647" s="308"/>
      <c r="R5647" s="309"/>
      <c r="S5647" s="210"/>
      <c r="T5647" s="310"/>
      <c r="U5647" s="106"/>
      <c r="V5647" s="106"/>
      <c r="W5647" s="106"/>
      <c r="X5647" s="420"/>
      <c r="Y5647" s="420"/>
    </row>
    <row r="5648" spans="17:25">
      <c r="Q5648" s="308"/>
      <c r="R5648" s="309"/>
      <c r="S5648" s="210"/>
      <c r="T5648" s="310"/>
      <c r="U5648" s="106"/>
      <c r="V5648" s="106"/>
      <c r="W5648" s="106"/>
      <c r="X5648" s="420"/>
      <c r="Y5648" s="420"/>
    </row>
    <row r="5649" spans="17:25">
      <c r="Q5649" s="308"/>
      <c r="R5649" s="309"/>
      <c r="S5649" s="210"/>
      <c r="T5649" s="310"/>
      <c r="U5649" s="106"/>
      <c r="V5649" s="106"/>
      <c r="W5649" s="106"/>
      <c r="X5649" s="420"/>
      <c r="Y5649" s="420"/>
    </row>
    <row r="5650" spans="17:25">
      <c r="Q5650" s="308"/>
      <c r="R5650" s="309"/>
      <c r="S5650" s="210"/>
      <c r="T5650" s="310"/>
      <c r="U5650" s="106"/>
      <c r="V5650" s="106"/>
      <c r="W5650" s="106"/>
      <c r="X5650" s="420"/>
      <c r="Y5650" s="420"/>
    </row>
    <row r="5651" spans="17:25">
      <c r="Q5651" s="308"/>
      <c r="R5651" s="309"/>
      <c r="S5651" s="210"/>
      <c r="T5651" s="310"/>
      <c r="U5651" s="106"/>
      <c r="V5651" s="106"/>
      <c r="W5651" s="106"/>
      <c r="X5651" s="420"/>
      <c r="Y5651" s="420"/>
    </row>
    <row r="5652" spans="17:25">
      <c r="Q5652" s="308"/>
      <c r="R5652" s="309"/>
      <c r="S5652" s="210"/>
      <c r="T5652" s="310"/>
      <c r="U5652" s="106"/>
      <c r="V5652" s="106"/>
      <c r="W5652" s="106"/>
      <c r="X5652" s="420"/>
      <c r="Y5652" s="420"/>
    </row>
    <row r="5653" spans="17:25">
      <c r="Q5653" s="308"/>
      <c r="R5653" s="309"/>
      <c r="S5653" s="210"/>
      <c r="T5653" s="310"/>
      <c r="U5653" s="106"/>
      <c r="V5653" s="106"/>
      <c r="W5653" s="106"/>
      <c r="X5653" s="420"/>
      <c r="Y5653" s="420"/>
    </row>
    <row r="5654" spans="17:25">
      <c r="Q5654" s="308"/>
      <c r="R5654" s="309"/>
      <c r="S5654" s="210"/>
      <c r="T5654" s="310"/>
      <c r="U5654" s="106"/>
      <c r="V5654" s="106"/>
      <c r="W5654" s="106"/>
      <c r="X5654" s="420"/>
      <c r="Y5654" s="420"/>
    </row>
    <row r="5655" spans="17:25">
      <c r="Q5655" s="308"/>
      <c r="R5655" s="309"/>
      <c r="S5655" s="210"/>
      <c r="T5655" s="310"/>
      <c r="U5655" s="106"/>
      <c r="V5655" s="106"/>
      <c r="W5655" s="106"/>
      <c r="X5655" s="420"/>
      <c r="Y5655" s="420"/>
    </row>
    <row r="5656" spans="17:25">
      <c r="Q5656" s="308"/>
      <c r="R5656" s="309"/>
      <c r="S5656" s="210"/>
      <c r="T5656" s="310"/>
      <c r="U5656" s="106"/>
      <c r="V5656" s="106"/>
      <c r="W5656" s="106"/>
      <c r="X5656" s="420"/>
      <c r="Y5656" s="420"/>
    </row>
    <row r="5657" spans="17:25">
      <c r="Q5657" s="308"/>
      <c r="R5657" s="309"/>
      <c r="S5657" s="210"/>
      <c r="T5657" s="310"/>
      <c r="U5657" s="106"/>
      <c r="V5657" s="106"/>
      <c r="W5657" s="106"/>
      <c r="X5657" s="420"/>
      <c r="Y5657" s="420"/>
    </row>
    <row r="5658" spans="17:25">
      <c r="Q5658" s="308"/>
      <c r="R5658" s="309"/>
      <c r="S5658" s="210"/>
      <c r="T5658" s="310"/>
      <c r="U5658" s="106"/>
      <c r="V5658" s="106"/>
      <c r="W5658" s="106"/>
      <c r="X5658" s="420"/>
      <c r="Y5658" s="420"/>
    </row>
    <row r="5659" spans="17:25">
      <c r="Q5659" s="308"/>
      <c r="R5659" s="309"/>
      <c r="S5659" s="210"/>
      <c r="T5659" s="310"/>
      <c r="U5659" s="106"/>
      <c r="V5659" s="106"/>
      <c r="W5659" s="106"/>
      <c r="X5659" s="420"/>
      <c r="Y5659" s="420"/>
    </row>
    <row r="5660" spans="17:25">
      <c r="Q5660" s="308"/>
      <c r="R5660" s="309"/>
      <c r="S5660" s="210"/>
      <c r="T5660" s="310"/>
      <c r="U5660" s="106"/>
      <c r="V5660" s="106"/>
      <c r="W5660" s="106"/>
      <c r="X5660" s="420"/>
      <c r="Y5660" s="420"/>
    </row>
    <row r="5661" spans="17:25">
      <c r="Q5661" s="308"/>
      <c r="R5661" s="309"/>
      <c r="S5661" s="210"/>
      <c r="T5661" s="310"/>
      <c r="U5661" s="106"/>
      <c r="V5661" s="106"/>
      <c r="W5661" s="106"/>
      <c r="X5661" s="420"/>
      <c r="Y5661" s="420"/>
    </row>
    <row r="5662" spans="17:25">
      <c r="Q5662" s="308"/>
      <c r="R5662" s="309"/>
      <c r="S5662" s="210"/>
      <c r="T5662" s="310"/>
      <c r="U5662" s="106"/>
      <c r="V5662" s="106"/>
      <c r="W5662" s="106"/>
      <c r="X5662" s="420"/>
      <c r="Y5662" s="420"/>
    </row>
    <row r="5663" spans="17:25">
      <c r="Q5663" s="308"/>
      <c r="R5663" s="309"/>
      <c r="S5663" s="210"/>
      <c r="T5663" s="310"/>
      <c r="U5663" s="106"/>
      <c r="V5663" s="106"/>
      <c r="W5663" s="106"/>
      <c r="X5663" s="420"/>
      <c r="Y5663" s="420"/>
    </row>
    <row r="5664" spans="17:25">
      <c r="Q5664" s="308"/>
      <c r="R5664" s="309"/>
      <c r="S5664" s="210"/>
      <c r="T5664" s="310"/>
      <c r="U5664" s="106"/>
      <c r="V5664" s="106"/>
      <c r="W5664" s="106"/>
      <c r="X5664" s="420"/>
      <c r="Y5664" s="420"/>
    </row>
    <row r="5665" spans="17:25">
      <c r="Q5665" s="308"/>
      <c r="R5665" s="309"/>
      <c r="S5665" s="210"/>
      <c r="T5665" s="310"/>
      <c r="U5665" s="106"/>
      <c r="V5665" s="106"/>
      <c r="W5665" s="106"/>
      <c r="X5665" s="420"/>
      <c r="Y5665" s="420"/>
    </row>
    <row r="5666" spans="17:25">
      <c r="Q5666" s="308"/>
      <c r="R5666" s="309"/>
      <c r="S5666" s="210"/>
      <c r="T5666" s="310"/>
      <c r="U5666" s="106"/>
      <c r="V5666" s="106"/>
      <c r="W5666" s="106"/>
      <c r="X5666" s="420"/>
      <c r="Y5666" s="420"/>
    </row>
    <row r="5667" spans="17:25">
      <c r="Q5667" s="308"/>
      <c r="R5667" s="309"/>
      <c r="S5667" s="210"/>
      <c r="T5667" s="310"/>
      <c r="U5667" s="106"/>
      <c r="V5667" s="106"/>
      <c r="W5667" s="106"/>
      <c r="X5667" s="420"/>
      <c r="Y5667" s="420"/>
    </row>
    <row r="5668" spans="17:25">
      <c r="Q5668" s="308"/>
      <c r="R5668" s="309"/>
      <c r="S5668" s="210"/>
      <c r="T5668" s="310"/>
      <c r="U5668" s="106"/>
      <c r="V5668" s="106"/>
      <c r="W5668" s="106"/>
      <c r="X5668" s="420"/>
      <c r="Y5668" s="420"/>
    </row>
    <row r="5669" spans="17:25">
      <c r="Q5669" s="308"/>
      <c r="R5669" s="309"/>
      <c r="S5669" s="210"/>
      <c r="T5669" s="310"/>
      <c r="U5669" s="106"/>
      <c r="V5669" s="106"/>
      <c r="W5669" s="106"/>
      <c r="X5669" s="420"/>
      <c r="Y5669" s="420"/>
    </row>
    <row r="5670" spans="17:25">
      <c r="Q5670" s="308"/>
      <c r="R5670" s="309"/>
      <c r="S5670" s="210"/>
      <c r="T5670" s="310"/>
      <c r="U5670" s="106"/>
      <c r="V5670" s="106"/>
      <c r="W5670" s="106"/>
      <c r="X5670" s="420"/>
      <c r="Y5670" s="420"/>
    </row>
    <row r="5671" spans="17:25">
      <c r="Q5671" s="308"/>
      <c r="R5671" s="309"/>
      <c r="S5671" s="210"/>
      <c r="T5671" s="310"/>
      <c r="U5671" s="106"/>
      <c r="V5671" s="106"/>
      <c r="W5671" s="106"/>
      <c r="X5671" s="420"/>
      <c r="Y5671" s="420"/>
    </row>
    <row r="5672" spans="17:25">
      <c r="Q5672" s="308"/>
      <c r="R5672" s="309"/>
      <c r="S5672" s="210"/>
      <c r="T5672" s="310"/>
      <c r="U5672" s="106"/>
      <c r="V5672" s="106"/>
      <c r="W5672" s="106"/>
      <c r="X5672" s="420"/>
      <c r="Y5672" s="420"/>
    </row>
    <row r="5673" spans="17:25">
      <c r="Q5673" s="308"/>
      <c r="R5673" s="309"/>
      <c r="S5673" s="210"/>
      <c r="T5673" s="310"/>
      <c r="U5673" s="106"/>
      <c r="V5673" s="106"/>
      <c r="W5673" s="106"/>
      <c r="X5673" s="420"/>
      <c r="Y5673" s="420"/>
    </row>
    <row r="5674" spans="17:25">
      <c r="Q5674" s="308"/>
      <c r="R5674" s="309"/>
      <c r="S5674" s="210"/>
      <c r="T5674" s="310"/>
      <c r="U5674" s="106"/>
      <c r="V5674" s="106"/>
      <c r="W5674" s="106"/>
      <c r="X5674" s="420"/>
      <c r="Y5674" s="420"/>
    </row>
    <row r="5675" spans="17:25">
      <c r="Q5675" s="308"/>
      <c r="R5675" s="309"/>
      <c r="S5675" s="210"/>
      <c r="T5675" s="310"/>
      <c r="U5675" s="106"/>
      <c r="V5675" s="106"/>
      <c r="W5675" s="106"/>
      <c r="X5675" s="420"/>
      <c r="Y5675" s="420"/>
    </row>
    <row r="5676" spans="17:25">
      <c r="Q5676" s="308"/>
      <c r="R5676" s="309"/>
      <c r="S5676" s="210"/>
      <c r="T5676" s="310"/>
      <c r="U5676" s="106"/>
      <c r="V5676" s="106"/>
      <c r="W5676" s="106"/>
      <c r="X5676" s="420"/>
      <c r="Y5676" s="420"/>
    </row>
    <row r="5677" spans="17:25">
      <c r="Q5677" s="308"/>
      <c r="R5677" s="309"/>
      <c r="S5677" s="210"/>
      <c r="T5677" s="310"/>
      <c r="U5677" s="106"/>
      <c r="V5677" s="106"/>
      <c r="W5677" s="106"/>
      <c r="X5677" s="420"/>
      <c r="Y5677" s="420"/>
    </row>
    <row r="5678" spans="17:25">
      <c r="Q5678" s="308"/>
      <c r="R5678" s="309"/>
      <c r="S5678" s="210"/>
      <c r="T5678" s="310"/>
      <c r="U5678" s="106"/>
      <c r="V5678" s="106"/>
      <c r="W5678" s="106"/>
      <c r="X5678" s="420"/>
      <c r="Y5678" s="420"/>
    </row>
    <row r="5679" spans="17:25">
      <c r="Q5679" s="308"/>
      <c r="R5679" s="309"/>
      <c r="S5679" s="210"/>
      <c r="T5679" s="310"/>
      <c r="U5679" s="106"/>
      <c r="V5679" s="106"/>
      <c r="W5679" s="106"/>
      <c r="X5679" s="420"/>
      <c r="Y5679" s="420"/>
    </row>
    <row r="5680" spans="17:25">
      <c r="Q5680" s="308"/>
      <c r="R5680" s="309"/>
      <c r="S5680" s="210"/>
      <c r="T5680" s="310"/>
      <c r="U5680" s="106"/>
      <c r="V5680" s="106"/>
      <c r="W5680" s="106"/>
      <c r="X5680" s="420"/>
      <c r="Y5680" s="420"/>
    </row>
    <row r="5681" spans="17:25">
      <c r="Q5681" s="308"/>
      <c r="R5681" s="309"/>
      <c r="S5681" s="210"/>
      <c r="T5681" s="310"/>
      <c r="U5681" s="106"/>
      <c r="V5681" s="106"/>
      <c r="W5681" s="106"/>
      <c r="X5681" s="420"/>
      <c r="Y5681" s="420"/>
    </row>
    <row r="5682" spans="17:25">
      <c r="Q5682" s="308"/>
      <c r="R5682" s="309"/>
      <c r="S5682" s="210"/>
      <c r="T5682" s="310"/>
      <c r="U5682" s="106"/>
      <c r="V5682" s="106"/>
      <c r="W5682" s="106"/>
      <c r="X5682" s="420"/>
      <c r="Y5682" s="420"/>
    </row>
    <row r="5683" spans="17:25">
      <c r="Q5683" s="308"/>
      <c r="R5683" s="309"/>
      <c r="S5683" s="210"/>
      <c r="T5683" s="310"/>
      <c r="U5683" s="106"/>
      <c r="V5683" s="106"/>
      <c r="W5683" s="106"/>
      <c r="X5683" s="420"/>
      <c r="Y5683" s="420"/>
    </row>
    <row r="5684" spans="17:25">
      <c r="Q5684" s="308"/>
      <c r="R5684" s="309"/>
      <c r="S5684" s="210"/>
      <c r="T5684" s="310"/>
      <c r="U5684" s="106"/>
      <c r="V5684" s="106"/>
      <c r="W5684" s="106"/>
      <c r="X5684" s="420"/>
      <c r="Y5684" s="420"/>
    </row>
    <row r="5685" spans="17:25">
      <c r="Q5685" s="308"/>
      <c r="R5685" s="309"/>
      <c r="S5685" s="210"/>
      <c r="T5685" s="310"/>
      <c r="U5685" s="106"/>
      <c r="V5685" s="106"/>
      <c r="W5685" s="106"/>
      <c r="X5685" s="420"/>
      <c r="Y5685" s="420"/>
    </row>
    <row r="5686" spans="17:25">
      <c r="Q5686" s="308"/>
      <c r="R5686" s="309"/>
      <c r="S5686" s="210"/>
      <c r="T5686" s="310"/>
      <c r="U5686" s="106"/>
      <c r="V5686" s="106"/>
      <c r="W5686" s="106"/>
      <c r="X5686" s="420"/>
      <c r="Y5686" s="420"/>
    </row>
    <row r="5687" spans="17:25">
      <c r="Q5687" s="308"/>
      <c r="R5687" s="309"/>
      <c r="S5687" s="210"/>
      <c r="T5687" s="310"/>
      <c r="U5687" s="106"/>
      <c r="V5687" s="106"/>
      <c r="W5687" s="106"/>
      <c r="X5687" s="420"/>
      <c r="Y5687" s="420"/>
    </row>
    <row r="5688" spans="17:25">
      <c r="Q5688" s="308"/>
      <c r="R5688" s="309"/>
      <c r="S5688" s="210"/>
      <c r="T5688" s="310"/>
      <c r="U5688" s="106"/>
      <c r="V5688" s="106"/>
      <c r="W5688" s="106"/>
      <c r="X5688" s="420"/>
      <c r="Y5688" s="420"/>
    </row>
    <row r="5689" spans="17:25">
      <c r="Q5689" s="308"/>
      <c r="R5689" s="309"/>
      <c r="S5689" s="210"/>
      <c r="T5689" s="310"/>
      <c r="U5689" s="106"/>
      <c r="V5689" s="106"/>
      <c r="W5689" s="106"/>
      <c r="X5689" s="420"/>
      <c r="Y5689" s="420"/>
    </row>
    <row r="5690" spans="17:25">
      <c r="Q5690" s="308"/>
      <c r="R5690" s="309"/>
      <c r="S5690" s="210"/>
      <c r="T5690" s="310"/>
      <c r="U5690" s="106"/>
      <c r="V5690" s="106"/>
      <c r="W5690" s="106"/>
      <c r="X5690" s="420"/>
      <c r="Y5690" s="420"/>
    </row>
    <row r="5691" spans="17:25">
      <c r="Q5691" s="308"/>
      <c r="R5691" s="309"/>
      <c r="S5691" s="210"/>
      <c r="T5691" s="310"/>
      <c r="U5691" s="106"/>
      <c r="V5691" s="106"/>
      <c r="W5691" s="106"/>
      <c r="X5691" s="420"/>
      <c r="Y5691" s="420"/>
    </row>
    <row r="5692" spans="17:25">
      <c r="Q5692" s="308"/>
      <c r="R5692" s="309"/>
      <c r="S5692" s="210"/>
      <c r="T5692" s="310"/>
      <c r="U5692" s="106"/>
      <c r="V5692" s="106"/>
      <c r="W5692" s="106"/>
      <c r="X5692" s="420"/>
      <c r="Y5692" s="420"/>
    </row>
    <row r="5693" spans="17:25">
      <c r="Q5693" s="308"/>
      <c r="R5693" s="309"/>
      <c r="S5693" s="210"/>
      <c r="T5693" s="310"/>
      <c r="U5693" s="106"/>
      <c r="V5693" s="106"/>
      <c r="W5693" s="106"/>
      <c r="X5693" s="420"/>
      <c r="Y5693" s="420"/>
    </row>
    <row r="5694" spans="17:25">
      <c r="Q5694" s="308"/>
      <c r="R5694" s="309"/>
      <c r="S5694" s="210"/>
      <c r="T5694" s="310"/>
      <c r="U5694" s="106"/>
      <c r="V5694" s="106"/>
      <c r="W5694" s="106"/>
      <c r="X5694" s="420"/>
      <c r="Y5694" s="420"/>
    </row>
    <row r="5695" spans="17:25">
      <c r="Q5695" s="308"/>
      <c r="R5695" s="309"/>
      <c r="S5695" s="210"/>
      <c r="T5695" s="310"/>
      <c r="U5695" s="106"/>
      <c r="V5695" s="106"/>
      <c r="W5695" s="106"/>
      <c r="X5695" s="420"/>
      <c r="Y5695" s="420"/>
    </row>
    <row r="5696" spans="17:25">
      <c r="Q5696" s="308"/>
      <c r="R5696" s="309"/>
      <c r="S5696" s="210"/>
      <c r="T5696" s="310"/>
      <c r="U5696" s="106"/>
      <c r="V5696" s="106"/>
      <c r="W5696" s="106"/>
      <c r="X5696" s="420"/>
      <c r="Y5696" s="420"/>
    </row>
    <row r="5697" spans="17:25">
      <c r="Q5697" s="308"/>
      <c r="R5697" s="309"/>
      <c r="S5697" s="210"/>
      <c r="T5697" s="310"/>
      <c r="U5697" s="106"/>
      <c r="V5697" s="106"/>
      <c r="W5697" s="106"/>
      <c r="X5697" s="420"/>
      <c r="Y5697" s="420"/>
    </row>
    <row r="5698" spans="17:25">
      <c r="Q5698" s="308"/>
      <c r="R5698" s="309"/>
      <c r="S5698" s="210"/>
      <c r="T5698" s="310"/>
      <c r="U5698" s="106"/>
      <c r="V5698" s="106"/>
      <c r="W5698" s="106"/>
      <c r="X5698" s="420"/>
      <c r="Y5698" s="420"/>
    </row>
    <row r="5699" spans="17:25">
      <c r="Q5699" s="308"/>
      <c r="R5699" s="309"/>
      <c r="S5699" s="210"/>
      <c r="T5699" s="310"/>
      <c r="U5699" s="106"/>
      <c r="V5699" s="106"/>
      <c r="W5699" s="106"/>
      <c r="X5699" s="420"/>
      <c r="Y5699" s="420"/>
    </row>
    <row r="5700" spans="17:25">
      <c r="Q5700" s="308"/>
      <c r="R5700" s="309"/>
      <c r="S5700" s="210"/>
      <c r="T5700" s="310"/>
      <c r="U5700" s="106"/>
      <c r="V5700" s="106"/>
      <c r="W5700" s="106"/>
      <c r="X5700" s="420"/>
      <c r="Y5700" s="420"/>
    </row>
    <row r="5701" spans="17:25">
      <c r="Q5701" s="308"/>
      <c r="R5701" s="309"/>
      <c r="S5701" s="210"/>
      <c r="T5701" s="310"/>
      <c r="U5701" s="106"/>
      <c r="V5701" s="106"/>
      <c r="W5701" s="106"/>
      <c r="X5701" s="420"/>
      <c r="Y5701" s="420"/>
    </row>
    <row r="5702" spans="17:25">
      <c r="Q5702" s="308"/>
      <c r="R5702" s="309"/>
      <c r="S5702" s="210"/>
      <c r="T5702" s="310"/>
      <c r="U5702" s="106"/>
      <c r="V5702" s="106"/>
      <c r="W5702" s="106"/>
      <c r="X5702" s="420"/>
      <c r="Y5702" s="420"/>
    </row>
    <row r="5703" spans="17:25">
      <c r="Q5703" s="308"/>
      <c r="R5703" s="309"/>
      <c r="S5703" s="210"/>
      <c r="T5703" s="310"/>
      <c r="U5703" s="106"/>
      <c r="V5703" s="106"/>
      <c r="W5703" s="106"/>
      <c r="X5703" s="420"/>
      <c r="Y5703" s="420"/>
    </row>
    <row r="5704" spans="17:25">
      <c r="Q5704" s="308"/>
      <c r="R5704" s="309"/>
      <c r="S5704" s="210"/>
      <c r="T5704" s="310"/>
      <c r="U5704" s="106"/>
      <c r="V5704" s="106"/>
      <c r="W5704" s="106"/>
      <c r="X5704" s="420"/>
      <c r="Y5704" s="420"/>
    </row>
    <row r="5705" spans="17:25">
      <c r="Q5705" s="308"/>
      <c r="R5705" s="309"/>
      <c r="S5705" s="210"/>
      <c r="T5705" s="310"/>
      <c r="U5705" s="106"/>
      <c r="V5705" s="106"/>
      <c r="W5705" s="106"/>
      <c r="X5705" s="420"/>
      <c r="Y5705" s="420"/>
    </row>
    <row r="5706" spans="17:25">
      <c r="Q5706" s="308"/>
      <c r="R5706" s="309"/>
      <c r="S5706" s="210"/>
      <c r="T5706" s="310"/>
      <c r="U5706" s="106"/>
      <c r="V5706" s="106"/>
      <c r="W5706" s="106"/>
      <c r="X5706" s="420"/>
      <c r="Y5706" s="420"/>
    </row>
    <row r="5707" spans="17:25">
      <c r="Q5707" s="308"/>
      <c r="R5707" s="309"/>
      <c r="S5707" s="210"/>
      <c r="T5707" s="310"/>
      <c r="U5707" s="106"/>
      <c r="V5707" s="106"/>
      <c r="W5707" s="106"/>
      <c r="X5707" s="420"/>
      <c r="Y5707" s="420"/>
    </row>
    <row r="5708" spans="17:25">
      <c r="Q5708" s="308"/>
      <c r="R5708" s="309"/>
      <c r="S5708" s="210"/>
      <c r="T5708" s="310"/>
      <c r="U5708" s="106"/>
      <c r="V5708" s="106"/>
      <c r="W5708" s="106"/>
      <c r="X5708" s="420"/>
      <c r="Y5708" s="420"/>
    </row>
    <row r="5709" spans="17:25">
      <c r="Q5709" s="308"/>
      <c r="R5709" s="309"/>
      <c r="S5709" s="210"/>
      <c r="T5709" s="310"/>
      <c r="U5709" s="106"/>
      <c r="V5709" s="106"/>
      <c r="W5709" s="106"/>
      <c r="X5709" s="420"/>
      <c r="Y5709" s="420"/>
    </row>
    <row r="5710" spans="17:25">
      <c r="Q5710" s="308"/>
      <c r="R5710" s="309"/>
      <c r="S5710" s="210"/>
      <c r="T5710" s="310"/>
      <c r="U5710" s="106"/>
      <c r="V5710" s="106"/>
      <c r="W5710" s="106"/>
      <c r="X5710" s="420"/>
      <c r="Y5710" s="420"/>
    </row>
    <row r="5711" spans="17:25">
      <c r="Q5711" s="308"/>
      <c r="R5711" s="309"/>
      <c r="S5711" s="210"/>
      <c r="T5711" s="310"/>
      <c r="U5711" s="106"/>
      <c r="V5711" s="106"/>
      <c r="W5711" s="106"/>
      <c r="X5711" s="420"/>
      <c r="Y5711" s="420"/>
    </row>
    <row r="5712" spans="17:25">
      <c r="Q5712" s="308"/>
      <c r="R5712" s="309"/>
      <c r="S5712" s="210"/>
      <c r="T5712" s="310"/>
      <c r="U5712" s="106"/>
      <c r="V5712" s="106"/>
      <c r="W5712" s="106"/>
      <c r="X5712" s="420"/>
      <c r="Y5712" s="420"/>
    </row>
    <row r="5713" spans="17:25">
      <c r="Q5713" s="308"/>
      <c r="R5713" s="309"/>
      <c r="S5713" s="210"/>
      <c r="T5713" s="310"/>
      <c r="U5713" s="106"/>
      <c r="V5713" s="106"/>
      <c r="W5713" s="106"/>
      <c r="X5713" s="420"/>
      <c r="Y5713" s="420"/>
    </row>
    <row r="5714" spans="17:25">
      <c r="Q5714" s="308"/>
      <c r="R5714" s="309"/>
      <c r="S5714" s="210"/>
      <c r="T5714" s="310"/>
      <c r="U5714" s="106"/>
      <c r="V5714" s="106"/>
      <c r="W5714" s="106"/>
      <c r="X5714" s="420"/>
      <c r="Y5714" s="420"/>
    </row>
    <row r="5715" spans="17:25">
      <c r="Q5715" s="308"/>
      <c r="R5715" s="309"/>
      <c r="S5715" s="210"/>
      <c r="T5715" s="310"/>
      <c r="U5715" s="106"/>
      <c r="V5715" s="106"/>
      <c r="W5715" s="106"/>
      <c r="X5715" s="420"/>
      <c r="Y5715" s="420"/>
    </row>
    <row r="5716" spans="17:25">
      <c r="Q5716" s="308"/>
      <c r="R5716" s="309"/>
      <c r="S5716" s="210"/>
      <c r="T5716" s="310"/>
      <c r="U5716" s="106"/>
      <c r="V5716" s="106"/>
      <c r="W5716" s="106"/>
      <c r="X5716" s="420"/>
      <c r="Y5716" s="420"/>
    </row>
    <row r="5717" spans="17:25">
      <c r="Q5717" s="308"/>
      <c r="R5717" s="309"/>
      <c r="S5717" s="210"/>
      <c r="T5717" s="310"/>
      <c r="U5717" s="106"/>
      <c r="V5717" s="106"/>
      <c r="W5717" s="106"/>
      <c r="X5717" s="420"/>
      <c r="Y5717" s="420"/>
    </row>
    <row r="5718" spans="17:25">
      <c r="Q5718" s="308"/>
      <c r="R5718" s="309"/>
      <c r="S5718" s="210"/>
      <c r="T5718" s="310"/>
      <c r="U5718" s="106"/>
      <c r="V5718" s="106"/>
      <c r="W5718" s="106"/>
      <c r="X5718" s="420"/>
      <c r="Y5718" s="420"/>
    </row>
    <row r="5719" spans="17:25">
      <c r="Q5719" s="308"/>
      <c r="R5719" s="309"/>
      <c r="S5719" s="210"/>
      <c r="T5719" s="310"/>
      <c r="U5719" s="106"/>
      <c r="V5719" s="106"/>
      <c r="W5719" s="106"/>
      <c r="X5719" s="420"/>
      <c r="Y5719" s="420"/>
    </row>
    <row r="5720" spans="17:25">
      <c r="Q5720" s="308"/>
      <c r="R5720" s="309"/>
      <c r="S5720" s="210"/>
      <c r="T5720" s="310"/>
      <c r="U5720" s="106"/>
      <c r="V5720" s="106"/>
      <c r="W5720" s="106"/>
      <c r="X5720" s="420"/>
      <c r="Y5720" s="420"/>
    </row>
    <row r="5721" spans="17:25">
      <c r="Q5721" s="308"/>
      <c r="R5721" s="309"/>
      <c r="S5721" s="210"/>
      <c r="T5721" s="310"/>
      <c r="U5721" s="106"/>
      <c r="V5721" s="106"/>
      <c r="W5721" s="106"/>
      <c r="X5721" s="420"/>
      <c r="Y5721" s="420"/>
    </row>
    <row r="5722" spans="17:25">
      <c r="Q5722" s="308"/>
      <c r="R5722" s="309"/>
      <c r="S5722" s="210"/>
      <c r="T5722" s="310"/>
      <c r="U5722" s="106"/>
      <c r="V5722" s="106"/>
      <c r="W5722" s="106"/>
      <c r="X5722" s="420"/>
      <c r="Y5722" s="420"/>
    </row>
    <row r="5723" spans="17:25">
      <c r="Q5723" s="308"/>
      <c r="R5723" s="309"/>
      <c r="S5723" s="210"/>
      <c r="T5723" s="310"/>
      <c r="U5723" s="106"/>
      <c r="V5723" s="106"/>
      <c r="W5723" s="106"/>
      <c r="X5723" s="420"/>
      <c r="Y5723" s="420"/>
    </row>
    <row r="5724" spans="17:25">
      <c r="Q5724" s="308"/>
      <c r="R5724" s="309"/>
      <c r="S5724" s="210"/>
      <c r="T5724" s="310"/>
      <c r="U5724" s="106"/>
      <c r="V5724" s="106"/>
      <c r="W5724" s="106"/>
      <c r="X5724" s="420"/>
      <c r="Y5724" s="420"/>
    </row>
    <row r="5725" spans="17:25">
      <c r="Q5725" s="308"/>
      <c r="R5725" s="309"/>
      <c r="S5725" s="210"/>
      <c r="T5725" s="310"/>
      <c r="U5725" s="106"/>
      <c r="V5725" s="106"/>
      <c r="W5725" s="106"/>
      <c r="X5725" s="420"/>
      <c r="Y5725" s="420"/>
    </row>
    <row r="5726" spans="17:25">
      <c r="Q5726" s="308"/>
      <c r="R5726" s="309"/>
      <c r="S5726" s="210"/>
      <c r="T5726" s="310"/>
      <c r="U5726" s="106"/>
      <c r="V5726" s="106"/>
      <c r="W5726" s="106"/>
      <c r="X5726" s="420"/>
      <c r="Y5726" s="420"/>
    </row>
    <row r="5727" spans="17:25">
      <c r="Q5727" s="308"/>
      <c r="R5727" s="309"/>
      <c r="S5727" s="210"/>
      <c r="T5727" s="310"/>
      <c r="U5727" s="106"/>
      <c r="V5727" s="106"/>
      <c r="W5727" s="106"/>
      <c r="X5727" s="420"/>
      <c r="Y5727" s="420"/>
    </row>
    <row r="5728" spans="17:25">
      <c r="Q5728" s="308"/>
      <c r="R5728" s="309"/>
      <c r="S5728" s="210"/>
      <c r="T5728" s="310"/>
      <c r="U5728" s="106"/>
      <c r="V5728" s="106"/>
      <c r="W5728" s="106"/>
      <c r="X5728" s="420"/>
      <c r="Y5728" s="420"/>
    </row>
    <row r="5729" spans="17:25">
      <c r="Q5729" s="308"/>
      <c r="R5729" s="309"/>
      <c r="S5729" s="210"/>
      <c r="T5729" s="310"/>
      <c r="U5729" s="106"/>
      <c r="V5729" s="106"/>
      <c r="W5729" s="106"/>
      <c r="X5729" s="420"/>
      <c r="Y5729" s="420"/>
    </row>
    <row r="5730" spans="17:25">
      <c r="Q5730" s="308"/>
      <c r="R5730" s="309"/>
      <c r="S5730" s="210"/>
      <c r="T5730" s="310"/>
      <c r="U5730" s="106"/>
      <c r="V5730" s="106"/>
      <c r="W5730" s="106"/>
      <c r="X5730" s="420"/>
      <c r="Y5730" s="420"/>
    </row>
    <row r="5731" spans="17:25">
      <c r="Q5731" s="308"/>
      <c r="R5731" s="309"/>
      <c r="S5731" s="210"/>
      <c r="T5731" s="310"/>
      <c r="U5731" s="106"/>
      <c r="V5731" s="106"/>
      <c r="W5731" s="106"/>
      <c r="X5731" s="420"/>
      <c r="Y5731" s="420"/>
    </row>
    <row r="5732" spans="17:25">
      <c r="Q5732" s="308"/>
      <c r="R5732" s="309"/>
      <c r="S5732" s="210"/>
      <c r="T5732" s="310"/>
      <c r="U5732" s="106"/>
      <c r="V5732" s="106"/>
      <c r="W5732" s="106"/>
      <c r="X5732" s="420"/>
      <c r="Y5732" s="420"/>
    </row>
    <row r="5733" spans="17:25">
      <c r="Q5733" s="308"/>
      <c r="R5733" s="309"/>
      <c r="S5733" s="210"/>
      <c r="T5733" s="310"/>
      <c r="U5733" s="106"/>
      <c r="V5733" s="106"/>
      <c r="W5733" s="106"/>
      <c r="X5733" s="420"/>
      <c r="Y5733" s="420"/>
    </row>
    <row r="5734" spans="17:25">
      <c r="Q5734" s="308"/>
      <c r="R5734" s="309"/>
      <c r="S5734" s="210"/>
      <c r="T5734" s="310"/>
      <c r="U5734" s="106"/>
      <c r="V5734" s="106"/>
      <c r="W5734" s="106"/>
      <c r="X5734" s="420"/>
      <c r="Y5734" s="420"/>
    </row>
    <row r="5735" spans="17:25">
      <c r="Q5735" s="308"/>
      <c r="R5735" s="309"/>
      <c r="S5735" s="210"/>
      <c r="T5735" s="310"/>
      <c r="U5735" s="106"/>
      <c r="V5735" s="106"/>
      <c r="W5735" s="106"/>
      <c r="X5735" s="420"/>
      <c r="Y5735" s="420"/>
    </row>
    <row r="5736" spans="17:25">
      <c r="Q5736" s="308"/>
      <c r="R5736" s="309"/>
      <c r="S5736" s="210"/>
      <c r="T5736" s="310"/>
      <c r="U5736" s="106"/>
      <c r="V5736" s="106"/>
      <c r="W5736" s="106"/>
      <c r="X5736" s="420"/>
      <c r="Y5736" s="420"/>
    </row>
    <row r="5737" spans="17:25">
      <c r="Q5737" s="308"/>
      <c r="R5737" s="309"/>
      <c r="S5737" s="210"/>
      <c r="T5737" s="310"/>
      <c r="U5737" s="106"/>
      <c r="V5737" s="106"/>
      <c r="W5737" s="106"/>
      <c r="X5737" s="420"/>
      <c r="Y5737" s="420"/>
    </row>
    <row r="5738" spans="17:25">
      <c r="Q5738" s="308"/>
      <c r="R5738" s="309"/>
      <c r="S5738" s="210"/>
      <c r="T5738" s="310"/>
      <c r="U5738" s="106"/>
      <c r="V5738" s="106"/>
      <c r="W5738" s="106"/>
      <c r="X5738" s="420"/>
      <c r="Y5738" s="420"/>
    </row>
    <row r="5739" spans="17:25">
      <c r="Q5739" s="308"/>
      <c r="R5739" s="309"/>
      <c r="S5739" s="210"/>
      <c r="T5739" s="310"/>
      <c r="U5739" s="106"/>
      <c r="V5739" s="106"/>
      <c r="W5739" s="106"/>
      <c r="X5739" s="420"/>
      <c r="Y5739" s="420"/>
    </row>
    <row r="5740" spans="17:25">
      <c r="Q5740" s="308"/>
      <c r="R5740" s="309"/>
      <c r="S5740" s="210"/>
      <c r="T5740" s="310"/>
      <c r="U5740" s="106"/>
      <c r="V5740" s="106"/>
      <c r="W5740" s="106"/>
      <c r="X5740" s="420"/>
      <c r="Y5740" s="420"/>
    </row>
    <row r="5741" spans="17:25">
      <c r="Q5741" s="308"/>
      <c r="R5741" s="309"/>
      <c r="S5741" s="210"/>
      <c r="T5741" s="310"/>
      <c r="U5741" s="106"/>
      <c r="V5741" s="106"/>
      <c r="W5741" s="106"/>
      <c r="X5741" s="420"/>
      <c r="Y5741" s="420"/>
    </row>
    <row r="5742" spans="17:25">
      <c r="Q5742" s="308"/>
      <c r="R5742" s="309"/>
      <c r="S5742" s="210"/>
      <c r="T5742" s="310"/>
      <c r="U5742" s="106"/>
      <c r="V5742" s="106"/>
      <c r="W5742" s="106"/>
      <c r="X5742" s="420"/>
      <c r="Y5742" s="420"/>
    </row>
    <row r="5743" spans="17:25">
      <c r="Q5743" s="308"/>
      <c r="R5743" s="309"/>
      <c r="S5743" s="210"/>
      <c r="T5743" s="310"/>
      <c r="U5743" s="106"/>
      <c r="V5743" s="106"/>
      <c r="W5743" s="106"/>
      <c r="X5743" s="420"/>
      <c r="Y5743" s="420"/>
    </row>
    <row r="5744" spans="17:25">
      <c r="Q5744" s="308"/>
      <c r="R5744" s="309"/>
      <c r="S5744" s="210"/>
      <c r="T5744" s="310"/>
      <c r="U5744" s="106"/>
      <c r="V5744" s="106"/>
      <c r="W5744" s="106"/>
      <c r="X5744" s="420"/>
      <c r="Y5744" s="420"/>
    </row>
    <row r="5745" spans="17:25">
      <c r="Q5745" s="308"/>
      <c r="R5745" s="309"/>
      <c r="S5745" s="210"/>
      <c r="T5745" s="310"/>
      <c r="U5745" s="106"/>
      <c r="V5745" s="106"/>
      <c r="W5745" s="106"/>
      <c r="X5745" s="420"/>
      <c r="Y5745" s="420"/>
    </row>
    <row r="5746" spans="17:25">
      <c r="Q5746" s="308"/>
      <c r="R5746" s="309"/>
      <c r="S5746" s="210"/>
      <c r="T5746" s="310"/>
      <c r="U5746" s="106"/>
      <c r="V5746" s="106"/>
      <c r="W5746" s="106"/>
      <c r="X5746" s="420"/>
      <c r="Y5746" s="420"/>
    </row>
    <row r="5747" spans="17:25">
      <c r="Q5747" s="308"/>
      <c r="R5747" s="309"/>
      <c r="S5747" s="210"/>
      <c r="T5747" s="310"/>
      <c r="U5747" s="106"/>
      <c r="V5747" s="106"/>
      <c r="W5747" s="106"/>
      <c r="X5747" s="420"/>
      <c r="Y5747" s="420"/>
    </row>
    <row r="5748" spans="17:25">
      <c r="Q5748" s="308"/>
      <c r="R5748" s="309"/>
      <c r="S5748" s="210"/>
      <c r="T5748" s="310"/>
      <c r="U5748" s="106"/>
      <c r="V5748" s="106"/>
      <c r="W5748" s="106"/>
      <c r="X5748" s="420"/>
      <c r="Y5748" s="420"/>
    </row>
    <row r="5749" spans="17:25">
      <c r="Q5749" s="308"/>
      <c r="R5749" s="309"/>
      <c r="S5749" s="210"/>
      <c r="T5749" s="310"/>
      <c r="U5749" s="106"/>
      <c r="V5749" s="106"/>
      <c r="W5749" s="106"/>
      <c r="X5749" s="420"/>
      <c r="Y5749" s="420"/>
    </row>
    <row r="5750" spans="17:25">
      <c r="Q5750" s="308"/>
      <c r="R5750" s="309"/>
      <c r="S5750" s="210"/>
      <c r="T5750" s="310"/>
      <c r="U5750" s="106"/>
      <c r="V5750" s="106"/>
      <c r="W5750" s="106"/>
      <c r="X5750" s="420"/>
      <c r="Y5750" s="420"/>
    </row>
    <row r="5751" spans="17:25">
      <c r="Q5751" s="308"/>
      <c r="R5751" s="309"/>
      <c r="S5751" s="210"/>
      <c r="T5751" s="310"/>
      <c r="U5751" s="106"/>
      <c r="V5751" s="106"/>
      <c r="W5751" s="106"/>
      <c r="X5751" s="420"/>
      <c r="Y5751" s="420"/>
    </row>
    <row r="5752" spans="17:25">
      <c r="Q5752" s="308"/>
      <c r="R5752" s="309"/>
      <c r="S5752" s="210"/>
      <c r="T5752" s="310"/>
      <c r="U5752" s="106"/>
      <c r="V5752" s="106"/>
      <c r="W5752" s="106"/>
      <c r="X5752" s="420"/>
      <c r="Y5752" s="420"/>
    </row>
    <row r="5753" spans="17:25">
      <c r="Q5753" s="308"/>
      <c r="R5753" s="309"/>
      <c r="S5753" s="210"/>
      <c r="T5753" s="310"/>
      <c r="U5753" s="106"/>
      <c r="V5753" s="106"/>
      <c r="W5753" s="106"/>
      <c r="X5753" s="420"/>
      <c r="Y5753" s="420"/>
    </row>
    <row r="5754" spans="17:25">
      <c r="Q5754" s="308"/>
      <c r="R5754" s="309"/>
      <c r="S5754" s="210"/>
      <c r="T5754" s="310"/>
      <c r="U5754" s="106"/>
      <c r="V5754" s="106"/>
      <c r="W5754" s="106"/>
      <c r="X5754" s="420"/>
      <c r="Y5754" s="420"/>
    </row>
    <row r="5755" spans="17:25">
      <c r="Q5755" s="308"/>
      <c r="R5755" s="309"/>
      <c r="S5755" s="210"/>
      <c r="T5755" s="310"/>
      <c r="U5755" s="106"/>
      <c r="V5755" s="106"/>
      <c r="W5755" s="106"/>
      <c r="X5755" s="420"/>
      <c r="Y5755" s="420"/>
    </row>
    <row r="5756" spans="17:25">
      <c r="Q5756" s="308"/>
      <c r="R5756" s="309"/>
      <c r="S5756" s="210"/>
      <c r="T5756" s="310"/>
      <c r="U5756" s="106"/>
      <c r="V5756" s="106"/>
      <c r="W5756" s="106"/>
      <c r="X5756" s="420"/>
      <c r="Y5756" s="420"/>
    </row>
    <row r="5757" spans="17:25">
      <c r="Q5757" s="308"/>
      <c r="R5757" s="309"/>
      <c r="S5757" s="210"/>
      <c r="T5757" s="310"/>
      <c r="U5757" s="106"/>
      <c r="V5757" s="106"/>
      <c r="W5757" s="106"/>
      <c r="X5757" s="420"/>
      <c r="Y5757" s="420"/>
    </row>
    <row r="5758" spans="17:25">
      <c r="Q5758" s="308"/>
      <c r="R5758" s="309"/>
      <c r="S5758" s="210"/>
      <c r="T5758" s="310"/>
      <c r="U5758" s="106"/>
      <c r="V5758" s="106"/>
      <c r="W5758" s="106"/>
      <c r="X5758" s="420"/>
      <c r="Y5758" s="420"/>
    </row>
    <row r="5759" spans="17:25">
      <c r="Q5759" s="308"/>
      <c r="R5759" s="309"/>
      <c r="S5759" s="210"/>
      <c r="T5759" s="310"/>
      <c r="U5759" s="106"/>
      <c r="V5759" s="106"/>
      <c r="W5759" s="106"/>
      <c r="X5759" s="420"/>
      <c r="Y5759" s="420"/>
    </row>
    <row r="5760" spans="17:25">
      <c r="Q5760" s="308"/>
      <c r="R5760" s="309"/>
      <c r="S5760" s="210"/>
      <c r="T5760" s="310"/>
      <c r="U5760" s="106"/>
      <c r="V5760" s="106"/>
      <c r="W5760" s="106"/>
      <c r="X5760" s="420"/>
      <c r="Y5760" s="420"/>
    </row>
    <row r="5761" spans="17:25">
      <c r="Q5761" s="308"/>
      <c r="R5761" s="309"/>
      <c r="S5761" s="210"/>
      <c r="T5761" s="310"/>
      <c r="U5761" s="106"/>
      <c r="V5761" s="106"/>
      <c r="W5761" s="106"/>
      <c r="X5761" s="420"/>
      <c r="Y5761" s="420"/>
    </row>
    <row r="5762" spans="17:25">
      <c r="Q5762" s="308"/>
      <c r="R5762" s="309"/>
      <c r="S5762" s="210"/>
      <c r="T5762" s="310"/>
      <c r="U5762" s="106"/>
      <c r="V5762" s="106"/>
      <c r="W5762" s="106"/>
      <c r="X5762" s="420"/>
      <c r="Y5762" s="420"/>
    </row>
    <row r="5763" spans="17:25">
      <c r="Q5763" s="308"/>
      <c r="R5763" s="309"/>
      <c r="S5763" s="210"/>
      <c r="T5763" s="310"/>
      <c r="U5763" s="106"/>
      <c r="V5763" s="106"/>
      <c r="W5763" s="106"/>
      <c r="X5763" s="420"/>
      <c r="Y5763" s="420"/>
    </row>
    <row r="5764" spans="17:25">
      <c r="Q5764" s="308"/>
      <c r="R5764" s="309"/>
      <c r="S5764" s="210"/>
      <c r="T5764" s="310"/>
      <c r="U5764" s="106"/>
      <c r="V5764" s="106"/>
      <c r="W5764" s="106"/>
      <c r="X5764" s="420"/>
      <c r="Y5764" s="420"/>
    </row>
    <row r="5765" spans="17:25">
      <c r="Q5765" s="308"/>
      <c r="R5765" s="309"/>
      <c r="S5765" s="210"/>
      <c r="T5765" s="310"/>
      <c r="U5765" s="106"/>
      <c r="V5765" s="106"/>
      <c r="W5765" s="106"/>
      <c r="X5765" s="420"/>
      <c r="Y5765" s="420"/>
    </row>
    <row r="5766" spans="17:25">
      <c r="Q5766" s="308"/>
      <c r="R5766" s="309"/>
      <c r="S5766" s="210"/>
      <c r="T5766" s="310"/>
      <c r="U5766" s="106"/>
      <c r="V5766" s="106"/>
      <c r="W5766" s="106"/>
      <c r="X5766" s="420"/>
      <c r="Y5766" s="420"/>
    </row>
    <row r="5767" spans="17:25">
      <c r="Q5767" s="308"/>
      <c r="R5767" s="309"/>
      <c r="S5767" s="210"/>
      <c r="T5767" s="310"/>
      <c r="U5767" s="106"/>
      <c r="V5767" s="106"/>
      <c r="W5767" s="106"/>
      <c r="X5767" s="420"/>
      <c r="Y5767" s="420"/>
    </row>
    <row r="5768" spans="17:25">
      <c r="Q5768" s="308"/>
      <c r="R5768" s="309"/>
      <c r="S5768" s="210"/>
      <c r="T5768" s="310"/>
      <c r="U5768" s="106"/>
      <c r="V5768" s="106"/>
      <c r="W5768" s="106"/>
      <c r="X5768" s="420"/>
      <c r="Y5768" s="420"/>
    </row>
    <row r="5769" spans="17:25">
      <c r="Q5769" s="308"/>
      <c r="R5769" s="309"/>
      <c r="S5769" s="210"/>
      <c r="T5769" s="310"/>
      <c r="U5769" s="106"/>
      <c r="V5769" s="106"/>
      <c r="W5769" s="106"/>
      <c r="X5769" s="420"/>
      <c r="Y5769" s="420"/>
    </row>
    <row r="5770" spans="17:25">
      <c r="Q5770" s="308"/>
      <c r="R5770" s="309"/>
      <c r="S5770" s="210"/>
      <c r="T5770" s="310"/>
      <c r="U5770" s="106"/>
      <c r="V5770" s="106"/>
      <c r="W5770" s="106"/>
      <c r="X5770" s="420"/>
      <c r="Y5770" s="420"/>
    </row>
    <row r="5771" spans="17:25">
      <c r="Q5771" s="308"/>
      <c r="R5771" s="309"/>
      <c r="S5771" s="210"/>
      <c r="T5771" s="310"/>
      <c r="U5771" s="106"/>
      <c r="V5771" s="106"/>
      <c r="W5771" s="106"/>
      <c r="X5771" s="420"/>
      <c r="Y5771" s="420"/>
    </row>
    <row r="5772" spans="17:25">
      <c r="Q5772" s="308"/>
      <c r="R5772" s="309"/>
      <c r="S5772" s="210"/>
      <c r="T5772" s="310"/>
      <c r="U5772" s="106"/>
      <c r="V5772" s="106"/>
      <c r="W5772" s="106"/>
      <c r="X5772" s="420"/>
      <c r="Y5772" s="420"/>
    </row>
    <row r="5773" spans="17:25">
      <c r="Q5773" s="308"/>
      <c r="R5773" s="309"/>
      <c r="S5773" s="210"/>
      <c r="T5773" s="310"/>
      <c r="U5773" s="106"/>
      <c r="V5773" s="106"/>
      <c r="W5773" s="106"/>
      <c r="X5773" s="420"/>
      <c r="Y5773" s="420"/>
    </row>
    <row r="5774" spans="17:25">
      <c r="Q5774" s="308"/>
      <c r="R5774" s="309"/>
      <c r="S5774" s="210"/>
      <c r="T5774" s="310"/>
      <c r="U5774" s="106"/>
      <c r="V5774" s="106"/>
      <c r="W5774" s="106"/>
      <c r="X5774" s="420"/>
      <c r="Y5774" s="420"/>
    </row>
    <row r="5775" spans="17:25">
      <c r="Q5775" s="308"/>
      <c r="R5775" s="309"/>
      <c r="S5775" s="210"/>
      <c r="T5775" s="310"/>
      <c r="U5775" s="106"/>
      <c r="V5775" s="106"/>
      <c r="W5775" s="106"/>
      <c r="X5775" s="420"/>
      <c r="Y5775" s="420"/>
    </row>
    <row r="5776" spans="17:25">
      <c r="Q5776" s="308"/>
      <c r="R5776" s="309"/>
      <c r="S5776" s="210"/>
      <c r="T5776" s="310"/>
      <c r="U5776" s="106"/>
      <c r="V5776" s="106"/>
      <c r="W5776" s="106"/>
      <c r="X5776" s="420"/>
      <c r="Y5776" s="420"/>
    </row>
    <row r="5777" spans="17:25">
      <c r="Q5777" s="308"/>
      <c r="R5777" s="309"/>
      <c r="S5777" s="210"/>
      <c r="T5777" s="310"/>
      <c r="U5777" s="106"/>
      <c r="V5777" s="106"/>
      <c r="W5777" s="106"/>
      <c r="X5777" s="420"/>
      <c r="Y5777" s="420"/>
    </row>
    <row r="5778" spans="17:25">
      <c r="Q5778" s="308"/>
      <c r="R5778" s="309"/>
      <c r="S5778" s="210"/>
      <c r="T5778" s="310"/>
      <c r="U5778" s="106"/>
      <c r="V5778" s="106"/>
      <c r="W5778" s="106"/>
      <c r="X5778" s="420"/>
      <c r="Y5778" s="420"/>
    </row>
    <row r="5779" spans="17:25">
      <c r="Q5779" s="308"/>
      <c r="R5779" s="309"/>
      <c r="S5779" s="210"/>
      <c r="T5779" s="310"/>
      <c r="U5779" s="106"/>
      <c r="V5779" s="106"/>
      <c r="W5779" s="106"/>
      <c r="X5779" s="420"/>
      <c r="Y5779" s="420"/>
    </row>
    <row r="5780" spans="17:25">
      <c r="Q5780" s="308"/>
      <c r="R5780" s="309"/>
      <c r="S5780" s="210"/>
      <c r="T5780" s="310"/>
      <c r="U5780" s="106"/>
      <c r="V5780" s="106"/>
      <c r="W5780" s="106"/>
      <c r="X5780" s="420"/>
      <c r="Y5780" s="420"/>
    </row>
    <row r="5781" spans="17:25">
      <c r="Q5781" s="308"/>
      <c r="R5781" s="309"/>
      <c r="S5781" s="210"/>
      <c r="T5781" s="310"/>
      <c r="U5781" s="106"/>
      <c r="V5781" s="106"/>
      <c r="W5781" s="106"/>
      <c r="X5781" s="420"/>
      <c r="Y5781" s="420"/>
    </row>
    <row r="5782" spans="17:25">
      <c r="Q5782" s="308"/>
      <c r="R5782" s="309"/>
      <c r="S5782" s="210"/>
      <c r="T5782" s="310"/>
      <c r="U5782" s="106"/>
      <c r="V5782" s="106"/>
      <c r="W5782" s="106"/>
      <c r="X5782" s="420"/>
      <c r="Y5782" s="420"/>
    </row>
    <row r="5783" spans="17:25">
      <c r="Q5783" s="308"/>
      <c r="R5783" s="309"/>
      <c r="S5783" s="210"/>
      <c r="T5783" s="310"/>
      <c r="U5783" s="106"/>
      <c r="V5783" s="106"/>
      <c r="W5783" s="106"/>
      <c r="X5783" s="420"/>
      <c r="Y5783" s="420"/>
    </row>
    <row r="5784" spans="17:25">
      <c r="Q5784" s="308"/>
      <c r="R5784" s="309"/>
      <c r="S5784" s="210"/>
      <c r="T5784" s="310"/>
      <c r="U5784" s="106"/>
      <c r="V5784" s="106"/>
      <c r="W5784" s="106"/>
      <c r="X5784" s="420"/>
      <c r="Y5784" s="420"/>
    </row>
    <row r="5785" spans="17:25">
      <c r="Q5785" s="308"/>
      <c r="R5785" s="309"/>
      <c r="S5785" s="210"/>
      <c r="T5785" s="310"/>
      <c r="U5785" s="106"/>
      <c r="V5785" s="106"/>
      <c r="W5785" s="106"/>
      <c r="X5785" s="420"/>
      <c r="Y5785" s="420"/>
    </row>
    <row r="5786" spans="17:25">
      <c r="Q5786" s="308"/>
      <c r="R5786" s="309"/>
      <c r="S5786" s="210"/>
      <c r="T5786" s="310"/>
      <c r="U5786" s="106"/>
      <c r="V5786" s="106"/>
      <c r="W5786" s="106"/>
      <c r="X5786" s="420"/>
      <c r="Y5786" s="420"/>
    </row>
    <row r="5787" spans="17:25">
      <c r="Q5787" s="308"/>
      <c r="R5787" s="309"/>
      <c r="S5787" s="210"/>
      <c r="T5787" s="310"/>
      <c r="U5787" s="106"/>
      <c r="V5787" s="106"/>
      <c r="W5787" s="106"/>
      <c r="X5787" s="420"/>
      <c r="Y5787" s="420"/>
    </row>
    <row r="5788" spans="17:25">
      <c r="Q5788" s="308"/>
      <c r="R5788" s="309"/>
      <c r="S5788" s="210"/>
      <c r="T5788" s="310"/>
      <c r="U5788" s="106"/>
      <c r="V5788" s="106"/>
      <c r="W5788" s="106"/>
      <c r="X5788" s="420"/>
      <c r="Y5788" s="420"/>
    </row>
    <row r="5789" spans="17:25">
      <c r="Q5789" s="308"/>
      <c r="R5789" s="309"/>
      <c r="S5789" s="210"/>
      <c r="T5789" s="310"/>
      <c r="U5789" s="106"/>
      <c r="V5789" s="106"/>
      <c r="W5789" s="106"/>
      <c r="X5789" s="420"/>
      <c r="Y5789" s="420"/>
    </row>
    <row r="5790" spans="17:25">
      <c r="Q5790" s="308"/>
      <c r="R5790" s="309"/>
      <c r="S5790" s="210"/>
      <c r="T5790" s="310"/>
      <c r="U5790" s="106"/>
      <c r="V5790" s="106"/>
      <c r="W5790" s="106"/>
      <c r="X5790" s="420"/>
      <c r="Y5790" s="420"/>
    </row>
    <row r="5791" spans="17:25">
      <c r="Q5791" s="308"/>
      <c r="R5791" s="309"/>
      <c r="S5791" s="210"/>
      <c r="T5791" s="310"/>
      <c r="U5791" s="106"/>
      <c r="V5791" s="106"/>
      <c r="W5791" s="106"/>
      <c r="X5791" s="420"/>
      <c r="Y5791" s="420"/>
    </row>
    <row r="5792" spans="17:25">
      <c r="Q5792" s="308"/>
      <c r="R5792" s="309"/>
      <c r="S5792" s="210"/>
      <c r="T5792" s="310"/>
      <c r="U5792" s="106"/>
      <c r="V5792" s="106"/>
      <c r="W5792" s="106"/>
      <c r="X5792" s="420"/>
      <c r="Y5792" s="420"/>
    </row>
    <row r="5793" spans="17:25">
      <c r="Q5793" s="308"/>
      <c r="R5793" s="309"/>
      <c r="S5793" s="210"/>
      <c r="T5793" s="310"/>
      <c r="U5793" s="106"/>
      <c r="V5793" s="106"/>
      <c r="W5793" s="106"/>
      <c r="X5793" s="420"/>
      <c r="Y5793" s="420"/>
    </row>
    <row r="5794" spans="17:25">
      <c r="Q5794" s="308"/>
      <c r="R5794" s="309"/>
      <c r="S5794" s="210"/>
      <c r="T5794" s="310"/>
      <c r="U5794" s="106"/>
      <c r="V5794" s="106"/>
      <c r="W5794" s="106"/>
      <c r="X5794" s="420"/>
      <c r="Y5794" s="420"/>
    </row>
    <row r="5795" spans="17:25">
      <c r="Q5795" s="308"/>
      <c r="R5795" s="309"/>
      <c r="S5795" s="210"/>
      <c r="T5795" s="310"/>
      <c r="U5795" s="106"/>
      <c r="V5795" s="106"/>
      <c r="W5795" s="106"/>
      <c r="X5795" s="420"/>
      <c r="Y5795" s="420"/>
    </row>
    <row r="5796" spans="17:25">
      <c r="Q5796" s="308"/>
      <c r="R5796" s="309"/>
      <c r="S5796" s="210"/>
      <c r="T5796" s="310"/>
      <c r="U5796" s="106"/>
      <c r="V5796" s="106"/>
      <c r="W5796" s="106"/>
      <c r="X5796" s="420"/>
      <c r="Y5796" s="420"/>
    </row>
    <row r="5797" spans="17:25">
      <c r="Q5797" s="308"/>
      <c r="R5797" s="309"/>
      <c r="S5797" s="210"/>
      <c r="T5797" s="310"/>
      <c r="U5797" s="106"/>
      <c r="V5797" s="106"/>
      <c r="W5797" s="106"/>
      <c r="X5797" s="420"/>
      <c r="Y5797" s="420"/>
    </row>
    <row r="5798" spans="17:25">
      <c r="Q5798" s="308"/>
      <c r="R5798" s="309"/>
      <c r="S5798" s="210"/>
      <c r="T5798" s="310"/>
      <c r="U5798" s="106"/>
      <c r="V5798" s="106"/>
      <c r="W5798" s="106"/>
      <c r="X5798" s="420"/>
      <c r="Y5798" s="420"/>
    </row>
    <row r="5799" spans="17:25">
      <c r="Q5799" s="308"/>
      <c r="R5799" s="309"/>
      <c r="S5799" s="210"/>
      <c r="T5799" s="310"/>
      <c r="U5799" s="106"/>
      <c r="V5799" s="106"/>
      <c r="W5799" s="106"/>
      <c r="X5799" s="420"/>
      <c r="Y5799" s="420"/>
    </row>
    <row r="5800" spans="17:25">
      <c r="Q5800" s="308"/>
      <c r="R5800" s="309"/>
      <c r="S5800" s="210"/>
      <c r="T5800" s="310"/>
      <c r="U5800" s="106"/>
      <c r="V5800" s="106"/>
      <c r="W5800" s="106"/>
      <c r="X5800" s="420"/>
      <c r="Y5800" s="420"/>
    </row>
    <row r="5801" spans="17:25">
      <c r="Q5801" s="308"/>
      <c r="R5801" s="309"/>
      <c r="S5801" s="210"/>
      <c r="T5801" s="310"/>
      <c r="U5801" s="106"/>
      <c r="V5801" s="106"/>
      <c r="W5801" s="106"/>
      <c r="X5801" s="420"/>
      <c r="Y5801" s="420"/>
    </row>
    <row r="5802" spans="17:25">
      <c r="Q5802" s="308"/>
      <c r="R5802" s="309"/>
      <c r="S5802" s="210"/>
      <c r="T5802" s="310"/>
      <c r="U5802" s="106"/>
      <c r="V5802" s="106"/>
      <c r="W5802" s="106"/>
      <c r="X5802" s="420"/>
      <c r="Y5802" s="420"/>
    </row>
    <row r="5803" spans="17:25">
      <c r="Q5803" s="308"/>
      <c r="R5803" s="309"/>
      <c r="S5803" s="210"/>
      <c r="T5803" s="310"/>
      <c r="U5803" s="106"/>
      <c r="V5803" s="106"/>
      <c r="W5803" s="106"/>
      <c r="X5803" s="420"/>
      <c r="Y5803" s="420"/>
    </row>
    <row r="5804" spans="17:25">
      <c r="Q5804" s="308"/>
      <c r="R5804" s="309"/>
      <c r="S5804" s="210"/>
      <c r="T5804" s="310"/>
      <c r="U5804" s="106"/>
      <c r="V5804" s="106"/>
      <c r="W5804" s="106"/>
      <c r="X5804" s="420"/>
      <c r="Y5804" s="420"/>
    </row>
    <row r="5805" spans="17:25">
      <c r="Q5805" s="308"/>
      <c r="R5805" s="309"/>
      <c r="S5805" s="210"/>
      <c r="T5805" s="310"/>
      <c r="U5805" s="106"/>
      <c r="V5805" s="106"/>
      <c r="W5805" s="106"/>
      <c r="X5805" s="420"/>
      <c r="Y5805" s="420"/>
    </row>
    <row r="5806" spans="17:25">
      <c r="Q5806" s="308"/>
      <c r="R5806" s="309"/>
      <c r="S5806" s="210"/>
      <c r="T5806" s="310"/>
      <c r="U5806" s="106"/>
      <c r="V5806" s="106"/>
      <c r="W5806" s="106"/>
      <c r="X5806" s="420"/>
      <c r="Y5806" s="420"/>
    </row>
    <row r="5807" spans="17:25">
      <c r="Q5807" s="308"/>
      <c r="R5807" s="309"/>
      <c r="S5807" s="210"/>
      <c r="T5807" s="310"/>
      <c r="U5807" s="106"/>
      <c r="V5807" s="106"/>
      <c r="W5807" s="106"/>
      <c r="X5807" s="420"/>
      <c r="Y5807" s="420"/>
    </row>
    <row r="5808" spans="17:25">
      <c r="Q5808" s="308"/>
      <c r="R5808" s="309"/>
      <c r="S5808" s="210"/>
      <c r="T5808" s="310"/>
      <c r="U5808" s="106"/>
      <c r="V5808" s="106"/>
      <c r="W5808" s="106"/>
      <c r="X5808" s="420"/>
      <c r="Y5808" s="420"/>
    </row>
    <row r="5809" spans="17:25">
      <c r="Q5809" s="308"/>
      <c r="R5809" s="309"/>
      <c r="S5809" s="210"/>
      <c r="T5809" s="310"/>
      <c r="U5809" s="106"/>
      <c r="V5809" s="106"/>
      <c r="W5809" s="106"/>
      <c r="X5809" s="420"/>
      <c r="Y5809" s="420"/>
    </row>
    <row r="5810" spans="17:25">
      <c r="Q5810" s="308"/>
      <c r="R5810" s="309"/>
      <c r="S5810" s="210"/>
      <c r="T5810" s="310"/>
      <c r="U5810" s="106"/>
      <c r="V5810" s="106"/>
      <c r="W5810" s="106"/>
      <c r="X5810" s="420"/>
      <c r="Y5810" s="420"/>
    </row>
    <row r="5811" spans="17:25">
      <c r="Q5811" s="308"/>
      <c r="R5811" s="309"/>
      <c r="S5811" s="210"/>
      <c r="T5811" s="310"/>
      <c r="U5811" s="106"/>
      <c r="V5811" s="106"/>
      <c r="W5811" s="106"/>
      <c r="X5811" s="420"/>
      <c r="Y5811" s="420"/>
    </row>
    <row r="5812" spans="17:25">
      <c r="Q5812" s="308"/>
      <c r="R5812" s="309"/>
      <c r="S5812" s="210"/>
      <c r="T5812" s="310"/>
      <c r="U5812" s="106"/>
      <c r="V5812" s="106"/>
      <c r="W5812" s="106"/>
      <c r="X5812" s="420"/>
      <c r="Y5812" s="420"/>
    </row>
    <row r="5813" spans="17:25">
      <c r="Q5813" s="308"/>
      <c r="R5813" s="309"/>
      <c r="S5813" s="210"/>
      <c r="T5813" s="310"/>
      <c r="U5813" s="106"/>
      <c r="V5813" s="106"/>
      <c r="W5813" s="106"/>
      <c r="X5813" s="420"/>
      <c r="Y5813" s="420"/>
    </row>
    <row r="5814" spans="17:25">
      <c r="Q5814" s="308"/>
      <c r="R5814" s="309"/>
      <c r="S5814" s="210"/>
      <c r="T5814" s="310"/>
      <c r="U5814" s="106"/>
      <c r="V5814" s="106"/>
      <c r="W5814" s="106"/>
      <c r="X5814" s="420"/>
      <c r="Y5814" s="420"/>
    </row>
    <row r="5815" spans="17:25">
      <c r="Q5815" s="308"/>
      <c r="R5815" s="309"/>
      <c r="S5815" s="210"/>
      <c r="T5815" s="310"/>
      <c r="U5815" s="106"/>
      <c r="V5815" s="106"/>
      <c r="W5815" s="106"/>
      <c r="X5815" s="420"/>
      <c r="Y5815" s="420"/>
    </row>
    <row r="5816" spans="17:25">
      <c r="Q5816" s="308"/>
      <c r="R5816" s="309"/>
      <c r="S5816" s="210"/>
      <c r="T5816" s="310"/>
      <c r="U5816" s="106"/>
      <c r="V5816" s="106"/>
      <c r="W5816" s="106"/>
      <c r="X5816" s="420"/>
      <c r="Y5816" s="420"/>
    </row>
    <row r="5817" spans="17:25">
      <c r="Q5817" s="308"/>
      <c r="R5817" s="309"/>
      <c r="S5817" s="210"/>
      <c r="T5817" s="310"/>
      <c r="U5817" s="106"/>
      <c r="V5817" s="106"/>
      <c r="W5817" s="106"/>
      <c r="X5817" s="420"/>
      <c r="Y5817" s="420"/>
    </row>
    <row r="5818" spans="17:25">
      <c r="Q5818" s="308"/>
      <c r="R5818" s="309"/>
      <c r="S5818" s="210"/>
      <c r="T5818" s="310"/>
      <c r="U5818" s="106"/>
      <c r="V5818" s="106"/>
      <c r="W5818" s="106"/>
      <c r="X5818" s="420"/>
      <c r="Y5818" s="420"/>
    </row>
    <row r="5819" spans="17:25">
      <c r="Q5819" s="308"/>
      <c r="R5819" s="309"/>
      <c r="S5819" s="210"/>
      <c r="T5819" s="310"/>
      <c r="U5819" s="106"/>
      <c r="V5819" s="106"/>
      <c r="W5819" s="106"/>
      <c r="X5819" s="420"/>
      <c r="Y5819" s="420"/>
    </row>
    <row r="5820" spans="17:25">
      <c r="Q5820" s="308"/>
      <c r="R5820" s="309"/>
      <c r="S5820" s="210"/>
      <c r="T5820" s="310"/>
      <c r="U5820" s="106"/>
      <c r="V5820" s="106"/>
      <c r="W5820" s="106"/>
      <c r="X5820" s="420"/>
      <c r="Y5820" s="420"/>
    </row>
    <row r="5821" spans="17:25">
      <c r="Q5821" s="308"/>
      <c r="R5821" s="309"/>
      <c r="S5821" s="210"/>
      <c r="T5821" s="310"/>
      <c r="U5821" s="106"/>
      <c r="V5821" s="106"/>
      <c r="W5821" s="106"/>
      <c r="X5821" s="420"/>
      <c r="Y5821" s="420"/>
    </row>
    <row r="5822" spans="17:25">
      <c r="Q5822" s="308"/>
      <c r="R5822" s="309"/>
      <c r="S5822" s="210"/>
      <c r="T5822" s="310"/>
      <c r="U5822" s="106"/>
      <c r="V5822" s="106"/>
      <c r="W5822" s="106"/>
      <c r="X5822" s="420"/>
      <c r="Y5822" s="420"/>
    </row>
    <row r="5823" spans="17:25">
      <c r="Q5823" s="308"/>
      <c r="R5823" s="309"/>
      <c r="S5823" s="210"/>
      <c r="T5823" s="310"/>
      <c r="U5823" s="106"/>
      <c r="V5823" s="106"/>
      <c r="W5823" s="106"/>
      <c r="X5823" s="420"/>
      <c r="Y5823" s="420"/>
    </row>
    <row r="5824" spans="17:25">
      <c r="Q5824" s="308"/>
      <c r="R5824" s="309"/>
      <c r="S5824" s="210"/>
      <c r="T5824" s="310"/>
      <c r="U5824" s="106"/>
      <c r="V5824" s="106"/>
      <c r="W5824" s="106"/>
      <c r="X5824" s="420"/>
      <c r="Y5824" s="420"/>
    </row>
    <row r="5825" spans="17:25">
      <c r="Q5825" s="308"/>
      <c r="R5825" s="309"/>
      <c r="S5825" s="210"/>
      <c r="T5825" s="310"/>
      <c r="U5825" s="106"/>
      <c r="V5825" s="106"/>
      <c r="W5825" s="106"/>
      <c r="X5825" s="420"/>
      <c r="Y5825" s="420"/>
    </row>
    <row r="5826" spans="17:25">
      <c r="Q5826" s="308"/>
      <c r="R5826" s="309"/>
      <c r="S5826" s="210"/>
      <c r="T5826" s="310"/>
      <c r="U5826" s="106"/>
      <c r="V5826" s="106"/>
      <c r="W5826" s="106"/>
      <c r="X5826" s="420"/>
      <c r="Y5826" s="420"/>
    </row>
    <row r="5827" spans="17:25">
      <c r="Q5827" s="308"/>
      <c r="R5827" s="309"/>
      <c r="S5827" s="210"/>
      <c r="T5827" s="310"/>
      <c r="U5827" s="106"/>
      <c r="V5827" s="106"/>
      <c r="W5827" s="106"/>
      <c r="X5827" s="420"/>
      <c r="Y5827" s="420"/>
    </row>
    <row r="5828" spans="17:25">
      <c r="Q5828" s="308"/>
      <c r="R5828" s="309"/>
      <c r="S5828" s="210"/>
      <c r="T5828" s="310"/>
      <c r="U5828" s="106"/>
      <c r="V5828" s="106"/>
      <c r="W5828" s="106"/>
      <c r="X5828" s="420"/>
      <c r="Y5828" s="420"/>
    </row>
    <row r="5829" spans="17:25">
      <c r="Q5829" s="308"/>
      <c r="R5829" s="309"/>
      <c r="S5829" s="210"/>
      <c r="T5829" s="310"/>
      <c r="U5829" s="106"/>
      <c r="V5829" s="106"/>
      <c r="W5829" s="106"/>
      <c r="X5829" s="420"/>
      <c r="Y5829" s="420"/>
    </row>
    <row r="5830" spans="17:25">
      <c r="Q5830" s="308"/>
      <c r="R5830" s="309"/>
      <c r="S5830" s="210"/>
      <c r="T5830" s="310"/>
      <c r="U5830" s="106"/>
      <c r="V5830" s="106"/>
      <c r="W5830" s="106"/>
      <c r="X5830" s="420"/>
      <c r="Y5830" s="420"/>
    </row>
    <row r="5831" spans="17:25">
      <c r="Q5831" s="308"/>
      <c r="R5831" s="309"/>
      <c r="S5831" s="210"/>
      <c r="T5831" s="310"/>
      <c r="U5831" s="106"/>
      <c r="V5831" s="106"/>
      <c r="W5831" s="106"/>
      <c r="X5831" s="420"/>
      <c r="Y5831" s="420"/>
    </row>
    <row r="5832" spans="17:25">
      <c r="Q5832" s="308"/>
      <c r="R5832" s="309"/>
      <c r="S5832" s="210"/>
      <c r="T5832" s="310"/>
      <c r="U5832" s="106"/>
      <c r="V5832" s="106"/>
      <c r="W5832" s="106"/>
      <c r="X5832" s="420"/>
      <c r="Y5832" s="420"/>
    </row>
    <row r="5833" spans="17:25">
      <c r="Q5833" s="308"/>
      <c r="R5833" s="309"/>
      <c r="S5833" s="210"/>
      <c r="T5833" s="310"/>
      <c r="U5833" s="106"/>
      <c r="V5833" s="106"/>
      <c r="W5833" s="106"/>
      <c r="X5833" s="420"/>
      <c r="Y5833" s="420"/>
    </row>
    <row r="5834" spans="17:25">
      <c r="Q5834" s="308"/>
      <c r="R5834" s="309"/>
      <c r="S5834" s="210"/>
      <c r="T5834" s="310"/>
      <c r="U5834" s="106"/>
      <c r="V5834" s="106"/>
      <c r="W5834" s="106"/>
      <c r="X5834" s="420"/>
      <c r="Y5834" s="420"/>
    </row>
    <row r="5835" spans="17:25">
      <c r="Q5835" s="308"/>
      <c r="R5835" s="309"/>
      <c r="S5835" s="210"/>
      <c r="T5835" s="310"/>
      <c r="U5835" s="106"/>
      <c r="V5835" s="106"/>
      <c r="W5835" s="106"/>
      <c r="X5835" s="420"/>
      <c r="Y5835" s="420"/>
    </row>
    <row r="5836" spans="17:25">
      <c r="Q5836" s="308"/>
      <c r="R5836" s="309"/>
      <c r="S5836" s="210"/>
      <c r="T5836" s="310"/>
      <c r="U5836" s="106"/>
      <c r="V5836" s="106"/>
      <c r="W5836" s="106"/>
      <c r="X5836" s="420"/>
      <c r="Y5836" s="420"/>
    </row>
    <row r="5837" spans="17:25">
      <c r="Q5837" s="308"/>
      <c r="R5837" s="309"/>
      <c r="S5837" s="210"/>
      <c r="T5837" s="310"/>
      <c r="U5837" s="106"/>
      <c r="V5837" s="106"/>
      <c r="W5837" s="106"/>
      <c r="X5837" s="420"/>
      <c r="Y5837" s="420"/>
    </row>
    <row r="5838" spans="17:25">
      <c r="Q5838" s="308"/>
      <c r="R5838" s="309"/>
      <c r="S5838" s="210"/>
      <c r="T5838" s="310"/>
      <c r="U5838" s="106"/>
      <c r="V5838" s="106"/>
      <c r="W5838" s="106"/>
      <c r="X5838" s="420"/>
      <c r="Y5838" s="420"/>
    </row>
    <row r="5839" spans="17:25">
      <c r="Q5839" s="308"/>
      <c r="R5839" s="309"/>
      <c r="S5839" s="210"/>
      <c r="T5839" s="310"/>
      <c r="U5839" s="106"/>
      <c r="V5839" s="106"/>
      <c r="W5839" s="106"/>
      <c r="X5839" s="420"/>
      <c r="Y5839" s="420"/>
    </row>
    <row r="5840" spans="17:25">
      <c r="Q5840" s="308"/>
      <c r="R5840" s="309"/>
      <c r="S5840" s="210"/>
      <c r="T5840" s="310"/>
      <c r="U5840" s="106"/>
      <c r="V5840" s="106"/>
      <c r="W5840" s="106"/>
      <c r="X5840" s="420"/>
      <c r="Y5840" s="420"/>
    </row>
    <row r="5841" spans="17:25">
      <c r="Q5841" s="308"/>
      <c r="R5841" s="309"/>
      <c r="S5841" s="210"/>
      <c r="T5841" s="310"/>
      <c r="U5841" s="106"/>
      <c r="V5841" s="106"/>
      <c r="W5841" s="106"/>
      <c r="X5841" s="420"/>
      <c r="Y5841" s="420"/>
    </row>
    <row r="5842" spans="17:25">
      <c r="Q5842" s="308"/>
      <c r="R5842" s="309"/>
      <c r="S5842" s="210"/>
      <c r="T5842" s="310"/>
      <c r="U5842" s="106"/>
      <c r="V5842" s="106"/>
      <c r="W5842" s="106"/>
      <c r="X5842" s="420"/>
      <c r="Y5842" s="420"/>
    </row>
    <row r="5843" spans="17:25">
      <c r="Q5843" s="308"/>
      <c r="R5843" s="309"/>
      <c r="S5843" s="210"/>
      <c r="T5843" s="310"/>
      <c r="U5843" s="106"/>
      <c r="V5843" s="106"/>
      <c r="W5843" s="106"/>
      <c r="X5843" s="420"/>
      <c r="Y5843" s="420"/>
    </row>
    <row r="5844" spans="17:25">
      <c r="Q5844" s="308"/>
      <c r="R5844" s="309"/>
      <c r="S5844" s="210"/>
      <c r="T5844" s="310"/>
      <c r="U5844" s="106"/>
      <c r="V5844" s="106"/>
      <c r="W5844" s="106"/>
      <c r="X5844" s="420"/>
      <c r="Y5844" s="420"/>
    </row>
    <row r="5845" spans="17:25">
      <c r="Q5845" s="308"/>
      <c r="R5845" s="309"/>
      <c r="S5845" s="210"/>
      <c r="T5845" s="310"/>
      <c r="U5845" s="106"/>
      <c r="V5845" s="106"/>
      <c r="W5845" s="106"/>
      <c r="X5845" s="420"/>
      <c r="Y5845" s="420"/>
    </row>
    <row r="5846" spans="17:25">
      <c r="Q5846" s="308"/>
      <c r="R5846" s="309"/>
      <c r="S5846" s="210"/>
      <c r="T5846" s="310"/>
      <c r="U5846" s="106"/>
      <c r="V5846" s="106"/>
      <c r="W5846" s="106"/>
      <c r="X5846" s="420"/>
      <c r="Y5846" s="420"/>
    </row>
    <row r="5847" spans="17:25">
      <c r="Q5847" s="308"/>
      <c r="R5847" s="309"/>
      <c r="S5847" s="210"/>
      <c r="T5847" s="310"/>
      <c r="U5847" s="106"/>
      <c r="V5847" s="106"/>
      <c r="W5847" s="106"/>
      <c r="X5847" s="420"/>
      <c r="Y5847" s="420"/>
    </row>
    <row r="5848" spans="17:25">
      <c r="Q5848" s="308"/>
      <c r="R5848" s="309"/>
      <c r="S5848" s="210"/>
      <c r="T5848" s="310"/>
      <c r="U5848" s="106"/>
      <c r="V5848" s="106"/>
      <c r="W5848" s="106"/>
      <c r="X5848" s="420"/>
      <c r="Y5848" s="420"/>
    </row>
    <row r="5849" spans="17:25">
      <c r="Q5849" s="308"/>
      <c r="R5849" s="309"/>
      <c r="S5849" s="210"/>
      <c r="T5849" s="310"/>
      <c r="U5849" s="106"/>
      <c r="V5849" s="106"/>
      <c r="W5849" s="106"/>
      <c r="X5849" s="420"/>
      <c r="Y5849" s="420"/>
    </row>
    <row r="5850" spans="17:25">
      <c r="Q5850" s="308"/>
      <c r="R5850" s="309"/>
      <c r="S5850" s="210"/>
      <c r="T5850" s="310"/>
      <c r="U5850" s="106"/>
      <c r="V5850" s="106"/>
      <c r="W5850" s="106"/>
      <c r="X5850" s="420"/>
      <c r="Y5850" s="420"/>
    </row>
    <row r="5851" spans="17:25">
      <c r="Q5851" s="308"/>
      <c r="R5851" s="309"/>
      <c r="S5851" s="210"/>
      <c r="T5851" s="310"/>
      <c r="U5851" s="106"/>
      <c r="V5851" s="106"/>
      <c r="W5851" s="106"/>
      <c r="X5851" s="420"/>
      <c r="Y5851" s="420"/>
    </row>
    <row r="5852" spans="17:25">
      <c r="Q5852" s="308"/>
      <c r="R5852" s="309"/>
      <c r="S5852" s="210"/>
      <c r="T5852" s="310"/>
      <c r="U5852" s="106"/>
      <c r="V5852" s="106"/>
      <c r="W5852" s="106"/>
      <c r="X5852" s="420"/>
      <c r="Y5852" s="420"/>
    </row>
    <row r="5853" spans="17:25">
      <c r="Q5853" s="308"/>
      <c r="R5853" s="309"/>
      <c r="S5853" s="210"/>
      <c r="T5853" s="310"/>
      <c r="U5853" s="106"/>
      <c r="V5853" s="106"/>
      <c r="W5853" s="106"/>
      <c r="X5853" s="420"/>
      <c r="Y5853" s="420"/>
    </row>
    <row r="5854" spans="17:25">
      <c r="Q5854" s="308"/>
      <c r="R5854" s="309"/>
      <c r="S5854" s="210"/>
      <c r="T5854" s="310"/>
      <c r="U5854" s="106"/>
      <c r="V5854" s="106"/>
      <c r="W5854" s="106"/>
      <c r="X5854" s="420"/>
      <c r="Y5854" s="420"/>
    </row>
    <row r="5855" spans="17:25">
      <c r="Q5855" s="308"/>
      <c r="R5855" s="309"/>
      <c r="S5855" s="210"/>
      <c r="T5855" s="310"/>
      <c r="U5855" s="106"/>
      <c r="V5855" s="106"/>
      <c r="W5855" s="106"/>
      <c r="X5855" s="420"/>
      <c r="Y5855" s="420"/>
    </row>
    <row r="5856" spans="17:25">
      <c r="Q5856" s="308"/>
      <c r="R5856" s="309"/>
      <c r="S5856" s="210"/>
      <c r="T5856" s="310"/>
      <c r="U5856" s="106"/>
      <c r="V5856" s="106"/>
      <c r="W5856" s="106"/>
      <c r="X5856" s="420"/>
      <c r="Y5856" s="420"/>
    </row>
    <row r="5857" spans="17:25">
      <c r="Q5857" s="308"/>
      <c r="R5857" s="309"/>
      <c r="S5857" s="210"/>
      <c r="T5857" s="310"/>
      <c r="U5857" s="106"/>
      <c r="V5857" s="106"/>
      <c r="W5857" s="106"/>
      <c r="X5857" s="420"/>
      <c r="Y5857" s="420"/>
    </row>
    <row r="5858" spans="17:25">
      <c r="Q5858" s="308"/>
      <c r="R5858" s="309"/>
      <c r="S5858" s="210"/>
      <c r="T5858" s="310"/>
      <c r="U5858" s="106"/>
      <c r="V5858" s="106"/>
      <c r="W5858" s="106"/>
      <c r="X5858" s="420"/>
      <c r="Y5858" s="420"/>
    </row>
    <row r="5859" spans="17:25">
      <c r="Q5859" s="308"/>
      <c r="R5859" s="309"/>
      <c r="S5859" s="210"/>
      <c r="T5859" s="310"/>
      <c r="U5859" s="106"/>
      <c r="V5859" s="106"/>
      <c r="W5859" s="106"/>
      <c r="X5859" s="420"/>
      <c r="Y5859" s="420"/>
    </row>
    <row r="5860" spans="17:25">
      <c r="Q5860" s="308"/>
      <c r="R5860" s="309"/>
      <c r="S5860" s="210"/>
      <c r="T5860" s="310"/>
      <c r="U5860" s="106"/>
      <c r="V5860" s="106"/>
      <c r="W5860" s="106"/>
      <c r="X5860" s="420"/>
      <c r="Y5860" s="420"/>
    </row>
    <row r="5861" spans="17:25">
      <c r="Q5861" s="308"/>
      <c r="R5861" s="309"/>
      <c r="S5861" s="210"/>
      <c r="T5861" s="310"/>
      <c r="U5861" s="106"/>
      <c r="V5861" s="106"/>
      <c r="W5861" s="106"/>
      <c r="X5861" s="420"/>
      <c r="Y5861" s="420"/>
    </row>
    <row r="5862" spans="17:25">
      <c r="Q5862" s="308"/>
      <c r="R5862" s="309"/>
      <c r="S5862" s="210"/>
      <c r="T5862" s="310"/>
      <c r="U5862" s="106"/>
      <c r="V5862" s="106"/>
      <c r="W5862" s="106"/>
      <c r="X5862" s="420"/>
      <c r="Y5862" s="420"/>
    </row>
    <row r="5863" spans="17:25">
      <c r="Q5863" s="308"/>
      <c r="R5863" s="309"/>
      <c r="S5863" s="210"/>
      <c r="T5863" s="310"/>
      <c r="U5863" s="106"/>
      <c r="V5863" s="106"/>
      <c r="W5863" s="106"/>
      <c r="X5863" s="420"/>
      <c r="Y5863" s="420"/>
    </row>
    <row r="5864" spans="17:25">
      <c r="Q5864" s="308"/>
      <c r="R5864" s="309"/>
      <c r="S5864" s="210"/>
      <c r="T5864" s="310"/>
      <c r="U5864" s="106"/>
      <c r="V5864" s="106"/>
      <c r="W5864" s="106"/>
      <c r="X5864" s="420"/>
      <c r="Y5864" s="420"/>
    </row>
    <row r="5865" spans="17:25">
      <c r="Q5865" s="308"/>
      <c r="R5865" s="309"/>
      <c r="S5865" s="210"/>
      <c r="T5865" s="310"/>
      <c r="U5865" s="106"/>
      <c r="V5865" s="106"/>
      <c r="W5865" s="106"/>
      <c r="X5865" s="420"/>
      <c r="Y5865" s="420"/>
    </row>
    <row r="5866" spans="17:25">
      <c r="Q5866" s="308"/>
      <c r="R5866" s="309"/>
      <c r="S5866" s="210"/>
      <c r="T5866" s="310"/>
      <c r="U5866" s="106"/>
      <c r="V5866" s="106"/>
      <c r="W5866" s="106"/>
      <c r="X5866" s="420"/>
      <c r="Y5866" s="420"/>
    </row>
    <row r="5867" spans="17:25">
      <c r="Q5867" s="308"/>
      <c r="R5867" s="309"/>
      <c r="S5867" s="210"/>
      <c r="T5867" s="310"/>
      <c r="U5867" s="106"/>
      <c r="V5867" s="106"/>
      <c r="W5867" s="106"/>
      <c r="X5867" s="420"/>
      <c r="Y5867" s="420"/>
    </row>
    <row r="5868" spans="17:25">
      <c r="Q5868" s="308"/>
      <c r="R5868" s="309"/>
      <c r="S5868" s="210"/>
      <c r="T5868" s="310"/>
      <c r="U5868" s="106"/>
      <c r="V5868" s="106"/>
      <c r="W5868" s="106"/>
      <c r="X5868" s="420"/>
      <c r="Y5868" s="420"/>
    </row>
    <row r="5869" spans="17:25">
      <c r="Q5869" s="308"/>
      <c r="R5869" s="309"/>
      <c r="S5869" s="210"/>
      <c r="T5869" s="310"/>
      <c r="U5869" s="106"/>
      <c r="V5869" s="106"/>
      <c r="W5869" s="106"/>
      <c r="X5869" s="420"/>
      <c r="Y5869" s="420"/>
    </row>
    <row r="5870" spans="17:25">
      <c r="Q5870" s="308"/>
      <c r="R5870" s="309"/>
      <c r="S5870" s="210"/>
      <c r="T5870" s="310"/>
      <c r="U5870" s="106"/>
      <c r="V5870" s="106"/>
      <c r="W5870" s="106"/>
      <c r="X5870" s="420"/>
      <c r="Y5870" s="420"/>
    </row>
    <row r="5871" spans="17:25">
      <c r="Q5871" s="308"/>
      <c r="R5871" s="309"/>
      <c r="S5871" s="210"/>
      <c r="T5871" s="310"/>
      <c r="U5871" s="106"/>
      <c r="V5871" s="106"/>
      <c r="W5871" s="106"/>
      <c r="X5871" s="420"/>
      <c r="Y5871" s="420"/>
    </row>
    <row r="5872" spans="17:25">
      <c r="Q5872" s="308"/>
      <c r="R5872" s="309"/>
      <c r="S5872" s="210"/>
      <c r="T5872" s="310"/>
      <c r="U5872" s="106"/>
      <c r="V5872" s="106"/>
      <c r="W5872" s="106"/>
      <c r="X5872" s="420"/>
      <c r="Y5872" s="420"/>
    </row>
    <row r="5873" spans="17:25">
      <c r="Q5873" s="308"/>
      <c r="R5873" s="309"/>
      <c r="S5873" s="210"/>
      <c r="T5873" s="310"/>
      <c r="U5873" s="106"/>
      <c r="V5873" s="106"/>
      <c r="W5873" s="106"/>
      <c r="X5873" s="420"/>
      <c r="Y5873" s="420"/>
    </row>
    <row r="5874" spans="17:25">
      <c r="Q5874" s="308"/>
      <c r="R5874" s="309"/>
      <c r="S5874" s="210"/>
      <c r="T5874" s="310"/>
      <c r="U5874" s="106"/>
      <c r="V5874" s="106"/>
      <c r="W5874" s="106"/>
      <c r="X5874" s="420"/>
      <c r="Y5874" s="420"/>
    </row>
    <row r="5875" spans="17:25">
      <c r="Q5875" s="308"/>
      <c r="R5875" s="309"/>
      <c r="S5875" s="210"/>
      <c r="T5875" s="310"/>
      <c r="U5875" s="106"/>
      <c r="V5875" s="106"/>
      <c r="W5875" s="106"/>
      <c r="X5875" s="420"/>
      <c r="Y5875" s="420"/>
    </row>
    <row r="5876" spans="17:25">
      <c r="Q5876" s="308"/>
      <c r="R5876" s="309"/>
      <c r="S5876" s="210"/>
      <c r="T5876" s="310"/>
      <c r="U5876" s="106"/>
      <c r="V5876" s="106"/>
      <c r="W5876" s="106"/>
      <c r="X5876" s="420"/>
      <c r="Y5876" s="420"/>
    </row>
    <row r="5877" spans="17:25">
      <c r="Q5877" s="308"/>
      <c r="R5877" s="309"/>
      <c r="S5877" s="210"/>
      <c r="T5877" s="310"/>
      <c r="U5877" s="106"/>
      <c r="V5877" s="106"/>
      <c r="W5877" s="106"/>
      <c r="X5877" s="420"/>
      <c r="Y5877" s="420"/>
    </row>
    <row r="5878" spans="17:25">
      <c r="Q5878" s="308"/>
      <c r="R5878" s="309"/>
      <c r="S5878" s="210"/>
      <c r="T5878" s="310"/>
      <c r="U5878" s="106"/>
      <c r="V5878" s="106"/>
      <c r="W5878" s="106"/>
      <c r="X5878" s="420"/>
      <c r="Y5878" s="420"/>
    </row>
    <row r="5879" spans="17:25">
      <c r="Q5879" s="308"/>
      <c r="R5879" s="309"/>
      <c r="S5879" s="210"/>
      <c r="T5879" s="310"/>
      <c r="U5879" s="106"/>
      <c r="V5879" s="106"/>
      <c r="W5879" s="106"/>
      <c r="X5879" s="420"/>
      <c r="Y5879" s="420"/>
    </row>
    <row r="5880" spans="17:25">
      <c r="Q5880" s="308"/>
      <c r="R5880" s="309"/>
      <c r="S5880" s="210"/>
      <c r="T5880" s="310"/>
      <c r="U5880" s="106"/>
      <c r="V5880" s="106"/>
      <c r="W5880" s="106"/>
      <c r="X5880" s="420"/>
      <c r="Y5880" s="420"/>
    </row>
    <row r="5881" spans="17:25">
      <c r="Q5881" s="308"/>
      <c r="R5881" s="309"/>
      <c r="S5881" s="210"/>
      <c r="T5881" s="310"/>
      <c r="U5881" s="106"/>
      <c r="V5881" s="106"/>
      <c r="W5881" s="106"/>
      <c r="X5881" s="420"/>
      <c r="Y5881" s="420"/>
    </row>
    <row r="5882" spans="17:25">
      <c r="Q5882" s="308"/>
      <c r="R5882" s="309"/>
      <c r="S5882" s="210"/>
      <c r="T5882" s="310"/>
      <c r="U5882" s="106"/>
      <c r="V5882" s="106"/>
      <c r="W5882" s="106"/>
      <c r="X5882" s="420"/>
      <c r="Y5882" s="420"/>
    </row>
    <row r="5883" spans="17:25">
      <c r="Q5883" s="308"/>
      <c r="R5883" s="309"/>
      <c r="S5883" s="210"/>
      <c r="T5883" s="310"/>
      <c r="U5883" s="106"/>
      <c r="V5883" s="106"/>
      <c r="W5883" s="106"/>
      <c r="X5883" s="420"/>
      <c r="Y5883" s="420"/>
    </row>
    <row r="5884" spans="17:25">
      <c r="Q5884" s="308"/>
      <c r="R5884" s="309"/>
      <c r="S5884" s="210"/>
      <c r="T5884" s="310"/>
      <c r="U5884" s="106"/>
      <c r="V5884" s="106"/>
      <c r="W5884" s="106"/>
      <c r="X5884" s="420"/>
      <c r="Y5884" s="420"/>
    </row>
    <row r="5885" spans="17:25">
      <c r="Q5885" s="308"/>
      <c r="R5885" s="309"/>
      <c r="S5885" s="210"/>
      <c r="T5885" s="310"/>
      <c r="U5885" s="106"/>
      <c r="V5885" s="106"/>
      <c r="W5885" s="106"/>
      <c r="X5885" s="420"/>
      <c r="Y5885" s="420"/>
    </row>
    <row r="5886" spans="17:25">
      <c r="Q5886" s="308"/>
      <c r="R5886" s="309"/>
      <c r="S5886" s="210"/>
      <c r="T5886" s="310"/>
      <c r="U5886" s="106"/>
      <c r="V5886" s="106"/>
      <c r="W5886" s="106"/>
      <c r="X5886" s="420"/>
      <c r="Y5886" s="420"/>
    </row>
    <row r="5887" spans="17:25">
      <c r="Q5887" s="308"/>
      <c r="R5887" s="309"/>
      <c r="S5887" s="210"/>
      <c r="T5887" s="310"/>
      <c r="U5887" s="106"/>
      <c r="V5887" s="106"/>
      <c r="W5887" s="106"/>
      <c r="X5887" s="420"/>
      <c r="Y5887" s="420"/>
    </row>
    <row r="5888" spans="17:25">
      <c r="Q5888" s="308"/>
      <c r="R5888" s="309"/>
      <c r="S5888" s="210"/>
      <c r="T5888" s="310"/>
      <c r="U5888" s="106"/>
      <c r="V5888" s="106"/>
      <c r="W5888" s="106"/>
      <c r="X5888" s="420"/>
      <c r="Y5888" s="420"/>
    </row>
    <row r="5889" spans="17:25">
      <c r="Q5889" s="308"/>
      <c r="R5889" s="309"/>
      <c r="S5889" s="210"/>
      <c r="T5889" s="310"/>
      <c r="U5889" s="106"/>
      <c r="V5889" s="106"/>
      <c r="W5889" s="106"/>
      <c r="X5889" s="420"/>
      <c r="Y5889" s="420"/>
    </row>
    <row r="5890" spans="17:25">
      <c r="Q5890" s="308"/>
      <c r="R5890" s="309"/>
      <c r="S5890" s="210"/>
      <c r="T5890" s="310"/>
      <c r="U5890" s="106"/>
      <c r="V5890" s="106"/>
      <c r="W5890" s="106"/>
      <c r="X5890" s="420"/>
      <c r="Y5890" s="420"/>
    </row>
    <row r="5891" spans="17:25">
      <c r="Q5891" s="308"/>
      <c r="R5891" s="309"/>
      <c r="S5891" s="210"/>
      <c r="T5891" s="310"/>
      <c r="U5891" s="106"/>
      <c r="V5891" s="106"/>
      <c r="W5891" s="106"/>
      <c r="X5891" s="420"/>
      <c r="Y5891" s="420"/>
    </row>
    <row r="5892" spans="17:25">
      <c r="Q5892" s="308"/>
      <c r="R5892" s="309"/>
      <c r="S5892" s="210"/>
      <c r="T5892" s="310"/>
      <c r="U5892" s="106"/>
      <c r="V5892" s="106"/>
      <c r="W5892" s="106"/>
      <c r="X5892" s="420"/>
      <c r="Y5892" s="420"/>
    </row>
    <row r="5893" spans="17:25">
      <c r="Q5893" s="308"/>
      <c r="R5893" s="309"/>
      <c r="S5893" s="210"/>
      <c r="T5893" s="310"/>
      <c r="U5893" s="106"/>
      <c r="V5893" s="106"/>
      <c r="W5893" s="106"/>
      <c r="X5893" s="420"/>
      <c r="Y5893" s="420"/>
    </row>
    <row r="5894" spans="17:25">
      <c r="Q5894" s="308"/>
      <c r="R5894" s="309"/>
      <c r="S5894" s="210"/>
      <c r="T5894" s="310"/>
      <c r="U5894" s="106"/>
      <c r="V5894" s="106"/>
      <c r="W5894" s="106"/>
      <c r="X5894" s="420"/>
      <c r="Y5894" s="420"/>
    </row>
    <row r="5895" spans="17:25">
      <c r="Q5895" s="308"/>
      <c r="R5895" s="309"/>
      <c r="S5895" s="210"/>
      <c r="T5895" s="310"/>
      <c r="U5895" s="106"/>
      <c r="V5895" s="106"/>
      <c r="W5895" s="106"/>
      <c r="X5895" s="420"/>
      <c r="Y5895" s="420"/>
    </row>
    <row r="5896" spans="17:25">
      <c r="Q5896" s="308"/>
      <c r="R5896" s="309"/>
      <c r="S5896" s="210"/>
      <c r="T5896" s="310"/>
      <c r="U5896" s="106"/>
      <c r="V5896" s="106"/>
      <c r="W5896" s="106"/>
      <c r="X5896" s="420"/>
      <c r="Y5896" s="420"/>
    </row>
    <row r="5897" spans="17:25">
      <c r="Q5897" s="308"/>
      <c r="R5897" s="309"/>
      <c r="S5897" s="210"/>
      <c r="T5897" s="310"/>
      <c r="U5897" s="106"/>
      <c r="V5897" s="106"/>
      <c r="W5897" s="106"/>
      <c r="X5897" s="420"/>
      <c r="Y5897" s="420"/>
    </row>
    <row r="5898" spans="17:25">
      <c r="Q5898" s="308"/>
      <c r="R5898" s="309"/>
      <c r="S5898" s="210"/>
      <c r="T5898" s="310"/>
      <c r="U5898" s="106"/>
      <c r="V5898" s="106"/>
      <c r="W5898" s="106"/>
      <c r="X5898" s="420"/>
      <c r="Y5898" s="420"/>
    </row>
    <row r="5899" spans="17:25">
      <c r="Q5899" s="308"/>
      <c r="R5899" s="309"/>
      <c r="S5899" s="210"/>
      <c r="T5899" s="310"/>
      <c r="U5899" s="106"/>
      <c r="V5899" s="106"/>
      <c r="W5899" s="106"/>
      <c r="X5899" s="420"/>
      <c r="Y5899" s="420"/>
    </row>
    <row r="5900" spans="17:25">
      <c r="Q5900" s="308"/>
      <c r="R5900" s="309"/>
      <c r="S5900" s="210"/>
      <c r="T5900" s="310"/>
      <c r="U5900" s="106"/>
      <c r="V5900" s="106"/>
      <c r="W5900" s="106"/>
      <c r="X5900" s="420"/>
      <c r="Y5900" s="420"/>
    </row>
    <row r="5901" spans="17:25">
      <c r="Q5901" s="308"/>
      <c r="R5901" s="309"/>
      <c r="S5901" s="210"/>
      <c r="T5901" s="310"/>
      <c r="U5901" s="106"/>
      <c r="V5901" s="106"/>
      <c r="W5901" s="106"/>
      <c r="X5901" s="420"/>
      <c r="Y5901" s="420"/>
    </row>
    <row r="5902" spans="17:25">
      <c r="Q5902" s="308"/>
      <c r="R5902" s="309"/>
      <c r="S5902" s="210"/>
      <c r="T5902" s="310"/>
      <c r="U5902" s="106"/>
      <c r="V5902" s="106"/>
      <c r="W5902" s="106"/>
      <c r="X5902" s="420"/>
      <c r="Y5902" s="420"/>
    </row>
    <row r="5903" spans="17:25">
      <c r="Q5903" s="308"/>
      <c r="R5903" s="309"/>
      <c r="S5903" s="210"/>
      <c r="T5903" s="310"/>
      <c r="U5903" s="106"/>
      <c r="V5903" s="106"/>
      <c r="W5903" s="106"/>
      <c r="X5903" s="420"/>
      <c r="Y5903" s="420"/>
    </row>
    <row r="5904" spans="17:25">
      <c r="Q5904" s="308"/>
      <c r="R5904" s="309"/>
      <c r="S5904" s="210"/>
      <c r="T5904" s="310"/>
      <c r="U5904" s="106"/>
      <c r="V5904" s="106"/>
      <c r="W5904" s="106"/>
      <c r="X5904" s="420"/>
      <c r="Y5904" s="420"/>
    </row>
    <row r="5905" spans="17:25">
      <c r="Q5905" s="308"/>
      <c r="R5905" s="309"/>
      <c r="S5905" s="210"/>
      <c r="T5905" s="310"/>
      <c r="U5905" s="106"/>
      <c r="V5905" s="106"/>
      <c r="W5905" s="106"/>
      <c r="X5905" s="420"/>
      <c r="Y5905" s="420"/>
    </row>
    <row r="5906" spans="17:25">
      <c r="Q5906" s="308"/>
      <c r="R5906" s="309"/>
      <c r="S5906" s="210"/>
      <c r="T5906" s="310"/>
      <c r="U5906" s="106"/>
      <c r="V5906" s="106"/>
      <c r="W5906" s="106"/>
      <c r="X5906" s="420"/>
      <c r="Y5906" s="420"/>
    </row>
    <row r="5907" spans="17:25">
      <c r="Q5907" s="308"/>
      <c r="R5907" s="309"/>
      <c r="S5907" s="210"/>
      <c r="T5907" s="310"/>
      <c r="U5907" s="106"/>
      <c r="V5907" s="106"/>
      <c r="W5907" s="106"/>
      <c r="X5907" s="420"/>
      <c r="Y5907" s="420"/>
    </row>
    <row r="5908" spans="17:25">
      <c r="Q5908" s="308"/>
      <c r="R5908" s="309"/>
      <c r="S5908" s="210"/>
      <c r="T5908" s="310"/>
      <c r="U5908" s="106"/>
      <c r="V5908" s="106"/>
      <c r="W5908" s="106"/>
      <c r="X5908" s="420"/>
      <c r="Y5908" s="420"/>
    </row>
    <row r="5909" spans="17:25">
      <c r="Q5909" s="308"/>
      <c r="R5909" s="309"/>
      <c r="S5909" s="210"/>
      <c r="T5909" s="310"/>
      <c r="U5909" s="106"/>
      <c r="V5909" s="106"/>
      <c r="W5909" s="106"/>
      <c r="X5909" s="420"/>
      <c r="Y5909" s="420"/>
    </row>
    <row r="5910" spans="17:25">
      <c r="Q5910" s="308"/>
      <c r="R5910" s="309"/>
      <c r="S5910" s="210"/>
      <c r="T5910" s="310"/>
      <c r="U5910" s="106"/>
      <c r="V5910" s="106"/>
      <c r="W5910" s="106"/>
      <c r="X5910" s="420"/>
      <c r="Y5910" s="420"/>
    </row>
    <row r="5911" spans="17:25">
      <c r="Q5911" s="308"/>
      <c r="R5911" s="309"/>
      <c r="S5911" s="210"/>
      <c r="T5911" s="310"/>
      <c r="U5911" s="106"/>
      <c r="V5911" s="106"/>
      <c r="W5911" s="106"/>
      <c r="X5911" s="420"/>
      <c r="Y5911" s="420"/>
    </row>
    <row r="5912" spans="17:25">
      <c r="Q5912" s="308"/>
      <c r="R5912" s="309"/>
      <c r="S5912" s="210"/>
      <c r="T5912" s="310"/>
      <c r="U5912" s="106"/>
      <c r="V5912" s="106"/>
      <c r="W5912" s="106"/>
      <c r="X5912" s="420"/>
      <c r="Y5912" s="420"/>
    </row>
    <row r="5913" spans="17:25">
      <c r="Q5913" s="308"/>
      <c r="R5913" s="309"/>
      <c r="S5913" s="210"/>
      <c r="T5913" s="310"/>
      <c r="U5913" s="106"/>
      <c r="V5913" s="106"/>
      <c r="W5913" s="106"/>
      <c r="X5913" s="420"/>
      <c r="Y5913" s="420"/>
    </row>
    <row r="5914" spans="17:25">
      <c r="Q5914" s="308"/>
      <c r="R5914" s="309"/>
      <c r="S5914" s="210"/>
      <c r="T5914" s="310"/>
      <c r="U5914" s="106"/>
      <c r="V5914" s="106"/>
      <c r="W5914" s="106"/>
      <c r="X5914" s="420"/>
      <c r="Y5914" s="420"/>
    </row>
    <row r="5915" spans="17:25">
      <c r="Q5915" s="308"/>
      <c r="R5915" s="309"/>
      <c r="S5915" s="210"/>
      <c r="T5915" s="310"/>
      <c r="U5915" s="106"/>
      <c r="V5915" s="106"/>
      <c r="W5915" s="106"/>
      <c r="X5915" s="420"/>
      <c r="Y5915" s="420"/>
    </row>
    <row r="5916" spans="17:25">
      <c r="Q5916" s="308"/>
      <c r="R5916" s="309"/>
      <c r="S5916" s="210"/>
      <c r="T5916" s="310"/>
      <c r="U5916" s="106"/>
      <c r="V5916" s="106"/>
      <c r="W5916" s="106"/>
      <c r="X5916" s="420"/>
      <c r="Y5916" s="420"/>
    </row>
    <row r="5917" spans="17:25">
      <c r="Q5917" s="308"/>
      <c r="R5917" s="309"/>
      <c r="S5917" s="210"/>
      <c r="T5917" s="310"/>
      <c r="U5917" s="106"/>
      <c r="V5917" s="106"/>
      <c r="W5917" s="106"/>
      <c r="X5917" s="420"/>
      <c r="Y5917" s="420"/>
    </row>
    <row r="5918" spans="17:25">
      <c r="Q5918" s="308"/>
      <c r="R5918" s="309"/>
      <c r="S5918" s="210"/>
      <c r="T5918" s="310"/>
      <c r="U5918" s="106"/>
      <c r="V5918" s="106"/>
      <c r="W5918" s="106"/>
      <c r="X5918" s="420"/>
      <c r="Y5918" s="420"/>
    </row>
    <row r="5919" spans="17:25">
      <c r="Q5919" s="308"/>
      <c r="R5919" s="309"/>
      <c r="S5919" s="210"/>
      <c r="T5919" s="310"/>
      <c r="U5919" s="106"/>
      <c r="V5919" s="106"/>
      <c r="W5919" s="106"/>
      <c r="X5919" s="420"/>
      <c r="Y5919" s="420"/>
    </row>
    <row r="5920" spans="17:25">
      <c r="Q5920" s="308"/>
      <c r="R5920" s="309"/>
      <c r="S5920" s="210"/>
      <c r="T5920" s="310"/>
      <c r="U5920" s="106"/>
      <c r="V5920" s="106"/>
      <c r="W5920" s="106"/>
      <c r="X5920" s="420"/>
      <c r="Y5920" s="420"/>
    </row>
    <row r="5921" spans="17:25">
      <c r="Q5921" s="308"/>
      <c r="R5921" s="309"/>
      <c r="S5921" s="210"/>
      <c r="T5921" s="310"/>
      <c r="U5921" s="106"/>
      <c r="V5921" s="106"/>
      <c r="W5921" s="106"/>
      <c r="X5921" s="420"/>
      <c r="Y5921" s="420"/>
    </row>
    <row r="5922" spans="17:25">
      <c r="Q5922" s="308"/>
      <c r="R5922" s="309"/>
      <c r="S5922" s="210"/>
      <c r="T5922" s="310"/>
      <c r="U5922" s="106"/>
      <c r="V5922" s="106"/>
      <c r="W5922" s="106"/>
      <c r="X5922" s="420"/>
      <c r="Y5922" s="420"/>
    </row>
    <row r="5923" spans="17:25">
      <c r="Q5923" s="308"/>
      <c r="R5923" s="309"/>
      <c r="S5923" s="210"/>
      <c r="T5923" s="310"/>
      <c r="U5923" s="106"/>
      <c r="V5923" s="106"/>
      <c r="W5923" s="106"/>
      <c r="X5923" s="420"/>
      <c r="Y5923" s="420"/>
    </row>
    <row r="5924" spans="17:25">
      <c r="Q5924" s="308"/>
      <c r="R5924" s="309"/>
      <c r="S5924" s="210"/>
      <c r="T5924" s="310"/>
      <c r="U5924" s="106"/>
      <c r="V5924" s="106"/>
      <c r="W5924" s="106"/>
      <c r="X5924" s="420"/>
      <c r="Y5924" s="420"/>
    </row>
    <row r="5925" spans="17:25">
      <c r="Q5925" s="308"/>
      <c r="R5925" s="309"/>
      <c r="S5925" s="210"/>
      <c r="T5925" s="310"/>
      <c r="U5925" s="106"/>
      <c r="V5925" s="106"/>
      <c r="W5925" s="106"/>
      <c r="X5925" s="420"/>
      <c r="Y5925" s="420"/>
    </row>
    <row r="5926" spans="17:25">
      <c r="Q5926" s="308"/>
      <c r="R5926" s="309"/>
      <c r="S5926" s="210"/>
      <c r="T5926" s="310"/>
      <c r="U5926" s="106"/>
      <c r="V5926" s="106"/>
      <c r="W5926" s="106"/>
      <c r="X5926" s="420"/>
      <c r="Y5926" s="420"/>
    </row>
    <row r="5927" spans="17:25">
      <c r="Q5927" s="308"/>
      <c r="R5927" s="309"/>
      <c r="S5927" s="210"/>
      <c r="T5927" s="310"/>
      <c r="U5927" s="106"/>
      <c r="V5927" s="106"/>
      <c r="W5927" s="106"/>
      <c r="X5927" s="420"/>
      <c r="Y5927" s="420"/>
    </row>
    <row r="5928" spans="17:25">
      <c r="Q5928" s="308"/>
      <c r="R5928" s="309"/>
      <c r="S5928" s="210"/>
      <c r="T5928" s="310"/>
      <c r="U5928" s="106"/>
      <c r="V5928" s="106"/>
      <c r="W5928" s="106"/>
      <c r="X5928" s="420"/>
      <c r="Y5928" s="420"/>
    </row>
    <row r="5929" spans="17:25">
      <c r="Q5929" s="308"/>
      <c r="R5929" s="309"/>
      <c r="S5929" s="210"/>
      <c r="T5929" s="310"/>
      <c r="U5929" s="106"/>
      <c r="V5929" s="106"/>
      <c r="W5929" s="106"/>
      <c r="X5929" s="420"/>
      <c r="Y5929" s="420"/>
    </row>
    <row r="5930" spans="17:25">
      <c r="Q5930" s="308"/>
      <c r="R5930" s="309"/>
      <c r="S5930" s="210"/>
      <c r="T5930" s="310"/>
      <c r="U5930" s="106"/>
      <c r="V5930" s="106"/>
      <c r="W5930" s="106"/>
      <c r="X5930" s="420"/>
      <c r="Y5930" s="420"/>
    </row>
    <row r="5931" spans="17:25">
      <c r="Q5931" s="308"/>
      <c r="R5931" s="309"/>
      <c r="S5931" s="210"/>
      <c r="T5931" s="310"/>
      <c r="U5931" s="106"/>
      <c r="V5931" s="106"/>
      <c r="W5931" s="106"/>
      <c r="X5931" s="420"/>
      <c r="Y5931" s="420"/>
    </row>
    <row r="5932" spans="17:25">
      <c r="Q5932" s="308"/>
      <c r="R5932" s="309"/>
      <c r="S5932" s="210"/>
      <c r="T5932" s="310"/>
      <c r="U5932" s="106"/>
      <c r="V5932" s="106"/>
      <c r="W5932" s="106"/>
      <c r="X5932" s="420"/>
      <c r="Y5932" s="420"/>
    </row>
    <row r="5933" spans="17:25">
      <c r="Q5933" s="308"/>
      <c r="R5933" s="309"/>
      <c r="S5933" s="210"/>
      <c r="T5933" s="310"/>
      <c r="U5933" s="106"/>
      <c r="V5933" s="106"/>
      <c r="W5933" s="106"/>
      <c r="X5933" s="420"/>
      <c r="Y5933" s="420"/>
    </row>
    <row r="5934" spans="17:25">
      <c r="Q5934" s="308"/>
      <c r="R5934" s="309"/>
      <c r="S5934" s="210"/>
      <c r="T5934" s="310"/>
      <c r="U5934" s="106"/>
      <c r="V5934" s="106"/>
      <c r="W5934" s="106"/>
      <c r="X5934" s="420"/>
      <c r="Y5934" s="420"/>
    </row>
    <row r="5935" spans="17:25">
      <c r="Q5935" s="308"/>
      <c r="R5935" s="309"/>
      <c r="S5935" s="210"/>
      <c r="T5935" s="310"/>
      <c r="U5935" s="106"/>
      <c r="V5935" s="106"/>
      <c r="W5935" s="106"/>
      <c r="X5935" s="420"/>
      <c r="Y5935" s="420"/>
    </row>
    <row r="5936" spans="17:25">
      <c r="Q5936" s="308"/>
      <c r="R5936" s="309"/>
      <c r="S5936" s="210"/>
      <c r="T5936" s="310"/>
      <c r="U5936" s="106"/>
      <c r="V5936" s="106"/>
      <c r="W5936" s="106"/>
      <c r="X5936" s="420"/>
      <c r="Y5936" s="420"/>
    </row>
    <row r="5937" spans="17:25">
      <c r="Q5937" s="308"/>
      <c r="R5937" s="309"/>
      <c r="S5937" s="210"/>
      <c r="T5937" s="310"/>
      <c r="U5937" s="106"/>
      <c r="V5937" s="106"/>
      <c r="W5937" s="106"/>
      <c r="X5937" s="420"/>
      <c r="Y5937" s="420"/>
    </row>
    <row r="5938" spans="17:25">
      <c r="Q5938" s="308"/>
      <c r="R5938" s="309"/>
      <c r="S5938" s="210"/>
      <c r="T5938" s="310"/>
      <c r="U5938" s="106"/>
      <c r="V5938" s="106"/>
      <c r="W5938" s="106"/>
      <c r="X5938" s="420"/>
      <c r="Y5938" s="420"/>
    </row>
    <row r="5939" spans="17:25">
      <c r="Q5939" s="308"/>
      <c r="R5939" s="309"/>
      <c r="S5939" s="210"/>
      <c r="T5939" s="310"/>
      <c r="U5939" s="106"/>
      <c r="V5939" s="106"/>
      <c r="W5939" s="106"/>
      <c r="X5939" s="420"/>
      <c r="Y5939" s="420"/>
    </row>
    <row r="5940" spans="17:25">
      <c r="Q5940" s="308"/>
      <c r="R5940" s="309"/>
      <c r="S5940" s="210"/>
      <c r="T5940" s="310"/>
      <c r="U5940" s="106"/>
      <c r="V5940" s="106"/>
      <c r="W5940" s="106"/>
      <c r="X5940" s="420"/>
      <c r="Y5940" s="420"/>
    </row>
    <row r="5941" spans="17:25">
      <c r="Q5941" s="308"/>
      <c r="R5941" s="309"/>
      <c r="S5941" s="210"/>
      <c r="T5941" s="310"/>
      <c r="U5941" s="106"/>
      <c r="V5941" s="106"/>
      <c r="W5941" s="106"/>
      <c r="X5941" s="420"/>
      <c r="Y5941" s="420"/>
    </row>
    <row r="5942" spans="17:25">
      <c r="Q5942" s="308"/>
      <c r="R5942" s="309"/>
      <c r="S5942" s="210"/>
      <c r="T5942" s="310"/>
      <c r="U5942" s="106"/>
      <c r="V5942" s="106"/>
      <c r="W5942" s="106"/>
      <c r="X5942" s="420"/>
      <c r="Y5942" s="420"/>
    </row>
    <row r="5943" spans="17:25">
      <c r="Q5943" s="308"/>
      <c r="R5943" s="309"/>
      <c r="S5943" s="210"/>
      <c r="T5943" s="310"/>
      <c r="U5943" s="106"/>
      <c r="V5943" s="106"/>
      <c r="W5943" s="106"/>
      <c r="X5943" s="420"/>
      <c r="Y5943" s="420"/>
    </row>
    <row r="5944" spans="17:25">
      <c r="Q5944" s="308"/>
      <c r="R5944" s="309"/>
      <c r="S5944" s="210"/>
      <c r="T5944" s="310"/>
      <c r="U5944" s="106"/>
      <c r="V5944" s="106"/>
      <c r="W5944" s="106"/>
      <c r="X5944" s="420"/>
      <c r="Y5944" s="420"/>
    </row>
    <row r="5945" spans="17:25">
      <c r="Q5945" s="308"/>
      <c r="R5945" s="309"/>
      <c r="S5945" s="210"/>
      <c r="T5945" s="310"/>
      <c r="U5945" s="106"/>
      <c r="V5945" s="106"/>
      <c r="W5945" s="106"/>
      <c r="X5945" s="420"/>
      <c r="Y5945" s="420"/>
    </row>
    <row r="5946" spans="17:25">
      <c r="Q5946" s="308"/>
      <c r="R5946" s="309"/>
      <c r="S5946" s="210"/>
      <c r="T5946" s="310"/>
      <c r="U5946" s="106"/>
      <c r="V5946" s="106"/>
      <c r="W5946" s="106"/>
      <c r="X5946" s="420"/>
      <c r="Y5946" s="420"/>
    </row>
    <row r="5947" spans="17:25">
      <c r="Q5947" s="308"/>
      <c r="R5947" s="309"/>
      <c r="S5947" s="210"/>
      <c r="T5947" s="310"/>
      <c r="U5947" s="106"/>
      <c r="V5947" s="106"/>
      <c r="W5947" s="106"/>
      <c r="X5947" s="420"/>
      <c r="Y5947" s="420"/>
    </row>
    <row r="5948" spans="17:25">
      <c r="Q5948" s="308"/>
      <c r="R5948" s="309"/>
      <c r="S5948" s="210"/>
      <c r="T5948" s="310"/>
      <c r="U5948" s="106"/>
      <c r="V5948" s="106"/>
      <c r="W5948" s="106"/>
      <c r="X5948" s="420"/>
      <c r="Y5948" s="420"/>
    </row>
    <row r="5949" spans="17:25">
      <c r="Q5949" s="308"/>
      <c r="R5949" s="309"/>
      <c r="S5949" s="210"/>
      <c r="T5949" s="310"/>
      <c r="U5949" s="106"/>
      <c r="V5949" s="106"/>
      <c r="W5949" s="106"/>
      <c r="X5949" s="420"/>
      <c r="Y5949" s="420"/>
    </row>
    <row r="5950" spans="17:25">
      <c r="Q5950" s="308"/>
      <c r="R5950" s="309"/>
      <c r="S5950" s="210"/>
      <c r="T5950" s="310"/>
      <c r="U5950" s="106"/>
      <c r="V5950" s="106"/>
      <c r="W5950" s="106"/>
      <c r="X5950" s="420"/>
      <c r="Y5950" s="420"/>
    </row>
    <row r="5951" spans="17:25">
      <c r="Q5951" s="308"/>
      <c r="R5951" s="309"/>
      <c r="S5951" s="210"/>
      <c r="T5951" s="310"/>
      <c r="U5951" s="106"/>
      <c r="V5951" s="106"/>
      <c r="W5951" s="106"/>
      <c r="X5951" s="420"/>
      <c r="Y5951" s="420"/>
    </row>
    <row r="5952" spans="17:25">
      <c r="Q5952" s="308"/>
      <c r="R5952" s="309"/>
      <c r="S5952" s="210"/>
      <c r="T5952" s="310"/>
      <c r="U5952" s="106"/>
      <c r="V5952" s="106"/>
      <c r="W5952" s="106"/>
      <c r="X5952" s="420"/>
      <c r="Y5952" s="420"/>
    </row>
    <row r="5953" spans="17:25">
      <c r="Q5953" s="308"/>
      <c r="R5953" s="309"/>
      <c r="S5953" s="210"/>
      <c r="T5953" s="310"/>
      <c r="U5953" s="106"/>
      <c r="V5953" s="106"/>
      <c r="W5953" s="106"/>
      <c r="X5953" s="420"/>
      <c r="Y5953" s="420"/>
    </row>
    <row r="5954" spans="17:25">
      <c r="Q5954" s="308"/>
      <c r="R5954" s="309"/>
      <c r="S5954" s="210"/>
      <c r="T5954" s="310"/>
      <c r="U5954" s="106"/>
      <c r="V5954" s="106"/>
      <c r="W5954" s="106"/>
      <c r="X5954" s="420"/>
      <c r="Y5954" s="420"/>
    </row>
    <row r="5955" spans="17:25">
      <c r="Q5955" s="308"/>
      <c r="R5955" s="309"/>
      <c r="S5955" s="210"/>
      <c r="T5955" s="310"/>
      <c r="U5955" s="106"/>
      <c r="V5955" s="106"/>
      <c r="W5955" s="106"/>
      <c r="X5955" s="420"/>
      <c r="Y5955" s="420"/>
    </row>
    <row r="5956" spans="17:25">
      <c r="Q5956" s="308"/>
      <c r="R5956" s="309"/>
      <c r="S5956" s="210"/>
      <c r="T5956" s="310"/>
      <c r="U5956" s="106"/>
      <c r="V5956" s="106"/>
      <c r="W5956" s="106"/>
      <c r="X5956" s="420"/>
      <c r="Y5956" s="420"/>
    </row>
    <row r="5957" spans="17:25">
      <c r="Q5957" s="308"/>
      <c r="R5957" s="309"/>
      <c r="S5957" s="210"/>
      <c r="T5957" s="310"/>
      <c r="U5957" s="106"/>
      <c r="V5957" s="106"/>
      <c r="W5957" s="106"/>
      <c r="X5957" s="420"/>
      <c r="Y5957" s="420"/>
    </row>
    <row r="5958" spans="17:25">
      <c r="Q5958" s="308"/>
      <c r="R5958" s="309"/>
      <c r="S5958" s="210"/>
      <c r="T5958" s="310"/>
      <c r="U5958" s="106"/>
      <c r="V5958" s="106"/>
      <c r="W5958" s="106"/>
      <c r="X5958" s="420"/>
      <c r="Y5958" s="420"/>
    </row>
    <row r="5959" spans="17:25">
      <c r="Q5959" s="308"/>
      <c r="R5959" s="309"/>
      <c r="S5959" s="210"/>
      <c r="T5959" s="310"/>
      <c r="U5959" s="106"/>
      <c r="V5959" s="106"/>
      <c r="W5959" s="106"/>
      <c r="X5959" s="420"/>
      <c r="Y5959" s="420"/>
    </row>
    <row r="5960" spans="17:25">
      <c r="Q5960" s="308"/>
      <c r="R5960" s="309"/>
      <c r="S5960" s="210"/>
      <c r="T5960" s="310"/>
      <c r="U5960" s="106"/>
      <c r="V5960" s="106"/>
      <c r="W5960" s="106"/>
      <c r="X5960" s="420"/>
      <c r="Y5960" s="420"/>
    </row>
    <row r="5961" spans="17:25">
      <c r="Q5961" s="308"/>
      <c r="R5961" s="309"/>
      <c r="S5961" s="210"/>
      <c r="T5961" s="310"/>
      <c r="U5961" s="106"/>
      <c r="V5961" s="106"/>
      <c r="W5961" s="106"/>
      <c r="X5961" s="420"/>
      <c r="Y5961" s="420"/>
    </row>
    <row r="5962" spans="17:25">
      <c r="Q5962" s="308"/>
      <c r="R5962" s="309"/>
      <c r="S5962" s="210"/>
      <c r="T5962" s="310"/>
      <c r="U5962" s="106"/>
      <c r="V5962" s="106"/>
      <c r="W5962" s="106"/>
      <c r="X5962" s="420"/>
      <c r="Y5962" s="420"/>
    </row>
    <row r="5963" spans="17:25">
      <c r="Q5963" s="308"/>
      <c r="R5963" s="309"/>
      <c r="S5963" s="210"/>
      <c r="T5963" s="310"/>
      <c r="U5963" s="106"/>
      <c r="V5963" s="106"/>
      <c r="W5963" s="106"/>
      <c r="X5963" s="420"/>
      <c r="Y5963" s="420"/>
    </row>
    <row r="5964" spans="17:25">
      <c r="Q5964" s="308"/>
      <c r="R5964" s="309"/>
      <c r="S5964" s="210"/>
      <c r="T5964" s="310"/>
      <c r="U5964" s="106"/>
      <c r="V5964" s="106"/>
      <c r="W5964" s="106"/>
      <c r="X5964" s="420"/>
      <c r="Y5964" s="420"/>
    </row>
    <row r="5965" spans="17:25">
      <c r="Q5965" s="308"/>
      <c r="R5965" s="309"/>
      <c r="S5965" s="210"/>
      <c r="T5965" s="310"/>
      <c r="U5965" s="106"/>
      <c r="V5965" s="106"/>
      <c r="W5965" s="106"/>
      <c r="X5965" s="420"/>
      <c r="Y5965" s="420"/>
    </row>
    <row r="5966" spans="17:25">
      <c r="Q5966" s="308"/>
      <c r="R5966" s="309"/>
      <c r="S5966" s="210"/>
      <c r="T5966" s="310"/>
      <c r="U5966" s="106"/>
      <c r="V5966" s="106"/>
      <c r="W5966" s="106"/>
      <c r="X5966" s="420"/>
      <c r="Y5966" s="420"/>
    </row>
    <row r="5967" spans="17:25">
      <c r="Q5967" s="308"/>
      <c r="R5967" s="309"/>
      <c r="S5967" s="210"/>
      <c r="T5967" s="310"/>
      <c r="U5967" s="106"/>
      <c r="V5967" s="106"/>
      <c r="W5967" s="106"/>
      <c r="X5967" s="420"/>
      <c r="Y5967" s="420"/>
    </row>
    <row r="5968" spans="17:25">
      <c r="Q5968" s="308"/>
      <c r="R5968" s="309"/>
      <c r="S5968" s="210"/>
      <c r="T5968" s="310"/>
      <c r="U5968" s="106"/>
      <c r="V5968" s="106"/>
      <c r="W5968" s="106"/>
      <c r="X5968" s="420"/>
      <c r="Y5968" s="420"/>
    </row>
    <row r="5969" spans="17:25">
      <c r="Q5969" s="308"/>
      <c r="R5969" s="309"/>
      <c r="S5969" s="210"/>
      <c r="T5969" s="310"/>
      <c r="U5969" s="106"/>
      <c r="V5969" s="106"/>
      <c r="W5969" s="106"/>
      <c r="X5969" s="420"/>
      <c r="Y5969" s="420"/>
    </row>
    <row r="5970" spans="17:25">
      <c r="Q5970" s="308"/>
      <c r="R5970" s="309"/>
      <c r="S5970" s="210"/>
      <c r="T5970" s="310"/>
      <c r="U5970" s="106"/>
      <c r="V5970" s="106"/>
      <c r="W5970" s="106"/>
      <c r="X5970" s="420"/>
      <c r="Y5970" s="420"/>
    </row>
    <row r="5971" spans="17:25">
      <c r="Q5971" s="308"/>
      <c r="R5971" s="309"/>
      <c r="S5971" s="210"/>
      <c r="T5971" s="310"/>
      <c r="U5971" s="106"/>
      <c r="V5971" s="106"/>
      <c r="W5971" s="106"/>
      <c r="X5971" s="420"/>
      <c r="Y5971" s="420"/>
    </row>
    <row r="5972" spans="17:25">
      <c r="Q5972" s="308"/>
      <c r="R5972" s="309"/>
      <c r="S5972" s="210"/>
      <c r="T5972" s="310"/>
      <c r="U5972" s="106"/>
      <c r="V5972" s="106"/>
      <c r="W5972" s="106"/>
      <c r="X5972" s="420"/>
      <c r="Y5972" s="420"/>
    </row>
    <row r="5973" spans="17:25">
      <c r="Q5973" s="308"/>
      <c r="R5973" s="309"/>
      <c r="S5973" s="210"/>
      <c r="T5973" s="310"/>
      <c r="U5973" s="106"/>
      <c r="V5973" s="106"/>
      <c r="W5973" s="106"/>
      <c r="X5973" s="420"/>
      <c r="Y5973" s="420"/>
    </row>
    <row r="5974" spans="17:25">
      <c r="Q5974" s="308"/>
      <c r="R5974" s="309"/>
      <c r="S5974" s="210"/>
      <c r="T5974" s="310"/>
      <c r="U5974" s="106"/>
      <c r="V5974" s="106"/>
      <c r="W5974" s="106"/>
      <c r="X5974" s="420"/>
      <c r="Y5974" s="420"/>
    </row>
    <row r="5975" spans="17:25">
      <c r="Q5975" s="308"/>
      <c r="R5975" s="309"/>
      <c r="S5975" s="210"/>
      <c r="T5975" s="310"/>
      <c r="U5975" s="106"/>
      <c r="V5975" s="106"/>
      <c r="W5975" s="106"/>
      <c r="X5975" s="420"/>
      <c r="Y5975" s="420"/>
    </row>
    <row r="5976" spans="17:25">
      <c r="Q5976" s="308"/>
      <c r="R5976" s="309"/>
      <c r="S5976" s="210"/>
      <c r="T5976" s="310"/>
      <c r="U5976" s="106"/>
      <c r="V5976" s="106"/>
      <c r="W5976" s="106"/>
      <c r="X5976" s="420"/>
      <c r="Y5976" s="420"/>
    </row>
    <row r="5977" spans="17:25">
      <c r="Q5977" s="308"/>
      <c r="R5977" s="309"/>
      <c r="S5977" s="210"/>
      <c r="T5977" s="310"/>
      <c r="U5977" s="106"/>
      <c r="V5977" s="106"/>
      <c r="W5977" s="106"/>
      <c r="X5977" s="420"/>
      <c r="Y5977" s="420"/>
    </row>
    <row r="5978" spans="17:25">
      <c r="Q5978" s="308"/>
      <c r="R5978" s="309"/>
      <c r="S5978" s="210"/>
      <c r="T5978" s="310"/>
      <c r="U5978" s="106"/>
      <c r="V5978" s="106"/>
      <c r="W5978" s="106"/>
      <c r="X5978" s="420"/>
      <c r="Y5978" s="420"/>
    </row>
    <row r="5979" spans="17:25">
      <c r="Q5979" s="308"/>
      <c r="R5979" s="309"/>
      <c r="S5979" s="210"/>
      <c r="T5979" s="310"/>
      <c r="U5979" s="106"/>
      <c r="V5979" s="106"/>
      <c r="W5979" s="106"/>
      <c r="X5979" s="420"/>
      <c r="Y5979" s="420"/>
    </row>
    <row r="5980" spans="17:25">
      <c r="Q5980" s="308"/>
      <c r="R5980" s="309"/>
      <c r="S5980" s="210"/>
      <c r="T5980" s="310"/>
      <c r="U5980" s="106"/>
      <c r="V5980" s="106"/>
      <c r="W5980" s="106"/>
      <c r="X5980" s="420"/>
      <c r="Y5980" s="420"/>
    </row>
    <row r="5981" spans="17:25">
      <c r="Q5981" s="308"/>
      <c r="R5981" s="309"/>
      <c r="S5981" s="210"/>
      <c r="T5981" s="310"/>
      <c r="U5981" s="106"/>
      <c r="V5981" s="106"/>
      <c r="W5981" s="106"/>
      <c r="X5981" s="420"/>
      <c r="Y5981" s="420"/>
    </row>
    <row r="5982" spans="17:25">
      <c r="Q5982" s="308"/>
      <c r="R5982" s="309"/>
      <c r="S5982" s="210"/>
      <c r="T5982" s="310"/>
      <c r="U5982" s="106"/>
      <c r="V5982" s="106"/>
      <c r="W5982" s="106"/>
      <c r="X5982" s="420"/>
      <c r="Y5982" s="420"/>
    </row>
    <row r="5983" spans="17:25">
      <c r="Q5983" s="308"/>
      <c r="R5983" s="309"/>
      <c r="S5983" s="210"/>
      <c r="T5983" s="310"/>
      <c r="U5983" s="106"/>
      <c r="V5983" s="106"/>
      <c r="W5983" s="106"/>
      <c r="X5983" s="420"/>
      <c r="Y5983" s="420"/>
    </row>
    <row r="5984" spans="17:25">
      <c r="Q5984" s="308"/>
      <c r="R5984" s="309"/>
      <c r="S5984" s="210"/>
      <c r="T5984" s="310"/>
      <c r="U5984" s="106"/>
      <c r="V5984" s="106"/>
      <c r="W5984" s="106"/>
      <c r="X5984" s="420"/>
      <c r="Y5984" s="420"/>
    </row>
    <row r="5985" spans="17:25">
      <c r="Q5985" s="308"/>
      <c r="R5985" s="309"/>
      <c r="S5985" s="210"/>
      <c r="T5985" s="310"/>
      <c r="U5985" s="106"/>
      <c r="V5985" s="106"/>
      <c r="W5985" s="106"/>
      <c r="X5985" s="420"/>
      <c r="Y5985" s="420"/>
    </row>
    <row r="5986" spans="17:25">
      <c r="Q5986" s="308"/>
      <c r="R5986" s="309"/>
      <c r="S5986" s="210"/>
      <c r="T5986" s="310"/>
      <c r="U5986" s="106"/>
      <c r="V5986" s="106"/>
      <c r="W5986" s="106"/>
      <c r="X5986" s="420"/>
      <c r="Y5986" s="420"/>
    </row>
    <row r="5987" spans="17:25">
      <c r="Q5987" s="308"/>
      <c r="R5987" s="309"/>
      <c r="S5987" s="210"/>
      <c r="T5987" s="310"/>
      <c r="U5987" s="106"/>
      <c r="V5987" s="106"/>
      <c r="W5987" s="106"/>
      <c r="X5987" s="420"/>
      <c r="Y5987" s="420"/>
    </row>
    <row r="5988" spans="17:25">
      <c r="Q5988" s="308"/>
      <c r="R5988" s="309"/>
      <c r="S5988" s="210"/>
      <c r="T5988" s="310"/>
      <c r="U5988" s="106"/>
      <c r="V5988" s="106"/>
      <c r="W5988" s="106"/>
      <c r="X5988" s="420"/>
      <c r="Y5988" s="420"/>
    </row>
    <row r="5989" spans="17:25">
      <c r="Q5989" s="308"/>
      <c r="R5989" s="309"/>
      <c r="S5989" s="210"/>
      <c r="T5989" s="310"/>
      <c r="U5989" s="106"/>
      <c r="V5989" s="106"/>
      <c r="W5989" s="106"/>
      <c r="X5989" s="420"/>
      <c r="Y5989" s="420"/>
    </row>
    <row r="5990" spans="17:25">
      <c r="Q5990" s="308"/>
      <c r="R5990" s="309"/>
      <c r="S5990" s="210"/>
      <c r="T5990" s="310"/>
      <c r="U5990" s="106"/>
      <c r="V5990" s="106"/>
      <c r="W5990" s="106"/>
      <c r="X5990" s="420"/>
      <c r="Y5990" s="420"/>
    </row>
    <row r="5991" spans="17:25">
      <c r="Q5991" s="308"/>
      <c r="R5991" s="309"/>
      <c r="S5991" s="210"/>
      <c r="T5991" s="310"/>
      <c r="U5991" s="106"/>
      <c r="V5991" s="106"/>
      <c r="W5991" s="106"/>
      <c r="X5991" s="420"/>
      <c r="Y5991" s="420"/>
    </row>
    <row r="5992" spans="17:25">
      <c r="Q5992" s="308"/>
      <c r="R5992" s="309"/>
      <c r="S5992" s="210"/>
      <c r="T5992" s="310"/>
      <c r="U5992" s="106"/>
      <c r="V5992" s="106"/>
      <c r="W5992" s="106"/>
      <c r="X5992" s="420"/>
      <c r="Y5992" s="420"/>
    </row>
    <row r="5993" spans="17:25">
      <c r="Q5993" s="308"/>
      <c r="R5993" s="309"/>
      <c r="S5993" s="210"/>
      <c r="T5993" s="310"/>
      <c r="U5993" s="106"/>
      <c r="V5993" s="106"/>
      <c r="W5993" s="106"/>
      <c r="X5993" s="420"/>
      <c r="Y5993" s="420"/>
    </row>
    <row r="5994" spans="17:25">
      <c r="Q5994" s="308"/>
      <c r="R5994" s="309"/>
      <c r="S5994" s="210"/>
      <c r="T5994" s="310"/>
      <c r="U5994" s="106"/>
      <c r="V5994" s="106"/>
      <c r="W5994" s="106"/>
      <c r="X5994" s="420"/>
      <c r="Y5994" s="420"/>
    </row>
    <row r="5995" spans="17:25">
      <c r="Q5995" s="308"/>
      <c r="R5995" s="309"/>
      <c r="S5995" s="210"/>
      <c r="T5995" s="310"/>
      <c r="U5995" s="106"/>
      <c r="V5995" s="106"/>
      <c r="W5995" s="106"/>
      <c r="X5995" s="420"/>
      <c r="Y5995" s="420"/>
    </row>
    <row r="5996" spans="17:25">
      <c r="Q5996" s="308"/>
      <c r="R5996" s="309"/>
      <c r="S5996" s="210"/>
      <c r="T5996" s="310"/>
      <c r="U5996" s="106"/>
      <c r="V5996" s="106"/>
      <c r="W5996" s="106"/>
      <c r="X5996" s="420"/>
      <c r="Y5996" s="420"/>
    </row>
    <row r="5997" spans="17:25">
      <c r="Q5997" s="308"/>
      <c r="R5997" s="309"/>
      <c r="S5997" s="210"/>
      <c r="T5997" s="310"/>
      <c r="U5997" s="106"/>
      <c r="V5997" s="106"/>
      <c r="W5997" s="106"/>
      <c r="X5997" s="420"/>
      <c r="Y5997" s="420"/>
    </row>
    <row r="5998" spans="17:25">
      <c r="Q5998" s="308"/>
      <c r="R5998" s="309"/>
      <c r="S5998" s="210"/>
      <c r="T5998" s="310"/>
      <c r="U5998" s="106"/>
      <c r="V5998" s="106"/>
      <c r="W5998" s="106"/>
      <c r="X5998" s="420"/>
      <c r="Y5998" s="420"/>
    </row>
    <row r="5999" spans="17:25">
      <c r="Q5999" s="308"/>
      <c r="R5999" s="309"/>
      <c r="S5999" s="210"/>
      <c r="T5999" s="310"/>
      <c r="U5999" s="106"/>
      <c r="V5999" s="106"/>
      <c r="W5999" s="106"/>
      <c r="X5999" s="420"/>
      <c r="Y5999" s="420"/>
    </row>
    <row r="6000" spans="17:25">
      <c r="Q6000" s="308"/>
      <c r="R6000" s="309"/>
      <c r="S6000" s="210"/>
      <c r="T6000" s="310"/>
      <c r="U6000" s="106"/>
      <c r="V6000" s="106"/>
      <c r="W6000" s="106"/>
      <c r="X6000" s="420"/>
      <c r="Y6000" s="420"/>
    </row>
  </sheetData>
  <mergeCells count="9">
    <mergeCell ref="D17:E17"/>
    <mergeCell ref="G17:H17"/>
    <mergeCell ref="J17:K17"/>
    <mergeCell ref="M17:N17"/>
    <mergeCell ref="A1:B1"/>
    <mergeCell ref="D16:E16"/>
    <mergeCell ref="G16:H16"/>
    <mergeCell ref="J16:K16"/>
    <mergeCell ref="M16:N16"/>
  </mergeCells>
  <conditionalFormatting sqref="AV3:AV2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3:BF4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3:BJ45">
    <cfRule type="colorScale" priority="5">
      <colorScale>
        <cfvo type="min"/>
        <cfvo type="max"/>
        <color rgb="FFF8696B"/>
        <color rgb="FFFCFCFF"/>
      </colorScale>
    </cfRule>
  </conditionalFormatting>
  <conditionalFormatting sqref="BI3:BI4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4:AD5">
    <cfRule type="cellIs" dxfId="1" priority="2" operator="equal">
      <formula>"verificar"</formula>
    </cfRule>
  </conditionalFormatting>
  <conditionalFormatting sqref="AS3:AS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BL6000"/>
  <sheetViews>
    <sheetView zoomScale="85" zoomScaleNormal="85" workbookViewId="0">
      <selection sqref="A1:BL1048576"/>
    </sheetView>
  </sheetViews>
  <sheetFormatPr baseColWidth="10" defaultColWidth="11.42578125" defaultRowHeight="15"/>
  <cols>
    <col min="1" max="1" width="15.85546875" style="23" bestFit="1" customWidth="1"/>
    <col min="2" max="16" width="11.42578125" style="23"/>
    <col min="17" max="17" width="16.140625" style="23" bestFit="1" customWidth="1"/>
    <col min="18" max="18" width="12.28515625" style="23" bestFit="1" customWidth="1"/>
    <col min="19" max="19" width="11.7109375" style="23" bestFit="1" customWidth="1"/>
    <col min="20" max="20" width="10.140625" style="23" bestFit="1" customWidth="1"/>
    <col min="21" max="21" width="12.85546875" style="23" bestFit="1" customWidth="1"/>
    <col min="22" max="22" width="14.140625" style="23" bestFit="1" customWidth="1"/>
    <col min="23" max="23" width="8.42578125" style="23" bestFit="1" customWidth="1"/>
    <col min="24" max="24" width="7" style="23" customWidth="1"/>
    <col min="25" max="25" width="7" style="23" bestFit="1" customWidth="1"/>
    <col min="26" max="30" width="11.42578125" style="23"/>
    <col min="31" max="31" width="11.85546875" style="23" bestFit="1" customWidth="1"/>
    <col min="32" max="32" width="7.5703125" style="23" bestFit="1" customWidth="1"/>
    <col min="33" max="34" width="12.5703125" style="23" bestFit="1" customWidth="1"/>
    <col min="35" max="35" width="11.28515625" style="23" bestFit="1" customWidth="1"/>
    <col min="36" max="36" width="13.7109375" style="23" bestFit="1" customWidth="1"/>
    <col min="37" max="37" width="6.140625" style="23" bestFit="1" customWidth="1"/>
    <col min="38" max="38" width="12.5703125" customWidth="1"/>
    <col min="39" max="39" width="12.85546875" customWidth="1"/>
    <col min="40" max="41" width="8.140625" style="23" hidden="1" customWidth="1"/>
    <col min="42" max="42" width="11.28515625" style="23" bestFit="1" customWidth="1"/>
    <col min="43" max="43" width="6.140625" style="23" bestFit="1" customWidth="1"/>
    <col min="44" max="44" width="10.5703125" style="23" bestFit="1" customWidth="1"/>
    <col min="45" max="45" width="10.7109375" style="23" bestFit="1" customWidth="1"/>
    <col min="46" max="46" width="8.5703125" style="23" hidden="1" customWidth="1"/>
    <col min="47" max="47" width="11.5703125" style="23" hidden="1" customWidth="1"/>
    <col min="48" max="48" width="11.7109375" style="23" bestFit="1" customWidth="1"/>
    <col min="49" max="49" width="9.5703125" style="23" bestFit="1" customWidth="1"/>
    <col min="50" max="50" width="7.28515625" style="23" customWidth="1"/>
    <col min="51" max="51" width="12.42578125" style="23" customWidth="1"/>
    <col min="52" max="52" width="13.42578125" style="23" bestFit="1" customWidth="1"/>
    <col min="53" max="53" width="7" style="23" bestFit="1" customWidth="1"/>
    <col min="54" max="54" width="7" style="23" customWidth="1"/>
    <col min="55" max="55" width="12.42578125" style="23" hidden="1" customWidth="1"/>
    <col min="56" max="56" width="16.42578125" style="23" hidden="1" customWidth="1"/>
    <col min="57" max="57" width="7.42578125" style="23" bestFit="1" customWidth="1"/>
    <col min="58" max="58" width="10.7109375" style="23" customWidth="1"/>
    <col min="59" max="59" width="10.7109375" style="23" hidden="1" customWidth="1"/>
    <col min="60" max="60" width="11.5703125" style="23" hidden="1" customWidth="1"/>
    <col min="61" max="61" width="11.7109375" style="23" bestFit="1" customWidth="1"/>
    <col min="62" max="62" width="7.5703125" style="23" bestFit="1" customWidth="1"/>
    <col min="63" max="63" width="7.7109375" style="23" bestFit="1" customWidth="1"/>
    <col min="64" max="64" width="8.28515625" style="50" bestFit="1" customWidth="1"/>
  </cols>
  <sheetData>
    <row r="1" spans="1:64" ht="15.75" thickBot="1">
      <c r="A1" s="567" t="s">
        <v>33</v>
      </c>
      <c r="B1" s="567"/>
      <c r="P1" s="279" t="s">
        <v>272</v>
      </c>
      <c r="Q1" s="112" t="s">
        <v>45</v>
      </c>
      <c r="R1" s="5" t="s">
        <v>1</v>
      </c>
      <c r="S1" s="5" t="s">
        <v>3</v>
      </c>
      <c r="T1" s="113" t="s">
        <v>38</v>
      </c>
      <c r="AB1" s="319" t="s">
        <v>307</v>
      </c>
      <c r="AC1" s="320">
        <v>2016</v>
      </c>
      <c r="AD1" s="178">
        <v>7.5788454930847335E-3</v>
      </c>
      <c r="AF1" s="101" t="s">
        <v>94</v>
      </c>
      <c r="AG1" s="101" t="s">
        <v>134</v>
      </c>
      <c r="AH1" s="101" t="s">
        <v>135</v>
      </c>
      <c r="AI1" s="101" t="s">
        <v>99</v>
      </c>
      <c r="AJ1" s="101" t="s">
        <v>95</v>
      </c>
      <c r="AL1" s="70" t="s">
        <v>46</v>
      </c>
      <c r="AY1" s="70" t="s">
        <v>46</v>
      </c>
      <c r="AZ1" s="70"/>
      <c r="BL1" s="23"/>
    </row>
    <row r="2" spans="1:64" ht="15.75" thickBot="1">
      <c r="A2" s="70" t="s">
        <v>34</v>
      </c>
      <c r="Q2" s="2">
        <v>0</v>
      </c>
      <c r="R2" s="222">
        <v>42667</v>
      </c>
      <c r="S2" s="15">
        <v>0</v>
      </c>
      <c r="T2" s="93">
        <v>3.5</v>
      </c>
      <c r="AB2" s="319" t="s">
        <v>307</v>
      </c>
      <c r="AC2" s="320">
        <v>2017</v>
      </c>
      <c r="AD2" s="178">
        <v>7.1215402602010369E-3</v>
      </c>
      <c r="AF2" s="174">
        <v>41640</v>
      </c>
      <c r="AG2" s="175">
        <v>2E-3</v>
      </c>
      <c r="AH2" s="175">
        <v>2E-3</v>
      </c>
      <c r="AI2" s="100">
        <v>41648</v>
      </c>
      <c r="AJ2" s="102">
        <v>23336.59</v>
      </c>
      <c r="AK2" s="213"/>
      <c r="AL2" s="182" t="s">
        <v>47</v>
      </c>
      <c r="AM2" s="182" t="s">
        <v>48</v>
      </c>
      <c r="AN2" s="182" t="s">
        <v>159</v>
      </c>
      <c r="AO2" s="182" t="s">
        <v>160</v>
      </c>
      <c r="AP2" s="182" t="s">
        <v>161</v>
      </c>
      <c r="AQ2" s="182" t="s">
        <v>130</v>
      </c>
      <c r="AR2" s="182" t="s">
        <v>139</v>
      </c>
      <c r="AS2" s="182" t="s">
        <v>101</v>
      </c>
      <c r="AT2" s="182" t="s">
        <v>141</v>
      </c>
      <c r="AU2" s="182" t="s">
        <v>140</v>
      </c>
      <c r="AV2" s="182" t="s">
        <v>142</v>
      </c>
      <c r="AW2" s="182" t="s">
        <v>228</v>
      </c>
      <c r="AY2" s="182" t="s">
        <v>47</v>
      </c>
      <c r="AZ2" s="182" t="s">
        <v>48</v>
      </c>
      <c r="BA2" s="182" t="s">
        <v>161</v>
      </c>
      <c r="BB2" s="182" t="s">
        <v>130</v>
      </c>
      <c r="BC2" s="182" t="s">
        <v>137</v>
      </c>
      <c r="BD2" s="182" t="s">
        <v>136</v>
      </c>
      <c r="BE2" s="182" t="s">
        <v>139</v>
      </c>
      <c r="BF2" s="182" t="s">
        <v>101</v>
      </c>
      <c r="BG2" s="182" t="s">
        <v>141</v>
      </c>
      <c r="BH2" s="182" t="s">
        <v>140</v>
      </c>
      <c r="BI2" s="182" t="s">
        <v>142</v>
      </c>
      <c r="BJ2" s="182" t="s">
        <v>270</v>
      </c>
      <c r="BK2" s="182" t="s">
        <v>271</v>
      </c>
      <c r="BL2" s="182" t="s">
        <v>228</v>
      </c>
    </row>
    <row r="3" spans="1:64">
      <c r="A3" s="291" t="s">
        <v>278</v>
      </c>
      <c r="B3" s="460">
        <v>3.7</v>
      </c>
      <c r="Q3" s="3">
        <v>1</v>
      </c>
      <c r="R3" s="223">
        <v>42691</v>
      </c>
      <c r="S3" s="15">
        <v>24</v>
      </c>
      <c r="T3" s="94">
        <v>3.5</v>
      </c>
      <c r="Z3" s="97"/>
      <c r="AF3" s="174">
        <v>41671</v>
      </c>
      <c r="AG3" s="175">
        <v>5.0000000000000001E-3</v>
      </c>
      <c r="AH3" s="175">
        <v>5.0000000000000001E-3</v>
      </c>
      <c r="AI3" s="100">
        <v>41679</v>
      </c>
      <c r="AJ3" s="102">
        <v>23476.61</v>
      </c>
      <c r="AK3" s="213"/>
      <c r="AL3" s="179" t="s">
        <v>163</v>
      </c>
      <c r="AM3" s="179" t="s">
        <v>85</v>
      </c>
      <c r="AN3" s="99" t="s">
        <v>163</v>
      </c>
      <c r="AO3" s="99" t="s">
        <v>163</v>
      </c>
      <c r="AP3" s="243">
        <v>3.6169386604233211</v>
      </c>
      <c r="AQ3" s="270">
        <v>0.1824422708626264</v>
      </c>
      <c r="AR3" s="243" t="s">
        <v>163</v>
      </c>
      <c r="AS3" s="114" t="s">
        <v>163</v>
      </c>
      <c r="AT3" s="114" t="s">
        <v>163</v>
      </c>
      <c r="AU3" s="114" t="s">
        <v>163</v>
      </c>
      <c r="AV3" s="114" t="s">
        <v>163</v>
      </c>
      <c r="AW3" s="114">
        <v>3.5848488070241911</v>
      </c>
      <c r="AY3" s="179" t="s">
        <v>163</v>
      </c>
      <c r="AZ3" s="247" t="s">
        <v>51</v>
      </c>
      <c r="BA3" s="243">
        <v>-1.4080767730769899</v>
      </c>
      <c r="BB3" s="270">
        <v>0.19174095575284261</v>
      </c>
      <c r="BC3" s="243">
        <v>3.616938660423318</v>
      </c>
      <c r="BD3" s="243" t="s">
        <v>163</v>
      </c>
      <c r="BE3" s="243" t="s">
        <v>163</v>
      </c>
      <c r="BF3" s="114" t="s">
        <v>163</v>
      </c>
      <c r="BG3" s="114" t="s">
        <v>163</v>
      </c>
      <c r="BH3" s="114" t="s">
        <v>163</v>
      </c>
      <c r="BI3" s="114" t="s">
        <v>163</v>
      </c>
      <c r="BJ3" s="99" t="s">
        <v>163</v>
      </c>
      <c r="BK3" s="130">
        <v>5.0250154335003074</v>
      </c>
      <c r="BL3" s="130">
        <v>1.4127028274716256</v>
      </c>
    </row>
    <row r="4" spans="1:64">
      <c r="A4" s="292" t="s">
        <v>557</v>
      </c>
      <c r="B4" s="461">
        <v>3.5</v>
      </c>
      <c r="P4" s="280">
        <v>1</v>
      </c>
      <c r="Q4" s="3">
        <v>2</v>
      </c>
      <c r="R4" s="224">
        <v>42719</v>
      </c>
      <c r="S4" s="15">
        <v>52</v>
      </c>
      <c r="T4" s="94">
        <v>3.5</v>
      </c>
      <c r="Z4" s="97"/>
      <c r="AC4" s="70" t="s">
        <v>408</v>
      </c>
      <c r="AD4" s="70" t="s">
        <v>407</v>
      </c>
      <c r="AF4" s="174">
        <v>41699</v>
      </c>
      <c r="AG4" s="175">
        <v>8.0000000000000002E-3</v>
      </c>
      <c r="AH4" s="175">
        <v>8.0000000000000002E-3</v>
      </c>
      <c r="AI4" s="100">
        <v>41707</v>
      </c>
      <c r="AJ4" s="102">
        <v>23523.56322</v>
      </c>
      <c r="AK4" s="215"/>
      <c r="AL4" s="179" t="s">
        <v>163</v>
      </c>
      <c r="AM4" s="179" t="s">
        <v>9</v>
      </c>
      <c r="AN4" s="99" t="s">
        <v>163</v>
      </c>
      <c r="AO4" s="99" t="s">
        <v>163</v>
      </c>
      <c r="AP4" s="243">
        <v>3.6210358688097015</v>
      </c>
      <c r="AQ4" s="270">
        <v>0.3384302507367683</v>
      </c>
      <c r="AR4" s="243" t="s">
        <v>163</v>
      </c>
      <c r="AS4" s="114" t="s">
        <v>163</v>
      </c>
      <c r="AT4" s="114" t="s">
        <v>163</v>
      </c>
      <c r="AU4" s="114" t="s">
        <v>163</v>
      </c>
      <c r="AV4" s="114" t="s">
        <v>163</v>
      </c>
      <c r="AW4" s="114">
        <v>3.5338460947298662</v>
      </c>
      <c r="AX4" s="214"/>
      <c r="AY4" s="179" t="s">
        <v>163</v>
      </c>
      <c r="AZ4" s="273" t="s">
        <v>52</v>
      </c>
      <c r="BA4" s="243">
        <v>-0.51664947713925191</v>
      </c>
      <c r="BB4" s="270">
        <v>0.35250615270166619</v>
      </c>
      <c r="BC4" s="243">
        <v>3.6210358688096806</v>
      </c>
      <c r="BD4" s="243" t="s">
        <v>163</v>
      </c>
      <c r="BE4" s="243" t="s">
        <v>163</v>
      </c>
      <c r="BF4" s="114" t="s">
        <v>163</v>
      </c>
      <c r="BG4" s="114" t="s">
        <v>163</v>
      </c>
      <c r="BH4" s="114" t="s">
        <v>163</v>
      </c>
      <c r="BI4" s="114" t="s">
        <v>163</v>
      </c>
      <c r="BJ4" s="99" t="s">
        <v>163</v>
      </c>
      <c r="BK4" s="130">
        <v>4.1376853459489329</v>
      </c>
      <c r="BL4" s="130">
        <v>1.3967662908668343</v>
      </c>
    </row>
    <row r="5" spans="1:64" ht="15.75" thickBot="1">
      <c r="A5" s="293" t="s">
        <v>558</v>
      </c>
      <c r="B5" s="462">
        <v>3.1</v>
      </c>
      <c r="P5" s="280">
        <v>1</v>
      </c>
      <c r="Q5" s="3">
        <v>3</v>
      </c>
      <c r="R5" s="224">
        <v>42750</v>
      </c>
      <c r="S5" s="15">
        <v>83</v>
      </c>
      <c r="T5" s="94">
        <v>3.5</v>
      </c>
      <c r="Z5" s="97"/>
      <c r="AC5" s="70" t="s">
        <v>559</v>
      </c>
      <c r="AD5" s="70" t="s">
        <v>407</v>
      </c>
      <c r="AF5" s="174">
        <v>41730</v>
      </c>
      <c r="AG5" s="175">
        <v>6.0000000000000001E-3</v>
      </c>
      <c r="AH5" s="175">
        <v>6.0000000000000001E-3</v>
      </c>
      <c r="AI5" s="100">
        <v>41738</v>
      </c>
      <c r="AJ5" s="102">
        <v>23641.181036099999</v>
      </c>
      <c r="AL5" s="179" t="s">
        <v>163</v>
      </c>
      <c r="AM5" s="273" t="s">
        <v>86</v>
      </c>
      <c r="AN5" s="99" t="s">
        <v>163</v>
      </c>
      <c r="AO5" s="99" t="s">
        <v>163</v>
      </c>
      <c r="AP5" s="243">
        <v>3.6273603283475042</v>
      </c>
      <c r="AQ5" s="270">
        <v>0.56778621589734368</v>
      </c>
      <c r="AR5" s="243" t="s">
        <v>163</v>
      </c>
      <c r="AS5" s="114" t="s">
        <v>163</v>
      </c>
      <c r="AT5" s="114" t="s">
        <v>163</v>
      </c>
      <c r="AU5" s="114" t="s">
        <v>163</v>
      </c>
      <c r="AV5" s="114" t="s">
        <v>163</v>
      </c>
      <c r="AW5" s="114">
        <v>3.445113839427004</v>
      </c>
      <c r="AY5" s="179" t="s">
        <v>163</v>
      </c>
      <c r="AZ5" s="179" t="s">
        <v>53</v>
      </c>
      <c r="BA5" s="243">
        <v>-0.39646248871737094</v>
      </c>
      <c r="BB5" s="270">
        <v>0.51263291704120728</v>
      </c>
      <c r="BC5" s="243">
        <v>3.6252639629485137</v>
      </c>
      <c r="BD5" s="243" t="s">
        <v>163</v>
      </c>
      <c r="BE5" s="243">
        <v>1.42</v>
      </c>
      <c r="BF5" s="114">
        <v>1.8164624887173708</v>
      </c>
      <c r="BG5" s="114" t="s">
        <v>163</v>
      </c>
      <c r="BH5" s="114">
        <v>1.42</v>
      </c>
      <c r="BI5" s="114" t="s">
        <v>163</v>
      </c>
      <c r="BJ5" s="99" t="s">
        <v>163</v>
      </c>
      <c r="BK5" s="130">
        <v>4.0217264516658844</v>
      </c>
      <c r="BL5" s="130">
        <v>1.2213398318054312</v>
      </c>
    </row>
    <row r="6" spans="1:64">
      <c r="P6" s="280">
        <v>1</v>
      </c>
      <c r="Q6" s="3">
        <v>4</v>
      </c>
      <c r="R6" s="224">
        <v>42781</v>
      </c>
      <c r="S6" s="15">
        <v>114</v>
      </c>
      <c r="T6" s="94">
        <v>3.5</v>
      </c>
      <c r="Z6" s="97"/>
      <c r="AF6" s="174">
        <v>41760</v>
      </c>
      <c r="AG6" s="175">
        <v>3.0000000000000001E-3</v>
      </c>
      <c r="AH6" s="175">
        <v>3.0000000000000001E-3</v>
      </c>
      <c r="AI6" s="100">
        <v>41768</v>
      </c>
      <c r="AJ6" s="102">
        <v>23830.3104843888</v>
      </c>
      <c r="AL6" s="179" t="s">
        <v>163</v>
      </c>
      <c r="AM6" s="179" t="s">
        <v>12</v>
      </c>
      <c r="AN6" s="99" t="s">
        <v>163</v>
      </c>
      <c r="AO6" s="99" t="s">
        <v>163</v>
      </c>
      <c r="AP6" s="243">
        <v>3.7085816066804691</v>
      </c>
      <c r="AQ6" s="270">
        <v>1.1054350835807556</v>
      </c>
      <c r="AR6" s="243" t="s">
        <v>163</v>
      </c>
      <c r="AS6" s="114" t="s">
        <v>163</v>
      </c>
      <c r="AT6" s="114" t="s">
        <v>163</v>
      </c>
      <c r="AU6" s="114" t="s">
        <v>163</v>
      </c>
      <c r="AV6" s="114" t="s">
        <v>163</v>
      </c>
      <c r="AW6" s="114">
        <v>3.3300502320405871</v>
      </c>
      <c r="AY6" s="179" t="s">
        <v>163</v>
      </c>
      <c r="AZ6" s="286" t="s">
        <v>54</v>
      </c>
      <c r="BA6" s="243">
        <v>-0.44232384499936794</v>
      </c>
      <c r="BB6" s="270">
        <v>0.68073648929325481</v>
      </c>
      <c r="BC6" s="243">
        <v>3.6294560772606608</v>
      </c>
      <c r="BD6" s="243" t="s">
        <v>163</v>
      </c>
      <c r="BE6" s="243">
        <v>1.4</v>
      </c>
      <c r="BF6" s="114">
        <v>1.8423238449993677</v>
      </c>
      <c r="BG6" s="114">
        <v>1.4</v>
      </c>
      <c r="BH6" s="114">
        <v>1.42</v>
      </c>
      <c r="BI6" s="114">
        <v>-2.0000000000000018E-2</v>
      </c>
      <c r="BJ6" s="99" t="s">
        <v>163</v>
      </c>
      <c r="BK6" s="130">
        <v>4.0717799222600286</v>
      </c>
      <c r="BL6" s="130">
        <v>0.94928223261370726</v>
      </c>
    </row>
    <row r="7" spans="1:64" ht="15.75" thickBot="1">
      <c r="A7" s="70" t="s">
        <v>35</v>
      </c>
      <c r="P7" s="280">
        <v>1</v>
      </c>
      <c r="Q7" s="3">
        <v>5</v>
      </c>
      <c r="R7" s="224">
        <v>42809</v>
      </c>
      <c r="S7" s="15">
        <v>142</v>
      </c>
      <c r="T7" s="94">
        <v>3.5</v>
      </c>
      <c r="Z7" s="97"/>
      <c r="AF7" s="174">
        <v>41791</v>
      </c>
      <c r="AG7" s="175">
        <v>1E-3</v>
      </c>
      <c r="AH7" s="175">
        <v>1E-3</v>
      </c>
      <c r="AI7" s="100">
        <v>41799</v>
      </c>
      <c r="AJ7" s="102">
        <v>23973.292347295133</v>
      </c>
      <c r="AL7" s="179" t="s">
        <v>398</v>
      </c>
      <c r="AM7" s="183" t="s">
        <v>7</v>
      </c>
      <c r="AN7" s="99" t="s">
        <v>163</v>
      </c>
      <c r="AO7" s="99" t="s">
        <v>163</v>
      </c>
      <c r="AP7" s="243">
        <v>3.7710388130388859</v>
      </c>
      <c r="AQ7" s="270">
        <v>1.2607453143710605</v>
      </c>
      <c r="AR7" s="243" t="s">
        <v>163</v>
      </c>
      <c r="AS7" s="114" t="s">
        <v>163</v>
      </c>
      <c r="AT7" s="114" t="s">
        <v>163</v>
      </c>
      <c r="AU7" s="114" t="s">
        <v>163</v>
      </c>
      <c r="AV7" s="114" t="s">
        <v>163</v>
      </c>
      <c r="AW7" s="114">
        <v>3.3054648735256698</v>
      </c>
      <c r="AY7" s="179" t="s">
        <v>163</v>
      </c>
      <c r="AZ7" s="268" t="s">
        <v>55</v>
      </c>
      <c r="BA7" s="243">
        <v>-0.44232384499936794</v>
      </c>
      <c r="BB7" s="270">
        <v>0.68073648929325481</v>
      </c>
      <c r="BC7" s="243">
        <v>3.6294560772606608</v>
      </c>
      <c r="BD7" s="243" t="s">
        <v>163</v>
      </c>
      <c r="BE7" s="243">
        <v>1.41</v>
      </c>
      <c r="BF7" s="114">
        <v>1.852323844999368</v>
      </c>
      <c r="BG7" s="114">
        <v>1.41</v>
      </c>
      <c r="BH7" s="114">
        <v>1.42</v>
      </c>
      <c r="BI7" s="114">
        <v>-1.0000000000000009E-2</v>
      </c>
      <c r="BJ7" s="99" t="s">
        <v>163</v>
      </c>
      <c r="BK7" s="130">
        <v>4.0717799222600286</v>
      </c>
      <c r="BL7" s="130">
        <v>0.94928223261370726</v>
      </c>
    </row>
    <row r="8" spans="1:64">
      <c r="A8" s="67">
        <v>42667</v>
      </c>
      <c r="B8" s="90">
        <v>3.5</v>
      </c>
      <c r="P8" s="280">
        <v>1</v>
      </c>
      <c r="Q8" s="3">
        <v>6</v>
      </c>
      <c r="R8" s="225">
        <v>42840</v>
      </c>
      <c r="S8" s="15">
        <v>173</v>
      </c>
      <c r="T8" s="94">
        <v>3.5</v>
      </c>
      <c r="Z8" s="97"/>
      <c r="AF8" s="174">
        <v>41821</v>
      </c>
      <c r="AG8" s="175">
        <v>2E-3</v>
      </c>
      <c r="AH8" s="175">
        <v>2E-3</v>
      </c>
      <c r="AI8" s="100">
        <v>41829</v>
      </c>
      <c r="AJ8" s="102">
        <v>24045.212224337018</v>
      </c>
      <c r="AL8" s="179" t="s">
        <v>398</v>
      </c>
      <c r="AM8" s="179" t="s">
        <v>87</v>
      </c>
      <c r="AN8" s="99" t="s">
        <v>583</v>
      </c>
      <c r="AO8" s="99" t="s">
        <v>143</v>
      </c>
      <c r="AP8" s="243">
        <v>3.7710388130388859</v>
      </c>
      <c r="AQ8" s="270">
        <v>1.2607453143710605</v>
      </c>
      <c r="AR8" s="243">
        <v>3.48</v>
      </c>
      <c r="AS8" s="114">
        <v>-0.2910388130388859</v>
      </c>
      <c r="AT8" s="114" t="s">
        <v>163</v>
      </c>
      <c r="AU8" s="114">
        <v>3.48</v>
      </c>
      <c r="AV8" s="114" t="s">
        <v>163</v>
      </c>
      <c r="AW8" s="114">
        <v>3.3054648735256698</v>
      </c>
      <c r="AY8" s="179" t="s">
        <v>163</v>
      </c>
      <c r="AZ8" s="268" t="s">
        <v>57</v>
      </c>
      <c r="BA8" s="243">
        <v>-0.25723357055801338</v>
      </c>
      <c r="BB8" s="270">
        <v>1.1705070591038962</v>
      </c>
      <c r="BC8" s="243">
        <v>3.7094548997702463</v>
      </c>
      <c r="BD8" s="243">
        <v>3.48</v>
      </c>
      <c r="BE8" s="243" t="s">
        <v>163</v>
      </c>
      <c r="BF8" s="114" t="s">
        <v>163</v>
      </c>
      <c r="BG8" s="114" t="s">
        <v>163</v>
      </c>
      <c r="BH8" s="114" t="s">
        <v>163</v>
      </c>
      <c r="BI8" s="114" t="s">
        <v>163</v>
      </c>
      <c r="BJ8" s="99" t="s">
        <v>163</v>
      </c>
      <c r="BK8" s="130">
        <v>3.9666884703282599</v>
      </c>
      <c r="BL8" s="130">
        <v>0.66135793729291414</v>
      </c>
    </row>
    <row r="9" spans="1:64">
      <c r="A9" s="68">
        <v>42691</v>
      </c>
      <c r="B9" s="91">
        <v>3.5</v>
      </c>
      <c r="P9" s="280">
        <v>1</v>
      </c>
      <c r="Q9" s="3">
        <v>7</v>
      </c>
      <c r="R9" s="224">
        <v>42870</v>
      </c>
      <c r="S9" s="15">
        <v>203</v>
      </c>
      <c r="T9" s="94">
        <v>3.5</v>
      </c>
      <c r="Z9" s="97"/>
      <c r="AF9" s="174">
        <v>41852</v>
      </c>
      <c r="AG9" s="175">
        <v>3.0000000000000001E-3</v>
      </c>
      <c r="AH9" s="175">
        <v>3.0000000000000001E-3</v>
      </c>
      <c r="AI9" s="100">
        <v>41860</v>
      </c>
      <c r="AJ9" s="102">
        <v>24069.257436561351</v>
      </c>
      <c r="AK9" s="215"/>
      <c r="AL9" s="179" t="s">
        <v>398</v>
      </c>
      <c r="AM9" s="179" t="s">
        <v>13</v>
      </c>
      <c r="AN9" s="99" t="s">
        <v>163</v>
      </c>
      <c r="AO9" s="99" t="s">
        <v>163</v>
      </c>
      <c r="AP9" s="243">
        <v>3.8401787016435893</v>
      </c>
      <c r="AQ9" s="270">
        <v>1.3812825647455207</v>
      </c>
      <c r="AR9" s="243" t="s">
        <v>163</v>
      </c>
      <c r="AS9" s="114" t="s">
        <v>163</v>
      </c>
      <c r="AT9" s="114" t="s">
        <v>163</v>
      </c>
      <c r="AU9" s="114" t="s">
        <v>163</v>
      </c>
      <c r="AV9" s="114" t="s">
        <v>163</v>
      </c>
      <c r="AW9" s="114">
        <v>3.2823384611909954</v>
      </c>
      <c r="AY9" s="179" t="s">
        <v>49</v>
      </c>
      <c r="AZ9" s="241" t="s">
        <v>58</v>
      </c>
      <c r="BA9" s="243">
        <v>1.7606055048359617E-2</v>
      </c>
      <c r="BB9" s="270">
        <v>1.3289757727114466</v>
      </c>
      <c r="BC9" s="243">
        <v>3.7728652825887914</v>
      </c>
      <c r="BD9" s="243">
        <v>3.48</v>
      </c>
      <c r="BE9" s="243">
        <v>1.07</v>
      </c>
      <c r="BF9" s="114">
        <v>1.0523939449516404</v>
      </c>
      <c r="BG9" s="114">
        <v>1.07</v>
      </c>
      <c r="BH9" s="114">
        <v>1.05</v>
      </c>
      <c r="BI9" s="114">
        <v>2.0000000000000018E-2</v>
      </c>
      <c r="BJ9" s="99">
        <v>2.41</v>
      </c>
      <c r="BK9" s="130">
        <v>3.755259227540432</v>
      </c>
      <c r="BL9" s="130">
        <v>0.72246186904867826</v>
      </c>
    </row>
    <row r="10" spans="1:64">
      <c r="A10" s="68">
        <v>42719</v>
      </c>
      <c r="B10" s="91">
        <v>3.5</v>
      </c>
      <c r="P10" s="280">
        <v>1</v>
      </c>
      <c r="Q10" s="3">
        <v>8</v>
      </c>
      <c r="R10" s="224">
        <v>42901</v>
      </c>
      <c r="S10" s="15">
        <v>234</v>
      </c>
      <c r="T10" s="94">
        <v>3.5</v>
      </c>
      <c r="Z10" s="97"/>
      <c r="AF10" s="174">
        <v>41883</v>
      </c>
      <c r="AG10" s="175">
        <v>8.0000000000000002E-3</v>
      </c>
      <c r="AH10" s="175">
        <v>8.0000000000000002E-3</v>
      </c>
      <c r="AI10" s="100">
        <v>41891</v>
      </c>
      <c r="AJ10" s="102">
        <v>24117.395951434475</v>
      </c>
      <c r="AK10" s="215"/>
      <c r="AL10" s="179" t="s">
        <v>398</v>
      </c>
      <c r="AM10" s="179" t="s">
        <v>42</v>
      </c>
      <c r="AN10" s="99" t="s">
        <v>163</v>
      </c>
      <c r="AO10" s="99" t="s">
        <v>163</v>
      </c>
      <c r="AP10" s="243">
        <v>3.8738096244251015</v>
      </c>
      <c r="AQ10" s="270">
        <v>1.462419740689445</v>
      </c>
      <c r="AR10" s="243" t="s">
        <v>163</v>
      </c>
      <c r="AS10" s="114" t="s">
        <v>163</v>
      </c>
      <c r="AT10" s="114" t="s">
        <v>163</v>
      </c>
      <c r="AU10" s="114" t="s">
        <v>163</v>
      </c>
      <c r="AV10" s="114" t="s">
        <v>163</v>
      </c>
      <c r="AW10" s="114">
        <v>3.2861409637760772</v>
      </c>
      <c r="AX10" s="214"/>
      <c r="AY10" s="179" t="s">
        <v>49</v>
      </c>
      <c r="AZ10" s="277" t="s">
        <v>59</v>
      </c>
      <c r="BA10" s="243">
        <v>0.25781627291743225</v>
      </c>
      <c r="BB10" s="270">
        <v>1.6382488092982781</v>
      </c>
      <c r="BC10" s="243">
        <v>3.9084257158891229</v>
      </c>
      <c r="BD10" s="243">
        <v>3.48</v>
      </c>
      <c r="BE10" s="243" t="s">
        <v>163</v>
      </c>
      <c r="BF10" s="114" t="s">
        <v>163</v>
      </c>
      <c r="BG10" s="114" t="s">
        <v>163</v>
      </c>
      <c r="BH10" s="114" t="s">
        <v>163</v>
      </c>
      <c r="BI10" s="114" t="s">
        <v>163</v>
      </c>
      <c r="BJ10" s="99" t="s">
        <v>163</v>
      </c>
      <c r="BK10" s="130">
        <v>3.6506094429716907</v>
      </c>
      <c r="BL10" s="130">
        <v>0.69794654416491109</v>
      </c>
    </row>
    <row r="11" spans="1:64">
      <c r="A11" s="68">
        <v>42750</v>
      </c>
      <c r="B11" s="91">
        <v>3.5</v>
      </c>
      <c r="P11" s="280">
        <v>1</v>
      </c>
      <c r="Q11" s="3">
        <v>9</v>
      </c>
      <c r="R11" s="224">
        <v>42931</v>
      </c>
      <c r="S11" s="15">
        <v>264</v>
      </c>
      <c r="T11" s="94">
        <v>3.5</v>
      </c>
      <c r="Z11" s="97"/>
      <c r="AF11" s="174">
        <v>41913</v>
      </c>
      <c r="AG11" s="175">
        <v>0.01</v>
      </c>
      <c r="AH11" s="175">
        <v>0.01</v>
      </c>
      <c r="AI11" s="100">
        <v>41921</v>
      </c>
      <c r="AJ11" s="102">
        <v>24189.748139288775</v>
      </c>
      <c r="AK11" s="213" t="s">
        <v>173</v>
      </c>
      <c r="AL11" s="179" t="s">
        <v>398</v>
      </c>
      <c r="AM11" s="227" t="s">
        <v>88</v>
      </c>
      <c r="AN11" s="99" t="s">
        <v>163</v>
      </c>
      <c r="AO11" s="99" t="s">
        <v>163</v>
      </c>
      <c r="AP11" s="243">
        <v>4.0576190658006066</v>
      </c>
      <c r="AQ11" s="270">
        <v>1.9710877029052594</v>
      </c>
      <c r="AR11" s="243" t="s">
        <v>163</v>
      </c>
      <c r="AS11" s="114" t="s">
        <v>163</v>
      </c>
      <c r="AT11" s="114" t="s">
        <v>163</v>
      </c>
      <c r="AU11" s="114" t="s">
        <v>163</v>
      </c>
      <c r="AV11" s="114" t="s">
        <v>163</v>
      </c>
      <c r="AW11" s="114">
        <v>3.3153612009225903</v>
      </c>
      <c r="AX11" s="23" t="s">
        <v>173</v>
      </c>
      <c r="AY11" s="179" t="s">
        <v>49</v>
      </c>
      <c r="AZ11" s="404" t="s">
        <v>60</v>
      </c>
      <c r="BA11" s="243">
        <v>0.3124584858800058</v>
      </c>
      <c r="BB11" s="270">
        <v>1.7219974887819494</v>
      </c>
      <c r="BC11" s="243">
        <v>3.9387375944478982</v>
      </c>
      <c r="BD11" s="243">
        <v>3.48</v>
      </c>
      <c r="BE11" s="243">
        <v>1.1000000000000001</v>
      </c>
      <c r="BF11" s="114">
        <v>0.78754151411999429</v>
      </c>
      <c r="BG11" s="114">
        <v>1.1000000000000001</v>
      </c>
      <c r="BH11" s="114">
        <v>1.02</v>
      </c>
      <c r="BI11" s="114">
        <v>8.0000000000000071E-2</v>
      </c>
      <c r="BJ11" s="99">
        <v>2.38</v>
      </c>
      <c r="BK11" s="130">
        <v>3.6262791085678923</v>
      </c>
      <c r="BL11" s="130">
        <v>0.6596824137229419</v>
      </c>
    </row>
    <row r="12" spans="1:64">
      <c r="A12" s="68">
        <v>42781</v>
      </c>
      <c r="B12" s="91">
        <v>3.5</v>
      </c>
      <c r="P12" s="280">
        <v>3</v>
      </c>
      <c r="Q12" s="3">
        <v>12</v>
      </c>
      <c r="R12" s="224">
        <v>43023</v>
      </c>
      <c r="S12" s="15">
        <v>356</v>
      </c>
      <c r="T12" s="94">
        <v>3.75</v>
      </c>
      <c r="Z12" s="97"/>
      <c r="AE12" s="100"/>
      <c r="AF12" s="174">
        <v>41944</v>
      </c>
      <c r="AG12" s="175">
        <v>0</v>
      </c>
      <c r="AH12" s="175">
        <v>0</v>
      </c>
      <c r="AI12" s="100">
        <v>41952</v>
      </c>
      <c r="AJ12" s="102">
        <v>24383.266124403086</v>
      </c>
      <c r="AK12" s="213"/>
      <c r="AL12" s="179" t="s">
        <v>399</v>
      </c>
      <c r="AM12" s="404" t="s">
        <v>10</v>
      </c>
      <c r="AN12" s="99" t="s">
        <v>163</v>
      </c>
      <c r="AO12" s="99" t="s">
        <v>163</v>
      </c>
      <c r="AP12" s="243">
        <v>4.2537538039180518</v>
      </c>
      <c r="AQ12" s="270">
        <v>2.7882398037628859</v>
      </c>
      <c r="AR12" s="243" t="s">
        <v>163</v>
      </c>
      <c r="AS12" s="114" t="s">
        <v>163</v>
      </c>
      <c r="AT12" s="114" t="s">
        <v>163</v>
      </c>
      <c r="AU12" s="114" t="s">
        <v>163</v>
      </c>
      <c r="AV12" s="114" t="s">
        <v>163</v>
      </c>
      <c r="AW12" s="114">
        <v>3.3948407212389227</v>
      </c>
      <c r="AX12" s="214"/>
      <c r="AY12" s="179" t="s">
        <v>50</v>
      </c>
      <c r="AZ12" s="242" t="s">
        <v>61</v>
      </c>
      <c r="BA12" s="243">
        <v>0.40872960431731342</v>
      </c>
      <c r="BB12" s="270">
        <v>1.8865882005433421</v>
      </c>
      <c r="BC12" s="243">
        <v>3.9939950264066515</v>
      </c>
      <c r="BD12" s="243">
        <v>3.48</v>
      </c>
      <c r="BE12" s="243">
        <v>1.03</v>
      </c>
      <c r="BF12" s="114">
        <v>0.6212703956826866</v>
      </c>
      <c r="BG12" s="114" t="s">
        <v>163</v>
      </c>
      <c r="BH12" s="114">
        <v>1.03</v>
      </c>
      <c r="BI12" s="114" t="s">
        <v>163</v>
      </c>
      <c r="BJ12" s="99">
        <v>2.4500000000000002</v>
      </c>
      <c r="BK12" s="130">
        <v>3.5852654220893383</v>
      </c>
      <c r="BL12" s="130">
        <v>0.58407088213298375</v>
      </c>
    </row>
    <row r="13" spans="1:64">
      <c r="A13" s="68">
        <v>42809</v>
      </c>
      <c r="B13" s="91">
        <v>3.5</v>
      </c>
      <c r="P13" s="280">
        <v>3</v>
      </c>
      <c r="Q13" s="3">
        <v>15</v>
      </c>
      <c r="R13" s="224">
        <v>43115</v>
      </c>
      <c r="S13" s="15">
        <v>448</v>
      </c>
      <c r="T13" s="94">
        <v>4</v>
      </c>
      <c r="Z13" s="97"/>
      <c r="AF13" s="174">
        <v>41974</v>
      </c>
      <c r="AG13" s="175">
        <v>-4.0000000000000001E-3</v>
      </c>
      <c r="AH13" s="175">
        <v>-4.0000000000000001E-3</v>
      </c>
      <c r="AI13" s="100">
        <v>41982</v>
      </c>
      <c r="AJ13" s="102">
        <v>24627.098785647118</v>
      </c>
      <c r="AK13" s="213"/>
      <c r="AL13" s="179" t="s">
        <v>400</v>
      </c>
      <c r="AM13" s="179" t="s">
        <v>389</v>
      </c>
      <c r="AN13" s="99" t="s">
        <v>578</v>
      </c>
      <c r="AO13" s="99" t="s">
        <v>144</v>
      </c>
      <c r="AP13" s="243">
        <v>4.2918195797327208</v>
      </c>
      <c r="AQ13" s="270">
        <v>3.0840426247389021</v>
      </c>
      <c r="AR13" s="243">
        <v>3.67</v>
      </c>
      <c r="AS13" s="114">
        <v>-0.62181957973272084</v>
      </c>
      <c r="AT13" s="114">
        <v>3.67</v>
      </c>
      <c r="AU13" s="114" t="s">
        <v>163</v>
      </c>
      <c r="AV13" s="114" t="s">
        <v>163</v>
      </c>
      <c r="AW13" s="114">
        <v>3.4261721213972072</v>
      </c>
      <c r="AY13" s="179" t="s">
        <v>50</v>
      </c>
      <c r="AZ13" s="330" t="s">
        <v>63</v>
      </c>
      <c r="BA13" s="243">
        <v>0.52196948382449548</v>
      </c>
      <c r="BB13" s="270">
        <v>2.1076350707046445</v>
      </c>
      <c r="BC13" s="243">
        <v>4.0645396399957985</v>
      </c>
      <c r="BD13" s="243" t="s">
        <v>163</v>
      </c>
      <c r="BE13" s="243" t="s">
        <v>163</v>
      </c>
      <c r="BF13" s="114" t="s">
        <v>163</v>
      </c>
      <c r="BG13" s="114" t="s">
        <v>163</v>
      </c>
      <c r="BH13" s="114" t="s">
        <v>163</v>
      </c>
      <c r="BI13" s="114" t="s">
        <v>163</v>
      </c>
      <c r="BJ13" s="99" t="s">
        <v>163</v>
      </c>
      <c r="BK13" s="130">
        <v>3.542570156171303</v>
      </c>
      <c r="BL13" s="130">
        <v>0.54939435370153433</v>
      </c>
    </row>
    <row r="14" spans="1:64" ht="15.75" thickBot="1">
      <c r="A14" s="68">
        <v>42840</v>
      </c>
      <c r="B14" s="91">
        <v>3.5</v>
      </c>
      <c r="P14" s="280">
        <v>3</v>
      </c>
      <c r="Q14" s="3">
        <v>18</v>
      </c>
      <c r="R14" s="224">
        <v>43205</v>
      </c>
      <c r="S14" s="15">
        <v>538</v>
      </c>
      <c r="T14" s="94">
        <v>4.25</v>
      </c>
      <c r="Z14" s="97"/>
      <c r="AF14" s="103">
        <v>42005</v>
      </c>
      <c r="AG14" s="104">
        <v>1E-3</v>
      </c>
      <c r="AH14" s="104">
        <v>1E-3</v>
      </c>
      <c r="AI14" s="100">
        <v>42013</v>
      </c>
      <c r="AJ14" s="102">
        <v>24627.098785647118</v>
      </c>
      <c r="AK14" s="213"/>
      <c r="AL14" s="179" t="s">
        <v>400</v>
      </c>
      <c r="AM14" s="246" t="s">
        <v>448</v>
      </c>
      <c r="AN14" s="99" t="s">
        <v>579</v>
      </c>
      <c r="AO14" s="99" t="s">
        <v>144</v>
      </c>
      <c r="AP14" s="243">
        <v>4.3112540602021019</v>
      </c>
      <c r="AQ14" s="270">
        <v>3.1749302703409694</v>
      </c>
      <c r="AR14" s="243">
        <v>3.7</v>
      </c>
      <c r="AS14" s="114">
        <v>-0.61125406020210171</v>
      </c>
      <c r="AT14" s="114">
        <v>3.7</v>
      </c>
      <c r="AU14" s="114">
        <v>3.68</v>
      </c>
      <c r="AV14" s="114">
        <v>2.0000000000000018E-2</v>
      </c>
      <c r="AW14" s="114">
        <v>3.4465526058702123</v>
      </c>
      <c r="AY14" s="179" t="s">
        <v>50</v>
      </c>
      <c r="AZ14" s="404" t="s">
        <v>64</v>
      </c>
      <c r="BA14" s="243">
        <v>0.64402855288653027</v>
      </c>
      <c r="BB14" s="270">
        <v>2.3981718453832452</v>
      </c>
      <c r="BC14" s="243">
        <v>4.1447093241852127</v>
      </c>
      <c r="BD14" s="243" t="s">
        <v>163</v>
      </c>
      <c r="BE14" s="243" t="s">
        <v>163</v>
      </c>
      <c r="BF14" s="114" t="s">
        <v>163</v>
      </c>
      <c r="BG14" s="114" t="s">
        <v>163</v>
      </c>
      <c r="BH14" s="114" t="s">
        <v>163</v>
      </c>
      <c r="BI14" s="114" t="s">
        <v>163</v>
      </c>
      <c r="BJ14" s="99" t="s">
        <v>163</v>
      </c>
      <c r="BK14" s="130">
        <v>3.5006807712986823</v>
      </c>
      <c r="BL14" s="130">
        <v>0.54176020611508646</v>
      </c>
    </row>
    <row r="15" spans="1:64">
      <c r="A15" s="68">
        <v>42870</v>
      </c>
      <c r="B15" s="91">
        <v>3.5</v>
      </c>
      <c r="Q15" s="21">
        <v>2.473972602739726</v>
      </c>
      <c r="R15" s="20">
        <v>43570</v>
      </c>
      <c r="S15" s="22">
        <v>903</v>
      </c>
      <c r="T15" s="94">
        <v>4.5</v>
      </c>
      <c r="Z15" s="97"/>
      <c r="AC15" s="100"/>
      <c r="AF15" s="103">
        <v>42036</v>
      </c>
      <c r="AG15" s="104">
        <v>4.0000000000000001E-3</v>
      </c>
      <c r="AH15" s="104">
        <v>4.0000000000000001E-3</v>
      </c>
      <c r="AI15" s="100">
        <v>42044</v>
      </c>
      <c r="AJ15" s="102">
        <v>24528.590390504531</v>
      </c>
      <c r="AK15" s="213"/>
      <c r="AL15" s="179" t="s">
        <v>400</v>
      </c>
      <c r="AM15" s="218" t="s">
        <v>14</v>
      </c>
      <c r="AN15" s="99" t="s">
        <v>576</v>
      </c>
      <c r="AO15" s="99" t="s">
        <v>577</v>
      </c>
      <c r="AP15" s="243">
        <v>4.3683253913408615</v>
      </c>
      <c r="AQ15" s="270">
        <v>3.6452260850585518</v>
      </c>
      <c r="AR15" s="243">
        <v>3.84</v>
      </c>
      <c r="AS15" s="114">
        <v>-0.52832539134086165</v>
      </c>
      <c r="AT15" s="114">
        <v>3.84</v>
      </c>
      <c r="AU15" s="114">
        <v>3.81</v>
      </c>
      <c r="AV15" s="114">
        <v>2.9999999999999805E-2</v>
      </c>
      <c r="AW15" s="114">
        <v>3.5275688623347952</v>
      </c>
      <c r="AY15" s="180" t="s">
        <v>50</v>
      </c>
      <c r="AZ15" s="322" t="s">
        <v>65</v>
      </c>
      <c r="BA15" s="243">
        <v>0.69659925439943948</v>
      </c>
      <c r="BB15" s="270">
        <v>2.5627934859170574</v>
      </c>
      <c r="BC15" s="243">
        <v>4.1799336939179783</v>
      </c>
      <c r="BD15" s="243" t="s">
        <v>163</v>
      </c>
      <c r="BE15" s="243">
        <v>1.06</v>
      </c>
      <c r="BF15" s="114">
        <v>0.36340074560056057</v>
      </c>
      <c r="BG15" s="114">
        <v>1.06</v>
      </c>
      <c r="BH15" s="114" t="s">
        <v>163</v>
      </c>
      <c r="BI15" s="114" t="s">
        <v>163</v>
      </c>
      <c r="BJ15" s="99" t="s">
        <v>163</v>
      </c>
      <c r="BK15" s="130">
        <v>3.483334439518539</v>
      </c>
      <c r="BL15" s="130">
        <v>0.53850833994544767</v>
      </c>
    </row>
    <row r="16" spans="1:64" ht="19.5" thickBot="1">
      <c r="A16" s="116">
        <v>42901</v>
      </c>
      <c r="B16" s="117">
        <v>3.5</v>
      </c>
      <c r="C16" s="115"/>
      <c r="D16" s="564" t="s">
        <v>542</v>
      </c>
      <c r="E16" s="564"/>
      <c r="F16" s="115"/>
      <c r="G16" s="564" t="s">
        <v>39</v>
      </c>
      <c r="H16" s="564"/>
      <c r="I16" s="115"/>
      <c r="J16" s="564" t="s">
        <v>541</v>
      </c>
      <c r="K16" s="564"/>
      <c r="L16" s="115"/>
      <c r="M16" s="564" t="s">
        <v>41</v>
      </c>
      <c r="N16" s="564"/>
      <c r="O16" s="115"/>
      <c r="P16" s="115"/>
      <c r="Q16" s="118">
        <v>3.4767123287671233</v>
      </c>
      <c r="R16" s="119">
        <v>43936</v>
      </c>
      <c r="S16" s="120">
        <v>1269</v>
      </c>
      <c r="T16" s="121">
        <v>4.5</v>
      </c>
      <c r="U16" s="115"/>
      <c r="V16" s="115"/>
      <c r="W16" s="115"/>
      <c r="X16" s="115"/>
      <c r="Y16" s="115"/>
      <c r="Z16" s="122"/>
      <c r="AA16" s="115"/>
      <c r="AB16" s="115"/>
      <c r="AC16" s="115"/>
      <c r="AD16" s="125"/>
      <c r="AE16" s="115"/>
      <c r="AF16" s="123">
        <v>42064</v>
      </c>
      <c r="AG16" s="124">
        <v>6.0000000000000001E-3</v>
      </c>
      <c r="AH16" s="104">
        <v>6.0000000000000001E-3</v>
      </c>
      <c r="AI16" s="125">
        <v>42072</v>
      </c>
      <c r="AJ16" s="102">
        <v>24553.118980895033</v>
      </c>
      <c r="AK16" s="213" t="s">
        <v>173</v>
      </c>
      <c r="AL16" s="179" t="s">
        <v>401</v>
      </c>
      <c r="AM16" s="281" t="s">
        <v>561</v>
      </c>
      <c r="AN16" s="99" t="s">
        <v>580</v>
      </c>
      <c r="AO16" s="99" t="s">
        <v>577</v>
      </c>
      <c r="AP16" s="243">
        <v>4.3808110536049627</v>
      </c>
      <c r="AQ16" s="270">
        <v>3.8115446517120337</v>
      </c>
      <c r="AR16" s="243">
        <v>3.84</v>
      </c>
      <c r="AS16" s="114">
        <v>-0.54081105360496284</v>
      </c>
      <c r="AT16" s="114">
        <v>3.84</v>
      </c>
      <c r="AU16" s="114">
        <v>3.81</v>
      </c>
      <c r="AV16" s="114">
        <v>2.9999999999999805E-2</v>
      </c>
      <c r="AW16" s="114">
        <v>3.5414795687378637</v>
      </c>
      <c r="AY16" s="180" t="s">
        <v>50</v>
      </c>
      <c r="AZ16" s="286" t="s">
        <v>66</v>
      </c>
      <c r="BA16" s="243">
        <v>0.82891984925338447</v>
      </c>
      <c r="BB16" s="270">
        <v>3.0189087167579665</v>
      </c>
      <c r="BC16" s="243">
        <v>4.264658449984422</v>
      </c>
      <c r="BD16" s="243">
        <v>3.67</v>
      </c>
      <c r="BE16" s="243">
        <v>1.05</v>
      </c>
      <c r="BF16" s="114">
        <v>0.22108015074661558</v>
      </c>
      <c r="BG16" s="114">
        <v>1.05</v>
      </c>
      <c r="BH16" s="114">
        <v>1.03</v>
      </c>
      <c r="BI16" s="114">
        <v>2.0000000000000018E-2</v>
      </c>
      <c r="BJ16" s="99">
        <v>2.62</v>
      </c>
      <c r="BK16" s="130">
        <v>3.4357386007310375</v>
      </c>
      <c r="BL16" s="130">
        <v>0.54949706378022389</v>
      </c>
    </row>
    <row r="17" spans="1:64" ht="16.5" thickBot="1">
      <c r="A17" s="68">
        <v>42931</v>
      </c>
      <c r="B17" s="91">
        <v>3.5</v>
      </c>
      <c r="D17" s="565">
        <v>0</v>
      </c>
      <c r="E17" s="566"/>
      <c r="F17" s="79"/>
      <c r="G17" s="565">
        <v>0</v>
      </c>
      <c r="H17" s="566"/>
      <c r="I17" s="79"/>
      <c r="J17" s="565">
        <v>1</v>
      </c>
      <c r="K17" s="566"/>
      <c r="M17" s="565">
        <v>0</v>
      </c>
      <c r="N17" s="566"/>
      <c r="Q17" s="13">
        <v>4.4767123287671229</v>
      </c>
      <c r="R17" s="20">
        <v>44301</v>
      </c>
      <c r="S17" s="16">
        <v>1634</v>
      </c>
      <c r="T17" s="94">
        <v>4.5</v>
      </c>
      <c r="Z17" s="97"/>
      <c r="AF17" s="103">
        <v>42095</v>
      </c>
      <c r="AG17" s="104">
        <v>6.0000000000000001E-3</v>
      </c>
      <c r="AH17" s="104">
        <v>6.0000000000000001E-3</v>
      </c>
      <c r="AI17" s="100">
        <v>42103</v>
      </c>
      <c r="AJ17" s="102">
        <v>24651.331456818614</v>
      </c>
      <c r="AK17" s="215"/>
      <c r="AL17" s="179" t="s">
        <v>401</v>
      </c>
      <c r="AM17" s="179" t="s">
        <v>44</v>
      </c>
      <c r="AN17" s="99" t="s">
        <v>163</v>
      </c>
      <c r="AO17" s="99" t="s">
        <v>163</v>
      </c>
      <c r="AP17" s="243">
        <v>4.4295778404241206</v>
      </c>
      <c r="AQ17" s="270">
        <v>4.297797609320976</v>
      </c>
      <c r="AR17" s="243" t="s">
        <v>163</v>
      </c>
      <c r="AS17" s="114" t="s">
        <v>163</v>
      </c>
      <c r="AT17" s="114" t="s">
        <v>163</v>
      </c>
      <c r="AU17" s="114" t="s">
        <v>163</v>
      </c>
      <c r="AV17" s="114" t="s">
        <v>163</v>
      </c>
      <c r="AW17" s="114">
        <v>3.6424318116420187</v>
      </c>
      <c r="AY17" s="180" t="s">
        <v>56</v>
      </c>
      <c r="AZ17" s="318" t="s">
        <v>68</v>
      </c>
      <c r="BA17" s="243">
        <v>1.0092801972386385</v>
      </c>
      <c r="BB17" s="270">
        <v>3.9917624936907377</v>
      </c>
      <c r="BC17" s="243">
        <v>4.3815161746986799</v>
      </c>
      <c r="BD17" s="243">
        <v>3.84</v>
      </c>
      <c r="BE17" s="243">
        <v>1.02</v>
      </c>
      <c r="BF17" s="114">
        <v>1.071980276136153E-2</v>
      </c>
      <c r="BG17" s="114">
        <v>1.02</v>
      </c>
      <c r="BH17" s="114">
        <v>1.02</v>
      </c>
      <c r="BI17" s="114">
        <v>0</v>
      </c>
      <c r="BJ17" s="99">
        <v>2.82</v>
      </c>
      <c r="BK17" s="130">
        <v>3.3722359774600417</v>
      </c>
      <c r="BL17" s="130">
        <v>0.67094245530804464</v>
      </c>
    </row>
    <row r="18" spans="1:64" ht="15.75" thickBot="1">
      <c r="A18" s="68">
        <v>43023</v>
      </c>
      <c r="B18" s="91">
        <v>3.75</v>
      </c>
      <c r="D18" s="228"/>
      <c r="Q18" s="14">
        <v>5.4767123287671229</v>
      </c>
      <c r="R18" s="80">
        <v>44666</v>
      </c>
      <c r="S18" s="17">
        <v>1999</v>
      </c>
      <c r="T18" s="94">
        <v>4.5</v>
      </c>
      <c r="Z18" s="97"/>
      <c r="AF18" s="103">
        <v>42125</v>
      </c>
      <c r="AG18" s="104">
        <v>2E-3</v>
      </c>
      <c r="AH18" s="104">
        <v>2E-3</v>
      </c>
      <c r="AI18" s="100">
        <v>42133</v>
      </c>
      <c r="AJ18" s="102">
        <v>24799.239445559528</v>
      </c>
      <c r="AL18" s="179" t="s">
        <v>402</v>
      </c>
      <c r="AM18" s="403" t="s">
        <v>89</v>
      </c>
      <c r="AN18" s="99" t="s">
        <v>560</v>
      </c>
      <c r="AO18" s="99" t="s">
        <v>543</v>
      </c>
      <c r="AP18" s="243">
        <v>4.4385305521027734</v>
      </c>
      <c r="AQ18" s="270">
        <v>4.4531462801128461</v>
      </c>
      <c r="AR18" s="243">
        <v>3.85</v>
      </c>
      <c r="AS18" s="114">
        <v>-0.58853055210277327</v>
      </c>
      <c r="AT18" s="114">
        <v>3.85</v>
      </c>
      <c r="AU18" s="114">
        <v>3.82</v>
      </c>
      <c r="AV18" s="114">
        <v>3.0000000000000249E-2</v>
      </c>
      <c r="AW18" s="114">
        <v>3.6602951932332934</v>
      </c>
      <c r="AY18" s="179" t="s">
        <v>62</v>
      </c>
      <c r="AZ18" s="404" t="s">
        <v>470</v>
      </c>
      <c r="BA18" s="243">
        <v>1.0272384831187606</v>
      </c>
      <c r="BB18" s="270">
        <v>4.1804642002821533</v>
      </c>
      <c r="BC18" s="243">
        <v>4.3950696216524872</v>
      </c>
      <c r="BD18" s="243">
        <v>3.84</v>
      </c>
      <c r="BE18" s="243">
        <v>1.06</v>
      </c>
      <c r="BF18" s="114">
        <v>3.2761516881239405E-2</v>
      </c>
      <c r="BG18" s="114">
        <v>1.06</v>
      </c>
      <c r="BH18" s="114">
        <v>1.02</v>
      </c>
      <c r="BI18" s="114">
        <v>4.0000000000000036E-2</v>
      </c>
      <c r="BJ18" s="99">
        <v>2.78</v>
      </c>
      <c r="BK18" s="130">
        <v>3.3678311385337265</v>
      </c>
      <c r="BL18" s="130">
        <v>0.68486450025296453</v>
      </c>
    </row>
    <row r="19" spans="1:64" ht="15.75" thickBot="1">
      <c r="A19" s="68">
        <v>43115</v>
      </c>
      <c r="B19" s="91">
        <v>4</v>
      </c>
      <c r="D19" s="70" t="s">
        <v>34</v>
      </c>
      <c r="G19" s="70" t="s">
        <v>34</v>
      </c>
      <c r="J19" s="70" t="s">
        <v>34</v>
      </c>
      <c r="M19" s="70" t="s">
        <v>34</v>
      </c>
      <c r="Q19" s="13">
        <v>6.4767123287671229</v>
      </c>
      <c r="R19" s="20">
        <v>45031</v>
      </c>
      <c r="S19" s="16">
        <v>2364</v>
      </c>
      <c r="T19" s="94">
        <v>4.5</v>
      </c>
      <c r="Z19" s="97"/>
      <c r="AF19" s="103">
        <v>42156</v>
      </c>
      <c r="AG19" s="104">
        <v>5.0000000000000001E-3</v>
      </c>
      <c r="AH19" s="104">
        <v>5.0000000000000001E-3</v>
      </c>
      <c r="AI19" s="100">
        <v>42164</v>
      </c>
      <c r="AJ19" s="102">
        <v>24948.034882232885</v>
      </c>
      <c r="AK19" s="215" t="s">
        <v>173</v>
      </c>
      <c r="AL19" s="179" t="s">
        <v>402</v>
      </c>
      <c r="AM19" s="286" t="s">
        <v>43</v>
      </c>
      <c r="AN19" s="99" t="s">
        <v>163</v>
      </c>
      <c r="AO19" s="99" t="s">
        <v>163</v>
      </c>
      <c r="AP19" s="243">
        <v>4.4846671662985296</v>
      </c>
      <c r="AQ19" s="270">
        <v>5.1494901798311572</v>
      </c>
      <c r="AR19" s="243" t="s">
        <v>163</v>
      </c>
      <c r="AS19" s="114" t="s">
        <v>163</v>
      </c>
      <c r="AT19" s="114" t="s">
        <v>163</v>
      </c>
      <c r="AU19" s="114" t="s">
        <v>163</v>
      </c>
      <c r="AV19" s="114" t="s">
        <v>163</v>
      </c>
      <c r="AW19" s="114">
        <v>3.7701957639603974</v>
      </c>
      <c r="AX19" s="23" t="s">
        <v>173</v>
      </c>
      <c r="AY19" s="179" t="s">
        <v>62</v>
      </c>
      <c r="AZ19" s="179" t="s">
        <v>69</v>
      </c>
      <c r="BA19" s="243">
        <v>1.1008484925657489</v>
      </c>
      <c r="BB19" s="270">
        <v>4.7722111894823538</v>
      </c>
      <c r="BC19" s="243">
        <v>4.443952273780635</v>
      </c>
      <c r="BD19" s="243">
        <v>3.85</v>
      </c>
      <c r="BE19" s="243" t="s">
        <v>163</v>
      </c>
      <c r="BF19" s="114" t="s">
        <v>163</v>
      </c>
      <c r="BG19" s="114" t="s">
        <v>163</v>
      </c>
      <c r="BH19" s="114" t="s">
        <v>163</v>
      </c>
      <c r="BI19" s="114" t="s">
        <v>163</v>
      </c>
      <c r="BJ19" s="99" t="s">
        <v>163</v>
      </c>
      <c r="BK19" s="130">
        <v>3.3431037812148858</v>
      </c>
      <c r="BL19" s="130">
        <v>0.8049246532308022</v>
      </c>
    </row>
    <row r="20" spans="1:64">
      <c r="A20" s="68">
        <v>43205</v>
      </c>
      <c r="B20" s="91">
        <v>4.25</v>
      </c>
      <c r="D20" s="291" t="s">
        <v>278</v>
      </c>
      <c r="E20" s="71">
        <v>3.2</v>
      </c>
      <c r="G20" s="87" t="s">
        <v>278</v>
      </c>
      <c r="H20" s="71">
        <v>3.5</v>
      </c>
      <c r="J20" s="87" t="s">
        <v>278</v>
      </c>
      <c r="K20" s="71">
        <v>3.7</v>
      </c>
      <c r="M20" s="87" t="s">
        <v>278</v>
      </c>
      <c r="N20" s="71">
        <v>3.5</v>
      </c>
      <c r="Q20" s="13">
        <v>7.4794520547945202</v>
      </c>
      <c r="R20" s="80">
        <v>45397</v>
      </c>
      <c r="S20" s="18">
        <v>2730</v>
      </c>
      <c r="T20" s="94">
        <v>4.5</v>
      </c>
      <c r="Z20" s="97"/>
      <c r="AF20" s="103">
        <v>42186</v>
      </c>
      <c r="AG20" s="104">
        <v>4.0000000000000001E-3</v>
      </c>
      <c r="AH20" s="104">
        <v>4.0000000000000001E-3</v>
      </c>
      <c r="AI20" s="100">
        <v>42194</v>
      </c>
      <c r="AJ20" s="102">
        <v>24997.93095199735</v>
      </c>
      <c r="AK20" s="213"/>
      <c r="AL20" s="179" t="s">
        <v>402</v>
      </c>
      <c r="AM20" s="277" t="s">
        <v>90</v>
      </c>
      <c r="AN20" s="99" t="s">
        <v>163</v>
      </c>
      <c r="AO20" s="99" t="s">
        <v>163</v>
      </c>
      <c r="AP20" s="243">
        <v>4.5146212378212249</v>
      </c>
      <c r="AQ20" s="270">
        <v>5.6552951620063583</v>
      </c>
      <c r="AR20" s="243" t="s">
        <v>163</v>
      </c>
      <c r="AS20" s="114" t="s">
        <v>163</v>
      </c>
      <c r="AT20" s="114" t="s">
        <v>163</v>
      </c>
      <c r="AU20" s="114" t="s">
        <v>163</v>
      </c>
      <c r="AV20" s="114" t="s">
        <v>163</v>
      </c>
      <c r="AW20" s="114">
        <v>3.8602810251605417</v>
      </c>
      <c r="AX20" s="115"/>
      <c r="AY20" s="179" t="s">
        <v>67</v>
      </c>
      <c r="AZ20" s="179" t="s">
        <v>70</v>
      </c>
      <c r="BA20" s="243">
        <v>1.1143110021078564</v>
      </c>
      <c r="BB20" s="270">
        <v>4.9318707718140491</v>
      </c>
      <c r="BC20" s="243">
        <v>4.4530692291655587</v>
      </c>
      <c r="BD20" s="243">
        <v>3.85</v>
      </c>
      <c r="BE20" s="243">
        <v>1.03</v>
      </c>
      <c r="BF20" s="114">
        <v>-8.4311002107856359E-2</v>
      </c>
      <c r="BG20" s="114" t="s">
        <v>163</v>
      </c>
      <c r="BH20" s="114">
        <v>1.03</v>
      </c>
      <c r="BI20" s="114" t="s">
        <v>163</v>
      </c>
      <c r="BJ20" s="99">
        <v>2.8200000000000003</v>
      </c>
      <c r="BK20" s="130">
        <v>3.3387582270577023</v>
      </c>
      <c r="BL20" s="130">
        <v>0.82244062311018584</v>
      </c>
    </row>
    <row r="21" spans="1:64">
      <c r="A21" s="68">
        <v>43570</v>
      </c>
      <c r="B21" s="91">
        <v>4.5</v>
      </c>
      <c r="D21" s="88" t="s">
        <v>557</v>
      </c>
      <c r="E21" s="72">
        <v>2.5</v>
      </c>
      <c r="G21" s="88" t="s">
        <v>557</v>
      </c>
      <c r="H21" s="81">
        <v>3</v>
      </c>
      <c r="J21" s="88" t="s">
        <v>557</v>
      </c>
      <c r="K21" s="72">
        <v>3.5</v>
      </c>
      <c r="M21" s="88" t="s">
        <v>557</v>
      </c>
      <c r="N21" s="72">
        <v>3.5</v>
      </c>
      <c r="Q21" s="13">
        <v>8.4794520547945211</v>
      </c>
      <c r="R21" s="20">
        <v>45762</v>
      </c>
      <c r="S21" s="16">
        <v>3095</v>
      </c>
      <c r="T21" s="94">
        <v>4.5</v>
      </c>
      <c r="Z21" s="97"/>
      <c r="AF21" s="103">
        <v>42217</v>
      </c>
      <c r="AG21" s="104">
        <v>6.9999999999999993E-3</v>
      </c>
      <c r="AH21" s="104">
        <v>6.9999999999999993E-3</v>
      </c>
      <c r="AI21" s="100">
        <v>42225</v>
      </c>
      <c r="AJ21" s="102">
        <v>25122.920606757336</v>
      </c>
      <c r="AK21" s="23" t="s">
        <v>173</v>
      </c>
      <c r="AL21" s="179" t="s">
        <v>403</v>
      </c>
      <c r="AM21" s="179" t="s">
        <v>397</v>
      </c>
      <c r="AN21" s="99" t="s">
        <v>405</v>
      </c>
      <c r="AO21" s="99" t="s">
        <v>406</v>
      </c>
      <c r="AP21" s="243">
        <v>4.5789865938544834</v>
      </c>
      <c r="AQ21" s="270">
        <v>7.3507324399148848</v>
      </c>
      <c r="AR21" s="243">
        <v>4.1900000000000004</v>
      </c>
      <c r="AS21" s="114">
        <v>-0.38898659385448298</v>
      </c>
      <c r="AT21" s="114">
        <v>4.1900000000000004</v>
      </c>
      <c r="AU21" s="114">
        <v>4.18</v>
      </c>
      <c r="AV21" s="114">
        <v>1.0000000000000675E-2</v>
      </c>
      <c r="AW21" s="114">
        <v>4.0678165588133863</v>
      </c>
      <c r="AX21" s="214"/>
      <c r="AY21" s="179" t="s">
        <v>67</v>
      </c>
      <c r="AZ21" s="179" t="s">
        <v>72</v>
      </c>
      <c r="BA21" s="243">
        <v>1.1376581235649577</v>
      </c>
      <c r="BB21" s="270">
        <v>5.1402243618030257</v>
      </c>
      <c r="BC21" s="243">
        <v>4.4682278708790415</v>
      </c>
      <c r="BD21" s="243">
        <v>3.85</v>
      </c>
      <c r="BE21" s="243" t="s">
        <v>163</v>
      </c>
      <c r="BF21" s="114" t="s">
        <v>163</v>
      </c>
      <c r="BG21" s="114" t="s">
        <v>163</v>
      </c>
      <c r="BH21" s="114" t="s">
        <v>163</v>
      </c>
      <c r="BI21" s="114" t="s">
        <v>163</v>
      </c>
      <c r="BJ21" s="99" t="s">
        <v>163</v>
      </c>
      <c r="BK21" s="130">
        <v>3.3305697473140841</v>
      </c>
      <c r="BL21" s="130">
        <v>0.86790104843859017</v>
      </c>
    </row>
    <row r="22" spans="1:64" ht="15.75" thickBot="1">
      <c r="A22" s="68">
        <v>43936</v>
      </c>
      <c r="B22" s="91">
        <v>4.5</v>
      </c>
      <c r="D22" s="89" t="s">
        <v>558</v>
      </c>
      <c r="E22" s="78">
        <v>2.9</v>
      </c>
      <c r="G22" s="89" t="s">
        <v>558</v>
      </c>
      <c r="H22" s="78">
        <v>3</v>
      </c>
      <c r="J22" s="89" t="s">
        <v>558</v>
      </c>
      <c r="K22" s="78">
        <v>3.1</v>
      </c>
      <c r="M22" s="89" t="s">
        <v>558</v>
      </c>
      <c r="N22" s="78">
        <v>3.2</v>
      </c>
      <c r="Q22" s="13">
        <v>9.4794520547945211</v>
      </c>
      <c r="R22" s="80">
        <v>46127</v>
      </c>
      <c r="S22" s="18">
        <v>3460</v>
      </c>
      <c r="T22" s="94">
        <v>4.5</v>
      </c>
      <c r="Z22" s="97"/>
      <c r="AF22" s="103">
        <v>42248</v>
      </c>
      <c r="AG22" s="104">
        <v>5.0000000000000001E-3</v>
      </c>
      <c r="AH22" s="104">
        <v>5.0000000000000001E-3</v>
      </c>
      <c r="AI22" s="100">
        <v>42256</v>
      </c>
      <c r="AJ22" s="102">
        <v>25223.412289184365</v>
      </c>
      <c r="AK22" s="214"/>
      <c r="AL22" s="179" t="s">
        <v>403</v>
      </c>
      <c r="AM22" s="281" t="s">
        <v>91</v>
      </c>
      <c r="AN22" s="99" t="s">
        <v>163</v>
      </c>
      <c r="AO22" s="99" t="s">
        <v>163</v>
      </c>
      <c r="AP22" s="243">
        <v>4.6575364294052664</v>
      </c>
      <c r="AQ22" s="270">
        <v>9.9248786891246503</v>
      </c>
      <c r="AR22" s="243" t="s">
        <v>163</v>
      </c>
      <c r="AS22" s="114" t="s">
        <v>163</v>
      </c>
      <c r="AT22" s="114" t="s">
        <v>163</v>
      </c>
      <c r="AU22" s="114" t="s">
        <v>163</v>
      </c>
      <c r="AV22" s="114" t="s">
        <v>163</v>
      </c>
      <c r="AW22" s="114">
        <v>4.2454833288627389</v>
      </c>
      <c r="AX22" s="214"/>
      <c r="AY22" s="179" t="s">
        <v>67</v>
      </c>
      <c r="AZ22" s="404" t="s">
        <v>73</v>
      </c>
      <c r="BA22" s="243">
        <v>1.1826158468938066</v>
      </c>
      <c r="BB22" s="270">
        <v>5.7740621651937341</v>
      </c>
      <c r="BC22" s="243">
        <v>4.5001399460186828</v>
      </c>
      <c r="BD22" s="243" t="s">
        <v>163</v>
      </c>
      <c r="BE22" s="243" t="s">
        <v>163</v>
      </c>
      <c r="BF22" s="114" t="s">
        <v>163</v>
      </c>
      <c r="BG22" s="114" t="s">
        <v>163</v>
      </c>
      <c r="BH22" s="114" t="s">
        <v>163</v>
      </c>
      <c r="BI22" s="114" t="s">
        <v>163</v>
      </c>
      <c r="BJ22" s="99" t="s">
        <v>163</v>
      </c>
      <c r="BK22" s="130">
        <v>3.317524099124876</v>
      </c>
      <c r="BL22" s="130">
        <v>0.9104395857557529</v>
      </c>
    </row>
    <row r="23" spans="1:64" ht="15.75" thickBot="1">
      <c r="A23" s="68">
        <v>44301</v>
      </c>
      <c r="B23" s="91">
        <v>4.5</v>
      </c>
      <c r="Q23" s="14">
        <v>10.479452054794521</v>
      </c>
      <c r="R23" s="95">
        <v>46492</v>
      </c>
      <c r="S23" s="19">
        <v>3825</v>
      </c>
      <c r="T23" s="96">
        <v>4.5</v>
      </c>
      <c r="Z23" s="97"/>
      <c r="AF23" s="103">
        <v>42278</v>
      </c>
      <c r="AG23" s="104">
        <v>4.0000000000000001E-3</v>
      </c>
      <c r="AH23" s="104">
        <v>4.0000000000000001E-3</v>
      </c>
      <c r="AI23" s="100">
        <v>42286</v>
      </c>
      <c r="AJ23" s="102">
        <v>25399.976175208652</v>
      </c>
      <c r="AK23" s="214"/>
      <c r="AL23" s="217" t="s">
        <v>404</v>
      </c>
      <c r="AM23" s="278" t="s">
        <v>92</v>
      </c>
      <c r="AN23" s="99" t="s">
        <v>163</v>
      </c>
      <c r="AO23" s="99" t="s">
        <v>163</v>
      </c>
      <c r="AP23" s="243">
        <v>4.6794595991017358</v>
      </c>
      <c r="AQ23" s="270">
        <v>10.762389747266042</v>
      </c>
      <c r="AR23" s="243" t="s">
        <v>163</v>
      </c>
      <c r="AS23" s="114" t="s">
        <v>163</v>
      </c>
      <c r="AT23" s="114" t="s">
        <v>163</v>
      </c>
      <c r="AU23" s="114" t="s">
        <v>163</v>
      </c>
      <c r="AV23" s="114" t="s">
        <v>163</v>
      </c>
      <c r="AW23" s="114">
        <v>4.2868980926399507</v>
      </c>
      <c r="AY23" s="179" t="s">
        <v>67</v>
      </c>
      <c r="AZ23" s="179" t="s">
        <v>74</v>
      </c>
      <c r="BA23" s="243">
        <v>1.2005255388282163</v>
      </c>
      <c r="BB23" s="270">
        <v>6.0527287160826733</v>
      </c>
      <c r="BC23" s="243">
        <v>4.5138830743094971</v>
      </c>
      <c r="BD23" s="243" t="s">
        <v>163</v>
      </c>
      <c r="BE23" s="243" t="s">
        <v>163</v>
      </c>
      <c r="BF23" s="114" t="s">
        <v>163</v>
      </c>
      <c r="BG23" s="114" t="s">
        <v>163</v>
      </c>
      <c r="BH23" s="114" t="s">
        <v>163</v>
      </c>
      <c r="BI23" s="114" t="s">
        <v>163</v>
      </c>
      <c r="BJ23" s="99" t="s">
        <v>163</v>
      </c>
      <c r="BK23" s="130">
        <v>3.3133575354812805</v>
      </c>
      <c r="BL23" s="130">
        <v>0.9317240969341255</v>
      </c>
    </row>
    <row r="24" spans="1:64" ht="15.75" thickBot="1">
      <c r="A24" s="68">
        <v>44666</v>
      </c>
      <c r="B24" s="91">
        <v>4.5</v>
      </c>
      <c r="D24" s="70" t="s">
        <v>38</v>
      </c>
      <c r="G24" s="70" t="s">
        <v>38</v>
      </c>
      <c r="J24" s="70" t="s">
        <v>38</v>
      </c>
      <c r="M24" s="70" t="s">
        <v>38</v>
      </c>
      <c r="AF24" s="103">
        <v>42309</v>
      </c>
      <c r="AG24" s="104">
        <v>0</v>
      </c>
      <c r="AH24" s="104">
        <v>0</v>
      </c>
      <c r="AI24" s="100">
        <v>42317</v>
      </c>
      <c r="AJ24" s="102">
        <v>25526.976056084692</v>
      </c>
      <c r="AL24" s="217" t="s">
        <v>404</v>
      </c>
      <c r="AM24" s="407" t="s">
        <v>449</v>
      </c>
      <c r="AN24" s="99"/>
      <c r="AO24" s="99"/>
      <c r="AP24" s="243">
        <v>4.6978950638251202</v>
      </c>
      <c r="AQ24" s="270">
        <v>11.731445457367142</v>
      </c>
      <c r="AR24" s="243">
        <v>4.45</v>
      </c>
      <c r="AS24" s="114">
        <v>-0.24789506382512005</v>
      </c>
      <c r="AT24" s="114">
        <v>4.45</v>
      </c>
      <c r="AU24" s="114">
        <v>4.46</v>
      </c>
      <c r="AV24" s="114">
        <v>-9.9999999999997868E-3</v>
      </c>
      <c r="AW24" s="114">
        <v>4.3225462605187026</v>
      </c>
      <c r="AX24" s="23" t="s">
        <v>173</v>
      </c>
      <c r="AY24" s="179" t="s">
        <v>67</v>
      </c>
      <c r="AZ24" s="247" t="s">
        <v>75</v>
      </c>
      <c r="BA24" s="243">
        <v>1.2219399346694115</v>
      </c>
      <c r="BB24" s="270">
        <v>6.4360658413318754</v>
      </c>
      <c r="BC24" s="243">
        <v>4.530733031002371</v>
      </c>
      <c r="BD24" s="243" t="s">
        <v>163</v>
      </c>
      <c r="BE24" s="243" t="s">
        <v>163</v>
      </c>
      <c r="BF24" s="114" t="s">
        <v>163</v>
      </c>
      <c r="BG24" s="114" t="s">
        <v>163</v>
      </c>
      <c r="BH24" s="114" t="s">
        <v>163</v>
      </c>
      <c r="BI24" s="114" t="s">
        <v>163</v>
      </c>
      <c r="BJ24" s="99" t="s">
        <v>163</v>
      </c>
      <c r="BK24" s="130">
        <v>3.3087930963329595</v>
      </c>
      <c r="BL24" s="130">
        <v>0.95750988074910759</v>
      </c>
    </row>
    <row r="25" spans="1:64">
      <c r="A25" s="68">
        <v>45031</v>
      </c>
      <c r="B25" s="91">
        <v>4.5</v>
      </c>
      <c r="D25" s="67">
        <v>42667</v>
      </c>
      <c r="E25" s="73">
        <v>3.5</v>
      </c>
      <c r="G25" s="67">
        <v>42667</v>
      </c>
      <c r="H25" s="73">
        <v>3.5</v>
      </c>
      <c r="J25" s="67">
        <v>42667</v>
      </c>
      <c r="K25" s="73">
        <v>3.5</v>
      </c>
      <c r="M25" s="67">
        <v>42667</v>
      </c>
      <c r="N25" s="73">
        <v>0</v>
      </c>
      <c r="AF25" s="103">
        <v>42339</v>
      </c>
      <c r="AG25" s="104">
        <v>0</v>
      </c>
      <c r="AH25" s="104">
        <v>0</v>
      </c>
      <c r="AI25" s="100">
        <v>42347</v>
      </c>
      <c r="AJ25" s="102">
        <v>25629.083960309032</v>
      </c>
      <c r="AL25" s="217" t="s">
        <v>404</v>
      </c>
      <c r="AM25" s="181" t="s">
        <v>93</v>
      </c>
      <c r="AN25" s="99"/>
      <c r="AO25" s="99"/>
      <c r="AP25" s="243">
        <v>4.7637290459794981</v>
      </c>
      <c r="AQ25" s="270">
        <v>13.70353980264972</v>
      </c>
      <c r="AR25" s="243" t="s">
        <v>163</v>
      </c>
      <c r="AS25" s="114" t="s">
        <v>163</v>
      </c>
      <c r="AT25" s="114" t="s">
        <v>163</v>
      </c>
      <c r="AU25" s="114" t="s">
        <v>163</v>
      </c>
      <c r="AV25" s="114" t="s">
        <v>163</v>
      </c>
      <c r="AW25" s="114">
        <v>4.4438128021688428</v>
      </c>
      <c r="AY25" s="179" t="s">
        <v>71</v>
      </c>
      <c r="AZ25" s="179" t="s">
        <v>178</v>
      </c>
      <c r="BA25" s="243">
        <v>1.2344467953671849</v>
      </c>
      <c r="BB25" s="270">
        <v>6.6480389016108168</v>
      </c>
      <c r="BC25" s="243">
        <v>4.5400117673892231</v>
      </c>
      <c r="BD25" s="243" t="s">
        <v>163</v>
      </c>
      <c r="BE25" s="243">
        <v>1.25</v>
      </c>
      <c r="BF25" s="114">
        <v>1.5553204632815065E-2</v>
      </c>
      <c r="BG25" s="114">
        <v>1.25</v>
      </c>
      <c r="BH25" s="114" t="s">
        <v>163</v>
      </c>
      <c r="BI25" s="114" t="s">
        <v>163</v>
      </c>
      <c r="BJ25" s="99" t="s">
        <v>163</v>
      </c>
      <c r="BK25" s="130">
        <v>3.3055649720220384</v>
      </c>
      <c r="BL25" s="130">
        <v>0.99354593036399863</v>
      </c>
    </row>
    <row r="26" spans="1:64">
      <c r="A26" s="68">
        <v>45397</v>
      </c>
      <c r="B26" s="91">
        <v>4.5</v>
      </c>
      <c r="D26" s="68">
        <v>42691</v>
      </c>
      <c r="E26" s="74">
        <v>3.5</v>
      </c>
      <c r="G26" s="68">
        <v>42691</v>
      </c>
      <c r="H26" s="74">
        <v>3.5</v>
      </c>
      <c r="J26" s="68">
        <v>42691</v>
      </c>
      <c r="K26" s="74">
        <v>3.5</v>
      </c>
      <c r="M26" s="68">
        <v>42691</v>
      </c>
      <c r="N26" s="74">
        <v>0</v>
      </c>
      <c r="AF26" s="294">
        <v>42370</v>
      </c>
      <c r="AG26" s="295">
        <v>5.0000000000000001E-3</v>
      </c>
      <c r="AH26" s="295">
        <v>5.0000000000000001E-3</v>
      </c>
      <c r="AI26" s="100">
        <v>42378</v>
      </c>
      <c r="AJ26" s="102">
        <v>25629.083960309032</v>
      </c>
      <c r="AK26" s="59"/>
      <c r="AL26" s="217"/>
      <c r="AM26" s="181"/>
      <c r="AN26" s="99"/>
      <c r="AO26" s="99"/>
      <c r="AP26" s="243"/>
      <c r="AQ26" s="270"/>
      <c r="AR26" s="243"/>
      <c r="AS26" s="114"/>
      <c r="AT26" s="114"/>
      <c r="AU26" s="114"/>
      <c r="AV26" s="114"/>
      <c r="AW26" s="114"/>
      <c r="AX26" s="214"/>
      <c r="AY26" s="179" t="s">
        <v>71</v>
      </c>
      <c r="AZ26" s="247" t="s">
        <v>179</v>
      </c>
      <c r="BA26" s="243">
        <v>1.2862380418471961</v>
      </c>
      <c r="BB26" s="270">
        <v>7.8981992651529831</v>
      </c>
      <c r="BC26" s="243">
        <v>4.5797071837228316</v>
      </c>
      <c r="BD26" s="243" t="s">
        <v>163</v>
      </c>
      <c r="BE26" s="243" t="s">
        <v>163</v>
      </c>
      <c r="BF26" s="114" t="s">
        <v>163</v>
      </c>
      <c r="BG26" s="114" t="s">
        <v>163</v>
      </c>
      <c r="BH26" s="114" t="s">
        <v>163</v>
      </c>
      <c r="BI26" s="114" t="s">
        <v>163</v>
      </c>
      <c r="BJ26" s="99" t="s">
        <v>163</v>
      </c>
      <c r="BK26" s="130">
        <v>3.2934691418756357</v>
      </c>
      <c r="BL26" s="130">
        <v>1.0834279031828848</v>
      </c>
    </row>
    <row r="27" spans="1:64">
      <c r="A27" s="68">
        <v>45762</v>
      </c>
      <c r="B27" s="91">
        <v>4.5</v>
      </c>
      <c r="D27" s="68">
        <v>42719</v>
      </c>
      <c r="E27" s="74">
        <v>3.5</v>
      </c>
      <c r="G27" s="68">
        <v>42719</v>
      </c>
      <c r="H27" s="74">
        <v>3.5</v>
      </c>
      <c r="J27" s="68">
        <v>42719</v>
      </c>
      <c r="K27" s="74">
        <v>3.5</v>
      </c>
      <c r="M27" s="68">
        <v>42719</v>
      </c>
      <c r="N27" s="74">
        <v>0</v>
      </c>
      <c r="AF27" s="294">
        <v>42401</v>
      </c>
      <c r="AG27" s="295">
        <v>3.0000000000000001E-3</v>
      </c>
      <c r="AH27" s="295">
        <v>3.0000000000000001E-3</v>
      </c>
      <c r="AI27" s="100">
        <v>42409</v>
      </c>
      <c r="AJ27" s="102">
        <v>25629.083960309032</v>
      </c>
      <c r="AK27" s="59"/>
      <c r="AL27" s="217"/>
      <c r="AM27" s="181"/>
      <c r="AP27" s="270"/>
      <c r="AQ27" s="270"/>
      <c r="AR27" s="536"/>
      <c r="AS27" s="99"/>
      <c r="AT27" s="99"/>
      <c r="AU27" s="99"/>
      <c r="AV27" s="99"/>
      <c r="AW27" s="99"/>
      <c r="AY27" s="179" t="s">
        <v>71</v>
      </c>
      <c r="AZ27" s="179" t="s">
        <v>444</v>
      </c>
      <c r="BA27" s="243">
        <v>1.3104572691536627</v>
      </c>
      <c r="BB27" s="270">
        <v>8.6389691557015205</v>
      </c>
      <c r="BC27" s="243">
        <v>4.5990083298161304</v>
      </c>
      <c r="BD27" s="243">
        <v>4.1900000000000004</v>
      </c>
      <c r="BE27" s="243">
        <v>1.27</v>
      </c>
      <c r="BF27" s="114">
        <v>-4.0457269153662656E-2</v>
      </c>
      <c r="BG27" s="114">
        <v>1.27</v>
      </c>
      <c r="BH27" s="114">
        <v>1.23</v>
      </c>
      <c r="BI27" s="114">
        <v>4.0000000000000036E-2</v>
      </c>
      <c r="BJ27" s="99">
        <v>2.9200000000000004</v>
      </c>
      <c r="BK27" s="130">
        <v>3.2885510606624679</v>
      </c>
      <c r="BL27" s="130">
        <v>1.1324678581359531</v>
      </c>
    </row>
    <row r="28" spans="1:64">
      <c r="A28" s="68">
        <v>46127</v>
      </c>
      <c r="B28" s="91">
        <v>4.5</v>
      </c>
      <c r="D28" s="68">
        <v>42750</v>
      </c>
      <c r="E28" s="74">
        <v>3.5</v>
      </c>
      <c r="G28" s="68">
        <v>42750</v>
      </c>
      <c r="H28" s="74">
        <v>3.5</v>
      </c>
      <c r="J28" s="68">
        <v>42750</v>
      </c>
      <c r="K28" s="74">
        <v>3.5</v>
      </c>
      <c r="M28" s="68">
        <v>42750</v>
      </c>
      <c r="N28" s="74">
        <v>0</v>
      </c>
      <c r="AF28" s="294">
        <v>42430</v>
      </c>
      <c r="AG28" s="295">
        <v>4.0000000000000001E-3</v>
      </c>
      <c r="AH28" s="295">
        <v>4.0000000000000001E-3</v>
      </c>
      <c r="AI28" s="100">
        <v>42438</v>
      </c>
      <c r="AJ28" s="102">
        <v>25757.229380110573</v>
      </c>
      <c r="AK28" s="214"/>
      <c r="AL28" s="23"/>
      <c r="AM28" s="23"/>
      <c r="AP28" s="100"/>
      <c r="AQ28" s="245"/>
      <c r="AR28" s="245">
        <v>4.55</v>
      </c>
      <c r="AS28" s="23">
        <v>4.9166666666666657E-2</v>
      </c>
      <c r="AX28" s="23" t="s">
        <v>173</v>
      </c>
      <c r="AY28" s="179" t="s">
        <v>71</v>
      </c>
      <c r="AZ28" s="179" t="s">
        <v>177</v>
      </c>
      <c r="BA28" s="243">
        <v>1.3228580573914712</v>
      </c>
      <c r="BB28" s="270">
        <v>8.9479170664603416</v>
      </c>
      <c r="BC28" s="243">
        <v>4.6080949925394394</v>
      </c>
      <c r="BD28" s="243" t="s">
        <v>163</v>
      </c>
      <c r="BE28" s="243" t="s">
        <v>163</v>
      </c>
      <c r="BF28" s="114" t="s">
        <v>163</v>
      </c>
      <c r="BG28" s="114" t="s">
        <v>163</v>
      </c>
      <c r="BH28" s="114" t="s">
        <v>163</v>
      </c>
      <c r="BI28" s="114" t="s">
        <v>163</v>
      </c>
      <c r="BJ28" s="99" t="s">
        <v>163</v>
      </c>
      <c r="BK28" s="130">
        <v>3.2852369351479682</v>
      </c>
      <c r="BL28" s="130">
        <v>1.1728756422640705</v>
      </c>
    </row>
    <row r="29" spans="1:64" ht="15.75" thickBot="1">
      <c r="A29" s="69">
        <v>46492</v>
      </c>
      <c r="B29" s="92">
        <v>4.5</v>
      </c>
      <c r="D29" s="68">
        <v>42781</v>
      </c>
      <c r="E29" s="74">
        <v>3.5</v>
      </c>
      <c r="G29" s="68">
        <v>42781</v>
      </c>
      <c r="H29" s="74">
        <v>3.5</v>
      </c>
      <c r="J29" s="68">
        <v>42781</v>
      </c>
      <c r="K29" s="74">
        <v>3.5</v>
      </c>
      <c r="M29" s="68">
        <v>42781</v>
      </c>
      <c r="N29" s="74">
        <v>0</v>
      </c>
      <c r="Q29" s="1" t="s">
        <v>2</v>
      </c>
      <c r="R29" s="1">
        <v>1</v>
      </c>
      <c r="S29" s="1"/>
      <c r="T29" s="1"/>
      <c r="U29" s="1"/>
      <c r="V29" s="348">
        <v>26249.67</v>
      </c>
      <c r="W29" s="1"/>
      <c r="X29" s="1"/>
      <c r="Y29" s="1"/>
      <c r="Z29" s="1"/>
      <c r="AA29" s="1" t="s">
        <v>2</v>
      </c>
      <c r="AB29" s="1">
        <v>30</v>
      </c>
      <c r="AC29" s="1"/>
      <c r="AD29" s="1"/>
      <c r="AF29" s="294">
        <v>42461</v>
      </c>
      <c r="AG29" s="295">
        <v>3.0000000000000001E-3</v>
      </c>
      <c r="AH29" s="295">
        <v>3.0000000000000001E-3</v>
      </c>
      <c r="AI29" s="100">
        <v>42469</v>
      </c>
      <c r="AJ29" s="102">
        <v>25834.501068250902</v>
      </c>
      <c r="AL29" s="23"/>
      <c r="AM29" s="245"/>
      <c r="AP29" s="100"/>
      <c r="AR29" s="23">
        <v>3.96</v>
      </c>
      <c r="AS29" s="245">
        <v>0.58999999999999986</v>
      </c>
      <c r="AV29" s="245"/>
      <c r="AX29" s="214"/>
      <c r="AY29" s="179" t="s">
        <v>163</v>
      </c>
      <c r="AZ29" s="278" t="s">
        <v>180</v>
      </c>
      <c r="BA29" s="243">
        <v>1.3453092383504335</v>
      </c>
      <c r="BB29" s="270">
        <v>9.6973951217382606</v>
      </c>
      <c r="BC29" s="243">
        <v>4.6256683427160903</v>
      </c>
      <c r="BD29" s="243" t="s">
        <v>163</v>
      </c>
      <c r="BE29" s="243" t="s">
        <v>163</v>
      </c>
      <c r="BF29" s="114" t="s">
        <v>163</v>
      </c>
      <c r="BG29" s="114" t="s">
        <v>163</v>
      </c>
      <c r="BH29" s="114" t="s">
        <v>163</v>
      </c>
      <c r="BI29" s="114" t="s">
        <v>163</v>
      </c>
      <c r="BJ29" s="99" t="s">
        <v>163</v>
      </c>
      <c r="BK29" s="130">
        <v>3.2803591043656568</v>
      </c>
      <c r="BL29" s="130">
        <v>1.1852483315354445</v>
      </c>
    </row>
    <row r="30" spans="1:64" ht="15.75" thickBot="1">
      <c r="D30" s="68">
        <v>42809</v>
      </c>
      <c r="E30" s="74">
        <v>3.25</v>
      </c>
      <c r="G30" s="68">
        <v>42809</v>
      </c>
      <c r="H30" s="74">
        <v>3.5</v>
      </c>
      <c r="J30" s="68">
        <v>42809</v>
      </c>
      <c r="K30" s="74">
        <v>3.5</v>
      </c>
      <c r="M30" s="68">
        <v>42809</v>
      </c>
      <c r="N30" s="74">
        <v>0</v>
      </c>
      <c r="Q30" s="5" t="s">
        <v>3</v>
      </c>
      <c r="R30" s="5" t="s">
        <v>1</v>
      </c>
      <c r="S30" s="5" t="s">
        <v>4</v>
      </c>
      <c r="T30" s="9" t="s">
        <v>5</v>
      </c>
      <c r="U30" s="105" t="s">
        <v>320</v>
      </c>
      <c r="V30" s="9" t="s">
        <v>96</v>
      </c>
      <c r="W30" s="105" t="s">
        <v>343</v>
      </c>
      <c r="X30" s="142" t="s">
        <v>132</v>
      </c>
      <c r="Y30" s="105" t="s">
        <v>133</v>
      </c>
      <c r="Z30" s="1"/>
      <c r="AA30" s="5" t="s">
        <v>6</v>
      </c>
      <c r="AB30" s="105" t="s">
        <v>97</v>
      </c>
      <c r="AC30" s="105" t="s">
        <v>6</v>
      </c>
      <c r="AD30" s="107" t="s">
        <v>98</v>
      </c>
      <c r="AF30" s="294">
        <v>42491</v>
      </c>
      <c r="AG30" s="295">
        <v>2E-3</v>
      </c>
      <c r="AH30" s="295">
        <v>2E-3</v>
      </c>
      <c r="AI30" s="100">
        <v>42499</v>
      </c>
      <c r="AJ30" s="102">
        <v>25937.839072523904</v>
      </c>
      <c r="AL30" s="23"/>
      <c r="AM30" s="23"/>
      <c r="AP30" s="537"/>
      <c r="AR30" s="245"/>
      <c r="AV30" s="59"/>
      <c r="AY30" s="179" t="s">
        <v>163</v>
      </c>
      <c r="AZ30" s="179" t="s">
        <v>181</v>
      </c>
      <c r="BA30" s="243">
        <v>1.3487483119285761</v>
      </c>
      <c r="BB30" s="270">
        <v>9.7377065863443892</v>
      </c>
      <c r="BC30" s="243">
        <v>4.6284678133792854</v>
      </c>
      <c r="BD30" s="243" t="s">
        <v>163</v>
      </c>
      <c r="BE30" s="243" t="s">
        <v>163</v>
      </c>
      <c r="BF30" s="114" t="s">
        <v>163</v>
      </c>
      <c r="BG30" s="114" t="s">
        <v>163</v>
      </c>
      <c r="BH30" s="114" t="s">
        <v>163</v>
      </c>
      <c r="BI30" s="114" t="s">
        <v>163</v>
      </c>
      <c r="BJ30" s="99" t="s">
        <v>163</v>
      </c>
      <c r="BK30" s="130">
        <v>3.2797195014507095</v>
      </c>
      <c r="BL30" s="130">
        <v>1.1872262923700843</v>
      </c>
    </row>
    <row r="31" spans="1:64" ht="15.75" thickBot="1">
      <c r="A31" s="70" t="s">
        <v>25</v>
      </c>
      <c r="D31" s="68">
        <v>42840</v>
      </c>
      <c r="E31" s="74">
        <v>3</v>
      </c>
      <c r="G31" s="68">
        <v>42840</v>
      </c>
      <c r="H31" s="74">
        <v>3.5</v>
      </c>
      <c r="J31" s="68">
        <v>42840</v>
      </c>
      <c r="K31" s="74">
        <v>3.5</v>
      </c>
      <c r="M31" s="68">
        <v>42840</v>
      </c>
      <c r="N31" s="74">
        <v>0</v>
      </c>
      <c r="Q31" s="6">
        <v>1</v>
      </c>
      <c r="R31" s="7">
        <v>42668</v>
      </c>
      <c r="S31" s="210">
        <v>3.5</v>
      </c>
      <c r="T31" s="8">
        <v>1.0000972222222222</v>
      </c>
      <c r="U31" s="98">
        <v>3.6121470212073792</v>
      </c>
      <c r="V31" s="106">
        <v>26251.355697852185</v>
      </c>
      <c r="W31" s="10">
        <v>1.2118457462010568</v>
      </c>
      <c r="X31" s="413">
        <v>1.1880804435540071</v>
      </c>
      <c r="Y31" s="414">
        <v>0.29166666666657903</v>
      </c>
      <c r="Z31" s="1"/>
      <c r="AA31" s="3">
        <v>1</v>
      </c>
      <c r="AB31" s="11">
        <v>3.6122164656518234</v>
      </c>
      <c r="AC31" s="8">
        <v>1</v>
      </c>
      <c r="AD31" s="108">
        <v>1.2119151906455012</v>
      </c>
      <c r="AF31" s="294">
        <v>42522</v>
      </c>
      <c r="AG31" s="295">
        <v>4.0000000000000001E-3</v>
      </c>
      <c r="AH31" s="295">
        <v>4.0000000000000001E-3</v>
      </c>
      <c r="AI31" s="100">
        <v>42530</v>
      </c>
      <c r="AJ31" s="102">
        <v>26015.652589741472</v>
      </c>
      <c r="AL31" s="269"/>
      <c r="AM31" s="100"/>
      <c r="AP31" s="102"/>
      <c r="AS31" s="100"/>
      <c r="AV31" s="59"/>
      <c r="AY31" s="179" t="s">
        <v>163</v>
      </c>
      <c r="AZ31" s="179" t="s">
        <v>182</v>
      </c>
      <c r="BA31" s="243">
        <v>1.3650100153492901</v>
      </c>
      <c r="BB31" s="270">
        <v>10.428278982821043</v>
      </c>
      <c r="BC31" s="243">
        <v>4.641162309140574</v>
      </c>
      <c r="BD31" s="243" t="s">
        <v>163</v>
      </c>
      <c r="BE31" s="243" t="s">
        <v>163</v>
      </c>
      <c r="BF31" s="114" t="s">
        <v>163</v>
      </c>
      <c r="BG31" s="114" t="s">
        <v>163</v>
      </c>
      <c r="BH31" s="114" t="s">
        <v>163</v>
      </c>
      <c r="BI31" s="114" t="s">
        <v>163</v>
      </c>
      <c r="BJ31" s="99" t="s">
        <v>163</v>
      </c>
      <c r="BK31" s="130">
        <v>3.2761522937912839</v>
      </c>
      <c r="BL31" s="130">
        <v>1.1970464646612722</v>
      </c>
    </row>
    <row r="32" spans="1:64" ht="15.75" thickBot="1">
      <c r="A32" s="24" t="s">
        <v>36</v>
      </c>
      <c r="B32" s="82">
        <v>1.2</v>
      </c>
      <c r="D32" s="68">
        <v>42870</v>
      </c>
      <c r="E32" s="74">
        <v>3</v>
      </c>
      <c r="G32" s="68">
        <v>42870</v>
      </c>
      <c r="H32" s="74">
        <v>3.5</v>
      </c>
      <c r="J32" s="68">
        <v>42870</v>
      </c>
      <c r="K32" s="74">
        <v>3.5</v>
      </c>
      <c r="M32" s="68">
        <v>42870</v>
      </c>
      <c r="N32" s="74">
        <v>0</v>
      </c>
      <c r="Q32" s="6">
        <v>2</v>
      </c>
      <c r="R32" s="7">
        <v>42669</v>
      </c>
      <c r="S32" s="210">
        <v>3.5</v>
      </c>
      <c r="T32" s="8">
        <v>1.0000972222222222</v>
      </c>
      <c r="U32" s="98">
        <v>3.6121470212073348</v>
      </c>
      <c r="V32" s="106">
        <v>26253.047696848127</v>
      </c>
      <c r="W32" s="10">
        <v>1.207488634596432</v>
      </c>
      <c r="X32" s="413">
        <v>1.1838537065176347</v>
      </c>
      <c r="Y32" s="414">
        <v>0.29168084490716062</v>
      </c>
      <c r="Z32" s="1"/>
      <c r="AA32" s="3">
        <v>30</v>
      </c>
      <c r="AB32" s="11">
        <v>3.6142303545425554</v>
      </c>
      <c r="AC32" s="8">
        <v>30</v>
      </c>
      <c r="AD32" s="108">
        <v>-1.1998383913179225</v>
      </c>
      <c r="AF32" s="294">
        <v>42552</v>
      </c>
      <c r="AG32" s="295">
        <v>2E-3</v>
      </c>
      <c r="AH32" s="295">
        <v>2E-3</v>
      </c>
      <c r="AI32" s="100">
        <v>42560</v>
      </c>
      <c r="AJ32" s="102">
        <v>26067.683894920956</v>
      </c>
      <c r="AL32" s="23"/>
      <c r="AM32" s="23"/>
      <c r="AR32" s="245"/>
      <c r="AV32" s="59"/>
      <c r="AW32" s="245"/>
      <c r="AX32" s="245"/>
      <c r="AY32" s="217" t="s">
        <v>163</v>
      </c>
      <c r="AZ32" s="221" t="s">
        <v>172</v>
      </c>
      <c r="BA32" s="243">
        <v>1.3794551636198797</v>
      </c>
      <c r="BB32" s="270">
        <v>10.983143703979255</v>
      </c>
      <c r="BC32" s="243">
        <v>4.6529024345468812</v>
      </c>
      <c r="BD32" s="243" t="s">
        <v>163</v>
      </c>
      <c r="BE32" s="243" t="s">
        <v>163</v>
      </c>
      <c r="BF32" s="114" t="s">
        <v>163</v>
      </c>
      <c r="BG32" s="114" t="s">
        <v>163</v>
      </c>
      <c r="BH32" s="114" t="s">
        <v>163</v>
      </c>
      <c r="BI32" s="114" t="s">
        <v>163</v>
      </c>
      <c r="BJ32" s="99" t="s">
        <v>163</v>
      </c>
      <c r="BK32" s="130">
        <v>3.2734472709270017</v>
      </c>
      <c r="BL32" s="130">
        <v>1.2065801822437381</v>
      </c>
    </row>
    <row r="33" spans="1:64">
      <c r="B33" s="553">
        <v>1.2</v>
      </c>
      <c r="D33" s="68">
        <v>42901</v>
      </c>
      <c r="E33" s="74">
        <v>3</v>
      </c>
      <c r="G33" s="68">
        <v>42901</v>
      </c>
      <c r="H33" s="74">
        <v>3.5</v>
      </c>
      <c r="J33" s="68">
        <v>42901</v>
      </c>
      <c r="K33" s="74">
        <v>3.5</v>
      </c>
      <c r="M33" s="68">
        <v>42901</v>
      </c>
      <c r="N33" s="74">
        <v>0</v>
      </c>
      <c r="Q33" s="6">
        <v>3</v>
      </c>
      <c r="R33" s="7">
        <v>42670</v>
      </c>
      <c r="S33" s="210">
        <v>3.5</v>
      </c>
      <c r="T33" s="8">
        <v>1.0000972222222222</v>
      </c>
      <c r="U33" s="98">
        <v>3.6121470212091777</v>
      </c>
      <c r="V33" s="106">
        <v>26254.739804899793</v>
      </c>
      <c r="W33" s="10">
        <v>1.20603630574867</v>
      </c>
      <c r="X33" s="413">
        <v>1.1824576781940266</v>
      </c>
      <c r="Y33" s="414">
        <v>0.29169502406700687</v>
      </c>
      <c r="Z33" s="1"/>
      <c r="AA33" s="3">
        <v>60</v>
      </c>
      <c r="AB33" s="11">
        <v>3.6163136878755782</v>
      </c>
      <c r="AC33" s="8">
        <v>60</v>
      </c>
      <c r="AD33" s="108">
        <v>-1.5812807966670002</v>
      </c>
      <c r="AF33" s="294">
        <v>42583</v>
      </c>
      <c r="AG33" s="295">
        <v>0</v>
      </c>
      <c r="AH33" s="295">
        <v>0</v>
      </c>
      <c r="AI33" s="100">
        <v>42591</v>
      </c>
      <c r="AJ33" s="102">
        <v>26171.954630500641</v>
      </c>
      <c r="AL33" s="23"/>
      <c r="AM33" s="23"/>
      <c r="AW33" s="245"/>
      <c r="AY33" s="217" t="s">
        <v>163</v>
      </c>
      <c r="AZ33" s="268" t="s">
        <v>77</v>
      </c>
      <c r="BA33" s="243">
        <v>1.3972066757352486</v>
      </c>
      <c r="BB33" s="270">
        <v>11.765967995177007</v>
      </c>
      <c r="BC33" s="243">
        <v>4.6667348650962346</v>
      </c>
      <c r="BD33" s="243" t="s">
        <v>163</v>
      </c>
      <c r="BE33" s="243" t="s">
        <v>163</v>
      </c>
      <c r="BF33" s="114" t="s">
        <v>163</v>
      </c>
      <c r="BG33" s="114" t="s">
        <v>163</v>
      </c>
      <c r="BH33" s="114" t="s">
        <v>163</v>
      </c>
      <c r="BI33" s="114" t="s">
        <v>163</v>
      </c>
      <c r="BJ33" s="99" t="s">
        <v>163</v>
      </c>
      <c r="BK33" s="130">
        <v>3.2695281893609858</v>
      </c>
      <c r="BL33" s="130">
        <v>1.2185720068239754</v>
      </c>
    </row>
    <row r="34" spans="1:64">
      <c r="D34" s="68">
        <v>42931</v>
      </c>
      <c r="E34" s="74">
        <v>3</v>
      </c>
      <c r="G34" s="68">
        <v>42931</v>
      </c>
      <c r="H34" s="74">
        <v>3.5</v>
      </c>
      <c r="J34" s="68">
        <v>42931</v>
      </c>
      <c r="K34" s="74">
        <v>3.5</v>
      </c>
      <c r="M34" s="68">
        <v>42931</v>
      </c>
      <c r="N34" s="74">
        <v>0</v>
      </c>
      <c r="Q34" s="6">
        <v>4</v>
      </c>
      <c r="R34" s="7">
        <v>42671</v>
      </c>
      <c r="S34" s="210">
        <v>3.5</v>
      </c>
      <c r="T34" s="8">
        <v>1.0000972222222222</v>
      </c>
      <c r="U34" s="98">
        <v>3.6121470212097995</v>
      </c>
      <c r="V34" s="106">
        <v>26256.432022014211</v>
      </c>
      <c r="W34" s="10">
        <v>1.2053101491386942</v>
      </c>
      <c r="X34" s="413">
        <v>1.1817693273603602</v>
      </c>
      <c r="Y34" s="414">
        <v>0.29170920414578472</v>
      </c>
      <c r="Z34" s="1"/>
      <c r="AA34" s="3">
        <v>90</v>
      </c>
      <c r="AB34" s="11">
        <v>3.618397021208867</v>
      </c>
      <c r="AC34" s="8">
        <v>90</v>
      </c>
      <c r="AD34" s="108">
        <v>-1.0039340512354298</v>
      </c>
      <c r="AF34" s="294">
        <v>42614</v>
      </c>
      <c r="AG34" s="295">
        <v>2E-3</v>
      </c>
      <c r="AH34" s="295">
        <v>2E-3</v>
      </c>
      <c r="AI34" s="100">
        <v>42622</v>
      </c>
      <c r="AJ34" s="102">
        <v>26224.298539761643</v>
      </c>
      <c r="AL34" s="23"/>
      <c r="AM34" s="23"/>
      <c r="AY34" s="217" t="s">
        <v>163</v>
      </c>
      <c r="AZ34" s="242" t="s">
        <v>78</v>
      </c>
      <c r="BA34" s="243">
        <v>1.4108604112563878</v>
      </c>
      <c r="BB34" s="270">
        <v>12.367212959713852</v>
      </c>
      <c r="BC34" s="243">
        <v>4.6777092708149439</v>
      </c>
      <c r="BD34" s="243" t="s">
        <v>163</v>
      </c>
      <c r="BE34" s="243" t="s">
        <v>163</v>
      </c>
      <c r="BF34" s="114" t="s">
        <v>163</v>
      </c>
      <c r="BG34" s="114" t="s">
        <v>163</v>
      </c>
      <c r="BH34" s="114" t="s">
        <v>163</v>
      </c>
      <c r="BI34" s="114" t="s">
        <v>163</v>
      </c>
      <c r="BJ34" s="99" t="s">
        <v>163</v>
      </c>
      <c r="BK34" s="130">
        <v>3.2668488595585563</v>
      </c>
      <c r="BL34" s="130">
        <v>1.2286428670365075</v>
      </c>
    </row>
    <row r="35" spans="1:64">
      <c r="D35" s="68">
        <v>43023</v>
      </c>
      <c r="E35" s="74">
        <v>3</v>
      </c>
      <c r="G35" s="68">
        <v>43023</v>
      </c>
      <c r="H35" s="74">
        <v>3.5</v>
      </c>
      <c r="J35" s="68">
        <v>43023</v>
      </c>
      <c r="K35" s="74">
        <v>3.75</v>
      </c>
      <c r="M35" s="68">
        <v>43023</v>
      </c>
      <c r="N35" s="74">
        <v>0</v>
      </c>
      <c r="Q35" s="6">
        <v>5</v>
      </c>
      <c r="R35" s="7">
        <v>42672</v>
      </c>
      <c r="S35" s="210">
        <v>3.5</v>
      </c>
      <c r="T35" s="8">
        <v>1.0000972222222222</v>
      </c>
      <c r="U35" s="98">
        <v>3.6121470212089557</v>
      </c>
      <c r="V35" s="106">
        <v>26258.124348198413</v>
      </c>
      <c r="W35" s="10">
        <v>1.2048744576754311</v>
      </c>
      <c r="X35" s="413">
        <v>1.1813640477784659</v>
      </c>
      <c r="Y35" s="414">
        <v>0.29172338514356078</v>
      </c>
      <c r="Z35" s="1"/>
      <c r="AA35" s="3">
        <v>120</v>
      </c>
      <c r="AB35" s="11">
        <v>3.6204803545423778</v>
      </c>
      <c r="AC35" s="8">
        <v>120</v>
      </c>
      <c r="AD35" s="108">
        <v>-0.61199885528714271</v>
      </c>
      <c r="AF35" s="294">
        <v>42644</v>
      </c>
      <c r="AG35" s="295">
        <v>3.6629339625333657E-3</v>
      </c>
      <c r="AH35" s="295">
        <v>6.1892157935616102E-3</v>
      </c>
      <c r="AI35" s="100">
        <v>42652</v>
      </c>
      <c r="AJ35" s="102">
        <v>26224.298539761643</v>
      </c>
      <c r="AL35" s="23"/>
      <c r="AM35" s="23"/>
      <c r="AY35" s="217" t="s">
        <v>76</v>
      </c>
      <c r="AZ35" s="179" t="s">
        <v>79</v>
      </c>
      <c r="BA35" s="243">
        <v>1.4405111871489051</v>
      </c>
      <c r="BB35" s="270">
        <v>13.69462497393279</v>
      </c>
      <c r="BC35" s="243">
        <v>4.700947819982173</v>
      </c>
      <c r="BD35" s="243" t="s">
        <v>163</v>
      </c>
      <c r="BE35" s="243" t="s">
        <v>163</v>
      </c>
      <c r="BF35" s="114" t="s">
        <v>163</v>
      </c>
      <c r="BG35" s="114" t="s">
        <v>163</v>
      </c>
      <c r="BH35" s="114" t="s">
        <v>163</v>
      </c>
      <c r="BI35" s="114" t="s">
        <v>163</v>
      </c>
      <c r="BJ35" s="99" t="s">
        <v>163</v>
      </c>
      <c r="BK35" s="130">
        <v>3.2604366328332679</v>
      </c>
      <c r="BL35" s="130">
        <v>1.2523114780471107</v>
      </c>
    </row>
    <row r="36" spans="1:64">
      <c r="D36" s="68">
        <v>43115</v>
      </c>
      <c r="E36" s="74">
        <v>3</v>
      </c>
      <c r="G36" s="68">
        <v>43115</v>
      </c>
      <c r="H36" s="74">
        <v>3.5</v>
      </c>
      <c r="J36" s="68">
        <v>43115</v>
      </c>
      <c r="K36" s="74">
        <v>4</v>
      </c>
      <c r="M36" s="68">
        <v>43115</v>
      </c>
      <c r="N36" s="74">
        <v>0</v>
      </c>
      <c r="Q36" s="6">
        <v>6</v>
      </c>
      <c r="R36" s="7">
        <v>42673</v>
      </c>
      <c r="S36" s="210">
        <v>3.5</v>
      </c>
      <c r="T36" s="8">
        <v>1.0000972222222222</v>
      </c>
      <c r="U36" s="98">
        <v>3.6121470212096884</v>
      </c>
      <c r="V36" s="106">
        <v>26259.816783459428</v>
      </c>
      <c r="W36" s="10">
        <v>1.2045839977403716</v>
      </c>
      <c r="X36" s="413">
        <v>1.1811003040316237</v>
      </c>
      <c r="Y36" s="414">
        <v>0.29173756706057929</v>
      </c>
      <c r="Z36" s="1"/>
      <c r="AA36" s="3">
        <v>150</v>
      </c>
      <c r="AB36" s="11">
        <v>3.6225636878757776</v>
      </c>
      <c r="AC36" s="8">
        <v>150</v>
      </c>
      <c r="AD36" s="108">
        <v>-0.25443868717597456</v>
      </c>
      <c r="AF36" s="294">
        <v>42675</v>
      </c>
      <c r="AG36" s="295">
        <v>2.6542297046217023E-4</v>
      </c>
      <c r="AH36" s="295">
        <v>2.7917048014904147E-3</v>
      </c>
      <c r="AI36" s="100">
        <v>42683</v>
      </c>
      <c r="AJ36" s="102">
        <v>26276.747136841168</v>
      </c>
      <c r="AL36" s="23"/>
      <c r="AM36" s="23"/>
      <c r="AY36" s="217" t="s">
        <v>76</v>
      </c>
      <c r="AZ36" s="247" t="s">
        <v>450</v>
      </c>
      <c r="BA36" s="243">
        <v>1.4678962440982553</v>
      </c>
      <c r="BB36" s="270">
        <v>15.336024550211398</v>
      </c>
      <c r="BC36" s="243">
        <v>4.7244878381629087</v>
      </c>
      <c r="BD36" s="243" t="s">
        <v>163</v>
      </c>
      <c r="BE36" s="243">
        <v>1.51</v>
      </c>
      <c r="BF36" s="114">
        <v>4.2103755901744755E-2</v>
      </c>
      <c r="BG36" s="114" t="s">
        <v>163</v>
      </c>
      <c r="BH36" s="114">
        <v>1.51</v>
      </c>
      <c r="BI36" s="114" t="s">
        <v>163</v>
      </c>
      <c r="BJ36" s="99" t="s">
        <v>163</v>
      </c>
      <c r="BK36" s="130">
        <v>3.2565915940646537</v>
      </c>
      <c r="BL36" s="130">
        <v>1.275161061302126</v>
      </c>
    </row>
    <row r="37" spans="1:64">
      <c r="A37" s="85"/>
      <c r="D37" s="68">
        <v>43205</v>
      </c>
      <c r="E37" s="74">
        <v>3.5</v>
      </c>
      <c r="G37" s="68">
        <v>43205</v>
      </c>
      <c r="H37" s="74">
        <v>3.5</v>
      </c>
      <c r="J37" s="68">
        <v>43205</v>
      </c>
      <c r="K37" s="74">
        <v>4.25</v>
      </c>
      <c r="M37" s="68">
        <v>43205</v>
      </c>
      <c r="N37" s="74">
        <v>0</v>
      </c>
      <c r="Q37" s="6">
        <v>7</v>
      </c>
      <c r="R37" s="7">
        <v>42674</v>
      </c>
      <c r="S37" s="210">
        <v>3.5</v>
      </c>
      <c r="T37" s="8">
        <v>1.0000972222222222</v>
      </c>
      <c r="U37" s="98">
        <v>3.6121470212092222</v>
      </c>
      <c r="V37" s="106">
        <v>26261.509327804284</v>
      </c>
      <c r="W37" s="10">
        <v>1.2043765268676454</v>
      </c>
      <c r="X37" s="413">
        <v>1.1809174380852383</v>
      </c>
      <c r="Y37" s="414">
        <v>0.29175174989675462</v>
      </c>
      <c r="Z37" s="1"/>
      <c r="AA37" s="3">
        <v>180</v>
      </c>
      <c r="AB37" s="11">
        <v>3.6246470212093778</v>
      </c>
      <c r="AC37" s="8">
        <v>180</v>
      </c>
      <c r="AD37" s="108">
        <v>-0.33977104163552124</v>
      </c>
      <c r="AF37" s="294">
        <v>42705</v>
      </c>
      <c r="AG37" s="295">
        <v>4.9279757391973433E-4</v>
      </c>
      <c r="AH37" s="295">
        <v>3.0190794049479788E-3</v>
      </c>
      <c r="AI37" s="100">
        <v>42713</v>
      </c>
      <c r="AJ37" s="102">
        <v>26439.379595223931</v>
      </c>
      <c r="AL37" s="23"/>
      <c r="AM37" s="23"/>
      <c r="AY37" s="217" t="s">
        <v>76</v>
      </c>
      <c r="AZ37" s="179" t="s">
        <v>176</v>
      </c>
      <c r="BA37" s="243">
        <v>1.4997325396494003</v>
      </c>
      <c r="BB37" s="270">
        <v>16.344905440307386</v>
      </c>
      <c r="BC37" s="243">
        <v>4.7461375559742862</v>
      </c>
      <c r="BD37" s="243" t="s">
        <v>163</v>
      </c>
      <c r="BE37" s="243" t="s">
        <v>163</v>
      </c>
      <c r="BF37" s="114" t="s">
        <v>163</v>
      </c>
      <c r="BG37" s="114" t="s">
        <v>163</v>
      </c>
      <c r="BH37" s="114" t="s">
        <v>163</v>
      </c>
      <c r="BI37" s="114" t="s">
        <v>163</v>
      </c>
      <c r="BJ37" s="99" t="s">
        <v>163</v>
      </c>
      <c r="BK37" s="130">
        <v>3.2464050163248857</v>
      </c>
      <c r="BL37" s="130">
        <v>1.2989987870175512</v>
      </c>
    </row>
    <row r="38" spans="1:64">
      <c r="D38" s="68">
        <v>43570</v>
      </c>
      <c r="E38" s="74">
        <v>3.5</v>
      </c>
      <c r="G38" s="68">
        <v>43570</v>
      </c>
      <c r="H38" s="74">
        <v>4.25</v>
      </c>
      <c r="J38" s="68">
        <v>43570</v>
      </c>
      <c r="K38" s="74">
        <v>4.5</v>
      </c>
      <c r="M38" s="68">
        <v>43570</v>
      </c>
      <c r="N38" s="74">
        <v>0</v>
      </c>
      <c r="Q38" s="6">
        <v>8</v>
      </c>
      <c r="R38" s="7">
        <v>42675</v>
      </c>
      <c r="S38" s="210">
        <v>3.5</v>
      </c>
      <c r="T38" s="8">
        <v>1.0000972222222222</v>
      </c>
      <c r="U38" s="98">
        <v>3.612147021209644</v>
      </c>
      <c r="V38" s="106">
        <v>26263.20198124001</v>
      </c>
      <c r="W38" s="10">
        <v>1.2042209239947477</v>
      </c>
      <c r="X38" s="413">
        <v>1.180785120926009</v>
      </c>
      <c r="Y38" s="414">
        <v>0.29176593365229375</v>
      </c>
      <c r="Z38" s="1"/>
      <c r="AA38" s="3">
        <v>210</v>
      </c>
      <c r="AB38" s="11">
        <v>3.626730354542711</v>
      </c>
      <c r="AC38" s="8">
        <v>210</v>
      </c>
      <c r="AD38" s="108">
        <v>-0.53086696358116259</v>
      </c>
      <c r="AF38" s="176">
        <v>42736</v>
      </c>
      <c r="AG38" s="177">
        <v>1.0608873564961208E-3</v>
      </c>
      <c r="AH38" s="177">
        <v>1.6543490448462073E-3</v>
      </c>
      <c r="AI38" s="100">
        <v>42744</v>
      </c>
      <c r="AJ38" s="102">
        <v>26513.190538188348</v>
      </c>
      <c r="AL38" s="23"/>
      <c r="AM38" s="23"/>
      <c r="AY38" s="217" t="s">
        <v>163</v>
      </c>
      <c r="AZ38" s="179" t="s">
        <v>183</v>
      </c>
      <c r="BA38" s="243">
        <v>1.5134025250497045</v>
      </c>
      <c r="BB38" s="270">
        <v>16.935312699628177</v>
      </c>
      <c r="BC38" s="243">
        <v>4.7563787564191262</v>
      </c>
      <c r="BD38" s="243" t="s">
        <v>163</v>
      </c>
      <c r="BE38" s="243" t="s">
        <v>163</v>
      </c>
      <c r="BF38" s="114" t="s">
        <v>163</v>
      </c>
      <c r="BG38" s="114" t="s">
        <v>163</v>
      </c>
      <c r="BH38" s="114" t="s">
        <v>163</v>
      </c>
      <c r="BI38" s="114" t="s">
        <v>163</v>
      </c>
      <c r="BJ38" s="99" t="s">
        <v>163</v>
      </c>
      <c r="BK38" s="130">
        <v>3.2429762313694219</v>
      </c>
      <c r="BL38" s="130">
        <v>1.3097897380641639</v>
      </c>
    </row>
    <row r="39" spans="1:64">
      <c r="A39" s="86"/>
      <c r="D39" s="68">
        <v>43936</v>
      </c>
      <c r="E39" s="74">
        <v>4</v>
      </c>
      <c r="G39" s="68">
        <v>43936</v>
      </c>
      <c r="H39" s="74">
        <v>4.25</v>
      </c>
      <c r="J39" s="68">
        <v>43936</v>
      </c>
      <c r="K39" s="74">
        <v>4.5</v>
      </c>
      <c r="M39" s="68">
        <v>43936</v>
      </c>
      <c r="N39" s="74">
        <v>0</v>
      </c>
      <c r="Q39" s="6">
        <v>9</v>
      </c>
      <c r="R39" s="7">
        <v>42676</v>
      </c>
      <c r="S39" s="210">
        <v>3.5</v>
      </c>
      <c r="T39" s="8">
        <v>1.0000972222222222</v>
      </c>
      <c r="U39" s="98">
        <v>3.6121470212096662</v>
      </c>
      <c r="V39" s="106">
        <v>26264.894743773646</v>
      </c>
      <c r="W39" s="10">
        <v>1.2040998997016494</v>
      </c>
      <c r="X39" s="413">
        <v>1.1806865030949965</v>
      </c>
      <c r="Y39" s="414">
        <v>0.29178011832716361</v>
      </c>
      <c r="Z39" s="1"/>
      <c r="AA39" s="3">
        <v>240</v>
      </c>
      <c r="AB39" s="11">
        <v>3.628813687875911</v>
      </c>
      <c r="AC39" s="8">
        <v>240</v>
      </c>
      <c r="AD39" s="108">
        <v>-0.45786715811888351</v>
      </c>
      <c r="AF39" s="176">
        <v>42767</v>
      </c>
      <c r="AG39" s="177">
        <v>1.6589050490665169E-3</v>
      </c>
      <c r="AH39" s="177">
        <v>2.2523667374166035E-3</v>
      </c>
      <c r="AI39" s="100">
        <v>42775</v>
      </c>
      <c r="AJ39" s="102">
        <v>26593.235965701657</v>
      </c>
      <c r="AL39" s="23"/>
      <c r="AM39" s="23"/>
      <c r="AY39" s="217" t="s">
        <v>163</v>
      </c>
      <c r="AZ39" s="179" t="s">
        <v>81</v>
      </c>
      <c r="BA39" s="243">
        <v>1.5244673820745596</v>
      </c>
      <c r="BB39" s="270">
        <v>17.354050561816983</v>
      </c>
      <c r="BC39" s="243">
        <v>4.7647706048890219</v>
      </c>
      <c r="BD39" s="243" t="s">
        <v>163</v>
      </c>
      <c r="BE39" s="243" t="s">
        <v>163</v>
      </c>
      <c r="BF39" s="114" t="s">
        <v>163</v>
      </c>
      <c r="BG39" s="114" t="s">
        <v>163</v>
      </c>
      <c r="BH39" s="114" t="s">
        <v>163</v>
      </c>
      <c r="BI39" s="114" t="s">
        <v>163</v>
      </c>
      <c r="BJ39" s="99" t="s">
        <v>163</v>
      </c>
      <c r="BK39" s="130">
        <v>3.2403032228144624</v>
      </c>
      <c r="BL39" s="130">
        <v>1.3187162153572627</v>
      </c>
    </row>
    <row r="40" spans="1:64">
      <c r="D40" s="68">
        <v>44301</v>
      </c>
      <c r="E40" s="74">
        <v>4</v>
      </c>
      <c r="G40" s="68">
        <v>44301</v>
      </c>
      <c r="H40" s="74">
        <v>4.25</v>
      </c>
      <c r="J40" s="68">
        <v>44301</v>
      </c>
      <c r="K40" s="74">
        <v>4.5</v>
      </c>
      <c r="M40" s="68">
        <v>44301</v>
      </c>
      <c r="N40" s="74">
        <v>0</v>
      </c>
      <c r="Q40" s="6">
        <v>10</v>
      </c>
      <c r="R40" s="7">
        <v>42677</v>
      </c>
      <c r="S40" s="210">
        <v>3.5</v>
      </c>
      <c r="T40" s="8">
        <v>1.0000972222222222</v>
      </c>
      <c r="U40" s="98">
        <v>3.6121470212098661</v>
      </c>
      <c r="V40" s="106">
        <v>26266.58761541222</v>
      </c>
      <c r="W40" s="10">
        <v>1.2040030803726509</v>
      </c>
      <c r="X40" s="413">
        <v>1.1806114749232322</v>
      </c>
      <c r="Y40" s="414">
        <v>0.29179430392147765</v>
      </c>
      <c r="Z40" s="1"/>
      <c r="AA40" s="3">
        <v>270</v>
      </c>
      <c r="AB40" s="11">
        <v>3.6308970212092664</v>
      </c>
      <c r="AC40" s="8">
        <v>270</v>
      </c>
      <c r="AD40" s="108">
        <v>-0.39937689341135246</v>
      </c>
      <c r="AF40" s="176">
        <v>42795</v>
      </c>
      <c r="AG40" s="177">
        <v>4.8052479473146281E-3</v>
      </c>
      <c r="AH40" s="177">
        <v>5.3987096356647142E-3</v>
      </c>
      <c r="AI40" s="100">
        <v>42803</v>
      </c>
      <c r="AJ40" s="102">
        <v>26637.230460220886</v>
      </c>
      <c r="AL40" s="23"/>
      <c r="AM40" s="23"/>
      <c r="AY40" s="217" t="s">
        <v>163</v>
      </c>
      <c r="AZ40" s="179" t="s">
        <v>82</v>
      </c>
      <c r="BA40" s="243">
        <v>1.5391563604499769</v>
      </c>
      <c r="BB40" s="270">
        <v>18.00454557561747</v>
      </c>
      <c r="BC40" s="243">
        <v>4.7754314306318406</v>
      </c>
      <c r="BD40" s="243" t="s">
        <v>163</v>
      </c>
      <c r="BE40" s="243" t="s">
        <v>163</v>
      </c>
      <c r="BF40" s="114" t="s">
        <v>163</v>
      </c>
      <c r="BG40" s="114" t="s">
        <v>163</v>
      </c>
      <c r="BH40" s="114" t="s">
        <v>163</v>
      </c>
      <c r="BI40" s="114" t="s">
        <v>163</v>
      </c>
      <c r="BJ40" s="99" t="s">
        <v>163</v>
      </c>
      <c r="BK40" s="130">
        <v>3.2362750701818639</v>
      </c>
      <c r="BL40" s="130">
        <v>1.3301793678536213</v>
      </c>
    </row>
    <row r="41" spans="1:64">
      <c r="D41" s="68">
        <v>44666</v>
      </c>
      <c r="E41" s="74">
        <v>4</v>
      </c>
      <c r="G41" s="68">
        <v>44666</v>
      </c>
      <c r="H41" s="74">
        <v>4.25</v>
      </c>
      <c r="J41" s="68">
        <v>44666</v>
      </c>
      <c r="K41" s="74">
        <v>4.5</v>
      </c>
      <c r="M41" s="68">
        <v>44666</v>
      </c>
      <c r="N41" s="74">
        <v>0</v>
      </c>
      <c r="Q41" s="6">
        <v>11</v>
      </c>
      <c r="R41" s="7">
        <v>42678</v>
      </c>
      <c r="S41" s="210">
        <v>3.5</v>
      </c>
      <c r="T41" s="8">
        <v>1.0000972222222222</v>
      </c>
      <c r="U41" s="98">
        <v>3.6121470212095552</v>
      </c>
      <c r="V41" s="106">
        <v>26268.280596162764</v>
      </c>
      <c r="W41" s="10">
        <v>1.2039238646254669</v>
      </c>
      <c r="X41" s="413">
        <v>1.1805536029799217</v>
      </c>
      <c r="Y41" s="414">
        <v>0.29180849043524743</v>
      </c>
      <c r="Z41" s="1"/>
      <c r="AA41" s="3">
        <v>300</v>
      </c>
      <c r="AB41" s="11">
        <v>3.6329803545426</v>
      </c>
      <c r="AC41" s="8">
        <v>300</v>
      </c>
      <c r="AD41" s="108">
        <v>-0.34096712001862367</v>
      </c>
      <c r="AF41" s="176">
        <v>42826</v>
      </c>
      <c r="AG41" s="177">
        <v>2.4443441636583518E-3</v>
      </c>
      <c r="AH41" s="177">
        <v>3.0378058520084384E-3</v>
      </c>
      <c r="AI41" s="100">
        <v>42834</v>
      </c>
      <c r="AJ41" s="102">
        <v>26697.227272086388</v>
      </c>
      <c r="AL41" s="23"/>
      <c r="AM41" s="23"/>
      <c r="AY41" s="217" t="s">
        <v>80</v>
      </c>
      <c r="AZ41" s="179" t="s">
        <v>83</v>
      </c>
      <c r="BA41" s="243">
        <v>1.5511069282363532</v>
      </c>
      <c r="BB41" s="270">
        <v>18.476898168346811</v>
      </c>
      <c r="BC41" s="243">
        <v>4.784210236604701</v>
      </c>
      <c r="BD41" s="243" t="s">
        <v>163</v>
      </c>
      <c r="BE41" s="243" t="s">
        <v>163</v>
      </c>
      <c r="BF41" s="114" t="s">
        <v>163</v>
      </c>
      <c r="BG41" s="114" t="s">
        <v>163</v>
      </c>
      <c r="BH41" s="114" t="s">
        <v>163</v>
      </c>
      <c r="BI41" s="114" t="s">
        <v>163</v>
      </c>
      <c r="BJ41" s="99" t="s">
        <v>163</v>
      </c>
      <c r="BK41" s="130">
        <v>3.2331033083683476</v>
      </c>
      <c r="BL41" s="130">
        <v>1.339692247179892</v>
      </c>
    </row>
    <row r="42" spans="1:64">
      <c r="D42" s="68">
        <v>45031</v>
      </c>
      <c r="E42" s="74">
        <v>4</v>
      </c>
      <c r="G42" s="68">
        <v>45031</v>
      </c>
      <c r="H42" s="74">
        <v>4.25</v>
      </c>
      <c r="J42" s="68">
        <v>45031</v>
      </c>
      <c r="K42" s="74">
        <v>4.5</v>
      </c>
      <c r="M42" s="68">
        <v>45031</v>
      </c>
      <c r="N42" s="74">
        <v>0</v>
      </c>
      <c r="Q42" s="6">
        <v>12</v>
      </c>
      <c r="R42" s="7">
        <v>42679</v>
      </c>
      <c r="S42" s="210">
        <v>3.5</v>
      </c>
      <c r="T42" s="8">
        <v>1.0000972222222222</v>
      </c>
      <c r="U42" s="98">
        <v>3.6121470212093998</v>
      </c>
      <c r="V42" s="106">
        <v>26269.973686032306</v>
      </c>
      <c r="W42" s="10">
        <v>1.2038578515505716</v>
      </c>
      <c r="X42" s="413">
        <v>1.1805085983151997</v>
      </c>
      <c r="Y42" s="414">
        <v>0.29182267786859173</v>
      </c>
      <c r="Z42" s="1"/>
      <c r="AA42" s="3">
        <v>330</v>
      </c>
      <c r="AB42" s="11">
        <v>3.6350636878759555</v>
      </c>
      <c r="AC42" s="8">
        <v>330</v>
      </c>
      <c r="AD42" s="108">
        <v>-0.27948541355464235</v>
      </c>
      <c r="AF42" s="176">
        <v>42856</v>
      </c>
      <c r="AG42" s="177">
        <v>2.2509846834857239E-3</v>
      </c>
      <c r="AH42" s="177">
        <v>2.8444463718358104E-3</v>
      </c>
      <c r="AI42" s="100">
        <v>42864</v>
      </c>
      <c r="AJ42" s="102">
        <v>26841.357850205732</v>
      </c>
      <c r="AL42" s="23"/>
      <c r="AM42" s="23"/>
      <c r="AY42" s="217" t="s">
        <v>80</v>
      </c>
      <c r="AZ42" s="179" t="s">
        <v>84</v>
      </c>
      <c r="BA42" s="243">
        <v>1.5771026099692285</v>
      </c>
      <c r="BB42" s="270">
        <v>19.553100750336416</v>
      </c>
      <c r="BC42" s="243">
        <v>4.8027047451191738</v>
      </c>
      <c r="BD42" s="243" t="s">
        <v>163</v>
      </c>
      <c r="BE42" s="243">
        <v>1.63</v>
      </c>
      <c r="BF42" s="114">
        <v>5.289739003077143E-2</v>
      </c>
      <c r="BG42" s="114">
        <v>1.63</v>
      </c>
      <c r="BH42" s="114">
        <v>1.63</v>
      </c>
      <c r="BI42" s="114">
        <v>0</v>
      </c>
      <c r="BJ42" s="99" t="s">
        <v>163</v>
      </c>
      <c r="BK42" s="130">
        <v>3.2256021351499453</v>
      </c>
      <c r="BL42" s="130">
        <v>1.3601501897574872</v>
      </c>
    </row>
    <row r="43" spans="1:64">
      <c r="D43" s="68">
        <v>45397</v>
      </c>
      <c r="E43" s="74">
        <v>4</v>
      </c>
      <c r="G43" s="68">
        <v>45397</v>
      </c>
      <c r="H43" s="74">
        <v>4.25</v>
      </c>
      <c r="J43" s="68">
        <v>45397</v>
      </c>
      <c r="K43" s="74">
        <v>4.5</v>
      </c>
      <c r="M43" s="68">
        <v>45397</v>
      </c>
      <c r="N43" s="74">
        <v>0</v>
      </c>
      <c r="Q43" s="6">
        <v>13</v>
      </c>
      <c r="R43" s="7">
        <v>42680</v>
      </c>
      <c r="S43" s="210">
        <v>3.5</v>
      </c>
      <c r="T43" s="8">
        <v>1.0000972222222222</v>
      </c>
      <c r="U43" s="98">
        <v>3.6121470212095774</v>
      </c>
      <c r="V43" s="106">
        <v>26271.666885027884</v>
      </c>
      <c r="W43" s="10">
        <v>1.2038019943677147</v>
      </c>
      <c r="X43" s="413">
        <v>1.1804734916548516</v>
      </c>
      <c r="Y43" s="414">
        <v>0.29183686622159277</v>
      </c>
      <c r="Z43" s="1"/>
      <c r="AA43" s="3">
        <v>360</v>
      </c>
      <c r="AB43" s="11">
        <v>3.6407943294174987</v>
      </c>
      <c r="AC43" s="8">
        <v>360</v>
      </c>
      <c r="AD43" s="108">
        <v>-0.33565575188962693</v>
      </c>
      <c r="AF43" s="176">
        <v>42887</v>
      </c>
      <c r="AG43" s="177">
        <v>2.4701684388124256E-3</v>
      </c>
      <c r="AH43" s="177">
        <v>3.0636301271625122E-3</v>
      </c>
      <c r="AI43" s="100">
        <v>42895</v>
      </c>
      <c r="AJ43" s="102">
        <v>26922.896684158939</v>
      </c>
      <c r="AL43" s="23"/>
      <c r="AM43" s="23"/>
      <c r="AY43" s="217"/>
      <c r="AZ43" s="179"/>
      <c r="BA43" s="243"/>
      <c r="BB43" s="270"/>
      <c r="BC43" s="243"/>
      <c r="BD43" s="243"/>
      <c r="BE43" s="243"/>
      <c r="BF43" s="114"/>
      <c r="BG43" s="114"/>
      <c r="BH43" s="114"/>
      <c r="BI43" s="114"/>
      <c r="BJ43" s="99"/>
      <c r="BK43" s="130"/>
      <c r="BL43" s="130"/>
    </row>
    <row r="44" spans="1:64">
      <c r="D44" s="68">
        <v>45762</v>
      </c>
      <c r="E44" s="74">
        <v>4</v>
      </c>
      <c r="G44" s="68">
        <v>45762</v>
      </c>
      <c r="H44" s="74">
        <v>4.25</v>
      </c>
      <c r="J44" s="68">
        <v>45762</v>
      </c>
      <c r="K44" s="74">
        <v>4.5</v>
      </c>
      <c r="M44" s="68">
        <v>45762</v>
      </c>
      <c r="N44" s="74">
        <v>0</v>
      </c>
      <c r="Q44" s="6">
        <v>14</v>
      </c>
      <c r="R44" s="7">
        <v>42681</v>
      </c>
      <c r="S44" s="210">
        <v>3.5</v>
      </c>
      <c r="T44" s="8">
        <v>1.0000972222222222</v>
      </c>
      <c r="U44" s="98">
        <v>3.6121470212093776</v>
      </c>
      <c r="V44" s="106">
        <v>26273.360193156532</v>
      </c>
      <c r="W44" s="10">
        <v>1.2037541168061106</v>
      </c>
      <c r="X44" s="413">
        <v>1.1804461620870121</v>
      </c>
      <c r="Y44" s="414">
        <v>0.29185105549426166</v>
      </c>
      <c r="Z44" s="1"/>
      <c r="AA44" s="3">
        <v>390</v>
      </c>
      <c r="AB44" s="11">
        <v>3.6668920922447445</v>
      </c>
      <c r="AC44" s="8">
        <v>390</v>
      </c>
      <c r="AD44" s="108">
        <v>-0.44010834322596426</v>
      </c>
      <c r="AF44" s="176">
        <v>42917</v>
      </c>
      <c r="AG44" s="177">
        <v>2.0063126234792783E-3</v>
      </c>
      <c r="AH44" s="177">
        <v>2.5997743118293649E-3</v>
      </c>
      <c r="AI44" s="100">
        <v>42925</v>
      </c>
      <c r="AJ44" s="102">
        <v>26999.477419951505</v>
      </c>
      <c r="AL44" s="23"/>
      <c r="AM44" s="23"/>
      <c r="AY44" s="217"/>
      <c r="AZ44" s="179"/>
      <c r="BA44" s="243"/>
      <c r="BB44" s="270"/>
      <c r="BC44" s="243"/>
      <c r="BD44" s="243"/>
      <c r="BE44" s="243"/>
      <c r="BF44" s="114"/>
      <c r="BG44" s="114"/>
      <c r="BH44" s="114"/>
      <c r="BI44" s="114"/>
      <c r="BJ44" s="99"/>
      <c r="BK44" s="130"/>
      <c r="BL44" s="130"/>
    </row>
    <row r="45" spans="1:64">
      <c r="D45" s="68">
        <v>46127</v>
      </c>
      <c r="E45" s="74">
        <v>4</v>
      </c>
      <c r="G45" s="68">
        <v>46127</v>
      </c>
      <c r="H45" s="74">
        <v>4.25</v>
      </c>
      <c r="J45" s="68">
        <v>46127</v>
      </c>
      <c r="K45" s="74">
        <v>4.5</v>
      </c>
      <c r="M45" s="68">
        <v>46127</v>
      </c>
      <c r="N45" s="74">
        <v>0</v>
      </c>
      <c r="Q45" s="6">
        <v>15</v>
      </c>
      <c r="R45" s="7">
        <v>42682</v>
      </c>
      <c r="S45" s="210">
        <v>3.5</v>
      </c>
      <c r="T45" s="8">
        <v>1.0000972222222222</v>
      </c>
      <c r="U45" s="98">
        <v>3.6121470212091777</v>
      </c>
      <c r="V45" s="106">
        <v>26275.053610425279</v>
      </c>
      <c r="W45" s="10">
        <v>1.2037126229377915</v>
      </c>
      <c r="X45" s="413">
        <v>1.1804250542784445</v>
      </c>
      <c r="Y45" s="414">
        <v>0.29186524568669547</v>
      </c>
      <c r="Z45" s="1"/>
      <c r="AA45" s="3">
        <v>420</v>
      </c>
      <c r="AB45" s="11">
        <v>3.6958599309973117</v>
      </c>
      <c r="AC45" s="8">
        <v>420</v>
      </c>
      <c r="AD45" s="108">
        <v>-0.33887718081354834</v>
      </c>
      <c r="AF45" s="176">
        <v>42948</v>
      </c>
      <c r="AG45" s="177">
        <v>2.4126114206917126E-3</v>
      </c>
      <c r="AH45" s="177">
        <v>3.0060731090417992E-3</v>
      </c>
      <c r="AI45" s="100">
        <v>42956</v>
      </c>
      <c r="AJ45" s="102">
        <v>27082.193832392913</v>
      </c>
      <c r="AL45" s="23"/>
      <c r="AM45" s="23"/>
      <c r="AY45" s="217"/>
      <c r="AZ45" s="179"/>
      <c r="BA45" s="243"/>
      <c r="BB45" s="270"/>
      <c r="BC45" s="243"/>
      <c r="BD45" s="243"/>
      <c r="BE45" s="243"/>
      <c r="BF45" s="114"/>
      <c r="BG45" s="114"/>
      <c r="BH45" s="114"/>
      <c r="BI45" s="114"/>
      <c r="BJ45" s="99"/>
      <c r="BK45" s="130"/>
      <c r="BL45" s="130"/>
    </row>
    <row r="46" spans="1:64" ht="15.75" thickBot="1">
      <c r="D46" s="69">
        <v>46492</v>
      </c>
      <c r="E46" s="75">
        <v>4</v>
      </c>
      <c r="G46" s="69">
        <v>46492</v>
      </c>
      <c r="H46" s="75">
        <v>4.25</v>
      </c>
      <c r="J46" s="69">
        <v>46492</v>
      </c>
      <c r="K46" s="75">
        <v>4.5</v>
      </c>
      <c r="M46" s="69">
        <v>46492</v>
      </c>
      <c r="N46" s="75">
        <v>0</v>
      </c>
      <c r="Q46" s="6">
        <v>16</v>
      </c>
      <c r="R46" s="7">
        <v>42683</v>
      </c>
      <c r="S46" s="210">
        <v>3.5</v>
      </c>
      <c r="T46" s="8">
        <v>1.0000972222222222</v>
      </c>
      <c r="U46" s="98">
        <v>3.6121470212090445</v>
      </c>
      <c r="V46" s="106">
        <v>26276.747136841168</v>
      </c>
      <c r="W46" s="10">
        <v>1.2036763158172814</v>
      </c>
      <c r="X46" s="413">
        <v>1.1804090017287217</v>
      </c>
      <c r="Y46" s="414">
        <v>0.29187943679896688</v>
      </c>
      <c r="Z46" s="1"/>
      <c r="AA46" s="3">
        <v>450</v>
      </c>
      <c r="AB46" s="11">
        <v>3.726962362210446</v>
      </c>
      <c r="AC46" s="8">
        <v>450</v>
      </c>
      <c r="AD46" s="108">
        <v>-0.15480183886257759</v>
      </c>
      <c r="AF46" s="176">
        <v>42979</v>
      </c>
      <c r="AG46" s="177">
        <v>4.9260600971001711E-3</v>
      </c>
      <c r="AH46" s="177">
        <v>5.5195217854502572E-3</v>
      </c>
      <c r="AI46" s="100">
        <v>42987</v>
      </c>
      <c r="AJ46" s="102">
        <v>27152.601424226352</v>
      </c>
      <c r="AL46" s="23"/>
      <c r="AM46" s="23"/>
      <c r="BL46" s="299"/>
    </row>
    <row r="47" spans="1:64">
      <c r="Q47" s="6">
        <v>17</v>
      </c>
      <c r="R47" s="7">
        <v>42684</v>
      </c>
      <c r="S47" s="210">
        <v>3.5</v>
      </c>
      <c r="T47" s="8">
        <v>1.0000972222222222</v>
      </c>
      <c r="U47" s="98">
        <v>3.6121470212088669</v>
      </c>
      <c r="V47" s="106">
        <v>26282.152067365922</v>
      </c>
      <c r="W47" s="10">
        <v>0.89725252960992652</v>
      </c>
      <c r="X47" s="413">
        <v>0.88119811123998903</v>
      </c>
      <c r="Y47" s="414">
        <v>0.29189362883113151</v>
      </c>
      <c r="Z47" s="1"/>
      <c r="AA47" s="3">
        <v>480</v>
      </c>
      <c r="AB47" s="11">
        <v>3.7598707695467395</v>
      </c>
      <c r="AC47" s="8">
        <v>480</v>
      </c>
      <c r="AD47" s="108">
        <v>-2.5589378470266474E-3</v>
      </c>
      <c r="AF47" s="176">
        <v>43009</v>
      </c>
      <c r="AG47" s="177">
        <v>2.3385074193538191E-3</v>
      </c>
      <c r="AH47" s="177">
        <v>2.9319691077039057E-3</v>
      </c>
      <c r="AI47" s="100">
        <v>43017</v>
      </c>
      <c r="AJ47" s="102">
        <v>27234.224129208247</v>
      </c>
      <c r="AL47" s="23"/>
      <c r="AM47" s="23"/>
      <c r="BL47" s="299"/>
    </row>
    <row r="48" spans="1:64" ht="15.75" thickBot="1">
      <c r="D48" s="70" t="s">
        <v>25</v>
      </c>
      <c r="G48" s="70" t="s">
        <v>25</v>
      </c>
      <c r="J48" s="70" t="s">
        <v>25</v>
      </c>
      <c r="M48" s="70" t="s">
        <v>25</v>
      </c>
      <c r="Q48" s="6">
        <v>18</v>
      </c>
      <c r="R48" s="7">
        <v>42685</v>
      </c>
      <c r="S48" s="210">
        <v>3.5</v>
      </c>
      <c r="T48" s="8">
        <v>1.0000972222222222</v>
      </c>
      <c r="U48" s="98">
        <v>3.6121470212087781</v>
      </c>
      <c r="V48" s="106">
        <v>26287.558109644488</v>
      </c>
      <c r="W48" s="10">
        <v>0.62565480176706156</v>
      </c>
      <c r="X48" s="413">
        <v>0.6152564095271984</v>
      </c>
      <c r="Y48" s="414">
        <v>0.29190782178326968</v>
      </c>
      <c r="Z48" s="1"/>
      <c r="AA48" s="3">
        <v>510</v>
      </c>
      <c r="AB48" s="11">
        <v>3.794316455645165</v>
      </c>
      <c r="AC48" s="8">
        <v>510</v>
      </c>
      <c r="AD48" s="108">
        <v>5.5956263084834271E-2</v>
      </c>
      <c r="AF48" s="176">
        <v>43040</v>
      </c>
      <c r="AG48" s="177">
        <v>8.7760999537511708E-4</v>
      </c>
      <c r="AH48" s="177">
        <v>1.4710716837252036E-3</v>
      </c>
      <c r="AI48" s="100">
        <v>43048</v>
      </c>
      <c r="AJ48" s="102">
        <v>27384.544022599246</v>
      </c>
      <c r="AL48" s="23"/>
      <c r="AM48" s="23"/>
      <c r="BL48" s="299"/>
    </row>
    <row r="49" spans="4:64" ht="15.75" thickBot="1">
      <c r="D49" s="24" t="s">
        <v>571</v>
      </c>
      <c r="E49" s="76">
        <v>1</v>
      </c>
      <c r="G49" s="24" t="s">
        <v>571</v>
      </c>
      <c r="H49" s="76">
        <v>1.1000000000000001</v>
      </c>
      <c r="J49" s="24" t="s">
        <v>571</v>
      </c>
      <c r="K49" s="76">
        <v>1.2</v>
      </c>
      <c r="M49" s="24" t="s">
        <v>36</v>
      </c>
      <c r="N49" s="76">
        <v>0.8</v>
      </c>
      <c r="Q49" s="6">
        <v>19</v>
      </c>
      <c r="R49" s="7">
        <v>42686</v>
      </c>
      <c r="S49" s="210">
        <v>3.5</v>
      </c>
      <c r="T49" s="8">
        <v>1.0000972222222222</v>
      </c>
      <c r="U49" s="98">
        <v>3.6121470212087337</v>
      </c>
      <c r="V49" s="106">
        <v>26292.965263905557</v>
      </c>
      <c r="W49" s="10">
        <v>0.38326607507463972</v>
      </c>
      <c r="X49" s="413">
        <v>0.37733086436492497</v>
      </c>
      <c r="Y49" s="414">
        <v>0.29192201565544479</v>
      </c>
      <c r="Z49" s="1"/>
      <c r="AA49" s="3">
        <v>540</v>
      </c>
      <c r="AB49" s="11">
        <v>3.8300338375101481</v>
      </c>
      <c r="AC49" s="8">
        <v>540</v>
      </c>
      <c r="AD49" s="108">
        <v>0.12407920508108319</v>
      </c>
      <c r="AF49" s="176">
        <v>43070</v>
      </c>
      <c r="AG49" s="177">
        <v>6.2682054496510098E-4</v>
      </c>
      <c r="AH49" s="177">
        <v>1.2202822333151875E-3</v>
      </c>
      <c r="AI49" s="100">
        <v>43078</v>
      </c>
      <c r="AJ49" s="102">
        <v>27464.834659702065</v>
      </c>
      <c r="AL49" s="23"/>
      <c r="AM49" s="23"/>
      <c r="BL49" s="299"/>
    </row>
    <row r="50" spans="4:64">
      <c r="D50" s="23" t="s">
        <v>572</v>
      </c>
      <c r="E50" s="553">
        <v>1</v>
      </c>
      <c r="G50" s="23" t="s">
        <v>572</v>
      </c>
      <c r="H50" s="553">
        <v>1.1000000000000001</v>
      </c>
      <c r="J50" s="23" t="s">
        <v>572</v>
      </c>
      <c r="K50" s="553">
        <v>1.2</v>
      </c>
      <c r="M50" s="23" t="s">
        <v>572</v>
      </c>
      <c r="N50" s="553">
        <v>1.2</v>
      </c>
      <c r="Q50" s="6">
        <v>20</v>
      </c>
      <c r="R50" s="7">
        <v>42687</v>
      </c>
      <c r="S50" s="210">
        <v>3.5</v>
      </c>
      <c r="T50" s="8">
        <v>1.0000972222222222</v>
      </c>
      <c r="U50" s="98">
        <v>3.6121470212089557</v>
      </c>
      <c r="V50" s="106">
        <v>26298.373530377852</v>
      </c>
      <c r="W50" s="10">
        <v>0.1656154699590795</v>
      </c>
      <c r="X50" s="413">
        <v>0.16321904997482761</v>
      </c>
      <c r="Y50" s="414">
        <v>0.29193621044774076</v>
      </c>
      <c r="Z50" s="1"/>
      <c r="AA50" s="3">
        <v>570</v>
      </c>
      <c r="AB50" s="11">
        <v>3.8648191222463395</v>
      </c>
      <c r="AC50" s="8">
        <v>570</v>
      </c>
      <c r="AD50" s="108">
        <v>0.18530391068016397</v>
      </c>
      <c r="AF50" s="176">
        <v>43101</v>
      </c>
      <c r="AG50" s="177">
        <v>9.9491487950476021E-4</v>
      </c>
      <c r="AH50" s="177">
        <v>2.5833333333333333E-3</v>
      </c>
      <c r="AI50" s="100">
        <v>43109</v>
      </c>
      <c r="AJ50" s="102">
        <v>27505.237400268146</v>
      </c>
      <c r="AL50" s="23"/>
      <c r="AM50" s="23"/>
      <c r="BL50" s="299"/>
    </row>
    <row r="51" spans="4:64">
      <c r="Q51" s="6">
        <v>21</v>
      </c>
      <c r="R51" s="7">
        <v>42688</v>
      </c>
      <c r="S51" s="210">
        <v>3.5</v>
      </c>
      <c r="T51" s="8">
        <v>1.0000972222222222</v>
      </c>
      <c r="U51" s="98">
        <v>3.6121470212090667</v>
      </c>
      <c r="V51" s="106">
        <v>26303.782909290141</v>
      </c>
      <c r="W51" s="10">
        <v>-3.0899844321941039E-2</v>
      </c>
      <c r="X51" s="413">
        <v>-3.0480997369940002E-2</v>
      </c>
      <c r="Y51" s="414">
        <v>0.29195040616019391</v>
      </c>
      <c r="Z51" s="1"/>
      <c r="AA51" s="3">
        <v>600</v>
      </c>
      <c r="AB51" s="11">
        <v>3.8974247179801735</v>
      </c>
      <c r="AC51" s="8">
        <v>600</v>
      </c>
      <c r="AD51" s="108">
        <v>0.2442245282685708</v>
      </c>
      <c r="AF51" s="176">
        <v>43132</v>
      </c>
      <c r="AG51" s="177">
        <v>1.6565433462174539E-3</v>
      </c>
      <c r="AH51" s="177">
        <v>2.5833333333333333E-3</v>
      </c>
      <c r="AI51" s="100">
        <v>43140</v>
      </c>
      <c r="AJ51" s="102">
        <v>27538.80155279081</v>
      </c>
      <c r="AL51" s="23"/>
      <c r="AM51" s="23"/>
      <c r="BL51" s="299"/>
    </row>
    <row r="52" spans="4:64">
      <c r="Q52" s="6">
        <v>22</v>
      </c>
      <c r="R52" s="7">
        <v>42689</v>
      </c>
      <c r="S52" s="210">
        <v>3.5</v>
      </c>
      <c r="T52" s="8">
        <v>1.0000972222222222</v>
      </c>
      <c r="U52" s="98">
        <v>3.6121470212089557</v>
      </c>
      <c r="V52" s="106">
        <v>26309.193400871249</v>
      </c>
      <c r="W52" s="10">
        <v>-0.20921554701119893</v>
      </c>
      <c r="X52" s="413">
        <v>-0.20655270253570762</v>
      </c>
      <c r="Y52" s="414">
        <v>0.29196460279286424</v>
      </c>
      <c r="Z52" s="1"/>
      <c r="AA52" s="3">
        <v>630</v>
      </c>
      <c r="AB52" s="11">
        <v>3.9281616345498671</v>
      </c>
      <c r="AC52" s="8">
        <v>630</v>
      </c>
      <c r="AD52" s="108">
        <v>0.29617617597620588</v>
      </c>
      <c r="AF52" s="176">
        <v>43160</v>
      </c>
      <c r="AG52" s="177">
        <v>2.5000000000000001E-3</v>
      </c>
      <c r="AH52" s="177">
        <v>2.5833333333333333E-3</v>
      </c>
      <c r="AI52" s="100">
        <v>43168</v>
      </c>
      <c r="AJ52" s="102">
        <v>27609.943456802186</v>
      </c>
      <c r="AL52" s="23"/>
      <c r="AM52" s="23"/>
      <c r="BL52" s="299"/>
    </row>
    <row r="53" spans="4:64">
      <c r="Q53" s="6">
        <v>23</v>
      </c>
      <c r="R53" s="7">
        <v>42690</v>
      </c>
      <c r="S53" s="210">
        <v>3.5</v>
      </c>
      <c r="T53" s="8">
        <v>1.0000972222222222</v>
      </c>
      <c r="U53" s="98">
        <v>3.6121470212091333</v>
      </c>
      <c r="V53" s="106">
        <v>26314.605005350048</v>
      </c>
      <c r="W53" s="10">
        <v>-0.37174774286961032</v>
      </c>
      <c r="X53" s="413">
        <v>-0.36729541649883479</v>
      </c>
      <c r="Y53" s="414">
        <v>0.29197880034585916</v>
      </c>
      <c r="Z53" s="1"/>
      <c r="AA53" s="3">
        <v>660</v>
      </c>
      <c r="AB53" s="11">
        <v>3.9572844273814018</v>
      </c>
      <c r="AC53" s="8">
        <v>660</v>
      </c>
      <c r="AD53" s="108">
        <v>0.34810485403228236</v>
      </c>
      <c r="AF53" s="176">
        <v>43191</v>
      </c>
      <c r="AG53" s="177">
        <v>2.5000000000000001E-3</v>
      </c>
      <c r="AH53" s="177">
        <v>2.5833333333333333E-3</v>
      </c>
      <c r="AI53" s="100">
        <v>43199</v>
      </c>
      <c r="AJ53" s="102">
        <v>27681.269144065594</v>
      </c>
      <c r="AL53" s="23"/>
      <c r="AM53" s="23"/>
      <c r="BL53" s="299"/>
    </row>
    <row r="54" spans="4:64">
      <c r="Q54" s="6">
        <v>24</v>
      </c>
      <c r="R54" s="7">
        <v>42691</v>
      </c>
      <c r="S54" s="210">
        <v>3.5</v>
      </c>
      <c r="T54" s="8">
        <v>1.0000972222222222</v>
      </c>
      <c r="U54" s="98">
        <v>3.6121470212091999</v>
      </c>
      <c r="V54" s="106">
        <v>26320.017722955443</v>
      </c>
      <c r="W54" s="10">
        <v>-0.52050302851579522</v>
      </c>
      <c r="X54" s="413">
        <v>-0.5146252650726213</v>
      </c>
      <c r="Y54" s="414">
        <v>0.2919929988192127</v>
      </c>
      <c r="Z54" s="1"/>
      <c r="AA54" s="3">
        <v>690</v>
      </c>
      <c r="AB54" s="11">
        <v>3.985003450907695</v>
      </c>
      <c r="AC54" s="8">
        <v>690</v>
      </c>
      <c r="AD54" s="108">
        <v>0.39589332960300011</v>
      </c>
      <c r="AF54" s="176">
        <v>43221</v>
      </c>
      <c r="AG54" s="177">
        <v>2.5000000000000001E-3</v>
      </c>
      <c r="AH54" s="177">
        <v>2.5833333333333333E-3</v>
      </c>
      <c r="AI54" s="100">
        <v>43229</v>
      </c>
      <c r="AJ54" s="102">
        <v>27752.779089354433</v>
      </c>
      <c r="AL54" s="23"/>
      <c r="AM54" s="23"/>
      <c r="BL54" s="299"/>
    </row>
    <row r="55" spans="4:64">
      <c r="Q55" s="6">
        <v>25</v>
      </c>
      <c r="R55" s="7">
        <v>42692</v>
      </c>
      <c r="S55" s="210">
        <v>3.5</v>
      </c>
      <c r="T55" s="8">
        <v>1.0000972222222222</v>
      </c>
      <c r="U55" s="98">
        <v>3.6121470212093332</v>
      </c>
      <c r="V55" s="106">
        <v>26325.431553916405</v>
      </c>
      <c r="W55" s="10">
        <v>-0.65716171856958772</v>
      </c>
      <c r="X55" s="413">
        <v>-0.6501517939403989</v>
      </c>
      <c r="Y55" s="414">
        <v>0.2920071982130068</v>
      </c>
      <c r="Z55" s="1"/>
      <c r="AA55" s="3">
        <v>720</v>
      </c>
      <c r="AB55" s="11">
        <v>4.0114940532480601</v>
      </c>
      <c r="AC55" s="8">
        <v>720</v>
      </c>
      <c r="AD55" s="108">
        <v>0.4379389992806681</v>
      </c>
      <c r="AF55" s="176">
        <v>43252</v>
      </c>
      <c r="AG55" s="177">
        <v>2.5000000000000001E-3</v>
      </c>
      <c r="AH55" s="177">
        <v>2.5833333333333333E-3</v>
      </c>
      <c r="AI55" s="100">
        <v>43260</v>
      </c>
      <c r="AJ55" s="102">
        <v>27824.473768668602</v>
      </c>
      <c r="AL55" s="23"/>
      <c r="AM55" s="23"/>
      <c r="BL55" s="299"/>
    </row>
    <row r="56" spans="4:64">
      <c r="Q56" s="6">
        <v>26</v>
      </c>
      <c r="R56" s="7">
        <v>42693</v>
      </c>
      <c r="S56" s="210">
        <v>3.5</v>
      </c>
      <c r="T56" s="8">
        <v>1.0000972222222222</v>
      </c>
      <c r="U56" s="98">
        <v>3.6121470212092222</v>
      </c>
      <c r="V56" s="106">
        <v>26330.846498461939</v>
      </c>
      <c r="W56" s="10">
        <v>-0.78314156878446228</v>
      </c>
      <c r="X56" s="413">
        <v>-0.77523692637252528</v>
      </c>
      <c r="Y56" s="414">
        <v>0.29202139852728509</v>
      </c>
      <c r="Z56" s="1"/>
      <c r="AA56" s="3">
        <v>750</v>
      </c>
      <c r="AB56" s="11">
        <v>4.0352831969842544</v>
      </c>
      <c r="AC56" s="8">
        <v>750</v>
      </c>
      <c r="AD56" s="108">
        <v>0.47886547578875027</v>
      </c>
      <c r="AF56" s="176">
        <v>43282</v>
      </c>
      <c r="AG56" s="177">
        <v>2.5000000000000001E-3</v>
      </c>
      <c r="AH56" s="177">
        <v>2.5833333333333333E-3</v>
      </c>
      <c r="AI56" s="100">
        <v>43290</v>
      </c>
      <c r="AJ56" s="102">
        <v>27896.353659237666</v>
      </c>
      <c r="AL56" s="23"/>
      <c r="AM56" s="23"/>
      <c r="BL56" s="299"/>
    </row>
    <row r="57" spans="4:64">
      <c r="Q57" s="6">
        <v>27</v>
      </c>
      <c r="R57" s="7">
        <v>42694</v>
      </c>
      <c r="S57" s="210">
        <v>3.5</v>
      </c>
      <c r="T57" s="8">
        <v>1.0000972222222222</v>
      </c>
      <c r="U57" s="98">
        <v>3.6121470212091333</v>
      </c>
      <c r="V57" s="106">
        <v>26336.262556821104</v>
      </c>
      <c r="W57" s="10">
        <v>-0.89964712739346586</v>
      </c>
      <c r="X57" s="413">
        <v>-0.89104081922834288</v>
      </c>
      <c r="Y57" s="414">
        <v>0.29203559976213417</v>
      </c>
      <c r="Z57" s="1"/>
      <c r="AA57" s="3">
        <v>780</v>
      </c>
      <c r="AB57" s="11">
        <v>4.0581159503193289</v>
      </c>
      <c r="AC57" s="8">
        <v>780</v>
      </c>
      <c r="AD57" s="108">
        <v>0.51462948580762669</v>
      </c>
      <c r="AF57" s="176">
        <v>43313</v>
      </c>
      <c r="AG57" s="177">
        <v>2.5000000000000001E-3</v>
      </c>
      <c r="AH57" s="177">
        <v>2.5833333333333333E-3</v>
      </c>
      <c r="AI57" s="100">
        <v>43321</v>
      </c>
      <c r="AJ57" s="102">
        <v>27968.419239524032</v>
      </c>
      <c r="AL57" s="23"/>
      <c r="AM57" s="23"/>
      <c r="BL57" s="299"/>
    </row>
    <row r="58" spans="4:64">
      <c r="Q58" s="6">
        <v>28</v>
      </c>
      <c r="R58" s="7">
        <v>42695</v>
      </c>
      <c r="S58" s="210">
        <v>3.5</v>
      </c>
      <c r="T58" s="8">
        <v>1.0000972222222222</v>
      </c>
      <c r="U58" s="98">
        <v>3.6121470212091555</v>
      </c>
      <c r="V58" s="106">
        <v>26341.679729222993</v>
      </c>
      <c r="W58" s="10">
        <v>-1.0077083589972502</v>
      </c>
      <c r="X58" s="413">
        <v>-0.99855789267271666</v>
      </c>
      <c r="Y58" s="414">
        <v>0.29204980191762808</v>
      </c>
      <c r="Z58" s="1"/>
      <c r="AA58" s="3">
        <v>810</v>
      </c>
      <c r="AB58" s="11">
        <v>4.0800985620483363</v>
      </c>
      <c r="AC58" s="8">
        <v>810</v>
      </c>
      <c r="AD58" s="108">
        <v>0.55183148455266373</v>
      </c>
      <c r="AF58" s="176">
        <v>43344</v>
      </c>
      <c r="AG58" s="177">
        <v>2.5000000000000001E-3</v>
      </c>
      <c r="AH58" s="177">
        <v>2.5833333333333333E-3</v>
      </c>
      <c r="AI58" s="100">
        <v>43352</v>
      </c>
      <c r="AJ58" s="102">
        <v>28040.670989226135</v>
      </c>
      <c r="AL58" s="23"/>
      <c r="AM58" s="23"/>
      <c r="BL58" s="299"/>
    </row>
    <row r="59" spans="4:64">
      <c r="Q59" s="6">
        <v>29</v>
      </c>
      <c r="R59" s="7">
        <v>42696</v>
      </c>
      <c r="S59" s="210">
        <v>3.5</v>
      </c>
      <c r="T59" s="8">
        <v>1.0000972222222222</v>
      </c>
      <c r="U59" s="98">
        <v>3.6121470212092222</v>
      </c>
      <c r="V59" s="106">
        <v>26347.098015896769</v>
      </c>
      <c r="W59" s="10">
        <v>-1.108211166176698</v>
      </c>
      <c r="X59" s="413">
        <v>-1.0986454054688746</v>
      </c>
      <c r="Y59" s="414">
        <v>0.29206400499383095</v>
      </c>
      <c r="Z59" s="1"/>
      <c r="AA59" s="3">
        <v>840</v>
      </c>
      <c r="AB59" s="11">
        <v>4.1013221221504796</v>
      </c>
      <c r="AC59" s="8">
        <v>840</v>
      </c>
      <c r="AD59" s="108">
        <v>0.58639015188758803</v>
      </c>
      <c r="AF59" s="176">
        <v>43374</v>
      </c>
      <c r="AG59" s="177">
        <v>2.5000000000000001E-3</v>
      </c>
      <c r="AH59" s="177">
        <v>2.5833333333333333E-3</v>
      </c>
      <c r="AI59" s="100">
        <v>43382</v>
      </c>
      <c r="AJ59" s="102">
        <v>28113.109389281639</v>
      </c>
      <c r="AL59" s="23"/>
      <c r="AM59" s="23"/>
      <c r="BL59" s="299"/>
    </row>
    <row r="60" spans="4:64">
      <c r="Q60" s="6">
        <v>30</v>
      </c>
      <c r="R60" s="7">
        <v>42697</v>
      </c>
      <c r="S60" s="210">
        <v>3.5</v>
      </c>
      <c r="T60" s="8">
        <v>1.0000972222222222</v>
      </c>
      <c r="U60" s="98">
        <v>3.6121470212092222</v>
      </c>
      <c r="V60" s="106">
        <v>26352.51741707162</v>
      </c>
      <c r="W60" s="10">
        <v>-1.2019217246512559</v>
      </c>
      <c r="X60" s="413">
        <v>-1.1920463152109484</v>
      </c>
      <c r="Y60" s="414">
        <v>0.29207820899079806</v>
      </c>
      <c r="Z60" s="1"/>
      <c r="AA60" s="3">
        <v>870</v>
      </c>
      <c r="AB60" s="11">
        <v>4.1218651721235524</v>
      </c>
      <c r="AC60" s="8">
        <v>870</v>
      </c>
      <c r="AD60" s="108">
        <v>0.61030110167700358</v>
      </c>
      <c r="AF60" s="176">
        <v>43405</v>
      </c>
      <c r="AG60" s="177">
        <v>2.5000000000000001E-3</v>
      </c>
      <c r="AH60" s="177">
        <v>2.5833333333333333E-3</v>
      </c>
      <c r="AI60" s="100">
        <v>43413</v>
      </c>
      <c r="AJ60" s="102">
        <v>28185.734921870619</v>
      </c>
      <c r="AL60" s="23"/>
      <c r="AM60" s="23"/>
      <c r="BL60" s="299"/>
    </row>
    <row r="61" spans="4:64">
      <c r="Q61" s="6">
        <v>31</v>
      </c>
      <c r="R61" s="7">
        <v>42698</v>
      </c>
      <c r="S61" s="210">
        <v>3.5</v>
      </c>
      <c r="T61" s="8">
        <v>1.0000972222222222</v>
      </c>
      <c r="U61" s="98">
        <v>3.6121470212091555</v>
      </c>
      <c r="V61" s="106">
        <v>26357.937932976798</v>
      </c>
      <c r="W61" s="10">
        <v>-1.2895060470326625</v>
      </c>
      <c r="X61" s="413">
        <v>-1.2794077139974394</v>
      </c>
      <c r="Y61" s="414">
        <v>0.29209241390859925</v>
      </c>
      <c r="Z61" s="1"/>
      <c r="AA61" s="3">
        <v>900</v>
      </c>
      <c r="AB61" s="11">
        <v>4.1417957938798864</v>
      </c>
      <c r="AC61" s="8">
        <v>900</v>
      </c>
      <c r="AD61" s="108">
        <v>0.64247023141784498</v>
      </c>
      <c r="AF61" s="176">
        <v>43435</v>
      </c>
      <c r="AG61" s="177">
        <v>2.5000000000000001E-3</v>
      </c>
      <c r="AH61" s="177">
        <v>2.5833333333333333E-3</v>
      </c>
      <c r="AI61" s="100">
        <v>43443</v>
      </c>
      <c r="AJ61" s="102">
        <v>28258.548070418787</v>
      </c>
      <c r="AL61" s="23"/>
      <c r="AM61" s="23"/>
      <c r="BL61" s="299"/>
    </row>
    <row r="62" spans="4:64">
      <c r="Q62" s="6">
        <v>32</v>
      </c>
      <c r="R62" s="7">
        <v>42699</v>
      </c>
      <c r="S62" s="210">
        <v>3.5</v>
      </c>
      <c r="T62" s="8">
        <v>1.0000972222222222</v>
      </c>
      <c r="U62" s="98">
        <v>3.6121470212092222</v>
      </c>
      <c r="V62" s="106">
        <v>26363.35956384159</v>
      </c>
      <c r="W62" s="10">
        <v>-1.3715458320316398</v>
      </c>
      <c r="X62" s="413">
        <v>-1.3612958074137871</v>
      </c>
      <c r="Y62" s="414">
        <v>0.29210661974731628</v>
      </c>
      <c r="Z62" s="1"/>
      <c r="AA62" s="3">
        <v>930</v>
      </c>
      <c r="AB62" s="11">
        <v>4.1608794789689769</v>
      </c>
      <c r="AC62" s="8">
        <v>930</v>
      </c>
      <c r="AD62" s="108">
        <v>0.6703657291182783</v>
      </c>
      <c r="AF62" s="176">
        <v>43466</v>
      </c>
      <c r="AG62" s="177">
        <v>2.5000000000000001E-3</v>
      </c>
      <c r="AH62" s="177">
        <v>2.5833333333333333E-3</v>
      </c>
      <c r="AI62" s="100">
        <v>43474</v>
      </c>
      <c r="AJ62" s="102">
        <v>28331.549319600705</v>
      </c>
      <c r="AL62" s="23"/>
      <c r="AM62" s="23"/>
      <c r="BL62" s="299"/>
    </row>
    <row r="63" spans="4:64">
      <c r="Q63" s="6">
        <v>33</v>
      </c>
      <c r="R63" s="7">
        <v>42700</v>
      </c>
      <c r="S63" s="210">
        <v>3.5</v>
      </c>
      <c r="T63" s="8">
        <v>1.0000972222222222</v>
      </c>
      <c r="U63" s="98">
        <v>3.6121470212092222</v>
      </c>
      <c r="V63" s="106">
        <v>26368.782309895334</v>
      </c>
      <c r="W63" s="10">
        <v>-1.4485513966665975</v>
      </c>
      <c r="X63" s="413">
        <v>-1.4382081700654985</v>
      </c>
      <c r="Y63" s="414">
        <v>0.29212082650700094</v>
      </c>
      <c r="Z63" s="1"/>
      <c r="AA63" s="3">
        <v>960</v>
      </c>
      <c r="AB63" s="11">
        <v>4.1788046536095171</v>
      </c>
      <c r="AC63" s="8">
        <v>960</v>
      </c>
      <c r="AD63" s="108">
        <v>0.69920958936751443</v>
      </c>
      <c r="AF63" s="176">
        <v>43497</v>
      </c>
      <c r="AG63" s="177">
        <v>2.5000000000000001E-3</v>
      </c>
      <c r="AH63" s="177">
        <v>2.5833333333333333E-3</v>
      </c>
      <c r="AI63" s="100">
        <v>43505</v>
      </c>
      <c r="AJ63" s="102">
        <v>28404.739155343006</v>
      </c>
      <c r="AL63" s="23"/>
      <c r="AM63" s="23"/>
      <c r="BL63" s="299"/>
    </row>
    <row r="64" spans="4:64">
      <c r="Q64" s="6">
        <v>34</v>
      </c>
      <c r="R64" s="7">
        <v>42701</v>
      </c>
      <c r="S64" s="210">
        <v>3.5</v>
      </c>
      <c r="T64" s="8">
        <v>1.0000972222222222</v>
      </c>
      <c r="U64" s="98">
        <v>3.6121470212091555</v>
      </c>
      <c r="V64" s="106">
        <v>26374.206171367423</v>
      </c>
      <c r="W64" s="10">
        <v>-1.5209722991455621</v>
      </c>
      <c r="X64" s="413">
        <v>-1.5105838383694326</v>
      </c>
      <c r="Y64" s="414">
        <v>0.29213503418771858</v>
      </c>
      <c r="Z64" s="1"/>
      <c r="AA64" s="3">
        <v>990</v>
      </c>
      <c r="AB64" s="11">
        <v>4.1956741804669351</v>
      </c>
      <c r="AC64" s="8">
        <v>990</v>
      </c>
      <c r="AD64" s="108">
        <v>0.72366354288939716</v>
      </c>
      <c r="AF64" s="176">
        <v>43525</v>
      </c>
      <c r="AG64" s="177">
        <v>2.5000000000000001E-3</v>
      </c>
      <c r="AH64" s="177">
        <v>2.5833333333333333E-3</v>
      </c>
      <c r="AI64" s="100">
        <v>43533</v>
      </c>
      <c r="AJ64" s="102">
        <v>28478.118064827642</v>
      </c>
      <c r="AL64" s="23"/>
      <c r="AM64" s="23"/>
      <c r="BL64" s="299"/>
    </row>
    <row r="65" spans="17:64">
      <c r="Q65" s="6">
        <v>35</v>
      </c>
      <c r="R65" s="7">
        <v>42702</v>
      </c>
      <c r="S65" s="210">
        <v>3.5</v>
      </c>
      <c r="T65" s="8">
        <v>1.0000972222222222</v>
      </c>
      <c r="U65" s="98">
        <v>3.6121470212091111</v>
      </c>
      <c r="V65" s="106">
        <v>26379.631148487282</v>
      </c>
      <c r="W65" s="10">
        <v>-1.589206119606057</v>
      </c>
      <c r="X65" s="413">
        <v>-1.5788116731506947</v>
      </c>
      <c r="Y65" s="414">
        <v>0.29214924278954585</v>
      </c>
      <c r="Z65" s="1"/>
      <c r="AA65" s="3">
        <v>1020</v>
      </c>
      <c r="AB65" s="11">
        <v>4.2115809768121544</v>
      </c>
      <c r="AC65" s="8">
        <v>1020</v>
      </c>
      <c r="AD65" s="108">
        <v>0.74951039754209425</v>
      </c>
      <c r="AF65" s="176">
        <v>43556</v>
      </c>
      <c r="AG65" s="177">
        <v>2.5000000000000001E-3</v>
      </c>
      <c r="AH65" s="177">
        <v>2.5833333333333333E-3</v>
      </c>
      <c r="AI65" s="100">
        <v>43564</v>
      </c>
      <c r="AJ65" s="102">
        <v>28551.686536495115</v>
      </c>
      <c r="AL65" s="23"/>
      <c r="AM65" s="23"/>
      <c r="BL65" s="299"/>
    </row>
    <row r="66" spans="17:64">
      <c r="Q66" s="6">
        <v>36</v>
      </c>
      <c r="R66" s="7">
        <v>42703</v>
      </c>
      <c r="S66" s="210">
        <v>3.5</v>
      </c>
      <c r="T66" s="8">
        <v>1.0000972222222222</v>
      </c>
      <c r="U66" s="98">
        <v>3.6121470212091111</v>
      </c>
      <c r="V66" s="106">
        <v>26385.057241484392</v>
      </c>
      <c r="W66" s="10">
        <v>-1.653605760926713</v>
      </c>
      <c r="X66" s="413">
        <v>-1.643237328477154</v>
      </c>
      <c r="Y66" s="414">
        <v>0.2921634523125512</v>
      </c>
      <c r="Z66" s="1"/>
      <c r="AA66" s="3">
        <v>1050</v>
      </c>
      <c r="AB66" s="11">
        <v>4.2266073660854611</v>
      </c>
      <c r="AC66" s="8">
        <v>1050</v>
      </c>
      <c r="AD66" s="108">
        <v>0.77391260646779136</v>
      </c>
      <c r="AF66" s="176">
        <v>43586</v>
      </c>
      <c r="AG66" s="177">
        <v>2.5000000000000001E-3</v>
      </c>
      <c r="AH66" s="177">
        <v>2.5833333333333333E-3</v>
      </c>
      <c r="AI66" s="100">
        <v>43594</v>
      </c>
      <c r="AJ66" s="102">
        <v>28625.445060047728</v>
      </c>
      <c r="AL66" s="23"/>
      <c r="AM66" s="23"/>
      <c r="BL66" s="299"/>
    </row>
    <row r="67" spans="17:64">
      <c r="Q67" s="6">
        <v>37</v>
      </c>
      <c r="R67" s="7">
        <v>42704</v>
      </c>
      <c r="S67" s="210">
        <v>3.5</v>
      </c>
      <c r="T67" s="8">
        <v>1.0000972222222222</v>
      </c>
      <c r="U67" s="98">
        <v>3.6121470212090889</v>
      </c>
      <c r="V67" s="106">
        <v>26390.484450588287</v>
      </c>
      <c r="W67" s="10">
        <v>-1.7144855526442182</v>
      </c>
      <c r="X67" s="413">
        <v>-1.7041690904084796</v>
      </c>
      <c r="Y67" s="414">
        <v>0.29217766275679546</v>
      </c>
      <c r="Z67" s="1"/>
      <c r="AA67" s="3">
        <v>1080</v>
      </c>
      <c r="AB67" s="11">
        <v>4.2408265458528849</v>
      </c>
      <c r="AC67" s="8">
        <v>1080</v>
      </c>
      <c r="AD67" s="108">
        <v>0.79415654193712126</v>
      </c>
      <c r="AF67" s="176">
        <v>43617</v>
      </c>
      <c r="AG67" s="177">
        <v>2.5000000000000001E-3</v>
      </c>
      <c r="AH67" s="177">
        <v>2.5833333333333333E-3</v>
      </c>
      <c r="AI67" s="100">
        <v>43625</v>
      </c>
      <c r="AJ67" s="102">
        <v>28699.394126452855</v>
      </c>
      <c r="AL67" s="23"/>
      <c r="AM67" s="23"/>
      <c r="BL67" s="299"/>
    </row>
    <row r="68" spans="17:64">
      <c r="Q68" s="6">
        <v>38</v>
      </c>
      <c r="R68" s="7">
        <v>42705</v>
      </c>
      <c r="S68" s="210">
        <v>3.5</v>
      </c>
      <c r="T68" s="8">
        <v>1.0000972222222222</v>
      </c>
      <c r="U68" s="98">
        <v>3.6121470212090889</v>
      </c>
      <c r="V68" s="106">
        <v>26395.912776028537</v>
      </c>
      <c r="W68" s="10">
        <v>-1.7721263808070931</v>
      </c>
      <c r="X68" s="413">
        <v>-1.7618827938402695</v>
      </c>
      <c r="Y68" s="414">
        <v>0.29219187412235065</v>
      </c>
      <c r="Z68" s="1"/>
      <c r="AA68" s="3">
        <v>1110</v>
      </c>
      <c r="AB68" s="11">
        <v>4.2543038182520805</v>
      </c>
      <c r="AC68" s="8">
        <v>1110</v>
      </c>
      <c r="AD68" s="108">
        <v>0.81609228136573164</v>
      </c>
      <c r="AF68" s="176">
        <v>43647</v>
      </c>
      <c r="AG68" s="177">
        <v>2.5000000000000001E-3</v>
      </c>
      <c r="AH68" s="177">
        <v>2.5833333333333333E-3</v>
      </c>
      <c r="AI68" s="100">
        <v>43655</v>
      </c>
      <c r="AJ68" s="102">
        <v>28773.534227946191</v>
      </c>
      <c r="AL68" s="23"/>
      <c r="AM68" s="23"/>
      <c r="BL68" s="299"/>
    </row>
    <row r="69" spans="17:64">
      <c r="Q69" s="6">
        <v>39</v>
      </c>
      <c r="R69" s="7">
        <v>42706</v>
      </c>
      <c r="S69" s="210">
        <v>3.5</v>
      </c>
      <c r="T69" s="8">
        <v>1.0000972222222222</v>
      </c>
      <c r="U69" s="98">
        <v>3.6121470212091111</v>
      </c>
      <c r="V69" s="106">
        <v>26401.342218034766</v>
      </c>
      <c r="W69" s="10">
        <v>-1.8267800204062268</v>
      </c>
      <c r="X69" s="413">
        <v>-1.816625982909394</v>
      </c>
      <c r="Y69" s="414">
        <v>0.29220608640928142</v>
      </c>
      <c r="Z69" s="1"/>
      <c r="AA69" s="3">
        <v>1140</v>
      </c>
      <c r="AB69" s="11">
        <v>4.2670976265848664</v>
      </c>
      <c r="AC69" s="8">
        <v>1140</v>
      </c>
      <c r="AD69" s="108">
        <v>0.83430616218756659</v>
      </c>
      <c r="AF69" s="176">
        <v>43678</v>
      </c>
      <c r="AG69" s="177">
        <v>2.5000000000000001E-3</v>
      </c>
      <c r="AH69" s="177">
        <v>2.5833333333333333E-3</v>
      </c>
      <c r="AI69" s="100">
        <v>43686</v>
      </c>
      <c r="AJ69" s="102">
        <v>28847.865858035053</v>
      </c>
      <c r="AL69" s="23"/>
      <c r="AM69" s="23"/>
      <c r="BL69" s="299"/>
    </row>
    <row r="70" spans="17:64">
      <c r="Q70" s="6">
        <v>40</v>
      </c>
      <c r="R70" s="7">
        <v>42707</v>
      </c>
      <c r="S70" s="210">
        <v>3.5</v>
      </c>
      <c r="T70" s="8">
        <v>1.0000972222222222</v>
      </c>
      <c r="U70" s="98">
        <v>3.6121470212092222</v>
      </c>
      <c r="V70" s="106">
        <v>26406.772776836649</v>
      </c>
      <c r="W70" s="10">
        <v>-1.8786728113440176</v>
      </c>
      <c r="X70" s="413">
        <v>-1.868621447339136</v>
      </c>
      <c r="Y70" s="414">
        <v>0.2922202996176626</v>
      </c>
      <c r="Z70" s="1"/>
      <c r="AA70" s="3">
        <v>1170</v>
      </c>
      <c r="AB70" s="11">
        <v>4.2792604327749384</v>
      </c>
      <c r="AC70" s="8">
        <v>1170</v>
      </c>
      <c r="AD70" s="108">
        <v>0.85405518887500698</v>
      </c>
      <c r="AF70" s="176">
        <v>43709</v>
      </c>
      <c r="AG70" s="177">
        <v>2.5000000000000001E-3</v>
      </c>
      <c r="AH70" s="177">
        <v>2.5833333333333333E-3</v>
      </c>
      <c r="AI70" s="100">
        <v>43717</v>
      </c>
      <c r="AJ70" s="102">
        <v>28922.389511501646</v>
      </c>
      <c r="AL70" s="23"/>
      <c r="AM70" s="23"/>
      <c r="BL70" s="299"/>
    </row>
    <row r="71" spans="17:64">
      <c r="Q71" s="6">
        <v>41</v>
      </c>
      <c r="R71" s="7">
        <v>42708</v>
      </c>
      <c r="S71" s="210">
        <v>3.5</v>
      </c>
      <c r="T71" s="8">
        <v>1.0000972222222222</v>
      </c>
      <c r="U71" s="98">
        <v>3.6121470212092222</v>
      </c>
      <c r="V71" s="106">
        <v>26412.204452663889</v>
      </c>
      <c r="W71" s="10">
        <v>-1.9280087911256794</v>
      </c>
      <c r="X71" s="413">
        <v>-1.9180702412694346</v>
      </c>
      <c r="Y71" s="414">
        <v>0.2922345137475455</v>
      </c>
      <c r="Z71" s="1"/>
      <c r="AA71" s="3">
        <v>1200</v>
      </c>
      <c r="AB71" s="11">
        <v>4.2908394634813458</v>
      </c>
      <c r="AC71" s="8">
        <v>1200</v>
      </c>
      <c r="AD71" s="108">
        <v>0.87292840089210477</v>
      </c>
      <c r="AF71" s="176">
        <v>43739</v>
      </c>
      <c r="AG71" s="177">
        <v>2.5000000000000001E-3</v>
      </c>
      <c r="AH71" s="177">
        <v>2.5833333333333333E-3</v>
      </c>
      <c r="AI71" s="100">
        <v>43747</v>
      </c>
      <c r="AJ71" s="102">
        <v>28997.105684406361</v>
      </c>
      <c r="AL71" s="23"/>
      <c r="AM71" s="23"/>
      <c r="BL71" s="299"/>
    </row>
    <row r="72" spans="17:64">
      <c r="Q72" s="6">
        <v>42</v>
      </c>
      <c r="R72" s="7">
        <v>42709</v>
      </c>
      <c r="S72" s="210">
        <v>3.5</v>
      </c>
      <c r="T72" s="8">
        <v>1.0000972222222222</v>
      </c>
      <c r="U72" s="98">
        <v>3.6121470212092444</v>
      </c>
      <c r="V72" s="106">
        <v>26417.637245746257</v>
      </c>
      <c r="W72" s="10">
        <v>-1.9749723756942728</v>
      </c>
      <c r="X72" s="413">
        <v>-1.9651542708272818</v>
      </c>
      <c r="Y72" s="414">
        <v>0.29224872879900815</v>
      </c>
      <c r="Z72" s="1"/>
      <c r="AA72" s="3">
        <v>1230</v>
      </c>
      <c r="AB72" s="11">
        <v>4.3018773472470277</v>
      </c>
      <c r="AC72" s="8">
        <v>1230</v>
      </c>
      <c r="AD72" s="108">
        <v>0.88626969736524785</v>
      </c>
      <c r="AF72" s="176">
        <v>43770</v>
      </c>
      <c r="AG72" s="177">
        <v>2.5000000000000001E-3</v>
      </c>
      <c r="AH72" s="177">
        <v>2.5833333333333333E-3</v>
      </c>
      <c r="AI72" s="100">
        <v>43778</v>
      </c>
      <c r="AJ72" s="102">
        <v>29072.014874091077</v>
      </c>
      <c r="AL72" s="23"/>
      <c r="AM72" s="23"/>
      <c r="BL72" s="299"/>
    </row>
    <row r="73" spans="17:64">
      <c r="Q73" s="6">
        <v>43</v>
      </c>
      <c r="R73" s="7">
        <v>42710</v>
      </c>
      <c r="S73" s="210">
        <v>3.5</v>
      </c>
      <c r="T73" s="8">
        <v>1.0000972222222222</v>
      </c>
      <c r="U73" s="98">
        <v>3.6121470212091555</v>
      </c>
      <c r="V73" s="106">
        <v>26423.071156313559</v>
      </c>
      <c r="W73" s="10">
        <v>-2.0197306626571265</v>
      </c>
      <c r="X73" s="413">
        <v>-2.0100385206389269</v>
      </c>
      <c r="Y73" s="414">
        <v>0.29226294477210601</v>
      </c>
      <c r="Z73" s="1"/>
      <c r="AA73" s="3">
        <v>1260</v>
      </c>
      <c r="AB73" s="11">
        <v>4.3124126608068369</v>
      </c>
      <c r="AC73" s="8">
        <v>1260</v>
      </c>
      <c r="AD73" s="108">
        <v>0.9031910393641549</v>
      </c>
      <c r="AF73" s="176">
        <v>43800</v>
      </c>
      <c r="AG73" s="177">
        <v>2.5000000000000001E-3</v>
      </c>
      <c r="AH73" s="177">
        <v>2.5833333333333333E-3</v>
      </c>
      <c r="AI73" s="100">
        <v>43808</v>
      </c>
      <c r="AJ73" s="102">
        <v>29147.117579182479</v>
      </c>
      <c r="AL73" s="23"/>
      <c r="AM73" s="23"/>
      <c r="BL73" s="299"/>
    </row>
    <row r="74" spans="17:64">
      <c r="Q74" s="6">
        <v>44</v>
      </c>
      <c r="R74" s="7">
        <v>42711</v>
      </c>
      <c r="S74" s="210">
        <v>3.5</v>
      </c>
      <c r="T74" s="8">
        <v>1.0000972222222222</v>
      </c>
      <c r="U74" s="98">
        <v>3.6121470212091333</v>
      </c>
      <c r="V74" s="106">
        <v>26428.506184595666</v>
      </c>
      <c r="W74" s="10">
        <v>-2.0624354175345694</v>
      </c>
      <c r="X74" s="413">
        <v>-2.0528729767286862</v>
      </c>
      <c r="Y74" s="414">
        <v>0.29227716166691964</v>
      </c>
      <c r="Z74" s="1"/>
      <c r="AA74" s="3">
        <v>1290</v>
      </c>
      <c r="AB74" s="11">
        <v>4.3224803993147907</v>
      </c>
      <c r="AC74" s="8">
        <v>1290</v>
      </c>
      <c r="AD74" s="108">
        <v>0.91753939945823704</v>
      </c>
      <c r="AF74" s="176">
        <v>43831</v>
      </c>
      <c r="AG74" s="177">
        <v>2.5000000000000001E-3</v>
      </c>
      <c r="AH74" s="177">
        <v>2.5833333333333333E-3</v>
      </c>
      <c r="AI74" s="100">
        <v>43839</v>
      </c>
      <c r="AJ74" s="102">
        <v>29222.41429959537</v>
      </c>
      <c r="AL74" s="23"/>
      <c r="AM74" s="23"/>
      <c r="BL74" s="299"/>
    </row>
    <row r="75" spans="17:64">
      <c r="Q75" s="6">
        <v>45</v>
      </c>
      <c r="R75" s="7">
        <v>42712</v>
      </c>
      <c r="S75" s="210">
        <v>3.5</v>
      </c>
      <c r="T75" s="8">
        <v>1.0000972222222222</v>
      </c>
      <c r="U75" s="98">
        <v>3.6121470212090445</v>
      </c>
      <c r="V75" s="106">
        <v>26433.942330822472</v>
      </c>
      <c r="W75" s="10">
        <v>-2.103224792779157</v>
      </c>
      <c r="X75" s="413">
        <v>-2.0937942930291165</v>
      </c>
      <c r="Y75" s="414">
        <v>0.2922913794835077</v>
      </c>
      <c r="Z75" s="1"/>
      <c r="AA75" s="3">
        <v>1320</v>
      </c>
      <c r="AB75" s="11">
        <v>4.332112382570819</v>
      </c>
      <c r="AC75" s="8">
        <v>1320</v>
      </c>
      <c r="AD75" s="108">
        <v>0.9331155170752784</v>
      </c>
      <c r="AF75" s="176">
        <v>43862</v>
      </c>
      <c r="AG75" s="177">
        <v>2.5000000000000001E-3</v>
      </c>
      <c r="AH75" s="177">
        <v>2.5833333333333333E-3</v>
      </c>
      <c r="AI75" s="100">
        <v>43870</v>
      </c>
      <c r="AJ75" s="102">
        <v>29297.905536535993</v>
      </c>
      <c r="AL75" s="23"/>
      <c r="AM75" s="23"/>
      <c r="BL75" s="299"/>
    </row>
    <row r="76" spans="17:64">
      <c r="Q76" s="6">
        <v>46</v>
      </c>
      <c r="R76" s="7">
        <v>42713</v>
      </c>
      <c r="S76" s="210">
        <v>3.5</v>
      </c>
      <c r="T76" s="8">
        <v>1.0000972222222222</v>
      </c>
      <c r="U76" s="98">
        <v>3.6121470212090889</v>
      </c>
      <c r="V76" s="106">
        <v>26439.379595223931</v>
      </c>
      <c r="W76" s="10">
        <v>-2.1422248205927308</v>
      </c>
      <c r="X76" s="413">
        <v>-2.132927240522029</v>
      </c>
      <c r="Y76" s="414">
        <v>0.29230559822195262</v>
      </c>
      <c r="Z76" s="1"/>
      <c r="AA76" s="3">
        <v>1350</v>
      </c>
      <c r="AB76" s="11">
        <v>4.3413376071837675</v>
      </c>
      <c r="AC76" s="8">
        <v>1350</v>
      </c>
      <c r="AD76" s="108">
        <v>0.94628160651145388</v>
      </c>
      <c r="AF76" s="176">
        <v>43891</v>
      </c>
      <c r="AG76" s="177">
        <v>2.5000000000000001E-3</v>
      </c>
      <c r="AH76" s="177">
        <v>2.5833333333333333E-3</v>
      </c>
      <c r="AI76" s="100">
        <v>43899</v>
      </c>
      <c r="AJ76" s="102">
        <v>29373.59179250538</v>
      </c>
      <c r="AL76" s="23"/>
      <c r="AM76" s="23"/>
      <c r="BL76" s="299"/>
    </row>
    <row r="77" spans="17:64">
      <c r="Q77" s="6">
        <v>47</v>
      </c>
      <c r="R77" s="7">
        <v>42714</v>
      </c>
      <c r="S77" s="210">
        <v>3.5</v>
      </c>
      <c r="T77" s="8">
        <v>1.0000972222222222</v>
      </c>
      <c r="U77" s="98">
        <v>3.6121470212090223</v>
      </c>
      <c r="V77" s="106">
        <v>26441.757382949734</v>
      </c>
      <c r="W77" s="10">
        <v>-2.0915856374006836</v>
      </c>
      <c r="X77" s="413">
        <v>-2.0819787264730767</v>
      </c>
      <c r="Y77" s="414">
        <v>0.2923198178823016</v>
      </c>
      <c r="Z77" s="1"/>
      <c r="AA77" s="3">
        <v>1380</v>
      </c>
      <c r="AB77" s="11">
        <v>4.3501825528845792</v>
      </c>
      <c r="AC77" s="8">
        <v>1380</v>
      </c>
      <c r="AD77" s="108">
        <v>0.96052566410529938</v>
      </c>
      <c r="AF77" s="176">
        <v>43922</v>
      </c>
      <c r="AG77" s="177">
        <v>2.5000000000000001E-3</v>
      </c>
      <c r="AH77" s="177">
        <v>2.5833333333333333E-3</v>
      </c>
      <c r="AI77" s="100">
        <v>43930</v>
      </c>
      <c r="AJ77" s="102">
        <v>29449.473571302686</v>
      </c>
      <c r="AL77" s="23"/>
      <c r="AM77" s="23"/>
      <c r="BL77" s="299"/>
    </row>
    <row r="78" spans="17:64">
      <c r="Q78" s="6">
        <v>48</v>
      </c>
      <c r="R78" s="7">
        <v>42715</v>
      </c>
      <c r="S78" s="210">
        <v>3.5</v>
      </c>
      <c r="T78" s="8">
        <v>1.0000972222222222</v>
      </c>
      <c r="U78" s="98">
        <v>3.6121470212090667</v>
      </c>
      <c r="V78" s="106">
        <v>26444.135384518475</v>
      </c>
      <c r="W78" s="10">
        <v>-2.0430318307630979</v>
      </c>
      <c r="X78" s="413">
        <v>-2.0331530274484422</v>
      </c>
      <c r="Y78" s="414">
        <v>0.29233403846463946</v>
      </c>
      <c r="Z78" s="1"/>
      <c r="AA78" s="3">
        <v>1410</v>
      </c>
      <c r="AB78" s="11">
        <v>4.3586714498039774</v>
      </c>
      <c r="AC78" s="8">
        <v>1410</v>
      </c>
      <c r="AD78" s="108">
        <v>0.97447493796754225</v>
      </c>
      <c r="AF78" s="176">
        <v>43952</v>
      </c>
      <c r="AG78" s="177">
        <v>2.5000000000000001E-3</v>
      </c>
      <c r="AH78" s="177">
        <v>2.5833333333333333E-3</v>
      </c>
      <c r="AI78" s="100">
        <v>43960</v>
      </c>
      <c r="AJ78" s="102">
        <v>29525.551378028551</v>
      </c>
      <c r="AL78" s="23"/>
      <c r="AM78" s="23"/>
      <c r="BL78" s="299"/>
    </row>
    <row r="79" spans="17:64">
      <c r="Q79" s="6">
        <v>49</v>
      </c>
      <c r="R79" s="7">
        <v>42716</v>
      </c>
      <c r="S79" s="210">
        <v>3.5</v>
      </c>
      <c r="T79" s="8">
        <v>1.0000972222222222</v>
      </c>
      <c r="U79" s="98">
        <v>3.6121470212090001</v>
      </c>
      <c r="V79" s="106">
        <v>26446.513599949376</v>
      </c>
      <c r="W79" s="10">
        <v>-1.996437188090705</v>
      </c>
      <c r="X79" s="413">
        <v>-1.9863201751810051</v>
      </c>
      <c r="Y79" s="414">
        <v>0.29234825996901692</v>
      </c>
      <c r="Z79" s="1"/>
      <c r="AA79" s="3">
        <v>1440</v>
      </c>
      <c r="AB79" s="11">
        <v>4.3668265123990349</v>
      </c>
      <c r="AC79" s="8">
        <v>1440</v>
      </c>
      <c r="AD79" s="108">
        <v>0.98616071195547428</v>
      </c>
      <c r="AF79" s="176">
        <v>43983</v>
      </c>
      <c r="AG79" s="177">
        <v>2.5000000000000001E-3</v>
      </c>
      <c r="AH79" s="177">
        <v>2.5833333333333333E-3</v>
      </c>
      <c r="AI79" s="100">
        <v>43991</v>
      </c>
      <c r="AJ79" s="102">
        <v>29601.825719088458</v>
      </c>
      <c r="AL79" s="23"/>
      <c r="AM79" s="23"/>
      <c r="BL79" s="299"/>
    </row>
    <row r="80" spans="17:64">
      <c r="Q80" s="6">
        <v>50</v>
      </c>
      <c r="R80" s="7">
        <v>42717</v>
      </c>
      <c r="S80" s="210">
        <v>3.5</v>
      </c>
      <c r="T80" s="8">
        <v>1.0000972222222222</v>
      </c>
      <c r="U80" s="98">
        <v>3.6121470212090667</v>
      </c>
      <c r="V80" s="106">
        <v>26448.892029261682</v>
      </c>
      <c r="W80" s="10">
        <v>-1.9516854799188854</v>
      </c>
      <c r="X80" s="413">
        <v>-1.9413605988654137</v>
      </c>
      <c r="Y80" s="414">
        <v>0.29236248239552065</v>
      </c>
      <c r="Z80" s="1"/>
      <c r="AA80" s="3">
        <v>1470</v>
      </c>
      <c r="AB80" s="11">
        <v>4.374668144784307</v>
      </c>
      <c r="AC80" s="8">
        <v>1470</v>
      </c>
      <c r="AD80" s="108">
        <v>0.99864109140710056</v>
      </c>
      <c r="AF80" s="176">
        <v>44013</v>
      </c>
      <c r="AG80" s="177">
        <v>2.5000000000000001E-3</v>
      </c>
      <c r="AH80" s="177">
        <v>2.5833333333333333E-3</v>
      </c>
      <c r="AI80" s="100">
        <v>44021</v>
      </c>
      <c r="AJ80" s="102">
        <v>29678.297102196106</v>
      </c>
      <c r="AL80" s="23"/>
      <c r="AM80" s="23"/>
      <c r="BL80" s="299"/>
    </row>
    <row r="81" spans="17:64">
      <c r="Q81" s="6">
        <v>51</v>
      </c>
      <c r="R81" s="7">
        <v>42718</v>
      </c>
      <c r="S81" s="210">
        <v>3.5</v>
      </c>
      <c r="T81" s="8">
        <v>1.0000972222222222</v>
      </c>
      <c r="U81" s="98">
        <v>3.6121470212091111</v>
      </c>
      <c r="V81" s="106">
        <v>26451.270672474613</v>
      </c>
      <c r="W81" s="10">
        <v>-1.9086694920343872</v>
      </c>
      <c r="X81" s="413">
        <v>-1.8981641057979124</v>
      </c>
      <c r="Y81" s="414">
        <v>0.29237670574420432</v>
      </c>
      <c r="Z81" s="1"/>
      <c r="AA81" s="3">
        <v>1500</v>
      </c>
      <c r="AB81" s="11">
        <v>4.3822151214643652</v>
      </c>
      <c r="AC81" s="8">
        <v>1500</v>
      </c>
      <c r="AD81" s="108">
        <v>1.0094836485538594</v>
      </c>
      <c r="AF81" s="176">
        <v>44044</v>
      </c>
      <c r="AG81" s="177">
        <v>2.5000000000000001E-3</v>
      </c>
      <c r="AH81" s="177">
        <v>2.5833333333333333E-3</v>
      </c>
      <c r="AI81" s="100">
        <v>44052</v>
      </c>
      <c r="AJ81" s="102">
        <v>29754.96603637678</v>
      </c>
      <c r="AL81" s="23"/>
      <c r="AM81" s="23"/>
      <c r="BL81" s="299"/>
    </row>
    <row r="82" spans="17:64">
      <c r="Q82" s="6">
        <v>52</v>
      </c>
      <c r="R82" s="7">
        <v>42719</v>
      </c>
      <c r="S82" s="210">
        <v>3.5</v>
      </c>
      <c r="T82" s="8">
        <v>1.0000972222222222</v>
      </c>
      <c r="U82" s="98">
        <v>3.6121470212090667</v>
      </c>
      <c r="V82" s="106">
        <v>26453.649529607417</v>
      </c>
      <c r="W82" s="10">
        <v>-1.8672901680617859</v>
      </c>
      <c r="X82" s="413">
        <v>-1.8566289796372655</v>
      </c>
      <c r="Y82" s="414">
        <v>0.29239093001513033</v>
      </c>
      <c r="Z82" s="1"/>
      <c r="AA82" s="3">
        <v>1530</v>
      </c>
      <c r="AB82" s="11">
        <v>4.3894847468384581</v>
      </c>
      <c r="AC82" s="8">
        <v>1530</v>
      </c>
      <c r="AD82" s="108">
        <v>1.0209892208426732</v>
      </c>
      <c r="AF82" s="176">
        <v>44075</v>
      </c>
      <c r="AG82" s="177">
        <v>2.5000000000000001E-3</v>
      </c>
      <c r="AH82" s="177">
        <v>2.5833333333333333E-3</v>
      </c>
      <c r="AI82" s="100">
        <v>44083</v>
      </c>
      <c r="AJ82" s="102">
        <v>29831.833031970753</v>
      </c>
      <c r="AL82" s="23"/>
      <c r="AM82" s="23"/>
      <c r="BL82" s="299"/>
    </row>
    <row r="83" spans="17:64">
      <c r="Q83" s="6">
        <v>53</v>
      </c>
      <c r="R83" s="7">
        <v>42720</v>
      </c>
      <c r="S83" s="210">
        <v>3.5</v>
      </c>
      <c r="T83" s="8">
        <v>1.0000972222222222</v>
      </c>
      <c r="U83" s="98">
        <v>3.6121470212091333</v>
      </c>
      <c r="V83" s="106">
        <v>26456.028600679332</v>
      </c>
      <c r="W83" s="10">
        <v>-1.8274558480725234</v>
      </c>
      <c r="X83" s="413">
        <v>-1.8166611807470099</v>
      </c>
      <c r="Y83" s="414">
        <v>0.29240515520838156</v>
      </c>
      <c r="Z83" s="1"/>
      <c r="AA83" s="3">
        <v>1560</v>
      </c>
      <c r="AB83" s="11">
        <v>4.3964929963299468</v>
      </c>
      <c r="AC83" s="8">
        <v>1560</v>
      </c>
      <c r="AD83" s="108">
        <v>1.0325299843633267</v>
      </c>
      <c r="AF83" s="176">
        <v>44105</v>
      </c>
      <c r="AG83" s="177">
        <v>2.5000000000000001E-3</v>
      </c>
      <c r="AH83" s="177">
        <v>2.5833333333333333E-3</v>
      </c>
      <c r="AI83" s="100">
        <v>44113</v>
      </c>
      <c r="AJ83" s="102">
        <v>29908.898600636679</v>
      </c>
      <c r="AL83" s="23"/>
      <c r="AM83" s="23"/>
      <c r="BL83" s="299"/>
    </row>
    <row r="84" spans="17:64">
      <c r="Q84" s="6">
        <v>54</v>
      </c>
      <c r="R84" s="7">
        <v>42721</v>
      </c>
      <c r="S84" s="210">
        <v>3.5</v>
      </c>
      <c r="T84" s="8">
        <v>1.0000972222222222</v>
      </c>
      <c r="U84" s="98">
        <v>3.6121470212091111</v>
      </c>
      <c r="V84" s="106">
        <v>26458.407885709588</v>
      </c>
      <c r="W84" s="10">
        <v>-1.7890815909037405</v>
      </c>
      <c r="X84" s="413">
        <v>-1.7781736353893092</v>
      </c>
      <c r="Y84" s="414">
        <v>0.29241938132400996</v>
      </c>
      <c r="Z84" s="1"/>
      <c r="AA84" s="3">
        <v>1590</v>
      </c>
      <c r="AB84" s="11">
        <v>4.4032546415647973</v>
      </c>
      <c r="AC84" s="8">
        <v>1590</v>
      </c>
      <c r="AD84" s="108">
        <v>1.0393131263584385</v>
      </c>
      <c r="AF84" s="176">
        <v>44136</v>
      </c>
      <c r="AG84" s="177">
        <v>2.5000000000000001E-3</v>
      </c>
      <c r="AH84" s="177">
        <v>2.5833333333333333E-3</v>
      </c>
      <c r="AI84" s="100">
        <v>44144</v>
      </c>
      <c r="AJ84" s="102">
        <v>29986.163255354993</v>
      </c>
      <c r="AL84" s="23"/>
      <c r="AM84" s="23"/>
      <c r="BL84" s="299"/>
    </row>
    <row r="85" spans="17:64">
      <c r="Q85" s="6">
        <v>55</v>
      </c>
      <c r="R85" s="7">
        <v>42722</v>
      </c>
      <c r="S85" s="210">
        <v>3.5</v>
      </c>
      <c r="T85" s="8">
        <v>1.0000972222222222</v>
      </c>
      <c r="U85" s="98">
        <v>3.6121470212090667</v>
      </c>
      <c r="V85" s="106">
        <v>26460.787384717438</v>
      </c>
      <c r="W85" s="10">
        <v>-1.7520885696441391</v>
      </c>
      <c r="X85" s="413">
        <v>-1.7410856024626058</v>
      </c>
      <c r="Y85" s="414">
        <v>0.29243360836208798</v>
      </c>
      <c r="Z85" s="1"/>
      <c r="AA85" s="3">
        <v>1620</v>
      </c>
      <c r="AB85" s="11">
        <v>4.4097833616617601</v>
      </c>
      <c r="AC85" s="8">
        <v>1620</v>
      </c>
      <c r="AD85" s="108">
        <v>1.0487029482136234</v>
      </c>
      <c r="AF85" s="176">
        <v>44166</v>
      </c>
      <c r="AG85" s="177">
        <v>2.5000000000000001E-3</v>
      </c>
      <c r="AH85" s="177">
        <v>2.5833333333333333E-3</v>
      </c>
      <c r="AI85" s="100">
        <v>44174</v>
      </c>
      <c r="AJ85" s="102">
        <v>30063.627510431328</v>
      </c>
      <c r="AL85" s="23"/>
      <c r="AM85" s="23"/>
      <c r="BL85" s="299"/>
    </row>
    <row r="86" spans="17:64">
      <c r="Q86" s="6">
        <v>56</v>
      </c>
      <c r="R86" s="7">
        <v>42723</v>
      </c>
      <c r="S86" s="210">
        <v>3.5</v>
      </c>
      <c r="T86" s="8">
        <v>1.0000972222222222</v>
      </c>
      <c r="U86" s="98">
        <v>3.6121470212090001</v>
      </c>
      <c r="V86" s="106">
        <v>26463.167097722126</v>
      </c>
      <c r="W86" s="10">
        <v>-1.7164035312299597</v>
      </c>
      <c r="X86" s="413">
        <v>-1.7053221080862397</v>
      </c>
      <c r="Y86" s="414">
        <v>0.29244783632268295</v>
      </c>
      <c r="Z86" s="1"/>
      <c r="AA86" s="3">
        <v>1650</v>
      </c>
      <c r="AB86" s="11">
        <v>4.4160918424010376</v>
      </c>
      <c r="AC86" s="8">
        <v>1650</v>
      </c>
      <c r="AD86" s="108">
        <v>1.0577998927956858</v>
      </c>
      <c r="AF86" s="176">
        <v>44197</v>
      </c>
      <c r="AG86" s="177">
        <v>2.5000000000000001E-3</v>
      </c>
      <c r="AH86" s="177">
        <v>2.5833333333333333E-3</v>
      </c>
      <c r="AI86" s="100">
        <v>44205</v>
      </c>
      <c r="AJ86" s="102">
        <v>30141.291881499943</v>
      </c>
      <c r="AL86" s="23"/>
      <c r="AM86" s="23"/>
      <c r="BL86" s="299"/>
    </row>
    <row r="87" spans="17:64">
      <c r="Q87" s="6">
        <v>57</v>
      </c>
      <c r="R87" s="7">
        <v>42724</v>
      </c>
      <c r="S87" s="210">
        <v>3.5</v>
      </c>
      <c r="T87" s="8">
        <v>1.0000972222222222</v>
      </c>
      <c r="U87" s="98">
        <v>3.6121470212090001</v>
      </c>
      <c r="V87" s="106">
        <v>26465.547024742889</v>
      </c>
      <c r="W87" s="10">
        <v>-1.6819583123611759</v>
      </c>
      <c r="X87" s="413">
        <v>-1.6708134397044385</v>
      </c>
      <c r="Y87" s="414">
        <v>0.29246206520586909</v>
      </c>
      <c r="Z87" s="1"/>
      <c r="AA87" s="3">
        <v>1680</v>
      </c>
      <c r="AB87" s="11">
        <v>4.4221918647832954</v>
      </c>
      <c r="AC87" s="8">
        <v>1680</v>
      </c>
      <c r="AD87" s="108">
        <v>1.0674414546946149</v>
      </c>
      <c r="AF87" s="176">
        <v>44228</v>
      </c>
      <c r="AG87" s="177">
        <v>2.5000000000000001E-3</v>
      </c>
      <c r="AH87" s="177">
        <v>2.5833333333333333E-3</v>
      </c>
      <c r="AI87" s="100">
        <v>44236</v>
      </c>
      <c r="AJ87" s="102">
        <v>30219.156885527154</v>
      </c>
      <c r="AL87" s="23"/>
      <c r="AM87" s="23"/>
      <c r="BL87" s="299"/>
    </row>
    <row r="88" spans="17:64">
      <c r="Q88" s="6">
        <v>58</v>
      </c>
      <c r="R88" s="7">
        <v>42725</v>
      </c>
      <c r="S88" s="210">
        <v>3.5</v>
      </c>
      <c r="T88" s="8">
        <v>1.0000972222222222</v>
      </c>
      <c r="U88" s="98">
        <v>3.6121470212089335</v>
      </c>
      <c r="V88" s="106">
        <v>26467.927165798985</v>
      </c>
      <c r="W88" s="10">
        <v>-1.6486894050057987</v>
      </c>
      <c r="X88" s="413">
        <v>-1.6374946925245875</v>
      </c>
      <c r="Y88" s="414">
        <v>0.29247629501170408</v>
      </c>
      <c r="Z88" s="1"/>
      <c r="AA88" s="3">
        <v>1710</v>
      </c>
      <c r="AB88" s="11">
        <v>4.4280943842800404</v>
      </c>
      <c r="AC88" s="8">
        <v>1710</v>
      </c>
      <c r="AD88" s="108">
        <v>1.0759841690531844</v>
      </c>
      <c r="AF88" s="176">
        <v>44256</v>
      </c>
      <c r="AG88" s="177">
        <v>2.5000000000000001E-3</v>
      </c>
      <c r="AH88" s="177">
        <v>2.5833333333333333E-3</v>
      </c>
      <c r="AI88" s="100">
        <v>44264</v>
      </c>
      <c r="AJ88" s="102">
        <v>30297.223040814766</v>
      </c>
      <c r="AL88" s="23"/>
      <c r="AM88" s="23"/>
      <c r="BL88" s="299"/>
    </row>
    <row r="89" spans="17:64">
      <c r="Q89" s="6">
        <v>59</v>
      </c>
      <c r="R89" s="7">
        <v>42726</v>
      </c>
      <c r="S89" s="210">
        <v>3.5</v>
      </c>
      <c r="T89" s="8">
        <v>1.0000972222222222</v>
      </c>
      <c r="U89" s="98">
        <v>3.6121470212089335</v>
      </c>
      <c r="V89" s="106">
        <v>26470.30752090965</v>
      </c>
      <c r="W89" s="10">
        <v>-1.6165375656629122</v>
      </c>
      <c r="X89" s="413">
        <v>-1.6053053620780449</v>
      </c>
      <c r="Y89" s="414">
        <v>0.29249052574026418</v>
      </c>
      <c r="Z89" s="1"/>
      <c r="AA89" s="3">
        <v>1740</v>
      </c>
      <c r="AB89" s="11">
        <v>4.4338096018978668</v>
      </c>
      <c r="AC89" s="8">
        <v>1740</v>
      </c>
      <c r="AD89" s="108">
        <v>1.0849543317146848</v>
      </c>
      <c r="AF89" s="176">
        <v>44287</v>
      </c>
      <c r="AG89" s="177">
        <v>2.5000000000000001E-3</v>
      </c>
      <c r="AH89" s="177">
        <v>2.5833333333333333E-3</v>
      </c>
      <c r="AI89" s="100">
        <v>44295</v>
      </c>
      <c r="AJ89" s="102">
        <v>30375.49086700354</v>
      </c>
      <c r="AL89" s="23"/>
      <c r="AM89" s="23"/>
      <c r="BL89" s="299"/>
    </row>
    <row r="90" spans="17:64">
      <c r="Q90" s="6">
        <v>60</v>
      </c>
      <c r="R90" s="7">
        <v>42727</v>
      </c>
      <c r="S90" s="210">
        <v>3.5</v>
      </c>
      <c r="T90" s="8">
        <v>1.0000972222222222</v>
      </c>
      <c r="U90" s="98">
        <v>3.6121470212089113</v>
      </c>
      <c r="V90" s="106">
        <v>26472.688090094147</v>
      </c>
      <c r="W90" s="10">
        <v>-1.5854474633336668</v>
      </c>
      <c r="X90" s="413">
        <v>-1.5741889775283457</v>
      </c>
      <c r="Y90" s="414">
        <v>0.29250475739160953</v>
      </c>
      <c r="Z90" s="1"/>
      <c r="AA90" s="3">
        <v>1770</v>
      </c>
      <c r="AB90" s="11">
        <v>4.4393470280258303</v>
      </c>
      <c r="AC90" s="8">
        <v>1770</v>
      </c>
      <c r="AD90" s="108">
        <v>1.0941569584581916</v>
      </c>
      <c r="AF90" s="176">
        <v>44317</v>
      </c>
      <c r="AG90" s="177">
        <v>2.5000000000000001E-3</v>
      </c>
      <c r="AH90" s="177">
        <v>2.5833333333333333E-3</v>
      </c>
      <c r="AI90" s="100">
        <v>44325</v>
      </c>
      <c r="AJ90" s="102">
        <v>30453.960885076634</v>
      </c>
      <c r="AL90" s="23"/>
      <c r="AM90" s="23"/>
      <c r="BL90" s="299"/>
    </row>
    <row r="91" spans="17:64">
      <c r="Q91" s="6">
        <v>61</v>
      </c>
      <c r="R91" s="7">
        <v>42728</v>
      </c>
      <c r="S91" s="210">
        <v>3.5</v>
      </c>
      <c r="T91" s="8">
        <v>1.0000972222222222</v>
      </c>
      <c r="U91" s="98">
        <v>3.6121470212089779</v>
      </c>
      <c r="V91" s="106">
        <v>26475.068873371718</v>
      </c>
      <c r="W91" s="10">
        <v>-1.5553673617926256</v>
      </c>
      <c r="X91" s="413">
        <v>-1.5440927710438423</v>
      </c>
      <c r="Y91" s="414">
        <v>0.29251898996581815</v>
      </c>
      <c r="Z91" s="1"/>
      <c r="AA91" s="3">
        <v>1800</v>
      </c>
      <c r="AB91" s="11">
        <v>4.4447155399070919</v>
      </c>
      <c r="AC91" s="8">
        <v>1800</v>
      </c>
      <c r="AD91" s="108">
        <v>1.1019890740668521</v>
      </c>
      <c r="AF91" s="176">
        <v>44348</v>
      </c>
      <c r="AG91" s="177">
        <v>2.5000000000000001E-3</v>
      </c>
      <c r="AH91" s="177">
        <v>2.5833333333333333E-3</v>
      </c>
      <c r="AI91" s="100">
        <v>44356</v>
      </c>
      <c r="AJ91" s="102">
        <v>30532.633617363084</v>
      </c>
      <c r="AL91" s="23"/>
      <c r="AM91" s="23"/>
      <c r="BL91" s="299"/>
    </row>
    <row r="92" spans="17:64">
      <c r="Q92" s="6">
        <v>62</v>
      </c>
      <c r="R92" s="7">
        <v>42729</v>
      </c>
      <c r="S92" s="210">
        <v>3.5</v>
      </c>
      <c r="T92" s="8">
        <v>1.0000972222222222</v>
      </c>
      <c r="U92" s="98">
        <v>3.6121470212089557</v>
      </c>
      <c r="V92" s="106">
        <v>26477.449870761629</v>
      </c>
      <c r="W92" s="10">
        <v>-1.5262488323295575</v>
      </c>
      <c r="X92" s="413">
        <v>-1.5149673791700893</v>
      </c>
      <c r="Y92" s="414">
        <v>0.29253322346294158</v>
      </c>
      <c r="Z92" s="1"/>
      <c r="AA92" s="3">
        <v>1830</v>
      </c>
      <c r="AB92" s="11">
        <v>4.450016026057483</v>
      </c>
      <c r="AC92" s="8">
        <v>1830</v>
      </c>
      <c r="AD92" s="108">
        <v>1.1101199561580881</v>
      </c>
      <c r="AF92" s="176">
        <v>44378</v>
      </c>
      <c r="AG92" s="177">
        <v>2.5000000000000001E-3</v>
      </c>
      <c r="AH92" s="177">
        <v>2.5833333333333333E-3</v>
      </c>
      <c r="AI92" s="100">
        <v>44386</v>
      </c>
      <c r="AJ92" s="102">
        <v>30611.509587541274</v>
      </c>
      <c r="AL92" s="23"/>
      <c r="AM92" s="23"/>
      <c r="BL92" s="299"/>
    </row>
    <row r="93" spans="17:64">
      <c r="Q93" s="6">
        <v>63</v>
      </c>
      <c r="R93" s="7">
        <v>42730</v>
      </c>
      <c r="S93" s="210">
        <v>3.5</v>
      </c>
      <c r="T93" s="8">
        <v>1.0000972222222222</v>
      </c>
      <c r="U93" s="98">
        <v>3.6121470212089779</v>
      </c>
      <c r="V93" s="106">
        <v>26479.831082283123</v>
      </c>
      <c r="W93" s="10">
        <v>-1.4980464935991811</v>
      </c>
      <c r="X93" s="413">
        <v>-1.4867665726390835</v>
      </c>
      <c r="Y93" s="414">
        <v>0.29254745788305964</v>
      </c>
      <c r="Z93" s="1"/>
      <c r="AA93" s="3">
        <v>1860</v>
      </c>
      <c r="AB93" s="11">
        <v>4.4551636553058049</v>
      </c>
      <c r="AC93" s="8">
        <v>1860</v>
      </c>
      <c r="AD93" s="108">
        <v>1.1176219331230808</v>
      </c>
      <c r="AF93" s="176">
        <v>44409</v>
      </c>
      <c r="AG93" s="177">
        <v>2.5000000000000001E-3</v>
      </c>
      <c r="AH93" s="177">
        <v>2.5833333333333333E-3</v>
      </c>
      <c r="AI93" s="100">
        <v>44417</v>
      </c>
      <c r="AJ93" s="102">
        <v>30690.589320642423</v>
      </c>
      <c r="AL93" s="23"/>
      <c r="AM93" s="23"/>
      <c r="BL93" s="299"/>
    </row>
    <row r="94" spans="17:64">
      <c r="Q94" s="6">
        <v>64</v>
      </c>
      <c r="R94" s="7">
        <v>42731</v>
      </c>
      <c r="S94" s="210">
        <v>3.5</v>
      </c>
      <c r="T94" s="8">
        <v>1.0000972222222222</v>
      </c>
      <c r="U94" s="98">
        <v>3.6121470212090445</v>
      </c>
      <c r="V94" s="106">
        <v>26482.212507955464</v>
      </c>
      <c r="W94" s="10">
        <v>-1.4707177756483225</v>
      </c>
      <c r="X94" s="413">
        <v>-1.4594470115130709</v>
      </c>
      <c r="Y94" s="414">
        <v>0.29256169322623704</v>
      </c>
      <c r="Z94" s="1"/>
      <c r="AA94" s="3">
        <v>1890</v>
      </c>
      <c r="AB94" s="11">
        <v>4.4601656969361212</v>
      </c>
      <c r="AC94" s="8">
        <v>1890</v>
      </c>
      <c r="AD94" s="108">
        <v>1.1252286951909793</v>
      </c>
      <c r="AF94" s="176">
        <v>44440</v>
      </c>
      <c r="AG94" s="177">
        <v>2.5000000000000001E-3</v>
      </c>
      <c r="AH94" s="177">
        <v>2.5833333333333333E-3</v>
      </c>
      <c r="AI94" s="100">
        <v>44448</v>
      </c>
      <c r="AJ94" s="102">
        <v>30769.873343054085</v>
      </c>
      <c r="AL94" s="23"/>
      <c r="AM94" s="23"/>
      <c r="BL94" s="299"/>
    </row>
    <row r="95" spans="17:64">
      <c r="Q95" s="6">
        <v>65</v>
      </c>
      <c r="R95" s="7">
        <v>42732</v>
      </c>
      <c r="S95" s="210">
        <v>3.5</v>
      </c>
      <c r="T95" s="8">
        <v>1.0000972222222222</v>
      </c>
      <c r="U95" s="98">
        <v>3.6121470212090445</v>
      </c>
      <c r="V95" s="106">
        <v>26484.594147797918</v>
      </c>
      <c r="W95" s="10">
        <v>-1.4442227055319612</v>
      </c>
      <c r="X95" s="413">
        <v>-1.4329680229270212</v>
      </c>
      <c r="Y95" s="414">
        <v>0.29257592949253425</v>
      </c>
      <c r="Z95" s="1"/>
      <c r="AA95" s="3">
        <v>1920</v>
      </c>
      <c r="AB95" s="11">
        <v>4.4650289664933824</v>
      </c>
      <c r="AC95" s="8">
        <v>1920</v>
      </c>
      <c r="AD95" s="108">
        <v>1.1332551736808512</v>
      </c>
      <c r="AF95" s="176">
        <v>44470</v>
      </c>
      <c r="AG95" s="177">
        <v>2.5000000000000001E-3</v>
      </c>
      <c r="AH95" s="177">
        <v>2.5833333333333333E-3</v>
      </c>
      <c r="AI95" s="100">
        <v>44478</v>
      </c>
      <c r="AJ95" s="102">
        <v>30849.362182523644</v>
      </c>
      <c r="AL95" s="23"/>
      <c r="AM95" s="23"/>
      <c r="BL95" s="299"/>
    </row>
    <row r="96" spans="17:64">
      <c r="Q96" s="6">
        <v>66</v>
      </c>
      <c r="R96" s="7">
        <v>42733</v>
      </c>
      <c r="S96" s="210">
        <v>3.5</v>
      </c>
      <c r="T96" s="8">
        <v>1.0000972222222222</v>
      </c>
      <c r="U96" s="98">
        <v>3.6121470212090001</v>
      </c>
      <c r="V96" s="106">
        <v>26486.976001829731</v>
      </c>
      <c r="W96" s="10">
        <v>-1.4185237122528838</v>
      </c>
      <c r="X96" s="413">
        <v>-1.4072913990377851</v>
      </c>
      <c r="Y96" s="414">
        <v>0.29259016668201832</v>
      </c>
      <c r="Z96" s="1"/>
      <c r="AA96" s="3">
        <v>1950</v>
      </c>
      <c r="AB96" s="11">
        <v>4.4697598606415649</v>
      </c>
      <c r="AC96" s="8">
        <v>1950</v>
      </c>
      <c r="AD96" s="108">
        <v>1.1383531782685476</v>
      </c>
      <c r="AF96" s="176">
        <v>44501</v>
      </c>
      <c r="AG96" s="177">
        <v>2.5000000000000001E-3</v>
      </c>
      <c r="AH96" s="177">
        <v>2.5833333333333333E-3</v>
      </c>
      <c r="AI96" s="100">
        <v>44509</v>
      </c>
      <c r="AJ96" s="102">
        <v>30929.056368161833</v>
      </c>
      <c r="AL96" s="23"/>
      <c r="AM96" s="23"/>
      <c r="BL96" s="299"/>
    </row>
    <row r="97" spans="17:64">
      <c r="Q97" s="6">
        <v>67</v>
      </c>
      <c r="R97" s="7">
        <v>42734</v>
      </c>
      <c r="S97" s="210">
        <v>3.5</v>
      </c>
      <c r="T97" s="8">
        <v>1.0000972222222222</v>
      </c>
      <c r="U97" s="98">
        <v>3.6121470212089557</v>
      </c>
      <c r="V97" s="106">
        <v>26489.358070070175</v>
      </c>
      <c r="W97" s="10">
        <v>-1.3935854490224053</v>
      </c>
      <c r="X97" s="413">
        <v>-1.3823812130678335</v>
      </c>
      <c r="Y97" s="414">
        <v>0.29260440479476219</v>
      </c>
      <c r="Z97" s="1"/>
      <c r="AA97" s="3">
        <v>1980</v>
      </c>
      <c r="AB97" s="11">
        <v>4.4743643888570963</v>
      </c>
      <c r="AC97" s="8">
        <v>1980</v>
      </c>
      <c r="AD97" s="108">
        <v>1.143978307783019</v>
      </c>
      <c r="AF97" s="176">
        <v>44531</v>
      </c>
      <c r="AG97" s="177">
        <v>2.5000000000000001E-3</v>
      </c>
      <c r="AH97" s="177">
        <v>2.5833333333333333E-3</v>
      </c>
      <c r="AI97" s="100">
        <v>44539</v>
      </c>
      <c r="AJ97" s="102">
        <v>31008.956430446251</v>
      </c>
      <c r="AL97" s="23"/>
      <c r="AM97" s="23"/>
      <c r="BL97" s="299"/>
    </row>
    <row r="98" spans="17:64">
      <c r="Q98" s="6">
        <v>68</v>
      </c>
      <c r="R98" s="7">
        <v>42735</v>
      </c>
      <c r="S98" s="210">
        <v>3.5</v>
      </c>
      <c r="T98" s="8">
        <v>1.0000972222222222</v>
      </c>
      <c r="U98" s="98">
        <v>3.6121470212089335</v>
      </c>
      <c r="V98" s="106">
        <v>26491.74035253852</v>
      </c>
      <c r="W98" s="10">
        <v>-1.3693746310722732</v>
      </c>
      <c r="X98" s="413">
        <v>-1.3582036515793743</v>
      </c>
      <c r="Y98" s="414">
        <v>0.29261864383083441</v>
      </c>
      <c r="Z98" s="1"/>
      <c r="AA98" s="3">
        <v>2010</v>
      </c>
      <c r="AB98" s="11">
        <v>4.4788482022875709</v>
      </c>
      <c r="AC98" s="8">
        <v>2010</v>
      </c>
      <c r="AD98" s="108">
        <v>1.150550788143438</v>
      </c>
      <c r="AF98" s="176">
        <v>44562</v>
      </c>
      <c r="AG98" s="177">
        <v>2.5000000000000001E-3</v>
      </c>
      <c r="AH98" s="177">
        <v>2.5833333333333333E-3</v>
      </c>
      <c r="AI98" s="100">
        <v>44570</v>
      </c>
      <c r="AJ98" s="102">
        <v>31089.062901224905</v>
      </c>
      <c r="AL98" s="23"/>
      <c r="AM98" s="23"/>
      <c r="BL98" s="299"/>
    </row>
    <row r="99" spans="17:64">
      <c r="Q99" s="6">
        <v>69</v>
      </c>
      <c r="R99" s="7">
        <v>42736</v>
      </c>
      <c r="S99" s="210">
        <v>3.5</v>
      </c>
      <c r="T99" s="8">
        <v>1.0000972222222222</v>
      </c>
      <c r="U99" s="98">
        <v>3.6121470212089113</v>
      </c>
      <c r="V99" s="106">
        <v>26494.122849254018</v>
      </c>
      <c r="W99" s="10">
        <v>-1.3458598874545813</v>
      </c>
      <c r="X99" s="413">
        <v>-1.334726861333619</v>
      </c>
      <c r="Y99" s="414">
        <v>0.29263288379029978</v>
      </c>
      <c r="Z99" s="1"/>
      <c r="AA99" s="3">
        <v>2040</v>
      </c>
      <c r="AB99" s="11">
        <v>4.4832166200672319</v>
      </c>
      <c r="AC99" s="8">
        <v>2040</v>
      </c>
      <c r="AD99" s="108">
        <v>1.1571473441410522</v>
      </c>
      <c r="AF99" s="176">
        <v>44593</v>
      </c>
      <c r="AG99" s="177">
        <v>2.5000000000000001E-3</v>
      </c>
      <c r="AH99" s="177">
        <v>2.5833333333333333E-3</v>
      </c>
      <c r="AI99" s="100">
        <v>44601</v>
      </c>
      <c r="AJ99" s="102">
        <v>31169.376313719738</v>
      </c>
      <c r="AL99" s="23"/>
      <c r="AM99" s="23"/>
      <c r="BL99" s="299"/>
    </row>
    <row r="100" spans="17:64">
      <c r="Q100" s="6">
        <v>70</v>
      </c>
      <c r="R100" s="7">
        <v>42737</v>
      </c>
      <c r="S100" s="210">
        <v>3.5</v>
      </c>
      <c r="T100" s="8">
        <v>1.0000972222222222</v>
      </c>
      <c r="U100" s="98">
        <v>3.6121470212089113</v>
      </c>
      <c r="V100" s="106">
        <v>26496.505560235946</v>
      </c>
      <c r="W100" s="10">
        <v>-1.323011625442716</v>
      </c>
      <c r="X100" s="413">
        <v>-1.3119208092773085</v>
      </c>
      <c r="Y100" s="414">
        <v>0.29264712467322873</v>
      </c>
      <c r="Z100" s="1"/>
      <c r="AA100" s="3">
        <v>2070</v>
      </c>
      <c r="AB100" s="11">
        <v>4.487474653346931</v>
      </c>
      <c r="AC100" s="8">
        <v>2070</v>
      </c>
      <c r="AD100" s="108">
        <v>1.1634207909533036</v>
      </c>
      <c r="AF100" s="176">
        <v>44621</v>
      </c>
      <c r="AG100" s="177">
        <v>2.5000000000000001E-3</v>
      </c>
      <c r="AH100" s="177">
        <v>2.5833333333333333E-3</v>
      </c>
      <c r="AI100" s="100">
        <v>44629</v>
      </c>
      <c r="AJ100" s="102">
        <v>31249.897202530181</v>
      </c>
      <c r="AL100" s="23"/>
      <c r="AM100" s="23"/>
      <c r="BL100" s="299"/>
    </row>
    <row r="101" spans="17:64">
      <c r="Q101" s="6">
        <v>71</v>
      </c>
      <c r="R101" s="7">
        <v>42738</v>
      </c>
      <c r="S101" s="210">
        <v>3.5</v>
      </c>
      <c r="T101" s="8">
        <v>1.0000972222222222</v>
      </c>
      <c r="U101" s="98">
        <v>3.6121470212089335</v>
      </c>
      <c r="V101" s="106">
        <v>26498.888485503579</v>
      </c>
      <c r="W101" s="10">
        <v>-1.300801906298743</v>
      </c>
      <c r="X101" s="413">
        <v>-1.2897571543600155</v>
      </c>
      <c r="Y101" s="414">
        <v>0.29266136647968777</v>
      </c>
      <c r="Z101" s="1"/>
      <c r="AA101" s="3">
        <v>2100</v>
      </c>
      <c r="AB101" s="11">
        <v>4.4916270272662357</v>
      </c>
      <c r="AC101" s="8">
        <v>2100</v>
      </c>
      <c r="AD101" s="108">
        <v>1.1696286737327075</v>
      </c>
      <c r="AF101" s="176">
        <v>44652</v>
      </c>
      <c r="AG101" s="177">
        <v>2.5000000000000001E-3</v>
      </c>
      <c r="AH101" s="177">
        <v>2.5833333333333333E-3</v>
      </c>
      <c r="AI101" s="100">
        <v>44660</v>
      </c>
      <c r="AJ101" s="102">
        <v>31330.626103636718</v>
      </c>
      <c r="AL101" s="23"/>
      <c r="AM101" s="23"/>
      <c r="BL101" s="299"/>
    </row>
    <row r="102" spans="17:64">
      <c r="Q102" s="6">
        <v>72</v>
      </c>
      <c r="R102" s="7">
        <v>42739</v>
      </c>
      <c r="S102" s="210">
        <v>3.5</v>
      </c>
      <c r="T102" s="8">
        <v>1.0000972222222222</v>
      </c>
      <c r="U102" s="98">
        <v>3.6121470212089335</v>
      </c>
      <c r="V102" s="106">
        <v>26501.271625076177</v>
      </c>
      <c r="W102" s="10">
        <v>-1.2792043313128998</v>
      </c>
      <c r="X102" s="413">
        <v>-1.2682091300340037</v>
      </c>
      <c r="Y102" s="414">
        <v>0.29267560920973967</v>
      </c>
      <c r="Z102" s="1"/>
      <c r="AA102" s="3">
        <v>2130</v>
      </c>
      <c r="AB102" s="11">
        <v>4.4956782010721845</v>
      </c>
      <c r="AC102" s="8">
        <v>2130</v>
      </c>
      <c r="AD102" s="108">
        <v>1.1763505279351556</v>
      </c>
      <c r="AF102" s="176">
        <v>44682</v>
      </c>
      <c r="AG102" s="177">
        <v>2.5000000000000001E-3</v>
      </c>
      <c r="AH102" s="177">
        <v>2.5833333333333333E-3</v>
      </c>
      <c r="AI102" s="100">
        <v>44690</v>
      </c>
      <c r="AJ102" s="102">
        <v>31411.563554404449</v>
      </c>
      <c r="AL102" s="23"/>
      <c r="AM102" s="23"/>
      <c r="BL102" s="299"/>
    </row>
    <row r="103" spans="17:64">
      <c r="Q103" s="6">
        <v>73</v>
      </c>
      <c r="R103" s="7">
        <v>42740</v>
      </c>
      <c r="S103" s="210">
        <v>3.5</v>
      </c>
      <c r="T103" s="8">
        <v>1.0000972222222222</v>
      </c>
      <c r="U103" s="98">
        <v>3.6121470212089113</v>
      </c>
      <c r="V103" s="106">
        <v>26503.65497897302</v>
      </c>
      <c r="W103" s="10">
        <v>-1.2581939371373307</v>
      </c>
      <c r="X103" s="413">
        <v>-1.2472514364119054</v>
      </c>
      <c r="Y103" s="414">
        <v>0.29268985286345306</v>
      </c>
      <c r="Z103" s="1"/>
      <c r="AA103" s="3">
        <v>2160</v>
      </c>
      <c r="AB103" s="11">
        <v>4.4996323865622436</v>
      </c>
      <c r="AC103" s="8">
        <v>2160</v>
      </c>
      <c r="AD103" s="108">
        <v>1.1822378738475772</v>
      </c>
      <c r="AF103" s="176">
        <v>44713</v>
      </c>
      <c r="AG103" s="177">
        <v>2.5000000000000001E-3</v>
      </c>
      <c r="AH103" s="177">
        <v>2.5833333333333333E-3</v>
      </c>
      <c r="AI103" s="100">
        <v>44721</v>
      </c>
      <c r="AJ103" s="102">
        <v>31492.710093586662</v>
      </c>
      <c r="AL103" s="23"/>
      <c r="AM103" s="23"/>
      <c r="BL103" s="299"/>
    </row>
    <row r="104" spans="17:64">
      <c r="Q104" s="6">
        <v>74</v>
      </c>
      <c r="R104" s="7">
        <v>42741</v>
      </c>
      <c r="S104" s="210">
        <v>3.5</v>
      </c>
      <c r="T104" s="8">
        <v>1.0000972222222222</v>
      </c>
      <c r="U104" s="98">
        <v>3.6121470212089113</v>
      </c>
      <c r="V104" s="106">
        <v>26506.038547213382</v>
      </c>
      <c r="W104" s="10">
        <v>-1.2377470995405981</v>
      </c>
      <c r="X104" s="413">
        <v>-1.226860141167508</v>
      </c>
      <c r="Y104" s="414">
        <v>0.2927040974409017</v>
      </c>
      <c r="Z104" s="1"/>
      <c r="AA104" s="3">
        <v>2190</v>
      </c>
      <c r="AB104" s="11">
        <v>4.503493565013521</v>
      </c>
      <c r="AC104" s="8">
        <v>2190</v>
      </c>
      <c r="AD104" s="108">
        <v>1.1878859096475836</v>
      </c>
      <c r="AF104" s="176">
        <v>44743</v>
      </c>
      <c r="AG104" s="177">
        <v>2.5000000000000001E-3</v>
      </c>
      <c r="AH104" s="177">
        <v>2.5833333333333333E-3</v>
      </c>
      <c r="AI104" s="100">
        <v>44751</v>
      </c>
      <c r="AJ104" s="102">
        <v>31574.066261328429</v>
      </c>
      <c r="AL104" s="23"/>
      <c r="AM104" s="23"/>
      <c r="BL104" s="299"/>
    </row>
    <row r="105" spans="17:64">
      <c r="Q105" s="6">
        <v>75</v>
      </c>
      <c r="R105" s="7">
        <v>42742</v>
      </c>
      <c r="S105" s="210">
        <v>3.5</v>
      </c>
      <c r="T105" s="8">
        <v>1.0000972222222222</v>
      </c>
      <c r="U105" s="98">
        <v>3.6121470212089113</v>
      </c>
      <c r="V105" s="106">
        <v>26508.422329816534</v>
      </c>
      <c r="W105" s="10">
        <v>-1.2178414448049457</v>
      </c>
      <c r="X105" s="413">
        <v>-1.2070125883655436</v>
      </c>
      <c r="Y105" s="414">
        <v>0.29271834294214649</v>
      </c>
      <c r="Z105" s="1"/>
      <c r="AA105" s="3">
        <v>2220</v>
      </c>
      <c r="AB105" s="11">
        <v>4.5072655027412543</v>
      </c>
      <c r="AC105" s="8">
        <v>2220</v>
      </c>
      <c r="AD105" s="108">
        <v>1.1935349235900459</v>
      </c>
      <c r="AF105" s="176">
        <v>44774</v>
      </c>
      <c r="AG105" s="177">
        <v>2.5000000000000001E-3</v>
      </c>
      <c r="AH105" s="177">
        <v>2.5833333333333333E-3</v>
      </c>
      <c r="AI105" s="100">
        <v>44782</v>
      </c>
      <c r="AJ105" s="102">
        <v>31655.632599170196</v>
      </c>
      <c r="AL105" s="23"/>
      <c r="AM105" s="23"/>
      <c r="BL105" s="299"/>
    </row>
    <row r="106" spans="17:64">
      <c r="Q106" s="6">
        <v>76</v>
      </c>
      <c r="R106" s="7">
        <v>42743</v>
      </c>
      <c r="S106" s="210">
        <v>3.5</v>
      </c>
      <c r="T106" s="8">
        <v>1.0000972222222222</v>
      </c>
      <c r="U106" s="98">
        <v>3.6121470212088891</v>
      </c>
      <c r="V106" s="106">
        <v>26510.806326801769</v>
      </c>
      <c r="W106" s="10">
        <v>-1.1984557680658536</v>
      </c>
      <c r="X106" s="413">
        <v>-1.1876873144886531</v>
      </c>
      <c r="Y106" s="414">
        <v>0.29273258936725405</v>
      </c>
      <c r="Z106" s="1"/>
      <c r="AA106" s="3">
        <v>2250</v>
      </c>
      <c r="AB106" s="11">
        <v>4.5109517654134264</v>
      </c>
      <c r="AC106" s="8">
        <v>2250</v>
      </c>
      <c r="AD106" s="108">
        <v>1.1982747000725851</v>
      </c>
      <c r="AF106" s="176">
        <v>44805</v>
      </c>
      <c r="AG106" s="177">
        <v>2.5000000000000001E-3</v>
      </c>
      <c r="AH106" s="177">
        <v>2.5833333333333333E-3</v>
      </c>
      <c r="AI106" s="100">
        <v>44813</v>
      </c>
      <c r="AJ106" s="102">
        <v>31737.409650051388</v>
      </c>
      <c r="AL106" s="23"/>
      <c r="AM106" s="23"/>
      <c r="BL106" s="299"/>
    </row>
    <row r="107" spans="17:64">
      <c r="Q107" s="6">
        <v>77</v>
      </c>
      <c r="R107" s="7">
        <v>42744</v>
      </c>
      <c r="S107" s="210">
        <v>3.5</v>
      </c>
      <c r="T107" s="8">
        <v>1.0000972222222222</v>
      </c>
      <c r="U107" s="98">
        <v>3.6121470212088891</v>
      </c>
      <c r="V107" s="106">
        <v>26513.190538188348</v>
      </c>
      <c r="W107" s="10">
        <v>-1.1795699579671304</v>
      </c>
      <c r="X107" s="413">
        <v>-1.1688639710066653</v>
      </c>
      <c r="Y107" s="414">
        <v>0.29274683671629609</v>
      </c>
      <c r="Z107" s="1"/>
      <c r="AA107" s="3">
        <v>2280</v>
      </c>
      <c r="AB107" s="11">
        <v>4.5145557312368405</v>
      </c>
      <c r="AC107" s="8">
        <v>2280</v>
      </c>
      <c r="AD107" s="108">
        <v>1.2029045318429457</v>
      </c>
      <c r="AF107" s="176">
        <v>44835</v>
      </c>
      <c r="AG107" s="177">
        <v>2.5000000000000001E-3</v>
      </c>
      <c r="AH107" s="177">
        <v>2.5833333333333333E-3</v>
      </c>
      <c r="AI107" s="100">
        <v>44843</v>
      </c>
      <c r="AJ107" s="102">
        <v>31819.397958314021</v>
      </c>
      <c r="AL107" s="23"/>
      <c r="AM107" s="23"/>
      <c r="BL107" s="299"/>
    </row>
    <row r="108" spans="17:64">
      <c r="Q108" s="6">
        <v>78</v>
      </c>
      <c r="R108" s="7">
        <v>42745</v>
      </c>
      <c r="S108" s="210">
        <v>3.5</v>
      </c>
      <c r="T108" s="8">
        <v>1.0000972222222222</v>
      </c>
      <c r="U108" s="98">
        <v>3.6121470212089113</v>
      </c>
      <c r="V108" s="106">
        <v>26515.768884143275</v>
      </c>
      <c r="W108" s="10">
        <v>-1.1645474343901174</v>
      </c>
      <c r="X108" s="413">
        <v>-1.1538902492524299</v>
      </c>
      <c r="Y108" s="414">
        <v>0.29276108498934067</v>
      </c>
      <c r="Z108" s="1"/>
      <c r="AA108" s="3">
        <v>2310</v>
      </c>
      <c r="AB108" s="11">
        <v>4.5180806031168821</v>
      </c>
      <c r="AC108" s="8">
        <v>2310</v>
      </c>
      <c r="AD108" s="108">
        <v>1.2074286960701683</v>
      </c>
      <c r="AF108" s="176">
        <v>44866</v>
      </c>
      <c r="AG108" s="177">
        <v>2.5000000000000001E-3</v>
      </c>
      <c r="AH108" s="177">
        <v>2.5833333333333333E-3</v>
      </c>
      <c r="AI108" s="100">
        <v>44874</v>
      </c>
      <c r="AJ108" s="102">
        <v>31901.598069706335</v>
      </c>
      <c r="AL108" s="23"/>
      <c r="AM108" s="23"/>
      <c r="BL108" s="299"/>
    </row>
    <row r="109" spans="17:64">
      <c r="Q109" s="6">
        <v>79</v>
      </c>
      <c r="R109" s="7">
        <v>42746</v>
      </c>
      <c r="S109" s="210">
        <v>3.5</v>
      </c>
      <c r="T109" s="8">
        <v>1.0000972222222222</v>
      </c>
      <c r="U109" s="98">
        <v>3.6121470212089335</v>
      </c>
      <c r="V109" s="106">
        <v>26518.347480836328</v>
      </c>
      <c r="W109" s="10">
        <v>-1.1499030301593494</v>
      </c>
      <c r="X109" s="413">
        <v>-1.1392956090611883</v>
      </c>
      <c r="Y109" s="414">
        <v>0.29277533418645246</v>
      </c>
      <c r="Z109" s="1"/>
      <c r="AA109" s="3">
        <v>2340</v>
      </c>
      <c r="AB109" s="11">
        <v>4.521529419882695</v>
      </c>
      <c r="AC109" s="8">
        <v>2340</v>
      </c>
      <c r="AD109" s="108">
        <v>1.2118512509045805</v>
      </c>
      <c r="AF109" s="176">
        <v>44896</v>
      </c>
      <c r="AG109" s="177">
        <v>2.5000000000000001E-3</v>
      </c>
      <c r="AH109" s="177">
        <v>2.5833333333333333E-3</v>
      </c>
      <c r="AI109" s="100">
        <v>44904</v>
      </c>
      <c r="AJ109" s="102">
        <v>31984.010531386411</v>
      </c>
      <c r="AL109" s="23"/>
      <c r="AM109" s="23"/>
      <c r="BL109" s="299"/>
    </row>
    <row r="110" spans="17:64">
      <c r="Q110" s="6">
        <v>80</v>
      </c>
      <c r="R110" s="7">
        <v>42747</v>
      </c>
      <c r="S110" s="210">
        <v>3.5</v>
      </c>
      <c r="T110" s="8">
        <v>1.0000972222222222</v>
      </c>
      <c r="U110" s="98">
        <v>3.6121470212089779</v>
      </c>
      <c r="V110" s="106">
        <v>26520.926328291898</v>
      </c>
      <c r="W110" s="10">
        <v>-1.1356226468736685</v>
      </c>
      <c r="X110" s="413">
        <v>-1.125065834874428</v>
      </c>
      <c r="Y110" s="414">
        <v>0.29278958430770108</v>
      </c>
      <c r="Z110" s="1"/>
      <c r="AA110" s="3">
        <v>2370</v>
      </c>
      <c r="AB110" s="11">
        <v>4.5249050666606161</v>
      </c>
      <c r="AC110" s="8">
        <v>2370</v>
      </c>
      <c r="AD110" s="108">
        <v>1.2161760493192779</v>
      </c>
      <c r="AF110" s="176">
        <v>44927</v>
      </c>
      <c r="AG110" s="177">
        <v>2.5000000000000001E-3</v>
      </c>
      <c r="AH110" s="177">
        <v>2.5833333333333333E-3</v>
      </c>
      <c r="AI110" s="100">
        <v>44935</v>
      </c>
      <c r="AJ110" s="102">
        <v>32066.635891925827</v>
      </c>
      <c r="AL110" s="23"/>
      <c r="AM110" s="23"/>
      <c r="BL110" s="299"/>
    </row>
    <row r="111" spans="17:64">
      <c r="Q111" s="6">
        <v>81</v>
      </c>
      <c r="R111" s="7">
        <v>42748</v>
      </c>
      <c r="S111" s="210">
        <v>3.5</v>
      </c>
      <c r="T111" s="8">
        <v>1.0000972222222222</v>
      </c>
      <c r="U111" s="98">
        <v>3.6121470212090223</v>
      </c>
      <c r="V111" s="106">
        <v>26523.505426534372</v>
      </c>
      <c r="W111" s="10">
        <v>-1.1216928784097524</v>
      </c>
      <c r="X111" s="413">
        <v>-1.1111874131364274</v>
      </c>
      <c r="Y111" s="414">
        <v>0.29280383535315285</v>
      </c>
      <c r="Z111" s="1"/>
      <c r="AA111" s="3">
        <v>2400</v>
      </c>
      <c r="AB111" s="11">
        <v>4.5282102844710357</v>
      </c>
      <c r="AC111" s="8">
        <v>2400</v>
      </c>
      <c r="AD111" s="108">
        <v>1.2204067519157935</v>
      </c>
      <c r="AF111" s="176">
        <v>44958</v>
      </c>
      <c r="AG111" s="177">
        <v>2.5000000000000001E-3</v>
      </c>
      <c r="AH111" s="177">
        <v>2.5833333333333333E-3</v>
      </c>
      <c r="AI111" s="100">
        <v>44966</v>
      </c>
      <c r="AJ111" s="102">
        <v>32149.474701313306</v>
      </c>
      <c r="AL111" s="23"/>
      <c r="AM111" s="23"/>
      <c r="BL111" s="299"/>
    </row>
    <row r="112" spans="17:64">
      <c r="Q112" s="6">
        <v>82</v>
      </c>
      <c r="R112" s="7">
        <v>42749</v>
      </c>
      <c r="S112" s="210">
        <v>3.5</v>
      </c>
      <c r="T112" s="8">
        <v>1.0000972222222222</v>
      </c>
      <c r="U112" s="98">
        <v>3.6121470212090445</v>
      </c>
      <c r="V112" s="106">
        <v>26526.084775588133</v>
      </c>
      <c r="W112" s="10">
        <v>-1.1081009689467014</v>
      </c>
      <c r="X112" s="413">
        <v>-1.0976474894894026</v>
      </c>
      <c r="Y112" s="414">
        <v>0.29281808732287073</v>
      </c>
      <c r="Z112" s="1"/>
      <c r="AA112" s="3">
        <v>2430</v>
      </c>
      <c r="AB112" s="11">
        <v>4.5314476791141285</v>
      </c>
      <c r="AC112" s="8">
        <v>2430</v>
      </c>
      <c r="AD112" s="108">
        <v>1.2245468387813683</v>
      </c>
      <c r="AF112" s="176">
        <v>44986</v>
      </c>
      <c r="AG112" s="177">
        <v>2.5000000000000001E-3</v>
      </c>
      <c r="AH112" s="177">
        <v>2.5833333333333333E-3</v>
      </c>
      <c r="AI112" s="100">
        <v>44994</v>
      </c>
      <c r="AJ112" s="102">
        <v>32232.527510958367</v>
      </c>
      <c r="AL112" s="23"/>
      <c r="AM112" s="23"/>
      <c r="BL112" s="299"/>
    </row>
    <row r="113" spans="17:64">
      <c r="Q113" s="6">
        <v>83</v>
      </c>
      <c r="R113" s="7">
        <v>42750</v>
      </c>
      <c r="S113" s="210">
        <v>3.5</v>
      </c>
      <c r="T113" s="8">
        <v>1.0000972222222222</v>
      </c>
      <c r="U113" s="98">
        <v>3.6121470212090001</v>
      </c>
      <c r="V113" s="106">
        <v>26528.664375477583</v>
      </c>
      <c r="W113" s="10">
        <v>-1.0948347740077136</v>
      </c>
      <c r="X113" s="413">
        <v>-1.0844338290625954</v>
      </c>
      <c r="Y113" s="414">
        <v>0.29283234021692284</v>
      </c>
      <c r="Z113" s="1"/>
      <c r="AA113" s="3">
        <v>2460</v>
      </c>
      <c r="AB113" s="11">
        <v>4.5346197294071793</v>
      </c>
      <c r="AC113" s="8">
        <v>2460</v>
      </c>
      <c r="AD113" s="108">
        <v>1.2285996204812015</v>
      </c>
      <c r="AF113" s="176">
        <v>45017</v>
      </c>
      <c r="AG113" s="177">
        <v>2.5000000000000001E-3</v>
      </c>
      <c r="AH113" s="177">
        <v>2.5833333333333333E-3</v>
      </c>
      <c r="AI113" s="100">
        <v>45025</v>
      </c>
      <c r="AJ113" s="102">
        <v>32315.794873695013</v>
      </c>
      <c r="AL113" s="23"/>
      <c r="AM113" s="23"/>
      <c r="BL113" s="299"/>
    </row>
    <row r="114" spans="17:64">
      <c r="Q114" s="6">
        <v>84</v>
      </c>
      <c r="R114" s="7">
        <v>42751</v>
      </c>
      <c r="S114" s="210">
        <v>3.5</v>
      </c>
      <c r="T114" s="8">
        <v>1.0000972222222222</v>
      </c>
      <c r="U114" s="98">
        <v>3.6121470212090001</v>
      </c>
      <c r="V114" s="106">
        <v>26531.2442262271</v>
      </c>
      <c r="W114" s="10">
        <v>-1.0818827242694007</v>
      </c>
      <c r="X114" s="413">
        <v>-1.0715347795979981</v>
      </c>
      <c r="Y114" s="414">
        <v>0.29284659403538177</v>
      </c>
      <c r="Z114" s="1"/>
      <c r="AA114" s="3">
        <v>2490</v>
      </c>
      <c r="AB114" s="11">
        <v>4.5377287948261582</v>
      </c>
      <c r="AC114" s="8">
        <v>2490</v>
      </c>
      <c r="AD114" s="108">
        <v>1.2325682482559621</v>
      </c>
      <c r="AF114" s="176">
        <v>45047</v>
      </c>
      <c r="AG114" s="177">
        <v>2.5000000000000001E-3</v>
      </c>
      <c r="AH114" s="177">
        <v>2.5833333333333333E-3</v>
      </c>
      <c r="AI114" s="100">
        <v>45055</v>
      </c>
      <c r="AJ114" s="102">
        <v>32399.277343785394</v>
      </c>
      <c r="AL114" s="23"/>
      <c r="AM114" s="23"/>
      <c r="BL114" s="299"/>
    </row>
    <row r="115" spans="17:64">
      <c r="Q115" s="6">
        <v>85</v>
      </c>
      <c r="R115" s="7">
        <v>42752</v>
      </c>
      <c r="S115" s="210">
        <v>3.5</v>
      </c>
      <c r="T115" s="8">
        <v>1.0000972222222222</v>
      </c>
      <c r="U115" s="98">
        <v>3.6121470212089557</v>
      </c>
      <c r="V115" s="106">
        <v>26533.824327861086</v>
      </c>
      <c r="W115" s="10">
        <v>-1.0692337919122941</v>
      </c>
      <c r="X115" s="413">
        <v>-1.0589392371793447</v>
      </c>
      <c r="Y115" s="414">
        <v>0.29286084877830909</v>
      </c>
      <c r="Z115" s="1"/>
      <c r="AA115" s="3">
        <v>2520</v>
      </c>
      <c r="AB115" s="11">
        <v>4.5407771226022664</v>
      </c>
      <c r="AC115" s="8">
        <v>2520</v>
      </c>
      <c r="AD115" s="108">
        <v>1.2364557234925</v>
      </c>
      <c r="AF115" s="176">
        <v>45078</v>
      </c>
      <c r="AG115" s="177">
        <v>2.5000000000000001E-3</v>
      </c>
      <c r="AH115" s="177">
        <v>2.5833333333333333E-3</v>
      </c>
      <c r="AI115" s="100">
        <v>45086</v>
      </c>
      <c r="AJ115" s="102">
        <v>32482.975476923508</v>
      </c>
      <c r="AL115" s="23"/>
      <c r="AM115" s="23"/>
      <c r="BL115" s="299"/>
    </row>
    <row r="116" spans="17:64">
      <c r="Q116" s="6">
        <v>86</v>
      </c>
      <c r="R116" s="7">
        <v>42753</v>
      </c>
      <c r="S116" s="210">
        <v>3.5</v>
      </c>
      <c r="T116" s="8">
        <v>1.0000972222222222</v>
      </c>
      <c r="U116" s="98">
        <v>3.6121470212089557</v>
      </c>
      <c r="V116" s="106">
        <v>26536.404680403943</v>
      </c>
      <c r="W116" s="10">
        <v>-1.0568774593059049</v>
      </c>
      <c r="X116" s="413">
        <v>-1.0466366143515438</v>
      </c>
      <c r="Y116" s="414">
        <v>0.2928751044457788</v>
      </c>
      <c r="Z116" s="1"/>
      <c r="AA116" s="3">
        <v>2550</v>
      </c>
      <c r="AB116" s="11">
        <v>4.5437668543182594</v>
      </c>
      <c r="AC116" s="8">
        <v>2550</v>
      </c>
      <c r="AD116" s="108">
        <v>1.2402649065269384</v>
      </c>
      <c r="AF116" s="176">
        <v>45108</v>
      </c>
      <c r="AG116" s="177">
        <v>2.5000000000000001E-3</v>
      </c>
      <c r="AH116" s="177">
        <v>2.5833333333333333E-3</v>
      </c>
      <c r="AI116" s="100">
        <v>45116</v>
      </c>
      <c r="AJ116" s="102">
        <v>32566.889830238895</v>
      </c>
      <c r="AL116" s="23"/>
      <c r="AM116" s="23"/>
      <c r="BL116" s="299"/>
    </row>
    <row r="117" spans="17:64">
      <c r="Q117" s="6">
        <v>87</v>
      </c>
      <c r="R117" s="7">
        <v>42754</v>
      </c>
      <c r="S117" s="210">
        <v>3.5</v>
      </c>
      <c r="T117" s="8">
        <v>1.0000972222222222</v>
      </c>
      <c r="U117" s="98">
        <v>3.6121470212089335</v>
      </c>
      <c r="V117" s="106">
        <v>26538.985283880062</v>
      </c>
      <c r="W117" s="10">
        <v>-1.0448036898422108</v>
      </c>
      <c r="X117" s="413">
        <v>-1.034616810439003</v>
      </c>
      <c r="Y117" s="414">
        <v>0.29288936103785407</v>
      </c>
      <c r="Z117" s="1"/>
      <c r="AA117" s="3">
        <v>2580</v>
      </c>
      <c r="AB117" s="11">
        <v>4.5467000320448721</v>
      </c>
      <c r="AC117" s="8">
        <v>2580</v>
      </c>
      <c r="AD117" s="108">
        <v>1.2439985248343903</v>
      </c>
      <c r="AF117" s="176">
        <v>45139</v>
      </c>
      <c r="AG117" s="177">
        <v>2.5000000000000001E-3</v>
      </c>
      <c r="AH117" s="177">
        <v>2.5833333333333333E-3</v>
      </c>
      <c r="AI117" s="100">
        <v>45147</v>
      </c>
      <c r="AJ117" s="102">
        <v>32651.020962300347</v>
      </c>
      <c r="AL117" s="23"/>
      <c r="AM117" s="23"/>
      <c r="BL117" s="299"/>
    </row>
    <row r="118" spans="17:64">
      <c r="Q118" s="6">
        <v>88</v>
      </c>
      <c r="R118" s="7">
        <v>42755</v>
      </c>
      <c r="S118" s="210">
        <v>3.5</v>
      </c>
      <c r="T118" s="8">
        <v>1.0000972222222222</v>
      </c>
      <c r="U118" s="98">
        <v>3.6121470212088891</v>
      </c>
      <c r="V118" s="106">
        <v>26541.566138313858</v>
      </c>
      <c r="W118" s="10">
        <v>-1.0330029007476926</v>
      </c>
      <c r="X118" s="413">
        <v>-1.0228701838879743</v>
      </c>
      <c r="Y118" s="414">
        <v>0.2929036185546024</v>
      </c>
      <c r="Z118" s="1"/>
      <c r="AA118" s="3">
        <v>2610</v>
      </c>
      <c r="AB118" s="11">
        <v>4.5495786040544033</v>
      </c>
      <c r="AC118" s="8">
        <v>2610</v>
      </c>
      <c r="AD118" s="108">
        <v>1.247659180654479</v>
      </c>
      <c r="AF118" s="176">
        <v>45170</v>
      </c>
      <c r="AG118" s="177">
        <v>2.5000000000000001E-3</v>
      </c>
      <c r="AH118" s="177">
        <v>2.5833333333333333E-3</v>
      </c>
      <c r="AI118" s="100">
        <v>45178</v>
      </c>
      <c r="AJ118" s="102">
        <v>32735.369433119624</v>
      </c>
      <c r="AL118" s="23"/>
      <c r="AM118" s="23"/>
      <c r="BL118" s="299"/>
    </row>
    <row r="119" spans="17:64">
      <c r="Q119" s="6">
        <v>89</v>
      </c>
      <c r="R119" s="7">
        <v>42756</v>
      </c>
      <c r="S119" s="210">
        <v>3.5</v>
      </c>
      <c r="T119" s="8">
        <v>1.0000972222222222</v>
      </c>
      <c r="U119" s="98">
        <v>3.6121470212088891</v>
      </c>
      <c r="V119" s="106">
        <v>26544.147243729727</v>
      </c>
      <c r="W119" s="10">
        <v>-1.0214659377178692</v>
      </c>
      <c r="X119" s="413">
        <v>-1.0113875264726098</v>
      </c>
      <c r="Y119" s="414">
        <v>0.29291787699609612</v>
      </c>
      <c r="Z119" s="1"/>
      <c r="AA119" s="3">
        <v>2640</v>
      </c>
      <c r="AB119" s="11">
        <v>4.5524044301449687</v>
      </c>
      <c r="AC119" s="8">
        <v>2640</v>
      </c>
      <c r="AD119" s="108">
        <v>1.2512493580976112</v>
      </c>
      <c r="AF119" s="176">
        <v>45200</v>
      </c>
      <c r="AG119" s="177">
        <v>2.5000000000000001E-3</v>
      </c>
      <c r="AH119" s="177">
        <v>2.5833333333333333E-3</v>
      </c>
      <c r="AI119" s="100">
        <v>45208</v>
      </c>
      <c r="AJ119" s="102">
        <v>32819.935804155182</v>
      </c>
      <c r="AL119" s="23"/>
      <c r="AM119" s="23"/>
      <c r="BL119" s="299"/>
    </row>
    <row r="120" spans="17:64">
      <c r="Q120" s="6">
        <v>90</v>
      </c>
      <c r="R120" s="7">
        <v>42757</v>
      </c>
      <c r="S120" s="210">
        <v>3.5</v>
      </c>
      <c r="T120" s="8">
        <v>1.0000972222222222</v>
      </c>
      <c r="U120" s="98">
        <v>3.6121470212088669</v>
      </c>
      <c r="V120" s="106">
        <v>26546.728600152077</v>
      </c>
      <c r="W120" s="10">
        <v>-1.0101840512354299</v>
      </c>
      <c r="X120" s="413">
        <v>-1.0001600392217203</v>
      </c>
      <c r="Y120" s="414">
        <v>0.29293213636239679</v>
      </c>
      <c r="Z120" s="1"/>
      <c r="AA120" s="3">
        <v>2670</v>
      </c>
      <c r="AB120" s="11">
        <v>4.5551792866064824</v>
      </c>
      <c r="AC120" s="8">
        <v>2670</v>
      </c>
      <c r="AD120" s="108">
        <v>1.2547714297729846</v>
      </c>
      <c r="AF120" s="176">
        <v>45231</v>
      </c>
      <c r="AG120" s="177">
        <v>2.5000000000000001E-3</v>
      </c>
      <c r="AH120" s="177">
        <v>2.5833333333333333E-3</v>
      </c>
      <c r="AI120" s="100">
        <v>45239</v>
      </c>
      <c r="AJ120" s="102">
        <v>32904.720638315921</v>
      </c>
      <c r="AL120" s="23"/>
      <c r="AM120" s="23"/>
      <c r="BL120" s="299"/>
    </row>
    <row r="121" spans="17:64">
      <c r="Q121" s="6">
        <v>91</v>
      </c>
      <c r="R121" s="7">
        <v>42758</v>
      </c>
      <c r="S121" s="210">
        <v>3.5</v>
      </c>
      <c r="T121" s="8">
        <v>1.0000972222222222</v>
      </c>
      <c r="U121" s="98">
        <v>3.6121470212088891</v>
      </c>
      <c r="V121" s="106">
        <v>26549.310207605318</v>
      </c>
      <c r="W121" s="10">
        <v>-0.99914887444119138</v>
      </c>
      <c r="X121" s="413">
        <v>-0.98917930993212522</v>
      </c>
      <c r="Y121" s="414">
        <v>0.29294639665357775</v>
      </c>
      <c r="Z121" s="1"/>
      <c r="AA121" s="3">
        <v>2700</v>
      </c>
      <c r="AB121" s="11">
        <v>4.5579048708557313</v>
      </c>
      <c r="AC121" s="8">
        <v>2700</v>
      </c>
      <c r="AD121" s="108">
        <v>1.2582276629752178</v>
      </c>
      <c r="AF121" s="176">
        <v>45261</v>
      </c>
      <c r="AG121" s="177">
        <v>2.5000000000000001E-3</v>
      </c>
      <c r="AH121" s="177">
        <v>2.5833333333333333E-3</v>
      </c>
      <c r="AI121" s="100">
        <v>45269</v>
      </c>
      <c r="AJ121" s="102">
        <v>32989.724499964905</v>
      </c>
      <c r="AL121" s="23"/>
      <c r="AM121" s="23"/>
      <c r="BL121" s="299"/>
    </row>
    <row r="122" spans="17:64">
      <c r="Q122" s="6">
        <v>92</v>
      </c>
      <c r="R122" s="7">
        <v>42759</v>
      </c>
      <c r="S122" s="210">
        <v>3.5</v>
      </c>
      <c r="T122" s="8">
        <v>1.0000972222222222</v>
      </c>
      <c r="U122" s="98">
        <v>3.6121470212089113</v>
      </c>
      <c r="V122" s="106">
        <v>26551.892066113873</v>
      </c>
      <c r="W122" s="10">
        <v>-0.98835240244113942</v>
      </c>
      <c r="X122" s="413">
        <v>-0.97843729214860831</v>
      </c>
      <c r="Y122" s="414">
        <v>0.29296065786970227</v>
      </c>
      <c r="Z122" s="1"/>
      <c r="AA122" s="3">
        <v>2730</v>
      </c>
      <c r="AB122" s="11">
        <v>4.5605828057658835</v>
      </c>
      <c r="AC122" s="8">
        <v>2730</v>
      </c>
      <c r="AD122" s="108">
        <v>1.261620225463328</v>
      </c>
      <c r="AF122" s="176">
        <v>45292</v>
      </c>
      <c r="AG122" s="177">
        <v>2.5000000000000001E-3</v>
      </c>
      <c r="AH122" s="177">
        <v>2.5833333333333333E-3</v>
      </c>
      <c r="AI122" s="100">
        <v>45300</v>
      </c>
      <c r="AJ122" s="102">
        <v>33074.947954923147</v>
      </c>
      <c r="AL122" s="23"/>
      <c r="AM122" s="23"/>
      <c r="BL122" s="299"/>
    </row>
    <row r="123" spans="17:64">
      <c r="Q123" s="6">
        <v>93</v>
      </c>
      <c r="R123" s="7">
        <v>42760</v>
      </c>
      <c r="S123" s="210">
        <v>3.5</v>
      </c>
      <c r="T123" s="8">
        <v>1.0000972222222222</v>
      </c>
      <c r="U123" s="98">
        <v>3.6121470212089113</v>
      </c>
      <c r="V123" s="106">
        <v>26554.47417570214</v>
      </c>
      <c r="W123" s="10">
        <v>-0.97778697294188532</v>
      </c>
      <c r="X123" s="413">
        <v>-0.96792628549996307</v>
      </c>
      <c r="Y123" s="414">
        <v>0.29297492001083775</v>
      </c>
      <c r="Z123" s="1"/>
      <c r="AA123" s="3">
        <v>2760</v>
      </c>
      <c r="AB123" s="11">
        <v>4.5632146437143657</v>
      </c>
      <c r="AC123" s="8">
        <v>2760</v>
      </c>
      <c r="AD123" s="108">
        <v>1.264951190863874</v>
      </c>
      <c r="AF123" s="176">
        <v>45323</v>
      </c>
      <c r="AG123" s="177">
        <v>2.5000000000000001E-3</v>
      </c>
      <c r="AH123" s="177">
        <v>2.5833333333333333E-3</v>
      </c>
      <c r="AI123" s="100">
        <v>45331</v>
      </c>
      <c r="AJ123" s="102">
        <v>33160.391570473366</v>
      </c>
      <c r="AL123" s="23"/>
      <c r="AM123" s="23"/>
      <c r="BL123" s="299"/>
    </row>
    <row r="124" spans="17:64">
      <c r="Q124" s="6">
        <v>94</v>
      </c>
      <c r="R124" s="7">
        <v>42761</v>
      </c>
      <c r="S124" s="210">
        <v>3.5</v>
      </c>
      <c r="T124" s="8">
        <v>1.0000972222222222</v>
      </c>
      <c r="U124" s="98">
        <v>3.6121470212088669</v>
      </c>
      <c r="V124" s="106">
        <v>26557.056536394546</v>
      </c>
      <c r="W124" s="10">
        <v>-0.967445248116372</v>
      </c>
      <c r="X124" s="413">
        <v>-0.95763891729043815</v>
      </c>
      <c r="Y124" s="414">
        <v>0.2929891830770488</v>
      </c>
      <c r="Z124" s="1"/>
      <c r="AA124" s="3">
        <v>2790</v>
      </c>
      <c r="AB124" s="11">
        <v>4.5658018703693886</v>
      </c>
      <c r="AC124" s="8">
        <v>2790</v>
      </c>
      <c r="AD124" s="108">
        <v>1.2682225437252708</v>
      </c>
      <c r="AF124" s="176">
        <v>45352</v>
      </c>
      <c r="AG124" s="177">
        <v>2.5000000000000001E-3</v>
      </c>
      <c r="AH124" s="177">
        <v>2.5833333333333333E-3</v>
      </c>
      <c r="AI124" s="100">
        <v>45360</v>
      </c>
      <c r="AJ124" s="102">
        <v>33246.055915363759</v>
      </c>
      <c r="AL124" s="23"/>
      <c r="AM124" s="23"/>
      <c r="BL124" s="299"/>
    </row>
    <row r="125" spans="17:64">
      <c r="Q125" s="6">
        <v>95</v>
      </c>
      <c r="R125" s="7">
        <v>42762</v>
      </c>
      <c r="S125" s="210">
        <v>3.5</v>
      </c>
      <c r="T125" s="8">
        <v>1.0000972222222222</v>
      </c>
      <c r="U125" s="98">
        <v>3.6121470212088891</v>
      </c>
      <c r="V125" s="106">
        <v>26559.639148215501</v>
      </c>
      <c r="W125" s="10">
        <v>-0.95732019760881304</v>
      </c>
      <c r="X125" s="413">
        <v>-0.94756812525336664</v>
      </c>
      <c r="Y125" s="414">
        <v>0.29300344706841136</v>
      </c>
      <c r="Z125" s="1"/>
      <c r="AA125" s="3">
        <v>2820</v>
      </c>
      <c r="AB125" s="11">
        <v>4.5683459082351776</v>
      </c>
      <c r="AC125" s="8">
        <v>2820</v>
      </c>
      <c r="AD125" s="108">
        <v>1.271436184250291</v>
      </c>
      <c r="AF125" s="176">
        <v>45383</v>
      </c>
      <c r="AG125" s="177">
        <v>2.5000000000000001E-3</v>
      </c>
      <c r="AH125" s="177">
        <v>2.5833333333333333E-3</v>
      </c>
      <c r="AI125" s="100">
        <v>45391</v>
      </c>
      <c r="AJ125" s="102">
        <v>33331.941559811785</v>
      </c>
      <c r="AL125" s="23"/>
      <c r="AM125" s="23"/>
      <c r="BL125" s="299"/>
    </row>
    <row r="126" spans="17:64">
      <c r="Q126" s="6">
        <v>96</v>
      </c>
      <c r="R126" s="7">
        <v>42763</v>
      </c>
      <c r="S126" s="210">
        <v>3.5</v>
      </c>
      <c r="T126" s="8">
        <v>1.0000972222222222</v>
      </c>
      <c r="U126" s="98">
        <v>3.6121470212088669</v>
      </c>
      <c r="V126" s="106">
        <v>26562.222011189438</v>
      </c>
      <c r="W126" s="10">
        <v>-0.94740508259780754</v>
      </c>
      <c r="X126" s="413">
        <v>-0.93770714138360911</v>
      </c>
      <c r="Y126" s="414">
        <v>0.29301771198498444</v>
      </c>
      <c r="Z126" s="1"/>
      <c r="AA126" s="3">
        <v>2850</v>
      </c>
      <c r="AB126" s="11">
        <v>4.5708481199736717</v>
      </c>
      <c r="AC126" s="8">
        <v>2850</v>
      </c>
      <c r="AD126" s="108">
        <v>1.2745939327300746</v>
      </c>
      <c r="AF126" s="176">
        <v>45413</v>
      </c>
      <c r="AG126" s="177">
        <v>2.5000000000000001E-3</v>
      </c>
      <c r="AH126" s="177">
        <v>2.5833333333333333E-3</v>
      </c>
      <c r="AI126" s="100">
        <v>45421</v>
      </c>
      <c r="AJ126" s="102">
        <v>33418.049075507966</v>
      </c>
      <c r="AL126" s="23"/>
      <c r="AM126" s="23"/>
      <c r="BL126" s="299"/>
    </row>
    <row r="127" spans="17:64">
      <c r="Q127" s="6">
        <v>97</v>
      </c>
      <c r="R127" s="7">
        <v>42764</v>
      </c>
      <c r="S127" s="210">
        <v>3.5</v>
      </c>
      <c r="T127" s="8">
        <v>1.0000972222222222</v>
      </c>
      <c r="U127" s="98">
        <v>3.6121470212088447</v>
      </c>
      <c r="V127" s="106">
        <v>26564.805125340779</v>
      </c>
      <c r="W127" s="10">
        <v>-0.93769344083910466</v>
      </c>
      <c r="X127" s="413">
        <v>-0.92804947676873339</v>
      </c>
      <c r="Y127" s="414">
        <v>0.29303197782683815</v>
      </c>
      <c r="Z127" s="1"/>
      <c r="AA127" s="3">
        <v>2880</v>
      </c>
      <c r="AB127" s="11">
        <v>4.5733098115182989</v>
      </c>
      <c r="AC127" s="8">
        <v>2880</v>
      </c>
      <c r="AD127" s="108">
        <v>1.2776975337009595</v>
      </c>
      <c r="AF127" s="176">
        <v>45444</v>
      </c>
      <c r="AG127" s="177">
        <v>2.5000000000000001E-3</v>
      </c>
      <c r="AH127" s="177">
        <v>2.5833333333333333E-3</v>
      </c>
      <c r="AI127" s="100">
        <v>45452</v>
      </c>
      <c r="AJ127" s="102">
        <v>33504.379035619699</v>
      </c>
      <c r="AL127" s="23"/>
      <c r="AM127" s="23"/>
      <c r="BL127" s="299"/>
    </row>
    <row r="128" spans="17:64">
      <c r="Q128" s="6">
        <v>98</v>
      </c>
      <c r="R128" s="7">
        <v>42765</v>
      </c>
      <c r="S128" s="210">
        <v>3.5</v>
      </c>
      <c r="T128" s="8">
        <v>1.0000972222222222</v>
      </c>
      <c r="U128" s="98">
        <v>3.6121470212088669</v>
      </c>
      <c r="V128" s="106">
        <v>26567.388490693949</v>
      </c>
      <c r="W128" s="10">
        <v>-0.9281790726207495</v>
      </c>
      <c r="X128" s="413">
        <v>-0.91858890734975329</v>
      </c>
      <c r="Y128" s="414">
        <v>0.2930462445940466</v>
      </c>
      <c r="Z128" s="1"/>
      <c r="AA128" s="3">
        <v>2910</v>
      </c>
      <c r="AB128" s="11">
        <v>4.5757322349959058</v>
      </c>
      <c r="AC128" s="8">
        <v>2910</v>
      </c>
      <c r="AD128" s="108">
        <v>1.2807486598450051</v>
      </c>
      <c r="AF128" s="176">
        <v>45474</v>
      </c>
      <c r="AG128" s="177">
        <v>2.5000000000000001E-3</v>
      </c>
      <c r="AH128" s="177">
        <v>2.5833333333333333E-3</v>
      </c>
      <c r="AI128" s="100">
        <v>45482</v>
      </c>
      <c r="AJ128" s="102">
        <v>33590.932014795049</v>
      </c>
      <c r="AL128" s="23"/>
      <c r="AM128" s="23"/>
      <c r="BL128" s="299"/>
    </row>
    <row r="129" spans="17:64">
      <c r="Q129" s="6">
        <v>99</v>
      </c>
      <c r="R129" s="7">
        <v>42766</v>
      </c>
      <c r="S129" s="210">
        <v>3.5</v>
      </c>
      <c r="T129" s="8">
        <v>1.0000972222222222</v>
      </c>
      <c r="U129" s="98">
        <v>3.6121470212088669</v>
      </c>
      <c r="V129" s="106">
        <v>26569.97210727337</v>
      </c>
      <c r="W129" s="10">
        <v>-0.91885602756565099</v>
      </c>
      <c r="X129" s="413">
        <v>-0.90931946054501556</v>
      </c>
      <c r="Y129" s="414">
        <v>0.29306051228666752</v>
      </c>
      <c r="Z129" s="1"/>
      <c r="AA129" s="3">
        <v>2940</v>
      </c>
      <c r="AB129" s="11">
        <v>4.5781165914694082</v>
      </c>
      <c r="AC129" s="8">
        <v>2940</v>
      </c>
      <c r="AD129" s="108">
        <v>1.2837489156514859</v>
      </c>
      <c r="AF129" s="176">
        <v>45505</v>
      </c>
      <c r="AG129" s="177">
        <v>2.5000000000000001E-3</v>
      </c>
      <c r="AH129" s="177">
        <v>2.5833333333333333E-3</v>
      </c>
      <c r="AI129" s="100">
        <v>45513</v>
      </c>
      <c r="AJ129" s="102">
        <v>33677.708589166607</v>
      </c>
      <c r="AL129" s="23"/>
      <c r="AM129" s="23"/>
      <c r="BL129" s="299"/>
    </row>
    <row r="130" spans="17:64">
      <c r="Q130" s="6">
        <v>100</v>
      </c>
      <c r="R130" s="7">
        <v>42767</v>
      </c>
      <c r="S130" s="210">
        <v>3.5</v>
      </c>
      <c r="T130" s="8">
        <v>1.0000972222222222</v>
      </c>
      <c r="U130" s="98">
        <v>3.6121470212088891</v>
      </c>
      <c r="V130" s="106">
        <v>26572.555975103485</v>
      </c>
      <c r="W130" s="10">
        <v>-0.90971859222191975</v>
      </c>
      <c r="X130" s="413">
        <v>-0.90023540267621271</v>
      </c>
      <c r="Y130" s="414">
        <v>0.29307478090477623</v>
      </c>
      <c r="Z130" s="1"/>
      <c r="AA130" s="3">
        <v>2970</v>
      </c>
      <c r="AB130" s="11">
        <v>4.5804640335149065</v>
      </c>
      <c r="AC130" s="8">
        <v>2970</v>
      </c>
      <c r="AD130" s="108">
        <v>1.2866998408571626</v>
      </c>
      <c r="AF130" s="176">
        <v>45536</v>
      </c>
      <c r="AG130" s="177">
        <v>2.5000000000000001E-3</v>
      </c>
      <c r="AH130" s="177">
        <v>2.5833333333333333E-3</v>
      </c>
      <c r="AI130" s="100">
        <v>45544</v>
      </c>
      <c r="AJ130" s="102">
        <v>33764.709336355292</v>
      </c>
      <c r="AL130" s="23"/>
      <c r="AM130" s="23"/>
      <c r="BL130" s="299"/>
    </row>
    <row r="131" spans="17:64">
      <c r="Q131" s="6">
        <v>101</v>
      </c>
      <c r="R131" s="7">
        <v>42768</v>
      </c>
      <c r="S131" s="210">
        <v>3.5</v>
      </c>
      <c r="T131" s="8">
        <v>1.0000972222222222</v>
      </c>
      <c r="U131" s="98">
        <v>3.6121470212088669</v>
      </c>
      <c r="V131" s="106">
        <v>26575.140094208713</v>
      </c>
      <c r="W131" s="10">
        <v>-0.90076127838679687</v>
      </c>
      <c r="X131" s="413">
        <v>-0.89133122714116853</v>
      </c>
      <c r="Y131" s="414">
        <v>0.29308905044843198</v>
      </c>
      <c r="Z131" s="1"/>
      <c r="AA131" s="3">
        <v>3000</v>
      </c>
      <c r="AB131" s="11">
        <v>4.5827756676436628</v>
      </c>
      <c r="AC131" s="8">
        <v>3000</v>
      </c>
      <c r="AD131" s="108">
        <v>1.2896029136800717</v>
      </c>
      <c r="AF131" s="176">
        <v>45566</v>
      </c>
      <c r="AG131" s="177">
        <v>2.5000000000000001E-3</v>
      </c>
      <c r="AH131" s="177">
        <v>2.5833333333333333E-3</v>
      </c>
      <c r="AI131" s="100">
        <v>45574</v>
      </c>
      <c r="AJ131" s="102">
        <v>33851.934835474211</v>
      </c>
      <c r="AL131" s="23"/>
      <c r="AM131" s="23"/>
      <c r="BL131" s="299"/>
    </row>
    <row r="132" spans="17:64">
      <c r="Q132" s="6">
        <v>102</v>
      </c>
      <c r="R132" s="7">
        <v>42769</v>
      </c>
      <c r="S132" s="210">
        <v>3.5</v>
      </c>
      <c r="T132" s="8">
        <v>1.0000972222222222</v>
      </c>
      <c r="U132" s="98">
        <v>3.6121470212088891</v>
      </c>
      <c r="V132" s="106">
        <v>26577.7244646135</v>
      </c>
      <c r="W132" s="10">
        <v>-0.89197881211502406</v>
      </c>
      <c r="X132" s="413">
        <v>-0.88260164328296853</v>
      </c>
      <c r="Y132" s="414">
        <v>0.29310332091771113</v>
      </c>
      <c r="Z132" s="1"/>
      <c r="AA132" s="3">
        <v>3030</v>
      </c>
      <c r="AB132" s="11">
        <v>4.5850525565808065</v>
      </c>
      <c r="AC132" s="8">
        <v>3030</v>
      </c>
      <c r="AD132" s="108">
        <v>1.2924595538614494</v>
      </c>
      <c r="AF132" s="176">
        <v>45597</v>
      </c>
      <c r="AG132" s="177">
        <v>2.5000000000000001E-3</v>
      </c>
      <c r="AH132" s="177">
        <v>2.5833333333333333E-3</v>
      </c>
      <c r="AI132" s="100">
        <v>45605</v>
      </c>
      <c r="AJ132" s="102">
        <v>33939.385667132519</v>
      </c>
      <c r="AL132" s="23"/>
      <c r="AM132" s="23"/>
      <c r="BL132" s="299"/>
    </row>
    <row r="133" spans="17:64">
      <c r="Q133" s="6">
        <v>103</v>
      </c>
      <c r="R133" s="7">
        <v>42770</v>
      </c>
      <c r="S133" s="210">
        <v>3.5</v>
      </c>
      <c r="T133" s="8">
        <v>1.0000972222222222</v>
      </c>
      <c r="U133" s="98">
        <v>3.6121470212088891</v>
      </c>
      <c r="V133" s="106">
        <v>26580.309086342288</v>
      </c>
      <c r="W133" s="10">
        <v>-0.88336612336451514</v>
      </c>
      <c r="X133" s="413">
        <v>-0.87404156590737447</v>
      </c>
      <c r="Y133" s="414">
        <v>0.29311759231267437</v>
      </c>
      <c r="Z133" s="1"/>
      <c r="AA133" s="3">
        <v>3060</v>
      </c>
      <c r="AB133" s="11">
        <v>4.5872957214101548</v>
      </c>
      <c r="AC133" s="8">
        <v>3060</v>
      </c>
      <c r="AD133" s="108">
        <v>1.2952711255293503</v>
      </c>
      <c r="AF133" s="176">
        <v>45627</v>
      </c>
      <c r="AG133" s="177">
        <v>2.5000000000000001E-3</v>
      </c>
      <c r="AH133" s="177">
        <v>2.5833333333333333E-3</v>
      </c>
      <c r="AI133" s="100">
        <v>45635</v>
      </c>
      <c r="AJ133" s="102">
        <v>34027.062413439278</v>
      </c>
      <c r="AL133" s="23"/>
      <c r="AM133" s="23"/>
      <c r="BL133" s="299"/>
    </row>
    <row r="134" spans="17:64">
      <c r="Q134" s="6">
        <v>104</v>
      </c>
      <c r="R134" s="7">
        <v>42771</v>
      </c>
      <c r="S134" s="210">
        <v>3.5</v>
      </c>
      <c r="T134" s="8">
        <v>1.0000972222222222</v>
      </c>
      <c r="U134" s="98">
        <v>3.6121470212088891</v>
      </c>
      <c r="V134" s="106">
        <v>26582.893959419511</v>
      </c>
      <c r="W134" s="10">
        <v>-0.87491833623583037</v>
      </c>
      <c r="X134" s="413">
        <v>-0.86564610540415743</v>
      </c>
      <c r="Y134" s="414">
        <v>0.29313186463339258</v>
      </c>
      <c r="Z134" s="1"/>
      <c r="AA134" s="3">
        <v>3090</v>
      </c>
      <c r="AB134" s="11">
        <v>4.5895061435936197</v>
      </c>
      <c r="AC134" s="8">
        <v>3090</v>
      </c>
      <c r="AD134" s="108">
        <v>1.2980389398948695</v>
      </c>
      <c r="AF134" s="176">
        <v>45658</v>
      </c>
      <c r="AG134" s="177">
        <v>2.5000000000000001E-3</v>
      </c>
      <c r="AH134" s="177">
        <v>2.5833333333333333E-3</v>
      </c>
      <c r="AI134" s="100">
        <v>45666</v>
      </c>
      <c r="AJ134" s="102">
        <v>34114.965658007328</v>
      </c>
      <c r="AL134" s="23"/>
      <c r="AM134" s="23"/>
      <c r="BL134" s="299"/>
    </row>
    <row r="135" spans="17:64">
      <c r="Q135" s="168">
        <v>105</v>
      </c>
      <c r="R135" s="169">
        <v>42772</v>
      </c>
      <c r="S135" s="211">
        <v>3.5</v>
      </c>
      <c r="T135" s="170">
        <v>1.0000972222222222</v>
      </c>
      <c r="U135" s="171">
        <v>3.6121470212089113</v>
      </c>
      <c r="V135" s="172">
        <v>26585.479083869614</v>
      </c>
      <c r="W135" s="173">
        <v>-0.86663075976818327</v>
      </c>
      <c r="X135" s="415">
        <v>-0.85741055843403047</v>
      </c>
      <c r="Y135" s="416">
        <v>0.29314613787993415</v>
      </c>
      <c r="Z135" s="1"/>
      <c r="AA135" s="3">
        <v>3120</v>
      </c>
      <c r="AB135" s="11">
        <v>4.5916847668748622</v>
      </c>
      <c r="AC135" s="8">
        <v>3120</v>
      </c>
      <c r="AD135" s="108">
        <v>1.3007642577936878</v>
      </c>
      <c r="AF135" s="176">
        <v>45689</v>
      </c>
      <c r="AG135" s="177">
        <v>2.5000000000000001E-3</v>
      </c>
      <c r="AH135" s="177">
        <v>2.5833333333333333E-3</v>
      </c>
      <c r="AI135" s="100">
        <v>45697</v>
      </c>
      <c r="AJ135" s="102">
        <v>34203.095985957181</v>
      </c>
      <c r="AL135" s="23"/>
      <c r="AM135" s="23"/>
      <c r="BL135" s="299"/>
    </row>
    <row r="136" spans="17:64">
      <c r="Q136" s="168">
        <v>106</v>
      </c>
      <c r="R136" s="169">
        <v>42773</v>
      </c>
      <c r="S136" s="211">
        <v>3.5</v>
      </c>
      <c r="T136" s="170">
        <v>1.0000972222222222</v>
      </c>
      <c r="U136" s="171">
        <v>3.6121470212089335</v>
      </c>
      <c r="V136" s="172">
        <v>26588.064459717039</v>
      </c>
      <c r="W136" s="173">
        <v>-0.85849887925381063</v>
      </c>
      <c r="X136" s="415">
        <v>-0.84933039914243424</v>
      </c>
      <c r="Y136" s="416">
        <v>0.29316041205236482</v>
      </c>
      <c r="Z136" s="1"/>
      <c r="AA136" s="3">
        <v>3150</v>
      </c>
      <c r="AB136" s="11">
        <v>4.5938324990740567</v>
      </c>
      <c r="AC136" s="8">
        <v>3150</v>
      </c>
      <c r="AD136" s="108">
        <v>1.3034482920823975</v>
      </c>
      <c r="AF136" s="176">
        <v>45717</v>
      </c>
      <c r="AG136" s="177">
        <v>2.5000000000000001E-3</v>
      </c>
      <c r="AH136" s="177">
        <v>2.5833333333333333E-3</v>
      </c>
      <c r="AI136" s="100">
        <v>45725</v>
      </c>
      <c r="AJ136" s="102">
        <v>34291.453983920903</v>
      </c>
      <c r="AL136" s="23"/>
      <c r="AM136" s="23"/>
      <c r="BL136" s="299"/>
    </row>
    <row r="137" spans="17:64">
      <c r="Q137" s="168">
        <v>107</v>
      </c>
      <c r="R137" s="169">
        <v>42774</v>
      </c>
      <c r="S137" s="211">
        <v>3.5</v>
      </c>
      <c r="T137" s="170">
        <v>1.0000972222222222</v>
      </c>
      <c r="U137" s="171">
        <v>3.6121470212088891</v>
      </c>
      <c r="V137" s="172">
        <v>26590.650086986236</v>
      </c>
      <c r="W137" s="173">
        <v>-0.85051834803664406</v>
      </c>
      <c r="X137" s="415">
        <v>-0.84140127086541017</v>
      </c>
      <c r="Y137" s="416">
        <v>0.2931746871507479</v>
      </c>
      <c r="Z137" s="1"/>
      <c r="AA137" s="3">
        <v>3180</v>
      </c>
      <c r="AB137" s="11">
        <v>4.5959502137807817</v>
      </c>
      <c r="AC137" s="8">
        <v>3180</v>
      </c>
      <c r="AD137" s="108">
        <v>1.3060922098988745</v>
      </c>
      <c r="AF137" s="176">
        <v>45748</v>
      </c>
      <c r="AG137" s="177">
        <v>2.5000000000000001E-3</v>
      </c>
      <c r="AH137" s="177">
        <v>2.5833333333333333E-3</v>
      </c>
      <c r="AI137" s="100">
        <v>45756</v>
      </c>
      <c r="AJ137" s="102">
        <v>34380.040240046037</v>
      </c>
      <c r="AL137" s="23"/>
      <c r="AM137" s="23"/>
      <c r="BL137" s="299"/>
    </row>
    <row r="138" spans="17:64">
      <c r="Q138" s="168">
        <v>108</v>
      </c>
      <c r="R138" s="169">
        <v>42775</v>
      </c>
      <c r="S138" s="211">
        <v>3.5</v>
      </c>
      <c r="T138" s="170">
        <v>1.0000972222222222</v>
      </c>
      <c r="U138" s="171">
        <v>3.6121470212088891</v>
      </c>
      <c r="V138" s="172">
        <v>26593.235965701657</v>
      </c>
      <c r="W138" s="173">
        <v>-0.84268497976548451</v>
      </c>
      <c r="X138" s="415">
        <v>-0.83361897829699783</v>
      </c>
      <c r="Y138" s="416">
        <v>0.29318896317515669</v>
      </c>
      <c r="Z138" s="1"/>
      <c r="AA138" s="3">
        <v>3210</v>
      </c>
      <c r="AB138" s="11">
        <v>4.5980387519524077</v>
      </c>
      <c r="AC138" s="8">
        <v>3210</v>
      </c>
      <c r="AD138" s="108">
        <v>1.30869713479648</v>
      </c>
      <c r="AF138" s="176">
        <v>45778</v>
      </c>
      <c r="AG138" s="177">
        <v>2.5000000000000001E-3</v>
      </c>
      <c r="AH138" s="177">
        <v>2.5833333333333333E-3</v>
      </c>
      <c r="AI138" s="100">
        <v>45786</v>
      </c>
      <c r="AJ138" s="102">
        <v>34468.855343999494</v>
      </c>
      <c r="AL138" s="23"/>
      <c r="AM138" s="23"/>
      <c r="BL138" s="299"/>
    </row>
    <row r="139" spans="17:64">
      <c r="Q139" s="168">
        <v>109</v>
      </c>
      <c r="R139" s="169">
        <v>42776</v>
      </c>
      <c r="S139" s="211">
        <v>3.5</v>
      </c>
      <c r="T139" s="170">
        <v>1.0000972222222222</v>
      </c>
      <c r="U139" s="171">
        <v>3.6121470212089113</v>
      </c>
      <c r="V139" s="172">
        <v>26594.80594573887</v>
      </c>
      <c r="W139" s="173">
        <v>-0.82230638518627774</v>
      </c>
      <c r="X139" s="415">
        <v>-0.81339168738099377</v>
      </c>
      <c r="Y139" s="416">
        <v>0.29320324012566173</v>
      </c>
      <c r="Z139" s="1"/>
      <c r="AA139" s="3">
        <v>3240</v>
      </c>
      <c r="AB139" s="11">
        <v>4.6000989234238228</v>
      </c>
      <c r="AC139" s="8">
        <v>3240</v>
      </c>
      <c r="AD139" s="108">
        <v>1.3112641487598489</v>
      </c>
      <c r="AF139" s="176">
        <v>45809</v>
      </c>
      <c r="AG139" s="177">
        <v>2.5000000000000001E-3</v>
      </c>
      <c r="AH139" s="177">
        <v>2.5833333333333333E-3</v>
      </c>
      <c r="AI139" s="100">
        <v>45817</v>
      </c>
      <c r="AJ139" s="102">
        <v>34557.899886971492</v>
      </c>
      <c r="AL139" s="23"/>
      <c r="AM139" s="23"/>
      <c r="BL139" s="299"/>
    </row>
    <row r="140" spans="17:64">
      <c r="Q140" s="168">
        <v>110</v>
      </c>
      <c r="R140" s="169">
        <v>42777</v>
      </c>
      <c r="S140" s="211">
        <v>3.5</v>
      </c>
      <c r="T140" s="170">
        <v>1.0000972222222222</v>
      </c>
      <c r="U140" s="171">
        <v>3.6121470212089335</v>
      </c>
      <c r="V140" s="172">
        <v>26596.37601846271</v>
      </c>
      <c r="W140" s="173">
        <v>-0.80229423587975246</v>
      </c>
      <c r="X140" s="415">
        <v>-0.7935316894357507</v>
      </c>
      <c r="Y140" s="416">
        <v>0.29321751800232504</v>
      </c>
      <c r="Z140" s="1"/>
      <c r="AA140" s="3">
        <v>3270</v>
      </c>
      <c r="AB140" s="11">
        <v>4.6021315083339127</v>
      </c>
      <c r="AC140" s="8">
        <v>3270</v>
      </c>
      <c r="AD140" s="108">
        <v>1.3137942941096337</v>
      </c>
      <c r="AF140" s="176">
        <v>45839</v>
      </c>
      <c r="AG140" s="177">
        <v>2.5000000000000001E-3</v>
      </c>
      <c r="AH140" s="177">
        <v>2.5833333333333333E-3</v>
      </c>
      <c r="AI140" s="100">
        <v>45847</v>
      </c>
      <c r="AJ140" s="102">
        <v>34647.174461679504</v>
      </c>
      <c r="AL140" s="23"/>
      <c r="AM140" s="23"/>
      <c r="BL140" s="299"/>
    </row>
    <row r="141" spans="17:64">
      <c r="Q141" s="168">
        <v>111</v>
      </c>
      <c r="R141" s="169">
        <v>42778</v>
      </c>
      <c r="S141" s="211">
        <v>3.5</v>
      </c>
      <c r="T141" s="170">
        <v>1.0000972222222222</v>
      </c>
      <c r="U141" s="171">
        <v>3.6121470212089335</v>
      </c>
      <c r="V141" s="172">
        <v>26597.946183878641</v>
      </c>
      <c r="W141" s="173">
        <v>-0.78263873625972202</v>
      </c>
      <c r="X141" s="415">
        <v>-0.77402905760621754</v>
      </c>
      <c r="Y141" s="416">
        <v>0.29323179680521233</v>
      </c>
      <c r="Z141" s="1"/>
      <c r="AA141" s="3">
        <v>3300</v>
      </c>
      <c r="AB141" s="11">
        <v>4.6041372584742639</v>
      </c>
      <c r="AC141" s="8">
        <v>3300</v>
      </c>
      <c r="AD141" s="108">
        <v>1.3162885753034623</v>
      </c>
      <c r="AF141" s="176">
        <v>45870</v>
      </c>
      <c r="AG141" s="177">
        <v>2.5000000000000001E-3</v>
      </c>
      <c r="AH141" s="177">
        <v>2.5833333333333333E-3</v>
      </c>
      <c r="AI141" s="100">
        <v>45878</v>
      </c>
      <c r="AJ141" s="102">
        <v>34736.679662372175</v>
      </c>
      <c r="AL141" s="23"/>
      <c r="AM141" s="23"/>
      <c r="BL141" s="299"/>
    </row>
    <row r="142" spans="17:64">
      <c r="Q142" s="168">
        <v>112</v>
      </c>
      <c r="R142" s="169">
        <v>42779</v>
      </c>
      <c r="S142" s="211">
        <v>3.5</v>
      </c>
      <c r="T142" s="170">
        <v>1.0000972222222222</v>
      </c>
      <c r="U142" s="171">
        <v>3.6121470212088891</v>
      </c>
      <c r="V142" s="172">
        <v>26599.516441992153</v>
      </c>
      <c r="W142" s="173">
        <v>-0.76333043677546675</v>
      </c>
      <c r="X142" s="415">
        <v>-0.75487421956805878</v>
      </c>
      <c r="Y142" s="416">
        <v>0.29324607653439289</v>
      </c>
      <c r="Z142" s="1"/>
      <c r="AA142" s="3">
        <v>3330</v>
      </c>
      <c r="AB142" s="11">
        <v>4.6061168985653813</v>
      </c>
      <c r="AC142" s="8">
        <v>3330</v>
      </c>
      <c r="AD142" s="108">
        <v>1.3187479606398871</v>
      </c>
      <c r="AF142" s="176">
        <v>45901</v>
      </c>
      <c r="AG142" s="177">
        <v>2.5000000000000001E-3</v>
      </c>
      <c r="AH142" s="177">
        <v>2.5833333333333333E-3</v>
      </c>
      <c r="AI142" s="100">
        <v>45909</v>
      </c>
      <c r="AJ142" s="102">
        <v>34826.416084833305</v>
      </c>
      <c r="AL142" s="23"/>
      <c r="AM142" s="23"/>
      <c r="BL142" s="299"/>
    </row>
    <row r="143" spans="17:64">
      <c r="Q143" s="168">
        <v>113</v>
      </c>
      <c r="R143" s="169">
        <v>42780</v>
      </c>
      <c r="S143" s="211">
        <v>3.5</v>
      </c>
      <c r="T143" s="170">
        <v>1.0000972222222222</v>
      </c>
      <c r="U143" s="171">
        <v>3.6121470212089113</v>
      </c>
      <c r="V143" s="172">
        <v>26601.086792808699</v>
      </c>
      <c r="W143" s="173">
        <v>-0.74436021876549407</v>
      </c>
      <c r="X143" s="415">
        <v>-0.73605794183974826</v>
      </c>
      <c r="Y143" s="416">
        <v>0.29326035718993959</v>
      </c>
      <c r="Z143" s="1"/>
      <c r="AA143" s="3">
        <v>3360</v>
      </c>
      <c r="AB143" s="11">
        <v>4.6080711274638819</v>
      </c>
      <c r="AC143" s="8">
        <v>3360</v>
      </c>
      <c r="AD143" s="108">
        <v>1.3211733838706732</v>
      </c>
      <c r="AF143" s="176">
        <v>45931</v>
      </c>
      <c r="AG143" s="177">
        <v>2.5000000000000001E-3</v>
      </c>
      <c r="AH143" s="177">
        <v>2.5833333333333333E-3</v>
      </c>
      <c r="AI143" s="100">
        <v>45939</v>
      </c>
      <c r="AJ143" s="102">
        <v>34916.384326385793</v>
      </c>
      <c r="AL143" s="23"/>
      <c r="AM143" s="23"/>
      <c r="BL143" s="299"/>
    </row>
    <row r="144" spans="17:64">
      <c r="Q144" s="168">
        <v>114</v>
      </c>
      <c r="R144" s="169">
        <v>42781</v>
      </c>
      <c r="S144" s="211">
        <v>3.5</v>
      </c>
      <c r="T144" s="170">
        <v>1.0000972222222222</v>
      </c>
      <c r="U144" s="171">
        <v>3.6121470212089335</v>
      </c>
      <c r="V144" s="172">
        <v>26602.657236333765</v>
      </c>
      <c r="W144" s="173">
        <v>-0.72571928010172204</v>
      </c>
      <c r="X144" s="415">
        <v>-0.71757131492219817</v>
      </c>
      <c r="Y144" s="416">
        <v>0.29327463877191673</v>
      </c>
      <c r="Z144" s="1"/>
      <c r="AA144" s="3">
        <v>3390</v>
      </c>
      <c r="AB144" s="11">
        <v>4.6100006193063567</v>
      </c>
      <c r="AC144" s="8">
        <v>3390</v>
      </c>
      <c r="AD144" s="108">
        <v>1.3235657457280201</v>
      </c>
      <c r="AF144" s="176">
        <v>45962</v>
      </c>
      <c r="AG144" s="177">
        <v>2.5000000000000001E-3</v>
      </c>
      <c r="AH144" s="177">
        <v>2.5833333333333333E-3</v>
      </c>
      <c r="AI144" s="100">
        <v>45970</v>
      </c>
      <c r="AJ144" s="102">
        <v>35006.584985895621</v>
      </c>
      <c r="AL144" s="23"/>
      <c r="AM144" s="23"/>
      <c r="BL144" s="299"/>
    </row>
    <row r="145" spans="17:64">
      <c r="Q145" s="168">
        <v>115</v>
      </c>
      <c r="R145" s="169">
        <v>42782</v>
      </c>
      <c r="S145" s="211">
        <v>3.5</v>
      </c>
      <c r="T145" s="170">
        <v>1.0000972222222222</v>
      </c>
      <c r="U145" s="171">
        <v>3.6121470212089557</v>
      </c>
      <c r="V145" s="172">
        <v>26604.227772572816</v>
      </c>
      <c r="W145" s="173">
        <v>-0.70739912157242735</v>
      </c>
      <c r="X145" s="415">
        <v>-0.6994057392114551</v>
      </c>
      <c r="Y145" s="416">
        <v>0.2932889212803923</v>
      </c>
      <c r="Z145" s="1"/>
      <c r="AA145" s="3">
        <v>3420</v>
      </c>
      <c r="AB145" s="11">
        <v>4.6119060245928596</v>
      </c>
      <c r="AC145" s="8">
        <v>3420</v>
      </c>
      <c r="AD145" s="108">
        <v>1.3259259153714948</v>
      </c>
      <c r="AF145" s="176">
        <v>45992</v>
      </c>
      <c r="AG145" s="177">
        <v>2.5000000000000001E-3</v>
      </c>
      <c r="AH145" s="177">
        <v>2.5833333333333333E-3</v>
      </c>
      <c r="AI145" s="100">
        <v>46000</v>
      </c>
      <c r="AJ145" s="102">
        <v>35097.018663775852</v>
      </c>
      <c r="AL145" s="23"/>
      <c r="AM145" s="23"/>
      <c r="BL145" s="299"/>
    </row>
    <row r="146" spans="17:64">
      <c r="Q146" s="168">
        <v>116</v>
      </c>
      <c r="R146" s="169">
        <v>42783</v>
      </c>
      <c r="S146" s="211">
        <v>3.5</v>
      </c>
      <c r="T146" s="170">
        <v>1.0000972222222222</v>
      </c>
      <c r="U146" s="171">
        <v>3.6121470212090001</v>
      </c>
      <c r="V146" s="172">
        <v>26605.798401531334</v>
      </c>
      <c r="W146" s="173">
        <v>-0.6893915339640011</v>
      </c>
      <c r="X146" s="415">
        <v>-0.68155291164197751</v>
      </c>
      <c r="Y146" s="416">
        <v>0.29330320471543192</v>
      </c>
      <c r="Z146" s="1"/>
      <c r="AA146" s="3">
        <v>3450</v>
      </c>
      <c r="AB146" s="11">
        <v>4.613787971213708</v>
      </c>
      <c r="AC146" s="8">
        <v>3450</v>
      </c>
      <c r="AD146" s="108">
        <v>1.328254731759178</v>
      </c>
      <c r="AF146" s="176">
        <v>46023</v>
      </c>
      <c r="AG146" s="177">
        <v>2.5000000000000001E-3</v>
      </c>
      <c r="AH146" s="177">
        <v>2.5833333333333333E-3</v>
      </c>
      <c r="AI146" s="100">
        <v>46031</v>
      </c>
      <c r="AJ146" s="102">
        <v>35187.68596199061</v>
      </c>
      <c r="AL146" s="23"/>
      <c r="AM146" s="23"/>
      <c r="BL146" s="299"/>
    </row>
    <row r="147" spans="17:64">
      <c r="Q147" s="168">
        <v>117</v>
      </c>
      <c r="R147" s="169">
        <v>42784</v>
      </c>
      <c r="S147" s="211">
        <v>3.5</v>
      </c>
      <c r="T147" s="170">
        <v>1.0000972222222222</v>
      </c>
      <c r="U147" s="171">
        <v>3.6121470212090223</v>
      </c>
      <c r="V147" s="172">
        <v>26607.369123214787</v>
      </c>
      <c r="W147" s="173">
        <v>-0.67168858579687019</v>
      </c>
      <c r="X147" s="415">
        <v>-0.664004813013507</v>
      </c>
      <c r="Y147" s="416">
        <v>0.29331748907710453</v>
      </c>
      <c r="Z147" s="1"/>
      <c r="AA147" s="3">
        <v>3480</v>
      </c>
      <c r="AB147" s="11">
        <v>4.6156470654233264</v>
      </c>
      <c r="AC147" s="8">
        <v>3480</v>
      </c>
      <c r="AD147" s="108">
        <v>1.3305530049482017</v>
      </c>
      <c r="AF147" s="176">
        <v>46054</v>
      </c>
      <c r="AG147" s="177">
        <v>2.5000000000000001E-3</v>
      </c>
      <c r="AH147" s="177">
        <v>2.5833333333333333E-3</v>
      </c>
      <c r="AI147" s="100">
        <v>46062</v>
      </c>
      <c r="AJ147" s="102">
        <v>35278.587484059084</v>
      </c>
      <c r="AL147" s="23"/>
      <c r="AM147" s="23"/>
      <c r="BL147" s="299"/>
    </row>
    <row r="148" spans="17:64">
      <c r="Q148" s="168">
        <v>118</v>
      </c>
      <c r="R148" s="169">
        <v>42785</v>
      </c>
      <c r="S148" s="211">
        <v>3.5</v>
      </c>
      <c r="T148" s="170">
        <v>1.0000972222222222</v>
      </c>
      <c r="U148" s="171">
        <v>3.6121470212090445</v>
      </c>
      <c r="V148" s="172">
        <v>26608.939937628653</v>
      </c>
      <c r="W148" s="173">
        <v>-0.65428261167932433</v>
      </c>
      <c r="X148" s="415">
        <v>-0.64675369596321819</v>
      </c>
      <c r="Y148" s="416">
        <v>0.29333177436547686</v>
      </c>
      <c r="Z148" s="1"/>
      <c r="AA148" s="3">
        <v>3510</v>
      </c>
      <c r="AB148" s="11">
        <v>4.6174838927642625</v>
      </c>
      <c r="AC148" s="8">
        <v>3510</v>
      </c>
      <c r="AD148" s="108">
        <v>1.3328215173286526</v>
      </c>
      <c r="AF148" s="176">
        <v>46082</v>
      </c>
      <c r="AG148" s="177">
        <v>2.5000000000000001E-3</v>
      </c>
      <c r="AH148" s="177">
        <v>2.5833333333333333E-3</v>
      </c>
      <c r="AI148" s="100">
        <v>46090</v>
      </c>
      <c r="AJ148" s="102">
        <v>35369.723835059573</v>
      </c>
      <c r="AL148" s="23"/>
      <c r="AM148" s="23"/>
      <c r="BL148" s="299"/>
    </row>
    <row r="149" spans="17:64">
      <c r="Q149" s="168">
        <v>119</v>
      </c>
      <c r="R149" s="169">
        <v>42786</v>
      </c>
      <c r="S149" s="211">
        <v>3.5</v>
      </c>
      <c r="T149" s="170">
        <v>1.0000972222222222</v>
      </c>
      <c r="U149" s="171">
        <v>3.6121470212090223</v>
      </c>
      <c r="V149" s="172">
        <v>26610.510844778397</v>
      </c>
      <c r="W149" s="173">
        <v>-0.63716620124201206</v>
      </c>
      <c r="X149" s="415">
        <v>-0.62979207354367461</v>
      </c>
      <c r="Y149" s="416">
        <v>0.29334606058061347</v>
      </c>
      <c r="Z149" s="1"/>
      <c r="AA149" s="3">
        <v>3540</v>
      </c>
      <c r="AB149" s="11">
        <v>4.6192990189441527</v>
      </c>
      <c r="AC149" s="8">
        <v>3540</v>
      </c>
      <c r="AD149" s="108">
        <v>1.3350610247947663</v>
      </c>
      <c r="AF149" s="176">
        <v>46113</v>
      </c>
      <c r="AG149" s="177">
        <v>2.5000000000000001E-3</v>
      </c>
      <c r="AH149" s="177">
        <v>2.5833333333333333E-3</v>
      </c>
      <c r="AI149" s="100">
        <v>46121</v>
      </c>
      <c r="AJ149" s="102">
        <v>35461.095621633482</v>
      </c>
      <c r="AL149" s="23"/>
      <c r="AM149" s="23"/>
      <c r="BL149" s="299"/>
    </row>
    <row r="150" spans="17:64">
      <c r="Q150" s="168">
        <v>120</v>
      </c>
      <c r="R150" s="169">
        <v>42787</v>
      </c>
      <c r="S150" s="211">
        <v>3.5</v>
      </c>
      <c r="T150" s="170">
        <v>1.0000972222222222</v>
      </c>
      <c r="U150" s="171">
        <v>3.6121470212090445</v>
      </c>
      <c r="V150" s="172">
        <v>26612.081844669508</v>
      </c>
      <c r="W150" s="173">
        <v>-0.62033218862047601</v>
      </c>
      <c r="X150" s="415">
        <v>-0.61311270837245413</v>
      </c>
      <c r="Y150" s="416">
        <v>0.29336034772258768</v>
      </c>
      <c r="Z150" s="1"/>
      <c r="AA150" s="3">
        <v>3570</v>
      </c>
      <c r="AB150" s="11">
        <v>4.6210929906685436</v>
      </c>
      <c r="AC150" s="8">
        <v>3570</v>
      </c>
      <c r="AD150" s="108">
        <v>1.3372722578570175</v>
      </c>
      <c r="AF150" s="176">
        <v>46143</v>
      </c>
      <c r="AG150" s="177">
        <v>2.5000000000000001E-3</v>
      </c>
      <c r="AH150" s="177">
        <v>2.5833333333333333E-3</v>
      </c>
      <c r="AI150" s="100">
        <v>46151</v>
      </c>
      <c r="AJ150" s="102">
        <v>35552.703451989371</v>
      </c>
      <c r="AL150" s="23"/>
      <c r="AM150" s="23"/>
      <c r="BL150" s="299"/>
    </row>
    <row r="151" spans="17:64">
      <c r="Q151" s="168">
        <v>121</v>
      </c>
      <c r="R151" s="169">
        <v>42788</v>
      </c>
      <c r="S151" s="211">
        <v>3.5</v>
      </c>
      <c r="T151" s="170">
        <v>1.0000972222222222</v>
      </c>
      <c r="U151" s="171">
        <v>3.6121470212090445</v>
      </c>
      <c r="V151" s="172">
        <v>26613.652937307452</v>
      </c>
      <c r="W151" s="173">
        <v>-0.60377364245365328</v>
      </c>
      <c r="X151" s="415">
        <v>-0.59670860231947942</v>
      </c>
      <c r="Y151" s="416">
        <v>0.293374635791465</v>
      </c>
      <c r="Z151" s="1"/>
      <c r="AA151" s="3">
        <v>3600</v>
      </c>
      <c r="AB151" s="11">
        <v>4.6228663364321072</v>
      </c>
      <c r="AC151" s="8">
        <v>3600</v>
      </c>
      <c r="AD151" s="108">
        <v>1.33945592269894</v>
      </c>
      <c r="AF151" s="176">
        <v>46174</v>
      </c>
      <c r="AG151" s="177">
        <v>2.5000000000000001E-3</v>
      </c>
      <c r="AH151" s="177">
        <v>2.5833333333333333E-3</v>
      </c>
      <c r="AI151" s="100">
        <v>46182</v>
      </c>
      <c r="AJ151" s="102">
        <v>35644.547935907016</v>
      </c>
      <c r="AL151" s="23"/>
      <c r="AM151" s="23"/>
      <c r="BL151" s="299"/>
    </row>
    <row r="152" spans="17:64">
      <c r="Q152" s="168">
        <v>122</v>
      </c>
      <c r="R152" s="169">
        <v>42789</v>
      </c>
      <c r="S152" s="211">
        <v>3.5</v>
      </c>
      <c r="T152" s="170">
        <v>1.0000972222222222</v>
      </c>
      <c r="U152" s="171">
        <v>3.6121470212090667</v>
      </c>
      <c r="V152" s="172">
        <v>26615.224122697702</v>
      </c>
      <c r="W152" s="173">
        <v>-0.58748385636915312</v>
      </c>
      <c r="X152" s="415">
        <v>-0.58057298670136415</v>
      </c>
      <c r="Y152" s="416">
        <v>0.29338892478731421</v>
      </c>
      <c r="Z152" s="1"/>
      <c r="AA152" s="3">
        <v>3960</v>
      </c>
      <c r="AB152" s="11">
        <v>4.6427081860327961</v>
      </c>
      <c r="AC152" s="8">
        <v>3960</v>
      </c>
      <c r="AD152" s="108">
        <v>1.363737445516245</v>
      </c>
      <c r="AF152" s="176">
        <v>46204</v>
      </c>
      <c r="AG152" s="177">
        <v>2.5000000000000001E-3</v>
      </c>
      <c r="AH152" s="177">
        <v>2.5833333333333333E-3</v>
      </c>
      <c r="AI152" s="100">
        <v>46212</v>
      </c>
      <c r="AJ152" s="102">
        <v>35736.629684741441</v>
      </c>
      <c r="AL152" s="23"/>
      <c r="AM152" s="23"/>
      <c r="BL152" s="299"/>
    </row>
    <row r="153" spans="17:64">
      <c r="Q153" s="168">
        <v>123</v>
      </c>
      <c r="R153" s="169">
        <v>42790</v>
      </c>
      <c r="S153" s="211">
        <v>3.5</v>
      </c>
      <c r="T153" s="170">
        <v>1.0000972222222222</v>
      </c>
      <c r="U153" s="171">
        <v>3.6121470212090889</v>
      </c>
      <c r="V153" s="172">
        <v>26616.795400845745</v>
      </c>
      <c r="W153" s="173">
        <v>-0.57145633992882194</v>
      </c>
      <c r="X153" s="415">
        <v>-0.56469931295486442</v>
      </c>
      <c r="Y153" s="416">
        <v>0.29340321471020187</v>
      </c>
      <c r="Z153" s="1"/>
      <c r="AA153" s="3">
        <v>4320</v>
      </c>
      <c r="AB153" s="11">
        <v>4.6603554404243477</v>
      </c>
      <c r="AC153" s="8">
        <v>4320</v>
      </c>
      <c r="AD153" s="108">
        <v>1.3850855001531173</v>
      </c>
      <c r="AF153" s="176">
        <v>46235</v>
      </c>
      <c r="AG153" s="177">
        <v>2.5000000000000001E-3</v>
      </c>
      <c r="AH153" s="177">
        <v>2.5833333333333333E-3</v>
      </c>
      <c r="AI153" s="100">
        <v>46243</v>
      </c>
      <c r="AJ153" s="102">
        <v>35828.949311427023</v>
      </c>
      <c r="AL153" s="23"/>
      <c r="AM153" s="23"/>
      <c r="BL153" s="299"/>
    </row>
    <row r="154" spans="17:64">
      <c r="Q154" s="6">
        <v>124</v>
      </c>
      <c r="R154" s="7">
        <v>42791</v>
      </c>
      <c r="S154" s="210">
        <v>3.5</v>
      </c>
      <c r="T154" s="8">
        <v>1.0000972222222222</v>
      </c>
      <c r="U154" s="98">
        <v>3.6121470212090889</v>
      </c>
      <c r="V154" s="106">
        <v>26618.366771757046</v>
      </c>
      <c r="W154" s="10">
        <v>-0.55568481000685122</v>
      </c>
      <c r="X154" s="413">
        <v>-0.54908124376042189</v>
      </c>
      <c r="Y154" s="414">
        <v>0.29341750556019242</v>
      </c>
      <c r="Z154" s="1"/>
      <c r="AA154" s="3">
        <v>4680</v>
      </c>
      <c r="AB154" s="11">
        <v>4.6763142745136621</v>
      </c>
      <c r="AC154" s="8">
        <v>4680</v>
      </c>
      <c r="AD154" s="108">
        <v>1.4041765423369901</v>
      </c>
      <c r="AF154" s="176">
        <v>46266</v>
      </c>
      <c r="AG154" s="177">
        <v>2.5000000000000001E-3</v>
      </c>
      <c r="AH154" s="177">
        <v>2.5833333333333333E-3</v>
      </c>
      <c r="AI154" s="100">
        <v>46274</v>
      </c>
      <c r="AJ154" s="102">
        <v>35921.507430481543</v>
      </c>
      <c r="AL154" s="23"/>
      <c r="AM154" s="23"/>
      <c r="BL154" s="299"/>
    </row>
    <row r="155" spans="17:64">
      <c r="Q155" s="6">
        <v>125</v>
      </c>
      <c r="R155" s="7">
        <v>42792</v>
      </c>
      <c r="S155" s="210">
        <v>3.5</v>
      </c>
      <c r="T155" s="8">
        <v>1.0000972222222222</v>
      </c>
      <c r="U155" s="98">
        <v>3.6121470212091111</v>
      </c>
      <c r="V155" s="106">
        <v>26619.938235437086</v>
      </c>
      <c r="W155" s="10">
        <v>-0.54016318257869012</v>
      </c>
      <c r="X155" s="413">
        <v>-0.53371264459273604</v>
      </c>
      <c r="Y155" s="414">
        <v>0.2934317973373588</v>
      </c>
      <c r="Z155" s="1"/>
      <c r="AA155" s="3">
        <v>5040</v>
      </c>
      <c r="AB155" s="11">
        <v>4.6909463134526073</v>
      </c>
      <c r="AC155" s="8">
        <v>5040</v>
      </c>
      <c r="AD155" s="108">
        <v>1.4214938869171385</v>
      </c>
      <c r="AF155" s="176">
        <v>46296</v>
      </c>
      <c r="AG155" s="177">
        <v>2.5000000000000001E-3</v>
      </c>
      <c r="AH155" s="177">
        <v>2.5833333333333333E-3</v>
      </c>
      <c r="AI155" s="100">
        <v>46304</v>
      </c>
      <c r="AJ155" s="102">
        <v>36014.304658010289</v>
      </c>
      <c r="AL155" s="23"/>
      <c r="AM155" s="23"/>
      <c r="BL155" s="299"/>
    </row>
    <row r="156" spans="17:64" ht="15.75" thickBot="1">
      <c r="Q156" s="6">
        <v>126</v>
      </c>
      <c r="R156" s="7">
        <v>42793</v>
      </c>
      <c r="S156" s="210">
        <v>3.5</v>
      </c>
      <c r="T156" s="8">
        <v>1.0000972222222222</v>
      </c>
      <c r="U156" s="98">
        <v>3.6121470212091333</v>
      </c>
      <c r="V156" s="106">
        <v>26621.509791891342</v>
      </c>
      <c r="W156" s="10">
        <v>-0.52488556489689309</v>
      </c>
      <c r="X156" s="413">
        <v>-0.51858757567343639</v>
      </c>
      <c r="Y156" s="414">
        <v>0.29344609004176647</v>
      </c>
      <c r="Z156" s="1"/>
      <c r="AA156" s="4">
        <v>5400</v>
      </c>
      <c r="AB156" s="12">
        <v>4.7045167936059205</v>
      </c>
      <c r="AC156" s="417">
        <v>5400</v>
      </c>
      <c r="AD156" s="109">
        <v>1.4373920470495718</v>
      </c>
      <c r="AF156" s="176">
        <v>46327</v>
      </c>
      <c r="AG156" s="177">
        <v>2.5000000000000001E-3</v>
      </c>
      <c r="AH156" s="177">
        <v>2.5833333333333333E-3</v>
      </c>
      <c r="AI156" s="100">
        <v>46335</v>
      </c>
      <c r="AJ156" s="102">
        <v>36107.341611710151</v>
      </c>
      <c r="AL156" s="23"/>
      <c r="AM156" s="23"/>
      <c r="BL156" s="299"/>
    </row>
    <row r="157" spans="17:64">
      <c r="Q157" s="6">
        <v>127</v>
      </c>
      <c r="R157" s="7">
        <v>42794</v>
      </c>
      <c r="S157" s="210">
        <v>3.5</v>
      </c>
      <c r="T157" s="8">
        <v>1.0000972222222222</v>
      </c>
      <c r="U157" s="98">
        <v>3.6121470212091555</v>
      </c>
      <c r="V157" s="106">
        <v>26623.08144112529</v>
      </c>
      <c r="W157" s="10">
        <v>-0.50984624803278589</v>
      </c>
      <c r="X157" s="413">
        <v>-0.50370028430372338</v>
      </c>
      <c r="Y157" s="414">
        <v>0.29346038367348404</v>
      </c>
      <c r="Z157" s="1"/>
      <c r="AA157" s="1"/>
      <c r="AB157" s="1"/>
      <c r="AC157" s="1"/>
      <c r="AD157" s="1"/>
      <c r="AF157" s="176">
        <v>46357</v>
      </c>
      <c r="AG157" s="177">
        <v>2.5000000000000001E-3</v>
      </c>
      <c r="AH157" s="177">
        <v>2.5833333333333333E-3</v>
      </c>
      <c r="AI157" s="100">
        <v>46365</v>
      </c>
      <c r="AJ157" s="102">
        <v>36200.618910873738</v>
      </c>
      <c r="AL157" s="23"/>
      <c r="AM157" s="23"/>
      <c r="BL157" s="299"/>
    </row>
    <row r="158" spans="17:64">
      <c r="Q158" s="6">
        <v>128</v>
      </c>
      <c r="R158" s="7">
        <v>42795</v>
      </c>
      <c r="S158" s="210">
        <v>3.5</v>
      </c>
      <c r="T158" s="8">
        <v>1.0000972222222222</v>
      </c>
      <c r="U158" s="98">
        <v>3.6121470212091777</v>
      </c>
      <c r="V158" s="106">
        <v>26624.653183144412</v>
      </c>
      <c r="W158" s="10">
        <v>-0.49503969976473217</v>
      </c>
      <c r="X158" s="413">
        <v>-0.48904519755669718</v>
      </c>
      <c r="Y158" s="414">
        <v>0.29347467823257789</v>
      </c>
      <c r="Z158" s="1"/>
      <c r="AA158" s="1"/>
      <c r="AB158" s="1"/>
      <c r="AC158" s="1"/>
      <c r="AD158" s="1"/>
      <c r="AF158" s="176">
        <v>46388</v>
      </c>
      <c r="AG158" s="177">
        <v>2.5000000000000001E-3</v>
      </c>
      <c r="AH158" s="177">
        <v>2.5833333333333333E-3</v>
      </c>
      <c r="AI158" s="100">
        <v>46396</v>
      </c>
      <c r="AJ158" s="102">
        <v>36294.137176393495</v>
      </c>
      <c r="AL158" s="23"/>
      <c r="AM158" s="23"/>
      <c r="BL158" s="299"/>
    </row>
    <row r="159" spans="17:64">
      <c r="Q159" s="6">
        <v>129</v>
      </c>
      <c r="R159" s="7">
        <v>42796</v>
      </c>
      <c r="S159" s="210">
        <v>3.5</v>
      </c>
      <c r="T159" s="8">
        <v>1.0000972222222222</v>
      </c>
      <c r="U159" s="98">
        <v>3.6121470212091777</v>
      </c>
      <c r="V159" s="106">
        <v>26626.225017954173</v>
      </c>
      <c r="W159" s="10">
        <v>-0.48046055779370489</v>
      </c>
      <c r="X159" s="413">
        <v>-0.47461691530929995</v>
      </c>
      <c r="Y159" s="414">
        <v>0.29348897371911242</v>
      </c>
      <c r="Z159" s="1"/>
      <c r="AA159" s="1"/>
      <c r="AB159" s="1"/>
      <c r="AC159" s="1"/>
      <c r="AD159" s="1"/>
      <c r="AF159" s="176">
        <v>46419</v>
      </c>
      <c r="AG159" s="177">
        <v>2.5000000000000001E-3</v>
      </c>
      <c r="AH159" s="177">
        <v>2.5833333333333333E-3</v>
      </c>
      <c r="AI159" s="100">
        <v>46427</v>
      </c>
      <c r="AJ159" s="102">
        <v>36387.897030765846</v>
      </c>
      <c r="AL159" s="23"/>
      <c r="AM159" s="23"/>
      <c r="BL159" s="299"/>
    </row>
    <row r="160" spans="17:64">
      <c r="Q160" s="6">
        <v>130</v>
      </c>
      <c r="R160" s="7">
        <v>42797</v>
      </c>
      <c r="S160" s="210">
        <v>3.5</v>
      </c>
      <c r="T160" s="8">
        <v>1.0000972222222222</v>
      </c>
      <c r="U160" s="98">
        <v>3.6121470212091777</v>
      </c>
      <c r="V160" s="106">
        <v>26627.796945560069</v>
      </c>
      <c r="W160" s="10">
        <v>-0.46610362326939825</v>
      </c>
      <c r="X160" s="413">
        <v>-0.46041020359619883</v>
      </c>
      <c r="Y160" s="414">
        <v>0.29350327013316035</v>
      </c>
      <c r="Z160" s="1"/>
      <c r="AA160" s="1"/>
      <c r="AB160" s="1"/>
      <c r="AC160" s="1"/>
      <c r="AD160" s="1"/>
      <c r="AF160" s="176">
        <v>46447</v>
      </c>
      <c r="AG160" s="177">
        <v>2.5000000000000001E-3</v>
      </c>
      <c r="AH160" s="177">
        <v>2.5833333333333333E-3</v>
      </c>
      <c r="AI160" s="100">
        <v>46455</v>
      </c>
      <c r="AJ160" s="102">
        <v>36481.899098095324</v>
      </c>
      <c r="AL160" s="23"/>
      <c r="AM160" s="23"/>
      <c r="BL160" s="299"/>
    </row>
    <row r="161" spans="17:64">
      <c r="Q161" s="6">
        <v>131</v>
      </c>
      <c r="R161" s="7">
        <v>42798</v>
      </c>
      <c r="S161" s="210">
        <v>3.5</v>
      </c>
      <c r="T161" s="8">
        <v>1.0000972222222222</v>
      </c>
      <c r="U161" s="98">
        <v>3.6121470212091777</v>
      </c>
      <c r="V161" s="106">
        <v>26629.368965967566</v>
      </c>
      <c r="W161" s="10">
        <v>-0.4519638546097271</v>
      </c>
      <c r="X161" s="413">
        <v>-0.44641998826770463</v>
      </c>
      <c r="Y161" s="414">
        <v>0.29351756747478697</v>
      </c>
      <c r="Z161" s="1"/>
      <c r="AA161" s="1"/>
      <c r="AB161" s="1"/>
      <c r="AC161" s="1"/>
      <c r="AD161" s="1"/>
      <c r="AF161" s="176">
        <v>46478</v>
      </c>
      <c r="AG161" s="177">
        <v>2.5000000000000001E-3</v>
      </c>
      <c r="AH161" s="177">
        <v>2.5833333333333333E-3</v>
      </c>
      <c r="AI161" s="100">
        <v>46486</v>
      </c>
      <c r="AJ161" s="102">
        <v>36576.144004098736</v>
      </c>
      <c r="AL161" s="23"/>
      <c r="AM161" s="23"/>
      <c r="BL161" s="299"/>
    </row>
    <row r="162" spans="17:64">
      <c r="Q162" s="6">
        <v>132</v>
      </c>
      <c r="R162" s="7">
        <v>42799</v>
      </c>
      <c r="S162" s="210">
        <v>3.5</v>
      </c>
      <c r="T162" s="8">
        <v>1.0000972222222222</v>
      </c>
      <c r="U162" s="98">
        <v>3.6121470212091555</v>
      </c>
      <c r="V162" s="106">
        <v>26630.941079182146</v>
      </c>
      <c r="W162" s="10">
        <v>-0.43803636159894799</v>
      </c>
      <c r="X162" s="413">
        <v>-0.43264134893630035</v>
      </c>
      <c r="Y162" s="414">
        <v>0.2935318657440607</v>
      </c>
      <c r="Z162" s="1"/>
      <c r="AA162" s="1"/>
      <c r="AB162" s="1"/>
      <c r="AC162" s="1"/>
      <c r="AD162" s="1"/>
      <c r="AF162" s="176">
        <v>46508</v>
      </c>
      <c r="AG162" s="177">
        <v>2.5000000000000001E-3</v>
      </c>
      <c r="AH162" s="177">
        <v>2.5833333333333333E-3</v>
      </c>
      <c r="AI162" s="100">
        <v>46516</v>
      </c>
      <c r="AJ162" s="102">
        <v>36670.63237610933</v>
      </c>
      <c r="AL162" s="23"/>
      <c r="AM162" s="23"/>
      <c r="BL162" s="299"/>
    </row>
    <row r="163" spans="17:64">
      <c r="Q163" s="6">
        <v>133</v>
      </c>
      <c r="R163" s="7">
        <v>42800</v>
      </c>
      <c r="S163" s="210">
        <v>3.5</v>
      </c>
      <c r="T163" s="8">
        <v>1.0000972222222222</v>
      </c>
      <c r="U163" s="98">
        <v>3.6121470212091333</v>
      </c>
      <c r="V163" s="106">
        <v>26632.513285209287</v>
      </c>
      <c r="W163" s="10">
        <v>-0.42431639974933599</v>
      </c>
      <c r="X163" s="413">
        <v>-0.41906951319601865</v>
      </c>
      <c r="Y163" s="414">
        <v>0.29354616494104785</v>
      </c>
      <c r="Z163" s="1"/>
      <c r="AA163" s="1"/>
      <c r="AB163" s="1"/>
      <c r="AC163" s="1"/>
      <c r="AD163" s="1"/>
      <c r="AF163" s="176">
        <v>46539</v>
      </c>
      <c r="AG163" s="177">
        <v>2.5000000000000001E-3</v>
      </c>
      <c r="AH163" s="177">
        <v>2.5833333333333333E-3</v>
      </c>
      <c r="AI163" s="100">
        <v>46547</v>
      </c>
      <c r="AJ163" s="102">
        <v>36765.364843080948</v>
      </c>
      <c r="AL163" s="23"/>
      <c r="AM163" s="23"/>
      <c r="BL163" s="299"/>
    </row>
    <row r="164" spans="17:64">
      <c r="Q164" s="6">
        <v>134</v>
      </c>
      <c r="R164" s="7">
        <v>42801</v>
      </c>
      <c r="S164" s="210">
        <v>3.5</v>
      </c>
      <c r="T164" s="8">
        <v>1.0000972222222222</v>
      </c>
      <c r="U164" s="98">
        <v>3.6121470212091111</v>
      </c>
      <c r="V164" s="106">
        <v>26634.085584054472</v>
      </c>
      <c r="W164" s="10">
        <v>-0.41079936491322799</v>
      </c>
      <c r="X164" s="413">
        <v>-0.40569985110080159</v>
      </c>
      <c r="Y164" s="414">
        <v>0.29356046506581784</v>
      </c>
      <c r="Z164" s="1"/>
      <c r="AA164" s="1"/>
      <c r="AB164" s="1"/>
      <c r="AC164" s="1"/>
      <c r="AD164" s="1"/>
      <c r="AF164" s="176">
        <v>46569</v>
      </c>
      <c r="AG164" s="177">
        <v>2.5000000000000001E-3</v>
      </c>
      <c r="AH164" s="177">
        <v>2.5833333333333333E-3</v>
      </c>
      <c r="AI164" s="100">
        <v>46577</v>
      </c>
      <c r="AJ164" s="102">
        <v>36860.342035592243</v>
      </c>
      <c r="AL164" s="23"/>
      <c r="AM164" s="23"/>
      <c r="BL164" s="299"/>
    </row>
    <row r="165" spans="17:64">
      <c r="Q165" s="6">
        <v>135</v>
      </c>
      <c r="R165" s="7">
        <v>42802</v>
      </c>
      <c r="S165" s="210">
        <v>3.5</v>
      </c>
      <c r="T165" s="8">
        <v>1.0000972222222222</v>
      </c>
      <c r="U165" s="98">
        <v>3.6121470212090889</v>
      </c>
      <c r="V165" s="106">
        <v>26635.657975723178</v>
      </c>
      <c r="W165" s="10">
        <v>-0.39748078813218735</v>
      </c>
      <c r="X165" s="413">
        <v>-0.39252786988817812</v>
      </c>
      <c r="Y165" s="414">
        <v>0.29357476611843797</v>
      </c>
      <c r="Z165" s="1"/>
      <c r="AA165" s="1"/>
      <c r="AB165" s="1"/>
      <c r="AC165" s="1"/>
      <c r="AD165" s="1"/>
      <c r="AF165" s="176">
        <v>46600</v>
      </c>
      <c r="AG165" s="177">
        <v>2.5000000000000001E-3</v>
      </c>
      <c r="AH165" s="177">
        <v>2.5833333333333333E-3</v>
      </c>
      <c r="AI165" s="100">
        <v>46608</v>
      </c>
      <c r="AJ165" s="102">
        <v>36955.564585850858</v>
      </c>
      <c r="AL165" s="23"/>
      <c r="AM165" s="23"/>
      <c r="BL165" s="299"/>
    </row>
    <row r="166" spans="17:64">
      <c r="Q166" s="6">
        <v>136</v>
      </c>
      <c r="R166" s="7">
        <v>42803</v>
      </c>
      <c r="S166" s="210">
        <v>3.5</v>
      </c>
      <c r="T166" s="8">
        <v>1.0000972222222222</v>
      </c>
      <c r="U166" s="98">
        <v>3.6121470212091111</v>
      </c>
      <c r="V166" s="106">
        <v>26637.230460220886</v>
      </c>
      <c r="W166" s="10">
        <v>-0.38435633071135511</v>
      </c>
      <c r="X166" s="413">
        <v>-0.37954920893566152</v>
      </c>
      <c r="Y166" s="414">
        <v>0.29358906809897839</v>
      </c>
      <c r="Z166" s="1"/>
      <c r="AA166" s="1"/>
      <c r="AB166" s="1"/>
      <c r="AC166" s="1"/>
      <c r="AD166" s="1"/>
      <c r="AF166" s="176">
        <v>46631</v>
      </c>
      <c r="AG166" s="177">
        <v>2.5000000000000001E-3</v>
      </c>
      <c r="AH166" s="177">
        <v>2.5833333333333333E-3</v>
      </c>
      <c r="AI166" s="100">
        <v>46639</v>
      </c>
      <c r="AJ166" s="102">
        <v>37051.033127697643</v>
      </c>
      <c r="AL166" s="23"/>
      <c r="AM166" s="23"/>
      <c r="BL166" s="299"/>
    </row>
    <row r="167" spans="17:64">
      <c r="Q167" s="6">
        <v>137</v>
      </c>
      <c r="R167" s="7">
        <v>42804</v>
      </c>
      <c r="S167" s="210">
        <v>3.5</v>
      </c>
      <c r="T167" s="8">
        <v>1.0000972222222222</v>
      </c>
      <c r="U167" s="98">
        <v>3.6121470212090889</v>
      </c>
      <c r="V167" s="106">
        <v>26639.163735075334</v>
      </c>
      <c r="W167" s="10">
        <v>-0.37501574504716917</v>
      </c>
      <c r="X167" s="413">
        <v>-0.37031265718467044</v>
      </c>
      <c r="Y167" s="414">
        <v>0.29360337100750244</v>
      </c>
      <c r="Z167" s="1"/>
      <c r="AA167" s="1"/>
      <c r="AB167" s="1"/>
      <c r="AC167" s="1"/>
      <c r="AD167" s="1"/>
      <c r="AF167" s="176">
        <v>46661</v>
      </c>
      <c r="AG167" s="177">
        <v>2.5000000000000001E-3</v>
      </c>
      <c r="AH167" s="177">
        <v>2.5833333333333333E-3</v>
      </c>
      <c r="AI167" s="100">
        <v>46669</v>
      </c>
      <c r="AJ167" s="102">
        <v>37146.748296610866</v>
      </c>
      <c r="AL167" s="23"/>
      <c r="AM167" s="23"/>
      <c r="BL167" s="299"/>
    </row>
    <row r="168" spans="17:64">
      <c r="Q168" s="6">
        <v>138</v>
      </c>
      <c r="R168" s="7">
        <v>42805</v>
      </c>
      <c r="S168" s="210">
        <v>3.5</v>
      </c>
      <c r="T168" s="8">
        <v>1.0000972222222222</v>
      </c>
      <c r="U168" s="98">
        <v>3.6121470212090889</v>
      </c>
      <c r="V168" s="106">
        <v>26641.097150242851</v>
      </c>
      <c r="W168" s="10">
        <v>-0.36580967330619441</v>
      </c>
      <c r="X168" s="413">
        <v>-0.36120981031573723</v>
      </c>
      <c r="Y168" s="414">
        <v>0.29361767484408124</v>
      </c>
      <c r="Z168" s="1"/>
      <c r="AA168" s="1"/>
      <c r="AB168" s="1"/>
      <c r="AC168" s="1"/>
      <c r="AD168" s="1"/>
      <c r="AF168" s="176">
        <v>46692</v>
      </c>
      <c r="AG168" s="177">
        <v>2.5000000000000001E-3</v>
      </c>
      <c r="AH168" s="177">
        <v>2.5833333333333333E-3</v>
      </c>
      <c r="AI168" s="100">
        <v>46700</v>
      </c>
      <c r="AJ168" s="102">
        <v>37242.710729710445</v>
      </c>
      <c r="AL168" s="23"/>
      <c r="AM168" s="23"/>
      <c r="BL168" s="299"/>
    </row>
    <row r="169" spans="17:64">
      <c r="Q169" s="6">
        <v>139</v>
      </c>
      <c r="R169" s="7">
        <v>42806</v>
      </c>
      <c r="S169" s="210">
        <v>3.5</v>
      </c>
      <c r="T169" s="8">
        <v>1.0000972222222222</v>
      </c>
      <c r="U169" s="98">
        <v>3.6121470212090667</v>
      </c>
      <c r="V169" s="106">
        <v>26643.030705733629</v>
      </c>
      <c r="W169" s="10">
        <v>-0.35673523059419621</v>
      </c>
      <c r="X169" s="413">
        <v>-0.3522377826081588</v>
      </c>
      <c r="Y169" s="414">
        <v>0.29363197960877901</v>
      </c>
      <c r="Z169" s="1"/>
      <c r="AA169" s="1"/>
      <c r="AB169" s="1"/>
      <c r="AC169" s="1"/>
      <c r="AD169" s="1"/>
      <c r="AF169" s="176">
        <v>46722</v>
      </c>
      <c r="AG169" s="177">
        <v>2.5000000000000001E-3</v>
      </c>
      <c r="AH169" s="177">
        <v>2.5833333333333333E-3</v>
      </c>
      <c r="AI169" s="100">
        <v>46730</v>
      </c>
      <c r="AJ169" s="102">
        <v>37338.921065762195</v>
      </c>
      <c r="AL169" s="23"/>
      <c r="AM169" s="23"/>
      <c r="BL169" s="299"/>
    </row>
    <row r="170" spans="17:64">
      <c r="Q170" s="6">
        <v>140</v>
      </c>
      <c r="R170" s="7">
        <v>42807</v>
      </c>
      <c r="S170" s="210">
        <v>3.5</v>
      </c>
      <c r="T170" s="8">
        <v>1.0000972222222222</v>
      </c>
      <c r="U170" s="98">
        <v>3.6121470212090667</v>
      </c>
      <c r="V170" s="106">
        <v>26644.964401557849</v>
      </c>
      <c r="W170" s="10">
        <v>-0.34778961392594177</v>
      </c>
      <c r="X170" s="413">
        <v>-0.34339377079036626</v>
      </c>
      <c r="Y170" s="414">
        <v>0.29364628530166775</v>
      </c>
      <c r="Z170" s="1"/>
      <c r="AA170" s="1"/>
      <c r="AB170" s="1"/>
      <c r="AC170" s="1"/>
      <c r="AD170" s="1"/>
      <c r="AF170" s="176">
        <v>46753</v>
      </c>
      <c r="AG170" s="177">
        <v>2.5000000000000001E-3</v>
      </c>
      <c r="AH170" s="177">
        <v>2.5833333333333333E-3</v>
      </c>
      <c r="AI170" s="100">
        <v>46761</v>
      </c>
      <c r="AJ170" s="102">
        <v>37435.379945182081</v>
      </c>
      <c r="AL170" s="23"/>
      <c r="AM170" s="23"/>
      <c r="BL170" s="299"/>
    </row>
    <row r="171" spans="17:64">
      <c r="Q171" s="6">
        <v>141</v>
      </c>
      <c r="R171" s="7">
        <v>42808</v>
      </c>
      <c r="S171" s="210">
        <v>3.5</v>
      </c>
      <c r="T171" s="8">
        <v>1.0000972222222222</v>
      </c>
      <c r="U171" s="98">
        <v>3.6121470212090445</v>
      </c>
      <c r="V171" s="106">
        <v>26646.898237725691</v>
      </c>
      <c r="W171" s="10">
        <v>-0.33897009933868683</v>
      </c>
      <c r="X171" s="413">
        <v>-0.33467505111611195</v>
      </c>
      <c r="Y171" s="414">
        <v>0.29366059192281274</v>
      </c>
      <c r="Z171" s="1"/>
      <c r="AA171" s="1"/>
      <c r="AB171" s="1"/>
      <c r="AC171" s="1"/>
      <c r="AD171" s="1"/>
      <c r="AF171" s="176">
        <v>46784</v>
      </c>
      <c r="AG171" s="177">
        <v>2.5000000000000001E-3</v>
      </c>
      <c r="AH171" s="177">
        <v>2.5833333333333333E-3</v>
      </c>
      <c r="AI171" s="100">
        <v>46792</v>
      </c>
      <c r="AJ171" s="102">
        <v>37532.088010040468</v>
      </c>
      <c r="AL171" s="23"/>
      <c r="AM171" s="23"/>
      <c r="BL171" s="299"/>
    </row>
    <row r="172" spans="17:64">
      <c r="Q172" s="6">
        <v>142</v>
      </c>
      <c r="R172" s="7">
        <v>42809</v>
      </c>
      <c r="S172" s="210">
        <v>3.5</v>
      </c>
      <c r="T172" s="8">
        <v>1.0000972222222222</v>
      </c>
      <c r="U172" s="98">
        <v>3.6121470212090445</v>
      </c>
      <c r="V172" s="106">
        <v>26648.832214247344</v>
      </c>
      <c r="W172" s="10">
        <v>-0.33027403912713194</v>
      </c>
      <c r="X172" s="413">
        <v>-0.32607897656453544</v>
      </c>
      <c r="Y172" s="414">
        <v>0.29367489947228187</v>
      </c>
      <c r="Z172" s="1"/>
      <c r="AA172" s="1"/>
      <c r="AB172" s="1"/>
      <c r="AC172" s="1"/>
      <c r="AD172" s="1"/>
      <c r="AF172" s="176">
        <v>46813</v>
      </c>
      <c r="AG172" s="177">
        <v>2.5000000000000001E-3</v>
      </c>
      <c r="AH172" s="177">
        <v>2.5833333333333333E-3</v>
      </c>
      <c r="AI172" s="100">
        <v>46821</v>
      </c>
      <c r="AJ172" s="102">
        <v>37629.045904066406</v>
      </c>
      <c r="AL172" s="23"/>
      <c r="AM172" s="23"/>
      <c r="BL172" s="299"/>
    </row>
    <row r="173" spans="17:64">
      <c r="Q173" s="6">
        <v>143</v>
      </c>
      <c r="R173" s="7">
        <v>42810</v>
      </c>
      <c r="S173" s="210">
        <v>3.5</v>
      </c>
      <c r="T173" s="8">
        <v>1.0000972222222222</v>
      </c>
      <c r="U173" s="98">
        <v>3.6121470212090223</v>
      </c>
      <c r="V173" s="106">
        <v>26650.766331133003</v>
      </c>
      <c r="W173" s="10">
        <v>-0.3216988591933756</v>
      </c>
      <c r="X173" s="413">
        <v>-0.31760297415734567</v>
      </c>
      <c r="Y173" s="414">
        <v>0.29368920795014142</v>
      </c>
      <c r="Z173" s="1"/>
      <c r="AA173" s="1"/>
      <c r="AB173" s="1"/>
      <c r="AC173" s="1"/>
      <c r="AD173" s="1"/>
      <c r="AF173" s="176">
        <v>46844</v>
      </c>
      <c r="AG173" s="177">
        <v>2.5000000000000001E-3</v>
      </c>
      <c r="AH173" s="177">
        <v>2.5833333333333333E-3</v>
      </c>
      <c r="AI173" s="100">
        <v>46852</v>
      </c>
      <c r="AJ173" s="102">
        <v>37726.25427265191</v>
      </c>
      <c r="AL173" s="23"/>
      <c r="AM173" s="23"/>
      <c r="BL173" s="299"/>
    </row>
    <row r="174" spans="17:64">
      <c r="Q174" s="6">
        <v>144</v>
      </c>
      <c r="R174" s="7">
        <v>42811</v>
      </c>
      <c r="S174" s="210">
        <v>3.5</v>
      </c>
      <c r="T174" s="8">
        <v>1.0000972222222222</v>
      </c>
      <c r="U174" s="98">
        <v>3.6121470212090445</v>
      </c>
      <c r="V174" s="106">
        <v>26652.700588392843</v>
      </c>
      <c r="W174" s="10">
        <v>-0.31324205650650194</v>
      </c>
      <c r="X174" s="413">
        <v>-0.30924454238767662</v>
      </c>
      <c r="Y174" s="414">
        <v>0.29370351735646483</v>
      </c>
      <c r="Z174" s="1"/>
      <c r="AA174" s="1"/>
      <c r="AB174" s="1"/>
      <c r="AC174" s="1"/>
      <c r="AD174" s="1"/>
      <c r="AF174" s="176">
        <v>46874</v>
      </c>
      <c r="AG174" s="177">
        <v>2.5000000000000001E-3</v>
      </c>
      <c r="AH174" s="177">
        <v>2.5833333333333333E-3</v>
      </c>
      <c r="AI174" s="100">
        <v>46882</v>
      </c>
      <c r="AJ174" s="102">
        <v>37823.713762856263</v>
      </c>
      <c r="AL174" s="23"/>
      <c r="AM174" s="23"/>
      <c r="BL174" s="299"/>
    </row>
    <row r="175" spans="17:64">
      <c r="Q175" s="6">
        <v>145</v>
      </c>
      <c r="R175" s="7">
        <v>42812</v>
      </c>
      <c r="S175" s="210">
        <v>3.5</v>
      </c>
      <c r="T175" s="8">
        <v>1.0000972222222222</v>
      </c>
      <c r="U175" s="98">
        <v>3.6121470212090667</v>
      </c>
      <c r="V175" s="106">
        <v>26654.634986037054</v>
      </c>
      <c r="W175" s="10">
        <v>-0.3049011966671511</v>
      </c>
      <c r="X175" s="413">
        <v>-0.30100124875591355</v>
      </c>
      <c r="Y175" s="414">
        <v>0.2937178276913146</v>
      </c>
      <c r="Z175" s="1"/>
      <c r="AA175" s="1"/>
      <c r="AB175" s="1"/>
      <c r="AC175" s="1"/>
      <c r="AD175" s="1"/>
      <c r="AF175" s="176">
        <v>46905</v>
      </c>
      <c r="AG175" s="177">
        <v>2.5000000000000001E-3</v>
      </c>
      <c r="AH175" s="177">
        <v>2.5833333333333333E-3</v>
      </c>
      <c r="AI175" s="100">
        <v>46913</v>
      </c>
      <c r="AJ175" s="102">
        <v>37921.425023410309</v>
      </c>
      <c r="AL175" s="23"/>
      <c r="AM175" s="23"/>
      <c r="BL175" s="299"/>
    </row>
    <row r="176" spans="17:64">
      <c r="Q176" s="6">
        <v>146</v>
      </c>
      <c r="R176" s="7">
        <v>42813</v>
      </c>
      <c r="S176" s="210">
        <v>3.5</v>
      </c>
      <c r="T176" s="8">
        <v>1.0000972222222222</v>
      </c>
      <c r="U176" s="98">
        <v>3.6121470212090889</v>
      </c>
      <c r="V176" s="106">
        <v>26656.569524075832</v>
      </c>
      <c r="W176" s="10">
        <v>-0.29667391157119916</v>
      </c>
      <c r="X176" s="413">
        <v>-0.29287072740626674</v>
      </c>
      <c r="Y176" s="414">
        <v>0.2937321389547603</v>
      </c>
      <c r="Z176" s="1"/>
      <c r="AA176" s="1"/>
      <c r="AB176" s="1"/>
      <c r="AC176" s="1"/>
      <c r="AD176" s="1"/>
      <c r="AF176" s="176">
        <v>46935</v>
      </c>
      <c r="AG176" s="177">
        <v>2.5000000000000001E-3</v>
      </c>
      <c r="AH176" s="177">
        <v>2.5833333333333333E-3</v>
      </c>
      <c r="AI176" s="100">
        <v>46943</v>
      </c>
      <c r="AJ176" s="102">
        <v>38019.38870472079</v>
      </c>
      <c r="AL176" s="23"/>
      <c r="AM176" s="23"/>
      <c r="BL176" s="299"/>
    </row>
    <row r="177" spans="17:64">
      <c r="Q177" s="6">
        <v>147</v>
      </c>
      <c r="R177" s="7">
        <v>42814</v>
      </c>
      <c r="S177" s="210">
        <v>3.5</v>
      </c>
      <c r="T177" s="8">
        <v>1.0000972222222222</v>
      </c>
      <c r="U177" s="98">
        <v>3.6121470212090445</v>
      </c>
      <c r="V177" s="106">
        <v>26658.504202519365</v>
      </c>
      <c r="W177" s="10">
        <v>-0.28855789716818459</v>
      </c>
      <c r="X177" s="413">
        <v>-0.28485067685994764</v>
      </c>
      <c r="Y177" s="414">
        <v>0.29374645114686537</v>
      </c>
      <c r="Z177" s="1"/>
      <c r="AA177" s="1"/>
      <c r="AB177" s="1"/>
      <c r="AC177" s="1"/>
      <c r="AD177" s="1"/>
      <c r="AF177" s="176">
        <v>46966</v>
      </c>
      <c r="AG177" s="177">
        <v>2.5000000000000001E-3</v>
      </c>
      <c r="AH177" s="177">
        <v>2.5833333333333333E-3</v>
      </c>
      <c r="AI177" s="100">
        <v>46974</v>
      </c>
      <c r="AJ177" s="102">
        <v>38117.605458874656</v>
      </c>
      <c r="AL177" s="23"/>
      <c r="AM177" s="23"/>
      <c r="BL177" s="299"/>
    </row>
    <row r="178" spans="17:64">
      <c r="Q178" s="6">
        <v>148</v>
      </c>
      <c r="R178" s="7">
        <v>42815</v>
      </c>
      <c r="S178" s="210">
        <v>3.5</v>
      </c>
      <c r="T178" s="8">
        <v>1.0000972222222222</v>
      </c>
      <c r="U178" s="98">
        <v>3.6121470212090667</v>
      </c>
      <c r="V178" s="106">
        <v>26660.439021377835</v>
      </c>
      <c r="W178" s="10">
        <v>-0.28055091131011789</v>
      </c>
      <c r="X178" s="413">
        <v>-0.27693885784016214</v>
      </c>
      <c r="Y178" s="414">
        <v>0.29376076426770492</v>
      </c>
      <c r="Z178" s="1"/>
      <c r="AA178" s="1"/>
      <c r="AB178" s="1"/>
      <c r="AC178" s="1"/>
      <c r="AD178" s="1"/>
      <c r="AF178" s="176">
        <v>46997</v>
      </c>
      <c r="AG178" s="177">
        <v>2.5000000000000001E-3</v>
      </c>
      <c r="AH178" s="177">
        <v>2.5833333333333333E-3</v>
      </c>
      <c r="AI178" s="100">
        <v>47005</v>
      </c>
      <c r="AJ178" s="102">
        <v>38216.075939643415</v>
      </c>
      <c r="AL178" s="23"/>
      <c r="AM178" s="23"/>
      <c r="BL178" s="299"/>
    </row>
    <row r="179" spans="17:64">
      <c r="Q179" s="6">
        <v>149</v>
      </c>
      <c r="R179" s="7">
        <v>42816</v>
      </c>
      <c r="S179" s="210">
        <v>3.5</v>
      </c>
      <c r="T179" s="8">
        <v>1.0000972222222222</v>
      </c>
      <c r="U179" s="98">
        <v>3.6121470212090889</v>
      </c>
      <c r="V179" s="106">
        <v>26662.373980661439</v>
      </c>
      <c r="W179" s="10">
        <v>-0.27265077168679985</v>
      </c>
      <c r="X179" s="413">
        <v>-0.26913309118511697</v>
      </c>
      <c r="Y179" s="414">
        <v>0.29377507831734312</v>
      </c>
      <c r="Z179" s="1"/>
      <c r="AA179" s="1"/>
      <c r="AB179" s="1"/>
      <c r="AC179" s="1"/>
      <c r="AD179" s="1"/>
      <c r="AF179" s="176">
        <v>47027</v>
      </c>
      <c r="AG179" s="177">
        <v>2.5000000000000001E-3</v>
      </c>
      <c r="AH179" s="177">
        <v>2.5833333333333333E-3</v>
      </c>
      <c r="AI179" s="100">
        <v>47035</v>
      </c>
      <c r="AJ179" s="102">
        <v>38314.800802487494</v>
      </c>
      <c r="AL179" s="23"/>
      <c r="AM179" s="23"/>
      <c r="BL179" s="299"/>
    </row>
    <row r="180" spans="17:64">
      <c r="Q180" s="6">
        <v>150</v>
      </c>
      <c r="R180" s="7">
        <v>42817</v>
      </c>
      <c r="S180" s="210">
        <v>3.5</v>
      </c>
      <c r="T180" s="8">
        <v>1.0000972222222222</v>
      </c>
      <c r="U180" s="98">
        <v>3.6121470212091111</v>
      </c>
      <c r="V180" s="106">
        <v>26664.309080380372</v>
      </c>
      <c r="W180" s="10">
        <v>-0.26485535384264125</v>
      </c>
      <c r="X180" s="413">
        <v>-0.26143125584394689</v>
      </c>
      <c r="Y180" s="414">
        <v>0.29378939329584686</v>
      </c>
      <c r="Z180" s="1"/>
      <c r="AA180" s="1"/>
      <c r="AB180" s="1"/>
      <c r="AC180" s="1"/>
      <c r="AD180" s="1"/>
      <c r="AF180" s="176">
        <v>47058</v>
      </c>
      <c r="AG180" s="177">
        <v>2.5000000000000001E-3</v>
      </c>
      <c r="AH180" s="177">
        <v>2.5833333333333333E-3</v>
      </c>
      <c r="AI180" s="100">
        <v>47066</v>
      </c>
      <c r="AJ180" s="102">
        <v>38413.780704560588</v>
      </c>
      <c r="AL180" s="23"/>
      <c r="AM180" s="23"/>
      <c r="BL180" s="299"/>
    </row>
    <row r="181" spans="17:64">
      <c r="Q181" s="6">
        <v>151</v>
      </c>
      <c r="R181" s="7">
        <v>42818</v>
      </c>
      <c r="S181" s="210">
        <v>3.5</v>
      </c>
      <c r="T181" s="8">
        <v>1.0000972222222222</v>
      </c>
      <c r="U181" s="98">
        <v>3.6121470212091333</v>
      </c>
      <c r="V181" s="106">
        <v>26666.244320544818</v>
      </c>
      <c r="W181" s="10">
        <v>-0.25716258927214186</v>
      </c>
      <c r="X181" s="413">
        <v>-0.25383128695251156</v>
      </c>
      <c r="Y181" s="414">
        <v>0.29380370920328563</v>
      </c>
      <c r="Z181" s="1"/>
      <c r="AA181" s="1"/>
      <c r="AB181" s="1"/>
      <c r="AC181" s="1"/>
      <c r="AD181" s="1"/>
      <c r="AF181" s="176">
        <v>47088</v>
      </c>
      <c r="AG181" s="177">
        <v>2.5000000000000001E-3</v>
      </c>
      <c r="AH181" s="177">
        <v>2.5833333333333333E-3</v>
      </c>
      <c r="AI181" s="100">
        <v>47096</v>
      </c>
      <c r="AJ181" s="102">
        <v>38513.016304714038</v>
      </c>
      <c r="AL181" s="23"/>
      <c r="AM181" s="23"/>
      <c r="BL181" s="299"/>
    </row>
    <row r="182" spans="17:64">
      <c r="Q182" s="6">
        <v>152</v>
      </c>
      <c r="R182" s="7">
        <v>42819</v>
      </c>
      <c r="S182" s="210">
        <v>3.5</v>
      </c>
      <c r="T182" s="8">
        <v>1.0000972222222222</v>
      </c>
      <c r="U182" s="98">
        <v>3.6121470212091111</v>
      </c>
      <c r="V182" s="106">
        <v>26668.17970116498</v>
      </c>
      <c r="W182" s="10">
        <v>-0.24957046359019852</v>
      </c>
      <c r="X182" s="413">
        <v>-0.24633117398533219</v>
      </c>
      <c r="Y182" s="414">
        <v>0.29381802603972279</v>
      </c>
      <c r="Z182" s="1"/>
      <c r="AA182" s="1"/>
      <c r="AB182" s="1"/>
      <c r="AC182" s="1"/>
      <c r="AD182" s="1"/>
      <c r="AF182" s="176">
        <v>47119</v>
      </c>
      <c r="AG182" s="177">
        <v>2.5000000000000001E-3</v>
      </c>
      <c r="AH182" s="177">
        <v>2.5833333333333333E-3</v>
      </c>
      <c r="AI182" s="100">
        <v>47127</v>
      </c>
      <c r="AJ182" s="102">
        <v>38612.508263501215</v>
      </c>
      <c r="AL182" s="23"/>
      <c r="AM182" s="23"/>
      <c r="BL182" s="299"/>
    </row>
    <row r="183" spans="17:64">
      <c r="Q183" s="6">
        <v>153</v>
      </c>
      <c r="R183" s="7">
        <v>42820</v>
      </c>
      <c r="S183" s="210">
        <v>3.5</v>
      </c>
      <c r="T183" s="8">
        <v>1.0000972222222222</v>
      </c>
      <c r="U183" s="98">
        <v>3.6121470212091555</v>
      </c>
      <c r="V183" s="106">
        <v>26670.115222251046</v>
      </c>
      <c r="W183" s="10">
        <v>-0.24207701477333421</v>
      </c>
      <c r="X183" s="413">
        <v>-0.23892895897947852</v>
      </c>
      <c r="Y183" s="414">
        <v>0.2938323438052331</v>
      </c>
      <c r="Z183" s="1"/>
      <c r="AA183" s="1"/>
      <c r="AB183" s="1"/>
      <c r="AC183" s="1"/>
      <c r="AD183" s="1"/>
      <c r="AF183" s="176">
        <v>47150</v>
      </c>
      <c r="AG183" s="177">
        <v>2.5000000000000001E-3</v>
      </c>
      <c r="AH183" s="177">
        <v>2.5833333333333333E-3</v>
      </c>
      <c r="AI183" s="100">
        <v>47158</v>
      </c>
      <c r="AJ183" s="102">
        <v>38712.257243181928</v>
      </c>
      <c r="AL183" s="23"/>
      <c r="AM183" s="23"/>
      <c r="BL183" s="299"/>
    </row>
    <row r="184" spans="17:64">
      <c r="Q184" s="6">
        <v>154</v>
      </c>
      <c r="R184" s="7">
        <v>42821</v>
      </c>
      <c r="S184" s="210">
        <v>3.5</v>
      </c>
      <c r="T184" s="8">
        <v>1.0000972222222222</v>
      </c>
      <c r="U184" s="98">
        <v>3.6121470212091777</v>
      </c>
      <c r="V184" s="106">
        <v>26672.050883813212</v>
      </c>
      <c r="W184" s="10">
        <v>-0.23468033146967215</v>
      </c>
      <c r="X184" s="413">
        <v>-0.23162273482835605</v>
      </c>
      <c r="Y184" s="414">
        <v>0.29384666249988056</v>
      </c>
      <c r="Z184" s="1"/>
      <c r="AA184" s="1"/>
      <c r="AB184" s="1"/>
      <c r="AC184" s="1"/>
      <c r="AD184" s="1"/>
      <c r="AF184" s="176">
        <v>47178</v>
      </c>
      <c r="AG184" s="177">
        <v>2.5000000000000001E-3</v>
      </c>
      <c r="AH184" s="177">
        <v>2.5833333333333333E-3</v>
      </c>
      <c r="AI184" s="100">
        <v>47186</v>
      </c>
      <c r="AJ184" s="102">
        <v>38812.263907726818</v>
      </c>
      <c r="AL184" s="23"/>
      <c r="AM184" s="23"/>
      <c r="BL184" s="299"/>
    </row>
    <row r="185" spans="17:64">
      <c r="Q185" s="6">
        <v>155</v>
      </c>
      <c r="R185" s="7">
        <v>42822</v>
      </c>
      <c r="S185" s="210">
        <v>3.5</v>
      </c>
      <c r="T185" s="8">
        <v>1.0000972222222222</v>
      </c>
      <c r="U185" s="98">
        <v>3.6121470212091777</v>
      </c>
      <c r="V185" s="106">
        <v>26673.98668586167</v>
      </c>
      <c r="W185" s="10">
        <v>-0.22737855137336949</v>
      </c>
      <c r="X185" s="413">
        <v>-0.22441064364092117</v>
      </c>
      <c r="Y185" s="414">
        <v>0.29386098212373207</v>
      </c>
      <c r="Z185" s="1"/>
      <c r="AA185" s="1"/>
      <c r="AB185" s="1"/>
      <c r="AC185" s="1"/>
      <c r="AD185" s="1"/>
      <c r="AF185" s="176">
        <v>47209</v>
      </c>
      <c r="AG185" s="177">
        <v>2.5000000000000001E-3</v>
      </c>
      <c r="AH185" s="177">
        <v>2.5833333333333333E-3</v>
      </c>
      <c r="AI185" s="100">
        <v>47217</v>
      </c>
      <c r="AJ185" s="102">
        <v>38912.528922821781</v>
      </c>
      <c r="AL185" s="23"/>
      <c r="AM185" s="23"/>
      <c r="BL185" s="299"/>
    </row>
    <row r="186" spans="17:64">
      <c r="Q186" s="6">
        <v>156</v>
      </c>
      <c r="R186" s="7">
        <v>42823</v>
      </c>
      <c r="S186" s="210">
        <v>3.5</v>
      </c>
      <c r="T186" s="8">
        <v>1.0000972222222222</v>
      </c>
      <c r="U186" s="98">
        <v>3.6121470212091777</v>
      </c>
      <c r="V186" s="106">
        <v>26675.922628406621</v>
      </c>
      <c r="W186" s="10">
        <v>-0.2201698596618229</v>
      </c>
      <c r="X186" s="413">
        <v>-0.2172908751645416</v>
      </c>
      <c r="Y186" s="414">
        <v>0.29387530267685691</v>
      </c>
      <c r="Z186" s="1"/>
      <c r="AA186" s="1"/>
      <c r="AB186" s="1"/>
      <c r="AC186" s="1"/>
      <c r="AD186" s="1"/>
      <c r="AF186" s="176">
        <v>47239</v>
      </c>
      <c r="AG186" s="177">
        <v>2.5000000000000001E-3</v>
      </c>
      <c r="AH186" s="177">
        <v>2.5833333333333333E-3</v>
      </c>
      <c r="AI186" s="100">
        <v>47247</v>
      </c>
      <c r="AJ186" s="102">
        <v>39013.052955872408</v>
      </c>
      <c r="AL186" s="23"/>
      <c r="AM186" s="23"/>
      <c r="BL186" s="299"/>
    </row>
    <row r="187" spans="17:64">
      <c r="Q187" s="6">
        <v>157</v>
      </c>
      <c r="R187" s="7">
        <v>42824</v>
      </c>
      <c r="S187" s="210">
        <v>3.5</v>
      </c>
      <c r="T187" s="8">
        <v>1.0000972222222222</v>
      </c>
      <c r="U187" s="98">
        <v>3.6121470212091999</v>
      </c>
      <c r="V187" s="106">
        <v>26677.858711458262</v>
      </c>
      <c r="W187" s="10">
        <v>-0.21305248749147188</v>
      </c>
      <c r="X187" s="413">
        <v>-0.21026166526746742</v>
      </c>
      <c r="Y187" s="414">
        <v>0.29388962415932274</v>
      </c>
      <c r="Z187" s="1"/>
      <c r="AA187" s="1"/>
      <c r="AB187" s="1"/>
      <c r="AC187" s="1"/>
      <c r="AD187" s="1"/>
      <c r="AF187" s="176">
        <v>47270</v>
      </c>
      <c r="AG187" s="177">
        <v>2.5000000000000001E-3</v>
      </c>
      <c r="AH187" s="177">
        <v>2.5833333333333333E-3</v>
      </c>
      <c r="AI187" s="100">
        <v>47278</v>
      </c>
      <c r="AJ187" s="102">
        <v>39113.836676008417</v>
      </c>
      <c r="AL187" s="23"/>
      <c r="AM187" s="23"/>
      <c r="BL187" s="299"/>
    </row>
    <row r="188" spans="17:64">
      <c r="Q188" s="6">
        <v>158</v>
      </c>
      <c r="R188" s="7">
        <v>42825</v>
      </c>
      <c r="S188" s="210">
        <v>3.5</v>
      </c>
      <c r="T188" s="8">
        <v>1.0000972222222222</v>
      </c>
      <c r="U188" s="98">
        <v>3.6121470212091999</v>
      </c>
      <c r="V188" s="106">
        <v>26679.794935026785</v>
      </c>
      <c r="W188" s="10">
        <v>-0.20602471055120031</v>
      </c>
      <c r="X188" s="413">
        <v>-0.20332129447961331</v>
      </c>
      <c r="Y188" s="414">
        <v>0.29390394657119528</v>
      </c>
      <c r="Z188" s="1"/>
      <c r="AA188" s="1"/>
      <c r="AB188" s="1"/>
      <c r="AC188" s="1"/>
      <c r="AD188" s="1"/>
      <c r="AF188" s="176">
        <v>47300</v>
      </c>
      <c r="AG188" s="177">
        <v>2.5000000000000001E-3</v>
      </c>
      <c r="AH188" s="177">
        <v>2.5833333333333333E-3</v>
      </c>
      <c r="AI188" s="100">
        <v>47308</v>
      </c>
      <c r="AJ188" s="102">
        <v>39214.88075408811</v>
      </c>
      <c r="AL188" s="23"/>
      <c r="AM188" s="23"/>
      <c r="BL188" s="299"/>
    </row>
    <row r="189" spans="17:64">
      <c r="Q189" s="6">
        <v>159</v>
      </c>
      <c r="R189" s="7">
        <v>42826</v>
      </c>
      <c r="S189" s="210">
        <v>3.5</v>
      </c>
      <c r="T189" s="8">
        <v>1.0000972222222222</v>
      </c>
      <c r="U189" s="98">
        <v>3.6121470212092222</v>
      </c>
      <c r="V189" s="106">
        <v>26681.731299122399</v>
      </c>
      <c r="W189" s="10">
        <v>-0.1990848476696172</v>
      </c>
      <c r="X189" s="413">
        <v>-0.19646808658805326</v>
      </c>
      <c r="Y189" s="414">
        <v>0.29391826991254721</v>
      </c>
      <c r="Z189" s="1"/>
      <c r="AA189" s="1"/>
      <c r="AB189" s="1"/>
      <c r="AC189" s="1"/>
      <c r="AD189" s="1"/>
      <c r="AF189" s="176">
        <v>47331</v>
      </c>
      <c r="AG189" s="177">
        <v>2.5000000000000001E-3</v>
      </c>
      <c r="AH189" s="177">
        <v>2.5833333333333333E-3</v>
      </c>
      <c r="AI189" s="100">
        <v>47339</v>
      </c>
      <c r="AJ189" s="102">
        <v>39316.185862702841</v>
      </c>
      <c r="AL189" s="23"/>
      <c r="AM189" s="23"/>
      <c r="BL189" s="299"/>
    </row>
    <row r="190" spans="17:64">
      <c r="Q190" s="6">
        <v>160</v>
      </c>
      <c r="R190" s="7">
        <v>42827</v>
      </c>
      <c r="S190" s="210">
        <v>3.5</v>
      </c>
      <c r="T190" s="8">
        <v>1.0000972222222222</v>
      </c>
      <c r="U190" s="98">
        <v>3.6121470212091999</v>
      </c>
      <c r="V190" s="106">
        <v>26683.667803755296</v>
      </c>
      <c r="W190" s="10">
        <v>-0.19223125947415154</v>
      </c>
      <c r="X190" s="413">
        <v>-0.18970040728503446</v>
      </c>
      <c r="Y190" s="414">
        <v>0.29393259418344087</v>
      </c>
      <c r="Z190" s="1"/>
      <c r="AA190" s="1"/>
      <c r="AB190" s="1"/>
      <c r="AC190" s="1"/>
      <c r="AD190" s="1"/>
      <c r="AF190" s="176">
        <v>47362</v>
      </c>
      <c r="AG190" s="177">
        <v>2.5000000000000001E-3</v>
      </c>
      <c r="AH190" s="177">
        <v>2.5833333333333333E-3</v>
      </c>
      <c r="AI190" s="100">
        <v>47370</v>
      </c>
      <c r="AJ190" s="102">
        <v>39417.752676181495</v>
      </c>
      <c r="AL190" s="23"/>
      <c r="AM190" s="23"/>
      <c r="BL190" s="299"/>
    </row>
    <row r="191" spans="17:64">
      <c r="Q191" s="6">
        <v>161</v>
      </c>
      <c r="R191" s="7">
        <v>42828</v>
      </c>
      <c r="S191" s="210">
        <v>3.5</v>
      </c>
      <c r="T191" s="8">
        <v>1.0000972222222222</v>
      </c>
      <c r="U191" s="98">
        <v>3.6121470212091777</v>
      </c>
      <c r="V191" s="106">
        <v>26685.604448935672</v>
      </c>
      <c r="W191" s="10">
        <v>-0.18546234710029585</v>
      </c>
      <c r="X191" s="413">
        <v>-0.1830166628668228</v>
      </c>
      <c r="Y191" s="414">
        <v>0.29394691938394552</v>
      </c>
      <c r="Z191" s="1"/>
      <c r="AA191" s="1"/>
      <c r="AB191" s="1"/>
      <c r="AC191" s="1"/>
      <c r="AD191" s="1"/>
      <c r="AF191" s="176">
        <v>47392</v>
      </c>
      <c r="AG191" s="177">
        <v>2.5000000000000001E-3</v>
      </c>
      <c r="AH191" s="177">
        <v>2.5833333333333333E-3</v>
      </c>
      <c r="AI191" s="100">
        <v>47400</v>
      </c>
      <c r="AJ191" s="102">
        <v>39519.581870594964</v>
      </c>
      <c r="AL191" s="23"/>
      <c r="AM191" s="23"/>
      <c r="BL191" s="299"/>
    </row>
    <row r="192" spans="17:64">
      <c r="Q192" s="6">
        <v>162</v>
      </c>
      <c r="R192" s="7">
        <v>42829</v>
      </c>
      <c r="S192" s="210">
        <v>3.5</v>
      </c>
      <c r="T192" s="8">
        <v>1.0000972222222222</v>
      </c>
      <c r="U192" s="98">
        <v>3.6121470212091999</v>
      </c>
      <c r="V192" s="106">
        <v>26687.541234673732</v>
      </c>
      <c r="W192" s="10">
        <v>-0.17877655094796774</v>
      </c>
      <c r="X192" s="413">
        <v>-0.17641529898036901</v>
      </c>
      <c r="Y192" s="414">
        <v>0.29396124551413266</v>
      </c>
      <c r="Z192" s="1"/>
      <c r="AA192" s="1"/>
      <c r="AB192" s="1"/>
      <c r="AC192" s="1"/>
      <c r="AD192" s="1"/>
      <c r="AF192" s="176">
        <v>47423</v>
      </c>
      <c r="AG192" s="177">
        <v>2.5000000000000001E-3</v>
      </c>
      <c r="AH192" s="177">
        <v>2.5833333333333333E-3</v>
      </c>
      <c r="AI192" s="100">
        <v>47431</v>
      </c>
      <c r="AJ192" s="102">
        <v>39621.674123760669</v>
      </c>
      <c r="AL192" s="23"/>
      <c r="AM192" s="23"/>
      <c r="BL192" s="299"/>
    </row>
    <row r="193" spans="17:64">
      <c r="Q193" s="6">
        <v>163</v>
      </c>
      <c r="R193" s="7">
        <v>42830</v>
      </c>
      <c r="S193" s="210">
        <v>3.5</v>
      </c>
      <c r="T193" s="8">
        <v>1.0000972222222222</v>
      </c>
      <c r="U193" s="98">
        <v>3.6121470212091999</v>
      </c>
      <c r="V193" s="106">
        <v>26689.478160979685</v>
      </c>
      <c r="W193" s="10">
        <v>-0.1721723494837013</v>
      </c>
      <c r="X193" s="413">
        <v>-0.16989479941630584</v>
      </c>
      <c r="Y193" s="414">
        <v>0.29397557257406809</v>
      </c>
      <c r="Z193" s="1"/>
      <c r="AA193" s="1"/>
      <c r="AB193" s="1"/>
      <c r="AC193" s="1"/>
      <c r="AD193" s="1"/>
      <c r="AF193" s="176">
        <v>47453</v>
      </c>
      <c r="AG193" s="177">
        <v>2.5000000000000001E-3</v>
      </c>
      <c r="AH193" s="177">
        <v>2.5833333333333333E-3</v>
      </c>
      <c r="AI193" s="100">
        <v>47461</v>
      </c>
      <c r="AJ193" s="102">
        <v>39724.030115247057</v>
      </c>
      <c r="AL193" s="23"/>
      <c r="AM193" s="23"/>
      <c r="BL193" s="299"/>
    </row>
    <row r="194" spans="17:64">
      <c r="Q194" s="6">
        <v>164</v>
      </c>
      <c r="R194" s="7">
        <v>42831</v>
      </c>
      <c r="S194" s="210">
        <v>3.5</v>
      </c>
      <c r="T194" s="8">
        <v>1.0000972222222222</v>
      </c>
      <c r="U194" s="98">
        <v>3.6121470212092222</v>
      </c>
      <c r="V194" s="106">
        <v>26691.415227863719</v>
      </c>
      <c r="W194" s="10">
        <v>-0.16564825808609296</v>
      </c>
      <c r="X194" s="413">
        <v>-0.16345368494588494</v>
      </c>
      <c r="Y194" s="414">
        <v>0.29398990056381991</v>
      </c>
      <c r="Z194" s="1"/>
      <c r="AA194" s="1"/>
      <c r="AB194" s="1"/>
      <c r="AC194" s="1"/>
      <c r="AD194" s="1"/>
      <c r="AF194" s="176">
        <v>47484</v>
      </c>
      <c r="AG194" s="177">
        <v>2.5000000000000001E-3</v>
      </c>
      <c r="AH194" s="177">
        <v>2.5833333333333333E-3</v>
      </c>
      <c r="AI194" s="100">
        <v>47492</v>
      </c>
      <c r="AJ194" s="102">
        <v>39826.650526378115</v>
      </c>
      <c r="AL194" s="23"/>
      <c r="AM194" s="23"/>
      <c r="BL194" s="299"/>
    </row>
    <row r="195" spans="17:64">
      <c r="Q195" s="6">
        <v>165</v>
      </c>
      <c r="R195" s="7">
        <v>42832</v>
      </c>
      <c r="S195" s="210">
        <v>3.5</v>
      </c>
      <c r="T195" s="8">
        <v>1.0000972222222222</v>
      </c>
      <c r="U195" s="98">
        <v>3.6121470212092444</v>
      </c>
      <c r="V195" s="106">
        <v>26693.352435336048</v>
      </c>
      <c r="W195" s="10">
        <v>-0.15920282793345786</v>
      </c>
      <c r="X195" s="413">
        <v>-0.15709051220056997</v>
      </c>
      <c r="Y195" s="414">
        <v>0.29400422948345473</v>
      </c>
      <c r="Z195" s="1"/>
      <c r="AA195" s="1"/>
      <c r="AB195" s="1"/>
      <c r="AC195" s="1"/>
      <c r="AD195" s="1"/>
      <c r="AF195" s="176">
        <v>47515</v>
      </c>
      <c r="AG195" s="177">
        <v>2.5000000000000001E-3</v>
      </c>
      <c r="AH195" s="177">
        <v>2.5833333333333333E-3</v>
      </c>
      <c r="AI195" s="100">
        <v>47523</v>
      </c>
      <c r="AJ195" s="102">
        <v>39929.53604023793</v>
      </c>
      <c r="AL195" s="23"/>
      <c r="AM195" s="23"/>
      <c r="BL195" s="299"/>
    </row>
    <row r="196" spans="17:64">
      <c r="Q196" s="6">
        <v>166</v>
      </c>
      <c r="R196" s="7">
        <v>42833</v>
      </c>
      <c r="S196" s="210">
        <v>3.5</v>
      </c>
      <c r="T196" s="8">
        <v>1.0000972222222222</v>
      </c>
      <c r="U196" s="98">
        <v>3.6121470212092666</v>
      </c>
      <c r="V196" s="106">
        <v>26695.289783406864</v>
      </c>
      <c r="W196" s="10">
        <v>-0.15283464493094367</v>
      </c>
      <c r="X196" s="413">
        <v>-0.15080387259159658</v>
      </c>
      <c r="Y196" s="414">
        <v>0.29401855933304138</v>
      </c>
      <c r="Z196" s="1"/>
      <c r="AA196" s="1"/>
      <c r="AB196" s="1"/>
      <c r="AC196" s="1"/>
      <c r="AD196" s="1"/>
      <c r="AF196" s="176">
        <v>47543</v>
      </c>
      <c r="AG196" s="177">
        <v>2.5000000000000001E-3</v>
      </c>
      <c r="AH196" s="177">
        <v>2.5833333333333333E-3</v>
      </c>
      <c r="AI196" s="100">
        <v>47551</v>
      </c>
      <c r="AJ196" s="102">
        <v>40032.687341675213</v>
      </c>
      <c r="AL196" s="23"/>
      <c r="AM196" s="23"/>
      <c r="BL196" s="299"/>
    </row>
    <row r="197" spans="17:64">
      <c r="Q197" s="6">
        <v>167</v>
      </c>
      <c r="R197" s="7">
        <v>42834</v>
      </c>
      <c r="S197" s="210">
        <v>3.5</v>
      </c>
      <c r="T197" s="8">
        <v>1.0000972222222222</v>
      </c>
      <c r="U197" s="98">
        <v>3.6121470212092888</v>
      </c>
      <c r="V197" s="106">
        <v>26697.227272086388</v>
      </c>
      <c r="W197" s="10">
        <v>-0.14654232867673533</v>
      </c>
      <c r="X197" s="413">
        <v>-0.14459239126918866</v>
      </c>
      <c r="Y197" s="414">
        <v>0.29403289011264722</v>
      </c>
      <c r="Z197" s="1"/>
      <c r="AA197" s="1"/>
      <c r="AB197" s="1"/>
      <c r="AC197" s="1"/>
      <c r="AD197" s="1"/>
      <c r="AF197" s="176">
        <v>47574</v>
      </c>
      <c r="AG197" s="177">
        <v>2.5000000000000001E-3</v>
      </c>
      <c r="AH197" s="177">
        <v>2.5833333333333333E-3</v>
      </c>
      <c r="AI197" s="100">
        <v>47582</v>
      </c>
      <c r="AJ197" s="102">
        <v>40136.105117307874</v>
      </c>
      <c r="AL197" s="23"/>
      <c r="AM197" s="23"/>
      <c r="BL197" s="299"/>
    </row>
    <row r="198" spans="17:64">
      <c r="Q198" s="6">
        <v>168</v>
      </c>
      <c r="R198" s="7">
        <v>42835</v>
      </c>
      <c r="S198" s="210">
        <v>3.5</v>
      </c>
      <c r="T198" s="8">
        <v>1.0000972222222222</v>
      </c>
      <c r="U198" s="98">
        <v>3.6121470212092888</v>
      </c>
      <c r="V198" s="106">
        <v>26702.019132517657</v>
      </c>
      <c r="W198" s="10">
        <v>-0.16351404031951233</v>
      </c>
      <c r="X198" s="413">
        <v>-0.16134534619463967</v>
      </c>
      <c r="Y198" s="414">
        <v>0.29404722182233795</v>
      </c>
      <c r="Z198" s="1"/>
      <c r="AA198" s="1"/>
      <c r="AB198" s="1"/>
      <c r="AC198" s="1"/>
      <c r="AD198" s="1"/>
      <c r="AF198" s="176">
        <v>47604</v>
      </c>
      <c r="AG198" s="177">
        <v>2.5000000000000001E-3</v>
      </c>
      <c r="AH198" s="177">
        <v>2.5833333333333333E-3</v>
      </c>
      <c r="AI198" s="100">
        <v>47612</v>
      </c>
      <c r="AJ198" s="102">
        <v>40239.790055527585</v>
      </c>
      <c r="AL198" s="23"/>
      <c r="AM198" s="23"/>
      <c r="BL198" s="299"/>
    </row>
    <row r="199" spans="17:64">
      <c r="Q199" s="6">
        <v>169</v>
      </c>
      <c r="R199" s="7">
        <v>42836</v>
      </c>
      <c r="S199" s="210">
        <v>3.5</v>
      </c>
      <c r="T199" s="8">
        <v>1.0000972222222222</v>
      </c>
      <c r="U199" s="98">
        <v>3.612147021209311</v>
      </c>
      <c r="V199" s="106">
        <v>26706.811853035491</v>
      </c>
      <c r="W199" s="10">
        <v>-0.18028206968897509</v>
      </c>
      <c r="X199" s="413">
        <v>-0.17789860111378247</v>
      </c>
      <c r="Y199" s="414">
        <v>0.29406155446218551</v>
      </c>
      <c r="Z199" s="1"/>
      <c r="AA199" s="1"/>
      <c r="AB199" s="1"/>
      <c r="AC199" s="1"/>
      <c r="AD199" s="1"/>
      <c r="AF199" s="176">
        <v>47635</v>
      </c>
      <c r="AG199" s="177">
        <v>2.5000000000000001E-3</v>
      </c>
      <c r="AH199" s="177">
        <v>2.5833333333333333E-3</v>
      </c>
      <c r="AI199" s="100">
        <v>47643</v>
      </c>
      <c r="AJ199" s="102">
        <v>40343.742846504363</v>
      </c>
      <c r="AL199" s="23"/>
      <c r="AM199" s="23"/>
      <c r="BL199" s="299"/>
    </row>
    <row r="200" spans="17:64">
      <c r="Q200" s="6">
        <v>170</v>
      </c>
      <c r="R200" s="7">
        <v>42837</v>
      </c>
      <c r="S200" s="210">
        <v>3.5</v>
      </c>
      <c r="T200" s="8">
        <v>1.0000972222222222</v>
      </c>
      <c r="U200" s="98">
        <v>3.6121470212093332</v>
      </c>
      <c r="V200" s="106">
        <v>26711.605433794259</v>
      </c>
      <c r="W200" s="10">
        <v>-0.19685006135377048</v>
      </c>
      <c r="X200" s="413">
        <v>-0.19425568026209308</v>
      </c>
      <c r="Y200" s="414">
        <v>0.29407588803225643</v>
      </c>
      <c r="Z200" s="1"/>
      <c r="AA200" s="1"/>
      <c r="AB200" s="1"/>
      <c r="AC200" s="1"/>
      <c r="AD200" s="1"/>
      <c r="AF200" s="176">
        <v>47665</v>
      </c>
      <c r="AG200" s="177">
        <v>2.5000000000000001E-3</v>
      </c>
      <c r="AH200" s="177">
        <v>2.5833333333333333E-3</v>
      </c>
      <c r="AI200" s="100">
        <v>47673</v>
      </c>
      <c r="AJ200" s="102">
        <v>40447.964182191165</v>
      </c>
      <c r="AL200" s="23"/>
      <c r="AM200" s="23"/>
      <c r="BL200" s="299"/>
    </row>
    <row r="201" spans="17:64">
      <c r="Q201" s="6">
        <v>171</v>
      </c>
      <c r="R201" s="7">
        <v>42838</v>
      </c>
      <c r="S201" s="210">
        <v>3.5</v>
      </c>
      <c r="T201" s="8">
        <v>1.0000972222222222</v>
      </c>
      <c r="U201" s="98">
        <v>3.612147021209311</v>
      </c>
      <c r="V201" s="106">
        <v>26716.399874948369</v>
      </c>
      <c r="W201" s="10">
        <v>-0.21322157345193826</v>
      </c>
      <c r="X201" s="413">
        <v>-0.21042002543690758</v>
      </c>
      <c r="Y201" s="414">
        <v>0.29409022253261541</v>
      </c>
      <c r="Z201" s="1"/>
      <c r="AA201" s="1"/>
      <c r="AB201" s="1"/>
      <c r="AC201" s="1"/>
      <c r="AD201" s="1"/>
      <c r="AF201" s="176">
        <v>47696</v>
      </c>
      <c r="AG201" s="177">
        <v>2.5000000000000001E-3</v>
      </c>
      <c r="AH201" s="177">
        <v>2.5833333333333333E-3</v>
      </c>
      <c r="AI201" s="100">
        <v>47704</v>
      </c>
      <c r="AJ201" s="102">
        <v>40552.454756328494</v>
      </c>
      <c r="AL201" s="23"/>
      <c r="AM201" s="23"/>
      <c r="BL201" s="299"/>
    </row>
    <row r="202" spans="17:64">
      <c r="Q202" s="6">
        <v>172</v>
      </c>
      <c r="R202" s="7">
        <v>42839</v>
      </c>
      <c r="S202" s="210">
        <v>3.5</v>
      </c>
      <c r="T202" s="8">
        <v>1.0000972222222222</v>
      </c>
      <c r="U202" s="98">
        <v>3.612147021209311</v>
      </c>
      <c r="V202" s="106">
        <v>26721.195176652251</v>
      </c>
      <c r="W202" s="10">
        <v>-0.22940008023752956</v>
      </c>
      <c r="X202" s="413">
        <v>-0.22639499839362415</v>
      </c>
      <c r="Y202" s="414">
        <v>0.29410455796333362</v>
      </c>
      <c r="Z202" s="1"/>
      <c r="AA202" s="1"/>
      <c r="AB202" s="1"/>
      <c r="AC202" s="1"/>
      <c r="AD202" s="1"/>
      <c r="AF202" s="176">
        <v>47727</v>
      </c>
      <c r="AG202" s="177">
        <v>2.5000000000000001E-3</v>
      </c>
      <c r="AH202" s="177">
        <v>2.5833333333333333E-3</v>
      </c>
      <c r="AI202" s="100">
        <v>47735</v>
      </c>
      <c r="AJ202" s="102">
        <v>40657.215264449012</v>
      </c>
      <c r="AL202" s="23"/>
      <c r="AM202" s="23"/>
      <c r="BL202" s="299"/>
    </row>
    <row r="203" spans="17:64">
      <c r="Q203" s="6">
        <v>173</v>
      </c>
      <c r="R203" s="7">
        <v>42840</v>
      </c>
      <c r="S203" s="210">
        <v>3.5</v>
      </c>
      <c r="T203" s="8">
        <v>1.0000972222222222</v>
      </c>
      <c r="U203" s="98">
        <v>3.6121470212093332</v>
      </c>
      <c r="V203" s="106">
        <v>26725.991339060365</v>
      </c>
      <c r="W203" s="10">
        <v>-0.24538897453815212</v>
      </c>
      <c r="X203" s="413">
        <v>-0.24218388315923861</v>
      </c>
      <c r="Y203" s="414">
        <v>0.29411889432448046</v>
      </c>
      <c r="Z203" s="1"/>
      <c r="AA203" s="1"/>
      <c r="AB203" s="1"/>
      <c r="AC203" s="1"/>
      <c r="AD203" s="1"/>
      <c r="AF203" s="176">
        <v>47757</v>
      </c>
      <c r="AG203" s="177">
        <v>2.5000000000000001E-3</v>
      </c>
      <c r="AH203" s="177">
        <v>2.5833333333333333E-3</v>
      </c>
      <c r="AI203" s="100">
        <v>47765</v>
      </c>
      <c r="AJ203" s="102">
        <v>40762.246403882171</v>
      </c>
      <c r="AL203" s="23"/>
      <c r="AM203" s="23"/>
      <c r="BL203" s="299"/>
    </row>
    <row r="204" spans="17:64">
      <c r="Q204" s="6">
        <v>174</v>
      </c>
      <c r="R204" s="7">
        <v>42841</v>
      </c>
      <c r="S204" s="210">
        <v>3.5</v>
      </c>
      <c r="T204" s="8">
        <v>1.0000972222222222</v>
      </c>
      <c r="U204" s="98">
        <v>3.6121470212093332</v>
      </c>
      <c r="V204" s="106">
        <v>26730.788362327199</v>
      </c>
      <c r="W204" s="10">
        <v>-0.26119157012631788</v>
      </c>
      <c r="X204" s="413">
        <v>-0.25778988826582738</v>
      </c>
      <c r="Y204" s="414">
        <v>0.29413323161612004</v>
      </c>
      <c r="Z204" s="1"/>
      <c r="AA204" s="1"/>
      <c r="AB204" s="1"/>
      <c r="AC204" s="1"/>
      <c r="AD204" s="1"/>
      <c r="AF204" s="176">
        <v>47788</v>
      </c>
      <c r="AG204" s="177">
        <v>2.5000000000000001E-3</v>
      </c>
      <c r="AH204" s="177">
        <v>2.5833333333333333E-3</v>
      </c>
      <c r="AI204" s="100">
        <v>47796</v>
      </c>
      <c r="AJ204" s="102">
        <v>40867.548873758868</v>
      </c>
      <c r="AL204" s="23"/>
      <c r="AM204" s="23"/>
      <c r="BL204" s="299"/>
    </row>
    <row r="205" spans="17:64">
      <c r="Q205" s="6">
        <v>175</v>
      </c>
      <c r="R205" s="7">
        <v>42842</v>
      </c>
      <c r="S205" s="210">
        <v>3.5</v>
      </c>
      <c r="T205" s="8">
        <v>1.0000972222222222</v>
      </c>
      <c r="U205" s="98">
        <v>3.6121470212093554</v>
      </c>
      <c r="V205" s="106">
        <v>26735.586246607269</v>
      </c>
      <c r="W205" s="10">
        <v>-0.27681110400863407</v>
      </c>
      <c r="X205" s="413">
        <v>-0.27321614890763662</v>
      </c>
      <c r="Y205" s="414">
        <v>0.29414756983832241</v>
      </c>
      <c r="Z205" s="1"/>
      <c r="AA205" s="1"/>
      <c r="AB205" s="1"/>
      <c r="AC205" s="1"/>
      <c r="AD205" s="1"/>
      <c r="AF205" s="176">
        <v>47818</v>
      </c>
      <c r="AG205" s="177">
        <v>2.5000000000000001E-3</v>
      </c>
      <c r="AH205" s="177">
        <v>2.5833333333333333E-3</v>
      </c>
      <c r="AI205" s="100">
        <v>47826</v>
      </c>
      <c r="AJ205" s="102">
        <v>40973.123375016083</v>
      </c>
      <c r="AL205" s="23"/>
      <c r="AM205" s="23"/>
      <c r="BL205" s="299"/>
    </row>
    <row r="206" spans="17:64">
      <c r="Q206" s="6">
        <v>176</v>
      </c>
      <c r="R206" s="7">
        <v>42843</v>
      </c>
      <c r="S206" s="210">
        <v>3.5</v>
      </c>
      <c r="T206" s="8">
        <v>1.0000972222222222</v>
      </c>
      <c r="U206" s="98">
        <v>3.6121470212093776</v>
      </c>
      <c r="V206" s="106">
        <v>26740.384992055107</v>
      </c>
      <c r="W206" s="10">
        <v>-0.29225073863563544</v>
      </c>
      <c r="X206" s="413">
        <v>-0.28846572902440687</v>
      </c>
      <c r="Y206" s="414">
        <v>0.29416190899115618</v>
      </c>
      <c r="Z206" s="1"/>
      <c r="AA206" s="1"/>
      <c r="AB206" s="1"/>
      <c r="AC206" s="1"/>
      <c r="AD206" s="1"/>
      <c r="AF206" s="176">
        <v>47849</v>
      </c>
      <c r="AG206" s="177">
        <v>2.5000000000000001E-3</v>
      </c>
      <c r="AH206" s="177">
        <v>2.5833333333333333E-3</v>
      </c>
      <c r="AI206" s="100">
        <v>47857</v>
      </c>
      <c r="AJ206" s="102">
        <v>41078.970610401542</v>
      </c>
      <c r="AL206" s="23"/>
      <c r="AM206" s="23"/>
      <c r="BL206" s="299"/>
    </row>
    <row r="207" spans="17:64">
      <c r="Q207" s="6">
        <v>177</v>
      </c>
      <c r="R207" s="7">
        <v>42844</v>
      </c>
      <c r="S207" s="210">
        <v>3.5</v>
      </c>
      <c r="T207" s="8">
        <v>1.0000972222222222</v>
      </c>
      <c r="U207" s="98">
        <v>3.6121470212093554</v>
      </c>
      <c r="V207" s="106">
        <v>26745.184598825301</v>
      </c>
      <c r="W207" s="10">
        <v>-0.30751356403622143</v>
      </c>
      <c r="X207" s="413">
        <v>-0.30354162331450585</v>
      </c>
      <c r="Y207" s="414">
        <v>0.29417624907468465</v>
      </c>
      <c r="Z207" s="1"/>
      <c r="AA207" s="1"/>
      <c r="AB207" s="1"/>
      <c r="AC207" s="1"/>
      <c r="AD207" s="1"/>
      <c r="AF207" s="176">
        <v>47880</v>
      </c>
      <c r="AG207" s="177">
        <v>2.5000000000000001E-3</v>
      </c>
      <c r="AH207" s="177">
        <v>2.5833333333333333E-3</v>
      </c>
      <c r="AI207" s="100">
        <v>47888</v>
      </c>
      <c r="AJ207" s="102">
        <v>41185.091284478418</v>
      </c>
      <c r="AL207" s="23"/>
      <c r="AM207" s="23"/>
      <c r="BL207" s="299"/>
    </row>
    <row r="208" spans="17:64">
      <c r="Q208" s="6">
        <v>178</v>
      </c>
      <c r="R208" s="7">
        <v>42845</v>
      </c>
      <c r="S208" s="210">
        <v>3.5</v>
      </c>
      <c r="T208" s="8">
        <v>1.0000972222222222</v>
      </c>
      <c r="U208" s="98">
        <v>3.6121470212093554</v>
      </c>
      <c r="V208" s="106">
        <v>26749.98506707243</v>
      </c>
      <c r="W208" s="10">
        <v>-0.32260259987823003</v>
      </c>
      <c r="X208" s="413">
        <v>-0.31844675917937199</v>
      </c>
      <c r="Y208" s="414">
        <v>0.29419059008898085</v>
      </c>
      <c r="Z208" s="1"/>
      <c r="AA208" s="1"/>
      <c r="AB208" s="1"/>
      <c r="AC208" s="1"/>
      <c r="AD208" s="1"/>
      <c r="AF208" s="176">
        <v>47908</v>
      </c>
      <c r="AG208" s="177">
        <v>2.5000000000000001E-3</v>
      </c>
      <c r="AH208" s="177">
        <v>2.5833333333333333E-3</v>
      </c>
      <c r="AI208" s="100">
        <v>47916</v>
      </c>
      <c r="AJ208" s="102">
        <v>41291.486103629992</v>
      </c>
      <c r="AL208" s="23"/>
      <c r="AM208" s="23"/>
      <c r="BL208" s="299"/>
    </row>
    <row r="209" spans="17:64">
      <c r="Q209" s="6">
        <v>179</v>
      </c>
      <c r="R209" s="7">
        <v>42846</v>
      </c>
      <c r="S209" s="210">
        <v>3.5</v>
      </c>
      <c r="T209" s="8">
        <v>1.0000972222222222</v>
      </c>
      <c r="U209" s="98">
        <v>3.6121470212093776</v>
      </c>
      <c r="V209" s="106">
        <v>26754.786396951138</v>
      </c>
      <c r="W209" s="10">
        <v>-0.33752079746032226</v>
      </c>
      <c r="X209" s="413">
        <v>-0.33318399860387504</v>
      </c>
      <c r="Y209" s="414">
        <v>0.29420493203411247</v>
      </c>
      <c r="Z209" s="1"/>
      <c r="AA209" s="1"/>
      <c r="AB209" s="1"/>
      <c r="AC209" s="1"/>
      <c r="AD209" s="1"/>
      <c r="AF209" s="176">
        <v>47939</v>
      </c>
      <c r="AG209" s="177">
        <v>2.5000000000000001E-3</v>
      </c>
      <c r="AH209" s="177">
        <v>2.5833333333333333E-3</v>
      </c>
      <c r="AI209" s="100">
        <v>47947</v>
      </c>
      <c r="AJ209" s="102">
        <v>41398.15577606437</v>
      </c>
      <c r="AL209" s="23"/>
      <c r="AM209" s="23"/>
      <c r="BL209" s="299"/>
    </row>
    <row r="210" spans="17:64">
      <c r="Q210" s="6">
        <v>180</v>
      </c>
      <c r="R210" s="7">
        <v>42847</v>
      </c>
      <c r="S210" s="210">
        <v>3.5</v>
      </c>
      <c r="T210" s="8">
        <v>1.0000972222222222</v>
      </c>
      <c r="U210" s="98">
        <v>3.6121470212093776</v>
      </c>
      <c r="V210" s="106">
        <v>26759.588588616061</v>
      </c>
      <c r="W210" s="10">
        <v>-0.35227104163552125</v>
      </c>
      <c r="X210" s="413">
        <v>-0.34775613997308774</v>
      </c>
      <c r="Y210" s="414">
        <v>0.29421927491014577</v>
      </c>
      <c r="Z210" s="1"/>
      <c r="AA210" s="1"/>
      <c r="AB210" s="1"/>
      <c r="AC210" s="1"/>
      <c r="AD210" s="1"/>
      <c r="AF210" s="176">
        <v>47969</v>
      </c>
      <c r="AG210" s="177">
        <v>2.5000000000000001E-3</v>
      </c>
      <c r="AH210" s="177">
        <v>2.5833333333333333E-3</v>
      </c>
      <c r="AI210" s="100">
        <v>47977</v>
      </c>
      <c r="AJ210" s="102">
        <v>41505.101011819206</v>
      </c>
      <c r="AL210" s="23"/>
      <c r="AM210" s="23"/>
      <c r="BL210" s="299"/>
    </row>
    <row r="211" spans="17:64">
      <c r="Q211" s="6">
        <v>181</v>
      </c>
      <c r="R211" s="7">
        <v>42848</v>
      </c>
      <c r="S211" s="210">
        <v>3.5</v>
      </c>
      <c r="T211" s="8">
        <v>1.0000972222222222</v>
      </c>
      <c r="U211" s="98">
        <v>3.6121470212093998</v>
      </c>
      <c r="V211" s="106">
        <v>26764.39164222189</v>
      </c>
      <c r="W211" s="10">
        <v>-0.36685615267089133</v>
      </c>
      <c r="X211" s="413">
        <v>-0.36216591982945134</v>
      </c>
      <c r="Y211" s="414">
        <v>0.29423361871714915</v>
      </c>
      <c r="Z211" s="1"/>
      <c r="AA211" s="1"/>
      <c r="AB211" s="1"/>
      <c r="AC211" s="1"/>
      <c r="AD211" s="1"/>
      <c r="AF211" s="176">
        <v>48000</v>
      </c>
      <c r="AG211" s="177">
        <v>2.5000000000000001E-3</v>
      </c>
      <c r="AH211" s="177">
        <v>2.5833333333333333E-3</v>
      </c>
      <c r="AI211" s="100">
        <v>48008</v>
      </c>
      <c r="AJ211" s="102">
        <v>41612.322522766408</v>
      </c>
      <c r="AL211" s="23"/>
      <c r="AM211" s="23"/>
      <c r="BL211" s="299"/>
    </row>
    <row r="212" spans="17:64">
      <c r="Q212" s="6">
        <v>182</v>
      </c>
      <c r="R212" s="7">
        <v>42849</v>
      </c>
      <c r="S212" s="210">
        <v>3.5</v>
      </c>
      <c r="T212" s="8">
        <v>1.0000972222222222</v>
      </c>
      <c r="U212" s="98">
        <v>3.612147021209422</v>
      </c>
      <c r="V212" s="106">
        <v>26769.195557923333</v>
      </c>
      <c r="W212" s="10">
        <v>-0.38127888804457832</v>
      </c>
      <c r="X212" s="413">
        <v>-0.37641601457152929</v>
      </c>
      <c r="Y212" s="414">
        <v>0.29424796345518944</v>
      </c>
      <c r="Z212" s="1"/>
      <c r="AA212" s="1"/>
      <c r="AB212" s="1"/>
      <c r="AC212" s="1"/>
      <c r="AD212" s="1"/>
      <c r="AF212" s="176">
        <v>48030</v>
      </c>
      <c r="AG212" s="177">
        <v>2.5000000000000001E-3</v>
      </c>
      <c r="AH212" s="177">
        <v>2.5833333333333333E-3</v>
      </c>
      <c r="AI212" s="100">
        <v>48038</v>
      </c>
      <c r="AJ212" s="102">
        <v>41719.821022616889</v>
      </c>
      <c r="AL212" s="23"/>
      <c r="AM212" s="23"/>
      <c r="BL212" s="299"/>
    </row>
    <row r="213" spans="17:64">
      <c r="Q213" s="6">
        <v>183</v>
      </c>
      <c r="R213" s="7">
        <v>42850</v>
      </c>
      <c r="S213" s="210">
        <v>3.5</v>
      </c>
      <c r="T213" s="8">
        <v>1.0000972222222222</v>
      </c>
      <c r="U213" s="98">
        <v>3.612147021209422</v>
      </c>
      <c r="V213" s="106">
        <v>26774.000335875131</v>
      </c>
      <c r="W213" s="10">
        <v>-0.39554194418349731</v>
      </c>
      <c r="X213" s="413">
        <v>-0.39050904209732623</v>
      </c>
      <c r="Y213" s="414">
        <v>0.29426230912433593</v>
      </c>
      <c r="Z213" s="1"/>
      <c r="AA213" s="1"/>
      <c r="AB213" s="1"/>
      <c r="AC213" s="1"/>
      <c r="AD213" s="1"/>
      <c r="AF213" s="176">
        <v>48061</v>
      </c>
      <c r="AG213" s="177">
        <v>2.5000000000000001E-3</v>
      </c>
      <c r="AH213" s="177">
        <v>2.5833333333333333E-3</v>
      </c>
      <c r="AI213" s="100">
        <v>48069</v>
      </c>
      <c r="AJ213" s="102">
        <v>41827.597226925318</v>
      </c>
      <c r="AL213" s="23"/>
      <c r="AM213" s="23"/>
      <c r="BL213" s="299"/>
    </row>
    <row r="214" spans="17:64">
      <c r="Q214" s="6">
        <v>184</v>
      </c>
      <c r="R214" s="7">
        <v>42851</v>
      </c>
      <c r="S214" s="210">
        <v>3.5</v>
      </c>
      <c r="T214" s="8">
        <v>1.0000972222222222</v>
      </c>
      <c r="U214" s="98">
        <v>3.612147021209422</v>
      </c>
      <c r="V214" s="106">
        <v>26778.805976232037</v>
      </c>
      <c r="W214" s="10">
        <v>-0.40964795814357746</v>
      </c>
      <c r="X214" s="413">
        <v>-0.40444756339406429</v>
      </c>
      <c r="Y214" s="414">
        <v>0.29427665572465606</v>
      </c>
      <c r="Z214" s="1"/>
      <c r="AA214" s="1"/>
      <c r="AB214" s="1"/>
      <c r="AC214" s="1"/>
      <c r="AD214" s="1"/>
      <c r="AF214" s="176">
        <v>48092</v>
      </c>
      <c r="AG214" s="177">
        <v>2.5000000000000001E-3</v>
      </c>
      <c r="AH214" s="177">
        <v>2.5833333333333333E-3</v>
      </c>
      <c r="AI214" s="100">
        <v>48100</v>
      </c>
      <c r="AJ214" s="102">
        <v>41935.651853094874</v>
      </c>
      <c r="AL214" s="23"/>
      <c r="AM214" s="23"/>
      <c r="BL214" s="299"/>
    </row>
    <row r="215" spans="17:64">
      <c r="Q215" s="6">
        <v>185</v>
      </c>
      <c r="R215" s="7">
        <v>42852</v>
      </c>
      <c r="S215" s="210">
        <v>3.5</v>
      </c>
      <c r="T215" s="8">
        <v>1.0000972222222222</v>
      </c>
      <c r="U215" s="98">
        <v>3.612147021209422</v>
      </c>
      <c r="V215" s="106">
        <v>26783.612479148858</v>
      </c>
      <c r="W215" s="10">
        <v>-0.4235995092347844</v>
      </c>
      <c r="X215" s="413">
        <v>-0.41823408407624707</v>
      </c>
      <c r="Y215" s="414">
        <v>0.29429100325621604</v>
      </c>
      <c r="Z215" s="1"/>
      <c r="AA215" s="1"/>
      <c r="AB215" s="1"/>
      <c r="AC215" s="1"/>
      <c r="AD215" s="1"/>
      <c r="AF215" s="176">
        <v>48122</v>
      </c>
      <c r="AG215" s="177">
        <v>2.5000000000000001E-3</v>
      </c>
      <c r="AH215" s="177">
        <v>2.5833333333333333E-3</v>
      </c>
      <c r="AI215" s="100">
        <v>48130</v>
      </c>
      <c r="AJ215" s="102">
        <v>42043.985620382038</v>
      </c>
      <c r="AL215" s="23"/>
      <c r="AM215" s="23"/>
      <c r="BL215" s="299"/>
    </row>
    <row r="216" spans="17:64">
      <c r="Q216" s="6">
        <v>186</v>
      </c>
      <c r="R216" s="7">
        <v>42853</v>
      </c>
      <c r="S216" s="210">
        <v>3.5</v>
      </c>
      <c r="T216" s="8">
        <v>1.0000972222222222</v>
      </c>
      <c r="U216" s="98">
        <v>3.612147021209422</v>
      </c>
      <c r="V216" s="106">
        <v>26788.419844780401</v>
      </c>
      <c r="W216" s="10">
        <v>-0.43739912059300723</v>
      </c>
      <c r="X216" s="413">
        <v>-0.43187105587410946</v>
      </c>
      <c r="Y216" s="414">
        <v>0.29430535171908762</v>
      </c>
      <c r="Z216" s="1"/>
      <c r="AA216" s="1"/>
      <c r="AB216" s="1"/>
      <c r="AC216" s="1"/>
      <c r="AD216" s="1"/>
      <c r="AF216" s="176">
        <v>48153</v>
      </c>
      <c r="AG216" s="177">
        <v>2.5000000000000001E-3</v>
      </c>
      <c r="AH216" s="177">
        <v>2.5833333333333333E-3</v>
      </c>
      <c r="AI216" s="100">
        <v>48161</v>
      </c>
      <c r="AJ216" s="102">
        <v>42152.599249901359</v>
      </c>
      <c r="AL216" s="23"/>
      <c r="AM216" s="23"/>
      <c r="BL216" s="299"/>
    </row>
    <row r="217" spans="17:64">
      <c r="Q217" s="6">
        <v>187</v>
      </c>
      <c r="R217" s="7">
        <v>42854</v>
      </c>
      <c r="S217" s="210">
        <v>3.5</v>
      </c>
      <c r="T217" s="8">
        <v>1.0000972222222222</v>
      </c>
      <c r="U217" s="98">
        <v>3.612147021209422</v>
      </c>
      <c r="V217" s="106">
        <v>26793.22807328152</v>
      </c>
      <c r="W217" s="10">
        <v>-0.45104926070117513</v>
      </c>
      <c r="X217" s="413">
        <v>-0.44536087807462971</v>
      </c>
      <c r="Y217" s="414">
        <v>0.29431970111333416</v>
      </c>
      <c r="Z217" s="1"/>
      <c r="AA217" s="1"/>
      <c r="AB217" s="1"/>
      <c r="AC217" s="1"/>
      <c r="AD217" s="1"/>
      <c r="AF217" s="176">
        <v>48183</v>
      </c>
      <c r="AG217" s="177">
        <v>2.5000000000000001E-3</v>
      </c>
      <c r="AH217" s="177">
        <v>2.5833333333333333E-3</v>
      </c>
      <c r="AI217" s="100">
        <v>48191</v>
      </c>
      <c r="AJ217" s="102">
        <v>42261.493464630272</v>
      </c>
      <c r="AL217" s="23"/>
      <c r="AM217" s="23"/>
      <c r="BL217" s="299"/>
    </row>
    <row r="218" spans="17:64">
      <c r="Q218" s="6">
        <v>188</v>
      </c>
      <c r="R218" s="7">
        <v>42855</v>
      </c>
      <c r="S218" s="210">
        <v>3.5</v>
      </c>
      <c r="T218" s="8">
        <v>1.0000972222222222</v>
      </c>
      <c r="U218" s="98">
        <v>3.612147021209422</v>
      </c>
      <c r="V218" s="106">
        <v>26798.037164807087</v>
      </c>
      <c r="W218" s="10">
        <v>-0.464552344860647</v>
      </c>
      <c r="X218" s="413">
        <v>-0.45870589891591468</v>
      </c>
      <c r="Y218" s="414">
        <v>0.29433405143902808</v>
      </c>
      <c r="Z218" s="1"/>
      <c r="AA218" s="1"/>
      <c r="AB218" s="1"/>
      <c r="AC218" s="1"/>
      <c r="AD218" s="1"/>
      <c r="AF218" s="176">
        <v>48214</v>
      </c>
      <c r="AG218" s="177">
        <v>2.5000000000000001E-3</v>
      </c>
      <c r="AH218" s="177">
        <v>2.5833333333333333E-3</v>
      </c>
      <c r="AI218" s="100">
        <v>48222</v>
      </c>
      <c r="AJ218" s="102">
        <v>42370.668989413905</v>
      </c>
      <c r="AL218" s="23"/>
      <c r="AM218" s="23"/>
      <c r="BL218" s="299"/>
    </row>
    <row r="219" spans="17:64">
      <c r="Q219" s="6">
        <v>189</v>
      </c>
      <c r="R219" s="7">
        <v>42856</v>
      </c>
      <c r="S219" s="210">
        <v>3.5</v>
      </c>
      <c r="T219" s="8">
        <v>1.0000972222222222</v>
      </c>
      <c r="U219" s="98">
        <v>3.612147021209422</v>
      </c>
      <c r="V219" s="106">
        <v>26802.847119512011</v>
      </c>
      <c r="W219" s="10">
        <v>-0.47791073661590522</v>
      </c>
      <c r="X219" s="413">
        <v>-0.47190841693799446</v>
      </c>
      <c r="Y219" s="414">
        <v>0.29434840269623685</v>
      </c>
      <c r="Z219" s="1"/>
      <c r="AA219" s="1"/>
      <c r="AB219" s="1"/>
      <c r="AC219" s="1"/>
      <c r="AD219" s="1"/>
      <c r="AF219" s="176">
        <v>48245</v>
      </c>
      <c r="AG219" s="177">
        <v>2.5000000000000001E-3</v>
      </c>
      <c r="AH219" s="177">
        <v>2.5833333333333333E-3</v>
      </c>
      <c r="AI219" s="100">
        <v>48253</v>
      </c>
      <c r="AJ219" s="102">
        <v>42480.126550969893</v>
      </c>
      <c r="AL219" s="23"/>
      <c r="AM219" s="23"/>
      <c r="BL219" s="299"/>
    </row>
    <row r="220" spans="17:64">
      <c r="Q220" s="6">
        <v>190</v>
      </c>
      <c r="R220" s="7">
        <v>42857</v>
      </c>
      <c r="S220" s="210">
        <v>3.5</v>
      </c>
      <c r="T220" s="8">
        <v>1.0000972222222222</v>
      </c>
      <c r="U220" s="98">
        <v>3.6121470212094442</v>
      </c>
      <c r="V220" s="106">
        <v>26807.657937551216</v>
      </c>
      <c r="W220" s="10">
        <v>-0.49112674913348586</v>
      </c>
      <c r="X220" s="413">
        <v>-0.48497068229062495</v>
      </c>
      <c r="Y220" s="414">
        <v>0.29436275488502645</v>
      </c>
      <c r="Z220" s="1"/>
      <c r="AA220" s="1"/>
      <c r="AB220" s="1"/>
      <c r="AC220" s="1"/>
      <c r="AD220" s="1"/>
      <c r="AF220" s="176">
        <v>48274</v>
      </c>
      <c r="AG220" s="177">
        <v>2.5000000000000001E-3</v>
      </c>
      <c r="AH220" s="177">
        <v>2.5833333333333333E-3</v>
      </c>
      <c r="AI220" s="100">
        <v>48282</v>
      </c>
      <c r="AJ220" s="102">
        <v>42589.866877893233</v>
      </c>
      <c r="AL220" s="23"/>
      <c r="AM220" s="23"/>
      <c r="BL220" s="299"/>
    </row>
    <row r="221" spans="17:64">
      <c r="Q221" s="6">
        <v>191</v>
      </c>
      <c r="R221" s="7">
        <v>42858</v>
      </c>
      <c r="S221" s="210">
        <v>3.5</v>
      </c>
      <c r="T221" s="8">
        <v>1.0000972222222222</v>
      </c>
      <c r="U221" s="98">
        <v>3.6121470212094442</v>
      </c>
      <c r="V221" s="106">
        <v>26812.469619079671</v>
      </c>
      <c r="W221" s="10">
        <v>-0.50420264653691094</v>
      </c>
      <c r="X221" s="413">
        <v>-0.49789489799998604</v>
      </c>
      <c r="Y221" s="414">
        <v>0.29437710800546507</v>
      </c>
      <c r="Z221" s="1"/>
      <c r="AA221" s="1"/>
      <c r="AB221" s="1"/>
      <c r="AC221" s="1"/>
      <c r="AD221" s="1"/>
      <c r="AF221" s="176">
        <v>48305</v>
      </c>
      <c r="AG221" s="177">
        <v>2.5000000000000001E-3</v>
      </c>
      <c r="AH221" s="177">
        <v>2.5833333333333333E-3</v>
      </c>
      <c r="AI221" s="100">
        <v>48313</v>
      </c>
      <c r="AJ221" s="102">
        <v>42699.890700661126</v>
      </c>
      <c r="AL221" s="23"/>
      <c r="AM221" s="23"/>
      <c r="BL221" s="299"/>
    </row>
    <row r="222" spans="17:64">
      <c r="Q222" s="6">
        <v>192</v>
      </c>
      <c r="R222" s="7">
        <v>42859</v>
      </c>
      <c r="S222" s="210">
        <v>3.5</v>
      </c>
      <c r="T222" s="8">
        <v>1.0000972222222222</v>
      </c>
      <c r="U222" s="98">
        <v>3.612147021209422</v>
      </c>
      <c r="V222" s="106">
        <v>26817.282164252356</v>
      </c>
      <c r="W222" s="10">
        <v>-0.51714064519945424</v>
      </c>
      <c r="X222" s="413">
        <v>-0.51068322119579568</v>
      </c>
      <c r="Y222" s="414">
        <v>0.29439146205761935</v>
      </c>
      <c r="Z222" s="1"/>
      <c r="AA222" s="1"/>
      <c r="AB222" s="1"/>
      <c r="AC222" s="1"/>
      <c r="AD222" s="1"/>
      <c r="AF222" s="176">
        <v>48335</v>
      </c>
      <c r="AG222" s="177">
        <v>2.5000000000000001E-3</v>
      </c>
      <c r="AH222" s="177">
        <v>2.5833333333333333E-3</v>
      </c>
      <c r="AI222" s="100">
        <v>48343</v>
      </c>
      <c r="AJ222" s="102">
        <v>42810.198751637836</v>
      </c>
      <c r="AL222" s="23"/>
      <c r="AM222" s="23"/>
      <c r="BL222" s="299"/>
    </row>
    <row r="223" spans="17:64">
      <c r="Q223" s="6">
        <v>193</v>
      </c>
      <c r="R223" s="7">
        <v>42860</v>
      </c>
      <c r="S223" s="210">
        <v>3.5</v>
      </c>
      <c r="T223" s="8">
        <v>1.0000972222222222</v>
      </c>
      <c r="U223" s="98">
        <v>3.612147021209422</v>
      </c>
      <c r="V223" s="106">
        <v>26822.095573224284</v>
      </c>
      <c r="W223" s="10">
        <v>-0.52994291499635082</v>
      </c>
      <c r="X223" s="413">
        <v>-0.52333776430035783</v>
      </c>
      <c r="Y223" s="414">
        <v>0.29440581704156155</v>
      </c>
      <c r="Z223" s="1"/>
      <c r="AA223" s="1"/>
      <c r="AB223" s="1"/>
      <c r="AC223" s="1"/>
      <c r="AD223" s="1"/>
      <c r="AF223" s="176">
        <v>48366</v>
      </c>
      <c r="AG223" s="177">
        <v>2.5000000000000001E-3</v>
      </c>
      <c r="AH223" s="177">
        <v>2.5833333333333333E-3</v>
      </c>
      <c r="AI223" s="100">
        <v>48374</v>
      </c>
      <c r="AJ223" s="102">
        <v>42920.791765079572</v>
      </c>
      <c r="AL223" s="23"/>
      <c r="AM223" s="23"/>
      <c r="BL223" s="299"/>
    </row>
    <row r="224" spans="17:64">
      <c r="Q224" s="6">
        <v>194</v>
      </c>
      <c r="R224" s="7">
        <v>42861</v>
      </c>
      <c r="S224" s="210">
        <v>3.5</v>
      </c>
      <c r="T224" s="8">
        <v>1.0000972222222222</v>
      </c>
      <c r="U224" s="98">
        <v>3.612147021209422</v>
      </c>
      <c r="V224" s="106">
        <v>26826.909846150505</v>
      </c>
      <c r="W224" s="10">
        <v>-0.54261158051801539</v>
      </c>
      <c r="X224" s="413">
        <v>-0.5358605961811248</v>
      </c>
      <c r="Y224" s="414">
        <v>0.29442017295735545</v>
      </c>
      <c r="Z224" s="1"/>
      <c r="AA224" s="1"/>
      <c r="AB224" s="1"/>
      <c r="AC224" s="1"/>
      <c r="AD224" s="1"/>
      <c r="AF224" s="176">
        <v>48396</v>
      </c>
      <c r="AG224" s="177">
        <v>2.5000000000000001E-3</v>
      </c>
      <c r="AH224" s="177">
        <v>2.5833333333333333E-3</v>
      </c>
      <c r="AI224" s="100">
        <v>48404</v>
      </c>
      <c r="AJ224" s="102">
        <v>43031.670477139363</v>
      </c>
      <c r="AL224" s="23"/>
      <c r="AM224" s="23"/>
      <c r="BL224" s="299"/>
    </row>
    <row r="225" spans="17:64">
      <c r="Q225" s="6">
        <v>195</v>
      </c>
      <c r="R225" s="7">
        <v>42862</v>
      </c>
      <c r="S225" s="210">
        <v>3.5</v>
      </c>
      <c r="T225" s="8">
        <v>1.0000972222222222</v>
      </c>
      <c r="U225" s="98">
        <v>3.6121470212093998</v>
      </c>
      <c r="V225" s="106">
        <v>26831.724983186083</v>
      </c>
      <c r="W225" s="10">
        <v>-0.55514872224468048</v>
      </c>
      <c r="X225" s="413">
        <v>-0.54825374326693455</v>
      </c>
      <c r="Y225" s="414">
        <v>0.29443452980507057</v>
      </c>
      <c r="Z225" s="1"/>
      <c r="AA225" s="1"/>
      <c r="AB225" s="1"/>
      <c r="AC225" s="1"/>
      <c r="AD225" s="1"/>
      <c r="AF225" s="176">
        <v>48427</v>
      </c>
      <c r="AG225" s="177">
        <v>2.5000000000000001E-3</v>
      </c>
      <c r="AH225" s="177">
        <v>2.5833333333333333E-3</v>
      </c>
      <c r="AI225" s="100">
        <v>48435</v>
      </c>
      <c r="AJ225" s="102">
        <v>43142.835625871972</v>
      </c>
      <c r="AL225" s="23"/>
      <c r="AM225" s="23"/>
      <c r="BL225" s="299"/>
    </row>
    <row r="226" spans="17:64">
      <c r="Q226" s="6">
        <v>196</v>
      </c>
      <c r="R226" s="7">
        <v>42863</v>
      </c>
      <c r="S226" s="210">
        <v>3.5</v>
      </c>
      <c r="T226" s="8">
        <v>1.0000972222222222</v>
      </c>
      <c r="U226" s="98">
        <v>3.612147021209422</v>
      </c>
      <c r="V226" s="106">
        <v>26836.540984486113</v>
      </c>
      <c r="W226" s="10">
        <v>-0.56755637768561851</v>
      </c>
      <c r="X226" s="413">
        <v>-0.56051919063105704</v>
      </c>
      <c r="Y226" s="414">
        <v>0.29444888758477822</v>
      </c>
      <c r="Z226" s="1"/>
      <c r="AA226" s="1"/>
      <c r="AB226" s="1"/>
      <c r="AC226" s="1"/>
      <c r="AD226" s="1"/>
      <c r="AF226" s="176">
        <v>48458</v>
      </c>
      <c r="AG226" s="177">
        <v>2.5000000000000001E-3</v>
      </c>
      <c r="AH226" s="177">
        <v>2.5833333333333333E-3</v>
      </c>
      <c r="AI226" s="100">
        <v>48466</v>
      </c>
      <c r="AJ226" s="102">
        <v>43254.28795123881</v>
      </c>
      <c r="AL226" s="23"/>
      <c r="AM226" s="23"/>
      <c r="BL226" s="299"/>
    </row>
    <row r="227" spans="17:64">
      <c r="Q227" s="6">
        <v>197</v>
      </c>
      <c r="R227" s="7">
        <v>42864</v>
      </c>
      <c r="S227" s="210">
        <v>3.5</v>
      </c>
      <c r="T227" s="8">
        <v>1.0000972222222222</v>
      </c>
      <c r="U227" s="98">
        <v>3.612147021209422</v>
      </c>
      <c r="V227" s="106">
        <v>26841.357850205732</v>
      </c>
      <c r="W227" s="10">
        <v>-0.57983654248279226</v>
      </c>
      <c r="X227" s="413">
        <v>-0.57265888304082768</v>
      </c>
      <c r="Y227" s="414">
        <v>0.29446324629654158</v>
      </c>
      <c r="Z227" s="1"/>
      <c r="AA227" s="1"/>
      <c r="AB227" s="1"/>
      <c r="AC227" s="1"/>
      <c r="AD227" s="1"/>
      <c r="AF227" s="176">
        <v>48488</v>
      </c>
      <c r="AG227" s="177">
        <v>2.5000000000000001E-3</v>
      </c>
      <c r="AH227" s="177">
        <v>2.5833333333333333E-3</v>
      </c>
      <c r="AI227" s="100">
        <v>48496</v>
      </c>
      <c r="AJ227" s="102">
        <v>43366.028195112849</v>
      </c>
      <c r="AL227" s="23"/>
      <c r="AM227" s="23"/>
      <c r="BL227" s="299"/>
    </row>
    <row r="228" spans="17:64">
      <c r="Q228" s="6">
        <v>198</v>
      </c>
      <c r="R228" s="7">
        <v>42865</v>
      </c>
      <c r="S228" s="210">
        <v>3.5</v>
      </c>
      <c r="T228" s="8">
        <v>1.0000972222222222</v>
      </c>
      <c r="U228" s="98">
        <v>3.6121470212093998</v>
      </c>
      <c r="V228" s="106">
        <v>26843.984276586536</v>
      </c>
      <c r="W228" s="10">
        <v>-0.57703158330294491</v>
      </c>
      <c r="X228" s="413">
        <v>-0.56988043578088854</v>
      </c>
      <c r="Y228" s="414">
        <v>0.29447760594042921</v>
      </c>
      <c r="Z228" s="1"/>
      <c r="AA228" s="1"/>
      <c r="AB228" s="1"/>
      <c r="AC228" s="1"/>
      <c r="AD228" s="1"/>
      <c r="AF228" s="176">
        <v>48519</v>
      </c>
      <c r="AG228" s="177">
        <v>2.5000000000000001E-3</v>
      </c>
      <c r="AH228" s="177">
        <v>2.5833333333333333E-3</v>
      </c>
      <c r="AI228" s="100">
        <v>48527</v>
      </c>
      <c r="AJ228" s="102">
        <v>43478.057101283557</v>
      </c>
      <c r="AL228" s="23"/>
      <c r="AM228" s="23"/>
      <c r="BL228" s="299"/>
    </row>
    <row r="229" spans="17:64">
      <c r="Q229" s="6">
        <v>199</v>
      </c>
      <c r="R229" s="7">
        <v>42866</v>
      </c>
      <c r="S229" s="210">
        <v>3.5</v>
      </c>
      <c r="T229" s="8">
        <v>1.0000972222222222</v>
      </c>
      <c r="U229" s="98">
        <v>3.6121470212093776</v>
      </c>
      <c r="V229" s="106">
        <v>26846.610959963116</v>
      </c>
      <c r="W229" s="10">
        <v>-0.57425473671983696</v>
      </c>
      <c r="X229" s="413">
        <v>-0.5671299125429754</v>
      </c>
      <c r="Y229" s="414">
        <v>0.29449196651651172</v>
      </c>
      <c r="Z229" s="1"/>
      <c r="AA229" s="1"/>
      <c r="AB229" s="1"/>
      <c r="AC229" s="1"/>
      <c r="AD229" s="1"/>
      <c r="AF229" s="176">
        <v>48549</v>
      </c>
      <c r="AG229" s="177">
        <v>2.5000000000000001E-3</v>
      </c>
      <c r="AH229" s="177">
        <v>2.5833333333333333E-3</v>
      </c>
      <c r="AI229" s="100">
        <v>48557</v>
      </c>
      <c r="AJ229" s="102">
        <v>43590.375415461873</v>
      </c>
      <c r="AL229" s="23"/>
      <c r="AM229" s="23"/>
      <c r="BL229" s="299"/>
    </row>
    <row r="230" spans="17:64">
      <c r="Q230" s="6">
        <v>200</v>
      </c>
      <c r="R230" s="7">
        <v>42867</v>
      </c>
      <c r="S230" s="210">
        <v>3.5</v>
      </c>
      <c r="T230" s="8">
        <v>1.0000972222222222</v>
      </c>
      <c r="U230" s="98">
        <v>3.6121470212093776</v>
      </c>
      <c r="V230" s="106">
        <v>26849.237900360618</v>
      </c>
      <c r="W230" s="10">
        <v>-0.57150558220572245</v>
      </c>
      <c r="X230" s="413">
        <v>-0.56440689446673797</v>
      </c>
      <c r="Y230" s="414">
        <v>0.29450632802485499</v>
      </c>
      <c r="Z230" s="1"/>
      <c r="AA230" s="1"/>
      <c r="AB230" s="1"/>
      <c r="AC230" s="1"/>
      <c r="AD230" s="1"/>
      <c r="AF230" s="176">
        <v>48580</v>
      </c>
      <c r="AG230" s="177">
        <v>2.5000000000000001E-3</v>
      </c>
      <c r="AH230" s="177">
        <v>2.5833333333333333E-3</v>
      </c>
      <c r="AI230" s="100">
        <v>48588</v>
      </c>
      <c r="AJ230" s="102">
        <v>43702.983885285154</v>
      </c>
      <c r="AL230" s="23"/>
      <c r="AM230" s="23"/>
      <c r="BL230" s="299"/>
    </row>
    <row r="231" spans="17:64">
      <c r="Q231" s="6">
        <v>201</v>
      </c>
      <c r="R231" s="7">
        <v>42868</v>
      </c>
      <c r="S231" s="210">
        <v>3.5</v>
      </c>
      <c r="T231" s="8">
        <v>1.0000972222222222</v>
      </c>
      <c r="U231" s="98">
        <v>3.6121470212093776</v>
      </c>
      <c r="V231" s="106">
        <v>26851.865097804184</v>
      </c>
      <c r="W231" s="10">
        <v>-0.56878370757863506</v>
      </c>
      <c r="X231" s="413">
        <v>-0.56171097102733536</v>
      </c>
      <c r="Y231" s="414">
        <v>0.29452069046553014</v>
      </c>
      <c r="Z231" s="1"/>
      <c r="AA231" s="1"/>
      <c r="AB231" s="1"/>
      <c r="AC231" s="1"/>
      <c r="AD231" s="1"/>
      <c r="AF231" s="176">
        <v>48611</v>
      </c>
      <c r="AG231" s="177">
        <v>2.5000000000000001E-3</v>
      </c>
      <c r="AH231" s="177">
        <v>2.5833333333333333E-3</v>
      </c>
      <c r="AI231" s="100">
        <v>48619</v>
      </c>
      <c r="AJ231" s="102">
        <v>43815.883260322145</v>
      </c>
      <c r="AL231" s="23"/>
      <c r="AM231" s="23"/>
      <c r="BL231" s="299"/>
    </row>
    <row r="232" spans="17:64">
      <c r="Q232" s="6">
        <v>202</v>
      </c>
      <c r="R232" s="7">
        <v>42869</v>
      </c>
      <c r="S232" s="210">
        <v>3.5</v>
      </c>
      <c r="T232" s="8">
        <v>1.0000972222222222</v>
      </c>
      <c r="U232" s="98">
        <v>3.6121470212093998</v>
      </c>
      <c r="V232" s="106">
        <v>26854.492552318978</v>
      </c>
      <c r="W232" s="10">
        <v>-0.56608870879637507</v>
      </c>
      <c r="X232" s="413">
        <v>-0.55904173982921046</v>
      </c>
      <c r="Y232" s="414">
        <v>0.29453505383860362</v>
      </c>
      <c r="Z232" s="1"/>
      <c r="AA232" s="1"/>
      <c r="AB232" s="1"/>
      <c r="AC232" s="1"/>
      <c r="AD232" s="1"/>
      <c r="AF232" s="176">
        <v>48639</v>
      </c>
      <c r="AG232" s="177">
        <v>2.5000000000000001E-3</v>
      </c>
      <c r="AH232" s="177">
        <v>2.5833333333333333E-3</v>
      </c>
      <c r="AI232" s="100">
        <v>48647</v>
      </c>
      <c r="AJ232" s="102">
        <v>43929.074292077981</v>
      </c>
      <c r="AL232" s="23"/>
      <c r="AM232" s="23"/>
      <c r="BL232" s="299"/>
    </row>
    <row r="233" spans="17:64">
      <c r="Q233" s="6">
        <v>203</v>
      </c>
      <c r="R233" s="7">
        <v>42870</v>
      </c>
      <c r="S233" s="210">
        <v>3.5</v>
      </c>
      <c r="T233" s="8">
        <v>1.0000972222222222</v>
      </c>
      <c r="U233" s="98">
        <v>3.6121470212093776</v>
      </c>
      <c r="V233" s="106">
        <v>26857.120263930152</v>
      </c>
      <c r="W233" s="10">
        <v>-0.56342018975663599</v>
      </c>
      <c r="X233" s="413">
        <v>-0.55639880640582229</v>
      </c>
      <c r="Y233" s="414">
        <v>0.29454941814414054</v>
      </c>
      <c r="Z233" s="1"/>
      <c r="AA233" s="1"/>
      <c r="AB233" s="1"/>
      <c r="AC233" s="1"/>
      <c r="AD233" s="1"/>
      <c r="AF233" s="176">
        <v>48670</v>
      </c>
      <c r="AG233" s="177">
        <v>2.5000000000000001E-3</v>
      </c>
      <c r="AH233" s="177">
        <v>2.5833333333333333E-3</v>
      </c>
      <c r="AI233" s="100">
        <v>48678</v>
      </c>
      <c r="AJ233" s="102">
        <v>44042.557733999187</v>
      </c>
      <c r="AL233" s="23"/>
      <c r="AM233" s="23"/>
      <c r="BL233" s="299"/>
    </row>
    <row r="234" spans="17:64">
      <c r="Q234" s="6">
        <v>204</v>
      </c>
      <c r="R234" s="7">
        <v>42871</v>
      </c>
      <c r="S234" s="210">
        <v>3.5</v>
      </c>
      <c r="T234" s="8">
        <v>1.0000972222222222</v>
      </c>
      <c r="U234" s="98">
        <v>3.6121470212093776</v>
      </c>
      <c r="V234" s="106">
        <v>26859.748232662849</v>
      </c>
      <c r="W234" s="10">
        <v>-0.56077776210257113</v>
      </c>
      <c r="X234" s="413">
        <v>-0.55378178402503275</v>
      </c>
      <c r="Y234" s="414">
        <v>0.29456378338221134</v>
      </c>
      <c r="Z234" s="1"/>
      <c r="AA234" s="1"/>
      <c r="AB234" s="1"/>
      <c r="AC234" s="1"/>
      <c r="AD234" s="1"/>
      <c r="AF234" s="176">
        <v>48700</v>
      </c>
      <c r="AG234" s="177">
        <v>2.5000000000000001E-3</v>
      </c>
      <c r="AH234" s="177">
        <v>2.5833333333333333E-3</v>
      </c>
      <c r="AI234" s="100">
        <v>48708</v>
      </c>
      <c r="AJ234" s="102">
        <v>44156.334341478687</v>
      </c>
      <c r="AL234" s="23"/>
      <c r="AM234" s="23"/>
      <c r="BL234" s="299"/>
    </row>
    <row r="235" spans="17:64">
      <c r="Q235" s="6">
        <v>205</v>
      </c>
      <c r="R235" s="7">
        <v>42872</v>
      </c>
      <c r="S235" s="210">
        <v>3.5</v>
      </c>
      <c r="T235" s="8">
        <v>1.0000972222222222</v>
      </c>
      <c r="U235" s="98">
        <v>3.6121470212093776</v>
      </c>
      <c r="V235" s="106">
        <v>26862.37645854225</v>
      </c>
      <c r="W235" s="10">
        <v>-0.55816104503498831</v>
      </c>
      <c r="X235" s="413">
        <v>-0.55119029350102788</v>
      </c>
      <c r="Y235" s="414">
        <v>0.29457814955288508</v>
      </c>
      <c r="Z235" s="1"/>
      <c r="AA235" s="1"/>
      <c r="AB235" s="1"/>
      <c r="AC235" s="1"/>
      <c r="AD235" s="1"/>
      <c r="AF235" s="176">
        <v>48731</v>
      </c>
      <c r="AG235" s="177">
        <v>2.5000000000000001E-3</v>
      </c>
      <c r="AH235" s="177">
        <v>2.5833333333333333E-3</v>
      </c>
      <c r="AI235" s="100">
        <v>48739</v>
      </c>
      <c r="AJ235" s="102">
        <v>44270.404871860839</v>
      </c>
      <c r="AL235" s="23"/>
      <c r="AM235" s="23"/>
      <c r="BL235" s="299"/>
    </row>
    <row r="236" spans="17:64">
      <c r="Q236" s="6">
        <v>206</v>
      </c>
      <c r="R236" s="7">
        <v>42873</v>
      </c>
      <c r="S236" s="210">
        <v>3.5</v>
      </c>
      <c r="T236" s="8">
        <v>1.0000972222222222</v>
      </c>
      <c r="U236" s="98">
        <v>3.6121470212093776</v>
      </c>
      <c r="V236" s="106">
        <v>26865.004941593499</v>
      </c>
      <c r="W236" s="10">
        <v>-0.55556966512869677</v>
      </c>
      <c r="X236" s="413">
        <v>-0.54862396301045668</v>
      </c>
      <c r="Y236" s="414">
        <v>0.29459251665622938</v>
      </c>
      <c r="Z236" s="1"/>
      <c r="AA236" s="1"/>
      <c r="AB236" s="1"/>
      <c r="AC236" s="1"/>
      <c r="AD236" s="1"/>
      <c r="AF236" s="176">
        <v>48761</v>
      </c>
      <c r="AG236" s="177">
        <v>2.5000000000000001E-3</v>
      </c>
      <c r="AH236" s="177">
        <v>2.5833333333333333E-3</v>
      </c>
      <c r="AI236" s="100">
        <v>48769</v>
      </c>
      <c r="AJ236" s="102">
        <v>44384.770084446485</v>
      </c>
      <c r="AL236" s="23"/>
      <c r="AM236" s="23"/>
      <c r="BL236" s="299"/>
    </row>
    <row r="237" spans="17:64">
      <c r="Q237" s="6">
        <v>207</v>
      </c>
      <c r="R237" s="7">
        <v>42874</v>
      </c>
      <c r="S237" s="210">
        <v>3.5</v>
      </c>
      <c r="T237" s="8">
        <v>1.0000972222222222</v>
      </c>
      <c r="U237" s="98">
        <v>3.6121470212093776</v>
      </c>
      <c r="V237" s="106">
        <v>26867.633681841769</v>
      </c>
      <c r="W237" s="10">
        <v>-0.5530032561556264</v>
      </c>
      <c r="X237" s="413">
        <v>-0.54608242791532724</v>
      </c>
      <c r="Y237" s="414">
        <v>0.29460688469231056</v>
      </c>
      <c r="Z237" s="1"/>
      <c r="AA237" s="1"/>
      <c r="AB237" s="1"/>
      <c r="AC237" s="1"/>
      <c r="AD237" s="1"/>
      <c r="AF237" s="176">
        <v>48792</v>
      </c>
      <c r="AG237" s="177">
        <v>2.5000000000000001E-3</v>
      </c>
      <c r="AH237" s="177">
        <v>2.5833333333333333E-3</v>
      </c>
      <c r="AI237" s="100">
        <v>48800</v>
      </c>
      <c r="AJ237" s="102">
        <v>44499.430740497977</v>
      </c>
      <c r="AL237" s="23"/>
      <c r="AM237" s="23"/>
      <c r="BL237" s="299"/>
    </row>
    <row r="238" spans="17:64">
      <c r="Q238" s="6">
        <v>208</v>
      </c>
      <c r="R238" s="7">
        <v>42875</v>
      </c>
      <c r="S238" s="210">
        <v>3.5</v>
      </c>
      <c r="T238" s="8">
        <v>1.0000972222222222</v>
      </c>
      <c r="U238" s="98">
        <v>3.6121470212093554</v>
      </c>
      <c r="V238" s="106">
        <v>26870.262679312225</v>
      </c>
      <c r="W238" s="10">
        <v>-0.5504614589115997</v>
      </c>
      <c r="X238" s="413">
        <v>-0.54356533058966683</v>
      </c>
      <c r="Y238" s="414">
        <v>0.29462125366119701</v>
      </c>
      <c r="Z238" s="1"/>
      <c r="AA238" s="1"/>
      <c r="AB238" s="1"/>
      <c r="AC238" s="1"/>
      <c r="AD238" s="1"/>
      <c r="AF238" s="176">
        <v>48823</v>
      </c>
      <c r="AG238" s="177">
        <v>2.5000000000000001E-3</v>
      </c>
      <c r="AH238" s="177">
        <v>2.5833333333333333E-3</v>
      </c>
      <c r="AI238" s="100">
        <v>48831</v>
      </c>
      <c r="AJ238" s="102">
        <v>44614.387603244264</v>
      </c>
      <c r="AL238" s="23"/>
      <c r="AM238" s="23"/>
      <c r="BL238" s="299"/>
    </row>
    <row r="239" spans="17:64">
      <c r="Q239" s="6">
        <v>209</v>
      </c>
      <c r="R239" s="7">
        <v>42876</v>
      </c>
      <c r="S239" s="210">
        <v>3.5</v>
      </c>
      <c r="T239" s="8">
        <v>1.0000972222222222</v>
      </c>
      <c r="U239" s="98">
        <v>3.6121470212093554</v>
      </c>
      <c r="V239" s="106">
        <v>26872.891934030042</v>
      </c>
      <c r="W239" s="10">
        <v>-0.54794392104914325</v>
      </c>
      <c r="X239" s="413">
        <v>-0.54107232025209573</v>
      </c>
      <c r="Y239" s="414">
        <v>0.29463562356295886</v>
      </c>
      <c r="Z239" s="1"/>
      <c r="AA239" s="1"/>
      <c r="AB239" s="1"/>
      <c r="AC239" s="1"/>
      <c r="AD239" s="1"/>
      <c r="AF239" s="176">
        <v>48853</v>
      </c>
      <c r="AG239" s="177">
        <v>2.5000000000000001E-3</v>
      </c>
      <c r="AH239" s="177">
        <v>2.5833333333333333E-3</v>
      </c>
      <c r="AI239" s="100">
        <v>48861</v>
      </c>
      <c r="AJ239" s="102">
        <v>44729.641437885977</v>
      </c>
      <c r="AL239" s="23"/>
      <c r="AM239" s="23"/>
      <c r="BL239" s="299"/>
    </row>
    <row r="240" spans="17:64">
      <c r="Q240" s="6">
        <v>210</v>
      </c>
      <c r="R240" s="7">
        <v>42877</v>
      </c>
      <c r="S240" s="210">
        <v>3.5</v>
      </c>
      <c r="T240" s="8">
        <v>1.0000972222222222</v>
      </c>
      <c r="U240" s="98">
        <v>3.6121470212093776</v>
      </c>
      <c r="V240" s="106">
        <v>26875.521446020379</v>
      </c>
      <c r="W240" s="10">
        <v>-0.54545029691449587</v>
      </c>
      <c r="X240" s="413">
        <v>-0.53860305280276466</v>
      </c>
      <c r="Y240" s="414">
        <v>0.29464999439766504</v>
      </c>
      <c r="Z240" s="1"/>
      <c r="AA240" s="1"/>
      <c r="AB240" s="1"/>
      <c r="AC240" s="1"/>
      <c r="AD240" s="1"/>
      <c r="AF240" s="176">
        <v>48884</v>
      </c>
      <c r="AG240" s="177">
        <v>2.5000000000000001E-3</v>
      </c>
      <c r="AH240" s="177">
        <v>2.5833333333333333E-3</v>
      </c>
      <c r="AI240" s="100">
        <v>48892</v>
      </c>
      <c r="AJ240" s="102">
        <v>44845.193011600517</v>
      </c>
      <c r="AL240" s="23"/>
      <c r="AM240" s="23"/>
      <c r="BL240" s="299"/>
    </row>
    <row r="241" spans="17:64">
      <c r="Q241" s="6">
        <v>211</v>
      </c>
      <c r="R241" s="7">
        <v>42878</v>
      </c>
      <c r="S241" s="210">
        <v>3.5</v>
      </c>
      <c r="T241" s="8">
        <v>1.0000972222222222</v>
      </c>
      <c r="U241" s="98">
        <v>3.6121470212093554</v>
      </c>
      <c r="V241" s="106">
        <v>26878.151215308415</v>
      </c>
      <c r="W241" s="10">
        <v>-0.5429802473895462</v>
      </c>
      <c r="X241" s="413">
        <v>-0.53615719066510192</v>
      </c>
      <c r="Y241" s="414">
        <v>0.29466436616537978</v>
      </c>
      <c r="Z241" s="1"/>
      <c r="AA241" s="1"/>
      <c r="AB241" s="1"/>
      <c r="AC241" s="1"/>
      <c r="AD241" s="1"/>
      <c r="AF241" s="176">
        <v>48914</v>
      </c>
      <c r="AG241" s="177">
        <v>2.5000000000000001E-3</v>
      </c>
      <c r="AH241" s="177">
        <v>2.5833333333333333E-3</v>
      </c>
      <c r="AI241" s="100">
        <v>48922</v>
      </c>
      <c r="AJ241" s="102">
        <v>44961.043093547152</v>
      </c>
      <c r="AL241" s="23"/>
      <c r="AM241" s="23"/>
      <c r="BL241" s="299"/>
    </row>
    <row r="242" spans="17:64">
      <c r="Q242" s="6">
        <v>212</v>
      </c>
      <c r="R242" s="7">
        <v>42879</v>
      </c>
      <c r="S242" s="210">
        <v>3.5</v>
      </c>
      <c r="T242" s="8">
        <v>1.0000972222222222</v>
      </c>
      <c r="U242" s="98">
        <v>3.6121470212093554</v>
      </c>
      <c r="V242" s="106">
        <v>26880.781241919332</v>
      </c>
      <c r="W242" s="10">
        <v>-0.54053343973792245</v>
      </c>
      <c r="X242" s="413">
        <v>-0.53373440263184768</v>
      </c>
      <c r="Y242" s="414">
        <v>0.29467873886617263</v>
      </c>
      <c r="Z242" s="1"/>
      <c r="AA242" s="1"/>
      <c r="AB242" s="1"/>
      <c r="AC242" s="1"/>
      <c r="AD242" s="1"/>
      <c r="AF242" s="176">
        <v>48945</v>
      </c>
      <c r="AG242" s="177">
        <v>2.5000000000000001E-3</v>
      </c>
      <c r="AH242" s="177">
        <v>2.5833333333333333E-3</v>
      </c>
      <c r="AI242" s="100">
        <v>48953</v>
      </c>
      <c r="AJ242" s="102">
        <v>45077.192454872151</v>
      </c>
      <c r="AL242" s="23"/>
      <c r="AM242" s="23"/>
      <c r="BL242" s="299"/>
    </row>
    <row r="243" spans="17:64">
      <c r="Q243" s="6">
        <v>213</v>
      </c>
      <c r="R243" s="7">
        <v>42880</v>
      </c>
      <c r="S243" s="210">
        <v>3.5</v>
      </c>
      <c r="T243" s="8">
        <v>1.0000972222222222</v>
      </c>
      <c r="U243" s="98">
        <v>3.6121470212093332</v>
      </c>
      <c r="V243" s="106">
        <v>26883.411525878299</v>
      </c>
      <c r="W243" s="10">
        <v>-0.53810954745567852</v>
      </c>
      <c r="X243" s="413">
        <v>-0.53133436371561615</v>
      </c>
      <c r="Y243" s="414">
        <v>0.29469311250011176</v>
      </c>
      <c r="Z243" s="1"/>
      <c r="AA243" s="1"/>
      <c r="AB243" s="1"/>
      <c r="AC243" s="1"/>
      <c r="AD243" s="1"/>
      <c r="AF243" s="176">
        <v>48976</v>
      </c>
      <c r="AG243" s="177">
        <v>2.5000000000000001E-3</v>
      </c>
      <c r="AH243" s="177">
        <v>2.5833333333333333E-3</v>
      </c>
      <c r="AI243" s="100">
        <v>48984</v>
      </c>
      <c r="AJ243" s="102">
        <v>45193.641868713908</v>
      </c>
      <c r="AL243" s="23"/>
      <c r="AM243" s="23"/>
      <c r="BL243" s="299"/>
    </row>
    <row r="244" spans="17:64">
      <c r="Q244" s="6">
        <v>214</v>
      </c>
      <c r="R244" s="7">
        <v>42881</v>
      </c>
      <c r="S244" s="210">
        <v>3.5</v>
      </c>
      <c r="T244" s="8">
        <v>1.0000972222222222</v>
      </c>
      <c r="U244" s="98">
        <v>3.6121470212093554</v>
      </c>
      <c r="V244" s="106">
        <v>26886.04206721051</v>
      </c>
      <c r="W244" s="10">
        <v>-0.5357082501260102</v>
      </c>
      <c r="X244" s="413">
        <v>-0.52895675500355177</v>
      </c>
      <c r="Y244" s="414">
        <v>0.29470748706726707</v>
      </c>
      <c r="Z244" s="1"/>
      <c r="AA244" s="1"/>
      <c r="AB244" s="1"/>
      <c r="AC244" s="1"/>
      <c r="AD244" s="1"/>
      <c r="AF244" s="176">
        <v>49004</v>
      </c>
      <c r="AG244" s="177">
        <v>2.5000000000000001E-3</v>
      </c>
      <c r="AH244" s="177">
        <v>2.5833333333333333E-3</v>
      </c>
      <c r="AI244" s="100">
        <v>49012</v>
      </c>
      <c r="AJ244" s="102">
        <v>45310.392110208086</v>
      </c>
      <c r="AL244" s="23"/>
      <c r="AM244" s="23"/>
      <c r="BL244" s="299"/>
    </row>
    <row r="245" spans="17:64">
      <c r="Q245" s="6">
        <v>215</v>
      </c>
      <c r="R245" s="7">
        <v>42882</v>
      </c>
      <c r="S245" s="210">
        <v>3.5</v>
      </c>
      <c r="T245" s="8">
        <v>1.0000972222222222</v>
      </c>
      <c r="U245" s="98">
        <v>3.6121470212093332</v>
      </c>
      <c r="V245" s="106">
        <v>26888.672865941142</v>
      </c>
      <c r="W245" s="10">
        <v>-0.53332923327814585</v>
      </c>
      <c r="X245" s="413">
        <v>-0.52660126351609882</v>
      </c>
      <c r="Y245" s="414">
        <v>0.29472186256770422</v>
      </c>
      <c r="Z245" s="1"/>
      <c r="AA245" s="1"/>
      <c r="AB245" s="1"/>
      <c r="AC245" s="1"/>
      <c r="AD245" s="1"/>
      <c r="AF245" s="176">
        <v>49035</v>
      </c>
      <c r="AG245" s="177">
        <v>2.5000000000000001E-3</v>
      </c>
      <c r="AH245" s="177">
        <v>2.5833333333333333E-3</v>
      </c>
      <c r="AI245" s="100">
        <v>49043</v>
      </c>
      <c r="AJ245" s="102">
        <v>45427.443956492789</v>
      </c>
      <c r="AL245" s="23"/>
      <c r="AM245" s="23"/>
      <c r="BL245" s="299"/>
    </row>
    <row r="246" spans="17:64">
      <c r="Q246" s="6">
        <v>216</v>
      </c>
      <c r="R246" s="7">
        <v>42883</v>
      </c>
      <c r="S246" s="210">
        <v>3.5</v>
      </c>
      <c r="T246" s="8">
        <v>1.0000972222222222</v>
      </c>
      <c r="U246" s="98">
        <v>3.6121470212093554</v>
      </c>
      <c r="V246" s="106">
        <v>26891.303922095383</v>
      </c>
      <c r="W246" s="10">
        <v>-0.53097218824985637</v>
      </c>
      <c r="X246" s="413">
        <v>-0.52426758206950785</v>
      </c>
      <c r="Y246" s="414">
        <v>0.29473623900149365</v>
      </c>
      <c r="Z246" s="1"/>
      <c r="AA246" s="1"/>
      <c r="AB246" s="1"/>
      <c r="AC246" s="1"/>
      <c r="AD246" s="1"/>
      <c r="AF246" s="176">
        <v>49065</v>
      </c>
      <c r="AG246" s="177">
        <v>2.5000000000000001E-3</v>
      </c>
      <c r="AH246" s="177">
        <v>2.5833333333333333E-3</v>
      </c>
      <c r="AI246" s="100">
        <v>49073</v>
      </c>
      <c r="AJ246" s="102">
        <v>45544.798186713728</v>
      </c>
      <c r="AL246" s="23"/>
      <c r="AM246" s="23"/>
      <c r="BL246" s="299"/>
    </row>
    <row r="247" spans="17:64">
      <c r="Q247" s="6">
        <v>217</v>
      </c>
      <c r="R247" s="7">
        <v>42884</v>
      </c>
      <c r="S247" s="210">
        <v>3.5</v>
      </c>
      <c r="T247" s="8">
        <v>1.0000972222222222</v>
      </c>
      <c r="U247" s="98">
        <v>3.6121470212093554</v>
      </c>
      <c r="V247" s="106">
        <v>26893.93523569842</v>
      </c>
      <c r="W247" s="10">
        <v>-0.528636812054184</v>
      </c>
      <c r="X247" s="413">
        <v>-0.52195540914253213</v>
      </c>
      <c r="Y247" s="414">
        <v>0.29475061636870165</v>
      </c>
      <c r="Z247" s="1"/>
      <c r="AA247" s="1"/>
      <c r="AB247" s="1"/>
      <c r="AC247" s="1"/>
      <c r="AD247" s="1"/>
      <c r="AF247" s="176">
        <v>49096</v>
      </c>
      <c r="AG247" s="177">
        <v>2.5000000000000001E-3</v>
      </c>
      <c r="AH247" s="177">
        <v>2.5833333333333333E-3</v>
      </c>
      <c r="AI247" s="100">
        <v>49104</v>
      </c>
      <c r="AJ247" s="102">
        <v>45662.455582029404</v>
      </c>
      <c r="AL247" s="23"/>
      <c r="AM247" s="23"/>
      <c r="BL247" s="299"/>
    </row>
    <row r="248" spans="17:64">
      <c r="Q248" s="6">
        <v>218</v>
      </c>
      <c r="R248" s="7">
        <v>42885</v>
      </c>
      <c r="S248" s="210">
        <v>3.5</v>
      </c>
      <c r="T248" s="8">
        <v>1.0000972222222222</v>
      </c>
      <c r="U248" s="98">
        <v>3.6121470212093332</v>
      </c>
      <c r="V248" s="106">
        <v>26896.566806775449</v>
      </c>
      <c r="W248" s="10">
        <v>-0.52632280724953517</v>
      </c>
      <c r="X248" s="413">
        <v>-0.51966444874638784</v>
      </c>
      <c r="Y248" s="414">
        <v>0.29476499466939615</v>
      </c>
      <c r="Z248" s="1"/>
      <c r="AA248" s="1"/>
      <c r="AB248" s="1"/>
      <c r="AC248" s="1"/>
      <c r="AD248" s="1"/>
      <c r="AF248" s="176">
        <v>49126</v>
      </c>
      <c r="AG248" s="177">
        <v>2.5000000000000001E-3</v>
      </c>
      <c r="AH248" s="177">
        <v>2.5833333333333333E-3</v>
      </c>
      <c r="AI248" s="100">
        <v>49134</v>
      </c>
      <c r="AJ248" s="102">
        <v>45780.416925616315</v>
      </c>
      <c r="AL248" s="23"/>
      <c r="AM248" s="23"/>
      <c r="BL248" s="299"/>
    </row>
    <row r="249" spans="17:64">
      <c r="Q249" s="6">
        <v>219</v>
      </c>
      <c r="R249" s="7">
        <v>42886</v>
      </c>
      <c r="S249" s="210">
        <v>3.5</v>
      </c>
      <c r="T249" s="8">
        <v>1.0000972222222222</v>
      </c>
      <c r="U249" s="98">
        <v>3.6121470212093554</v>
      </c>
      <c r="V249" s="106">
        <v>26899.198635351655</v>
      </c>
      <c r="W249" s="10">
        <v>-0.52402988181322607</v>
      </c>
      <c r="X249" s="413">
        <v>-0.51739441029838784</v>
      </c>
      <c r="Y249" s="414">
        <v>0.29477937390364695</v>
      </c>
      <c r="Z249" s="1"/>
      <c r="AA249" s="1"/>
      <c r="AB249" s="1"/>
      <c r="AC249" s="1"/>
      <c r="AD249" s="1"/>
      <c r="AF249" s="176">
        <v>49157</v>
      </c>
      <c r="AG249" s="177">
        <v>2.5000000000000001E-3</v>
      </c>
      <c r="AH249" s="177">
        <v>2.5833333333333333E-3</v>
      </c>
      <c r="AI249" s="100">
        <v>49165</v>
      </c>
      <c r="AJ249" s="102">
        <v>45898.683002674159</v>
      </c>
      <c r="AL249" s="23"/>
      <c r="AM249" s="23"/>
      <c r="BL249" s="299"/>
    </row>
    <row r="250" spans="17:64">
      <c r="Q250" s="6">
        <v>220</v>
      </c>
      <c r="R250" s="7">
        <v>42887</v>
      </c>
      <c r="S250" s="210">
        <v>3.5</v>
      </c>
      <c r="T250" s="8">
        <v>1.0000972222222222</v>
      </c>
      <c r="U250" s="98">
        <v>3.6121470212093332</v>
      </c>
      <c r="V250" s="106">
        <v>26901.830721452239</v>
      </c>
      <c r="W250" s="10">
        <v>-0.52175774901894734</v>
      </c>
      <c r="X250" s="413">
        <v>-0.515145008499312</v>
      </c>
      <c r="Y250" s="414">
        <v>0.29479375407151964</v>
      </c>
      <c r="Z250" s="1"/>
      <c r="AA250" s="1"/>
      <c r="AB250" s="1"/>
      <c r="AC250" s="1"/>
      <c r="AD250" s="1"/>
      <c r="AF250" s="176">
        <v>49188</v>
      </c>
      <c r="AG250" s="177">
        <v>2.5000000000000001E-3</v>
      </c>
      <c r="AH250" s="177">
        <v>2.5833333333333333E-3</v>
      </c>
      <c r="AI250" s="100">
        <v>49196</v>
      </c>
      <c r="AJ250" s="102">
        <v>46017.254600431072</v>
      </c>
      <c r="AL250" s="23"/>
      <c r="AM250" s="23"/>
      <c r="BL250" s="299"/>
    </row>
    <row r="251" spans="17:64">
      <c r="Q251" s="6">
        <v>221</v>
      </c>
      <c r="R251" s="7">
        <v>42888</v>
      </c>
      <c r="S251" s="210">
        <v>3.5</v>
      </c>
      <c r="T251" s="8">
        <v>1.0000972222222222</v>
      </c>
      <c r="U251" s="98">
        <v>3.612147021209311</v>
      </c>
      <c r="V251" s="106">
        <v>26904.463065102405</v>
      </c>
      <c r="W251" s="10">
        <v>-0.51950612731693768</v>
      </c>
      <c r="X251" s="413">
        <v>-0.51291596321363642</v>
      </c>
      <c r="Y251" s="414">
        <v>0.29480813517308446</v>
      </c>
      <c r="Z251" s="1"/>
      <c r="AA251" s="1"/>
      <c r="AB251" s="1"/>
      <c r="AC251" s="1"/>
      <c r="AD251" s="1"/>
      <c r="AF251" s="176">
        <v>49218</v>
      </c>
      <c r="AG251" s="177">
        <v>2.5000000000000001E-3</v>
      </c>
      <c r="AH251" s="177">
        <v>2.5833333333333333E-3</v>
      </c>
      <c r="AI251" s="100">
        <v>49226</v>
      </c>
      <c r="AJ251" s="102">
        <v>46136.132508148854</v>
      </c>
      <c r="AL251" s="23"/>
      <c r="AM251" s="23"/>
      <c r="BL251" s="299"/>
    </row>
    <row r="252" spans="17:64">
      <c r="Q252" s="6">
        <v>222</v>
      </c>
      <c r="R252" s="7">
        <v>42889</v>
      </c>
      <c r="S252" s="210">
        <v>3.5</v>
      </c>
      <c r="T252" s="8">
        <v>1.0000972222222222</v>
      </c>
      <c r="U252" s="98">
        <v>3.6121470212093332</v>
      </c>
      <c r="V252" s="106">
        <v>26907.095666327354</v>
      </c>
      <c r="W252" s="10">
        <v>-0.51727474021785458</v>
      </c>
      <c r="X252" s="413">
        <v>-0.5107069993533242</v>
      </c>
      <c r="Y252" s="414">
        <v>0.29482251720841063</v>
      </c>
      <c r="Z252" s="1"/>
      <c r="AA252" s="1"/>
      <c r="AB252" s="1"/>
      <c r="AC252" s="1"/>
      <c r="AD252" s="1"/>
      <c r="AF252" s="176">
        <v>49249</v>
      </c>
      <c r="AG252" s="177">
        <v>2.5000000000000001E-3</v>
      </c>
      <c r="AH252" s="177">
        <v>2.5833333333333333E-3</v>
      </c>
      <c r="AI252" s="100">
        <v>49257</v>
      </c>
      <c r="AJ252" s="102">
        <v>46255.317517128242</v>
      </c>
      <c r="AL252" s="23"/>
      <c r="AM252" s="23"/>
      <c r="BL252" s="299"/>
    </row>
    <row r="253" spans="17:64">
      <c r="Q253" s="6">
        <v>223</v>
      </c>
      <c r="R253" s="7">
        <v>42890</v>
      </c>
      <c r="S253" s="210">
        <v>3.5</v>
      </c>
      <c r="T253" s="8">
        <v>1.0000972222222222</v>
      </c>
      <c r="U253" s="98">
        <v>3.612147021209311</v>
      </c>
      <c r="V253" s="106">
        <v>26909.728525152277</v>
      </c>
      <c r="W253" s="10">
        <v>-0.51506331617953149</v>
      </c>
      <c r="X253" s="413">
        <v>-0.50851784676467082</v>
      </c>
      <c r="Y253" s="414">
        <v>0.29483690017756287</v>
      </c>
      <c r="Z253" s="1"/>
      <c r="AA253" s="1"/>
      <c r="AB253" s="1"/>
      <c r="AC253" s="1"/>
      <c r="AD253" s="1"/>
      <c r="AF253" s="176">
        <v>49279</v>
      </c>
      <c r="AG253" s="177">
        <v>2.5000000000000001E-3</v>
      </c>
      <c r="AH253" s="177">
        <v>2.5833333333333333E-3</v>
      </c>
      <c r="AI253" s="100">
        <v>49287</v>
      </c>
      <c r="AJ253" s="102">
        <v>46374.810420714159</v>
      </c>
      <c r="AL253" s="23"/>
      <c r="AM253" s="23"/>
      <c r="BL253" s="299"/>
    </row>
    <row r="254" spans="17:64">
      <c r="Q254" s="6">
        <v>224</v>
      </c>
      <c r="R254" s="7">
        <v>42891</v>
      </c>
      <c r="S254" s="210">
        <v>3.5</v>
      </c>
      <c r="T254" s="8">
        <v>1.0000972222222222</v>
      </c>
      <c r="U254" s="98">
        <v>3.6121470212093332</v>
      </c>
      <c r="V254" s="106">
        <v>26912.361641602387</v>
      </c>
      <c r="W254" s="10">
        <v>-0.51287158849681047</v>
      </c>
      <c r="X254" s="413">
        <v>-0.50634824011809187</v>
      </c>
      <c r="Y254" s="414">
        <v>0.29485128408061395</v>
      </c>
      <c r="Z254" s="1"/>
      <c r="AA254" s="1"/>
      <c r="AB254" s="1"/>
      <c r="AC254" s="1"/>
      <c r="AD254" s="1"/>
      <c r="AF254" s="176">
        <v>49310</v>
      </c>
      <c r="AG254" s="177">
        <v>2.5000000000000001E-3</v>
      </c>
      <c r="AH254" s="177">
        <v>2.5833333333333333E-3</v>
      </c>
      <c r="AI254" s="100">
        <v>49318</v>
      </c>
      <c r="AJ254" s="102">
        <v>46494.612014301005</v>
      </c>
      <c r="AL254" s="23"/>
      <c r="AM254" s="23"/>
      <c r="BL254" s="299"/>
    </row>
    <row r="255" spans="17:64">
      <c r="Q255" s="6">
        <v>225</v>
      </c>
      <c r="R255" s="7">
        <v>42892</v>
      </c>
      <c r="S255" s="210">
        <v>3.5</v>
      </c>
      <c r="T255" s="8">
        <v>1.0000972222222222</v>
      </c>
      <c r="U255" s="98">
        <v>3.6121470212093332</v>
      </c>
      <c r="V255" s="106">
        <v>26914.995015702902</v>
      </c>
      <c r="W255" s="10">
        <v>-0.51069929519447221</v>
      </c>
      <c r="X255" s="413">
        <v>-0.50419791880113252</v>
      </c>
      <c r="Y255" s="414">
        <v>0.29486566891762916</v>
      </c>
      <c r="Z255" s="1"/>
      <c r="AA255" s="1"/>
      <c r="AB255" s="1"/>
      <c r="AC255" s="1"/>
      <c r="AD255" s="1"/>
      <c r="AF255" s="176">
        <v>49341</v>
      </c>
      <c r="AG255" s="177">
        <v>2.5000000000000001E-3</v>
      </c>
      <c r="AH255" s="177">
        <v>2.5833333333333333E-3</v>
      </c>
      <c r="AI255" s="100">
        <v>49349</v>
      </c>
      <c r="AJ255" s="102">
        <v>46614.723095337955</v>
      </c>
      <c r="AL255" s="23"/>
      <c r="AM255" s="23"/>
      <c r="BL255" s="299"/>
    </row>
    <row r="256" spans="17:64">
      <c r="Q256" s="6">
        <v>226</v>
      </c>
      <c r="R256" s="7">
        <v>42893</v>
      </c>
      <c r="S256" s="210">
        <v>3.5</v>
      </c>
      <c r="T256" s="8">
        <v>1.0000972222222222</v>
      </c>
      <c r="U256" s="98">
        <v>3.6121470212093332</v>
      </c>
      <c r="V256" s="106">
        <v>26917.628647479018</v>
      </c>
      <c r="W256" s="10">
        <v>-0.50854617892257536</v>
      </c>
      <c r="X256" s="413">
        <v>-0.50206662681377168</v>
      </c>
      <c r="Y256" s="414">
        <v>0.29488005468867573</v>
      </c>
      <c r="Z256" s="1"/>
      <c r="AA256" s="1"/>
      <c r="AB256" s="1"/>
      <c r="AC256" s="1"/>
      <c r="AD256" s="1"/>
      <c r="AF256" s="176">
        <v>49369</v>
      </c>
      <c r="AG256" s="177">
        <v>2.5000000000000001E-3</v>
      </c>
      <c r="AH256" s="177">
        <v>2.5833333333333333E-3</v>
      </c>
      <c r="AI256" s="100">
        <v>49377</v>
      </c>
      <c r="AJ256" s="102">
        <v>46735.144463334247</v>
      </c>
      <c r="AL256" s="23"/>
      <c r="AM256" s="23"/>
      <c r="BL256" s="299"/>
    </row>
    <row r="257" spans="17:64">
      <c r="Q257" s="6">
        <v>227</v>
      </c>
      <c r="R257" s="7">
        <v>42894</v>
      </c>
      <c r="S257" s="210">
        <v>3.5</v>
      </c>
      <c r="T257" s="8">
        <v>1.0000972222222222</v>
      </c>
      <c r="U257" s="98">
        <v>3.6121470212093332</v>
      </c>
      <c r="V257" s="106">
        <v>26920.262536955961</v>
      </c>
      <c r="W257" s="10">
        <v>-0.50641198685507094</v>
      </c>
      <c r="X257" s="413">
        <v>-0.49995411266712447</v>
      </c>
      <c r="Y257" s="414">
        <v>0.29489444139382265</v>
      </c>
      <c r="Z257" s="1"/>
      <c r="AA257" s="1"/>
      <c r="AB257" s="1"/>
      <c r="AC257" s="1"/>
      <c r="AD257" s="1"/>
      <c r="AF257" s="176">
        <v>49400</v>
      </c>
      <c r="AG257" s="177">
        <v>2.5000000000000001E-3</v>
      </c>
      <c r="AH257" s="177">
        <v>2.5833333333333333E-3</v>
      </c>
      <c r="AI257" s="100">
        <v>49408</v>
      </c>
      <c r="AJ257" s="102">
        <v>46855.876919864531</v>
      </c>
      <c r="AL257" s="23"/>
      <c r="AM257" s="23"/>
      <c r="BL257" s="299"/>
    </row>
    <row r="258" spans="17:64">
      <c r="Q258" s="6">
        <v>228</v>
      </c>
      <c r="R258" s="7">
        <v>42895</v>
      </c>
      <c r="S258" s="210">
        <v>3.5</v>
      </c>
      <c r="T258" s="8">
        <v>1.0000972222222222</v>
      </c>
      <c r="U258" s="98">
        <v>3.612147021209311</v>
      </c>
      <c r="V258" s="106">
        <v>26922.896684158939</v>
      </c>
      <c r="W258" s="10">
        <v>-0.50429647059065941</v>
      </c>
      <c r="X258" s="413">
        <v>-0.49786012928430456</v>
      </c>
      <c r="Y258" s="414">
        <v>0.29490882903313759</v>
      </c>
      <c r="Z258" s="1"/>
      <c r="AA258" s="1"/>
      <c r="AB258" s="1"/>
      <c r="AC258" s="1"/>
      <c r="AD258" s="1"/>
      <c r="AF258" s="176">
        <v>49430</v>
      </c>
      <c r="AG258" s="177">
        <v>2.5000000000000001E-3</v>
      </c>
      <c r="AH258" s="177">
        <v>2.5833333333333333E-3</v>
      </c>
      <c r="AI258" s="100">
        <v>49438</v>
      </c>
      <c r="AJ258" s="102">
        <v>46976.92126857418</v>
      </c>
      <c r="AL258" s="23"/>
      <c r="AM258" s="23"/>
      <c r="BL258" s="299"/>
    </row>
    <row r="259" spans="17:64">
      <c r="Q259" s="6">
        <v>229</v>
      </c>
      <c r="R259" s="7">
        <v>42896</v>
      </c>
      <c r="S259" s="210">
        <v>3.5</v>
      </c>
      <c r="T259" s="8">
        <v>1.0000972222222222</v>
      </c>
      <c r="U259" s="98">
        <v>3.612147021209311</v>
      </c>
      <c r="V259" s="106">
        <v>26925.445872402306</v>
      </c>
      <c r="W259" s="10">
        <v>-0.50169746763567558</v>
      </c>
      <c r="X259" s="413">
        <v>-0.49528846201045812</v>
      </c>
      <c r="Y259" s="414">
        <v>0.2949232176066901</v>
      </c>
      <c r="Z259" s="1"/>
      <c r="AA259" s="1"/>
      <c r="AB259" s="1"/>
      <c r="AC259" s="1"/>
      <c r="AD259" s="1"/>
      <c r="AF259" s="176">
        <v>49461</v>
      </c>
      <c r="AG259" s="177">
        <v>2.5000000000000001E-3</v>
      </c>
      <c r="AH259" s="177">
        <v>2.5833333333333333E-3</v>
      </c>
      <c r="AI259" s="100">
        <v>49469</v>
      </c>
      <c r="AJ259" s="102">
        <v>47098.278315184667</v>
      </c>
      <c r="AL259" s="23"/>
      <c r="AM259" s="23"/>
      <c r="BL259" s="299"/>
    </row>
    <row r="260" spans="17:64">
      <c r="Q260" s="6">
        <v>230</v>
      </c>
      <c r="R260" s="7">
        <v>42897</v>
      </c>
      <c r="S260" s="210">
        <v>3.5</v>
      </c>
      <c r="T260" s="8">
        <v>1.0000972222222222</v>
      </c>
      <c r="U260" s="98">
        <v>3.612147021209311</v>
      </c>
      <c r="V260" s="106">
        <v>26927.995302014966</v>
      </c>
      <c r="W260" s="10">
        <v>-0.49912099769875429</v>
      </c>
      <c r="X260" s="413">
        <v>-0.49273915605624863</v>
      </c>
      <c r="Y260" s="414">
        <v>0.29493760711454842</v>
      </c>
      <c r="Z260" s="1"/>
      <c r="AA260" s="1"/>
      <c r="AB260" s="1"/>
      <c r="AC260" s="1"/>
      <c r="AD260" s="1"/>
      <c r="AF260" s="176">
        <v>49491</v>
      </c>
      <c r="AG260" s="177">
        <v>2.5000000000000001E-3</v>
      </c>
      <c r="AH260" s="177">
        <v>2.5833333333333333E-3</v>
      </c>
      <c r="AI260" s="100">
        <v>49499</v>
      </c>
      <c r="AJ260" s="102">
        <v>47219.948867498897</v>
      </c>
      <c r="AL260" s="23"/>
      <c r="AM260" s="23"/>
      <c r="BL260" s="299"/>
    </row>
    <row r="261" spans="17:64">
      <c r="Q261" s="6">
        <v>231</v>
      </c>
      <c r="R261" s="7">
        <v>42898</v>
      </c>
      <c r="S261" s="210">
        <v>3.5</v>
      </c>
      <c r="T261" s="8">
        <v>1.0000972222222222</v>
      </c>
      <c r="U261" s="98">
        <v>3.612147021209311</v>
      </c>
      <c r="V261" s="106">
        <v>26930.544973019783</v>
      </c>
      <c r="W261" s="10">
        <v>-0.49656676900817764</v>
      </c>
      <c r="X261" s="413">
        <v>-0.4902119210150313</v>
      </c>
      <c r="Y261" s="414">
        <v>0.29495199755677959</v>
      </c>
      <c r="Z261" s="1"/>
      <c r="AA261" s="1"/>
      <c r="AB261" s="1"/>
      <c r="AC261" s="1"/>
      <c r="AD261" s="1"/>
      <c r="AF261" s="176">
        <v>49522</v>
      </c>
      <c r="AG261" s="177">
        <v>2.5000000000000001E-3</v>
      </c>
      <c r="AH261" s="177">
        <v>2.5833333333333333E-3</v>
      </c>
      <c r="AI261" s="100">
        <v>49530</v>
      </c>
      <c r="AJ261" s="102">
        <v>47341.933735406608</v>
      </c>
      <c r="AL261" s="23"/>
      <c r="AM261" s="23"/>
      <c r="BL261" s="299"/>
    </row>
    <row r="262" spans="17:64">
      <c r="Q262" s="6">
        <v>232</v>
      </c>
      <c r="R262" s="7">
        <v>42899</v>
      </c>
      <c r="S262" s="210">
        <v>3.5</v>
      </c>
      <c r="T262" s="8">
        <v>1.0000972222222222</v>
      </c>
      <c r="U262" s="98">
        <v>3.6121470212092888</v>
      </c>
      <c r="V262" s="106">
        <v>26933.094885439608</v>
      </c>
      <c r="W262" s="10">
        <v>-0.49403449480774908</v>
      </c>
      <c r="X262" s="413">
        <v>-0.48770647148700047</v>
      </c>
      <c r="Y262" s="414">
        <v>0.29496638893345245</v>
      </c>
      <c r="Z262" s="1"/>
      <c r="AA262" s="1"/>
      <c r="AB262" s="1"/>
      <c r="AC262" s="1"/>
      <c r="AD262" s="1"/>
      <c r="AF262" s="176">
        <v>49553</v>
      </c>
      <c r="AG262" s="177">
        <v>2.5000000000000001E-3</v>
      </c>
      <c r="AH262" s="177">
        <v>2.5833333333333333E-3</v>
      </c>
      <c r="AI262" s="100">
        <v>49561</v>
      </c>
      <c r="AJ262" s="102">
        <v>47464.233730889748</v>
      </c>
      <c r="AL262" s="23"/>
      <c r="AM262" s="23"/>
      <c r="BL262" s="299"/>
    </row>
    <row r="263" spans="17:64">
      <c r="Q263" s="6">
        <v>233</v>
      </c>
      <c r="R263" s="7">
        <v>42900</v>
      </c>
      <c r="S263" s="210">
        <v>3.5</v>
      </c>
      <c r="T263" s="8">
        <v>1.0000972222222222</v>
      </c>
      <c r="U263" s="98">
        <v>3.6121470212092888</v>
      </c>
      <c r="V263" s="106">
        <v>26935.645039297302</v>
      </c>
      <c r="W263" s="10">
        <v>-0.49152389324981227</v>
      </c>
      <c r="X263" s="413">
        <v>-0.48522252697200324</v>
      </c>
      <c r="Y263" s="414">
        <v>0.29498078124463456</v>
      </c>
      <c r="Z263" s="1"/>
      <c r="AA263" s="1"/>
      <c r="AB263" s="1"/>
      <c r="AC263" s="1"/>
      <c r="AD263" s="1"/>
      <c r="AF263" s="176">
        <v>49583</v>
      </c>
      <c r="AG263" s="177">
        <v>2.5000000000000001E-3</v>
      </c>
      <c r="AH263" s="177">
        <v>2.5833333333333333E-3</v>
      </c>
      <c r="AI263" s="100">
        <v>49591</v>
      </c>
      <c r="AJ263" s="102">
        <v>47586.849668027884</v>
      </c>
      <c r="AL263" s="23"/>
      <c r="AM263" s="23"/>
      <c r="BL263" s="299"/>
    </row>
    <row r="264" spans="17:64">
      <c r="Q264" s="6">
        <v>234</v>
      </c>
      <c r="R264" s="7">
        <v>42901</v>
      </c>
      <c r="S264" s="210">
        <v>3.5</v>
      </c>
      <c r="T264" s="8">
        <v>1.0000972222222222</v>
      </c>
      <c r="U264" s="98">
        <v>3.6121470212092666</v>
      </c>
      <c r="V264" s="106">
        <v>26938.195434615725</v>
      </c>
      <c r="W264" s="10">
        <v>-0.48903468729051269</v>
      </c>
      <c r="X264" s="413">
        <v>-0.48275981176476152</v>
      </c>
      <c r="Y264" s="414">
        <v>0.29499517449039525</v>
      </c>
      <c r="Z264" s="1"/>
      <c r="AA264" s="1"/>
      <c r="AB264" s="1"/>
      <c r="AC264" s="1"/>
      <c r="AD264" s="1"/>
      <c r="AF264" s="176">
        <v>49614</v>
      </c>
      <c r="AG264" s="177">
        <v>2.5000000000000001E-3</v>
      </c>
      <c r="AH264" s="177">
        <v>2.5833333333333333E-3</v>
      </c>
      <c r="AI264" s="100">
        <v>49622</v>
      </c>
      <c r="AJ264" s="102">
        <v>47709.782363003622</v>
      </c>
      <c r="AL264" s="23"/>
      <c r="AM264" s="23"/>
      <c r="BL264" s="299"/>
    </row>
    <row r="265" spans="17:64">
      <c r="Q265" s="6">
        <v>235</v>
      </c>
      <c r="R265" s="7">
        <v>42902</v>
      </c>
      <c r="S265" s="210">
        <v>3.5</v>
      </c>
      <c r="T265" s="8">
        <v>1.0000972222222222</v>
      </c>
      <c r="U265" s="98">
        <v>3.6121470212092666</v>
      </c>
      <c r="V265" s="106">
        <v>26940.74607141774</v>
      </c>
      <c r="W265" s="10">
        <v>-0.48656660458791245</v>
      </c>
      <c r="X265" s="413">
        <v>-0.48031805485281892</v>
      </c>
      <c r="Y265" s="414">
        <v>0.29500956867080264</v>
      </c>
      <c r="Z265" s="1"/>
      <c r="AA265" s="1"/>
      <c r="AB265" s="1"/>
      <c r="AC265" s="1"/>
      <c r="AD265" s="1"/>
      <c r="AF265" s="176">
        <v>49644</v>
      </c>
      <c r="AG265" s="177">
        <v>2.5000000000000001E-3</v>
      </c>
      <c r="AH265" s="177">
        <v>2.5833333333333333E-3</v>
      </c>
      <c r="AI265" s="100">
        <v>49652</v>
      </c>
      <c r="AJ265" s="102">
        <v>47833.032634108051</v>
      </c>
      <c r="AL265" s="23"/>
      <c r="AM265" s="23"/>
      <c r="BL265" s="299"/>
    </row>
    <row r="266" spans="17:64">
      <c r="Q266" s="6">
        <v>236</v>
      </c>
      <c r="R266" s="7">
        <v>42903</v>
      </c>
      <c r="S266" s="210">
        <v>3.5</v>
      </c>
      <c r="T266" s="8">
        <v>1.0000972222222222</v>
      </c>
      <c r="U266" s="98">
        <v>3.6121470212092444</v>
      </c>
      <c r="V266" s="106">
        <v>26943.296949726202</v>
      </c>
      <c r="W266" s="10">
        <v>-0.48411937740263644</v>
      </c>
      <c r="X266" s="413">
        <v>-0.47789698981709955</v>
      </c>
      <c r="Y266" s="414">
        <v>0.29502396378592366</v>
      </c>
      <c r="Z266" s="1"/>
      <c r="AA266" s="1"/>
      <c r="AB266" s="1"/>
      <c r="AC266" s="1"/>
      <c r="AD266" s="1"/>
      <c r="AF266" s="176">
        <v>49675</v>
      </c>
      <c r="AG266" s="177">
        <v>2.5000000000000001E-3</v>
      </c>
      <c r="AH266" s="177">
        <v>2.5833333333333333E-3</v>
      </c>
      <c r="AI266" s="100">
        <v>49683</v>
      </c>
      <c r="AJ266" s="102">
        <v>47956.601301746166</v>
      </c>
      <c r="AL266" s="23"/>
      <c r="AM266" s="23"/>
      <c r="BL266" s="299"/>
    </row>
    <row r="267" spans="17:64">
      <c r="Q267" s="6">
        <v>237</v>
      </c>
      <c r="R267" s="7">
        <v>42904</v>
      </c>
      <c r="S267" s="210">
        <v>3.5</v>
      </c>
      <c r="T267" s="8">
        <v>1.0000972222222222</v>
      </c>
      <c r="U267" s="98">
        <v>3.6121470212092666</v>
      </c>
      <c r="V267" s="106">
        <v>26945.848069563992</v>
      </c>
      <c r="W267" s="10">
        <v>-0.4816927425012163</v>
      </c>
      <c r="X267" s="413">
        <v>-0.47549635473520396</v>
      </c>
      <c r="Y267" s="414">
        <v>0.29503835983582982</v>
      </c>
      <c r="Z267" s="1"/>
      <c r="AA267" s="1"/>
      <c r="AB267" s="1"/>
      <c r="AC267" s="1"/>
      <c r="AD267" s="1"/>
      <c r="AF267" s="176">
        <v>49706</v>
      </c>
      <c r="AG267" s="177">
        <v>2.5000000000000001E-3</v>
      </c>
      <c r="AH267" s="177">
        <v>2.5833333333333333E-3</v>
      </c>
      <c r="AI267" s="100">
        <v>49714</v>
      </c>
      <c r="AJ267" s="102">
        <v>48080.489188442349</v>
      </c>
      <c r="AL267" s="23"/>
      <c r="AM267" s="23"/>
      <c r="BL267" s="299"/>
    </row>
    <row r="268" spans="17:64">
      <c r="Q268" s="6">
        <v>238</v>
      </c>
      <c r="R268" s="7">
        <v>42905</v>
      </c>
      <c r="S268" s="210">
        <v>3.5</v>
      </c>
      <c r="T268" s="8">
        <v>1.0000972222222222</v>
      </c>
      <c r="U268" s="98">
        <v>3.6121470212092666</v>
      </c>
      <c r="V268" s="106">
        <v>26948.399430953978</v>
      </c>
      <c r="W268" s="10">
        <v>-0.47928644106151053</v>
      </c>
      <c r="X268" s="413">
        <v>-0.47311589208672256</v>
      </c>
      <c r="Y268" s="414">
        <v>0.29505275682058579</v>
      </c>
      <c r="Z268" s="1"/>
      <c r="AA268" s="1"/>
      <c r="AB268" s="1"/>
      <c r="AC268" s="1"/>
      <c r="AD268" s="1"/>
      <c r="AF268" s="176">
        <v>49735</v>
      </c>
      <c r="AG268" s="177">
        <v>2.5000000000000001E-3</v>
      </c>
      <c r="AH268" s="177">
        <v>2.5833333333333333E-3</v>
      </c>
      <c r="AI268" s="100">
        <v>49743</v>
      </c>
      <c r="AJ268" s="102">
        <v>48204.697118845826</v>
      </c>
      <c r="AL268" s="23"/>
      <c r="AM268" s="23"/>
      <c r="BL268" s="299"/>
    </row>
    <row r="269" spans="17:64">
      <c r="Q269" s="6">
        <v>239</v>
      </c>
      <c r="R269" s="7">
        <v>42906</v>
      </c>
      <c r="S269" s="210">
        <v>3.5</v>
      </c>
      <c r="T269" s="8">
        <v>1.0000972222222222</v>
      </c>
      <c r="U269" s="98">
        <v>3.6121470212092444</v>
      </c>
      <c r="V269" s="106">
        <v>26950.95103391902</v>
      </c>
      <c r="W269" s="10">
        <v>-0.47690021858063369</v>
      </c>
      <c r="X269" s="413">
        <v>-0.47075534866107699</v>
      </c>
      <c r="Y269" s="414">
        <v>0.29506715474026068</v>
      </c>
      <c r="Z269" s="1"/>
      <c r="AA269" s="1"/>
      <c r="AB269" s="1"/>
      <c r="AC269" s="1"/>
      <c r="AD269" s="1"/>
      <c r="AF269" s="176">
        <v>49766</v>
      </c>
      <c r="AG269" s="177">
        <v>2.5000000000000001E-3</v>
      </c>
      <c r="AH269" s="177">
        <v>2.5833333333333333E-3</v>
      </c>
      <c r="AI269" s="100">
        <v>49774</v>
      </c>
      <c r="AJ269" s="102">
        <v>48329.225919736178</v>
      </c>
      <c r="AL269" s="23"/>
      <c r="AM269" s="23"/>
      <c r="BL269" s="299"/>
    </row>
    <row r="270" spans="17:64">
      <c r="Q270" s="6">
        <v>240</v>
      </c>
      <c r="R270" s="7">
        <v>42907</v>
      </c>
      <c r="S270" s="210">
        <v>3.5</v>
      </c>
      <c r="T270" s="8">
        <v>1.0000972222222222</v>
      </c>
      <c r="U270" s="98">
        <v>3.6121470212092444</v>
      </c>
      <c r="V270" s="106">
        <v>26953.502878481999</v>
      </c>
      <c r="W270" s="10">
        <v>-0.47453382478555017</v>
      </c>
      <c r="X270" s="413">
        <v>-0.46841447546809856</v>
      </c>
      <c r="Y270" s="414">
        <v>0.2950815535949225</v>
      </c>
      <c r="Z270" s="1"/>
      <c r="AA270" s="1"/>
      <c r="AB270" s="1"/>
      <c r="AC270" s="1"/>
      <c r="AD270" s="1"/>
      <c r="AF270" s="176">
        <v>49796</v>
      </c>
      <c r="AG270" s="177">
        <v>2.5000000000000001E-3</v>
      </c>
      <c r="AH270" s="177">
        <v>2.5833333333333333E-3</v>
      </c>
      <c r="AI270" s="100">
        <v>49804</v>
      </c>
      <c r="AJ270" s="102">
        <v>48454.076420028832</v>
      </c>
      <c r="AL270" s="23"/>
      <c r="AM270" s="23"/>
      <c r="BL270" s="299"/>
    </row>
    <row r="271" spans="17:64">
      <c r="Q271" s="6">
        <v>241</v>
      </c>
      <c r="R271" s="7">
        <v>42908</v>
      </c>
      <c r="S271" s="210">
        <v>3.5</v>
      </c>
      <c r="T271" s="8">
        <v>1.0000972222222222</v>
      </c>
      <c r="U271" s="98">
        <v>3.6121470212092444</v>
      </c>
      <c r="V271" s="106">
        <v>26956.054964665793</v>
      </c>
      <c r="W271" s="10">
        <v>-0.47218701354515558</v>
      </c>
      <c r="X271" s="413">
        <v>-0.46609302765003613</v>
      </c>
      <c r="Y271" s="414">
        <v>0.2950959533846409</v>
      </c>
      <c r="Z271" s="1"/>
      <c r="AA271" s="1"/>
      <c r="AB271" s="1"/>
      <c r="AC271" s="1"/>
      <c r="AD271" s="1"/>
      <c r="AF271" s="176">
        <v>49827</v>
      </c>
      <c r="AG271" s="177">
        <v>2.5000000000000001E-3</v>
      </c>
      <c r="AH271" s="177">
        <v>2.5833333333333333E-3</v>
      </c>
      <c r="AI271" s="100">
        <v>49835</v>
      </c>
      <c r="AJ271" s="102">
        <v>48579.249450780575</v>
      </c>
      <c r="AL271" s="23"/>
      <c r="AM271" s="23"/>
      <c r="BL271" s="299"/>
    </row>
    <row r="272" spans="17:64">
      <c r="Q272" s="6">
        <v>242</v>
      </c>
      <c r="R272" s="7">
        <v>42909</v>
      </c>
      <c r="S272" s="210">
        <v>3.5</v>
      </c>
      <c r="T272" s="8">
        <v>1.0000972222222222</v>
      </c>
      <c r="U272" s="98">
        <v>3.6121470212092444</v>
      </c>
      <c r="V272" s="106">
        <v>26958.607292493274</v>
      </c>
      <c r="W272" s="10">
        <v>-0.46985954278527808</v>
      </c>
      <c r="X272" s="413">
        <v>-0.46379076439647332</v>
      </c>
      <c r="Y272" s="414">
        <v>0.29511035410948433</v>
      </c>
      <c r="Z272" s="1"/>
      <c r="AA272" s="1"/>
      <c r="AB272" s="1"/>
      <c r="AC272" s="1"/>
      <c r="AD272" s="1"/>
      <c r="AF272" s="176">
        <v>49857</v>
      </c>
      <c r="AG272" s="177">
        <v>2.5000000000000001E-3</v>
      </c>
      <c r="AH272" s="177">
        <v>2.5833333333333333E-3</v>
      </c>
      <c r="AI272" s="100">
        <v>49865</v>
      </c>
      <c r="AJ272" s="102">
        <v>48704.745845195095</v>
      </c>
      <c r="AL272" s="23"/>
      <c r="AM272" s="23"/>
      <c r="BL272" s="299"/>
    </row>
    <row r="273" spans="17:64">
      <c r="Q273" s="6">
        <v>243</v>
      </c>
      <c r="R273" s="7">
        <v>42910</v>
      </c>
      <c r="S273" s="210">
        <v>3.5</v>
      </c>
      <c r="T273" s="8">
        <v>1.0000972222222222</v>
      </c>
      <c r="U273" s="98">
        <v>3.6121470212092666</v>
      </c>
      <c r="V273" s="106">
        <v>26961.159861987329</v>
      </c>
      <c r="W273" s="10">
        <v>-0.46755117440526739</v>
      </c>
      <c r="X273" s="413">
        <v>-0.46150744886096784</v>
      </c>
      <c r="Y273" s="414">
        <v>0.29512475576952019</v>
      </c>
      <c r="Z273" s="1"/>
      <c r="AA273" s="1"/>
      <c r="AB273" s="1"/>
      <c r="AC273" s="1"/>
      <c r="AD273" s="1"/>
      <c r="AF273" s="176">
        <v>49888</v>
      </c>
      <c r="AG273" s="177">
        <v>2.5000000000000001E-3</v>
      </c>
      <c r="AH273" s="177">
        <v>2.5833333333333333E-3</v>
      </c>
      <c r="AI273" s="100">
        <v>49896</v>
      </c>
      <c r="AJ273" s="102">
        <v>48830.566438628521</v>
      </c>
      <c r="AL273" s="23"/>
      <c r="AM273" s="23"/>
      <c r="BL273" s="299"/>
    </row>
    <row r="274" spans="17:64">
      <c r="Q274" s="6">
        <v>244</v>
      </c>
      <c r="R274" s="7">
        <v>42911</v>
      </c>
      <c r="S274" s="210">
        <v>3.5</v>
      </c>
      <c r="T274" s="8">
        <v>1.0000972222222222</v>
      </c>
      <c r="U274" s="98">
        <v>3.6121470212092444</v>
      </c>
      <c r="V274" s="106">
        <v>26963.71267317083</v>
      </c>
      <c r="W274" s="10">
        <v>-0.46526167419678188</v>
      </c>
      <c r="X274" s="413">
        <v>-0.45924284807972388</v>
      </c>
      <c r="Y274" s="414">
        <v>0.29513915836481469</v>
      </c>
      <c r="Z274" s="1"/>
      <c r="AA274" s="1"/>
      <c r="AB274" s="1"/>
      <c r="AC274" s="1"/>
      <c r="AD274" s="1"/>
      <c r="AF274" s="176">
        <v>49919</v>
      </c>
      <c r="AG274" s="177">
        <v>2.5000000000000001E-3</v>
      </c>
      <c r="AH274" s="177">
        <v>2.5833333333333333E-3</v>
      </c>
      <c r="AI274" s="100">
        <v>49927</v>
      </c>
      <c r="AJ274" s="102">
        <v>48956.712068594978</v>
      </c>
      <c r="AL274" s="23"/>
      <c r="AM274" s="23"/>
      <c r="BL274" s="299"/>
    </row>
    <row r="275" spans="17:64">
      <c r="Q275" s="6">
        <v>245</v>
      </c>
      <c r="R275" s="7">
        <v>42912</v>
      </c>
      <c r="S275" s="210">
        <v>3.5</v>
      </c>
      <c r="T275" s="8">
        <v>1.0000972222222222</v>
      </c>
      <c r="U275" s="98">
        <v>3.6121470212092444</v>
      </c>
      <c r="V275" s="106">
        <v>26966.265726066671</v>
      </c>
      <c r="W275" s="10">
        <v>-0.46299081176471857</v>
      </c>
      <c r="X275" s="413">
        <v>-0.45699673289253423</v>
      </c>
      <c r="Y275" s="414">
        <v>0.29515356189543845</v>
      </c>
      <c r="Z275" s="1"/>
      <c r="AA275" s="1"/>
      <c r="AB275" s="1"/>
      <c r="AC275" s="1"/>
      <c r="AD275" s="1"/>
      <c r="AF275" s="176">
        <v>49949</v>
      </c>
      <c r="AG275" s="177">
        <v>2.5000000000000001E-3</v>
      </c>
      <c r="AH275" s="177">
        <v>2.5833333333333333E-3</v>
      </c>
      <c r="AI275" s="100">
        <v>49957</v>
      </c>
      <c r="AJ275" s="102">
        <v>49083.183574772185</v>
      </c>
      <c r="AL275" s="23"/>
      <c r="AM275" s="23"/>
      <c r="BL275" s="299"/>
    </row>
    <row r="276" spans="17:64">
      <c r="Q276" s="6">
        <v>246</v>
      </c>
      <c r="R276" s="7">
        <v>42913</v>
      </c>
      <c r="S276" s="210">
        <v>3.5</v>
      </c>
      <c r="T276" s="8">
        <v>1.0000972222222222</v>
      </c>
      <c r="U276" s="98">
        <v>3.6121470212092444</v>
      </c>
      <c r="V276" s="106">
        <v>26968.819020697738</v>
      </c>
      <c r="W276" s="10">
        <v>-0.4607383604497528</v>
      </c>
      <c r="X276" s="413">
        <v>-0.45476887786529235</v>
      </c>
      <c r="Y276" s="414">
        <v>0.29516796636146103</v>
      </c>
      <c r="Z276" s="1"/>
      <c r="AA276" s="1"/>
      <c r="AB276" s="1"/>
      <c r="AC276" s="1"/>
      <c r="AD276" s="1"/>
      <c r="AF276" s="176">
        <v>49980</v>
      </c>
      <c r="AG276" s="177">
        <v>2.5000000000000001E-3</v>
      </c>
      <c r="AH276" s="177">
        <v>2.5833333333333333E-3</v>
      </c>
      <c r="AI276" s="100">
        <v>49988</v>
      </c>
      <c r="AJ276" s="102">
        <v>49209.981799007015</v>
      </c>
      <c r="AL276" s="23"/>
      <c r="AM276" s="23"/>
      <c r="BL276" s="299"/>
    </row>
    <row r="277" spans="17:64">
      <c r="Q277" s="6">
        <v>247</v>
      </c>
      <c r="R277" s="7">
        <v>42914</v>
      </c>
      <c r="S277" s="210">
        <v>3.5</v>
      </c>
      <c r="T277" s="8">
        <v>1.0000972222222222</v>
      </c>
      <c r="U277" s="98">
        <v>3.6121470212092444</v>
      </c>
      <c r="V277" s="106">
        <v>26971.37255708691</v>
      </c>
      <c r="W277" s="10">
        <v>-0.45850409725298746</v>
      </c>
      <c r="X277" s="413">
        <v>-0.45255906121464684</v>
      </c>
      <c r="Y277" s="414">
        <v>0.29518237176294793</v>
      </c>
      <c r="Z277" s="1"/>
      <c r="AA277" s="1"/>
      <c r="AB277" s="1"/>
      <c r="AC277" s="1"/>
      <c r="AD277" s="1"/>
      <c r="AF277" s="176">
        <v>50010</v>
      </c>
      <c r="AG277" s="177">
        <v>2.5000000000000001E-3</v>
      </c>
      <c r="AH277" s="177">
        <v>2.5833333333333333E-3</v>
      </c>
      <c r="AI277" s="100">
        <v>50018</v>
      </c>
      <c r="AJ277" s="102">
        <v>49337.107585321122</v>
      </c>
      <c r="AL277" s="23"/>
      <c r="AM277" s="23"/>
      <c r="BL277" s="299"/>
    </row>
    <row r="278" spans="17:64">
      <c r="Q278" s="6">
        <v>248</v>
      </c>
      <c r="R278" s="7">
        <v>42915</v>
      </c>
      <c r="S278" s="210">
        <v>3.5</v>
      </c>
      <c r="T278" s="8">
        <v>1.0000972222222222</v>
      </c>
      <c r="U278" s="98">
        <v>3.6121470212092666</v>
      </c>
      <c r="V278" s="106">
        <v>26973.926335257085</v>
      </c>
      <c r="W278" s="10">
        <v>-0.45628780276248948</v>
      </c>
      <c r="X278" s="413">
        <v>-0.45036706473447752</v>
      </c>
      <c r="Y278" s="414">
        <v>0.29519677809996914</v>
      </c>
      <c r="Z278" s="1"/>
      <c r="AA278" s="1"/>
      <c r="AB278" s="1"/>
      <c r="AC278" s="1"/>
      <c r="AD278" s="1"/>
      <c r="AF278" s="176">
        <v>50041</v>
      </c>
      <c r="AG278" s="177">
        <v>2.5000000000000001E-3</v>
      </c>
      <c r="AH278" s="177">
        <v>2.5833333333333333E-3</v>
      </c>
      <c r="AI278" s="100">
        <v>50049</v>
      </c>
      <c r="AJ278" s="102">
        <v>49464.561779916541</v>
      </c>
      <c r="AL278" s="23"/>
      <c r="AM278" s="23"/>
      <c r="BL278" s="299"/>
    </row>
    <row r="279" spans="17:64">
      <c r="Q279" s="6">
        <v>249</v>
      </c>
      <c r="R279" s="7">
        <v>42916</v>
      </c>
      <c r="S279" s="210">
        <v>3.5</v>
      </c>
      <c r="T279" s="8">
        <v>1.0000972222222222</v>
      </c>
      <c r="U279" s="98">
        <v>3.6121470212092444</v>
      </c>
      <c r="V279" s="106">
        <v>26976.480355231161</v>
      </c>
      <c r="W279" s="10">
        <v>-0.45408926108124748</v>
      </c>
      <c r="X279" s="413">
        <v>-0.44819267372393529</v>
      </c>
      <c r="Y279" s="414">
        <v>0.29521118537259083</v>
      </c>
      <c r="Z279" s="1"/>
      <c r="AA279" s="1"/>
      <c r="AB279" s="1"/>
      <c r="AC279" s="1"/>
      <c r="AD279" s="1"/>
      <c r="AF279" s="176">
        <v>50072</v>
      </c>
      <c r="AG279" s="177">
        <v>2.5000000000000001E-3</v>
      </c>
      <c r="AH279" s="177">
        <v>2.5833333333333333E-3</v>
      </c>
      <c r="AI279" s="100">
        <v>50080</v>
      </c>
      <c r="AJ279" s="102">
        <v>49592.345231181331</v>
      </c>
      <c r="AL279" s="23"/>
      <c r="AM279" s="23"/>
      <c r="BL279" s="299"/>
    </row>
    <row r="280" spans="17:64">
      <c r="Q280" s="6">
        <v>250</v>
      </c>
      <c r="R280" s="7">
        <v>42917</v>
      </c>
      <c r="S280" s="210">
        <v>3.5</v>
      </c>
      <c r="T280" s="8">
        <v>1.0000972222222222</v>
      </c>
      <c r="U280" s="98">
        <v>3.6121470212092444</v>
      </c>
      <c r="V280" s="106">
        <v>26979.034617032023</v>
      </c>
      <c r="W280" s="10">
        <v>-0.45190825975716109</v>
      </c>
      <c r="X280" s="413">
        <v>-0.44603567691733659</v>
      </c>
      <c r="Y280" s="414">
        <v>0.29522559358088341</v>
      </c>
      <c r="Z280" s="1"/>
      <c r="AA280" s="1"/>
      <c r="AB280" s="1"/>
      <c r="AC280" s="1"/>
      <c r="AD280" s="1"/>
      <c r="AF280" s="176">
        <v>50100</v>
      </c>
      <c r="AG280" s="177">
        <v>2.5000000000000001E-3</v>
      </c>
      <c r="AH280" s="177">
        <v>2.5833333333333333E-3</v>
      </c>
      <c r="AI280" s="100">
        <v>50108</v>
      </c>
      <c r="AJ280" s="102">
        <v>49720.458789695222</v>
      </c>
      <c r="AL280" s="23"/>
      <c r="AM280" s="23"/>
      <c r="BL280" s="299"/>
    </row>
    <row r="281" spans="17:64">
      <c r="Q281" s="6">
        <v>251</v>
      </c>
      <c r="R281" s="7">
        <v>42918</v>
      </c>
      <c r="S281" s="210">
        <v>3.5</v>
      </c>
      <c r="T281" s="8">
        <v>1.0000972222222222</v>
      </c>
      <c r="U281" s="98">
        <v>3.6121470212092222</v>
      </c>
      <c r="V281" s="106">
        <v>26981.589120682569</v>
      </c>
      <c r="W281" s="10">
        <v>-0.44974458971462905</v>
      </c>
      <c r="X281" s="413">
        <v>-0.44389586641582951</v>
      </c>
      <c r="Y281" s="414">
        <v>0.29524000272491352</v>
      </c>
      <c r="Z281" s="1"/>
      <c r="AA281" s="1"/>
      <c r="AB281" s="1"/>
      <c r="AC281" s="1"/>
      <c r="AD281" s="1"/>
      <c r="AF281" s="176">
        <v>50131</v>
      </c>
      <c r="AG281" s="177">
        <v>2.5000000000000001E-3</v>
      </c>
      <c r="AH281" s="177">
        <v>2.5833333333333333E-3</v>
      </c>
      <c r="AI281" s="100">
        <v>50139</v>
      </c>
      <c r="AJ281" s="102">
        <v>49848.903308235269</v>
      </c>
      <c r="AL281" s="23"/>
      <c r="AM281" s="23"/>
      <c r="BL281" s="299"/>
    </row>
    <row r="282" spans="17:64">
      <c r="Q282" s="6">
        <v>252</v>
      </c>
      <c r="R282" s="7">
        <v>42919</v>
      </c>
      <c r="S282" s="210">
        <v>3.5</v>
      </c>
      <c r="T282" s="8">
        <v>1.0000972222222222</v>
      </c>
      <c r="U282" s="98">
        <v>3.6121470212092444</v>
      </c>
      <c r="V282" s="106">
        <v>26984.143866205708</v>
      </c>
      <c r="W282" s="10">
        <v>-0.44759804518774704</v>
      </c>
      <c r="X282" s="413">
        <v>-0.44177303762059167</v>
      </c>
      <c r="Y282" s="414">
        <v>0.29525441280475212</v>
      </c>
      <c r="Z282" s="1"/>
      <c r="AA282" s="1"/>
      <c r="AB282" s="1"/>
      <c r="AC282" s="1"/>
      <c r="AD282" s="1"/>
      <c r="AF282" s="176">
        <v>50161</v>
      </c>
      <c r="AG282" s="177">
        <v>2.5000000000000001E-3</v>
      </c>
      <c r="AH282" s="177">
        <v>2.5833333333333333E-3</v>
      </c>
      <c r="AI282" s="100">
        <v>50169</v>
      </c>
      <c r="AJ282" s="102">
        <v>49977.679641781542</v>
      </c>
      <c r="AL282" s="23"/>
      <c r="AM282" s="23"/>
      <c r="BL282" s="299"/>
    </row>
    <row r="283" spans="17:64">
      <c r="Q283" s="6">
        <v>253</v>
      </c>
      <c r="R283" s="7">
        <v>42920</v>
      </c>
      <c r="S283" s="210">
        <v>3.5</v>
      </c>
      <c r="T283" s="8">
        <v>1.0000972222222222</v>
      </c>
      <c r="U283" s="98">
        <v>3.6121470212092444</v>
      </c>
      <c r="V283" s="106">
        <v>26986.698853624337</v>
      </c>
      <c r="W283" s="10">
        <v>-0.44546842365501549</v>
      </c>
      <c r="X283" s="413">
        <v>-0.43966698916750102</v>
      </c>
      <c r="Y283" s="414">
        <v>0.29526882382046626</v>
      </c>
      <c r="Z283" s="1"/>
      <c r="AA283" s="1"/>
      <c r="AB283" s="1"/>
      <c r="AC283" s="1"/>
      <c r="AD283" s="1"/>
      <c r="AF283" s="176">
        <v>50192</v>
      </c>
      <c r="AG283" s="177">
        <v>2.5000000000000001E-3</v>
      </c>
      <c r="AH283" s="177">
        <v>2.5833333333333333E-3</v>
      </c>
      <c r="AI283" s="100">
        <v>50200</v>
      </c>
      <c r="AJ283" s="102">
        <v>50106.788647522815</v>
      </c>
      <c r="AL283" s="23"/>
      <c r="AM283" s="23"/>
      <c r="BL283" s="299"/>
    </row>
    <row r="284" spans="17:64">
      <c r="Q284" s="6">
        <v>254</v>
      </c>
      <c r="R284" s="7">
        <v>42921</v>
      </c>
      <c r="S284" s="210">
        <v>3.5</v>
      </c>
      <c r="T284" s="8">
        <v>1.0000972222222222</v>
      </c>
      <c r="U284" s="98">
        <v>3.6121470212092666</v>
      </c>
      <c r="V284" s="106">
        <v>26989.254082961354</v>
      </c>
      <c r="W284" s="10">
        <v>-0.44335552577557946</v>
      </c>
      <c r="X284" s="413">
        <v>-0.43757752286346163</v>
      </c>
      <c r="Y284" s="414">
        <v>0.29528323577212456</v>
      </c>
      <c r="Z284" s="1"/>
      <c r="AA284" s="1"/>
      <c r="AB284" s="1"/>
      <c r="AC284" s="1"/>
      <c r="AD284" s="1"/>
      <c r="AF284" s="176">
        <v>50222</v>
      </c>
      <c r="AG284" s="177">
        <v>2.5000000000000001E-3</v>
      </c>
      <c r="AH284" s="177">
        <v>2.5833333333333333E-3</v>
      </c>
      <c r="AI284" s="100">
        <v>50230</v>
      </c>
      <c r="AJ284" s="102">
        <v>50236.231184862248</v>
      </c>
      <c r="AL284" s="23"/>
      <c r="AM284" s="23"/>
      <c r="BL284" s="299"/>
    </row>
    <row r="285" spans="17:64">
      <c r="Q285" s="6">
        <v>255</v>
      </c>
      <c r="R285" s="7">
        <v>42922</v>
      </c>
      <c r="S285" s="210">
        <v>3.5</v>
      </c>
      <c r="T285" s="8">
        <v>1.0000972222222222</v>
      </c>
      <c r="U285" s="98">
        <v>3.6121470212092666</v>
      </c>
      <c r="V285" s="106">
        <v>26991.809554239673</v>
      </c>
      <c r="W285" s="10">
        <v>-0.44125915532732263</v>
      </c>
      <c r="X285" s="413">
        <v>-0.43550444362447666</v>
      </c>
      <c r="Y285" s="414">
        <v>0.2952976486597948</v>
      </c>
      <c r="Z285" s="1"/>
      <c r="AA285" s="1"/>
      <c r="AB285" s="1"/>
      <c r="AC285" s="1"/>
      <c r="AD285" s="1"/>
      <c r="AF285" s="176">
        <v>50253</v>
      </c>
      <c r="AG285" s="177">
        <v>2.5000000000000001E-3</v>
      </c>
      <c r="AH285" s="177">
        <v>2.5833333333333333E-3</v>
      </c>
      <c r="AI285" s="100">
        <v>50261</v>
      </c>
      <c r="AJ285" s="102">
        <v>50366.008115423145</v>
      </c>
      <c r="AL285" s="23"/>
      <c r="AM285" s="23"/>
      <c r="BL285" s="299"/>
    </row>
    <row r="286" spans="17:64">
      <c r="Q286" s="6">
        <v>256</v>
      </c>
      <c r="R286" s="7">
        <v>42923</v>
      </c>
      <c r="S286" s="210">
        <v>3.5</v>
      </c>
      <c r="T286" s="8">
        <v>1.0000972222222222</v>
      </c>
      <c r="U286" s="98">
        <v>3.6121470212092666</v>
      </c>
      <c r="V286" s="106">
        <v>26994.365267482193</v>
      </c>
      <c r="W286" s="10">
        <v>-0.43917911914572727</v>
      </c>
      <c r="X286" s="413">
        <v>-0.43344755941454938</v>
      </c>
      <c r="Y286" s="414">
        <v>0.29531206248354336</v>
      </c>
      <c r="Z286" s="1"/>
      <c r="AA286" s="1"/>
      <c r="AB286" s="1"/>
      <c r="AC286" s="1"/>
      <c r="AD286" s="1"/>
      <c r="AF286" s="176">
        <v>50284</v>
      </c>
      <c r="AG286" s="177">
        <v>2.5000000000000001E-3</v>
      </c>
      <c r="AH286" s="177">
        <v>2.5833333333333333E-3</v>
      </c>
      <c r="AI286" s="100">
        <v>50292</v>
      </c>
      <c r="AJ286" s="102">
        <v>50496.12030305466</v>
      </c>
      <c r="AL286" s="23"/>
      <c r="AM286" s="23"/>
      <c r="BL286" s="299"/>
    </row>
    <row r="287" spans="17:64">
      <c r="Q287" s="6">
        <v>257</v>
      </c>
      <c r="R287" s="7">
        <v>42924</v>
      </c>
      <c r="S287" s="210">
        <v>3.5</v>
      </c>
      <c r="T287" s="8">
        <v>1.0000972222222222</v>
      </c>
      <c r="U287" s="98">
        <v>3.6121470212092666</v>
      </c>
      <c r="V287" s="106">
        <v>26996.921222711833</v>
      </c>
      <c r="W287" s="10">
        <v>-0.43711522706482153</v>
      </c>
      <c r="X287" s="413">
        <v>-0.4314066811866637</v>
      </c>
      <c r="Y287" s="414">
        <v>0.29532647724344102</v>
      </c>
      <c r="Z287" s="1"/>
      <c r="AA287" s="1"/>
      <c r="AB287" s="1"/>
      <c r="AC287" s="1"/>
      <c r="AD287" s="1"/>
      <c r="AF287" s="176">
        <v>50314</v>
      </c>
      <c r="AG287" s="177">
        <v>2.5000000000000001E-3</v>
      </c>
      <c r="AH287" s="177">
        <v>2.5833333333333333E-3</v>
      </c>
      <c r="AI287" s="100">
        <v>50322</v>
      </c>
      <c r="AJ287" s="102">
        <v>50626.568613837553</v>
      </c>
      <c r="AL287" s="23"/>
      <c r="AM287" s="23"/>
      <c r="BL287" s="299"/>
    </row>
    <row r="288" spans="17:64">
      <c r="Q288" s="6">
        <v>258</v>
      </c>
      <c r="R288" s="7">
        <v>42925</v>
      </c>
      <c r="S288" s="210">
        <v>3.5</v>
      </c>
      <c r="T288" s="8">
        <v>1.0000972222222222</v>
      </c>
      <c r="U288" s="98">
        <v>3.6121470212092444</v>
      </c>
      <c r="V288" s="106">
        <v>26999.477419951505</v>
      </c>
      <c r="W288" s="10">
        <v>-0.43506729185918136</v>
      </c>
      <c r="X288" s="413">
        <v>-0.42938162282479558</v>
      </c>
      <c r="Y288" s="414">
        <v>0.29534089293955484</v>
      </c>
      <c r="Z288" s="1"/>
      <c r="AA288" s="1"/>
      <c r="AB288" s="1"/>
      <c r="AC288" s="1"/>
      <c r="AD288" s="1"/>
      <c r="AF288" s="176">
        <v>50345</v>
      </c>
      <c r="AG288" s="177">
        <v>2.5000000000000001E-3</v>
      </c>
      <c r="AH288" s="177">
        <v>2.5833333333333333E-3</v>
      </c>
      <c r="AI288" s="100">
        <v>50353</v>
      </c>
      <c r="AJ288" s="102">
        <v>50757.353916089967</v>
      </c>
      <c r="AL288" s="23"/>
      <c r="AM288" s="23"/>
      <c r="BL288" s="299"/>
    </row>
    <row r="289" spans="17:64">
      <c r="Q289" s="6">
        <v>259</v>
      </c>
      <c r="R289" s="7">
        <v>42926</v>
      </c>
      <c r="S289" s="210">
        <v>3.5</v>
      </c>
      <c r="T289" s="8">
        <v>1.0000972222222222</v>
      </c>
      <c r="U289" s="98">
        <v>3.6121470212092666</v>
      </c>
      <c r="V289" s="106">
        <v>27002.141743800999</v>
      </c>
      <c r="W289" s="10">
        <v>-0.43359574993167005</v>
      </c>
      <c r="X289" s="413">
        <v>-0.42792583986578264</v>
      </c>
      <c r="Y289" s="414">
        <v>0.29535530957195594</v>
      </c>
      <c r="Z289" s="1"/>
      <c r="AA289" s="1"/>
      <c r="AB289" s="1"/>
      <c r="AC289" s="1"/>
      <c r="AD289" s="1"/>
      <c r="AF289" s="176">
        <v>50375</v>
      </c>
      <c r="AG289" s="177">
        <v>2.5000000000000001E-3</v>
      </c>
      <c r="AH289" s="177">
        <v>2.5833333333333333E-3</v>
      </c>
      <c r="AI289" s="100">
        <v>50383</v>
      </c>
      <c r="AJ289" s="102">
        <v>50888.477080373203</v>
      </c>
      <c r="AL289" s="23"/>
      <c r="AM289" s="23"/>
      <c r="BL289" s="299"/>
    </row>
    <row r="290" spans="17:64">
      <c r="Q290" s="6">
        <v>260</v>
      </c>
      <c r="R290" s="7">
        <v>42927</v>
      </c>
      <c r="S290" s="210">
        <v>3.5</v>
      </c>
      <c r="T290" s="8">
        <v>1.0000972222222222</v>
      </c>
      <c r="U290" s="98">
        <v>3.6121470212092666</v>
      </c>
      <c r="V290" s="106">
        <v>27004.806330567499</v>
      </c>
      <c r="W290" s="10">
        <v>-0.43213550605881723</v>
      </c>
      <c r="X290" s="413">
        <v>-0.42648125494375061</v>
      </c>
      <c r="Y290" s="414">
        <v>0.29536972714070919</v>
      </c>
      <c r="Z290" s="1"/>
      <c r="AA290" s="1"/>
      <c r="AB290" s="1"/>
      <c r="AC290" s="1"/>
      <c r="AD290" s="1"/>
      <c r="AF290" s="176">
        <v>50406</v>
      </c>
      <c r="AG290" s="177">
        <v>2.5000000000000001E-3</v>
      </c>
      <c r="AH290" s="177">
        <v>2.5833333333333333E-3</v>
      </c>
      <c r="AI290" s="100">
        <v>50414</v>
      </c>
      <c r="AJ290" s="102">
        <v>51019.9389794975</v>
      </c>
      <c r="AL290" s="23"/>
      <c r="AM290" s="23"/>
      <c r="BL290" s="299"/>
    </row>
    <row r="291" spans="17:64">
      <c r="Q291" s="6">
        <v>261</v>
      </c>
      <c r="R291" s="7">
        <v>42928</v>
      </c>
      <c r="S291" s="210">
        <v>3.5</v>
      </c>
      <c r="T291" s="8">
        <v>1.0000972222222222</v>
      </c>
      <c r="U291" s="98">
        <v>3.6121470212092444</v>
      </c>
      <c r="V291" s="106">
        <v>27007.471180276942</v>
      </c>
      <c r="W291" s="10">
        <v>-0.43068643062372791</v>
      </c>
      <c r="X291" s="413">
        <v>-0.42504773934558504</v>
      </c>
      <c r="Y291" s="414">
        <v>0.29538414564588367</v>
      </c>
      <c r="Z291" s="1"/>
      <c r="AA291" s="1"/>
      <c r="AB291" s="1"/>
      <c r="AC291" s="1"/>
      <c r="AD291" s="1"/>
      <c r="AF291" s="176">
        <v>50437</v>
      </c>
      <c r="AG291" s="177">
        <v>2.5000000000000001E-3</v>
      </c>
      <c r="AH291" s="177">
        <v>2.5833333333333333E-3</v>
      </c>
      <c r="AI291" s="100">
        <v>50445</v>
      </c>
      <c r="AJ291" s="102">
        <v>51151.740488527874</v>
      </c>
      <c r="AL291" s="23"/>
      <c r="AM291" s="23"/>
      <c r="BL291" s="299"/>
    </row>
    <row r="292" spans="17:64">
      <c r="Q292" s="6">
        <v>262</v>
      </c>
      <c r="R292" s="7">
        <v>42929</v>
      </c>
      <c r="S292" s="210">
        <v>3.5</v>
      </c>
      <c r="T292" s="8">
        <v>1.0000972222222222</v>
      </c>
      <c r="U292" s="98">
        <v>3.6121470212092444</v>
      </c>
      <c r="V292" s="106">
        <v>27010.136292955271</v>
      </c>
      <c r="W292" s="10">
        <v>-0.42924839598468267</v>
      </c>
      <c r="X292" s="413">
        <v>-0.42362516632327196</v>
      </c>
      <c r="Y292" s="414">
        <v>0.29539856508754986</v>
      </c>
      <c r="Z292" s="1"/>
      <c r="AA292" s="1"/>
      <c r="AB292" s="1"/>
      <c r="AC292" s="1"/>
      <c r="AD292" s="1"/>
      <c r="AF292" s="176">
        <v>50465</v>
      </c>
      <c r="AG292" s="177">
        <v>2.5000000000000001E-3</v>
      </c>
      <c r="AH292" s="177">
        <v>2.5833333333333333E-3</v>
      </c>
      <c r="AI292" s="100">
        <v>50473</v>
      </c>
      <c r="AJ292" s="102">
        <v>51283.882484789909</v>
      </c>
      <c r="AL292" s="23"/>
      <c r="AM292" s="23"/>
      <c r="BL292" s="299"/>
    </row>
    <row r="293" spans="17:64">
      <c r="Q293" s="6">
        <v>263</v>
      </c>
      <c r="R293" s="7">
        <v>42930</v>
      </c>
      <c r="S293" s="210">
        <v>3.5</v>
      </c>
      <c r="T293" s="8">
        <v>1.0000972222222222</v>
      </c>
      <c r="U293" s="98">
        <v>3.6121470212092666</v>
      </c>
      <c r="V293" s="106">
        <v>27012.801668628446</v>
      </c>
      <c r="W293" s="10">
        <v>-0.42782127643771206</v>
      </c>
      <c r="X293" s="413">
        <v>-0.42221341105661542</v>
      </c>
      <c r="Y293" s="414">
        <v>0.29541298546577466</v>
      </c>
      <c r="Z293" s="1"/>
      <c r="AA293" s="1"/>
      <c r="AB293" s="1"/>
      <c r="AC293" s="1"/>
      <c r="AD293" s="1"/>
      <c r="AF293" s="176">
        <v>50496</v>
      </c>
      <c r="AG293" s="177">
        <v>2.5000000000000001E-3</v>
      </c>
      <c r="AH293" s="177">
        <v>2.5833333333333333E-3</v>
      </c>
      <c r="AI293" s="100">
        <v>50504</v>
      </c>
      <c r="AJ293" s="102">
        <v>51416.365847875619</v>
      </c>
      <c r="AL293" s="23"/>
      <c r="AM293" s="23"/>
      <c r="BL293" s="299"/>
    </row>
    <row r="294" spans="17:64">
      <c r="Q294" s="6">
        <v>264</v>
      </c>
      <c r="R294" s="7">
        <v>42931</v>
      </c>
      <c r="S294" s="210">
        <v>3.5</v>
      </c>
      <c r="T294" s="8">
        <v>1.0000972222222222</v>
      </c>
      <c r="U294" s="98">
        <v>3.6121470212092666</v>
      </c>
      <c r="V294" s="106">
        <v>27015.467307322411</v>
      </c>
      <c r="W294" s="10">
        <v>-0.42640494817982599</v>
      </c>
      <c r="X294" s="413">
        <v>-0.42081235061655875</v>
      </c>
      <c r="Y294" s="414">
        <v>0.29542740678062646</v>
      </c>
      <c r="Z294" s="1"/>
      <c r="AA294" s="1"/>
      <c r="AB294" s="1"/>
      <c r="AC294" s="1"/>
      <c r="AD294" s="1"/>
      <c r="AF294" s="176">
        <v>50526</v>
      </c>
      <c r="AG294" s="177">
        <v>2.5000000000000001E-3</v>
      </c>
      <c r="AH294" s="177">
        <v>2.5833333333333333E-3</v>
      </c>
      <c r="AI294" s="100">
        <v>50534</v>
      </c>
      <c r="AJ294" s="102">
        <v>51549.191459649301</v>
      </c>
      <c r="AL294" s="23"/>
      <c r="AM294" s="23"/>
      <c r="BL294" s="299"/>
    </row>
    <row r="295" spans="17:64">
      <c r="Q295" s="6">
        <v>265</v>
      </c>
      <c r="R295" s="7">
        <v>42932</v>
      </c>
      <c r="S295" s="210">
        <v>3.5</v>
      </c>
      <c r="T295" s="8">
        <v>1.0000972222222222</v>
      </c>
      <c r="U295" s="98">
        <v>3.6121470212092444</v>
      </c>
      <c r="V295" s="106">
        <v>27018.133209063126</v>
      </c>
      <c r="W295" s="10">
        <v>-0.42499928927324238</v>
      </c>
      <c r="X295" s="413">
        <v>-0.41942186392957809</v>
      </c>
      <c r="Y295" s="414">
        <v>0.2954418290321727</v>
      </c>
      <c r="Z295" s="1"/>
      <c r="AA295" s="1"/>
      <c r="AB295" s="1"/>
      <c r="AC295" s="1"/>
      <c r="AD295" s="1"/>
      <c r="AF295" s="176">
        <v>50557</v>
      </c>
      <c r="AG295" s="177">
        <v>2.5000000000000001E-3</v>
      </c>
      <c r="AH295" s="177">
        <v>2.5833333333333333E-3</v>
      </c>
      <c r="AI295" s="100">
        <v>50565</v>
      </c>
      <c r="AJ295" s="102">
        <v>51682.360204253397</v>
      </c>
      <c r="AL295" s="23"/>
      <c r="AM295" s="23"/>
      <c r="BL295" s="299"/>
    </row>
    <row r="296" spans="17:64">
      <c r="Q296" s="6">
        <v>266</v>
      </c>
      <c r="R296" s="7">
        <v>42933</v>
      </c>
      <c r="S296" s="210">
        <v>3.5</v>
      </c>
      <c r="T296" s="8">
        <v>1.0000972222222222</v>
      </c>
      <c r="U296" s="98">
        <v>3.6121470212092666</v>
      </c>
      <c r="V296" s="106">
        <v>27020.799373876547</v>
      </c>
      <c r="W296" s="10">
        <v>-0.42360417961047059</v>
      </c>
      <c r="X296" s="413">
        <v>-0.41804183174281928</v>
      </c>
      <c r="Y296" s="414">
        <v>0.29545625222048483</v>
      </c>
      <c r="Z296" s="1"/>
      <c r="AA296" s="1"/>
      <c r="AB296" s="1"/>
      <c r="AC296" s="1"/>
      <c r="AD296" s="1"/>
      <c r="AF296" s="176">
        <v>50587</v>
      </c>
      <c r="AG296" s="177">
        <v>2.5000000000000001E-3</v>
      </c>
      <c r="AH296" s="177">
        <v>2.5833333333333333E-3</v>
      </c>
      <c r="AI296" s="100">
        <v>50595</v>
      </c>
      <c r="AJ296" s="102">
        <v>51815.872968114389</v>
      </c>
      <c r="AL296" s="23"/>
      <c r="AM296" s="23"/>
      <c r="BL296" s="299"/>
    </row>
    <row r="297" spans="17:64">
      <c r="Q297" s="6">
        <v>267</v>
      </c>
      <c r="R297" s="7">
        <v>42934</v>
      </c>
      <c r="S297" s="210">
        <v>3.5</v>
      </c>
      <c r="T297" s="8">
        <v>1.0000972222222222</v>
      </c>
      <c r="U297" s="98">
        <v>3.6121470212092666</v>
      </c>
      <c r="V297" s="106">
        <v>27023.465801788636</v>
      </c>
      <c r="W297" s="10">
        <v>-0.4222195008800389</v>
      </c>
      <c r="X297" s="413">
        <v>-0.41667213659000274</v>
      </c>
      <c r="Y297" s="414">
        <v>0.29547067634562801</v>
      </c>
      <c r="Z297" s="1"/>
      <c r="AA297" s="1"/>
      <c r="AB297" s="1"/>
      <c r="AC297" s="1"/>
      <c r="AD297" s="1"/>
      <c r="AF297" s="176">
        <v>50618</v>
      </c>
      <c r="AG297" s="177">
        <v>2.5000000000000001E-3</v>
      </c>
      <c r="AH297" s="177">
        <v>2.5833333333333333E-3</v>
      </c>
      <c r="AI297" s="100">
        <v>50626</v>
      </c>
      <c r="AJ297" s="102">
        <v>51949.730639948684</v>
      </c>
      <c r="AL297" s="23"/>
      <c r="AM297" s="23"/>
      <c r="BL297" s="299"/>
    </row>
    <row r="298" spans="17:64">
      <c r="Q298" s="6">
        <v>268</v>
      </c>
      <c r="R298" s="7">
        <v>42935</v>
      </c>
      <c r="S298" s="210">
        <v>3.5</v>
      </c>
      <c r="T298" s="8">
        <v>1.0000972222222222</v>
      </c>
      <c r="U298" s="98">
        <v>3.6121470212092666</v>
      </c>
      <c r="V298" s="106">
        <v>27026.132492825353</v>
      </c>
      <c r="W298" s="10">
        <v>-0.42084513653308786</v>
      </c>
      <c r="X298" s="413">
        <v>-0.4153126627580766</v>
      </c>
      <c r="Y298" s="414">
        <v>0.29548510140767159</v>
      </c>
      <c r="Z298" s="1"/>
      <c r="AA298" s="1"/>
      <c r="AB298" s="1"/>
      <c r="AC298" s="1"/>
      <c r="AD298" s="1"/>
      <c r="AF298" s="176">
        <v>50649</v>
      </c>
      <c r="AG298" s="177">
        <v>2.5000000000000001E-3</v>
      </c>
      <c r="AH298" s="177">
        <v>2.5833333333333333E-3</v>
      </c>
      <c r="AI298" s="100">
        <v>50657</v>
      </c>
      <c r="AJ298" s="102">
        <v>52083.934110768554</v>
      </c>
      <c r="AL298" s="23"/>
      <c r="AM298" s="23"/>
      <c r="BL298" s="299"/>
    </row>
    <row r="299" spans="17:64">
      <c r="Q299" s="6">
        <v>269</v>
      </c>
      <c r="R299" s="7">
        <v>42936</v>
      </c>
      <c r="S299" s="210">
        <v>3.5</v>
      </c>
      <c r="T299" s="8">
        <v>1.0000972222222222</v>
      </c>
      <c r="U299" s="98">
        <v>3.6121470212092444</v>
      </c>
      <c r="V299" s="106">
        <v>27028.799447012661</v>
      </c>
      <c r="W299" s="10">
        <v>-0.4194809717505299</v>
      </c>
      <c r="X299" s="413">
        <v>-0.41396329625455541</v>
      </c>
      <c r="Y299" s="414">
        <v>0.29549952740668395</v>
      </c>
      <c r="Z299" s="1"/>
      <c r="AA299" s="1"/>
      <c r="AB299" s="1"/>
      <c r="AC299" s="1"/>
      <c r="AD299" s="1"/>
      <c r="AF299" s="176">
        <v>50679</v>
      </c>
      <c r="AG299" s="177">
        <v>2.5000000000000001E-3</v>
      </c>
      <c r="AH299" s="177">
        <v>2.5833333333333333E-3</v>
      </c>
      <c r="AI299" s="100">
        <v>50687</v>
      </c>
      <c r="AJ299" s="102">
        <v>52218.48427388804</v>
      </c>
      <c r="AL299" s="23"/>
      <c r="AM299" s="23"/>
      <c r="BL299" s="299"/>
    </row>
    <row r="300" spans="17:64">
      <c r="Q300" s="6">
        <v>270</v>
      </c>
      <c r="R300" s="7">
        <v>42937</v>
      </c>
      <c r="S300" s="210">
        <v>3.5</v>
      </c>
      <c r="T300" s="8">
        <v>1.0000972222222222</v>
      </c>
      <c r="U300" s="98">
        <v>3.6121470212092666</v>
      </c>
      <c r="V300" s="106">
        <v>27031.466664376538</v>
      </c>
      <c r="W300" s="10">
        <v>-0.41812689341135245</v>
      </c>
      <c r="X300" s="413">
        <v>-0.41262392477586418</v>
      </c>
      <c r="Y300" s="414">
        <v>0.29551395434273481</v>
      </c>
      <c r="Z300" s="1"/>
      <c r="AA300" s="1"/>
      <c r="AB300" s="1"/>
      <c r="AC300" s="1"/>
      <c r="AD300" s="1"/>
      <c r="AF300" s="176">
        <v>50710</v>
      </c>
      <c r="AG300" s="177">
        <v>2.5000000000000001E-3</v>
      </c>
      <c r="AH300" s="177">
        <v>2.5833333333333333E-3</v>
      </c>
      <c r="AI300" s="100">
        <v>50718</v>
      </c>
      <c r="AJ300" s="102">
        <v>52353.38202492892</v>
      </c>
      <c r="AL300" s="23"/>
      <c r="AM300" s="23"/>
      <c r="BL300" s="299"/>
    </row>
    <row r="301" spans="17:64">
      <c r="Q301" s="6">
        <v>271</v>
      </c>
      <c r="R301" s="7">
        <v>42938</v>
      </c>
      <c r="S301" s="210">
        <v>3.5</v>
      </c>
      <c r="T301" s="8">
        <v>1.0000972222222222</v>
      </c>
      <c r="U301" s="98">
        <v>3.6121470212092444</v>
      </c>
      <c r="V301" s="106">
        <v>27034.134144942938</v>
      </c>
      <c r="W301" s="10">
        <v>-0.41678279006104324</v>
      </c>
      <c r="X301" s="413">
        <v>-0.41129443767591251</v>
      </c>
      <c r="Y301" s="414">
        <v>0.29552838221589034</v>
      </c>
      <c r="Z301" s="1"/>
      <c r="AA301" s="1"/>
      <c r="AB301" s="1"/>
      <c r="AC301" s="1"/>
      <c r="AD301" s="1"/>
      <c r="AF301" s="176">
        <v>50740</v>
      </c>
      <c r="AG301" s="177">
        <v>2.5000000000000001E-3</v>
      </c>
      <c r="AH301" s="177">
        <v>2.5833333333333333E-3</v>
      </c>
      <c r="AI301" s="100">
        <v>50748</v>
      </c>
      <c r="AJ301" s="102">
        <v>52488.628261826656</v>
      </c>
      <c r="AL301" s="23"/>
      <c r="AM301" s="23"/>
      <c r="BL301" s="299"/>
    </row>
    <row r="302" spans="17:64">
      <c r="Q302" s="6">
        <v>272</v>
      </c>
      <c r="R302" s="7">
        <v>42939</v>
      </c>
      <c r="S302" s="210">
        <v>3.5</v>
      </c>
      <c r="T302" s="8">
        <v>1.0000972222222222</v>
      </c>
      <c r="U302" s="98">
        <v>3.6121470212092444</v>
      </c>
      <c r="V302" s="106">
        <v>27036.801888737849</v>
      </c>
      <c r="W302" s="10">
        <v>-0.41544855188121455</v>
      </c>
      <c r="X302" s="413">
        <v>-0.40997472593584661</v>
      </c>
      <c r="Y302" s="414">
        <v>0.29554281102622082</v>
      </c>
      <c r="Z302" s="1"/>
      <c r="AA302" s="1"/>
      <c r="AB302" s="1"/>
      <c r="AC302" s="1"/>
      <c r="AD302" s="1"/>
      <c r="AF302" s="176">
        <v>50771</v>
      </c>
      <c r="AG302" s="177">
        <v>2.5000000000000001E-3</v>
      </c>
      <c r="AH302" s="177">
        <v>2.5833333333333333E-3</v>
      </c>
      <c r="AI302" s="100">
        <v>50779</v>
      </c>
      <c r="AJ302" s="102">
        <v>52624.223884836378</v>
      </c>
      <c r="AL302" s="23"/>
      <c r="AM302" s="23"/>
      <c r="BL302" s="299"/>
    </row>
    <row r="303" spans="17:64">
      <c r="Q303" s="6">
        <v>273</v>
      </c>
      <c r="R303" s="7">
        <v>42940</v>
      </c>
      <c r="S303" s="210">
        <v>3.5</v>
      </c>
      <c r="T303" s="8">
        <v>1.0000972222222222</v>
      </c>
      <c r="U303" s="98">
        <v>3.6121470212092444</v>
      </c>
      <c r="V303" s="106">
        <v>27039.469895787242</v>
      </c>
      <c r="W303" s="10">
        <v>-0.4141240706596383</v>
      </c>
      <c r="X303" s="413">
        <v>-0.40866468213415863</v>
      </c>
      <c r="Y303" s="414">
        <v>0.29555724077379286</v>
      </c>
      <c r="Z303" s="1"/>
      <c r="AA303" s="1"/>
      <c r="AB303" s="1"/>
      <c r="AC303" s="1"/>
      <c r="AD303" s="1"/>
      <c r="AF303" s="176">
        <v>50802</v>
      </c>
      <c r="AG303" s="177">
        <v>2.5000000000000001E-3</v>
      </c>
      <c r="AH303" s="177">
        <v>2.5833333333333333E-3</v>
      </c>
      <c r="AI303" s="100">
        <v>50810</v>
      </c>
      <c r="AJ303" s="102">
        <v>52760.169796538874</v>
      </c>
      <c r="AL303" s="23"/>
      <c r="AM303" s="23"/>
      <c r="BL303" s="299"/>
    </row>
    <row r="304" spans="17:64">
      <c r="Q304" s="6">
        <v>274</v>
      </c>
      <c r="R304" s="7">
        <v>42941</v>
      </c>
      <c r="S304" s="210">
        <v>3.5</v>
      </c>
      <c r="T304" s="8">
        <v>1.0000972222222222</v>
      </c>
      <c r="U304" s="98">
        <v>3.6121470212092444</v>
      </c>
      <c r="V304" s="106">
        <v>27042.138166117096</v>
      </c>
      <c r="W304" s="10">
        <v>-0.41280923976091399</v>
      </c>
      <c r="X304" s="413">
        <v>-0.40736420041746496</v>
      </c>
      <c r="Y304" s="414">
        <v>0.29557167145867713</v>
      </c>
      <c r="Z304" s="1"/>
      <c r="AA304" s="1"/>
      <c r="AB304" s="1"/>
      <c r="AC304" s="1"/>
      <c r="AD304" s="1"/>
      <c r="AF304" s="176">
        <v>50830</v>
      </c>
      <c r="AG304" s="177">
        <v>2.5000000000000001E-3</v>
      </c>
      <c r="AH304" s="177">
        <v>2.5833333333333333E-3</v>
      </c>
      <c r="AI304" s="100">
        <v>50838</v>
      </c>
      <c r="AJ304" s="102">
        <v>52896.466901846601</v>
      </c>
      <c r="AL304" s="23"/>
      <c r="AM304" s="23"/>
      <c r="BL304" s="299"/>
    </row>
    <row r="305" spans="17:64">
      <c r="Q305" s="6">
        <v>275</v>
      </c>
      <c r="R305" s="7">
        <v>42942</v>
      </c>
      <c r="S305" s="210">
        <v>3.5</v>
      </c>
      <c r="T305" s="8">
        <v>1.0000972222222222</v>
      </c>
      <c r="U305" s="98">
        <v>3.6121470212092444</v>
      </c>
      <c r="V305" s="106">
        <v>27044.806699753382</v>
      </c>
      <c r="W305" s="10">
        <v>-0.41150395409791374</v>
      </c>
      <c r="X305" s="413">
        <v>-0.40607317647208191</v>
      </c>
      <c r="Y305" s="414">
        <v>0.29558610308094074</v>
      </c>
      <c r="Z305" s="1"/>
      <c r="AA305" s="1"/>
      <c r="AB305" s="1"/>
      <c r="AC305" s="1"/>
      <c r="AD305" s="1"/>
      <c r="AF305" s="176">
        <v>50861</v>
      </c>
      <c r="AG305" s="177">
        <v>2.5000000000000001E-3</v>
      </c>
      <c r="AH305" s="177">
        <v>2.5833333333333333E-3</v>
      </c>
      <c r="AI305" s="100">
        <v>50869</v>
      </c>
      <c r="AJ305" s="102">
        <v>53033.116108009708</v>
      </c>
      <c r="AL305" s="23"/>
      <c r="AM305" s="23"/>
      <c r="BL305" s="299"/>
    </row>
    <row r="306" spans="17:64">
      <c r="Q306" s="6">
        <v>276</v>
      </c>
      <c r="R306" s="7">
        <v>42943</v>
      </c>
      <c r="S306" s="210">
        <v>3.5</v>
      </c>
      <c r="T306" s="8">
        <v>1.0000972222222222</v>
      </c>
      <c r="U306" s="98">
        <v>3.6121470212092222</v>
      </c>
      <c r="V306" s="106">
        <v>27047.475496722098</v>
      </c>
      <c r="W306" s="10">
        <v>-0.41020811010388236</v>
      </c>
      <c r="X306" s="413">
        <v>-0.40479150749621995</v>
      </c>
      <c r="Y306" s="414">
        <v>0.29560053564065236</v>
      </c>
      <c r="Z306" s="1"/>
      <c r="AA306" s="1"/>
      <c r="AB306" s="1"/>
      <c r="AC306" s="1"/>
      <c r="AD306" s="1"/>
      <c r="AF306" s="176">
        <v>50891</v>
      </c>
      <c r="AG306" s="177">
        <v>2.5000000000000001E-3</v>
      </c>
      <c r="AH306" s="177">
        <v>2.5833333333333333E-3</v>
      </c>
      <c r="AI306" s="100">
        <v>50899</v>
      </c>
      <c r="AJ306" s="102">
        <v>53170.118324622068</v>
      </c>
      <c r="AL306" s="23"/>
      <c r="AM306" s="23"/>
      <c r="BL306" s="299"/>
    </row>
    <row r="307" spans="17:64">
      <c r="Q307" s="6">
        <v>277</v>
      </c>
      <c r="R307" s="7">
        <v>42944</v>
      </c>
      <c r="S307" s="210">
        <v>3.5</v>
      </c>
      <c r="T307" s="8">
        <v>1.0000972222222222</v>
      </c>
      <c r="U307" s="98">
        <v>3.6121470212092444</v>
      </c>
      <c r="V307" s="106">
        <v>27050.144557049218</v>
      </c>
      <c r="W307" s="10">
        <v>-0.40892160570480396</v>
      </c>
      <c r="X307" s="413">
        <v>-0.40351909217244736</v>
      </c>
      <c r="Y307" s="414">
        <v>0.29561496913788182</v>
      </c>
      <c r="Z307" s="1"/>
      <c r="AA307" s="1"/>
      <c r="AB307" s="1"/>
      <c r="AC307" s="1"/>
      <c r="AD307" s="1"/>
      <c r="AF307" s="176">
        <v>50922</v>
      </c>
      <c r="AG307" s="177">
        <v>2.5000000000000001E-3</v>
      </c>
      <c r="AH307" s="177">
        <v>2.5833333333333333E-3</v>
      </c>
      <c r="AI307" s="100">
        <v>50930</v>
      </c>
      <c r="AJ307" s="102">
        <v>53307.474463627346</v>
      </c>
      <c r="AL307" s="23"/>
      <c r="AM307" s="23"/>
      <c r="BL307" s="299"/>
    </row>
    <row r="308" spans="17:64">
      <c r="Q308" s="6">
        <v>278</v>
      </c>
      <c r="R308" s="7">
        <v>42945</v>
      </c>
      <c r="S308" s="210">
        <v>3.5</v>
      </c>
      <c r="T308" s="8">
        <v>1.0000972222222222</v>
      </c>
      <c r="U308" s="98">
        <v>3.6121470212092444</v>
      </c>
      <c r="V308" s="106">
        <v>27052.813880760743</v>
      </c>
      <c r="W308" s="10">
        <v>-0.40764434029293417</v>
      </c>
      <c r="X308" s="413">
        <v>-0.40225583064130999</v>
      </c>
      <c r="Y308" s="414">
        <v>0.29562940357269596</v>
      </c>
      <c r="Z308" s="1"/>
      <c r="AA308" s="1"/>
      <c r="AB308" s="1"/>
      <c r="AC308" s="1"/>
      <c r="AD308" s="1"/>
      <c r="AF308" s="176">
        <v>50952</v>
      </c>
      <c r="AG308" s="177">
        <v>2.5000000000000001E-3</v>
      </c>
      <c r="AH308" s="177">
        <v>2.5833333333333333E-3</v>
      </c>
      <c r="AI308" s="100">
        <v>50960</v>
      </c>
      <c r="AJ308" s="102">
        <v>53445.185439325054</v>
      </c>
      <c r="AL308" s="23"/>
      <c r="AM308" s="23"/>
      <c r="BL308" s="299"/>
    </row>
    <row r="309" spans="17:64">
      <c r="Q309" s="6">
        <v>279</v>
      </c>
      <c r="R309" s="7">
        <v>42946</v>
      </c>
      <c r="S309" s="210">
        <v>3.5</v>
      </c>
      <c r="T309" s="8">
        <v>1.0000972222222222</v>
      </c>
      <c r="U309" s="98">
        <v>3.6121470212092444</v>
      </c>
      <c r="V309" s="106">
        <v>27055.483467882648</v>
      </c>
      <c r="W309" s="10">
        <v>-0.40637621470013263</v>
      </c>
      <c r="X309" s="413">
        <v>-0.40100162447482968</v>
      </c>
      <c r="Y309" s="414">
        <v>0.29564383894516255</v>
      </c>
      <c r="Z309" s="1"/>
      <c r="AA309" s="1"/>
      <c r="AB309" s="1"/>
      <c r="AC309" s="1"/>
      <c r="AD309" s="1"/>
      <c r="AF309" s="176">
        <v>50983</v>
      </c>
      <c r="AG309" s="177">
        <v>2.5000000000000001E-3</v>
      </c>
      <c r="AH309" s="177">
        <v>2.5833333333333333E-3</v>
      </c>
      <c r="AI309" s="100">
        <v>50991</v>
      </c>
      <c r="AJ309" s="102">
        <v>53583.252168376646</v>
      </c>
      <c r="AL309" s="23"/>
      <c r="AM309" s="23"/>
      <c r="BL309" s="299"/>
    </row>
    <row r="310" spans="17:64">
      <c r="Q310" s="6">
        <v>280</v>
      </c>
      <c r="R310" s="7">
        <v>42947</v>
      </c>
      <c r="S310" s="210">
        <v>3.5</v>
      </c>
      <c r="T310" s="8">
        <v>1.0000972222222222</v>
      </c>
      <c r="U310" s="98">
        <v>3.6121470212092444</v>
      </c>
      <c r="V310" s="106">
        <v>27058.153318440938</v>
      </c>
      <c r="W310" s="10">
        <v>-0.4051171311726498</v>
      </c>
      <c r="X310" s="413">
        <v>-0.39975637665129937</v>
      </c>
      <c r="Y310" s="414">
        <v>0.29565827525535127</v>
      </c>
      <c r="Z310" s="1"/>
      <c r="AA310" s="1"/>
      <c r="AB310" s="1"/>
      <c r="AC310" s="1"/>
      <c r="AD310" s="1"/>
      <c r="AF310" s="176">
        <v>51014</v>
      </c>
      <c r="AG310" s="177">
        <v>2.5000000000000001E-3</v>
      </c>
      <c r="AH310" s="177">
        <v>2.5833333333333333E-3</v>
      </c>
      <c r="AI310" s="100">
        <v>51022</v>
      </c>
      <c r="AJ310" s="102">
        <v>53721.675569811625</v>
      </c>
      <c r="AL310" s="23"/>
      <c r="AM310" s="23"/>
      <c r="BL310" s="299"/>
    </row>
    <row r="311" spans="17:64">
      <c r="Q311" s="6">
        <v>281</v>
      </c>
      <c r="R311" s="7">
        <v>42948</v>
      </c>
      <c r="S311" s="210">
        <v>3.5</v>
      </c>
      <c r="T311" s="8">
        <v>1.0000972222222222</v>
      </c>
      <c r="U311" s="98">
        <v>3.6121470212092666</v>
      </c>
      <c r="V311" s="106">
        <v>27060.823432461606</v>
      </c>
      <c r="W311" s="10">
        <v>-0.40386699334569176</v>
      </c>
      <c r="X311" s="413">
        <v>-0.3985199915300327</v>
      </c>
      <c r="Y311" s="414">
        <v>0.29567271250333044</v>
      </c>
      <c r="Z311" s="1"/>
      <c r="AA311" s="1"/>
      <c r="AB311" s="1"/>
      <c r="AC311" s="1"/>
      <c r="AD311" s="1"/>
      <c r="AF311" s="176">
        <v>51044</v>
      </c>
      <c r="AG311" s="177">
        <v>2.5000000000000001E-3</v>
      </c>
      <c r="AH311" s="177">
        <v>2.5833333333333333E-3</v>
      </c>
      <c r="AI311" s="100">
        <v>51052</v>
      </c>
      <c r="AJ311" s="102">
        <v>53860.456565033644</v>
      </c>
      <c r="AL311" s="23"/>
      <c r="AM311" s="23"/>
      <c r="BL311" s="299"/>
    </row>
    <row r="312" spans="17:64">
      <c r="Q312" s="6">
        <v>282</v>
      </c>
      <c r="R312" s="7">
        <v>42949</v>
      </c>
      <c r="S312" s="210">
        <v>3.5</v>
      </c>
      <c r="T312" s="8">
        <v>1.0000972222222222</v>
      </c>
      <c r="U312" s="98">
        <v>3.6121470212092444</v>
      </c>
      <c r="V312" s="106">
        <v>27063.493809970645</v>
      </c>
      <c r="W312" s="10">
        <v>-0.40262570621897309</v>
      </c>
      <c r="X312" s="413">
        <v>-0.39729237482694907</v>
      </c>
      <c r="Y312" s="414">
        <v>0.29568715068916757</v>
      </c>
      <c r="Z312" s="1"/>
      <c r="AA312" s="1"/>
      <c r="AB312" s="1"/>
      <c r="AC312" s="1"/>
      <c r="AD312" s="1"/>
      <c r="AF312" s="176">
        <v>51075</v>
      </c>
      <c r="AG312" s="177">
        <v>2.5000000000000001E-3</v>
      </c>
      <c r="AH312" s="177">
        <v>2.5833333333333333E-3</v>
      </c>
      <c r="AI312" s="100">
        <v>51083</v>
      </c>
      <c r="AJ312" s="102">
        <v>53999.596077826653</v>
      </c>
      <c r="AL312" s="23"/>
      <c r="AM312" s="23"/>
      <c r="BL312" s="299"/>
    </row>
    <row r="313" spans="17:64">
      <c r="Q313" s="6">
        <v>283</v>
      </c>
      <c r="R313" s="7">
        <v>42950</v>
      </c>
      <c r="S313" s="210">
        <v>3.5</v>
      </c>
      <c r="T313" s="8">
        <v>1.0000972222222222</v>
      </c>
      <c r="U313" s="98">
        <v>3.6121470212092444</v>
      </c>
      <c r="V313" s="106">
        <v>27066.164450994071</v>
      </c>
      <c r="W313" s="10">
        <v>-0.40139317613268055</v>
      </c>
      <c r="X313" s="413">
        <v>-0.39607343359067526</v>
      </c>
      <c r="Y313" s="414">
        <v>0.29570158981293154</v>
      </c>
      <c r="Z313" s="1"/>
      <c r="AA313" s="1"/>
      <c r="AB313" s="1"/>
      <c r="AC313" s="1"/>
      <c r="AD313" s="1"/>
      <c r="AF313" s="176">
        <v>51105</v>
      </c>
      <c r="AG313" s="177">
        <v>2.5000000000000001E-3</v>
      </c>
      <c r="AH313" s="177">
        <v>2.5833333333333333E-3</v>
      </c>
      <c r="AI313" s="100">
        <v>51113</v>
      </c>
      <c r="AJ313" s="102">
        <v>54139.095034361038</v>
      </c>
      <c r="AL313" s="23"/>
      <c r="AM313" s="23"/>
      <c r="BL313" s="299"/>
    </row>
    <row r="314" spans="17:64">
      <c r="Q314" s="6">
        <v>284</v>
      </c>
      <c r="R314" s="7">
        <v>42951</v>
      </c>
      <c r="S314" s="210">
        <v>3.5</v>
      </c>
      <c r="T314" s="8">
        <v>1.0000972222222222</v>
      </c>
      <c r="U314" s="98">
        <v>3.6121470212092444</v>
      </c>
      <c r="V314" s="106">
        <v>27068.835355557872</v>
      </c>
      <c r="W314" s="10">
        <v>-0.40016931074370321</v>
      </c>
      <c r="X314" s="413">
        <v>-0.3948630761788719</v>
      </c>
      <c r="Y314" s="414">
        <v>0.29571602987469253</v>
      </c>
      <c r="Z314" s="1"/>
      <c r="AA314" s="1"/>
      <c r="AB314" s="1"/>
      <c r="AC314" s="1"/>
      <c r="AD314" s="1"/>
      <c r="AF314" s="176">
        <v>51136</v>
      </c>
      <c r="AG314" s="177">
        <v>2.5000000000000001E-3</v>
      </c>
      <c r="AH314" s="177">
        <v>2.5833333333333333E-3</v>
      </c>
      <c r="AI314" s="100">
        <v>51144</v>
      </c>
      <c r="AJ314" s="102">
        <v>54278.954363199809</v>
      </c>
      <c r="AL314" s="23"/>
      <c r="AM314" s="23"/>
      <c r="BL314" s="299"/>
    </row>
    <row r="315" spans="17:64">
      <c r="Q315" s="6">
        <v>285</v>
      </c>
      <c r="R315" s="7">
        <v>42952</v>
      </c>
      <c r="S315" s="210">
        <v>3.5</v>
      </c>
      <c r="T315" s="8">
        <v>1.0000972222222222</v>
      </c>
      <c r="U315" s="98">
        <v>3.6121470212092444</v>
      </c>
      <c r="V315" s="106">
        <v>27071.506523688058</v>
      </c>
      <c r="W315" s="10">
        <v>-0.39895401900286176</v>
      </c>
      <c r="X315" s="413">
        <v>-0.39366121223551992</v>
      </c>
      <c r="Y315" s="414">
        <v>0.29573047087451765</v>
      </c>
      <c r="Z315" s="1"/>
      <c r="AA315" s="1"/>
      <c r="AB315" s="1"/>
      <c r="AC315" s="1"/>
      <c r="AD315" s="1"/>
      <c r="AF315" s="176">
        <v>51167</v>
      </c>
      <c r="AG315" s="177">
        <v>2.5000000000000001E-3</v>
      </c>
      <c r="AH315" s="177">
        <v>2.5833333333333333E-3</v>
      </c>
      <c r="AI315" s="100">
        <v>51175</v>
      </c>
      <c r="AJ315" s="102">
        <v>54419.174995304747</v>
      </c>
      <c r="AL315" s="23"/>
      <c r="AM315" s="23"/>
      <c r="BL315" s="299"/>
    </row>
    <row r="316" spans="17:64">
      <c r="Q316" s="6">
        <v>286</v>
      </c>
      <c r="R316" s="7">
        <v>42953</v>
      </c>
      <c r="S316" s="210">
        <v>3.5</v>
      </c>
      <c r="T316" s="8">
        <v>1.0000972222222222</v>
      </c>
      <c r="U316" s="98">
        <v>3.6121470212092444</v>
      </c>
      <c r="V316" s="106">
        <v>27074.177955410647</v>
      </c>
      <c r="W316" s="10">
        <v>-0.39774721113222666</v>
      </c>
      <c r="X316" s="413">
        <v>-0.39246775266836287</v>
      </c>
      <c r="Y316" s="414">
        <v>0.29574491281247506</v>
      </c>
      <c r="Z316" s="1"/>
      <c r="AA316" s="1"/>
      <c r="AB316" s="1"/>
      <c r="AC316" s="1"/>
      <c r="AD316" s="1"/>
      <c r="AF316" s="176">
        <v>51196</v>
      </c>
      <c r="AG316" s="177">
        <v>2.5000000000000001E-3</v>
      </c>
      <c r="AH316" s="177">
        <v>2.5833333333333333E-3</v>
      </c>
      <c r="AI316" s="100">
        <v>51204</v>
      </c>
      <c r="AJ316" s="102">
        <v>54559.757864042622</v>
      </c>
      <c r="AL316" s="23"/>
      <c r="AM316" s="23"/>
      <c r="BL316" s="299"/>
    </row>
    <row r="317" spans="17:64">
      <c r="Q317" s="6">
        <v>287</v>
      </c>
      <c r="R317" s="7">
        <v>42954</v>
      </c>
      <c r="S317" s="210">
        <v>3.5</v>
      </c>
      <c r="T317" s="8">
        <v>1.0000972222222222</v>
      </c>
      <c r="U317" s="98">
        <v>3.6121470212092444</v>
      </c>
      <c r="V317" s="106">
        <v>27076.849650751643</v>
      </c>
      <c r="W317" s="10">
        <v>-0.39654879860280268</v>
      </c>
      <c r="X317" s="413">
        <v>-0.39128260962669481</v>
      </c>
      <c r="Y317" s="414">
        <v>0.29575935568863454</v>
      </c>
      <c r="Z317" s="1"/>
      <c r="AA317" s="1"/>
      <c r="AB317" s="1"/>
      <c r="AC317" s="1"/>
      <c r="AD317" s="1"/>
      <c r="AF317" s="176">
        <v>51227</v>
      </c>
      <c r="AG317" s="177">
        <v>2.5000000000000001E-3</v>
      </c>
      <c r="AH317" s="177">
        <v>2.5833333333333333E-3</v>
      </c>
      <c r="AI317" s="100">
        <v>51235</v>
      </c>
      <c r="AJ317" s="102">
        <v>54700.703905191403</v>
      </c>
      <c r="AL317" s="23"/>
      <c r="AM317" s="23"/>
      <c r="BL317" s="299"/>
    </row>
    <row r="318" spans="17:64">
      <c r="Q318" s="6">
        <v>288</v>
      </c>
      <c r="R318" s="7">
        <v>42955</v>
      </c>
      <c r="S318" s="210">
        <v>3.5</v>
      </c>
      <c r="T318" s="8">
        <v>1.0000972222222222</v>
      </c>
      <c r="U318" s="98">
        <v>3.6121470212092444</v>
      </c>
      <c r="V318" s="106">
        <v>27079.521609737061</v>
      </c>
      <c r="W318" s="10">
        <v>-0.39535869411321256</v>
      </c>
      <c r="X318" s="413">
        <v>-0.39010569648009752</v>
      </c>
      <c r="Y318" s="414">
        <v>0.29577379950306243</v>
      </c>
      <c r="Z318" s="1"/>
      <c r="AA318" s="1"/>
      <c r="AB318" s="1"/>
      <c r="AC318" s="1"/>
      <c r="AD318" s="1"/>
      <c r="AF318" s="176">
        <v>51257</v>
      </c>
      <c r="AG318" s="177">
        <v>2.5000000000000001E-3</v>
      </c>
      <c r="AH318" s="177">
        <v>2.5833333333333333E-3</v>
      </c>
      <c r="AI318" s="100">
        <v>51265</v>
      </c>
      <c r="AJ318" s="102">
        <v>54842.014056946486</v>
      </c>
      <c r="AL318" s="23"/>
      <c r="AM318" s="23"/>
      <c r="BL318" s="299"/>
    </row>
    <row r="319" spans="17:64">
      <c r="Q319" s="6">
        <v>289</v>
      </c>
      <c r="R319" s="7">
        <v>42956</v>
      </c>
      <c r="S319" s="210">
        <v>3.5</v>
      </c>
      <c r="T319" s="8">
        <v>1.0000972222222222</v>
      </c>
      <c r="U319" s="98">
        <v>3.6121470212092444</v>
      </c>
      <c r="V319" s="106">
        <v>27082.193832392913</v>
      </c>
      <c r="W319" s="10">
        <v>-0.39417681156822537</v>
      </c>
      <c r="X319" s="413">
        <v>-0.38893692779707895</v>
      </c>
      <c r="Y319" s="414">
        <v>0.29578824425582895</v>
      </c>
      <c r="Z319" s="1"/>
      <c r="AA319" s="1"/>
      <c r="AB319" s="1"/>
      <c r="AC319" s="1"/>
      <c r="AD319" s="1"/>
      <c r="AF319" s="176">
        <v>51288</v>
      </c>
      <c r="AG319" s="177">
        <v>2.5000000000000001E-3</v>
      </c>
      <c r="AH319" s="177">
        <v>2.5833333333333333E-3</v>
      </c>
      <c r="AI319" s="100">
        <v>51296</v>
      </c>
      <c r="AJ319" s="102">
        <v>54983.689259926934</v>
      </c>
      <c r="AL319" s="23"/>
      <c r="AM319" s="23"/>
      <c r="BL319" s="299"/>
    </row>
    <row r="320" spans="17:64">
      <c r="Q320" s="6">
        <v>290</v>
      </c>
      <c r="R320" s="7">
        <v>42957</v>
      </c>
      <c r="S320" s="210">
        <v>3.5</v>
      </c>
      <c r="T320" s="8">
        <v>1.0000972222222222</v>
      </c>
      <c r="U320" s="98">
        <v>3.6121470212092444</v>
      </c>
      <c r="V320" s="106">
        <v>27084.462192811301</v>
      </c>
      <c r="W320" s="10">
        <v>-0.39113246120793255</v>
      </c>
      <c r="X320" s="413">
        <v>-0.3859297493252396</v>
      </c>
      <c r="Y320" s="414">
        <v>0.29580268994700315</v>
      </c>
      <c r="Z320" s="1"/>
      <c r="AA320" s="1"/>
      <c r="AB320" s="1"/>
      <c r="AC320" s="1"/>
      <c r="AD320" s="1"/>
      <c r="AF320" s="176">
        <v>51318</v>
      </c>
      <c r="AG320" s="177">
        <v>2.5000000000000001E-3</v>
      </c>
      <c r="AH320" s="177">
        <v>2.5833333333333333E-3</v>
      </c>
      <c r="AI320" s="100">
        <v>51326</v>
      </c>
      <c r="AJ320" s="102">
        <v>55125.730457181751</v>
      </c>
      <c r="AL320" s="23"/>
      <c r="AM320" s="23"/>
      <c r="BL320" s="299"/>
    </row>
    <row r="321" spans="17:64">
      <c r="Q321" s="6">
        <v>291</v>
      </c>
      <c r="R321" s="7">
        <v>42958</v>
      </c>
      <c r="S321" s="210">
        <v>3.5</v>
      </c>
      <c r="T321" s="8">
        <v>1.0000972222222222</v>
      </c>
      <c r="U321" s="98">
        <v>3.6121470212092444</v>
      </c>
      <c r="V321" s="106">
        <v>27086.730743223856</v>
      </c>
      <c r="W321" s="10">
        <v>-0.38810894212739644</v>
      </c>
      <c r="X321" s="413">
        <v>-0.38294321639460543</v>
      </c>
      <c r="Y321" s="414">
        <v>0.29581713657665099</v>
      </c>
      <c r="Z321" s="1"/>
      <c r="AA321" s="1"/>
      <c r="AB321" s="1"/>
      <c r="AC321" s="1"/>
      <c r="AD321" s="1"/>
      <c r="AF321" s="176">
        <v>51349</v>
      </c>
      <c r="AG321" s="177">
        <v>2.5000000000000001E-3</v>
      </c>
      <c r="AH321" s="177">
        <v>2.5833333333333333E-3</v>
      </c>
      <c r="AI321" s="100">
        <v>51357</v>
      </c>
      <c r="AJ321" s="102">
        <v>55268.138594196142</v>
      </c>
      <c r="AL321" s="23"/>
      <c r="AM321" s="23"/>
      <c r="BL321" s="299"/>
    </row>
    <row r="322" spans="17:64">
      <c r="Q322" s="6">
        <v>292</v>
      </c>
      <c r="R322" s="7">
        <v>42959</v>
      </c>
      <c r="S322" s="210">
        <v>3.5</v>
      </c>
      <c r="T322" s="8">
        <v>1.0000972222222222</v>
      </c>
      <c r="U322" s="98">
        <v>3.6121470212092444</v>
      </c>
      <c r="V322" s="106">
        <v>27088.999483646498</v>
      </c>
      <c r="W322" s="10">
        <v>-0.38510604124678549</v>
      </c>
      <c r="X322" s="413">
        <v>-0.37997711689319164</v>
      </c>
      <c r="Y322" s="414">
        <v>0.29583158414484417</v>
      </c>
      <c r="Z322" s="1"/>
      <c r="AA322" s="1"/>
      <c r="AB322" s="1"/>
      <c r="AC322" s="1"/>
      <c r="AD322" s="1"/>
      <c r="AF322" s="176">
        <v>51380</v>
      </c>
      <c r="AG322" s="177">
        <v>2.5000000000000001E-3</v>
      </c>
      <c r="AH322" s="177">
        <v>2.5833333333333333E-3</v>
      </c>
      <c r="AI322" s="100">
        <v>51388</v>
      </c>
      <c r="AJ322" s="102">
        <v>55410.914618897819</v>
      </c>
      <c r="AL322" s="23"/>
      <c r="AM322" s="23"/>
      <c r="BL322" s="299"/>
    </row>
    <row r="323" spans="17:64">
      <c r="Q323" s="6">
        <v>293</v>
      </c>
      <c r="R323" s="7">
        <v>42960</v>
      </c>
      <c r="S323" s="210">
        <v>3.5</v>
      </c>
      <c r="T323" s="8">
        <v>1.0000972222222222</v>
      </c>
      <c r="U323" s="98">
        <v>3.6121470212092444</v>
      </c>
      <c r="V323" s="106">
        <v>27091.268414095142</v>
      </c>
      <c r="W323" s="10">
        <v>-0.38212354838240703</v>
      </c>
      <c r="X323" s="413">
        <v>-0.37703124160468565</v>
      </c>
      <c r="Y323" s="414">
        <v>0.29584603265164916</v>
      </c>
      <c r="Z323" s="1"/>
      <c r="AA323" s="1"/>
      <c r="AB323" s="1"/>
      <c r="AC323" s="1"/>
      <c r="AD323" s="1"/>
      <c r="AF323" s="176">
        <v>51410</v>
      </c>
      <c r="AG323" s="177">
        <v>2.5000000000000001E-3</v>
      </c>
      <c r="AH323" s="177">
        <v>2.5833333333333333E-3</v>
      </c>
      <c r="AI323" s="100">
        <v>51418</v>
      </c>
      <c r="AJ323" s="102">
        <v>55554.059481663309</v>
      </c>
      <c r="AL323" s="23"/>
      <c r="AM323" s="23"/>
      <c r="BL323" s="299"/>
    </row>
    <row r="324" spans="17:64">
      <c r="Q324" s="6">
        <v>294</v>
      </c>
      <c r="R324" s="7">
        <v>42961</v>
      </c>
      <c r="S324" s="210">
        <v>3.5</v>
      </c>
      <c r="T324" s="8">
        <v>1.0000972222222222</v>
      </c>
      <c r="U324" s="98">
        <v>3.6121470212092666</v>
      </c>
      <c r="V324" s="106">
        <v>27093.537534585699</v>
      </c>
      <c r="W324" s="10">
        <v>-0.37916125619773533</v>
      </c>
      <c r="X324" s="413">
        <v>-0.37410538415925526</v>
      </c>
      <c r="Y324" s="414">
        <v>0.29586048209713584</v>
      </c>
      <c r="Z324" s="1"/>
      <c r="AA324" s="1"/>
      <c r="AB324" s="1"/>
      <c r="AC324" s="1"/>
      <c r="AD324" s="1"/>
      <c r="AF324" s="176">
        <v>51441</v>
      </c>
      <c r="AG324" s="177">
        <v>2.5000000000000001E-3</v>
      </c>
      <c r="AH324" s="177">
        <v>2.5833333333333333E-3</v>
      </c>
      <c r="AI324" s="100">
        <v>51449</v>
      </c>
      <c r="AJ324" s="102">
        <v>55697.574135324277</v>
      </c>
      <c r="AL324" s="23"/>
      <c r="AM324" s="23"/>
      <c r="BL324" s="299"/>
    </row>
    <row r="325" spans="17:64">
      <c r="Q325" s="6">
        <v>295</v>
      </c>
      <c r="R325" s="7">
        <v>42962</v>
      </c>
      <c r="S325" s="210">
        <v>3.5</v>
      </c>
      <c r="T325" s="8">
        <v>1.0000972222222222</v>
      </c>
      <c r="U325" s="98">
        <v>3.6121470212092666</v>
      </c>
      <c r="V325" s="106">
        <v>27095.806845134095</v>
      </c>
      <c r="W325" s="10">
        <v>-0.37621896015536116</v>
      </c>
      <c r="X325" s="413">
        <v>-0.37119934098535767</v>
      </c>
      <c r="Y325" s="414">
        <v>0.29587493248137092</v>
      </c>
      <c r="Z325" s="1"/>
      <c r="AA325" s="1"/>
      <c r="AB325" s="1"/>
      <c r="AC325" s="1"/>
      <c r="AD325" s="1"/>
      <c r="AF325" s="176">
        <v>51471</v>
      </c>
      <c r="AG325" s="177">
        <v>2.5000000000000001E-3</v>
      </c>
      <c r="AH325" s="177">
        <v>2.5833333333333333E-3</v>
      </c>
      <c r="AI325" s="100">
        <v>51479</v>
      </c>
      <c r="AJ325" s="102">
        <v>55841.459535173868</v>
      </c>
      <c r="AL325" s="23"/>
      <c r="AM325" s="23"/>
    </row>
    <row r="326" spans="17:64">
      <c r="Q326" s="6">
        <v>296</v>
      </c>
      <c r="R326" s="7">
        <v>42963</v>
      </c>
      <c r="S326" s="210">
        <v>3.5</v>
      </c>
      <c r="T326" s="8">
        <v>1.0000972222222222</v>
      </c>
      <c r="U326" s="98">
        <v>3.6121470212092666</v>
      </c>
      <c r="V326" s="106">
        <v>27098.076345756239</v>
      </c>
      <c r="W326" s="10">
        <v>-0.37329645846984061</v>
      </c>
      <c r="X326" s="413">
        <v>-0.36831291126232213</v>
      </c>
      <c r="Y326" s="414">
        <v>0.29588938380442481</v>
      </c>
      <c r="Z326" s="1"/>
      <c r="AA326" s="1"/>
      <c r="AB326" s="1"/>
      <c r="AC326" s="1"/>
      <c r="AD326" s="1"/>
      <c r="AL326" s="23"/>
      <c r="AM326" s="23"/>
    </row>
    <row r="327" spans="17:64">
      <c r="Q327" s="6">
        <v>297</v>
      </c>
      <c r="R327" s="7">
        <v>42964</v>
      </c>
      <c r="S327" s="210">
        <v>3.5</v>
      </c>
      <c r="T327" s="8">
        <v>1.0000972222222222</v>
      </c>
      <c r="U327" s="98">
        <v>3.6121470212092666</v>
      </c>
      <c r="V327" s="106">
        <v>27100.346036468065</v>
      </c>
      <c r="W327" s="10">
        <v>-0.37039355206174296</v>
      </c>
      <c r="X327" s="413">
        <v>-0.36544589687426809</v>
      </c>
      <c r="Y327" s="414">
        <v>0.29590383606636456</v>
      </c>
      <c r="Z327" s="1"/>
      <c r="AA327" s="1"/>
      <c r="AB327" s="1"/>
      <c r="AC327" s="1"/>
      <c r="AD327" s="1"/>
      <c r="AL327" s="23"/>
      <c r="AM327" s="23"/>
    </row>
    <row r="328" spans="17:64">
      <c r="Q328" s="6">
        <v>298</v>
      </c>
      <c r="R328" s="7">
        <v>42965</v>
      </c>
      <c r="S328" s="210">
        <v>3.5</v>
      </c>
      <c r="T328" s="8">
        <v>1.0000972222222222</v>
      </c>
      <c r="U328" s="98">
        <v>3.6121470212092666</v>
      </c>
      <c r="V328" s="106">
        <v>27102.615917285479</v>
      </c>
      <c r="W328" s="10">
        <v>-0.36751004451217595</v>
      </c>
      <c r="X328" s="413">
        <v>-0.36259810236442752</v>
      </c>
      <c r="Y328" s="414">
        <v>0.29591828926725866</v>
      </c>
      <c r="Z328" s="1"/>
      <c r="AA328" s="1"/>
      <c r="AB328" s="1"/>
      <c r="AC328" s="1"/>
      <c r="AD328" s="1"/>
      <c r="AL328" s="23"/>
      <c r="AM328" s="23"/>
    </row>
    <row r="329" spans="17:64">
      <c r="Q329" s="6">
        <v>299</v>
      </c>
      <c r="R329" s="7">
        <v>42966</v>
      </c>
      <c r="S329" s="210">
        <v>3.5</v>
      </c>
      <c r="T329" s="8">
        <v>1.0000972222222222</v>
      </c>
      <c r="U329" s="98">
        <v>3.6121470212092666</v>
      </c>
      <c r="V329" s="106">
        <v>27104.885988224411</v>
      </c>
      <c r="W329" s="10">
        <v>-0.36464574201874322</v>
      </c>
      <c r="X329" s="413">
        <v>-0.35976933489095902</v>
      </c>
      <c r="Y329" s="414">
        <v>0.29593274340717701</v>
      </c>
      <c r="Z329" s="1"/>
      <c r="AA329" s="1"/>
      <c r="AB329" s="1"/>
      <c r="AC329" s="1"/>
      <c r="AD329" s="1"/>
      <c r="AL329" s="23"/>
      <c r="AM329" s="23"/>
    </row>
    <row r="330" spans="17:64">
      <c r="Q330" s="6">
        <v>300</v>
      </c>
      <c r="R330" s="7">
        <v>42967</v>
      </c>
      <c r="S330" s="210">
        <v>3.5</v>
      </c>
      <c r="T330" s="8">
        <v>1.0000972222222222</v>
      </c>
      <c r="U330" s="98">
        <v>3.6121470212092666</v>
      </c>
      <c r="V330" s="106">
        <v>27107.156249300784</v>
      </c>
      <c r="W330" s="10">
        <v>-0.36180045335195699</v>
      </c>
      <c r="X330" s="413">
        <v>-0.3569594041831925</v>
      </c>
      <c r="Y330" s="414">
        <v>0.29594719848618833</v>
      </c>
      <c r="Z330" s="1"/>
      <c r="AA330" s="1"/>
      <c r="AB330" s="1"/>
      <c r="AC330" s="1"/>
      <c r="AD330" s="1"/>
      <c r="AL330" s="23"/>
      <c r="AM330" s="23"/>
    </row>
    <row r="331" spans="17:64">
      <c r="Q331" s="6">
        <v>301</v>
      </c>
      <c r="R331" s="7">
        <v>42968</v>
      </c>
      <c r="S331" s="210">
        <v>3.5</v>
      </c>
      <c r="T331" s="8">
        <v>1.0000972222222222</v>
      </c>
      <c r="U331" s="98">
        <v>3.6121470212092888</v>
      </c>
      <c r="V331" s="106">
        <v>27109.426700530534</v>
      </c>
      <c r="W331" s="10">
        <v>-0.35897398981281636</v>
      </c>
      <c r="X331" s="413">
        <v>-0.35416812249901153</v>
      </c>
      <c r="Y331" s="414">
        <v>0.29596165450436063</v>
      </c>
      <c r="Z331" s="1"/>
      <c r="AA331" s="1"/>
      <c r="AB331" s="1"/>
      <c r="AC331" s="1"/>
      <c r="AD331" s="1"/>
      <c r="AL331" s="23"/>
      <c r="AM331" s="23"/>
    </row>
    <row r="332" spans="17:64">
      <c r="Q332" s="6">
        <v>302</v>
      </c>
      <c r="R332" s="7">
        <v>42969</v>
      </c>
      <c r="S332" s="210">
        <v>3.5</v>
      </c>
      <c r="T332" s="8">
        <v>1.0000972222222222</v>
      </c>
      <c r="U332" s="98">
        <v>3.6121470212092888</v>
      </c>
      <c r="V332" s="106">
        <v>27111.697341929565</v>
      </c>
      <c r="W332" s="10">
        <v>-0.3561661651909076</v>
      </c>
      <c r="X332" s="413">
        <v>-0.35139530458288404</v>
      </c>
      <c r="Y332" s="414">
        <v>0.29597611146176095</v>
      </c>
      <c r="Z332" s="1"/>
      <c r="AA332" s="1"/>
      <c r="AB332" s="1"/>
      <c r="AC332" s="1"/>
      <c r="AD332" s="1"/>
      <c r="AL332" s="23"/>
      <c r="AM332" s="23"/>
    </row>
    <row r="333" spans="17:64">
      <c r="Q333" s="6">
        <v>303</v>
      </c>
      <c r="R333" s="7">
        <v>42970</v>
      </c>
      <c r="S333" s="210">
        <v>3.5</v>
      </c>
      <c r="T333" s="8">
        <v>1.0000972222222222</v>
      </c>
      <c r="U333" s="98">
        <v>3.6121470212092888</v>
      </c>
      <c r="V333" s="106">
        <v>27113.968173513833</v>
      </c>
      <c r="W333" s="10">
        <v>-0.3533767957237588</v>
      </c>
      <c r="X333" s="413">
        <v>-0.34864076762500118</v>
      </c>
      <c r="Y333" s="414">
        <v>0.2959905693584598</v>
      </c>
      <c r="Z333" s="1"/>
      <c r="AA333" s="1"/>
      <c r="AB333" s="1"/>
      <c r="AC333" s="1"/>
      <c r="AD333" s="1"/>
      <c r="AL333" s="23"/>
      <c r="AM333" s="23"/>
    </row>
    <row r="334" spans="17:64">
      <c r="Q334" s="6">
        <v>304</v>
      </c>
      <c r="R334" s="7">
        <v>42971</v>
      </c>
      <c r="S334" s="210">
        <v>3.5</v>
      </c>
      <c r="T334" s="8">
        <v>1.0000972222222222</v>
      </c>
      <c r="U334" s="98">
        <v>3.6121470212092888</v>
      </c>
      <c r="V334" s="106">
        <v>27116.239195299244</v>
      </c>
      <c r="W334" s="10">
        <v>-0.35060570005642777</v>
      </c>
      <c r="X334" s="413">
        <v>-0.34590433122080144</v>
      </c>
      <c r="Y334" s="414">
        <v>0.29600502819452468</v>
      </c>
      <c r="Z334" s="1"/>
      <c r="AA334" s="1"/>
      <c r="AB334" s="1"/>
      <c r="AC334" s="1"/>
      <c r="AD334" s="1"/>
      <c r="AL334" s="23"/>
      <c r="AM334" s="23"/>
    </row>
    <row r="335" spans="17:64">
      <c r="Q335" s="6">
        <v>305</v>
      </c>
      <c r="R335" s="7">
        <v>42972</v>
      </c>
      <c r="S335" s="210">
        <v>3.5</v>
      </c>
      <c r="T335" s="8">
        <v>1.0000972222222222</v>
      </c>
      <c r="U335" s="98">
        <v>3.6121470212092666</v>
      </c>
      <c r="V335" s="106">
        <v>27118.510407301743</v>
      </c>
      <c r="W335" s="10">
        <v>-0.34785269920256656</v>
      </c>
      <c r="X335" s="413">
        <v>-0.34318581733184239</v>
      </c>
      <c r="Y335" s="414">
        <v>0.29601948797002431</v>
      </c>
      <c r="Z335" s="1"/>
      <c r="AA335" s="1"/>
      <c r="AB335" s="1"/>
      <c r="AC335" s="1"/>
      <c r="AD335" s="1"/>
      <c r="AL335" s="23"/>
      <c r="AM335" s="23"/>
    </row>
    <row r="336" spans="17:64">
      <c r="Q336" s="6">
        <v>306</v>
      </c>
      <c r="R336" s="7">
        <v>42973</v>
      </c>
      <c r="S336" s="210">
        <v>3.5</v>
      </c>
      <c r="T336" s="8">
        <v>1.0000972222222222</v>
      </c>
      <c r="U336" s="98">
        <v>3.6121470212092666</v>
      </c>
      <c r="V336" s="106">
        <v>27120.781809537253</v>
      </c>
      <c r="W336" s="10">
        <v>-0.3451176165055414</v>
      </c>
      <c r="X336" s="413">
        <v>-0.34048505024682452</v>
      </c>
      <c r="Y336" s="414">
        <v>0.29603394868502869</v>
      </c>
      <c r="Z336" s="1"/>
      <c r="AA336" s="1"/>
      <c r="AB336" s="1"/>
      <c r="AC336" s="1"/>
      <c r="AD336" s="1"/>
      <c r="AL336" s="23"/>
      <c r="AM336" s="23"/>
    </row>
    <row r="337" spans="17:39">
      <c r="Q337" s="6">
        <v>307</v>
      </c>
      <c r="R337" s="7">
        <v>42974</v>
      </c>
      <c r="S337" s="210">
        <v>3.5</v>
      </c>
      <c r="T337" s="8">
        <v>1.0000972222222222</v>
      </c>
      <c r="U337" s="98">
        <v>3.6121470212092666</v>
      </c>
      <c r="V337" s="106">
        <v>27123.05340202172</v>
      </c>
      <c r="W337" s="10">
        <v>-0.34240027760094049</v>
      </c>
      <c r="X337" s="413">
        <v>-0.33780185654400258</v>
      </c>
      <c r="Y337" s="414">
        <v>0.29604841033960477</v>
      </c>
      <c r="Z337" s="1"/>
      <c r="AA337" s="1"/>
      <c r="AB337" s="1"/>
      <c r="AC337" s="1"/>
      <c r="AD337" s="1"/>
      <c r="AL337" s="23"/>
      <c r="AM337" s="23"/>
    </row>
    <row r="338" spans="17:39">
      <c r="Q338" s="6">
        <v>308</v>
      </c>
      <c r="R338" s="7">
        <v>42975</v>
      </c>
      <c r="S338" s="210">
        <v>3.5</v>
      </c>
      <c r="T338" s="8">
        <v>1.0000972222222222</v>
      </c>
      <c r="U338" s="98">
        <v>3.6121470212092888</v>
      </c>
      <c r="V338" s="106">
        <v>27125.325184771067</v>
      </c>
      <c r="W338" s="10">
        <v>-0.33970051037927051</v>
      </c>
      <c r="X338" s="413">
        <v>-0.33513606505373217</v>
      </c>
      <c r="Y338" s="414">
        <v>0.29606287293382288</v>
      </c>
      <c r="Z338" s="1"/>
      <c r="AA338" s="1"/>
      <c r="AB338" s="1"/>
      <c r="AC338" s="1"/>
      <c r="AD338" s="1"/>
      <c r="AL338" s="23"/>
      <c r="AM338" s="23"/>
    </row>
    <row r="339" spans="17:39">
      <c r="Q339" s="6">
        <v>309</v>
      </c>
      <c r="R339" s="7">
        <v>42976</v>
      </c>
      <c r="S339" s="210">
        <v>3.5</v>
      </c>
      <c r="T339" s="8">
        <v>1.0000972222222222</v>
      </c>
      <c r="U339" s="98">
        <v>3.6121470212092888</v>
      </c>
      <c r="V339" s="106">
        <v>27127.597157801229</v>
      </c>
      <c r="W339" s="10">
        <v>-0.33701814494974114</v>
      </c>
      <c r="X339" s="413">
        <v>-0.33248750682216999</v>
      </c>
      <c r="Y339" s="414">
        <v>0.29607733646775036</v>
      </c>
      <c r="Z339" s="1"/>
      <c r="AA339" s="1"/>
      <c r="AB339" s="1"/>
      <c r="AC339" s="1"/>
      <c r="AD339" s="1"/>
      <c r="AL339" s="23"/>
      <c r="AM339" s="23"/>
    </row>
    <row r="340" spans="17:39">
      <c r="Q340" s="6">
        <v>310</v>
      </c>
      <c r="R340" s="7">
        <v>42977</v>
      </c>
      <c r="S340" s="210">
        <v>3.5</v>
      </c>
      <c r="T340" s="8">
        <v>1.0000972222222222</v>
      </c>
      <c r="U340" s="98">
        <v>3.612147021209311</v>
      </c>
      <c r="V340" s="106">
        <v>27129.869321128157</v>
      </c>
      <c r="W340" s="10">
        <v>-0.33435301360477121</v>
      </c>
      <c r="X340" s="413">
        <v>-0.32985601507568985</v>
      </c>
      <c r="Y340" s="414">
        <v>0.29609180094145593</v>
      </c>
      <c r="Z340" s="1"/>
      <c r="AA340" s="1"/>
      <c r="AB340" s="1"/>
      <c r="AC340" s="1"/>
      <c r="AD340" s="1"/>
      <c r="AL340" s="23"/>
      <c r="AM340" s="23"/>
    </row>
    <row r="341" spans="17:39">
      <c r="Q341" s="6">
        <v>311</v>
      </c>
      <c r="R341" s="7">
        <v>42978</v>
      </c>
      <c r="S341" s="210">
        <v>3.5</v>
      </c>
      <c r="T341" s="8">
        <v>1.0000972222222222</v>
      </c>
      <c r="U341" s="98">
        <v>3.6121470212092888</v>
      </c>
      <c r="V341" s="106">
        <v>27132.141674767779</v>
      </c>
      <c r="W341" s="10">
        <v>-0.33170495078470585</v>
      </c>
      <c r="X341" s="413">
        <v>-0.32724142518545857</v>
      </c>
      <c r="Y341" s="414">
        <v>0.29610626635500714</v>
      </c>
      <c r="Z341" s="1"/>
      <c r="AA341" s="1"/>
      <c r="AB341" s="1"/>
      <c r="AC341" s="1"/>
      <c r="AD341" s="1"/>
      <c r="AL341" s="23"/>
      <c r="AM341" s="23"/>
    </row>
    <row r="342" spans="17:39">
      <c r="Q342" s="6">
        <v>312</v>
      </c>
      <c r="R342" s="7">
        <v>42979</v>
      </c>
      <c r="S342" s="210">
        <v>3.5</v>
      </c>
      <c r="T342" s="8">
        <v>1.0000972222222222</v>
      </c>
      <c r="U342" s="98">
        <v>3.612147021209311</v>
      </c>
      <c r="V342" s="106">
        <v>27134.414218736045</v>
      </c>
      <c r="W342" s="10">
        <v>-0.32907379304377704</v>
      </c>
      <c r="X342" s="413">
        <v>-0.32464357463335852</v>
      </c>
      <c r="Y342" s="414">
        <v>0.29612073270847522</v>
      </c>
      <c r="Z342" s="1"/>
      <c r="AA342" s="1"/>
      <c r="AB342" s="1"/>
      <c r="AC342" s="1"/>
      <c r="AD342" s="1"/>
      <c r="AL342" s="23"/>
      <c r="AM342" s="23"/>
    </row>
    <row r="343" spans="17:39">
      <c r="Q343" s="6">
        <v>313</v>
      </c>
      <c r="R343" s="7">
        <v>42980</v>
      </c>
      <c r="S343" s="210">
        <v>3.5</v>
      </c>
      <c r="T343" s="8">
        <v>1.0000972222222222</v>
      </c>
      <c r="U343" s="98">
        <v>3.6121470212092888</v>
      </c>
      <c r="V343" s="106">
        <v>27136.68695304888</v>
      </c>
      <c r="W343" s="10">
        <v>-0.32645937901637501</v>
      </c>
      <c r="X343" s="413">
        <v>-0.3220623029781427</v>
      </c>
      <c r="Y343" s="414">
        <v>0.29613520000192606</v>
      </c>
      <c r="Z343" s="1"/>
      <c r="AA343" s="1"/>
      <c r="AB343" s="1"/>
      <c r="AC343" s="1"/>
      <c r="AD343" s="1"/>
      <c r="AL343" s="23"/>
      <c r="AM343" s="23"/>
    </row>
    <row r="344" spans="17:39">
      <c r="Q344" s="6">
        <v>314</v>
      </c>
      <c r="R344" s="7">
        <v>42981</v>
      </c>
      <c r="S344" s="210">
        <v>3.5</v>
      </c>
      <c r="T344" s="8">
        <v>1.0000972222222222</v>
      </c>
      <c r="U344" s="98">
        <v>3.6121470212092888</v>
      </c>
      <c r="V344" s="106">
        <v>27138.959877722242</v>
      </c>
      <c r="W344" s="10">
        <v>-0.32386154938416345</v>
      </c>
      <c r="X344" s="413">
        <v>-0.31949745182246531</v>
      </c>
      <c r="Y344" s="414">
        <v>0.2961496682354291</v>
      </c>
      <c r="Z344" s="1"/>
      <c r="AA344" s="1"/>
      <c r="AB344" s="1"/>
      <c r="AC344" s="1"/>
      <c r="AD344" s="1"/>
      <c r="AL344" s="23"/>
      <c r="AM344" s="23"/>
    </row>
    <row r="345" spans="17:39">
      <c r="Q345" s="6">
        <v>315</v>
      </c>
      <c r="R345" s="7">
        <v>42982</v>
      </c>
      <c r="S345" s="210">
        <v>3.5</v>
      </c>
      <c r="T345" s="8">
        <v>1.0000972222222222</v>
      </c>
      <c r="U345" s="98">
        <v>3.6121470212092888</v>
      </c>
      <c r="V345" s="106">
        <v>27141.232992772068</v>
      </c>
      <c r="W345" s="10">
        <v>-0.3212801468435722</v>
      </c>
      <c r="X345" s="413">
        <v>-0.31694886478029921</v>
      </c>
      <c r="Y345" s="414">
        <v>0.29616413740905484</v>
      </c>
      <c r="Z345" s="1"/>
      <c r="AA345" s="1"/>
      <c r="AB345" s="1"/>
      <c r="AC345" s="1"/>
      <c r="AD345" s="1"/>
      <c r="AL345" s="23"/>
      <c r="AM345" s="23"/>
    </row>
    <row r="346" spans="17:39">
      <c r="Q346" s="6">
        <v>316</v>
      </c>
      <c r="R346" s="7">
        <v>42983</v>
      </c>
      <c r="S346" s="210">
        <v>3.5</v>
      </c>
      <c r="T346" s="8">
        <v>1.0000972222222222</v>
      </c>
      <c r="U346" s="98">
        <v>3.612147021209311</v>
      </c>
      <c r="V346" s="106">
        <v>27143.50629821431</v>
      </c>
      <c r="W346" s="10">
        <v>-0.31871501607422248</v>
      </c>
      <c r="X346" s="413">
        <v>-0.31441638744528844</v>
      </c>
      <c r="Y346" s="414">
        <v>0.29617860752287095</v>
      </c>
      <c r="Z346" s="1"/>
      <c r="AA346" s="1"/>
      <c r="AB346" s="1"/>
      <c r="AC346" s="1"/>
      <c r="AD346" s="1"/>
      <c r="AL346" s="23"/>
      <c r="AM346" s="23"/>
    </row>
    <row r="347" spans="17:39">
      <c r="Q347" s="6">
        <v>317</v>
      </c>
      <c r="R347" s="7">
        <v>42984</v>
      </c>
      <c r="S347" s="210">
        <v>3.5</v>
      </c>
      <c r="T347" s="8">
        <v>1.0000972222222222</v>
      </c>
      <c r="U347" s="98">
        <v>3.6121470212092888</v>
      </c>
      <c r="V347" s="106">
        <v>27145.779794064911</v>
      </c>
      <c r="W347" s="10">
        <v>-0.3161660037075853</v>
      </c>
      <c r="X347" s="413">
        <v>-0.3118998673593214</v>
      </c>
      <c r="Y347" s="414">
        <v>0.2961930785769441</v>
      </c>
      <c r="Z347" s="1"/>
      <c r="AA347" s="1"/>
      <c r="AB347" s="1"/>
      <c r="AC347" s="1"/>
      <c r="AD347" s="1"/>
      <c r="AL347" s="23"/>
      <c r="AM347" s="23"/>
    </row>
    <row r="348" spans="17:39">
      <c r="Q348" s="6">
        <v>318</v>
      </c>
      <c r="R348" s="7">
        <v>42985</v>
      </c>
      <c r="S348" s="210">
        <v>3.5</v>
      </c>
      <c r="T348" s="8">
        <v>1.0000972222222222</v>
      </c>
      <c r="U348" s="98">
        <v>3.612147021209311</v>
      </c>
      <c r="V348" s="106">
        <v>27148.053480339819</v>
      </c>
      <c r="W348" s="10">
        <v>-0.31363295829648363</v>
      </c>
      <c r="X348" s="413">
        <v>-0.30939915398201112</v>
      </c>
      <c r="Y348" s="414">
        <v>0.29620755057134651</v>
      </c>
      <c r="Z348" s="1"/>
      <c r="AA348" s="1"/>
      <c r="AB348" s="1"/>
      <c r="AC348" s="1"/>
      <c r="AD348" s="1"/>
      <c r="AL348" s="23"/>
      <c r="AM348" s="23"/>
    </row>
    <row r="349" spans="17:39">
      <c r="Q349" s="6">
        <v>319</v>
      </c>
      <c r="R349" s="7">
        <v>42986</v>
      </c>
      <c r="S349" s="210">
        <v>3.5</v>
      </c>
      <c r="T349" s="8">
        <v>1.0000972222222222</v>
      </c>
      <c r="U349" s="98">
        <v>3.6121470212092888</v>
      </c>
      <c r="V349" s="106">
        <v>27150.327357054979</v>
      </c>
      <c r="W349" s="10">
        <v>-0.31111573028522743</v>
      </c>
      <c r="X349" s="413">
        <v>-0.30691409866068708</v>
      </c>
      <c r="Y349" s="414">
        <v>0.29622202350614318</v>
      </c>
      <c r="Z349" s="1"/>
      <c r="AA349" s="1"/>
      <c r="AB349" s="1"/>
      <c r="AC349" s="1"/>
      <c r="AD349" s="1"/>
      <c r="AL349" s="23"/>
      <c r="AM349" s="23"/>
    </row>
    <row r="350" spans="17:39">
      <c r="Q350" s="6">
        <v>320</v>
      </c>
      <c r="R350" s="7">
        <v>42987</v>
      </c>
      <c r="S350" s="210">
        <v>3.5</v>
      </c>
      <c r="T350" s="8">
        <v>1.0000972222222222</v>
      </c>
      <c r="U350" s="98">
        <v>3.6121470212092888</v>
      </c>
      <c r="V350" s="106">
        <v>27152.601424226352</v>
      </c>
      <c r="W350" s="10">
        <v>-0.30861417198000396</v>
      </c>
      <c r="X350" s="413">
        <v>-0.30444455460081205</v>
      </c>
      <c r="Y350" s="414">
        <v>0.29623649738140456</v>
      </c>
      <c r="Z350" s="1"/>
      <c r="AA350" s="1"/>
      <c r="AB350" s="1"/>
      <c r="AC350" s="1"/>
      <c r="AD350" s="1"/>
      <c r="AL350" s="23"/>
      <c r="AM350" s="23"/>
    </row>
    <row r="351" spans="17:39">
      <c r="Q351" s="6">
        <v>321</v>
      </c>
      <c r="R351" s="7">
        <v>42988</v>
      </c>
      <c r="S351" s="210">
        <v>3.5</v>
      </c>
      <c r="T351" s="8">
        <v>1.0000972222222222</v>
      </c>
      <c r="U351" s="98">
        <v>3.6121470212092888</v>
      </c>
      <c r="V351" s="106">
        <v>27155.318235748146</v>
      </c>
      <c r="W351" s="10">
        <v>-0.30797556357562428</v>
      </c>
      <c r="X351" s="413">
        <v>-0.30381317129679719</v>
      </c>
      <c r="Y351" s="414">
        <v>0.2962509721972002</v>
      </c>
      <c r="Z351" s="1"/>
      <c r="AA351" s="1"/>
      <c r="AB351" s="1"/>
      <c r="AC351" s="1"/>
      <c r="AD351" s="1"/>
      <c r="AL351" s="23"/>
      <c r="AM351" s="23"/>
    </row>
    <row r="352" spans="17:39">
      <c r="Q352" s="6">
        <v>322</v>
      </c>
      <c r="R352" s="7">
        <v>42989</v>
      </c>
      <c r="S352" s="210">
        <v>3.5</v>
      </c>
      <c r="T352" s="8">
        <v>1.0000972222222222</v>
      </c>
      <c r="U352" s="98">
        <v>3.6121470212092888</v>
      </c>
      <c r="V352" s="106">
        <v>27158.035319106319</v>
      </c>
      <c r="W352" s="10">
        <v>-0.30734091763026106</v>
      </c>
      <c r="X352" s="413">
        <v>-0.30318570873229422</v>
      </c>
      <c r="Y352" s="414">
        <v>0.29626544795359883</v>
      </c>
      <c r="Z352" s="1"/>
      <c r="AA352" s="1"/>
      <c r="AB352" s="1"/>
      <c r="AC352" s="1"/>
      <c r="AD352" s="1"/>
      <c r="AL352" s="23"/>
      <c r="AM352" s="23"/>
    </row>
    <row r="353" spans="17:39">
      <c r="Q353" s="6">
        <v>323</v>
      </c>
      <c r="R353" s="7">
        <v>42990</v>
      </c>
      <c r="S353" s="210">
        <v>3.5</v>
      </c>
      <c r="T353" s="8">
        <v>1.0000972222222222</v>
      </c>
      <c r="U353" s="98">
        <v>3.6121470212092888</v>
      </c>
      <c r="V353" s="106">
        <v>27160.752674328076</v>
      </c>
      <c r="W353" s="10">
        <v>-0.30671019737846805</v>
      </c>
      <c r="X353" s="413">
        <v>-0.30256213049183989</v>
      </c>
      <c r="Y353" s="414">
        <v>0.29627992465066627</v>
      </c>
      <c r="Z353" s="1"/>
      <c r="AA353" s="1"/>
      <c r="AB353" s="1"/>
      <c r="AC353" s="1"/>
      <c r="AD353" s="1"/>
      <c r="AL353" s="23"/>
      <c r="AM353" s="23"/>
    </row>
    <row r="354" spans="17:39">
      <c r="Q354" s="6">
        <v>324</v>
      </c>
      <c r="R354" s="7">
        <v>42991</v>
      </c>
      <c r="S354" s="210">
        <v>3.5</v>
      </c>
      <c r="T354" s="8">
        <v>1.0000972222222222</v>
      </c>
      <c r="U354" s="98">
        <v>3.6121470212092888</v>
      </c>
      <c r="V354" s="106">
        <v>27163.470301440608</v>
      </c>
      <c r="W354" s="10">
        <v>-0.30608336650804757</v>
      </c>
      <c r="X354" s="413">
        <v>-0.30194240060937233</v>
      </c>
      <c r="Y354" s="414">
        <v>0.29629440228847354</v>
      </c>
      <c r="Z354" s="1"/>
      <c r="AA354" s="1"/>
      <c r="AB354" s="1"/>
      <c r="AC354" s="1"/>
      <c r="AD354" s="1"/>
      <c r="AL354" s="23"/>
      <c r="AM354" s="23"/>
    </row>
    <row r="355" spans="17:39">
      <c r="Q355" s="6">
        <v>325</v>
      </c>
      <c r="R355" s="7">
        <v>42992</v>
      </c>
      <c r="S355" s="210">
        <v>3.5</v>
      </c>
      <c r="T355" s="8">
        <v>1.0000972222222222</v>
      </c>
      <c r="U355" s="98">
        <v>3.6121470212092666</v>
      </c>
      <c r="V355" s="106">
        <v>27166.18820047113</v>
      </c>
      <c r="W355" s="10">
        <v>-0.30546038915344464</v>
      </c>
      <c r="X355" s="413">
        <v>-0.3013264835616607</v>
      </c>
      <c r="Y355" s="414">
        <v>0.29630888086708901</v>
      </c>
      <c r="Z355" s="1"/>
      <c r="AA355" s="1"/>
      <c r="AB355" s="1"/>
      <c r="AC355" s="1"/>
      <c r="AD355" s="1"/>
      <c r="AL355" s="23"/>
      <c r="AM355" s="23"/>
    </row>
    <row r="356" spans="17:39">
      <c r="Q356" s="6">
        <v>326</v>
      </c>
      <c r="R356" s="7">
        <v>42993</v>
      </c>
      <c r="S356" s="210">
        <v>3.5</v>
      </c>
      <c r="T356" s="8">
        <v>1.0000972222222222</v>
      </c>
      <c r="U356" s="98">
        <v>3.6121470212092666</v>
      </c>
      <c r="V356" s="106">
        <v>27168.906371446836</v>
      </c>
      <c r="W356" s="10">
        <v>-0.30484122988859719</v>
      </c>
      <c r="X356" s="413">
        <v>-0.30071434426119503</v>
      </c>
      <c r="Y356" s="414">
        <v>0.29632336038658202</v>
      </c>
      <c r="Z356" s="1"/>
      <c r="AA356" s="1"/>
      <c r="AB356" s="1"/>
      <c r="AC356" s="1"/>
      <c r="AD356" s="1"/>
      <c r="AL356" s="23"/>
      <c r="AM356" s="23"/>
    </row>
    <row r="357" spans="17:39">
      <c r="Q357" s="6">
        <v>327</v>
      </c>
      <c r="R357" s="7">
        <v>42994</v>
      </c>
      <c r="S357" s="210">
        <v>3.5</v>
      </c>
      <c r="T357" s="8">
        <v>1.0000972222222222</v>
      </c>
      <c r="U357" s="98">
        <v>3.6121470212092888</v>
      </c>
      <c r="V357" s="106">
        <v>27171.624814394945</v>
      </c>
      <c r="W357" s="10">
        <v>-0.30422585372041899</v>
      </c>
      <c r="X357" s="413">
        <v>-0.30010594804978041</v>
      </c>
      <c r="Y357" s="414">
        <v>0.29633784084702119</v>
      </c>
      <c r="Z357" s="1"/>
      <c r="AA357" s="1"/>
      <c r="AB357" s="1"/>
      <c r="AC357" s="1"/>
      <c r="AD357" s="1"/>
      <c r="AL357" s="23"/>
      <c r="AM357" s="23"/>
    </row>
    <row r="358" spans="17:39">
      <c r="Q358" s="6">
        <v>328</v>
      </c>
      <c r="R358" s="7">
        <v>42995</v>
      </c>
      <c r="S358" s="210">
        <v>3.5</v>
      </c>
      <c r="T358" s="8">
        <v>1.0000972222222222</v>
      </c>
      <c r="U358" s="98">
        <v>3.6121470212092888</v>
      </c>
      <c r="V358" s="106">
        <v>27174.343529342674</v>
      </c>
      <c r="W358" s="10">
        <v>-0.30361422608221611</v>
      </c>
      <c r="X358" s="413">
        <v>-0.29950126069189503</v>
      </c>
      <c r="Y358" s="414">
        <v>0.29635232224847424</v>
      </c>
      <c r="Z358" s="1"/>
      <c r="AA358" s="1"/>
      <c r="AB358" s="1"/>
      <c r="AC358" s="1"/>
      <c r="AD358" s="1"/>
      <c r="AL358" s="23"/>
      <c r="AM358" s="23"/>
    </row>
    <row r="359" spans="17:39">
      <c r="Q359" s="6">
        <v>329</v>
      </c>
      <c r="R359" s="7">
        <v>42996</v>
      </c>
      <c r="S359" s="210">
        <v>3.5</v>
      </c>
      <c r="T359" s="8">
        <v>1.0000972222222222</v>
      </c>
      <c r="U359" s="98">
        <v>3.6121470212092888</v>
      </c>
      <c r="V359" s="106">
        <v>27177.062516317226</v>
      </c>
      <c r="W359" s="10">
        <v>-0.30300631282698109</v>
      </c>
      <c r="X359" s="413">
        <v>-0.29890024836815715</v>
      </c>
      <c r="Y359" s="414">
        <v>0.29636680459101011</v>
      </c>
      <c r="Z359" s="1"/>
      <c r="AA359" s="1"/>
      <c r="AB359" s="1"/>
      <c r="AC359" s="1"/>
      <c r="AD359" s="1"/>
      <c r="AL359" s="23"/>
      <c r="AM359" s="23"/>
    </row>
    <row r="360" spans="17:39">
      <c r="Q360" s="6">
        <v>330</v>
      </c>
      <c r="R360" s="7">
        <v>42997</v>
      </c>
      <c r="S360" s="210">
        <v>3.5</v>
      </c>
      <c r="T360" s="8">
        <v>1.0000972222222222</v>
      </c>
      <c r="U360" s="98">
        <v>3.6121470212092888</v>
      </c>
      <c r="V360" s="106">
        <v>27179.781775345829</v>
      </c>
      <c r="W360" s="10">
        <v>-0.30240208022130899</v>
      </c>
      <c r="X360" s="413">
        <v>-0.29830287766920177</v>
      </c>
      <c r="Y360" s="414">
        <v>0.29638128787469692</v>
      </c>
      <c r="Z360" s="1"/>
      <c r="AA360" s="1"/>
      <c r="AB360" s="1"/>
      <c r="AC360" s="1"/>
      <c r="AD360" s="1"/>
      <c r="AL360" s="23"/>
      <c r="AM360" s="23"/>
    </row>
    <row r="361" spans="17:39">
      <c r="Q361" s="6">
        <v>331</v>
      </c>
      <c r="R361" s="7">
        <v>42998</v>
      </c>
      <c r="S361" s="210">
        <v>3.5</v>
      </c>
      <c r="T361" s="8">
        <v>1.0000972222222222</v>
      </c>
      <c r="U361" s="98">
        <v>3.6121470212092666</v>
      </c>
      <c r="V361" s="106">
        <v>27182.501306455702</v>
      </c>
      <c r="W361" s="10">
        <v>-0.30180149493900243</v>
      </c>
      <c r="X361" s="413">
        <v>-0.29770911558935409</v>
      </c>
      <c r="Y361" s="414">
        <v>0.29639577209960394</v>
      </c>
      <c r="Z361" s="1"/>
      <c r="AA361" s="1"/>
      <c r="AB361" s="1"/>
      <c r="AC361" s="1"/>
      <c r="AD361" s="1"/>
      <c r="AL361" s="23"/>
      <c r="AM361" s="23"/>
    </row>
    <row r="362" spans="17:39">
      <c r="Q362" s="6">
        <v>332</v>
      </c>
      <c r="R362" s="7">
        <v>42999</v>
      </c>
      <c r="S362" s="210">
        <v>3.5</v>
      </c>
      <c r="T362" s="8">
        <v>1.0000972222222222</v>
      </c>
      <c r="U362" s="98">
        <v>3.6121470212092888</v>
      </c>
      <c r="V362" s="106">
        <v>27185.221109674072</v>
      </c>
      <c r="W362" s="10">
        <v>-0.30120452405497655</v>
      </c>
      <c r="X362" s="413">
        <v>-0.29711892952061025</v>
      </c>
      <c r="Y362" s="414">
        <v>0.29641025726580167</v>
      </c>
      <c r="Z362" s="1"/>
      <c r="AA362" s="1"/>
      <c r="AB362" s="1"/>
      <c r="AC362" s="1"/>
      <c r="AD362" s="1"/>
      <c r="AL362" s="23"/>
      <c r="AM362" s="23"/>
    </row>
    <row r="363" spans="17:39">
      <c r="Q363" s="6">
        <v>333</v>
      </c>
      <c r="R363" s="7">
        <v>43000</v>
      </c>
      <c r="S363" s="210">
        <v>3.5</v>
      </c>
      <c r="T363" s="8">
        <v>1.0000972222222222</v>
      </c>
      <c r="U363" s="98">
        <v>3.6121470212092888</v>
      </c>
      <c r="V363" s="106">
        <v>27187.941185028154</v>
      </c>
      <c r="W363" s="10">
        <v>-0.30061113503923043</v>
      </c>
      <c r="X363" s="413">
        <v>-0.29653228724660591</v>
      </c>
      <c r="Y363" s="414">
        <v>0.29642474337335772</v>
      </c>
      <c r="Z363" s="1"/>
      <c r="AA363" s="1"/>
      <c r="AB363" s="1"/>
      <c r="AC363" s="1"/>
      <c r="AD363" s="1"/>
      <c r="AL363" s="23"/>
      <c r="AM363" s="23"/>
    </row>
    <row r="364" spans="17:39">
      <c r="Q364" s="6">
        <v>334</v>
      </c>
      <c r="R364" s="7">
        <v>43001</v>
      </c>
      <c r="S364" s="210">
        <v>3.5</v>
      </c>
      <c r="T364" s="8">
        <v>1.0000972222222222</v>
      </c>
      <c r="U364" s="98">
        <v>3.6121470212092888</v>
      </c>
      <c r="V364" s="106">
        <v>27190.661532545186</v>
      </c>
      <c r="W364" s="10">
        <v>-0.30002129575108505</v>
      </c>
      <c r="X364" s="413">
        <v>-0.29594915693694507</v>
      </c>
      <c r="Y364" s="414">
        <v>0.29643923042233888</v>
      </c>
      <c r="Z364" s="1"/>
      <c r="AA364" s="1"/>
      <c r="AB364" s="1"/>
      <c r="AC364" s="1"/>
      <c r="AD364" s="1"/>
      <c r="AL364" s="23"/>
      <c r="AM364" s="23"/>
    </row>
    <row r="365" spans="17:39">
      <c r="Q365" s="6">
        <v>335</v>
      </c>
      <c r="R365" s="7">
        <v>43002</v>
      </c>
      <c r="S365" s="210">
        <v>3.5</v>
      </c>
      <c r="T365" s="8">
        <v>1.0000972222222222</v>
      </c>
      <c r="U365" s="98">
        <v>3.6121470212092888</v>
      </c>
      <c r="V365" s="106">
        <v>27193.382152252401</v>
      </c>
      <c r="W365" s="10">
        <v>-0.2994349744330993</v>
      </c>
      <c r="X365" s="413">
        <v>-0.29536950714114124</v>
      </c>
      <c r="Y365" s="414">
        <v>0.29645371841281709</v>
      </c>
      <c r="Z365" s="1"/>
      <c r="AA365" s="1"/>
      <c r="AB365" s="1"/>
      <c r="AC365" s="1"/>
      <c r="AD365" s="1"/>
      <c r="AL365" s="23"/>
      <c r="AM365" s="23"/>
    </row>
    <row r="366" spans="17:39">
      <c r="Q366" s="6">
        <v>336</v>
      </c>
      <c r="R366" s="7">
        <v>43003</v>
      </c>
      <c r="S366" s="210">
        <v>3.5</v>
      </c>
      <c r="T366" s="8">
        <v>1.0000972222222222</v>
      </c>
      <c r="U366" s="98">
        <v>3.6121470212092888</v>
      </c>
      <c r="V366" s="106">
        <v>27196.103044177034</v>
      </c>
      <c r="W366" s="10">
        <v>-0.29885213970565205</v>
      </c>
      <c r="X366" s="413">
        <v>-0.29479330678323723</v>
      </c>
      <c r="Y366" s="414">
        <v>0.29646820734485768</v>
      </c>
      <c r="Z366" s="1"/>
      <c r="AA366" s="1"/>
      <c r="AB366" s="1"/>
      <c r="AC366" s="1"/>
      <c r="AD366" s="1"/>
      <c r="AL366" s="23"/>
      <c r="AM366" s="23"/>
    </row>
    <row r="367" spans="17:39">
      <c r="Q367" s="6">
        <v>337</v>
      </c>
      <c r="R367" s="7">
        <v>43004</v>
      </c>
      <c r="S367" s="210">
        <v>3.5</v>
      </c>
      <c r="T367" s="8">
        <v>1.0000972222222222</v>
      </c>
      <c r="U367" s="98">
        <v>3.6121470212092888</v>
      </c>
      <c r="V367" s="106">
        <v>27198.824208346312</v>
      </c>
      <c r="W367" s="10">
        <v>-0.298272760561058</v>
      </c>
      <c r="X367" s="413">
        <v>-0.29422052515597591</v>
      </c>
      <c r="Y367" s="414">
        <v>0.29648269721853276</v>
      </c>
      <c r="Z367" s="1"/>
      <c r="AA367" s="1"/>
      <c r="AB367" s="1"/>
      <c r="AC367" s="1"/>
      <c r="AD367" s="1"/>
      <c r="AL367" s="23"/>
      <c r="AM367" s="23"/>
    </row>
    <row r="368" spans="17:39">
      <c r="Q368" s="6">
        <v>338</v>
      </c>
      <c r="R368" s="7">
        <v>43005</v>
      </c>
      <c r="S368" s="210">
        <v>3.5</v>
      </c>
      <c r="T368" s="8">
        <v>1.0000972222222222</v>
      </c>
      <c r="U368" s="98">
        <v>3.612147021209311</v>
      </c>
      <c r="V368" s="106">
        <v>27201.545644787489</v>
      </c>
      <c r="W368" s="10">
        <v>-0.29769680635842732</v>
      </c>
      <c r="X368" s="413">
        <v>-0.2936511319156887</v>
      </c>
      <c r="Y368" s="414">
        <v>0.29649718803391006</v>
      </c>
      <c r="Z368" s="1"/>
      <c r="AA368" s="1"/>
      <c r="AB368" s="1"/>
      <c r="AC368" s="1"/>
      <c r="AD368" s="1"/>
      <c r="AL368" s="23"/>
      <c r="AM368" s="23"/>
    </row>
    <row r="369" spans="17:39">
      <c r="Q369" s="6">
        <v>339</v>
      </c>
      <c r="R369" s="7">
        <v>43006</v>
      </c>
      <c r="S369" s="210">
        <v>3.5</v>
      </c>
      <c r="T369" s="8">
        <v>1.0000972222222222</v>
      </c>
      <c r="U369" s="98">
        <v>3.6121470212092888</v>
      </c>
      <c r="V369" s="106">
        <v>27204.267353527794</v>
      </c>
      <c r="W369" s="10">
        <v>-0.29712424681790361</v>
      </c>
      <c r="X369" s="413">
        <v>-0.2930850970766149</v>
      </c>
      <c r="Y369" s="414">
        <v>0.29651167979105608</v>
      </c>
      <c r="Z369" s="1"/>
      <c r="AA369" s="1"/>
      <c r="AB369" s="1"/>
      <c r="AC369" s="1"/>
      <c r="AD369" s="1"/>
      <c r="AL369" s="23"/>
      <c r="AM369" s="23"/>
    </row>
    <row r="370" spans="17:39">
      <c r="Q370" s="6">
        <v>340</v>
      </c>
      <c r="R370" s="7">
        <v>43007</v>
      </c>
      <c r="S370" s="210">
        <v>3.5</v>
      </c>
      <c r="T370" s="8">
        <v>1.0000972222222222</v>
      </c>
      <c r="U370" s="98">
        <v>3.6121470212092888</v>
      </c>
      <c r="V370" s="106">
        <v>27206.98933459448</v>
      </c>
      <c r="W370" s="10">
        <v>-0.29655505201560128</v>
      </c>
      <c r="X370" s="413">
        <v>-0.29252239100580252</v>
      </c>
      <c r="Y370" s="414">
        <v>0.29652617249004276</v>
      </c>
      <c r="Z370" s="1"/>
      <c r="AA370" s="1"/>
      <c r="AB370" s="1"/>
      <c r="AC370" s="1"/>
      <c r="AD370" s="1"/>
      <c r="AL370" s="23"/>
      <c r="AM370" s="23"/>
    </row>
    <row r="371" spans="17:39">
      <c r="Q371" s="6">
        <v>341</v>
      </c>
      <c r="R371" s="7">
        <v>43008</v>
      </c>
      <c r="S371" s="210">
        <v>3.5</v>
      </c>
      <c r="T371" s="8">
        <v>1.0000972222222222</v>
      </c>
      <c r="U371" s="98">
        <v>3.6121470212092888</v>
      </c>
      <c r="V371" s="106">
        <v>27209.711588014801</v>
      </c>
      <c r="W371" s="10">
        <v>-0.29598919237832089</v>
      </c>
      <c r="X371" s="413">
        <v>-0.29196298441793556</v>
      </c>
      <c r="Y371" s="414">
        <v>0.29654066613093705</v>
      </c>
      <c r="Z371" s="1"/>
      <c r="AA371" s="1"/>
      <c r="AB371" s="1"/>
      <c r="AC371" s="1"/>
      <c r="AD371" s="1"/>
      <c r="AL371" s="23"/>
      <c r="AM371" s="23"/>
    </row>
    <row r="372" spans="17:39">
      <c r="Q372" s="6">
        <v>342</v>
      </c>
      <c r="R372" s="7">
        <v>43009</v>
      </c>
      <c r="S372" s="210">
        <v>3.5</v>
      </c>
      <c r="T372" s="8">
        <v>1.0000972222222222</v>
      </c>
      <c r="U372" s="98">
        <v>3.612147021209311</v>
      </c>
      <c r="V372" s="106">
        <v>27212.434113816002</v>
      </c>
      <c r="W372" s="10">
        <v>-0.29542663867830887</v>
      </c>
      <c r="X372" s="413">
        <v>-0.29140684837013425</v>
      </c>
      <c r="Y372" s="414">
        <v>0.29655516071380922</v>
      </c>
      <c r="Z372" s="1"/>
      <c r="AA372" s="1"/>
      <c r="AB372" s="1"/>
      <c r="AC372" s="1"/>
      <c r="AD372" s="1"/>
      <c r="AL372" s="23"/>
      <c r="AM372" s="23"/>
    </row>
    <row r="373" spans="17:39">
      <c r="Q373" s="6">
        <v>343</v>
      </c>
      <c r="R373" s="7">
        <v>43010</v>
      </c>
      <c r="S373" s="210">
        <v>3.5</v>
      </c>
      <c r="T373" s="8">
        <v>1.0000972222222222</v>
      </c>
      <c r="U373" s="98">
        <v>3.612147021209311</v>
      </c>
      <c r="V373" s="106">
        <v>27215.15691202533</v>
      </c>
      <c r="W373" s="10">
        <v>-0.29486736202843922</v>
      </c>
      <c r="X373" s="413">
        <v>-0.29085395425710375</v>
      </c>
      <c r="Y373" s="414">
        <v>0.29656965623872666</v>
      </c>
      <c r="Z373" s="1"/>
      <c r="AA373" s="1"/>
      <c r="AB373" s="1"/>
      <c r="AC373" s="1"/>
      <c r="AD373" s="1"/>
      <c r="AL373" s="23"/>
      <c r="AM373" s="23"/>
    </row>
    <row r="374" spans="17:39">
      <c r="Q374" s="6">
        <v>344</v>
      </c>
      <c r="R374" s="7">
        <v>43011</v>
      </c>
      <c r="S374" s="210">
        <v>3.5</v>
      </c>
      <c r="T374" s="8">
        <v>1.0000972222222222</v>
      </c>
      <c r="U374" s="98">
        <v>3.612147021209311</v>
      </c>
      <c r="V374" s="106">
        <v>27217.879982670045</v>
      </c>
      <c r="W374" s="10">
        <v>-0.2943113338771397</v>
      </c>
      <c r="X374" s="413">
        <v>-0.29030427380618018</v>
      </c>
      <c r="Y374" s="414">
        <v>0.29658415270575783</v>
      </c>
      <c r="Z374" s="1"/>
      <c r="AA374" s="1"/>
      <c r="AB374" s="1"/>
      <c r="AC374" s="1"/>
      <c r="AD374" s="1"/>
      <c r="AL374" s="23"/>
      <c r="AM374" s="23"/>
    </row>
    <row r="375" spans="17:39">
      <c r="Q375" s="6">
        <v>345</v>
      </c>
      <c r="R375" s="7">
        <v>43012</v>
      </c>
      <c r="S375" s="210">
        <v>3.5</v>
      </c>
      <c r="T375" s="8">
        <v>1.0000972222222222</v>
      </c>
      <c r="U375" s="98">
        <v>3.612147021209311</v>
      </c>
      <c r="V375" s="106">
        <v>27220.603325777418</v>
      </c>
      <c r="W375" s="10">
        <v>-0.29375852600356245</v>
      </c>
      <c r="X375" s="413">
        <v>-0.28975777907249894</v>
      </c>
      <c r="Y375" s="414">
        <v>0.29659865011497255</v>
      </c>
      <c r="Z375" s="1"/>
      <c r="AA375" s="1"/>
      <c r="AB375" s="1"/>
      <c r="AC375" s="1"/>
      <c r="AD375" s="1"/>
      <c r="AL375" s="23"/>
      <c r="AM375" s="23"/>
    </row>
    <row r="376" spans="17:39">
      <c r="Q376" s="6">
        <v>346</v>
      </c>
      <c r="R376" s="7">
        <v>43013</v>
      </c>
      <c r="S376" s="210">
        <v>3.5</v>
      </c>
      <c r="T376" s="8">
        <v>1.0000972222222222</v>
      </c>
      <c r="U376" s="98">
        <v>3.612147021209311</v>
      </c>
      <c r="V376" s="106">
        <v>27223.326941374697</v>
      </c>
      <c r="W376" s="10">
        <v>-0.29320891051273223</v>
      </c>
      <c r="X376" s="413">
        <v>-0.28921444243417638</v>
      </c>
      <c r="Y376" s="414">
        <v>0.29661314846643971</v>
      </c>
      <c r="Z376" s="1"/>
      <c r="AA376" s="1"/>
      <c r="AB376" s="1"/>
      <c r="AC376" s="1"/>
      <c r="AD376" s="1"/>
      <c r="AL376" s="23"/>
      <c r="AM376" s="23"/>
    </row>
    <row r="377" spans="17:39">
      <c r="Q377" s="6">
        <v>347</v>
      </c>
      <c r="R377" s="7">
        <v>43014</v>
      </c>
      <c r="S377" s="210">
        <v>3.5</v>
      </c>
      <c r="T377" s="8">
        <v>1.0000972222222222</v>
      </c>
      <c r="U377" s="98">
        <v>3.612147021209311</v>
      </c>
      <c r="V377" s="106">
        <v>27226.050829489152</v>
      </c>
      <c r="W377" s="10">
        <v>-0.2926624598310279</v>
      </c>
      <c r="X377" s="413">
        <v>-0.28867423658786356</v>
      </c>
      <c r="Y377" s="414">
        <v>0.29662764776022732</v>
      </c>
      <c r="Z377" s="1"/>
      <c r="AA377" s="1"/>
      <c r="AB377" s="1"/>
      <c r="AC377" s="1"/>
      <c r="AD377" s="1"/>
      <c r="AL377" s="23"/>
      <c r="AM377" s="23"/>
    </row>
    <row r="378" spans="17:39">
      <c r="Q378" s="6">
        <v>348</v>
      </c>
      <c r="R378" s="7">
        <v>43015</v>
      </c>
      <c r="S378" s="210">
        <v>3.5</v>
      </c>
      <c r="T378" s="8">
        <v>1.0000972222222222</v>
      </c>
      <c r="U378" s="98">
        <v>3.612147021209311</v>
      </c>
      <c r="V378" s="106">
        <v>27228.774990148046</v>
      </c>
      <c r="W378" s="10">
        <v>-0.29211914670135286</v>
      </c>
      <c r="X378" s="413">
        <v>-0.28813713454390533</v>
      </c>
      <c r="Y378" s="414">
        <v>0.29664214799640465</v>
      </c>
      <c r="Z378" s="1"/>
      <c r="AA378" s="1"/>
      <c r="AB378" s="1"/>
      <c r="AC378" s="1"/>
      <c r="AD378" s="1"/>
      <c r="AL378" s="23"/>
      <c r="AM378" s="23"/>
    </row>
    <row r="379" spans="17:39">
      <c r="Q379" s="6">
        <v>349</v>
      </c>
      <c r="R379" s="7">
        <v>43016</v>
      </c>
      <c r="S379" s="210">
        <v>3.5</v>
      </c>
      <c r="T379" s="8">
        <v>1.0000972222222222</v>
      </c>
      <c r="U379" s="98">
        <v>3.612147021209311</v>
      </c>
      <c r="V379" s="106">
        <v>27231.499423378653</v>
      </c>
      <c r="W379" s="10">
        <v>-0.29157894417883856</v>
      </c>
      <c r="X379" s="413">
        <v>-0.28760310962212082</v>
      </c>
      <c r="Y379" s="414">
        <v>0.29665664917504014</v>
      </c>
      <c r="Z379" s="1"/>
      <c r="AA379" s="1"/>
      <c r="AB379" s="1"/>
      <c r="AC379" s="1"/>
      <c r="AD379" s="1"/>
      <c r="AL379" s="23"/>
      <c r="AM379" s="23"/>
    </row>
    <row r="380" spans="17:39">
      <c r="Q380" s="6">
        <v>350</v>
      </c>
      <c r="R380" s="7">
        <v>43017</v>
      </c>
      <c r="S380" s="210">
        <v>3.5</v>
      </c>
      <c r="T380" s="8">
        <v>1.0000972222222222</v>
      </c>
      <c r="U380" s="98">
        <v>3.6121470212092888</v>
      </c>
      <c r="V380" s="106">
        <v>27234.224129208247</v>
      </c>
      <c r="W380" s="10">
        <v>-0.29104182562617043</v>
      </c>
      <c r="X380" s="413">
        <v>-0.28707213544713156</v>
      </c>
      <c r="Y380" s="414">
        <v>0.29667115129620325</v>
      </c>
      <c r="Z380" s="1"/>
      <c r="AA380" s="1"/>
      <c r="AB380" s="1"/>
      <c r="AC380" s="1"/>
      <c r="AD380" s="1"/>
      <c r="AL380" s="23"/>
      <c r="AM380" s="23"/>
    </row>
    <row r="381" spans="17:39">
      <c r="Q381" s="6">
        <v>351</v>
      </c>
      <c r="R381" s="7">
        <v>43018</v>
      </c>
      <c r="S381" s="210">
        <v>3.5</v>
      </c>
      <c r="T381" s="8">
        <v>1.0000972222222222</v>
      </c>
      <c r="U381" s="98">
        <v>3.6121470212092888</v>
      </c>
      <c r="V381" s="106">
        <v>27239.060254243654</v>
      </c>
      <c r="W381" s="10">
        <v>-0.29854391127490665</v>
      </c>
      <c r="X381" s="413">
        <v>-0.29447114508008881</v>
      </c>
      <c r="Y381" s="414">
        <v>0.29668565435996291</v>
      </c>
      <c r="Z381" s="1"/>
      <c r="AA381" s="1"/>
      <c r="AB381" s="1"/>
      <c r="AC381" s="1"/>
      <c r="AD381" s="1"/>
      <c r="AL381" s="23"/>
      <c r="AM381" s="23"/>
    </row>
    <row r="382" spans="17:39">
      <c r="Q382" s="6">
        <v>352</v>
      </c>
      <c r="R382" s="7">
        <v>43019</v>
      </c>
      <c r="S382" s="210">
        <v>3.5</v>
      </c>
      <c r="T382" s="8">
        <v>1.0000972222222222</v>
      </c>
      <c r="U382" s="98">
        <v>3.612147021209311</v>
      </c>
      <c r="V382" s="106">
        <v>27243.897238055324</v>
      </c>
      <c r="W382" s="10">
        <v>-0.30600281178280175</v>
      </c>
      <c r="X382" s="413">
        <v>-0.30182745662679766</v>
      </c>
      <c r="Y382" s="414">
        <v>0.29670015836638897</v>
      </c>
      <c r="Z382" s="1"/>
      <c r="AA382" s="1"/>
      <c r="AB382" s="1"/>
      <c r="AC382" s="1"/>
      <c r="AD382" s="1"/>
      <c r="AL382" s="23"/>
      <c r="AM382" s="23"/>
    </row>
    <row r="383" spans="17:39">
      <c r="Q383" s="6">
        <v>353</v>
      </c>
      <c r="R383" s="7">
        <v>43020</v>
      </c>
      <c r="S383" s="210">
        <v>3.5</v>
      </c>
      <c r="T383" s="8">
        <v>1.0000972222222222</v>
      </c>
      <c r="U383" s="98">
        <v>3.612147021209311</v>
      </c>
      <c r="V383" s="106">
        <v>27248.735080795763</v>
      </c>
      <c r="W383" s="10">
        <v>-0.31341889894657138</v>
      </c>
      <c r="X383" s="413">
        <v>-0.30914143301326347</v>
      </c>
      <c r="Y383" s="414">
        <v>0.29671466331554847</v>
      </c>
      <c r="Z383" s="1"/>
      <c r="AA383" s="1"/>
      <c r="AB383" s="1"/>
      <c r="AC383" s="1"/>
      <c r="AD383" s="1"/>
      <c r="AL383" s="23"/>
      <c r="AM383" s="23"/>
    </row>
    <row r="384" spans="17:39">
      <c r="Q384" s="6">
        <v>354</v>
      </c>
      <c r="R384" s="7">
        <v>43021</v>
      </c>
      <c r="S384" s="210">
        <v>3.5</v>
      </c>
      <c r="T384" s="8">
        <v>1.0000972222222222</v>
      </c>
      <c r="U384" s="98">
        <v>3.612147021209311</v>
      </c>
      <c r="V384" s="106">
        <v>27253.573782617488</v>
      </c>
      <c r="W384" s="10">
        <v>-0.32079254030751292</v>
      </c>
      <c r="X384" s="413">
        <v>-0.31641343306463249</v>
      </c>
      <c r="Y384" s="414">
        <v>0.29672916920750991</v>
      </c>
      <c r="Z384" s="1"/>
      <c r="AA384" s="1"/>
      <c r="AB384" s="1"/>
      <c r="AC384" s="1"/>
      <c r="AD384" s="1"/>
      <c r="AL384" s="23"/>
      <c r="AM384" s="23"/>
    </row>
    <row r="385" spans="17:39">
      <c r="Q385" s="6">
        <v>355</v>
      </c>
      <c r="R385" s="7">
        <v>43022</v>
      </c>
      <c r="S385" s="210">
        <v>3.5</v>
      </c>
      <c r="T385" s="8">
        <v>1.0000972222222222</v>
      </c>
      <c r="U385" s="98">
        <v>3.612147021209311</v>
      </c>
      <c r="V385" s="106">
        <v>27258.413343673055</v>
      </c>
      <c r="W385" s="10">
        <v>-0.3281240992120904</v>
      </c>
      <c r="X385" s="413">
        <v>-0.323643811562906</v>
      </c>
      <c r="Y385" s="414">
        <v>0.29674367604234442</v>
      </c>
      <c r="Z385" s="1"/>
      <c r="AA385" s="1"/>
      <c r="AB385" s="1"/>
      <c r="AC385" s="1"/>
      <c r="AD385" s="1"/>
      <c r="AL385" s="23"/>
      <c r="AM385" s="23"/>
    </row>
    <row r="386" spans="17:39">
      <c r="Q386" s="6">
        <v>356</v>
      </c>
      <c r="R386" s="7">
        <v>43023</v>
      </c>
      <c r="S386" s="210">
        <v>3.75</v>
      </c>
      <c r="T386" s="8">
        <v>1.0001041666666666</v>
      </c>
      <c r="U386" s="98">
        <v>3.6128846686918958</v>
      </c>
      <c r="V386" s="106">
        <v>27263.253764115048</v>
      </c>
      <c r="W386" s="10">
        <v>-0.33470439131791929</v>
      </c>
      <c r="X386" s="413">
        <v>-0.33013303760767809</v>
      </c>
      <c r="Y386" s="414">
        <v>0.29681875935080215</v>
      </c>
      <c r="Z386" s="1"/>
      <c r="AA386" s="1"/>
      <c r="AB386" s="1"/>
      <c r="AC386" s="1"/>
      <c r="AD386" s="1"/>
      <c r="AL386" s="23"/>
      <c r="AM386" s="23"/>
    </row>
    <row r="387" spans="17:39">
      <c r="Q387" s="6">
        <v>357</v>
      </c>
      <c r="R387" s="7">
        <v>43024</v>
      </c>
      <c r="S387" s="210">
        <v>3.75</v>
      </c>
      <c r="T387" s="8">
        <v>1.0001041666666666</v>
      </c>
      <c r="U387" s="98">
        <v>3.613618188903045</v>
      </c>
      <c r="V387" s="106">
        <v>27268.095044096066</v>
      </c>
      <c r="W387" s="10">
        <v>-0.34124738825811463</v>
      </c>
      <c r="X387" s="413">
        <v>-0.33658536796064736</v>
      </c>
      <c r="Y387" s="414">
        <v>0.29689351640862061</v>
      </c>
      <c r="Z387" s="1"/>
      <c r="AA387" s="1"/>
      <c r="AB387" s="1"/>
      <c r="AC387" s="1"/>
      <c r="AD387" s="1"/>
      <c r="AL387" s="23"/>
      <c r="AM387" s="23"/>
    </row>
    <row r="388" spans="17:39">
      <c r="Q388" s="168">
        <v>358</v>
      </c>
      <c r="R388" s="169">
        <v>43025</v>
      </c>
      <c r="S388" s="211">
        <v>3.75</v>
      </c>
      <c r="T388" s="170">
        <v>1.0001041666666666</v>
      </c>
      <c r="U388" s="171">
        <v>3.614347616385416</v>
      </c>
      <c r="V388" s="172">
        <v>27272.937183768736</v>
      </c>
      <c r="W388" s="173">
        <v>-0.34775340618972139</v>
      </c>
      <c r="X388" s="415">
        <v>-0.34300111184314352</v>
      </c>
      <c r="Y388" s="414">
        <v>0.2969679499595495</v>
      </c>
      <c r="Z388" s="1"/>
      <c r="AA388" s="1"/>
      <c r="AB388" s="1"/>
      <c r="AC388" s="1"/>
      <c r="AD388" s="1"/>
      <c r="AL388" s="23"/>
      <c r="AM388" s="23"/>
    </row>
    <row r="389" spans="17:39">
      <c r="Q389" s="168">
        <v>359</v>
      </c>
      <c r="R389" s="169">
        <v>43026</v>
      </c>
      <c r="S389" s="211">
        <v>3.75</v>
      </c>
      <c r="T389" s="170">
        <v>1.0001041666666666</v>
      </c>
      <c r="U389" s="171">
        <v>3.6150729852971963</v>
      </c>
      <c r="V389" s="172">
        <v>27277.780183285733</v>
      </c>
      <c r="W389" s="173">
        <v>-0.35422275770669032</v>
      </c>
      <c r="X389" s="415">
        <v>-0.34938057503131154</v>
      </c>
      <c r="Y389" s="414">
        <v>0.29704206271676592</v>
      </c>
      <c r="Z389" s="1"/>
      <c r="AA389" s="1"/>
      <c r="AB389" s="1"/>
      <c r="AC389" s="1"/>
      <c r="AD389" s="1"/>
      <c r="AL389" s="23"/>
      <c r="AM389" s="23"/>
    </row>
    <row r="390" spans="17:39">
      <c r="Q390" s="168">
        <v>360</v>
      </c>
      <c r="R390" s="169">
        <v>43027</v>
      </c>
      <c r="S390" s="211">
        <v>3.75</v>
      </c>
      <c r="T390" s="170">
        <v>1.0001041666666666</v>
      </c>
      <c r="U390" s="171">
        <v>3.6157943294174988</v>
      </c>
      <c r="V390" s="172">
        <v>27282.624042799729</v>
      </c>
      <c r="W390" s="173">
        <v>-0.36065575188962695</v>
      </c>
      <c r="X390" s="415">
        <v>-0.3557240599035949</v>
      </c>
      <c r="Y390" s="414">
        <v>0.29711585736330226</v>
      </c>
      <c r="Z390" s="1"/>
      <c r="AA390" s="1"/>
      <c r="AB390" s="1"/>
      <c r="AC390" s="1"/>
      <c r="AD390" s="1"/>
      <c r="AL390" s="23"/>
      <c r="AM390" s="23"/>
    </row>
    <row r="391" spans="17:39">
      <c r="Q391" s="168">
        <v>361</v>
      </c>
      <c r="R391" s="169">
        <v>43028</v>
      </c>
      <c r="S391" s="211">
        <v>3.75</v>
      </c>
      <c r="T391" s="170">
        <v>1.0001041666666666</v>
      </c>
      <c r="U391" s="171">
        <v>3.6165116821516463</v>
      </c>
      <c r="V391" s="172">
        <v>27287.468762463446</v>
      </c>
      <c r="W391" s="173">
        <v>-0.36705269435519661</v>
      </c>
      <c r="X391" s="415">
        <v>-0.36203186548808314</v>
      </c>
      <c r="Y391" s="414">
        <v>0.29718933655246377</v>
      </c>
      <c r="Z391" s="1"/>
      <c r="AA391" s="1"/>
      <c r="AB391" s="1"/>
      <c r="AC391" s="1"/>
      <c r="AD391" s="1"/>
      <c r="AL391" s="23"/>
      <c r="AM391" s="23"/>
    </row>
    <row r="392" spans="17:39">
      <c r="Q392" s="168">
        <v>362</v>
      </c>
      <c r="R392" s="169">
        <v>43029</v>
      </c>
      <c r="S392" s="211">
        <v>3.75</v>
      </c>
      <c r="T392" s="170">
        <v>1.0001041666666666</v>
      </c>
      <c r="U392" s="171">
        <v>3.6172250765363456</v>
      </c>
      <c r="V392" s="172">
        <v>27292.314342429632</v>
      </c>
      <c r="W392" s="173">
        <v>-0.37341388730451897</v>
      </c>
      <c r="X392" s="415">
        <v>-0.36830428750869892</v>
      </c>
      <c r="Y392" s="414">
        <v>0.29726250290823941</v>
      </c>
      <c r="Z392" s="1"/>
      <c r="AA392" s="1"/>
      <c r="AB392" s="1"/>
      <c r="AC392" s="1"/>
      <c r="AD392" s="1"/>
      <c r="AL392" s="23"/>
      <c r="AM392" s="23"/>
    </row>
    <row r="393" spans="17:39">
      <c r="Q393" s="168">
        <v>363</v>
      </c>
      <c r="R393" s="169">
        <v>43030</v>
      </c>
      <c r="S393" s="211">
        <v>3.75</v>
      </c>
      <c r="T393" s="170">
        <v>1.0001041666666666</v>
      </c>
      <c r="U393" s="171">
        <v>3.6179345452446166</v>
      </c>
      <c r="V393" s="172">
        <v>27297.160782851039</v>
      </c>
      <c r="W393" s="173">
        <v>-0.37973962957057461</v>
      </c>
      <c r="X393" s="415">
        <v>-0.37454161843060019</v>
      </c>
      <c r="Y393" s="414">
        <v>0.29733535902570174</v>
      </c>
      <c r="Z393" s="1"/>
      <c r="AA393" s="1"/>
      <c r="AB393" s="1"/>
      <c r="AC393" s="1"/>
      <c r="AD393" s="1"/>
      <c r="AL393" s="23"/>
      <c r="AM393" s="23"/>
    </row>
    <row r="394" spans="17:39">
      <c r="Q394" s="168">
        <v>364</v>
      </c>
      <c r="R394" s="169">
        <v>43031</v>
      </c>
      <c r="S394" s="211">
        <v>3.75</v>
      </c>
      <c r="T394" s="170">
        <v>1.0001041666666666</v>
      </c>
      <c r="U394" s="171">
        <v>3.6186401205909435</v>
      </c>
      <c r="V394" s="172">
        <v>27302.008083880479</v>
      </c>
      <c r="W394" s="173">
        <v>-0.38603021666525628</v>
      </c>
      <c r="X394" s="415">
        <v>-0.38074414750517355</v>
      </c>
      <c r="Y394" s="414">
        <v>0.29740790747140794</v>
      </c>
      <c r="Z394" s="1"/>
      <c r="AA394" s="1"/>
      <c r="AB394" s="1"/>
      <c r="AC394" s="1"/>
      <c r="AD394" s="1"/>
      <c r="AL394" s="23"/>
      <c r="AM394" s="23"/>
    </row>
    <row r="395" spans="17:39">
      <c r="Q395" s="168">
        <v>365</v>
      </c>
      <c r="R395" s="169">
        <v>43032</v>
      </c>
      <c r="S395" s="211">
        <v>3.7744565217391304</v>
      </c>
      <c r="T395" s="170">
        <v>1.0001048460144928</v>
      </c>
      <c r="U395" s="171">
        <v>3.6194122207788615</v>
      </c>
      <c r="V395" s="172">
        <v>27306.856245670759</v>
      </c>
      <c r="W395" s="173">
        <v>-0.39221827958909605</v>
      </c>
      <c r="X395" s="415">
        <v>-0.38684542644403991</v>
      </c>
      <c r="Y395" s="414">
        <v>0.29748593595442702</v>
      </c>
      <c r="Z395" s="1"/>
      <c r="AA395" s="1"/>
      <c r="AB395" s="1"/>
      <c r="AC395" s="1"/>
      <c r="AD395" s="1"/>
      <c r="AL395" s="23"/>
      <c r="AM395" s="23"/>
    </row>
    <row r="396" spans="17:39">
      <c r="Q396" s="168">
        <v>366</v>
      </c>
      <c r="R396" s="169">
        <v>43033</v>
      </c>
      <c r="S396" s="211">
        <v>3.777173913043478</v>
      </c>
      <c r="T396" s="170">
        <v>1.0001049214975846</v>
      </c>
      <c r="U396" s="171">
        <v>3.620187906929595</v>
      </c>
      <c r="V396" s="172">
        <v>27311.705268374746</v>
      </c>
      <c r="W396" s="173">
        <v>-0.39836464979027264</v>
      </c>
      <c r="X396" s="415">
        <v>-0.39290545283173461</v>
      </c>
      <c r="Y396" s="414">
        <v>0.29756427251540063</v>
      </c>
      <c r="Z396" s="1"/>
      <c r="AA396" s="1"/>
      <c r="AB396" s="1"/>
      <c r="AC396" s="1"/>
      <c r="AD396" s="1"/>
      <c r="AL396" s="23"/>
      <c r="AM396" s="23"/>
    </row>
    <row r="397" spans="17:39">
      <c r="Q397" s="6">
        <v>367</v>
      </c>
      <c r="R397" s="7">
        <v>43034</v>
      </c>
      <c r="S397" s="210">
        <v>3.7798913043478262</v>
      </c>
      <c r="T397" s="8">
        <v>1.0001049969806763</v>
      </c>
      <c r="U397" s="98">
        <v>3.6209671498567797</v>
      </c>
      <c r="V397" s="106">
        <v>27316.555152145302</v>
      </c>
      <c r="W397" s="10">
        <v>-0.40446967258955802</v>
      </c>
      <c r="X397" s="413">
        <v>-0.39892456552756711</v>
      </c>
      <c r="Y397" s="414">
        <v>0.29764291484694361</v>
      </c>
      <c r="Z397" s="1"/>
      <c r="AA397" s="1"/>
      <c r="AB397" s="1"/>
      <c r="AC397" s="1"/>
      <c r="AD397" s="1"/>
      <c r="AL397" s="23"/>
      <c r="AM397" s="23"/>
    </row>
    <row r="398" spans="17:39">
      <c r="Q398" s="6">
        <v>368</v>
      </c>
      <c r="R398" s="7">
        <v>43035</v>
      </c>
      <c r="S398" s="210">
        <v>3.7826086956521738</v>
      </c>
      <c r="T398" s="8">
        <v>1.0001050724637681</v>
      </c>
      <c r="U398" s="98">
        <v>3.6217499206916637</v>
      </c>
      <c r="V398" s="106">
        <v>27321.405897135337</v>
      </c>
      <c r="W398" s="10">
        <v>-0.41053368950340063</v>
      </c>
      <c r="X398" s="413">
        <v>-0.40490309970582322</v>
      </c>
      <c r="Y398" s="414">
        <v>0.29772186066693523</v>
      </c>
      <c r="Z398" s="1"/>
      <c r="AA398" s="1"/>
      <c r="AB398" s="1"/>
      <c r="AC398" s="1"/>
      <c r="AD398" s="1"/>
      <c r="AL398" s="23"/>
      <c r="AM398" s="23"/>
    </row>
    <row r="399" spans="17:39">
      <c r="Q399" s="6">
        <v>369</v>
      </c>
      <c r="R399" s="7">
        <v>43036</v>
      </c>
      <c r="S399" s="210">
        <v>3.785326086956522</v>
      </c>
      <c r="T399" s="8">
        <v>1.0001051479468599</v>
      </c>
      <c r="U399" s="98">
        <v>3.6225361908787557</v>
      </c>
      <c r="V399" s="106">
        <v>27326.257503497789</v>
      </c>
      <c r="W399" s="10">
        <v>-0.4165570382960504</v>
      </c>
      <c r="X399" s="413">
        <v>-0.41084138690554611</v>
      </c>
      <c r="Y399" s="414">
        <v>0.29780110771818308</v>
      </c>
      <c r="Z399" s="1"/>
      <c r="AA399" s="1"/>
      <c r="AB399" s="1"/>
      <c r="AC399" s="1"/>
      <c r="AD399" s="1"/>
      <c r="AL399" s="23"/>
      <c r="AM399" s="23"/>
    </row>
    <row r="400" spans="17:39">
      <c r="Q400" s="6">
        <v>370</v>
      </c>
      <c r="R400" s="7">
        <v>43037</v>
      </c>
      <c r="S400" s="210">
        <v>3.7880434782608696</v>
      </c>
      <c r="T400" s="8">
        <v>1.0001052234299517</v>
      </c>
      <c r="U400" s="98">
        <v>3.6233259321716282</v>
      </c>
      <c r="V400" s="106">
        <v>27331.109971385598</v>
      </c>
      <c r="W400" s="10">
        <v>-0.42254005303082875</v>
      </c>
      <c r="X400" s="413">
        <v>-0.41673975507960681</v>
      </c>
      <c r="Y400" s="414">
        <v>0.29788065376808015</v>
      </c>
      <c r="Z400" s="1"/>
      <c r="AA400" s="1"/>
      <c r="AB400" s="1"/>
      <c r="AC400" s="1"/>
      <c r="AD400" s="1"/>
      <c r="AL400" s="23"/>
      <c r="AM400" s="23"/>
    </row>
    <row r="401" spans="17:39">
      <c r="Q401" s="6">
        <v>371</v>
      </c>
      <c r="R401" s="7">
        <v>43038</v>
      </c>
      <c r="S401" s="210">
        <v>3.7907608695652173</v>
      </c>
      <c r="T401" s="8">
        <v>1.0001052989130435</v>
      </c>
      <c r="U401" s="98">
        <v>3.6241191166287878</v>
      </c>
      <c r="V401" s="106">
        <v>27335.963300951767</v>
      </c>
      <c r="W401" s="10">
        <v>-0.42848306412095472</v>
      </c>
      <c r="X401" s="413">
        <v>-0.42259852864324077</v>
      </c>
      <c r="Y401" s="414">
        <v>0.29796049660827945</v>
      </c>
      <c r="Z401" s="1"/>
      <c r="AA401" s="1"/>
      <c r="AB401" s="1"/>
      <c r="AC401" s="1"/>
      <c r="AD401" s="1"/>
      <c r="AL401" s="23"/>
      <c r="AM401" s="23"/>
    </row>
    <row r="402" spans="17:39">
      <c r="Q402" s="6">
        <v>372</v>
      </c>
      <c r="R402" s="7">
        <v>43039</v>
      </c>
      <c r="S402" s="210">
        <v>3.7934782608695654</v>
      </c>
      <c r="T402" s="8">
        <v>1.0001053743961352</v>
      </c>
      <c r="U402" s="98">
        <v>3.6249157166095003</v>
      </c>
      <c r="V402" s="106">
        <v>27340.817492349306</v>
      </c>
      <c r="W402" s="10">
        <v>-0.43438639837898307</v>
      </c>
      <c r="X402" s="413">
        <v>-0.42841802852139166</v>
      </c>
      <c r="Y402" s="414">
        <v>0.29804063405436398</v>
      </c>
      <c r="Z402" s="1"/>
      <c r="AA402" s="1"/>
      <c r="AB402" s="1"/>
      <c r="AC402" s="1"/>
      <c r="AD402" s="1"/>
      <c r="AL402" s="23"/>
      <c r="AM402" s="23"/>
    </row>
    <row r="403" spans="17:39">
      <c r="Q403" s="6">
        <v>373</v>
      </c>
      <c r="R403" s="7">
        <v>43040</v>
      </c>
      <c r="S403" s="210">
        <v>3.7961956521739131</v>
      </c>
      <c r="T403" s="8">
        <v>1.000105449879227</v>
      </c>
      <c r="U403" s="98">
        <v>3.6257157047697497</v>
      </c>
      <c r="V403" s="106">
        <v>27345.672545731257</v>
      </c>
      <c r="W403" s="10">
        <v>-0.44025037906583186</v>
      </c>
      <c r="X403" s="413">
        <v>-0.43419857219556324</v>
      </c>
      <c r="Y403" s="414">
        <v>0.29812106394552973</v>
      </c>
      <c r="Z403" s="1"/>
      <c r="AA403" s="1"/>
      <c r="AB403" s="1"/>
      <c r="AC403" s="1"/>
      <c r="AD403" s="1"/>
      <c r="AL403" s="23"/>
      <c r="AM403" s="23"/>
    </row>
    <row r="404" spans="17:39">
      <c r="Q404" s="6">
        <v>374</v>
      </c>
      <c r="R404" s="7">
        <v>43041</v>
      </c>
      <c r="S404" s="210">
        <v>3.7989130434782608</v>
      </c>
      <c r="T404" s="8">
        <v>1.0001055253623188</v>
      </c>
      <c r="U404" s="98">
        <v>3.6265190540583969</v>
      </c>
      <c r="V404" s="106">
        <v>27350.528461250677</v>
      </c>
      <c r="W404" s="10">
        <v>-0.44607532593891053</v>
      </c>
      <c r="X404" s="413">
        <v>-0.43994047374990758</v>
      </c>
      <c r="Y404" s="414">
        <v>0.29820178414426618</v>
      </c>
      <c r="Z404" s="1"/>
      <c r="AA404" s="1"/>
      <c r="AB404" s="1"/>
      <c r="AC404" s="1"/>
      <c r="AD404" s="1"/>
      <c r="AL404" s="23"/>
      <c r="AM404" s="23"/>
    </row>
    <row r="405" spans="17:39">
      <c r="Q405" s="6">
        <v>375</v>
      </c>
      <c r="R405" s="7">
        <v>43042</v>
      </c>
      <c r="S405" s="210">
        <v>3.8016304347826089</v>
      </c>
      <c r="T405" s="8">
        <v>1.0001056008454106</v>
      </c>
      <c r="U405" s="98">
        <v>3.6273257377130497</v>
      </c>
      <c r="V405" s="106">
        <v>27355.385239060663</v>
      </c>
      <c r="W405" s="10">
        <v>-0.45186155529943761</v>
      </c>
      <c r="X405" s="413">
        <v>-0.44564404391645951</v>
      </c>
      <c r="Y405" s="414">
        <v>0.29828279253604606</v>
      </c>
      <c r="Z405" s="1"/>
      <c r="AA405" s="1"/>
      <c r="AB405" s="1"/>
      <c r="AC405" s="1"/>
      <c r="AD405" s="1"/>
      <c r="AL405" s="23"/>
      <c r="AM405" s="23"/>
    </row>
    <row r="406" spans="17:39">
      <c r="Q406" s="6">
        <v>376</v>
      </c>
      <c r="R406" s="7">
        <v>43043</v>
      </c>
      <c r="S406" s="210">
        <v>3.8043478260869565</v>
      </c>
      <c r="T406" s="8">
        <v>1.0001056763285023</v>
      </c>
      <c r="U406" s="98">
        <v>3.6281357292564431</v>
      </c>
      <c r="V406" s="106">
        <v>27360.242879314344</v>
      </c>
      <c r="W406" s="10">
        <v>-0.45760938003901463</v>
      </c>
      <c r="X406" s="413">
        <v>-0.45130959011977595</v>
      </c>
      <c r="Y406" s="414">
        <v>0.29836408702902478</v>
      </c>
      <c r="Z406" s="1"/>
      <c r="AA406" s="1"/>
      <c r="AB406" s="1"/>
      <c r="AC406" s="1"/>
      <c r="AD406" s="1"/>
      <c r="AL406" s="23"/>
      <c r="AM406" s="23"/>
    </row>
    <row r="407" spans="17:39">
      <c r="Q407" s="6">
        <v>377</v>
      </c>
      <c r="R407" s="7">
        <v>43044</v>
      </c>
      <c r="S407" s="210">
        <v>3.8070652173913042</v>
      </c>
      <c r="T407" s="8">
        <v>1.0001057518115941</v>
      </c>
      <c r="U407" s="98">
        <v>3.6289490024925097</v>
      </c>
      <c r="V407" s="106">
        <v>27365.101382164859</v>
      </c>
      <c r="W407" s="10">
        <v>-0.46331910968537837</v>
      </c>
      <c r="X407" s="413">
        <v>-0.45693741652069608</v>
      </c>
      <c r="Y407" s="414">
        <v>0.29844566555373442</v>
      </c>
      <c r="Z407" s="1"/>
      <c r="AA407" s="1"/>
      <c r="AB407" s="1"/>
      <c r="AC407" s="1"/>
      <c r="AD407" s="1"/>
      <c r="AL407" s="23"/>
      <c r="AM407" s="23"/>
    </row>
    <row r="408" spans="17:39">
      <c r="Q408" s="6">
        <v>378</v>
      </c>
      <c r="R408" s="7">
        <v>43045</v>
      </c>
      <c r="S408" s="210">
        <v>3.8097826086956523</v>
      </c>
      <c r="T408" s="8">
        <v>1.0001058272946859</v>
      </c>
      <c r="U408" s="98">
        <v>3.6297655315026933</v>
      </c>
      <c r="V408" s="106">
        <v>27369.960747765392</v>
      </c>
      <c r="W408" s="10">
        <v>-0.46899105044759803</v>
      </c>
      <c r="X408" s="413">
        <v>-0.46252782405967063</v>
      </c>
      <c r="Y408" s="414">
        <v>0.29852752606278765</v>
      </c>
      <c r="Z408" s="1"/>
      <c r="AA408" s="1"/>
      <c r="AB408" s="1"/>
      <c r="AC408" s="1"/>
      <c r="AD408" s="1"/>
      <c r="AL408" s="23"/>
      <c r="AM408" s="23"/>
    </row>
    <row r="409" spans="17:39">
      <c r="Q409" s="6">
        <v>379</v>
      </c>
      <c r="R409" s="7">
        <v>43046</v>
      </c>
      <c r="S409" s="210">
        <v>3.8125</v>
      </c>
      <c r="T409" s="8">
        <v>1.0001059027777779</v>
      </c>
      <c r="U409" s="98">
        <v>3.6305852906423519</v>
      </c>
      <c r="V409" s="106">
        <v>27374.82097626914</v>
      </c>
      <c r="W409" s="10">
        <v>-0.47462550526033986</v>
      </c>
      <c r="X409" s="413">
        <v>-0.46808111049907852</v>
      </c>
      <c r="Y409" s="414">
        <v>0.29860966653059351</v>
      </c>
      <c r="Z409" s="1"/>
      <c r="AA409" s="1"/>
      <c r="AB409" s="1"/>
      <c r="AC409" s="1"/>
      <c r="AD409" s="1"/>
      <c r="AL409" s="23"/>
      <c r="AM409" s="23"/>
    </row>
    <row r="410" spans="17:39">
      <c r="Q410" s="6">
        <v>380</v>
      </c>
      <c r="R410" s="7">
        <v>43047</v>
      </c>
      <c r="S410" s="210">
        <v>3.8152173913043477</v>
      </c>
      <c r="T410" s="8">
        <v>1.0001059782608697</v>
      </c>
      <c r="U410" s="98">
        <v>3.631408254536983</v>
      </c>
      <c r="V410" s="106">
        <v>27379.682067829341</v>
      </c>
      <c r="W410" s="10">
        <v>-0.4802227738275322</v>
      </c>
      <c r="X410" s="413">
        <v>-0.47359757046516976</v>
      </c>
      <c r="Y410" s="414">
        <v>0.29869208495306016</v>
      </c>
      <c r="Z410" s="1"/>
      <c r="AA410" s="1"/>
      <c r="AB410" s="1"/>
      <c r="AC410" s="1"/>
      <c r="AD410" s="1"/>
      <c r="AL410" s="23"/>
      <c r="AM410" s="23"/>
    </row>
    <row r="411" spans="17:39">
      <c r="Q411" s="6">
        <v>381</v>
      </c>
      <c r="R411" s="7">
        <v>43048</v>
      </c>
      <c r="S411" s="210">
        <v>3.8179347826086958</v>
      </c>
      <c r="T411" s="8">
        <v>1.0001060537439614</v>
      </c>
      <c r="U411" s="98">
        <v>3.6322343980788485</v>
      </c>
      <c r="V411" s="106">
        <v>27384.544022599246</v>
      </c>
      <c r="W411" s="10">
        <v>-0.48578315266535332</v>
      </c>
      <c r="X411" s="413">
        <v>-0.4790774954891695</v>
      </c>
      <c r="Y411" s="414">
        <v>0.2987747793473215</v>
      </c>
      <c r="Z411" s="1"/>
      <c r="AA411" s="1"/>
      <c r="AB411" s="1"/>
      <c r="AC411" s="1"/>
      <c r="AD411" s="1"/>
      <c r="AL411" s="23"/>
      <c r="AM411" s="23"/>
    </row>
    <row r="412" spans="17:39">
      <c r="Q412" s="6">
        <v>382</v>
      </c>
      <c r="R412" s="7">
        <v>43049</v>
      </c>
      <c r="S412" s="210">
        <v>3.8206521739130435</v>
      </c>
      <c r="T412" s="8">
        <v>1.0001061292270532</v>
      </c>
      <c r="U412" s="98">
        <v>3.6330636964234442</v>
      </c>
      <c r="V412" s="106">
        <v>27387.216591732064</v>
      </c>
      <c r="W412" s="10">
        <v>-0.48370305355328602</v>
      </c>
      <c r="X412" s="413">
        <v>-0.47702316205281464</v>
      </c>
      <c r="Y412" s="414">
        <v>0.29885774775145552</v>
      </c>
      <c r="Z412" s="1"/>
      <c r="AA412" s="1"/>
      <c r="AB412" s="1"/>
      <c r="AC412" s="1"/>
      <c r="AD412" s="1"/>
      <c r="AL412" s="23"/>
      <c r="AM412" s="23"/>
    </row>
    <row r="413" spans="17:39">
      <c r="Q413" s="6">
        <v>383</v>
      </c>
      <c r="R413" s="7">
        <v>43050</v>
      </c>
      <c r="S413" s="210">
        <v>3.8233695652173911</v>
      </c>
      <c r="T413" s="8">
        <v>1.000106204710145</v>
      </c>
      <c r="U413" s="98">
        <v>3.6338961249859025</v>
      </c>
      <c r="V413" s="106">
        <v>27389.889421691787</v>
      </c>
      <c r="W413" s="10">
        <v>-0.48162661528617923</v>
      </c>
      <c r="X413" s="413">
        <v>-0.47497249098042282</v>
      </c>
      <c r="Y413" s="414">
        <v>0.29894098822420967</v>
      </c>
      <c r="Z413" s="1"/>
      <c r="AA413" s="1"/>
      <c r="AB413" s="1"/>
      <c r="AC413" s="1"/>
      <c r="AD413" s="1"/>
      <c r="AL413" s="23"/>
      <c r="AM413" s="23"/>
    </row>
    <row r="414" spans="17:39">
      <c r="Q414" s="6">
        <v>384</v>
      </c>
      <c r="R414" s="7">
        <v>43051</v>
      </c>
      <c r="S414" s="210">
        <v>3.8260869565217392</v>
      </c>
      <c r="T414" s="8">
        <v>1.0001062801932368</v>
      </c>
      <c r="U414" s="98">
        <v>3.634731659437862</v>
      </c>
      <c r="V414" s="106">
        <v>27392.562512503864</v>
      </c>
      <c r="W414" s="10">
        <v>-0.47955380915487567</v>
      </c>
      <c r="X414" s="413">
        <v>-0.47292545347837889</v>
      </c>
      <c r="Y414" s="414">
        <v>0.29902449884473653</v>
      </c>
      <c r="Z414" s="1"/>
      <c r="AA414" s="1"/>
      <c r="AB414" s="1"/>
      <c r="AC414" s="1"/>
      <c r="AD414" s="1"/>
      <c r="AL414" s="23"/>
      <c r="AM414" s="23"/>
    </row>
    <row r="415" spans="17:39">
      <c r="Q415" s="6">
        <v>385</v>
      </c>
      <c r="R415" s="7">
        <v>43052</v>
      </c>
      <c r="S415" s="210">
        <v>3.8288043478260869</v>
      </c>
      <c r="T415" s="8">
        <v>1.0001063556763286</v>
      </c>
      <c r="U415" s="98">
        <v>3.6355702757039365</v>
      </c>
      <c r="V415" s="106">
        <v>27395.235864193754</v>
      </c>
      <c r="W415" s="10">
        <v>-0.47748460674812421</v>
      </c>
      <c r="X415" s="413">
        <v>-0.47088202105067556</v>
      </c>
      <c r="Y415" s="414">
        <v>0.29910827771232373</v>
      </c>
      <c r="Z415" s="1"/>
      <c r="AA415" s="1"/>
      <c r="AB415" s="1"/>
      <c r="AC415" s="1"/>
      <c r="AD415" s="1"/>
      <c r="AL415" s="23"/>
      <c r="AM415" s="23"/>
    </row>
    <row r="416" spans="17:39">
      <c r="Q416" s="6">
        <v>386</v>
      </c>
      <c r="R416" s="7">
        <v>43053</v>
      </c>
      <c r="S416" s="210">
        <v>3.8315217391304346</v>
      </c>
      <c r="T416" s="8">
        <v>1.0001064311594203</v>
      </c>
      <c r="U416" s="98">
        <v>3.6364119499584735</v>
      </c>
      <c r="V416" s="106">
        <v>27397.909476786917</v>
      </c>
      <c r="W416" s="10">
        <v>-0.47541897994871629</v>
      </c>
      <c r="X416" s="413">
        <v>-0.46884216549500612</v>
      </c>
      <c r="Y416" s="414">
        <v>0.2991923229461384</v>
      </c>
      <c r="Z416" s="1"/>
      <c r="AA416" s="1"/>
      <c r="AB416" s="1"/>
      <c r="AC416" s="1"/>
      <c r="AD416" s="1"/>
      <c r="AL416" s="23"/>
      <c r="AM416" s="23"/>
    </row>
    <row r="417" spans="17:39">
      <c r="Q417" s="6">
        <v>387</v>
      </c>
      <c r="R417" s="7">
        <v>43054</v>
      </c>
      <c r="S417" s="210">
        <v>3.8342391304347827</v>
      </c>
      <c r="T417" s="8">
        <v>1.0001065066425121</v>
      </c>
      <c r="U417" s="98">
        <v>3.6372566586224453</v>
      </c>
      <c r="V417" s="106">
        <v>27400.583350308822</v>
      </c>
      <c r="W417" s="10">
        <v>-0.47335690092961125</v>
      </c>
      <c r="X417" s="413">
        <v>-0.46680585889896004</v>
      </c>
      <c r="Y417" s="414">
        <v>0.29927663268496502</v>
      </c>
      <c r="Z417" s="1"/>
      <c r="AA417" s="1"/>
      <c r="AB417" s="1"/>
      <c r="AC417" s="1"/>
      <c r="AD417" s="1"/>
      <c r="AL417" s="23"/>
      <c r="AM417" s="23"/>
    </row>
    <row r="418" spans="17:39">
      <c r="Q418" s="6">
        <v>388</v>
      </c>
      <c r="R418" s="7">
        <v>43055</v>
      </c>
      <c r="S418" s="210">
        <v>3.8369565217391304</v>
      </c>
      <c r="T418" s="8">
        <v>1.0001065821256039</v>
      </c>
      <c r="U418" s="98">
        <v>3.6381043783600742</v>
      </c>
      <c r="V418" s="106">
        <v>27403.257484784928</v>
      </c>
      <c r="W418" s="10">
        <v>-0.47129834215029476</v>
      </c>
      <c r="X418" s="413">
        <v>-0.46477307363629716</v>
      </c>
      <c r="Y418" s="414">
        <v>0.29936120508695802</v>
      </c>
      <c r="Z418" s="1"/>
      <c r="AA418" s="1"/>
      <c r="AB418" s="1"/>
      <c r="AC418" s="1"/>
      <c r="AD418" s="1"/>
      <c r="AL418" s="23"/>
      <c r="AM418" s="23"/>
    </row>
    <row r="419" spans="17:39">
      <c r="Q419" s="6">
        <v>389</v>
      </c>
      <c r="R419" s="7">
        <v>43056</v>
      </c>
      <c r="S419" s="210">
        <v>3.839673913043478</v>
      </c>
      <c r="T419" s="8">
        <v>1.0001066576086957</v>
      </c>
      <c r="U419" s="98">
        <v>3.6389550860758568</v>
      </c>
      <c r="V419" s="106">
        <v>27405.9318802407</v>
      </c>
      <c r="W419" s="10">
        <v>-0.46924327635301522</v>
      </c>
      <c r="X419" s="413">
        <v>-0.46274378236326941</v>
      </c>
      <c r="Y419" s="414">
        <v>0.29944603832938721</v>
      </c>
      <c r="Z419" s="1"/>
      <c r="AA419" s="1"/>
      <c r="AB419" s="1"/>
      <c r="AC419" s="1"/>
      <c r="AD419" s="1"/>
      <c r="AL419" s="23"/>
      <c r="AM419" s="23"/>
    </row>
    <row r="420" spans="17:39">
      <c r="Q420" s="6">
        <v>390</v>
      </c>
      <c r="R420" s="7">
        <v>43057</v>
      </c>
      <c r="S420" s="210">
        <v>3.8423913043478262</v>
      </c>
      <c r="T420" s="8">
        <v>1.0001067330917874</v>
      </c>
      <c r="U420" s="98">
        <v>3.6398087589114114</v>
      </c>
      <c r="V420" s="106">
        <v>27408.606536701616</v>
      </c>
      <c r="W420" s="10">
        <v>-0.46719167655929761</v>
      </c>
      <c r="X420" s="413">
        <v>-0.46071795801505044</v>
      </c>
      <c r="Y420" s="414">
        <v>0.29953113060839837</v>
      </c>
      <c r="Z420" s="1"/>
      <c r="AA420" s="1"/>
      <c r="AB420" s="1"/>
      <c r="AC420" s="1"/>
      <c r="AD420" s="1"/>
      <c r="AL420" s="23"/>
      <c r="AM420" s="23"/>
    </row>
    <row r="421" spans="17:39">
      <c r="Q421" s="6">
        <v>391</v>
      </c>
      <c r="R421" s="7">
        <v>43058</v>
      </c>
      <c r="S421" s="210">
        <v>3.8451086956521738</v>
      </c>
      <c r="T421" s="8">
        <v>1.0001068085748792</v>
      </c>
      <c r="U421" s="98">
        <v>3.6406653742424577</v>
      </c>
      <c r="V421" s="106">
        <v>27411.28145419314</v>
      </c>
      <c r="W421" s="10">
        <v>-0.46514351606621318</v>
      </c>
      <c r="X421" s="413">
        <v>-0.45869557380206671</v>
      </c>
      <c r="Y421" s="414">
        <v>0.29961648013876802</v>
      </c>
      <c r="Z421" s="1"/>
      <c r="AA421" s="1"/>
      <c r="AB421" s="1"/>
      <c r="AC421" s="1"/>
      <c r="AD421" s="1"/>
      <c r="AL421" s="23"/>
      <c r="AM421" s="23"/>
    </row>
    <row r="422" spans="17:39">
      <c r="Q422" s="6">
        <v>392</v>
      </c>
      <c r="R422" s="7">
        <v>43059</v>
      </c>
      <c r="S422" s="210">
        <v>3.847826086956522</v>
      </c>
      <c r="T422" s="8">
        <v>1.000106884057971</v>
      </c>
      <c r="U422" s="98">
        <v>3.6415249096757973</v>
      </c>
      <c r="V422" s="106">
        <v>27413.956632740756</v>
      </c>
      <c r="W422" s="10">
        <v>-0.46309876844301545</v>
      </c>
      <c r="X422" s="413">
        <v>-0.45667660320660874</v>
      </c>
      <c r="Y422" s="414">
        <v>0.2997020851536662</v>
      </c>
      <c r="Z422" s="1"/>
      <c r="AA422" s="1"/>
      <c r="AB422" s="1"/>
      <c r="AC422" s="1"/>
      <c r="AD422" s="1"/>
      <c r="AL422" s="23"/>
      <c r="AM422" s="23"/>
    </row>
    <row r="423" spans="17:39">
      <c r="Q423" s="6">
        <v>393</v>
      </c>
      <c r="R423" s="7">
        <v>43060</v>
      </c>
      <c r="S423" s="210">
        <v>3.8505434782608696</v>
      </c>
      <c r="T423" s="8">
        <v>1.0001069595410628</v>
      </c>
      <c r="U423" s="98">
        <v>3.6423873430464493</v>
      </c>
      <c r="V423" s="106">
        <v>27416.632072369939</v>
      </c>
      <c r="W423" s="10">
        <v>-0.4610574075275764</v>
      </c>
      <c r="X423" s="413">
        <v>-0.45466101997924047</v>
      </c>
      <c r="Y423" s="414">
        <v>0.29978794390442542</v>
      </c>
      <c r="Z423" s="1"/>
      <c r="AA423" s="1"/>
      <c r="AB423" s="1"/>
      <c r="AC423" s="1"/>
      <c r="AD423" s="1"/>
      <c r="AL423" s="23"/>
      <c r="AM423" s="23"/>
    </row>
    <row r="424" spans="17:39">
      <c r="Q424" s="6">
        <v>394</v>
      </c>
      <c r="R424" s="7">
        <v>43061</v>
      </c>
      <c r="S424" s="210">
        <v>3.8532608695652173</v>
      </c>
      <c r="T424" s="8">
        <v>1.0001070350241545</v>
      </c>
      <c r="U424" s="98">
        <v>3.6432526524146525</v>
      </c>
      <c r="V424" s="106">
        <v>27419.307773106164</v>
      </c>
      <c r="W424" s="10">
        <v>-0.45901940742301139</v>
      </c>
      <c r="X424" s="413">
        <v>-0.45264879813549558</v>
      </c>
      <c r="Y424" s="414">
        <v>0.29987405466030703</v>
      </c>
      <c r="Z424" s="1"/>
      <c r="AA424" s="1"/>
      <c r="AB424" s="1"/>
      <c r="AC424" s="1"/>
      <c r="AD424" s="1"/>
      <c r="AL424" s="23"/>
      <c r="AM424" s="23"/>
    </row>
    <row r="425" spans="17:39">
      <c r="Q425" s="6">
        <v>395</v>
      </c>
      <c r="R425" s="7">
        <v>43062</v>
      </c>
      <c r="S425" s="210">
        <v>3.8559782608695654</v>
      </c>
      <c r="T425" s="8">
        <v>1.0001071105072463</v>
      </c>
      <c r="U425" s="98">
        <v>3.64412081606309</v>
      </c>
      <c r="V425" s="106">
        <v>27421.983734974914</v>
      </c>
      <c r="W425" s="10">
        <v>-0.4569847424943374</v>
      </c>
      <c r="X425" s="413">
        <v>-0.45063991195244318</v>
      </c>
      <c r="Y425" s="414">
        <v>0.29996041570827775</v>
      </c>
      <c r="Z425" s="1"/>
      <c r="AA425" s="1"/>
      <c r="AB425" s="1"/>
      <c r="AC425" s="1"/>
      <c r="AD425" s="1"/>
      <c r="AL425" s="23"/>
      <c r="AM425" s="23"/>
    </row>
    <row r="426" spans="17:39">
      <c r="Q426" s="6">
        <v>396</v>
      </c>
      <c r="R426" s="7">
        <v>43063</v>
      </c>
      <c r="S426" s="210">
        <v>3.8586956521739131</v>
      </c>
      <c r="T426" s="8">
        <v>1.0001071859903381</v>
      </c>
      <c r="U426" s="98">
        <v>3.6449918124940472</v>
      </c>
      <c r="V426" s="106">
        <v>27424.659958001681</v>
      </c>
      <c r="W426" s="10">
        <v>-0.45495338736522006</v>
      </c>
      <c r="X426" s="413">
        <v>-0.44863433596552638</v>
      </c>
      <c r="Y426" s="414">
        <v>0.30004702535278077</v>
      </c>
      <c r="Z426" s="1"/>
      <c r="AA426" s="1"/>
      <c r="AB426" s="1"/>
      <c r="AC426" s="1"/>
      <c r="AD426" s="1"/>
      <c r="AL426" s="23"/>
      <c r="AM426" s="23"/>
    </row>
    <row r="427" spans="17:39">
      <c r="Q427" s="6">
        <v>397</v>
      </c>
      <c r="R427" s="7">
        <v>43064</v>
      </c>
      <c r="S427" s="210">
        <v>3.8614130434782608</v>
      </c>
      <c r="T427" s="8">
        <v>1.0001072614734299</v>
      </c>
      <c r="U427" s="98">
        <v>3.6458656204266138</v>
      </c>
      <c r="V427" s="106">
        <v>27427.336442211945</v>
      </c>
      <c r="W427" s="10">
        <v>-0.45292531691459859</v>
      </c>
      <c r="X427" s="413">
        <v>-0.44663204496510722</v>
      </c>
      <c r="Y427" s="414">
        <v>0.30013388191552082</v>
      </c>
      <c r="Z427" s="1"/>
      <c r="AA427" s="1"/>
      <c r="AB427" s="1"/>
      <c r="AC427" s="1"/>
      <c r="AD427" s="1"/>
      <c r="AL427" s="23"/>
      <c r="AM427" s="23"/>
    </row>
    <row r="428" spans="17:39">
      <c r="Q428" s="6">
        <v>398</v>
      </c>
      <c r="R428" s="7">
        <v>43065</v>
      </c>
      <c r="S428" s="210">
        <v>3.8641304347826089</v>
      </c>
      <c r="T428" s="8">
        <v>1.0001073369565217</v>
      </c>
      <c r="U428" s="98">
        <v>3.6467422187939746</v>
      </c>
      <c r="V428" s="106">
        <v>27430.013187631201</v>
      </c>
      <c r="W428" s="10">
        <v>-0.45090050627361045</v>
      </c>
      <c r="X428" s="413">
        <v>-0.44463301399344457</v>
      </c>
      <c r="Y428" s="414">
        <v>0.30022098373524581</v>
      </c>
      <c r="Z428" s="1"/>
      <c r="AA428" s="1"/>
      <c r="AB428" s="1"/>
      <c r="AC428" s="1"/>
      <c r="AD428" s="1"/>
      <c r="AL428" s="23"/>
      <c r="AM428" s="23"/>
    </row>
    <row r="429" spans="17:39">
      <c r="Q429" s="6">
        <v>399</v>
      </c>
      <c r="R429" s="7">
        <v>43066</v>
      </c>
      <c r="S429" s="210">
        <v>3.8668478260869565</v>
      </c>
      <c r="T429" s="8">
        <v>1.0001074124396134</v>
      </c>
      <c r="U429" s="98">
        <v>3.6476215867408346</v>
      </c>
      <c r="V429" s="106">
        <v>27432.69019428494</v>
      </c>
      <c r="W429" s="10">
        <v>-0.44887893082232733</v>
      </c>
      <c r="X429" s="413">
        <v>-0.44263721834139769</v>
      </c>
      <c r="Y429" s="414">
        <v>0.30030832916753469</v>
      </c>
      <c r="Z429" s="1"/>
      <c r="AA429" s="1"/>
      <c r="AB429" s="1"/>
      <c r="AC429" s="1"/>
      <c r="AD429" s="1"/>
      <c r="AL429" s="23"/>
      <c r="AM429" s="23"/>
    </row>
    <row r="430" spans="17:39">
      <c r="Q430" s="6">
        <v>400</v>
      </c>
      <c r="R430" s="7">
        <v>43067</v>
      </c>
      <c r="S430" s="210">
        <v>3.8695652173913042</v>
      </c>
      <c r="T430" s="8">
        <v>1.0001074879227052</v>
      </c>
      <c r="U430" s="98">
        <v>3.6485037036205759</v>
      </c>
      <c r="V430" s="106">
        <v>27435.36746219865</v>
      </c>
      <c r="W430" s="10">
        <v>-0.44686056618672421</v>
      </c>
      <c r="X430" s="413">
        <v>-0.44064463354543837</v>
      </c>
      <c r="Y430" s="414">
        <v>0.30039591658458209</v>
      </c>
      <c r="Z430" s="1"/>
      <c r="AA430" s="1"/>
      <c r="AB430" s="1"/>
      <c r="AC430" s="1"/>
      <c r="AD430" s="1"/>
      <c r="AL430" s="23"/>
      <c r="AM430" s="23"/>
    </row>
    <row r="431" spans="17:39">
      <c r="Q431" s="6">
        <v>401</v>
      </c>
      <c r="R431" s="7">
        <v>43068</v>
      </c>
      <c r="S431" s="210">
        <v>3.8722826086956523</v>
      </c>
      <c r="T431" s="8">
        <v>1.0001075634057972</v>
      </c>
      <c r="U431" s="98">
        <v>3.6493885489927713</v>
      </c>
      <c r="V431" s="106">
        <v>27438.044991397845</v>
      </c>
      <c r="W431" s="10">
        <v>-0.44484538823561515</v>
      </c>
      <c r="X431" s="413">
        <v>-0.43865523538450868</v>
      </c>
      <c r="Y431" s="414">
        <v>0.30048374437499964</v>
      </c>
      <c r="Z431" s="1"/>
      <c r="AA431" s="1"/>
      <c r="AB431" s="1"/>
      <c r="AC431" s="1"/>
      <c r="AD431" s="1"/>
      <c r="AL431" s="23"/>
      <c r="AM431" s="23"/>
    </row>
    <row r="432" spans="17:39">
      <c r="Q432" s="6">
        <v>402</v>
      </c>
      <c r="R432" s="7">
        <v>43069</v>
      </c>
      <c r="S432" s="210">
        <v>3.875</v>
      </c>
      <c r="T432" s="8">
        <v>1.000107638888889</v>
      </c>
      <c r="U432" s="98">
        <v>3.650276102620631</v>
      </c>
      <c r="V432" s="106">
        <v>27440.722781908007</v>
      </c>
      <c r="W432" s="10">
        <v>-0.44283337307753357</v>
      </c>
      <c r="X432" s="413">
        <v>-0.4366689998770053</v>
      </c>
      <c r="Y432" s="414">
        <v>0.30057181094360158</v>
      </c>
      <c r="Z432" s="1"/>
      <c r="AA432" s="1"/>
      <c r="AB432" s="1"/>
      <c r="AC432" s="1"/>
      <c r="AD432" s="1"/>
      <c r="AL432" s="23"/>
      <c r="AM432" s="23"/>
    </row>
    <row r="433" spans="17:39">
      <c r="Q433" s="6">
        <v>403</v>
      </c>
      <c r="R433" s="7">
        <v>43070</v>
      </c>
      <c r="S433" s="210">
        <v>3.8777173913043477</v>
      </c>
      <c r="T433" s="8">
        <v>1.0001077143719808</v>
      </c>
      <c r="U433" s="98">
        <v>3.6511663444683817</v>
      </c>
      <c r="V433" s="106">
        <v>27443.400833754647</v>
      </c>
      <c r="W433" s="10">
        <v>-0.44082449705794557</v>
      </c>
      <c r="X433" s="413">
        <v>-0.43468590327788792</v>
      </c>
      <c r="Y433" s="414">
        <v>0.30066011471121212</v>
      </c>
      <c r="Z433" s="1"/>
      <c r="AA433" s="1"/>
      <c r="AB433" s="1"/>
      <c r="AC433" s="1"/>
      <c r="AD433" s="1"/>
      <c r="AL433" s="23"/>
      <c r="AM433" s="23"/>
    </row>
    <row r="434" spans="17:39">
      <c r="Q434" s="6">
        <v>404</v>
      </c>
      <c r="R434" s="7">
        <v>43071</v>
      </c>
      <c r="S434" s="210">
        <v>3.8804347826086958</v>
      </c>
      <c r="T434" s="8">
        <v>1.0001077898550725</v>
      </c>
      <c r="U434" s="98">
        <v>3.6520592546988473</v>
      </c>
      <c r="V434" s="106">
        <v>27446.079146963271</v>
      </c>
      <c r="W434" s="10">
        <v>-0.43881873675616356</v>
      </c>
      <c r="X434" s="413">
        <v>-0.43270592207567238</v>
      </c>
      <c r="Y434" s="414">
        <v>0.30074865411446255</v>
      </c>
      <c r="Z434" s="1"/>
      <c r="AA434" s="1"/>
      <c r="AB434" s="1"/>
      <c r="AC434" s="1"/>
      <c r="AD434" s="1"/>
      <c r="AL434" s="23"/>
      <c r="AM434" s="23"/>
    </row>
    <row r="435" spans="17:39">
      <c r="Q435" s="6">
        <v>405</v>
      </c>
      <c r="R435" s="7">
        <v>43072</v>
      </c>
      <c r="S435" s="210">
        <v>3.8831521739130435</v>
      </c>
      <c r="T435" s="8">
        <v>1.0001078653381643</v>
      </c>
      <c r="U435" s="98">
        <v>3.6529548136710055</v>
      </c>
      <c r="V435" s="106">
        <v>27448.757721559381</v>
      </c>
      <c r="W435" s="10">
        <v>-0.43681606898250402</v>
      </c>
      <c r="X435" s="413">
        <v>-0.43072903298955684</v>
      </c>
      <c r="Y435" s="414">
        <v>0.30083742760560062</v>
      </c>
      <c r="Z435" s="1"/>
      <c r="AA435" s="1"/>
      <c r="AB435" s="1"/>
      <c r="AC435" s="1"/>
      <c r="AD435" s="1"/>
      <c r="AL435" s="23"/>
      <c r="AM435" s="23"/>
    </row>
    <row r="436" spans="17:39">
      <c r="Q436" s="6">
        <v>406</v>
      </c>
      <c r="R436" s="7">
        <v>43073</v>
      </c>
      <c r="S436" s="210">
        <v>3.8858695652173911</v>
      </c>
      <c r="T436" s="8">
        <v>1.0001079408212561</v>
      </c>
      <c r="U436" s="98">
        <v>3.6538530019375681</v>
      </c>
      <c r="V436" s="106">
        <v>27451.436557568497</v>
      </c>
      <c r="W436" s="10">
        <v>-0.4348164707755009</v>
      </c>
      <c r="X436" s="413">
        <v>-0.42875521296662067</v>
      </c>
      <c r="Y436" s="414">
        <v>0.30092643365229521</v>
      </c>
      <c r="Z436" s="1"/>
      <c r="AA436" s="1"/>
      <c r="AB436" s="1"/>
      <c r="AC436" s="1"/>
      <c r="AD436" s="1"/>
      <c r="AL436" s="23"/>
      <c r="AM436" s="23"/>
    </row>
    <row r="437" spans="17:39">
      <c r="Q437" s="6">
        <v>407</v>
      </c>
      <c r="R437" s="7">
        <v>43074</v>
      </c>
      <c r="S437" s="210">
        <v>3.8885869565217392</v>
      </c>
      <c r="T437" s="8">
        <v>1.0001080163043479</v>
      </c>
      <c r="U437" s="98">
        <v>3.654753800242494</v>
      </c>
      <c r="V437" s="106">
        <v>27454.115655016121</v>
      </c>
      <c r="W437" s="10">
        <v>-0.43281991939900788</v>
      </c>
      <c r="X437" s="413">
        <v>-0.42678443917896575</v>
      </c>
      <c r="Y437" s="414">
        <v>0.30101567073744512</v>
      </c>
      <c r="Z437" s="1"/>
      <c r="AA437" s="1"/>
      <c r="AB437" s="1"/>
      <c r="AC437" s="1"/>
      <c r="AD437" s="1"/>
      <c r="AL437" s="23"/>
      <c r="AM437" s="23"/>
    </row>
    <row r="438" spans="17:39">
      <c r="Q438" s="6">
        <v>408</v>
      </c>
      <c r="R438" s="7">
        <v>43075</v>
      </c>
      <c r="S438" s="210">
        <v>3.8913043478260869</v>
      </c>
      <c r="T438" s="8">
        <v>1.0001080917874396</v>
      </c>
      <c r="U438" s="98">
        <v>3.6556571895187906</v>
      </c>
      <c r="V438" s="106">
        <v>27456.795013927771</v>
      </c>
      <c r="W438" s="10">
        <v>-0.43082639233954501</v>
      </c>
      <c r="X438" s="413">
        <v>-0.42481668902101777</v>
      </c>
      <c r="Y438" s="414">
        <v>0.30110513735899758</v>
      </c>
      <c r="Z438" s="1"/>
      <c r="AA438" s="1"/>
      <c r="AB438" s="1"/>
      <c r="AC438" s="1"/>
      <c r="AD438" s="1"/>
      <c r="AL438" s="23"/>
      <c r="AM438" s="23"/>
    </row>
    <row r="439" spans="17:39">
      <c r="Q439" s="6">
        <v>409</v>
      </c>
      <c r="R439" s="7">
        <v>43076</v>
      </c>
      <c r="S439" s="210">
        <v>3.8940217391304346</v>
      </c>
      <c r="T439" s="8">
        <v>1.0001081672705314</v>
      </c>
      <c r="U439" s="98">
        <v>3.6565631508861163</v>
      </c>
      <c r="V439" s="106">
        <v>27459.474634328963</v>
      </c>
      <c r="W439" s="10">
        <v>-0.42883586730346757</v>
      </c>
      <c r="X439" s="413">
        <v>-0.4228519401067396</v>
      </c>
      <c r="Y439" s="414">
        <v>0.30119483202976227</v>
      </c>
      <c r="Z439" s="1"/>
      <c r="AA439" s="1"/>
      <c r="AB439" s="1"/>
      <c r="AC439" s="1"/>
      <c r="AD439" s="1"/>
      <c r="AL439" s="23"/>
      <c r="AM439" s="23"/>
    </row>
    <row r="440" spans="17:39">
      <c r="Q440" s="6">
        <v>410</v>
      </c>
      <c r="R440" s="7">
        <v>43077</v>
      </c>
      <c r="S440" s="210">
        <v>3.8967391304347827</v>
      </c>
      <c r="T440" s="8">
        <v>1.0001082427536232</v>
      </c>
      <c r="U440" s="98">
        <v>3.6574716656484929</v>
      </c>
      <c r="V440" s="106">
        <v>27462.154516245224</v>
      </c>
      <c r="W440" s="10">
        <v>-0.42684832221446811</v>
      </c>
      <c r="X440" s="413">
        <v>-0.42089017026709102</v>
      </c>
      <c r="Y440" s="414">
        <v>0.30128475327722548</v>
      </c>
      <c r="Z440" s="1"/>
      <c r="AA440" s="1"/>
      <c r="AB440" s="1"/>
      <c r="AC440" s="1"/>
      <c r="AD440" s="1"/>
      <c r="AL440" s="23"/>
      <c r="AM440" s="23"/>
    </row>
    <row r="441" spans="17:39">
      <c r="Q441" s="6">
        <v>411</v>
      </c>
      <c r="R441" s="7">
        <v>43078</v>
      </c>
      <c r="S441" s="210">
        <v>3.8994565217391304</v>
      </c>
      <c r="T441" s="8">
        <v>1.000108318236715</v>
      </c>
      <c r="U441" s="98">
        <v>3.6583827152921522</v>
      </c>
      <c r="V441" s="106">
        <v>27464.834659702065</v>
      </c>
      <c r="W441" s="10">
        <v>-0.42486373521066767</v>
      </c>
      <c r="X441" s="413">
        <v>-0.41893135754717425</v>
      </c>
      <c r="Y441" s="414">
        <v>0.30137489964337949</v>
      </c>
      <c r="Z441" s="1"/>
      <c r="AA441" s="1"/>
      <c r="AB441" s="1"/>
      <c r="AC441" s="1"/>
      <c r="AD441" s="1"/>
      <c r="AL441" s="23"/>
      <c r="AM441" s="23"/>
    </row>
    <row r="442" spans="17:39">
      <c r="Q442" s="6">
        <v>412</v>
      </c>
      <c r="R442" s="7">
        <v>43079</v>
      </c>
      <c r="S442" s="210">
        <v>3.902173913043478</v>
      </c>
      <c r="T442" s="8">
        <v>1.0001083937198068</v>
      </c>
      <c r="U442" s="98">
        <v>3.659296281483182</v>
      </c>
      <c r="V442" s="106">
        <v>27466.137047097414</v>
      </c>
      <c r="W442" s="10">
        <v>-0.41845608730588513</v>
      </c>
      <c r="X442" s="413">
        <v>-0.41261248195992656</v>
      </c>
      <c r="Y442" s="414">
        <v>0.3014652696845419</v>
      </c>
      <c r="Z442" s="1"/>
      <c r="AA442" s="1"/>
      <c r="AB442" s="1"/>
      <c r="AC442" s="1"/>
      <c r="AD442" s="1"/>
      <c r="AL442" s="23"/>
      <c r="AM442" s="23"/>
    </row>
    <row r="443" spans="17:39">
      <c r="Q443" s="6">
        <v>413</v>
      </c>
      <c r="R443" s="7">
        <v>43080</v>
      </c>
      <c r="S443" s="210">
        <v>3.9048913043478262</v>
      </c>
      <c r="T443" s="8">
        <v>1.0001084692028985</v>
      </c>
      <c r="U443" s="98">
        <v>3.6602123460654612</v>
      </c>
      <c r="V443" s="106">
        <v>27467.439496252209</v>
      </c>
      <c r="W443" s="10">
        <v>-0.41207241701809449</v>
      </c>
      <c r="X443" s="413">
        <v>-0.4063173355080254</v>
      </c>
      <c r="Y443" s="414">
        <v>0.30155586197118361</v>
      </c>
      <c r="Z443" s="1"/>
      <c r="AA443" s="1"/>
      <c r="AB443" s="1"/>
      <c r="AC443" s="1"/>
      <c r="AD443" s="1"/>
      <c r="AL443" s="23"/>
      <c r="AM443" s="23"/>
    </row>
    <row r="444" spans="17:39">
      <c r="Q444" s="6">
        <v>414</v>
      </c>
      <c r="R444" s="7">
        <v>43081</v>
      </c>
      <c r="S444" s="210">
        <v>3.9076086956521738</v>
      </c>
      <c r="T444" s="8">
        <v>1.0001085446859903</v>
      </c>
      <c r="U444" s="98">
        <v>3.6611308910584617</v>
      </c>
      <c r="V444" s="106">
        <v>27468.742007169374</v>
      </c>
      <c r="W444" s="10">
        <v>-0.40571255226186098</v>
      </c>
      <c r="X444" s="413">
        <v>-0.4000457450258102</v>
      </c>
      <c r="Y444" s="414">
        <v>0.30164667508775467</v>
      </c>
      <c r="Z444" s="1"/>
      <c r="AA444" s="1"/>
      <c r="AB444" s="1"/>
      <c r="AC444" s="1"/>
      <c r="AD444" s="1"/>
      <c r="AL444" s="23"/>
      <c r="AM444" s="23"/>
    </row>
    <row r="445" spans="17:39">
      <c r="Q445" s="6">
        <v>415</v>
      </c>
      <c r="R445" s="7">
        <v>43082</v>
      </c>
      <c r="S445" s="210">
        <v>3.910326086956522</v>
      </c>
      <c r="T445" s="8">
        <v>1.0001086201690821</v>
      </c>
      <c r="U445" s="98">
        <v>3.6620518986551387</v>
      </c>
      <c r="V445" s="106">
        <v>27470.044579851845</v>
      </c>
      <c r="W445" s="10">
        <v>-0.39937632259308131</v>
      </c>
      <c r="X445" s="413">
        <v>-0.39379753901498205</v>
      </c>
      <c r="Y445" s="414">
        <v>0.30173770763252239</v>
      </c>
      <c r="Z445" s="1"/>
      <c r="AA445" s="1"/>
      <c r="AB445" s="1"/>
      <c r="AC445" s="1"/>
      <c r="AD445" s="1"/>
      <c r="AL445" s="23"/>
      <c r="AM445" s="23"/>
    </row>
    <row r="446" spans="17:39">
      <c r="Q446" s="6">
        <v>416</v>
      </c>
      <c r="R446" s="7">
        <v>43083</v>
      </c>
      <c r="S446" s="210">
        <v>3.9130434782608696</v>
      </c>
      <c r="T446" s="8">
        <v>1.0001086956521739</v>
      </c>
      <c r="U446" s="98">
        <v>3.6629753512198437</v>
      </c>
      <c r="V446" s="106">
        <v>27471.347214302546</v>
      </c>
      <c r="W446" s="10">
        <v>-0.39306355918954372</v>
      </c>
      <c r="X446" s="413">
        <v>-0.38757254762466942</v>
      </c>
      <c r="Y446" s="414">
        <v>0.30182895821740047</v>
      </c>
      <c r="Z446" s="1"/>
      <c r="AA446" s="1"/>
      <c r="AB446" s="1"/>
      <c r="AC446" s="1"/>
      <c r="AD446" s="1"/>
      <c r="AL446" s="23"/>
      <c r="AM446" s="23"/>
    </row>
    <row r="447" spans="17:39">
      <c r="Q447" s="6">
        <v>417</v>
      </c>
      <c r="R447" s="7">
        <v>43084</v>
      </c>
      <c r="S447" s="210">
        <v>3.9157608695652173</v>
      </c>
      <c r="T447" s="8">
        <v>1.0001087711352656</v>
      </c>
      <c r="U447" s="98">
        <v>3.6639012312862818</v>
      </c>
      <c r="V447" s="106">
        <v>27472.649910524404</v>
      </c>
      <c r="W447" s="10">
        <v>-0.38677409483168779</v>
      </c>
      <c r="X447" s="413">
        <v>-0.38137060263162686</v>
      </c>
      <c r="Y447" s="414">
        <v>0.3019204254677868</v>
      </c>
      <c r="Z447" s="1"/>
      <c r="AA447" s="1"/>
      <c r="AB447" s="1"/>
      <c r="AC447" s="1"/>
      <c r="AD447" s="1"/>
      <c r="AL447" s="23"/>
      <c r="AM447" s="23"/>
    </row>
    <row r="448" spans="17:39">
      <c r="Q448" s="6">
        <v>418</v>
      </c>
      <c r="R448" s="7">
        <v>43085</v>
      </c>
      <c r="S448" s="210">
        <v>3.9184782608695654</v>
      </c>
      <c r="T448" s="8">
        <v>1.0001088466183574</v>
      </c>
      <c r="U448" s="98">
        <v>3.6648295215554683</v>
      </c>
      <c r="V448" s="106">
        <v>27473.952668520349</v>
      </c>
      <c r="W448" s="10">
        <v>-0.38050776388369734</v>
      </c>
      <c r="X448" s="413">
        <v>-0.37519153742086103</v>
      </c>
      <c r="Y448" s="414">
        <v>0.3020121080224008</v>
      </c>
      <c r="Z448" s="1"/>
      <c r="AA448" s="1"/>
      <c r="AB448" s="1"/>
      <c r="AC448" s="1"/>
      <c r="AD448" s="1"/>
      <c r="AL448" s="23"/>
      <c r="AM448" s="23"/>
    </row>
    <row r="449" spans="17:39">
      <c r="Q449" s="6">
        <v>419</v>
      </c>
      <c r="R449" s="7">
        <v>43086</v>
      </c>
      <c r="S449" s="210">
        <v>3.9211956521739131</v>
      </c>
      <c r="T449" s="8">
        <v>1.0001089221014492</v>
      </c>
      <c r="U449" s="98">
        <v>3.6657602048936866</v>
      </c>
      <c r="V449" s="106">
        <v>27475.255488293318</v>
      </c>
      <c r="W449" s="10">
        <v>-0.37426440227465996</v>
      </c>
      <c r="X449" s="413">
        <v>-0.36903518696629656</v>
      </c>
      <c r="Y449" s="414">
        <v>0.30210400453312908</v>
      </c>
      <c r="Z449" s="1"/>
      <c r="AA449" s="1"/>
      <c r="AB449" s="1"/>
      <c r="AC449" s="1"/>
      <c r="AD449" s="1"/>
      <c r="AL449" s="23"/>
      <c r="AM449" s="23"/>
    </row>
    <row r="450" spans="17:39">
      <c r="Q450" s="6">
        <v>420</v>
      </c>
      <c r="R450" s="7">
        <v>43087</v>
      </c>
      <c r="S450" s="210">
        <v>3.9239130434782608</v>
      </c>
      <c r="T450" s="8">
        <v>1.000108997584541</v>
      </c>
      <c r="U450" s="98">
        <v>3.6666932643306449</v>
      </c>
      <c r="V450" s="106">
        <v>27476.558369846232</v>
      </c>
      <c r="W450" s="10">
        <v>-0.36804384748021501</v>
      </c>
      <c r="X450" s="413">
        <v>-0.36290138781193609</v>
      </c>
      <c r="Y450" s="414">
        <v>0.30219611366486226</v>
      </c>
      <c r="Z450" s="1"/>
      <c r="AA450" s="1"/>
      <c r="AB450" s="1"/>
      <c r="AC450" s="1"/>
      <c r="AD450" s="1"/>
      <c r="AL450" s="23"/>
      <c r="AM450" s="23"/>
    </row>
    <row r="451" spans="17:39">
      <c r="Q451" s="6">
        <v>421</v>
      </c>
      <c r="R451" s="7">
        <v>43088</v>
      </c>
      <c r="S451" s="210">
        <v>3.9266304347826089</v>
      </c>
      <c r="T451" s="8">
        <v>1.0001090730676327</v>
      </c>
      <c r="U451" s="98">
        <v>3.667628683057389</v>
      </c>
      <c r="V451" s="106">
        <v>27477.86131318202</v>
      </c>
      <c r="W451" s="10">
        <v>-0.36184593850433489</v>
      </c>
      <c r="X451" s="413">
        <v>-0.35678997805320423</v>
      </c>
      <c r="Y451" s="414">
        <v>0.30228843409534711</v>
      </c>
      <c r="Z451" s="1"/>
      <c r="AA451" s="1"/>
      <c r="AB451" s="1"/>
      <c r="AC451" s="1"/>
      <c r="AD451" s="1"/>
      <c r="AL451" s="23"/>
      <c r="AM451" s="23"/>
    </row>
    <row r="452" spans="17:39">
      <c r="Q452" s="6">
        <v>422</v>
      </c>
      <c r="R452" s="7">
        <v>43089</v>
      </c>
      <c r="S452" s="210">
        <v>3.9293478260869565</v>
      </c>
      <c r="T452" s="8">
        <v>1.0001091485507247</v>
      </c>
      <c r="U452" s="98">
        <v>3.6685664444244592</v>
      </c>
      <c r="V452" s="106">
        <v>27479.164318303621</v>
      </c>
      <c r="W452" s="10">
        <v>-0.35567051586147258</v>
      </c>
      <c r="X452" s="413">
        <v>-0.35070079731859372</v>
      </c>
      <c r="Y452" s="414">
        <v>0.30238096451502938</v>
      </c>
      <c r="Z452" s="1"/>
      <c r="AA452" s="1"/>
      <c r="AB452" s="1"/>
      <c r="AC452" s="1"/>
      <c r="AD452" s="1"/>
      <c r="AL452" s="23"/>
      <c r="AM452" s="23"/>
    </row>
    <row r="453" spans="17:39">
      <c r="Q453" s="6">
        <v>423</v>
      </c>
      <c r="R453" s="7">
        <v>43090</v>
      </c>
      <c r="S453" s="210">
        <v>3.9320652173913042</v>
      </c>
      <c r="T453" s="8">
        <v>1.0001092240338165</v>
      </c>
      <c r="U453" s="98">
        <v>3.6695065319400477</v>
      </c>
      <c r="V453" s="106">
        <v>27480.467385213953</v>
      </c>
      <c r="W453" s="10">
        <v>-0.34951742155883148</v>
      </c>
      <c r="X453" s="413">
        <v>-0.34463368675152523</v>
      </c>
      <c r="Y453" s="414">
        <v>0.30247370362690507</v>
      </c>
      <c r="Z453" s="1"/>
      <c r="AA453" s="1"/>
      <c r="AB453" s="1"/>
      <c r="AC453" s="1"/>
      <c r="AD453" s="1"/>
      <c r="AL453" s="23"/>
      <c r="AM453" s="23"/>
    </row>
    <row r="454" spans="17:39">
      <c r="Q454" s="6">
        <v>424</v>
      </c>
      <c r="R454" s="7">
        <v>43091</v>
      </c>
      <c r="S454" s="210">
        <v>3.9347826086956523</v>
      </c>
      <c r="T454" s="8">
        <v>1.0001092995169083</v>
      </c>
      <c r="U454" s="98">
        <v>3.6704489292679998</v>
      </c>
      <c r="V454" s="106">
        <v>27481.770513915959</v>
      </c>
      <c r="W454" s="10">
        <v>-0.34338649907897922</v>
      </c>
      <c r="X454" s="413">
        <v>-0.33858848899246419</v>
      </c>
      <c r="Y454" s="414">
        <v>0.30256665014637274</v>
      </c>
      <c r="Z454" s="1"/>
      <c r="AA454" s="1"/>
      <c r="AB454" s="1"/>
      <c r="AC454" s="1"/>
      <c r="AD454" s="1"/>
      <c r="AL454" s="23"/>
      <c r="AM454" s="23"/>
    </row>
    <row r="455" spans="17:39">
      <c r="Q455" s="6">
        <v>425</v>
      </c>
      <c r="R455" s="7">
        <v>43092</v>
      </c>
      <c r="S455" s="210">
        <v>3.9375</v>
      </c>
      <c r="T455" s="8">
        <v>1.0001093750000001</v>
      </c>
      <c r="U455" s="98">
        <v>3.6713936202261266</v>
      </c>
      <c r="V455" s="106">
        <v>27483.073704412556</v>
      </c>
      <c r="W455" s="10">
        <v>-0.33727759336256158</v>
      </c>
      <c r="X455" s="413">
        <v>-0.33256504816127974</v>
      </c>
      <c r="Y455" s="414">
        <v>0.3026598028010889</v>
      </c>
      <c r="Z455" s="1"/>
      <c r="AA455" s="1"/>
      <c r="AB455" s="1"/>
      <c r="AC455" s="1"/>
      <c r="AD455" s="1"/>
      <c r="AL455" s="23"/>
      <c r="AM455" s="23"/>
    </row>
    <row r="456" spans="17:39">
      <c r="Q456" s="6">
        <v>426</v>
      </c>
      <c r="R456" s="7">
        <v>43093</v>
      </c>
      <c r="S456" s="210">
        <v>3.9402173913043477</v>
      </c>
      <c r="T456" s="8">
        <v>1.0001094504830919</v>
      </c>
      <c r="U456" s="98">
        <v>3.6723405887843397</v>
      </c>
      <c r="V456" s="106">
        <v>27484.376956706688</v>
      </c>
      <c r="W456" s="10">
        <v>-0.33119055079153803</v>
      </c>
      <c r="X456" s="413">
        <v>-0.32656320983998455</v>
      </c>
      <c r="Y456" s="414">
        <v>0.30275316033082289</v>
      </c>
      <c r="Z456" s="1"/>
      <c r="AA456" s="1"/>
      <c r="AB456" s="1"/>
      <c r="AC456" s="1"/>
      <c r="AD456" s="1"/>
      <c r="AL456" s="23"/>
      <c r="AM456" s="23"/>
    </row>
    <row r="457" spans="17:39">
      <c r="Q457" s="6">
        <v>427</v>
      </c>
      <c r="R457" s="7">
        <v>43094</v>
      </c>
      <c r="S457" s="210">
        <v>3.9429347826086958</v>
      </c>
      <c r="T457" s="8">
        <v>1.0001095259661836</v>
      </c>
      <c r="U457" s="98">
        <v>3.6732898190628305</v>
      </c>
      <c r="V457" s="106">
        <v>27485.680270801273</v>
      </c>
      <c r="W457" s="10">
        <v>-0.32512521917230641</v>
      </c>
      <c r="X457" s="413">
        <v>-0.3205828210554823</v>
      </c>
      <c r="Y457" s="414">
        <v>0.30284672148731612</v>
      </c>
      <c r="Z457" s="1"/>
      <c r="AA457" s="1"/>
      <c r="AB457" s="1"/>
      <c r="AC457" s="1"/>
      <c r="AD457" s="1"/>
      <c r="AL457" s="23"/>
      <c r="AM457" s="23"/>
    </row>
    <row r="458" spans="17:39">
      <c r="Q458" s="6">
        <v>428</v>
      </c>
      <c r="R458" s="7">
        <v>43095</v>
      </c>
      <c r="S458" s="210">
        <v>3.9456521739130435</v>
      </c>
      <c r="T458" s="8">
        <v>1.0001096014492754</v>
      </c>
      <c r="U458" s="98">
        <v>3.6742412953303827</v>
      </c>
      <c r="V458" s="106">
        <v>27486.983646699242</v>
      </c>
      <c r="W458" s="10">
        <v>-0.31908144771931601</v>
      </c>
      <c r="X458" s="413">
        <v>-0.31462373026276286</v>
      </c>
      <c r="Y458" s="414">
        <v>0.30294048503414134</v>
      </c>
      <c r="Z458" s="1"/>
      <c r="AA458" s="1"/>
      <c r="AB458" s="1"/>
      <c r="AC458" s="1"/>
      <c r="AD458" s="1"/>
      <c r="AL458" s="23"/>
      <c r="AM458" s="23"/>
    </row>
    <row r="459" spans="17:39">
      <c r="Q459" s="6">
        <v>429</v>
      </c>
      <c r="R459" s="7">
        <v>43096</v>
      </c>
      <c r="S459" s="210">
        <v>3.9483695652173911</v>
      </c>
      <c r="T459" s="8">
        <v>1.0001096769323672</v>
      </c>
      <c r="U459" s="98">
        <v>3.6751950020025737</v>
      </c>
      <c r="V459" s="106">
        <v>27488.287084403539</v>
      </c>
      <c r="W459" s="10">
        <v>-0.31305908703889163</v>
      </c>
      <c r="X459" s="413">
        <v>-0.30868578732834207</v>
      </c>
      <c r="Y459" s="414">
        <v>0.30303444974656246</v>
      </c>
      <c r="Z459" s="1"/>
      <c r="AA459" s="1"/>
      <c r="AB459" s="1"/>
      <c r="AC459" s="1"/>
      <c r="AD459" s="1"/>
      <c r="AL459" s="23"/>
      <c r="AM459" s="23"/>
    </row>
    <row r="460" spans="17:39">
      <c r="Q460" s="6">
        <v>430</v>
      </c>
      <c r="R460" s="7">
        <v>43097</v>
      </c>
      <c r="S460" s="210">
        <v>3.9510869565217392</v>
      </c>
      <c r="T460" s="8">
        <v>1.000109752415459</v>
      </c>
      <c r="U460" s="98">
        <v>3.6761509236401091</v>
      </c>
      <c r="V460" s="106">
        <v>27489.590583917081</v>
      </c>
      <c r="W460" s="10">
        <v>-0.30705798911300208</v>
      </c>
      <c r="X460" s="413">
        <v>-0.30276884351359729</v>
      </c>
      <c r="Y460" s="414">
        <v>0.30312861441140682</v>
      </c>
      <c r="Z460" s="1"/>
      <c r="AA460" s="1"/>
      <c r="AB460" s="1"/>
      <c r="AC460" s="1"/>
      <c r="AD460" s="1"/>
      <c r="AL460" s="23"/>
      <c r="AM460" s="23"/>
    </row>
    <row r="461" spans="17:39">
      <c r="Q461" s="6">
        <v>431</v>
      </c>
      <c r="R461" s="7">
        <v>43098</v>
      </c>
      <c r="S461" s="210">
        <v>3.9538043478260869</v>
      </c>
      <c r="T461" s="8">
        <v>1.0001098278985507</v>
      </c>
      <c r="U461" s="98">
        <v>3.6771090449471577</v>
      </c>
      <c r="V461" s="106">
        <v>27490.894145242804</v>
      </c>
      <c r="W461" s="10">
        <v>-0.30107800728369494</v>
      </c>
      <c r="X461" s="413">
        <v>-0.29687275145886405</v>
      </c>
      <c r="Y461" s="414">
        <v>0.30322297782692009</v>
      </c>
      <c r="Z461" s="1"/>
      <c r="AA461" s="1"/>
      <c r="AB461" s="1"/>
      <c r="AC461" s="1"/>
      <c r="AD461" s="1"/>
      <c r="AL461" s="23"/>
      <c r="AM461" s="23"/>
    </row>
    <row r="462" spans="17:39">
      <c r="Q462" s="6">
        <v>432</v>
      </c>
      <c r="R462" s="7">
        <v>43099</v>
      </c>
      <c r="S462" s="210">
        <v>3.9565217391304346</v>
      </c>
      <c r="T462" s="8">
        <v>1.0001099033816425</v>
      </c>
      <c r="U462" s="98">
        <v>3.6780693507695972</v>
      </c>
      <c r="V462" s="106">
        <v>27492.197768383645</v>
      </c>
      <c r="W462" s="10">
        <v>-0.29511899623735349</v>
      </c>
      <c r="X462" s="413">
        <v>-0.29099736516729108</v>
      </c>
      <c r="Y462" s="414">
        <v>0.30331753880264495</v>
      </c>
      <c r="Z462" s="1"/>
      <c r="AA462" s="1"/>
      <c r="AB462" s="1"/>
      <c r="AC462" s="1"/>
      <c r="AD462" s="1"/>
      <c r="AL462" s="23"/>
      <c r="AM462" s="23"/>
    </row>
    <row r="463" spans="17:39">
      <c r="Q463" s="6">
        <v>433</v>
      </c>
      <c r="R463" s="7">
        <v>43100</v>
      </c>
      <c r="S463" s="210">
        <v>3.9592391304347827</v>
      </c>
      <c r="T463" s="8">
        <v>1.0001099788647343</v>
      </c>
      <c r="U463" s="98">
        <v>3.6790318260934818</v>
      </c>
      <c r="V463" s="106">
        <v>27493.501453342524</v>
      </c>
      <c r="W463" s="10">
        <v>-0.28918081198939793</v>
      </c>
      <c r="X463" s="413">
        <v>-0.28514253998919548</v>
      </c>
      <c r="Y463" s="414">
        <v>0.30341229615927978</v>
      </c>
      <c r="Z463" s="1"/>
      <c r="AA463" s="1"/>
      <c r="AB463" s="1"/>
      <c r="AC463" s="1"/>
      <c r="AD463" s="1"/>
      <c r="AL463" s="23"/>
      <c r="AM463" s="23"/>
    </row>
    <row r="464" spans="17:39">
      <c r="Q464" s="6">
        <v>434</v>
      </c>
      <c r="R464" s="7">
        <v>43101</v>
      </c>
      <c r="S464" s="210">
        <v>3.9619565217391304</v>
      </c>
      <c r="T464" s="8">
        <v>1.0001100543478261</v>
      </c>
      <c r="U464" s="98">
        <v>3.6799964560433551</v>
      </c>
      <c r="V464" s="106">
        <v>27494.80520012238</v>
      </c>
      <c r="W464" s="10">
        <v>-0.28326331186910858</v>
      </c>
      <c r="X464" s="413">
        <v>-0.27930813260648713</v>
      </c>
      <c r="Y464" s="414">
        <v>0.30350724872856089</v>
      </c>
      <c r="Z464" s="1"/>
      <c r="AA464" s="1"/>
      <c r="AB464" s="1"/>
      <c r="AC464" s="1"/>
      <c r="AD464" s="1"/>
      <c r="AL464" s="23"/>
      <c r="AM464" s="23"/>
    </row>
    <row r="465" spans="17:39">
      <c r="Q465" s="6">
        <v>435</v>
      </c>
      <c r="R465" s="7">
        <v>43102</v>
      </c>
      <c r="S465" s="210">
        <v>3.964673913043478</v>
      </c>
      <c r="T465" s="8">
        <v>1.0001101298309178</v>
      </c>
      <c r="U465" s="98">
        <v>3.6809632258806735</v>
      </c>
      <c r="V465" s="106">
        <v>27496.109008726144</v>
      </c>
      <c r="W465" s="10">
        <v>-0.27736635450470448</v>
      </c>
      <c r="X465" s="413">
        <v>-0.27349400101741811</v>
      </c>
      <c r="Y465" s="414">
        <v>0.30360239535312661</v>
      </c>
      <c r="Z465" s="1"/>
      <c r="AA465" s="1"/>
      <c r="AB465" s="1"/>
      <c r="AC465" s="1"/>
      <c r="AD465" s="1"/>
      <c r="AL465" s="23"/>
      <c r="AM465" s="23"/>
    </row>
    <row r="466" spans="17:39">
      <c r="Q466" s="6">
        <v>436</v>
      </c>
      <c r="R466" s="7">
        <v>43103</v>
      </c>
      <c r="S466" s="210">
        <v>3.9673913043478262</v>
      </c>
      <c r="T466" s="8">
        <v>1.0001102053140096</v>
      </c>
      <c r="U466" s="98">
        <v>3.6819321210022737</v>
      </c>
      <c r="V466" s="106">
        <v>27497.412879156745</v>
      </c>
      <c r="W466" s="10">
        <v>-0.27148979980852195</v>
      </c>
      <c r="X466" s="413">
        <v>-0.26770000452142312</v>
      </c>
      <c r="Y466" s="414">
        <v>0.30369773488639978</v>
      </c>
      <c r="Z466" s="1"/>
      <c r="AA466" s="1"/>
      <c r="AB466" s="1"/>
      <c r="AC466" s="1"/>
      <c r="AD466" s="1"/>
      <c r="AL466" s="23"/>
      <c r="AM466" s="23"/>
    </row>
    <row r="467" spans="17:39">
      <c r="Q467" s="6">
        <v>437</v>
      </c>
      <c r="R467" s="7">
        <v>43104</v>
      </c>
      <c r="S467" s="210">
        <v>3.9701086956521738</v>
      </c>
      <c r="T467" s="8">
        <v>1.0001102807971014</v>
      </c>
      <c r="U467" s="98">
        <v>3.6829031269387746</v>
      </c>
      <c r="V467" s="106">
        <v>27498.716811417118</v>
      </c>
      <c r="W467" s="10">
        <v>-0.26563350896254834</v>
      </c>
      <c r="X467" s="413">
        <v>-0.26192600370428648</v>
      </c>
      <c r="Y467" s="414">
        <v>0.30379326619245972</v>
      </c>
      <c r="Z467" s="1"/>
      <c r="AA467" s="1"/>
      <c r="AB467" s="1"/>
      <c r="AC467" s="1"/>
      <c r="AD467" s="1"/>
      <c r="AL467" s="23"/>
      <c r="AM467" s="23"/>
    </row>
    <row r="468" spans="17:39">
      <c r="Q468" s="6">
        <v>438</v>
      </c>
      <c r="R468" s="7">
        <v>43105</v>
      </c>
      <c r="S468" s="210">
        <v>3.972826086956522</v>
      </c>
      <c r="T468" s="8">
        <v>1.0001103562801932</v>
      </c>
      <c r="U468" s="98">
        <v>3.6838762293530447</v>
      </c>
      <c r="V468" s="106">
        <v>27500.02080551019</v>
      </c>
      <c r="W468" s="10">
        <v>-0.25979734440401137</v>
      </c>
      <c r="X468" s="413">
        <v>-0.25617186042340284</v>
      </c>
      <c r="Y468" s="414">
        <v>0.30388898814592225</v>
      </c>
      <c r="Z468" s="1"/>
      <c r="AA468" s="1"/>
      <c r="AB468" s="1"/>
      <c r="AC468" s="1"/>
      <c r="AD468" s="1"/>
      <c r="AL468" s="23"/>
      <c r="AM468" s="23"/>
    </row>
    <row r="469" spans="17:39">
      <c r="Q469" s="6">
        <v>439</v>
      </c>
      <c r="R469" s="7">
        <v>43106</v>
      </c>
      <c r="S469" s="210">
        <v>3.9755434782608696</v>
      </c>
      <c r="T469" s="8">
        <v>1.000110431763285</v>
      </c>
      <c r="U469" s="98">
        <v>3.6848514140387589</v>
      </c>
      <c r="V469" s="106">
        <v>27501.324861438898</v>
      </c>
      <c r="W469" s="10">
        <v>-0.25398116981125707</v>
      </c>
      <c r="X469" s="413">
        <v>-0.25043743779334926</v>
      </c>
      <c r="Y469" s="414">
        <v>0.30398489963181968</v>
      </c>
      <c r="Z469" s="1"/>
      <c r="AA469" s="1"/>
      <c r="AB469" s="1"/>
      <c r="AC469" s="1"/>
      <c r="AD469" s="1"/>
      <c r="AL469" s="23"/>
      <c r="AM469" s="23"/>
    </row>
    <row r="470" spans="17:39">
      <c r="Q470" s="6">
        <v>440</v>
      </c>
      <c r="R470" s="7">
        <v>43107</v>
      </c>
      <c r="S470" s="210">
        <v>3.9782608695652173</v>
      </c>
      <c r="T470" s="8">
        <v>1.0001105072463767</v>
      </c>
      <c r="U470" s="98">
        <v>3.6858286669188223</v>
      </c>
      <c r="V470" s="106">
        <v>27502.628979206165</v>
      </c>
      <c r="W470" s="10">
        <v>-0.24818485008977209</v>
      </c>
      <c r="X470" s="413">
        <v>-0.24472260017156217</v>
      </c>
      <c r="Y470" s="414">
        <v>0.30408099954548223</v>
      </c>
      <c r="Z470" s="1"/>
      <c r="AA470" s="1"/>
      <c r="AB470" s="1"/>
      <c r="AC470" s="1"/>
      <c r="AD470" s="1"/>
      <c r="AL470" s="23"/>
      <c r="AM470" s="23"/>
    </row>
    <row r="471" spans="17:39">
      <c r="Q471" s="6">
        <v>441</v>
      </c>
      <c r="R471" s="7">
        <v>43108</v>
      </c>
      <c r="S471" s="210">
        <v>3.9809782608695654</v>
      </c>
      <c r="T471" s="8">
        <v>1.0001105827294685</v>
      </c>
      <c r="U471" s="98">
        <v>3.686807974043993</v>
      </c>
      <c r="V471" s="106">
        <v>27503.933158814943</v>
      </c>
      <c r="W471" s="10">
        <v>-0.24240825135846134</v>
      </c>
      <c r="X471" s="413">
        <v>-0.23902721314430994</v>
      </c>
      <c r="Y471" s="414">
        <v>0.30417728679242156</v>
      </c>
      <c r="Z471" s="1"/>
      <c r="AA471" s="1"/>
      <c r="AB471" s="1"/>
      <c r="AC471" s="1"/>
      <c r="AD471" s="1"/>
      <c r="AL471" s="23"/>
      <c r="AM471" s="23"/>
    </row>
    <row r="472" spans="17:39">
      <c r="Q472" s="6">
        <v>442</v>
      </c>
      <c r="R472" s="7">
        <v>43109</v>
      </c>
      <c r="S472" s="210">
        <v>3.9836956521739131</v>
      </c>
      <c r="T472" s="8">
        <v>1.0001106582125603</v>
      </c>
      <c r="U472" s="98">
        <v>3.687789321591306</v>
      </c>
      <c r="V472" s="106">
        <v>27505.237400268146</v>
      </c>
      <c r="W472" s="10">
        <v>-0.2366512409359145</v>
      </c>
      <c r="X472" s="413">
        <v>-0.23335114351263794</v>
      </c>
      <c r="Y472" s="414">
        <v>0.30427376028821546</v>
      </c>
      <c r="Z472" s="1"/>
      <c r="AA472" s="1"/>
      <c r="AB472" s="1"/>
      <c r="AC472" s="1"/>
      <c r="AD472" s="1"/>
      <c r="AL472" s="23"/>
      <c r="AM472" s="23"/>
    </row>
    <row r="473" spans="17:39">
      <c r="Q473" s="6">
        <v>443</v>
      </c>
      <c r="R473" s="7">
        <v>43110</v>
      </c>
      <c r="S473" s="210">
        <v>3.9864130434782608</v>
      </c>
      <c r="T473" s="8">
        <v>1.0001107336956521</v>
      </c>
      <c r="U473" s="98">
        <v>3.6887726958628297</v>
      </c>
      <c r="V473" s="106">
        <v>27506.319476078144</v>
      </c>
      <c r="W473" s="10">
        <v>-0.23024956187654988</v>
      </c>
      <c r="X473" s="413">
        <v>-0.22703955449497087</v>
      </c>
      <c r="Y473" s="414">
        <v>0.30437041895839406</v>
      </c>
      <c r="Z473" s="1"/>
      <c r="AA473" s="1"/>
      <c r="AB473" s="1"/>
      <c r="AC473" s="1"/>
      <c r="AD473" s="1"/>
      <c r="AL473" s="23"/>
      <c r="AM473" s="23"/>
    </row>
    <row r="474" spans="17:39">
      <c r="Q474" s="6">
        <v>444</v>
      </c>
      <c r="R474" s="7">
        <v>43111</v>
      </c>
      <c r="S474" s="210">
        <v>3.9891304347826089</v>
      </c>
      <c r="T474" s="8">
        <v>1.0001108091787441</v>
      </c>
      <c r="U474" s="98">
        <v>3.6897580832841115</v>
      </c>
      <c r="V474" s="106">
        <v>27507.401594457791</v>
      </c>
      <c r="W474" s="10">
        <v>-0.22387012051720001</v>
      </c>
      <c r="X474" s="413">
        <v>-0.22074988109656113</v>
      </c>
      <c r="Y474" s="414">
        <v>0.30446726173833116</v>
      </c>
      <c r="Z474" s="1"/>
      <c r="AA474" s="1"/>
      <c r="AB474" s="1"/>
      <c r="AC474" s="1"/>
      <c r="AD474" s="1"/>
      <c r="AL474" s="23"/>
      <c r="AM474" s="23"/>
    </row>
    <row r="475" spans="17:39">
      <c r="Q475" s="6">
        <v>445</v>
      </c>
      <c r="R475" s="7">
        <v>43112</v>
      </c>
      <c r="S475" s="210">
        <v>3.9918478260869565</v>
      </c>
      <c r="T475" s="8">
        <v>1.0001108846618358</v>
      </c>
      <c r="U475" s="98">
        <v>3.6907454704028231</v>
      </c>
      <c r="V475" s="106">
        <v>27508.483755408746</v>
      </c>
      <c r="W475" s="10">
        <v>-0.21751276848035461</v>
      </c>
      <c r="X475" s="413">
        <v>-0.21448197423724077</v>
      </c>
      <c r="Y475" s="414">
        <v>0.30456428757312726</v>
      </c>
      <c r="Z475" s="1"/>
      <c r="AA475" s="1"/>
      <c r="AB475" s="1"/>
      <c r="AC475" s="1"/>
      <c r="AD475" s="1"/>
      <c r="AL475" s="23"/>
      <c r="AM475" s="23"/>
    </row>
    <row r="476" spans="17:39">
      <c r="Q476" s="6">
        <v>446</v>
      </c>
      <c r="R476" s="7">
        <v>43113</v>
      </c>
      <c r="S476" s="210">
        <v>3.9945652173913042</v>
      </c>
      <c r="T476" s="8">
        <v>1.0001109601449276</v>
      </c>
      <c r="U476" s="98">
        <v>3.6917348438874287</v>
      </c>
      <c r="V476" s="106">
        <v>27509.565958932693</v>
      </c>
      <c r="W476" s="10">
        <v>-0.21117735870446186</v>
      </c>
      <c r="X476" s="413">
        <v>-0.20823568617238702</v>
      </c>
      <c r="Y476" s="414">
        <v>0.30466149541750676</v>
      </c>
      <c r="Z476" s="1"/>
      <c r="AA476" s="1"/>
      <c r="AB476" s="1"/>
      <c r="AC476" s="1"/>
      <c r="AD476" s="1"/>
      <c r="AL476" s="23"/>
      <c r="AM476" s="23"/>
    </row>
    <row r="477" spans="17:39">
      <c r="Q477" s="6">
        <v>447</v>
      </c>
      <c r="R477" s="7">
        <v>43114</v>
      </c>
      <c r="S477" s="210">
        <v>3.9972826086956523</v>
      </c>
      <c r="T477" s="8">
        <v>1.0001110356280194</v>
      </c>
      <c r="U477" s="98">
        <v>3.6927261905257636</v>
      </c>
      <c r="V477" s="106">
        <v>27510.648205031306</v>
      </c>
      <c r="W477" s="10">
        <v>-0.20486374542927344</v>
      </c>
      <c r="X477" s="413">
        <v>-0.20201087047785835</v>
      </c>
      <c r="Y477" s="414">
        <v>0.30475888423570408</v>
      </c>
      <c r="Z477" s="1"/>
      <c r="AA477" s="1"/>
      <c r="AB477" s="1"/>
      <c r="AC477" s="1"/>
      <c r="AD477" s="1"/>
      <c r="AL477" s="23"/>
      <c r="AM477" s="23"/>
    </row>
    <row r="478" spans="17:39">
      <c r="Q478" s="6">
        <v>448</v>
      </c>
      <c r="R478" s="7">
        <v>43115</v>
      </c>
      <c r="S478" s="210">
        <v>4</v>
      </c>
      <c r="T478" s="8">
        <v>1.0001111111111112</v>
      </c>
      <c r="U478" s="98">
        <v>3.6937194972237464</v>
      </c>
      <c r="V478" s="106">
        <v>27511.730493706254</v>
      </c>
      <c r="W478" s="10">
        <v>-0.19857178418157817</v>
      </c>
      <c r="X478" s="413">
        <v>-0.19580738203534606</v>
      </c>
      <c r="Y478" s="414">
        <v>0.30485645300136227</v>
      </c>
      <c r="Z478" s="1"/>
      <c r="AA478" s="1"/>
      <c r="AB478" s="1"/>
      <c r="AC478" s="1"/>
      <c r="AD478" s="1"/>
      <c r="AL478" s="23"/>
      <c r="AM478" s="23"/>
    </row>
    <row r="479" spans="17:39">
      <c r="Q479" s="6">
        <v>449</v>
      </c>
      <c r="R479" s="7">
        <v>43116</v>
      </c>
      <c r="S479" s="210">
        <v>4.0027777777777782</v>
      </c>
      <c r="T479" s="8">
        <v>1.0001111882716049</v>
      </c>
      <c r="U479" s="98">
        <v>3.6947148923854201</v>
      </c>
      <c r="V479" s="106">
        <v>27512.812824959216</v>
      </c>
      <c r="W479" s="10">
        <v>-0.19230119567928972</v>
      </c>
      <c r="X479" s="413">
        <v>-0.18962494285972256</v>
      </c>
      <c r="Y479" s="414">
        <v>0.30495421241524412</v>
      </c>
      <c r="Z479" s="1"/>
      <c r="AA479" s="1"/>
      <c r="AB479" s="1"/>
      <c r="AC479" s="1"/>
      <c r="AD479" s="1"/>
      <c r="AL479" s="23"/>
      <c r="AM479" s="23"/>
    </row>
    <row r="480" spans="17:39">
      <c r="Q480" s="6">
        <v>450</v>
      </c>
      <c r="R480" s="7">
        <v>43117</v>
      </c>
      <c r="S480" s="210">
        <v>4.0055555555555555</v>
      </c>
      <c r="T480" s="8">
        <v>1.0001112654320987</v>
      </c>
      <c r="U480" s="98">
        <v>3.695712362210446</v>
      </c>
      <c r="V480" s="106">
        <v>27513.89519879187</v>
      </c>
      <c r="W480" s="10">
        <v>-0.18605183886257759</v>
      </c>
      <c r="X480" s="413">
        <v>-0.18346341126639132</v>
      </c>
      <c r="Y480" s="414">
        <v>0.30505216139527835</v>
      </c>
      <c r="Z480" s="1"/>
      <c r="AA480" s="1"/>
      <c r="AB480" s="1"/>
      <c r="AC480" s="1"/>
      <c r="AD480" s="1"/>
      <c r="AL480" s="23"/>
      <c r="AM480" s="23"/>
    </row>
    <row r="481" spans="17:39">
      <c r="Q481" s="6">
        <v>451</v>
      </c>
      <c r="R481" s="7">
        <v>43118</v>
      </c>
      <c r="S481" s="210">
        <v>4.0083333333333337</v>
      </c>
      <c r="T481" s="8">
        <v>1.0001113425925925</v>
      </c>
      <c r="U481" s="98">
        <v>3.6967118930210319</v>
      </c>
      <c r="V481" s="106">
        <v>27514.977615205891</v>
      </c>
      <c r="W481" s="10">
        <v>-0.17982357390889936</v>
      </c>
      <c r="X481" s="413">
        <v>-0.17732264682568019</v>
      </c>
      <c r="Y481" s="414">
        <v>0.30515029886915795</v>
      </c>
      <c r="Z481" s="1"/>
      <c r="AA481" s="1"/>
      <c r="AB481" s="1"/>
      <c r="AC481" s="1"/>
      <c r="AD481" s="1"/>
      <c r="AL481" s="23"/>
      <c r="AM481" s="23"/>
    </row>
    <row r="482" spans="17:39">
      <c r="Q482" s="6">
        <v>452</v>
      </c>
      <c r="R482" s="7">
        <v>43119</v>
      </c>
      <c r="S482" s="210">
        <v>4.0111111111111111</v>
      </c>
      <c r="T482" s="8">
        <v>1.0001114197530865</v>
      </c>
      <c r="U482" s="98">
        <v>3.6977134712605331</v>
      </c>
      <c r="V482" s="106">
        <v>27516.060074202949</v>
      </c>
      <c r="W482" s="10">
        <v>-0.17361626221961135</v>
      </c>
      <c r="X482" s="413">
        <v>-0.17120251034911901</v>
      </c>
      <c r="Y482" s="414">
        <v>0.30524862377422585</v>
      </c>
      <c r="Z482" s="1"/>
      <c r="AA482" s="1"/>
      <c r="AB482" s="1"/>
      <c r="AC482" s="1"/>
      <c r="AD482" s="1"/>
      <c r="AL482" s="23"/>
      <c r="AM482" s="23"/>
    </row>
    <row r="483" spans="17:39">
      <c r="Q483" s="6">
        <v>453</v>
      </c>
      <c r="R483" s="7">
        <v>43120</v>
      </c>
      <c r="S483" s="210">
        <v>4.0138888888888893</v>
      </c>
      <c r="T483" s="8">
        <v>1.0001114969135803</v>
      </c>
      <c r="U483" s="98">
        <v>3.6987170834921201</v>
      </c>
      <c r="V483" s="106">
        <v>27517.142575784725</v>
      </c>
      <c r="W483" s="10">
        <v>-0.16742976640659046</v>
      </c>
      <c r="X483" s="413">
        <v>-0.16510286387567788</v>
      </c>
      <c r="Y483" s="414">
        <v>0.30534713505737582</v>
      </c>
      <c r="Z483" s="1"/>
      <c r="AA483" s="1"/>
      <c r="AB483" s="1"/>
      <c r="AC483" s="1"/>
      <c r="AD483" s="1"/>
      <c r="AL483" s="23"/>
      <c r="AM483" s="23"/>
    </row>
    <row r="484" spans="17:39">
      <c r="Q484" s="6">
        <v>454</v>
      </c>
      <c r="R484" s="7">
        <v>43121</v>
      </c>
      <c r="S484" s="210">
        <v>4.0166666666666666</v>
      </c>
      <c r="T484" s="8">
        <v>1.000111574074074</v>
      </c>
      <c r="U484" s="98">
        <v>3.6997227163974689</v>
      </c>
      <c r="V484" s="106">
        <v>27518.225119952887</v>
      </c>
      <c r="W484" s="10">
        <v>-0.16126395027891149</v>
      </c>
      <c r="X484" s="413">
        <v>-0.15902357065815234</v>
      </c>
      <c r="Y484" s="414">
        <v>0.30544583167494316</v>
      </c>
      <c r="Z484" s="1"/>
      <c r="AA484" s="1"/>
      <c r="AB484" s="1"/>
      <c r="AC484" s="1"/>
      <c r="AD484" s="1"/>
      <c r="AL484" s="23"/>
      <c r="AM484" s="23"/>
    </row>
    <row r="485" spans="17:39">
      <c r="Q485" s="6">
        <v>455</v>
      </c>
      <c r="R485" s="7">
        <v>43122</v>
      </c>
      <c r="S485" s="210">
        <v>4.0194444444444448</v>
      </c>
      <c r="T485" s="8">
        <v>1.0001116512345678</v>
      </c>
      <c r="U485" s="98">
        <v>3.7007303567755168</v>
      </c>
      <c r="V485" s="106">
        <v>27519.307706709114</v>
      </c>
      <c r="W485" s="10">
        <v>-0.15511867883000185</v>
      </c>
      <c r="X485" s="413">
        <v>-0.15296449514999147</v>
      </c>
      <c r="Y485" s="414">
        <v>0.30554471259260357</v>
      </c>
      <c r="Z485" s="1"/>
      <c r="AA485" s="1"/>
      <c r="AB485" s="1"/>
      <c r="AC485" s="1"/>
      <c r="AD485" s="1"/>
      <c r="AL485" s="23"/>
      <c r="AM485" s="23"/>
    </row>
    <row r="486" spans="17:39">
      <c r="Q486" s="6">
        <v>456</v>
      </c>
      <c r="R486" s="7">
        <v>43123</v>
      </c>
      <c r="S486" s="210">
        <v>4.0222222222222221</v>
      </c>
      <c r="T486" s="8">
        <v>1.0001117283950618</v>
      </c>
      <c r="U486" s="98">
        <v>3.7017399915410643</v>
      </c>
      <c r="V486" s="106">
        <v>27520.390336055087</v>
      </c>
      <c r="W486" s="10">
        <v>-0.14899381822470747</v>
      </c>
      <c r="X486" s="413">
        <v>-0.14692550299200136</v>
      </c>
      <c r="Y486" s="414">
        <v>0.30564377678526933</v>
      </c>
      <c r="Z486" s="1"/>
      <c r="AA486" s="1"/>
      <c r="AB486" s="1"/>
      <c r="AC486" s="1"/>
      <c r="AD486" s="1"/>
      <c r="AL486" s="23"/>
      <c r="AM486" s="23"/>
    </row>
    <row r="487" spans="17:39">
      <c r="Q487" s="6">
        <v>457</v>
      </c>
      <c r="R487" s="7">
        <v>43124</v>
      </c>
      <c r="S487" s="210">
        <v>4.0250000000000004</v>
      </c>
      <c r="T487" s="8">
        <v>1.0001118055555556</v>
      </c>
      <c r="U487" s="98">
        <v>3.7027516077235534</v>
      </c>
      <c r="V487" s="106">
        <v>27521.473007992474</v>
      </c>
      <c r="W487" s="10">
        <v>-0.14288923578663626</v>
      </c>
      <c r="X487" s="413">
        <v>-0.14090646099942436</v>
      </c>
      <c r="Y487" s="414">
        <v>0.30574302323698693</v>
      </c>
      <c r="Z487" s="1"/>
      <c r="AA487" s="1"/>
      <c r="AB487" s="1"/>
      <c r="AC487" s="1"/>
      <c r="AD487" s="1"/>
      <c r="AL487" s="23"/>
      <c r="AM487" s="23"/>
    </row>
    <row r="488" spans="17:39">
      <c r="Q488" s="6">
        <v>458</v>
      </c>
      <c r="R488" s="7">
        <v>43125</v>
      </c>
      <c r="S488" s="210">
        <v>4.0277777777777777</v>
      </c>
      <c r="T488" s="8">
        <v>1.0001118827160493</v>
      </c>
      <c r="U488" s="98">
        <v>3.7037651924658466</v>
      </c>
      <c r="V488" s="106">
        <v>27522.555722522953</v>
      </c>
      <c r="W488" s="10">
        <v>-0.13680479998566808</v>
      </c>
      <c r="X488" s="413">
        <v>-0.13490723714910893</v>
      </c>
      <c r="Y488" s="414">
        <v>0.30584245094083862</v>
      </c>
      <c r="Z488" s="1"/>
      <c r="AA488" s="1"/>
      <c r="AB488" s="1"/>
      <c r="AC488" s="1"/>
      <c r="AD488" s="1"/>
      <c r="AL488" s="23"/>
      <c r="AM488" s="23"/>
    </row>
    <row r="489" spans="17:39">
      <c r="Q489" s="6">
        <v>459</v>
      </c>
      <c r="R489" s="7">
        <v>43126</v>
      </c>
      <c r="S489" s="210">
        <v>4.0305555555555559</v>
      </c>
      <c r="T489" s="8">
        <v>1.0001119598765431</v>
      </c>
      <c r="U489" s="98">
        <v>3.7047807330229388</v>
      </c>
      <c r="V489" s="106">
        <v>27523.638479648202</v>
      </c>
      <c r="W489" s="10">
        <v>-0.13074038042553138</v>
      </c>
      <c r="X489" s="413">
        <v>-0.12892770056680375</v>
      </c>
      <c r="Y489" s="414">
        <v>0.30594205889884574</v>
      </c>
      <c r="Z489" s="1"/>
      <c r="AA489" s="1"/>
      <c r="AB489" s="1"/>
      <c r="AC489" s="1"/>
      <c r="AD489" s="1"/>
      <c r="AL489" s="23"/>
      <c r="AM489" s="23"/>
    </row>
    <row r="490" spans="17:39">
      <c r="Q490" s="6">
        <v>460</v>
      </c>
      <c r="R490" s="7">
        <v>43127</v>
      </c>
      <c r="S490" s="210">
        <v>4.0333333333333332</v>
      </c>
      <c r="T490" s="8">
        <v>1.0001120370370371</v>
      </c>
      <c r="U490" s="98">
        <v>3.7057982167607806</v>
      </c>
      <c r="V490" s="106">
        <v>27524.721279369893</v>
      </c>
      <c r="W490" s="10">
        <v>-0.12469584783169063</v>
      </c>
      <c r="X490" s="413">
        <v>-0.12296772151473048</v>
      </c>
      <c r="Y490" s="414">
        <v>0.30604184612187102</v>
      </c>
      <c r="Z490" s="1"/>
      <c r="AA490" s="1"/>
      <c r="AB490" s="1"/>
      <c r="AC490" s="1"/>
      <c r="AD490" s="1"/>
      <c r="AL490" s="23"/>
      <c r="AM490" s="23"/>
    </row>
    <row r="491" spans="17:39">
      <c r="Q491" s="6">
        <v>461</v>
      </c>
      <c r="R491" s="7">
        <v>43128</v>
      </c>
      <c r="S491" s="210">
        <v>4.0361111111111114</v>
      </c>
      <c r="T491" s="8">
        <v>1.0001121141975309</v>
      </c>
      <c r="U491" s="98">
        <v>3.7068176311550349</v>
      </c>
      <c r="V491" s="106">
        <v>27525.804121689704</v>
      </c>
      <c r="W491" s="10">
        <v>-0.11867107403930044</v>
      </c>
      <c r="X491" s="413">
        <v>-0.11702717137925771</v>
      </c>
      <c r="Y491" s="414">
        <v>0.30614181162951748</v>
      </c>
      <c r="Z491" s="1"/>
      <c r="AA491" s="1"/>
      <c r="AB491" s="1"/>
      <c r="AC491" s="1"/>
      <c r="AD491" s="1"/>
      <c r="AL491" s="23"/>
      <c r="AM491" s="23"/>
    </row>
    <row r="492" spans="17:39">
      <c r="Q492" s="6">
        <v>462</v>
      </c>
      <c r="R492" s="7">
        <v>43129</v>
      </c>
      <c r="S492" s="210">
        <v>4.0388888888888888</v>
      </c>
      <c r="T492" s="8">
        <v>1.0001121913580246</v>
      </c>
      <c r="U492" s="98">
        <v>3.7078389637899445</v>
      </c>
      <c r="V492" s="106">
        <v>27526.887006609311</v>
      </c>
      <c r="W492" s="10">
        <v>-0.11266593198122621</v>
      </c>
      <c r="X492" s="413">
        <v>-0.11110592265863083</v>
      </c>
      <c r="Y492" s="414">
        <v>0.30624195445004643</v>
      </c>
      <c r="Z492" s="1"/>
      <c r="AA492" s="1"/>
      <c r="AB492" s="1"/>
      <c r="AC492" s="1"/>
      <c r="AD492" s="1"/>
      <c r="AL492" s="23"/>
      <c r="AM492" s="23"/>
    </row>
    <row r="493" spans="17:39">
      <c r="Q493" s="6">
        <v>463</v>
      </c>
      <c r="R493" s="7">
        <v>43130</v>
      </c>
      <c r="S493" s="210">
        <v>4.041666666666667</v>
      </c>
      <c r="T493" s="8">
        <v>1.0001122685185184</v>
      </c>
      <c r="U493" s="98">
        <v>3.7088622023570883</v>
      </c>
      <c r="V493" s="106">
        <v>27527.969934130386</v>
      </c>
      <c r="W493" s="10">
        <v>-0.10668029567645343</v>
      </c>
      <c r="X493" s="413">
        <v>-0.10520384895110305</v>
      </c>
      <c r="Y493" s="414">
        <v>0.30634227362026695</v>
      </c>
      <c r="Z493" s="1"/>
      <c r="AA493" s="1"/>
      <c r="AB493" s="1"/>
      <c r="AC493" s="1"/>
      <c r="AD493" s="1"/>
      <c r="AL493" s="23"/>
      <c r="AM493" s="23"/>
    </row>
    <row r="494" spans="17:39">
      <c r="Q494" s="6">
        <v>464</v>
      </c>
      <c r="R494" s="7">
        <v>43131</v>
      </c>
      <c r="S494" s="210">
        <v>4.0444444444444443</v>
      </c>
      <c r="T494" s="8">
        <v>1.0001123456790124</v>
      </c>
      <c r="U494" s="98">
        <v>3.7098873346542938</v>
      </c>
      <c r="V494" s="106">
        <v>27529.052904254611</v>
      </c>
      <c r="W494" s="10">
        <v>-0.10071404021846364</v>
      </c>
      <c r="X494" s="413">
        <v>-9.9320824943047267E-2</v>
      </c>
      <c r="Y494" s="414">
        <v>0.30644276818546079</v>
      </c>
      <c r="Z494" s="1"/>
      <c r="AA494" s="1"/>
      <c r="AB494" s="1"/>
      <c r="AC494" s="1"/>
      <c r="AD494" s="1"/>
      <c r="AL494" s="23"/>
      <c r="AM494" s="23"/>
    </row>
    <row r="495" spans="17:39">
      <c r="Q495" s="6">
        <v>465</v>
      </c>
      <c r="R495" s="7">
        <v>43132</v>
      </c>
      <c r="S495" s="210">
        <v>4.0472222222222225</v>
      </c>
      <c r="T495" s="8">
        <v>1.0001124228395062</v>
      </c>
      <c r="U495" s="98">
        <v>3.7109143485844154</v>
      </c>
      <c r="V495" s="106">
        <v>27530.135916983658</v>
      </c>
      <c r="W495" s="10">
        <v>-9.4767041763765825E-2</v>
      </c>
      <c r="X495" s="413">
        <v>-9.3456726397178613E-2</v>
      </c>
      <c r="Y495" s="414">
        <v>0.30654343719927712</v>
      </c>
      <c r="Z495" s="1"/>
      <c r="AA495" s="1"/>
      <c r="AB495" s="1"/>
      <c r="AC495" s="1"/>
      <c r="AD495" s="1"/>
      <c r="AL495" s="23"/>
      <c r="AM495" s="23"/>
    </row>
    <row r="496" spans="17:39">
      <c r="Q496" s="6">
        <v>466</v>
      </c>
      <c r="R496" s="7">
        <v>43133</v>
      </c>
      <c r="S496" s="210">
        <v>4.05</v>
      </c>
      <c r="T496" s="8">
        <v>1.0001125</v>
      </c>
      <c r="U496" s="98">
        <v>3.7119432321542467</v>
      </c>
      <c r="V496" s="106">
        <v>27531.218972319202</v>
      </c>
      <c r="W496" s="10">
        <v>-8.8839177520616541E-2</v>
      </c>
      <c r="X496" s="413">
        <v>-8.761143014107424E-2</v>
      </c>
      <c r="Y496" s="414">
        <v>0.30664427972365266</v>
      </c>
      <c r="Z496" s="1"/>
      <c r="AA496" s="1"/>
      <c r="AB496" s="1"/>
      <c r="AC496" s="1"/>
      <c r="AD496" s="1"/>
      <c r="AL496" s="23"/>
      <c r="AM496" s="23"/>
    </row>
    <row r="497" spans="17:39">
      <c r="Q497" s="6">
        <v>467</v>
      </c>
      <c r="R497" s="7">
        <v>43134</v>
      </c>
      <c r="S497" s="210">
        <v>4.052777777777778</v>
      </c>
      <c r="T497" s="8">
        <v>1.0001125771604937</v>
      </c>
      <c r="U497" s="98">
        <v>3.7129739734734324</v>
      </c>
      <c r="V497" s="106">
        <v>27532.302070262922</v>
      </c>
      <c r="W497" s="10">
        <v>-8.2930325737917698E-2</v>
      </c>
      <c r="X497" s="413">
        <v>-8.1784814055738037E-2</v>
      </c>
      <c r="Y497" s="414">
        <v>0.30674529482871854</v>
      </c>
      <c r="Z497" s="1"/>
      <c r="AA497" s="1"/>
      <c r="AB497" s="1"/>
      <c r="AC497" s="1"/>
      <c r="AD497" s="1"/>
      <c r="AL497" s="23"/>
      <c r="AM497" s="23"/>
    </row>
    <row r="498" spans="17:39">
      <c r="Q498" s="6">
        <v>468</v>
      </c>
      <c r="R498" s="7">
        <v>43135</v>
      </c>
      <c r="S498" s="210">
        <v>4.0555555555555554</v>
      </c>
      <c r="T498" s="8">
        <v>1.0001126543209877</v>
      </c>
      <c r="U498" s="98">
        <v>3.7140065607533801</v>
      </c>
      <c r="V498" s="106">
        <v>27533.385210816494</v>
      </c>
      <c r="W498" s="10">
        <v>-7.7040365694214241E-2</v>
      </c>
      <c r="X498" s="413">
        <v>-7.5976757064414396E-2</v>
      </c>
      <c r="Y498" s="414">
        <v>0.3068464815927161</v>
      </c>
      <c r="Z498" s="1"/>
      <c r="AA498" s="1"/>
      <c r="AB498" s="1"/>
      <c r="AC498" s="1"/>
      <c r="AD498" s="1"/>
      <c r="AL498" s="23"/>
      <c r="AM498" s="23"/>
    </row>
    <row r="499" spans="17:39">
      <c r="Q499" s="6">
        <v>469</v>
      </c>
      <c r="R499" s="7">
        <v>43136</v>
      </c>
      <c r="S499" s="210">
        <v>4.0583333333333336</v>
      </c>
      <c r="T499" s="8">
        <v>1.0001127314814815</v>
      </c>
      <c r="U499" s="98">
        <v>3.7150409823060837</v>
      </c>
      <c r="V499" s="106">
        <v>27534.468393981599</v>
      </c>
      <c r="W499" s="10">
        <v>-7.1169177686758456E-2</v>
      </c>
      <c r="X499" s="413">
        <v>-7.0187139121332009E-2</v>
      </c>
      <c r="Y499" s="414">
        <v>0.30694783910190543</v>
      </c>
      <c r="Z499" s="1"/>
      <c r="AA499" s="1"/>
      <c r="AB499" s="1"/>
      <c r="AC499" s="1"/>
      <c r="AD499" s="1"/>
      <c r="AL499" s="23"/>
      <c r="AM499" s="23"/>
    </row>
    <row r="500" spans="17:39">
      <c r="Q500" s="6">
        <v>470</v>
      </c>
      <c r="R500" s="7">
        <v>43137</v>
      </c>
      <c r="S500" s="210">
        <v>4.0611111111111109</v>
      </c>
      <c r="T500" s="8">
        <v>1.0001128086419753</v>
      </c>
      <c r="U500" s="98">
        <v>3.7160772265431241</v>
      </c>
      <c r="V500" s="106">
        <v>27535.551619759899</v>
      </c>
      <c r="W500" s="10">
        <v>-6.5316643020896237E-2</v>
      </c>
      <c r="X500" s="413">
        <v>-6.4415841200897536E-2</v>
      </c>
      <c r="Y500" s="414">
        <v>0.30704936645048359</v>
      </c>
      <c r="Z500" s="1"/>
      <c r="AA500" s="1"/>
      <c r="AB500" s="1"/>
      <c r="AC500" s="1"/>
      <c r="AD500" s="1"/>
      <c r="AL500" s="23"/>
      <c r="AM500" s="23"/>
    </row>
    <row r="501" spans="17:39">
      <c r="Q501" s="6">
        <v>471</v>
      </c>
      <c r="R501" s="7">
        <v>43138</v>
      </c>
      <c r="S501" s="210">
        <v>4.0638888888888891</v>
      </c>
      <c r="T501" s="8">
        <v>1.000112885802469</v>
      </c>
      <c r="U501" s="98">
        <v>3.7171152819745812</v>
      </c>
      <c r="V501" s="106">
        <v>27536.634888153087</v>
      </c>
      <c r="W501" s="10">
        <v>-5.9482643999420048E-2</v>
      </c>
      <c r="X501" s="413">
        <v>-5.866274528678931E-2</v>
      </c>
      <c r="Y501" s="414">
        <v>0.30715106274049986</v>
      </c>
      <c r="Z501" s="1"/>
      <c r="AA501" s="1"/>
      <c r="AB501" s="1"/>
      <c r="AC501" s="1"/>
      <c r="AD501" s="1"/>
      <c r="AL501" s="23"/>
      <c r="AM501" s="23"/>
    </row>
    <row r="502" spans="17:39">
      <c r="Q502" s="6">
        <v>472</v>
      </c>
      <c r="R502" s="7">
        <v>43139</v>
      </c>
      <c r="S502" s="210">
        <v>4.0666666666666664</v>
      </c>
      <c r="T502" s="8">
        <v>1.000112962962963</v>
      </c>
      <c r="U502" s="98">
        <v>3.7181551372080346</v>
      </c>
      <c r="V502" s="106">
        <v>27537.718199162831</v>
      </c>
      <c r="W502" s="10">
        <v>-5.3667063912077317E-2</v>
      </c>
      <c r="X502" s="413">
        <v>-5.2927734361232062E-2</v>
      </c>
      <c r="Y502" s="414">
        <v>0.3072529270817756</v>
      </c>
      <c r="Z502" s="1"/>
      <c r="AA502" s="1"/>
      <c r="AB502" s="1"/>
      <c r="AC502" s="1"/>
      <c r="AD502" s="1"/>
      <c r="AL502" s="23"/>
      <c r="AM502" s="23"/>
    </row>
    <row r="503" spans="17:39">
      <c r="Q503" s="6">
        <v>473</v>
      </c>
      <c r="R503" s="7">
        <v>43140</v>
      </c>
      <c r="S503" s="210">
        <v>4.0694444444444446</v>
      </c>
      <c r="T503" s="8">
        <v>1.0001130401234568</v>
      </c>
      <c r="U503" s="98">
        <v>3.7191967809474535</v>
      </c>
      <c r="V503" s="106">
        <v>27538.80155279081</v>
      </c>
      <c r="W503" s="10">
        <v>-4.7869787025378585E-2</v>
      </c>
      <c r="X503" s="413">
        <v>-4.7210692394559724E-2</v>
      </c>
      <c r="Y503" s="414">
        <v>0.30735495859181095</v>
      </c>
      <c r="Z503" s="1"/>
      <c r="AA503" s="1"/>
      <c r="AB503" s="1"/>
      <c r="AC503" s="1"/>
      <c r="AD503" s="1"/>
      <c r="AL503" s="23"/>
      <c r="AM503" s="23"/>
    </row>
    <row r="504" spans="17:39">
      <c r="Q504" s="6">
        <v>474</v>
      </c>
      <c r="R504" s="7">
        <v>43141</v>
      </c>
      <c r="S504" s="210">
        <v>4.072222222222222</v>
      </c>
      <c r="T504" s="8">
        <v>1.0001131172839506</v>
      </c>
      <c r="U504" s="98">
        <v>3.7202402019922642</v>
      </c>
      <c r="V504" s="106">
        <v>27541.339175784506</v>
      </c>
      <c r="W504" s="10">
        <v>-4.6154957772948091E-2</v>
      </c>
      <c r="X504" s="413">
        <v>-4.5519560482602861E-2</v>
      </c>
      <c r="Y504" s="414">
        <v>0.3074571563957203</v>
      </c>
      <c r="Z504" s="1"/>
      <c r="AA504" s="1"/>
      <c r="AB504" s="1"/>
      <c r="AC504" s="1"/>
      <c r="AD504" s="1"/>
      <c r="AL504" s="23"/>
      <c r="AM504" s="23"/>
    </row>
    <row r="505" spans="17:39">
      <c r="Q505" s="6">
        <v>475</v>
      </c>
      <c r="R505" s="7">
        <v>43142</v>
      </c>
      <c r="S505" s="210">
        <v>4.0750000000000002</v>
      </c>
      <c r="T505" s="8">
        <v>1.0001131944444444</v>
      </c>
      <c r="U505" s="98">
        <v>3.7212853892362618</v>
      </c>
      <c r="V505" s="106">
        <v>27543.877032613007</v>
      </c>
      <c r="W505" s="10">
        <v>-4.4441393750249691E-2</v>
      </c>
      <c r="X505" s="413">
        <v>-4.382967191505216E-2</v>
      </c>
      <c r="Y505" s="414">
        <v>0.30755951962613853</v>
      </c>
      <c r="Z505" s="1"/>
      <c r="AA505" s="1"/>
      <c r="AB505" s="1"/>
      <c r="AC505" s="1"/>
      <c r="AD505" s="1"/>
      <c r="AL505" s="23"/>
      <c r="AM505" s="23"/>
    </row>
    <row r="506" spans="17:39">
      <c r="Q506" s="6">
        <v>476</v>
      </c>
      <c r="R506" s="7">
        <v>43143</v>
      </c>
      <c r="S506" s="210">
        <v>4.0777777777777775</v>
      </c>
      <c r="T506" s="8">
        <v>1.0001132716049383</v>
      </c>
      <c r="U506" s="98">
        <v>3.7223323316667445</v>
      </c>
      <c r="V506" s="106">
        <v>27546.415123297877</v>
      </c>
      <c r="W506" s="10">
        <v>-4.2729086864101706E-2</v>
      </c>
      <c r="X506" s="413">
        <v>-4.214101848723343E-2</v>
      </c>
      <c r="Y506" s="414">
        <v>0.30766204742315445</v>
      </c>
      <c r="Z506" s="1"/>
      <c r="AA506" s="1"/>
      <c r="AB506" s="1"/>
      <c r="AC506" s="1"/>
      <c r="AD506" s="1"/>
      <c r="AL506" s="23"/>
      <c r="AM506" s="23"/>
    </row>
    <row r="507" spans="17:39">
      <c r="Q507" s="6">
        <v>477</v>
      </c>
      <c r="R507" s="7">
        <v>43144</v>
      </c>
      <c r="S507" s="210">
        <v>4.0805555555555557</v>
      </c>
      <c r="T507" s="8">
        <v>1.0001133487654321</v>
      </c>
      <c r="U507" s="98">
        <v>3.7233810183633809</v>
      </c>
      <c r="V507" s="106">
        <v>27548.953447860644</v>
      </c>
      <c r="W507" s="10">
        <v>-4.1018029089123775E-2</v>
      </c>
      <c r="X507" s="413">
        <v>-4.0453592061934114E-2</v>
      </c>
      <c r="Y507" s="414">
        <v>0.30776473893421996</v>
      </c>
      <c r="Z507" s="1"/>
      <c r="AA507" s="1"/>
      <c r="AB507" s="1"/>
      <c r="AC507" s="1"/>
      <c r="AD507" s="1"/>
      <c r="AL507" s="23"/>
      <c r="AM507" s="23"/>
    </row>
    <row r="508" spans="17:39">
      <c r="Q508" s="6">
        <v>478</v>
      </c>
      <c r="R508" s="7">
        <v>43145</v>
      </c>
      <c r="S508" s="210">
        <v>4.083333333333333</v>
      </c>
      <c r="T508" s="8">
        <v>1.0001134259259259</v>
      </c>
      <c r="U508" s="98">
        <v>3.7244314384973221</v>
      </c>
      <c r="V508" s="106">
        <v>27551.492006322871</v>
      </c>
      <c r="W508" s="10">
        <v>-3.9308212467104031E-2</v>
      </c>
      <c r="X508" s="413">
        <v>-3.8767384568722738E-2</v>
      </c>
      <c r="Y508" s="414">
        <v>0.30786759331408009</v>
      </c>
      <c r="Z508" s="1"/>
      <c r="AA508" s="1"/>
      <c r="AB508" s="1"/>
      <c r="AC508" s="1"/>
      <c r="AD508" s="1"/>
      <c r="AL508" s="23"/>
      <c r="AM508" s="23"/>
    </row>
    <row r="509" spans="17:39">
      <c r="Q509" s="6">
        <v>479</v>
      </c>
      <c r="R509" s="7">
        <v>43146</v>
      </c>
      <c r="S509" s="210">
        <v>4.0861111111111112</v>
      </c>
      <c r="T509" s="8">
        <v>1.0001135030864197</v>
      </c>
      <c r="U509" s="98">
        <v>3.7254835813302467</v>
      </c>
      <c r="V509" s="106">
        <v>27554.030798706113</v>
      </c>
      <c r="W509" s="10">
        <v>-3.7599629106221943E-2</v>
      </c>
      <c r="X509" s="413">
        <v>-3.7082388003168376E-2</v>
      </c>
      <c r="Y509" s="414">
        <v>0.30797060972469581</v>
      </c>
      <c r="Z509" s="1"/>
      <c r="AA509" s="1"/>
      <c r="AB509" s="1"/>
      <c r="AC509" s="1"/>
      <c r="AD509" s="1"/>
      <c r="AL509" s="23"/>
      <c r="AM509" s="23"/>
    </row>
    <row r="510" spans="17:39">
      <c r="Q510" s="6">
        <v>480</v>
      </c>
      <c r="R510" s="7">
        <v>43147</v>
      </c>
      <c r="S510" s="210">
        <v>4.0888888888888886</v>
      </c>
      <c r="T510" s="8">
        <v>1.0001135802469137</v>
      </c>
      <c r="U510" s="98">
        <v>3.7265374362134063</v>
      </c>
      <c r="V510" s="106">
        <v>27556.569825031926</v>
      </c>
      <c r="W510" s="10">
        <v>-3.589227118035998E-2</v>
      </c>
      <c r="X510" s="413">
        <v>-3.5398594426211405E-2</v>
      </c>
      <c r="Y510" s="414">
        <v>0.30807378733517105</v>
      </c>
      <c r="Z510" s="1"/>
      <c r="AA510" s="1"/>
      <c r="AB510" s="1"/>
      <c r="AC510" s="1"/>
      <c r="AD510" s="1"/>
      <c r="AL510" s="23"/>
      <c r="AM510" s="23"/>
    </row>
    <row r="511" spans="17:39">
      <c r="Q511" s="6">
        <v>481</v>
      </c>
      <c r="R511" s="7">
        <v>43148</v>
      </c>
      <c r="S511" s="210">
        <v>4.0916666666666668</v>
      </c>
      <c r="T511" s="8">
        <v>1.0001136574074074</v>
      </c>
      <c r="U511" s="98">
        <v>3.7275929925866702</v>
      </c>
      <c r="V511" s="106">
        <v>27559.109085321856</v>
      </c>
      <c r="W511" s="10">
        <v>-3.4186130928393066E-2</v>
      </c>
      <c r="X511" s="413">
        <v>-3.37159959633926E-2</v>
      </c>
      <c r="Y511" s="414">
        <v>0.30817712532167324</v>
      </c>
      <c r="Z511" s="1"/>
      <c r="AA511" s="1"/>
      <c r="AB511" s="1"/>
      <c r="AC511" s="1"/>
      <c r="AD511" s="1"/>
      <c r="AL511" s="23"/>
      <c r="AM511" s="23"/>
    </row>
    <row r="512" spans="17:39">
      <c r="Q512" s="6">
        <v>482</v>
      </c>
      <c r="R512" s="7">
        <v>43149</v>
      </c>
      <c r="S512" s="210">
        <v>4.0944444444444441</v>
      </c>
      <c r="T512" s="8">
        <v>1.0001137345679012</v>
      </c>
      <c r="U512" s="98">
        <v>3.72865023997766</v>
      </c>
      <c r="V512" s="106">
        <v>27561.64857959747</v>
      </c>
      <c r="W512" s="10">
        <v>-3.2481200653611264E-2</v>
      </c>
      <c r="X512" s="413">
        <v>-3.2034584804332265E-2</v>
      </c>
      <c r="Y512" s="414">
        <v>0.30828062286736568</v>
      </c>
      <c r="Z512" s="1"/>
      <c r="AA512" s="1"/>
      <c r="AB512" s="1"/>
      <c r="AC512" s="1"/>
      <c r="AD512" s="1"/>
      <c r="AL512" s="23"/>
      <c r="AM512" s="23"/>
    </row>
    <row r="513" spans="17:39">
      <c r="Q513" s="6">
        <v>483</v>
      </c>
      <c r="R513" s="7">
        <v>43150</v>
      </c>
      <c r="S513" s="210">
        <v>4.0972222222222223</v>
      </c>
      <c r="T513" s="8">
        <v>1.000113811728395</v>
      </c>
      <c r="U513" s="98">
        <v>3.7297091680007943</v>
      </c>
      <c r="V513" s="106">
        <v>27564.188307880329</v>
      </c>
      <c r="W513" s="10">
        <v>-3.077747272303144E-2</v>
      </c>
      <c r="X513" s="413">
        <v>-3.0354353201992361E-2</v>
      </c>
      <c r="Y513" s="414">
        <v>0.30838427916233063</v>
      </c>
      <c r="Z513" s="1"/>
      <c r="AA513" s="1"/>
      <c r="AB513" s="1"/>
      <c r="AC513" s="1"/>
      <c r="AD513" s="1"/>
      <c r="AL513" s="23"/>
      <c r="AM513" s="23"/>
    </row>
    <row r="514" spans="17:39">
      <c r="Q514" s="6">
        <v>484</v>
      </c>
      <c r="R514" s="7">
        <v>43151</v>
      </c>
      <c r="S514" s="210">
        <v>4.0999999999999996</v>
      </c>
      <c r="T514" s="8">
        <v>1.000113888888889</v>
      </c>
      <c r="U514" s="98">
        <v>3.7307697663563788</v>
      </c>
      <c r="V514" s="106">
        <v>27566.728270191998</v>
      </c>
      <c r="W514" s="10">
        <v>-2.9074939566609004E-2</v>
      </c>
      <c r="X514" s="413">
        <v>-2.8675293471956149E-2</v>
      </c>
      <c r="Y514" s="414">
        <v>0.30848809340350236</v>
      </c>
      <c r="Z514" s="1"/>
      <c r="AA514" s="1"/>
      <c r="AB514" s="1"/>
      <c r="AC514" s="1"/>
      <c r="AD514" s="1"/>
      <c r="AL514" s="23"/>
      <c r="AM514" s="23"/>
    </row>
    <row r="515" spans="17:39">
      <c r="Q515" s="6">
        <v>485</v>
      </c>
      <c r="R515" s="7">
        <v>43152</v>
      </c>
      <c r="S515" s="210">
        <v>4.1027777777777779</v>
      </c>
      <c r="T515" s="8">
        <v>1.0001139660493827</v>
      </c>
      <c r="U515" s="98">
        <v>3.7318320248298065</v>
      </c>
      <c r="V515" s="106">
        <v>27569.26846655404</v>
      </c>
      <c r="W515" s="10">
        <v>-2.7373593676749408E-2</v>
      </c>
      <c r="X515" s="413">
        <v>-2.6997397991864978E-2</v>
      </c>
      <c r="Y515" s="414">
        <v>0.30859206479459478</v>
      </c>
      <c r="Z515" s="1"/>
      <c r="AA515" s="1"/>
      <c r="AB515" s="1"/>
      <c r="AC515" s="1"/>
      <c r="AD515" s="1"/>
      <c r="AL515" s="23"/>
      <c r="AM515" s="23"/>
    </row>
    <row r="516" spans="17:39">
      <c r="Q516" s="6">
        <v>486</v>
      </c>
      <c r="R516" s="7">
        <v>43153</v>
      </c>
      <c r="S516" s="210">
        <v>4.1055555555555552</v>
      </c>
      <c r="T516" s="8">
        <v>1.0001140432098765</v>
      </c>
      <c r="U516" s="98">
        <v>3.7328959332905587</v>
      </c>
      <c r="V516" s="106">
        <v>27571.808896988019</v>
      </c>
      <c r="W516" s="10">
        <v>-2.5673427607553201E-2</v>
      </c>
      <c r="X516" s="413">
        <v>-2.532065920073872E-2</v>
      </c>
      <c r="Y516" s="414">
        <v>0.30869619254602915</v>
      </c>
      <c r="Z516" s="1"/>
      <c r="AA516" s="1"/>
      <c r="AB516" s="1"/>
      <c r="AC516" s="1"/>
      <c r="AD516" s="1"/>
      <c r="AL516" s="23"/>
      <c r="AM516" s="23"/>
    </row>
    <row r="517" spans="17:39">
      <c r="Q517" s="6">
        <v>487</v>
      </c>
      <c r="R517" s="7">
        <v>43154</v>
      </c>
      <c r="S517" s="210">
        <v>4.1083333333333334</v>
      </c>
      <c r="T517" s="8">
        <v>1.0001141203703703</v>
      </c>
      <c r="U517" s="98">
        <v>3.7339614816914501</v>
      </c>
      <c r="V517" s="106">
        <v>27574.349561515508</v>
      </c>
      <c r="W517" s="10">
        <v>-2.3974433974316423E-2</v>
      </c>
      <c r="X517" s="413">
        <v>-2.3645069598435885E-2</v>
      </c>
      <c r="Y517" s="414">
        <v>0.30880047587486659</v>
      </c>
      <c r="Z517" s="1"/>
      <c r="AA517" s="1"/>
      <c r="AB517" s="1"/>
      <c r="AC517" s="1"/>
      <c r="AD517" s="1"/>
      <c r="AL517" s="23"/>
      <c r="AM517" s="23"/>
    </row>
    <row r="518" spans="17:39">
      <c r="Q518" s="6">
        <v>488</v>
      </c>
      <c r="R518" s="7">
        <v>43155</v>
      </c>
      <c r="S518" s="210">
        <v>4.1111111111111107</v>
      </c>
      <c r="T518" s="8">
        <v>1.0001141975308643</v>
      </c>
      <c r="U518" s="98">
        <v>3.7350286600676963</v>
      </c>
      <c r="V518" s="106">
        <v>27576.890460158076</v>
      </c>
      <c r="W518" s="10">
        <v>-2.2276605452742348E-2</v>
      </c>
      <c r="X518" s="413">
        <v>-2.1970621744882835E-2</v>
      </c>
      <c r="Y518" s="414">
        <v>0.3089049140047454</v>
      </c>
      <c r="Z518" s="1"/>
      <c r="AA518" s="1"/>
      <c r="AB518" s="1"/>
      <c r="AC518" s="1"/>
      <c r="AD518" s="1"/>
      <c r="AL518" s="23"/>
      <c r="AM518" s="23"/>
    </row>
    <row r="519" spans="17:39">
      <c r="Q519" s="6">
        <v>489</v>
      </c>
      <c r="R519" s="7">
        <v>43156</v>
      </c>
      <c r="S519" s="210">
        <v>4.1138888888888889</v>
      </c>
      <c r="T519" s="8">
        <v>1.0001142746913581</v>
      </c>
      <c r="U519" s="98">
        <v>3.7360974585361362</v>
      </c>
      <c r="V519" s="106">
        <v>27579.431592937301</v>
      </c>
      <c r="W519" s="10">
        <v>-2.0579934778419684E-2</v>
      </c>
      <c r="X519" s="413">
        <v>-2.0297308259541343E-2</v>
      </c>
      <c r="Y519" s="414">
        <v>0.30900950616580575</v>
      </c>
      <c r="Z519" s="1"/>
      <c r="AA519" s="1"/>
      <c r="AB519" s="1"/>
      <c r="AC519" s="1"/>
      <c r="AD519" s="1"/>
      <c r="AL519" s="23"/>
      <c r="AM519" s="23"/>
    </row>
    <row r="520" spans="17:39">
      <c r="Q520" s="6">
        <v>490</v>
      </c>
      <c r="R520" s="7">
        <v>43157</v>
      </c>
      <c r="S520" s="210">
        <v>4.1166666666666663</v>
      </c>
      <c r="T520" s="8">
        <v>1.0001143518518518</v>
      </c>
      <c r="U520" s="98">
        <v>3.737167867294322</v>
      </c>
      <c r="V520" s="106">
        <v>27581.972959874751</v>
      </c>
      <c r="W520" s="10">
        <v>-1.8884414746245248E-2</v>
      </c>
      <c r="X520" s="413">
        <v>-1.8625121820850014E-2</v>
      </c>
      <c r="Y520" s="414">
        <v>0.30911425159462735</v>
      </c>
      <c r="Z520" s="1"/>
      <c r="AA520" s="1"/>
      <c r="AB520" s="1"/>
      <c r="AC520" s="1"/>
      <c r="AD520" s="1"/>
      <c r="AL520" s="23"/>
      <c r="AM520" s="23"/>
    </row>
    <row r="521" spans="17:39">
      <c r="Q521" s="6">
        <v>491</v>
      </c>
      <c r="R521" s="7">
        <v>43158</v>
      </c>
      <c r="S521" s="210">
        <v>4.1194444444444445</v>
      </c>
      <c r="T521" s="8">
        <v>1.0001144290123456</v>
      </c>
      <c r="U521" s="98">
        <v>3.7382398766197644</v>
      </c>
      <c r="V521" s="106">
        <v>27584.514560992004</v>
      </c>
      <c r="W521" s="10">
        <v>-1.7190038209680125E-2</v>
      </c>
      <c r="X521" s="413">
        <v>-1.6954055165501612E-2</v>
      </c>
      <c r="Y521" s="414">
        <v>0.30921914953416518</v>
      </c>
      <c r="Z521" s="1"/>
      <c r="AA521" s="1"/>
      <c r="AB521" s="1"/>
      <c r="AC521" s="1"/>
      <c r="AD521" s="1"/>
      <c r="AL521" s="23"/>
      <c r="AM521" s="23"/>
    </row>
    <row r="522" spans="17:39">
      <c r="Q522" s="6">
        <v>492</v>
      </c>
      <c r="R522" s="7">
        <v>43159</v>
      </c>
      <c r="S522" s="210">
        <v>4.1222222222222218</v>
      </c>
      <c r="T522" s="8">
        <v>1.0001145061728396</v>
      </c>
      <c r="U522" s="98">
        <v>3.7393134768691105</v>
      </c>
      <c r="V522" s="106">
        <v>27587.056396310643</v>
      </c>
      <c r="W522" s="10">
        <v>-1.5496798080305574E-2</v>
      </c>
      <c r="X522" s="413">
        <v>-1.5284101087940418E-2</v>
      </c>
      <c r="Y522" s="414">
        <v>0.30932419923368482</v>
      </c>
      <c r="Z522" s="1"/>
      <c r="AA522" s="1"/>
      <c r="AB522" s="1"/>
      <c r="AC522" s="1"/>
      <c r="AD522" s="1"/>
      <c r="AL522" s="23"/>
      <c r="AM522" s="23"/>
    </row>
    <row r="523" spans="17:39">
      <c r="Q523" s="6">
        <v>493</v>
      </c>
      <c r="R523" s="7">
        <v>43160</v>
      </c>
      <c r="S523" s="210">
        <v>4.125</v>
      </c>
      <c r="T523" s="8">
        <v>1.0001145833333334</v>
      </c>
      <c r="U523" s="98">
        <v>3.7403886584772783</v>
      </c>
      <c r="V523" s="106">
        <v>27589.598465852243</v>
      </c>
      <c r="W523" s="10">
        <v>-1.3804687327167997E-2</v>
      </c>
      <c r="X523" s="413">
        <v>-1.3615252439784601E-2</v>
      </c>
      <c r="Y523" s="414">
        <v>0.30942939994869162</v>
      </c>
      <c r="Z523" s="1"/>
      <c r="AA523" s="1"/>
      <c r="AB523" s="1"/>
      <c r="AC523" s="1"/>
      <c r="AD523" s="1"/>
      <c r="AL523" s="23"/>
      <c r="AM523" s="23"/>
    </row>
    <row r="524" spans="17:39">
      <c r="Q524" s="6">
        <v>494</v>
      </c>
      <c r="R524" s="7">
        <v>43161</v>
      </c>
      <c r="S524" s="210">
        <v>4.1277777777777782</v>
      </c>
      <c r="T524" s="8">
        <v>1.0001146604938271</v>
      </c>
      <c r="U524" s="98">
        <v>3.7414654119567237</v>
      </c>
      <c r="V524" s="106">
        <v>27592.140769638398</v>
      </c>
      <c r="W524" s="10">
        <v>-1.2113698976234932E-2</v>
      </c>
      <c r="X524" s="413">
        <v>-1.1947502129215181E-2</v>
      </c>
      <c r="Y524" s="414">
        <v>0.30953475094087696</v>
      </c>
      <c r="Z524" s="1"/>
      <c r="AA524" s="1"/>
      <c r="AB524" s="1"/>
      <c r="AC524" s="1"/>
      <c r="AD524" s="1"/>
      <c r="AL524" s="23"/>
      <c r="AM524" s="23"/>
    </row>
    <row r="525" spans="17:39">
      <c r="Q525" s="6">
        <v>495</v>
      </c>
      <c r="R525" s="7">
        <v>43162</v>
      </c>
      <c r="S525" s="210">
        <v>4.1305555555555555</v>
      </c>
      <c r="T525" s="8">
        <v>1.0001147376543209</v>
      </c>
      <c r="U525" s="98">
        <v>3.7425437278966411</v>
      </c>
      <c r="V525" s="106">
        <v>27594.683307690681</v>
      </c>
      <c r="W525" s="10">
        <v>-1.0423826109706713E-2</v>
      </c>
      <c r="X525" s="413">
        <v>-1.0280843120340097E-2</v>
      </c>
      <c r="Y525" s="414">
        <v>0.30964025147804908</v>
      </c>
      <c r="Z525" s="1"/>
      <c r="AA525" s="1"/>
      <c r="AB525" s="1"/>
      <c r="AC525" s="1"/>
      <c r="AD525" s="1"/>
      <c r="AL525" s="23"/>
      <c r="AM525" s="23"/>
    </row>
    <row r="526" spans="17:39">
      <c r="Q526" s="6">
        <v>496</v>
      </c>
      <c r="R526" s="7">
        <v>43163</v>
      </c>
      <c r="S526" s="210">
        <v>4.1333333333333337</v>
      </c>
      <c r="T526" s="8">
        <v>1.0001148148148149</v>
      </c>
      <c r="U526" s="98">
        <v>3.7436235969622533</v>
      </c>
      <c r="V526" s="106">
        <v>27597.226080030687</v>
      </c>
      <c r="W526" s="10">
        <v>-8.7350618655501755E-3</v>
      </c>
      <c r="X526" s="413">
        <v>-8.6152684327190521E-3</v>
      </c>
      <c r="Y526" s="414">
        <v>0.3097459008340836</v>
      </c>
      <c r="Z526" s="1"/>
      <c r="AA526" s="1"/>
      <c r="AB526" s="1"/>
      <c r="AC526" s="1"/>
      <c r="AD526" s="1"/>
      <c r="AL526" s="23"/>
      <c r="AM526" s="23"/>
    </row>
    <row r="527" spans="17:39">
      <c r="Q527" s="6">
        <v>497</v>
      </c>
      <c r="R527" s="7">
        <v>43164</v>
      </c>
      <c r="S527" s="210">
        <v>4.1361111111111111</v>
      </c>
      <c r="T527" s="8">
        <v>1.0001148919753087</v>
      </c>
      <c r="U527" s="98">
        <v>3.7447050098939005</v>
      </c>
      <c r="V527" s="106">
        <v>27599.769086679997</v>
      </c>
      <c r="W527" s="10">
        <v>-7.0473994369435466E-3</v>
      </c>
      <c r="X527" s="413">
        <v>-6.9507711408056715E-3</v>
      </c>
      <c r="Y527" s="414">
        <v>0.30985169828884068</v>
      </c>
      <c r="Z527" s="1"/>
      <c r="AA527" s="1"/>
      <c r="AB527" s="1"/>
      <c r="AC527" s="1"/>
      <c r="AD527" s="1"/>
      <c r="AL527" s="23"/>
      <c r="AM527" s="23"/>
    </row>
    <row r="528" spans="17:39">
      <c r="Q528" s="6">
        <v>498</v>
      </c>
      <c r="R528" s="7">
        <v>43165</v>
      </c>
      <c r="S528" s="210">
        <v>4.1388888888888893</v>
      </c>
      <c r="T528" s="8">
        <v>1.0001149691358024</v>
      </c>
      <c r="U528" s="98">
        <v>3.7457879575063746</v>
      </c>
      <c r="V528" s="106">
        <v>27602.312327660209</v>
      </c>
      <c r="W528" s="10">
        <v>-5.3608320717657421E-3</v>
      </c>
      <c r="X528" s="413">
        <v>-5.2873443734284395E-3</v>
      </c>
      <c r="Y528" s="414">
        <v>0.30995764312812163</v>
      </c>
      <c r="Z528" s="1"/>
      <c r="AA528" s="1"/>
      <c r="AB528" s="1"/>
      <c r="AC528" s="1"/>
      <c r="AD528" s="1"/>
      <c r="AL528" s="23"/>
      <c r="AM528" s="23"/>
    </row>
    <row r="529" spans="17:39">
      <c r="Q529" s="6">
        <v>499</v>
      </c>
      <c r="R529" s="7">
        <v>43166</v>
      </c>
      <c r="S529" s="210">
        <v>4.1416666666666666</v>
      </c>
      <c r="T529" s="8">
        <v>1.0001150462962962</v>
      </c>
      <c r="U529" s="98">
        <v>3.7468724306881862</v>
      </c>
      <c r="V529" s="106">
        <v>27604.855802992915</v>
      </c>
      <c r="W529" s="10">
        <v>-3.675353071841414E-3</v>
      </c>
      <c r="X529" s="413">
        <v>-3.6249813130536409E-3</v>
      </c>
      <c r="Y529" s="414">
        <v>0.31006373464360992</v>
      </c>
      <c r="Z529" s="1"/>
      <c r="AA529" s="1"/>
      <c r="AB529" s="1"/>
      <c r="AC529" s="1"/>
      <c r="AD529" s="1"/>
      <c r="AL529" s="23"/>
      <c r="AM529" s="23"/>
    </row>
    <row r="530" spans="17:39">
      <c r="Q530" s="6">
        <v>500</v>
      </c>
      <c r="R530" s="7">
        <v>43167</v>
      </c>
      <c r="S530" s="210">
        <v>4.1444444444444448</v>
      </c>
      <c r="T530" s="8">
        <v>1.0001151234567902</v>
      </c>
      <c r="U530" s="98">
        <v>3.747958420400832</v>
      </c>
      <c r="V530" s="106">
        <v>27607.399512699707</v>
      </c>
      <c r="W530" s="10">
        <v>-1.9909557926522936E-3</v>
      </c>
      <c r="X530" s="413">
        <v>-1.9636751955047771E-3</v>
      </c>
      <c r="Y530" s="414">
        <v>0.31016997213280373</v>
      </c>
      <c r="Z530" s="1"/>
      <c r="AA530" s="1"/>
      <c r="AB530" s="1"/>
      <c r="AC530" s="1"/>
      <c r="AD530" s="1"/>
      <c r="AL530" s="23"/>
      <c r="AM530" s="23"/>
    </row>
    <row r="531" spans="17:39">
      <c r="Q531" s="6">
        <v>501</v>
      </c>
      <c r="R531" s="7">
        <v>43168</v>
      </c>
      <c r="S531" s="210">
        <v>4.1472222222222221</v>
      </c>
      <c r="T531" s="8">
        <v>1.000115200617284</v>
      </c>
      <c r="U531" s="98">
        <v>3.7490459176779956</v>
      </c>
      <c r="V531" s="106">
        <v>27609.943456802186</v>
      </c>
      <c r="W531" s="10">
        <v>-3.0763364263775017E-4</v>
      </c>
      <c r="X531" s="413">
        <v>-3.0341930925455082E-4</v>
      </c>
      <c r="Y531" s="414">
        <v>0.31027635489896271</v>
      </c>
      <c r="Z531" s="1"/>
      <c r="AA531" s="1"/>
      <c r="AB531" s="1"/>
      <c r="AC531" s="1"/>
      <c r="AD531" s="1"/>
      <c r="AL531" s="23"/>
      <c r="AM531" s="23"/>
    </row>
    <row r="532" spans="17:39">
      <c r="Q532" s="6">
        <v>502</v>
      </c>
      <c r="R532" s="7">
        <v>43169</v>
      </c>
      <c r="S532" s="210">
        <v>4.1500000000000004</v>
      </c>
      <c r="T532" s="8">
        <v>1.0001152777777778</v>
      </c>
      <c r="U532" s="98">
        <v>3.7501349136248807</v>
      </c>
      <c r="V532" s="106">
        <v>27612.24141425177</v>
      </c>
      <c r="W532" s="10">
        <v>2.0229827955242641E-3</v>
      </c>
      <c r="X532" s="413">
        <v>1.9952782775642152E-3</v>
      </c>
      <c r="Y532" s="414">
        <v>0.31038288225104971</v>
      </c>
      <c r="Z532" s="1"/>
      <c r="AA532" s="1"/>
      <c r="AB532" s="1"/>
      <c r="AC532" s="1"/>
      <c r="AD532" s="1"/>
      <c r="AL532" s="23"/>
      <c r="AM532" s="23"/>
    </row>
    <row r="533" spans="17:39">
      <c r="Q533" s="6">
        <v>503</v>
      </c>
      <c r="R533" s="7">
        <v>43170</v>
      </c>
      <c r="S533" s="210">
        <v>4.1527777777777777</v>
      </c>
      <c r="T533" s="8">
        <v>1.0001153549382715</v>
      </c>
      <c r="U533" s="98">
        <v>3.7512253994175015</v>
      </c>
      <c r="V533" s="106">
        <v>27614.539562958846</v>
      </c>
      <c r="W533" s="10">
        <v>4.3499850825856612E-3</v>
      </c>
      <c r="X533" s="413">
        <v>4.2904315265556098E-3</v>
      </c>
      <c r="Y533" s="414">
        <v>0.31048955350367635</v>
      </c>
      <c r="Z533" s="1"/>
      <c r="AA533" s="1"/>
      <c r="AB533" s="1"/>
      <c r="AC533" s="1"/>
      <c r="AD533" s="1"/>
      <c r="AL533" s="23"/>
      <c r="AM533" s="23"/>
    </row>
    <row r="534" spans="17:39">
      <c r="Q534" s="6">
        <v>504</v>
      </c>
      <c r="R534" s="7">
        <v>43171</v>
      </c>
      <c r="S534" s="210">
        <v>4.1555555555555559</v>
      </c>
      <c r="T534" s="8">
        <v>1.0001154320987655</v>
      </c>
      <c r="U534" s="98">
        <v>3.7523173663019938</v>
      </c>
      <c r="V534" s="106">
        <v>27616.837902939322</v>
      </c>
      <c r="W534" s="10">
        <v>6.6733947999608745E-3</v>
      </c>
      <c r="X534" s="413">
        <v>6.5820620680659813E-3</v>
      </c>
      <c r="Y534" s="414">
        <v>0.31059636797704593</v>
      </c>
      <c r="Z534" s="1"/>
      <c r="AA534" s="1"/>
      <c r="AB534" s="1"/>
      <c r="AC534" s="1"/>
      <c r="AD534" s="1"/>
      <c r="AL534" s="23"/>
      <c r="AM534" s="23"/>
    </row>
    <row r="535" spans="17:39">
      <c r="Q535" s="6">
        <v>505</v>
      </c>
      <c r="R535" s="7">
        <v>43172</v>
      </c>
      <c r="S535" s="210">
        <v>4.1583333333333332</v>
      </c>
      <c r="T535" s="8">
        <v>1.0001155092592593</v>
      </c>
      <c r="U535" s="98">
        <v>3.7534108055938153</v>
      </c>
      <c r="V535" s="106">
        <v>27619.136434209133</v>
      </c>
      <c r="W535" s="10">
        <v>8.9932333583675472E-3</v>
      </c>
      <c r="X535" s="413">
        <v>8.8701913622202255E-3</v>
      </c>
      <c r="Y535" s="414">
        <v>0.31070332499689274</v>
      </c>
      <c r="Z535" s="1"/>
      <c r="AA535" s="1"/>
      <c r="AB535" s="1"/>
      <c r="AC535" s="1"/>
      <c r="AD535" s="1"/>
      <c r="AL535" s="23"/>
      <c r="AM535" s="23"/>
    </row>
    <row r="536" spans="17:39">
      <c r="Q536" s="6">
        <v>506</v>
      </c>
      <c r="R536" s="7">
        <v>43173</v>
      </c>
      <c r="S536" s="210">
        <v>4.1611111111111114</v>
      </c>
      <c r="T536" s="8">
        <v>1.0001155864197531</v>
      </c>
      <c r="U536" s="98">
        <v>3.7545057086772138</v>
      </c>
      <c r="V536" s="106">
        <v>27621.435156784184</v>
      </c>
      <c r="W536" s="10">
        <v>1.130952199990265E-2</v>
      </c>
      <c r="X536" s="413">
        <v>1.1154840701061949E-2</v>
      </c>
      <c r="Y536" s="414">
        <v>0.31081042389443775</v>
      </c>
      <c r="Z536" s="1"/>
      <c r="AA536" s="1"/>
      <c r="AB536" s="1"/>
      <c r="AC536" s="1"/>
      <c r="AD536" s="1"/>
      <c r="AL536" s="23"/>
      <c r="AM536" s="23"/>
    </row>
    <row r="537" spans="17:39">
      <c r="Q537" s="6">
        <v>507</v>
      </c>
      <c r="R537" s="7">
        <v>43174</v>
      </c>
      <c r="S537" s="210">
        <v>4.1638888888888888</v>
      </c>
      <c r="T537" s="8">
        <v>1.0001156635802468</v>
      </c>
      <c r="U537" s="98">
        <v>3.755602067004471</v>
      </c>
      <c r="V537" s="106">
        <v>27623.73407068041</v>
      </c>
      <c r="W537" s="10">
        <v>1.3622281799219316E-2</v>
      </c>
      <c r="X537" s="413">
        <v>1.3436031209722319E-2</v>
      </c>
      <c r="Y537" s="414">
        <v>0.31091766400632559</v>
      </c>
      <c r="Z537" s="1"/>
      <c r="AA537" s="1"/>
      <c r="AB537" s="1"/>
      <c r="AC537" s="1"/>
      <c r="AD537" s="1"/>
      <c r="AL537" s="23"/>
      <c r="AM537" s="23"/>
    </row>
    <row r="538" spans="17:39">
      <c r="Q538" s="6">
        <v>508</v>
      </c>
      <c r="R538" s="7">
        <v>43175</v>
      </c>
      <c r="S538" s="210">
        <v>4.166666666666667</v>
      </c>
      <c r="T538" s="8">
        <v>1.0001157407407408</v>
      </c>
      <c r="U538" s="98">
        <v>3.7566998720952149</v>
      </c>
      <c r="V538" s="106">
        <v>27626.033175913723</v>
      </c>
      <c r="W538" s="10">
        <v>1.5931533665636266E-2</v>
      </c>
      <c r="X538" s="413">
        <v>1.5713783848503481E-2</v>
      </c>
      <c r="Y538" s="414">
        <v>0.31102504467457875</v>
      </c>
      <c r="Z538" s="1"/>
      <c r="AA538" s="1"/>
      <c r="AB538" s="1"/>
      <c r="AC538" s="1"/>
      <c r="AD538" s="1"/>
      <c r="AL538" s="23"/>
      <c r="AM538" s="23"/>
    </row>
    <row r="539" spans="17:39">
      <c r="Q539" s="6">
        <v>509</v>
      </c>
      <c r="R539" s="7">
        <v>43176</v>
      </c>
      <c r="S539" s="210">
        <v>4.1694444444444443</v>
      </c>
      <c r="T539" s="8">
        <v>1.0001158179012346</v>
      </c>
      <c r="U539" s="98">
        <v>3.7577991155357759</v>
      </c>
      <c r="V539" s="106">
        <v>27628.332472500053</v>
      </c>
      <c r="W539" s="10">
        <v>1.8237298344292441E-2</v>
      </c>
      <c r="X539" s="413">
        <v>1.7988119414089399E-2</v>
      </c>
      <c r="Y539" s="414">
        <v>0.3111325652465346</v>
      </c>
      <c r="Z539" s="1"/>
      <c r="AA539" s="1"/>
      <c r="AB539" s="1"/>
      <c r="AC539" s="1"/>
      <c r="AD539" s="1"/>
      <c r="AL539" s="23"/>
      <c r="AM539" s="23"/>
    </row>
    <row r="540" spans="17:39">
      <c r="Q540" s="6">
        <v>510</v>
      </c>
      <c r="R540" s="7">
        <v>43177</v>
      </c>
      <c r="S540" s="210">
        <v>4.1722222222222225</v>
      </c>
      <c r="T540" s="8">
        <v>1.0001158950617284</v>
      </c>
      <c r="U540" s="98">
        <v>3.7588997889784981</v>
      </c>
      <c r="V540" s="106">
        <v>27630.631960455332</v>
      </c>
      <c r="W540" s="10">
        <v>2.0539596418167605E-2</v>
      </c>
      <c r="X540" s="413">
        <v>2.0259058541447758E-2</v>
      </c>
      <c r="Y540" s="414">
        <v>0.31124022507480215</v>
      </c>
      <c r="Z540" s="1"/>
      <c r="AA540" s="1"/>
      <c r="AB540" s="1"/>
      <c r="AC540" s="1"/>
      <c r="AD540" s="1"/>
      <c r="AL540" s="23"/>
      <c r="AM540" s="23"/>
    </row>
    <row r="541" spans="17:39">
      <c r="Q541" s="6">
        <v>511</v>
      </c>
      <c r="R541" s="7">
        <v>43178</v>
      </c>
      <c r="S541" s="210">
        <v>4.1749999999999998</v>
      </c>
      <c r="T541" s="8">
        <v>1.0001159722222221</v>
      </c>
      <c r="U541" s="98">
        <v>3.7600018841412064</v>
      </c>
      <c r="V541" s="106">
        <v>27632.931639795479</v>
      </c>
      <c r="W541" s="10">
        <v>2.283844830948123E-2</v>
      </c>
      <c r="X541" s="413">
        <v>2.252662170536537E-2</v>
      </c>
      <c r="Y541" s="414">
        <v>0.3113480235172118</v>
      </c>
      <c r="Z541" s="1"/>
      <c r="AA541" s="1"/>
      <c r="AB541" s="1"/>
      <c r="AC541" s="1"/>
      <c r="AD541" s="1"/>
      <c r="AL541" s="23"/>
      <c r="AM541" s="23"/>
    </row>
    <row r="542" spans="17:39">
      <c r="Q542" s="6">
        <v>512</v>
      </c>
      <c r="R542" s="7">
        <v>43179</v>
      </c>
      <c r="S542" s="210">
        <v>4.177777777777778</v>
      </c>
      <c r="T542" s="8">
        <v>1.0001160493827161</v>
      </c>
      <c r="U542" s="98">
        <v>3.761105392806452</v>
      </c>
      <c r="V542" s="106">
        <v>27635.231510536432</v>
      </c>
      <c r="W542" s="10">
        <v>2.5133874281157986E-2</v>
      </c>
      <c r="X542" s="413">
        <v>2.4790829221840727E-2</v>
      </c>
      <c r="Y542" s="414">
        <v>0.31145595993675551</v>
      </c>
      <c r="Z542" s="1"/>
      <c r="AA542" s="1"/>
      <c r="AB542" s="1"/>
      <c r="AC542" s="1"/>
      <c r="AD542" s="1"/>
      <c r="AL542" s="23"/>
      <c r="AM542" s="23"/>
    </row>
    <row r="543" spans="17:39">
      <c r="Q543" s="6">
        <v>513</v>
      </c>
      <c r="R543" s="7">
        <v>43180</v>
      </c>
      <c r="S543" s="210">
        <v>4.1805555555555554</v>
      </c>
      <c r="T543" s="8">
        <v>1.0001161265432099</v>
      </c>
      <c r="U543" s="98">
        <v>3.7622103068209123</v>
      </c>
      <c r="V543" s="106">
        <v>27637.531572694104</v>
      </c>
      <c r="W543" s="10">
        <v>2.7425894438581899E-2</v>
      </c>
      <c r="X543" s="413">
        <v>2.7051701249834189E-2</v>
      </c>
      <c r="Y543" s="414">
        <v>0.31156403370154256</v>
      </c>
      <c r="Z543" s="1"/>
      <c r="AA543" s="1"/>
      <c r="AB543" s="1"/>
      <c r="AC543" s="1"/>
      <c r="AD543" s="1"/>
      <c r="AL543" s="23"/>
      <c r="AM543" s="23"/>
    </row>
    <row r="544" spans="17:39">
      <c r="Q544" s="6">
        <v>514</v>
      </c>
      <c r="R544" s="7">
        <v>43181</v>
      </c>
      <c r="S544" s="210">
        <v>4.1833333333333336</v>
      </c>
      <c r="T544" s="8">
        <v>1.0001162037037037</v>
      </c>
      <c r="U544" s="98">
        <v>3.7633166180947475</v>
      </c>
      <c r="V544" s="106">
        <v>27639.831826284451</v>
      </c>
      <c r="W544" s="10">
        <v>2.9714528730973022E-2</v>
      </c>
      <c r="X544" s="413">
        <v>2.9309257792640087E-2</v>
      </c>
      <c r="Y544" s="414">
        <v>0.31167224418474893</v>
      </c>
      <c r="Z544" s="1"/>
      <c r="AA544" s="1"/>
      <c r="AB544" s="1"/>
      <c r="AC544" s="1"/>
      <c r="AD544" s="1"/>
      <c r="AL544" s="23"/>
      <c r="AM544" s="23"/>
    </row>
    <row r="545" spans="17:39">
      <c r="Q545" s="6">
        <v>515</v>
      </c>
      <c r="R545" s="7">
        <v>43182</v>
      </c>
      <c r="S545" s="210">
        <v>4.1861111111111109</v>
      </c>
      <c r="T545" s="8">
        <v>1.0001162808641975</v>
      </c>
      <c r="U545" s="98">
        <v>3.7644243186010673</v>
      </c>
      <c r="V545" s="106">
        <v>27642.132271323382</v>
      </c>
      <c r="W545" s="10">
        <v>3.1999796953052773E-2</v>
      </c>
      <c r="X545" s="413">
        <v>3.1563518699599814E-2</v>
      </c>
      <c r="Y545" s="414">
        <v>0.3117805907645716</v>
      </c>
      <c r="Z545" s="1"/>
      <c r="AA545" s="1"/>
      <c r="AB545" s="1"/>
      <c r="AC545" s="1"/>
      <c r="AD545" s="1"/>
      <c r="AL545" s="23"/>
      <c r="AM545" s="23"/>
    </row>
    <row r="546" spans="17:39">
      <c r="Q546" s="6">
        <v>516</v>
      </c>
      <c r="R546" s="7">
        <v>43183</v>
      </c>
      <c r="S546" s="210">
        <v>4.1888888888888891</v>
      </c>
      <c r="T546" s="8">
        <v>1.0001163580246915</v>
      </c>
      <c r="U546" s="98">
        <v>3.7655334003752428</v>
      </c>
      <c r="V546" s="106">
        <v>27644.432907826849</v>
      </c>
      <c r="W546" s="10">
        <v>3.4281718746331791E-2</v>
      </c>
      <c r="X546" s="413">
        <v>3.3814503667330291E-2</v>
      </c>
      <c r="Y546" s="414">
        <v>0.31188907282417233</v>
      </c>
      <c r="Z546" s="1"/>
      <c r="AA546" s="1"/>
      <c r="AB546" s="1"/>
      <c r="AC546" s="1"/>
      <c r="AD546" s="1"/>
      <c r="AL546" s="23"/>
      <c r="AM546" s="23"/>
    </row>
    <row r="547" spans="17:39">
      <c r="Q547" s="6">
        <v>517</v>
      </c>
      <c r="R547" s="7">
        <v>43184</v>
      </c>
      <c r="S547" s="210">
        <v>4.1916666666666664</v>
      </c>
      <c r="T547" s="8">
        <v>1.0001164351851852</v>
      </c>
      <c r="U547" s="98">
        <v>3.7666438555143067</v>
      </c>
      <c r="V547" s="106">
        <v>27646.733735810776</v>
      </c>
      <c r="W547" s="10">
        <v>3.6560313600753069E-2</v>
      </c>
      <c r="X547" s="413">
        <v>3.6062232241401954E-2</v>
      </c>
      <c r="Y547" s="414">
        <v>0.31199768975163494</v>
      </c>
      <c r="Z547" s="1"/>
      <c r="AA547" s="1"/>
      <c r="AB547" s="1"/>
      <c r="AC547" s="1"/>
      <c r="AD547" s="1"/>
      <c r="AL547" s="23"/>
      <c r="AM547" s="23"/>
    </row>
    <row r="548" spans="17:39">
      <c r="Q548" s="6">
        <v>518</v>
      </c>
      <c r="R548" s="7">
        <v>43185</v>
      </c>
      <c r="S548" s="210">
        <v>4.1944444444444446</v>
      </c>
      <c r="T548" s="8">
        <v>1.000116512345679</v>
      </c>
      <c r="U548" s="98">
        <v>3.7677556761763542</v>
      </c>
      <c r="V548" s="106">
        <v>27649.034755291104</v>
      </c>
      <c r="W548" s="10">
        <v>3.8835600856068631E-2</v>
      </c>
      <c r="X548" s="413">
        <v>3.8306723817704148E-2</v>
      </c>
      <c r="Y548" s="414">
        <v>0.31210644093991746</v>
      </c>
      <c r="Z548" s="1"/>
      <c r="AA548" s="1"/>
      <c r="AB548" s="1"/>
      <c r="AC548" s="1"/>
      <c r="AD548" s="1"/>
      <c r="AL548" s="23"/>
      <c r="AM548" s="23"/>
    </row>
    <row r="549" spans="17:39">
      <c r="Q549" s="6">
        <v>519</v>
      </c>
      <c r="R549" s="7">
        <v>43186</v>
      </c>
      <c r="S549" s="210">
        <v>4.197222222222222</v>
      </c>
      <c r="T549" s="8">
        <v>1.0001165895061728</v>
      </c>
      <c r="U549" s="98">
        <v>3.768868854580032</v>
      </c>
      <c r="V549" s="106">
        <v>27651.335966283776</v>
      </c>
      <c r="W549" s="10">
        <v>4.1107599703371633E-2</v>
      </c>
      <c r="X549" s="413">
        <v>4.054799764396419E-2</v>
      </c>
      <c r="Y549" s="414">
        <v>0.31221532578680417</v>
      </c>
      <c r="Z549" s="1"/>
      <c r="AA549" s="1"/>
      <c r="AB549" s="1"/>
      <c r="AC549" s="1"/>
      <c r="AD549" s="1"/>
      <c r="AL549" s="23"/>
      <c r="AM549" s="23"/>
    </row>
    <row r="550" spans="17:39">
      <c r="Q550" s="6">
        <v>520</v>
      </c>
      <c r="R550" s="7">
        <v>43187</v>
      </c>
      <c r="S550" s="210">
        <v>4.2</v>
      </c>
      <c r="T550" s="8">
        <v>1.0001166666666668</v>
      </c>
      <c r="U550" s="98">
        <v>3.769983383003872</v>
      </c>
      <c r="V550" s="106">
        <v>27653.637368804724</v>
      </c>
      <c r="W550" s="10">
        <v>4.3376329186428642E-2</v>
      </c>
      <c r="X550" s="413">
        <v>4.2786072821095089E-2</v>
      </c>
      <c r="Y550" s="414">
        <v>0.31232434369486162</v>
      </c>
      <c r="Z550" s="1"/>
      <c r="AA550" s="1"/>
      <c r="AB550" s="1"/>
      <c r="AC550" s="1"/>
      <c r="AD550" s="1"/>
      <c r="AL550" s="23"/>
      <c r="AM550" s="23"/>
    </row>
    <row r="551" spans="17:39">
      <c r="Q551" s="6">
        <v>521</v>
      </c>
      <c r="R551" s="7">
        <v>43188</v>
      </c>
      <c r="S551" s="210">
        <v>4.2027777777777775</v>
      </c>
      <c r="T551" s="8">
        <v>1.0001167438271605</v>
      </c>
      <c r="U551" s="98">
        <v>3.7710992537857146</v>
      </c>
      <c r="V551" s="106">
        <v>27655.938962869888</v>
      </c>
      <c r="W551" s="10">
        <v>4.5641808203122913E-2</v>
      </c>
      <c r="X551" s="413">
        <v>4.5020968304635249E-2</v>
      </c>
      <c r="Y551" s="414">
        <v>0.31243349407138765</v>
      </c>
      <c r="Z551" s="1"/>
      <c r="AA551" s="1"/>
      <c r="AB551" s="1"/>
      <c r="AC551" s="1"/>
      <c r="AD551" s="1"/>
      <c r="AL551" s="23"/>
      <c r="AM551" s="23"/>
    </row>
    <row r="552" spans="17:39">
      <c r="Q552" s="6">
        <v>522</v>
      </c>
      <c r="R552" s="7">
        <v>43189</v>
      </c>
      <c r="S552" s="210">
        <v>4.2055555555555557</v>
      </c>
      <c r="T552" s="8">
        <v>1.0001168209876543</v>
      </c>
      <c r="U552" s="98">
        <v>3.7722164593221752</v>
      </c>
      <c r="V552" s="106">
        <v>27658.240748495213</v>
      </c>
      <c r="W552" s="10">
        <v>4.7904055506808874E-2</v>
      </c>
      <c r="X552" s="413">
        <v>4.7252702906064321E-2</v>
      </c>
      <c r="Y552" s="414">
        <v>0.31254277632836869</v>
      </c>
      <c r="Z552" s="1"/>
      <c r="AA552" s="1"/>
      <c r="AB552" s="1"/>
      <c r="AC552" s="1"/>
      <c r="AD552" s="1"/>
      <c r="AL552" s="23"/>
      <c r="AM552" s="23"/>
    </row>
    <row r="553" spans="17:39">
      <c r="Q553" s="6">
        <v>523</v>
      </c>
      <c r="R553" s="7">
        <v>43190</v>
      </c>
      <c r="S553" s="210">
        <v>4.208333333333333</v>
      </c>
      <c r="T553" s="8">
        <v>1.0001168981481481</v>
      </c>
      <c r="U553" s="98">
        <v>3.7733349920681114</v>
      </c>
      <c r="V553" s="106">
        <v>27660.54272569665</v>
      </c>
      <c r="W553" s="10">
        <v>5.0163089707777608E-2</v>
      </c>
      <c r="X553" s="413">
        <v>4.9481295294333323E-2</v>
      </c>
      <c r="Y553" s="414">
        <v>0.3126521898824412</v>
      </c>
      <c r="Z553" s="1"/>
      <c r="AA553" s="1"/>
      <c r="AB553" s="1"/>
      <c r="AC553" s="1"/>
      <c r="AD553" s="1"/>
      <c r="AL553" s="23"/>
      <c r="AM553" s="23"/>
    </row>
    <row r="554" spans="17:39">
      <c r="Q554" s="6">
        <v>524</v>
      </c>
      <c r="R554" s="7">
        <v>43191</v>
      </c>
      <c r="S554" s="210">
        <v>4.2111111111111112</v>
      </c>
      <c r="T554" s="8">
        <v>1.0001169753086421</v>
      </c>
      <c r="U554" s="98">
        <v>3.7744548445360016</v>
      </c>
      <c r="V554" s="106">
        <v>27662.844894490132</v>
      </c>
      <c r="W554" s="10">
        <v>5.2418929274611337E-2</v>
      </c>
      <c r="X554" s="413">
        <v>5.1706763997178891E-2</v>
      </c>
      <c r="Y554" s="414">
        <v>0.31276173415483727</v>
      </c>
      <c r="Z554" s="1"/>
      <c r="AA554" s="1"/>
      <c r="AB554" s="1"/>
      <c r="AC554" s="1"/>
      <c r="AD554" s="1"/>
      <c r="AL554" s="23"/>
      <c r="AM554" s="23"/>
    </row>
    <row r="555" spans="17:39">
      <c r="Q555" s="6">
        <v>525</v>
      </c>
      <c r="R555" s="7">
        <v>43192</v>
      </c>
      <c r="S555" s="210">
        <v>4.2138888888888886</v>
      </c>
      <c r="T555" s="8">
        <v>1.0001170524691358</v>
      </c>
      <c r="U555" s="98">
        <v>3.7755760092954338</v>
      </c>
      <c r="V555" s="106">
        <v>27665.147254891614</v>
      </c>
      <c r="W555" s="10">
        <v>5.4671592535426861E-2</v>
      </c>
      <c r="X555" s="413">
        <v>5.3929127402346309E-2</v>
      </c>
      <c r="Y555" s="414">
        <v>0.31287140857134688</v>
      </c>
      <c r="Z555" s="1"/>
      <c r="AA555" s="1"/>
      <c r="AB555" s="1"/>
      <c r="AC555" s="1"/>
      <c r="AD555" s="1"/>
      <c r="AL555" s="23"/>
      <c r="AM555" s="23"/>
    </row>
    <row r="556" spans="17:39">
      <c r="Q556" s="6">
        <v>526</v>
      </c>
      <c r="R556" s="7">
        <v>43193</v>
      </c>
      <c r="S556" s="210">
        <v>4.2166666666666668</v>
      </c>
      <c r="T556" s="8">
        <v>1.0001171296296296</v>
      </c>
      <c r="U556" s="98">
        <v>3.7766984789725067</v>
      </c>
      <c r="V556" s="106">
        <v>27667.449806917033</v>
      </c>
      <c r="W556" s="10">
        <v>5.6921097679318855E-2</v>
      </c>
      <c r="X556" s="413">
        <v>5.6148403759102676E-2</v>
      </c>
      <c r="Y556" s="414">
        <v>0.31298121256227124</v>
      </c>
      <c r="Z556" s="1"/>
      <c r="AA556" s="1"/>
      <c r="AB556" s="1"/>
      <c r="AC556" s="1"/>
      <c r="AD556" s="1"/>
      <c r="AL556" s="23"/>
      <c r="AM556" s="23"/>
    </row>
    <row r="557" spans="17:39">
      <c r="Q557" s="6">
        <v>527</v>
      </c>
      <c r="R557" s="7">
        <v>43194</v>
      </c>
      <c r="S557" s="210">
        <v>4.2194444444444441</v>
      </c>
      <c r="T557" s="8">
        <v>1.0001172067901234</v>
      </c>
      <c r="U557" s="98">
        <v>3.7778222462494071</v>
      </c>
      <c r="V557" s="106">
        <v>27669.752550582343</v>
      </c>
      <c r="W557" s="10">
        <v>5.9167462757603317E-2</v>
      </c>
      <c r="X557" s="413">
        <v>5.8364611179368635E-2</v>
      </c>
      <c r="Y557" s="414">
        <v>0.31309114556238715</v>
      </c>
      <c r="Z557" s="1"/>
      <c r="AA557" s="1"/>
      <c r="AB557" s="1"/>
      <c r="AC557" s="1"/>
      <c r="AD557" s="1"/>
      <c r="AL557" s="23"/>
      <c r="AM557" s="23"/>
    </row>
    <row r="558" spans="17:39">
      <c r="Q558" s="6">
        <v>528</v>
      </c>
      <c r="R558" s="7">
        <v>43195</v>
      </c>
      <c r="S558" s="210">
        <v>4.2222222222222223</v>
      </c>
      <c r="T558" s="8">
        <v>1.0001172839506174</v>
      </c>
      <c r="U558" s="98">
        <v>3.7789473038637666</v>
      </c>
      <c r="V558" s="106">
        <v>27672.055485903504</v>
      </c>
      <c r="W558" s="10">
        <v>6.1410705685127631E-2</v>
      </c>
      <c r="X558" s="413">
        <v>6.0577767639125042E-2</v>
      </c>
      <c r="Y558" s="414">
        <v>0.3132012070108936</v>
      </c>
      <c r="Z558" s="1"/>
      <c r="AA558" s="1"/>
      <c r="AB558" s="1"/>
      <c r="AC558" s="1"/>
      <c r="AD558" s="1"/>
      <c r="AL558" s="23"/>
      <c r="AM558" s="23"/>
    </row>
    <row r="559" spans="17:39">
      <c r="Q559" s="6">
        <v>529</v>
      </c>
      <c r="R559" s="7">
        <v>43196</v>
      </c>
      <c r="S559" s="210">
        <v>4.2249999999999996</v>
      </c>
      <c r="T559" s="8">
        <v>1.0001173611111112</v>
      </c>
      <c r="U559" s="98">
        <v>3.7800736446081951</v>
      </c>
      <c r="V559" s="106">
        <v>27674.358612896453</v>
      </c>
      <c r="W559" s="10">
        <v>6.3650844241625038E-2</v>
      </c>
      <c r="X559" s="413">
        <v>6.278789097972802E-2</v>
      </c>
      <c r="Y559" s="414">
        <v>0.31331139635137978</v>
      </c>
      <c r="Z559" s="1"/>
      <c r="AA559" s="1"/>
      <c r="AB559" s="1"/>
      <c r="AC559" s="1"/>
      <c r="AD559" s="1"/>
      <c r="AL559" s="23"/>
      <c r="AM559" s="23"/>
    </row>
    <row r="560" spans="17:39">
      <c r="Q560" s="6">
        <v>530</v>
      </c>
      <c r="R560" s="7">
        <v>43197</v>
      </c>
      <c r="S560" s="210">
        <v>4.2277777777777779</v>
      </c>
      <c r="T560" s="8">
        <v>1.0001174382716049</v>
      </c>
      <c r="U560" s="98">
        <v>3.7812012613297252</v>
      </c>
      <c r="V560" s="106">
        <v>27676.66193157715</v>
      </c>
      <c r="W560" s="10">
        <v>6.5887896072891472E-2</v>
      </c>
      <c r="X560" s="413">
        <v>6.4994998909088553E-2</v>
      </c>
      <c r="Y560" s="414">
        <v>0.31342171303177879</v>
      </c>
      <c r="Z560" s="1"/>
      <c r="AA560" s="1"/>
      <c r="AB560" s="1"/>
      <c r="AC560" s="1"/>
      <c r="AD560" s="1"/>
      <c r="AL560" s="23"/>
      <c r="AM560" s="23"/>
    </row>
    <row r="561" spans="17:39">
      <c r="Q561" s="6">
        <v>531</v>
      </c>
      <c r="R561" s="7">
        <v>43198</v>
      </c>
      <c r="S561" s="210">
        <v>4.2305555555555552</v>
      </c>
      <c r="T561" s="8">
        <v>1.0001175154320987</v>
      </c>
      <c r="U561" s="98">
        <v>3.7823301469293247</v>
      </c>
      <c r="V561" s="106">
        <v>27678.965441961544</v>
      </c>
      <c r="W561" s="10">
        <v>6.8121878692140037E-2</v>
      </c>
      <c r="X561" s="413">
        <v>6.7199109003019314E-2</v>
      </c>
      <c r="Y561" s="414">
        <v>0.3135321565043267</v>
      </c>
      <c r="Z561" s="1"/>
      <c r="AA561" s="1"/>
      <c r="AB561" s="1"/>
      <c r="AC561" s="1"/>
      <c r="AD561" s="1"/>
      <c r="AL561" s="23"/>
      <c r="AM561" s="23"/>
    </row>
    <row r="562" spans="17:39">
      <c r="Q562" s="6">
        <v>532</v>
      </c>
      <c r="R562" s="7">
        <v>43199</v>
      </c>
      <c r="S562" s="210">
        <v>4.2333333333333334</v>
      </c>
      <c r="T562" s="8">
        <v>1.0001175925925927</v>
      </c>
      <c r="U562" s="98">
        <v>3.7834602943614293</v>
      </c>
      <c r="V562" s="106">
        <v>27681.269144065594</v>
      </c>
      <c r="W562" s="10">
        <v>7.0352809481177836E-2</v>
      </c>
      <c r="X562" s="413">
        <v>6.9400238706386064E-2</v>
      </c>
      <c r="Y562" s="414">
        <v>0.3136427262255283</v>
      </c>
      <c r="Z562" s="1"/>
      <c r="AA562" s="1"/>
      <c r="AB562" s="1"/>
      <c r="AC562" s="1"/>
      <c r="AD562" s="1"/>
      <c r="AL562" s="23"/>
      <c r="AM562" s="23"/>
    </row>
    <row r="563" spans="17:39">
      <c r="Q563" s="6">
        <v>533</v>
      </c>
      <c r="R563" s="7">
        <v>43200</v>
      </c>
      <c r="S563" s="210">
        <v>4.2361111111111107</v>
      </c>
      <c r="T563" s="8">
        <v>1.0001176697530865</v>
      </c>
      <c r="U563" s="98">
        <v>3.7845916966333437</v>
      </c>
      <c r="V563" s="106">
        <v>27683.649837668883</v>
      </c>
      <c r="W563" s="10">
        <v>7.2390590211379724E-2</v>
      </c>
      <c r="X563" s="413">
        <v>7.1410831628200125E-2</v>
      </c>
      <c r="Y563" s="414">
        <v>0.31375342165610715</v>
      </c>
      <c r="Z563" s="1"/>
      <c r="AA563" s="1"/>
      <c r="AB563" s="1"/>
      <c r="AC563" s="1"/>
      <c r="AD563" s="1"/>
      <c r="AL563" s="23"/>
      <c r="AM563" s="23"/>
    </row>
    <row r="564" spans="17:39">
      <c r="Q564" s="6">
        <v>534</v>
      </c>
      <c r="R564" s="7">
        <v>43201</v>
      </c>
      <c r="S564" s="210">
        <v>4.2388888888888889</v>
      </c>
      <c r="T564" s="8">
        <v>1.0001177469135802</v>
      </c>
      <c r="U564" s="98">
        <v>3.7857243468048196</v>
      </c>
      <c r="V564" s="106">
        <v>27686.030736020795</v>
      </c>
      <c r="W564" s="10">
        <v>7.4426057450160954E-2</v>
      </c>
      <c r="X564" s="413">
        <v>7.3419168780219798E-2</v>
      </c>
      <c r="Y564" s="414">
        <v>0.31386424226097487</v>
      </c>
      <c r="Z564" s="1"/>
      <c r="AA564" s="1"/>
      <c r="AB564" s="1"/>
      <c r="AC564" s="1"/>
      <c r="AD564" s="1"/>
      <c r="AL564" s="23"/>
      <c r="AM564" s="23"/>
    </row>
    <row r="565" spans="17:39">
      <c r="Q565" s="6">
        <v>535</v>
      </c>
      <c r="R565" s="7">
        <v>43202</v>
      </c>
      <c r="S565" s="210">
        <v>4.2416666666666663</v>
      </c>
      <c r="T565" s="8">
        <v>1.000117824074074</v>
      </c>
      <c r="U565" s="98">
        <v>3.7868582379875448</v>
      </c>
      <c r="V565" s="106">
        <v>27688.41183913896</v>
      </c>
      <c r="W565" s="10">
        <v>7.6459224259983749E-2</v>
      </c>
      <c r="X565" s="413">
        <v>7.5425263308151386E-2</v>
      </c>
      <c r="Y565" s="414">
        <v>0.31397518750918424</v>
      </c>
      <c r="Z565" s="1"/>
      <c r="AA565" s="1"/>
      <c r="AB565" s="1"/>
      <c r="AC565" s="1"/>
      <c r="AD565" s="1"/>
      <c r="AL565" s="23"/>
      <c r="AM565" s="23"/>
    </row>
    <row r="566" spans="17:39">
      <c r="Q566" s="6">
        <v>536</v>
      </c>
      <c r="R566" s="7">
        <v>43203</v>
      </c>
      <c r="S566" s="210">
        <v>4.2444444444444445</v>
      </c>
      <c r="T566" s="8">
        <v>1.000117901234568</v>
      </c>
      <c r="U566" s="98">
        <v>3.787993363344655</v>
      </c>
      <c r="V566" s="106">
        <v>27690.793147040971</v>
      </c>
      <c r="W566" s="10">
        <v>7.8490103606210226E-2</v>
      </c>
      <c r="X566" s="413">
        <v>7.7429128261075397E-2</v>
      </c>
      <c r="Y566" s="414">
        <v>0.31408625687390102</v>
      </c>
      <c r="Z566" s="1"/>
      <c r="AA566" s="1"/>
      <c r="AB566" s="1"/>
      <c r="AC566" s="1"/>
      <c r="AD566" s="1"/>
      <c r="AL566" s="23"/>
      <c r="AM566" s="23"/>
    </row>
    <row r="567" spans="17:39">
      <c r="Q567" s="6">
        <v>537</v>
      </c>
      <c r="R567" s="7">
        <v>43204</v>
      </c>
      <c r="S567" s="210">
        <v>4.2472222222222218</v>
      </c>
      <c r="T567" s="8">
        <v>1.0001179783950618</v>
      </c>
      <c r="U567" s="98">
        <v>3.7891297160902671</v>
      </c>
      <c r="V567" s="106">
        <v>27693.174659744451</v>
      </c>
      <c r="W567" s="10">
        <v>8.0518708357590896E-2</v>
      </c>
      <c r="X567" s="413">
        <v>7.9430776591854893E-2</v>
      </c>
      <c r="Y567" s="414">
        <v>0.31419744983235504</v>
      </c>
      <c r="Z567" s="1"/>
      <c r="AA567" s="1"/>
      <c r="AB567" s="1"/>
      <c r="AC567" s="1"/>
      <c r="AD567" s="1"/>
      <c r="AL567" s="23"/>
      <c r="AM567" s="23"/>
    </row>
    <row r="568" spans="17:39">
      <c r="Q568" s="6">
        <v>538</v>
      </c>
      <c r="R568" s="7">
        <v>43205</v>
      </c>
      <c r="S568" s="210">
        <v>4.25</v>
      </c>
      <c r="T568" s="8">
        <v>1.0001180555555556</v>
      </c>
      <c r="U568" s="98">
        <v>3.7902672894889688</v>
      </c>
      <c r="V568" s="106">
        <v>27695.55637726701</v>
      </c>
      <c r="W568" s="10">
        <v>8.2545051287374882E-2</v>
      </c>
      <c r="X568" s="413">
        <v>8.1430221158341795E-2</v>
      </c>
      <c r="Y568" s="414">
        <v>0.31430876586580675</v>
      </c>
      <c r="Z568" s="1"/>
      <c r="AA568" s="1"/>
      <c r="AB568" s="1"/>
      <c r="AC568" s="1"/>
      <c r="AD568" s="1"/>
      <c r="AL568" s="23"/>
      <c r="AM568" s="23"/>
    </row>
    <row r="569" spans="17:39">
      <c r="Q569" s="6">
        <v>539</v>
      </c>
      <c r="R569" s="7">
        <v>43206</v>
      </c>
      <c r="S569" s="210">
        <v>4.2506849315068491</v>
      </c>
      <c r="T569" s="8">
        <v>1.0001180745814306</v>
      </c>
      <c r="U569" s="98">
        <v>3.791401991319554</v>
      </c>
      <c r="V569" s="106">
        <v>27697.938299626268</v>
      </c>
      <c r="W569" s="10">
        <v>8.4565205450437553E-2</v>
      </c>
      <c r="X569" s="413">
        <v>8.3423587501751453E-2</v>
      </c>
      <c r="Y569" s="414">
        <v>0.31441986265188854</v>
      </c>
      <c r="Z569" s="1"/>
      <c r="AA569" s="1"/>
      <c r="AB569" s="1"/>
      <c r="AC569" s="1"/>
      <c r="AD569" s="1"/>
      <c r="AL569" s="23"/>
      <c r="AM569" s="23"/>
    </row>
    <row r="570" spans="17:39">
      <c r="Q570" s="6">
        <v>540</v>
      </c>
      <c r="R570" s="7">
        <v>43207</v>
      </c>
      <c r="S570" s="210">
        <v>4.2513698630136982</v>
      </c>
      <c r="T570" s="8">
        <v>1.000118093607306</v>
      </c>
      <c r="U570" s="98">
        <v>3.7925338375101481</v>
      </c>
      <c r="V570" s="106">
        <v>27700.320426839833</v>
      </c>
      <c r="W570" s="10">
        <v>8.6579205081083188E-2</v>
      </c>
      <c r="X570" s="413">
        <v>8.5410909514379213E-2</v>
      </c>
      <c r="Y570" s="414">
        <v>0.31453074145784499</v>
      </c>
      <c r="Z570" s="1"/>
      <c r="AA570" s="1"/>
      <c r="AB570" s="1"/>
      <c r="AC570" s="1"/>
      <c r="AD570" s="1"/>
      <c r="AL570" s="23"/>
      <c r="AM570" s="23"/>
    </row>
    <row r="571" spans="17:39">
      <c r="Q571" s="6">
        <v>541</v>
      </c>
      <c r="R571" s="7">
        <v>43208</v>
      </c>
      <c r="S571" s="210">
        <v>4.2520547945205482</v>
      </c>
      <c r="T571" s="8">
        <v>1.0001181126331811</v>
      </c>
      <c r="U571" s="98">
        <v>3.793662843871326</v>
      </c>
      <c r="V571" s="106">
        <v>27702.702758925327</v>
      </c>
      <c r="W571" s="10">
        <v>8.8587084161440011E-2</v>
      </c>
      <c r="X571" s="413">
        <v>8.7392220837871362E-2</v>
      </c>
      <c r="Y571" s="414">
        <v>0.31464140354156622</v>
      </c>
      <c r="Z571" s="1"/>
      <c r="AA571" s="1"/>
      <c r="AB571" s="1"/>
      <c r="AC571" s="1"/>
      <c r="AD571" s="1"/>
      <c r="AL571" s="23"/>
      <c r="AM571" s="23"/>
    </row>
    <row r="572" spans="17:39">
      <c r="Q572" s="6">
        <v>542</v>
      </c>
      <c r="R572" s="7">
        <v>43209</v>
      </c>
      <c r="S572" s="210">
        <v>4.2527397260273974</v>
      </c>
      <c r="T572" s="8">
        <v>1.0001181316590564</v>
      </c>
      <c r="U572" s="98">
        <v>3.794789026097245</v>
      </c>
      <c r="V572" s="106">
        <v>27705.085295900368</v>
      </c>
      <c r="W572" s="10">
        <v>9.0588876424213538E-2</v>
      </c>
      <c r="X572" s="413">
        <v>8.9367554865861856E-2</v>
      </c>
      <c r="Y572" s="414">
        <v>0.31475185015168328</v>
      </c>
      <c r="Z572" s="1"/>
      <c r="AA572" s="1"/>
      <c r="AB572" s="1"/>
      <c r="AC572" s="1"/>
      <c r="AD572" s="1"/>
      <c r="AL572" s="23"/>
      <c r="AM572" s="23"/>
    </row>
    <row r="573" spans="17:39">
      <c r="Q573" s="6">
        <v>543</v>
      </c>
      <c r="R573" s="7">
        <v>43210</v>
      </c>
      <c r="S573" s="210">
        <v>4.2534246575342465</v>
      </c>
      <c r="T573" s="8">
        <v>1.0001181506849315</v>
      </c>
      <c r="U573" s="98">
        <v>3.7959123997666655</v>
      </c>
      <c r="V573" s="106">
        <v>27707.468037782583</v>
      </c>
      <c r="W573" s="10">
        <v>9.2584615354507349E-2</v>
      </c>
      <c r="X573" s="413">
        <v>9.1336944745902635E-2</v>
      </c>
      <c r="Y573" s="414">
        <v>0.31486208252763803</v>
      </c>
      <c r="Z573" s="1"/>
      <c r="AA573" s="1"/>
      <c r="AB573" s="1"/>
      <c r="AC573" s="1"/>
      <c r="AD573" s="1"/>
      <c r="AL573" s="23"/>
      <c r="AM573" s="23"/>
    </row>
    <row r="574" spans="17:39">
      <c r="Q574" s="6">
        <v>544</v>
      </c>
      <c r="R574" s="7">
        <v>43211</v>
      </c>
      <c r="S574" s="210">
        <v>4.2541095890410956</v>
      </c>
      <c r="T574" s="8">
        <v>1.0001181697108068</v>
      </c>
      <c r="U574" s="98">
        <v>3.7970329803440173</v>
      </c>
      <c r="V574" s="106">
        <v>27709.850984589593</v>
      </c>
      <c r="W574" s="10">
        <v>9.457433419244321E-2</v>
      </c>
      <c r="X574" s="413">
        <v>9.3300423381960609E-2</v>
      </c>
      <c r="Y574" s="414">
        <v>0.31497210189977942</v>
      </c>
      <c r="Z574" s="1"/>
      <c r="AA574" s="1"/>
      <c r="AB574" s="1"/>
      <c r="AC574" s="1"/>
      <c r="AD574" s="1"/>
      <c r="AL574" s="23"/>
      <c r="AM574" s="23"/>
    </row>
    <row r="575" spans="17:39">
      <c r="Q575" s="6">
        <v>545</v>
      </c>
      <c r="R575" s="7">
        <v>43212</v>
      </c>
      <c r="S575" s="210">
        <v>4.2547945205479456</v>
      </c>
      <c r="T575" s="8">
        <v>1.0001181887366819</v>
      </c>
      <c r="U575" s="98">
        <v>3.7981507831804207</v>
      </c>
      <c r="V575" s="106">
        <v>27712.234136339015</v>
      </c>
      <c r="W575" s="10">
        <v>9.6558065935203885E-2</v>
      </c>
      <c r="X575" s="413">
        <v>9.5258023436579076E-2</v>
      </c>
      <c r="Y575" s="414">
        <v>0.31508190948943743</v>
      </c>
      <c r="Z575" s="1"/>
      <c r="AA575" s="1"/>
      <c r="AB575" s="1"/>
      <c r="AC575" s="1"/>
      <c r="AD575" s="1"/>
      <c r="AL575" s="23"/>
      <c r="AM575" s="23"/>
    </row>
    <row r="576" spans="17:39">
      <c r="Q576" s="6">
        <v>546</v>
      </c>
      <c r="R576" s="7">
        <v>43213</v>
      </c>
      <c r="S576" s="210">
        <v>4.2554794520547947</v>
      </c>
      <c r="T576" s="8">
        <v>1.000118207762557</v>
      </c>
      <c r="U576" s="98">
        <v>3.7992658235148191</v>
      </c>
      <c r="V576" s="106">
        <v>27714.617493048489</v>
      </c>
      <c r="W576" s="10">
        <v>9.8535843339342399E-2</v>
      </c>
      <c r="X576" s="413">
        <v>9.7209777333117697E-2</v>
      </c>
      <c r="Y576" s="414">
        <v>0.31519150650902011</v>
      </c>
      <c r="Z576" s="1"/>
      <c r="AA576" s="1"/>
      <c r="AB576" s="1"/>
      <c r="AC576" s="1"/>
      <c r="AD576" s="1"/>
      <c r="AL576" s="23"/>
      <c r="AM576" s="23"/>
    </row>
    <row r="577" spans="17:39">
      <c r="Q577" s="6">
        <v>547</v>
      </c>
      <c r="R577" s="7">
        <v>43214</v>
      </c>
      <c r="S577" s="210">
        <v>4.2561643835616438</v>
      </c>
      <c r="T577" s="8">
        <v>1.0001182267884323</v>
      </c>
      <c r="U577" s="98">
        <v>3.8003781164749562</v>
      </c>
      <c r="V577" s="106">
        <v>27717.001054735621</v>
      </c>
      <c r="W577" s="10">
        <v>0.10050769892300249</v>
      </c>
      <c r="X577" s="413">
        <v>9.9155717257953593E-2</v>
      </c>
      <c r="Y577" s="414">
        <v>0.31530089416208307</v>
      </c>
      <c r="Z577" s="1"/>
      <c r="AA577" s="1"/>
      <c r="AB577" s="1"/>
      <c r="AC577" s="1"/>
      <c r="AD577" s="1"/>
      <c r="AL577" s="23"/>
      <c r="AM577" s="23"/>
    </row>
    <row r="578" spans="17:39">
      <c r="Q578" s="6">
        <v>548</v>
      </c>
      <c r="R578" s="7">
        <v>43215</v>
      </c>
      <c r="S578" s="210">
        <v>4.256849315068493</v>
      </c>
      <c r="T578" s="8">
        <v>1.0001182458143074</v>
      </c>
      <c r="U578" s="98">
        <v>3.8014876770783079</v>
      </c>
      <c r="V578" s="106">
        <v>27719.384821418062</v>
      </c>
      <c r="W578" s="10">
        <v>0.10247366496787258</v>
      </c>
      <c r="X578" s="413">
        <v>0.10109587516245382</v>
      </c>
      <c r="Y578" s="414">
        <v>0.31541007364341023</v>
      </c>
      <c r="Z578" s="1"/>
      <c r="AA578" s="1"/>
      <c r="AB578" s="1"/>
      <c r="AC578" s="1"/>
      <c r="AD578" s="1"/>
      <c r="AL578" s="23"/>
      <c r="AM578" s="23"/>
    </row>
    <row r="579" spans="17:39">
      <c r="Q579" s="6">
        <v>549</v>
      </c>
      <c r="R579" s="7">
        <v>43216</v>
      </c>
      <c r="S579" s="210">
        <v>4.2575342465753421</v>
      </c>
      <c r="T579" s="8">
        <v>1.0001182648401827</v>
      </c>
      <c r="U579" s="98">
        <v>3.8025945202331712</v>
      </c>
      <c r="V579" s="106">
        <v>27721.768793113435</v>
      </c>
      <c r="W579" s="10">
        <v>0.1044337735216061</v>
      </c>
      <c r="X579" s="413">
        <v>0.10303028276543615</v>
      </c>
      <c r="Y579" s="414">
        <v>0.31551904613910103</v>
      </c>
      <c r="Z579" s="1"/>
      <c r="AA579" s="1"/>
      <c r="AB579" s="1"/>
      <c r="AC579" s="1"/>
      <c r="AD579" s="1"/>
      <c r="AL579" s="23"/>
      <c r="AM579" s="23"/>
    </row>
    <row r="580" spans="17:39">
      <c r="Q580" s="6">
        <v>550</v>
      </c>
      <c r="R580" s="7">
        <v>43217</v>
      </c>
      <c r="S580" s="210">
        <v>4.2582191780821921</v>
      </c>
      <c r="T580" s="8">
        <v>1.0001182838660578</v>
      </c>
      <c r="U580" s="98">
        <v>3.8036986607396406</v>
      </c>
      <c r="V580" s="106">
        <v>27724.152969839361</v>
      </c>
      <c r="W580" s="10">
        <v>0.10638805639979765</v>
      </c>
      <c r="X580" s="413">
        <v>0.10495897155507966</v>
      </c>
      <c r="Y580" s="414">
        <v>0.31562781282664187</v>
      </c>
      <c r="Z580" s="1"/>
      <c r="AA580" s="1"/>
      <c r="AB580" s="1"/>
      <c r="AC580" s="1"/>
      <c r="AD580" s="1"/>
      <c r="AL580" s="23"/>
      <c r="AM580" s="23"/>
    </row>
    <row r="581" spans="17:39">
      <c r="Q581" s="6">
        <v>551</v>
      </c>
      <c r="R581" s="7">
        <v>43218</v>
      </c>
      <c r="S581" s="210">
        <v>4.2589041095890412</v>
      </c>
      <c r="T581" s="8">
        <v>1.0001183028919329</v>
      </c>
      <c r="U581" s="98">
        <v>3.8048001132905851</v>
      </c>
      <c r="V581" s="106">
        <v>27726.537351613486</v>
      </c>
      <c r="W581" s="10">
        <v>0.10833654518798141</v>
      </c>
      <c r="X581" s="413">
        <v>0.10688197279091606</v>
      </c>
      <c r="Y581" s="414">
        <v>0.31573637487498951</v>
      </c>
      <c r="Z581" s="1"/>
      <c r="AA581" s="1"/>
      <c r="AB581" s="1"/>
      <c r="AC581" s="1"/>
      <c r="AD581" s="1"/>
      <c r="AL581" s="23"/>
      <c r="AM581" s="23"/>
    </row>
    <row r="582" spans="17:39">
      <c r="Q582" s="6">
        <v>552</v>
      </c>
      <c r="R582" s="7">
        <v>43219</v>
      </c>
      <c r="S582" s="210">
        <v>4.2595890410958903</v>
      </c>
      <c r="T582" s="8">
        <v>1.0001183219178083</v>
      </c>
      <c r="U582" s="98">
        <v>3.8058988924726034</v>
      </c>
      <c r="V582" s="106">
        <v>27728.921938453441</v>
      </c>
      <c r="W582" s="10">
        <v>0.11027927124398484</v>
      </c>
      <c r="X582" s="413">
        <v>0.10879931750621939</v>
      </c>
      <c r="Y582" s="414">
        <v>0.31584473344464914</v>
      </c>
      <c r="Z582" s="1"/>
      <c r="AA582" s="1"/>
      <c r="AB582" s="1"/>
      <c r="AC582" s="1"/>
      <c r="AD582" s="1"/>
      <c r="AL582" s="23"/>
      <c r="AM582" s="23"/>
    </row>
    <row r="583" spans="17:39">
      <c r="Q583" s="6">
        <v>553</v>
      </c>
      <c r="R583" s="7">
        <v>43220</v>
      </c>
      <c r="S583" s="210">
        <v>4.2602739726027394</v>
      </c>
      <c r="T583" s="8">
        <v>1.0001183409436833</v>
      </c>
      <c r="U583" s="98">
        <v>3.8069950127669783</v>
      </c>
      <c r="V583" s="106">
        <v>27731.306730376866</v>
      </c>
      <c r="W583" s="10">
        <v>0.11221626569966059</v>
      </c>
      <c r="X583" s="413">
        <v>0.11071103650974815</v>
      </c>
      <c r="Y583" s="414">
        <v>0.31595288968774138</v>
      </c>
      <c r="Z583" s="1"/>
      <c r="AA583" s="1"/>
      <c r="AB583" s="1"/>
      <c r="AC583" s="1"/>
      <c r="AD583" s="1"/>
      <c r="AL583" s="23"/>
      <c r="AM583" s="23"/>
    </row>
    <row r="584" spans="17:39">
      <c r="Q584" s="6">
        <v>554</v>
      </c>
      <c r="R584" s="7">
        <v>43221</v>
      </c>
      <c r="S584" s="210">
        <v>4.2609589041095894</v>
      </c>
      <c r="T584" s="8">
        <v>1.0001183599695587</v>
      </c>
      <c r="U584" s="98">
        <v>3.8080884885506761</v>
      </c>
      <c r="V584" s="106">
        <v>27733.691727401394</v>
      </c>
      <c r="W584" s="10">
        <v>0.11414755946317356</v>
      </c>
      <c r="X584" s="413">
        <v>0.11261716038794478</v>
      </c>
      <c r="Y584" s="414">
        <v>0.31606084474809243</v>
      </c>
      <c r="Z584" s="1"/>
      <c r="AA584" s="1"/>
      <c r="AB584" s="1"/>
      <c r="AC584" s="1"/>
      <c r="AD584" s="1"/>
      <c r="AL584" s="23"/>
      <c r="AM584" s="23"/>
    </row>
    <row r="585" spans="17:39">
      <c r="Q585" s="6">
        <v>555</v>
      </c>
      <c r="R585" s="7">
        <v>43222</v>
      </c>
      <c r="S585" s="210">
        <v>4.2616438356164386</v>
      </c>
      <c r="T585" s="8">
        <v>1.0001183789954338</v>
      </c>
      <c r="U585" s="98">
        <v>3.8091793340972124</v>
      </c>
      <c r="V585" s="106">
        <v>27736.076929544666</v>
      </c>
      <c r="W585" s="10">
        <v>0.11607318322086613</v>
      </c>
      <c r="X585" s="413">
        <v>0.11451771950689538</v>
      </c>
      <c r="Y585" s="414">
        <v>0.31616859976129541</v>
      </c>
      <c r="Z585" s="1"/>
      <c r="AA585" s="1"/>
      <c r="AB585" s="1"/>
      <c r="AC585" s="1"/>
      <c r="AD585" s="1"/>
      <c r="AL585" s="23"/>
      <c r="AM585" s="23"/>
    </row>
    <row r="586" spans="17:39">
      <c r="Q586" s="6">
        <v>556</v>
      </c>
      <c r="R586" s="7">
        <v>43223</v>
      </c>
      <c r="S586" s="210">
        <v>4.2623287671232877</v>
      </c>
      <c r="T586" s="8">
        <v>1.0001183980213091</v>
      </c>
      <c r="U586" s="98">
        <v>3.8102675635776295</v>
      </c>
      <c r="V586" s="106">
        <v>27738.462336824323</v>
      </c>
      <c r="W586" s="10">
        <v>0.11799316743930088</v>
      </c>
      <c r="X586" s="413">
        <v>0.11641274401431119</v>
      </c>
      <c r="Y586" s="414">
        <v>0.31627615585479413</v>
      </c>
      <c r="Z586" s="1"/>
      <c r="AA586" s="1"/>
      <c r="AB586" s="1"/>
      <c r="AC586" s="1"/>
      <c r="AD586" s="1"/>
      <c r="AL586" s="23"/>
      <c r="AM586" s="23"/>
    </row>
    <row r="587" spans="17:39">
      <c r="Q587" s="6">
        <v>557</v>
      </c>
      <c r="R587" s="7">
        <v>43224</v>
      </c>
      <c r="S587" s="210">
        <v>4.2630136986301368</v>
      </c>
      <c r="T587" s="8">
        <v>1.0001184170471842</v>
      </c>
      <c r="U587" s="98">
        <v>3.8113531910614062</v>
      </c>
      <c r="V587" s="106">
        <v>27740.847949258008</v>
      </c>
      <c r="W587" s="10">
        <v>0.11990754236714807</v>
      </c>
      <c r="X587" s="413">
        <v>0.11830226384140285</v>
      </c>
      <c r="Y587" s="414">
        <v>0.31638351414795013</v>
      </c>
      <c r="Z587" s="1"/>
      <c r="AA587" s="1"/>
      <c r="AB587" s="1"/>
      <c r="AC587" s="1"/>
      <c r="AD587" s="1"/>
      <c r="AL587" s="23"/>
      <c r="AM587" s="23"/>
    </row>
    <row r="588" spans="17:39">
      <c r="Q588" s="6">
        <v>558</v>
      </c>
      <c r="R588" s="7">
        <v>43225</v>
      </c>
      <c r="S588" s="210">
        <v>4.2636986301369859</v>
      </c>
      <c r="T588" s="8">
        <v>1.0001184360730593</v>
      </c>
      <c r="U588" s="98">
        <v>3.8124362305173243</v>
      </c>
      <c r="V588" s="106">
        <v>27743.233766863359</v>
      </c>
      <c r="W588" s="10">
        <v>0.12181633803725056</v>
      </c>
      <c r="X588" s="413">
        <v>0.12018630870497797</v>
      </c>
      <c r="Y588" s="414">
        <v>0.31649067575211637</v>
      </c>
      <c r="Z588" s="1"/>
      <c r="AA588" s="1"/>
      <c r="AB588" s="1"/>
      <c r="AC588" s="1"/>
      <c r="AD588" s="1"/>
      <c r="AL588" s="23"/>
      <c r="AM588" s="23"/>
    </row>
    <row r="589" spans="17:39">
      <c r="Q589" s="6">
        <v>559</v>
      </c>
      <c r="R589" s="7">
        <v>43226</v>
      </c>
      <c r="S589" s="210">
        <v>4.2643835616438359</v>
      </c>
      <c r="T589" s="8">
        <v>1.0001184550989346</v>
      </c>
      <c r="U589" s="98">
        <v>3.8135166958144895</v>
      </c>
      <c r="V589" s="106">
        <v>27745.619789658034</v>
      </c>
      <c r="W589" s="10">
        <v>0.12371958426844465</v>
      </c>
      <c r="X589" s="413">
        <v>0.12206490810925869</v>
      </c>
      <c r="Y589" s="414">
        <v>0.3165976417707137</v>
      </c>
      <c r="Z589" s="1"/>
      <c r="AA589" s="1"/>
      <c r="AB589" s="1"/>
      <c r="AC589" s="1"/>
      <c r="AD589" s="1"/>
      <c r="AL589" s="23"/>
      <c r="AM589" s="23"/>
    </row>
    <row r="590" spans="17:39">
      <c r="Q590" s="6">
        <v>560</v>
      </c>
      <c r="R590" s="7">
        <v>43227</v>
      </c>
      <c r="S590" s="210">
        <v>4.265068493150685</v>
      </c>
      <c r="T590" s="8">
        <v>1.0001184741248097</v>
      </c>
      <c r="U590" s="98">
        <v>3.8145946007230425</v>
      </c>
      <c r="V590" s="106">
        <v>27748.006017659667</v>
      </c>
      <c r="W590" s="10">
        <v>0.12561731066753623</v>
      </c>
      <c r="X590" s="413">
        <v>0.12393809134782259</v>
      </c>
      <c r="Y590" s="414">
        <v>0.31670441329929339</v>
      </c>
      <c r="Z590" s="1"/>
      <c r="AA590" s="1"/>
      <c r="AB590" s="1"/>
      <c r="AC590" s="1"/>
      <c r="AD590" s="1"/>
      <c r="AL590" s="23"/>
      <c r="AM590" s="23"/>
    </row>
    <row r="591" spans="17:39">
      <c r="Q591" s="6">
        <v>561</v>
      </c>
      <c r="R591" s="7">
        <v>43228</v>
      </c>
      <c r="S591" s="210">
        <v>4.2657534246575342</v>
      </c>
      <c r="T591" s="8">
        <v>1.000118493150685</v>
      </c>
      <c r="U591" s="98">
        <v>3.8156699589151799</v>
      </c>
      <c r="V591" s="106">
        <v>27750.39245088592</v>
      </c>
      <c r="W591" s="10">
        <v>0.12750954663105496</v>
      </c>
      <c r="X591" s="413">
        <v>0.12580588750535196</v>
      </c>
      <c r="Y591" s="414">
        <v>0.31681099142561403</v>
      </c>
      <c r="Z591" s="1"/>
      <c r="AA591" s="1"/>
      <c r="AB591" s="1"/>
      <c r="AC591" s="1"/>
      <c r="AD591" s="1"/>
      <c r="AL591" s="23"/>
      <c r="AM591" s="23"/>
    </row>
    <row r="592" spans="17:39">
      <c r="Q592" s="6">
        <v>562</v>
      </c>
      <c r="R592" s="7">
        <v>43229</v>
      </c>
      <c r="S592" s="210">
        <v>4.2664383561643833</v>
      </c>
      <c r="T592" s="8">
        <v>1.0001185121765601</v>
      </c>
      <c r="U592" s="98">
        <v>3.816742783965954</v>
      </c>
      <c r="V592" s="106">
        <v>27752.779089354433</v>
      </c>
      <c r="W592" s="10">
        <v>0.12939632134734147</v>
      </c>
      <c r="X592" s="413">
        <v>0.12766832545976245</v>
      </c>
      <c r="Y592" s="414">
        <v>0.31691737722970775</v>
      </c>
      <c r="Z592" s="1"/>
      <c r="AA592" s="1"/>
      <c r="AB592" s="1"/>
      <c r="AC592" s="1"/>
      <c r="AD592" s="1"/>
      <c r="AL592" s="23"/>
      <c r="AM592" s="23"/>
    </row>
    <row r="593" spans="17:39">
      <c r="Q593" s="6">
        <v>563</v>
      </c>
      <c r="R593" s="7">
        <v>43230</v>
      </c>
      <c r="S593" s="210">
        <v>4.2671232876712333</v>
      </c>
      <c r="T593" s="8">
        <v>1.0001185312024352</v>
      </c>
      <c r="U593" s="98">
        <v>3.8178130893541384</v>
      </c>
      <c r="V593" s="106">
        <v>27755.088934919848</v>
      </c>
      <c r="W593" s="10">
        <v>0.13145775469307619</v>
      </c>
      <c r="X593" s="413">
        <v>0.12970318432128594</v>
      </c>
      <c r="Y593" s="414">
        <v>0.31702357178394619</v>
      </c>
      <c r="Z593" s="1"/>
      <c r="AA593" s="1"/>
      <c r="AB593" s="1"/>
      <c r="AC593" s="1"/>
      <c r="AD593" s="1"/>
      <c r="AL593" s="23"/>
      <c r="AM593" s="23"/>
    </row>
    <row r="594" spans="17:39">
      <c r="Q594" s="6">
        <v>564</v>
      </c>
      <c r="R594" s="7">
        <v>43231</v>
      </c>
      <c r="S594" s="210">
        <v>4.2678082191780824</v>
      </c>
      <c r="T594" s="8">
        <v>1.0001185502283105</v>
      </c>
      <c r="U594" s="98">
        <v>3.8188808884631609</v>
      </c>
      <c r="V594" s="106">
        <v>27757.398972732193</v>
      </c>
      <c r="W594" s="10">
        <v>0.13351315298846256</v>
      </c>
      <c r="X594" s="413">
        <v>0.13173212384224522</v>
      </c>
      <c r="Y594" s="414">
        <v>0.3171295761531216</v>
      </c>
      <c r="Z594" s="1"/>
      <c r="AA594" s="1"/>
      <c r="AB594" s="1"/>
      <c r="AC594" s="1"/>
      <c r="AD594" s="1"/>
      <c r="AL594" s="23"/>
      <c r="AM594" s="23"/>
    </row>
    <row r="595" spans="17:39">
      <c r="Q595" s="6">
        <v>565</v>
      </c>
      <c r="R595" s="7">
        <v>43232</v>
      </c>
      <c r="S595" s="210">
        <v>4.2684931506849315</v>
      </c>
      <c r="T595" s="8">
        <v>1.0001185692541856</v>
      </c>
      <c r="U595" s="98">
        <v>3.8199461945818136</v>
      </c>
      <c r="V595" s="106">
        <v>27759.709202807462</v>
      </c>
      <c r="W595" s="10">
        <v>0.13556254813056334</v>
      </c>
      <c r="X595" s="413">
        <v>0.13375517558417355</v>
      </c>
      <c r="Y595" s="414">
        <v>0.31723539139449253</v>
      </c>
      <c r="Z595" s="1"/>
      <c r="AA595" s="1"/>
      <c r="AB595" s="1"/>
      <c r="AC595" s="1"/>
      <c r="AD595" s="1"/>
      <c r="AL595" s="23"/>
      <c r="AM595" s="23"/>
    </row>
    <row r="596" spans="17:39">
      <c r="Q596" s="6">
        <v>566</v>
      </c>
      <c r="R596" s="7">
        <v>43233</v>
      </c>
      <c r="S596" s="210">
        <v>4.2691780821917806</v>
      </c>
      <c r="T596" s="8">
        <v>1.0001185882800609</v>
      </c>
      <c r="U596" s="98">
        <v>3.8210090209052083</v>
      </c>
      <c r="V596" s="106">
        <v>27762.019625161673</v>
      </c>
      <c r="W596" s="10">
        <v>0.13760597179213185</v>
      </c>
      <c r="X596" s="413">
        <v>0.13577237088569577</v>
      </c>
      <c r="Y596" s="414">
        <v>0.31734101855787045</v>
      </c>
      <c r="Z596" s="1"/>
      <c r="AA596" s="1"/>
      <c r="AB596" s="1"/>
      <c r="AC596" s="1"/>
      <c r="AD596" s="1"/>
      <c r="AL596" s="23"/>
      <c r="AM596" s="23"/>
    </row>
    <row r="597" spans="17:39">
      <c r="Q597" s="6">
        <v>567</v>
      </c>
      <c r="R597" s="7">
        <v>43234</v>
      </c>
      <c r="S597" s="210">
        <v>4.2698630136986298</v>
      </c>
      <c r="T597" s="8">
        <v>1.000118607305936</v>
      </c>
      <c r="U597" s="98">
        <v>3.8220693805354866</v>
      </c>
      <c r="V597" s="106">
        <v>27764.330239810806</v>
      </c>
      <c r="W597" s="10">
        <v>0.13964345542363255</v>
      </c>
      <c r="X597" s="413">
        <v>0.13778374086449388</v>
      </c>
      <c r="Y597" s="414">
        <v>0.31744645868567134</v>
      </c>
      <c r="Z597" s="1"/>
      <c r="AA597" s="1"/>
      <c r="AB597" s="1"/>
      <c r="AC597" s="1"/>
      <c r="AD597" s="1"/>
      <c r="AL597" s="23"/>
      <c r="AM597" s="23"/>
    </row>
    <row r="598" spans="17:39">
      <c r="Q598" s="6">
        <v>568</v>
      </c>
      <c r="R598" s="7">
        <v>43235</v>
      </c>
      <c r="S598" s="210">
        <v>4.2705479452054798</v>
      </c>
      <c r="T598" s="8">
        <v>1.0001186263318114</v>
      </c>
      <c r="U598" s="98">
        <v>3.8231272864827748</v>
      </c>
      <c r="V598" s="106">
        <v>27766.641046770888</v>
      </c>
      <c r="W598" s="10">
        <v>0.14167503025501738</v>
      </c>
      <c r="X598" s="413">
        <v>0.1397893164191113</v>
      </c>
      <c r="Y598" s="414">
        <v>0.31755171281299133</v>
      </c>
      <c r="Z598" s="1"/>
      <c r="AA598" s="1"/>
      <c r="AB598" s="1"/>
      <c r="AC598" s="1"/>
      <c r="AD598" s="1"/>
      <c r="AL598" s="23"/>
      <c r="AM598" s="23"/>
    </row>
    <row r="599" spans="17:39">
      <c r="Q599" s="6">
        <v>569</v>
      </c>
      <c r="R599" s="7">
        <v>43236</v>
      </c>
      <c r="S599" s="210">
        <v>4.2712328767123289</v>
      </c>
      <c r="T599" s="8">
        <v>1.0001186453576865</v>
      </c>
      <c r="U599" s="98">
        <v>3.82418275166585</v>
      </c>
      <c r="V599" s="106">
        <v>27768.952046057908</v>
      </c>
      <c r="W599" s="10">
        <v>0.14370072729779082</v>
      </c>
      <c r="X599" s="413">
        <v>0.14178912823099082</v>
      </c>
      <c r="Y599" s="414">
        <v>0.31765678196766295</v>
      </c>
      <c r="Z599" s="1"/>
      <c r="AA599" s="1"/>
      <c r="AB599" s="1"/>
      <c r="AC599" s="1"/>
      <c r="AD599" s="1"/>
      <c r="AL599" s="23"/>
      <c r="AM599" s="23"/>
    </row>
    <row r="600" spans="17:39">
      <c r="Q600" s="6">
        <v>570</v>
      </c>
      <c r="R600" s="7">
        <v>43237</v>
      </c>
      <c r="S600" s="210">
        <v>4.271917808219178</v>
      </c>
      <c r="T600" s="8">
        <v>1.0001186643835616</v>
      </c>
      <c r="U600" s="98">
        <v>3.8252357889130062</v>
      </c>
      <c r="V600" s="106">
        <v>27771.263237687879</v>
      </c>
      <c r="W600" s="10">
        <v>0.14572057734683064</v>
      </c>
      <c r="X600" s="413">
        <v>0.14378320676633705</v>
      </c>
      <c r="Y600" s="414">
        <v>0.31776166717031962</v>
      </c>
      <c r="Z600" s="1"/>
      <c r="AA600" s="1"/>
      <c r="AB600" s="1"/>
      <c r="AC600" s="1"/>
      <c r="AD600" s="1"/>
      <c r="AL600" s="23"/>
      <c r="AM600" s="23"/>
    </row>
    <row r="601" spans="17:39">
      <c r="Q601" s="6">
        <v>571</v>
      </c>
      <c r="R601" s="7">
        <v>43238</v>
      </c>
      <c r="S601" s="210">
        <v>4.2726027397260271</v>
      </c>
      <c r="T601" s="8">
        <v>1.0001186834094369</v>
      </c>
      <c r="U601" s="98">
        <v>3.8262864109628758</v>
      </c>
      <c r="V601" s="106">
        <v>27773.574621676813</v>
      </c>
      <c r="W601" s="10">
        <v>0.14773461098231966</v>
      </c>
      <c r="X601" s="413">
        <v>0.14577158227798709</v>
      </c>
      <c r="Y601" s="414">
        <v>0.31786636943446617</v>
      </c>
      <c r="Z601" s="1"/>
      <c r="AA601" s="1"/>
      <c r="AB601" s="1"/>
      <c r="AC601" s="1"/>
      <c r="AD601" s="1"/>
      <c r="AL601" s="23"/>
      <c r="AM601" s="23"/>
    </row>
    <row r="602" spans="17:39">
      <c r="Q602" s="6">
        <v>572</v>
      </c>
      <c r="R602" s="7">
        <v>43239</v>
      </c>
      <c r="S602" s="210">
        <v>4.2732876712328771</v>
      </c>
      <c r="T602" s="8">
        <v>1.000118702435312</v>
      </c>
      <c r="U602" s="98">
        <v>3.8273346304651401</v>
      </c>
      <c r="V602" s="106">
        <v>27775.886198040716</v>
      </c>
      <c r="W602" s="10">
        <v>0.14974285857163316</v>
      </c>
      <c r="X602" s="413">
        <v>0.14775428480730357</v>
      </c>
      <c r="Y602" s="414">
        <v>0.31797088976653276</v>
      </c>
      <c r="Z602" s="1"/>
      <c r="AA602" s="1"/>
      <c r="AB602" s="1"/>
      <c r="AC602" s="1"/>
      <c r="AD602" s="1"/>
      <c r="AL602" s="23"/>
      <c r="AM602" s="23"/>
    </row>
    <row r="603" spans="17:39">
      <c r="Q603" s="6">
        <v>573</v>
      </c>
      <c r="R603" s="7">
        <v>43240</v>
      </c>
      <c r="S603" s="210">
        <v>4.2739726027397262</v>
      </c>
      <c r="T603" s="8">
        <v>1.0001187214611873</v>
      </c>
      <c r="U603" s="98">
        <v>3.8283804599813953</v>
      </c>
      <c r="V603" s="106">
        <v>27778.197966795607</v>
      </c>
      <c r="W603" s="10">
        <v>0.15174535027115965</v>
      </c>
      <c r="X603" s="413">
        <v>0.14973134418604783</v>
      </c>
      <c r="Y603" s="414">
        <v>0.31807522916594244</v>
      </c>
      <c r="Z603" s="1"/>
      <c r="AA603" s="1"/>
      <c r="AB603" s="1"/>
      <c r="AC603" s="1"/>
      <c r="AD603" s="1"/>
      <c r="AL603" s="23"/>
      <c r="AM603" s="23"/>
    </row>
    <row r="604" spans="17:39">
      <c r="Q604" s="6">
        <v>574</v>
      </c>
      <c r="R604" s="7">
        <v>43241</v>
      </c>
      <c r="S604" s="210">
        <v>4.2746575342465754</v>
      </c>
      <c r="T604" s="8">
        <v>1.0001187404870624</v>
      </c>
      <c r="U604" s="98">
        <v>3.8294239119858409</v>
      </c>
      <c r="V604" s="106">
        <v>27780.509927957482</v>
      </c>
      <c r="W604" s="10">
        <v>0.15374211602818821</v>
      </c>
      <c r="X604" s="413">
        <v>0.15170279003821988</v>
      </c>
      <c r="Y604" s="414">
        <v>0.31817938862516876</v>
      </c>
      <c r="Z604" s="1"/>
      <c r="AA604" s="1"/>
      <c r="AB604" s="1"/>
      <c r="AC604" s="1"/>
      <c r="AD604" s="1"/>
      <c r="AL604" s="23"/>
      <c r="AM604" s="23"/>
    </row>
    <row r="605" spans="17:39">
      <c r="Q605" s="6">
        <v>575</v>
      </c>
      <c r="R605" s="7">
        <v>43242</v>
      </c>
      <c r="S605" s="210">
        <v>4.2753424657534245</v>
      </c>
      <c r="T605" s="8">
        <v>1.0001187595129375</v>
      </c>
      <c r="U605" s="98">
        <v>3.8304649988660344</v>
      </c>
      <c r="V605" s="106">
        <v>27782.822081542377</v>
      </c>
      <c r="W605" s="10">
        <v>0.15573318558250726</v>
      </c>
      <c r="X605" s="413">
        <v>0.15366865178164224</v>
      </c>
      <c r="Y605" s="414">
        <v>0.31828336912979494</v>
      </c>
      <c r="Z605" s="1"/>
      <c r="AA605" s="1"/>
      <c r="AB605" s="1"/>
      <c r="AC605" s="1"/>
      <c r="AD605" s="1"/>
      <c r="AL605" s="23"/>
      <c r="AM605" s="23"/>
    </row>
    <row r="606" spans="17:39">
      <c r="Q606" s="6">
        <v>576</v>
      </c>
      <c r="R606" s="7">
        <v>43243</v>
      </c>
      <c r="S606" s="210">
        <v>4.2760273972602736</v>
      </c>
      <c r="T606" s="8">
        <v>1.0001187785388128</v>
      </c>
      <c r="U606" s="98">
        <v>3.8315037329237134</v>
      </c>
      <c r="V606" s="106">
        <v>27785.134427566285</v>
      </c>
      <c r="W606" s="10">
        <v>0.15771858846851394</v>
      </c>
      <c r="X606" s="413">
        <v>0.15562895863009685</v>
      </c>
      <c r="Y606" s="414">
        <v>0.31838717165857838</v>
      </c>
      <c r="Z606" s="1"/>
      <c r="AA606" s="1"/>
      <c r="AB606" s="1"/>
      <c r="AC606" s="1"/>
      <c r="AD606" s="1"/>
      <c r="AL606" s="23"/>
      <c r="AM606" s="23"/>
    </row>
    <row r="607" spans="17:39">
      <c r="Q607" s="6">
        <v>577</v>
      </c>
      <c r="R607" s="7">
        <v>43244</v>
      </c>
      <c r="S607" s="210">
        <v>4.2767123287671236</v>
      </c>
      <c r="T607" s="8">
        <v>1.0001187975646879</v>
      </c>
      <c r="U607" s="98">
        <v>3.8325401263754388</v>
      </c>
      <c r="V607" s="106">
        <v>27787.446966045241</v>
      </c>
      <c r="W607" s="10">
        <v>0.15969835401672405</v>
      </c>
      <c r="X607" s="413">
        <v>0.15758373959481611</v>
      </c>
      <c r="Y607" s="414">
        <v>0.31849079718350531</v>
      </c>
      <c r="Z607" s="1"/>
      <c r="AA607" s="1"/>
      <c r="AB607" s="1"/>
      <c r="AC607" s="1"/>
      <c r="AD607" s="1"/>
      <c r="AL607" s="23"/>
      <c r="AM607" s="23"/>
    </row>
    <row r="608" spans="17:39">
      <c r="Q608" s="6">
        <v>578</v>
      </c>
      <c r="R608" s="7">
        <v>43245</v>
      </c>
      <c r="S608" s="210">
        <v>4.2773972602739727</v>
      </c>
      <c r="T608" s="8">
        <v>1.0001188165905632</v>
      </c>
      <c r="U608" s="98">
        <v>3.8335741913534616</v>
      </c>
      <c r="V608" s="106">
        <v>27789.75969699525</v>
      </c>
      <c r="W608" s="10">
        <v>0.16167251135565941</v>
      </c>
      <c r="X608" s="413">
        <v>0.15953302348637322</v>
      </c>
      <c r="Y608" s="414">
        <v>0.3185942466698537</v>
      </c>
      <c r="Z608" s="1"/>
      <c r="AA608" s="1"/>
      <c r="AB608" s="1"/>
      <c r="AC608" s="1"/>
      <c r="AD608" s="1"/>
      <c r="AL608" s="23"/>
      <c r="AM608" s="23"/>
    </row>
    <row r="609" spans="17:39">
      <c r="Q609" s="6">
        <v>579</v>
      </c>
      <c r="R609" s="7">
        <v>43246</v>
      </c>
      <c r="S609" s="210">
        <v>4.2780821917808218</v>
      </c>
      <c r="T609" s="8">
        <v>1.0001188356164383</v>
      </c>
      <c r="U609" s="98">
        <v>3.8346059399063215</v>
      </c>
      <c r="V609" s="106">
        <v>27792.072620432333</v>
      </c>
      <c r="W609" s="10">
        <v>0.16364108941362421</v>
      </c>
      <c r="X609" s="413">
        <v>0.16147683891647033</v>
      </c>
      <c r="Y609" s="414">
        <v>0.31869752107624794</v>
      </c>
      <c r="Z609" s="1"/>
      <c r="AA609" s="1"/>
      <c r="AB609" s="1"/>
      <c r="AC609" s="1"/>
      <c r="AD609" s="1"/>
      <c r="AL609" s="23"/>
      <c r="AM609" s="23"/>
    </row>
    <row r="610" spans="17:39">
      <c r="Q610" s="6">
        <v>580</v>
      </c>
      <c r="R610" s="7">
        <v>43247</v>
      </c>
      <c r="S610" s="210">
        <v>4.2787671232876709</v>
      </c>
      <c r="T610" s="8">
        <v>1.0001188546423136</v>
      </c>
      <c r="U610" s="98">
        <v>3.8356353839996471</v>
      </c>
      <c r="V610" s="106">
        <v>27794.385736372522</v>
      </c>
      <c r="W610" s="10">
        <v>0.16560411692021493</v>
      </c>
      <c r="X610" s="413">
        <v>0.16341521429939096</v>
      </c>
      <c r="Y610" s="414">
        <v>0.31880062135471743</v>
      </c>
      <c r="Z610" s="1"/>
      <c r="AA610" s="1"/>
      <c r="AB610" s="1"/>
      <c r="AC610" s="1"/>
      <c r="AD610" s="1"/>
      <c r="AL610" s="23"/>
      <c r="AM610" s="23"/>
    </row>
    <row r="611" spans="17:39">
      <c r="Q611" s="6">
        <v>581</v>
      </c>
      <c r="R611" s="7">
        <v>43248</v>
      </c>
      <c r="S611" s="210">
        <v>4.279452054794521</v>
      </c>
      <c r="T611" s="8">
        <v>1.0001188736681887</v>
      </c>
      <c r="U611" s="98">
        <v>3.8366625355167994</v>
      </c>
      <c r="V611" s="106">
        <v>27796.699044831828</v>
      </c>
      <c r="W611" s="10">
        <v>0.16756162240822992</v>
      </c>
      <c r="X611" s="413">
        <v>0.16534817785397427</v>
      </c>
      <c r="Y611" s="414">
        <v>0.31890354845074947</v>
      </c>
      <c r="Z611" s="1"/>
      <c r="AA611" s="1"/>
      <c r="AB611" s="1"/>
      <c r="AC611" s="1"/>
      <c r="AD611" s="1"/>
      <c r="AL611" s="23"/>
      <c r="AM611" s="23"/>
    </row>
    <row r="612" spans="17:39">
      <c r="Q612" s="6">
        <v>582</v>
      </c>
      <c r="R612" s="7">
        <v>43249</v>
      </c>
      <c r="S612" s="210">
        <v>4.2801369863013701</v>
      </c>
      <c r="T612" s="8">
        <v>1.0001188926940638</v>
      </c>
      <c r="U612" s="98">
        <v>3.8376874062596489</v>
      </c>
      <c r="V612" s="106">
        <v>27799.012545826274</v>
      </c>
      <c r="W612" s="10">
        <v>0.16951363421526811</v>
      </c>
      <c r="X612" s="413">
        <v>0.16727575760517041</v>
      </c>
      <c r="Y612" s="414">
        <v>0.31900630330335294</v>
      </c>
      <c r="Z612" s="1"/>
      <c r="AA612" s="1"/>
      <c r="AB612" s="1"/>
      <c r="AC612" s="1"/>
      <c r="AD612" s="1"/>
      <c r="AL612" s="23"/>
      <c r="AM612" s="23"/>
    </row>
    <row r="613" spans="17:39">
      <c r="Q613" s="6">
        <v>583</v>
      </c>
      <c r="R613" s="7">
        <v>43250</v>
      </c>
      <c r="S613" s="210">
        <v>4.2808219178082192</v>
      </c>
      <c r="T613" s="8">
        <v>1.0001189117199392</v>
      </c>
      <c r="U613" s="98">
        <v>3.8387100079492642</v>
      </c>
      <c r="V613" s="106">
        <v>27801.326239371883</v>
      </c>
      <c r="W613" s="10">
        <v>0.17146018048550538</v>
      </c>
      <c r="X613" s="413">
        <v>0.1691979813858131</v>
      </c>
      <c r="Y613" s="414">
        <v>0.31910888684511096</v>
      </c>
      <c r="Z613" s="1"/>
      <c r="AA613" s="1"/>
      <c r="AB613" s="1"/>
      <c r="AC613" s="1"/>
      <c r="AD613" s="1"/>
      <c r="AL613" s="23"/>
      <c r="AM613" s="23"/>
    </row>
    <row r="614" spans="17:39">
      <c r="Q614" s="6">
        <v>584</v>
      </c>
      <c r="R614" s="7">
        <v>43251</v>
      </c>
      <c r="S614" s="210">
        <v>4.2815068493150683</v>
      </c>
      <c r="T614" s="8">
        <v>1.0001189307458143</v>
      </c>
      <c r="U614" s="98">
        <v>3.8397303522265336</v>
      </c>
      <c r="V614" s="106">
        <v>27803.640125484697</v>
      </c>
      <c r="W614" s="10">
        <v>0.17340128917104902</v>
      </c>
      <c r="X614" s="413">
        <v>0.17111487683799073</v>
      </c>
      <c r="Y614" s="414">
        <v>0.3192113000022308</v>
      </c>
      <c r="Z614" s="1"/>
      <c r="AA614" s="1"/>
      <c r="AB614" s="1"/>
      <c r="AC614" s="1"/>
      <c r="AD614" s="1"/>
      <c r="AL614" s="23"/>
      <c r="AM614" s="23"/>
    </row>
    <row r="615" spans="17:39">
      <c r="Q615" s="6">
        <v>585</v>
      </c>
      <c r="R615" s="7">
        <v>43252</v>
      </c>
      <c r="S615" s="210">
        <v>4.2821917808219174</v>
      </c>
      <c r="T615" s="8">
        <v>1.0001189497716896</v>
      </c>
      <c r="U615" s="98">
        <v>3.8407484506529643</v>
      </c>
      <c r="V615" s="106">
        <v>27805.954204180722</v>
      </c>
      <c r="W615" s="10">
        <v>0.17533698803395836</v>
      </c>
      <c r="X615" s="413">
        <v>0.17302647141504551</v>
      </c>
      <c r="Y615" s="414">
        <v>0.31931354369460702</v>
      </c>
      <c r="Z615" s="1"/>
      <c r="AA615" s="1"/>
      <c r="AB615" s="1"/>
      <c r="AC615" s="1"/>
      <c r="AD615" s="1"/>
      <c r="AL615" s="23"/>
      <c r="AM615" s="23"/>
    </row>
    <row r="616" spans="17:39">
      <c r="Q616" s="6">
        <v>586</v>
      </c>
      <c r="R616" s="7">
        <v>43253</v>
      </c>
      <c r="S616" s="210">
        <v>4.2828767123287674</v>
      </c>
      <c r="T616" s="8">
        <v>1.0001189687975647</v>
      </c>
      <c r="U616" s="98">
        <v>3.8417643147111935</v>
      </c>
      <c r="V616" s="106">
        <v>27808.268475476001</v>
      </c>
      <c r="W616" s="10">
        <v>0.1772673046475326</v>
      </c>
      <c r="X616" s="413">
        <v>0.17493279238285675</v>
      </c>
      <c r="Y616" s="414">
        <v>0.31941561883586517</v>
      </c>
      <c r="Z616" s="1"/>
      <c r="AA616" s="1"/>
      <c r="AB616" s="1"/>
      <c r="AC616" s="1"/>
      <c r="AD616" s="1"/>
      <c r="AL616" s="23"/>
      <c r="AM616" s="23"/>
    </row>
    <row r="617" spans="17:39">
      <c r="Q617" s="6">
        <v>587</v>
      </c>
      <c r="R617" s="7">
        <v>43254</v>
      </c>
      <c r="S617" s="210">
        <v>4.2835616438356166</v>
      </c>
      <c r="T617" s="8">
        <v>1.0001189878234398</v>
      </c>
      <c r="U617" s="98">
        <v>3.8427779558058539</v>
      </c>
      <c r="V617" s="106">
        <v>27810.582939386557</v>
      </c>
      <c r="W617" s="10">
        <v>0.17919226639815378</v>
      </c>
      <c r="X617" s="413">
        <v>0.17683386682170976</v>
      </c>
      <c r="Y617" s="414">
        <v>0.319517526333428</v>
      </c>
      <c r="Z617" s="1"/>
      <c r="AA617" s="1"/>
      <c r="AB617" s="1"/>
      <c r="AC617" s="1"/>
      <c r="AD617" s="1"/>
      <c r="AL617" s="23"/>
      <c r="AM617" s="23"/>
    </row>
    <row r="618" spans="17:39">
      <c r="Q618" s="6">
        <v>588</v>
      </c>
      <c r="R618" s="7">
        <v>43255</v>
      </c>
      <c r="S618" s="210">
        <v>4.2842465753424657</v>
      </c>
      <c r="T618" s="8">
        <v>1.0001190068493151</v>
      </c>
      <c r="U618" s="98">
        <v>3.8437893852640848</v>
      </c>
      <c r="V618" s="106">
        <v>27812.897595928422</v>
      </c>
      <c r="W618" s="10">
        <v>0.18111190048668568</v>
      </c>
      <c r="X618" s="413">
        <v>0.17872972162765663</v>
      </c>
      <c r="Y618" s="414">
        <v>0.31961926708855309</v>
      </c>
      <c r="Z618" s="1"/>
      <c r="AA618" s="1"/>
      <c r="AB618" s="1"/>
      <c r="AC618" s="1"/>
      <c r="AD618" s="1"/>
      <c r="AL618" s="23"/>
      <c r="AM618" s="23"/>
    </row>
    <row r="619" spans="17:39">
      <c r="Q619" s="6">
        <v>589</v>
      </c>
      <c r="R619" s="7">
        <v>43256</v>
      </c>
      <c r="S619" s="210">
        <v>4.2849315068493148</v>
      </c>
      <c r="T619" s="8">
        <v>1.0001190258751902</v>
      </c>
      <c r="U619" s="98">
        <v>3.8447986143362423</v>
      </c>
      <c r="V619" s="106">
        <v>27815.212445117635</v>
      </c>
      <c r="W619" s="10">
        <v>0.18302623393016137</v>
      </c>
      <c r="X619" s="413">
        <v>0.18062038351420243</v>
      </c>
      <c r="Y619" s="414">
        <v>0.31972084199640011</v>
      </c>
      <c r="Z619" s="1"/>
      <c r="AA619" s="1"/>
      <c r="AB619" s="1"/>
      <c r="AC619" s="1"/>
      <c r="AD619" s="1"/>
      <c r="AL619" s="23"/>
      <c r="AM619" s="23"/>
    </row>
    <row r="620" spans="17:39">
      <c r="Q620" s="6">
        <v>590</v>
      </c>
      <c r="R620" s="7">
        <v>43257</v>
      </c>
      <c r="S620" s="210">
        <v>4.2856164383561648</v>
      </c>
      <c r="T620" s="8">
        <v>1.0001190449010655</v>
      </c>
      <c r="U620" s="98">
        <v>3.8458056541965879</v>
      </c>
      <c r="V620" s="106">
        <v>27817.527486970223</v>
      </c>
      <c r="W620" s="10">
        <v>0.18493529356327087</v>
      </c>
      <c r="X620" s="413">
        <v>0.1825058790138113</v>
      </c>
      <c r="Y620" s="414">
        <v>0.31982225194607222</v>
      </c>
      <c r="Z620" s="1"/>
      <c r="AA620" s="1"/>
      <c r="AB620" s="1"/>
      <c r="AC620" s="1"/>
      <c r="AD620" s="1"/>
      <c r="AL620" s="23"/>
      <c r="AM620" s="23"/>
    </row>
    <row r="621" spans="17:39">
      <c r="Q621" s="6">
        <v>591</v>
      </c>
      <c r="R621" s="7">
        <v>43258</v>
      </c>
      <c r="S621" s="210">
        <v>4.2863013698630139</v>
      </c>
      <c r="T621" s="8">
        <v>1.0001190639269406</v>
      </c>
      <c r="U621" s="98">
        <v>3.8468105159438437</v>
      </c>
      <c r="V621" s="106">
        <v>27819.84272150222</v>
      </c>
      <c r="W621" s="10">
        <v>0.18683910603989329</v>
      </c>
      <c r="X621" s="413">
        <v>0.1843862344794249</v>
      </c>
      <c r="Y621" s="414">
        <v>0.31992349782066964</v>
      </c>
      <c r="Z621" s="1"/>
      <c r="AA621" s="1"/>
      <c r="AB621" s="1"/>
      <c r="AC621" s="1"/>
      <c r="AD621" s="1"/>
      <c r="AL621" s="23"/>
      <c r="AM621" s="23"/>
    </row>
    <row r="622" spans="17:39">
      <c r="Q622" s="6">
        <v>592</v>
      </c>
      <c r="R622" s="7">
        <v>43259</v>
      </c>
      <c r="S622" s="210">
        <v>4.286986301369863</v>
      </c>
      <c r="T622" s="8">
        <v>1.0001190829528159</v>
      </c>
      <c r="U622" s="98">
        <v>3.8478132106019247</v>
      </c>
      <c r="V622" s="106">
        <v>27822.158148729668</v>
      </c>
      <c r="W622" s="10">
        <v>0.18873769783471772</v>
      </c>
      <c r="X622" s="413">
        <v>0.18626147608607285</v>
      </c>
      <c r="Y622" s="414">
        <v>0.32002458049734483</v>
      </c>
      <c r="Z622" s="1"/>
      <c r="AA622" s="1"/>
      <c r="AB622" s="1"/>
      <c r="AC622" s="1"/>
      <c r="AD622" s="1"/>
      <c r="AL622" s="23"/>
      <c r="AM622" s="23"/>
    </row>
    <row r="623" spans="17:39">
      <c r="Q623" s="6">
        <v>593</v>
      </c>
      <c r="R623" s="7">
        <v>43260</v>
      </c>
      <c r="S623" s="210">
        <v>4.2876712328767121</v>
      </c>
      <c r="T623" s="8">
        <v>1.000119101978691</v>
      </c>
      <c r="U623" s="98">
        <v>3.8488137491204721</v>
      </c>
      <c r="V623" s="106">
        <v>27824.473768668602</v>
      </c>
      <c r="W623" s="10">
        <v>0.19063109524459776</v>
      </c>
      <c r="X623" s="413">
        <v>0.18813162983222484</v>
      </c>
      <c r="Y623" s="414">
        <v>0.32012550084734481</v>
      </c>
      <c r="Z623" s="1"/>
      <c r="AA623" s="1"/>
      <c r="AB623" s="1"/>
      <c r="AC623" s="1"/>
      <c r="AD623" s="1"/>
      <c r="AL623" s="23"/>
      <c r="AM623" s="23"/>
    </row>
    <row r="624" spans="17:39">
      <c r="Q624" s="6">
        <v>594</v>
      </c>
      <c r="R624" s="7">
        <v>43261</v>
      </c>
      <c r="S624" s="210">
        <v>4.2883561643835613</v>
      </c>
      <c r="T624" s="8">
        <v>1.0001191210045661</v>
      </c>
      <c r="U624" s="98">
        <v>3.8498121423755416</v>
      </c>
      <c r="V624" s="106">
        <v>27826.866778409996</v>
      </c>
      <c r="W624" s="10">
        <v>0.19234852807967773</v>
      </c>
      <c r="X624" s="413">
        <v>0.18982806159732621</v>
      </c>
      <c r="Y624" s="414">
        <v>0.32022625973606744</v>
      </c>
      <c r="Z624" s="1"/>
      <c r="AA624" s="1"/>
      <c r="AB624" s="1"/>
      <c r="AC624" s="1"/>
      <c r="AD624" s="1"/>
      <c r="AL624" s="23"/>
      <c r="AM624" s="23"/>
    </row>
    <row r="625" spans="17:39">
      <c r="Q625" s="6">
        <v>595</v>
      </c>
      <c r="R625" s="7">
        <v>43262</v>
      </c>
      <c r="S625" s="210">
        <v>4.2890410958904113</v>
      </c>
      <c r="T625" s="8">
        <v>1.0001191400304414</v>
      </c>
      <c r="U625" s="98">
        <v>3.850808401170247</v>
      </c>
      <c r="V625" s="106">
        <v>27829.259993959251</v>
      </c>
      <c r="W625" s="10">
        <v>0.19406138658188965</v>
      </c>
      <c r="X625" s="413">
        <v>0.19152001227473156</v>
      </c>
      <c r="Y625" s="414">
        <v>0.32032685802311084</v>
      </c>
      <c r="Z625" s="1"/>
      <c r="AA625" s="1"/>
      <c r="AB625" s="1"/>
      <c r="AC625" s="1"/>
      <c r="AD625" s="1"/>
      <c r="AL625" s="23"/>
      <c r="AM625" s="23"/>
    </row>
    <row r="626" spans="17:39">
      <c r="Q626" s="6">
        <v>596</v>
      </c>
      <c r="R626" s="7">
        <v>43263</v>
      </c>
      <c r="S626" s="210">
        <v>4.2897260273972604</v>
      </c>
      <c r="T626" s="8">
        <v>1.0001191590563165</v>
      </c>
      <c r="U626" s="98">
        <v>3.8518025362352715</v>
      </c>
      <c r="V626" s="106">
        <v>27831.653415334084</v>
      </c>
      <c r="W626" s="10">
        <v>0.19576969368921837</v>
      </c>
      <c r="X626" s="413">
        <v>0.19320750453690988</v>
      </c>
      <c r="Y626" s="414">
        <v>0.32042729656231389</v>
      </c>
      <c r="Z626" s="1"/>
      <c r="AA626" s="1"/>
      <c r="AB626" s="1"/>
      <c r="AC626" s="1"/>
      <c r="AD626" s="1"/>
      <c r="AL626" s="23"/>
      <c r="AM626" s="23"/>
    </row>
    <row r="627" spans="17:39">
      <c r="Q627" s="6">
        <v>597</v>
      </c>
      <c r="R627" s="7">
        <v>43264</v>
      </c>
      <c r="S627" s="210">
        <v>4.2904109589041095</v>
      </c>
      <c r="T627" s="8">
        <v>1.0001191780821919</v>
      </c>
      <c r="U627" s="98">
        <v>3.8527945582295775</v>
      </c>
      <c r="V627" s="106">
        <v>27834.047042552178</v>
      </c>
      <c r="W627" s="10">
        <v>0.19747347218679323</v>
      </c>
      <c r="X627" s="413">
        <v>0.19489056090464829</v>
      </c>
      <c r="Y627" s="414">
        <v>0.32052757620181616</v>
      </c>
      <c r="Z627" s="1"/>
      <c r="AA627" s="1"/>
      <c r="AB627" s="1"/>
      <c r="AC627" s="1"/>
      <c r="AD627" s="1"/>
      <c r="AL627" s="23"/>
      <c r="AM627" s="23"/>
    </row>
    <row r="628" spans="17:39">
      <c r="Q628" s="6">
        <v>598</v>
      </c>
      <c r="R628" s="7">
        <v>43265</v>
      </c>
      <c r="S628" s="210">
        <v>4.2910958904109586</v>
      </c>
      <c r="T628" s="8">
        <v>1.000119197108067</v>
      </c>
      <c r="U628" s="98">
        <v>3.853784477740918</v>
      </c>
      <c r="V628" s="106">
        <v>27836.440875631248</v>
      </c>
      <c r="W628" s="10">
        <v>0.19917274470784285</v>
      </c>
      <c r="X628" s="413">
        <v>0.19656920374812004</v>
      </c>
      <c r="Y628" s="414">
        <v>0.32062769778409356</v>
      </c>
      <c r="Z628" s="1"/>
      <c r="AA628" s="1"/>
      <c r="AB628" s="1"/>
      <c r="AC628" s="1"/>
      <c r="AD628" s="1"/>
      <c r="AL628" s="23"/>
      <c r="AM628" s="23"/>
    </row>
    <row r="629" spans="17:39">
      <c r="Q629" s="6">
        <v>599</v>
      </c>
      <c r="R629" s="7">
        <v>43266</v>
      </c>
      <c r="S629" s="210">
        <v>4.2917808219178086</v>
      </c>
      <c r="T629" s="8">
        <v>1.0001192161339421</v>
      </c>
      <c r="U629" s="98">
        <v>3.8547723052864802</v>
      </c>
      <c r="V629" s="106">
        <v>27838.834914588995</v>
      </c>
      <c r="W629" s="10">
        <v>0.20086753373504962</v>
      </c>
      <c r="X629" s="413">
        <v>0.19824345528810153</v>
      </c>
      <c r="Y629" s="414">
        <v>0.32072766214601545</v>
      </c>
      <c r="Z629" s="1"/>
      <c r="AA629" s="1"/>
      <c r="AB629" s="1"/>
      <c r="AC629" s="1"/>
      <c r="AD629" s="1"/>
      <c r="AL629" s="23"/>
      <c r="AM629" s="23"/>
    </row>
    <row r="630" spans="17:39">
      <c r="Q630" s="6">
        <v>600</v>
      </c>
      <c r="R630" s="7">
        <v>43267</v>
      </c>
      <c r="S630" s="210">
        <v>4.2924657534246577</v>
      </c>
      <c r="T630" s="8">
        <v>1.0001192351598174</v>
      </c>
      <c r="U630" s="98">
        <v>3.855758051313507</v>
      </c>
      <c r="V630" s="106">
        <v>27841.229159443134</v>
      </c>
      <c r="W630" s="10">
        <v>0.20255786160190414</v>
      </c>
      <c r="X630" s="413">
        <v>0.19991333759745711</v>
      </c>
      <c r="Y630" s="414">
        <v>0.32082747011888846</v>
      </c>
      <c r="Z630" s="1"/>
      <c r="AA630" s="1"/>
      <c r="AB630" s="1"/>
      <c r="AC630" s="1"/>
      <c r="AD630" s="1"/>
      <c r="AL630" s="23"/>
      <c r="AM630" s="23"/>
    </row>
    <row r="631" spans="17:39">
      <c r="Q631" s="6">
        <v>601</v>
      </c>
      <c r="R631" s="7">
        <v>43268</v>
      </c>
      <c r="S631" s="210">
        <v>4.2931506849315069</v>
      </c>
      <c r="T631" s="8">
        <v>1.0001192541856925</v>
      </c>
      <c r="U631" s="98">
        <v>3.8567417261997861</v>
      </c>
      <c r="V631" s="106">
        <v>27843.623610211358</v>
      </c>
      <c r="W631" s="10">
        <v>0.20424375049381549</v>
      </c>
      <c r="X631" s="413">
        <v>0.2015788726021569</v>
      </c>
      <c r="Y631" s="414">
        <v>0.32092712252849986</v>
      </c>
      <c r="Z631" s="1"/>
      <c r="AA631" s="1"/>
      <c r="AB631" s="1"/>
      <c r="AC631" s="1"/>
      <c r="AD631" s="1"/>
      <c r="AL631" s="23"/>
      <c r="AM631" s="23"/>
    </row>
    <row r="632" spans="17:39">
      <c r="Q632" s="6">
        <v>602</v>
      </c>
      <c r="R632" s="7">
        <v>43269</v>
      </c>
      <c r="S632" s="210">
        <v>4.293835616438356</v>
      </c>
      <c r="T632" s="8">
        <v>1.0001192732115678</v>
      </c>
      <c r="U632" s="98">
        <v>3.8577233402543154</v>
      </c>
      <c r="V632" s="106">
        <v>27846.018266911386</v>
      </c>
      <c r="W632" s="10">
        <v>0.20592522244933242</v>
      </c>
      <c r="X632" s="413">
        <v>0.20324008208248356</v>
      </c>
      <c r="Y632" s="414">
        <v>0.32102662019516653</v>
      </c>
      <c r="Z632" s="1"/>
      <c r="AA632" s="1"/>
      <c r="AB632" s="1"/>
      <c r="AC632" s="1"/>
      <c r="AD632" s="1"/>
      <c r="AL632" s="23"/>
      <c r="AM632" s="23"/>
    </row>
    <row r="633" spans="17:39">
      <c r="Q633" s="6">
        <v>603</v>
      </c>
      <c r="R633" s="7">
        <v>43270</v>
      </c>
      <c r="S633" s="210">
        <v>4.2945205479452051</v>
      </c>
      <c r="T633" s="8">
        <v>1.0001192922374429</v>
      </c>
      <c r="U633" s="98">
        <v>3.85870290371777</v>
      </c>
      <c r="V633" s="106">
        <v>27848.413129560926</v>
      </c>
      <c r="W633" s="10">
        <v>0.20760229936143126</v>
      </c>
      <c r="X633" s="413">
        <v>0.20489698767441242</v>
      </c>
      <c r="Y633" s="414">
        <v>0.32112596393377696</v>
      </c>
      <c r="Z633" s="1"/>
      <c r="AA633" s="1"/>
      <c r="AB633" s="1"/>
      <c r="AC633" s="1"/>
      <c r="AD633" s="1"/>
      <c r="AL633" s="23"/>
      <c r="AM633" s="23"/>
    </row>
    <row r="634" spans="17:39">
      <c r="Q634" s="6">
        <v>604</v>
      </c>
      <c r="R634" s="7">
        <v>43271</v>
      </c>
      <c r="S634" s="210">
        <v>4.2952054794520551</v>
      </c>
      <c r="T634" s="8">
        <v>1.0001193112633182</v>
      </c>
      <c r="U634" s="98">
        <v>3.8596804267632123</v>
      </c>
      <c r="V634" s="106">
        <v>27850.808198177689</v>
      </c>
      <c r="W634" s="10">
        <v>0.20927500297871493</v>
      </c>
      <c r="X634" s="413">
        <v>0.20654961087068729</v>
      </c>
      <c r="Y634" s="414">
        <v>0.32122515455384293</v>
      </c>
      <c r="Z634" s="1"/>
      <c r="AA634" s="1"/>
      <c r="AB634" s="1"/>
      <c r="AC634" s="1"/>
      <c r="AD634" s="1"/>
      <c r="AL634" s="23"/>
      <c r="AM634" s="23"/>
    </row>
    <row r="635" spans="17:39">
      <c r="Q635" s="6">
        <v>605</v>
      </c>
      <c r="R635" s="7">
        <v>43272</v>
      </c>
      <c r="S635" s="210">
        <v>4.2958904109589042</v>
      </c>
      <c r="T635" s="8">
        <v>1.0001193302891933</v>
      </c>
      <c r="U635" s="98">
        <v>3.8606559194964696</v>
      </c>
      <c r="V635" s="106">
        <v>27853.203472779394</v>
      </c>
      <c r="W635" s="10">
        <v>0.21094335490643434</v>
      </c>
      <c r="X635" s="413">
        <v>0.20819797302191159</v>
      </c>
      <c r="Y635" s="414">
        <v>0.32132419285953284</v>
      </c>
      <c r="Z635" s="1"/>
      <c r="AA635" s="1"/>
      <c r="AB635" s="1"/>
      <c r="AC635" s="1"/>
      <c r="AD635" s="1"/>
      <c r="AL635" s="23"/>
      <c r="AM635" s="23"/>
    </row>
    <row r="636" spans="17:39">
      <c r="Q636" s="6">
        <v>606</v>
      </c>
      <c r="R636" s="7">
        <v>43273</v>
      </c>
      <c r="S636" s="210">
        <v>4.2965753424657533</v>
      </c>
      <c r="T636" s="8">
        <v>1.0001193493150684</v>
      </c>
      <c r="U636" s="98">
        <v>3.8616293919568445</v>
      </c>
      <c r="V636" s="106">
        <v>27855.598953383753</v>
      </c>
      <c r="W636" s="10">
        <v>0.21260737660797613</v>
      </c>
      <c r="X636" s="413">
        <v>0.20984209533801113</v>
      </c>
      <c r="Y636" s="414">
        <v>0.32142307964972683</v>
      </c>
      <c r="Z636" s="1"/>
      <c r="AA636" s="1"/>
      <c r="AB636" s="1"/>
      <c r="AC636" s="1"/>
      <c r="AD636" s="1"/>
      <c r="AL636" s="23"/>
      <c r="AM636" s="23"/>
    </row>
    <row r="637" spans="17:39">
      <c r="Q637" s="6">
        <v>607</v>
      </c>
      <c r="R637" s="7">
        <v>43274</v>
      </c>
      <c r="S637" s="210">
        <v>4.2972602739726025</v>
      </c>
      <c r="T637" s="8">
        <v>1.0001193683409437</v>
      </c>
      <c r="U637" s="98">
        <v>3.8626008541175816</v>
      </c>
      <c r="V637" s="106">
        <v>27857.994640008485</v>
      </c>
      <c r="W637" s="10">
        <v>0.21426708940570638</v>
      </c>
      <c r="X637" s="413">
        <v>0.21148199888906391</v>
      </c>
      <c r="Y637" s="414">
        <v>0.32152181571805505</v>
      </c>
      <c r="Z637" s="1"/>
      <c r="AA637" s="1"/>
      <c r="AB637" s="1"/>
      <c r="AC637" s="1"/>
      <c r="AD637" s="1"/>
      <c r="AL637" s="23"/>
      <c r="AM637" s="23"/>
    </row>
    <row r="638" spans="17:39">
      <c r="Q638" s="6">
        <v>608</v>
      </c>
      <c r="R638" s="7">
        <v>43275</v>
      </c>
      <c r="S638" s="210">
        <v>4.2979452054794525</v>
      </c>
      <c r="T638" s="8">
        <v>1.0001193873668188</v>
      </c>
      <c r="U638" s="98">
        <v>3.8635703158864443</v>
      </c>
      <c r="V638" s="106">
        <v>27860.390532671303</v>
      </c>
      <c r="W638" s="10">
        <v>0.21592251448234734</v>
      </c>
      <c r="X638" s="413">
        <v>0.21311770460668683</v>
      </c>
      <c r="Y638" s="414">
        <v>0.32162040185294255</v>
      </c>
      <c r="Z638" s="1"/>
      <c r="AA638" s="1"/>
      <c r="AB638" s="1"/>
      <c r="AC638" s="1"/>
      <c r="AD638" s="1"/>
      <c r="AL638" s="23"/>
      <c r="AM638" s="23"/>
    </row>
    <row r="639" spans="17:39">
      <c r="Q639" s="6">
        <v>609</v>
      </c>
      <c r="R639" s="7">
        <v>43276</v>
      </c>
      <c r="S639" s="210">
        <v>4.2986301369863016</v>
      </c>
      <c r="T639" s="8">
        <v>1.0001194063926941</v>
      </c>
      <c r="U639" s="98">
        <v>3.8645377871062259</v>
      </c>
      <c r="V639" s="106">
        <v>27862.786631389932</v>
      </c>
      <c r="W639" s="10">
        <v>0.21757367288204321</v>
      </c>
      <c r="X639" s="413">
        <v>0.21474923328506737</v>
      </c>
      <c r="Y639" s="414">
        <v>0.32171883883765029</v>
      </c>
      <c r="Z639" s="1"/>
      <c r="AA639" s="1"/>
      <c r="AB639" s="1"/>
      <c r="AC639" s="1"/>
      <c r="AD639" s="1"/>
      <c r="AL639" s="23"/>
      <c r="AM639" s="23"/>
    </row>
    <row r="640" spans="17:39">
      <c r="Q640" s="6">
        <v>610</v>
      </c>
      <c r="R640" s="7">
        <v>43277</v>
      </c>
      <c r="S640" s="210">
        <v>4.2993150684931507</v>
      </c>
      <c r="T640" s="8">
        <v>1.0001194254185692</v>
      </c>
      <c r="U640" s="98">
        <v>3.86550327755526</v>
      </c>
      <c r="V640" s="106">
        <v>27865.182936182096</v>
      </c>
      <c r="W640" s="10">
        <v>0.21922058551144818</v>
      </c>
      <c r="X640" s="413">
        <v>0.21637660558210312</v>
      </c>
      <c r="Y640" s="414">
        <v>0.32181712745031715</v>
      </c>
      <c r="Z640" s="1"/>
      <c r="AA640" s="1"/>
      <c r="AB640" s="1"/>
      <c r="AC640" s="1"/>
      <c r="AD640" s="1"/>
      <c r="AL640" s="23"/>
      <c r="AM640" s="23"/>
    </row>
    <row r="641" spans="17:39">
      <c r="Q641" s="6">
        <v>611</v>
      </c>
      <c r="R641" s="7">
        <v>43278</v>
      </c>
      <c r="S641" s="210">
        <v>4.3</v>
      </c>
      <c r="T641" s="8">
        <v>1.0001194444444443</v>
      </c>
      <c r="U641" s="98">
        <v>3.8664667969480426</v>
      </c>
      <c r="V641" s="106">
        <v>27867.579447065509</v>
      </c>
      <c r="W641" s="10">
        <v>0.22086327314090326</v>
      </c>
      <c r="X641" s="413">
        <v>0.21799984202051734</v>
      </c>
      <c r="Y641" s="414">
        <v>0.32191526846400437</v>
      </c>
      <c r="Z641" s="1"/>
      <c r="AA641" s="1"/>
      <c r="AB641" s="1"/>
      <c r="AC641" s="1"/>
      <c r="AD641" s="1"/>
      <c r="AL641" s="23"/>
      <c r="AM641" s="23"/>
    </row>
    <row r="642" spans="17:39">
      <c r="Q642" s="6">
        <v>612</v>
      </c>
      <c r="R642" s="7">
        <v>43279</v>
      </c>
      <c r="S642" s="210">
        <v>4.3006849315068489</v>
      </c>
      <c r="T642" s="8">
        <v>1.0001194634703197</v>
      </c>
      <c r="U642" s="98">
        <v>3.8674283549356314</v>
      </c>
      <c r="V642" s="106">
        <v>27869.976164057905</v>
      </c>
      <c r="W642" s="10">
        <v>0.22250175640554648</v>
      </c>
      <c r="X642" s="413">
        <v>0.21961896298897599</v>
      </c>
      <c r="Y642" s="414">
        <v>0.32201326264673669</v>
      </c>
      <c r="Z642" s="1"/>
      <c r="AA642" s="1"/>
      <c r="AB642" s="1"/>
      <c r="AC642" s="1"/>
      <c r="AD642" s="1"/>
      <c r="AL642" s="23"/>
      <c r="AM642" s="23"/>
    </row>
    <row r="643" spans="17:39">
      <c r="Q643" s="6">
        <v>613</v>
      </c>
      <c r="R643" s="7">
        <v>43280</v>
      </c>
      <c r="S643" s="210">
        <v>4.3013698630136989</v>
      </c>
      <c r="T643" s="8">
        <v>1.0001194824961948</v>
      </c>
      <c r="U643" s="98">
        <v>3.8683879611062677</v>
      </c>
      <c r="V643" s="106">
        <v>27872.373087177006</v>
      </c>
      <c r="W643" s="10">
        <v>0.22413605580642315</v>
      </c>
      <c r="X643" s="413">
        <v>0.22123398874320768</v>
      </c>
      <c r="Y643" s="414">
        <v>0.32211111076154247</v>
      </c>
      <c r="Z643" s="1"/>
      <c r="AA643" s="1"/>
      <c r="AB643" s="1"/>
      <c r="AC643" s="1"/>
      <c r="AD643" s="1"/>
      <c r="AL643" s="23"/>
      <c r="AM643" s="23"/>
    </row>
    <row r="644" spans="17:39">
      <c r="Q644" s="6">
        <v>614</v>
      </c>
      <c r="R644" s="7">
        <v>43281</v>
      </c>
      <c r="S644" s="210">
        <v>4.3020547945205481</v>
      </c>
      <c r="T644" s="8">
        <v>1.0001195015220701</v>
      </c>
      <c r="U644" s="98">
        <v>3.8693456249858205</v>
      </c>
      <c r="V644" s="106">
        <v>27874.770216440542</v>
      </c>
      <c r="W644" s="10">
        <v>0.22576619171146284</v>
      </c>
      <c r="X644" s="413">
        <v>0.22284493940699482</v>
      </c>
      <c r="Y644" s="414">
        <v>0.32220881356649334</v>
      </c>
      <c r="Z644" s="1"/>
      <c r="AA644" s="1"/>
      <c r="AB644" s="1"/>
      <c r="AC644" s="1"/>
      <c r="AD644" s="1"/>
      <c r="AL644" s="23"/>
      <c r="AM644" s="23"/>
    </row>
    <row r="645" spans="17:39">
      <c r="Q645" s="6">
        <v>615</v>
      </c>
      <c r="R645" s="7">
        <v>43282</v>
      </c>
      <c r="S645" s="210">
        <v>4.3027397260273972</v>
      </c>
      <c r="T645" s="8">
        <v>1.0001195205479452</v>
      </c>
      <c r="U645" s="98">
        <v>3.8703013560382749</v>
      </c>
      <c r="V645" s="106">
        <v>27877.167551866238</v>
      </c>
      <c r="W645" s="10">
        <v>0.22739218435670061</v>
      </c>
      <c r="X645" s="413">
        <v>0.2244518349733374</v>
      </c>
      <c r="Y645" s="414">
        <v>0.32230637181474331</v>
      </c>
      <c r="Z645" s="1"/>
      <c r="AA645" s="1"/>
      <c r="AB645" s="1"/>
      <c r="AC645" s="1"/>
      <c r="AD645" s="1"/>
      <c r="AL645" s="23"/>
      <c r="AM645" s="23"/>
    </row>
    <row r="646" spans="17:39">
      <c r="Q646" s="6">
        <v>616</v>
      </c>
      <c r="R646" s="7">
        <v>43283</v>
      </c>
      <c r="S646" s="210">
        <v>4.3034246575342463</v>
      </c>
      <c r="T646" s="8">
        <v>1.0001195395738205</v>
      </c>
      <c r="U646" s="98">
        <v>3.8712551636663317</v>
      </c>
      <c r="V646" s="106">
        <v>27879.565093471829</v>
      </c>
      <c r="W646" s="10">
        <v>0.22901405384729845</v>
      </c>
      <c r="X646" s="413">
        <v>0.22605469530550154</v>
      </c>
      <c r="Y646" s="414">
        <v>0.32240378625457655</v>
      </c>
      <c r="Z646" s="1"/>
      <c r="AA646" s="1"/>
      <c r="AB646" s="1"/>
      <c r="AC646" s="1"/>
      <c r="AD646" s="1"/>
      <c r="AL646" s="23"/>
      <c r="AM646" s="23"/>
    </row>
    <row r="647" spans="17:39">
      <c r="Q647" s="6">
        <v>617</v>
      </c>
      <c r="R647" s="7">
        <v>43284</v>
      </c>
      <c r="S647" s="210">
        <v>4.3041095890410963</v>
      </c>
      <c r="T647" s="8">
        <v>1.0001195585996956</v>
      </c>
      <c r="U647" s="98">
        <v>3.872207057211785</v>
      </c>
      <c r="V647" s="106">
        <v>27881.962841275043</v>
      </c>
      <c r="W647" s="10">
        <v>0.23063182015854444</v>
      </c>
      <c r="X647" s="413">
        <v>0.22765354013800618</v>
      </c>
      <c r="Y647" s="414">
        <v>0.32250105762943559</v>
      </c>
      <c r="Z647" s="1"/>
      <c r="AA647" s="1"/>
      <c r="AB647" s="1"/>
      <c r="AC647" s="1"/>
      <c r="AD647" s="1"/>
      <c r="AL647" s="23"/>
      <c r="AM647" s="23"/>
    </row>
    <row r="648" spans="17:39">
      <c r="Q648" s="6">
        <v>618</v>
      </c>
      <c r="R648" s="7">
        <v>43285</v>
      </c>
      <c r="S648" s="210">
        <v>4.3047945205479454</v>
      </c>
      <c r="T648" s="8">
        <v>1.0001195776255707</v>
      </c>
      <c r="U648" s="98">
        <v>3.8731570459560993</v>
      </c>
      <c r="V648" s="106">
        <v>27884.360795293618</v>
      </c>
      <c r="W648" s="10">
        <v>0.23224550313691861</v>
      </c>
      <c r="X648" s="413">
        <v>0.22924838907769038</v>
      </c>
      <c r="Y648" s="414">
        <v>0.32259818667796941</v>
      </c>
      <c r="Z648" s="1"/>
      <c r="AA648" s="1"/>
      <c r="AB648" s="1"/>
      <c r="AC648" s="1"/>
      <c r="AD648" s="1"/>
      <c r="AL648" s="23"/>
      <c r="AM648" s="23"/>
    </row>
    <row r="649" spans="17:39">
      <c r="Q649" s="6">
        <v>619</v>
      </c>
      <c r="R649" s="7">
        <v>43286</v>
      </c>
      <c r="S649" s="210">
        <v>4.3054794520547945</v>
      </c>
      <c r="T649" s="8">
        <v>1.000119596651446</v>
      </c>
      <c r="U649" s="98">
        <v>3.8741051391208758</v>
      </c>
      <c r="V649" s="106">
        <v>27886.758955545283</v>
      </c>
      <c r="W649" s="10">
        <v>0.23385512250129192</v>
      </c>
      <c r="X649" s="413">
        <v>0.23083926160492557</v>
      </c>
      <c r="Y649" s="414">
        <v>0.32269517413406906</v>
      </c>
      <c r="Z649" s="1"/>
      <c r="AA649" s="1"/>
      <c r="AB649" s="1"/>
      <c r="AC649" s="1"/>
      <c r="AD649" s="1"/>
      <c r="AL649" s="23"/>
      <c r="AM649" s="23"/>
    </row>
    <row r="650" spans="17:39">
      <c r="Q650" s="6">
        <v>620</v>
      </c>
      <c r="R650" s="7">
        <v>43287</v>
      </c>
      <c r="S650" s="210">
        <v>4.3061643835616437</v>
      </c>
      <c r="T650" s="8">
        <v>1.0001196156773211</v>
      </c>
      <c r="U650" s="98">
        <v>3.8750513458683189</v>
      </c>
      <c r="V650" s="106">
        <v>27889.157322047788</v>
      </c>
      <c r="W650" s="10">
        <v>0.23546069784361467</v>
      </c>
      <c r="X650" s="413">
        <v>0.23242617707423582</v>
      </c>
      <c r="Y650" s="414">
        <v>0.32279202072690449</v>
      </c>
      <c r="Z650" s="1"/>
      <c r="AA650" s="1"/>
      <c r="AB650" s="1"/>
      <c r="AC650" s="1"/>
      <c r="AD650" s="1"/>
      <c r="AL650" s="23"/>
      <c r="AM650" s="23"/>
    </row>
    <row r="651" spans="17:39">
      <c r="Q651" s="6">
        <v>621</v>
      </c>
      <c r="R651" s="7">
        <v>43288</v>
      </c>
      <c r="S651" s="210">
        <v>4.3068493150684928</v>
      </c>
      <c r="T651" s="8">
        <v>1.0001196347031964</v>
      </c>
      <c r="U651" s="98">
        <v>3.87599567530168</v>
      </c>
      <c r="V651" s="106">
        <v>27891.555894818852</v>
      </c>
      <c r="W651" s="10">
        <v>0.23706224863024872</v>
      </c>
      <c r="X651" s="413">
        <v>0.23400915471568431</v>
      </c>
      <c r="Y651" s="414">
        <v>0.32288872718096195</v>
      </c>
      <c r="Z651" s="1"/>
      <c r="AA651" s="1"/>
      <c r="AB651" s="1"/>
      <c r="AC651" s="1"/>
      <c r="AD651" s="1"/>
      <c r="AL651" s="23"/>
      <c r="AM651" s="23"/>
    </row>
    <row r="652" spans="17:39">
      <c r="Q652" s="6">
        <v>622</v>
      </c>
      <c r="R652" s="7">
        <v>43289</v>
      </c>
      <c r="S652" s="210">
        <v>4.3075342465753428</v>
      </c>
      <c r="T652" s="8">
        <v>1.0001196537290715</v>
      </c>
      <c r="U652" s="98">
        <v>3.8769381364658129</v>
      </c>
      <c r="V652" s="106">
        <v>27893.954673876233</v>
      </c>
      <c r="W652" s="10">
        <v>0.23865979420283345</v>
      </c>
      <c r="X652" s="413">
        <v>0.23558821363574525</v>
      </c>
      <c r="Y652" s="414">
        <v>0.3229852942160879</v>
      </c>
      <c r="Z652" s="1"/>
      <c r="AA652" s="1"/>
      <c r="AB652" s="1"/>
      <c r="AC652" s="1"/>
      <c r="AD652" s="1"/>
      <c r="AL652" s="23"/>
      <c r="AM652" s="23"/>
    </row>
    <row r="653" spans="17:39">
      <c r="Q653" s="6">
        <v>623</v>
      </c>
      <c r="R653" s="7">
        <v>43290</v>
      </c>
      <c r="S653" s="210">
        <v>4.3082191780821919</v>
      </c>
      <c r="T653" s="8">
        <v>1.0001196727549466</v>
      </c>
      <c r="U653" s="98">
        <v>3.8778787383475954</v>
      </c>
      <c r="V653" s="106">
        <v>27896.353659237666</v>
      </c>
      <c r="W653" s="10">
        <v>0.24025335377932944</v>
      </c>
      <c r="X653" s="413">
        <v>0.23716337281825747</v>
      </c>
      <c r="Y653" s="414">
        <v>0.32308172254751971</v>
      </c>
      <c r="Z653" s="1"/>
      <c r="AA653" s="1"/>
      <c r="AB653" s="1"/>
      <c r="AC653" s="1"/>
      <c r="AD653" s="1"/>
      <c r="AL653" s="23"/>
      <c r="AM653" s="23"/>
    </row>
    <row r="654" spans="17:39">
      <c r="Q654" s="6">
        <v>624</v>
      </c>
      <c r="R654" s="7">
        <v>43291</v>
      </c>
      <c r="S654" s="210">
        <v>4.308904109589041</v>
      </c>
      <c r="T654" s="8">
        <v>1.0001196917808219</v>
      </c>
      <c r="U654" s="98">
        <v>3.8788174898763961</v>
      </c>
      <c r="V654" s="106">
        <v>27898.675454420179</v>
      </c>
      <c r="W654" s="10">
        <v>0.24200561171361379</v>
      </c>
      <c r="X654" s="413">
        <v>0.23889536341328202</v>
      </c>
      <c r="Y654" s="414">
        <v>0.32317801288592612</v>
      </c>
      <c r="Z654" s="1"/>
      <c r="AA654" s="1"/>
      <c r="AB654" s="1"/>
      <c r="AC654" s="1"/>
      <c r="AD654" s="1"/>
      <c r="AL654" s="23"/>
      <c r="AM654" s="23"/>
    </row>
    <row r="655" spans="17:39">
      <c r="Q655" s="6">
        <v>625</v>
      </c>
      <c r="R655" s="7">
        <v>43292</v>
      </c>
      <c r="S655" s="210">
        <v>4.3095890410958901</v>
      </c>
      <c r="T655" s="8">
        <v>1.000119710806697</v>
      </c>
      <c r="U655" s="98">
        <v>3.8797543999245399</v>
      </c>
      <c r="V655" s="106">
        <v>27900.997442844182</v>
      </c>
      <c r="W655" s="10">
        <v>0.24375340659230638</v>
      </c>
      <c r="X655" s="413">
        <v>0.2406229888564056</v>
      </c>
      <c r="Y655" s="414">
        <v>0.32327416593744224</v>
      </c>
      <c r="Z655" s="1"/>
      <c r="AA655" s="1"/>
      <c r="AB655" s="1"/>
      <c r="AC655" s="1"/>
      <c r="AD655" s="1"/>
      <c r="AL655" s="23"/>
      <c r="AM655" s="23"/>
    </row>
    <row r="656" spans="17:39">
      <c r="Q656" s="6">
        <v>626</v>
      </c>
      <c r="R656" s="7">
        <v>43293</v>
      </c>
      <c r="S656" s="210">
        <v>4.3102739726027401</v>
      </c>
      <c r="T656" s="8">
        <v>1.0001197298325724</v>
      </c>
      <c r="U656" s="98">
        <v>3.8806894773077527</v>
      </c>
      <c r="V656" s="106">
        <v>27903.319624525753</v>
      </c>
      <c r="W656" s="10">
        <v>0.24549675971647922</v>
      </c>
      <c r="X656" s="413">
        <v>0.24234627018990626</v>
      </c>
      <c r="Y656" s="414">
        <v>0.32337018240370619</v>
      </c>
      <c r="Z656" s="1"/>
      <c r="AA656" s="1"/>
      <c r="AB656" s="1"/>
      <c r="AC656" s="1"/>
      <c r="AD656" s="1"/>
      <c r="AL656" s="23"/>
      <c r="AM656" s="23"/>
    </row>
    <row r="657" spans="17:39">
      <c r="Q657" s="6">
        <v>627</v>
      </c>
      <c r="R657" s="7">
        <v>43294</v>
      </c>
      <c r="S657" s="210">
        <v>4.3109589041095893</v>
      </c>
      <c r="T657" s="8">
        <v>1.0001197488584475</v>
      </c>
      <c r="U657" s="98">
        <v>3.8816227307855833</v>
      </c>
      <c r="V657" s="106">
        <v>27905.641999480984</v>
      </c>
      <c r="W657" s="10">
        <v>0.24723569225186814</v>
      </c>
      <c r="X657" s="413">
        <v>0.24406522832182115</v>
      </c>
      <c r="Y657" s="414">
        <v>0.32346606298189273</v>
      </c>
      <c r="Z657" s="1"/>
      <c r="AA657" s="1"/>
      <c r="AB657" s="1"/>
      <c r="AC657" s="1"/>
      <c r="AD657" s="1"/>
      <c r="AL657" s="23"/>
      <c r="AM657" s="23"/>
    </row>
    <row r="658" spans="17:39">
      <c r="Q658" s="6">
        <v>628</v>
      </c>
      <c r="R658" s="7">
        <v>43295</v>
      </c>
      <c r="S658" s="210">
        <v>4.3116438356164384</v>
      </c>
      <c r="T658" s="8">
        <v>1.0001197678843228</v>
      </c>
      <c r="U658" s="98">
        <v>3.8825541690619358</v>
      </c>
      <c r="V658" s="106">
        <v>27907.96456772595</v>
      </c>
      <c r="W658" s="10">
        <v>0.24897022523007184</v>
      </c>
      <c r="X658" s="413">
        <v>0.24577988402719339</v>
      </c>
      <c r="Y658" s="414">
        <v>0.3235618083647529</v>
      </c>
      <c r="Z658" s="1"/>
      <c r="AA658" s="1"/>
      <c r="AB658" s="1"/>
      <c r="AC658" s="1"/>
      <c r="AD658" s="1"/>
      <c r="AL658" s="23"/>
      <c r="AM658" s="23"/>
    </row>
    <row r="659" spans="17:39">
      <c r="Q659" s="6">
        <v>629</v>
      </c>
      <c r="R659" s="7">
        <v>43296</v>
      </c>
      <c r="S659" s="210">
        <v>4.3123287671232875</v>
      </c>
      <c r="T659" s="8">
        <v>1.0001197869101979</v>
      </c>
      <c r="U659" s="98">
        <v>3.8834838007854255</v>
      </c>
      <c r="V659" s="106">
        <v>27910.287329276751</v>
      </c>
      <c r="W659" s="10">
        <v>0.25070037954939561</v>
      </c>
      <c r="X659" s="413">
        <v>0.24749025794888777</v>
      </c>
      <c r="Y659" s="414">
        <v>0.32365741924064706</v>
      </c>
      <c r="Z659" s="1"/>
      <c r="AA659" s="1"/>
      <c r="AB659" s="1"/>
      <c r="AC659" s="1"/>
      <c r="AD659" s="1"/>
      <c r="AL659" s="23"/>
      <c r="AM659" s="23"/>
    </row>
    <row r="660" spans="17:39">
      <c r="Q660" s="6">
        <v>630</v>
      </c>
      <c r="R660" s="7">
        <v>43297</v>
      </c>
      <c r="S660" s="210">
        <v>4.3130136986301366</v>
      </c>
      <c r="T660" s="8">
        <v>1.000119805936073</v>
      </c>
      <c r="U660" s="98">
        <v>3.8844116345498669</v>
      </c>
      <c r="V660" s="106">
        <v>27912.610284149465</v>
      </c>
      <c r="W660" s="10">
        <v>0.25242617597620587</v>
      </c>
      <c r="X660" s="413">
        <v>0.24919637059896971</v>
      </c>
      <c r="Y660" s="414">
        <v>0.32375289629358106</v>
      </c>
      <c r="Z660" s="1"/>
      <c r="AA660" s="1"/>
      <c r="AB660" s="1"/>
      <c r="AC660" s="1"/>
      <c r="AD660" s="1"/>
      <c r="AL660" s="23"/>
      <c r="AM660" s="23"/>
    </row>
    <row r="661" spans="17:39">
      <c r="Q661" s="6">
        <v>631</v>
      </c>
      <c r="R661" s="7">
        <v>43298</v>
      </c>
      <c r="S661" s="210">
        <v>4.3136986301369866</v>
      </c>
      <c r="T661" s="8">
        <v>1.0001198249619483</v>
      </c>
      <c r="U661" s="98">
        <v>3.8853376788946958</v>
      </c>
      <c r="V661" s="106">
        <v>27914.933432360187</v>
      </c>
      <c r="W661" s="10">
        <v>0.25414763514561844</v>
      </c>
      <c r="X661" s="413">
        <v>0.2508982423593491</v>
      </c>
      <c r="Y661" s="414">
        <v>0.32384824020323733</v>
      </c>
      <c r="Z661" s="1"/>
      <c r="AA661" s="1"/>
      <c r="AB661" s="1"/>
      <c r="AC661" s="1"/>
      <c r="AD661" s="1"/>
      <c r="AL661" s="23"/>
      <c r="AM661" s="23"/>
    </row>
    <row r="662" spans="17:39">
      <c r="Q662" s="6">
        <v>632</v>
      </c>
      <c r="R662" s="7">
        <v>43299</v>
      </c>
      <c r="S662" s="210">
        <v>4.3143835616438357</v>
      </c>
      <c r="T662" s="8">
        <v>1.0001198439878234</v>
      </c>
      <c r="U662" s="98">
        <v>3.8862619423053468</v>
      </c>
      <c r="V662" s="106">
        <v>27917.256773925008</v>
      </c>
      <c r="W662" s="10">
        <v>0.25586477756280868</v>
      </c>
      <c r="X662" s="413">
        <v>0.25259589348310074</v>
      </c>
      <c r="Y662" s="414">
        <v>0.32394345164501032</v>
      </c>
      <c r="Z662" s="1"/>
      <c r="AA662" s="1"/>
      <c r="AB662" s="1"/>
      <c r="AC662" s="1"/>
      <c r="AD662" s="1"/>
      <c r="AL662" s="23"/>
      <c r="AM662" s="23"/>
    </row>
    <row r="663" spans="17:39">
      <c r="Q663" s="6">
        <v>633</v>
      </c>
      <c r="R663" s="7">
        <v>43300</v>
      </c>
      <c r="S663" s="210">
        <v>4.3150684931506849</v>
      </c>
      <c r="T663" s="8">
        <v>1.0001198630136987</v>
      </c>
      <c r="U663" s="98">
        <v>3.8871844332137861</v>
      </c>
      <c r="V663" s="106">
        <v>27919.580308860019</v>
      </c>
      <c r="W663" s="10">
        <v>0.25757762360394398</v>
      </c>
      <c r="X663" s="413">
        <v>0.25428934409539378</v>
      </c>
      <c r="Y663" s="414">
        <v>0.32403853129004634</v>
      </c>
      <c r="Z663" s="1"/>
      <c r="AA663" s="1"/>
      <c r="AB663" s="1"/>
      <c r="AC663" s="1"/>
      <c r="AD663" s="1"/>
      <c r="AL663" s="23"/>
      <c r="AM663" s="23"/>
    </row>
    <row r="664" spans="17:39">
      <c r="Q664" s="6">
        <v>634</v>
      </c>
      <c r="R664" s="7">
        <v>43301</v>
      </c>
      <c r="S664" s="210">
        <v>4.315753424657534</v>
      </c>
      <c r="T664" s="8">
        <v>1.0001198820395738</v>
      </c>
      <c r="U664" s="98">
        <v>3.8881051599988448</v>
      </c>
      <c r="V664" s="106">
        <v>27921.904037181324</v>
      </c>
      <c r="W664" s="10">
        <v>0.25928619351711646</v>
      </c>
      <c r="X664" s="413">
        <v>0.25597861419446244</v>
      </c>
      <c r="Y664" s="414">
        <v>0.32413347980526808</v>
      </c>
      <c r="Z664" s="1"/>
      <c r="AA664" s="1"/>
      <c r="AB664" s="1"/>
      <c r="AC664" s="1"/>
      <c r="AD664" s="1"/>
      <c r="AL664" s="23"/>
      <c r="AM664" s="23"/>
    </row>
    <row r="665" spans="17:39">
      <c r="Q665" s="6">
        <v>635</v>
      </c>
      <c r="R665" s="7">
        <v>43302</v>
      </c>
      <c r="S665" s="210">
        <v>4.316438356164384</v>
      </c>
      <c r="T665" s="8">
        <v>1.0001199010654489</v>
      </c>
      <c r="U665" s="98">
        <v>3.8890241309866624</v>
      </c>
      <c r="V665" s="106">
        <v>27924.227958904998</v>
      </c>
      <c r="W665" s="10">
        <v>0.2609905074235197</v>
      </c>
      <c r="X665" s="413">
        <v>0.25766372365266843</v>
      </c>
      <c r="Y665" s="414">
        <v>0.32422829785341378</v>
      </c>
      <c r="Z665" s="1"/>
      <c r="AA665" s="1"/>
      <c r="AB665" s="1"/>
      <c r="AC665" s="1"/>
      <c r="AD665" s="1"/>
      <c r="AL665" s="23"/>
      <c r="AM665" s="23"/>
    </row>
    <row r="666" spans="17:39">
      <c r="Q666" s="6">
        <v>636</v>
      </c>
      <c r="R666" s="7">
        <v>43303</v>
      </c>
      <c r="S666" s="210">
        <v>4.3171232876712331</v>
      </c>
      <c r="T666" s="8">
        <v>1.0001199200913242</v>
      </c>
      <c r="U666" s="98">
        <v>3.8899413544511319</v>
      </c>
      <c r="V666" s="106">
        <v>27926.552074047158</v>
      </c>
      <c r="W666" s="10">
        <v>0.26269058531829259</v>
      </c>
      <c r="X666" s="413">
        <v>0.25934469221747825</v>
      </c>
      <c r="Y666" s="414">
        <v>0.32432298609306942</v>
      </c>
      <c r="Z666" s="1"/>
      <c r="AA666" s="1"/>
      <c r="AB666" s="1"/>
      <c r="AC666" s="1"/>
      <c r="AD666" s="1"/>
      <c r="AL666" s="23"/>
      <c r="AM666" s="23"/>
    </row>
    <row r="667" spans="17:39">
      <c r="Q667" s="6">
        <v>637</v>
      </c>
      <c r="R667" s="7">
        <v>43304</v>
      </c>
      <c r="S667" s="210">
        <v>4.3178082191780822</v>
      </c>
      <c r="T667" s="8">
        <v>1.0001199391171993</v>
      </c>
      <c r="U667" s="98">
        <v>3.8908568386142317</v>
      </c>
      <c r="V667" s="106">
        <v>27928.87638262389</v>
      </c>
      <c r="W667" s="10">
        <v>0.26438644707151848</v>
      </c>
      <c r="X667" s="413">
        <v>0.26102153951235529</v>
      </c>
      <c r="Y667" s="414">
        <v>0.32441754517869559</v>
      </c>
      <c r="Z667" s="1"/>
      <c r="AA667" s="1"/>
      <c r="AB667" s="1"/>
      <c r="AC667" s="1"/>
      <c r="AD667" s="1"/>
      <c r="AL667" s="23"/>
      <c r="AM667" s="23"/>
    </row>
    <row r="668" spans="17:39">
      <c r="Q668" s="6">
        <v>638</v>
      </c>
      <c r="R668" s="7">
        <v>43305</v>
      </c>
      <c r="S668" s="210">
        <v>4.3184931506849313</v>
      </c>
      <c r="T668" s="8">
        <v>1.0001199581430746</v>
      </c>
      <c r="U668" s="98">
        <v>3.8917705916464929</v>
      </c>
      <c r="V668" s="106">
        <v>27931.200884651302</v>
      </c>
      <c r="W668" s="10">
        <v>0.26607811242929102</v>
      </c>
      <c r="X668" s="413">
        <v>0.26269428503786973</v>
      </c>
      <c r="Y668" s="414">
        <v>0.32451197576066765</v>
      </c>
      <c r="Z668" s="1"/>
      <c r="AA668" s="1"/>
      <c r="AB668" s="1"/>
      <c r="AC668" s="1"/>
      <c r="AD668" s="1"/>
      <c r="AL668" s="23"/>
      <c r="AM668" s="23"/>
    </row>
    <row r="669" spans="17:39">
      <c r="Q669" s="6">
        <v>639</v>
      </c>
      <c r="R669" s="7">
        <v>43306</v>
      </c>
      <c r="S669" s="210">
        <v>4.3191780821917805</v>
      </c>
      <c r="T669" s="8">
        <v>1.0001199771689497</v>
      </c>
      <c r="U669" s="98">
        <v>3.8926826216673982</v>
      </c>
      <c r="V669" s="106">
        <v>27933.525580145488</v>
      </c>
      <c r="W669" s="10">
        <v>0.26776560101460234</v>
      </c>
      <c r="X669" s="413">
        <v>0.26436294817253503</v>
      </c>
      <c r="Y669" s="414">
        <v>0.32460627848530538</v>
      </c>
      <c r="Z669" s="1"/>
      <c r="AA669" s="1"/>
      <c r="AB669" s="1"/>
      <c r="AC669" s="1"/>
      <c r="AD669" s="1"/>
      <c r="AL669" s="23"/>
      <c r="AM669" s="23"/>
    </row>
    <row r="670" spans="17:39">
      <c r="Q670" s="6">
        <v>640</v>
      </c>
      <c r="R670" s="7">
        <v>43307</v>
      </c>
      <c r="S670" s="210">
        <v>4.3198630136986305</v>
      </c>
      <c r="T670" s="8">
        <v>1.0001199961948251</v>
      </c>
      <c r="U670" s="98">
        <v>3.8935929367457822</v>
      </c>
      <c r="V670" s="106">
        <v>27935.850469122546</v>
      </c>
      <c r="W670" s="10">
        <v>0.26944893232832001</v>
      </c>
      <c r="X670" s="413">
        <v>0.26602754817388607</v>
      </c>
      <c r="Y670" s="414">
        <v>0.32470045399490138</v>
      </c>
      <c r="Z670" s="1"/>
      <c r="AA670" s="1"/>
      <c r="AB670" s="1"/>
      <c r="AC670" s="1"/>
      <c r="AD670" s="1"/>
      <c r="AL670" s="23"/>
      <c r="AM670" s="23"/>
    </row>
    <row r="671" spans="17:39">
      <c r="Q671" s="6">
        <v>641</v>
      </c>
      <c r="R671" s="7">
        <v>43308</v>
      </c>
      <c r="S671" s="210">
        <v>4.3205479452054796</v>
      </c>
      <c r="T671" s="8">
        <v>1.0001200152207002</v>
      </c>
      <c r="U671" s="98">
        <v>3.8945015449001863</v>
      </c>
      <c r="V671" s="106">
        <v>27938.175551598597</v>
      </c>
      <c r="W671" s="10">
        <v>0.27112812575011969</v>
      </c>
      <c r="X671" s="413">
        <v>0.26768810417924882</v>
      </c>
      <c r="Y671" s="414">
        <v>0.32479450292775602</v>
      </c>
      <c r="Z671" s="1"/>
      <c r="AA671" s="1"/>
      <c r="AB671" s="1"/>
      <c r="AC671" s="1"/>
      <c r="AD671" s="1"/>
      <c r="AL671" s="23"/>
      <c r="AM671" s="23"/>
    </row>
    <row r="672" spans="17:39">
      <c r="Q672" s="6">
        <v>642</v>
      </c>
      <c r="R672" s="7">
        <v>43309</v>
      </c>
      <c r="S672" s="210">
        <v>4.3212328767123287</v>
      </c>
      <c r="T672" s="8">
        <v>1.0001200342465753</v>
      </c>
      <c r="U672" s="98">
        <v>3.8954084540993028</v>
      </c>
      <c r="V672" s="106">
        <v>27940.500827589727</v>
      </c>
      <c r="W672" s="10">
        <v>0.27280320053952867</v>
      </c>
      <c r="X672" s="413">
        <v>0.26934463520693741</v>
      </c>
      <c r="Y672" s="414">
        <v>0.32488842591820916</v>
      </c>
      <c r="Z672" s="1"/>
      <c r="AA672" s="1"/>
      <c r="AB672" s="1"/>
      <c r="AC672" s="1"/>
      <c r="AD672" s="1"/>
      <c r="AL672" s="23"/>
      <c r="AM672" s="23"/>
    </row>
    <row r="673" spans="17:39">
      <c r="Q673" s="6">
        <v>643</v>
      </c>
      <c r="R673" s="7">
        <v>43310</v>
      </c>
      <c r="S673" s="210">
        <v>4.3219178082191778</v>
      </c>
      <c r="T673" s="8">
        <v>1.0001200532724506</v>
      </c>
      <c r="U673" s="98">
        <v>3.8963136722623082</v>
      </c>
      <c r="V673" s="106">
        <v>27942.826297112053</v>
      </c>
      <c r="W673" s="10">
        <v>0.27447417583670308</v>
      </c>
      <c r="X673" s="413">
        <v>0.27099716015693148</v>
      </c>
      <c r="Y673" s="414">
        <v>0.3249822235966659</v>
      </c>
      <c r="Z673" s="1"/>
      <c r="AA673" s="1"/>
      <c r="AB673" s="1"/>
      <c r="AC673" s="1"/>
      <c r="AD673" s="1"/>
      <c r="AL673" s="23"/>
      <c r="AM673" s="23"/>
    </row>
    <row r="674" spans="17:39">
      <c r="Q674" s="6">
        <v>644</v>
      </c>
      <c r="R674" s="7">
        <v>43311</v>
      </c>
      <c r="S674" s="210">
        <v>4.3226027397260278</v>
      </c>
      <c r="T674" s="8">
        <v>1.0001200722983257</v>
      </c>
      <c r="U674" s="98">
        <v>3.8972172072592848</v>
      </c>
      <c r="V674" s="106">
        <v>27945.151960181673</v>
      </c>
      <c r="W674" s="10">
        <v>0.27614107066342708</v>
      </c>
      <c r="X674" s="413">
        <v>0.27264569781188136</v>
      </c>
      <c r="Y674" s="414">
        <v>0.32507589658963149</v>
      </c>
      <c r="Z674" s="1"/>
      <c r="AA674" s="1"/>
      <c r="AB674" s="1"/>
      <c r="AC674" s="1"/>
      <c r="AD674" s="1"/>
      <c r="AL674" s="23"/>
      <c r="AM674" s="23"/>
    </row>
    <row r="675" spans="17:39">
      <c r="Q675" s="6">
        <v>645</v>
      </c>
      <c r="R675" s="7">
        <v>43312</v>
      </c>
      <c r="S675" s="210">
        <v>4.3232876712328769</v>
      </c>
      <c r="T675" s="8">
        <v>1.000120091324201</v>
      </c>
      <c r="U675" s="98">
        <v>3.8981190669115984</v>
      </c>
      <c r="V675" s="106">
        <v>27947.47781681471</v>
      </c>
      <c r="W675" s="10">
        <v>0.27780390392400101</v>
      </c>
      <c r="X675" s="413">
        <v>0.27429026683803026</v>
      </c>
      <c r="Y675" s="414">
        <v>0.32516944551974214</v>
      </c>
      <c r="Z675" s="1"/>
      <c r="AA675" s="1"/>
      <c r="AB675" s="1"/>
      <c r="AC675" s="1"/>
      <c r="AD675" s="1"/>
      <c r="AL675" s="23"/>
      <c r="AM675" s="23"/>
    </row>
    <row r="676" spans="17:39">
      <c r="Q676" s="6">
        <v>646</v>
      </c>
      <c r="R676" s="7">
        <v>43313</v>
      </c>
      <c r="S676" s="210">
        <v>4.3239726027397261</v>
      </c>
      <c r="T676" s="8">
        <v>1.0001201103500761</v>
      </c>
      <c r="U676" s="98">
        <v>3.8990192589922534</v>
      </c>
      <c r="V676" s="106">
        <v>27949.803867027258</v>
      </c>
      <c r="W676" s="10">
        <v>0.2794626944061962</v>
      </c>
      <c r="X676" s="413">
        <v>0.27593088578611513</v>
      </c>
      <c r="Y676" s="414">
        <v>0.32526287100579027</v>
      </c>
      <c r="Z676" s="1"/>
      <c r="AA676" s="1"/>
      <c r="AB676" s="1"/>
      <c r="AC676" s="1"/>
      <c r="AD676" s="1"/>
      <c r="AL676" s="23"/>
      <c r="AM676" s="23"/>
    </row>
    <row r="677" spans="17:39">
      <c r="Q677" s="6">
        <v>647</v>
      </c>
      <c r="R677" s="7">
        <v>43314</v>
      </c>
      <c r="S677" s="210">
        <v>4.3246575342465752</v>
      </c>
      <c r="T677" s="8">
        <v>1.0001201293759512</v>
      </c>
      <c r="U677" s="98">
        <v>3.8999177912262706</v>
      </c>
      <c r="V677" s="106">
        <v>27952.130110835446</v>
      </c>
      <c r="W677" s="10">
        <v>0.28111746078212096</v>
      </c>
      <c r="X677" s="413">
        <v>0.27756757309229657</v>
      </c>
      <c r="Y677" s="414">
        <v>0.3253561736627591</v>
      </c>
      <c r="Z677" s="1"/>
      <c r="AA677" s="1"/>
      <c r="AB677" s="1"/>
      <c r="AC677" s="1"/>
      <c r="AD677" s="1"/>
      <c r="AL677" s="23"/>
      <c r="AM677" s="23"/>
    </row>
    <row r="678" spans="17:39">
      <c r="Q678" s="6">
        <v>648</v>
      </c>
      <c r="R678" s="7">
        <v>43315</v>
      </c>
      <c r="S678" s="210">
        <v>4.3253424657534243</v>
      </c>
      <c r="T678" s="8">
        <v>1.0001201484018265</v>
      </c>
      <c r="U678" s="98">
        <v>3.9008146712911085</v>
      </c>
      <c r="V678" s="106">
        <v>27954.45654825537</v>
      </c>
      <c r="W678" s="10">
        <v>0.28276822160910875</v>
      </c>
      <c r="X678" s="413">
        <v>0.27920034707894381</v>
      </c>
      <c r="Y678" s="414">
        <v>0.32544935410185205</v>
      </c>
      <c r="Z678" s="1"/>
      <c r="AA678" s="1"/>
      <c r="AB678" s="1"/>
      <c r="AC678" s="1"/>
      <c r="AD678" s="1"/>
      <c r="AL678" s="23"/>
      <c r="AM678" s="23"/>
    </row>
    <row r="679" spans="17:39">
      <c r="Q679" s="6">
        <v>649</v>
      </c>
      <c r="R679" s="7">
        <v>43316</v>
      </c>
      <c r="S679" s="210">
        <v>4.3260273972602743</v>
      </c>
      <c r="T679" s="8">
        <v>1.0001201674277016</v>
      </c>
      <c r="U679" s="98">
        <v>3.9017099068169303</v>
      </c>
      <c r="V679" s="106">
        <v>27956.783179303155</v>
      </c>
      <c r="W679" s="10">
        <v>0.28441499533058412</v>
      </c>
      <c r="X679" s="413">
        <v>0.28082922595561033</v>
      </c>
      <c r="Y679" s="414">
        <v>0.32554241293051689</v>
      </c>
      <c r="Z679" s="1"/>
      <c r="AA679" s="1"/>
      <c r="AB679" s="1"/>
      <c r="AC679" s="1"/>
      <c r="AD679" s="1"/>
      <c r="AL679" s="23"/>
      <c r="AM679" s="23"/>
    </row>
    <row r="680" spans="17:39">
      <c r="Q680" s="6">
        <v>650</v>
      </c>
      <c r="R680" s="7">
        <v>43317</v>
      </c>
      <c r="S680" s="210">
        <v>4.3267123287671234</v>
      </c>
      <c r="T680" s="8">
        <v>1.0001201864535769</v>
      </c>
      <c r="U680" s="98">
        <v>3.9026035053870922</v>
      </c>
      <c r="V680" s="106">
        <v>27959.110003994912</v>
      </c>
      <c r="W680" s="10">
        <v>0.28605780027697314</v>
      </c>
      <c r="X680" s="413">
        <v>0.28245422781983992</v>
      </c>
      <c r="Y680" s="414">
        <v>0.32563535075248057</v>
      </c>
      <c r="Z680" s="1"/>
      <c r="AA680" s="1"/>
      <c r="AB680" s="1"/>
      <c r="AC680" s="1"/>
      <c r="AD680" s="1"/>
      <c r="AL680" s="23"/>
      <c r="AM680" s="23"/>
    </row>
    <row r="681" spans="17:39">
      <c r="Q681" s="6">
        <v>651</v>
      </c>
      <c r="R681" s="7">
        <v>43318</v>
      </c>
      <c r="S681" s="210">
        <v>4.3273972602739725</v>
      </c>
      <c r="T681" s="8">
        <v>1.000120205479452</v>
      </c>
      <c r="U681" s="98">
        <v>3.9034954745383654</v>
      </c>
      <c r="V681" s="106">
        <v>27961.437022346763</v>
      </c>
      <c r="W681" s="10">
        <v>0.28769665466654715</v>
      </c>
      <c r="X681" s="413">
        <v>0.28407537065807631</v>
      </c>
      <c r="Y681" s="414">
        <v>0.32572816816777284</v>
      </c>
      <c r="Z681" s="1"/>
      <c r="AA681" s="1"/>
      <c r="AB681" s="1"/>
      <c r="AC681" s="1"/>
      <c r="AD681" s="1"/>
      <c r="AL681" s="23"/>
      <c r="AM681" s="23"/>
    </row>
    <row r="682" spans="17:39">
      <c r="Q682" s="6">
        <v>652</v>
      </c>
      <c r="R682" s="7">
        <v>43319</v>
      </c>
      <c r="S682" s="210">
        <v>4.3280821917808217</v>
      </c>
      <c r="T682" s="8">
        <v>1.0001202245053273</v>
      </c>
      <c r="U682" s="98">
        <v>3.9043858217613803</v>
      </c>
      <c r="V682" s="106">
        <v>27963.764234374816</v>
      </c>
      <c r="W682" s="10">
        <v>0.28933157660624431</v>
      </c>
      <c r="X682" s="413">
        <v>0.28569267234642898</v>
      </c>
      <c r="Y682" s="414">
        <v>0.32582086577275665</v>
      </c>
      <c r="Z682" s="1"/>
      <c r="AA682" s="1"/>
      <c r="AB682" s="1"/>
      <c r="AC682" s="1"/>
      <c r="AD682" s="1"/>
      <c r="AL682" s="23"/>
      <c r="AM682" s="23"/>
    </row>
    <row r="683" spans="17:39">
      <c r="Q683" s="6">
        <v>653</v>
      </c>
      <c r="R683" s="7">
        <v>43320</v>
      </c>
      <c r="S683" s="210">
        <v>4.3287671232876717</v>
      </c>
      <c r="T683" s="8">
        <v>1.0001202435312024</v>
      </c>
      <c r="U683" s="98">
        <v>3.9052745545009593</v>
      </c>
      <c r="V683" s="106">
        <v>27966.091640095201</v>
      </c>
      <c r="W683" s="10">
        <v>0.29096258409255782</v>
      </c>
      <c r="X683" s="413">
        <v>0.2873061506516042</v>
      </c>
      <c r="Y683" s="414">
        <v>0.32591344416015805</v>
      </c>
      <c r="Z683" s="1"/>
      <c r="AA683" s="1"/>
      <c r="AB683" s="1"/>
      <c r="AC683" s="1"/>
      <c r="AD683" s="1"/>
      <c r="AL683" s="23"/>
      <c r="AM683" s="23"/>
    </row>
    <row r="684" spans="17:39">
      <c r="Q684" s="6">
        <v>654</v>
      </c>
      <c r="R684" s="7">
        <v>43321</v>
      </c>
      <c r="S684" s="210">
        <v>4.3294520547945208</v>
      </c>
      <c r="T684" s="8">
        <v>1.0001202625570775</v>
      </c>
      <c r="U684" s="98">
        <v>3.9061616801564947</v>
      </c>
      <c r="V684" s="106">
        <v>27968.419239524032</v>
      </c>
      <c r="W684" s="10">
        <v>0.29258969501240184</v>
      </c>
      <c r="X684" s="413">
        <v>0.28891582323174086</v>
      </c>
      <c r="Y684" s="414">
        <v>0.32600590391909123</v>
      </c>
      <c r="Z684" s="1"/>
      <c r="AA684" s="1"/>
      <c r="AB684" s="1"/>
      <c r="AC684" s="1"/>
      <c r="AD684" s="1"/>
      <c r="AL684" s="23"/>
      <c r="AM684" s="23"/>
    </row>
    <row r="685" spans="17:39">
      <c r="Q685" s="6">
        <v>655</v>
      </c>
      <c r="R685" s="7">
        <v>43322</v>
      </c>
      <c r="S685" s="210">
        <v>4.3301369863013699</v>
      </c>
      <c r="T685" s="8">
        <v>1.0001202815829529</v>
      </c>
      <c r="U685" s="98">
        <v>3.907047206082237</v>
      </c>
      <c r="V685" s="106">
        <v>27970.747032677435</v>
      </c>
      <c r="W685" s="10">
        <v>0.29421292714388869</v>
      </c>
      <c r="X685" s="413">
        <v>0.2905217076371665</v>
      </c>
      <c r="Y685" s="414">
        <v>0.32609824563508888</v>
      </c>
      <c r="Z685" s="1"/>
      <c r="AA685" s="1"/>
      <c r="AB685" s="1"/>
      <c r="AC685" s="1"/>
      <c r="AD685" s="1"/>
      <c r="AL685" s="23"/>
      <c r="AM685" s="23"/>
    </row>
    <row r="686" spans="17:39">
      <c r="Q686" s="6">
        <v>656</v>
      </c>
      <c r="R686" s="7">
        <v>43323</v>
      </c>
      <c r="S686" s="210">
        <v>4.330821917808219</v>
      </c>
      <c r="T686" s="8">
        <v>1.000120300608828</v>
      </c>
      <c r="U686" s="98">
        <v>3.9079311395876726</v>
      </c>
      <c r="V686" s="106">
        <v>27973.07501957153</v>
      </c>
      <c r="W686" s="10">
        <v>0.2958322981571726</v>
      </c>
      <c r="X686" s="413">
        <v>0.29212382131126746</v>
      </c>
      <c r="Y686" s="414">
        <v>0.32619046989012468</v>
      </c>
      <c r="Z686" s="1"/>
      <c r="AA686" s="1"/>
      <c r="AB686" s="1"/>
      <c r="AC686" s="1"/>
      <c r="AD686" s="1"/>
      <c r="AL686" s="23"/>
      <c r="AM686" s="23"/>
    </row>
    <row r="687" spans="17:39">
      <c r="Q687" s="6">
        <v>657</v>
      </c>
      <c r="R687" s="7">
        <v>43324</v>
      </c>
      <c r="S687" s="210">
        <v>4.3315068493150681</v>
      </c>
      <c r="T687" s="8">
        <v>1.0001203196347033</v>
      </c>
      <c r="U687" s="98">
        <v>3.9088134879378567</v>
      </c>
      <c r="V687" s="106">
        <v>27975.403200222445</v>
      </c>
      <c r="W687" s="10">
        <v>0.29744782561533789</v>
      </c>
      <c r="X687" s="413">
        <v>0.29372218159138813</v>
      </c>
      <c r="Y687" s="414">
        <v>0.32628257726264626</v>
      </c>
      <c r="Z687" s="1"/>
      <c r="AA687" s="1"/>
      <c r="AB687" s="1"/>
      <c r="AC687" s="1"/>
      <c r="AD687" s="1"/>
      <c r="AL687" s="23"/>
      <c r="AM687" s="23"/>
    </row>
    <row r="688" spans="17:39">
      <c r="Q688" s="6">
        <v>658</v>
      </c>
      <c r="R688" s="7">
        <v>43325</v>
      </c>
      <c r="S688" s="210">
        <v>4.3321917808219181</v>
      </c>
      <c r="T688" s="8">
        <v>1.0001203386605784</v>
      </c>
      <c r="U688" s="98">
        <v>3.9096942583537464</v>
      </c>
      <c r="V688" s="106">
        <v>27977.73157464631</v>
      </c>
      <c r="W688" s="10">
        <v>0.29905952697497629</v>
      </c>
      <c r="X688" s="413">
        <v>0.29531680570933277</v>
      </c>
      <c r="Y688" s="414">
        <v>0.32637456832759604</v>
      </c>
      <c r="Z688" s="1"/>
      <c r="AA688" s="1"/>
      <c r="AB688" s="1"/>
      <c r="AC688" s="1"/>
      <c r="AD688" s="1"/>
      <c r="AL688" s="23"/>
      <c r="AM688" s="23"/>
    </row>
    <row r="689" spans="17:39">
      <c r="Q689" s="6">
        <v>659</v>
      </c>
      <c r="R689" s="7">
        <v>43326</v>
      </c>
      <c r="S689" s="210">
        <v>4.3328767123287673</v>
      </c>
      <c r="T689" s="8">
        <v>1.0001203576864537</v>
      </c>
      <c r="U689" s="98">
        <v>3.9105734580125562</v>
      </c>
      <c r="V689" s="106">
        <v>27980.060142859245</v>
      </c>
      <c r="W689" s="10">
        <v>0.30066741958738596</v>
      </c>
      <c r="X689" s="413">
        <v>0.29690771079262762</v>
      </c>
      <c r="Y689" s="414">
        <v>0.32646644365644567</v>
      </c>
      <c r="Z689" s="1"/>
      <c r="AA689" s="1"/>
      <c r="AB689" s="1"/>
      <c r="AC689" s="1"/>
      <c r="AD689" s="1"/>
      <c r="AL689" s="23"/>
      <c r="AM689" s="23"/>
    </row>
    <row r="690" spans="17:39">
      <c r="Q690" s="6">
        <v>660</v>
      </c>
      <c r="R690" s="7">
        <v>43327</v>
      </c>
      <c r="S690" s="210">
        <v>4.3335616438356164</v>
      </c>
      <c r="T690" s="8">
        <v>1.0001203767123288</v>
      </c>
      <c r="U690" s="98">
        <v>3.9114510940480685</v>
      </c>
      <c r="V690" s="106">
        <v>27982.388904877385</v>
      </c>
      <c r="W690" s="10">
        <v>0.30227152069894903</v>
      </c>
      <c r="X690" s="413">
        <v>0.29849491386489857</v>
      </c>
      <c r="Y690" s="414">
        <v>0.32655820381721268</v>
      </c>
      <c r="Z690" s="1"/>
      <c r="AA690" s="1"/>
      <c r="AB690" s="1"/>
      <c r="AC690" s="1"/>
      <c r="AD690" s="1"/>
      <c r="AL690" s="23"/>
      <c r="AM690" s="23"/>
    </row>
    <row r="691" spans="17:39">
      <c r="Q691" s="6">
        <v>661</v>
      </c>
      <c r="R691" s="7">
        <v>43328</v>
      </c>
      <c r="S691" s="210">
        <v>4.3342465753424655</v>
      </c>
      <c r="T691" s="8">
        <v>1.0001203957382039</v>
      </c>
      <c r="U691" s="98">
        <v>3.9123271735509668</v>
      </c>
      <c r="V691" s="106">
        <v>27984.717860716853</v>
      </c>
      <c r="W691" s="10">
        <v>0.30387184745226392</v>
      </c>
      <c r="X691" s="413">
        <v>0.30007843184691146</v>
      </c>
      <c r="Y691" s="414">
        <v>0.3266498493744962</v>
      </c>
      <c r="Z691" s="1"/>
      <c r="AA691" s="1"/>
      <c r="AB691" s="1"/>
      <c r="AC691" s="1"/>
      <c r="AD691" s="1"/>
      <c r="AL691" s="23"/>
      <c r="AM691" s="23"/>
    </row>
    <row r="692" spans="17:39">
      <c r="Q692" s="6">
        <v>662</v>
      </c>
      <c r="R692" s="7">
        <v>43329</v>
      </c>
      <c r="S692" s="210">
        <v>4.3349315068493155</v>
      </c>
      <c r="T692" s="8">
        <v>1.0001204147640792</v>
      </c>
      <c r="U692" s="98">
        <v>3.9132017035691691</v>
      </c>
      <c r="V692" s="106">
        <v>27987.047010393784</v>
      </c>
      <c r="W692" s="10">
        <v>0.30546841688670057</v>
      </c>
      <c r="X692" s="413">
        <v>0.30165828155724012</v>
      </c>
      <c r="Y692" s="414">
        <v>0.32674138088949617</v>
      </c>
      <c r="Z692" s="1"/>
      <c r="AA692" s="1"/>
      <c r="AB692" s="1"/>
      <c r="AC692" s="1"/>
      <c r="AD692" s="1"/>
      <c r="AL692" s="23"/>
      <c r="AM692" s="23"/>
    </row>
    <row r="693" spans="17:39">
      <c r="Q693" s="6">
        <v>663</v>
      </c>
      <c r="R693" s="7">
        <v>43330</v>
      </c>
      <c r="S693" s="210">
        <v>4.3356164383561646</v>
      </c>
      <c r="T693" s="8">
        <v>1.0001204337899543</v>
      </c>
      <c r="U693" s="98">
        <v>3.9140746911081381</v>
      </c>
      <c r="V693" s="106">
        <v>27989.376353924315</v>
      </c>
      <c r="W693" s="10">
        <v>0.30706124593922191</v>
      </c>
      <c r="X693" s="413">
        <v>0.30323447971301304</v>
      </c>
      <c r="Y693" s="414">
        <v>0.32683279892004058</v>
      </c>
      <c r="Z693" s="1"/>
      <c r="AA693" s="1"/>
      <c r="AB693" s="1"/>
      <c r="AC693" s="1"/>
      <c r="AD693" s="1"/>
      <c r="AL693" s="23"/>
      <c r="AM693" s="23"/>
    </row>
    <row r="694" spans="17:39">
      <c r="Q694" s="6">
        <v>664</v>
      </c>
      <c r="R694" s="7">
        <v>43331</v>
      </c>
      <c r="S694" s="210">
        <v>4.3363013698630137</v>
      </c>
      <c r="T694" s="8">
        <v>1.0001204528158296</v>
      </c>
      <c r="U694" s="98">
        <v>3.9149461431311927</v>
      </c>
      <c r="V694" s="106">
        <v>27991.705891324578</v>
      </c>
      <c r="W694" s="10">
        <v>0.30865035144524988</v>
      </c>
      <c r="X694" s="413">
        <v>0.30480704293077338</v>
      </c>
      <c r="Y694" s="414">
        <v>0.32692410402061228</v>
      </c>
      <c r="Z694" s="1"/>
      <c r="AA694" s="1"/>
      <c r="AB694" s="1"/>
      <c r="AC694" s="1"/>
      <c r="AD694" s="1"/>
      <c r="AL694" s="23"/>
      <c r="AM694" s="23"/>
    </row>
    <row r="695" spans="17:39">
      <c r="Q695" s="6">
        <v>665</v>
      </c>
      <c r="R695" s="7">
        <v>43332</v>
      </c>
      <c r="S695" s="210">
        <v>4.3369863013698629</v>
      </c>
      <c r="T695" s="8">
        <v>1.0001204718417047</v>
      </c>
      <c r="U695" s="98">
        <v>3.9158160665598185</v>
      </c>
      <c r="V695" s="106">
        <v>27994.035622610711</v>
      </c>
      <c r="W695" s="10">
        <v>0.31023575013928717</v>
      </c>
      <c r="X695" s="413">
        <v>0.30637598772713925</v>
      </c>
      <c r="Y695" s="414">
        <v>0.32701529674236962</v>
      </c>
      <c r="Z695" s="1"/>
      <c r="AA695" s="1"/>
      <c r="AB695" s="1"/>
      <c r="AC695" s="1"/>
      <c r="AD695" s="1"/>
      <c r="AL695" s="23"/>
      <c r="AM695" s="23"/>
    </row>
    <row r="696" spans="17:39">
      <c r="Q696" s="6">
        <v>666</v>
      </c>
      <c r="R696" s="7">
        <v>43333</v>
      </c>
      <c r="S696" s="210">
        <v>4.337671232876712</v>
      </c>
      <c r="T696" s="8">
        <v>1.0001204908675798</v>
      </c>
      <c r="U696" s="98">
        <v>3.9166844682740232</v>
      </c>
      <c r="V696" s="106">
        <v>27996.365547798836</v>
      </c>
      <c r="W696" s="10">
        <v>0.31181745865578314</v>
      </c>
      <c r="X696" s="413">
        <v>0.30794133051960193</v>
      </c>
      <c r="Y696" s="414">
        <v>0.3271063776331799</v>
      </c>
      <c r="Z696" s="1"/>
      <c r="AA696" s="1"/>
      <c r="AB696" s="1"/>
      <c r="AC696" s="1"/>
      <c r="AD696" s="1"/>
      <c r="AL696" s="23"/>
      <c r="AM696" s="23"/>
    </row>
    <row r="697" spans="17:39">
      <c r="Q697" s="6">
        <v>667</v>
      </c>
      <c r="R697" s="7">
        <v>43334</v>
      </c>
      <c r="S697" s="210">
        <v>4.338356164383562</v>
      </c>
      <c r="T697" s="8">
        <v>1.0001205098934551</v>
      </c>
      <c r="U697" s="98">
        <v>3.9175513551126695</v>
      </c>
      <c r="V697" s="106">
        <v>27998.695666905118</v>
      </c>
      <c r="W697" s="10">
        <v>0.31339549352984442</v>
      </c>
      <c r="X697" s="413">
        <v>0.30950308762732875</v>
      </c>
      <c r="Y697" s="414">
        <v>0.32719734723763882</v>
      </c>
      <c r="Z697" s="1"/>
      <c r="AA697" s="1"/>
      <c r="AB697" s="1"/>
      <c r="AC697" s="1"/>
      <c r="AD697" s="1"/>
      <c r="AL697" s="23"/>
      <c r="AM697" s="23"/>
    </row>
    <row r="698" spans="17:39">
      <c r="Q698" s="6">
        <v>668</v>
      </c>
      <c r="R698" s="7">
        <v>43335</v>
      </c>
      <c r="S698" s="210">
        <v>4.3390410958904111</v>
      </c>
      <c r="T698" s="8">
        <v>1.0001205289193302</v>
      </c>
      <c r="U698" s="98">
        <v>3.9184167338736309</v>
      </c>
      <c r="V698" s="106">
        <v>28001.025979945673</v>
      </c>
      <c r="W698" s="10">
        <v>0.31496987119794539</v>
      </c>
      <c r="X698" s="413">
        <v>0.31106127527174354</v>
      </c>
      <c r="Y698" s="414">
        <v>0.32728820609709092</v>
      </c>
      <c r="Z698" s="1"/>
      <c r="AA698" s="1"/>
      <c r="AB698" s="1"/>
      <c r="AC698" s="1"/>
      <c r="AD698" s="1"/>
      <c r="AL698" s="23"/>
      <c r="AM698" s="23"/>
    </row>
    <row r="699" spans="17:39">
      <c r="Q699" s="6">
        <v>669</v>
      </c>
      <c r="R699" s="7">
        <v>43336</v>
      </c>
      <c r="S699" s="210">
        <v>4.3397260273972602</v>
      </c>
      <c r="T699" s="8">
        <v>1.0001205479452056</v>
      </c>
      <c r="U699" s="98">
        <v>3.9192806113142797</v>
      </c>
      <c r="V699" s="106">
        <v>28003.356486936653</v>
      </c>
      <c r="W699" s="10">
        <v>0.31654060799872763</v>
      </c>
      <c r="X699" s="413">
        <v>0.3126159095774364</v>
      </c>
      <c r="Y699" s="414">
        <v>0.32737895474966294</v>
      </c>
      <c r="Z699" s="1"/>
      <c r="AA699" s="1"/>
      <c r="AB699" s="1"/>
      <c r="AC699" s="1"/>
      <c r="AD699" s="1"/>
      <c r="AL699" s="23"/>
      <c r="AM699" s="23"/>
    </row>
    <row r="700" spans="17:39">
      <c r="Q700" s="6">
        <v>670</v>
      </c>
      <c r="R700" s="7">
        <v>43337</v>
      </c>
      <c r="S700" s="210">
        <v>4.3404109589041093</v>
      </c>
      <c r="T700" s="8">
        <v>1.0001205669710806</v>
      </c>
      <c r="U700" s="98">
        <v>3.9201429941516874</v>
      </c>
      <c r="V700" s="106">
        <v>28005.687187894197</v>
      </c>
      <c r="W700" s="10">
        <v>0.31810772017362154</v>
      </c>
      <c r="X700" s="413">
        <v>0.31416700657271934</v>
      </c>
      <c r="Y700" s="414">
        <v>0.32746959373027895</v>
      </c>
      <c r="Z700" s="1"/>
      <c r="AA700" s="1"/>
      <c r="AB700" s="1"/>
      <c r="AC700" s="1"/>
      <c r="AD700" s="1"/>
      <c r="AL700" s="23"/>
      <c r="AM700" s="23"/>
    </row>
    <row r="701" spans="17:39">
      <c r="Q701" s="6">
        <v>671</v>
      </c>
      <c r="R701" s="7">
        <v>43338</v>
      </c>
      <c r="S701" s="210">
        <v>4.3410958904109593</v>
      </c>
      <c r="T701" s="8">
        <v>1.000120585996956</v>
      </c>
      <c r="U701" s="98">
        <v>3.9210038890629573</v>
      </c>
      <c r="V701" s="106">
        <v>28008.018082834449</v>
      </c>
      <c r="W701" s="10">
        <v>0.31967122386771241</v>
      </c>
      <c r="X701" s="413">
        <v>0.3157145821905103</v>
      </c>
      <c r="Y701" s="414">
        <v>0.32756012357069308</v>
      </c>
      <c r="Z701" s="1"/>
      <c r="AA701" s="1"/>
      <c r="AB701" s="1"/>
      <c r="AC701" s="1"/>
      <c r="AD701" s="1"/>
      <c r="AL701" s="23"/>
      <c r="AM701" s="23"/>
    </row>
    <row r="702" spans="17:39">
      <c r="Q702" s="6">
        <v>672</v>
      </c>
      <c r="R702" s="7">
        <v>43339</v>
      </c>
      <c r="S702" s="210">
        <v>4.3417808219178085</v>
      </c>
      <c r="T702" s="8">
        <v>1.0001206050228311</v>
      </c>
      <c r="U702" s="98">
        <v>3.9218633026854688</v>
      </c>
      <c r="V702" s="106">
        <v>28010.349171773563</v>
      </c>
      <c r="W702" s="10">
        <v>0.32123113513025103</v>
      </c>
      <c r="X702" s="413">
        <v>0.31725865226881717</v>
      </c>
      <c r="Y702" s="414">
        <v>0.3276505447995029</v>
      </c>
      <c r="Z702" s="1"/>
      <c r="AA702" s="1"/>
      <c r="AB702" s="1"/>
      <c r="AC702" s="1"/>
      <c r="AD702" s="1"/>
      <c r="AL702" s="23"/>
      <c r="AM702" s="23"/>
    </row>
    <row r="703" spans="17:39">
      <c r="Q703" s="6">
        <v>673</v>
      </c>
      <c r="R703" s="7">
        <v>43340</v>
      </c>
      <c r="S703" s="210">
        <v>4.3424657534246576</v>
      </c>
      <c r="T703" s="8">
        <v>1.0001206240487062</v>
      </c>
      <c r="U703" s="98">
        <v>3.9227212416172774</v>
      </c>
      <c r="V703" s="106">
        <v>28012.68045472767</v>
      </c>
      <c r="W703" s="10">
        <v>0.3227874699156752</v>
      </c>
      <c r="X703" s="413">
        <v>0.31879923255178716</v>
      </c>
      <c r="Y703" s="414">
        <v>0.32774085794218238</v>
      </c>
      <c r="Z703" s="1"/>
      <c r="AA703" s="1"/>
      <c r="AB703" s="1"/>
      <c r="AC703" s="1"/>
      <c r="AD703" s="1"/>
      <c r="AL703" s="23"/>
      <c r="AM703" s="23"/>
    </row>
    <row r="704" spans="17:39">
      <c r="Q704" s="6">
        <v>674</v>
      </c>
      <c r="R704" s="7">
        <v>43341</v>
      </c>
      <c r="S704" s="210">
        <v>4.3431506849315067</v>
      </c>
      <c r="T704" s="8">
        <v>1.0001206430745815</v>
      </c>
      <c r="U704" s="98">
        <v>3.9235777124173143</v>
      </c>
      <c r="V704" s="106">
        <v>28015.011931712928</v>
      </c>
      <c r="W704" s="10">
        <v>0.32434024408389828</v>
      </c>
      <c r="X704" s="413">
        <v>0.32033633868995265</v>
      </c>
      <c r="Y704" s="414">
        <v>0.32783106352110064</v>
      </c>
      <c r="Z704" s="1"/>
      <c r="AA704" s="1"/>
      <c r="AB704" s="1"/>
      <c r="AC704" s="1"/>
      <c r="AD704" s="1"/>
      <c r="AL704" s="23"/>
      <c r="AM704" s="23"/>
    </row>
    <row r="705" spans="17:39">
      <c r="Q705" s="6">
        <v>675</v>
      </c>
      <c r="R705" s="7">
        <v>43342</v>
      </c>
      <c r="S705" s="210">
        <v>4.3438356164383558</v>
      </c>
      <c r="T705" s="8">
        <v>1.0001206621004566</v>
      </c>
      <c r="U705" s="98">
        <v>3.9244327216056973</v>
      </c>
      <c r="V705" s="106">
        <v>28017.343602745477</v>
      </c>
      <c r="W705" s="10">
        <v>0.32588947340141949</v>
      </c>
      <c r="X705" s="413">
        <v>0.32186998624137431</v>
      </c>
      <c r="Y705" s="414">
        <v>0.32792116205554322</v>
      </c>
      <c r="Z705" s="1"/>
      <c r="AA705" s="1"/>
      <c r="AB705" s="1"/>
      <c r="AC705" s="1"/>
      <c r="AD705" s="1"/>
      <c r="AL705" s="23"/>
      <c r="AM705" s="23"/>
    </row>
    <row r="706" spans="17:39">
      <c r="Q706" s="6">
        <v>676</v>
      </c>
      <c r="R706" s="7">
        <v>43343</v>
      </c>
      <c r="S706" s="210">
        <v>4.3445205479452058</v>
      </c>
      <c r="T706" s="8">
        <v>1.0001206811263319</v>
      </c>
      <c r="U706" s="98">
        <v>3.9252862756640639</v>
      </c>
      <c r="V706" s="106">
        <v>28019.675467841484</v>
      </c>
      <c r="W706" s="10">
        <v>0.32743517354172358</v>
      </c>
      <c r="X706" s="413">
        <v>0.32340019067202974</v>
      </c>
      <c r="Y706" s="414">
        <v>0.32801115406174253</v>
      </c>
      <c r="Z706" s="1"/>
      <c r="AA706" s="1"/>
      <c r="AB706" s="1"/>
      <c r="AC706" s="1"/>
      <c r="AD706" s="1"/>
      <c r="AL706" s="23"/>
      <c r="AM706" s="23"/>
    </row>
    <row r="707" spans="17:39">
      <c r="Q707" s="6">
        <v>677</v>
      </c>
      <c r="R707" s="7">
        <v>43344</v>
      </c>
      <c r="S707" s="210">
        <v>4.3452054794520549</v>
      </c>
      <c r="T707" s="8">
        <v>1.000120700152207</v>
      </c>
      <c r="U707" s="98">
        <v>3.9261383810357486</v>
      </c>
      <c r="V707" s="106">
        <v>28022.007527017082</v>
      </c>
      <c r="W707" s="10">
        <v>0.32897736008605794</v>
      </c>
      <c r="X707" s="413">
        <v>0.32492696735657617</v>
      </c>
      <c r="Y707" s="414">
        <v>0.32810104005288582</v>
      </c>
      <c r="Z707" s="1"/>
      <c r="AA707" s="1"/>
      <c r="AB707" s="1"/>
      <c r="AC707" s="1"/>
      <c r="AD707" s="1"/>
      <c r="AL707" s="23"/>
      <c r="AM707" s="23"/>
    </row>
    <row r="708" spans="17:39">
      <c r="Q708" s="6">
        <v>678</v>
      </c>
      <c r="R708" s="7">
        <v>43345</v>
      </c>
      <c r="S708" s="210">
        <v>4.345890410958904</v>
      </c>
      <c r="T708" s="8">
        <v>1.0001207191780821</v>
      </c>
      <c r="U708" s="98">
        <v>3.9269890441261834</v>
      </c>
      <c r="V708" s="106">
        <v>28024.339780288439</v>
      </c>
      <c r="W708" s="10">
        <v>0.33051604852416538</v>
      </c>
      <c r="X708" s="413">
        <v>0.32645033157904718</v>
      </c>
      <c r="Y708" s="414">
        <v>0.32819082053915438</v>
      </c>
      <c r="Z708" s="1"/>
      <c r="AA708" s="1"/>
      <c r="AB708" s="1"/>
      <c r="AC708" s="1"/>
      <c r="AD708" s="1"/>
      <c r="AL708" s="23"/>
      <c r="AM708" s="23"/>
    </row>
    <row r="709" spans="17:39">
      <c r="Q709" s="6">
        <v>679</v>
      </c>
      <c r="R709" s="7">
        <v>43346</v>
      </c>
      <c r="S709" s="210">
        <v>4.3465753424657532</v>
      </c>
      <c r="T709" s="8">
        <v>1.0001207382039574</v>
      </c>
      <c r="U709" s="98">
        <v>3.9278382713031412</v>
      </c>
      <c r="V709" s="106">
        <v>28026.672227671697</v>
      </c>
      <c r="W709" s="10">
        <v>0.33205125425488369</v>
      </c>
      <c r="X709" s="413">
        <v>0.32797029853354404</v>
      </c>
      <c r="Y709" s="414">
        <v>0.32828049602773579</v>
      </c>
      <c r="Z709" s="1"/>
      <c r="AA709" s="1"/>
      <c r="AB709" s="1"/>
      <c r="AC709" s="1"/>
      <c r="AD709" s="1"/>
      <c r="AL709" s="23"/>
      <c r="AM709" s="23"/>
    </row>
    <row r="710" spans="17:39">
      <c r="Q710" s="6">
        <v>680</v>
      </c>
      <c r="R710" s="7">
        <v>43347</v>
      </c>
      <c r="S710" s="210">
        <v>4.3472602739726032</v>
      </c>
      <c r="T710" s="8">
        <v>1.0001207572298325</v>
      </c>
      <c r="U710" s="98">
        <v>3.9286860688969361</v>
      </c>
      <c r="V710" s="106">
        <v>28029.004869183023</v>
      </c>
      <c r="W710" s="10">
        <v>0.33358299258681168</v>
      </c>
      <c r="X710" s="413">
        <v>0.32948688332476733</v>
      </c>
      <c r="Y710" s="414">
        <v>0.32837006702284782</v>
      </c>
      <c r="Z710" s="1"/>
      <c r="AA710" s="1"/>
      <c r="AB710" s="1"/>
      <c r="AC710" s="1"/>
      <c r="AD710" s="1"/>
      <c r="AL710" s="23"/>
      <c r="AM710" s="23"/>
    </row>
    <row r="711" spans="17:39">
      <c r="Q711" s="6">
        <v>681</v>
      </c>
      <c r="R711" s="7">
        <v>43348</v>
      </c>
      <c r="S711" s="210">
        <v>4.3479452054794523</v>
      </c>
      <c r="T711" s="8">
        <v>1.0001207762557078</v>
      </c>
      <c r="U711" s="98">
        <v>3.9295324432008227</v>
      </c>
      <c r="V711" s="106">
        <v>28031.33770483857</v>
      </c>
      <c r="W711" s="10">
        <v>0.33511127873904201</v>
      </c>
      <c r="X711" s="413">
        <v>0.33100010096887306</v>
      </c>
      <c r="Y711" s="414">
        <v>0.32845953402576117</v>
      </c>
      <c r="Z711" s="1"/>
      <c r="AA711" s="1"/>
      <c r="AB711" s="1"/>
      <c r="AC711" s="1"/>
      <c r="AD711" s="1"/>
      <c r="AL711" s="23"/>
      <c r="AM711" s="23"/>
    </row>
    <row r="712" spans="17:39">
      <c r="Q712" s="6">
        <v>682</v>
      </c>
      <c r="R712" s="7">
        <v>43349</v>
      </c>
      <c r="S712" s="210">
        <v>4.3486301369863014</v>
      </c>
      <c r="T712" s="8">
        <v>1.0001207952815829</v>
      </c>
      <c r="U712" s="98">
        <v>3.9303774004711522</v>
      </c>
      <c r="V712" s="106">
        <v>28033.670734654494</v>
      </c>
      <c r="W712" s="10">
        <v>0.33663612784169406</v>
      </c>
      <c r="X712" s="413">
        <v>0.33250996639391073</v>
      </c>
      <c r="Y712" s="414">
        <v>0.32854889753481953</v>
      </c>
      <c r="Z712" s="1"/>
      <c r="AA712" s="1"/>
      <c r="AB712" s="1"/>
      <c r="AC712" s="1"/>
      <c r="AD712" s="1"/>
      <c r="AL712" s="23"/>
      <c r="AM712" s="23"/>
    </row>
    <row r="713" spans="17:39">
      <c r="Q713" s="6">
        <v>683</v>
      </c>
      <c r="R713" s="7">
        <v>43350</v>
      </c>
      <c r="S713" s="210">
        <v>4.3493150684931505</v>
      </c>
      <c r="T713" s="8">
        <v>1.0001208143074583</v>
      </c>
      <c r="U713" s="98">
        <v>3.9312209469277493</v>
      </c>
      <c r="V713" s="106">
        <v>28036.003958646954</v>
      </c>
      <c r="W713" s="10">
        <v>0.33815755493671329</v>
      </c>
      <c r="X713" s="413">
        <v>0.33401649444066733</v>
      </c>
      <c r="Y713" s="414">
        <v>0.32863815804546437</v>
      </c>
      <c r="Z713" s="1"/>
      <c r="AA713" s="1"/>
      <c r="AB713" s="1"/>
      <c r="AC713" s="1"/>
      <c r="AD713" s="1"/>
      <c r="AL713" s="23"/>
      <c r="AM713" s="23"/>
    </row>
    <row r="714" spans="17:39">
      <c r="Q714" s="6">
        <v>684</v>
      </c>
      <c r="R714" s="7">
        <v>43351</v>
      </c>
      <c r="S714" s="210">
        <v>4.3499999999999996</v>
      </c>
      <c r="T714" s="8">
        <v>1.0001208333333333</v>
      </c>
      <c r="U714" s="98">
        <v>3.9320630887540453</v>
      </c>
      <c r="V714" s="106">
        <v>28038.337376832114</v>
      </c>
      <c r="W714" s="10">
        <v>0.33967557497833756</v>
      </c>
      <c r="X714" s="413">
        <v>0.33551969986310654</v>
      </c>
      <c r="Y714" s="414">
        <v>0.32872731605024974</v>
      </c>
      <c r="Z714" s="1"/>
      <c r="AA714" s="1"/>
      <c r="AB714" s="1"/>
      <c r="AC714" s="1"/>
      <c r="AD714" s="1"/>
      <c r="AL714" s="23"/>
      <c r="AM714" s="23"/>
    </row>
    <row r="715" spans="17:39">
      <c r="Q715" s="6">
        <v>685</v>
      </c>
      <c r="R715" s="7">
        <v>43352</v>
      </c>
      <c r="S715" s="210">
        <v>4.3506849315068497</v>
      </c>
      <c r="T715" s="8">
        <v>1.0001208523592084</v>
      </c>
      <c r="U715" s="98">
        <v>3.9329038320974785</v>
      </c>
      <c r="V715" s="106">
        <v>28040.670989226135</v>
      </c>
      <c r="W715" s="10">
        <v>0.34119020283387425</v>
      </c>
      <c r="X715" s="413">
        <v>0.33701959732913106</v>
      </c>
      <c r="Y715" s="414">
        <v>0.32881637203886882</v>
      </c>
      <c r="Z715" s="1"/>
      <c r="AA715" s="1"/>
      <c r="AB715" s="1"/>
      <c r="AC715" s="1"/>
      <c r="AD715" s="1"/>
      <c r="AL715" s="23"/>
      <c r="AM715" s="23"/>
    </row>
    <row r="716" spans="17:39">
      <c r="Q716" s="6">
        <v>686</v>
      </c>
      <c r="R716" s="7">
        <v>43353</v>
      </c>
      <c r="S716" s="210">
        <v>4.3513698630136988</v>
      </c>
      <c r="T716" s="8">
        <v>1.0001208713850838</v>
      </c>
      <c r="U716" s="98">
        <v>3.9337431830696934</v>
      </c>
      <c r="V716" s="106">
        <v>28043.082592744329</v>
      </c>
      <c r="W716" s="10">
        <v>0.34255334090602663</v>
      </c>
      <c r="X716" s="413">
        <v>0.3383696778854326</v>
      </c>
      <c r="Y716" s="414">
        <v>0.32890532649817805</v>
      </c>
      <c r="Z716" s="1"/>
      <c r="AA716" s="1"/>
      <c r="AB716" s="1"/>
      <c r="AC716" s="1"/>
      <c r="AD716" s="1"/>
      <c r="AL716" s="23"/>
      <c r="AM716" s="23"/>
    </row>
    <row r="717" spans="17:39">
      <c r="Q717" s="6">
        <v>687</v>
      </c>
      <c r="R717" s="7">
        <v>43354</v>
      </c>
      <c r="S717" s="210">
        <v>4.3520547945205479</v>
      </c>
      <c r="T717" s="8">
        <v>1.0001208904109589</v>
      </c>
      <c r="U717" s="98">
        <v>3.9345811477468073</v>
      </c>
      <c r="V717" s="106">
        <v>28045.494403669523</v>
      </c>
      <c r="W717" s="10">
        <v>0.34391354322695911</v>
      </c>
      <c r="X717" s="413">
        <v>0.33971689551237927</v>
      </c>
      <c r="Y717" s="414">
        <v>0.32899417991220786</v>
      </c>
      <c r="Z717" s="1"/>
      <c r="AA717" s="1"/>
      <c r="AB717" s="1"/>
      <c r="AC717" s="1"/>
      <c r="AD717" s="1"/>
      <c r="AL717" s="23"/>
      <c r="AM717" s="23"/>
    </row>
    <row r="718" spans="17:39">
      <c r="Q718" s="6">
        <v>688</v>
      </c>
      <c r="R718" s="7">
        <v>43355</v>
      </c>
      <c r="S718" s="210">
        <v>4.352739726027397</v>
      </c>
      <c r="T718" s="8">
        <v>1.0001209094368342</v>
      </c>
      <c r="U718" s="98">
        <v>3.9354177321696548</v>
      </c>
      <c r="V718" s="106">
        <v>28047.906422019561</v>
      </c>
      <c r="W718" s="10">
        <v>0.3452708225589296</v>
      </c>
      <c r="X718" s="413">
        <v>0.34106126280072857</v>
      </c>
      <c r="Y718" s="414">
        <v>0.32908293276219008</v>
      </c>
      <c r="Z718" s="1"/>
      <c r="AA718" s="1"/>
      <c r="AB718" s="1"/>
      <c r="AC718" s="1"/>
      <c r="AD718" s="1"/>
      <c r="AL718" s="23"/>
      <c r="AM718" s="23"/>
    </row>
    <row r="719" spans="17:39">
      <c r="Q719" s="6">
        <v>689</v>
      </c>
      <c r="R719" s="7">
        <v>43356</v>
      </c>
      <c r="S719" s="210">
        <v>4.353424657534247</v>
      </c>
      <c r="T719" s="8">
        <v>1.0001209284627093</v>
      </c>
      <c r="U719" s="98">
        <v>3.9362529423440318</v>
      </c>
      <c r="V719" s="106">
        <v>28050.318647812273</v>
      </c>
      <c r="W719" s="10">
        <v>0.346625191590344</v>
      </c>
      <c r="X719" s="413">
        <v>0.3424027922682118</v>
      </c>
      <c r="Y719" s="414">
        <v>0.32917158552657522</v>
      </c>
      <c r="Z719" s="1"/>
      <c r="AA719" s="1"/>
      <c r="AB719" s="1"/>
      <c r="AC719" s="1"/>
      <c r="AD719" s="1"/>
      <c r="AL719" s="23"/>
      <c r="AM719" s="23"/>
    </row>
    <row r="720" spans="17:39">
      <c r="Q720" s="6">
        <v>690</v>
      </c>
      <c r="R720" s="7">
        <v>43357</v>
      </c>
      <c r="S720" s="210">
        <v>4.3541095890410961</v>
      </c>
      <c r="T720" s="8">
        <v>1.0001209474885844</v>
      </c>
      <c r="U720" s="98">
        <v>3.9370867842410284</v>
      </c>
      <c r="V720" s="106">
        <v>28052.731081065511</v>
      </c>
      <c r="W720" s="10">
        <v>0.34797666293633345</v>
      </c>
      <c r="X720" s="413">
        <v>0.34374149636005141</v>
      </c>
      <c r="Y720" s="414">
        <v>0.3292601386810568</v>
      </c>
      <c r="Z720" s="1"/>
      <c r="AA720" s="1"/>
      <c r="AB720" s="1"/>
      <c r="AC720" s="1"/>
      <c r="AD720" s="1"/>
      <c r="AL720" s="23"/>
      <c r="AM720" s="23"/>
    </row>
    <row r="721" spans="17:39">
      <c r="Q721" s="6">
        <v>691</v>
      </c>
      <c r="R721" s="7">
        <v>43358</v>
      </c>
      <c r="S721" s="210">
        <v>4.3547945205479452</v>
      </c>
      <c r="T721" s="8">
        <v>1.0001209665144597</v>
      </c>
      <c r="U721" s="98">
        <v>3.9379192637971849</v>
      </c>
      <c r="V721" s="106">
        <v>28055.143721797111</v>
      </c>
      <c r="W721" s="10">
        <v>0.3493252491392429</v>
      </c>
      <c r="X721" s="413">
        <v>0.34507738744953254</v>
      </c>
      <c r="Y721" s="414">
        <v>0.32934859269858785</v>
      </c>
      <c r="Z721" s="1"/>
      <c r="AA721" s="1"/>
      <c r="AB721" s="1"/>
      <c r="AC721" s="1"/>
      <c r="AD721" s="1"/>
      <c r="AL721" s="23"/>
      <c r="AM721" s="23"/>
    </row>
    <row r="722" spans="17:39">
      <c r="Q722" s="6">
        <v>692</v>
      </c>
      <c r="R722" s="7">
        <v>43359</v>
      </c>
      <c r="S722" s="210">
        <v>4.3554794520547944</v>
      </c>
      <c r="T722" s="8">
        <v>1.0001209855403348</v>
      </c>
      <c r="U722" s="98">
        <v>3.93875038691478</v>
      </c>
      <c r="V722" s="106">
        <v>28057.556570024924</v>
      </c>
      <c r="W722" s="10">
        <v>0.35067096266914177</v>
      </c>
      <c r="X722" s="413">
        <v>0.34641047783839501</v>
      </c>
      <c r="Y722" s="414">
        <v>0.32943694804939738</v>
      </c>
      <c r="Z722" s="1"/>
      <c r="AA722" s="1"/>
      <c r="AB722" s="1"/>
      <c r="AC722" s="1"/>
      <c r="AD722" s="1"/>
      <c r="AL722" s="23"/>
      <c r="AM722" s="23"/>
    </row>
    <row r="723" spans="17:39">
      <c r="Q723" s="6">
        <v>693</v>
      </c>
      <c r="R723" s="7">
        <v>43360</v>
      </c>
      <c r="S723" s="210">
        <v>4.3561643835616435</v>
      </c>
      <c r="T723" s="8">
        <v>1.0001210045662101</v>
      </c>
      <c r="U723" s="98">
        <v>3.9395801594620972</v>
      </c>
      <c r="V723" s="106">
        <v>28059.969625766782</v>
      </c>
      <c r="W723" s="10">
        <v>0.35201381592442349</v>
      </c>
      <c r="X723" s="413">
        <v>0.34774077975753459</v>
      </c>
      <c r="Y723" s="414">
        <v>0.32952520520102052</v>
      </c>
      <c r="Z723" s="1"/>
      <c r="AA723" s="1"/>
      <c r="AB723" s="1"/>
      <c r="AC723" s="1"/>
      <c r="AD723" s="1"/>
      <c r="AL723" s="23"/>
      <c r="AM723" s="23"/>
    </row>
    <row r="724" spans="17:39">
      <c r="Q724" s="6">
        <v>694</v>
      </c>
      <c r="R724" s="7">
        <v>43361</v>
      </c>
      <c r="S724" s="210">
        <v>4.3568493150684935</v>
      </c>
      <c r="T724" s="8">
        <v>1.0001210235920852</v>
      </c>
      <c r="U724" s="98">
        <v>3.9404085872736472</v>
      </c>
      <c r="V724" s="106">
        <v>28062.382889040542</v>
      </c>
      <c r="W724" s="10">
        <v>0.35335382123224957</v>
      </c>
      <c r="X724" s="413">
        <v>0.34906830536737493</v>
      </c>
      <c r="Y724" s="414">
        <v>0.32961336461830898</v>
      </c>
      <c r="Z724" s="1"/>
      <c r="AA724" s="1"/>
      <c r="AB724" s="1"/>
      <c r="AC724" s="1"/>
      <c r="AD724" s="1"/>
      <c r="AL724" s="23"/>
      <c r="AM724" s="23"/>
    </row>
    <row r="725" spans="17:39">
      <c r="Q725" s="6">
        <v>695</v>
      </c>
      <c r="R725" s="7">
        <v>43362</v>
      </c>
      <c r="S725" s="210">
        <v>4.3575342465753426</v>
      </c>
      <c r="T725" s="8">
        <v>1.0001210426179605</v>
      </c>
      <c r="U725" s="98">
        <v>3.9412356761504119</v>
      </c>
      <c r="V725" s="106">
        <v>28064.796359864045</v>
      </c>
      <c r="W725" s="10">
        <v>0.35469099084906031</v>
      </c>
      <c r="X725" s="413">
        <v>0.35039306675843218</v>
      </c>
      <c r="Y725" s="414">
        <v>0.3297014267634506</v>
      </c>
      <c r="Z725" s="1"/>
      <c r="AA725" s="1"/>
      <c r="AB725" s="1"/>
      <c r="AC725" s="1"/>
      <c r="AD725" s="1"/>
      <c r="AL725" s="23"/>
      <c r="AM725" s="23"/>
    </row>
    <row r="726" spans="17:39">
      <c r="Q726" s="6">
        <v>696</v>
      </c>
      <c r="R726" s="7">
        <v>43363</v>
      </c>
      <c r="S726" s="210">
        <v>4.3582191780821917</v>
      </c>
      <c r="T726" s="8">
        <v>1.0001210616438356</v>
      </c>
      <c r="U726" s="98">
        <v>3.9420614318600666</v>
      </c>
      <c r="V726" s="106">
        <v>28067.210038255151</v>
      </c>
      <c r="W726" s="10">
        <v>0.35602533696106331</v>
      </c>
      <c r="X726" s="413">
        <v>0.35171507595171386</v>
      </c>
      <c r="Y726" s="414">
        <v>0.32978939209599351</v>
      </c>
      <c r="Z726" s="1"/>
      <c r="AA726" s="1"/>
      <c r="AB726" s="1"/>
      <c r="AC726" s="1"/>
      <c r="AD726" s="1"/>
      <c r="AL726" s="23"/>
      <c r="AM726" s="23"/>
    </row>
    <row r="727" spans="17:39">
      <c r="Q727" s="6">
        <v>697</v>
      </c>
      <c r="R727" s="7">
        <v>43364</v>
      </c>
      <c r="S727" s="210">
        <v>4.3589041095890408</v>
      </c>
      <c r="T727" s="8">
        <v>1.0001210806697107</v>
      </c>
      <c r="U727" s="98">
        <v>3.9428858601372463</v>
      </c>
      <c r="V727" s="106">
        <v>28069.62392423171</v>
      </c>
      <c r="W727" s="10">
        <v>0.35735687168483299</v>
      </c>
      <c r="X727" s="413">
        <v>0.35303434489942365</v>
      </c>
      <c r="Y727" s="414">
        <v>0.32987726107285859</v>
      </c>
      <c r="Z727" s="1"/>
      <c r="AA727" s="1"/>
      <c r="AB727" s="1"/>
      <c r="AC727" s="1"/>
      <c r="AD727" s="1"/>
      <c r="AL727" s="23"/>
      <c r="AM727" s="23"/>
    </row>
    <row r="728" spans="17:39">
      <c r="Q728" s="6">
        <v>698</v>
      </c>
      <c r="R728" s="7">
        <v>43365</v>
      </c>
      <c r="S728" s="210">
        <v>4.3595890410958908</v>
      </c>
      <c r="T728" s="8">
        <v>1.000121099695586</v>
      </c>
      <c r="U728" s="98">
        <v>3.9437089666837899</v>
      </c>
      <c r="V728" s="106">
        <v>28072.038017811567</v>
      </c>
      <c r="W728" s="10">
        <v>0.35868560706773245</v>
      </c>
      <c r="X728" s="413">
        <v>0.35435088548528293</v>
      </c>
      <c r="Y728" s="414">
        <v>0.32996503414836786</v>
      </c>
      <c r="Z728" s="1"/>
      <c r="AA728" s="1"/>
      <c r="AB728" s="1"/>
      <c r="AC728" s="1"/>
      <c r="AD728" s="1"/>
      <c r="AL728" s="23"/>
      <c r="AM728" s="23"/>
    </row>
    <row r="729" spans="17:39">
      <c r="Q729" s="6">
        <v>699</v>
      </c>
      <c r="R729" s="7">
        <v>43366</v>
      </c>
      <c r="S729" s="210">
        <v>4.36027397260274</v>
      </c>
      <c r="T729" s="8">
        <v>1.0001211187214611</v>
      </c>
      <c r="U729" s="98">
        <v>3.9445307571689403</v>
      </c>
      <c r="V729" s="106">
        <v>28074.452319012587</v>
      </c>
      <c r="W729" s="10">
        <v>0.36001155508835758</v>
      </c>
      <c r="X729" s="413">
        <v>0.35566470952503165</v>
      </c>
      <c r="Y729" s="414">
        <v>0.33005271177425166</v>
      </c>
      <c r="Z729" s="1"/>
      <c r="AA729" s="1"/>
      <c r="AB729" s="1"/>
      <c r="AC729" s="1"/>
      <c r="AD729" s="1"/>
      <c r="AL729" s="23"/>
      <c r="AM729" s="23"/>
    </row>
    <row r="730" spans="17:39">
      <c r="Q730" s="6">
        <v>700</v>
      </c>
      <c r="R730" s="7">
        <v>43367</v>
      </c>
      <c r="S730" s="210">
        <v>4.3609589041095891</v>
      </c>
      <c r="T730" s="8">
        <v>1.0001211377473365</v>
      </c>
      <c r="U730" s="98">
        <v>3.9453512372296329</v>
      </c>
      <c r="V730" s="106">
        <v>28076.866827852613</v>
      </c>
      <c r="W730" s="10">
        <v>0.36133472765722541</v>
      </c>
      <c r="X730" s="413">
        <v>0.35697582876707407</v>
      </c>
      <c r="Y730" s="414">
        <v>0.33014029439967829</v>
      </c>
      <c r="Z730" s="1"/>
      <c r="AA730" s="1"/>
      <c r="AB730" s="1"/>
      <c r="AC730" s="1"/>
      <c r="AD730" s="1"/>
      <c r="AL730" s="23"/>
      <c r="AM730" s="23"/>
    </row>
    <row r="731" spans="17:39">
      <c r="Q731" s="6">
        <v>701</v>
      </c>
      <c r="R731" s="7">
        <v>43368</v>
      </c>
      <c r="S731" s="210">
        <v>4.3616438356164382</v>
      </c>
      <c r="T731" s="8">
        <v>1.0001211567732116</v>
      </c>
      <c r="U731" s="98">
        <v>3.9461704124706065</v>
      </c>
      <c r="V731" s="106">
        <v>28079.281544349516</v>
      </c>
      <c r="W731" s="10">
        <v>0.3626551366169517</v>
      </c>
      <c r="X731" s="413">
        <v>0.35828425489268506</v>
      </c>
      <c r="Y731" s="414">
        <v>0.33022778247125867</v>
      </c>
      <c r="Z731" s="1"/>
      <c r="AA731" s="1"/>
      <c r="AB731" s="1"/>
      <c r="AC731" s="1"/>
      <c r="AD731" s="1"/>
      <c r="AL731" s="23"/>
      <c r="AM731" s="23"/>
    </row>
    <row r="732" spans="17:39">
      <c r="Q732" s="6">
        <v>702</v>
      </c>
      <c r="R732" s="7">
        <v>43369</v>
      </c>
      <c r="S732" s="210">
        <v>4.3623287671232873</v>
      </c>
      <c r="T732" s="8">
        <v>1.0001211757990867</v>
      </c>
      <c r="U732" s="98">
        <v>3.9469882884647811</v>
      </c>
      <c r="V732" s="106">
        <v>28081.69646852115</v>
      </c>
      <c r="W732" s="10">
        <v>0.36397279374300595</v>
      </c>
      <c r="X732" s="413">
        <v>0.35958999951675064</v>
      </c>
      <c r="Y732" s="414">
        <v>0.33031517643308067</v>
      </c>
      <c r="Z732" s="1"/>
      <c r="AA732" s="1"/>
      <c r="AB732" s="1"/>
      <c r="AC732" s="1"/>
      <c r="AD732" s="1"/>
      <c r="AL732" s="23"/>
      <c r="AM732" s="23"/>
    </row>
    <row r="733" spans="17:39">
      <c r="Q733" s="6">
        <v>703</v>
      </c>
      <c r="R733" s="7">
        <v>43370</v>
      </c>
      <c r="S733" s="210">
        <v>4.3630136986301373</v>
      </c>
      <c r="T733" s="8">
        <v>1.000121194824962</v>
      </c>
      <c r="U733" s="98">
        <v>3.947804870753413</v>
      </c>
      <c r="V733" s="106">
        <v>28084.111600385368</v>
      </c>
      <c r="W733" s="10">
        <v>0.36528771074408883</v>
      </c>
      <c r="X733" s="413">
        <v>0.36089307418811439</v>
      </c>
      <c r="Y733" s="414">
        <v>0.33040247672671591</v>
      </c>
      <c r="Z733" s="1"/>
      <c r="AA733" s="1"/>
      <c r="AB733" s="1"/>
      <c r="AC733" s="1"/>
      <c r="AD733" s="1"/>
      <c r="AL733" s="23"/>
      <c r="AM733" s="23"/>
    </row>
    <row r="734" spans="17:39">
      <c r="Q734" s="6">
        <v>704</v>
      </c>
      <c r="R734" s="7">
        <v>43371</v>
      </c>
      <c r="S734" s="210">
        <v>4.3636986301369864</v>
      </c>
      <c r="T734" s="8">
        <v>1.0001212138508371</v>
      </c>
      <c r="U734" s="98">
        <v>3.9486201648463171</v>
      </c>
      <c r="V734" s="106">
        <v>28086.526939960047</v>
      </c>
      <c r="W734" s="10">
        <v>0.36659989926253189</v>
      </c>
      <c r="X734" s="413">
        <v>0.3621934903900359</v>
      </c>
      <c r="Y734" s="414">
        <v>0.33048968379124122</v>
      </c>
      <c r="Z734" s="1"/>
      <c r="AA734" s="1"/>
      <c r="AB734" s="1"/>
      <c r="AC734" s="1"/>
      <c r="AD734" s="1"/>
      <c r="AL734" s="23"/>
      <c r="AM734" s="23"/>
    </row>
    <row r="735" spans="17:39">
      <c r="Q735" s="6">
        <v>705</v>
      </c>
      <c r="R735" s="7">
        <v>43372</v>
      </c>
      <c r="S735" s="210">
        <v>4.3643835616438356</v>
      </c>
      <c r="T735" s="8">
        <v>1.0001212328767124</v>
      </c>
      <c r="U735" s="98">
        <v>3.9494341762220886</v>
      </c>
      <c r="V735" s="106">
        <v>28088.942487263044</v>
      </c>
      <c r="W735" s="10">
        <v>0.36790937087491926</v>
      </c>
      <c r="X735" s="413">
        <v>0.36349125954073469</v>
      </c>
      <c r="Y735" s="414">
        <v>0.33057679806325535</v>
      </c>
      <c r="Z735" s="1"/>
      <c r="AA735" s="1"/>
      <c r="AB735" s="1"/>
      <c r="AC735" s="1"/>
      <c r="AD735" s="1"/>
      <c r="AL735" s="23"/>
      <c r="AM735" s="23"/>
    </row>
    <row r="736" spans="17:39">
      <c r="Q736" s="6">
        <v>706</v>
      </c>
      <c r="R736" s="7">
        <v>43373</v>
      </c>
      <c r="S736" s="210">
        <v>4.3650684931506847</v>
      </c>
      <c r="T736" s="8">
        <v>1.0001212519025875</v>
      </c>
      <c r="U736" s="98">
        <v>3.9502469103282811</v>
      </c>
      <c r="V736" s="106">
        <v>28091.358242312224</v>
      </c>
      <c r="W736" s="10">
        <v>0.36921613709235412</v>
      </c>
      <c r="X736" s="413">
        <v>0.36478639299369253</v>
      </c>
      <c r="Y736" s="414">
        <v>0.33066381997689392</v>
      </c>
      <c r="Z736" s="1"/>
      <c r="AA736" s="1"/>
      <c r="AB736" s="1"/>
      <c r="AC736" s="1"/>
      <c r="AD736" s="1"/>
      <c r="AL736" s="23"/>
      <c r="AM736" s="23"/>
    </row>
    <row r="737" spans="17:39">
      <c r="Q737" s="6">
        <v>707</v>
      </c>
      <c r="R737" s="7">
        <v>43374</v>
      </c>
      <c r="S737" s="210">
        <v>4.3657534246575347</v>
      </c>
      <c r="T737" s="8">
        <v>1.0001212709284628</v>
      </c>
      <c r="U737" s="98">
        <v>3.9510583725817616</v>
      </c>
      <c r="V737" s="106">
        <v>28093.774205125454</v>
      </c>
      <c r="W737" s="10">
        <v>0.37052020936116925</v>
      </c>
      <c r="X737" s="413">
        <v>0.36607890203838261</v>
      </c>
      <c r="Y737" s="414">
        <v>0.33075074996385601</v>
      </c>
      <c r="Z737" s="1"/>
      <c r="AA737" s="1"/>
      <c r="AB737" s="1"/>
      <c r="AC737" s="1"/>
      <c r="AD737" s="1"/>
      <c r="AL737" s="23"/>
      <c r="AM737" s="23"/>
    </row>
    <row r="738" spans="17:39">
      <c r="Q738" s="6">
        <v>708</v>
      </c>
      <c r="R738" s="7">
        <v>43375</v>
      </c>
      <c r="S738" s="210">
        <v>4.3664383561643838</v>
      </c>
      <c r="T738" s="8">
        <v>1.0001212899543379</v>
      </c>
      <c r="U738" s="98">
        <v>3.9518685683687993</v>
      </c>
      <c r="V738" s="106">
        <v>28096.190375720602</v>
      </c>
      <c r="W738" s="10">
        <v>0.37182159906312684</v>
      </c>
      <c r="X738" s="413">
        <v>0.36736879790041688</v>
      </c>
      <c r="Y738" s="414">
        <v>0.33083758845341221</v>
      </c>
      <c r="Z738" s="1"/>
      <c r="AA738" s="1"/>
      <c r="AB738" s="1"/>
      <c r="AC738" s="1"/>
      <c r="AD738" s="1"/>
      <c r="AL738" s="23"/>
      <c r="AM738" s="23"/>
    </row>
    <row r="739" spans="17:39">
      <c r="Q739" s="6">
        <v>709</v>
      </c>
      <c r="R739" s="7">
        <v>43376</v>
      </c>
      <c r="S739" s="210">
        <v>4.3671232876712329</v>
      </c>
      <c r="T739" s="8">
        <v>1.000121308980213</v>
      </c>
      <c r="U739" s="98">
        <v>3.9526775030453098</v>
      </c>
      <c r="V739" s="106">
        <v>28098.606754115539</v>
      </c>
      <c r="W739" s="10">
        <v>0.37312031751608465</v>
      </c>
      <c r="X739" s="413">
        <v>0.36865609174223285</v>
      </c>
      <c r="Y739" s="414">
        <v>0.33092433587242515</v>
      </c>
      <c r="Z739" s="1"/>
      <c r="AA739" s="1"/>
      <c r="AB739" s="1"/>
      <c r="AC739" s="1"/>
      <c r="AD739" s="1"/>
      <c r="AL739" s="23"/>
      <c r="AM739" s="23"/>
    </row>
    <row r="740" spans="17:39">
      <c r="Q740" s="6">
        <v>710</v>
      </c>
      <c r="R740" s="7">
        <v>43377</v>
      </c>
      <c r="S740" s="210">
        <v>4.367808219178082</v>
      </c>
      <c r="T740" s="8">
        <v>1.0001213280060883</v>
      </c>
      <c r="U740" s="98">
        <v>3.9534851819370997</v>
      </c>
      <c r="V740" s="106">
        <v>28101.023340328138</v>
      </c>
      <c r="W740" s="10">
        <v>0.37441637597426247</v>
      </c>
      <c r="X740" s="413">
        <v>0.36994079466335883</v>
      </c>
      <c r="Y740" s="414">
        <v>0.33101099264536415</v>
      </c>
      <c r="Z740" s="1"/>
      <c r="AA740" s="1"/>
      <c r="AB740" s="1"/>
      <c r="AC740" s="1"/>
      <c r="AD740" s="1"/>
      <c r="AL740" s="23"/>
      <c r="AM740" s="23"/>
    </row>
    <row r="741" spans="17:39">
      <c r="Q741" s="6">
        <v>711</v>
      </c>
      <c r="R741" s="7">
        <v>43378</v>
      </c>
      <c r="S741" s="210">
        <v>4.3684931506849312</v>
      </c>
      <c r="T741" s="8">
        <v>1.0001213470319634</v>
      </c>
      <c r="U741" s="98">
        <v>3.9542916103400438</v>
      </c>
      <c r="V741" s="106">
        <v>28103.440134376266</v>
      </c>
      <c r="W741" s="10">
        <v>0.37570978562884161</v>
      </c>
      <c r="X741" s="413">
        <v>0.37122291770099058</v>
      </c>
      <c r="Y741" s="414">
        <v>0.33109755919432804</v>
      </c>
      <c r="Z741" s="1"/>
      <c r="AA741" s="1"/>
      <c r="AB741" s="1"/>
      <c r="AC741" s="1"/>
      <c r="AD741" s="1"/>
      <c r="AL741" s="23"/>
      <c r="AM741" s="23"/>
    </row>
    <row r="742" spans="17:39">
      <c r="Q742" s="6">
        <v>712</v>
      </c>
      <c r="R742" s="7">
        <v>43379</v>
      </c>
      <c r="S742" s="210">
        <v>4.3691780821917812</v>
      </c>
      <c r="T742" s="8">
        <v>1.0001213660578387</v>
      </c>
      <c r="U742" s="98">
        <v>3.9550967935203296</v>
      </c>
      <c r="V742" s="106">
        <v>28105.857136277806</v>
      </c>
      <c r="W742" s="10">
        <v>0.37700055760832019</v>
      </c>
      <c r="X742" s="413">
        <v>0.37250247183039609</v>
      </c>
      <c r="Y742" s="414">
        <v>0.33118403593905477</v>
      </c>
      <c r="Z742" s="1"/>
      <c r="AA742" s="1"/>
      <c r="AB742" s="1"/>
      <c r="AC742" s="1"/>
      <c r="AD742" s="1"/>
      <c r="AL742" s="23"/>
      <c r="AM742" s="23"/>
    </row>
    <row r="743" spans="17:39">
      <c r="Q743" s="6">
        <v>713</v>
      </c>
      <c r="R743" s="7">
        <v>43380</v>
      </c>
      <c r="S743" s="210">
        <v>4.3698630136986303</v>
      </c>
      <c r="T743" s="8">
        <v>1.0001213850837138</v>
      </c>
      <c r="U743" s="98">
        <v>3.9559007367146348</v>
      </c>
      <c r="V743" s="106">
        <v>28108.274346050624</v>
      </c>
      <c r="W743" s="10">
        <v>0.37828870297902384</v>
      </c>
      <c r="X743" s="413">
        <v>0.37377946796533812</v>
      </c>
      <c r="Y743" s="414">
        <v>0.33127042329694328</v>
      </c>
      <c r="Z743" s="1"/>
      <c r="AA743" s="1"/>
      <c r="AB743" s="1"/>
      <c r="AC743" s="1"/>
      <c r="AD743" s="1"/>
      <c r="AL743" s="23"/>
      <c r="AM743" s="23"/>
    </row>
    <row r="744" spans="17:39">
      <c r="Q744" s="6">
        <v>714</v>
      </c>
      <c r="R744" s="7">
        <v>43381</v>
      </c>
      <c r="S744" s="210">
        <v>4.3705479452054794</v>
      </c>
      <c r="T744" s="8">
        <v>1.0001214041095889</v>
      </c>
      <c r="U744" s="98">
        <v>3.9567034451303496</v>
      </c>
      <c r="V744" s="106">
        <v>28110.69176371261</v>
      </c>
      <c r="W744" s="10">
        <v>0.37957423274537216</v>
      </c>
      <c r="X744" s="413">
        <v>0.3750539169584266</v>
      </c>
      <c r="Y744" s="414">
        <v>0.33135672168306646</v>
      </c>
      <c r="Z744" s="1"/>
      <c r="AA744" s="1"/>
      <c r="AB744" s="1"/>
      <c r="AC744" s="1"/>
      <c r="AD744" s="1"/>
      <c r="AL744" s="23"/>
      <c r="AM744" s="23"/>
    </row>
    <row r="745" spans="17:39">
      <c r="Q745" s="6">
        <v>715</v>
      </c>
      <c r="R745" s="7">
        <v>43382</v>
      </c>
      <c r="S745" s="210">
        <v>4.3712328767123285</v>
      </c>
      <c r="T745" s="8">
        <v>1.0001214231354643</v>
      </c>
      <c r="U745" s="98">
        <v>3.957504923945776</v>
      </c>
      <c r="V745" s="106">
        <v>28113.109389281639</v>
      </c>
      <c r="W745" s="10">
        <v>0.38085715785052265</v>
      </c>
      <c r="X745" s="413">
        <v>0.3763258296016696</v>
      </c>
      <c r="Y745" s="414">
        <v>0.33144293151018883</v>
      </c>
      <c r="Z745" s="1"/>
      <c r="AA745" s="1"/>
      <c r="AB745" s="1"/>
      <c r="AC745" s="1"/>
      <c r="AD745" s="1"/>
      <c r="AL745" s="23"/>
      <c r="AM745" s="23"/>
    </row>
    <row r="746" spans="17:39">
      <c r="Q746" s="6">
        <v>716</v>
      </c>
      <c r="R746" s="7">
        <v>43383</v>
      </c>
      <c r="S746" s="210">
        <v>4.3719178082191785</v>
      </c>
      <c r="T746" s="8">
        <v>1.0001214421613394</v>
      </c>
      <c r="U746" s="98">
        <v>3.9583051783103063</v>
      </c>
      <c r="V746" s="106">
        <v>28115.44922490112</v>
      </c>
      <c r="W746" s="10">
        <v>0.3822794517054362</v>
      </c>
      <c r="X746" s="413">
        <v>0.3777357490591236</v>
      </c>
      <c r="Y746" s="414">
        <v>0.33152905318878034</v>
      </c>
      <c r="Z746" s="1"/>
      <c r="AA746" s="1"/>
      <c r="AB746" s="1"/>
      <c r="AC746" s="1"/>
      <c r="AD746" s="1"/>
      <c r="AL746" s="23"/>
      <c r="AM746" s="23"/>
    </row>
    <row r="747" spans="17:39">
      <c r="Q747" s="6">
        <v>717</v>
      </c>
      <c r="R747" s="7">
        <v>43384</v>
      </c>
      <c r="S747" s="210">
        <v>4.3726027397260276</v>
      </c>
      <c r="T747" s="8">
        <v>1.0001214611872147</v>
      </c>
      <c r="U747" s="98">
        <v>3.9591042133446885</v>
      </c>
      <c r="V747" s="106">
        <v>28117.789255263582</v>
      </c>
      <c r="W747" s="10">
        <v>0.38369877042165879</v>
      </c>
      <c r="X747" s="413">
        <v>0.37914277190971735</v>
      </c>
      <c r="Y747" s="414">
        <v>0.33161508712703952</v>
      </c>
      <c r="Z747" s="1"/>
      <c r="AA747" s="1"/>
      <c r="AB747" s="1"/>
      <c r="AC747" s="1"/>
      <c r="AD747" s="1"/>
      <c r="AL747" s="23"/>
      <c r="AM747" s="23"/>
    </row>
    <row r="748" spans="17:39">
      <c r="Q748" s="6">
        <v>718</v>
      </c>
      <c r="R748" s="7">
        <v>43385</v>
      </c>
      <c r="S748" s="210">
        <v>4.3732876712328768</v>
      </c>
      <c r="T748" s="8">
        <v>1.0001214802130898</v>
      </c>
      <c r="U748" s="98">
        <v>3.9599020341411384</v>
      </c>
      <c r="V748" s="106">
        <v>28120.129480385232</v>
      </c>
      <c r="W748" s="10">
        <v>0.38511512638770284</v>
      </c>
      <c r="X748" s="413">
        <v>0.38054691036924426</v>
      </c>
      <c r="Y748" s="414">
        <v>0.33170103373089821</v>
      </c>
      <c r="Z748" s="1"/>
      <c r="AA748" s="1"/>
      <c r="AB748" s="1"/>
      <c r="AC748" s="1"/>
      <c r="AD748" s="1"/>
      <c r="AL748" s="23"/>
      <c r="AM748" s="23"/>
    </row>
    <row r="749" spans="17:39">
      <c r="Q749" s="6">
        <v>719</v>
      </c>
      <c r="R749" s="7">
        <v>43386</v>
      </c>
      <c r="S749" s="210">
        <v>4.3739726027397259</v>
      </c>
      <c r="T749" s="8">
        <v>1.0001214992389651</v>
      </c>
      <c r="U749" s="98">
        <v>3.9606986457636495</v>
      </c>
      <c r="V749" s="106">
        <v>28122.469900282285</v>
      </c>
      <c r="W749" s="10">
        <v>0.38652853192346903</v>
      </c>
      <c r="X749" s="413">
        <v>0.38194817658566016</v>
      </c>
      <c r="Y749" s="414">
        <v>0.33178689340404849</v>
      </c>
      <c r="Z749" s="1"/>
      <c r="AA749" s="1"/>
      <c r="AB749" s="1"/>
      <c r="AC749" s="1"/>
      <c r="AD749" s="1"/>
      <c r="AL749" s="23"/>
      <c r="AM749" s="23"/>
    </row>
    <row r="750" spans="17:39">
      <c r="Q750" s="6">
        <v>720</v>
      </c>
      <c r="R750" s="7">
        <v>43387</v>
      </c>
      <c r="S750" s="210">
        <v>4.374657534246575</v>
      </c>
      <c r="T750" s="8">
        <v>1.0001215182648402</v>
      </c>
      <c r="U750" s="98">
        <v>3.9614940532480603</v>
      </c>
      <c r="V750" s="106">
        <v>28124.810514970944</v>
      </c>
      <c r="W750" s="10">
        <v>0.38793899928066811</v>
      </c>
      <c r="X750" s="413">
        <v>0.38334658263949883</v>
      </c>
      <c r="Y750" s="414">
        <v>0.33187266654795083</v>
      </c>
      <c r="Z750" s="1"/>
      <c r="AA750" s="1"/>
      <c r="AB750" s="1"/>
      <c r="AC750" s="1"/>
      <c r="AD750" s="1"/>
      <c r="AL750" s="23"/>
      <c r="AM750" s="23"/>
    </row>
    <row r="751" spans="17:39">
      <c r="Q751" s="6">
        <v>721</v>
      </c>
      <c r="R751" s="7">
        <v>43388</v>
      </c>
      <c r="S751" s="210">
        <v>4.375342465753425</v>
      </c>
      <c r="T751" s="8">
        <v>1.0001215372907153</v>
      </c>
      <c r="U751" s="98">
        <v>3.9622882616023425</v>
      </c>
      <c r="V751" s="106">
        <v>28127.151324467432</v>
      </c>
      <c r="W751" s="10">
        <v>0.38934654064322061</v>
      </c>
      <c r="X751" s="413">
        <v>0.38474214054425093</v>
      </c>
      <c r="Y751" s="414">
        <v>0.33195835356185038</v>
      </c>
      <c r="Z751" s="1"/>
      <c r="AA751" s="1"/>
      <c r="AB751" s="1"/>
      <c r="AC751" s="1"/>
      <c r="AD751" s="1"/>
      <c r="AL751" s="23"/>
      <c r="AM751" s="23"/>
    </row>
    <row r="752" spans="17:39">
      <c r="Q752" s="6">
        <v>722</v>
      </c>
      <c r="R752" s="7">
        <v>43389</v>
      </c>
      <c r="S752" s="210">
        <v>4.3760273972602741</v>
      </c>
      <c r="T752" s="8">
        <v>1.0001215563165906</v>
      </c>
      <c r="U752" s="98">
        <v>3.9630812758067568</v>
      </c>
      <c r="V752" s="106">
        <v>28129.49232878795</v>
      </c>
      <c r="W752" s="10">
        <v>0.39075116812792299</v>
      </c>
      <c r="X752" s="413">
        <v>0.38613486224702753</v>
      </c>
      <c r="Y752" s="414">
        <v>0.3320439548427962</v>
      </c>
      <c r="Z752" s="1"/>
      <c r="AA752" s="1"/>
      <c r="AB752" s="1"/>
      <c r="AC752" s="1"/>
      <c r="AD752" s="1"/>
      <c r="AL752" s="23"/>
      <c r="AM752" s="23"/>
    </row>
    <row r="753" spans="17:39">
      <c r="Q753" s="6">
        <v>723</v>
      </c>
      <c r="R753" s="7">
        <v>43390</v>
      </c>
      <c r="S753" s="210">
        <v>4.3767123287671232</v>
      </c>
      <c r="T753" s="8">
        <v>1.0001215753424657</v>
      </c>
      <c r="U753" s="98">
        <v>3.9638731008140748</v>
      </c>
      <c r="V753" s="106">
        <v>28131.833527948718</v>
      </c>
      <c r="W753" s="10">
        <v>0.39215289378469187</v>
      </c>
      <c r="X753" s="413">
        <v>0.38752475962882005</v>
      </c>
      <c r="Y753" s="414">
        <v>0.33212947078565441</v>
      </c>
      <c r="Z753" s="1"/>
      <c r="AA753" s="1"/>
      <c r="AB753" s="1"/>
      <c r="AC753" s="1"/>
      <c r="AD753" s="1"/>
      <c r="AL753" s="23"/>
      <c r="AM753" s="23"/>
    </row>
    <row r="754" spans="17:39">
      <c r="Q754" s="6">
        <v>724</v>
      </c>
      <c r="R754" s="7">
        <v>43391</v>
      </c>
      <c r="S754" s="210">
        <v>4.3773972602739724</v>
      </c>
      <c r="T754" s="8">
        <v>1.000121594368341</v>
      </c>
      <c r="U754" s="98">
        <v>3.9646637415497121</v>
      </c>
      <c r="V754" s="106">
        <v>28134.174921965954</v>
      </c>
      <c r="W754" s="10">
        <v>0.39355172959720797</v>
      </c>
      <c r="X754" s="413">
        <v>0.38891184450510069</v>
      </c>
      <c r="Y754" s="414">
        <v>0.33221490178312069</v>
      </c>
      <c r="Z754" s="1"/>
      <c r="AA754" s="1"/>
      <c r="AB754" s="1"/>
      <c r="AC754" s="1"/>
      <c r="AD754" s="1"/>
      <c r="AL754" s="23"/>
      <c r="AM754" s="23"/>
    </row>
    <row r="755" spans="17:39">
      <c r="Q755" s="6">
        <v>725</v>
      </c>
      <c r="R755" s="7">
        <v>43392</v>
      </c>
      <c r="S755" s="210">
        <v>4.3780821917808215</v>
      </c>
      <c r="T755" s="8">
        <v>1.0001216133942161</v>
      </c>
      <c r="U755" s="98">
        <v>3.9654532029119727</v>
      </c>
      <c r="V755" s="106">
        <v>28136.516510855879</v>
      </c>
      <c r="W755" s="10">
        <v>0.39494768748318254</v>
      </c>
      <c r="X755" s="413">
        <v>0.39029612862613061</v>
      </c>
      <c r="Y755" s="414">
        <v>0.33230024822573961</v>
      </c>
      <c r="Z755" s="1"/>
      <c r="AA755" s="1"/>
      <c r="AB755" s="1"/>
      <c r="AC755" s="1"/>
      <c r="AD755" s="1"/>
      <c r="AL755" s="23"/>
      <c r="AM755" s="23"/>
    </row>
    <row r="756" spans="17:39">
      <c r="Q756" s="6">
        <v>726</v>
      </c>
      <c r="R756" s="7">
        <v>43393</v>
      </c>
      <c r="S756" s="210">
        <v>4.3787671232876715</v>
      </c>
      <c r="T756" s="8">
        <v>1.0001216324200912</v>
      </c>
      <c r="U756" s="98">
        <v>3.9662414897722043</v>
      </c>
      <c r="V756" s="106">
        <v>28138.858294634709</v>
      </c>
      <c r="W756" s="10">
        <v>0.39634077929500133</v>
      </c>
      <c r="X756" s="413">
        <v>0.39167762367760756</v>
      </c>
      <c r="Y756" s="414">
        <v>0.33238551050191595</v>
      </c>
      <c r="Z756" s="1"/>
      <c r="AA756" s="1"/>
      <c r="AB756" s="1"/>
      <c r="AC756" s="1"/>
      <c r="AD756" s="1"/>
      <c r="AL756" s="23"/>
      <c r="AM756" s="23"/>
    </row>
    <row r="757" spans="17:39">
      <c r="Q757" s="6">
        <v>727</v>
      </c>
      <c r="R757" s="7">
        <v>43394</v>
      </c>
      <c r="S757" s="210">
        <v>4.3794520547945206</v>
      </c>
      <c r="T757" s="8">
        <v>1.0001216514459665</v>
      </c>
      <c r="U757" s="98">
        <v>3.9670286069750205</v>
      </c>
      <c r="V757" s="106">
        <v>28141.200273318656</v>
      </c>
      <c r="W757" s="10">
        <v>0.39773101682007983</v>
      </c>
      <c r="X757" s="413">
        <v>0.39305634128094469</v>
      </c>
      <c r="Y757" s="414">
        <v>0.33247068899793414</v>
      </c>
      <c r="Z757" s="1"/>
      <c r="AA757" s="1"/>
      <c r="AB757" s="1"/>
      <c r="AC757" s="1"/>
      <c r="AD757" s="1"/>
      <c r="AL757" s="23"/>
      <c r="AM757" s="23"/>
    </row>
    <row r="758" spans="17:39">
      <c r="Q758" s="6">
        <v>728</v>
      </c>
      <c r="R758" s="7">
        <v>43395</v>
      </c>
      <c r="S758" s="210">
        <v>4.3801369863013697</v>
      </c>
      <c r="T758" s="8">
        <v>1.0001216704718416</v>
      </c>
      <c r="U758" s="98">
        <v>3.9678145593384118</v>
      </c>
      <c r="V758" s="106">
        <v>28143.542446923962</v>
      </c>
      <c r="W758" s="10">
        <v>0.39911841178124075</v>
      </c>
      <c r="X758" s="413">
        <v>0.39443229299373439</v>
      </c>
      <c r="Y758" s="414">
        <v>0.33255578409796321</v>
      </c>
      <c r="Z758" s="1"/>
      <c r="AA758" s="1"/>
      <c r="AB758" s="1"/>
      <c r="AC758" s="1"/>
      <c r="AD758" s="1"/>
      <c r="AL758" s="23"/>
      <c r="AM758" s="23"/>
    </row>
    <row r="759" spans="17:39">
      <c r="Q759" s="6">
        <v>729</v>
      </c>
      <c r="R759" s="7">
        <v>43396</v>
      </c>
      <c r="S759" s="210">
        <v>4.3808219178082188</v>
      </c>
      <c r="T759" s="8">
        <v>1.000121689497717</v>
      </c>
      <c r="U759" s="98">
        <v>3.9685993516539897</v>
      </c>
      <c r="V759" s="106">
        <v>28145.88481546683</v>
      </c>
      <c r="W759" s="10">
        <v>0.40050297583733574</v>
      </c>
      <c r="X759" s="413">
        <v>0.39580549031028422</v>
      </c>
      <c r="Y759" s="414">
        <v>0.33264079618408365</v>
      </c>
      <c r="Z759" s="1"/>
      <c r="AA759" s="1"/>
      <c r="AB759" s="1"/>
      <c r="AC759" s="1"/>
      <c r="AD759" s="1"/>
      <c r="AL759" s="23"/>
      <c r="AM759" s="23"/>
    </row>
    <row r="760" spans="17:39" ht="15.75" thickBot="1">
      <c r="Q760" s="6">
        <v>730</v>
      </c>
      <c r="R760" s="7">
        <v>43397</v>
      </c>
      <c r="S760" s="210">
        <v>4.3815068493150688</v>
      </c>
      <c r="T760" s="8">
        <v>1.0001217085235921</v>
      </c>
      <c r="U760" s="98">
        <v>3.9693829886871423</v>
      </c>
      <c r="V760" s="106">
        <v>28148.227378963496</v>
      </c>
      <c r="W760" s="10">
        <v>0.40188472058340086</v>
      </c>
      <c r="X760" s="418">
        <v>0.39717594466184281</v>
      </c>
      <c r="Y760" s="419">
        <v>0.33272572563629044</v>
      </c>
      <c r="Z760" s="1"/>
      <c r="AA760" s="1"/>
      <c r="AB760" s="1"/>
      <c r="AC760" s="1"/>
      <c r="AD760" s="1"/>
      <c r="AL760" s="23"/>
      <c r="AM760" s="23"/>
    </row>
    <row r="761" spans="17:39">
      <c r="Q761" s="6">
        <v>731</v>
      </c>
      <c r="R761" s="7">
        <v>43398</v>
      </c>
      <c r="S761" s="210">
        <v>4.382191780821918</v>
      </c>
      <c r="T761" s="8">
        <v>1.0001217275494674</v>
      </c>
      <c r="U761" s="98">
        <v>3.9701654751772342</v>
      </c>
      <c r="V761" s="106">
        <v>28150.570137430179</v>
      </c>
      <c r="W761" s="10">
        <v>0.40326365755145588</v>
      </c>
      <c r="X761" s="420"/>
      <c r="Y761" s="420"/>
      <c r="Z761" s="1"/>
      <c r="AA761" s="1"/>
      <c r="AB761" s="1"/>
      <c r="AC761" s="1"/>
      <c r="AD761" s="1"/>
      <c r="AL761" s="23"/>
      <c r="AM761" s="23"/>
    </row>
    <row r="762" spans="17:39">
      <c r="Q762" s="6">
        <v>732</v>
      </c>
      <c r="R762" s="7">
        <v>43399</v>
      </c>
      <c r="S762" s="210">
        <v>4.3828767123287671</v>
      </c>
      <c r="T762" s="8">
        <v>1.0001217465753425</v>
      </c>
      <c r="U762" s="98">
        <v>3.9709468158377614</v>
      </c>
      <c r="V762" s="106">
        <v>28152.913090883107</v>
      </c>
      <c r="W762" s="10">
        <v>0.40463979821063756</v>
      </c>
      <c r="X762" s="420"/>
      <c r="Y762" s="420"/>
      <c r="Z762" s="1"/>
      <c r="AA762" s="1"/>
      <c r="AB762" s="1"/>
      <c r="AC762" s="1"/>
      <c r="AD762" s="1"/>
      <c r="AL762" s="23"/>
      <c r="AM762" s="23"/>
    </row>
    <row r="763" spans="17:39">
      <c r="Q763" s="6">
        <v>733</v>
      </c>
      <c r="R763" s="7">
        <v>43400</v>
      </c>
      <c r="S763" s="210">
        <v>4.3835616438356162</v>
      </c>
      <c r="T763" s="8">
        <v>1.0001217656012176</v>
      </c>
      <c r="U763" s="98">
        <v>3.9717270153565076</v>
      </c>
      <c r="V763" s="106">
        <v>28155.25623933852</v>
      </c>
      <c r="W763" s="10">
        <v>0.40601315396768811</v>
      </c>
      <c r="X763" s="420"/>
      <c r="Y763" s="420"/>
      <c r="Z763" s="1"/>
      <c r="AA763" s="1"/>
      <c r="AB763" s="1"/>
      <c r="AC763" s="1"/>
      <c r="AD763" s="1"/>
      <c r="AL763" s="23"/>
      <c r="AM763" s="23"/>
    </row>
    <row r="764" spans="17:39">
      <c r="Q764" s="6">
        <v>734</v>
      </c>
      <c r="R764" s="7">
        <v>43401</v>
      </c>
      <c r="S764" s="210">
        <v>4.3842465753424653</v>
      </c>
      <c r="T764" s="8">
        <v>1.0001217846270929</v>
      </c>
      <c r="U764" s="98">
        <v>3.9725060783958321</v>
      </c>
      <c r="V764" s="106">
        <v>28157.599582812636</v>
      </c>
      <c r="W764" s="10">
        <v>0.40738373616755474</v>
      </c>
      <c r="X764" s="420"/>
      <c r="Y764" s="420"/>
      <c r="Z764" s="1"/>
      <c r="AA764" s="1"/>
      <c r="AB764" s="1"/>
      <c r="AC764" s="1"/>
      <c r="AD764" s="1"/>
      <c r="AL764" s="23"/>
      <c r="AM764" s="23"/>
    </row>
    <row r="765" spans="17:39">
      <c r="Q765" s="6">
        <v>735</v>
      </c>
      <c r="R765" s="7">
        <v>43402</v>
      </c>
      <c r="S765" s="210">
        <v>4.3849315068493153</v>
      </c>
      <c r="T765" s="8">
        <v>1.000121803652968</v>
      </c>
      <c r="U765" s="98">
        <v>3.9732840095926703</v>
      </c>
      <c r="V765" s="106">
        <v>28159.943121321685</v>
      </c>
      <c r="W765" s="10">
        <v>0.40875155609354508</v>
      </c>
      <c r="X765" s="420"/>
      <c r="Y765" s="420"/>
      <c r="Z765" s="1"/>
      <c r="AA765" s="1"/>
      <c r="AB765" s="1"/>
      <c r="AC765" s="1"/>
      <c r="AD765" s="1"/>
      <c r="AL765" s="23"/>
      <c r="AM765" s="23"/>
    </row>
    <row r="766" spans="17:39">
      <c r="Q766" s="6">
        <v>736</v>
      </c>
      <c r="R766" s="7">
        <v>43403</v>
      </c>
      <c r="S766" s="210">
        <v>4.3856164383561644</v>
      </c>
      <c r="T766" s="8">
        <v>1.0001218226788433</v>
      </c>
      <c r="U766" s="98">
        <v>3.974060813558844</v>
      </c>
      <c r="V766" s="106">
        <v>28162.286854881902</v>
      </c>
      <c r="W766" s="10">
        <v>0.41011662496794887</v>
      </c>
      <c r="X766" s="420"/>
      <c r="Y766" s="420"/>
      <c r="Z766" s="1"/>
      <c r="AA766" s="1"/>
      <c r="AB766" s="1"/>
      <c r="AC766" s="1"/>
      <c r="AD766" s="1"/>
      <c r="AL766" s="23"/>
      <c r="AM766" s="23"/>
    </row>
    <row r="767" spans="17:39">
      <c r="Q767" s="6">
        <v>737</v>
      </c>
      <c r="R767" s="7">
        <v>43404</v>
      </c>
      <c r="S767" s="210">
        <v>4.3863013698630136</v>
      </c>
      <c r="T767" s="8">
        <v>1.0001218417047184</v>
      </c>
      <c r="U767" s="98">
        <v>3.974836494881151</v>
      </c>
      <c r="V767" s="106">
        <v>28164.630783509532</v>
      </c>
      <c r="W767" s="10">
        <v>0.4114789539523489</v>
      </c>
      <c r="X767" s="420"/>
      <c r="Y767" s="420"/>
      <c r="Z767" s="1"/>
      <c r="AA767" s="1"/>
      <c r="AB767" s="1"/>
      <c r="AC767" s="1"/>
      <c r="AD767" s="1"/>
      <c r="AL767" s="23"/>
      <c r="AM767" s="23"/>
    </row>
    <row r="768" spans="17:39">
      <c r="Q768" s="6">
        <v>738</v>
      </c>
      <c r="R768" s="7">
        <v>43405</v>
      </c>
      <c r="S768" s="210">
        <v>4.3869863013698627</v>
      </c>
      <c r="T768" s="8">
        <v>1.0001218607305935</v>
      </c>
      <c r="U768" s="98">
        <v>3.9756110581215864</v>
      </c>
      <c r="V768" s="106">
        <v>28166.974907220796</v>
      </c>
      <c r="W768" s="10">
        <v>0.41283855414804282</v>
      </c>
      <c r="X768" s="420"/>
      <c r="Y768" s="420"/>
      <c r="Z768" s="1"/>
      <c r="AA768" s="1"/>
      <c r="AB768" s="1"/>
      <c r="AC768" s="1"/>
      <c r="AD768" s="1"/>
      <c r="AL768" s="23"/>
      <c r="AM768" s="23"/>
    </row>
    <row r="769" spans="17:39">
      <c r="Q769" s="6">
        <v>739</v>
      </c>
      <c r="R769" s="7">
        <v>43406</v>
      </c>
      <c r="S769" s="210">
        <v>4.3876712328767127</v>
      </c>
      <c r="T769" s="8">
        <v>1.0001218797564688</v>
      </c>
      <c r="U769" s="98">
        <v>3.9763845078174986</v>
      </c>
      <c r="V769" s="106">
        <v>28169.319226031941</v>
      </c>
      <c r="W769" s="10">
        <v>0.41419543659648728</v>
      </c>
      <c r="X769" s="420"/>
      <c r="Y769" s="420"/>
      <c r="Z769" s="1"/>
      <c r="AA769" s="1"/>
      <c r="AB769" s="1"/>
      <c r="AC769" s="1"/>
      <c r="AD769" s="1"/>
      <c r="AL769" s="23"/>
      <c r="AM769" s="23"/>
    </row>
    <row r="770" spans="17:39">
      <c r="Q770" s="6">
        <v>740</v>
      </c>
      <c r="R770" s="7">
        <v>43407</v>
      </c>
      <c r="S770" s="210">
        <v>4.3883561643835618</v>
      </c>
      <c r="T770" s="8">
        <v>1.0001218987823439</v>
      </c>
      <c r="U770" s="98">
        <v>3.9771568484816999</v>
      </c>
      <c r="V770" s="106">
        <v>28171.663739959193</v>
      </c>
      <c r="W770" s="10">
        <v>0.41554961227969756</v>
      </c>
      <c r="X770" s="420"/>
      <c r="Y770" s="420"/>
      <c r="Z770" s="1"/>
      <c r="AA770" s="1"/>
      <c r="AB770" s="1"/>
      <c r="AC770" s="1"/>
      <c r="AD770" s="1"/>
      <c r="AL770" s="23"/>
      <c r="AM770" s="23"/>
    </row>
    <row r="771" spans="17:39">
      <c r="Q771" s="6">
        <v>741</v>
      </c>
      <c r="R771" s="7">
        <v>43408</v>
      </c>
      <c r="S771" s="210">
        <v>4.3890410958904109</v>
      </c>
      <c r="T771" s="8">
        <v>1.0001219178082192</v>
      </c>
      <c r="U771" s="98">
        <v>3.9779280846027332</v>
      </c>
      <c r="V771" s="106">
        <v>28174.008449018798</v>
      </c>
      <c r="W771" s="10">
        <v>0.41690109212058069</v>
      </c>
      <c r="X771" s="420"/>
      <c r="Y771" s="420"/>
      <c r="Z771" s="1"/>
      <c r="AA771" s="1"/>
      <c r="AB771" s="1"/>
      <c r="AC771" s="1"/>
      <c r="AD771" s="1"/>
      <c r="AL771" s="23"/>
      <c r="AM771" s="23"/>
    </row>
    <row r="772" spans="17:39">
      <c r="Q772" s="6">
        <v>742</v>
      </c>
      <c r="R772" s="7">
        <v>43409</v>
      </c>
      <c r="S772" s="210">
        <v>4.38972602739726</v>
      </c>
      <c r="T772" s="8">
        <v>1.0001219368340943</v>
      </c>
      <c r="U772" s="98">
        <v>3.9786982206449162</v>
      </c>
      <c r="V772" s="106">
        <v>28176.353353227005</v>
      </c>
      <c r="W772" s="10">
        <v>0.4182498869833351</v>
      </c>
      <c r="X772" s="420"/>
      <c r="Y772" s="420"/>
      <c r="Z772" s="1"/>
      <c r="AA772" s="1"/>
      <c r="AB772" s="1"/>
      <c r="AC772" s="1"/>
      <c r="AD772" s="1"/>
      <c r="AL772" s="23"/>
      <c r="AM772" s="23"/>
    </row>
    <row r="773" spans="17:39">
      <c r="Q773" s="6">
        <v>743</v>
      </c>
      <c r="R773" s="7">
        <v>43410</v>
      </c>
      <c r="S773" s="210">
        <v>4.3904109589041092</v>
      </c>
      <c r="T773" s="8">
        <v>1.0001219558599697</v>
      </c>
      <c r="U773" s="98">
        <v>3.9794672610486526</v>
      </c>
      <c r="V773" s="106">
        <v>28178.698452600045</v>
      </c>
      <c r="W773" s="10">
        <v>0.41959600767402794</v>
      </c>
      <c r="X773" s="420"/>
      <c r="Y773" s="420"/>
      <c r="Z773" s="1"/>
      <c r="AA773" s="1"/>
      <c r="AB773" s="1"/>
      <c r="AC773" s="1"/>
      <c r="AD773" s="1"/>
      <c r="AL773" s="23"/>
      <c r="AM773" s="23"/>
    </row>
    <row r="774" spans="17:39">
      <c r="Q774" s="6">
        <v>744</v>
      </c>
      <c r="R774" s="7">
        <v>43411</v>
      </c>
      <c r="S774" s="210">
        <v>4.3910958904109592</v>
      </c>
      <c r="T774" s="8">
        <v>1.0001219748858448</v>
      </c>
      <c r="U774" s="98">
        <v>3.9802352102304317</v>
      </c>
      <c r="V774" s="106">
        <v>28181.043747154163</v>
      </c>
      <c r="W774" s="10">
        <v>0.42093946494075052</v>
      </c>
      <c r="X774" s="420"/>
      <c r="Y774" s="420"/>
      <c r="Z774" s="1"/>
      <c r="AA774" s="1"/>
      <c r="AB774" s="1"/>
      <c r="AC774" s="1"/>
      <c r="AD774" s="1"/>
      <c r="AL774" s="23"/>
      <c r="AM774" s="23"/>
    </row>
    <row r="775" spans="17:39">
      <c r="Q775" s="6">
        <v>745</v>
      </c>
      <c r="R775" s="7">
        <v>43412</v>
      </c>
      <c r="S775" s="210">
        <v>4.3917808219178083</v>
      </c>
      <c r="T775" s="8">
        <v>1.0001219939117199</v>
      </c>
      <c r="U775" s="98">
        <v>3.981002072583073</v>
      </c>
      <c r="V775" s="106">
        <v>28183.389236905605</v>
      </c>
      <c r="W775" s="10">
        <v>0.42228026947406239</v>
      </c>
      <c r="X775" s="420"/>
      <c r="Y775" s="420"/>
      <c r="Z775" s="1"/>
      <c r="AA775" s="1"/>
      <c r="AB775" s="1"/>
      <c r="AC775" s="1"/>
      <c r="AD775" s="1"/>
      <c r="AL775" s="23"/>
      <c r="AM775" s="23"/>
    </row>
    <row r="776" spans="17:39">
      <c r="Q776" s="6">
        <v>746</v>
      </c>
      <c r="R776" s="7">
        <v>43413</v>
      </c>
      <c r="S776" s="210">
        <v>4.3924657534246574</v>
      </c>
      <c r="T776" s="8">
        <v>1.0001220129375952</v>
      </c>
      <c r="U776" s="98">
        <v>3.9817678524759259</v>
      </c>
      <c r="V776" s="106">
        <v>28185.734921870619</v>
      </c>
      <c r="W776" s="10">
        <v>0.42361843190750204</v>
      </c>
      <c r="X776" s="420"/>
      <c r="Y776" s="420"/>
      <c r="Z776" s="1"/>
      <c r="AA776" s="1"/>
      <c r="AB776" s="1"/>
      <c r="AC776" s="1"/>
      <c r="AD776" s="1"/>
      <c r="AL776" s="23"/>
      <c r="AM776" s="23"/>
    </row>
    <row r="777" spans="17:39">
      <c r="Q777" s="6">
        <v>747</v>
      </c>
      <c r="R777" s="7">
        <v>43414</v>
      </c>
      <c r="S777" s="210">
        <v>4.3931506849315065</v>
      </c>
      <c r="T777" s="8">
        <v>1.0001220319634703</v>
      </c>
      <c r="U777" s="98">
        <v>3.9825325542549361</v>
      </c>
      <c r="V777" s="106">
        <v>28188.159001434429</v>
      </c>
      <c r="W777" s="10">
        <v>0.42481783378840454</v>
      </c>
      <c r="X777" s="420"/>
      <c r="Y777" s="420"/>
      <c r="Z777" s="1"/>
      <c r="AA777" s="1"/>
      <c r="AB777" s="1"/>
      <c r="AC777" s="1"/>
      <c r="AD777" s="1"/>
      <c r="AL777" s="23"/>
      <c r="AM777" s="23"/>
    </row>
    <row r="778" spans="17:39">
      <c r="Q778" s="6">
        <v>748</v>
      </c>
      <c r="R778" s="7">
        <v>43415</v>
      </c>
      <c r="S778" s="210">
        <v>4.3938356164383565</v>
      </c>
      <c r="T778" s="8">
        <v>1.0001220509893456</v>
      </c>
      <c r="U778" s="98">
        <v>3.9832961822428459</v>
      </c>
      <c r="V778" s="106">
        <v>28190.583289478222</v>
      </c>
      <c r="W778" s="10">
        <v>0.42601497522298803</v>
      </c>
      <c r="X778" s="420"/>
      <c r="Y778" s="420"/>
      <c r="Z778" s="1"/>
      <c r="AA778" s="1"/>
      <c r="AB778" s="1"/>
      <c r="AC778" s="1"/>
      <c r="AD778" s="1"/>
      <c r="AL778" s="23"/>
      <c r="AM778" s="23"/>
    </row>
    <row r="779" spans="17:39">
      <c r="Q779" s="6">
        <v>749</v>
      </c>
      <c r="R779" s="7">
        <v>43416</v>
      </c>
      <c r="S779" s="210">
        <v>4.3945205479452056</v>
      </c>
      <c r="T779" s="8">
        <v>1.0001220700152207</v>
      </c>
      <c r="U779" s="98">
        <v>3.9840587407393713</v>
      </c>
      <c r="V779" s="106">
        <v>28193.007786019942</v>
      </c>
      <c r="W779" s="10">
        <v>0.42720986524140692</v>
      </c>
      <c r="X779" s="420"/>
      <c r="Y779" s="420"/>
      <c r="Z779" s="1"/>
      <c r="AA779" s="1"/>
      <c r="AB779" s="1"/>
      <c r="AC779" s="1"/>
      <c r="AD779" s="1"/>
      <c r="AL779" s="23"/>
      <c r="AM779" s="23"/>
    </row>
    <row r="780" spans="17:39">
      <c r="Q780" s="6">
        <v>750</v>
      </c>
      <c r="R780" s="7">
        <v>43417</v>
      </c>
      <c r="S780" s="210">
        <v>4.3952054794520548</v>
      </c>
      <c r="T780" s="8">
        <v>1.0001220890410958</v>
      </c>
      <c r="U780" s="98">
        <v>3.9848202340212913</v>
      </c>
      <c r="V780" s="106">
        <v>28195.432491077507</v>
      </c>
      <c r="W780" s="10">
        <v>0.42840251282578734</v>
      </c>
      <c r="X780" s="420"/>
      <c r="Y780" s="420"/>
      <c r="Z780" s="1"/>
      <c r="AA780" s="1"/>
      <c r="AB780" s="1"/>
      <c r="AC780" s="1"/>
      <c r="AD780" s="1"/>
      <c r="AL780" s="23"/>
      <c r="AM780" s="23"/>
    </row>
    <row r="781" spans="17:39">
      <c r="Q781" s="6">
        <v>751</v>
      </c>
      <c r="R781" s="7">
        <v>43418</v>
      </c>
      <c r="S781" s="210">
        <v>4.3958904109589039</v>
      </c>
      <c r="T781" s="8">
        <v>1.0001221080669711</v>
      </c>
      <c r="U781" s="98">
        <v>3.9855806663426918</v>
      </c>
      <c r="V781" s="106">
        <v>28197.857404668859</v>
      </c>
      <c r="W781" s="10">
        <v>0.42959292691058248</v>
      </c>
      <c r="X781" s="420"/>
      <c r="Y781" s="420"/>
      <c r="Z781" s="1"/>
      <c r="AA781" s="1"/>
      <c r="AB781" s="1"/>
      <c r="AC781" s="1"/>
      <c r="AD781" s="1"/>
      <c r="AL781" s="23"/>
      <c r="AM781" s="23"/>
    </row>
    <row r="782" spans="17:39">
      <c r="Q782" s="6">
        <v>752</v>
      </c>
      <c r="R782" s="7">
        <v>43419</v>
      </c>
      <c r="S782" s="210">
        <v>4.396575342465753</v>
      </c>
      <c r="T782" s="8">
        <v>1.0001221270928462</v>
      </c>
      <c r="U782" s="98">
        <v>3.9863400419350103</v>
      </c>
      <c r="V782" s="106">
        <v>28200.282526811934</v>
      </c>
      <c r="W782" s="10">
        <v>0.430781116382839</v>
      </c>
      <c r="X782" s="420"/>
      <c r="Y782" s="420"/>
      <c r="Z782" s="1"/>
      <c r="AA782" s="1"/>
      <c r="AB782" s="1"/>
      <c r="AC782" s="1"/>
      <c r="AD782" s="1"/>
      <c r="AL782" s="23"/>
      <c r="AM782" s="23"/>
    </row>
    <row r="783" spans="17:39">
      <c r="Q783" s="6">
        <v>753</v>
      </c>
      <c r="R783" s="7">
        <v>43420</v>
      </c>
      <c r="S783" s="210">
        <v>4.397260273972603</v>
      </c>
      <c r="T783" s="8">
        <v>1.0001221461187215</v>
      </c>
      <c r="U783" s="98">
        <v>3.9870983650072578</v>
      </c>
      <c r="V783" s="106">
        <v>28202.707857524667</v>
      </c>
      <c r="W783" s="10">
        <v>0.4319670900825523</v>
      </c>
      <c r="X783" s="420"/>
      <c r="Y783" s="420"/>
      <c r="Z783" s="1"/>
      <c r="AA783" s="1"/>
      <c r="AB783" s="1"/>
      <c r="AC783" s="1"/>
      <c r="AD783" s="1"/>
      <c r="AL783" s="23"/>
      <c r="AM783" s="23"/>
    </row>
    <row r="784" spans="17:39">
      <c r="Q784" s="6">
        <v>754</v>
      </c>
      <c r="R784" s="7">
        <v>43421</v>
      </c>
      <c r="S784" s="210">
        <v>4.3979452054794521</v>
      </c>
      <c r="T784" s="8">
        <v>1.0001221651445966</v>
      </c>
      <c r="U784" s="98">
        <v>3.9878556397461296</v>
      </c>
      <c r="V784" s="106">
        <v>28205.133396824986</v>
      </c>
      <c r="W784" s="10">
        <v>0.43315085680304399</v>
      </c>
      <c r="X784" s="420"/>
      <c r="Y784" s="420"/>
      <c r="Z784" s="1"/>
      <c r="AA784" s="1"/>
      <c r="AB784" s="1"/>
      <c r="AC784" s="1"/>
      <c r="AD784" s="1"/>
      <c r="AL784" s="23"/>
      <c r="AM784" s="23"/>
    </row>
    <row r="785" spans="17:39">
      <c r="Q785" s="6">
        <v>755</v>
      </c>
      <c r="R785" s="7">
        <v>43422</v>
      </c>
      <c r="S785" s="210">
        <v>4.3986301369863012</v>
      </c>
      <c r="T785" s="8">
        <v>1.0001221841704719</v>
      </c>
      <c r="U785" s="98">
        <v>3.9886118703162277</v>
      </c>
      <c r="V785" s="106">
        <v>28207.55914473084</v>
      </c>
      <c r="W785" s="10">
        <v>0.43433242529111737</v>
      </c>
      <c r="X785" s="420"/>
      <c r="Y785" s="420"/>
      <c r="Z785" s="1"/>
      <c r="AA785" s="1"/>
      <c r="AB785" s="1"/>
      <c r="AC785" s="1"/>
      <c r="AD785" s="1"/>
      <c r="AL785" s="23"/>
      <c r="AM785" s="23"/>
    </row>
    <row r="786" spans="17:39">
      <c r="Q786" s="6">
        <v>756</v>
      </c>
      <c r="R786" s="7">
        <v>43423</v>
      </c>
      <c r="S786" s="210">
        <v>4.3993150684931503</v>
      </c>
      <c r="T786" s="8">
        <v>1.000122203196347</v>
      </c>
      <c r="U786" s="98">
        <v>3.9893670608600829</v>
      </c>
      <c r="V786" s="106">
        <v>28209.985101260168</v>
      </c>
      <c r="W786" s="10">
        <v>0.43551180424741265</v>
      </c>
      <c r="X786" s="420"/>
      <c r="Y786" s="420"/>
      <c r="Z786" s="1"/>
      <c r="AA786" s="1"/>
      <c r="AB786" s="1"/>
      <c r="AC786" s="1"/>
      <c r="AD786" s="1"/>
      <c r="AL786" s="23"/>
      <c r="AM786" s="23"/>
    </row>
    <row r="787" spans="17:39">
      <c r="Q787" s="6">
        <v>757</v>
      </c>
      <c r="R787" s="7">
        <v>43424</v>
      </c>
      <c r="S787" s="210">
        <v>4.4000000000000004</v>
      </c>
      <c r="T787" s="8">
        <v>1.0001222222222221</v>
      </c>
      <c r="U787" s="98">
        <v>3.9901212154984211</v>
      </c>
      <c r="V787" s="106">
        <v>28212.41126643091</v>
      </c>
      <c r="W787" s="10">
        <v>0.43668900232682883</v>
      </c>
      <c r="X787" s="420"/>
      <c r="Y787" s="420"/>
      <c r="Z787" s="1"/>
      <c r="AA787" s="1"/>
      <c r="AB787" s="1"/>
      <c r="AC787" s="1"/>
      <c r="AD787" s="1"/>
      <c r="AL787" s="23"/>
      <c r="AM787" s="23"/>
    </row>
    <row r="788" spans="17:39">
      <c r="Q788" s="6">
        <v>758</v>
      </c>
      <c r="R788" s="7">
        <v>43425</v>
      </c>
      <c r="S788" s="210">
        <v>4.4006849315068495</v>
      </c>
      <c r="T788" s="8">
        <v>1.0001222412480975</v>
      </c>
      <c r="U788" s="98">
        <v>3.9908743383302303</v>
      </c>
      <c r="V788" s="106">
        <v>28214.837640261016</v>
      </c>
      <c r="W788" s="10">
        <v>0.4378640281386792</v>
      </c>
      <c r="X788" s="420"/>
      <c r="Y788" s="420"/>
      <c r="Z788" s="1"/>
      <c r="AA788" s="1"/>
      <c r="AB788" s="1"/>
      <c r="AC788" s="1"/>
      <c r="AD788" s="1"/>
      <c r="AL788" s="23"/>
      <c r="AM788" s="23"/>
    </row>
    <row r="789" spans="17:39">
      <c r="Q789" s="6">
        <v>759</v>
      </c>
      <c r="R789" s="7">
        <v>43426</v>
      </c>
      <c r="S789" s="210">
        <v>4.4013698630136986</v>
      </c>
      <c r="T789" s="8">
        <v>1.0001222602739726</v>
      </c>
      <c r="U789" s="98">
        <v>3.9916264334329155</v>
      </c>
      <c r="V789" s="106">
        <v>28217.264222768426</v>
      </c>
      <c r="W789" s="10">
        <v>0.4390368902470243</v>
      </c>
      <c r="X789" s="420"/>
      <c r="Y789" s="420"/>
      <c r="Z789" s="1"/>
      <c r="AA789" s="1"/>
      <c r="AB789" s="1"/>
      <c r="AC789" s="1"/>
      <c r="AD789" s="1"/>
      <c r="AL789" s="23"/>
      <c r="AM789" s="23"/>
    </row>
    <row r="790" spans="17:39">
      <c r="Q790" s="6">
        <v>760</v>
      </c>
      <c r="R790" s="7">
        <v>43427</v>
      </c>
      <c r="S790" s="210">
        <v>4.4020547945205477</v>
      </c>
      <c r="T790" s="8">
        <v>1.0001222792998479</v>
      </c>
      <c r="U790" s="98">
        <v>3.9923775048624766</v>
      </c>
      <c r="V790" s="106">
        <v>28219.691013971093</v>
      </c>
      <c r="W790" s="10">
        <v>0.44020759717107172</v>
      </c>
      <c r="X790" s="420"/>
      <c r="Y790" s="420"/>
      <c r="Z790" s="1"/>
      <c r="AA790" s="1"/>
      <c r="AB790" s="1"/>
      <c r="AC790" s="1"/>
      <c r="AD790" s="1"/>
      <c r="AL790" s="23"/>
      <c r="AM790" s="23"/>
    </row>
    <row r="791" spans="17:39">
      <c r="Q791" s="6">
        <v>761</v>
      </c>
      <c r="R791" s="7">
        <v>43428</v>
      </c>
      <c r="S791" s="210">
        <v>4.4027397260273968</v>
      </c>
      <c r="T791" s="8">
        <v>1.000122298325723</v>
      </c>
      <c r="U791" s="98">
        <v>3.9931275566535973</v>
      </c>
      <c r="V791" s="106">
        <v>28222.118013886949</v>
      </c>
      <c r="W791" s="10">
        <v>0.44137615738533142</v>
      </c>
      <c r="X791" s="420"/>
      <c r="Y791" s="420"/>
      <c r="Z791" s="1"/>
      <c r="AA791" s="1"/>
      <c r="AB791" s="1"/>
      <c r="AC791" s="1"/>
      <c r="AD791" s="1"/>
      <c r="AL791" s="23"/>
      <c r="AM791" s="23"/>
    </row>
    <row r="792" spans="17:39">
      <c r="Q792" s="6">
        <v>762</v>
      </c>
      <c r="R792" s="7">
        <v>43429</v>
      </c>
      <c r="S792" s="210">
        <v>4.4034246575342468</v>
      </c>
      <c r="T792" s="8">
        <v>1.0001223173515981</v>
      </c>
      <c r="U792" s="98">
        <v>3.993876592819845</v>
      </c>
      <c r="V792" s="106">
        <v>28224.545222533965</v>
      </c>
      <c r="W792" s="10">
        <v>0.4425425793199711</v>
      </c>
      <c r="X792" s="420"/>
      <c r="Y792" s="420"/>
      <c r="Z792" s="1"/>
      <c r="AA792" s="1"/>
      <c r="AB792" s="1"/>
      <c r="AC792" s="1"/>
      <c r="AD792" s="1"/>
      <c r="AL792" s="23"/>
      <c r="AM792" s="23"/>
    </row>
    <row r="793" spans="17:39">
      <c r="Q793" s="6">
        <v>763</v>
      </c>
      <c r="R793" s="7">
        <v>43430</v>
      </c>
      <c r="S793" s="210">
        <v>4.404109589041096</v>
      </c>
      <c r="T793" s="8">
        <v>1.0001223363774734</v>
      </c>
      <c r="U793" s="98">
        <v>3.9946246173537592</v>
      </c>
      <c r="V793" s="106">
        <v>28226.972639930085</v>
      </c>
      <c r="W793" s="10">
        <v>0.44370687136108256</v>
      </c>
      <c r="X793" s="420"/>
      <c r="Y793" s="420"/>
      <c r="Z793" s="1"/>
      <c r="AA793" s="1"/>
      <c r="AB793" s="1"/>
      <c r="AC793" s="1"/>
      <c r="AD793" s="1"/>
      <c r="AL793" s="23"/>
      <c r="AM793" s="23"/>
    </row>
    <row r="794" spans="17:39">
      <c r="Q794" s="6">
        <v>764</v>
      </c>
      <c r="R794" s="7">
        <v>43431</v>
      </c>
      <c r="S794" s="210">
        <v>4.4047945205479451</v>
      </c>
      <c r="T794" s="8">
        <v>1.0001223554033485</v>
      </c>
      <c r="U794" s="98">
        <v>3.9953716342270074</v>
      </c>
      <c r="V794" s="106">
        <v>28229.400266093253</v>
      </c>
      <c r="W794" s="10">
        <v>0.44486904185105924</v>
      </c>
      <c r="X794" s="420"/>
      <c r="Y794" s="420"/>
      <c r="Z794" s="1"/>
      <c r="AA794" s="1"/>
      <c r="AB794" s="1"/>
      <c r="AC794" s="1"/>
      <c r="AD794" s="1"/>
      <c r="AL794" s="23"/>
      <c r="AM794" s="23"/>
    </row>
    <row r="795" spans="17:39">
      <c r="Q795" s="6">
        <v>765</v>
      </c>
      <c r="R795" s="7">
        <v>43432</v>
      </c>
      <c r="S795" s="210">
        <v>4.4054794520547942</v>
      </c>
      <c r="T795" s="8">
        <v>1.0001223744292238</v>
      </c>
      <c r="U795" s="98">
        <v>3.9961176473905402</v>
      </c>
      <c r="V795" s="106">
        <v>28231.828101041439</v>
      </c>
      <c r="W795" s="10">
        <v>0.44602909908872945</v>
      </c>
      <c r="X795" s="420"/>
      <c r="Y795" s="420"/>
      <c r="Z795" s="1"/>
      <c r="AA795" s="1"/>
      <c r="AB795" s="1"/>
      <c r="AC795" s="1"/>
      <c r="AD795" s="1"/>
      <c r="AL795" s="23"/>
      <c r="AM795" s="23"/>
    </row>
    <row r="796" spans="17:39">
      <c r="Q796" s="6">
        <v>766</v>
      </c>
      <c r="R796" s="7">
        <v>43433</v>
      </c>
      <c r="S796" s="210">
        <v>4.4061643835616442</v>
      </c>
      <c r="T796" s="8">
        <v>1.0001223934550989</v>
      </c>
      <c r="U796" s="98">
        <v>3.996862660774636</v>
      </c>
      <c r="V796" s="106">
        <v>28234.256144792591</v>
      </c>
      <c r="W796" s="10">
        <v>0.447187051329756</v>
      </c>
      <c r="X796" s="420"/>
      <c r="Y796" s="420"/>
      <c r="Z796" s="1"/>
      <c r="AA796" s="1"/>
      <c r="AB796" s="1"/>
      <c r="AC796" s="1"/>
      <c r="AD796" s="1"/>
      <c r="AL796" s="23"/>
      <c r="AM796" s="23"/>
    </row>
    <row r="797" spans="17:39">
      <c r="Q797" s="6">
        <v>767</v>
      </c>
      <c r="R797" s="7">
        <v>43434</v>
      </c>
      <c r="S797" s="210">
        <v>4.4068493150684933</v>
      </c>
      <c r="T797" s="8">
        <v>1.0001224124809742</v>
      </c>
      <c r="U797" s="98">
        <v>3.9976066782891895</v>
      </c>
      <c r="V797" s="106">
        <v>28236.684397364668</v>
      </c>
      <c r="W797" s="10">
        <v>0.44834290678688049</v>
      </c>
      <c r="X797" s="420"/>
      <c r="Y797" s="420"/>
      <c r="Z797" s="1"/>
      <c r="AA797" s="1"/>
      <c r="AB797" s="1"/>
      <c r="AC797" s="1"/>
      <c r="AD797" s="1"/>
      <c r="AL797" s="23"/>
      <c r="AM797" s="23"/>
    </row>
    <row r="798" spans="17:39">
      <c r="Q798" s="6">
        <v>768</v>
      </c>
      <c r="R798" s="7">
        <v>43435</v>
      </c>
      <c r="S798" s="210">
        <v>4.4075342465753424</v>
      </c>
      <c r="T798" s="8">
        <v>1.0001224315068493</v>
      </c>
      <c r="U798" s="98">
        <v>3.9983497038237115</v>
      </c>
      <c r="V798" s="106">
        <v>28239.112858775628</v>
      </c>
      <c r="W798" s="10">
        <v>0.44949667363018975</v>
      </c>
      <c r="X798" s="420"/>
      <c r="Y798" s="420"/>
      <c r="Z798" s="1"/>
      <c r="AA798" s="1"/>
      <c r="AB798" s="1"/>
      <c r="AC798" s="1"/>
      <c r="AD798" s="1"/>
      <c r="AL798" s="23"/>
      <c r="AM798" s="23"/>
    </row>
    <row r="799" spans="17:39">
      <c r="Q799" s="6">
        <v>769</v>
      </c>
      <c r="R799" s="7">
        <v>43436</v>
      </c>
      <c r="S799" s="210">
        <v>4.4082191780821915</v>
      </c>
      <c r="T799" s="8">
        <v>1.0001224505327244</v>
      </c>
      <c r="U799" s="98">
        <v>3.9990917412475291</v>
      </c>
      <c r="V799" s="106">
        <v>28241.541529043436</v>
      </c>
      <c r="W799" s="10">
        <v>0.45064835998742669</v>
      </c>
      <c r="X799" s="420"/>
      <c r="Y799" s="420"/>
      <c r="Z799" s="1"/>
      <c r="AA799" s="1"/>
      <c r="AB799" s="1"/>
      <c r="AC799" s="1"/>
      <c r="AD799" s="1"/>
      <c r="AL799" s="23"/>
      <c r="AM799" s="23"/>
    </row>
    <row r="800" spans="17:39">
      <c r="Q800" s="6">
        <v>770</v>
      </c>
      <c r="R800" s="7">
        <v>43437</v>
      </c>
      <c r="S800" s="210">
        <v>4.4089041095890407</v>
      </c>
      <c r="T800" s="8">
        <v>1.0001224695585997</v>
      </c>
      <c r="U800" s="98">
        <v>3.9998327944098966</v>
      </c>
      <c r="V800" s="106">
        <v>28243.970408186047</v>
      </c>
      <c r="W800" s="10">
        <v>0.4517979739442346</v>
      </c>
      <c r="X800" s="420"/>
      <c r="Y800" s="420"/>
      <c r="Z800" s="1"/>
      <c r="AA800" s="1"/>
      <c r="AB800" s="1"/>
      <c r="AC800" s="1"/>
      <c r="AD800" s="1"/>
      <c r="AL800" s="23"/>
      <c r="AM800" s="23"/>
    </row>
    <row r="801" spans="17:39">
      <c r="Q801" s="6">
        <v>771</v>
      </c>
      <c r="R801" s="7">
        <v>43438</v>
      </c>
      <c r="S801" s="210">
        <v>4.4095890410958907</v>
      </c>
      <c r="T801" s="8">
        <v>1.0001224885844748</v>
      </c>
      <c r="U801" s="98">
        <v>4.0005728671401064</v>
      </c>
      <c r="V801" s="106">
        <v>28246.399496221435</v>
      </c>
      <c r="W801" s="10">
        <v>0.45294552354437911</v>
      </c>
      <c r="X801" s="420"/>
      <c r="Y801" s="420"/>
      <c r="Z801" s="1"/>
      <c r="AA801" s="1"/>
      <c r="AB801" s="1"/>
      <c r="AC801" s="1"/>
      <c r="AD801" s="1"/>
      <c r="AL801" s="23"/>
      <c r="AM801" s="23"/>
    </row>
    <row r="802" spans="17:39">
      <c r="Q802" s="6">
        <v>772</v>
      </c>
      <c r="R802" s="7">
        <v>43439</v>
      </c>
      <c r="S802" s="210">
        <v>4.4102739726027398</v>
      </c>
      <c r="T802" s="8">
        <v>1.0001225076103502</v>
      </c>
      <c r="U802" s="98">
        <v>4.0013119632476446</v>
      </c>
      <c r="V802" s="106">
        <v>28248.828793167555</v>
      </c>
      <c r="W802" s="10">
        <v>0.45409101679014796</v>
      </c>
      <c r="X802" s="420"/>
      <c r="Y802" s="420"/>
      <c r="Z802" s="1"/>
      <c r="AA802" s="1"/>
      <c r="AB802" s="1"/>
      <c r="AC802" s="1"/>
      <c r="AD802" s="1"/>
      <c r="AL802" s="23"/>
      <c r="AM802" s="23"/>
    </row>
    <row r="803" spans="17:39">
      <c r="Q803" s="6">
        <v>773</v>
      </c>
      <c r="R803" s="7">
        <v>43440</v>
      </c>
      <c r="S803" s="210">
        <v>4.4109589041095889</v>
      </c>
      <c r="T803" s="8">
        <v>1.0001225266362253</v>
      </c>
      <c r="U803" s="98">
        <v>4.0020500865223241</v>
      </c>
      <c r="V803" s="106">
        <v>28251.258299042383</v>
      </c>
      <c r="W803" s="10">
        <v>0.45523446164252857</v>
      </c>
      <c r="X803" s="420"/>
      <c r="Y803" s="420"/>
      <c r="Z803" s="1"/>
      <c r="AA803" s="1"/>
      <c r="AB803" s="1"/>
      <c r="AC803" s="1"/>
      <c r="AD803" s="1"/>
      <c r="AL803" s="23"/>
      <c r="AM803" s="23"/>
    </row>
    <row r="804" spans="17:39">
      <c r="Q804" s="6">
        <v>774</v>
      </c>
      <c r="R804" s="7">
        <v>43441</v>
      </c>
      <c r="S804" s="210">
        <v>4.411643835616438</v>
      </c>
      <c r="T804" s="8">
        <v>1.0001225456621003</v>
      </c>
      <c r="U804" s="98">
        <v>4.0027872407343956</v>
      </c>
      <c r="V804" s="106">
        <v>28253.688013863881</v>
      </c>
      <c r="W804" s="10">
        <v>0.45637586602147451</v>
      </c>
      <c r="X804" s="420"/>
      <c r="Y804" s="420"/>
      <c r="Z804" s="1"/>
      <c r="AA804" s="1"/>
      <c r="AB804" s="1"/>
      <c r="AC804" s="1"/>
      <c r="AD804" s="1"/>
      <c r="AL804" s="23"/>
      <c r="AM804" s="23"/>
    </row>
    <row r="805" spans="17:39">
      <c r="Q805" s="6">
        <v>775</v>
      </c>
      <c r="R805" s="7">
        <v>43442</v>
      </c>
      <c r="S805" s="210">
        <v>4.412328767123288</v>
      </c>
      <c r="T805" s="8">
        <v>1.0001225646879757</v>
      </c>
      <c r="U805" s="98">
        <v>4.0035234296346811</v>
      </c>
      <c r="V805" s="106">
        <v>28256.117937650026</v>
      </c>
      <c r="W805" s="10">
        <v>0.45751523780621639</v>
      </c>
      <c r="X805" s="420"/>
      <c r="Y805" s="420"/>
      <c r="Z805" s="1"/>
      <c r="AA805" s="1"/>
      <c r="AB805" s="1"/>
      <c r="AC805" s="1"/>
      <c r="AD805" s="1"/>
      <c r="AL805" s="23"/>
      <c r="AM805" s="23"/>
    </row>
    <row r="806" spans="17:39">
      <c r="Q806" s="6">
        <v>776</v>
      </c>
      <c r="R806" s="7">
        <v>43443</v>
      </c>
      <c r="S806" s="210">
        <v>4.4130136986301371</v>
      </c>
      <c r="T806" s="8">
        <v>1.0001225837138508</v>
      </c>
      <c r="U806" s="98">
        <v>4.0042586569547067</v>
      </c>
      <c r="V806" s="106">
        <v>28258.548070418787</v>
      </c>
      <c r="W806" s="10">
        <v>0.45865258483548388</v>
      </c>
      <c r="X806" s="420"/>
      <c r="Y806" s="420"/>
      <c r="Z806" s="1"/>
      <c r="AA806" s="1"/>
      <c r="AB806" s="1"/>
      <c r="AC806" s="1"/>
      <c r="AD806" s="1"/>
      <c r="AL806" s="23"/>
      <c r="AM806" s="23"/>
    </row>
    <row r="807" spans="17:39">
      <c r="Q807" s="6">
        <v>777</v>
      </c>
      <c r="R807" s="7">
        <v>43444</v>
      </c>
      <c r="S807" s="210">
        <v>4.4136986301369863</v>
      </c>
      <c r="T807" s="8">
        <v>1.0001226027397261</v>
      </c>
      <c r="U807" s="98">
        <v>4.0049929264067696</v>
      </c>
      <c r="V807" s="106">
        <v>28260.900010804122</v>
      </c>
      <c r="W807" s="10">
        <v>0.4599188335594695</v>
      </c>
      <c r="X807" s="420"/>
      <c r="Y807" s="420"/>
      <c r="Z807" s="1"/>
      <c r="AA807" s="1"/>
      <c r="AB807" s="1"/>
      <c r="AC807" s="1"/>
      <c r="AD807" s="1"/>
      <c r="AL807" s="23"/>
      <c r="AM807" s="23"/>
    </row>
    <row r="808" spans="17:39">
      <c r="Q808" s="6">
        <v>778</v>
      </c>
      <c r="R808" s="7">
        <v>43445</v>
      </c>
      <c r="S808" s="210">
        <v>4.4143835616438354</v>
      </c>
      <c r="T808" s="8">
        <v>1.0001226217656012</v>
      </c>
      <c r="U808" s="98">
        <v>4.0057262416841599</v>
      </c>
      <c r="V808" s="106">
        <v>28263.252146939911</v>
      </c>
      <c r="W808" s="10">
        <v>0.46118273965320977</v>
      </c>
      <c r="X808" s="420"/>
      <c r="Y808" s="420"/>
      <c r="Z808" s="1"/>
      <c r="AA808" s="1"/>
      <c r="AB808" s="1"/>
      <c r="AC808" s="1"/>
      <c r="AD808" s="1"/>
      <c r="AL808" s="23"/>
      <c r="AM808" s="23"/>
    </row>
    <row r="809" spans="17:39">
      <c r="Q809" s="6">
        <v>779</v>
      </c>
      <c r="R809" s="7">
        <v>43446</v>
      </c>
      <c r="S809" s="210">
        <v>4.4150684931506845</v>
      </c>
      <c r="T809" s="8">
        <v>1.0001226407914765</v>
      </c>
      <c r="U809" s="98">
        <v>4.0064586064612051</v>
      </c>
      <c r="V809" s="106">
        <v>28265.604478842441</v>
      </c>
      <c r="W809" s="10">
        <v>0.46244431211113213</v>
      </c>
      <c r="X809" s="420"/>
      <c r="Y809" s="420"/>
      <c r="Z809" s="1"/>
      <c r="AA809" s="1"/>
      <c r="AB809" s="1"/>
      <c r="AC809" s="1"/>
      <c r="AD809" s="1"/>
      <c r="AL809" s="23"/>
      <c r="AM809" s="23"/>
    </row>
    <row r="810" spans="17:39">
      <c r="Q810" s="6">
        <v>780</v>
      </c>
      <c r="R810" s="7">
        <v>43447</v>
      </c>
      <c r="S810" s="210">
        <v>4.4157534246575345</v>
      </c>
      <c r="T810" s="8">
        <v>1.0001226598173516</v>
      </c>
      <c r="U810" s="98">
        <v>4.0071900243934033</v>
      </c>
      <c r="V810" s="106">
        <v>28267.957006528017</v>
      </c>
      <c r="W810" s="10">
        <v>0.46370355988170076</v>
      </c>
      <c r="X810" s="420"/>
      <c r="Y810" s="420"/>
      <c r="Z810" s="1"/>
      <c r="AA810" s="1"/>
      <c r="AB810" s="1"/>
      <c r="AC810" s="1"/>
      <c r="AD810" s="1"/>
      <c r="AL810" s="23"/>
      <c r="AM810" s="23"/>
    </row>
    <row r="811" spans="17:39">
      <c r="Q811" s="6">
        <v>781</v>
      </c>
      <c r="R811" s="7">
        <v>43448</v>
      </c>
      <c r="S811" s="210">
        <v>4.4164383561643836</v>
      </c>
      <c r="T811" s="8">
        <v>1.0001226788432267</v>
      </c>
      <c r="U811" s="98">
        <v>4.0079204991175787</v>
      </c>
      <c r="V811" s="106">
        <v>28270.309730012916</v>
      </c>
      <c r="W811" s="10">
        <v>0.46496049186768307</v>
      </c>
      <c r="X811" s="420"/>
      <c r="Y811" s="420"/>
      <c r="Z811" s="1"/>
      <c r="AA811" s="1"/>
      <c r="AB811" s="1"/>
      <c r="AC811" s="1"/>
      <c r="AD811" s="1"/>
      <c r="AL811" s="23"/>
      <c r="AM811" s="23"/>
    </row>
    <row r="812" spans="17:39">
      <c r="Q812" s="6">
        <v>782</v>
      </c>
      <c r="R812" s="7">
        <v>43449</v>
      </c>
      <c r="S812" s="210">
        <v>4.4171232876712327</v>
      </c>
      <c r="T812" s="8">
        <v>1.000122697869102</v>
      </c>
      <c r="U812" s="98">
        <v>4.0086500342519704</v>
      </c>
      <c r="V812" s="106">
        <v>28272.662649313454</v>
      </c>
      <c r="W812" s="10">
        <v>0.46621511692652717</v>
      </c>
      <c r="X812" s="420"/>
      <c r="Y812" s="420"/>
      <c r="Z812" s="1"/>
      <c r="AA812" s="1"/>
      <c r="AB812" s="1"/>
      <c r="AC812" s="1"/>
      <c r="AD812" s="1"/>
      <c r="AL812" s="23"/>
      <c r="AM812" s="23"/>
    </row>
    <row r="813" spans="17:39">
      <c r="Q813" s="6">
        <v>783</v>
      </c>
      <c r="R813" s="7">
        <v>43450</v>
      </c>
      <c r="S813" s="210">
        <v>4.4178082191780819</v>
      </c>
      <c r="T813" s="8">
        <v>1.0001227168949771</v>
      </c>
      <c r="U813" s="98">
        <v>4.0093786333963655</v>
      </c>
      <c r="V813" s="106">
        <v>28275.015764445914</v>
      </c>
      <c r="W813" s="10">
        <v>0.46746744387056172</v>
      </c>
      <c r="X813" s="420"/>
      <c r="Y813" s="420"/>
      <c r="Z813" s="1"/>
      <c r="AA813" s="1"/>
      <c r="AB813" s="1"/>
      <c r="AC813" s="1"/>
      <c r="AD813" s="1"/>
      <c r="AL813" s="23"/>
      <c r="AM813" s="23"/>
    </row>
    <row r="814" spans="17:39">
      <c r="Q814" s="6">
        <v>784</v>
      </c>
      <c r="R814" s="7">
        <v>43451</v>
      </c>
      <c r="S814" s="210">
        <v>4.4184931506849319</v>
      </c>
      <c r="T814" s="8">
        <v>1.0001227359208524</v>
      </c>
      <c r="U814" s="98">
        <v>4.0101063001322101</v>
      </c>
      <c r="V814" s="106">
        <v>28277.369075426599</v>
      </c>
      <c r="W814" s="10">
        <v>0.46871748146730674</v>
      </c>
      <c r="X814" s="420"/>
      <c r="Y814" s="420"/>
      <c r="Z814" s="1"/>
      <c r="AA814" s="1"/>
      <c r="AB814" s="1"/>
      <c r="AC814" s="1"/>
      <c r="AD814" s="1"/>
      <c r="AL814" s="23"/>
      <c r="AM814" s="23"/>
    </row>
    <row r="815" spans="17:39">
      <c r="Q815" s="6">
        <v>785</v>
      </c>
      <c r="R815" s="7">
        <v>43452</v>
      </c>
      <c r="S815" s="210">
        <v>4.419178082191781</v>
      </c>
      <c r="T815" s="8">
        <v>1.0001227549467275</v>
      </c>
      <c r="U815" s="98">
        <v>4.0108330380227208</v>
      </c>
      <c r="V815" s="106">
        <v>28279.72258227181</v>
      </c>
      <c r="W815" s="10">
        <v>0.46996523843976235</v>
      </c>
      <c r="X815" s="420"/>
      <c r="Y815" s="420"/>
      <c r="Z815" s="1"/>
      <c r="AA815" s="1"/>
      <c r="AB815" s="1"/>
      <c r="AC815" s="1"/>
      <c r="AD815" s="1"/>
      <c r="AL815" s="23"/>
      <c r="AM815" s="23"/>
    </row>
    <row r="816" spans="17:39">
      <c r="Q816" s="6">
        <v>786</v>
      </c>
      <c r="R816" s="7">
        <v>43453</v>
      </c>
      <c r="S816" s="210">
        <v>4.4198630136986301</v>
      </c>
      <c r="T816" s="8">
        <v>1.0001227739726026</v>
      </c>
      <c r="U816" s="98">
        <v>4.0115588506129951</v>
      </c>
      <c r="V816" s="106">
        <v>28282.076284997853</v>
      </c>
      <c r="W816" s="10">
        <v>0.47121072346669735</v>
      </c>
      <c r="X816" s="420"/>
      <c r="Y816" s="420"/>
      <c r="Z816" s="1"/>
      <c r="AA816" s="1"/>
      <c r="AB816" s="1"/>
      <c r="AC816" s="1"/>
      <c r="AD816" s="1"/>
      <c r="AL816" s="23"/>
      <c r="AM816" s="23"/>
    </row>
    <row r="817" spans="17:39">
      <c r="Q817" s="6">
        <v>787</v>
      </c>
      <c r="R817" s="7">
        <v>43454</v>
      </c>
      <c r="S817" s="210">
        <v>4.4205479452054792</v>
      </c>
      <c r="T817" s="8">
        <v>1.0001227929984779</v>
      </c>
      <c r="U817" s="98">
        <v>4.0122837414301449</v>
      </c>
      <c r="V817" s="106">
        <v>28284.430183621029</v>
      </c>
      <c r="W817" s="10">
        <v>0.47245394518291572</v>
      </c>
      <c r="X817" s="420"/>
      <c r="Y817" s="420"/>
      <c r="Z817" s="1"/>
      <c r="AA817" s="1"/>
      <c r="AB817" s="1"/>
      <c r="AC817" s="1"/>
      <c r="AD817" s="1"/>
      <c r="AL817" s="23"/>
      <c r="AM817" s="23"/>
    </row>
    <row r="818" spans="17:39">
      <c r="Q818" s="6">
        <v>788</v>
      </c>
      <c r="R818" s="7">
        <v>43455</v>
      </c>
      <c r="S818" s="210">
        <v>4.4212328767123283</v>
      </c>
      <c r="T818" s="8">
        <v>1.000122812024353</v>
      </c>
      <c r="U818" s="98">
        <v>4.0130077139834075</v>
      </c>
      <c r="V818" s="106">
        <v>28286.784278157633</v>
      </c>
      <c r="W818" s="10">
        <v>0.4736949121795897</v>
      </c>
      <c r="X818" s="420"/>
      <c r="Y818" s="420"/>
      <c r="Z818" s="1"/>
      <c r="AA818" s="1"/>
      <c r="AB818" s="1"/>
      <c r="AC818" s="1"/>
      <c r="AD818" s="1"/>
      <c r="AL818" s="23"/>
      <c r="AM818" s="23"/>
    </row>
    <row r="819" spans="17:39">
      <c r="Q819" s="6">
        <v>789</v>
      </c>
      <c r="R819" s="7">
        <v>43456</v>
      </c>
      <c r="S819" s="210">
        <v>4.4219178082191783</v>
      </c>
      <c r="T819" s="8">
        <v>1.0001228310502284</v>
      </c>
      <c r="U819" s="98">
        <v>4.0137307717642567</v>
      </c>
      <c r="V819" s="106">
        <v>28289.138568623988</v>
      </c>
      <c r="W819" s="10">
        <v>0.47493363300441516</v>
      </c>
      <c r="X819" s="420"/>
      <c r="Y819" s="420"/>
      <c r="Z819" s="1"/>
      <c r="AA819" s="1"/>
      <c r="AB819" s="1"/>
      <c r="AC819" s="1"/>
      <c r="AD819" s="1"/>
      <c r="AL819" s="23"/>
      <c r="AM819" s="23"/>
    </row>
    <row r="820" spans="17:39">
      <c r="Q820" s="6">
        <v>790</v>
      </c>
      <c r="R820" s="7">
        <v>43457</v>
      </c>
      <c r="S820" s="210">
        <v>4.4226027397260275</v>
      </c>
      <c r="T820" s="8">
        <v>1.0001228500761035</v>
      </c>
      <c r="U820" s="98">
        <v>4.0144529182465138</v>
      </c>
      <c r="V820" s="106">
        <v>28291.493055036382</v>
      </c>
      <c r="W820" s="10">
        <v>0.47617011616201133</v>
      </c>
      <c r="X820" s="420"/>
      <c r="Y820" s="420"/>
      <c r="Z820" s="1"/>
      <c r="AA820" s="1"/>
      <c r="AB820" s="1"/>
      <c r="AC820" s="1"/>
      <c r="AD820" s="1"/>
      <c r="AL820" s="23"/>
      <c r="AM820" s="23"/>
    </row>
    <row r="821" spans="17:39">
      <c r="Q821" s="6">
        <v>791</v>
      </c>
      <c r="R821" s="7">
        <v>43458</v>
      </c>
      <c r="S821" s="210">
        <v>4.4232876712328766</v>
      </c>
      <c r="T821" s="8">
        <v>1.0001228691019788</v>
      </c>
      <c r="U821" s="98">
        <v>4.0151741568864363</v>
      </c>
      <c r="V821" s="106">
        <v>28293.847737411139</v>
      </c>
      <c r="W821" s="10">
        <v>0.47740437011412062</v>
      </c>
      <c r="X821" s="420"/>
      <c r="Y821" s="420"/>
      <c r="Z821" s="1"/>
      <c r="AA821" s="1"/>
      <c r="AB821" s="1"/>
      <c r="AC821" s="1"/>
      <c r="AD821" s="1"/>
      <c r="AL821" s="23"/>
      <c r="AM821" s="23"/>
    </row>
    <row r="822" spans="17:39">
      <c r="Q822" s="6">
        <v>792</v>
      </c>
      <c r="R822" s="7">
        <v>43459</v>
      </c>
      <c r="S822" s="210">
        <v>4.4239726027397257</v>
      </c>
      <c r="T822" s="8">
        <v>1.0001228881278539</v>
      </c>
      <c r="U822" s="98">
        <v>4.0158944911228733</v>
      </c>
      <c r="V822" s="106">
        <v>28296.20261576456</v>
      </c>
      <c r="W822" s="10">
        <v>0.47863640327994172</v>
      </c>
      <c r="X822" s="420"/>
      <c r="Y822" s="420"/>
      <c r="Z822" s="1"/>
      <c r="AA822" s="1"/>
      <c r="AB822" s="1"/>
      <c r="AC822" s="1"/>
      <c r="AD822" s="1"/>
      <c r="AL822" s="23"/>
      <c r="AM822" s="23"/>
    </row>
    <row r="823" spans="17:39">
      <c r="Q823" s="6">
        <v>793</v>
      </c>
      <c r="R823" s="7">
        <v>43460</v>
      </c>
      <c r="S823" s="210">
        <v>4.4246575342465757</v>
      </c>
      <c r="T823" s="8">
        <v>1.000122907153729</v>
      </c>
      <c r="U823" s="98">
        <v>4.0166139243773324</v>
      </c>
      <c r="V823" s="106">
        <v>28298.557690112953</v>
      </c>
      <c r="W823" s="10">
        <v>0.47986622403626278</v>
      </c>
      <c r="X823" s="420"/>
      <c r="Y823" s="420"/>
      <c r="Z823" s="1"/>
      <c r="AA823" s="1"/>
      <c r="AB823" s="1"/>
      <c r="AC823" s="1"/>
      <c r="AD823" s="1"/>
      <c r="AL823" s="23"/>
      <c r="AM823" s="23"/>
    </row>
    <row r="824" spans="17:39">
      <c r="Q824" s="6">
        <v>794</v>
      </c>
      <c r="R824" s="7">
        <v>43461</v>
      </c>
      <c r="S824" s="210">
        <v>4.4253424657534248</v>
      </c>
      <c r="T824" s="8">
        <v>1.0001229261796043</v>
      </c>
      <c r="U824" s="98">
        <v>4.0173324600541349</v>
      </c>
      <c r="V824" s="106">
        <v>28300.912960472648</v>
      </c>
      <c r="W824" s="10">
        <v>0.48109384071790551</v>
      </c>
      <c r="X824" s="420"/>
      <c r="Y824" s="420"/>
      <c r="Z824" s="1"/>
      <c r="AA824" s="1"/>
      <c r="AB824" s="1"/>
      <c r="AC824" s="1"/>
      <c r="AD824" s="1"/>
      <c r="AL824" s="23"/>
      <c r="AM824" s="23"/>
    </row>
    <row r="825" spans="17:39">
      <c r="Q825" s="6">
        <v>795</v>
      </c>
      <c r="R825" s="7">
        <v>43462</v>
      </c>
      <c r="S825" s="210">
        <v>4.4260273972602739</v>
      </c>
      <c r="T825" s="8">
        <v>1.0001229452054794</v>
      </c>
      <c r="U825" s="98">
        <v>4.0180501015404824</v>
      </c>
      <c r="V825" s="106">
        <v>28303.268426859941</v>
      </c>
      <c r="W825" s="10">
        <v>0.48231926161785843</v>
      </c>
      <c r="X825" s="420"/>
      <c r="Y825" s="420"/>
      <c r="Z825" s="1"/>
      <c r="AA825" s="1"/>
      <c r="AB825" s="1"/>
      <c r="AC825" s="1"/>
      <c r="AD825" s="1"/>
      <c r="AL825" s="23"/>
      <c r="AM825" s="23"/>
    </row>
    <row r="826" spans="17:39">
      <c r="Q826" s="6">
        <v>796</v>
      </c>
      <c r="R826" s="7">
        <v>43463</v>
      </c>
      <c r="S826" s="210">
        <v>4.4267123287671231</v>
      </c>
      <c r="T826" s="8">
        <v>1.0001229642313547</v>
      </c>
      <c r="U826" s="98">
        <v>4.0187668522065456</v>
      </c>
      <c r="V826" s="106">
        <v>28305.624089291156</v>
      </c>
      <c r="W826" s="10">
        <v>0.48354249498758772</v>
      </c>
      <c r="X826" s="420"/>
      <c r="Y826" s="420"/>
      <c r="Z826" s="1"/>
      <c r="AA826" s="1"/>
      <c r="AB826" s="1"/>
      <c r="AC826" s="1"/>
      <c r="AD826" s="1"/>
      <c r="AL826" s="23"/>
      <c r="AM826" s="23"/>
    </row>
    <row r="827" spans="17:39">
      <c r="Q827" s="6">
        <v>797</v>
      </c>
      <c r="R827" s="7">
        <v>43464</v>
      </c>
      <c r="S827" s="210">
        <v>4.4273972602739722</v>
      </c>
      <c r="T827" s="8">
        <v>1.0001229832572298</v>
      </c>
      <c r="U827" s="98">
        <v>4.0194827154056645</v>
      </c>
      <c r="V827" s="106">
        <v>28307.979947782602</v>
      </c>
      <c r="W827" s="10">
        <v>0.48476354903730368</v>
      </c>
      <c r="X827" s="420"/>
      <c r="Y827" s="420"/>
      <c r="Z827" s="1"/>
      <c r="AA827" s="1"/>
      <c r="AB827" s="1"/>
      <c r="AC827" s="1"/>
      <c r="AD827" s="1"/>
      <c r="AL827" s="23"/>
      <c r="AM827" s="23"/>
    </row>
    <row r="828" spans="17:39">
      <c r="Q828" s="6">
        <v>798</v>
      </c>
      <c r="R828" s="7">
        <v>43465</v>
      </c>
      <c r="S828" s="210">
        <v>4.4280821917808222</v>
      </c>
      <c r="T828" s="8">
        <v>1.0001230022831051</v>
      </c>
      <c r="U828" s="98">
        <v>4.02019769447437</v>
      </c>
      <c r="V828" s="106">
        <v>28310.336002350607</v>
      </c>
      <c r="W828" s="10">
        <v>0.48598243193620494</v>
      </c>
      <c r="X828" s="420"/>
      <c r="Y828" s="420"/>
      <c r="Z828" s="1"/>
      <c r="AA828" s="1"/>
      <c r="AB828" s="1"/>
      <c r="AC828" s="1"/>
      <c r="AD828" s="1"/>
      <c r="AL828" s="23"/>
      <c r="AM828" s="23"/>
    </row>
    <row r="829" spans="17:39">
      <c r="Q829" s="6">
        <v>799</v>
      </c>
      <c r="R829" s="7">
        <v>43466</v>
      </c>
      <c r="S829" s="210">
        <v>4.4287671232876713</v>
      </c>
      <c r="T829" s="8">
        <v>1.0001230213089802</v>
      </c>
      <c r="U829" s="98">
        <v>4.0209117927324733</v>
      </c>
      <c r="V829" s="106">
        <v>28312.692253011479</v>
      </c>
      <c r="W829" s="10">
        <v>0.48719915181270057</v>
      </c>
      <c r="X829" s="420"/>
      <c r="Y829" s="420"/>
      <c r="Z829" s="1"/>
      <c r="AA829" s="1"/>
      <c r="AB829" s="1"/>
      <c r="AC829" s="1"/>
      <c r="AD829" s="1"/>
      <c r="AL829" s="23"/>
      <c r="AM829" s="23"/>
    </row>
    <row r="830" spans="17:39">
      <c r="Q830" s="6">
        <v>800</v>
      </c>
      <c r="R830" s="7">
        <v>43467</v>
      </c>
      <c r="S830" s="210">
        <v>4.4294520547945204</v>
      </c>
      <c r="T830" s="8">
        <v>1.0001230403348553</v>
      </c>
      <c r="U830" s="98">
        <v>4.0216250134832432</v>
      </c>
      <c r="V830" s="106">
        <v>28315.048699781553</v>
      </c>
      <c r="W830" s="10">
        <v>0.48841371675469869</v>
      </c>
      <c r="X830" s="420"/>
      <c r="Y830" s="420"/>
      <c r="Z830" s="1"/>
      <c r="AA830" s="1"/>
      <c r="AB830" s="1"/>
      <c r="AC830" s="1"/>
      <c r="AD830" s="1"/>
      <c r="AL830" s="23"/>
      <c r="AM830" s="23"/>
    </row>
    <row r="831" spans="17:39">
      <c r="Q831" s="6">
        <v>801</v>
      </c>
      <c r="R831" s="7">
        <v>43468</v>
      </c>
      <c r="S831" s="210">
        <v>4.4301369863013695</v>
      </c>
      <c r="T831" s="8">
        <v>1.0001230593607306</v>
      </c>
      <c r="U831" s="98">
        <v>4.0223373600134948</v>
      </c>
      <c r="V831" s="106">
        <v>28317.405342677139</v>
      </c>
      <c r="W831" s="10">
        <v>0.48962613480991735</v>
      </c>
      <c r="X831" s="420"/>
      <c r="Y831" s="420"/>
      <c r="Z831" s="1"/>
      <c r="AA831" s="1"/>
      <c r="AB831" s="1"/>
      <c r="AC831" s="1"/>
      <c r="AD831" s="1"/>
      <c r="AL831" s="23"/>
      <c r="AM831" s="23"/>
    </row>
    <row r="832" spans="17:39">
      <c r="Q832" s="6">
        <v>802</v>
      </c>
      <c r="R832" s="7">
        <v>43469</v>
      </c>
      <c r="S832" s="210">
        <v>4.4308219178082195</v>
      </c>
      <c r="T832" s="8">
        <v>1.0001230783866057</v>
      </c>
      <c r="U832" s="98">
        <v>4.0230488355936567</v>
      </c>
      <c r="V832" s="106">
        <v>28319.762181714563</v>
      </c>
      <c r="W832" s="10">
        <v>0.49083641398603994</v>
      </c>
      <c r="X832" s="420"/>
      <c r="Y832" s="420"/>
      <c r="Z832" s="1"/>
      <c r="AA832" s="1"/>
      <c r="AB832" s="1"/>
      <c r="AC832" s="1"/>
      <c r="AD832" s="1"/>
      <c r="AL832" s="23"/>
      <c r="AM832" s="23"/>
    </row>
    <row r="833" spans="17:39">
      <c r="Q833" s="6">
        <v>803</v>
      </c>
      <c r="R833" s="7">
        <v>43470</v>
      </c>
      <c r="S833" s="210">
        <v>4.4315068493150687</v>
      </c>
      <c r="T833" s="8">
        <v>1.0001230974124811</v>
      </c>
      <c r="U833" s="98">
        <v>4.0237594434778812</v>
      </c>
      <c r="V833" s="106">
        <v>28322.119216910156</v>
      </c>
      <c r="W833" s="10">
        <v>0.4920445622510039</v>
      </c>
      <c r="X833" s="420"/>
      <c r="Y833" s="420"/>
      <c r="Z833" s="1"/>
      <c r="AA833" s="1"/>
      <c r="AB833" s="1"/>
      <c r="AC833" s="1"/>
      <c r="AD833" s="1"/>
      <c r="AL833" s="23"/>
      <c r="AM833" s="23"/>
    </row>
    <row r="834" spans="17:39">
      <c r="Q834" s="6">
        <v>804</v>
      </c>
      <c r="R834" s="7">
        <v>43471</v>
      </c>
      <c r="S834" s="210">
        <v>4.4321917808219178</v>
      </c>
      <c r="T834" s="8">
        <v>1.0001231164383562</v>
      </c>
      <c r="U834" s="98">
        <v>4.0244691869041338</v>
      </c>
      <c r="V834" s="106">
        <v>28324.476448280238</v>
      </c>
      <c r="W834" s="10">
        <v>0.49325058753322271</v>
      </c>
      <c r="X834" s="420"/>
      <c r="Y834" s="420"/>
      <c r="Z834" s="1"/>
      <c r="AA834" s="1"/>
      <c r="AB834" s="1"/>
      <c r="AC834" s="1"/>
      <c r="AD834" s="1"/>
      <c r="AL834" s="23"/>
      <c r="AM834" s="23"/>
    </row>
    <row r="835" spans="17:39">
      <c r="Q835" s="6">
        <v>805</v>
      </c>
      <c r="R835" s="7">
        <v>43472</v>
      </c>
      <c r="S835" s="210">
        <v>4.4328767123287669</v>
      </c>
      <c r="T835" s="8">
        <v>1.0001231354642313</v>
      </c>
      <c r="U835" s="98">
        <v>4.0251780690943262</v>
      </c>
      <c r="V835" s="106">
        <v>28326.833875841137</v>
      </c>
      <c r="W835" s="10">
        <v>0.49445449772180794</v>
      </c>
      <c r="X835" s="420"/>
      <c r="Y835" s="420"/>
      <c r="Z835" s="1"/>
      <c r="AA835" s="1"/>
      <c r="AB835" s="1"/>
      <c r="AC835" s="1"/>
      <c r="AD835" s="1"/>
      <c r="AL835" s="23"/>
      <c r="AM835" s="23"/>
    </row>
    <row r="836" spans="17:39">
      <c r="Q836" s="6">
        <v>806</v>
      </c>
      <c r="R836" s="7">
        <v>43473</v>
      </c>
      <c r="S836" s="210">
        <v>4.433561643835616</v>
      </c>
      <c r="T836" s="8">
        <v>1.0001231544901066</v>
      </c>
      <c r="U836" s="98">
        <v>4.0258860932544271</v>
      </c>
      <c r="V836" s="106">
        <v>28329.191499609184</v>
      </c>
      <c r="W836" s="10">
        <v>0.49565630066696897</v>
      </c>
      <c r="X836" s="420"/>
      <c r="Y836" s="420"/>
      <c r="Z836" s="1"/>
      <c r="AA836" s="1"/>
      <c r="AB836" s="1"/>
      <c r="AC836" s="1"/>
      <c r="AD836" s="1"/>
      <c r="AL836" s="23"/>
      <c r="AM836" s="23"/>
    </row>
    <row r="837" spans="17:39">
      <c r="Q837" s="6">
        <v>807</v>
      </c>
      <c r="R837" s="7">
        <v>43474</v>
      </c>
      <c r="S837" s="210">
        <v>4.434246575342466</v>
      </c>
      <c r="T837" s="8">
        <v>1.0001231735159817</v>
      </c>
      <c r="U837" s="98">
        <v>4.0265932625745071</v>
      </c>
      <c r="V837" s="106">
        <v>28331.549319600705</v>
      </c>
      <c r="W837" s="10">
        <v>0.49685600418003517</v>
      </c>
      <c r="X837" s="420"/>
      <c r="Y837" s="420"/>
      <c r="Z837" s="1"/>
      <c r="AA837" s="1"/>
      <c r="AB837" s="1"/>
      <c r="AC837" s="1"/>
      <c r="AD837" s="1"/>
      <c r="AL837" s="23"/>
      <c r="AM837" s="23"/>
    </row>
    <row r="838" spans="17:39">
      <c r="Q838" s="6">
        <v>808</v>
      </c>
      <c r="R838" s="7">
        <v>43475</v>
      </c>
      <c r="S838" s="210">
        <v>4.4349315068493151</v>
      </c>
      <c r="T838" s="8">
        <v>1.000123192541857</v>
      </c>
      <c r="U838" s="98">
        <v>4.0272995802288714</v>
      </c>
      <c r="V838" s="106">
        <v>28333.907335832035</v>
      </c>
      <c r="W838" s="10">
        <v>0.49805361603385556</v>
      </c>
      <c r="X838" s="420"/>
      <c r="Y838" s="420"/>
      <c r="Z838" s="1"/>
      <c r="AA838" s="1"/>
      <c r="AB838" s="1"/>
      <c r="AC838" s="1"/>
      <c r="AD838" s="1"/>
      <c r="AL838" s="23"/>
      <c r="AM838" s="23"/>
    </row>
    <row r="839" spans="17:39">
      <c r="Q839" s="6">
        <v>809</v>
      </c>
      <c r="R839" s="7">
        <v>43476</v>
      </c>
      <c r="S839" s="210">
        <v>4.4356164383561643</v>
      </c>
      <c r="T839" s="8">
        <v>1.0001232115677321</v>
      </c>
      <c r="U839" s="98">
        <v>4.028005049376171</v>
      </c>
      <c r="V839" s="106">
        <v>28336.265548319509</v>
      </c>
      <c r="W839" s="10">
        <v>0.49924914396293207</v>
      </c>
      <c r="X839" s="420"/>
      <c r="Y839" s="420"/>
      <c r="Z839" s="1"/>
      <c r="AA839" s="1"/>
      <c r="AB839" s="1"/>
      <c r="AC839" s="1"/>
      <c r="AD839" s="1"/>
      <c r="AL839" s="23"/>
      <c r="AM839" s="23"/>
    </row>
    <row r="840" spans="17:39">
      <c r="Q840" s="6">
        <v>810</v>
      </c>
      <c r="R840" s="7">
        <v>43477</v>
      </c>
      <c r="S840" s="210">
        <v>4.4363013698630134</v>
      </c>
      <c r="T840" s="8">
        <v>1.0001232305936074</v>
      </c>
      <c r="U840" s="98">
        <v>4.0287096731594474</v>
      </c>
      <c r="V840" s="106">
        <v>28338.623957079453</v>
      </c>
      <c r="W840" s="10">
        <v>0.5004425956637748</v>
      </c>
      <c r="X840" s="420"/>
      <c r="Y840" s="420"/>
      <c r="Z840" s="1"/>
      <c r="AA840" s="1"/>
      <c r="AB840" s="1"/>
      <c r="AC840" s="1"/>
      <c r="AD840" s="1"/>
      <c r="AL840" s="23"/>
      <c r="AM840" s="23"/>
    </row>
    <row r="841" spans="17:39">
      <c r="Q841" s="6">
        <v>811</v>
      </c>
      <c r="R841" s="7">
        <v>43478</v>
      </c>
      <c r="S841" s="210">
        <v>4.4369863013698634</v>
      </c>
      <c r="T841" s="8">
        <v>1.0001232496194825</v>
      </c>
      <c r="U841" s="98">
        <v>4.0294134547062876</v>
      </c>
      <c r="V841" s="106">
        <v>28340.982562128214</v>
      </c>
      <c r="W841" s="10">
        <v>0.50163397879499083</v>
      </c>
      <c r="X841" s="420"/>
      <c r="Y841" s="420"/>
      <c r="Z841" s="1"/>
      <c r="AA841" s="1"/>
      <c r="AB841" s="1"/>
      <c r="AC841" s="1"/>
      <c r="AD841" s="1"/>
      <c r="AL841" s="23"/>
      <c r="AM841" s="23"/>
    </row>
    <row r="842" spans="17:39">
      <c r="Q842" s="6">
        <v>812</v>
      </c>
      <c r="R842" s="7">
        <v>43479</v>
      </c>
      <c r="S842" s="210">
        <v>4.4376712328767125</v>
      </c>
      <c r="T842" s="8">
        <v>1.0001232686453576</v>
      </c>
      <c r="U842" s="98">
        <v>4.0301163971288689</v>
      </c>
      <c r="V842" s="106">
        <v>28343.341363482119</v>
      </c>
      <c r="W842" s="10">
        <v>0.50282330097759509</v>
      </c>
      <c r="X842" s="420"/>
      <c r="Y842" s="420"/>
      <c r="Z842" s="1"/>
      <c r="AA842" s="1"/>
      <c r="AB842" s="1"/>
      <c r="AC842" s="1"/>
      <c r="AD842" s="1"/>
      <c r="AL842" s="23"/>
      <c r="AM842" s="23"/>
    </row>
    <row r="843" spans="17:39">
      <c r="Q843" s="6">
        <v>813</v>
      </c>
      <c r="R843" s="7">
        <v>43480</v>
      </c>
      <c r="S843" s="210">
        <v>4.4383561643835616</v>
      </c>
      <c r="T843" s="8">
        <v>1.0001232876712329</v>
      </c>
      <c r="U843" s="98">
        <v>4.030818503524114</v>
      </c>
      <c r="V843" s="106">
        <v>28345.700361157516</v>
      </c>
      <c r="W843" s="10">
        <v>0.50401056979529901</v>
      </c>
      <c r="X843" s="420"/>
      <c r="Y843" s="420"/>
      <c r="Z843" s="1"/>
      <c r="AA843" s="1"/>
      <c r="AB843" s="1"/>
      <c r="AC843" s="1"/>
      <c r="AD843" s="1"/>
      <c r="AL843" s="23"/>
      <c r="AM843" s="23"/>
    </row>
    <row r="844" spans="17:39">
      <c r="Q844" s="6">
        <v>814</v>
      </c>
      <c r="R844" s="7">
        <v>43481</v>
      </c>
      <c r="S844" s="210">
        <v>4.4390410958904107</v>
      </c>
      <c r="T844" s="8">
        <v>1.000123306697108</v>
      </c>
      <c r="U844" s="98">
        <v>4.031519776973691</v>
      </c>
      <c r="V844" s="106">
        <v>28348.059555170734</v>
      </c>
      <c r="W844" s="10">
        <v>0.50519579279457716</v>
      </c>
      <c r="X844" s="420"/>
      <c r="Y844" s="420"/>
      <c r="Z844" s="1"/>
      <c r="AA844" s="1"/>
      <c r="AB844" s="1"/>
      <c r="AC844" s="1"/>
      <c r="AD844" s="1"/>
      <c r="AL844" s="23"/>
      <c r="AM844" s="23"/>
    </row>
    <row r="845" spans="17:39">
      <c r="Q845" s="6">
        <v>815</v>
      </c>
      <c r="R845" s="7">
        <v>43482</v>
      </c>
      <c r="S845" s="210">
        <v>4.4397260273972599</v>
      </c>
      <c r="T845" s="8">
        <v>1.0001233257229833</v>
      </c>
      <c r="U845" s="98">
        <v>4.0322202205442137</v>
      </c>
      <c r="V845" s="106">
        <v>28350.41894553812</v>
      </c>
      <c r="W845" s="10">
        <v>0.50637897748506688</v>
      </c>
      <c r="X845" s="420"/>
      <c r="Y845" s="420"/>
      <c r="Z845" s="1"/>
      <c r="AA845" s="1"/>
      <c r="AB845" s="1"/>
      <c r="AC845" s="1"/>
      <c r="AD845" s="1"/>
      <c r="AL845" s="23"/>
      <c r="AM845" s="23"/>
    </row>
    <row r="846" spans="17:39">
      <c r="Q846" s="6">
        <v>816</v>
      </c>
      <c r="R846" s="7">
        <v>43483</v>
      </c>
      <c r="S846" s="210">
        <v>4.4404109589041099</v>
      </c>
      <c r="T846" s="8">
        <v>1.0001233447488584</v>
      </c>
      <c r="U846" s="98">
        <v>4.0329198372872632</v>
      </c>
      <c r="V846" s="106">
        <v>28352.778532276017</v>
      </c>
      <c r="W846" s="10">
        <v>0.50756013133967937</v>
      </c>
      <c r="X846" s="420"/>
      <c r="Y846" s="420"/>
      <c r="Z846" s="1"/>
      <c r="AA846" s="1"/>
      <c r="AB846" s="1"/>
      <c r="AC846" s="1"/>
      <c r="AD846" s="1"/>
      <c r="AL846" s="23"/>
      <c r="AM846" s="23"/>
    </row>
    <row r="847" spans="17:39">
      <c r="Q847" s="6">
        <v>817</v>
      </c>
      <c r="R847" s="7">
        <v>43484</v>
      </c>
      <c r="S847" s="210">
        <v>4.441095890410959</v>
      </c>
      <c r="T847" s="8">
        <v>1.0001233637747335</v>
      </c>
      <c r="U847" s="98">
        <v>4.0336186302394994</v>
      </c>
      <c r="V847" s="106">
        <v>28355.138315400767</v>
      </c>
      <c r="W847" s="10">
        <v>0.50873926179491047</v>
      </c>
      <c r="X847" s="420"/>
      <c r="Y847" s="420"/>
      <c r="Z847" s="1"/>
      <c r="AA847" s="1"/>
      <c r="AB847" s="1"/>
      <c r="AC847" s="1"/>
      <c r="AD847" s="1"/>
      <c r="AL847" s="23"/>
      <c r="AM847" s="23"/>
    </row>
    <row r="848" spans="17:39">
      <c r="Q848" s="6">
        <v>818</v>
      </c>
      <c r="R848" s="7">
        <v>43485</v>
      </c>
      <c r="S848" s="210">
        <v>4.4417808219178081</v>
      </c>
      <c r="T848" s="8">
        <v>1.0001233828006089</v>
      </c>
      <c r="U848" s="98">
        <v>4.0343166024227717</v>
      </c>
      <c r="V848" s="106">
        <v>28357.498294928719</v>
      </c>
      <c r="W848" s="10">
        <v>0.50991637625095176</v>
      </c>
      <c r="X848" s="420"/>
      <c r="Y848" s="420"/>
      <c r="Z848" s="1"/>
      <c r="AA848" s="1"/>
      <c r="AB848" s="1"/>
      <c r="AC848" s="1"/>
      <c r="AD848" s="1"/>
      <c r="AL848" s="23"/>
      <c r="AM848" s="23"/>
    </row>
    <row r="849" spans="17:39">
      <c r="Q849" s="6">
        <v>819</v>
      </c>
      <c r="R849" s="7">
        <v>43486</v>
      </c>
      <c r="S849" s="210">
        <v>4.4424657534246572</v>
      </c>
      <c r="T849" s="8">
        <v>1.000123401826484</v>
      </c>
      <c r="U849" s="98">
        <v>4.0350137568441413</v>
      </c>
      <c r="V849" s="106">
        <v>28359.85847087621</v>
      </c>
      <c r="W849" s="10">
        <v>0.51109148207200139</v>
      </c>
      <c r="X849" s="420"/>
      <c r="Y849" s="420"/>
      <c r="Z849" s="1"/>
      <c r="AA849" s="1"/>
      <c r="AB849" s="1"/>
      <c r="AC849" s="1"/>
      <c r="AD849" s="1"/>
      <c r="AL849" s="23"/>
      <c r="AM849" s="23"/>
    </row>
    <row r="850" spans="17:39">
      <c r="Q850" s="6">
        <v>820</v>
      </c>
      <c r="R850" s="7">
        <v>43487</v>
      </c>
      <c r="S850" s="210">
        <v>4.4431506849315072</v>
      </c>
      <c r="T850" s="8">
        <v>1.0001234208523593</v>
      </c>
      <c r="U850" s="98">
        <v>4.0357100964960813</v>
      </c>
      <c r="V850" s="106">
        <v>28362.218843259601</v>
      </c>
      <c r="W850" s="10">
        <v>0.5122645865864639</v>
      </c>
      <c r="X850" s="420"/>
      <c r="Y850" s="420"/>
      <c r="Z850" s="1"/>
      <c r="AA850" s="1"/>
      <c r="AB850" s="1"/>
      <c r="AC850" s="1"/>
      <c r="AD850" s="1"/>
      <c r="AL850" s="23"/>
      <c r="AM850" s="23"/>
    </row>
    <row r="851" spans="17:39">
      <c r="Q851" s="6">
        <v>821</v>
      </c>
      <c r="R851" s="7">
        <v>43488</v>
      </c>
      <c r="S851" s="210">
        <v>4.4438356164383563</v>
      </c>
      <c r="T851" s="8">
        <v>1.0001234398782344</v>
      </c>
      <c r="U851" s="98">
        <v>4.0364056243564539</v>
      </c>
      <c r="V851" s="106">
        <v>28364.579412095231</v>
      </c>
      <c r="W851" s="10">
        <v>0.51343569708712788</v>
      </c>
      <c r="X851" s="420"/>
      <c r="Y851" s="420"/>
      <c r="Z851" s="1"/>
      <c r="AA851" s="1"/>
      <c r="AB851" s="1"/>
      <c r="AC851" s="1"/>
      <c r="AD851" s="1"/>
      <c r="AL851" s="23"/>
      <c r="AM851" s="23"/>
    </row>
    <row r="852" spans="17:39">
      <c r="Q852" s="6">
        <v>822</v>
      </c>
      <c r="R852" s="7">
        <v>43489</v>
      </c>
      <c r="S852" s="210">
        <v>4.4445205479452055</v>
      </c>
      <c r="T852" s="8">
        <v>1.0001234589041097</v>
      </c>
      <c r="U852" s="98">
        <v>4.0371003433886887</v>
      </c>
      <c r="V852" s="106">
        <v>28366.940177399454</v>
      </c>
      <c r="W852" s="10">
        <v>0.51460482083147685</v>
      </c>
      <c r="X852" s="420"/>
      <c r="Y852" s="420"/>
      <c r="Z852" s="1"/>
      <c r="AA852" s="1"/>
      <c r="AB852" s="1"/>
      <c r="AC852" s="1"/>
      <c r="AD852" s="1"/>
      <c r="AL852" s="23"/>
      <c r="AM852" s="23"/>
    </row>
    <row r="853" spans="17:39">
      <c r="Q853" s="6">
        <v>823</v>
      </c>
      <c r="R853" s="7">
        <v>43490</v>
      </c>
      <c r="S853" s="210">
        <v>4.4452054794520546</v>
      </c>
      <c r="T853" s="8">
        <v>1.0001234779299848</v>
      </c>
      <c r="U853" s="98">
        <v>4.0377942565418268</v>
      </c>
      <c r="V853" s="106">
        <v>28369.301139188621</v>
      </c>
      <c r="W853" s="10">
        <v>0.51577196504177802</v>
      </c>
      <c r="X853" s="420"/>
      <c r="Y853" s="420"/>
      <c r="Z853" s="1"/>
      <c r="AA853" s="1"/>
      <c r="AB853" s="1"/>
      <c r="AC853" s="1"/>
      <c r="AD853" s="1"/>
      <c r="AL853" s="23"/>
      <c r="AM853" s="23"/>
    </row>
    <row r="854" spans="17:39">
      <c r="Q854" s="6">
        <v>824</v>
      </c>
      <c r="R854" s="7">
        <v>43491</v>
      </c>
      <c r="S854" s="210">
        <v>4.4458904109589037</v>
      </c>
      <c r="T854" s="8">
        <v>1.0001234969558599</v>
      </c>
      <c r="U854" s="98">
        <v>4.038487366750565</v>
      </c>
      <c r="V854" s="106">
        <v>28371.662297479084</v>
      </c>
      <c r="W854" s="10">
        <v>0.51693713690539322</v>
      </c>
      <c r="X854" s="420"/>
      <c r="Y854" s="420"/>
      <c r="Z854" s="1"/>
      <c r="AA854" s="1"/>
      <c r="AB854" s="1"/>
      <c r="AC854" s="1"/>
      <c r="AD854" s="1"/>
      <c r="AL854" s="23"/>
      <c r="AM854" s="23"/>
    </row>
    <row r="855" spans="17:39">
      <c r="Q855" s="6">
        <v>825</v>
      </c>
      <c r="R855" s="7">
        <v>43492</v>
      </c>
      <c r="S855" s="210">
        <v>4.4465753424657537</v>
      </c>
      <c r="T855" s="8">
        <v>1.0001235159817352</v>
      </c>
      <c r="U855" s="98">
        <v>4.039179676935456</v>
      </c>
      <c r="V855" s="106">
        <v>28374.023652287207</v>
      </c>
      <c r="W855" s="10">
        <v>0.51810034357493429</v>
      </c>
      <c r="X855" s="420"/>
      <c r="Y855" s="420"/>
      <c r="Z855" s="1"/>
      <c r="AA855" s="1"/>
      <c r="AB855" s="1"/>
      <c r="AC855" s="1"/>
      <c r="AD855" s="1"/>
      <c r="AL855" s="23"/>
      <c r="AM855" s="23"/>
    </row>
    <row r="856" spans="17:39">
      <c r="Q856" s="6">
        <v>826</v>
      </c>
      <c r="R856" s="7">
        <v>43493</v>
      </c>
      <c r="S856" s="210">
        <v>4.4472602739726028</v>
      </c>
      <c r="T856" s="8">
        <v>1.0001235350076103</v>
      </c>
      <c r="U856" s="98">
        <v>4.0398711900028861</v>
      </c>
      <c r="V856" s="106">
        <v>28376.385203629332</v>
      </c>
      <c r="W856" s="10">
        <v>0.51926159216848511</v>
      </c>
      <c r="X856" s="420"/>
      <c r="Y856" s="420"/>
      <c r="Z856" s="1"/>
      <c r="AA856" s="1"/>
      <c r="AB856" s="1"/>
      <c r="AC856" s="1"/>
      <c r="AD856" s="1"/>
      <c r="AL856" s="23"/>
      <c r="AM856" s="23"/>
    </row>
    <row r="857" spans="17:39">
      <c r="Q857" s="6">
        <v>827</v>
      </c>
      <c r="R857" s="7">
        <v>43494</v>
      </c>
      <c r="S857" s="210">
        <v>4.4479452054794519</v>
      </c>
      <c r="T857" s="8">
        <v>1.0001235540334856</v>
      </c>
      <c r="U857" s="98">
        <v>4.0405619088452083</v>
      </c>
      <c r="V857" s="106">
        <v>28378.746951521825</v>
      </c>
      <c r="W857" s="10">
        <v>0.5204208897698237</v>
      </c>
      <c r="X857" s="420"/>
      <c r="Y857" s="420"/>
      <c r="Z857" s="1"/>
      <c r="AA857" s="1"/>
      <c r="AB857" s="1"/>
      <c r="AC857" s="1"/>
      <c r="AD857" s="1"/>
      <c r="AL857" s="23"/>
      <c r="AM857" s="23"/>
    </row>
    <row r="858" spans="17:39">
      <c r="Q858" s="6">
        <v>828</v>
      </c>
      <c r="R858" s="7">
        <v>43495</v>
      </c>
      <c r="S858" s="210">
        <v>4.4486301369863011</v>
      </c>
      <c r="T858" s="8">
        <v>1.0001235730593607</v>
      </c>
      <c r="U858" s="98">
        <v>4.0412518363408312</v>
      </c>
      <c r="V858" s="106">
        <v>28381.10889598104</v>
      </c>
      <c r="W858" s="10">
        <v>0.52157824342864423</v>
      </c>
      <c r="X858" s="420"/>
      <c r="Y858" s="420"/>
      <c r="Z858" s="1"/>
      <c r="AA858" s="1"/>
      <c r="AB858" s="1"/>
      <c r="AC858" s="1"/>
      <c r="AD858" s="1"/>
      <c r="AL858" s="23"/>
      <c r="AM858" s="23"/>
    </row>
    <row r="859" spans="17:39">
      <c r="Q859" s="6">
        <v>829</v>
      </c>
      <c r="R859" s="7">
        <v>43496</v>
      </c>
      <c r="S859" s="210">
        <v>4.4493150684931511</v>
      </c>
      <c r="T859" s="8">
        <v>1.0001235920852358</v>
      </c>
      <c r="U859" s="98">
        <v>4.0419409753542634</v>
      </c>
      <c r="V859" s="106">
        <v>28383.471037023348</v>
      </c>
      <c r="W859" s="10">
        <v>0.52273366016064582</v>
      </c>
      <c r="X859" s="420"/>
      <c r="Y859" s="420"/>
      <c r="Z859" s="1"/>
      <c r="AA859" s="1"/>
      <c r="AB859" s="1"/>
      <c r="AC859" s="1"/>
      <c r="AD859" s="1"/>
      <c r="AL859" s="23"/>
      <c r="AM859" s="23"/>
    </row>
    <row r="860" spans="17:39">
      <c r="Q860" s="6">
        <v>830</v>
      </c>
      <c r="R860" s="7">
        <v>43497</v>
      </c>
      <c r="S860" s="210">
        <v>4.45</v>
      </c>
      <c r="T860" s="8">
        <v>1.0001236111111111</v>
      </c>
      <c r="U860" s="98">
        <v>4.0426293287362691</v>
      </c>
      <c r="V860" s="106">
        <v>28385.833374665097</v>
      </c>
      <c r="W860" s="10">
        <v>0.52388714694797667</v>
      </c>
      <c r="X860" s="420"/>
      <c r="Y860" s="420"/>
      <c r="Z860" s="1"/>
      <c r="AA860" s="1"/>
      <c r="AB860" s="1"/>
      <c r="AC860" s="1"/>
      <c r="AD860" s="1"/>
      <c r="AL860" s="23"/>
      <c r="AM860" s="23"/>
    </row>
    <row r="861" spans="17:39">
      <c r="Q861" s="6">
        <v>831</v>
      </c>
      <c r="R861" s="7">
        <v>43498</v>
      </c>
      <c r="S861" s="210">
        <v>4.4506849315068493</v>
      </c>
      <c r="T861" s="8">
        <v>1.0001236301369862</v>
      </c>
      <c r="U861" s="98">
        <v>4.0433168993239121</v>
      </c>
      <c r="V861" s="106">
        <v>28388.195908922658</v>
      </c>
      <c r="W861" s="10">
        <v>0.52503871073921182</v>
      </c>
      <c r="X861" s="420"/>
      <c r="Y861" s="420"/>
      <c r="Z861" s="1"/>
      <c r="AA861" s="1"/>
      <c r="AB861" s="1"/>
      <c r="AC861" s="1"/>
      <c r="AD861" s="1"/>
      <c r="AL861" s="23"/>
      <c r="AM861" s="23"/>
    </row>
    <row r="862" spans="17:39">
      <c r="Q862" s="6">
        <v>832</v>
      </c>
      <c r="R862" s="7">
        <v>43499</v>
      </c>
      <c r="S862" s="210">
        <v>4.4513698630136984</v>
      </c>
      <c r="T862" s="8">
        <v>1.0001236491628616</v>
      </c>
      <c r="U862" s="98">
        <v>4.0440036899405785</v>
      </c>
      <c r="V862" s="106">
        <v>28390.558639812389</v>
      </c>
      <c r="W862" s="10">
        <v>0.52618835844959744</v>
      </c>
      <c r="X862" s="420"/>
      <c r="Y862" s="420"/>
      <c r="Z862" s="1"/>
      <c r="AA862" s="1"/>
      <c r="AB862" s="1"/>
      <c r="AC862" s="1"/>
      <c r="AD862" s="1"/>
      <c r="AL862" s="23"/>
      <c r="AM862" s="23"/>
    </row>
    <row r="863" spans="17:39">
      <c r="Q863" s="6">
        <v>833</v>
      </c>
      <c r="R863" s="7">
        <v>43500</v>
      </c>
      <c r="S863" s="210">
        <v>4.4520547945205475</v>
      </c>
      <c r="T863" s="8">
        <v>1.0001236681887367</v>
      </c>
      <c r="U863" s="98">
        <v>4.0446897033961537</v>
      </c>
      <c r="V863" s="106">
        <v>28392.921567350662</v>
      </c>
      <c r="W863" s="10">
        <v>0.52733609696131722</v>
      </c>
      <c r="X863" s="420"/>
      <c r="Y863" s="420"/>
      <c r="Z863" s="1"/>
      <c r="AA863" s="1"/>
      <c r="AB863" s="1"/>
      <c r="AC863" s="1"/>
      <c r="AD863" s="1"/>
      <c r="AL863" s="23"/>
      <c r="AM863" s="23"/>
    </row>
    <row r="864" spans="17:39">
      <c r="Q864" s="6">
        <v>834</v>
      </c>
      <c r="R864" s="7">
        <v>43501</v>
      </c>
      <c r="S864" s="210">
        <v>4.4527397260273975</v>
      </c>
      <c r="T864" s="8">
        <v>1.000123687214612</v>
      </c>
      <c r="U864" s="98">
        <v>4.04537494248709</v>
      </c>
      <c r="V864" s="106">
        <v>28395.284691553843</v>
      </c>
      <c r="W864" s="10">
        <v>0.52848193312369229</v>
      </c>
      <c r="X864" s="420"/>
      <c r="Y864" s="420"/>
      <c r="Z864" s="1"/>
      <c r="AA864" s="1"/>
      <c r="AB864" s="1"/>
      <c r="AC864" s="1"/>
      <c r="AD864" s="1"/>
      <c r="AL864" s="23"/>
      <c r="AM864" s="23"/>
    </row>
    <row r="865" spans="17:39">
      <c r="Q865" s="6">
        <v>835</v>
      </c>
      <c r="R865" s="7">
        <v>43502</v>
      </c>
      <c r="S865" s="210">
        <v>4.4534246575342467</v>
      </c>
      <c r="T865" s="8">
        <v>1.0001237062404871</v>
      </c>
      <c r="U865" s="98">
        <v>4.0460594099963831</v>
      </c>
      <c r="V865" s="106">
        <v>28397.648012438298</v>
      </c>
      <c r="W865" s="10">
        <v>0.52962587375324777</v>
      </c>
      <c r="X865" s="420"/>
      <c r="Y865" s="420"/>
      <c r="Z865" s="1"/>
      <c r="AA865" s="1"/>
      <c r="AB865" s="1"/>
      <c r="AC865" s="1"/>
      <c r="AD865" s="1"/>
      <c r="AL865" s="23"/>
      <c r="AM865" s="23"/>
    </row>
    <row r="866" spans="17:39">
      <c r="Q866" s="6">
        <v>836</v>
      </c>
      <c r="R866" s="7">
        <v>43503</v>
      </c>
      <c r="S866" s="210">
        <v>4.4541095890410958</v>
      </c>
      <c r="T866" s="8">
        <v>1.0001237252663622</v>
      </c>
      <c r="U866" s="98">
        <v>4.0467431086938177</v>
      </c>
      <c r="V866" s="106">
        <v>28400.011530020394</v>
      </c>
      <c r="W866" s="10">
        <v>0.53076792563411246</v>
      </c>
      <c r="X866" s="420"/>
      <c r="Y866" s="420"/>
      <c r="Z866" s="1"/>
      <c r="AA866" s="1"/>
      <c r="AB866" s="1"/>
      <c r="AC866" s="1"/>
      <c r="AD866" s="1"/>
      <c r="AL866" s="23"/>
      <c r="AM866" s="23"/>
    </row>
    <row r="867" spans="17:39">
      <c r="Q867" s="6">
        <v>837</v>
      </c>
      <c r="R867" s="7">
        <v>43504</v>
      </c>
      <c r="S867" s="210">
        <v>4.4547945205479449</v>
      </c>
      <c r="T867" s="8">
        <v>1.0001237442922375</v>
      </c>
      <c r="U867" s="98">
        <v>4.0474260413358998</v>
      </c>
      <c r="V867" s="106">
        <v>28402.37524431651</v>
      </c>
      <c r="W867" s="10">
        <v>0.53190809551804108</v>
      </c>
      <c r="X867" s="420"/>
      <c r="Y867" s="420"/>
      <c r="Z867" s="1"/>
      <c r="AA867" s="1"/>
      <c r="AB867" s="1"/>
      <c r="AC867" s="1"/>
      <c r="AD867" s="1"/>
      <c r="AL867" s="23"/>
      <c r="AM867" s="23"/>
    </row>
    <row r="868" spans="17:39">
      <c r="Q868" s="6">
        <v>838</v>
      </c>
      <c r="R868" s="7">
        <v>43505</v>
      </c>
      <c r="S868" s="210">
        <v>4.4554794520547949</v>
      </c>
      <c r="T868" s="8">
        <v>1.0001237633181126</v>
      </c>
      <c r="U868" s="98">
        <v>4.0481082106660127</v>
      </c>
      <c r="V868" s="106">
        <v>28404.739155343006</v>
      </c>
      <c r="W868" s="10">
        <v>0.53304639012463628</v>
      </c>
      <c r="X868" s="420"/>
      <c r="Y868" s="420"/>
      <c r="Z868" s="1"/>
      <c r="AA868" s="1"/>
      <c r="AB868" s="1"/>
      <c r="AC868" s="1"/>
      <c r="AD868" s="1"/>
      <c r="AL868" s="23"/>
      <c r="AM868" s="23"/>
    </row>
    <row r="869" spans="17:39">
      <c r="Q869" s="6">
        <v>839</v>
      </c>
      <c r="R869" s="7">
        <v>43506</v>
      </c>
      <c r="S869" s="210">
        <v>4.456164383561644</v>
      </c>
      <c r="T869" s="8">
        <v>1.0001237823439879</v>
      </c>
      <c r="U869" s="98">
        <v>4.0487896194144835</v>
      </c>
      <c r="V869" s="106">
        <v>28407.356572047665</v>
      </c>
      <c r="W869" s="10">
        <v>0.53379281540268941</v>
      </c>
      <c r="X869" s="420"/>
      <c r="Y869" s="420"/>
      <c r="Z869" s="1"/>
      <c r="AA869" s="1"/>
      <c r="AB869" s="1"/>
      <c r="AC869" s="1"/>
      <c r="AD869" s="1"/>
      <c r="AL869" s="23"/>
      <c r="AM869" s="23"/>
    </row>
    <row r="870" spans="17:39">
      <c r="Q870" s="6">
        <v>840</v>
      </c>
      <c r="R870" s="7">
        <v>43507</v>
      </c>
      <c r="S870" s="210">
        <v>4.4568493150684931</v>
      </c>
      <c r="T870" s="8">
        <v>1.000123801369863</v>
      </c>
      <c r="U870" s="98">
        <v>4.0494702702986274</v>
      </c>
      <c r="V870" s="106">
        <v>28409.974229939893</v>
      </c>
      <c r="W870" s="10">
        <v>0.53453830003573621</v>
      </c>
      <c r="X870" s="420"/>
      <c r="Y870" s="420"/>
      <c r="Z870" s="1"/>
      <c r="AA870" s="1"/>
      <c r="AB870" s="1"/>
      <c r="AC870" s="1"/>
      <c r="AD870" s="1"/>
      <c r="AL870" s="23"/>
      <c r="AM870" s="23"/>
    </row>
    <row r="871" spans="17:39">
      <c r="Q871" s="6">
        <v>841</v>
      </c>
      <c r="R871" s="7">
        <v>43508</v>
      </c>
      <c r="S871" s="210">
        <v>4.4575342465753423</v>
      </c>
      <c r="T871" s="8">
        <v>1.0001238203957381</v>
      </c>
      <c r="U871" s="98">
        <v>4.0501501660228811</v>
      </c>
      <c r="V871" s="106">
        <v>28412.592129041932</v>
      </c>
      <c r="W871" s="10">
        <v>0.53528284737793808</v>
      </c>
      <c r="X871" s="420"/>
      <c r="Y871" s="420"/>
      <c r="Z871" s="1"/>
      <c r="AA871" s="1"/>
      <c r="AB871" s="1"/>
      <c r="AC871" s="1"/>
      <c r="AD871" s="1"/>
      <c r="AL871" s="23"/>
      <c r="AM871" s="23"/>
    </row>
    <row r="872" spans="17:39">
      <c r="Q872" s="6">
        <v>842</v>
      </c>
      <c r="R872" s="7">
        <v>43509</v>
      </c>
      <c r="S872" s="210">
        <v>4.4582191780821914</v>
      </c>
      <c r="T872" s="8">
        <v>1.0001238394216134</v>
      </c>
      <c r="U872" s="98">
        <v>4.0508293092788694</v>
      </c>
      <c r="V872" s="106">
        <v>28415.210269375992</v>
      </c>
      <c r="W872" s="10">
        <v>0.53602646076766902</v>
      </c>
      <c r="X872" s="420"/>
      <c r="Y872" s="420"/>
      <c r="Z872" s="1"/>
      <c r="AA872" s="1"/>
      <c r="AB872" s="1"/>
      <c r="AC872" s="1"/>
      <c r="AD872" s="1"/>
      <c r="AL872" s="23"/>
      <c r="AM872" s="23"/>
    </row>
    <row r="873" spans="17:39">
      <c r="Q873" s="6">
        <v>843</v>
      </c>
      <c r="R873" s="7">
        <v>43510</v>
      </c>
      <c r="S873" s="210">
        <v>4.4589041095890414</v>
      </c>
      <c r="T873" s="8">
        <v>1.0001238584474885</v>
      </c>
      <c r="U873" s="98">
        <v>4.0515077027454049</v>
      </c>
      <c r="V873" s="106">
        <v>28417.828650964308</v>
      </c>
      <c r="W873" s="10">
        <v>0.53676914352742688</v>
      </c>
      <c r="X873" s="420"/>
      <c r="Y873" s="420"/>
      <c r="Z873" s="1"/>
      <c r="AA873" s="1"/>
      <c r="AB873" s="1"/>
      <c r="AC873" s="1"/>
      <c r="AD873" s="1"/>
      <c r="AL873" s="23"/>
      <c r="AM873" s="23"/>
    </row>
    <row r="874" spans="17:39">
      <c r="Q874" s="6">
        <v>844</v>
      </c>
      <c r="R874" s="7">
        <v>43511</v>
      </c>
      <c r="S874" s="210">
        <v>4.4595890410958905</v>
      </c>
      <c r="T874" s="8">
        <v>1.0001238774733638</v>
      </c>
      <c r="U874" s="98">
        <v>4.0521853490886661</v>
      </c>
      <c r="V874" s="106">
        <v>28420.447273829119</v>
      </c>
      <c r="W874" s="10">
        <v>0.53751089896398874</v>
      </c>
      <c r="X874" s="420"/>
      <c r="Y874" s="420"/>
      <c r="Z874" s="1"/>
      <c r="AA874" s="1"/>
      <c r="AB874" s="1"/>
      <c r="AC874" s="1"/>
      <c r="AD874" s="1"/>
      <c r="AL874" s="23"/>
      <c r="AM874" s="23"/>
    </row>
    <row r="875" spans="17:39">
      <c r="Q875" s="6">
        <v>845</v>
      </c>
      <c r="R875" s="7">
        <v>43512</v>
      </c>
      <c r="S875" s="210">
        <v>4.4602739726027396</v>
      </c>
      <c r="T875" s="8">
        <v>1.0001238964992389</v>
      </c>
      <c r="U875" s="98">
        <v>4.052862250962197</v>
      </c>
      <c r="V875" s="106">
        <v>28423.06613799265</v>
      </c>
      <c r="W875" s="10">
        <v>0.53825173036845531</v>
      </c>
      <c r="X875" s="420"/>
      <c r="Y875" s="420"/>
      <c r="Z875" s="1"/>
      <c r="AA875" s="1"/>
      <c r="AB875" s="1"/>
      <c r="AC875" s="1"/>
      <c r="AD875" s="1"/>
      <c r="AL875" s="23"/>
      <c r="AM875" s="23"/>
    </row>
    <row r="876" spans="17:39">
      <c r="Q876" s="6">
        <v>846</v>
      </c>
      <c r="R876" s="7">
        <v>43513</v>
      </c>
      <c r="S876" s="210">
        <v>4.4609589041095887</v>
      </c>
      <c r="T876" s="8">
        <v>1.0001239155251143</v>
      </c>
      <c r="U876" s="98">
        <v>4.0535384110070405</v>
      </c>
      <c r="V876" s="106">
        <v>28425.685243477135</v>
      </c>
      <c r="W876" s="10">
        <v>0.53899164101651742</v>
      </c>
      <c r="X876" s="420"/>
      <c r="Y876" s="420"/>
      <c r="Z876" s="1"/>
      <c r="AA876" s="1"/>
      <c r="AB876" s="1"/>
      <c r="AC876" s="1"/>
      <c r="AD876" s="1"/>
      <c r="AL876" s="23"/>
      <c r="AM876" s="23"/>
    </row>
    <row r="877" spans="17:39">
      <c r="Q877" s="6">
        <v>847</v>
      </c>
      <c r="R877" s="7">
        <v>43514</v>
      </c>
      <c r="S877" s="210">
        <v>4.4616438356164387</v>
      </c>
      <c r="T877" s="8">
        <v>1.0001239345509894</v>
      </c>
      <c r="U877" s="98">
        <v>4.0542138318517607</v>
      </c>
      <c r="V877" s="106">
        <v>28428.304590304811</v>
      </c>
      <c r="W877" s="10">
        <v>0.53973063416832279</v>
      </c>
      <c r="X877" s="420"/>
      <c r="Y877" s="420"/>
      <c r="Z877" s="1"/>
      <c r="AA877" s="1"/>
      <c r="AB877" s="1"/>
      <c r="AC877" s="1"/>
      <c r="AD877" s="1"/>
      <c r="AL877" s="23"/>
      <c r="AM877" s="23"/>
    </row>
    <row r="878" spans="17:39">
      <c r="Q878" s="6">
        <v>848</v>
      </c>
      <c r="R878" s="7">
        <v>43515</v>
      </c>
      <c r="S878" s="210">
        <v>4.4623287671232879</v>
      </c>
      <c r="T878" s="8">
        <v>1.0001239535768645</v>
      </c>
      <c r="U878" s="98">
        <v>4.0548885161125536</v>
      </c>
      <c r="V878" s="106">
        <v>28430.924178497917</v>
      </c>
      <c r="W878" s="10">
        <v>0.54046871306869804</v>
      </c>
      <c r="X878" s="420"/>
      <c r="Y878" s="420"/>
      <c r="Z878" s="1"/>
      <c r="AA878" s="1"/>
      <c r="AB878" s="1"/>
      <c r="AC878" s="1"/>
      <c r="AD878" s="1"/>
      <c r="AL878" s="23"/>
      <c r="AM878" s="23"/>
    </row>
    <row r="879" spans="17:39">
      <c r="Q879" s="6">
        <v>849</v>
      </c>
      <c r="R879" s="7">
        <v>43516</v>
      </c>
      <c r="S879" s="210">
        <v>4.463013698630137</v>
      </c>
      <c r="T879" s="8">
        <v>1.0001239726027398</v>
      </c>
      <c r="U879" s="98">
        <v>4.0555624663932699</v>
      </c>
      <c r="V879" s="106">
        <v>28433.544008078701</v>
      </c>
      <c r="W879" s="10">
        <v>0.54120588094714872</v>
      </c>
      <c r="X879" s="420"/>
      <c r="Y879" s="420"/>
      <c r="Z879" s="1"/>
      <c r="AA879" s="1"/>
      <c r="AB879" s="1"/>
      <c r="AC879" s="1"/>
      <c r="AD879" s="1"/>
      <c r="AL879" s="23"/>
      <c r="AM879" s="23"/>
    </row>
    <row r="880" spans="17:39">
      <c r="Q880" s="6">
        <v>850</v>
      </c>
      <c r="R880" s="7">
        <v>43517</v>
      </c>
      <c r="S880" s="210">
        <v>4.4636986301369861</v>
      </c>
      <c r="T880" s="8">
        <v>1.0001239916286149</v>
      </c>
      <c r="U880" s="98">
        <v>4.0562356852855697</v>
      </c>
      <c r="V880" s="106">
        <v>28436.164079069407</v>
      </c>
      <c r="W880" s="10">
        <v>0.54194214101810356</v>
      </c>
      <c r="X880" s="420"/>
      <c r="Y880" s="420"/>
      <c r="Z880" s="1"/>
      <c r="AA880" s="1"/>
      <c r="AB880" s="1"/>
      <c r="AC880" s="1"/>
      <c r="AD880" s="1"/>
      <c r="AL880" s="23"/>
      <c r="AM880" s="23"/>
    </row>
    <row r="881" spans="17:39">
      <c r="Q881" s="6">
        <v>851</v>
      </c>
      <c r="R881" s="7">
        <v>43518</v>
      </c>
      <c r="S881" s="210">
        <v>4.4643835616438352</v>
      </c>
      <c r="T881" s="8">
        <v>1.0001240106544902</v>
      </c>
      <c r="U881" s="98">
        <v>4.0569081753689229</v>
      </c>
      <c r="V881" s="106">
        <v>28438.784391492267</v>
      </c>
      <c r="W881" s="10">
        <v>0.54267749648087005</v>
      </c>
      <c r="X881" s="420"/>
      <c r="Y881" s="420"/>
      <c r="Z881" s="1"/>
      <c r="AA881" s="1"/>
      <c r="AB881" s="1"/>
      <c r="AC881" s="1"/>
      <c r="AD881" s="1"/>
      <c r="AL881" s="23"/>
      <c r="AM881" s="23"/>
    </row>
    <row r="882" spans="17:39">
      <c r="Q882" s="6">
        <v>852</v>
      </c>
      <c r="R882" s="7">
        <v>43519</v>
      </c>
      <c r="S882" s="210">
        <v>4.4650684931506852</v>
      </c>
      <c r="T882" s="8">
        <v>1.0001240296803653</v>
      </c>
      <c r="U882" s="98">
        <v>4.0575799392107204</v>
      </c>
      <c r="V882" s="106">
        <v>28441.404945369537</v>
      </c>
      <c r="W882" s="10">
        <v>0.54341195051974545</v>
      </c>
      <c r="X882" s="420"/>
      <c r="Y882" s="420"/>
      <c r="Z882" s="1"/>
      <c r="AA882" s="1"/>
      <c r="AB882" s="1"/>
      <c r="AC882" s="1"/>
      <c r="AD882" s="1"/>
      <c r="AL882" s="23"/>
      <c r="AM882" s="23"/>
    </row>
    <row r="883" spans="17:39">
      <c r="Q883" s="6">
        <v>853</v>
      </c>
      <c r="R883" s="7">
        <v>43520</v>
      </c>
      <c r="S883" s="210">
        <v>4.4657534246575343</v>
      </c>
      <c r="T883" s="8">
        <v>1.0001240487062404</v>
      </c>
      <c r="U883" s="98">
        <v>4.058250979366318</v>
      </c>
      <c r="V883" s="106">
        <v>28444.025740723464</v>
      </c>
      <c r="W883" s="10">
        <v>0.54414550630412784</v>
      </c>
      <c r="X883" s="420"/>
      <c r="Y883" s="420"/>
      <c r="Z883" s="1"/>
      <c r="AA883" s="1"/>
      <c r="AB883" s="1"/>
      <c r="AC883" s="1"/>
      <c r="AD883" s="1"/>
      <c r="AL883" s="23"/>
      <c r="AM883" s="23"/>
    </row>
    <row r="884" spans="17:39">
      <c r="Q884" s="6">
        <v>854</v>
      </c>
      <c r="R884" s="7">
        <v>43521</v>
      </c>
      <c r="S884" s="210">
        <v>4.4664383561643834</v>
      </c>
      <c r="T884" s="8">
        <v>1.0001240677321157</v>
      </c>
      <c r="U884" s="98">
        <v>4.0589212983791034</v>
      </c>
      <c r="V884" s="106">
        <v>28446.646777576305</v>
      </c>
      <c r="W884" s="10">
        <v>0.54487816698858271</v>
      </c>
      <c r="X884" s="420"/>
      <c r="Y884" s="420"/>
      <c r="Z884" s="1"/>
      <c r="AA884" s="1"/>
      <c r="AB884" s="1"/>
      <c r="AC884" s="1"/>
      <c r="AD884" s="1"/>
      <c r="AL884" s="23"/>
      <c r="AM884" s="23"/>
    </row>
    <row r="885" spans="17:39">
      <c r="Q885" s="6">
        <v>855</v>
      </c>
      <c r="R885" s="7">
        <v>43522</v>
      </c>
      <c r="S885" s="210">
        <v>4.4671232876712326</v>
      </c>
      <c r="T885" s="8">
        <v>1.0001240867579908</v>
      </c>
      <c r="U885" s="98">
        <v>4.0595908987806073</v>
      </c>
      <c r="V885" s="106">
        <v>28449.26805595031</v>
      </c>
      <c r="W885" s="10">
        <v>0.54560993571297622</v>
      </c>
      <c r="X885" s="420"/>
      <c r="Y885" s="420"/>
      <c r="Z885" s="1"/>
      <c r="AA885" s="1"/>
      <c r="AB885" s="1"/>
      <c r="AC885" s="1"/>
      <c r="AD885" s="1"/>
      <c r="AL885" s="23"/>
      <c r="AM885" s="23"/>
    </row>
    <row r="886" spans="17:39">
      <c r="Q886" s="6">
        <v>856</v>
      </c>
      <c r="R886" s="7">
        <v>43523</v>
      </c>
      <c r="S886" s="210">
        <v>4.4678082191780826</v>
      </c>
      <c r="T886" s="8">
        <v>1.0001241057838661</v>
      </c>
      <c r="U886" s="98">
        <v>4.0602597830905029</v>
      </c>
      <c r="V886" s="106">
        <v>28451.889575867732</v>
      </c>
      <c r="W886" s="10">
        <v>0.54634081560245296</v>
      </c>
      <c r="X886" s="420"/>
      <c r="Y886" s="420"/>
      <c r="Z886" s="1"/>
      <c r="AA886" s="1"/>
      <c r="AB886" s="1"/>
      <c r="AC886" s="1"/>
      <c r="AD886" s="1"/>
      <c r="AL886" s="23"/>
      <c r="AM886" s="23"/>
    </row>
    <row r="887" spans="17:39">
      <c r="Q887" s="6">
        <v>857</v>
      </c>
      <c r="R887" s="7">
        <v>43524</v>
      </c>
      <c r="S887" s="210">
        <v>4.4684931506849317</v>
      </c>
      <c r="T887" s="8">
        <v>1.0001241248097412</v>
      </c>
      <c r="U887" s="98">
        <v>4.0609279538167842</v>
      </c>
      <c r="V887" s="106">
        <v>28454.511337350825</v>
      </c>
      <c r="W887" s="10">
        <v>0.54707080976770239</v>
      </c>
      <c r="X887" s="420"/>
      <c r="Y887" s="420"/>
      <c r="Z887" s="1"/>
      <c r="AA887" s="1"/>
      <c r="AB887" s="1"/>
      <c r="AC887" s="1"/>
      <c r="AD887" s="1"/>
      <c r="AL887" s="23"/>
      <c r="AM887" s="23"/>
    </row>
    <row r="888" spans="17:39">
      <c r="Q888" s="6">
        <v>858</v>
      </c>
      <c r="R888" s="7">
        <v>43525</v>
      </c>
      <c r="S888" s="210">
        <v>4.4691780821917808</v>
      </c>
      <c r="T888" s="8">
        <v>1.0001241438356165</v>
      </c>
      <c r="U888" s="98">
        <v>4.0615954134557208</v>
      </c>
      <c r="V888" s="106">
        <v>28457.133340421857</v>
      </c>
      <c r="W888" s="10">
        <v>0.54779992130484789</v>
      </c>
      <c r="X888" s="420"/>
      <c r="Y888" s="420"/>
      <c r="Z888" s="1"/>
      <c r="AA888" s="1"/>
      <c r="AB888" s="1"/>
      <c r="AC888" s="1"/>
      <c r="AD888" s="1"/>
      <c r="AL888" s="23"/>
      <c r="AM888" s="23"/>
    </row>
    <row r="889" spans="17:39">
      <c r="Q889" s="6">
        <v>859</v>
      </c>
      <c r="R889" s="7">
        <v>43526</v>
      </c>
      <c r="S889" s="210">
        <v>4.4698630136986299</v>
      </c>
      <c r="T889" s="8">
        <v>1.0001241628614916</v>
      </c>
      <c r="U889" s="98">
        <v>4.0622621644919699</v>
      </c>
      <c r="V889" s="106">
        <v>28459.755585103088</v>
      </c>
      <c r="W889" s="10">
        <v>0.54852815329564653</v>
      </c>
      <c r="X889" s="420"/>
      <c r="Y889" s="420"/>
      <c r="Z889" s="1"/>
      <c r="AA889" s="1"/>
      <c r="AB889" s="1"/>
      <c r="AC889" s="1"/>
      <c r="AD889" s="1"/>
      <c r="AL889" s="23"/>
      <c r="AM889" s="23"/>
    </row>
    <row r="890" spans="17:39">
      <c r="Q890" s="6">
        <v>860</v>
      </c>
      <c r="R890" s="7">
        <v>43527</v>
      </c>
      <c r="S890" s="210">
        <v>4.470547945205479</v>
      </c>
      <c r="T890" s="8">
        <v>1.0001241818873667</v>
      </c>
      <c r="U890" s="98">
        <v>4.0629282093986641</v>
      </c>
      <c r="V890" s="106">
        <v>28462.378071416781</v>
      </c>
      <c r="W890" s="10">
        <v>0.54925550880751128</v>
      </c>
      <c r="X890" s="420"/>
      <c r="Y890" s="420"/>
      <c r="Z890" s="1"/>
      <c r="AA890" s="1"/>
      <c r="AB890" s="1"/>
      <c r="AC890" s="1"/>
      <c r="AD890" s="1"/>
      <c r="AL890" s="23"/>
      <c r="AM890" s="23"/>
    </row>
    <row r="891" spans="17:39">
      <c r="Q891" s="6">
        <v>861</v>
      </c>
      <c r="R891" s="7">
        <v>43528</v>
      </c>
      <c r="S891" s="210">
        <v>4.4712328767123291</v>
      </c>
      <c r="T891" s="8">
        <v>1.0001242009132421</v>
      </c>
      <c r="U891" s="98">
        <v>4.0635935506374565</v>
      </c>
      <c r="V891" s="106">
        <v>28465.000799385201</v>
      </c>
      <c r="W891" s="10">
        <v>0.54998199089373312</v>
      </c>
      <c r="X891" s="420"/>
      <c r="Y891" s="420"/>
      <c r="Z891" s="1"/>
      <c r="AA891" s="1"/>
      <c r="AB891" s="1"/>
      <c r="AC891" s="1"/>
      <c r="AD891" s="1"/>
      <c r="AL891" s="23"/>
      <c r="AM891" s="23"/>
    </row>
    <row r="892" spans="17:39">
      <c r="Q892" s="6">
        <v>862</v>
      </c>
      <c r="R892" s="7">
        <v>43529</v>
      </c>
      <c r="S892" s="210">
        <v>4.4719178082191782</v>
      </c>
      <c r="T892" s="8">
        <v>1.0001242199391172</v>
      </c>
      <c r="U892" s="98">
        <v>4.0642581906586095</v>
      </c>
      <c r="V892" s="106">
        <v>28467.623769030612</v>
      </c>
      <c r="W892" s="10">
        <v>0.55070760259336993</v>
      </c>
      <c r="X892" s="420"/>
      <c r="Y892" s="420"/>
      <c r="Z892" s="1"/>
      <c r="AA892" s="1"/>
      <c r="AB892" s="1"/>
      <c r="AC892" s="1"/>
      <c r="AD892" s="1"/>
      <c r="AL892" s="23"/>
      <c r="AM892" s="23"/>
    </row>
    <row r="893" spans="17:39">
      <c r="Q893" s="6">
        <v>863</v>
      </c>
      <c r="R893" s="7">
        <v>43530</v>
      </c>
      <c r="S893" s="210">
        <v>4.4726027397260273</v>
      </c>
      <c r="T893" s="8">
        <v>1.0001242389649925</v>
      </c>
      <c r="U893" s="98">
        <v>4.0649221319010165</v>
      </c>
      <c r="V893" s="106">
        <v>28470.24698037529</v>
      </c>
      <c r="W893" s="10">
        <v>0.55143234693140197</v>
      </c>
      <c r="X893" s="420"/>
      <c r="Y893" s="420"/>
      <c r="Z893" s="1"/>
      <c r="AA893" s="1"/>
      <c r="AB893" s="1"/>
      <c r="AC893" s="1"/>
      <c r="AD893" s="1"/>
      <c r="AL893" s="23"/>
      <c r="AM893" s="23"/>
    </row>
    <row r="894" spans="17:39">
      <c r="Q894" s="6">
        <v>864</v>
      </c>
      <c r="R894" s="7">
        <v>43531</v>
      </c>
      <c r="S894" s="210">
        <v>4.4732876712328764</v>
      </c>
      <c r="T894" s="8">
        <v>1.0001242579908676</v>
      </c>
      <c r="U894" s="98">
        <v>4.0655853767922912</v>
      </c>
      <c r="V894" s="106">
        <v>28472.870433441505</v>
      </c>
      <c r="W894" s="10">
        <v>0.55215622691888733</v>
      </c>
      <c r="X894" s="420"/>
      <c r="Y894" s="420"/>
      <c r="Z894" s="1"/>
      <c r="AA894" s="1"/>
      <c r="AB894" s="1"/>
      <c r="AC894" s="1"/>
      <c r="AD894" s="1"/>
      <c r="AL894" s="23"/>
      <c r="AM894" s="23"/>
    </row>
    <row r="895" spans="17:39">
      <c r="Q895" s="6">
        <v>865</v>
      </c>
      <c r="R895" s="7">
        <v>43532</v>
      </c>
      <c r="S895" s="210">
        <v>4.4739726027397264</v>
      </c>
      <c r="T895" s="8">
        <v>1.0001242770167427</v>
      </c>
      <c r="U895" s="98">
        <v>4.0662479277488561</v>
      </c>
      <c r="V895" s="106">
        <v>28475.494128251528</v>
      </c>
      <c r="W895" s="10">
        <v>0.55287924555293966</v>
      </c>
      <c r="X895" s="420"/>
      <c r="Y895" s="420"/>
      <c r="Z895" s="1"/>
      <c r="AA895" s="1"/>
      <c r="AB895" s="1"/>
      <c r="AC895" s="1"/>
      <c r="AD895" s="1"/>
      <c r="AL895" s="23"/>
      <c r="AM895" s="23"/>
    </row>
    <row r="896" spans="17:39">
      <c r="Q896" s="6">
        <v>866</v>
      </c>
      <c r="R896" s="7">
        <v>43533</v>
      </c>
      <c r="S896" s="210">
        <v>4.4746575342465755</v>
      </c>
      <c r="T896" s="8">
        <v>1.000124296042618</v>
      </c>
      <c r="U896" s="98">
        <v>4.0669097871759652</v>
      </c>
      <c r="V896" s="106">
        <v>28478.118064827642</v>
      </c>
      <c r="W896" s="10">
        <v>0.55360140581683925</v>
      </c>
      <c r="X896" s="420"/>
      <c r="Y896" s="420"/>
      <c r="Z896" s="1"/>
      <c r="AA896" s="1"/>
      <c r="AB896" s="1"/>
      <c r="AC896" s="1"/>
      <c r="AD896" s="1"/>
      <c r="AL896" s="23"/>
      <c r="AM896" s="23"/>
    </row>
    <row r="897" spans="17:39">
      <c r="Q897" s="6">
        <v>867</v>
      </c>
      <c r="R897" s="7">
        <v>43534</v>
      </c>
      <c r="S897" s="210">
        <v>4.4753424657534246</v>
      </c>
      <c r="T897" s="8">
        <v>1.0001243150684931</v>
      </c>
      <c r="U897" s="98">
        <v>4.0675709574678143</v>
      </c>
      <c r="V897" s="106">
        <v>28480.488279879319</v>
      </c>
      <c r="W897" s="10">
        <v>0.55470019328549558</v>
      </c>
      <c r="X897" s="420"/>
      <c r="Y897" s="420"/>
      <c r="Z897" s="1"/>
      <c r="AA897" s="1"/>
      <c r="AB897" s="1"/>
      <c r="AC897" s="1"/>
      <c r="AD897" s="1"/>
      <c r="AL897" s="23"/>
      <c r="AM897" s="23"/>
    </row>
    <row r="898" spans="17:39">
      <c r="Q898" s="6">
        <v>868</v>
      </c>
      <c r="R898" s="7">
        <v>43535</v>
      </c>
      <c r="S898" s="210">
        <v>4.4760273972602738</v>
      </c>
      <c r="T898" s="8">
        <v>1.0001243340943684</v>
      </c>
      <c r="U898" s="98">
        <v>4.0682314410075859</v>
      </c>
      <c r="V898" s="106">
        <v>28482.858692202433</v>
      </c>
      <c r="W898" s="10">
        <v>0.55579726534906726</v>
      </c>
      <c r="X898" s="420"/>
      <c r="Y898" s="420"/>
      <c r="Z898" s="1"/>
      <c r="AA898" s="1"/>
      <c r="AB898" s="1"/>
      <c r="AC898" s="1"/>
      <c r="AD898" s="1"/>
      <c r="AL898" s="23"/>
      <c r="AM898" s="23"/>
    </row>
    <row r="899" spans="17:39">
      <c r="Q899" s="6">
        <v>869</v>
      </c>
      <c r="R899" s="7">
        <v>43536</v>
      </c>
      <c r="S899" s="210">
        <v>4.4767123287671229</v>
      </c>
      <c r="T899" s="8">
        <v>1.0001243531202435</v>
      </c>
      <c r="U899" s="98">
        <v>4.0688912401674493</v>
      </c>
      <c r="V899" s="106">
        <v>28485.229301813411</v>
      </c>
      <c r="W899" s="10">
        <v>0.55689262791462912</v>
      </c>
      <c r="X899" s="420"/>
      <c r="Y899" s="420"/>
      <c r="Z899" s="1"/>
      <c r="AA899" s="1"/>
      <c r="AB899" s="1"/>
      <c r="AC899" s="1"/>
      <c r="AD899" s="1"/>
      <c r="AL899" s="23"/>
      <c r="AM899" s="23"/>
    </row>
    <row r="900" spans="17:39">
      <c r="Q900" s="6">
        <v>870</v>
      </c>
      <c r="R900" s="7">
        <v>43537</v>
      </c>
      <c r="S900" s="210">
        <v>4.4773972602739729</v>
      </c>
      <c r="T900" s="8">
        <v>1.0001243721461188</v>
      </c>
      <c r="U900" s="98">
        <v>4.0695503573087377</v>
      </c>
      <c r="V900" s="106">
        <v>28487.600108728671</v>
      </c>
      <c r="W900" s="10">
        <v>0.55798628686218876</v>
      </c>
      <c r="X900" s="420"/>
      <c r="Y900" s="420"/>
      <c r="Z900" s="1"/>
      <c r="AA900" s="1"/>
      <c r="AB900" s="1"/>
      <c r="AC900" s="1"/>
      <c r="AD900" s="1"/>
      <c r="AL900" s="23"/>
      <c r="AM900" s="23"/>
    </row>
    <row r="901" spans="17:39">
      <c r="Q901" s="6">
        <v>871</v>
      </c>
      <c r="R901" s="7">
        <v>43538</v>
      </c>
      <c r="S901" s="210">
        <v>4.478082191780822</v>
      </c>
      <c r="T901" s="8">
        <v>1.0001243911719939</v>
      </c>
      <c r="U901" s="98">
        <v>4.0702087947819265</v>
      </c>
      <c r="V901" s="106">
        <v>28489.971112964628</v>
      </c>
      <c r="W901" s="10">
        <v>0.55907824804484196</v>
      </c>
      <c r="X901" s="420"/>
      <c r="Y901" s="420"/>
      <c r="Z901" s="1"/>
      <c r="AA901" s="1"/>
      <c r="AB901" s="1"/>
      <c r="AC901" s="1"/>
      <c r="AD901" s="1"/>
      <c r="AL901" s="23"/>
      <c r="AM901" s="23"/>
    </row>
    <row r="902" spans="17:39">
      <c r="Q902" s="6">
        <v>872</v>
      </c>
      <c r="R902" s="7">
        <v>43539</v>
      </c>
      <c r="S902" s="210">
        <v>4.4787671232876711</v>
      </c>
      <c r="T902" s="8">
        <v>1.000124410197869</v>
      </c>
      <c r="U902" s="98">
        <v>4.0708665549267442</v>
      </c>
      <c r="V902" s="106">
        <v>28492.342314537713</v>
      </c>
      <c r="W902" s="10">
        <v>0.56016851728892814</v>
      </c>
      <c r="X902" s="420"/>
      <c r="Y902" s="420"/>
      <c r="Z902" s="1"/>
      <c r="AA902" s="1"/>
      <c r="AB902" s="1"/>
      <c r="AC902" s="1"/>
      <c r="AD902" s="1"/>
      <c r="AL902" s="23"/>
      <c r="AM902" s="23"/>
    </row>
    <row r="903" spans="17:39">
      <c r="Q903" s="6">
        <v>873</v>
      </c>
      <c r="R903" s="7">
        <v>43540</v>
      </c>
      <c r="S903" s="210">
        <v>4.4794520547945202</v>
      </c>
      <c r="T903" s="8">
        <v>1.0001244292237443</v>
      </c>
      <c r="U903" s="98">
        <v>4.0715236400721944</v>
      </c>
      <c r="V903" s="106">
        <v>28494.713713464342</v>
      </c>
      <c r="W903" s="10">
        <v>0.56125710039420795</v>
      </c>
      <c r="X903" s="420"/>
      <c r="Y903" s="420"/>
      <c r="Z903" s="1"/>
      <c r="AA903" s="1"/>
      <c r="AB903" s="1"/>
      <c r="AC903" s="1"/>
      <c r="AD903" s="1"/>
      <c r="AL903" s="23"/>
      <c r="AM903" s="23"/>
    </row>
    <row r="904" spans="17:39">
      <c r="Q904" s="6">
        <v>874</v>
      </c>
      <c r="R904" s="7">
        <v>43541</v>
      </c>
      <c r="S904" s="210">
        <v>4.4801369863013702</v>
      </c>
      <c r="T904" s="8">
        <v>1.0001244482496194</v>
      </c>
      <c r="U904" s="98">
        <v>4.0721800525366225</v>
      </c>
      <c r="V904" s="106">
        <v>28497.085309760947</v>
      </c>
      <c r="W904" s="10">
        <v>0.56234400313392996</v>
      </c>
      <c r="X904" s="420"/>
      <c r="Y904" s="420"/>
      <c r="Z904" s="1"/>
      <c r="AA904" s="1"/>
      <c r="AB904" s="1"/>
      <c r="AC904" s="1"/>
      <c r="AD904" s="1"/>
      <c r="AL904" s="23"/>
      <c r="AM904" s="23"/>
    </row>
    <row r="905" spans="17:39">
      <c r="Q905" s="6">
        <v>875</v>
      </c>
      <c r="R905" s="7">
        <v>43542</v>
      </c>
      <c r="S905" s="210">
        <v>4.4808219178082194</v>
      </c>
      <c r="T905" s="8">
        <v>1.0001244672754948</v>
      </c>
      <c r="U905" s="98">
        <v>4.0728357946278493</v>
      </c>
      <c r="V905" s="106">
        <v>28499.457103443954</v>
      </c>
      <c r="W905" s="10">
        <v>0.56342923125507482</v>
      </c>
      <c r="X905" s="420"/>
      <c r="Y905" s="420"/>
      <c r="Z905" s="1"/>
      <c r="AA905" s="1"/>
      <c r="AB905" s="1"/>
      <c r="AC905" s="1"/>
      <c r="AD905" s="1"/>
      <c r="AL905" s="23"/>
      <c r="AM905" s="23"/>
    </row>
    <row r="906" spans="17:39">
      <c r="Q906" s="6">
        <v>876</v>
      </c>
      <c r="R906" s="7">
        <v>43543</v>
      </c>
      <c r="S906" s="210">
        <v>4.4815068493150685</v>
      </c>
      <c r="T906" s="8">
        <v>1.0001244863013699</v>
      </c>
      <c r="U906" s="98">
        <v>4.0734908686430815</v>
      </c>
      <c r="V906" s="106">
        <v>28501.829094529789</v>
      </c>
      <c r="W906" s="10">
        <v>0.56451279047839975</v>
      </c>
      <c r="X906" s="420"/>
      <c r="Y906" s="420"/>
      <c r="Z906" s="1"/>
      <c r="AA906" s="1"/>
      <c r="AB906" s="1"/>
      <c r="AC906" s="1"/>
      <c r="AD906" s="1"/>
      <c r="AL906" s="23"/>
      <c r="AM906" s="23"/>
    </row>
    <row r="907" spans="17:39">
      <c r="Q907" s="6">
        <v>877</v>
      </c>
      <c r="R907" s="7">
        <v>43544</v>
      </c>
      <c r="S907" s="210">
        <v>4.4821917808219176</v>
      </c>
      <c r="T907" s="8">
        <v>1.000124505327245</v>
      </c>
      <c r="U907" s="98">
        <v>4.0741452768691344</v>
      </c>
      <c r="V907" s="106">
        <v>28504.20128303489</v>
      </c>
      <c r="W907" s="10">
        <v>0.56559468649872713</v>
      </c>
      <c r="X907" s="420"/>
      <c r="Y907" s="420"/>
      <c r="Z907" s="1"/>
      <c r="AA907" s="1"/>
      <c r="AB907" s="1"/>
      <c r="AC907" s="1"/>
      <c r="AD907" s="1"/>
      <c r="AL907" s="23"/>
      <c r="AM907" s="23"/>
    </row>
    <row r="908" spans="17:39">
      <c r="Q908" s="6">
        <v>878</v>
      </c>
      <c r="R908" s="7">
        <v>43545</v>
      </c>
      <c r="S908" s="210">
        <v>4.4828767123287667</v>
      </c>
      <c r="T908" s="8">
        <v>1.0001245243531203</v>
      </c>
      <c r="U908" s="98">
        <v>4.0747990215823648</v>
      </c>
      <c r="V908" s="106">
        <v>28506.57366897567</v>
      </c>
      <c r="W908" s="10">
        <v>0.56667492498503336</v>
      </c>
      <c r="X908" s="420"/>
      <c r="Y908" s="420"/>
      <c r="Z908" s="1"/>
      <c r="AA908" s="1"/>
      <c r="AB908" s="1"/>
      <c r="AC908" s="1"/>
      <c r="AD908" s="1"/>
      <c r="AL908" s="23"/>
      <c r="AM908" s="23"/>
    </row>
    <row r="909" spans="17:39">
      <c r="Q909" s="6">
        <v>879</v>
      </c>
      <c r="R909" s="7">
        <v>43546</v>
      </c>
      <c r="S909" s="210">
        <v>4.4835616438356167</v>
      </c>
      <c r="T909" s="8">
        <v>1.0001245433789954</v>
      </c>
      <c r="U909" s="98">
        <v>4.0754521050488268</v>
      </c>
      <c r="V909" s="106">
        <v>28508.946252368583</v>
      </c>
      <c r="W909" s="10">
        <v>0.56775351158044884</v>
      </c>
      <c r="X909" s="420"/>
      <c r="Y909" s="420"/>
      <c r="Z909" s="1"/>
      <c r="AA909" s="1"/>
      <c r="AB909" s="1"/>
      <c r="AC909" s="1"/>
      <c r="AD909" s="1"/>
      <c r="AL909" s="23"/>
      <c r="AM909" s="23"/>
    </row>
    <row r="910" spans="17:39">
      <c r="Q910" s="6">
        <v>880</v>
      </c>
      <c r="R910" s="7">
        <v>43547</v>
      </c>
      <c r="S910" s="210">
        <v>4.4842465753424658</v>
      </c>
      <c r="T910" s="8">
        <v>1.0001245624048707</v>
      </c>
      <c r="U910" s="98">
        <v>4.0761045295242715</v>
      </c>
      <c r="V910" s="106">
        <v>28511.319033230047</v>
      </c>
      <c r="W910" s="10">
        <v>0.5688304519027243</v>
      </c>
      <c r="X910" s="420"/>
      <c r="Y910" s="420"/>
      <c r="Z910" s="1"/>
      <c r="AA910" s="1"/>
      <c r="AB910" s="1"/>
      <c r="AC910" s="1"/>
      <c r="AD910" s="1"/>
      <c r="AL910" s="23"/>
      <c r="AM910" s="23"/>
    </row>
    <row r="911" spans="17:39">
      <c r="Q911" s="6">
        <v>881</v>
      </c>
      <c r="R911" s="7">
        <v>43548</v>
      </c>
      <c r="S911" s="210">
        <v>4.484931506849315</v>
      </c>
      <c r="T911" s="8">
        <v>1.0001245814307458</v>
      </c>
      <c r="U911" s="98">
        <v>4.0767562972542137</v>
      </c>
      <c r="V911" s="106">
        <v>28513.692011576506</v>
      </c>
      <c r="W911" s="10">
        <v>0.56990575154400869</v>
      </c>
      <c r="X911" s="420"/>
      <c r="Y911" s="420"/>
      <c r="Z911" s="1"/>
      <c r="AA911" s="1"/>
      <c r="AB911" s="1"/>
      <c r="AC911" s="1"/>
      <c r="AD911" s="1"/>
      <c r="AL911" s="23"/>
      <c r="AM911" s="23"/>
    </row>
    <row r="912" spans="17:39">
      <c r="Q912" s="6">
        <v>882</v>
      </c>
      <c r="R912" s="7">
        <v>43549</v>
      </c>
      <c r="S912" s="210">
        <v>4.4856164383561641</v>
      </c>
      <c r="T912" s="8">
        <v>1.0001246004566211</v>
      </c>
      <c r="U912" s="98">
        <v>4.0774074104739988</v>
      </c>
      <c r="V912" s="106">
        <v>28516.065187424392</v>
      </c>
      <c r="W912" s="10">
        <v>0.57097941607129332</v>
      </c>
      <c r="X912" s="420"/>
      <c r="Y912" s="420"/>
      <c r="Z912" s="1"/>
      <c r="AA912" s="1"/>
      <c r="AB912" s="1"/>
      <c r="AC912" s="1"/>
      <c r="AD912" s="1"/>
      <c r="AL912" s="23"/>
      <c r="AM912" s="23"/>
    </row>
    <row r="913" spans="17:39">
      <c r="Q913" s="6">
        <v>883</v>
      </c>
      <c r="R913" s="7">
        <v>43550</v>
      </c>
      <c r="S913" s="210">
        <v>4.4863013698630141</v>
      </c>
      <c r="T913" s="8">
        <v>1.0001246194824962</v>
      </c>
      <c r="U913" s="98">
        <v>4.0780578714088689</v>
      </c>
      <c r="V913" s="106">
        <v>28518.438560790142</v>
      </c>
      <c r="W913" s="10">
        <v>0.57205145102634525</v>
      </c>
      <c r="X913" s="420"/>
      <c r="Y913" s="420"/>
      <c r="Z913" s="1"/>
      <c r="AA913" s="1"/>
      <c r="AB913" s="1"/>
      <c r="AC913" s="1"/>
      <c r="AD913" s="1"/>
      <c r="AL913" s="23"/>
      <c r="AM913" s="23"/>
    </row>
    <row r="914" spans="17:39">
      <c r="Q914" s="6">
        <v>884</v>
      </c>
      <c r="R914" s="7">
        <v>43551</v>
      </c>
      <c r="S914" s="210">
        <v>4.4869863013698632</v>
      </c>
      <c r="T914" s="8">
        <v>1.0001246385083713</v>
      </c>
      <c r="U914" s="98">
        <v>4.0787076822739854</v>
      </c>
      <c r="V914" s="106">
        <v>28520.812131690203</v>
      </c>
      <c r="W914" s="10">
        <v>0.57312186192601811</v>
      </c>
      <c r="X914" s="420"/>
      <c r="Y914" s="420"/>
      <c r="Z914" s="1"/>
      <c r="AA914" s="1"/>
      <c r="AB914" s="1"/>
      <c r="AC914" s="1"/>
      <c r="AD914" s="1"/>
      <c r="AL914" s="23"/>
      <c r="AM914" s="23"/>
    </row>
    <row r="915" spans="17:39">
      <c r="Q915" s="6">
        <v>885</v>
      </c>
      <c r="R915" s="7">
        <v>43552</v>
      </c>
      <c r="S915" s="210">
        <v>4.4876712328767123</v>
      </c>
      <c r="T915" s="8">
        <v>1.0001246575342466</v>
      </c>
      <c r="U915" s="98">
        <v>4.0793568452745399</v>
      </c>
      <c r="V915" s="106">
        <v>28523.185900141005</v>
      </c>
      <c r="W915" s="10">
        <v>0.57419065426220772</v>
      </c>
      <c r="X915" s="420"/>
      <c r="Y915" s="420"/>
      <c r="Z915" s="1"/>
      <c r="AA915" s="1"/>
      <c r="AB915" s="1"/>
      <c r="AC915" s="1"/>
      <c r="AD915" s="1"/>
      <c r="AL915" s="23"/>
      <c r="AM915" s="23"/>
    </row>
    <row r="916" spans="17:39">
      <c r="Q916" s="6">
        <v>886</v>
      </c>
      <c r="R916" s="7">
        <v>43553</v>
      </c>
      <c r="S916" s="210">
        <v>4.4883561643835614</v>
      </c>
      <c r="T916" s="8">
        <v>1.0001246765601217</v>
      </c>
      <c r="U916" s="98">
        <v>4.0800053626057542</v>
      </c>
      <c r="V916" s="106">
        <v>28525.559866158997</v>
      </c>
      <c r="W916" s="10">
        <v>0.57525783350220738</v>
      </c>
      <c r="X916" s="420"/>
      <c r="Y916" s="420"/>
      <c r="Z916" s="1"/>
      <c r="AA916" s="1"/>
      <c r="AB916" s="1"/>
      <c r="AC916" s="1"/>
      <c r="AD916" s="1"/>
      <c r="AL916" s="23"/>
      <c r="AM916" s="23"/>
    </row>
    <row r="917" spans="17:39">
      <c r="Q917" s="6">
        <v>887</v>
      </c>
      <c r="R917" s="7">
        <v>43554</v>
      </c>
      <c r="S917" s="210">
        <v>4.4890410958904106</v>
      </c>
      <c r="T917" s="8">
        <v>1.000124695585997</v>
      </c>
      <c r="U917" s="98">
        <v>4.0806532364530135</v>
      </c>
      <c r="V917" s="106">
        <v>28527.934029760618</v>
      </c>
      <c r="W917" s="10">
        <v>0.57632340508868563</v>
      </c>
      <c r="X917" s="420"/>
      <c r="Y917" s="420"/>
      <c r="Z917" s="1"/>
      <c r="AA917" s="1"/>
      <c r="AB917" s="1"/>
      <c r="AC917" s="1"/>
      <c r="AD917" s="1"/>
      <c r="AL917" s="23"/>
      <c r="AM917" s="23"/>
    </row>
    <row r="918" spans="17:39">
      <c r="Q918" s="6">
        <v>888</v>
      </c>
      <c r="R918" s="7">
        <v>43555</v>
      </c>
      <c r="S918" s="210">
        <v>4.4897260273972606</v>
      </c>
      <c r="T918" s="8">
        <v>1.0001247146118721</v>
      </c>
      <c r="U918" s="98">
        <v>4.0813004689917998</v>
      </c>
      <c r="V918" s="106">
        <v>28530.30839096232</v>
      </c>
      <c r="W918" s="10">
        <v>0.57738737443981947</v>
      </c>
      <c r="X918" s="420"/>
      <c r="Y918" s="420"/>
      <c r="Z918" s="1"/>
      <c r="AA918" s="1"/>
      <c r="AB918" s="1"/>
      <c r="AC918" s="1"/>
      <c r="AD918" s="1"/>
      <c r="AL918" s="23"/>
      <c r="AM918" s="23"/>
    </row>
    <row r="919" spans="17:39">
      <c r="Q919" s="6">
        <v>889</v>
      </c>
      <c r="R919" s="7">
        <v>43556</v>
      </c>
      <c r="S919" s="210">
        <v>4.4904109589041097</v>
      </c>
      <c r="T919" s="8">
        <v>1.0001247336377472</v>
      </c>
      <c r="U919" s="98">
        <v>4.0819470623878473</v>
      </c>
      <c r="V919" s="106">
        <v>28532.682949780537</v>
      </c>
      <c r="W919" s="10">
        <v>0.57844974694956086</v>
      </c>
      <c r="X919" s="420"/>
      <c r="Y919" s="420"/>
      <c r="Z919" s="1"/>
      <c r="AA919" s="1"/>
      <c r="AB919" s="1"/>
      <c r="AC919" s="1"/>
      <c r="AD919" s="1"/>
      <c r="AL919" s="23"/>
      <c r="AM919" s="23"/>
    </row>
    <row r="920" spans="17:39">
      <c r="Q920" s="6">
        <v>890</v>
      </c>
      <c r="R920" s="7">
        <v>43557</v>
      </c>
      <c r="S920" s="210">
        <v>4.4910958904109588</v>
      </c>
      <c r="T920" s="8">
        <v>1.0001247526636226</v>
      </c>
      <c r="U920" s="98">
        <v>4.0825930187971871</v>
      </c>
      <c r="V920" s="106">
        <v>28535.057706231735</v>
      </c>
      <c r="W920" s="10">
        <v>0.57951052798763669</v>
      </c>
      <c r="X920" s="420"/>
      <c r="Y920" s="420"/>
      <c r="Z920" s="1"/>
      <c r="AA920" s="1"/>
      <c r="AB920" s="1"/>
      <c r="AC920" s="1"/>
      <c r="AD920" s="1"/>
      <c r="AL920" s="23"/>
      <c r="AM920" s="23"/>
    </row>
    <row r="921" spans="17:39">
      <c r="Q921" s="6">
        <v>891</v>
      </c>
      <c r="R921" s="7">
        <v>43558</v>
      </c>
      <c r="S921" s="210">
        <v>4.4917808219178079</v>
      </c>
      <c r="T921" s="8">
        <v>1.0001247716894976</v>
      </c>
      <c r="U921" s="98">
        <v>4.0832383403661687</v>
      </c>
      <c r="V921" s="106">
        <v>28537.432660332342</v>
      </c>
      <c r="W921" s="10">
        <v>0.58056972289981523</v>
      </c>
      <c r="X921" s="420"/>
      <c r="Y921" s="420"/>
      <c r="Z921" s="1"/>
      <c r="AA921" s="1"/>
      <c r="AB921" s="1"/>
      <c r="AC921" s="1"/>
      <c r="AD921" s="1"/>
      <c r="AL921" s="23"/>
      <c r="AM921" s="23"/>
    </row>
    <row r="922" spans="17:39">
      <c r="Q922" s="6">
        <v>892</v>
      </c>
      <c r="R922" s="7">
        <v>43559</v>
      </c>
      <c r="S922" s="210">
        <v>4.4924657534246579</v>
      </c>
      <c r="T922" s="8">
        <v>1.000124790715373</v>
      </c>
      <c r="U922" s="98">
        <v>4.0838830292315276</v>
      </c>
      <c r="V922" s="106">
        <v>28539.807812098821</v>
      </c>
      <c r="W922" s="10">
        <v>0.58162733700788394</v>
      </c>
      <c r="X922" s="420"/>
      <c r="Y922" s="420"/>
      <c r="Z922" s="1"/>
      <c r="AA922" s="1"/>
      <c r="AB922" s="1"/>
      <c r="AC922" s="1"/>
      <c r="AD922" s="1"/>
      <c r="AL922" s="23"/>
      <c r="AM922" s="23"/>
    </row>
    <row r="923" spans="17:39">
      <c r="Q923" s="6">
        <v>893</v>
      </c>
      <c r="R923" s="7">
        <v>43560</v>
      </c>
      <c r="S923" s="210">
        <v>4.493150684931507</v>
      </c>
      <c r="T923" s="8">
        <v>1.0001248097412481</v>
      </c>
      <c r="U923" s="98">
        <v>4.0845270875204287</v>
      </c>
      <c r="V923" s="106">
        <v>28542.183161547626</v>
      </c>
      <c r="W923" s="10">
        <v>0.58268337560989369</v>
      </c>
      <c r="X923" s="420"/>
      <c r="Y923" s="420"/>
      <c r="Z923" s="1"/>
      <c r="AA923" s="1"/>
      <c r="AB923" s="1"/>
      <c r="AC923" s="1"/>
      <c r="AD923" s="1"/>
      <c r="AL923" s="23"/>
      <c r="AM923" s="23"/>
    </row>
    <row r="924" spans="17:39">
      <c r="Q924" s="6">
        <v>894</v>
      </c>
      <c r="R924" s="7">
        <v>43561</v>
      </c>
      <c r="S924" s="210">
        <v>4.4938356164383562</v>
      </c>
      <c r="T924" s="8">
        <v>1.0001248287671234</v>
      </c>
      <c r="U924" s="98">
        <v>4.0851705173505559</v>
      </c>
      <c r="V924" s="106">
        <v>28544.558708695204</v>
      </c>
      <c r="W924" s="10">
        <v>0.58373784398031425</v>
      </c>
      <c r="X924" s="420"/>
      <c r="Y924" s="420"/>
      <c r="Z924" s="1"/>
      <c r="AA924" s="1"/>
      <c r="AB924" s="1"/>
      <c r="AC924" s="1"/>
      <c r="AD924" s="1"/>
      <c r="AL924" s="23"/>
      <c r="AM924" s="23"/>
    </row>
    <row r="925" spans="17:39">
      <c r="Q925" s="6">
        <v>895</v>
      </c>
      <c r="R925" s="7">
        <v>43562</v>
      </c>
      <c r="S925" s="210">
        <v>4.4945205479452053</v>
      </c>
      <c r="T925" s="8">
        <v>1.0001248477929985</v>
      </c>
      <c r="U925" s="98">
        <v>4.0858133208301339</v>
      </c>
      <c r="V925" s="106">
        <v>28546.934453558002</v>
      </c>
      <c r="W925" s="10">
        <v>0.58479074737010084</v>
      </c>
      <c r="X925" s="420"/>
      <c r="Y925" s="420"/>
      <c r="Z925" s="1"/>
      <c r="AA925" s="1"/>
      <c r="AB925" s="1"/>
      <c r="AC925" s="1"/>
      <c r="AD925" s="1"/>
      <c r="AL925" s="23"/>
      <c r="AM925" s="23"/>
    </row>
    <row r="926" spans="17:39">
      <c r="Q926" s="6">
        <v>896</v>
      </c>
      <c r="R926" s="7">
        <v>43563</v>
      </c>
      <c r="S926" s="210">
        <v>4.4952054794520544</v>
      </c>
      <c r="T926" s="8">
        <v>1.0001248668188736</v>
      </c>
      <c r="U926" s="98">
        <v>4.0864555000579506</v>
      </c>
      <c r="V926" s="106">
        <v>28549.31039615249</v>
      </c>
      <c r="W926" s="10">
        <v>0.58584209100676077</v>
      </c>
      <c r="X926" s="420"/>
      <c r="Y926" s="420"/>
      <c r="Z926" s="1"/>
      <c r="AA926" s="1"/>
      <c r="AB926" s="1"/>
      <c r="AC926" s="1"/>
      <c r="AD926" s="1"/>
      <c r="AL926" s="23"/>
      <c r="AM926" s="23"/>
    </row>
    <row r="927" spans="17:39">
      <c r="Q927" s="6">
        <v>897</v>
      </c>
      <c r="R927" s="7">
        <v>43564</v>
      </c>
      <c r="S927" s="210">
        <v>4.4958904109589044</v>
      </c>
      <c r="T927" s="8">
        <v>1.0001248858447489</v>
      </c>
      <c r="U927" s="98">
        <v>4.0870970571235121</v>
      </c>
      <c r="V927" s="106">
        <v>28551.686536495115</v>
      </c>
      <c r="W927" s="10">
        <v>0.58689188009466431</v>
      </c>
      <c r="X927" s="420"/>
      <c r="Y927" s="420"/>
      <c r="Z927" s="1"/>
      <c r="AA927" s="1"/>
      <c r="AB927" s="1"/>
      <c r="AC927" s="1"/>
      <c r="AD927" s="1"/>
      <c r="AL927" s="23"/>
      <c r="AM927" s="23"/>
    </row>
    <row r="928" spans="17:39">
      <c r="Q928" s="6">
        <v>898</v>
      </c>
      <c r="R928" s="7">
        <v>43565</v>
      </c>
      <c r="S928" s="210">
        <v>4.4965753424657535</v>
      </c>
      <c r="T928" s="8">
        <v>1.000124904870624</v>
      </c>
      <c r="U928" s="98">
        <v>4.0877379941069769</v>
      </c>
      <c r="V928" s="106">
        <v>28554.142089278725</v>
      </c>
      <c r="W928" s="10">
        <v>0.58782669728358883</v>
      </c>
      <c r="X928" s="420"/>
      <c r="Y928" s="420"/>
      <c r="Z928" s="1"/>
      <c r="AA928" s="1"/>
      <c r="AB928" s="1"/>
      <c r="AC928" s="1"/>
      <c r="AD928" s="1"/>
      <c r="AL928" s="23"/>
      <c r="AM928" s="23"/>
    </row>
    <row r="929" spans="17:39">
      <c r="Q929" s="6">
        <v>899</v>
      </c>
      <c r="R929" s="7">
        <v>43566</v>
      </c>
      <c r="S929" s="210">
        <v>4.4972602739726026</v>
      </c>
      <c r="T929" s="8">
        <v>1.0001249238964993</v>
      </c>
      <c r="U929" s="98">
        <v>4.0883783130792661</v>
      </c>
      <c r="V929" s="106">
        <v>28556.597853249128</v>
      </c>
      <c r="W929" s="10">
        <v>0.58876022036322695</v>
      </c>
      <c r="X929" s="420"/>
      <c r="Y929" s="420"/>
      <c r="Z929" s="1"/>
      <c r="AA929" s="1"/>
      <c r="AB929" s="1"/>
      <c r="AC929" s="1"/>
      <c r="AD929" s="1"/>
      <c r="AL929" s="23"/>
      <c r="AM929" s="23"/>
    </row>
    <row r="930" spans="17:39">
      <c r="Q930" s="6">
        <v>900</v>
      </c>
      <c r="R930" s="7">
        <v>43567</v>
      </c>
      <c r="S930" s="210">
        <v>4.4979452054794518</v>
      </c>
      <c r="T930" s="8">
        <v>1.0001249429223744</v>
      </c>
      <c r="U930" s="98">
        <v>4.0890180161021084</v>
      </c>
      <c r="V930" s="106">
        <v>28559.053828424512</v>
      </c>
      <c r="W930" s="10">
        <v>0.58969245364006717</v>
      </c>
      <c r="X930" s="420"/>
      <c r="Y930" s="420"/>
      <c r="Z930" s="1"/>
      <c r="AA930" s="1"/>
      <c r="AB930" s="1"/>
      <c r="AC930" s="1"/>
      <c r="AD930" s="1"/>
      <c r="AL930" s="23"/>
      <c r="AM930" s="23"/>
    </row>
    <row r="931" spans="17:39">
      <c r="Q931" s="6">
        <v>901</v>
      </c>
      <c r="R931" s="7">
        <v>43568</v>
      </c>
      <c r="S931" s="210">
        <v>4.4986301369863018</v>
      </c>
      <c r="T931" s="8">
        <v>1.0001249619482495</v>
      </c>
      <c r="U931" s="98">
        <v>4.0896571052281283</v>
      </c>
      <c r="V931" s="106">
        <v>28561.510014823019</v>
      </c>
      <c r="W931" s="10">
        <v>0.59062340140156877</v>
      </c>
      <c r="X931" s="420"/>
      <c r="Y931" s="420"/>
      <c r="Z931" s="1"/>
      <c r="AA931" s="1"/>
      <c r="AB931" s="1"/>
      <c r="AC931" s="1"/>
      <c r="AD931" s="1"/>
      <c r="AL931" s="23"/>
      <c r="AM931" s="23"/>
    </row>
    <row r="932" spans="17:39">
      <c r="Q932" s="6">
        <v>902</v>
      </c>
      <c r="R932" s="7">
        <v>43569</v>
      </c>
      <c r="S932" s="210">
        <v>4.4993150684931509</v>
      </c>
      <c r="T932" s="8">
        <v>1.0001249809741248</v>
      </c>
      <c r="U932" s="98">
        <v>4.0902955825008025</v>
      </c>
      <c r="V932" s="106">
        <v>28563.966412462829</v>
      </c>
      <c r="W932" s="10">
        <v>0.59155306791611739</v>
      </c>
      <c r="X932" s="420"/>
      <c r="Y932" s="420"/>
      <c r="Z932" s="1"/>
      <c r="AA932" s="1"/>
      <c r="AB932" s="1"/>
      <c r="AC932" s="1"/>
      <c r="AD932" s="1"/>
      <c r="AL932" s="23"/>
      <c r="AM932" s="23"/>
    </row>
    <row r="933" spans="17:39">
      <c r="Q933" s="6">
        <v>903</v>
      </c>
      <c r="R933" s="7">
        <v>43570</v>
      </c>
      <c r="S933" s="210">
        <v>4.5</v>
      </c>
      <c r="T933" s="8">
        <v>1.0001249999999999</v>
      </c>
      <c r="U933" s="98">
        <v>4.0909334499545924</v>
      </c>
      <c r="V933" s="106">
        <v>28566.423021362105</v>
      </c>
      <c r="W933" s="10">
        <v>0.59248145743338032</v>
      </c>
      <c r="X933" s="420"/>
      <c r="Y933" s="420"/>
      <c r="Z933" s="1"/>
      <c r="AA933" s="1"/>
      <c r="AB933" s="1"/>
      <c r="AC933" s="1"/>
      <c r="AD933" s="1"/>
      <c r="AL933" s="23"/>
      <c r="AM933" s="23"/>
    </row>
    <row r="934" spans="17:39">
      <c r="Q934" s="6">
        <v>904</v>
      </c>
      <c r="R934" s="7">
        <v>43571</v>
      </c>
      <c r="S934" s="210">
        <v>4.5</v>
      </c>
      <c r="T934" s="8">
        <v>1.0001249999999999</v>
      </c>
      <c r="U934" s="98">
        <v>4.091569910093118</v>
      </c>
      <c r="V934" s="106">
        <v>28568.879841539023</v>
      </c>
      <c r="W934" s="10">
        <v>0.59340780153149808</v>
      </c>
      <c r="X934" s="420"/>
      <c r="Y934" s="420"/>
      <c r="Z934" s="1"/>
      <c r="AA934" s="1"/>
      <c r="AB934" s="1"/>
      <c r="AC934" s="1"/>
      <c r="AD934" s="1"/>
      <c r="AL934" s="23"/>
      <c r="AM934" s="23"/>
    </row>
    <row r="935" spans="17:39">
      <c r="Q935" s="6">
        <v>905</v>
      </c>
      <c r="R935" s="7">
        <v>43572</v>
      </c>
      <c r="S935" s="210">
        <v>4.5</v>
      </c>
      <c r="T935" s="8">
        <v>1.0001249999999999</v>
      </c>
      <c r="U935" s="98">
        <v>4.0922049675686134</v>
      </c>
      <c r="V935" s="106">
        <v>28571.33687301174</v>
      </c>
      <c r="W935" s="10">
        <v>0.59433210696266947</v>
      </c>
      <c r="X935" s="420"/>
      <c r="Y935" s="420"/>
      <c r="Z935" s="1"/>
      <c r="AA935" s="1"/>
      <c r="AB935" s="1"/>
      <c r="AC935" s="1"/>
      <c r="AD935" s="1"/>
      <c r="AL935" s="23"/>
      <c r="AM935" s="23"/>
    </row>
    <row r="936" spans="17:39">
      <c r="Q936" s="6">
        <v>906</v>
      </c>
      <c r="R936" s="7">
        <v>43573</v>
      </c>
      <c r="S936" s="210">
        <v>4.5</v>
      </c>
      <c r="T936" s="8">
        <v>1.0001249999999999</v>
      </c>
      <c r="U936" s="98">
        <v>4.0928386270128625</v>
      </c>
      <c r="V936" s="106">
        <v>28573.794115798439</v>
      </c>
      <c r="W936" s="10">
        <v>0.59525438044940593</v>
      </c>
      <c r="X936" s="420"/>
      <c r="Y936" s="420"/>
      <c r="Z936" s="1"/>
      <c r="AA936" s="1"/>
      <c r="AB936" s="1"/>
      <c r="AC936" s="1"/>
      <c r="AD936" s="1"/>
      <c r="AL936" s="23"/>
      <c r="AM936" s="23"/>
    </row>
    <row r="937" spans="17:39">
      <c r="Q937" s="6">
        <v>907</v>
      </c>
      <c r="R937" s="7">
        <v>43574</v>
      </c>
      <c r="S937" s="210">
        <v>4.5</v>
      </c>
      <c r="T937" s="8">
        <v>1.0001249999999999</v>
      </c>
      <c r="U937" s="98">
        <v>4.0934708930372654</v>
      </c>
      <c r="V937" s="106">
        <v>28576.251569917287</v>
      </c>
      <c r="W937" s="10">
        <v>0.59617462868468696</v>
      </c>
      <c r="X937" s="420"/>
      <c r="Y937" s="420"/>
      <c r="Z937" s="1"/>
      <c r="AA937" s="1"/>
      <c r="AB937" s="1"/>
      <c r="AC937" s="1"/>
      <c r="AD937" s="1"/>
      <c r="AL937" s="23"/>
      <c r="AM937" s="23"/>
    </row>
    <row r="938" spans="17:39">
      <c r="Q938" s="6">
        <v>908</v>
      </c>
      <c r="R938" s="7">
        <v>43575</v>
      </c>
      <c r="S938" s="210">
        <v>4.5</v>
      </c>
      <c r="T938" s="8">
        <v>1.0001249999999999</v>
      </c>
      <c r="U938" s="98">
        <v>4.0941017702329718</v>
      </c>
      <c r="V938" s="106">
        <v>28578.709235386461</v>
      </c>
      <c r="W938" s="10">
        <v>0.59709285833215997</v>
      </c>
      <c r="X938" s="420"/>
      <c r="Y938" s="420"/>
      <c r="Z938" s="1"/>
      <c r="AA938" s="1"/>
      <c r="AB938" s="1"/>
      <c r="AC938" s="1"/>
      <c r="AD938" s="1"/>
      <c r="AL938" s="23"/>
      <c r="AM938" s="23"/>
    </row>
    <row r="939" spans="17:39">
      <c r="Q939" s="6">
        <v>909</v>
      </c>
      <c r="R939" s="7">
        <v>43576</v>
      </c>
      <c r="S939" s="210">
        <v>4.5</v>
      </c>
      <c r="T939" s="8">
        <v>1.0001249999999999</v>
      </c>
      <c r="U939" s="98">
        <v>4.0947312631709698</v>
      </c>
      <c r="V939" s="106">
        <v>28581.167112224146</v>
      </c>
      <c r="W939" s="10">
        <v>0.5980090760262069</v>
      </c>
      <c r="X939" s="420"/>
      <c r="Y939" s="420"/>
      <c r="Z939" s="1"/>
      <c r="AA939" s="1"/>
      <c r="AB939" s="1"/>
      <c r="AC939" s="1"/>
      <c r="AD939" s="1"/>
      <c r="AL939" s="23"/>
      <c r="AM939" s="23"/>
    </row>
    <row r="940" spans="17:39">
      <c r="Q940" s="6">
        <v>910</v>
      </c>
      <c r="R940" s="7">
        <v>43577</v>
      </c>
      <c r="S940" s="210">
        <v>4.5</v>
      </c>
      <c r="T940" s="8">
        <v>1.0001249999999999</v>
      </c>
      <c r="U940" s="98">
        <v>4.0953593764022411</v>
      </c>
      <c r="V940" s="106">
        <v>28583.625200448507</v>
      </c>
      <c r="W940" s="10">
        <v>0.59892328837223285</v>
      </c>
      <c r="X940" s="420"/>
      <c r="Y940" s="420"/>
      <c r="Z940" s="1"/>
      <c r="AA940" s="1"/>
      <c r="AB940" s="1"/>
      <c r="AC940" s="1"/>
      <c r="AD940" s="1"/>
      <c r="AL940" s="23"/>
      <c r="AM940" s="23"/>
    </row>
    <row r="941" spans="17:39">
      <c r="Q941" s="6">
        <v>911</v>
      </c>
      <c r="R941" s="7">
        <v>43578</v>
      </c>
      <c r="S941" s="210">
        <v>4.5</v>
      </c>
      <c r="T941" s="8">
        <v>1.0001249999999999</v>
      </c>
      <c r="U941" s="98">
        <v>4.0959861144578058</v>
      </c>
      <c r="V941" s="106">
        <v>28586.083500077737</v>
      </c>
      <c r="W941" s="10">
        <v>0.59983550194673274</v>
      </c>
      <c r="X941" s="420"/>
      <c r="Y941" s="420"/>
      <c r="Z941" s="1"/>
      <c r="AA941" s="1"/>
      <c r="AB941" s="1"/>
      <c r="AC941" s="1"/>
      <c r="AD941" s="1"/>
      <c r="AL941" s="23"/>
      <c r="AM941" s="23"/>
    </row>
    <row r="942" spans="17:39">
      <c r="Q942" s="6">
        <v>912</v>
      </c>
      <c r="R942" s="7">
        <v>43579</v>
      </c>
      <c r="S942" s="210">
        <v>4.5</v>
      </c>
      <c r="T942" s="8">
        <v>1.0001249999999999</v>
      </c>
      <c r="U942" s="98">
        <v>4.0966114818488553</v>
      </c>
      <c r="V942" s="106">
        <v>28588.542011130005</v>
      </c>
      <c r="W942" s="10">
        <v>0.60074572329746889</v>
      </c>
      <c r="X942" s="420"/>
      <c r="Y942" s="420"/>
      <c r="Z942" s="1"/>
      <c r="AA942" s="1"/>
      <c r="AB942" s="1"/>
      <c r="AC942" s="1"/>
      <c r="AD942" s="1"/>
      <c r="AL942" s="23"/>
      <c r="AM942" s="23"/>
    </row>
    <row r="943" spans="17:39">
      <c r="Q943" s="6">
        <v>913</v>
      </c>
      <c r="R943" s="7">
        <v>43580</v>
      </c>
      <c r="S943" s="210">
        <v>4.5</v>
      </c>
      <c r="T943" s="8">
        <v>1.0001249999999999</v>
      </c>
      <c r="U943" s="98">
        <v>4.0972354830669078</v>
      </c>
      <c r="V943" s="106">
        <v>28591.000733623507</v>
      </c>
      <c r="W943" s="10">
        <v>0.6016539589436265</v>
      </c>
      <c r="X943" s="420"/>
      <c r="Y943" s="420"/>
      <c r="Z943" s="1"/>
      <c r="AA943" s="1"/>
      <c r="AB943" s="1"/>
      <c r="AC943" s="1"/>
      <c r="AD943" s="1"/>
      <c r="AL943" s="23"/>
      <c r="AM943" s="23"/>
    </row>
    <row r="944" spans="17:39">
      <c r="Q944" s="6">
        <v>914</v>
      </c>
      <c r="R944" s="7">
        <v>43581</v>
      </c>
      <c r="S944" s="210">
        <v>4.5</v>
      </c>
      <c r="T944" s="8">
        <v>1.0001249999999999</v>
      </c>
      <c r="U944" s="98">
        <v>4.0978581225838751</v>
      </c>
      <c r="V944" s="106">
        <v>28593.459667576422</v>
      </c>
      <c r="W944" s="10">
        <v>0.60256021537601345</v>
      </c>
      <c r="X944" s="420"/>
      <c r="Y944" s="420"/>
      <c r="Z944" s="1"/>
      <c r="AA944" s="1"/>
      <c r="AB944" s="1"/>
      <c r="AC944" s="1"/>
      <c r="AD944" s="1"/>
      <c r="AL944" s="23"/>
      <c r="AM944" s="23"/>
    </row>
    <row r="945" spans="17:39">
      <c r="Q945" s="6">
        <v>915</v>
      </c>
      <c r="R945" s="7">
        <v>43582</v>
      </c>
      <c r="S945" s="210">
        <v>4.5</v>
      </c>
      <c r="T945" s="8">
        <v>1.0001249999999999</v>
      </c>
      <c r="U945" s="98">
        <v>4.0984794048521733</v>
      </c>
      <c r="V945" s="106">
        <v>28595.918813006927</v>
      </c>
      <c r="W945" s="10">
        <v>0.60346449905721578</v>
      </c>
      <c r="X945" s="420"/>
      <c r="Y945" s="420"/>
      <c r="Z945" s="1"/>
      <c r="AA945" s="1"/>
      <c r="AB945" s="1"/>
      <c r="AC945" s="1"/>
      <c r="AD945" s="1"/>
      <c r="AL945" s="23"/>
      <c r="AM945" s="23"/>
    </row>
    <row r="946" spans="17:39">
      <c r="Q946" s="6">
        <v>916</v>
      </c>
      <c r="R946" s="7">
        <v>43583</v>
      </c>
      <c r="S946" s="210">
        <v>4.5</v>
      </c>
      <c r="T946" s="8">
        <v>1.0001249999999999</v>
      </c>
      <c r="U946" s="98">
        <v>4.0990993343047899</v>
      </c>
      <c r="V946" s="106">
        <v>28598.378169933228</v>
      </c>
      <c r="W946" s="10">
        <v>0.60436681642155321</v>
      </c>
      <c r="X946" s="420"/>
      <c r="Y946" s="420"/>
      <c r="Z946" s="1"/>
      <c r="AA946" s="1"/>
      <c r="AB946" s="1"/>
      <c r="AC946" s="1"/>
      <c r="AD946" s="1"/>
      <c r="AL946" s="23"/>
      <c r="AM946" s="23"/>
    </row>
    <row r="947" spans="17:39">
      <c r="Q947" s="6">
        <v>917</v>
      </c>
      <c r="R947" s="7">
        <v>43584</v>
      </c>
      <c r="S947" s="210">
        <v>4.5</v>
      </c>
      <c r="T947" s="8">
        <v>1.0001249999999999</v>
      </c>
      <c r="U947" s="98">
        <v>4.0997179153554608</v>
      </c>
      <c r="V947" s="106">
        <v>28600.837738373499</v>
      </c>
      <c r="W947" s="10">
        <v>0.60526717387558993</v>
      </c>
      <c r="X947" s="420"/>
      <c r="Y947" s="420"/>
      <c r="Z947" s="1"/>
      <c r="AA947" s="1"/>
      <c r="AB947" s="1"/>
      <c r="AC947" s="1"/>
      <c r="AD947" s="1"/>
      <c r="AL947" s="23"/>
      <c r="AM947" s="23"/>
    </row>
    <row r="948" spans="17:39">
      <c r="Q948" s="6">
        <v>918</v>
      </c>
      <c r="R948" s="7">
        <v>43585</v>
      </c>
      <c r="S948" s="210">
        <v>4.5</v>
      </c>
      <c r="T948" s="8">
        <v>1.0001249999999999</v>
      </c>
      <c r="U948" s="98">
        <v>4.1003351523987597</v>
      </c>
      <c r="V948" s="106">
        <v>28603.297518345942</v>
      </c>
      <c r="W948" s="10">
        <v>0.60616557779795688</v>
      </c>
      <c r="X948" s="420"/>
      <c r="Y948" s="420"/>
      <c r="Z948" s="1"/>
      <c r="AA948" s="1"/>
      <c r="AB948" s="1"/>
      <c r="AC948" s="1"/>
      <c r="AD948" s="1"/>
      <c r="AL948" s="23"/>
      <c r="AM948" s="23"/>
    </row>
    <row r="949" spans="17:39">
      <c r="Q949" s="6">
        <v>919</v>
      </c>
      <c r="R949" s="7">
        <v>43586</v>
      </c>
      <c r="S949" s="210">
        <v>4.5</v>
      </c>
      <c r="T949" s="8">
        <v>1.0001249999999999</v>
      </c>
      <c r="U949" s="98">
        <v>4.100951049810142</v>
      </c>
      <c r="V949" s="106">
        <v>28605.757509868745</v>
      </c>
      <c r="W949" s="10">
        <v>0.60706203453968488</v>
      </c>
      <c r="X949" s="420"/>
      <c r="Y949" s="420"/>
      <c r="Z949" s="1"/>
      <c r="AA949" s="1"/>
      <c r="AB949" s="1"/>
      <c r="AC949" s="1"/>
      <c r="AD949" s="1"/>
      <c r="AL949" s="23"/>
      <c r="AM949" s="23"/>
    </row>
    <row r="950" spans="17:39">
      <c r="Q950" s="6">
        <v>920</v>
      </c>
      <c r="R950" s="7">
        <v>43587</v>
      </c>
      <c r="S950" s="210">
        <v>4.5</v>
      </c>
      <c r="T950" s="8">
        <v>1.0001249999999999</v>
      </c>
      <c r="U950" s="98">
        <v>4.101565611946123</v>
      </c>
      <c r="V950" s="106">
        <v>28608.2177129601</v>
      </c>
      <c r="W950" s="10">
        <v>0.60795655042431562</v>
      </c>
      <c r="X950" s="420"/>
      <c r="Y950" s="420"/>
      <c r="Z950" s="1"/>
      <c r="AA950" s="1"/>
      <c r="AB950" s="1"/>
      <c r="AC950" s="1"/>
      <c r="AD950" s="1"/>
      <c r="AL950" s="23"/>
      <c r="AM950" s="23"/>
    </row>
    <row r="951" spans="17:39">
      <c r="Q951" s="6">
        <v>921</v>
      </c>
      <c r="R951" s="7">
        <v>43588</v>
      </c>
      <c r="S951" s="210">
        <v>4.5</v>
      </c>
      <c r="T951" s="8">
        <v>1.0001249999999999</v>
      </c>
      <c r="U951" s="98">
        <v>4.102178843144344</v>
      </c>
      <c r="V951" s="106">
        <v>28610.678127638206</v>
      </c>
      <c r="W951" s="10">
        <v>0.6088491317480349</v>
      </c>
      <c r="X951" s="420"/>
      <c r="Y951" s="420"/>
      <c r="Z951" s="1"/>
      <c r="AA951" s="1"/>
      <c r="AB951" s="1"/>
      <c r="AC951" s="1"/>
      <c r="AD951" s="1"/>
      <c r="AL951" s="23"/>
      <c r="AM951" s="23"/>
    </row>
    <row r="952" spans="17:39">
      <c r="Q952" s="6">
        <v>922</v>
      </c>
      <c r="R952" s="7">
        <v>43589</v>
      </c>
      <c r="S952" s="210">
        <v>4.5</v>
      </c>
      <c r="T952" s="8">
        <v>1.0001249999999999</v>
      </c>
      <c r="U952" s="98">
        <v>4.1027907477236614</v>
      </c>
      <c r="V952" s="106">
        <v>28613.138753921259</v>
      </c>
      <c r="W952" s="10">
        <v>0.60973978477978363</v>
      </c>
      <c r="X952" s="420"/>
      <c r="Y952" s="420"/>
      <c r="Z952" s="1"/>
      <c r="AA952" s="1"/>
      <c r="AB952" s="1"/>
      <c r="AC952" s="1"/>
      <c r="AD952" s="1"/>
      <c r="AL952" s="23"/>
      <c r="AM952" s="23"/>
    </row>
    <row r="953" spans="17:39">
      <c r="Q953" s="6">
        <v>923</v>
      </c>
      <c r="R953" s="7">
        <v>43590</v>
      </c>
      <c r="S953" s="210">
        <v>4.5</v>
      </c>
      <c r="T953" s="8">
        <v>1.0001249999999999</v>
      </c>
      <c r="U953" s="98">
        <v>4.1034013299842798</v>
      </c>
      <c r="V953" s="106">
        <v>28615.599591827453</v>
      </c>
      <c r="W953" s="10">
        <v>0.61062851576147992</v>
      </c>
      <c r="X953" s="420"/>
      <c r="Y953" s="420"/>
      <c r="Z953" s="1"/>
      <c r="AA953" s="1"/>
      <c r="AB953" s="1"/>
      <c r="AC953" s="1"/>
      <c r="AD953" s="1"/>
      <c r="AL953" s="23"/>
      <c r="AM953" s="23"/>
    </row>
    <row r="954" spans="17:39">
      <c r="Q954" s="6">
        <v>924</v>
      </c>
      <c r="R954" s="7">
        <v>43591</v>
      </c>
      <c r="S954" s="210">
        <v>4.5</v>
      </c>
      <c r="T954" s="8">
        <v>1.0001249999999999</v>
      </c>
      <c r="U954" s="98">
        <v>4.1040105942078187</v>
      </c>
      <c r="V954" s="106">
        <v>28618.060641374999</v>
      </c>
      <c r="W954" s="10">
        <v>0.61151533090813004</v>
      </c>
      <c r="X954" s="420"/>
      <c r="Y954" s="420"/>
      <c r="Z954" s="1"/>
      <c r="AA954" s="1"/>
      <c r="AB954" s="1"/>
      <c r="AC954" s="1"/>
      <c r="AD954" s="1"/>
      <c r="AL954" s="23"/>
      <c r="AM954" s="23"/>
    </row>
    <row r="955" spans="17:39">
      <c r="Q955" s="6">
        <v>925</v>
      </c>
      <c r="R955" s="7">
        <v>43592</v>
      </c>
      <c r="S955" s="210">
        <v>4.5</v>
      </c>
      <c r="T955" s="8">
        <v>1.0001249999999999</v>
      </c>
      <c r="U955" s="98">
        <v>4.1046185446574679</v>
      </c>
      <c r="V955" s="106">
        <v>28620.521902582084</v>
      </c>
      <c r="W955" s="10">
        <v>0.61240023640798391</v>
      </c>
      <c r="X955" s="420"/>
      <c r="Y955" s="420"/>
      <c r="Z955" s="1"/>
      <c r="AA955" s="1"/>
      <c r="AB955" s="1"/>
      <c r="AC955" s="1"/>
      <c r="AD955" s="1"/>
      <c r="AL955" s="23"/>
      <c r="AM955" s="23"/>
    </row>
    <row r="956" spans="17:39">
      <c r="Q956" s="6">
        <v>926</v>
      </c>
      <c r="R956" s="7">
        <v>43593</v>
      </c>
      <c r="S956" s="210">
        <v>4.5</v>
      </c>
      <c r="T956" s="8">
        <v>1.0001249999999999</v>
      </c>
      <c r="U956" s="98">
        <v>4.105225185578032</v>
      </c>
      <c r="V956" s="106">
        <v>28622.983375466927</v>
      </c>
      <c r="W956" s="10">
        <v>0.61328323842262389</v>
      </c>
      <c r="X956" s="420"/>
      <c r="Y956" s="420"/>
      <c r="Z956" s="1"/>
      <c r="AA956" s="1"/>
      <c r="AB956" s="1"/>
      <c r="AC956" s="1"/>
      <c r="AD956" s="1"/>
      <c r="AL956" s="23"/>
      <c r="AM956" s="23"/>
    </row>
    <row r="957" spans="17:39">
      <c r="Q957" s="6">
        <v>927</v>
      </c>
      <c r="R957" s="7">
        <v>43594</v>
      </c>
      <c r="S957" s="210">
        <v>4.5</v>
      </c>
      <c r="T957" s="8">
        <v>1.0001249999999999</v>
      </c>
      <c r="U957" s="98">
        <v>4.1058305211960411</v>
      </c>
      <c r="V957" s="106">
        <v>28625.445060047728</v>
      </c>
      <c r="W957" s="10">
        <v>0.61416434308720902</v>
      </c>
      <c r="X957" s="420"/>
      <c r="Y957" s="420"/>
      <c r="Z957" s="1"/>
      <c r="AA957" s="1"/>
      <c r="AB957" s="1"/>
      <c r="AC957" s="1"/>
      <c r="AD957" s="1"/>
      <c r="AL957" s="23"/>
      <c r="AM957" s="23"/>
    </row>
    <row r="958" spans="17:39">
      <c r="Q958" s="6">
        <v>928</v>
      </c>
      <c r="R958" s="7">
        <v>43595</v>
      </c>
      <c r="S958" s="210">
        <v>4.5</v>
      </c>
      <c r="T958" s="8">
        <v>1.0001249999999999</v>
      </c>
      <c r="U958" s="98">
        <v>4.1064345557198845</v>
      </c>
      <c r="V958" s="106">
        <v>28627.827537028399</v>
      </c>
      <c r="W958" s="10">
        <v>0.61515334206085903</v>
      </c>
      <c r="X958" s="420"/>
      <c r="Y958" s="420"/>
      <c r="Z958" s="1"/>
      <c r="AA958" s="1"/>
      <c r="AB958" s="1"/>
      <c r="AC958" s="1"/>
      <c r="AD958" s="1"/>
      <c r="AL958" s="23"/>
      <c r="AM958" s="23"/>
    </row>
    <row r="959" spans="17:39">
      <c r="Q959" s="6">
        <v>929</v>
      </c>
      <c r="R959" s="7">
        <v>43596</v>
      </c>
      <c r="S959" s="210">
        <v>4.5</v>
      </c>
      <c r="T959" s="8">
        <v>1.0001249999999999</v>
      </c>
      <c r="U959" s="98">
        <v>4.1070372933398325</v>
      </c>
      <c r="V959" s="106">
        <v>28630.210212301063</v>
      </c>
      <c r="W959" s="10">
        <v>0.61614022155564996</v>
      </c>
      <c r="X959" s="420"/>
      <c r="Y959" s="420"/>
      <c r="Z959" s="1"/>
      <c r="AA959" s="1"/>
      <c r="AB959" s="1"/>
      <c r="AC959" s="1"/>
      <c r="AD959" s="1"/>
      <c r="AL959" s="23"/>
      <c r="AM959" s="23"/>
    </row>
    <row r="960" spans="17:39">
      <c r="Q960" s="6">
        <v>930</v>
      </c>
      <c r="R960" s="7">
        <v>43597</v>
      </c>
      <c r="S960" s="210">
        <v>4.5</v>
      </c>
      <c r="T960" s="8">
        <v>1.0001249999999999</v>
      </c>
      <c r="U960" s="98">
        <v>4.1076387382282364</v>
      </c>
      <c r="V960" s="106">
        <v>28632.593085882218</v>
      </c>
      <c r="W960" s="10">
        <v>0.6171249883775376</v>
      </c>
      <c r="X960" s="420"/>
      <c r="Y960" s="420"/>
      <c r="Z960" s="1"/>
      <c r="AA960" s="1"/>
      <c r="AB960" s="1"/>
      <c r="AC960" s="1"/>
      <c r="AD960" s="1"/>
      <c r="AL960" s="23"/>
      <c r="AM960" s="23"/>
    </row>
    <row r="961" spans="17:39">
      <c r="Q961" s="6">
        <v>931</v>
      </c>
      <c r="R961" s="7">
        <v>43598</v>
      </c>
      <c r="S961" s="210">
        <v>4.5</v>
      </c>
      <c r="T961" s="8">
        <v>1.0001249999999999</v>
      </c>
      <c r="U961" s="98">
        <v>4.1082388945395287</v>
      </c>
      <c r="V961" s="106">
        <v>28634.976157788387</v>
      </c>
      <c r="W961" s="10">
        <v>0.61810764930327888</v>
      </c>
      <c r="X961" s="420"/>
      <c r="Y961" s="420"/>
      <c r="Z961" s="1"/>
      <c r="AA961" s="1"/>
      <c r="AB961" s="1"/>
      <c r="AC961" s="1"/>
      <c r="AD961" s="1"/>
      <c r="AL961" s="23"/>
      <c r="AM961" s="23"/>
    </row>
    <row r="962" spans="17:39">
      <c r="Q962" s="6">
        <v>932</v>
      </c>
      <c r="R962" s="7">
        <v>43599</v>
      </c>
      <c r="S962" s="210">
        <v>4.5</v>
      </c>
      <c r="T962" s="8">
        <v>1.0001249999999999</v>
      </c>
      <c r="U962" s="98">
        <v>4.1088377664103781</v>
      </c>
      <c r="V962" s="106">
        <v>28637.359428036056</v>
      </c>
      <c r="W962" s="10">
        <v>0.61908821108072054</v>
      </c>
      <c r="X962" s="420"/>
      <c r="Y962" s="420"/>
      <c r="Z962" s="1"/>
      <c r="AA962" s="1"/>
      <c r="AB962" s="1"/>
      <c r="AC962" s="1"/>
      <c r="AD962" s="1"/>
      <c r="AL962" s="23"/>
      <c r="AM962" s="23"/>
    </row>
    <row r="963" spans="17:39">
      <c r="Q963" s="6">
        <v>933</v>
      </c>
      <c r="R963" s="7">
        <v>43600</v>
      </c>
      <c r="S963" s="210">
        <v>4.5</v>
      </c>
      <c r="T963" s="8">
        <v>1.0001249999999999</v>
      </c>
      <c r="U963" s="98">
        <v>4.1094353579597565</v>
      </c>
      <c r="V963" s="106">
        <v>28639.742896641743</v>
      </c>
      <c r="W963" s="10">
        <v>0.62006668042888791</v>
      </c>
      <c r="X963" s="420"/>
      <c r="Y963" s="420"/>
      <c r="Z963" s="1"/>
      <c r="AA963" s="1"/>
      <c r="AB963" s="1"/>
      <c r="AC963" s="1"/>
      <c r="AD963" s="1"/>
      <c r="AL963" s="23"/>
      <c r="AM963" s="23"/>
    </row>
    <row r="964" spans="17:39">
      <c r="Q964" s="6">
        <v>934</v>
      </c>
      <c r="R964" s="7">
        <v>43601</v>
      </c>
      <c r="S964" s="210">
        <v>4.5</v>
      </c>
      <c r="T964" s="8">
        <v>1.0001249999999999</v>
      </c>
      <c r="U964" s="98">
        <v>4.1100316732890496</v>
      </c>
      <c r="V964" s="106">
        <v>28642.126563621958</v>
      </c>
      <c r="W964" s="10">
        <v>0.62104306403818477</v>
      </c>
      <c r="X964" s="420"/>
      <c r="Y964" s="420"/>
      <c r="Z964" s="1"/>
      <c r="AA964" s="1"/>
      <c r="AB964" s="1"/>
      <c r="AC964" s="1"/>
      <c r="AD964" s="1"/>
      <c r="AL964" s="23"/>
      <c r="AM964" s="23"/>
    </row>
    <row r="965" spans="17:39">
      <c r="Q965" s="6">
        <v>935</v>
      </c>
      <c r="R965" s="7">
        <v>43602</v>
      </c>
      <c r="S965" s="210">
        <v>4.5</v>
      </c>
      <c r="T965" s="8">
        <v>1.0001249999999999</v>
      </c>
      <c r="U965" s="98">
        <v>4.1106267164821242</v>
      </c>
      <c r="V965" s="106">
        <v>28644.510428993206</v>
      </c>
      <c r="W965" s="10">
        <v>0.62201736857050438</v>
      </c>
      <c r="X965" s="420"/>
      <c r="Y965" s="420"/>
      <c r="Z965" s="1"/>
      <c r="AA965" s="1"/>
      <c r="AB965" s="1"/>
      <c r="AC965" s="1"/>
      <c r="AD965" s="1"/>
      <c r="AL965" s="23"/>
      <c r="AM965" s="23"/>
    </row>
    <row r="966" spans="17:39">
      <c r="Q966" s="6">
        <v>936</v>
      </c>
      <c r="R966" s="7">
        <v>43603</v>
      </c>
      <c r="S966" s="210">
        <v>4.5</v>
      </c>
      <c r="T966" s="8">
        <v>1.0001249999999999</v>
      </c>
      <c r="U966" s="98">
        <v>4.1112204916054829</v>
      </c>
      <c r="V966" s="106">
        <v>28646.894492772004</v>
      </c>
      <c r="W966" s="10">
        <v>0.62298960065945153</v>
      </c>
      <c r="X966" s="420"/>
      <c r="Y966" s="420"/>
      <c r="Z966" s="1"/>
      <c r="AA966" s="1"/>
      <c r="AB966" s="1"/>
      <c r="AC966" s="1"/>
      <c r="AD966" s="1"/>
      <c r="AL966" s="23"/>
      <c r="AM966" s="23"/>
    </row>
    <row r="967" spans="17:39">
      <c r="Q967" s="6">
        <v>937</v>
      </c>
      <c r="R967" s="7">
        <v>43604</v>
      </c>
      <c r="S967" s="210">
        <v>4.5</v>
      </c>
      <c r="T967" s="8">
        <v>1.0001249999999999</v>
      </c>
      <c r="U967" s="98">
        <v>4.1118130027082866</v>
      </c>
      <c r="V967" s="106">
        <v>28649.278754974861</v>
      </c>
      <c r="W967" s="10">
        <v>0.6239597669103647</v>
      </c>
      <c r="X967" s="420"/>
      <c r="Y967" s="420"/>
      <c r="Z967" s="1"/>
      <c r="AA967" s="1"/>
      <c r="AB967" s="1"/>
      <c r="AC967" s="1"/>
      <c r="AD967" s="1"/>
      <c r="AL967" s="23"/>
      <c r="AM967" s="23"/>
    </row>
    <row r="968" spans="17:39">
      <c r="Q968" s="6">
        <v>938</v>
      </c>
      <c r="R968" s="7">
        <v>43605</v>
      </c>
      <c r="S968" s="210">
        <v>4.5</v>
      </c>
      <c r="T968" s="8">
        <v>1.0001249999999999</v>
      </c>
      <c r="U968" s="98">
        <v>4.1124042538224659</v>
      </c>
      <c r="V968" s="106">
        <v>28651.6632156183</v>
      </c>
      <c r="W968" s="10">
        <v>0.62492787390053817</v>
      </c>
      <c r="X968" s="420"/>
      <c r="Y968" s="420"/>
      <c r="Z968" s="1"/>
      <c r="AA968" s="1"/>
      <c r="AB968" s="1"/>
      <c r="AC968" s="1"/>
      <c r="AD968" s="1"/>
      <c r="AL968" s="23"/>
      <c r="AM968" s="23"/>
    </row>
    <row r="969" spans="17:39">
      <c r="Q969" s="6">
        <v>939</v>
      </c>
      <c r="R969" s="7">
        <v>43606</v>
      </c>
      <c r="S969" s="210">
        <v>4.5</v>
      </c>
      <c r="T969" s="8">
        <v>1.0001249999999999</v>
      </c>
      <c r="U969" s="98">
        <v>4.1129942489628535</v>
      </c>
      <c r="V969" s="106">
        <v>28654.047874718824</v>
      </c>
      <c r="W969" s="10">
        <v>0.62589392817948841</v>
      </c>
      <c r="X969" s="420"/>
      <c r="Y969" s="420"/>
      <c r="Z969" s="1"/>
      <c r="AA969" s="1"/>
      <c r="AB969" s="1"/>
      <c r="AC969" s="1"/>
      <c r="AD969" s="1"/>
      <c r="AL969" s="23"/>
      <c r="AM969" s="23"/>
    </row>
    <row r="970" spans="17:39">
      <c r="Q970" s="6">
        <v>940</v>
      </c>
      <c r="R970" s="7">
        <v>43607</v>
      </c>
      <c r="S970" s="210">
        <v>4.5</v>
      </c>
      <c r="T970" s="8">
        <v>1.0001249999999999</v>
      </c>
      <c r="U970" s="98">
        <v>4.1135829921272071</v>
      </c>
      <c r="V970" s="106">
        <v>28656.432732292968</v>
      </c>
      <c r="W970" s="10">
        <v>0.62685793626886532</v>
      </c>
      <c r="X970" s="420"/>
      <c r="Y970" s="420"/>
      <c r="Z970" s="1"/>
      <c r="AA970" s="1"/>
      <c r="AB970" s="1"/>
      <c r="AC970" s="1"/>
      <c r="AD970" s="1"/>
      <c r="AL970" s="23"/>
      <c r="AM970" s="23"/>
    </row>
    <row r="971" spans="17:39">
      <c r="Q971" s="6">
        <v>941</v>
      </c>
      <c r="R971" s="7">
        <v>43608</v>
      </c>
      <c r="S971" s="210">
        <v>4.5</v>
      </c>
      <c r="T971" s="8">
        <v>1.0001249999999999</v>
      </c>
      <c r="U971" s="98">
        <v>4.1141704872963647</v>
      </c>
      <c r="V971" s="106">
        <v>28658.817788357232</v>
      </c>
      <c r="W971" s="10">
        <v>0.62781990466276305</v>
      </c>
      <c r="X971" s="420"/>
      <c r="Y971" s="420"/>
      <c r="Z971" s="1"/>
      <c r="AA971" s="1"/>
      <c r="AB971" s="1"/>
      <c r="AC971" s="1"/>
      <c r="AD971" s="1"/>
      <c r="AL971" s="23"/>
      <c r="AM971" s="23"/>
    </row>
    <row r="972" spans="17:39">
      <c r="Q972" s="6">
        <v>942</v>
      </c>
      <c r="R972" s="7">
        <v>43609</v>
      </c>
      <c r="S972" s="210">
        <v>4.5</v>
      </c>
      <c r="T972" s="8">
        <v>1.0001249999999999</v>
      </c>
      <c r="U972" s="98">
        <v>4.1147567384342887</v>
      </c>
      <c r="V972" s="106">
        <v>28661.203042928148</v>
      </c>
      <c r="W972" s="10">
        <v>0.62877983982783103</v>
      </c>
      <c r="X972" s="420"/>
      <c r="Y972" s="420"/>
      <c r="Z972" s="1"/>
      <c r="AA972" s="1"/>
      <c r="AB972" s="1"/>
      <c r="AC972" s="1"/>
      <c r="AD972" s="1"/>
      <c r="AL972" s="23"/>
      <c r="AM972" s="23"/>
    </row>
    <row r="973" spans="17:39">
      <c r="Q973" s="6">
        <v>943</v>
      </c>
      <c r="R973" s="7">
        <v>43610</v>
      </c>
      <c r="S973" s="210">
        <v>4.5</v>
      </c>
      <c r="T973" s="8">
        <v>1.0001249999999999</v>
      </c>
      <c r="U973" s="98">
        <v>4.1153417494881772</v>
      </c>
      <c r="V973" s="106">
        <v>28663.588496022232</v>
      </c>
      <c r="W973" s="10">
        <v>0.62973774820342943</v>
      </c>
      <c r="X973" s="420"/>
      <c r="Y973" s="420"/>
      <c r="Z973" s="1"/>
      <c r="AA973" s="1"/>
      <c r="AB973" s="1"/>
      <c r="AC973" s="1"/>
      <c r="AD973" s="1"/>
      <c r="AL973" s="23"/>
      <c r="AM973" s="23"/>
    </row>
    <row r="974" spans="17:39">
      <c r="Q974" s="6">
        <v>944</v>
      </c>
      <c r="R974" s="7">
        <v>43611</v>
      </c>
      <c r="S974" s="210">
        <v>4.5</v>
      </c>
      <c r="T974" s="8">
        <v>1.0001249999999999</v>
      </c>
      <c r="U974" s="98">
        <v>4.1159255243885529</v>
      </c>
      <c r="V974" s="106">
        <v>28665.974147656008</v>
      </c>
      <c r="W974" s="10">
        <v>0.63069363620171792</v>
      </c>
      <c r="X974" s="420"/>
      <c r="Y974" s="420"/>
      <c r="Z974" s="1"/>
      <c r="AA974" s="1"/>
      <c r="AB974" s="1"/>
      <c r="AC974" s="1"/>
      <c r="AD974" s="1"/>
      <c r="AL974" s="23"/>
      <c r="AM974" s="23"/>
    </row>
    <row r="975" spans="17:39">
      <c r="Q975" s="6">
        <v>945</v>
      </c>
      <c r="R975" s="7">
        <v>43612</v>
      </c>
      <c r="S975" s="210">
        <v>4.5</v>
      </c>
      <c r="T975" s="8">
        <v>1.0001249999999999</v>
      </c>
      <c r="U975" s="98">
        <v>4.1165080670493293</v>
      </c>
      <c r="V975" s="106">
        <v>28668.359997846012</v>
      </c>
      <c r="W975" s="10">
        <v>0.63164751020785559</v>
      </c>
      <c r="X975" s="420"/>
      <c r="Y975" s="420"/>
      <c r="Z975" s="1"/>
      <c r="AA975" s="1"/>
      <c r="AB975" s="1"/>
      <c r="AC975" s="1"/>
      <c r="AD975" s="1"/>
      <c r="AL975" s="23"/>
      <c r="AM975" s="23"/>
    </row>
    <row r="976" spans="17:39">
      <c r="Q976" s="6">
        <v>946</v>
      </c>
      <c r="R976" s="7">
        <v>43613</v>
      </c>
      <c r="S976" s="210">
        <v>4.5</v>
      </c>
      <c r="T976" s="8">
        <v>1.0001249999999999</v>
      </c>
      <c r="U976" s="98">
        <v>4.1170893813679221</v>
      </c>
      <c r="V976" s="106">
        <v>28670.74604660875</v>
      </c>
      <c r="W976" s="10">
        <v>0.63259937658011189</v>
      </c>
      <c r="X976" s="420"/>
      <c r="Y976" s="420"/>
      <c r="Z976" s="1"/>
      <c r="AA976" s="1"/>
      <c r="AB976" s="1"/>
      <c r="AC976" s="1"/>
      <c r="AD976" s="1"/>
      <c r="AL976" s="23"/>
      <c r="AM976" s="23"/>
    </row>
    <row r="977" spans="17:39">
      <c r="Q977" s="6">
        <v>947</v>
      </c>
      <c r="R977" s="7">
        <v>43614</v>
      </c>
      <c r="S977" s="210">
        <v>4.5</v>
      </c>
      <c r="T977" s="8">
        <v>1.0001249999999999</v>
      </c>
      <c r="U977" s="98">
        <v>4.1176694712253603</v>
      </c>
      <c r="V977" s="106">
        <v>28673.13229396076</v>
      </c>
      <c r="W977" s="10">
        <v>0.63354924165004434</v>
      </c>
      <c r="X977" s="420"/>
      <c r="Y977" s="420"/>
      <c r="Z977" s="1"/>
      <c r="AA977" s="1"/>
      <c r="AB977" s="1"/>
      <c r="AC977" s="1"/>
      <c r="AD977" s="1"/>
      <c r="AL977" s="23"/>
      <c r="AM977" s="23"/>
    </row>
    <row r="978" spans="17:39">
      <c r="Q978" s="6">
        <v>948</v>
      </c>
      <c r="R978" s="7">
        <v>43615</v>
      </c>
      <c r="S978" s="210">
        <v>4.5</v>
      </c>
      <c r="T978" s="8">
        <v>1.0001249999999999</v>
      </c>
      <c r="U978" s="98">
        <v>4.1182483404862857</v>
      </c>
      <c r="V978" s="106">
        <v>28675.518739918567</v>
      </c>
      <c r="W978" s="10">
        <v>0.63449711172260947</v>
      </c>
      <c r="X978" s="420"/>
      <c r="Y978" s="420"/>
      <c r="Z978" s="1"/>
      <c r="AA978" s="1"/>
      <c r="AB978" s="1"/>
      <c r="AC978" s="1"/>
      <c r="AD978" s="1"/>
      <c r="AL978" s="23"/>
      <c r="AM978" s="23"/>
    </row>
    <row r="979" spans="17:39">
      <c r="Q979" s="6">
        <v>949</v>
      </c>
      <c r="R979" s="7">
        <v>43616</v>
      </c>
      <c r="S979" s="210">
        <v>4.5</v>
      </c>
      <c r="T979" s="8">
        <v>1.0001249999999999</v>
      </c>
      <c r="U979" s="98">
        <v>4.1188259929991311</v>
      </c>
      <c r="V979" s="106">
        <v>28677.90538449871</v>
      </c>
      <c r="W979" s="10">
        <v>0.63544299307627394</v>
      </c>
      <c r="X979" s="420"/>
      <c r="Y979" s="420"/>
      <c r="Z979" s="1"/>
      <c r="AA979" s="1"/>
      <c r="AB979" s="1"/>
      <c r="AC979" s="1"/>
      <c r="AD979" s="1"/>
      <c r="AL979" s="23"/>
      <c r="AM979" s="23"/>
    </row>
    <row r="980" spans="17:39">
      <c r="Q980" s="6">
        <v>950</v>
      </c>
      <c r="R980" s="7">
        <v>43617</v>
      </c>
      <c r="S980" s="210">
        <v>4.5</v>
      </c>
      <c r="T980" s="8">
        <v>1.0001249999999999</v>
      </c>
      <c r="U980" s="98">
        <v>4.1194024325961642</v>
      </c>
      <c r="V980" s="106">
        <v>28680.292227717706</v>
      </c>
      <c r="W980" s="10">
        <v>0.6363868919632365</v>
      </c>
      <c r="X980" s="420"/>
      <c r="Y980" s="420"/>
      <c r="Z980" s="1"/>
      <c r="AA980" s="1"/>
      <c r="AB980" s="1"/>
      <c r="AC980" s="1"/>
      <c r="AD980" s="1"/>
      <c r="AL980" s="23"/>
      <c r="AM980" s="23"/>
    </row>
    <row r="981" spans="17:39">
      <c r="Q981" s="6">
        <v>951</v>
      </c>
      <c r="R981" s="7">
        <v>43618</v>
      </c>
      <c r="S981" s="210">
        <v>4.5</v>
      </c>
      <c r="T981" s="8">
        <v>1.0001249999999999</v>
      </c>
      <c r="U981" s="98">
        <v>4.1199776630935325</v>
      </c>
      <c r="V981" s="106">
        <v>28682.679269592099</v>
      </c>
      <c r="W981" s="10">
        <v>0.63732881460945023</v>
      </c>
      <c r="X981" s="420"/>
      <c r="Y981" s="420"/>
      <c r="Z981" s="1"/>
      <c r="AA981" s="1"/>
      <c r="AB981" s="1"/>
      <c r="AC981" s="1"/>
      <c r="AD981" s="1"/>
      <c r="AL981" s="23"/>
      <c r="AM981" s="23"/>
    </row>
    <row r="982" spans="17:39">
      <c r="Q982" s="6">
        <v>952</v>
      </c>
      <c r="R982" s="7">
        <v>43619</v>
      </c>
      <c r="S982" s="210">
        <v>4.5</v>
      </c>
      <c r="T982" s="8">
        <v>1.0001249999999999</v>
      </c>
      <c r="U982" s="98">
        <v>4.1205516882914628</v>
      </c>
      <c r="V982" s="106">
        <v>28685.066510138415</v>
      </c>
      <c r="W982" s="10">
        <v>0.63826876721493342</v>
      </c>
      <c r="X982" s="420"/>
      <c r="Y982" s="420"/>
      <c r="Z982" s="1"/>
      <c r="AA982" s="1"/>
      <c r="AB982" s="1"/>
      <c r="AC982" s="1"/>
      <c r="AD982" s="1"/>
      <c r="AL982" s="23"/>
      <c r="AM982" s="23"/>
    </row>
    <row r="983" spans="17:39">
      <c r="Q983" s="6">
        <v>953</v>
      </c>
      <c r="R983" s="7">
        <v>43620</v>
      </c>
      <c r="S983" s="210">
        <v>4.5</v>
      </c>
      <c r="T983" s="8">
        <v>1.0001249999999999</v>
      </c>
      <c r="U983" s="98">
        <v>4.1211245119742168</v>
      </c>
      <c r="V983" s="106">
        <v>28687.453949373194</v>
      </c>
      <c r="W983" s="10">
        <v>0.6392067559536585</v>
      </c>
      <c r="X983" s="420"/>
      <c r="Y983" s="420"/>
      <c r="Z983" s="1"/>
      <c r="AA983" s="1"/>
      <c r="AB983" s="1"/>
      <c r="AC983" s="1"/>
      <c r="AD983" s="1"/>
      <c r="AL983" s="23"/>
      <c r="AM983" s="23"/>
    </row>
    <row r="984" spans="17:39">
      <c r="Q984" s="6">
        <v>954</v>
      </c>
      <c r="R984" s="7">
        <v>43621</v>
      </c>
      <c r="S984" s="210">
        <v>4.5</v>
      </c>
      <c r="T984" s="8">
        <v>1.0001249999999999</v>
      </c>
      <c r="U984" s="98">
        <v>4.1216961379102468</v>
      </c>
      <c r="V984" s="106">
        <v>28689.841587312974</v>
      </c>
      <c r="W984" s="10">
        <v>0.64014278697392957</v>
      </c>
      <c r="X984" s="420"/>
      <c r="Y984" s="420"/>
      <c r="Z984" s="1"/>
      <c r="AA984" s="1"/>
      <c r="AB984" s="1"/>
      <c r="AC984" s="1"/>
      <c r="AD984" s="1"/>
      <c r="AL984" s="23"/>
      <c r="AM984" s="23"/>
    </row>
    <row r="985" spans="17:39">
      <c r="Q985" s="6">
        <v>955</v>
      </c>
      <c r="R985" s="7">
        <v>43622</v>
      </c>
      <c r="S985" s="210">
        <v>4.5</v>
      </c>
      <c r="T985" s="8">
        <v>1.0001249999999999</v>
      </c>
      <c r="U985" s="98">
        <v>4.1222665698522842</v>
      </c>
      <c r="V985" s="106">
        <v>28692.229423974291</v>
      </c>
      <c r="W985" s="10">
        <v>0.64107686639836015</v>
      </c>
      <c r="X985" s="420"/>
      <c r="Y985" s="420"/>
      <c r="Z985" s="1"/>
      <c r="AA985" s="1"/>
      <c r="AB985" s="1"/>
      <c r="AC985" s="1"/>
      <c r="AD985" s="1"/>
      <c r="AL985" s="23"/>
      <c r="AM985" s="23"/>
    </row>
    <row r="986" spans="17:39">
      <c r="Q986" s="6">
        <v>956</v>
      </c>
      <c r="R986" s="7">
        <v>43623</v>
      </c>
      <c r="S986" s="210">
        <v>4.5</v>
      </c>
      <c r="T986" s="8">
        <v>1.0001249999999999</v>
      </c>
      <c r="U986" s="98">
        <v>4.1228358115373842</v>
      </c>
      <c r="V986" s="106">
        <v>28694.61745937368</v>
      </c>
      <c r="W986" s="10">
        <v>0.64200900032411745</v>
      </c>
      <c r="X986" s="420"/>
      <c r="Y986" s="420"/>
      <c r="Z986" s="1"/>
      <c r="AA986" s="1"/>
      <c r="AB986" s="1"/>
      <c r="AC986" s="1"/>
      <c r="AD986" s="1"/>
      <c r="AL986" s="23"/>
      <c r="AM986" s="23"/>
    </row>
    <row r="987" spans="17:39">
      <c r="Q987" s="6">
        <v>957</v>
      </c>
      <c r="R987" s="7">
        <v>43624</v>
      </c>
      <c r="S987" s="210">
        <v>4.5</v>
      </c>
      <c r="T987" s="8">
        <v>1.0001249999999999</v>
      </c>
      <c r="U987" s="98">
        <v>4.1234038666870143</v>
      </c>
      <c r="V987" s="106">
        <v>28697.005693527688</v>
      </c>
      <c r="W987" s="10">
        <v>0.64293919482292239</v>
      </c>
      <c r="X987" s="420"/>
      <c r="Y987" s="420"/>
      <c r="Z987" s="1"/>
      <c r="AA987" s="1"/>
      <c r="AB987" s="1"/>
      <c r="AC987" s="1"/>
      <c r="AD987" s="1"/>
      <c r="AL987" s="23"/>
      <c r="AM987" s="23"/>
    </row>
    <row r="988" spans="17:39">
      <c r="Q988" s="6">
        <v>958</v>
      </c>
      <c r="R988" s="7">
        <v>43625</v>
      </c>
      <c r="S988" s="210">
        <v>4.5</v>
      </c>
      <c r="T988" s="8">
        <v>1.0001249999999999</v>
      </c>
      <c r="U988" s="98">
        <v>4.1239707390071434</v>
      </c>
      <c r="V988" s="106">
        <v>28699.394126452855</v>
      </c>
      <c r="W988" s="10">
        <v>0.643867455941316</v>
      </c>
      <c r="X988" s="420"/>
      <c r="Y988" s="420"/>
      <c r="Z988" s="1"/>
      <c r="AA988" s="1"/>
      <c r="AB988" s="1"/>
      <c r="AC988" s="1"/>
      <c r="AD988" s="1"/>
      <c r="AL988" s="23"/>
      <c r="AM988" s="23"/>
    </row>
    <row r="989" spans="17:39">
      <c r="Q989" s="6">
        <v>959</v>
      </c>
      <c r="R989" s="7">
        <v>43626</v>
      </c>
      <c r="S989" s="210">
        <v>4.5</v>
      </c>
      <c r="T989" s="8">
        <v>1.0001249999999999</v>
      </c>
      <c r="U989" s="98">
        <v>4.1245364321883304</v>
      </c>
      <c r="V989" s="106">
        <v>28701.862382646581</v>
      </c>
      <c r="W989" s="10">
        <v>0.64468752170712129</v>
      </c>
      <c r="X989" s="420"/>
      <c r="Y989" s="420"/>
      <c r="Z989" s="1"/>
      <c r="AA989" s="1"/>
      <c r="AB989" s="1"/>
      <c r="AC989" s="1"/>
      <c r="AD989" s="1"/>
      <c r="AL989" s="23"/>
      <c r="AM989" s="23"/>
    </row>
    <row r="990" spans="17:39">
      <c r="Q990" s="6">
        <v>960</v>
      </c>
      <c r="R990" s="7">
        <v>43627</v>
      </c>
      <c r="S990" s="210">
        <v>4.5</v>
      </c>
      <c r="T990" s="8">
        <v>1.0001249999999999</v>
      </c>
      <c r="U990" s="98">
        <v>4.1251009499058133</v>
      </c>
      <c r="V990" s="106">
        <v>28704.330851119648</v>
      </c>
      <c r="W990" s="10">
        <v>0.64550588566381073</v>
      </c>
      <c r="X990" s="420"/>
      <c r="Y990" s="420"/>
      <c r="Z990" s="1"/>
      <c r="AA990" s="1"/>
      <c r="AB990" s="1"/>
      <c r="AC990" s="1"/>
      <c r="AD990" s="1"/>
      <c r="AL990" s="23"/>
      <c r="AM990" s="23"/>
    </row>
    <row r="991" spans="17:39">
      <c r="Q991" s="6">
        <v>961</v>
      </c>
      <c r="R991" s="7">
        <v>43628</v>
      </c>
      <c r="S991" s="210">
        <v>4.5</v>
      </c>
      <c r="T991" s="8">
        <v>1.0001249999999999</v>
      </c>
      <c r="U991" s="98">
        <v>4.1256642958195533</v>
      </c>
      <c r="V991" s="106">
        <v>28706.799531890327</v>
      </c>
      <c r="W991" s="10">
        <v>0.64632255310319575</v>
      </c>
      <c r="X991" s="420"/>
      <c r="Y991" s="420"/>
      <c r="Z991" s="1"/>
      <c r="AA991" s="1"/>
      <c r="AB991" s="1"/>
      <c r="AC991" s="1"/>
      <c r="AD991" s="1"/>
      <c r="AL991" s="23"/>
      <c r="AM991" s="23"/>
    </row>
    <row r="992" spans="17:39">
      <c r="Q992" s="6">
        <v>962</v>
      </c>
      <c r="R992" s="7">
        <v>43629</v>
      </c>
      <c r="S992" s="210">
        <v>4.5</v>
      </c>
      <c r="T992" s="8">
        <v>1.0001249999999999</v>
      </c>
      <c r="U992" s="98">
        <v>4.1262264735743015</v>
      </c>
      <c r="V992" s="106">
        <v>28709.268424976861</v>
      </c>
      <c r="W992" s="10">
        <v>0.64713752929532742</v>
      </c>
      <c r="X992" s="420"/>
      <c r="Y992" s="420"/>
      <c r="Z992" s="1"/>
      <c r="AA992" s="1"/>
      <c r="AB992" s="1"/>
      <c r="AC992" s="1"/>
      <c r="AD992" s="1"/>
      <c r="AL992" s="23"/>
      <c r="AM992" s="23"/>
    </row>
    <row r="993" spans="17:39">
      <c r="Q993" s="6">
        <v>963</v>
      </c>
      <c r="R993" s="7">
        <v>43630</v>
      </c>
      <c r="S993" s="210">
        <v>4.5</v>
      </c>
      <c r="T993" s="8">
        <v>1.0001249999999999</v>
      </c>
      <c r="U993" s="98">
        <v>4.1267874867997989</v>
      </c>
      <c r="V993" s="106">
        <v>28711.73753039752</v>
      </c>
      <c r="W993" s="10">
        <v>0.64795081948836319</v>
      </c>
      <c r="X993" s="420"/>
      <c r="Y993" s="420"/>
      <c r="Z993" s="1"/>
      <c r="AA993" s="1"/>
      <c r="AB993" s="1"/>
      <c r="AC993" s="1"/>
      <c r="AD993" s="1"/>
      <c r="AL993" s="23"/>
      <c r="AM993" s="23"/>
    </row>
    <row r="994" spans="17:39">
      <c r="Q994" s="6">
        <v>964</v>
      </c>
      <c r="R994" s="7">
        <v>43631</v>
      </c>
      <c r="S994" s="210">
        <v>4.5</v>
      </c>
      <c r="T994" s="8">
        <v>1.0001249999999999</v>
      </c>
      <c r="U994" s="98">
        <v>4.1273473391106652</v>
      </c>
      <c r="V994" s="106">
        <v>28714.206848170561</v>
      </c>
      <c r="W994" s="10">
        <v>0.64876242890878899</v>
      </c>
      <c r="X994" s="420"/>
      <c r="Y994" s="420"/>
      <c r="Z994" s="1"/>
      <c r="AA994" s="1"/>
      <c r="AB994" s="1"/>
      <c r="AC994" s="1"/>
      <c r="AD994" s="1"/>
      <c r="AL994" s="23"/>
      <c r="AM994" s="23"/>
    </row>
    <row r="995" spans="17:39">
      <c r="Q995" s="6">
        <v>965</v>
      </c>
      <c r="R995" s="7">
        <v>43632</v>
      </c>
      <c r="S995" s="210">
        <v>4.5</v>
      </c>
      <c r="T995" s="8">
        <v>1.0001249999999999</v>
      </c>
      <c r="U995" s="98">
        <v>4.1279060341066431</v>
      </c>
      <c r="V995" s="106">
        <v>28716.676378314256</v>
      </c>
      <c r="W995" s="10">
        <v>0.64957236276150798</v>
      </c>
      <c r="X995" s="420"/>
      <c r="Y995" s="420"/>
      <c r="Z995" s="1"/>
      <c r="AA995" s="1"/>
      <c r="AB995" s="1"/>
      <c r="AC995" s="1"/>
      <c r="AD995" s="1"/>
      <c r="AL995" s="23"/>
      <c r="AM995" s="23"/>
    </row>
    <row r="996" spans="17:39">
      <c r="Q996" s="6">
        <v>966</v>
      </c>
      <c r="R996" s="7">
        <v>43633</v>
      </c>
      <c r="S996" s="210">
        <v>4.5</v>
      </c>
      <c r="T996" s="8">
        <v>1.0001249999999999</v>
      </c>
      <c r="U996" s="98">
        <v>4.1284635753725762</v>
      </c>
      <c r="V996" s="106">
        <v>28719.146120846854</v>
      </c>
      <c r="W996" s="10">
        <v>0.65038062622997383</v>
      </c>
      <c r="X996" s="420"/>
      <c r="Y996" s="420"/>
      <c r="Z996" s="1"/>
      <c r="AA996" s="1"/>
      <c r="AB996" s="1"/>
      <c r="AC996" s="1"/>
      <c r="AD996" s="1"/>
      <c r="AL996" s="23"/>
      <c r="AM996" s="23"/>
    </row>
    <row r="997" spans="17:39">
      <c r="Q997" s="6">
        <v>967</v>
      </c>
      <c r="R997" s="7">
        <v>43634</v>
      </c>
      <c r="S997" s="210">
        <v>4.5</v>
      </c>
      <c r="T997" s="8">
        <v>1.0001249999999999</v>
      </c>
      <c r="U997" s="98">
        <v>4.1290199664785199</v>
      </c>
      <c r="V997" s="106">
        <v>28721.616075786631</v>
      </c>
      <c r="W997" s="10">
        <v>0.65118722447623512</v>
      </c>
      <c r="X997" s="420"/>
      <c r="Y997" s="420"/>
      <c r="Z997" s="1"/>
      <c r="AA997" s="1"/>
      <c r="AB997" s="1"/>
      <c r="AC997" s="1"/>
      <c r="AD997" s="1"/>
      <c r="AL997" s="23"/>
      <c r="AM997" s="23"/>
    </row>
    <row r="998" spans="17:39">
      <c r="Q998" s="6">
        <v>968</v>
      </c>
      <c r="R998" s="7">
        <v>43635</v>
      </c>
      <c r="S998" s="210">
        <v>4.5</v>
      </c>
      <c r="T998" s="8">
        <v>1.0001249999999999</v>
      </c>
      <c r="U998" s="98">
        <v>4.12957521097983</v>
      </c>
      <c r="V998" s="106">
        <v>28724.086243151854</v>
      </c>
      <c r="W998" s="10">
        <v>0.65199216264115734</v>
      </c>
      <c r="X998" s="420"/>
      <c r="Y998" s="420"/>
      <c r="Z998" s="1"/>
      <c r="AA998" s="1"/>
      <c r="AB998" s="1"/>
      <c r="AC998" s="1"/>
      <c r="AD998" s="1"/>
      <c r="AL998" s="23"/>
      <c r="AM998" s="23"/>
    </row>
    <row r="999" spans="17:39">
      <c r="Q999" s="6">
        <v>969</v>
      </c>
      <c r="R999" s="7">
        <v>43636</v>
      </c>
      <c r="S999" s="210">
        <v>4.5</v>
      </c>
      <c r="T999" s="8">
        <v>1.0001249999999999</v>
      </c>
      <c r="U999" s="98">
        <v>4.1301293124172078</v>
      </c>
      <c r="V999" s="106">
        <v>28726.55662296079</v>
      </c>
      <c r="W999" s="10">
        <v>0.65279544584442295</v>
      </c>
      <c r="X999" s="420"/>
      <c r="Y999" s="420"/>
      <c r="Z999" s="1"/>
      <c r="AA999" s="1"/>
      <c r="AB999" s="1"/>
      <c r="AC999" s="1"/>
      <c r="AD999" s="1"/>
      <c r="AL999" s="23"/>
      <c r="AM999" s="23"/>
    </row>
    <row r="1000" spans="17:39">
      <c r="Q1000" s="6">
        <v>970</v>
      </c>
      <c r="R1000" s="7">
        <v>43637</v>
      </c>
      <c r="S1000" s="210">
        <v>4.5</v>
      </c>
      <c r="T1000" s="8">
        <v>1.0001249999999999</v>
      </c>
      <c r="U1000" s="98">
        <v>4.1306822743168103</v>
      </c>
      <c r="V1000" s="106">
        <v>28729.027215231716</v>
      </c>
      <c r="W1000" s="10">
        <v>0.65359707918466459</v>
      </c>
      <c r="X1000" s="420"/>
      <c r="Y1000" s="420"/>
      <c r="Z1000" s="1"/>
      <c r="AA1000" s="1"/>
      <c r="AB1000" s="1"/>
      <c r="AC1000" s="1"/>
      <c r="AD1000" s="1"/>
      <c r="AL1000" s="23"/>
      <c r="AM1000" s="23"/>
    </row>
    <row r="1001" spans="17:39">
      <c r="Q1001" s="6">
        <v>971</v>
      </c>
      <c r="R1001" s="7">
        <v>43638</v>
      </c>
      <c r="S1001" s="210">
        <v>4.5</v>
      </c>
      <c r="T1001" s="8">
        <v>1.0001249999999999</v>
      </c>
      <c r="U1001" s="98">
        <v>4.1312341001902952</v>
      </c>
      <c r="V1001" s="106">
        <v>28731.498019982897</v>
      </c>
      <c r="W1001" s="10">
        <v>0.65439706773966488</v>
      </c>
      <c r="X1001" s="420"/>
      <c r="Y1001" s="420"/>
      <c r="Z1001" s="1"/>
      <c r="AA1001" s="1"/>
      <c r="AB1001" s="1"/>
      <c r="AC1001" s="1"/>
      <c r="AD1001" s="1"/>
      <c r="AL1001" s="23"/>
      <c r="AM1001" s="23"/>
    </row>
    <row r="1002" spans="17:39">
      <c r="Q1002" s="6">
        <v>972</v>
      </c>
      <c r="R1002" s="7">
        <v>43639</v>
      </c>
      <c r="S1002" s="210">
        <v>4.5</v>
      </c>
      <c r="T1002" s="8">
        <v>1.0001249999999999</v>
      </c>
      <c r="U1002" s="98">
        <v>4.1317847935348873</v>
      </c>
      <c r="V1002" s="106">
        <v>28733.969037232611</v>
      </c>
      <c r="W1002" s="10">
        <v>0.65519541656631208</v>
      </c>
      <c r="X1002" s="420"/>
      <c r="Y1002" s="420"/>
      <c r="Z1002" s="1"/>
      <c r="AA1002" s="1"/>
      <c r="AB1002" s="1"/>
      <c r="AC1002" s="1"/>
      <c r="AD1002" s="1"/>
      <c r="AL1002" s="23"/>
      <c r="AM1002" s="23"/>
    </row>
    <row r="1003" spans="17:39">
      <c r="Q1003" s="6">
        <v>973</v>
      </c>
      <c r="R1003" s="7">
        <v>43640</v>
      </c>
      <c r="S1003" s="210">
        <v>4.5</v>
      </c>
      <c r="T1003" s="8">
        <v>1.0001249999999999</v>
      </c>
      <c r="U1003" s="98">
        <v>4.1323343578335114</v>
      </c>
      <c r="V1003" s="106">
        <v>28736.440266999132</v>
      </c>
      <c r="W1003" s="10">
        <v>0.65599213070084428</v>
      </c>
      <c r="X1003" s="420"/>
      <c r="Y1003" s="420"/>
      <c r="Z1003" s="1"/>
      <c r="AA1003" s="1"/>
      <c r="AB1003" s="1"/>
      <c r="AC1003" s="1"/>
      <c r="AD1003" s="1"/>
      <c r="AL1003" s="23"/>
      <c r="AM1003" s="23"/>
    </row>
    <row r="1004" spans="17:39">
      <c r="Q1004" s="6">
        <v>974</v>
      </c>
      <c r="R1004" s="7">
        <v>43641</v>
      </c>
      <c r="S1004" s="210">
        <v>4.5</v>
      </c>
      <c r="T1004" s="8">
        <v>1.0001249999999999</v>
      </c>
      <c r="U1004" s="98">
        <v>4.1328827965547932</v>
      </c>
      <c r="V1004" s="106">
        <v>28738.911709300741</v>
      </c>
      <c r="W1004" s="10">
        <v>0.65678721515887162</v>
      </c>
      <c r="X1004" s="420"/>
      <c r="Y1004" s="420"/>
      <c r="Z1004" s="1"/>
      <c r="AA1004" s="1"/>
      <c r="AB1004" s="1"/>
      <c r="AC1004" s="1"/>
      <c r="AD1004" s="1"/>
      <c r="AL1004" s="23"/>
      <c r="AM1004" s="23"/>
    </row>
    <row r="1005" spans="17:39">
      <c r="Q1005" s="6">
        <v>975</v>
      </c>
      <c r="R1005" s="7">
        <v>43642</v>
      </c>
      <c r="S1005" s="210">
        <v>4.5</v>
      </c>
      <c r="T1005" s="8">
        <v>1.0001249999999999</v>
      </c>
      <c r="U1005" s="98">
        <v>4.1334301131531692</v>
      </c>
      <c r="V1005" s="106">
        <v>28741.383364155714</v>
      </c>
      <c r="W1005" s="10">
        <v>0.65758067493548733</v>
      </c>
      <c r="X1005" s="420"/>
      <c r="Y1005" s="420"/>
      <c r="Z1005" s="1"/>
      <c r="AA1005" s="1"/>
      <c r="AB1005" s="1"/>
      <c r="AC1005" s="1"/>
      <c r="AD1005" s="1"/>
      <c r="AL1005" s="23"/>
      <c r="AM1005" s="23"/>
    </row>
    <row r="1006" spans="17:39">
      <c r="Q1006" s="6">
        <v>976</v>
      </c>
      <c r="R1006" s="7">
        <v>43643</v>
      </c>
      <c r="S1006" s="210">
        <v>4.5</v>
      </c>
      <c r="T1006" s="8">
        <v>1.0001249999999999</v>
      </c>
      <c r="U1006" s="98">
        <v>4.1339763110689765</v>
      </c>
      <c r="V1006" s="106">
        <v>28743.855231582325</v>
      </c>
      <c r="W1006" s="10">
        <v>0.65837251500546756</v>
      </c>
      <c r="X1006" s="420"/>
      <c r="Y1006" s="420"/>
      <c r="Z1006" s="1"/>
      <c r="AA1006" s="1"/>
      <c r="AB1006" s="1"/>
      <c r="AC1006" s="1"/>
      <c r="AD1006" s="1"/>
      <c r="AL1006" s="23"/>
      <c r="AM1006" s="23"/>
    </row>
    <row r="1007" spans="17:39">
      <c r="Q1007" s="6">
        <v>977</v>
      </c>
      <c r="R1007" s="7">
        <v>43644</v>
      </c>
      <c r="S1007" s="210">
        <v>4.5</v>
      </c>
      <c r="T1007" s="8">
        <v>1.0001249999999999</v>
      </c>
      <c r="U1007" s="98">
        <v>4.1345213937284742</v>
      </c>
      <c r="V1007" s="106">
        <v>28746.327311598867</v>
      </c>
      <c r="W1007" s="10">
        <v>0.65916274032318256</v>
      </c>
      <c r="X1007" s="420"/>
      <c r="Y1007" s="420"/>
      <c r="Z1007" s="1"/>
      <c r="AA1007" s="1"/>
      <c r="AB1007" s="1"/>
      <c r="AC1007" s="1"/>
      <c r="AD1007" s="1"/>
      <c r="AL1007" s="23"/>
      <c r="AM1007" s="23"/>
    </row>
    <row r="1008" spans="17:39">
      <c r="Q1008" s="6">
        <v>978</v>
      </c>
      <c r="R1008" s="7">
        <v>43645</v>
      </c>
      <c r="S1008" s="210">
        <v>4.5</v>
      </c>
      <c r="T1008" s="8">
        <v>1.0001249999999999</v>
      </c>
      <c r="U1008" s="98">
        <v>4.135065364543955</v>
      </c>
      <c r="V1008" s="106">
        <v>28748.799604223619</v>
      </c>
      <c r="W1008" s="10">
        <v>0.65995135582288533</v>
      </c>
      <c r="X1008" s="420"/>
      <c r="Y1008" s="420"/>
      <c r="Z1008" s="1"/>
      <c r="AA1008" s="1"/>
      <c r="AB1008" s="1"/>
      <c r="AC1008" s="1"/>
      <c r="AD1008" s="1"/>
      <c r="AL1008" s="23"/>
      <c r="AM1008" s="23"/>
    </row>
    <row r="1009" spans="17:39">
      <c r="Q1009" s="6">
        <v>979</v>
      </c>
      <c r="R1009" s="7">
        <v>43646</v>
      </c>
      <c r="S1009" s="210">
        <v>4.5</v>
      </c>
      <c r="T1009" s="8">
        <v>1.0001249999999999</v>
      </c>
      <c r="U1009" s="98">
        <v>4.1356082269138117</v>
      </c>
      <c r="V1009" s="106">
        <v>28751.272109474867</v>
      </c>
      <c r="W1009" s="10">
        <v>0.66073836641877826</v>
      </c>
      <c r="X1009" s="420"/>
      <c r="Y1009" s="420"/>
      <c r="Z1009" s="1"/>
      <c r="AA1009" s="1"/>
      <c r="AB1009" s="1"/>
      <c r="AC1009" s="1"/>
      <c r="AD1009" s="1"/>
      <c r="AL1009" s="23"/>
      <c r="AM1009" s="23"/>
    </row>
    <row r="1010" spans="17:39">
      <c r="Q1010" s="6">
        <v>980</v>
      </c>
      <c r="R1010" s="7">
        <v>43647</v>
      </c>
      <c r="S1010" s="210">
        <v>4.5</v>
      </c>
      <c r="T1010" s="8">
        <v>1.0001249999999999</v>
      </c>
      <c r="U1010" s="98">
        <v>4.1361499842226035</v>
      </c>
      <c r="V1010" s="106">
        <v>28753.744827370898</v>
      </c>
      <c r="W1010" s="10">
        <v>0.66152377700501308</v>
      </c>
      <c r="X1010" s="420"/>
      <c r="Y1010" s="420"/>
      <c r="Z1010" s="1"/>
      <c r="AA1010" s="1"/>
      <c r="AB1010" s="1"/>
      <c r="AC1010" s="1"/>
      <c r="AD1010" s="1"/>
      <c r="AL1010" s="23"/>
      <c r="AM1010" s="23"/>
    </row>
    <row r="1011" spans="17:39">
      <c r="Q1011" s="6">
        <v>981</v>
      </c>
      <c r="R1011" s="7">
        <v>43648</v>
      </c>
      <c r="S1011" s="210">
        <v>4.5</v>
      </c>
      <c r="T1011" s="8">
        <v>1.0001249999999999</v>
      </c>
      <c r="U1011" s="98">
        <v>4.1366906398411007</v>
      </c>
      <c r="V1011" s="106">
        <v>28756.217757929997</v>
      </c>
      <c r="W1011" s="10">
        <v>0.66230759245589077</v>
      </c>
      <c r="X1011" s="420"/>
      <c r="Y1011" s="420"/>
      <c r="Z1011" s="1"/>
      <c r="AA1011" s="1"/>
      <c r="AB1011" s="1"/>
      <c r="AC1011" s="1"/>
      <c r="AD1011" s="1"/>
      <c r="AL1011" s="23"/>
      <c r="AM1011" s="23"/>
    </row>
    <row r="1012" spans="17:39">
      <c r="Q1012" s="6">
        <v>982</v>
      </c>
      <c r="R1012" s="7">
        <v>43649</v>
      </c>
      <c r="S1012" s="210">
        <v>4.5</v>
      </c>
      <c r="T1012" s="8">
        <v>1.0001249999999999</v>
      </c>
      <c r="U1012" s="98">
        <v>4.137230197126418</v>
      </c>
      <c r="V1012" s="106">
        <v>28758.690901170456</v>
      </c>
      <c r="W1012" s="10">
        <v>0.66308981762595032</v>
      </c>
      <c r="X1012" s="420"/>
      <c r="Y1012" s="420"/>
      <c r="Z1012" s="1"/>
      <c r="AA1012" s="1"/>
      <c r="AB1012" s="1"/>
      <c r="AC1012" s="1"/>
      <c r="AD1012" s="1"/>
      <c r="AL1012" s="23"/>
      <c r="AM1012" s="23"/>
    </row>
    <row r="1013" spans="17:39">
      <c r="Q1013" s="6">
        <v>983</v>
      </c>
      <c r="R1013" s="7">
        <v>43650</v>
      </c>
      <c r="S1013" s="210">
        <v>4.5</v>
      </c>
      <c r="T1013" s="8">
        <v>1.0001249999999999</v>
      </c>
      <c r="U1013" s="98">
        <v>4.137768659421992</v>
      </c>
      <c r="V1013" s="106">
        <v>28761.164257110566</v>
      </c>
      <c r="W1013" s="10">
        <v>0.66387045735003536</v>
      </c>
      <c r="X1013" s="420"/>
      <c r="Y1013" s="420"/>
      <c r="Z1013" s="1"/>
      <c r="AA1013" s="1"/>
      <c r="AB1013" s="1"/>
      <c r="AC1013" s="1"/>
      <c r="AD1013" s="1"/>
      <c r="AL1013" s="23"/>
      <c r="AM1013" s="23"/>
    </row>
    <row r="1014" spans="17:39">
      <c r="Q1014" s="6">
        <v>984</v>
      </c>
      <c r="R1014" s="7">
        <v>43651</v>
      </c>
      <c r="S1014" s="210">
        <v>4.5</v>
      </c>
      <c r="T1014" s="8">
        <v>1.0001249999999999</v>
      </c>
      <c r="U1014" s="98">
        <v>4.1383060300577812</v>
      </c>
      <c r="V1014" s="106">
        <v>28763.637825768619</v>
      </c>
      <c r="W1014" s="10">
        <v>0.6646495164434274</v>
      </c>
      <c r="X1014" s="420"/>
      <c r="Y1014" s="420"/>
      <c r="Z1014" s="1"/>
      <c r="AA1014" s="1"/>
      <c r="AB1014" s="1"/>
      <c r="AC1014" s="1"/>
      <c r="AD1014" s="1"/>
      <c r="AL1014" s="23"/>
      <c r="AM1014" s="23"/>
    </row>
    <row r="1015" spans="17:39">
      <c r="Q1015" s="6">
        <v>985</v>
      </c>
      <c r="R1015" s="7">
        <v>43652</v>
      </c>
      <c r="S1015" s="210">
        <v>4.5</v>
      </c>
      <c r="T1015" s="8">
        <v>1.0001249999999999</v>
      </c>
      <c r="U1015" s="98">
        <v>4.138842312350155</v>
      </c>
      <c r="V1015" s="106">
        <v>28766.111607162915</v>
      </c>
      <c r="W1015" s="10">
        <v>0.66542699970189023</v>
      </c>
      <c r="X1015" s="420"/>
      <c r="Y1015" s="420"/>
      <c r="Z1015" s="1"/>
      <c r="AA1015" s="1"/>
      <c r="AB1015" s="1"/>
      <c r="AC1015" s="1"/>
      <c r="AD1015" s="1"/>
      <c r="AL1015" s="23"/>
      <c r="AM1015" s="23"/>
    </row>
    <row r="1016" spans="17:39">
      <c r="Q1016" s="6">
        <v>986</v>
      </c>
      <c r="R1016" s="7">
        <v>43653</v>
      </c>
      <c r="S1016" s="210">
        <v>4.5</v>
      </c>
      <c r="T1016" s="8">
        <v>1.0001249999999999</v>
      </c>
      <c r="U1016" s="98">
        <v>4.1393775096021379</v>
      </c>
      <c r="V1016" s="106">
        <v>28768.585601311737</v>
      </c>
      <c r="W1016" s="10">
        <v>0.66620291190184755</v>
      </c>
      <c r="X1016" s="420"/>
      <c r="Y1016" s="420"/>
      <c r="Z1016" s="1"/>
      <c r="AA1016" s="1"/>
      <c r="AB1016" s="1"/>
      <c r="AC1016" s="1"/>
      <c r="AD1016" s="1"/>
      <c r="AL1016" s="23"/>
      <c r="AM1016" s="23"/>
    </row>
    <row r="1017" spans="17:39">
      <c r="Q1017" s="6">
        <v>987</v>
      </c>
      <c r="R1017" s="7">
        <v>43654</v>
      </c>
      <c r="S1017" s="210">
        <v>4.5</v>
      </c>
      <c r="T1017" s="8">
        <v>1.0001249999999999</v>
      </c>
      <c r="U1017" s="98">
        <v>4.1399116251033874</v>
      </c>
      <c r="V1017" s="106">
        <v>28771.0598082334</v>
      </c>
      <c r="W1017" s="10">
        <v>0.66697725780040518</v>
      </c>
      <c r="X1017" s="420"/>
      <c r="Y1017" s="420"/>
      <c r="Z1017" s="1"/>
      <c r="AA1017" s="1"/>
      <c r="AB1017" s="1"/>
      <c r="AC1017" s="1"/>
      <c r="AD1017" s="1"/>
      <c r="AL1017" s="23"/>
      <c r="AM1017" s="23"/>
    </row>
    <row r="1018" spans="17:39">
      <c r="Q1018" s="6">
        <v>988</v>
      </c>
      <c r="R1018" s="7">
        <v>43655</v>
      </c>
      <c r="S1018" s="210">
        <v>4.5</v>
      </c>
      <c r="T1018" s="8">
        <v>1.0001249999999999</v>
      </c>
      <c r="U1018" s="98">
        <v>4.1404446621302604</v>
      </c>
      <c r="V1018" s="106">
        <v>28773.534227946191</v>
      </c>
      <c r="W1018" s="10">
        <v>0.66775004213550648</v>
      </c>
      <c r="X1018" s="420"/>
      <c r="Y1018" s="420"/>
      <c r="Z1018" s="1"/>
      <c r="AA1018" s="1"/>
      <c r="AB1018" s="1"/>
      <c r="AC1018" s="1"/>
      <c r="AD1018" s="1"/>
      <c r="AL1018" s="23"/>
      <c r="AM1018" s="23"/>
    </row>
    <row r="1019" spans="17:39">
      <c r="Q1019" s="6">
        <v>989</v>
      </c>
      <c r="R1019" s="7">
        <v>43656</v>
      </c>
      <c r="S1019" s="210">
        <v>4.5</v>
      </c>
      <c r="T1019" s="8">
        <v>1.0001249999999999</v>
      </c>
      <c r="U1019" s="98">
        <v>4.1409766239458801</v>
      </c>
      <c r="V1019" s="106">
        <v>28775.929030290987</v>
      </c>
      <c r="W1019" s="10">
        <v>0.6686243385216617</v>
      </c>
      <c r="X1019" s="420"/>
      <c r="Y1019" s="420"/>
      <c r="Z1019" s="1"/>
      <c r="AA1019" s="1"/>
      <c r="AB1019" s="1"/>
      <c r="AC1019" s="1"/>
      <c r="AD1019" s="1"/>
      <c r="AL1019" s="23"/>
      <c r="AM1019" s="23"/>
    </row>
    <row r="1020" spans="17:39">
      <c r="Q1020" s="6">
        <v>990</v>
      </c>
      <c r="R1020" s="7">
        <v>43657</v>
      </c>
      <c r="S1020" s="210">
        <v>4.5</v>
      </c>
      <c r="T1020" s="8">
        <v>1.0001249999999999</v>
      </c>
      <c r="U1020" s="98">
        <v>4.1415075138002688</v>
      </c>
      <c r="V1020" s="106">
        <v>28778.324031953605</v>
      </c>
      <c r="W1020" s="10">
        <v>0.66949687622273046</v>
      </c>
      <c r="X1020" s="420"/>
      <c r="Y1020" s="420"/>
      <c r="Z1020" s="1"/>
      <c r="AA1020" s="1"/>
      <c r="AB1020" s="1"/>
      <c r="AC1020" s="1"/>
      <c r="AD1020" s="1"/>
      <c r="AL1020" s="23"/>
      <c r="AM1020" s="23"/>
    </row>
    <row r="1021" spans="17:39">
      <c r="Q1021" s="6">
        <v>991</v>
      </c>
      <c r="R1021" s="7">
        <v>43658</v>
      </c>
      <c r="S1021" s="210">
        <v>4.5</v>
      </c>
      <c r="T1021" s="8">
        <v>1.0001249999999999</v>
      </c>
      <c r="U1021" s="98">
        <v>4.1420373349303263</v>
      </c>
      <c r="V1021" s="106">
        <v>28780.71923295064</v>
      </c>
      <c r="W1021" s="10">
        <v>0.67036766053987229</v>
      </c>
      <c r="X1021" s="420"/>
      <c r="Y1021" s="420"/>
      <c r="Z1021" s="1"/>
      <c r="AA1021" s="1"/>
      <c r="AB1021" s="1"/>
      <c r="AC1021" s="1"/>
      <c r="AD1021" s="1"/>
      <c r="AL1021" s="23"/>
      <c r="AM1021" s="23"/>
    </row>
    <row r="1022" spans="17:39">
      <c r="Q1022" s="6">
        <v>992</v>
      </c>
      <c r="R1022" s="7">
        <v>43659</v>
      </c>
      <c r="S1022" s="210">
        <v>4.5</v>
      </c>
      <c r="T1022" s="8">
        <v>1.0001249999999999</v>
      </c>
      <c r="U1022" s="98">
        <v>4.1425660905599404</v>
      </c>
      <c r="V1022" s="106">
        <v>28783.114633298683</v>
      </c>
      <c r="W1022" s="10">
        <v>0.6712366967529082</v>
      </c>
      <c r="X1022" s="420"/>
      <c r="Y1022" s="420"/>
      <c r="Z1022" s="1"/>
      <c r="AA1022" s="1"/>
      <c r="AB1022" s="1"/>
      <c r="AC1022" s="1"/>
      <c r="AD1022" s="1"/>
      <c r="AL1022" s="23"/>
      <c r="AM1022" s="23"/>
    </row>
    <row r="1023" spans="17:39">
      <c r="Q1023" s="6">
        <v>993</v>
      </c>
      <c r="R1023" s="7">
        <v>43660</v>
      </c>
      <c r="S1023" s="210">
        <v>4.5</v>
      </c>
      <c r="T1023" s="8">
        <v>1.0001249999999999</v>
      </c>
      <c r="U1023" s="98">
        <v>4.1430937839000759</v>
      </c>
      <c r="V1023" s="106">
        <v>28785.510233014316</v>
      </c>
      <c r="W1023" s="10">
        <v>0.67210399012058719</v>
      </c>
      <c r="X1023" s="420"/>
      <c r="Y1023" s="420"/>
      <c r="Z1023" s="1"/>
      <c r="AA1023" s="1"/>
      <c r="AB1023" s="1"/>
      <c r="AC1023" s="1"/>
      <c r="AD1023" s="1"/>
      <c r="AL1023" s="23"/>
      <c r="AM1023" s="23"/>
    </row>
    <row r="1024" spans="17:39">
      <c r="Q1024" s="6">
        <v>994</v>
      </c>
      <c r="R1024" s="7">
        <v>43661</v>
      </c>
      <c r="S1024" s="210">
        <v>4.5</v>
      </c>
      <c r="T1024" s="8">
        <v>1.0001249999999999</v>
      </c>
      <c r="U1024" s="98">
        <v>4.1436204181487302</v>
      </c>
      <c r="V1024" s="106">
        <v>28787.906032114144</v>
      </c>
      <c r="W1024" s="10">
        <v>0.67296954588043079</v>
      </c>
      <c r="X1024" s="420"/>
      <c r="Y1024" s="420"/>
      <c r="Z1024" s="1"/>
      <c r="AA1024" s="1"/>
      <c r="AB1024" s="1"/>
      <c r="AC1024" s="1"/>
      <c r="AD1024" s="1"/>
      <c r="AL1024" s="23"/>
      <c r="AM1024" s="23"/>
    </row>
    <row r="1025" spans="17:39">
      <c r="Q1025" s="6">
        <v>995</v>
      </c>
      <c r="R1025" s="7">
        <v>43662</v>
      </c>
      <c r="S1025" s="210">
        <v>4.5</v>
      </c>
      <c r="T1025" s="8">
        <v>1.0001249999999999</v>
      </c>
      <c r="U1025" s="98">
        <v>4.1441459964911775</v>
      </c>
      <c r="V1025" s="106">
        <v>28790.302030614755</v>
      </c>
      <c r="W1025" s="10">
        <v>0.67383336924915493</v>
      </c>
      <c r="X1025" s="420"/>
      <c r="Y1025" s="420"/>
      <c r="Z1025" s="1"/>
      <c r="AA1025" s="1"/>
      <c r="AB1025" s="1"/>
      <c r="AC1025" s="1"/>
      <c r="AD1025" s="1"/>
      <c r="AL1025" s="23"/>
      <c r="AM1025" s="23"/>
    </row>
    <row r="1026" spans="17:39">
      <c r="Q1026" s="6">
        <v>996</v>
      </c>
      <c r="R1026" s="7">
        <v>43663</v>
      </c>
      <c r="S1026" s="210">
        <v>4.5</v>
      </c>
      <c r="T1026" s="8">
        <v>1.0001249999999999</v>
      </c>
      <c r="U1026" s="98">
        <v>4.1446705220998581</v>
      </c>
      <c r="V1026" s="106">
        <v>28792.698228532743</v>
      </c>
      <c r="W1026" s="10">
        <v>0.67469546542251457</v>
      </c>
      <c r="X1026" s="420"/>
      <c r="Y1026" s="420"/>
      <c r="Z1026" s="1"/>
      <c r="AA1026" s="1"/>
      <c r="AB1026" s="1"/>
      <c r="AC1026" s="1"/>
      <c r="AD1026" s="1"/>
      <c r="AL1026" s="23"/>
      <c r="AM1026" s="23"/>
    </row>
    <row r="1027" spans="17:39">
      <c r="Q1027" s="6">
        <v>997</v>
      </c>
      <c r="R1027" s="7">
        <v>43664</v>
      </c>
      <c r="S1027" s="210">
        <v>4.5</v>
      </c>
      <c r="T1027" s="8">
        <v>1.0001249999999999</v>
      </c>
      <c r="U1027" s="98">
        <v>4.1451939981345332</v>
      </c>
      <c r="V1027" s="106">
        <v>28795.094625884714</v>
      </c>
      <c r="W1027" s="10">
        <v>0.67555583957552567</v>
      </c>
      <c r="X1027" s="420"/>
      <c r="Y1027" s="420"/>
      <c r="Z1027" s="1"/>
      <c r="AA1027" s="1"/>
      <c r="AB1027" s="1"/>
      <c r="AC1027" s="1"/>
      <c r="AD1027" s="1"/>
      <c r="AL1027" s="23"/>
      <c r="AM1027" s="23"/>
    </row>
    <row r="1028" spans="17:39">
      <c r="Q1028" s="6">
        <v>998</v>
      </c>
      <c r="R1028" s="7">
        <v>43665</v>
      </c>
      <c r="S1028" s="210">
        <v>4.5</v>
      </c>
      <c r="T1028" s="8">
        <v>1.0001249999999999</v>
      </c>
      <c r="U1028" s="98">
        <v>4.1457164277423741</v>
      </c>
      <c r="V1028" s="106">
        <v>28797.491222687258</v>
      </c>
      <c r="W1028" s="10">
        <v>0.67641449686259847</v>
      </c>
      <c r="X1028" s="420"/>
      <c r="Y1028" s="420"/>
      <c r="Z1028" s="1"/>
      <c r="AA1028" s="1"/>
      <c r="AB1028" s="1"/>
      <c r="AC1028" s="1"/>
      <c r="AD1028" s="1"/>
      <c r="AL1028" s="23"/>
      <c r="AM1028" s="23"/>
    </row>
    <row r="1029" spans="17:39">
      <c r="Q1029" s="6">
        <v>999</v>
      </c>
      <c r="R1029" s="7">
        <v>43666</v>
      </c>
      <c r="S1029" s="210">
        <v>4.5</v>
      </c>
      <c r="T1029" s="8">
        <v>1.0001249999999999</v>
      </c>
      <c r="U1029" s="98">
        <v>4.1462378140578959</v>
      </c>
      <c r="V1029" s="106">
        <v>28799.888018956986</v>
      </c>
      <c r="W1029" s="10">
        <v>0.67727144241751525</v>
      </c>
      <c r="X1029" s="420"/>
      <c r="Y1029" s="420"/>
      <c r="Z1029" s="1"/>
      <c r="AA1029" s="1"/>
      <c r="AB1029" s="1"/>
      <c r="AC1029" s="1"/>
      <c r="AD1029" s="1"/>
      <c r="AL1029" s="23"/>
      <c r="AM1029" s="23"/>
    </row>
    <row r="1030" spans="17:39">
      <c r="Q1030" s="6">
        <v>1000</v>
      </c>
      <c r="R1030" s="7">
        <v>43667</v>
      </c>
      <c r="S1030" s="210">
        <v>4.5</v>
      </c>
      <c r="T1030" s="8">
        <v>1.0001249999999999</v>
      </c>
      <c r="U1030" s="98">
        <v>4.1467581602032011</v>
      </c>
      <c r="V1030" s="106">
        <v>28802.285014710484</v>
      </c>
      <c r="W1030" s="10">
        <v>0.6781266813536746</v>
      </c>
      <c r="X1030" s="420"/>
      <c r="Y1030" s="420"/>
      <c r="Z1030" s="1"/>
      <c r="AA1030" s="1"/>
      <c r="AB1030" s="1"/>
      <c r="AC1030" s="1"/>
      <c r="AD1030" s="1"/>
      <c r="AL1030" s="23"/>
      <c r="AM1030" s="23"/>
    </row>
    <row r="1031" spans="17:39">
      <c r="Q1031" s="6">
        <v>1001</v>
      </c>
      <c r="R1031" s="7">
        <v>43668</v>
      </c>
      <c r="S1031" s="210">
        <v>4.5</v>
      </c>
      <c r="T1031" s="8">
        <v>1.0001249999999999</v>
      </c>
      <c r="U1031" s="98">
        <v>4.1472774692878911</v>
      </c>
      <c r="V1031" s="106">
        <v>28804.682209964369</v>
      </c>
      <c r="W1031" s="10">
        <v>0.67898021876411363</v>
      </c>
      <c r="X1031" s="420"/>
      <c r="Y1031" s="420"/>
      <c r="Z1031" s="1"/>
      <c r="AA1031" s="1"/>
      <c r="AB1031" s="1"/>
      <c r="AC1031" s="1"/>
      <c r="AD1031" s="1"/>
      <c r="AL1031" s="23"/>
      <c r="AM1031" s="23"/>
    </row>
    <row r="1032" spans="17:39">
      <c r="Q1032" s="6">
        <v>1002</v>
      </c>
      <c r="R1032" s="7">
        <v>43669</v>
      </c>
      <c r="S1032" s="210">
        <v>4.5</v>
      </c>
      <c r="T1032" s="8">
        <v>1.0001249999999999</v>
      </c>
      <c r="U1032" s="98">
        <v>4.1477957444091995</v>
      </c>
      <c r="V1032" s="106">
        <v>28807.079604735238</v>
      </c>
      <c r="W1032" s="10">
        <v>0.67983205972159677</v>
      </c>
      <c r="X1032" s="420"/>
      <c r="Y1032" s="420"/>
      <c r="Z1032" s="1"/>
      <c r="AA1032" s="1"/>
      <c r="AB1032" s="1"/>
      <c r="AC1032" s="1"/>
      <c r="AD1032" s="1"/>
      <c r="AL1032" s="23"/>
      <c r="AM1032" s="23"/>
    </row>
    <row r="1033" spans="17:39">
      <c r="Q1033" s="6">
        <v>1003</v>
      </c>
      <c r="R1033" s="7">
        <v>43670</v>
      </c>
      <c r="S1033" s="210">
        <v>4.5</v>
      </c>
      <c r="T1033" s="8">
        <v>1.0001249999999999</v>
      </c>
      <c r="U1033" s="98">
        <v>4.1483129886520365</v>
      </c>
      <c r="V1033" s="106">
        <v>28809.477199039698</v>
      </c>
      <c r="W1033" s="10">
        <v>0.68068220927879342</v>
      </c>
      <c r="X1033" s="420"/>
      <c r="Y1033" s="420"/>
      <c r="Z1033" s="1"/>
      <c r="AA1033" s="1"/>
      <c r="AB1033" s="1"/>
      <c r="AC1033" s="1"/>
      <c r="AD1033" s="1"/>
      <c r="AL1033" s="23"/>
      <c r="AM1033" s="23"/>
    </row>
    <row r="1034" spans="17:39">
      <c r="Q1034" s="6">
        <v>1004</v>
      </c>
      <c r="R1034" s="7">
        <v>43671</v>
      </c>
      <c r="S1034" s="210">
        <v>4.5</v>
      </c>
      <c r="T1034" s="8">
        <v>1.0001249999999999</v>
      </c>
      <c r="U1034" s="98">
        <v>4.148829205089033</v>
      </c>
      <c r="V1034" s="106">
        <v>28811.874992894354</v>
      </c>
      <c r="W1034" s="10">
        <v>0.68153067246827792</v>
      </c>
      <c r="X1034" s="420"/>
      <c r="Y1034" s="420"/>
      <c r="Z1034" s="1"/>
      <c r="AA1034" s="1"/>
      <c r="AB1034" s="1"/>
      <c r="AC1034" s="1"/>
      <c r="AD1034" s="1"/>
      <c r="AL1034" s="23"/>
      <c r="AM1034" s="23"/>
    </row>
    <row r="1035" spans="17:39">
      <c r="Q1035" s="6">
        <v>1005</v>
      </c>
      <c r="R1035" s="7">
        <v>43672</v>
      </c>
      <c r="S1035" s="210">
        <v>4.5</v>
      </c>
      <c r="T1035" s="8">
        <v>1.0001249999999999</v>
      </c>
      <c r="U1035" s="98">
        <v>4.1493443967806742</v>
      </c>
      <c r="V1035" s="106">
        <v>28814.272986315817</v>
      </c>
      <c r="W1035" s="10">
        <v>0.68237745430268504</v>
      </c>
      <c r="X1035" s="420"/>
      <c r="Y1035" s="420"/>
      <c r="Z1035" s="1"/>
      <c r="AA1035" s="1"/>
      <c r="AB1035" s="1"/>
      <c r="AC1035" s="1"/>
      <c r="AD1035" s="1"/>
      <c r="AL1035" s="23"/>
      <c r="AM1035" s="23"/>
    </row>
    <row r="1036" spans="17:39">
      <c r="Q1036" s="6">
        <v>1006</v>
      </c>
      <c r="R1036" s="7">
        <v>43673</v>
      </c>
      <c r="S1036" s="210">
        <v>4.5</v>
      </c>
      <c r="T1036" s="8">
        <v>1.0001249999999999</v>
      </c>
      <c r="U1036" s="98">
        <v>4.1498585667752552</v>
      </c>
      <c r="V1036" s="106">
        <v>28816.671179320703</v>
      </c>
      <c r="W1036" s="10">
        <v>0.68322255977484314</v>
      </c>
      <c r="X1036" s="420"/>
      <c r="Y1036" s="420"/>
      <c r="Z1036" s="1"/>
      <c r="AA1036" s="1"/>
      <c r="AB1036" s="1"/>
      <c r="AC1036" s="1"/>
      <c r="AD1036" s="1"/>
      <c r="AL1036" s="23"/>
      <c r="AM1036" s="23"/>
    </row>
    <row r="1037" spans="17:39">
      <c r="Q1037" s="6">
        <v>1007</v>
      </c>
      <c r="R1037" s="7">
        <v>43674</v>
      </c>
      <c r="S1037" s="210">
        <v>4.5</v>
      </c>
      <c r="T1037" s="8">
        <v>1.0001249999999999</v>
      </c>
      <c r="U1037" s="98">
        <v>4.1503717181090138</v>
      </c>
      <c r="V1037" s="106">
        <v>28819.069571925615</v>
      </c>
      <c r="W1037" s="10">
        <v>0.68406599385779643</v>
      </c>
      <c r="X1037" s="420"/>
      <c r="Y1037" s="420"/>
      <c r="Z1037" s="1"/>
      <c r="AA1037" s="1"/>
      <c r="AB1037" s="1"/>
      <c r="AC1037" s="1"/>
      <c r="AD1037" s="1"/>
      <c r="AL1037" s="23"/>
      <c r="AM1037" s="23"/>
    </row>
    <row r="1038" spans="17:39">
      <c r="Q1038" s="6">
        <v>1008</v>
      </c>
      <c r="R1038" s="7">
        <v>43675</v>
      </c>
      <c r="S1038" s="210">
        <v>4.5</v>
      </c>
      <c r="T1038" s="8">
        <v>1.0001249999999999</v>
      </c>
      <c r="U1038" s="98">
        <v>4.1508838538061532</v>
      </c>
      <c r="V1038" s="106">
        <v>28821.468164147162</v>
      </c>
      <c r="W1038" s="10">
        <v>0.68490776150493815</v>
      </c>
      <c r="X1038" s="420"/>
      <c r="Y1038" s="420"/>
      <c r="Z1038" s="1"/>
      <c r="AA1038" s="1"/>
      <c r="AB1038" s="1"/>
      <c r="AC1038" s="1"/>
      <c r="AD1038" s="1"/>
      <c r="AL1038" s="23"/>
      <c r="AM1038" s="23"/>
    </row>
    <row r="1039" spans="17:39">
      <c r="Q1039" s="6">
        <v>1009</v>
      </c>
      <c r="R1039" s="7">
        <v>43676</v>
      </c>
      <c r="S1039" s="210">
        <v>4.5</v>
      </c>
      <c r="T1039" s="8">
        <v>1.0001249999999999</v>
      </c>
      <c r="U1039" s="98">
        <v>4.1513949768789526</v>
      </c>
      <c r="V1039" s="106">
        <v>28823.866956001963</v>
      </c>
      <c r="W1039" s="10">
        <v>0.68574786765014384</v>
      </c>
      <c r="X1039" s="420"/>
      <c r="Y1039" s="420"/>
      <c r="Z1039" s="1"/>
      <c r="AA1039" s="1"/>
      <c r="AB1039" s="1"/>
      <c r="AC1039" s="1"/>
      <c r="AD1039" s="1"/>
      <c r="AL1039" s="23"/>
      <c r="AM1039" s="23"/>
    </row>
    <row r="1040" spans="17:39">
      <c r="Q1040" s="6">
        <v>1010</v>
      </c>
      <c r="R1040" s="7">
        <v>43677</v>
      </c>
      <c r="S1040" s="210">
        <v>4.5</v>
      </c>
      <c r="T1040" s="8">
        <v>1.0001249999999999</v>
      </c>
      <c r="U1040" s="98">
        <v>4.1519050903277455</v>
      </c>
      <c r="V1040" s="106">
        <v>28826.265947506639</v>
      </c>
      <c r="W1040" s="10">
        <v>0.6865863172077713</v>
      </c>
      <c r="X1040" s="420"/>
      <c r="Y1040" s="420"/>
      <c r="Z1040" s="1"/>
      <c r="AA1040" s="1"/>
      <c r="AB1040" s="1"/>
      <c r="AC1040" s="1"/>
      <c r="AD1040" s="1"/>
      <c r="AL1040" s="23"/>
      <c r="AM1040" s="23"/>
    </row>
    <row r="1041" spans="17:39">
      <c r="Q1041" s="6">
        <v>1011</v>
      </c>
      <c r="R1041" s="7">
        <v>43678</v>
      </c>
      <c r="S1041" s="210">
        <v>4.5</v>
      </c>
      <c r="T1041" s="8">
        <v>1.0001249999999999</v>
      </c>
      <c r="U1041" s="98">
        <v>4.1524141971410744</v>
      </c>
      <c r="V1041" s="106">
        <v>28828.665138677796</v>
      </c>
      <c r="W1041" s="10">
        <v>0.68742311507290488</v>
      </c>
      <c r="X1041" s="420"/>
      <c r="Y1041" s="420"/>
      <c r="Z1041" s="1"/>
      <c r="AA1041" s="1"/>
      <c r="AB1041" s="1"/>
      <c r="AC1041" s="1"/>
      <c r="AD1041" s="1"/>
      <c r="AL1041" s="23"/>
      <c r="AM1041" s="23"/>
    </row>
    <row r="1042" spans="17:39">
      <c r="Q1042" s="6">
        <v>1012</v>
      </c>
      <c r="R1042" s="7">
        <v>43679</v>
      </c>
      <c r="S1042" s="210">
        <v>4.5</v>
      </c>
      <c r="T1042" s="8">
        <v>1.0001249999999999</v>
      </c>
      <c r="U1042" s="98">
        <v>4.1529223002956472</v>
      </c>
      <c r="V1042" s="106">
        <v>28831.064529532065</v>
      </c>
      <c r="W1042" s="10">
        <v>0.68825826612122221</v>
      </c>
      <c r="X1042" s="420"/>
      <c r="Y1042" s="420"/>
      <c r="Z1042" s="1"/>
      <c r="AA1042" s="1"/>
      <c r="AB1042" s="1"/>
      <c r="AC1042" s="1"/>
      <c r="AD1042" s="1"/>
      <c r="AL1042" s="23"/>
      <c r="AM1042" s="23"/>
    </row>
    <row r="1043" spans="17:39">
      <c r="Q1043" s="6">
        <v>1013</v>
      </c>
      <c r="R1043" s="7">
        <v>43680</v>
      </c>
      <c r="S1043" s="210">
        <v>4.5</v>
      </c>
      <c r="T1043" s="8">
        <v>1.0001249999999999</v>
      </c>
      <c r="U1043" s="98">
        <v>4.1534294027564922</v>
      </c>
      <c r="V1043" s="106">
        <v>28833.46412008605</v>
      </c>
      <c r="W1043" s="10">
        <v>0.68909177520939391</v>
      </c>
      <c r="X1043" s="420"/>
      <c r="Y1043" s="420"/>
      <c r="Z1043" s="1"/>
      <c r="AA1043" s="1"/>
      <c r="AB1043" s="1"/>
      <c r="AC1043" s="1"/>
      <c r="AD1043" s="1"/>
      <c r="AL1043" s="23"/>
      <c r="AM1043" s="23"/>
    </row>
    <row r="1044" spans="17:39">
      <c r="Q1044" s="6">
        <v>1014</v>
      </c>
      <c r="R1044" s="7">
        <v>43681</v>
      </c>
      <c r="S1044" s="210">
        <v>4.5</v>
      </c>
      <c r="T1044" s="8">
        <v>1.0001249999999999</v>
      </c>
      <c r="U1044" s="98">
        <v>4.1539355074769357</v>
      </c>
      <c r="V1044" s="106">
        <v>28835.863910356384</v>
      </c>
      <c r="W1044" s="10">
        <v>0.68992364717490595</v>
      </c>
      <c r="X1044" s="420"/>
      <c r="Y1044" s="420"/>
      <c r="Z1044" s="1"/>
      <c r="AA1044" s="1"/>
      <c r="AB1044" s="1"/>
      <c r="AC1044" s="1"/>
      <c r="AD1044" s="1"/>
      <c r="AL1044" s="23"/>
      <c r="AM1044" s="23"/>
    </row>
    <row r="1045" spans="17:39">
      <c r="Q1045" s="6">
        <v>1015</v>
      </c>
      <c r="R1045" s="7">
        <v>43682</v>
      </c>
      <c r="S1045" s="210">
        <v>4.5</v>
      </c>
      <c r="T1045" s="8">
        <v>1.0001249999999999</v>
      </c>
      <c r="U1045" s="98">
        <v>4.1544406173987136</v>
      </c>
      <c r="V1045" s="106">
        <v>28838.263900359685</v>
      </c>
      <c r="W1045" s="10">
        <v>0.69075388683628169</v>
      </c>
      <c r="X1045" s="420"/>
      <c r="Y1045" s="420"/>
      <c r="Z1045" s="1"/>
      <c r="AA1045" s="1"/>
      <c r="AB1045" s="1"/>
      <c r="AC1045" s="1"/>
      <c r="AD1045" s="1"/>
      <c r="AL1045" s="23"/>
      <c r="AM1045" s="23"/>
    </row>
    <row r="1046" spans="17:39">
      <c r="Q1046" s="6">
        <v>1016</v>
      </c>
      <c r="R1046" s="7">
        <v>43683</v>
      </c>
      <c r="S1046" s="210">
        <v>4.5</v>
      </c>
      <c r="T1046" s="8">
        <v>1.0001249999999999</v>
      </c>
      <c r="U1046" s="98">
        <v>4.1549447354519931</v>
      </c>
      <c r="V1046" s="106">
        <v>28840.664090112579</v>
      </c>
      <c r="W1046" s="10">
        <v>0.6915824989931485</v>
      </c>
      <c r="X1046" s="420"/>
      <c r="Y1046" s="420"/>
      <c r="Z1046" s="1"/>
      <c r="AA1046" s="1"/>
      <c r="AB1046" s="1"/>
      <c r="AC1046" s="1"/>
      <c r="AD1046" s="1"/>
      <c r="AL1046" s="23"/>
      <c r="AM1046" s="23"/>
    </row>
    <row r="1047" spans="17:39">
      <c r="Q1047" s="6">
        <v>1017</v>
      </c>
      <c r="R1047" s="7">
        <v>43684</v>
      </c>
      <c r="S1047" s="210">
        <v>4.5</v>
      </c>
      <c r="T1047" s="8">
        <v>1.0001249999999999</v>
      </c>
      <c r="U1047" s="98">
        <v>4.1554478645554616</v>
      </c>
      <c r="V1047" s="106">
        <v>28843.064479631685</v>
      </c>
      <c r="W1047" s="10">
        <v>0.69240948842637096</v>
      </c>
      <c r="X1047" s="420"/>
      <c r="Y1047" s="420"/>
      <c r="Z1047" s="1"/>
      <c r="AA1047" s="1"/>
      <c r="AB1047" s="1"/>
      <c r="AC1047" s="1"/>
      <c r="AD1047" s="1"/>
      <c r="AL1047" s="23"/>
      <c r="AM1047" s="23"/>
    </row>
    <row r="1048" spans="17:39">
      <c r="Q1048" s="6">
        <v>1018</v>
      </c>
      <c r="R1048" s="7">
        <v>43685</v>
      </c>
      <c r="S1048" s="210">
        <v>4.5</v>
      </c>
      <c r="T1048" s="8">
        <v>1.0001249999999999</v>
      </c>
      <c r="U1048" s="98">
        <v>4.1559500076163491</v>
      </c>
      <c r="V1048" s="106">
        <v>28845.465068933634</v>
      </c>
      <c r="W1048" s="10">
        <v>0.6932348598980731</v>
      </c>
      <c r="X1048" s="420"/>
      <c r="Y1048" s="420"/>
      <c r="Z1048" s="1"/>
      <c r="AA1048" s="1"/>
      <c r="AB1048" s="1"/>
      <c r="AC1048" s="1"/>
      <c r="AD1048" s="1"/>
      <c r="AL1048" s="23"/>
      <c r="AM1048" s="23"/>
    </row>
    <row r="1049" spans="17:39">
      <c r="Q1049" s="6">
        <v>1019</v>
      </c>
      <c r="R1049" s="7">
        <v>43686</v>
      </c>
      <c r="S1049" s="210">
        <v>4.5</v>
      </c>
      <c r="T1049" s="8">
        <v>1.0001249999999999</v>
      </c>
      <c r="U1049" s="98">
        <v>4.1564511675305393</v>
      </c>
      <c r="V1049" s="106">
        <v>28847.865858035053</v>
      </c>
      <c r="W1049" s="10">
        <v>0.69405861815177161</v>
      </c>
      <c r="X1049" s="420"/>
      <c r="Y1049" s="420"/>
      <c r="Z1049" s="1"/>
      <c r="AA1049" s="1"/>
      <c r="AB1049" s="1"/>
      <c r="AC1049" s="1"/>
      <c r="AD1049" s="1"/>
      <c r="AL1049" s="23"/>
      <c r="AM1049" s="23"/>
    </row>
    <row r="1050" spans="17:39">
      <c r="Q1050" s="6">
        <v>1020</v>
      </c>
      <c r="R1050" s="7">
        <v>43687</v>
      </c>
      <c r="S1050" s="210">
        <v>4.5</v>
      </c>
      <c r="T1050" s="8">
        <v>1.0001249999999999</v>
      </c>
      <c r="U1050" s="98">
        <v>4.1569513471825248</v>
      </c>
      <c r="V1050" s="106">
        <v>28850.266846952571</v>
      </c>
      <c r="W1050" s="10">
        <v>0.69488076791246467</v>
      </c>
      <c r="X1050" s="420"/>
      <c r="Y1050" s="420"/>
      <c r="Z1050" s="1"/>
      <c r="AA1050" s="1"/>
      <c r="AB1050" s="1"/>
      <c r="AC1050" s="1"/>
      <c r="AD1050" s="1"/>
      <c r="AL1050" s="23"/>
      <c r="AM1050" s="23"/>
    </row>
    <row r="1051" spans="17:39">
      <c r="Q1051" s="6">
        <v>1021</v>
      </c>
      <c r="R1051" s="7">
        <v>43688</v>
      </c>
      <c r="S1051" s="210">
        <v>4.5</v>
      </c>
      <c r="T1051" s="8">
        <v>1.0001249999999999</v>
      </c>
      <c r="U1051" s="98">
        <v>4.1574505494455849</v>
      </c>
      <c r="V1051" s="106">
        <v>28852.66803570282</v>
      </c>
      <c r="W1051" s="10">
        <v>0.69570131388669854</v>
      </c>
      <c r="X1051" s="420"/>
      <c r="Y1051" s="420"/>
      <c r="Z1051" s="1"/>
      <c r="AA1051" s="1"/>
      <c r="AB1051" s="1"/>
      <c r="AC1051" s="1"/>
      <c r="AD1051" s="1"/>
      <c r="AL1051" s="23"/>
      <c r="AM1051" s="23"/>
    </row>
    <row r="1052" spans="17:39">
      <c r="Q1052" s="6">
        <v>1022</v>
      </c>
      <c r="R1052" s="7">
        <v>43689</v>
      </c>
      <c r="S1052" s="210">
        <v>4.5</v>
      </c>
      <c r="T1052" s="8">
        <v>1.0001249999999999</v>
      </c>
      <c r="U1052" s="98">
        <v>4.1579487771817414</v>
      </c>
      <c r="V1052" s="106">
        <v>28855.069424302426</v>
      </c>
      <c r="W1052" s="10">
        <v>0.696520260762723</v>
      </c>
      <c r="X1052" s="420"/>
      <c r="Y1052" s="420"/>
      <c r="Z1052" s="1"/>
      <c r="AA1052" s="1"/>
      <c r="AB1052" s="1"/>
      <c r="AC1052" s="1"/>
      <c r="AD1052" s="1"/>
      <c r="AL1052" s="23"/>
      <c r="AM1052" s="23"/>
    </row>
    <row r="1053" spans="17:39">
      <c r="Q1053" s="6">
        <v>1023</v>
      </c>
      <c r="R1053" s="7">
        <v>43690</v>
      </c>
      <c r="S1053" s="210">
        <v>4.5</v>
      </c>
      <c r="T1053" s="8">
        <v>1.0001249999999999</v>
      </c>
      <c r="U1053" s="98">
        <v>4.1584460332418693</v>
      </c>
      <c r="V1053" s="106">
        <v>28857.471012768037</v>
      </c>
      <c r="W1053" s="10">
        <v>0.69733761321042476</v>
      </c>
      <c r="X1053" s="420"/>
      <c r="Y1053" s="420"/>
      <c r="Z1053" s="1"/>
      <c r="AA1053" s="1"/>
      <c r="AB1053" s="1"/>
      <c r="AC1053" s="1"/>
      <c r="AD1053" s="1"/>
      <c r="AL1053" s="23"/>
      <c r="AM1053" s="23"/>
    </row>
    <row r="1054" spans="17:39">
      <c r="Q1054" s="6">
        <v>1024</v>
      </c>
      <c r="R1054" s="7">
        <v>43691</v>
      </c>
      <c r="S1054" s="210">
        <v>4.5</v>
      </c>
      <c r="T1054" s="8">
        <v>1.0001249999999999</v>
      </c>
      <c r="U1054" s="98">
        <v>4.1589423204657194</v>
      </c>
      <c r="V1054" s="106">
        <v>28859.872801116271</v>
      </c>
      <c r="W1054" s="10">
        <v>0.69815337588166049</v>
      </c>
      <c r="X1054" s="420"/>
      <c r="Y1054" s="420"/>
      <c r="Z1054" s="1"/>
      <c r="AA1054" s="1"/>
      <c r="AB1054" s="1"/>
      <c r="AC1054" s="1"/>
      <c r="AD1054" s="1"/>
      <c r="AL1054" s="23"/>
      <c r="AM1054" s="23"/>
    </row>
    <row r="1055" spans="17:39">
      <c r="Q1055" s="6">
        <v>1025</v>
      </c>
      <c r="R1055" s="7">
        <v>43692</v>
      </c>
      <c r="S1055" s="210">
        <v>4.5</v>
      </c>
      <c r="T1055" s="8">
        <v>1.0001249999999999</v>
      </c>
      <c r="U1055" s="98">
        <v>4.1594376416820289</v>
      </c>
      <c r="V1055" s="106">
        <v>28862.274789363772</v>
      </c>
      <c r="W1055" s="10">
        <v>0.69896755341012362</v>
      </c>
      <c r="X1055" s="420"/>
      <c r="Y1055" s="420"/>
      <c r="Z1055" s="1"/>
      <c r="AA1055" s="1"/>
      <c r="AB1055" s="1"/>
      <c r="AC1055" s="1"/>
      <c r="AD1055" s="1"/>
      <c r="AL1055" s="23"/>
      <c r="AM1055" s="23"/>
    </row>
    <row r="1056" spans="17:39">
      <c r="Q1056" s="6">
        <v>1026</v>
      </c>
      <c r="R1056" s="7">
        <v>43693</v>
      </c>
      <c r="S1056" s="210">
        <v>4.5</v>
      </c>
      <c r="T1056" s="8">
        <v>1.0001249999999999</v>
      </c>
      <c r="U1056" s="98">
        <v>4.1599319997084772</v>
      </c>
      <c r="V1056" s="106">
        <v>28864.676977527175</v>
      </c>
      <c r="W1056" s="10">
        <v>0.69978015041154418</v>
      </c>
      <c r="X1056" s="420"/>
      <c r="Y1056" s="420"/>
      <c r="Z1056" s="1"/>
      <c r="AA1056" s="1"/>
      <c r="AB1056" s="1"/>
      <c r="AC1056" s="1"/>
      <c r="AD1056" s="1"/>
      <c r="AL1056" s="23"/>
      <c r="AM1056" s="23"/>
    </row>
    <row r="1057" spans="17:39">
      <c r="Q1057" s="6">
        <v>1027</v>
      </c>
      <c r="R1057" s="7">
        <v>43694</v>
      </c>
      <c r="S1057" s="210">
        <v>4.5</v>
      </c>
      <c r="T1057" s="8">
        <v>1.0001249999999999</v>
      </c>
      <c r="U1057" s="98">
        <v>4.1604253973518412</v>
      </c>
      <c r="V1057" s="106">
        <v>28867.079365623122</v>
      </c>
      <c r="W1057" s="10">
        <v>0.70059117148375538</v>
      </c>
      <c r="X1057" s="420"/>
      <c r="Y1057" s="420"/>
      <c r="Z1057" s="1"/>
      <c r="AA1057" s="1"/>
      <c r="AB1057" s="1"/>
      <c r="AC1057" s="1"/>
      <c r="AD1057" s="1"/>
      <c r="AL1057" s="23"/>
      <c r="AM1057" s="23"/>
    </row>
    <row r="1058" spans="17:39">
      <c r="Q1058" s="6">
        <v>1028</v>
      </c>
      <c r="R1058" s="7">
        <v>43695</v>
      </c>
      <c r="S1058" s="210">
        <v>4.5</v>
      </c>
      <c r="T1058" s="8">
        <v>1.0001249999999999</v>
      </c>
      <c r="U1058" s="98">
        <v>4.1609178374079958</v>
      </c>
      <c r="V1058" s="106">
        <v>28869.481953668248</v>
      </c>
      <c r="W1058" s="10">
        <v>0.70140062120673807</v>
      </c>
      <c r="X1058" s="420"/>
      <c r="Y1058" s="420"/>
      <c r="Z1058" s="1"/>
      <c r="AA1058" s="1"/>
      <c r="AB1058" s="1"/>
      <c r="AC1058" s="1"/>
      <c r="AD1058" s="1"/>
      <c r="AL1058" s="23"/>
      <c r="AM1058" s="23"/>
    </row>
    <row r="1059" spans="17:39">
      <c r="Q1059" s="6">
        <v>1029</v>
      </c>
      <c r="R1059" s="7">
        <v>43696</v>
      </c>
      <c r="S1059" s="210">
        <v>4.5</v>
      </c>
      <c r="T1059" s="8">
        <v>1.0001249999999999</v>
      </c>
      <c r="U1059" s="98">
        <v>4.1614093226619353</v>
      </c>
      <c r="V1059" s="106">
        <v>28871.884741679201</v>
      </c>
      <c r="W1059" s="10">
        <v>0.70220850414279834</v>
      </c>
      <c r="X1059" s="420"/>
      <c r="Y1059" s="420"/>
      <c r="Z1059" s="1"/>
      <c r="AA1059" s="1"/>
      <c r="AB1059" s="1"/>
      <c r="AC1059" s="1"/>
      <c r="AD1059" s="1"/>
      <c r="AL1059" s="23"/>
      <c r="AM1059" s="23"/>
    </row>
    <row r="1060" spans="17:39">
      <c r="Q1060" s="6">
        <v>1030</v>
      </c>
      <c r="R1060" s="7">
        <v>43697</v>
      </c>
      <c r="S1060" s="210">
        <v>4.5</v>
      </c>
      <c r="T1060" s="8">
        <v>1.0001249999999999</v>
      </c>
      <c r="U1060" s="98">
        <v>4.1618998558879072</v>
      </c>
      <c r="V1060" s="106">
        <v>28874.287729672626</v>
      </c>
      <c r="W1060" s="10">
        <v>0.70301482483652311</v>
      </c>
      <c r="X1060" s="420"/>
      <c r="Y1060" s="420"/>
      <c r="Z1060" s="1"/>
      <c r="AA1060" s="1"/>
      <c r="AB1060" s="1"/>
      <c r="AC1060" s="1"/>
      <c r="AD1060" s="1"/>
      <c r="AL1060" s="23"/>
      <c r="AM1060" s="23"/>
    </row>
    <row r="1061" spans="17:39">
      <c r="Q1061" s="6">
        <v>1031</v>
      </c>
      <c r="R1061" s="7">
        <v>43698</v>
      </c>
      <c r="S1061" s="210">
        <v>4.5</v>
      </c>
      <c r="T1061" s="8">
        <v>1.0001249999999999</v>
      </c>
      <c r="U1061" s="98">
        <v>4.1623894398494121</v>
      </c>
      <c r="V1061" s="106">
        <v>28876.690917665153</v>
      </c>
      <c r="W1061" s="10">
        <v>0.70381958781504661</v>
      </c>
      <c r="X1061" s="420"/>
      <c r="Y1061" s="420"/>
      <c r="Z1061" s="1"/>
      <c r="AA1061" s="1"/>
      <c r="AB1061" s="1"/>
      <c r="AC1061" s="1"/>
      <c r="AD1061" s="1"/>
      <c r="AL1061" s="23"/>
      <c r="AM1061" s="23"/>
    </row>
    <row r="1062" spans="17:39">
      <c r="Q1062" s="6">
        <v>1032</v>
      </c>
      <c r="R1062" s="7">
        <v>43699</v>
      </c>
      <c r="S1062" s="210">
        <v>4.5</v>
      </c>
      <c r="T1062" s="8">
        <v>1.0001249999999999</v>
      </c>
      <c r="U1062" s="98">
        <v>4.1628780772992702</v>
      </c>
      <c r="V1062" s="106">
        <v>28879.094305673447</v>
      </c>
      <c r="W1062" s="10">
        <v>0.70462279758791713</v>
      </c>
      <c r="X1062" s="420"/>
      <c r="Y1062" s="420"/>
      <c r="Z1062" s="1"/>
      <c r="AA1062" s="1"/>
      <c r="AB1062" s="1"/>
      <c r="AC1062" s="1"/>
      <c r="AD1062" s="1"/>
      <c r="AL1062" s="23"/>
      <c r="AM1062" s="23"/>
    </row>
    <row r="1063" spans="17:39">
      <c r="Q1063" s="6">
        <v>1033</v>
      </c>
      <c r="R1063" s="7">
        <v>43700</v>
      </c>
      <c r="S1063" s="210">
        <v>4.5</v>
      </c>
      <c r="T1063" s="8">
        <v>1.0001249999999999</v>
      </c>
      <c r="U1063" s="98">
        <v>4.1633657709796434</v>
      </c>
      <c r="V1063" s="106">
        <v>28881.497893714135</v>
      </c>
      <c r="W1063" s="10">
        <v>0.70542445864736347</v>
      </c>
      <c r="X1063" s="420"/>
      <c r="Y1063" s="420"/>
      <c r="Z1063" s="1"/>
      <c r="AA1063" s="1"/>
      <c r="AB1063" s="1"/>
      <c r="AC1063" s="1"/>
      <c r="AD1063" s="1"/>
      <c r="AL1063" s="23"/>
      <c r="AM1063" s="23"/>
    </row>
    <row r="1064" spans="17:39">
      <c r="Q1064" s="6">
        <v>1034</v>
      </c>
      <c r="R1064" s="7">
        <v>43701</v>
      </c>
      <c r="S1064" s="210">
        <v>4.5</v>
      </c>
      <c r="T1064" s="8">
        <v>1.0001249999999999</v>
      </c>
      <c r="U1064" s="98">
        <v>4.1638525236221247</v>
      </c>
      <c r="V1064" s="106">
        <v>28883.901681803884</v>
      </c>
      <c r="W1064" s="10">
        <v>0.70622457546827277</v>
      </c>
      <c r="X1064" s="420"/>
      <c r="Y1064" s="420"/>
      <c r="Z1064" s="1"/>
      <c r="AA1064" s="1"/>
      <c r="AB1064" s="1"/>
      <c r="AC1064" s="1"/>
      <c r="AD1064" s="1"/>
      <c r="AL1064" s="23"/>
      <c r="AM1064" s="23"/>
    </row>
    <row r="1065" spans="17:39">
      <c r="Q1065" s="6">
        <v>1035</v>
      </c>
      <c r="R1065" s="7">
        <v>43702</v>
      </c>
      <c r="S1065" s="210">
        <v>4.5</v>
      </c>
      <c r="T1065" s="8">
        <v>1.0001249999999999</v>
      </c>
      <c r="U1065" s="98">
        <v>4.1643383379477816</v>
      </c>
      <c r="V1065" s="106">
        <v>28886.305669959333</v>
      </c>
      <c r="W1065" s="10">
        <v>0.70702315250834591</v>
      </c>
      <c r="X1065" s="420"/>
      <c r="Y1065" s="420"/>
      <c r="Z1065" s="1"/>
      <c r="AA1065" s="1"/>
      <c r="AB1065" s="1"/>
      <c r="AC1065" s="1"/>
      <c r="AD1065" s="1"/>
      <c r="AL1065" s="23"/>
      <c r="AM1065" s="23"/>
    </row>
    <row r="1066" spans="17:39">
      <c r="Q1066" s="6">
        <v>1036</v>
      </c>
      <c r="R1066" s="7">
        <v>43703</v>
      </c>
      <c r="S1066" s="210">
        <v>4.5</v>
      </c>
      <c r="T1066" s="8">
        <v>1.0001249999999999</v>
      </c>
      <c r="U1066" s="98">
        <v>4.1648232166672017</v>
      </c>
      <c r="V1066" s="106">
        <v>28888.709858197133</v>
      </c>
      <c r="W1066" s="10">
        <v>0.7078201942080975</v>
      </c>
      <c r="X1066" s="420"/>
      <c r="Y1066" s="420"/>
      <c r="Z1066" s="1"/>
      <c r="AA1066" s="1"/>
      <c r="AB1066" s="1"/>
      <c r="AC1066" s="1"/>
      <c r="AD1066" s="1"/>
      <c r="AL1066" s="23"/>
      <c r="AM1066" s="23"/>
    </row>
    <row r="1067" spans="17:39">
      <c r="Q1067" s="6">
        <v>1037</v>
      </c>
      <c r="R1067" s="7">
        <v>43704</v>
      </c>
      <c r="S1067" s="210">
        <v>4.5</v>
      </c>
      <c r="T1067" s="8">
        <v>1.0001249999999999</v>
      </c>
      <c r="U1067" s="98">
        <v>4.165307162480536</v>
      </c>
      <c r="V1067" s="106">
        <v>28891.114246533951</v>
      </c>
      <c r="W1067" s="10">
        <v>0.70861570499101134</v>
      </c>
      <c r="X1067" s="420"/>
      <c r="Y1067" s="420"/>
      <c r="Z1067" s="1"/>
      <c r="AA1067" s="1"/>
      <c r="AB1067" s="1"/>
      <c r="AC1067" s="1"/>
      <c r="AD1067" s="1"/>
      <c r="AL1067" s="23"/>
      <c r="AM1067" s="23"/>
    </row>
    <row r="1068" spans="17:39">
      <c r="Q1068" s="6">
        <v>1038</v>
      </c>
      <c r="R1068" s="7">
        <v>43705</v>
      </c>
      <c r="S1068" s="210">
        <v>4.5</v>
      </c>
      <c r="T1068" s="8">
        <v>1.0001249999999999</v>
      </c>
      <c r="U1068" s="98">
        <v>4.1657901780775441</v>
      </c>
      <c r="V1068" s="106">
        <v>28893.518834986422</v>
      </c>
      <c r="W1068" s="10">
        <v>0.70940968926360704</v>
      </c>
      <c r="X1068" s="420"/>
      <c r="Y1068" s="420"/>
      <c r="Z1068" s="1"/>
      <c r="AA1068" s="1"/>
      <c r="AB1068" s="1"/>
      <c r="AC1068" s="1"/>
      <c r="AD1068" s="1"/>
      <c r="AL1068" s="23"/>
      <c r="AM1068" s="23"/>
    </row>
    <row r="1069" spans="17:39">
      <c r="Q1069" s="6">
        <v>1039</v>
      </c>
      <c r="R1069" s="7">
        <v>43706</v>
      </c>
      <c r="S1069" s="210">
        <v>4.5</v>
      </c>
      <c r="T1069" s="8">
        <v>1.0001249999999999</v>
      </c>
      <c r="U1069" s="98">
        <v>4.1662722661376828</v>
      </c>
      <c r="V1069" s="106">
        <v>28895.923623571209</v>
      </c>
      <c r="W1069" s="10">
        <v>0.71020215141548437</v>
      </c>
      <c r="X1069" s="420"/>
      <c r="Y1069" s="420"/>
      <c r="Z1069" s="1"/>
      <c r="AA1069" s="1"/>
      <c r="AB1069" s="1"/>
      <c r="AC1069" s="1"/>
      <c r="AD1069" s="1"/>
      <c r="AL1069" s="23"/>
      <c r="AM1069" s="23"/>
    </row>
    <row r="1070" spans="17:39">
      <c r="Q1070" s="6">
        <v>1040</v>
      </c>
      <c r="R1070" s="7">
        <v>43707</v>
      </c>
      <c r="S1070" s="210">
        <v>4.5</v>
      </c>
      <c r="T1070" s="8">
        <v>1.0001249999999999</v>
      </c>
      <c r="U1070" s="98">
        <v>4.1667534293301278</v>
      </c>
      <c r="V1070" s="106">
        <v>28898.328612304969</v>
      </c>
      <c r="W1070" s="10">
        <v>0.71099309581943437</v>
      </c>
      <c r="X1070" s="420"/>
      <c r="Y1070" s="420"/>
      <c r="Z1070" s="1"/>
      <c r="AA1070" s="1"/>
      <c r="AB1070" s="1"/>
      <c r="AC1070" s="1"/>
      <c r="AD1070" s="1"/>
      <c r="AL1070" s="23"/>
      <c r="AM1070" s="23"/>
    </row>
    <row r="1071" spans="17:39">
      <c r="Q1071" s="6">
        <v>1041</v>
      </c>
      <c r="R1071" s="7">
        <v>43708</v>
      </c>
      <c r="S1071" s="210">
        <v>4.5</v>
      </c>
      <c r="T1071" s="8">
        <v>1.0001249999999999</v>
      </c>
      <c r="U1071" s="98">
        <v>4.1672336703137747</v>
      </c>
      <c r="V1071" s="106">
        <v>28900.733801204366</v>
      </c>
      <c r="W1071" s="10">
        <v>0.71178252683150589</v>
      </c>
      <c r="X1071" s="420"/>
      <c r="Y1071" s="420"/>
      <c r="Z1071" s="1"/>
      <c r="AA1071" s="1"/>
      <c r="AB1071" s="1"/>
      <c r="AC1071" s="1"/>
      <c r="AD1071" s="1"/>
      <c r="AL1071" s="23"/>
      <c r="AM1071" s="23"/>
    </row>
    <row r="1072" spans="17:39">
      <c r="Q1072" s="6">
        <v>1042</v>
      </c>
      <c r="R1072" s="7">
        <v>43709</v>
      </c>
      <c r="S1072" s="210">
        <v>4.5</v>
      </c>
      <c r="T1072" s="8">
        <v>1.0001249999999999</v>
      </c>
      <c r="U1072" s="98">
        <v>4.1677129917373934</v>
      </c>
      <c r="V1072" s="106">
        <v>28903.139190286049</v>
      </c>
      <c r="W1072" s="10">
        <v>0.71257044879113884</v>
      </c>
      <c r="X1072" s="420"/>
      <c r="Y1072" s="420"/>
      <c r="Z1072" s="1"/>
      <c r="AA1072" s="1"/>
      <c r="AB1072" s="1"/>
      <c r="AC1072" s="1"/>
      <c r="AD1072" s="1"/>
      <c r="AL1072" s="23"/>
      <c r="AM1072" s="23"/>
    </row>
    <row r="1073" spans="17:39">
      <c r="Q1073" s="6">
        <v>1043</v>
      </c>
      <c r="R1073" s="7">
        <v>43710</v>
      </c>
      <c r="S1073" s="210">
        <v>4.5</v>
      </c>
      <c r="T1073" s="8">
        <v>1.0001249999999999</v>
      </c>
      <c r="U1073" s="98">
        <v>4.1681913962395845</v>
      </c>
      <c r="V1073" s="106">
        <v>28905.544779566691</v>
      </c>
      <c r="W1073" s="10">
        <v>0.7133568660210976</v>
      </c>
      <c r="X1073" s="420"/>
      <c r="Y1073" s="420"/>
      <c r="Z1073" s="1"/>
      <c r="AA1073" s="1"/>
      <c r="AB1073" s="1"/>
      <c r="AC1073" s="1"/>
      <c r="AD1073" s="1"/>
      <c r="AL1073" s="23"/>
      <c r="AM1073" s="23"/>
    </row>
    <row r="1074" spans="17:39">
      <c r="Q1074" s="6">
        <v>1044</v>
      </c>
      <c r="R1074" s="7">
        <v>43711</v>
      </c>
      <c r="S1074" s="210">
        <v>4.5</v>
      </c>
      <c r="T1074" s="8">
        <v>1.0001249999999999</v>
      </c>
      <c r="U1074" s="98">
        <v>4.1686688864488897</v>
      </c>
      <c r="V1074" s="106">
        <v>28907.950569062941</v>
      </c>
      <c r="W1074" s="10">
        <v>0.71414178282780405</v>
      </c>
      <c r="X1074" s="420"/>
      <c r="Y1074" s="420"/>
      <c r="Z1074" s="1"/>
      <c r="AA1074" s="1"/>
      <c r="AB1074" s="1"/>
      <c r="AC1074" s="1"/>
      <c r="AD1074" s="1"/>
      <c r="AL1074" s="23"/>
      <c r="AM1074" s="23"/>
    </row>
    <row r="1075" spans="17:39">
      <c r="Q1075" s="6">
        <v>1045</v>
      </c>
      <c r="R1075" s="7">
        <v>43712</v>
      </c>
      <c r="S1075" s="210">
        <v>4.5</v>
      </c>
      <c r="T1075" s="8">
        <v>1.0001249999999999</v>
      </c>
      <c r="U1075" s="98">
        <v>4.1691454649837922</v>
      </c>
      <c r="V1075" s="106">
        <v>28910.356558791471</v>
      </c>
      <c r="W1075" s="10">
        <v>0.71492520350113775</v>
      </c>
      <c r="X1075" s="420"/>
      <c r="Y1075" s="420"/>
      <c r="Z1075" s="1"/>
      <c r="AA1075" s="1"/>
      <c r="AB1075" s="1"/>
      <c r="AC1075" s="1"/>
      <c r="AD1075" s="1"/>
      <c r="AL1075" s="23"/>
      <c r="AM1075" s="23"/>
    </row>
    <row r="1076" spans="17:39">
      <c r="Q1076" s="6">
        <v>1046</v>
      </c>
      <c r="R1076" s="7">
        <v>43713</v>
      </c>
      <c r="S1076" s="210">
        <v>4.5</v>
      </c>
      <c r="T1076" s="8">
        <v>1.0001249999999999</v>
      </c>
      <c r="U1076" s="98">
        <v>4.1696211344528056</v>
      </c>
      <c r="V1076" s="106">
        <v>28912.76274876895</v>
      </c>
      <c r="W1076" s="10">
        <v>0.7157071323147024</v>
      </c>
      <c r="X1076" s="420"/>
      <c r="Y1076" s="420"/>
      <c r="Z1076" s="1"/>
      <c r="AA1076" s="1"/>
      <c r="AB1076" s="1"/>
      <c r="AC1076" s="1"/>
      <c r="AD1076" s="1"/>
      <c r="AL1076" s="23"/>
      <c r="AM1076" s="23"/>
    </row>
    <row r="1077" spans="17:39">
      <c r="Q1077" s="6">
        <v>1047</v>
      </c>
      <c r="R1077" s="7">
        <v>43714</v>
      </c>
      <c r="S1077" s="210">
        <v>4.5</v>
      </c>
      <c r="T1077" s="8">
        <v>1.0001249999999999</v>
      </c>
      <c r="U1077" s="98">
        <v>4.1700958974544733</v>
      </c>
      <c r="V1077" s="106">
        <v>28915.16913901204</v>
      </c>
      <c r="W1077" s="10">
        <v>0.71648757352578141</v>
      </c>
      <c r="X1077" s="420"/>
      <c r="Y1077" s="420"/>
      <c r="Z1077" s="1"/>
      <c r="AA1077" s="1"/>
      <c r="AB1077" s="1"/>
      <c r="AC1077" s="1"/>
      <c r="AD1077" s="1"/>
      <c r="AL1077" s="23"/>
      <c r="AM1077" s="23"/>
    </row>
    <row r="1078" spans="17:39">
      <c r="Q1078" s="6">
        <v>1048</v>
      </c>
      <c r="R1078" s="7">
        <v>43715</v>
      </c>
      <c r="S1078" s="210">
        <v>4.5</v>
      </c>
      <c r="T1078" s="8">
        <v>1.0001249999999999</v>
      </c>
      <c r="U1078" s="98">
        <v>4.170569756577458</v>
      </c>
      <c r="V1078" s="106">
        <v>28917.575729537402</v>
      </c>
      <c r="W1078" s="10">
        <v>0.71726653137555996</v>
      </c>
      <c r="X1078" s="420"/>
      <c r="Y1078" s="420"/>
      <c r="Z1078" s="1"/>
      <c r="AA1078" s="1"/>
      <c r="AB1078" s="1"/>
      <c r="AC1078" s="1"/>
      <c r="AD1078" s="1"/>
      <c r="AL1078" s="23"/>
      <c r="AM1078" s="23"/>
    </row>
    <row r="1079" spans="17:39">
      <c r="Q1079" s="6">
        <v>1049</v>
      </c>
      <c r="R1079" s="7">
        <v>43716</v>
      </c>
      <c r="S1079" s="210">
        <v>4.5</v>
      </c>
      <c r="T1079" s="8">
        <v>1.0001249999999999</v>
      </c>
      <c r="U1079" s="98">
        <v>4.1710427144005857</v>
      </c>
      <c r="V1079" s="106">
        <v>28919.982520361715</v>
      </c>
      <c r="W1079" s="10">
        <v>0.71804401008901397</v>
      </c>
      <c r="X1079" s="420"/>
      <c r="Y1079" s="420"/>
      <c r="Z1079" s="1"/>
      <c r="AA1079" s="1"/>
      <c r="AB1079" s="1"/>
      <c r="AC1079" s="1"/>
      <c r="AD1079" s="1"/>
      <c r="AL1079" s="23"/>
      <c r="AM1079" s="23"/>
    </row>
    <row r="1080" spans="17:39">
      <c r="Q1080" s="6">
        <v>1050</v>
      </c>
      <c r="R1080" s="7">
        <v>43717</v>
      </c>
      <c r="S1080" s="210">
        <v>4.5</v>
      </c>
      <c r="T1080" s="8">
        <v>1.0001249999999999</v>
      </c>
      <c r="U1080" s="98">
        <v>4.1715147734928681</v>
      </c>
      <c r="V1080" s="106">
        <v>28922.389511501646</v>
      </c>
      <c r="W1080" s="10">
        <v>0.71882001387519878</v>
      </c>
      <c r="X1080" s="420"/>
      <c r="Y1080" s="420"/>
      <c r="Z1080" s="1"/>
      <c r="AA1080" s="1"/>
      <c r="AB1080" s="1"/>
      <c r="AC1080" s="1"/>
      <c r="AD1080" s="1"/>
      <c r="AL1080" s="23"/>
      <c r="AM1080" s="23"/>
    </row>
    <row r="1081" spans="17:39">
      <c r="Q1081" s="6">
        <v>1051</v>
      </c>
      <c r="R1081" s="7">
        <v>43718</v>
      </c>
      <c r="S1081" s="210">
        <v>4.5</v>
      </c>
      <c r="T1081" s="8">
        <v>1.0001249999999999</v>
      </c>
      <c r="U1081" s="98">
        <v>4.1719859364135914</v>
      </c>
      <c r="V1081" s="106">
        <v>28924.876946139972</v>
      </c>
      <c r="W1081" s="10">
        <v>0.71949750910376142</v>
      </c>
      <c r="X1081" s="420"/>
      <c r="Y1081" s="420"/>
      <c r="Z1081" s="1"/>
      <c r="AA1081" s="1"/>
      <c r="AB1081" s="1"/>
      <c r="AC1081" s="1"/>
      <c r="AD1081" s="1"/>
      <c r="AL1081" s="23"/>
      <c r="AM1081" s="23"/>
    </row>
    <row r="1082" spans="17:39">
      <c r="Q1082" s="6">
        <v>1052</v>
      </c>
      <c r="R1082" s="7">
        <v>43719</v>
      </c>
      <c r="S1082" s="210">
        <v>4.5</v>
      </c>
      <c r="T1082" s="8">
        <v>1.0001249999999999</v>
      </c>
      <c r="U1082" s="98">
        <v>4.1724562057122938</v>
      </c>
      <c r="V1082" s="106">
        <v>28927.364594707058</v>
      </c>
      <c r="W1082" s="10">
        <v>0.72017372086286002</v>
      </c>
      <c r="X1082" s="420"/>
      <c r="Y1082" s="420"/>
      <c r="Z1082" s="1"/>
      <c r="AA1082" s="1"/>
      <c r="AB1082" s="1"/>
      <c r="AC1082" s="1"/>
      <c r="AD1082" s="1"/>
      <c r="AL1082" s="23"/>
      <c r="AM1082" s="23"/>
    </row>
    <row r="1083" spans="17:39">
      <c r="Q1083" s="6">
        <v>1053</v>
      </c>
      <c r="R1083" s="7">
        <v>43720</v>
      </c>
      <c r="S1083" s="210">
        <v>4.5</v>
      </c>
      <c r="T1083" s="8">
        <v>1.0001249999999999</v>
      </c>
      <c r="U1083" s="98">
        <v>4.1729255839288548</v>
      </c>
      <c r="V1083" s="106">
        <v>28929.852457221317</v>
      </c>
      <c r="W1083" s="10">
        <v>0.72084865279615773</v>
      </c>
      <c r="X1083" s="420"/>
      <c r="Y1083" s="420"/>
      <c r="Z1083" s="1"/>
      <c r="AA1083" s="1"/>
      <c r="AB1083" s="1"/>
      <c r="AC1083" s="1"/>
      <c r="AD1083" s="1"/>
      <c r="AL1083" s="23"/>
      <c r="AM1083" s="23"/>
    </row>
    <row r="1084" spans="17:39">
      <c r="Q1084" s="6">
        <v>1054</v>
      </c>
      <c r="R1084" s="7">
        <v>43721</v>
      </c>
      <c r="S1084" s="210">
        <v>4.5</v>
      </c>
      <c r="T1084" s="8">
        <v>1.0001249999999999</v>
      </c>
      <c r="U1084" s="98">
        <v>4.1733940735935615</v>
      </c>
      <c r="V1084" s="106">
        <v>28932.340533701132</v>
      </c>
      <c r="W1084" s="10">
        <v>0.72152230853359534</v>
      </c>
      <c r="X1084" s="420"/>
      <c r="Y1084" s="420"/>
      <c r="Z1084" s="1"/>
      <c r="AA1084" s="1"/>
      <c r="AB1084" s="1"/>
      <c r="AC1084" s="1"/>
      <c r="AD1084" s="1"/>
      <c r="AL1084" s="23"/>
      <c r="AM1084" s="23"/>
    </row>
    <row r="1085" spans="17:39">
      <c r="Q1085" s="6">
        <v>1055</v>
      </c>
      <c r="R1085" s="7">
        <v>43722</v>
      </c>
      <c r="S1085" s="210">
        <v>4.5</v>
      </c>
      <c r="T1085" s="8">
        <v>1.0001249999999999</v>
      </c>
      <c r="U1085" s="98">
        <v>4.1738616772271087</v>
      </c>
      <c r="V1085" s="106">
        <v>28934.828824164917</v>
      </c>
      <c r="W1085" s="10">
        <v>0.72219469169134687</v>
      </c>
      <c r="X1085" s="420"/>
      <c r="Y1085" s="420"/>
      <c r="Z1085" s="1"/>
      <c r="AA1085" s="1"/>
      <c r="AB1085" s="1"/>
      <c r="AC1085" s="1"/>
      <c r="AD1085" s="1"/>
      <c r="AL1085" s="23"/>
      <c r="AM1085" s="23"/>
    </row>
    <row r="1086" spans="17:39">
      <c r="Q1086" s="6">
        <v>1056</v>
      </c>
      <c r="R1086" s="7">
        <v>43723</v>
      </c>
      <c r="S1086" s="210">
        <v>4.5</v>
      </c>
      <c r="T1086" s="8">
        <v>1.0001249999999999</v>
      </c>
      <c r="U1086" s="98">
        <v>4.1743283973407097</v>
      </c>
      <c r="V1086" s="106">
        <v>28937.31732863107</v>
      </c>
      <c r="W1086" s="10">
        <v>0.72286580587204163</v>
      </c>
      <c r="X1086" s="420"/>
      <c r="Y1086" s="420"/>
      <c r="Z1086" s="1"/>
      <c r="AA1086" s="1"/>
      <c r="AB1086" s="1"/>
      <c r="AC1086" s="1"/>
      <c r="AD1086" s="1"/>
      <c r="AL1086" s="23"/>
      <c r="AM1086" s="23"/>
    </row>
    <row r="1087" spans="17:39">
      <c r="Q1087" s="6">
        <v>1057</v>
      </c>
      <c r="R1087" s="7">
        <v>43724</v>
      </c>
      <c r="S1087" s="210">
        <v>4.5</v>
      </c>
      <c r="T1087" s="8">
        <v>1.0001249999999999</v>
      </c>
      <c r="U1087" s="98">
        <v>4.1747942364360524</v>
      </c>
      <c r="V1087" s="106">
        <v>28939.806047118003</v>
      </c>
      <c r="W1087" s="10">
        <v>0.72353565466463099</v>
      </c>
      <c r="X1087" s="420"/>
      <c r="Y1087" s="420"/>
      <c r="Z1087" s="1"/>
      <c r="AA1087" s="1"/>
      <c r="AB1087" s="1"/>
      <c r="AC1087" s="1"/>
      <c r="AD1087" s="1"/>
      <c r="AL1087" s="23"/>
      <c r="AM1087" s="23"/>
    </row>
    <row r="1088" spans="17:39">
      <c r="Q1088" s="6">
        <v>1058</v>
      </c>
      <c r="R1088" s="7">
        <v>43725</v>
      </c>
      <c r="S1088" s="210">
        <v>4.5</v>
      </c>
      <c r="T1088" s="8">
        <v>1.0001249999999999</v>
      </c>
      <c r="U1088" s="98">
        <v>4.1752591970053876</v>
      </c>
      <c r="V1088" s="106">
        <v>28942.294979644113</v>
      </c>
      <c r="W1088" s="10">
        <v>0.72420424164456598</v>
      </c>
      <c r="X1088" s="420"/>
      <c r="Y1088" s="420"/>
      <c r="Z1088" s="1"/>
      <c r="AA1088" s="1"/>
      <c r="AB1088" s="1"/>
      <c r="AC1088" s="1"/>
      <c r="AD1088" s="1"/>
      <c r="AL1088" s="23"/>
      <c r="AM1088" s="23"/>
    </row>
    <row r="1089" spans="17:39">
      <c r="Q1089" s="6">
        <v>1059</v>
      </c>
      <c r="R1089" s="7">
        <v>43726</v>
      </c>
      <c r="S1089" s="210">
        <v>4.5</v>
      </c>
      <c r="T1089" s="8">
        <v>1.0001249999999999</v>
      </c>
      <c r="U1089" s="98">
        <v>4.1757232815315959</v>
      </c>
      <c r="V1089" s="106">
        <v>28944.784126227813</v>
      </c>
      <c r="W1089" s="10">
        <v>0.72487157037384176</v>
      </c>
      <c r="X1089" s="420"/>
      <c r="Y1089" s="420"/>
      <c r="Z1089" s="1"/>
      <c r="AA1089" s="1"/>
      <c r="AB1089" s="1"/>
      <c r="AC1089" s="1"/>
      <c r="AD1089" s="1"/>
      <c r="AL1089" s="23"/>
      <c r="AM1089" s="23"/>
    </row>
    <row r="1090" spans="17:39">
      <c r="Q1090" s="6">
        <v>1060</v>
      </c>
      <c r="R1090" s="7">
        <v>43727</v>
      </c>
      <c r="S1090" s="210">
        <v>4.5</v>
      </c>
      <c r="T1090" s="8">
        <v>1.0001249999999999</v>
      </c>
      <c r="U1090" s="98">
        <v>4.1761864924881875</v>
      </c>
      <c r="V1090" s="106">
        <v>28947.273486887509</v>
      </c>
      <c r="W1090" s="10">
        <v>0.72553764440104196</v>
      </c>
      <c r="X1090" s="420"/>
      <c r="Y1090" s="420"/>
      <c r="Z1090" s="1"/>
      <c r="AA1090" s="1"/>
      <c r="AB1090" s="1"/>
      <c r="AC1090" s="1"/>
      <c r="AD1090" s="1"/>
      <c r="AL1090" s="23"/>
      <c r="AM1090" s="23"/>
    </row>
    <row r="1091" spans="17:39">
      <c r="Q1091" s="6">
        <v>1061</v>
      </c>
      <c r="R1091" s="7">
        <v>43728</v>
      </c>
      <c r="S1091" s="210">
        <v>4.5</v>
      </c>
      <c r="T1091" s="8">
        <v>1.0001249999999999</v>
      </c>
      <c r="U1091" s="98">
        <v>4.1766488323393913</v>
      </c>
      <c r="V1091" s="106">
        <v>28949.763061641617</v>
      </c>
      <c r="W1091" s="10">
        <v>0.72620246726144977</v>
      </c>
      <c r="X1091" s="420"/>
      <c r="Y1091" s="420"/>
      <c r="Z1091" s="1"/>
      <c r="AA1091" s="1"/>
      <c r="AB1091" s="1"/>
      <c r="AC1091" s="1"/>
      <c r="AD1091" s="1"/>
      <c r="AL1091" s="23"/>
      <c r="AM1091" s="23"/>
    </row>
    <row r="1092" spans="17:39">
      <c r="Q1092" s="6">
        <v>1062</v>
      </c>
      <c r="R1092" s="7">
        <v>43729</v>
      </c>
      <c r="S1092" s="210">
        <v>4.5</v>
      </c>
      <c r="T1092" s="8">
        <v>1.0001249999999999</v>
      </c>
      <c r="U1092" s="98">
        <v>4.1771103035401769</v>
      </c>
      <c r="V1092" s="106">
        <v>28952.252850508554</v>
      </c>
      <c r="W1092" s="10">
        <v>0.7268660424770701</v>
      </c>
      <c r="X1092" s="420"/>
      <c r="Y1092" s="420"/>
      <c r="Z1092" s="1"/>
      <c r="AA1092" s="1"/>
      <c r="AB1092" s="1"/>
      <c r="AC1092" s="1"/>
      <c r="AD1092" s="1"/>
      <c r="AL1092" s="23"/>
      <c r="AM1092" s="23"/>
    </row>
    <row r="1093" spans="17:39">
      <c r="Q1093" s="6">
        <v>1063</v>
      </c>
      <c r="R1093" s="7">
        <v>43730</v>
      </c>
      <c r="S1093" s="210">
        <v>4.5</v>
      </c>
      <c r="T1093" s="8">
        <v>1.0001249999999999</v>
      </c>
      <c r="U1093" s="98">
        <v>4.1775709085362989</v>
      </c>
      <c r="V1093" s="106">
        <v>28954.742853506723</v>
      </c>
      <c r="W1093" s="10">
        <v>0.7275283735567406</v>
      </c>
      <c r="X1093" s="420"/>
      <c r="Y1093" s="420"/>
      <c r="Z1093" s="1"/>
      <c r="AA1093" s="1"/>
      <c r="AB1093" s="1"/>
      <c r="AC1093" s="1"/>
      <c r="AD1093" s="1"/>
      <c r="AL1093" s="23"/>
      <c r="AM1093" s="23"/>
    </row>
    <row r="1094" spans="17:39">
      <c r="Q1094" s="6">
        <v>1064</v>
      </c>
      <c r="R1094" s="7">
        <v>43731</v>
      </c>
      <c r="S1094" s="210">
        <v>4.5</v>
      </c>
      <c r="T1094" s="8">
        <v>1.0001249999999999</v>
      </c>
      <c r="U1094" s="98">
        <v>4.1780306497643194</v>
      </c>
      <c r="V1094" s="106">
        <v>28957.233070654551</v>
      </c>
      <c r="W1094" s="10">
        <v>0.7281894639960429</v>
      </c>
      <c r="X1094" s="420"/>
      <c r="Y1094" s="420"/>
      <c r="Z1094" s="1"/>
      <c r="AA1094" s="1"/>
      <c r="AB1094" s="1"/>
      <c r="AC1094" s="1"/>
      <c r="AD1094" s="1"/>
      <c r="AL1094" s="23"/>
      <c r="AM1094" s="23"/>
    </row>
    <row r="1095" spans="17:39">
      <c r="Q1095" s="6">
        <v>1065</v>
      </c>
      <c r="R1095" s="7">
        <v>43732</v>
      </c>
      <c r="S1095" s="210">
        <v>4.5</v>
      </c>
      <c r="T1095" s="8">
        <v>1.0001249999999999</v>
      </c>
      <c r="U1095" s="98">
        <v>4.1784895296516744</v>
      </c>
      <c r="V1095" s="106">
        <v>28959.723501970442</v>
      </c>
      <c r="W1095" s="10">
        <v>0.72884931727759117</v>
      </c>
      <c r="X1095" s="420"/>
      <c r="Y1095" s="420"/>
      <c r="Z1095" s="1"/>
      <c r="AA1095" s="1"/>
      <c r="AB1095" s="1"/>
      <c r="AC1095" s="1"/>
      <c r="AD1095" s="1"/>
      <c r="AL1095" s="23"/>
      <c r="AM1095" s="23"/>
    </row>
    <row r="1096" spans="17:39">
      <c r="Q1096" s="6">
        <v>1066</v>
      </c>
      <c r="R1096" s="7">
        <v>43733</v>
      </c>
      <c r="S1096" s="210">
        <v>4.5</v>
      </c>
      <c r="T1096" s="8">
        <v>1.0001249999999999</v>
      </c>
      <c r="U1096" s="98">
        <v>4.1789475506167184</v>
      </c>
      <c r="V1096" s="106">
        <v>28962.214147472831</v>
      </c>
      <c r="W1096" s="10">
        <v>0.72950793687089899</v>
      </c>
      <c r="X1096" s="420"/>
      <c r="Y1096" s="420"/>
      <c r="Z1096" s="1"/>
      <c r="AA1096" s="1"/>
      <c r="AB1096" s="1"/>
      <c r="AC1096" s="1"/>
      <c r="AD1096" s="1"/>
      <c r="AL1096" s="23"/>
      <c r="AM1096" s="23"/>
    </row>
    <row r="1097" spans="17:39">
      <c r="Q1097" s="6">
        <v>1067</v>
      </c>
      <c r="R1097" s="7">
        <v>43734</v>
      </c>
      <c r="S1097" s="210">
        <v>4.5</v>
      </c>
      <c r="T1097" s="8">
        <v>1.0001249999999999</v>
      </c>
      <c r="U1097" s="98">
        <v>4.1794047150687907</v>
      </c>
      <c r="V1097" s="106">
        <v>28964.705007180131</v>
      </c>
      <c r="W1097" s="10">
        <v>0.73016532623257913</v>
      </c>
      <c r="X1097" s="420"/>
      <c r="Y1097" s="420"/>
      <c r="Z1097" s="1"/>
      <c r="AA1097" s="1"/>
      <c r="AB1097" s="1"/>
      <c r="AC1097" s="1"/>
      <c r="AD1097" s="1"/>
      <c r="AL1097" s="23"/>
      <c r="AM1097" s="23"/>
    </row>
    <row r="1098" spans="17:39">
      <c r="Q1098" s="6">
        <v>1068</v>
      </c>
      <c r="R1098" s="7">
        <v>43735</v>
      </c>
      <c r="S1098" s="210">
        <v>4.5</v>
      </c>
      <c r="T1098" s="8">
        <v>1.0001249999999999</v>
      </c>
      <c r="U1098" s="98">
        <v>4.1798610254081714</v>
      </c>
      <c r="V1098" s="106">
        <v>28967.19608111076</v>
      </c>
      <c r="W1098" s="10">
        <v>0.73082148880632136</v>
      </c>
      <c r="X1098" s="420"/>
      <c r="Y1098" s="420"/>
      <c r="Z1098" s="1"/>
      <c r="AA1098" s="1"/>
      <c r="AB1098" s="1"/>
      <c r="AC1098" s="1"/>
      <c r="AD1098" s="1"/>
      <c r="AL1098" s="23"/>
      <c r="AM1098" s="23"/>
    </row>
    <row r="1099" spans="17:39">
      <c r="Q1099" s="6">
        <v>1069</v>
      </c>
      <c r="R1099" s="7">
        <v>43736</v>
      </c>
      <c r="S1099" s="210">
        <v>4.5</v>
      </c>
      <c r="T1099" s="8">
        <v>1.0001249999999999</v>
      </c>
      <c r="U1099" s="98">
        <v>4.1803164840262363</v>
      </c>
      <c r="V1099" s="106">
        <v>28969.687369283154</v>
      </c>
      <c r="W1099" s="10">
        <v>0.73147642802293689</v>
      </c>
      <c r="X1099" s="420"/>
      <c r="Y1099" s="420"/>
      <c r="Z1099" s="1"/>
      <c r="AA1099" s="1"/>
      <c r="AB1099" s="1"/>
      <c r="AC1099" s="1"/>
      <c r="AD1099" s="1"/>
      <c r="AL1099" s="23"/>
      <c r="AM1099" s="23"/>
    </row>
    <row r="1100" spans="17:39">
      <c r="Q1100" s="6">
        <v>1070</v>
      </c>
      <c r="R1100" s="7">
        <v>43737</v>
      </c>
      <c r="S1100" s="210">
        <v>4.5</v>
      </c>
      <c r="T1100" s="8">
        <v>1.0001249999999999</v>
      </c>
      <c r="U1100" s="98">
        <v>4.180771093305391</v>
      </c>
      <c r="V1100" s="106">
        <v>28972.178871715729</v>
      </c>
      <c r="W1100" s="10">
        <v>0.73213014730051373</v>
      </c>
      <c r="X1100" s="420"/>
      <c r="Y1100" s="420"/>
      <c r="Z1100" s="1"/>
      <c r="AA1100" s="1"/>
      <c r="AB1100" s="1"/>
      <c r="AC1100" s="1"/>
      <c r="AD1100" s="1"/>
      <c r="AL1100" s="23"/>
      <c r="AM1100" s="23"/>
    </row>
    <row r="1101" spans="17:39">
      <c r="Q1101" s="6">
        <v>1071</v>
      </c>
      <c r="R1101" s="7">
        <v>43738</v>
      </c>
      <c r="S1101" s="210">
        <v>4.5</v>
      </c>
      <c r="T1101" s="8">
        <v>1.0001249999999999</v>
      </c>
      <c r="U1101" s="98">
        <v>4.1812248556191811</v>
      </c>
      <c r="V1101" s="106">
        <v>28974.670588426914</v>
      </c>
      <c r="W1101" s="10">
        <v>0.73278265004435017</v>
      </c>
      <c r="X1101" s="420"/>
      <c r="Y1101" s="420"/>
      <c r="Z1101" s="1"/>
      <c r="AA1101" s="1"/>
      <c r="AB1101" s="1"/>
      <c r="AC1101" s="1"/>
      <c r="AD1101" s="1"/>
      <c r="AL1101" s="23"/>
      <c r="AM1101" s="23"/>
    </row>
    <row r="1102" spans="17:39">
      <c r="Q1102" s="6">
        <v>1072</v>
      </c>
      <c r="R1102" s="7">
        <v>43739</v>
      </c>
      <c r="S1102" s="210">
        <v>4.5</v>
      </c>
      <c r="T1102" s="8">
        <v>1.0001249999999999</v>
      </c>
      <c r="U1102" s="98">
        <v>4.1816777733323596</v>
      </c>
      <c r="V1102" s="106">
        <v>28977.162519435144</v>
      </c>
      <c r="W1102" s="10">
        <v>0.73343393964717674</v>
      </c>
      <c r="X1102" s="420"/>
      <c r="Y1102" s="420"/>
      <c r="Z1102" s="1"/>
      <c r="AA1102" s="1"/>
      <c r="AB1102" s="1"/>
      <c r="AC1102" s="1"/>
      <c r="AD1102" s="1"/>
      <c r="AL1102" s="23"/>
      <c r="AM1102" s="23"/>
    </row>
    <row r="1103" spans="17:39">
      <c r="Q1103" s="6">
        <v>1073</v>
      </c>
      <c r="R1103" s="7">
        <v>43740</v>
      </c>
      <c r="S1103" s="210">
        <v>4.5</v>
      </c>
      <c r="T1103" s="8">
        <v>1.0001249999999999</v>
      </c>
      <c r="U1103" s="98">
        <v>4.1821298488008196</v>
      </c>
      <c r="V1103" s="106">
        <v>28979.65466475884</v>
      </c>
      <c r="W1103" s="10">
        <v>0.73408401948904523</v>
      </c>
      <c r="X1103" s="420"/>
      <c r="Y1103" s="420"/>
      <c r="Z1103" s="1"/>
      <c r="AA1103" s="1"/>
      <c r="AB1103" s="1"/>
      <c r="AC1103" s="1"/>
      <c r="AD1103" s="1"/>
      <c r="AL1103" s="23"/>
      <c r="AM1103" s="23"/>
    </row>
    <row r="1104" spans="17:39">
      <c r="Q1104" s="6">
        <v>1074</v>
      </c>
      <c r="R1104" s="7">
        <v>43741</v>
      </c>
      <c r="S1104" s="210">
        <v>4.5</v>
      </c>
      <c r="T1104" s="8">
        <v>1.0001249999999999</v>
      </c>
      <c r="U1104" s="98">
        <v>4.1825810843717282</v>
      </c>
      <c r="V1104" s="106">
        <v>28982.147024416437</v>
      </c>
      <c r="W1104" s="10">
        <v>0.73473289293748412</v>
      </c>
      <c r="X1104" s="420"/>
      <c r="Y1104" s="420"/>
      <c r="Z1104" s="1"/>
      <c r="AA1104" s="1"/>
      <c r="AB1104" s="1"/>
      <c r="AC1104" s="1"/>
      <c r="AD1104" s="1"/>
      <c r="AL1104" s="23"/>
      <c r="AM1104" s="23"/>
    </row>
    <row r="1105" spans="17:39">
      <c r="Q1105" s="6">
        <v>1075</v>
      </c>
      <c r="R1105" s="7">
        <v>43742</v>
      </c>
      <c r="S1105" s="210">
        <v>4.5</v>
      </c>
      <c r="T1105" s="8">
        <v>1.0001249999999999</v>
      </c>
      <c r="U1105" s="98">
        <v>4.1830314823835479</v>
      </c>
      <c r="V1105" s="106">
        <v>28984.639598426373</v>
      </c>
      <c r="W1105" s="10">
        <v>0.73538056334752078</v>
      </c>
      <c r="X1105" s="420"/>
      <c r="Y1105" s="420"/>
      <c r="Z1105" s="1"/>
      <c r="AA1105" s="1"/>
      <c r="AB1105" s="1"/>
      <c r="AC1105" s="1"/>
      <c r="AD1105" s="1"/>
      <c r="AL1105" s="23"/>
      <c r="AM1105" s="23"/>
    </row>
    <row r="1106" spans="17:39">
      <c r="Q1106" s="6">
        <v>1076</v>
      </c>
      <c r="R1106" s="7">
        <v>43743</v>
      </c>
      <c r="S1106" s="210">
        <v>4.5</v>
      </c>
      <c r="T1106" s="8">
        <v>1.0001249999999999</v>
      </c>
      <c r="U1106" s="98">
        <v>4.1834810451660598</v>
      </c>
      <c r="V1106" s="106">
        <v>28987.132386807076</v>
      </c>
      <c r="W1106" s="10">
        <v>0.73602703406179248</v>
      </c>
      <c r="X1106" s="420"/>
      <c r="Y1106" s="420"/>
      <c r="Z1106" s="1"/>
      <c r="AA1106" s="1"/>
      <c r="AB1106" s="1"/>
      <c r="AC1106" s="1"/>
      <c r="AD1106" s="1"/>
      <c r="AL1106" s="23"/>
      <c r="AM1106" s="23"/>
    </row>
    <row r="1107" spans="17:39">
      <c r="Q1107" s="6">
        <v>1077</v>
      </c>
      <c r="R1107" s="7">
        <v>43744</v>
      </c>
      <c r="S1107" s="210">
        <v>4.5</v>
      </c>
      <c r="T1107" s="8">
        <v>1.0001249999999999</v>
      </c>
      <c r="U1107" s="98">
        <v>4.183929775040407</v>
      </c>
      <c r="V1107" s="106">
        <v>28989.625389576988</v>
      </c>
      <c r="W1107" s="10">
        <v>0.73667230841052422</v>
      </c>
      <c r="X1107" s="420"/>
      <c r="Y1107" s="420"/>
      <c r="Z1107" s="1"/>
      <c r="AA1107" s="1"/>
      <c r="AB1107" s="1"/>
      <c r="AC1107" s="1"/>
      <c r="AD1107" s="1"/>
      <c r="AL1107" s="23"/>
      <c r="AM1107" s="23"/>
    </row>
    <row r="1108" spans="17:39">
      <c r="Q1108" s="6">
        <v>1078</v>
      </c>
      <c r="R1108" s="7">
        <v>43745</v>
      </c>
      <c r="S1108" s="210">
        <v>4.5</v>
      </c>
      <c r="T1108" s="8">
        <v>1.0001249999999999</v>
      </c>
      <c r="U1108" s="98">
        <v>4.1843776743191619</v>
      </c>
      <c r="V1108" s="106">
        <v>28992.118606754542</v>
      </c>
      <c r="W1108" s="10">
        <v>0.73731638971166191</v>
      </c>
      <c r="X1108" s="420"/>
      <c r="Y1108" s="420"/>
      <c r="Z1108" s="1"/>
      <c r="AA1108" s="1"/>
      <c r="AB1108" s="1"/>
      <c r="AC1108" s="1"/>
      <c r="AD1108" s="1"/>
      <c r="AL1108" s="23"/>
      <c r="AM1108" s="23"/>
    </row>
    <row r="1109" spans="17:39">
      <c r="Q1109" s="6">
        <v>1079</v>
      </c>
      <c r="R1109" s="7">
        <v>43746</v>
      </c>
      <c r="S1109" s="210">
        <v>4.5</v>
      </c>
      <c r="T1109" s="8">
        <v>1.0001249999999999</v>
      </c>
      <c r="U1109" s="98">
        <v>4.1848247453063037</v>
      </c>
      <c r="V1109" s="106">
        <v>28994.612038358187</v>
      </c>
      <c r="W1109" s="10">
        <v>0.7379592812708502</v>
      </c>
      <c r="X1109" s="420"/>
      <c r="Y1109" s="420"/>
      <c r="Z1109" s="1"/>
      <c r="AA1109" s="1"/>
      <c r="AB1109" s="1"/>
      <c r="AC1109" s="1"/>
      <c r="AD1109" s="1"/>
      <c r="AL1109" s="23"/>
      <c r="AM1109" s="23"/>
    </row>
    <row r="1110" spans="17:39">
      <c r="Q1110" s="6">
        <v>1080</v>
      </c>
      <c r="R1110" s="7">
        <v>43747</v>
      </c>
      <c r="S1110" s="210">
        <v>4.5</v>
      </c>
      <c r="T1110" s="8">
        <v>1.0001249999999999</v>
      </c>
      <c r="U1110" s="98">
        <v>4.1852709902973295</v>
      </c>
      <c r="V1110" s="106">
        <v>28997.105684406361</v>
      </c>
      <c r="W1110" s="10">
        <v>0.73860098638156568</v>
      </c>
      <c r="X1110" s="420"/>
      <c r="Y1110" s="420"/>
      <c r="Z1110" s="1"/>
      <c r="AA1110" s="1"/>
      <c r="AB1110" s="1"/>
      <c r="AC1110" s="1"/>
      <c r="AD1110" s="1"/>
      <c r="AL1110" s="23"/>
      <c r="AM1110" s="23"/>
    </row>
    <row r="1111" spans="17:39">
      <c r="Q1111" s="6">
        <v>1081</v>
      </c>
      <c r="R1111" s="7">
        <v>43748</v>
      </c>
      <c r="S1111" s="210">
        <v>4.5</v>
      </c>
      <c r="T1111" s="8">
        <v>1.0001249999999999</v>
      </c>
      <c r="U1111" s="98">
        <v>4.1857164115792767</v>
      </c>
      <c r="V1111" s="106">
        <v>28999.519094456551</v>
      </c>
      <c r="W1111" s="10">
        <v>0.73933587164007886</v>
      </c>
      <c r="X1111" s="420"/>
      <c r="Y1111" s="420"/>
      <c r="Z1111" s="1"/>
      <c r="AA1111" s="1"/>
      <c r="AB1111" s="1"/>
      <c r="AC1111" s="1"/>
      <c r="AD1111" s="1"/>
      <c r="AL1111" s="23"/>
      <c r="AM1111" s="23"/>
    </row>
    <row r="1112" spans="17:39">
      <c r="Q1112" s="6">
        <v>1082</v>
      </c>
      <c r="R1112" s="7">
        <v>43749</v>
      </c>
      <c r="S1112" s="210">
        <v>4.5</v>
      </c>
      <c r="T1112" s="8">
        <v>1.0001249999999999</v>
      </c>
      <c r="U1112" s="98">
        <v>4.1861610114307002</v>
      </c>
      <c r="V1112" s="106">
        <v>29001.932705373278</v>
      </c>
      <c r="W1112" s="10">
        <v>0.74006940386155406</v>
      </c>
      <c r="X1112" s="420"/>
      <c r="Y1112" s="420"/>
      <c r="Z1112" s="1"/>
      <c r="AA1112" s="1"/>
      <c r="AB1112" s="1"/>
      <c r="AC1112" s="1"/>
      <c r="AD1112" s="1"/>
      <c r="AL1112" s="23"/>
      <c r="AM1112" s="23"/>
    </row>
    <row r="1113" spans="17:39">
      <c r="Q1113" s="6">
        <v>1083</v>
      </c>
      <c r="R1113" s="7">
        <v>43750</v>
      </c>
      <c r="S1113" s="210">
        <v>4.5</v>
      </c>
      <c r="T1113" s="8">
        <v>1.0001249999999999</v>
      </c>
      <c r="U1113" s="98">
        <v>4.1866047921217842</v>
      </c>
      <c r="V1113" s="106">
        <v>29004.34651717325</v>
      </c>
      <c r="W1113" s="10">
        <v>0.74080158677936048</v>
      </c>
      <c r="X1113" s="420"/>
      <c r="Y1113" s="420"/>
      <c r="Z1113" s="1"/>
      <c r="AA1113" s="1"/>
      <c r="AB1113" s="1"/>
      <c r="AC1113" s="1"/>
      <c r="AD1113" s="1"/>
      <c r="AL1113" s="23"/>
      <c r="AM1113" s="23"/>
    </row>
    <row r="1114" spans="17:39">
      <c r="Q1114" s="6">
        <v>1084</v>
      </c>
      <c r="R1114" s="7">
        <v>43751</v>
      </c>
      <c r="S1114" s="210">
        <v>4.5</v>
      </c>
      <c r="T1114" s="8">
        <v>1.0001249999999999</v>
      </c>
      <c r="U1114" s="98">
        <v>4.1870477559143637</v>
      </c>
      <c r="V1114" s="106">
        <v>29006.760529873198</v>
      </c>
      <c r="W1114" s="10">
        <v>0.74153242411294507</v>
      </c>
      <c r="X1114" s="420"/>
      <c r="Y1114" s="420"/>
      <c r="Z1114" s="1"/>
      <c r="AA1114" s="1"/>
      <c r="AB1114" s="1"/>
      <c r="AC1114" s="1"/>
      <c r="AD1114" s="1"/>
      <c r="AL1114" s="23"/>
      <c r="AM1114" s="23"/>
    </row>
    <row r="1115" spans="17:39">
      <c r="Q1115" s="6">
        <v>1085</v>
      </c>
      <c r="R1115" s="7">
        <v>43752</v>
      </c>
      <c r="S1115" s="210">
        <v>4.5</v>
      </c>
      <c r="T1115" s="8">
        <v>1.0001249999999999</v>
      </c>
      <c r="U1115" s="98">
        <v>4.1874899050619474</v>
      </c>
      <c r="V1115" s="106">
        <v>29009.174743489832</v>
      </c>
      <c r="W1115" s="10">
        <v>0.7422619195682767</v>
      </c>
      <c r="X1115" s="420"/>
      <c r="Y1115" s="420"/>
      <c r="Z1115" s="1"/>
      <c r="AA1115" s="1"/>
      <c r="AB1115" s="1"/>
      <c r="AC1115" s="1"/>
      <c r="AD1115" s="1"/>
      <c r="AL1115" s="23"/>
      <c r="AM1115" s="23"/>
    </row>
    <row r="1116" spans="17:39">
      <c r="Q1116" s="6">
        <v>1086</v>
      </c>
      <c r="R1116" s="7">
        <v>43753</v>
      </c>
      <c r="S1116" s="210">
        <v>4.5</v>
      </c>
      <c r="T1116" s="8">
        <v>1.0001249999999999</v>
      </c>
      <c r="U1116" s="98">
        <v>4.1879312418097392</v>
      </c>
      <c r="V1116" s="106">
        <v>29011.589158039882</v>
      </c>
      <c r="W1116" s="10">
        <v>0.74299007683757967</v>
      </c>
      <c r="X1116" s="420"/>
      <c r="Y1116" s="420"/>
      <c r="Z1116" s="1"/>
      <c r="AA1116" s="1"/>
      <c r="AB1116" s="1"/>
      <c r="AC1116" s="1"/>
      <c r="AD1116" s="1"/>
      <c r="AL1116" s="23"/>
      <c r="AM1116" s="23"/>
    </row>
    <row r="1117" spans="17:39">
      <c r="Q1117" s="6">
        <v>1087</v>
      </c>
      <c r="R1117" s="7">
        <v>43754</v>
      </c>
      <c r="S1117" s="210">
        <v>4.5</v>
      </c>
      <c r="T1117" s="8">
        <v>1.0001249999999999</v>
      </c>
      <c r="U1117" s="98">
        <v>4.1883717683947497</v>
      </c>
      <c r="V1117" s="106">
        <v>29014.003773540066</v>
      </c>
      <c r="W1117" s="10">
        <v>0.7437168995996668</v>
      </c>
      <c r="X1117" s="420"/>
      <c r="Y1117" s="420"/>
      <c r="Z1117" s="1"/>
      <c r="AA1117" s="1"/>
      <c r="AB1117" s="1"/>
      <c r="AC1117" s="1"/>
      <c r="AD1117" s="1"/>
      <c r="AL1117" s="23"/>
      <c r="AM1117" s="23"/>
    </row>
    <row r="1118" spans="17:39">
      <c r="Q1118" s="6">
        <v>1088</v>
      </c>
      <c r="R1118" s="7">
        <v>43755</v>
      </c>
      <c r="S1118" s="210">
        <v>4.5</v>
      </c>
      <c r="T1118" s="8">
        <v>1.0001249999999999</v>
      </c>
      <c r="U1118" s="98">
        <v>4.1888114870457294</v>
      </c>
      <c r="V1118" s="106">
        <v>29016.418590007113</v>
      </c>
      <c r="W1118" s="10">
        <v>0.74444239151980618</v>
      </c>
      <c r="X1118" s="420"/>
      <c r="Y1118" s="420"/>
      <c r="Z1118" s="1"/>
      <c r="AA1118" s="1"/>
      <c r="AB1118" s="1"/>
      <c r="AC1118" s="1"/>
      <c r="AD1118" s="1"/>
      <c r="AL1118" s="23"/>
      <c r="AM1118" s="23"/>
    </row>
    <row r="1119" spans="17:39">
      <c r="Q1119" s="6">
        <v>1089</v>
      </c>
      <c r="R1119" s="7">
        <v>43756</v>
      </c>
      <c r="S1119" s="210">
        <v>4.5</v>
      </c>
      <c r="T1119" s="8">
        <v>1.0001249999999999</v>
      </c>
      <c r="U1119" s="98">
        <v>4.189250399983302</v>
      </c>
      <c r="V1119" s="106">
        <v>29018.833607457746</v>
      </c>
      <c r="W1119" s="10">
        <v>0.74516655624985439</v>
      </c>
      <c r="X1119" s="420"/>
      <c r="Y1119" s="420"/>
      <c r="Z1119" s="1"/>
      <c r="AA1119" s="1"/>
      <c r="AB1119" s="1"/>
      <c r="AC1119" s="1"/>
      <c r="AD1119" s="1"/>
      <c r="AL1119" s="23"/>
      <c r="AM1119" s="23"/>
    </row>
    <row r="1120" spans="17:39">
      <c r="Q1120" s="6">
        <v>1090</v>
      </c>
      <c r="R1120" s="7">
        <v>43757</v>
      </c>
      <c r="S1120" s="210">
        <v>4.5</v>
      </c>
      <c r="T1120" s="8">
        <v>1.0001249999999999</v>
      </c>
      <c r="U1120" s="98">
        <v>4.1896885094199421</v>
      </c>
      <c r="V1120" s="106">
        <v>29021.248825908693</v>
      </c>
      <c r="W1120" s="10">
        <v>0.74588939742836757</v>
      </c>
      <c r="X1120" s="420"/>
      <c r="Y1120" s="420"/>
      <c r="Z1120" s="1"/>
      <c r="AA1120" s="1"/>
      <c r="AB1120" s="1"/>
      <c r="AC1120" s="1"/>
      <c r="AD1120" s="1"/>
      <c r="AL1120" s="23"/>
      <c r="AM1120" s="23"/>
    </row>
    <row r="1121" spans="17:39">
      <c r="Q1121" s="6">
        <v>1091</v>
      </c>
      <c r="R1121" s="7">
        <v>43758</v>
      </c>
      <c r="S1121" s="210">
        <v>4.5</v>
      </c>
      <c r="T1121" s="8">
        <v>1.0001249999999999</v>
      </c>
      <c r="U1121" s="98">
        <v>4.190125817560042</v>
      </c>
      <c r="V1121" s="106">
        <v>29023.664245376691</v>
      </c>
      <c r="W1121" s="10">
        <v>0.74661091868055696</v>
      </c>
      <c r="X1121" s="420"/>
      <c r="Y1121" s="420"/>
      <c r="Z1121" s="1"/>
      <c r="AA1121" s="1"/>
      <c r="AB1121" s="1"/>
      <c r="AC1121" s="1"/>
      <c r="AD1121" s="1"/>
      <c r="AL1121" s="23"/>
      <c r="AM1121" s="23"/>
    </row>
    <row r="1122" spans="17:39">
      <c r="Q1122" s="6">
        <v>1092</v>
      </c>
      <c r="R1122" s="7">
        <v>43759</v>
      </c>
      <c r="S1122" s="210">
        <v>4.5</v>
      </c>
      <c r="T1122" s="8">
        <v>1.0001249999999999</v>
      </c>
      <c r="U1122" s="98">
        <v>4.1905623265999337</v>
      </c>
      <c r="V1122" s="106">
        <v>29026.079865878452</v>
      </c>
      <c r="W1122" s="10">
        <v>0.74733112361846654</v>
      </c>
      <c r="X1122" s="420"/>
      <c r="Y1122" s="420"/>
      <c r="Z1122" s="1"/>
      <c r="AA1122" s="1"/>
      <c r="AB1122" s="1"/>
      <c r="AC1122" s="1"/>
      <c r="AD1122" s="1"/>
      <c r="AL1122" s="23"/>
      <c r="AM1122" s="23"/>
    </row>
    <row r="1123" spans="17:39">
      <c r="Q1123" s="6">
        <v>1093</v>
      </c>
      <c r="R1123" s="7">
        <v>43760</v>
      </c>
      <c r="S1123" s="210">
        <v>4.5</v>
      </c>
      <c r="T1123" s="8">
        <v>1.0001249999999999</v>
      </c>
      <c r="U1123" s="98">
        <v>4.1909980387279111</v>
      </c>
      <c r="V1123" s="106">
        <v>29028.495687430732</v>
      </c>
      <c r="W1123" s="10">
        <v>0.74805001584092867</v>
      </c>
      <c r="X1123" s="420"/>
      <c r="Y1123" s="420"/>
      <c r="Z1123" s="1"/>
      <c r="AA1123" s="1"/>
      <c r="AB1123" s="1"/>
      <c r="AC1123" s="1"/>
      <c r="AD1123" s="1"/>
      <c r="AL1123" s="23"/>
      <c r="AM1123" s="23"/>
    </row>
    <row r="1124" spans="17:39">
      <c r="Q1124" s="6">
        <v>1094</v>
      </c>
      <c r="R1124" s="7">
        <v>43761</v>
      </c>
      <c r="S1124" s="210">
        <v>4.5</v>
      </c>
      <c r="T1124" s="8">
        <v>1.0001249999999999</v>
      </c>
      <c r="U1124" s="98">
        <v>4.1914329561243191</v>
      </c>
      <c r="V1124" s="106">
        <v>29030.911710050248</v>
      </c>
      <c r="W1124" s="10">
        <v>0.74876759893367506</v>
      </c>
      <c r="X1124" s="420"/>
      <c r="Y1124" s="420"/>
      <c r="Z1124" s="1"/>
      <c r="AA1124" s="1"/>
      <c r="AB1124" s="1"/>
      <c r="AC1124" s="1"/>
      <c r="AD1124" s="1"/>
      <c r="AL1124" s="23"/>
      <c r="AM1124" s="23"/>
    </row>
    <row r="1125" spans="17:39">
      <c r="Q1125" s="6">
        <v>1095</v>
      </c>
      <c r="R1125" s="7">
        <v>43762</v>
      </c>
      <c r="S1125" s="210">
        <v>4.5</v>
      </c>
      <c r="T1125" s="8">
        <v>1.0001249999999999</v>
      </c>
      <c r="U1125" s="98">
        <v>4.191867080961531</v>
      </c>
      <c r="V1125" s="106">
        <v>29033.327933753739</v>
      </c>
      <c r="W1125" s="10">
        <v>0.7494838764694034</v>
      </c>
      <c r="X1125" s="420"/>
      <c r="Y1125" s="420"/>
      <c r="Z1125" s="1"/>
      <c r="AA1125" s="1"/>
      <c r="AB1125" s="1"/>
      <c r="AC1125" s="1"/>
      <c r="AD1125" s="1"/>
      <c r="AL1125" s="23"/>
      <c r="AM1125" s="23"/>
    </row>
    <row r="1126" spans="17:39">
      <c r="Q1126" s="6">
        <v>1096</v>
      </c>
      <c r="R1126" s="7">
        <v>43763</v>
      </c>
      <c r="S1126" s="210">
        <v>4.5</v>
      </c>
      <c r="T1126" s="8">
        <v>1.0001249999999999</v>
      </c>
      <c r="U1126" s="98">
        <v>4.1923004154040155</v>
      </c>
      <c r="V1126" s="106">
        <v>29035.744358557939</v>
      </c>
      <c r="W1126" s="10">
        <v>0.75019885200779957</v>
      </c>
      <c r="X1126" s="420"/>
      <c r="Y1126" s="420"/>
      <c r="Z1126" s="1"/>
      <c r="AA1126" s="1"/>
      <c r="AB1126" s="1"/>
      <c r="AC1126" s="1"/>
      <c r="AD1126" s="1"/>
      <c r="AL1126" s="23"/>
      <c r="AM1126" s="23"/>
    </row>
    <row r="1127" spans="17:39">
      <c r="Q1127" s="6">
        <v>1097</v>
      </c>
      <c r="R1127" s="7">
        <v>43764</v>
      </c>
      <c r="S1127" s="210">
        <v>4.5</v>
      </c>
      <c r="T1127" s="8">
        <v>1.0001249999999999</v>
      </c>
      <c r="U1127" s="98">
        <v>4.1927329616083586</v>
      </c>
      <c r="V1127" s="106">
        <v>29038.160984479586</v>
      </c>
      <c r="W1127" s="10">
        <v>0.75091252909564865</v>
      </c>
      <c r="X1127" s="420"/>
      <c r="Y1127" s="420"/>
      <c r="Z1127" s="1"/>
      <c r="AA1127" s="1"/>
      <c r="AB1127" s="1"/>
      <c r="AC1127" s="1"/>
      <c r="AD1127" s="1"/>
      <c r="AL1127" s="23"/>
      <c r="AM1127" s="23"/>
    </row>
    <row r="1128" spans="17:39">
      <c r="Q1128" s="6">
        <v>1098</v>
      </c>
      <c r="R1128" s="7">
        <v>43765</v>
      </c>
      <c r="S1128" s="210">
        <v>4.5</v>
      </c>
      <c r="T1128" s="8">
        <v>1.0001249999999999</v>
      </c>
      <c r="U1128" s="98">
        <v>4.1931647217233303</v>
      </c>
      <c r="V1128" s="106">
        <v>29040.57781153543</v>
      </c>
      <c r="W1128" s="10">
        <v>0.75162491126685715</v>
      </c>
      <c r="X1128" s="420"/>
      <c r="Y1128" s="420"/>
      <c r="Z1128" s="1"/>
      <c r="AA1128" s="1"/>
      <c r="AB1128" s="1"/>
      <c r="AC1128" s="1"/>
      <c r="AD1128" s="1"/>
      <c r="AL1128" s="23"/>
      <c r="AM1128" s="23"/>
    </row>
    <row r="1129" spans="17:39">
      <c r="Q1129" s="6">
        <v>1099</v>
      </c>
      <c r="R1129" s="7">
        <v>43766</v>
      </c>
      <c r="S1129" s="210">
        <v>4.5</v>
      </c>
      <c r="T1129" s="8">
        <v>1.0001249999999999</v>
      </c>
      <c r="U1129" s="98">
        <v>4.1935956978898847</v>
      </c>
      <c r="V1129" s="106">
        <v>29042.99483974219</v>
      </c>
      <c r="W1129" s="10">
        <v>0.7523360020425196</v>
      </c>
      <c r="X1129" s="420"/>
      <c r="Y1129" s="420"/>
      <c r="Z1129" s="1"/>
      <c r="AA1129" s="1"/>
      <c r="AB1129" s="1"/>
      <c r="AC1129" s="1"/>
      <c r="AD1129" s="1"/>
      <c r="AL1129" s="23"/>
      <c r="AM1129" s="23"/>
    </row>
    <row r="1130" spans="17:39">
      <c r="Q1130" s="6">
        <v>1100</v>
      </c>
      <c r="R1130" s="7">
        <v>43767</v>
      </c>
      <c r="S1130" s="210">
        <v>4.5</v>
      </c>
      <c r="T1130" s="8">
        <v>1.0001249999999999</v>
      </c>
      <c r="U1130" s="98">
        <v>4.1940258922412044</v>
      </c>
      <c r="V1130" s="106">
        <v>29045.412069116624</v>
      </c>
      <c r="W1130" s="10">
        <v>0.75304580493094075</v>
      </c>
      <c r="X1130" s="420"/>
      <c r="Y1130" s="420"/>
      <c r="Z1130" s="1"/>
      <c r="AA1130" s="1"/>
      <c r="AB1130" s="1"/>
      <c r="AC1130" s="1"/>
      <c r="AD1130" s="1"/>
      <c r="AL1130" s="23"/>
      <c r="AM1130" s="23"/>
    </row>
    <row r="1131" spans="17:39">
      <c r="Q1131" s="6">
        <v>1101</v>
      </c>
      <c r="R1131" s="7">
        <v>43768</v>
      </c>
      <c r="S1131" s="210">
        <v>4.5</v>
      </c>
      <c r="T1131" s="8">
        <v>1.0001249999999999</v>
      </c>
      <c r="U1131" s="98">
        <v>4.1944553069027446</v>
      </c>
      <c r="V1131" s="106">
        <v>29047.829499675467</v>
      </c>
      <c r="W1131" s="10">
        <v>0.75375432342781323</v>
      </c>
      <c r="X1131" s="420"/>
      <c r="Y1131" s="420"/>
      <c r="Z1131" s="1"/>
      <c r="AA1131" s="1"/>
      <c r="AB1131" s="1"/>
      <c r="AC1131" s="1"/>
      <c r="AD1131" s="1"/>
      <c r="AL1131" s="23"/>
      <c r="AM1131" s="23"/>
    </row>
    <row r="1132" spans="17:39">
      <c r="Q1132" s="6">
        <v>1102</v>
      </c>
      <c r="R1132" s="7">
        <v>43769</v>
      </c>
      <c r="S1132" s="210">
        <v>4.5</v>
      </c>
      <c r="T1132" s="8">
        <v>1.0001249999999999</v>
      </c>
      <c r="U1132" s="98">
        <v>4.1948839439922558</v>
      </c>
      <c r="V1132" s="106">
        <v>29050.247131435473</v>
      </c>
      <c r="W1132" s="10">
        <v>0.7544615610160621</v>
      </c>
      <c r="X1132" s="420"/>
      <c r="Y1132" s="420"/>
      <c r="Z1132" s="1"/>
      <c r="AA1132" s="1"/>
      <c r="AB1132" s="1"/>
      <c r="AC1132" s="1"/>
      <c r="AD1132" s="1"/>
      <c r="AL1132" s="23"/>
      <c r="AM1132" s="23"/>
    </row>
    <row r="1133" spans="17:39">
      <c r="Q1133" s="6">
        <v>1103</v>
      </c>
      <c r="R1133" s="7">
        <v>43770</v>
      </c>
      <c r="S1133" s="210">
        <v>4.5</v>
      </c>
      <c r="T1133" s="8">
        <v>1.0001249999999999</v>
      </c>
      <c r="U1133" s="98">
        <v>4.195311805619828</v>
      </c>
      <c r="V1133" s="106">
        <v>29052.664964413376</v>
      </c>
      <c r="W1133" s="10">
        <v>0.75516752116617791</v>
      </c>
      <c r="X1133" s="420"/>
      <c r="Y1133" s="420"/>
      <c r="Z1133" s="1"/>
      <c r="AA1133" s="1"/>
      <c r="AB1133" s="1"/>
      <c r="AC1133" s="1"/>
      <c r="AD1133" s="1"/>
      <c r="AL1133" s="23"/>
      <c r="AM1133" s="23"/>
    </row>
    <row r="1134" spans="17:39">
      <c r="Q1134" s="6">
        <v>1104</v>
      </c>
      <c r="R1134" s="7">
        <v>43771</v>
      </c>
      <c r="S1134" s="210">
        <v>4.5</v>
      </c>
      <c r="T1134" s="8">
        <v>1.0001249999999999</v>
      </c>
      <c r="U1134" s="98">
        <v>4.1957388938879348</v>
      </c>
      <c r="V1134" s="106">
        <v>29055.082998625938</v>
      </c>
      <c r="W1134" s="10">
        <v>0.75587220733597249</v>
      </c>
      <c r="X1134" s="420"/>
      <c r="Y1134" s="420"/>
      <c r="Z1134" s="1"/>
      <c r="AA1134" s="1"/>
      <c r="AB1134" s="1"/>
      <c r="AC1134" s="1"/>
      <c r="AD1134" s="1"/>
      <c r="AL1134" s="23"/>
      <c r="AM1134" s="23"/>
    </row>
    <row r="1135" spans="17:39">
      <c r="Q1135" s="6">
        <v>1105</v>
      </c>
      <c r="R1135" s="7">
        <v>43772</v>
      </c>
      <c r="S1135" s="210">
        <v>4.5</v>
      </c>
      <c r="T1135" s="8">
        <v>1.0001249999999999</v>
      </c>
      <c r="U1135" s="98">
        <v>4.196165210891456</v>
      </c>
      <c r="V1135" s="106">
        <v>29057.501234089887</v>
      </c>
      <c r="W1135" s="10">
        <v>0.75657562297095637</v>
      </c>
      <c r="X1135" s="420"/>
      <c r="Y1135" s="420"/>
      <c r="Z1135" s="1"/>
      <c r="AA1135" s="1"/>
      <c r="AB1135" s="1"/>
      <c r="AC1135" s="1"/>
      <c r="AD1135" s="1"/>
      <c r="AL1135" s="23"/>
      <c r="AM1135" s="23"/>
    </row>
    <row r="1136" spans="17:39">
      <c r="Q1136" s="6">
        <v>1106</v>
      </c>
      <c r="R1136" s="7">
        <v>43773</v>
      </c>
      <c r="S1136" s="210">
        <v>4.5</v>
      </c>
      <c r="T1136" s="8">
        <v>1.0001249999999999</v>
      </c>
      <c r="U1136" s="98">
        <v>4.1965907587176998</v>
      </c>
      <c r="V1136" s="106">
        <v>29059.91967082199</v>
      </c>
      <c r="W1136" s="10">
        <v>0.75727777150409459</v>
      </c>
      <c r="X1136" s="420"/>
      <c r="Y1136" s="420"/>
      <c r="Z1136" s="1"/>
      <c r="AA1136" s="1"/>
      <c r="AB1136" s="1"/>
      <c r="AC1136" s="1"/>
      <c r="AD1136" s="1"/>
      <c r="AL1136" s="23"/>
      <c r="AM1136" s="23"/>
    </row>
    <row r="1137" spans="17:39">
      <c r="Q1137" s="6">
        <v>1107</v>
      </c>
      <c r="R1137" s="7">
        <v>43774</v>
      </c>
      <c r="S1137" s="210">
        <v>4.5</v>
      </c>
      <c r="T1137" s="8">
        <v>1.0001249999999999</v>
      </c>
      <c r="U1137" s="98">
        <v>4.1970155394464692</v>
      </c>
      <c r="V1137" s="106">
        <v>29062.338308838993</v>
      </c>
      <c r="W1137" s="10">
        <v>0.75797865635607309</v>
      </c>
      <c r="X1137" s="420"/>
      <c r="Y1137" s="420"/>
      <c r="Z1137" s="1"/>
      <c r="AA1137" s="1"/>
      <c r="AB1137" s="1"/>
      <c r="AC1137" s="1"/>
      <c r="AD1137" s="1"/>
      <c r="AL1137" s="23"/>
      <c r="AM1137" s="23"/>
    </row>
    <row r="1138" spans="17:39">
      <c r="Q1138" s="6">
        <v>1108</v>
      </c>
      <c r="R1138" s="7">
        <v>43775</v>
      </c>
      <c r="S1138" s="210">
        <v>4.5</v>
      </c>
      <c r="T1138" s="8">
        <v>1.0001249999999999</v>
      </c>
      <c r="U1138" s="98">
        <v>4.1974395551500399</v>
      </c>
      <c r="V1138" s="106">
        <v>29064.757148157649</v>
      </c>
      <c r="W1138" s="10">
        <v>0.75867828093518774</v>
      </c>
      <c r="X1138" s="420"/>
      <c r="Y1138" s="420"/>
      <c r="Z1138" s="1"/>
      <c r="AA1138" s="1"/>
      <c r="AB1138" s="1"/>
      <c r="AC1138" s="1"/>
      <c r="AD1138" s="1"/>
      <c r="AL1138" s="23"/>
      <c r="AM1138" s="23"/>
    </row>
    <row r="1139" spans="17:39">
      <c r="Q1139" s="6">
        <v>1109</v>
      </c>
      <c r="R1139" s="7">
        <v>43776</v>
      </c>
      <c r="S1139" s="210">
        <v>4.5</v>
      </c>
      <c r="T1139" s="8">
        <v>1.0001249999999999</v>
      </c>
      <c r="U1139" s="98">
        <v>4.1978628078932712</v>
      </c>
      <c r="V1139" s="106">
        <v>29067.17618879471</v>
      </c>
      <c r="W1139" s="10">
        <v>0.75937664863761078</v>
      </c>
      <c r="X1139" s="420"/>
      <c r="Y1139" s="420"/>
      <c r="Z1139" s="1"/>
      <c r="AA1139" s="1"/>
      <c r="AB1139" s="1"/>
      <c r="AC1139" s="1"/>
      <c r="AD1139" s="1"/>
      <c r="AL1139" s="23"/>
      <c r="AM1139" s="23"/>
    </row>
    <row r="1140" spans="17:39">
      <c r="Q1140" s="6">
        <v>1110</v>
      </c>
      <c r="R1140" s="7">
        <v>43777</v>
      </c>
      <c r="S1140" s="210">
        <v>4.5</v>
      </c>
      <c r="T1140" s="8">
        <v>1.0001249999999999</v>
      </c>
      <c r="U1140" s="98">
        <v>4.1982852997335618</v>
      </c>
      <c r="V1140" s="106">
        <v>29069.595430766934</v>
      </c>
      <c r="W1140" s="10">
        <v>0.76007376284721317</v>
      </c>
      <c r="X1140" s="420"/>
      <c r="Y1140" s="420"/>
      <c r="Z1140" s="1"/>
      <c r="AA1140" s="1"/>
      <c r="AB1140" s="1"/>
      <c r="AC1140" s="1"/>
      <c r="AD1140" s="1"/>
      <c r="AL1140" s="23"/>
      <c r="AM1140" s="23"/>
    </row>
    <row r="1141" spans="17:39">
      <c r="Q1141" s="6">
        <v>1111</v>
      </c>
      <c r="R1141" s="7">
        <v>43778</v>
      </c>
      <c r="S1141" s="210">
        <v>4.5</v>
      </c>
      <c r="T1141" s="8">
        <v>1.0001249999999999</v>
      </c>
      <c r="U1141" s="98">
        <v>4.1987070327209386</v>
      </c>
      <c r="V1141" s="106">
        <v>29072.014874091077</v>
      </c>
      <c r="W1141" s="10">
        <v>0.76076962693578665</v>
      </c>
      <c r="X1141" s="420"/>
      <c r="Y1141" s="420"/>
      <c r="Z1141" s="1"/>
      <c r="AA1141" s="1"/>
      <c r="AB1141" s="1"/>
      <c r="AC1141" s="1"/>
      <c r="AD1141" s="1"/>
      <c r="AL1141" s="23"/>
      <c r="AM1141" s="23"/>
    </row>
    <row r="1142" spans="17:39">
      <c r="Q1142" s="6">
        <v>1112</v>
      </c>
      <c r="R1142" s="7">
        <v>43779</v>
      </c>
      <c r="S1142" s="210">
        <v>4.5</v>
      </c>
      <c r="T1142" s="8">
        <v>1.0001249999999999</v>
      </c>
      <c r="U1142" s="98">
        <v>4.1991280088980787</v>
      </c>
      <c r="V1142" s="106">
        <v>29074.515177075209</v>
      </c>
      <c r="W1142" s="10">
        <v>0.76137249142891328</v>
      </c>
      <c r="X1142" s="420"/>
      <c r="Y1142" s="420"/>
      <c r="Z1142" s="1"/>
      <c r="AA1142" s="1"/>
      <c r="AB1142" s="1"/>
      <c r="AC1142" s="1"/>
      <c r="AD1142" s="1"/>
      <c r="AL1142" s="23"/>
      <c r="AM1142" s="23"/>
    </row>
    <row r="1143" spans="17:39">
      <c r="Q1143" s="6">
        <v>1113</v>
      </c>
      <c r="R1143" s="7">
        <v>43780</v>
      </c>
      <c r="S1143" s="210">
        <v>4.5</v>
      </c>
      <c r="T1143" s="8">
        <v>1.0001249999999999</v>
      </c>
      <c r="U1143" s="98">
        <v>4.1995482303003095</v>
      </c>
      <c r="V1143" s="106">
        <v>29077.015695094822</v>
      </c>
      <c r="W1143" s="10">
        <v>0.76197427620490199</v>
      </c>
      <c r="X1143" s="420"/>
      <c r="Y1143" s="420"/>
      <c r="Z1143" s="1"/>
      <c r="AA1143" s="1"/>
      <c r="AB1143" s="1"/>
      <c r="AC1143" s="1"/>
      <c r="AD1143" s="1"/>
      <c r="AL1143" s="23"/>
      <c r="AM1143" s="23"/>
    </row>
    <row r="1144" spans="17:39">
      <c r="Q1144" s="6">
        <v>1114</v>
      </c>
      <c r="R1144" s="7">
        <v>43781</v>
      </c>
      <c r="S1144" s="210">
        <v>4.5</v>
      </c>
      <c r="T1144" s="8">
        <v>1.0001249999999999</v>
      </c>
      <c r="U1144" s="98">
        <v>4.1999676989556978</v>
      </c>
      <c r="V1144" s="106">
        <v>29079.51642816843</v>
      </c>
      <c r="W1144" s="10">
        <v>0.76257498416176794</v>
      </c>
      <c r="X1144" s="420"/>
      <c r="Y1144" s="420"/>
      <c r="Z1144" s="1"/>
      <c r="AA1144" s="1"/>
      <c r="AB1144" s="1"/>
      <c r="AC1144" s="1"/>
      <c r="AD1144" s="1"/>
      <c r="AL1144" s="23"/>
      <c r="AM1144" s="23"/>
    </row>
    <row r="1145" spans="17:39">
      <c r="Q1145" s="6">
        <v>1115</v>
      </c>
      <c r="R1145" s="7">
        <v>43782</v>
      </c>
      <c r="S1145" s="210">
        <v>4.5</v>
      </c>
      <c r="T1145" s="8">
        <v>1.0001249999999999</v>
      </c>
      <c r="U1145" s="98">
        <v>4.2003864168850269</v>
      </c>
      <c r="V1145" s="106">
        <v>29082.017376314514</v>
      </c>
      <c r="W1145" s="10">
        <v>0.76317461818713461</v>
      </c>
      <c r="X1145" s="420"/>
      <c r="Y1145" s="420"/>
      <c r="Z1145" s="1"/>
      <c r="AA1145" s="1"/>
      <c r="AB1145" s="1"/>
      <c r="AC1145" s="1"/>
      <c r="AD1145" s="1"/>
      <c r="AL1145" s="23"/>
      <c r="AM1145" s="23"/>
    </row>
    <row r="1146" spans="17:39">
      <c r="Q1146" s="6">
        <v>1116</v>
      </c>
      <c r="R1146" s="7">
        <v>43783</v>
      </c>
      <c r="S1146" s="210">
        <v>4.5</v>
      </c>
      <c r="T1146" s="8">
        <v>1.0001249999999999</v>
      </c>
      <c r="U1146" s="98">
        <v>4.2008043861018418</v>
      </c>
      <c r="V1146" s="106">
        <v>29084.518539551576</v>
      </c>
      <c r="W1146" s="10">
        <v>0.7637731811583448</v>
      </c>
      <c r="X1146" s="420"/>
      <c r="Y1146" s="420"/>
      <c r="Z1146" s="1"/>
      <c r="AA1146" s="1"/>
      <c r="AB1146" s="1"/>
      <c r="AC1146" s="1"/>
      <c r="AD1146" s="1"/>
      <c r="AL1146" s="23"/>
      <c r="AM1146" s="23"/>
    </row>
    <row r="1147" spans="17:39">
      <c r="Q1147" s="6">
        <v>1117</v>
      </c>
      <c r="R1147" s="7">
        <v>43784</v>
      </c>
      <c r="S1147" s="210">
        <v>4.5</v>
      </c>
      <c r="T1147" s="8">
        <v>1.0001249999999999</v>
      </c>
      <c r="U1147" s="98">
        <v>4.2012216086125376</v>
      </c>
      <c r="V1147" s="106">
        <v>29087.019917898117</v>
      </c>
      <c r="W1147" s="10">
        <v>0.76437067594250507</v>
      </c>
      <c r="X1147" s="420"/>
      <c r="Y1147" s="420"/>
      <c r="Z1147" s="1"/>
      <c r="AA1147" s="1"/>
      <c r="AB1147" s="1"/>
      <c r="AC1147" s="1"/>
      <c r="AD1147" s="1"/>
      <c r="AL1147" s="23"/>
      <c r="AM1147" s="23"/>
    </row>
    <row r="1148" spans="17:39">
      <c r="Q1148" s="6">
        <v>1118</v>
      </c>
      <c r="R1148" s="7">
        <v>43785</v>
      </c>
      <c r="S1148" s="210">
        <v>4.5</v>
      </c>
      <c r="T1148" s="8">
        <v>1.0001249999999999</v>
      </c>
      <c r="U1148" s="98">
        <v>4.201638086416315</v>
      </c>
      <c r="V1148" s="106">
        <v>29089.521511372641</v>
      </c>
      <c r="W1148" s="10">
        <v>0.7649671053964413</v>
      </c>
      <c r="X1148" s="420"/>
      <c r="Y1148" s="420"/>
      <c r="Z1148" s="1"/>
      <c r="AA1148" s="1"/>
      <c r="AB1148" s="1"/>
      <c r="AC1148" s="1"/>
      <c r="AD1148" s="1"/>
      <c r="AL1148" s="23"/>
      <c r="AM1148" s="23"/>
    </row>
    <row r="1149" spans="17:39">
      <c r="Q1149" s="6">
        <v>1119</v>
      </c>
      <c r="R1149" s="7">
        <v>43786</v>
      </c>
      <c r="S1149" s="210">
        <v>4.5</v>
      </c>
      <c r="T1149" s="8">
        <v>1.0001249999999999</v>
      </c>
      <c r="U1149" s="98">
        <v>4.2020538215052472</v>
      </c>
      <c r="V1149" s="106">
        <v>29092.023319993634</v>
      </c>
      <c r="W1149" s="10">
        <v>0.76556247236683195</v>
      </c>
      <c r="X1149" s="420"/>
      <c r="Y1149" s="420"/>
      <c r="Z1149" s="1"/>
      <c r="AA1149" s="1"/>
      <c r="AB1149" s="1"/>
      <c r="AC1149" s="1"/>
      <c r="AD1149" s="1"/>
      <c r="AL1149" s="23"/>
      <c r="AM1149" s="23"/>
    </row>
    <row r="1150" spans="17:39">
      <c r="Q1150" s="6">
        <v>1120</v>
      </c>
      <c r="R1150" s="7">
        <v>43787</v>
      </c>
      <c r="S1150" s="210">
        <v>4.5</v>
      </c>
      <c r="T1150" s="8">
        <v>1.0001249999999999</v>
      </c>
      <c r="U1150" s="98">
        <v>4.2024688158643242</v>
      </c>
      <c r="V1150" s="106">
        <v>29094.525343779613</v>
      </c>
      <c r="W1150" s="10">
        <v>0.76615677969020801</v>
      </c>
      <c r="X1150" s="420"/>
      <c r="Y1150" s="420"/>
      <c r="Z1150" s="1"/>
      <c r="AA1150" s="1"/>
      <c r="AB1150" s="1"/>
      <c r="AC1150" s="1"/>
      <c r="AD1150" s="1"/>
      <c r="AL1150" s="23"/>
      <c r="AM1150" s="23"/>
    </row>
    <row r="1151" spans="17:39">
      <c r="Q1151" s="6">
        <v>1121</v>
      </c>
      <c r="R1151" s="7">
        <v>43788</v>
      </c>
      <c r="S1151" s="210">
        <v>4.5</v>
      </c>
      <c r="T1151" s="8">
        <v>1.0001249999999999</v>
      </c>
      <c r="U1151" s="98">
        <v>4.2028830714714527</v>
      </c>
      <c r="V1151" s="106">
        <v>29097.027582749077</v>
      </c>
      <c r="W1151" s="10">
        <v>0.76675003019301968</v>
      </c>
      <c r="X1151" s="420"/>
      <c r="Y1151" s="420"/>
      <c r="Z1151" s="1"/>
      <c r="AA1151" s="1"/>
      <c r="AB1151" s="1"/>
      <c r="AC1151" s="1"/>
      <c r="AD1151" s="1"/>
      <c r="AL1151" s="23"/>
      <c r="AM1151" s="23"/>
    </row>
    <row r="1152" spans="17:39">
      <c r="Q1152" s="6">
        <v>1122</v>
      </c>
      <c r="R1152" s="7">
        <v>43789</v>
      </c>
      <c r="S1152" s="210">
        <v>4.5</v>
      </c>
      <c r="T1152" s="8">
        <v>1.0001249999999999</v>
      </c>
      <c r="U1152" s="98">
        <v>4.2032965902975006</v>
      </c>
      <c r="V1152" s="106">
        <v>29099.530036920532</v>
      </c>
      <c r="W1152" s="10">
        <v>0.76734222669168073</v>
      </c>
      <c r="X1152" s="420"/>
      <c r="Y1152" s="420"/>
      <c r="Z1152" s="1"/>
      <c r="AA1152" s="1"/>
      <c r="AB1152" s="1"/>
      <c r="AC1152" s="1"/>
      <c r="AD1152" s="1"/>
      <c r="AL1152" s="23"/>
      <c r="AM1152" s="23"/>
    </row>
    <row r="1153" spans="17:39">
      <c r="Q1153" s="6">
        <v>1123</v>
      </c>
      <c r="R1153" s="7">
        <v>43790</v>
      </c>
      <c r="S1153" s="210">
        <v>4.5</v>
      </c>
      <c r="T1153" s="8">
        <v>1.0001249999999999</v>
      </c>
      <c r="U1153" s="98">
        <v>4.2037093743063636</v>
      </c>
      <c r="V1153" s="106">
        <v>29102.032706312497</v>
      </c>
      <c r="W1153" s="10">
        <v>0.76793337199259071</v>
      </c>
      <c r="X1153" s="420"/>
      <c r="Y1153" s="420"/>
      <c r="Z1153" s="1"/>
      <c r="AA1153" s="1"/>
      <c r="AB1153" s="1"/>
      <c r="AC1153" s="1"/>
      <c r="AD1153" s="1"/>
      <c r="AL1153" s="23"/>
      <c r="AM1153" s="23"/>
    </row>
    <row r="1154" spans="17:39">
      <c r="Q1154" s="6">
        <v>1124</v>
      </c>
      <c r="R1154" s="7">
        <v>43791</v>
      </c>
      <c r="S1154" s="210">
        <v>4.5</v>
      </c>
      <c r="T1154" s="8">
        <v>1.0001249999999999</v>
      </c>
      <c r="U1154" s="98">
        <v>4.2041214254549208</v>
      </c>
      <c r="V1154" s="106">
        <v>29104.535590943469</v>
      </c>
      <c r="W1154" s="10">
        <v>0.76852346889222378</v>
      </c>
      <c r="X1154" s="420"/>
      <c r="Y1154" s="420"/>
      <c r="Z1154" s="1"/>
      <c r="AA1154" s="1"/>
      <c r="AB1154" s="1"/>
      <c r="AC1154" s="1"/>
      <c r="AD1154" s="1"/>
      <c r="AL1154" s="23"/>
      <c r="AM1154" s="23"/>
    </row>
    <row r="1155" spans="17:39">
      <c r="Q1155" s="6">
        <v>1125</v>
      </c>
      <c r="R1155" s="7">
        <v>43792</v>
      </c>
      <c r="S1155" s="210">
        <v>4.5</v>
      </c>
      <c r="T1155" s="8">
        <v>1.0001249999999999</v>
      </c>
      <c r="U1155" s="98">
        <v>4.2045327456931236</v>
      </c>
      <c r="V1155" s="106">
        <v>29107.038690831967</v>
      </c>
      <c r="W1155" s="10">
        <v>0.76911252017708431</v>
      </c>
      <c r="X1155" s="420"/>
      <c r="Y1155" s="420"/>
      <c r="Z1155" s="1"/>
      <c r="AA1155" s="1"/>
      <c r="AB1155" s="1"/>
      <c r="AC1155" s="1"/>
      <c r="AD1155" s="1"/>
      <c r="AL1155" s="23"/>
      <c r="AM1155" s="23"/>
    </row>
    <row r="1156" spans="17:39">
      <c r="Q1156" s="6">
        <v>1126</v>
      </c>
      <c r="R1156" s="7">
        <v>43793</v>
      </c>
      <c r="S1156" s="210">
        <v>4.5</v>
      </c>
      <c r="T1156" s="8">
        <v>1.0001249999999999</v>
      </c>
      <c r="U1156" s="98">
        <v>4.2049433369640177</v>
      </c>
      <c r="V1156" s="106">
        <v>29109.542005996496</v>
      </c>
      <c r="W1156" s="10">
        <v>0.76970052862386229</v>
      </c>
      <c r="X1156" s="420"/>
      <c r="Y1156" s="420"/>
      <c r="Z1156" s="1"/>
      <c r="AA1156" s="1"/>
      <c r="AB1156" s="1"/>
      <c r="AC1156" s="1"/>
      <c r="AD1156" s="1"/>
      <c r="AL1156" s="23"/>
      <c r="AM1156" s="23"/>
    </row>
    <row r="1157" spans="17:39">
      <c r="Q1157" s="6">
        <v>1127</v>
      </c>
      <c r="R1157" s="7">
        <v>43794</v>
      </c>
      <c r="S1157" s="210">
        <v>4.5</v>
      </c>
      <c r="T1157" s="8">
        <v>1.0001249999999999</v>
      </c>
      <c r="U1157" s="98">
        <v>4.2053532012037653</v>
      </c>
      <c r="V1157" s="106">
        <v>29112.045536455578</v>
      </c>
      <c r="W1157" s="10">
        <v>0.77028749699941113</v>
      </c>
      <c r="X1157" s="420"/>
      <c r="Y1157" s="420"/>
      <c r="Z1157" s="1"/>
      <c r="AA1157" s="1"/>
      <c r="AB1157" s="1"/>
      <c r="AC1157" s="1"/>
      <c r="AD1157" s="1"/>
      <c r="AL1157" s="23"/>
      <c r="AM1157" s="23"/>
    </row>
    <row r="1158" spans="17:39">
      <c r="Q1158" s="6">
        <v>1128</v>
      </c>
      <c r="R1158" s="7">
        <v>43795</v>
      </c>
      <c r="S1158" s="210">
        <v>4.5</v>
      </c>
      <c r="T1158" s="8">
        <v>1.0001249999999999</v>
      </c>
      <c r="U1158" s="98">
        <v>4.2057623403416899</v>
      </c>
      <c r="V1158" s="106">
        <v>29114.54928222773</v>
      </c>
      <c r="W1158" s="10">
        <v>0.77087342806079207</v>
      </c>
      <c r="X1158" s="420"/>
      <c r="Y1158" s="420"/>
      <c r="Z1158" s="1"/>
      <c r="AA1158" s="1"/>
      <c r="AB1158" s="1"/>
      <c r="AC1158" s="1"/>
      <c r="AD1158" s="1"/>
      <c r="AL1158" s="23"/>
      <c r="AM1158" s="23"/>
    </row>
    <row r="1159" spans="17:39">
      <c r="Q1159" s="6">
        <v>1129</v>
      </c>
      <c r="R1159" s="7">
        <v>43796</v>
      </c>
      <c r="S1159" s="210">
        <v>4.5</v>
      </c>
      <c r="T1159" s="8">
        <v>1.0001249999999999</v>
      </c>
      <c r="U1159" s="98">
        <v>4.2061707563002537</v>
      </c>
      <c r="V1159" s="106">
        <v>29117.053243331462</v>
      </c>
      <c r="W1159" s="10">
        <v>0.7714583245553408</v>
      </c>
      <c r="X1159" s="420"/>
      <c r="Y1159" s="420"/>
      <c r="Z1159" s="1"/>
      <c r="AA1159" s="1"/>
      <c r="AB1159" s="1"/>
      <c r="AC1159" s="1"/>
      <c r="AD1159" s="1"/>
      <c r="AL1159" s="23"/>
      <c r="AM1159" s="23"/>
    </row>
    <row r="1160" spans="17:39">
      <c r="Q1160" s="6">
        <v>1130</v>
      </c>
      <c r="R1160" s="7">
        <v>43797</v>
      </c>
      <c r="S1160" s="210">
        <v>4.5</v>
      </c>
      <c r="T1160" s="8">
        <v>1.0001249999999999</v>
      </c>
      <c r="U1160" s="98">
        <v>4.2065784509951909</v>
      </c>
      <c r="V1160" s="106">
        <v>29119.557419785298</v>
      </c>
      <c r="W1160" s="10">
        <v>0.77204218922073409</v>
      </c>
      <c r="X1160" s="420"/>
      <c r="Y1160" s="420"/>
      <c r="Z1160" s="1"/>
      <c r="AA1160" s="1"/>
      <c r="AB1160" s="1"/>
      <c r="AC1160" s="1"/>
      <c r="AD1160" s="1"/>
      <c r="AL1160" s="23"/>
      <c r="AM1160" s="23"/>
    </row>
    <row r="1161" spans="17:39">
      <c r="Q1161" s="6">
        <v>1131</v>
      </c>
      <c r="R1161" s="7">
        <v>43798</v>
      </c>
      <c r="S1161" s="210">
        <v>4.5</v>
      </c>
      <c r="T1161" s="8">
        <v>1.0001249999999999</v>
      </c>
      <c r="U1161" s="98">
        <v>4.2069854263354411</v>
      </c>
      <c r="V1161" s="106">
        <v>29122.06181160776</v>
      </c>
      <c r="W1161" s="10">
        <v>0.77262502478496753</v>
      </c>
      <c r="X1161" s="420"/>
      <c r="Y1161" s="420"/>
      <c r="Z1161" s="1"/>
      <c r="AA1161" s="1"/>
      <c r="AB1161" s="1"/>
      <c r="AC1161" s="1"/>
      <c r="AD1161" s="1"/>
      <c r="AL1161" s="23"/>
      <c r="AM1161" s="23"/>
    </row>
    <row r="1162" spans="17:39">
      <c r="Q1162" s="6">
        <v>1132</v>
      </c>
      <c r="R1162" s="7">
        <v>43799</v>
      </c>
      <c r="S1162" s="210">
        <v>4.5</v>
      </c>
      <c r="T1162" s="8">
        <v>1.0001249999999999</v>
      </c>
      <c r="U1162" s="98">
        <v>4.207391684223194</v>
      </c>
      <c r="V1162" s="106">
        <v>29124.566418817369</v>
      </c>
      <c r="W1162" s="10">
        <v>0.77320683396637779</v>
      </c>
      <c r="X1162" s="420"/>
      <c r="Y1162" s="420"/>
      <c r="Z1162" s="1"/>
      <c r="AA1162" s="1"/>
      <c r="AB1162" s="1"/>
      <c r="AC1162" s="1"/>
      <c r="AD1162" s="1"/>
      <c r="AL1162" s="23"/>
      <c r="AM1162" s="23"/>
    </row>
    <row r="1163" spans="17:39">
      <c r="Q1163" s="6">
        <v>1133</v>
      </c>
      <c r="R1163" s="7">
        <v>43800</v>
      </c>
      <c r="S1163" s="210">
        <v>4.5</v>
      </c>
      <c r="T1163" s="8">
        <v>1.0001249999999999</v>
      </c>
      <c r="U1163" s="98">
        <v>4.2077972265539776</v>
      </c>
      <c r="V1163" s="106">
        <v>29127.071241432652</v>
      </c>
      <c r="W1163" s="10">
        <v>0.77378761947382024</v>
      </c>
      <c r="X1163" s="420"/>
      <c r="Y1163" s="420"/>
      <c r="Z1163" s="1"/>
      <c r="AA1163" s="1"/>
      <c r="AB1163" s="1"/>
      <c r="AC1163" s="1"/>
      <c r="AD1163" s="1"/>
    </row>
    <row r="1164" spans="17:39">
      <c r="Q1164" s="6">
        <v>1134</v>
      </c>
      <c r="R1164" s="7">
        <v>43801</v>
      </c>
      <c r="S1164" s="210">
        <v>4.5</v>
      </c>
      <c r="T1164" s="8">
        <v>1.0001249999999999</v>
      </c>
      <c r="U1164" s="98">
        <v>4.2082020552166144</v>
      </c>
      <c r="V1164" s="106">
        <v>29129.57627947213</v>
      </c>
      <c r="W1164" s="10">
        <v>0.77436738400658012</v>
      </c>
      <c r="X1164" s="420"/>
      <c r="Y1164" s="420"/>
      <c r="Z1164" s="1"/>
      <c r="AA1164" s="1"/>
      <c r="AB1164" s="1"/>
      <c r="AC1164" s="1"/>
      <c r="AD1164" s="1"/>
    </row>
    <row r="1165" spans="17:39">
      <c r="Q1165" s="6">
        <v>1135</v>
      </c>
      <c r="R1165" s="7">
        <v>43802</v>
      </c>
      <c r="S1165" s="210">
        <v>4.5</v>
      </c>
      <c r="T1165" s="8">
        <v>1.0001249999999999</v>
      </c>
      <c r="U1165" s="98">
        <v>4.2086061720933321</v>
      </c>
      <c r="V1165" s="106">
        <v>29132.081532954329</v>
      </c>
      <c r="W1165" s="10">
        <v>0.77494613025450576</v>
      </c>
      <c r="X1165" s="420"/>
      <c r="Y1165" s="420"/>
      <c r="Z1165" s="1"/>
      <c r="AA1165" s="1"/>
      <c r="AB1165" s="1"/>
      <c r="AC1165" s="1"/>
      <c r="AD1165" s="1"/>
    </row>
    <row r="1166" spans="17:39">
      <c r="Q1166" s="6">
        <v>1136</v>
      </c>
      <c r="R1166" s="7">
        <v>43803</v>
      </c>
      <c r="S1166" s="210">
        <v>4.5</v>
      </c>
      <c r="T1166" s="8">
        <v>1.0001249999999999</v>
      </c>
      <c r="U1166" s="98">
        <v>4.2090095790596971</v>
      </c>
      <c r="V1166" s="106">
        <v>29134.587001897788</v>
      </c>
      <c r="W1166" s="10">
        <v>0.7755238608979198</v>
      </c>
      <c r="X1166" s="420"/>
      <c r="Y1166" s="420"/>
      <c r="Z1166" s="1"/>
      <c r="AA1166" s="1"/>
      <c r="AB1166" s="1"/>
      <c r="AC1166" s="1"/>
      <c r="AD1166" s="1"/>
    </row>
    <row r="1167" spans="17:39">
      <c r="Q1167" s="6">
        <v>1137</v>
      </c>
      <c r="R1167" s="7">
        <v>43804</v>
      </c>
      <c r="S1167" s="210">
        <v>4.5</v>
      </c>
      <c r="T1167" s="8">
        <v>1.0001249999999999</v>
      </c>
      <c r="U1167" s="98">
        <v>4.209412277984681</v>
      </c>
      <c r="V1167" s="106">
        <v>29137.092686321022</v>
      </c>
      <c r="W1167" s="10">
        <v>0.776100578607819</v>
      </c>
      <c r="X1167" s="420"/>
      <c r="Y1167" s="420"/>
      <c r="Z1167" s="1"/>
      <c r="AA1167" s="1"/>
      <c r="AB1167" s="1"/>
      <c r="AC1167" s="1"/>
      <c r="AD1167" s="1"/>
    </row>
    <row r="1168" spans="17:39">
      <c r="Q1168" s="6">
        <v>1138</v>
      </c>
      <c r="R1168" s="7">
        <v>43805</v>
      </c>
      <c r="S1168" s="210">
        <v>4.5</v>
      </c>
      <c r="T1168" s="8">
        <v>1.0001249999999999</v>
      </c>
      <c r="U1168" s="98">
        <v>4.2098142707307717</v>
      </c>
      <c r="V1168" s="106">
        <v>29139.59858624258</v>
      </c>
      <c r="W1168" s="10">
        <v>0.77667628604582983</v>
      </c>
      <c r="X1168" s="420"/>
      <c r="Y1168" s="420"/>
      <c r="Z1168" s="1"/>
      <c r="AA1168" s="1"/>
      <c r="AB1168" s="1"/>
      <c r="AC1168" s="1"/>
      <c r="AD1168" s="1"/>
    </row>
    <row r="1169" spans="17:30">
      <c r="Q1169" s="6">
        <v>1139</v>
      </c>
      <c r="R1169" s="7">
        <v>43806</v>
      </c>
      <c r="S1169" s="210">
        <v>4.5</v>
      </c>
      <c r="T1169" s="8">
        <v>1.0001249999999999</v>
      </c>
      <c r="U1169" s="98">
        <v>4.2102155591538626</v>
      </c>
      <c r="V1169" s="106">
        <v>29142.104701680979</v>
      </c>
      <c r="W1169" s="10">
        <v>0.7772509858642529</v>
      </c>
      <c r="X1169" s="420"/>
      <c r="Y1169" s="420"/>
      <c r="Z1169" s="1"/>
      <c r="AA1169" s="1"/>
      <c r="AB1169" s="1"/>
      <c r="AC1169" s="1"/>
      <c r="AD1169" s="1"/>
    </row>
    <row r="1170" spans="17:30">
      <c r="Q1170" s="6">
        <v>1140</v>
      </c>
      <c r="R1170" s="7">
        <v>43807</v>
      </c>
      <c r="S1170" s="210">
        <v>4.5</v>
      </c>
      <c r="T1170" s="8">
        <v>1.0001249999999999</v>
      </c>
      <c r="U1170" s="98">
        <v>4.2106161451033852</v>
      </c>
      <c r="V1170" s="106">
        <v>29144.611032654768</v>
      </c>
      <c r="W1170" s="10">
        <v>0.77782468070608513</v>
      </c>
      <c r="X1170" s="420"/>
      <c r="Y1170" s="420"/>
      <c r="Z1170" s="1"/>
      <c r="AA1170" s="1"/>
      <c r="AB1170" s="1"/>
      <c r="AC1170" s="1"/>
      <c r="AD1170" s="1"/>
    </row>
    <row r="1171" spans="17:30">
      <c r="Q1171" s="6">
        <v>1141</v>
      </c>
      <c r="R1171" s="7">
        <v>43808</v>
      </c>
      <c r="S1171" s="210">
        <v>4.5</v>
      </c>
      <c r="T1171" s="8">
        <v>1.0001249999999999</v>
      </c>
      <c r="U1171" s="98">
        <v>4.2110160304222877</v>
      </c>
      <c r="V1171" s="106">
        <v>29147.117579182479</v>
      </c>
      <c r="W1171" s="10">
        <v>0.77839737320515301</v>
      </c>
      <c r="X1171" s="420"/>
      <c r="Y1171" s="420"/>
      <c r="Z1171" s="1"/>
      <c r="AA1171" s="1"/>
      <c r="AB1171" s="1"/>
      <c r="AC1171" s="1"/>
      <c r="AD1171" s="1"/>
    </row>
    <row r="1172" spans="17:30">
      <c r="Q1172" s="6">
        <v>1142</v>
      </c>
      <c r="R1172" s="7">
        <v>43809</v>
      </c>
      <c r="S1172" s="210">
        <v>4.5</v>
      </c>
      <c r="T1172" s="8">
        <v>1.0001249999999999</v>
      </c>
      <c r="U1172" s="98">
        <v>4.2114152169470787</v>
      </c>
      <c r="V1172" s="106">
        <v>29149.54347462409</v>
      </c>
      <c r="W1172" s="10">
        <v>0.77905842410184167</v>
      </c>
      <c r="X1172" s="420"/>
      <c r="Y1172" s="420"/>
      <c r="Z1172" s="1"/>
      <c r="AA1172" s="1"/>
      <c r="AB1172" s="1"/>
      <c r="AC1172" s="1"/>
      <c r="AD1172" s="1"/>
    </row>
    <row r="1173" spans="17:30">
      <c r="Q1173" s="6">
        <v>1143</v>
      </c>
      <c r="R1173" s="7">
        <v>43810</v>
      </c>
      <c r="S1173" s="210">
        <v>4.5</v>
      </c>
      <c r="T1173" s="8">
        <v>1.0001249999999999</v>
      </c>
      <c r="U1173" s="98">
        <v>4.211813706507872</v>
      </c>
      <c r="V1173" s="106">
        <v>29151.969571971385</v>
      </c>
      <c r="W1173" s="10">
        <v>0.77971832262881957</v>
      </c>
      <c r="X1173" s="420"/>
      <c r="Y1173" s="420"/>
      <c r="Z1173" s="1"/>
      <c r="AA1173" s="1"/>
      <c r="AB1173" s="1"/>
      <c r="AC1173" s="1"/>
      <c r="AD1173" s="1"/>
    </row>
    <row r="1174" spans="17:30">
      <c r="Q1174" s="6">
        <v>1144</v>
      </c>
      <c r="R1174" s="7">
        <v>43811</v>
      </c>
      <c r="S1174" s="210">
        <v>4.5</v>
      </c>
      <c r="T1174" s="8">
        <v>1.0001249999999999</v>
      </c>
      <c r="U1174" s="98">
        <v>4.2122115009283645</v>
      </c>
      <c r="V1174" s="106">
        <v>29154.395871241166</v>
      </c>
      <c r="W1174" s="10">
        <v>0.78037707179674509</v>
      </c>
      <c r="X1174" s="420"/>
      <c r="Y1174" s="420"/>
      <c r="Z1174" s="1"/>
      <c r="AA1174" s="1"/>
      <c r="AB1174" s="1"/>
      <c r="AC1174" s="1"/>
      <c r="AD1174" s="1"/>
    </row>
    <row r="1175" spans="17:30">
      <c r="Q1175" s="6">
        <v>1145</v>
      </c>
      <c r="R1175" s="7">
        <v>43812</v>
      </c>
      <c r="S1175" s="210">
        <v>4.5</v>
      </c>
      <c r="T1175" s="8">
        <v>1.0001249999999999</v>
      </c>
      <c r="U1175" s="98">
        <v>4.2126086020259246</v>
      </c>
      <c r="V1175" s="106">
        <v>29156.822372450246</v>
      </c>
      <c r="W1175" s="10">
        <v>0.78103467460572951</v>
      </c>
      <c r="X1175" s="420"/>
      <c r="Y1175" s="420"/>
      <c r="Z1175" s="1"/>
      <c r="AA1175" s="1"/>
      <c r="AB1175" s="1"/>
      <c r="AC1175" s="1"/>
      <c r="AD1175" s="1"/>
    </row>
    <row r="1176" spans="17:30">
      <c r="Q1176" s="6">
        <v>1146</v>
      </c>
      <c r="R1176" s="7">
        <v>43813</v>
      </c>
      <c r="S1176" s="210">
        <v>4.5</v>
      </c>
      <c r="T1176" s="8">
        <v>1.0001249999999999</v>
      </c>
      <c r="U1176" s="98">
        <v>4.2130050116115703</v>
      </c>
      <c r="V1176" s="106">
        <v>29159.249075615422</v>
      </c>
      <c r="W1176" s="10">
        <v>0.78169113404555901</v>
      </c>
      <c r="X1176" s="420"/>
      <c r="Y1176" s="420"/>
      <c r="Z1176" s="1"/>
      <c r="AA1176" s="1"/>
      <c r="AB1176" s="1"/>
      <c r="AC1176" s="1"/>
      <c r="AD1176" s="1"/>
    </row>
    <row r="1177" spans="17:30">
      <c r="Q1177" s="6">
        <v>1147</v>
      </c>
      <c r="R1177" s="7">
        <v>43814</v>
      </c>
      <c r="S1177" s="210">
        <v>4.5</v>
      </c>
      <c r="T1177" s="8">
        <v>1.0001249999999999</v>
      </c>
      <c r="U1177" s="98">
        <v>4.2134007314900135</v>
      </c>
      <c r="V1177" s="106">
        <v>29161.675980753513</v>
      </c>
      <c r="W1177" s="10">
        <v>0.78234645309551709</v>
      </c>
      <c r="X1177" s="420"/>
      <c r="Y1177" s="420"/>
      <c r="Z1177" s="1"/>
      <c r="AA1177" s="1"/>
      <c r="AB1177" s="1"/>
      <c r="AC1177" s="1"/>
      <c r="AD1177" s="1"/>
    </row>
    <row r="1178" spans="17:30">
      <c r="Q1178" s="6">
        <v>1148</v>
      </c>
      <c r="R1178" s="7">
        <v>43815</v>
      </c>
      <c r="S1178" s="210">
        <v>4.5</v>
      </c>
      <c r="T1178" s="8">
        <v>1.0001249999999999</v>
      </c>
      <c r="U1178" s="98">
        <v>4.2137957634597045</v>
      </c>
      <c r="V1178" s="106">
        <v>29164.103087881318</v>
      </c>
      <c r="W1178" s="10">
        <v>0.78300063472467318</v>
      </c>
      <c r="X1178" s="420"/>
      <c r="Y1178" s="420"/>
      <c r="Z1178" s="1"/>
      <c r="AA1178" s="1"/>
      <c r="AB1178" s="1"/>
      <c r="AC1178" s="1"/>
      <c r="AD1178" s="1"/>
    </row>
    <row r="1179" spans="17:30">
      <c r="Q1179" s="6">
        <v>1149</v>
      </c>
      <c r="R1179" s="7">
        <v>43816</v>
      </c>
      <c r="S1179" s="210">
        <v>4.5</v>
      </c>
      <c r="T1179" s="8">
        <v>1.0001249999999999</v>
      </c>
      <c r="U1179" s="98">
        <v>4.2141901093128764</v>
      </c>
      <c r="V1179" s="106">
        <v>29166.530397015656</v>
      </c>
      <c r="W1179" s="10">
        <v>0.78365368189172724</v>
      </c>
      <c r="X1179" s="420"/>
      <c r="Y1179" s="420"/>
      <c r="Z1179" s="1"/>
      <c r="AA1179" s="1"/>
      <c r="AB1179" s="1"/>
      <c r="AC1179" s="1"/>
      <c r="AD1179" s="1"/>
    </row>
    <row r="1180" spans="17:30">
      <c r="Q1180" s="6">
        <v>1150</v>
      </c>
      <c r="R1180" s="7">
        <v>43817</v>
      </c>
      <c r="S1180" s="210">
        <v>4.5</v>
      </c>
      <c r="T1180" s="8">
        <v>1.0001249999999999</v>
      </c>
      <c r="U1180" s="98">
        <v>4.2145837708354783</v>
      </c>
      <c r="V1180" s="106">
        <v>29168.957908173335</v>
      </c>
      <c r="W1180" s="10">
        <v>0.78430559754509854</v>
      </c>
      <c r="X1180" s="420"/>
      <c r="Y1180" s="420"/>
      <c r="Z1180" s="1"/>
      <c r="AA1180" s="1"/>
      <c r="AB1180" s="1"/>
      <c r="AC1180" s="1"/>
      <c r="AD1180" s="1"/>
    </row>
    <row r="1181" spans="17:30">
      <c r="Q1181" s="6">
        <v>1151</v>
      </c>
      <c r="R1181" s="7">
        <v>43818</v>
      </c>
      <c r="S1181" s="210">
        <v>4.5</v>
      </c>
      <c r="T1181" s="8">
        <v>1.0001249999999999</v>
      </c>
      <c r="U1181" s="98">
        <v>4.2149767498073087</v>
      </c>
      <c r="V1181" s="106">
        <v>29171.385621371177</v>
      </c>
      <c r="W1181" s="10">
        <v>0.78495638462303674</v>
      </c>
      <c r="X1181" s="420"/>
      <c r="Y1181" s="420"/>
      <c r="Z1181" s="1"/>
      <c r="AA1181" s="1"/>
      <c r="AB1181" s="1"/>
      <c r="AC1181" s="1"/>
      <c r="AD1181" s="1"/>
    </row>
    <row r="1182" spans="17:30">
      <c r="Q1182" s="6">
        <v>1152</v>
      </c>
      <c r="R1182" s="7">
        <v>43819</v>
      </c>
      <c r="S1182" s="210">
        <v>4.5</v>
      </c>
      <c r="T1182" s="8">
        <v>1.0001249999999999</v>
      </c>
      <c r="U1182" s="98">
        <v>4.2153690480019934</v>
      </c>
      <c r="V1182" s="106">
        <v>29173.813536625996</v>
      </c>
      <c r="W1182" s="10">
        <v>0.78560604605366624</v>
      </c>
      <c r="X1182" s="420"/>
      <c r="Y1182" s="420"/>
      <c r="Z1182" s="1"/>
      <c r="AA1182" s="1"/>
      <c r="AB1182" s="1"/>
      <c r="AC1182" s="1"/>
      <c r="AD1182" s="1"/>
    </row>
    <row r="1183" spans="17:30">
      <c r="Q1183" s="6">
        <v>1153</v>
      </c>
      <c r="R1183" s="7">
        <v>43820</v>
      </c>
      <c r="S1183" s="210">
        <v>4.5</v>
      </c>
      <c r="T1183" s="8">
        <v>1.0001249999999999</v>
      </c>
      <c r="U1183" s="98">
        <v>4.2157606671870296</v>
      </c>
      <c r="V1183" s="106">
        <v>29176.241653954596</v>
      </c>
      <c r="W1183" s="10">
        <v>0.78625458475491961</v>
      </c>
      <c r="X1183" s="420"/>
      <c r="Y1183" s="420"/>
      <c r="Z1183" s="1"/>
      <c r="AA1183" s="1"/>
      <c r="AB1183" s="1"/>
      <c r="AC1183" s="1"/>
      <c r="AD1183" s="1"/>
    </row>
    <row r="1184" spans="17:30">
      <c r="Q1184" s="6">
        <v>1154</v>
      </c>
      <c r="R1184" s="7">
        <v>43821</v>
      </c>
      <c r="S1184" s="210">
        <v>4.5</v>
      </c>
      <c r="T1184" s="8">
        <v>1.0001249999999999</v>
      </c>
      <c r="U1184" s="98">
        <v>4.2161516091237639</v>
      </c>
      <c r="V1184" s="106">
        <v>29178.669973373817</v>
      </c>
      <c r="W1184" s="10">
        <v>0.78690200363467078</v>
      </c>
      <c r="X1184" s="420"/>
      <c r="Y1184" s="420"/>
      <c r="Z1184" s="1"/>
      <c r="AA1184" s="1"/>
      <c r="AB1184" s="1"/>
      <c r="AC1184" s="1"/>
      <c r="AD1184" s="1"/>
    </row>
    <row r="1185" spans="17:30">
      <c r="Q1185" s="6">
        <v>1155</v>
      </c>
      <c r="R1185" s="7">
        <v>43822</v>
      </c>
      <c r="S1185" s="210">
        <v>4.5</v>
      </c>
      <c r="T1185" s="8">
        <v>1.0001249999999999</v>
      </c>
      <c r="U1185" s="98">
        <v>4.2165418755674811</v>
      </c>
      <c r="V1185" s="106">
        <v>29181.09849490046</v>
      </c>
      <c r="W1185" s="10">
        <v>0.78754830559080169</v>
      </c>
      <c r="X1185" s="420"/>
      <c r="Y1185" s="420"/>
      <c r="Z1185" s="1"/>
      <c r="AA1185" s="1"/>
      <c r="AB1185" s="1"/>
      <c r="AC1185" s="1"/>
      <c r="AD1185" s="1"/>
    </row>
    <row r="1186" spans="17:30">
      <c r="Q1186" s="6">
        <v>1156</v>
      </c>
      <c r="R1186" s="7">
        <v>43823</v>
      </c>
      <c r="S1186" s="210">
        <v>4.5</v>
      </c>
      <c r="T1186" s="8">
        <v>1.0001249999999999</v>
      </c>
      <c r="U1186" s="98">
        <v>4.2169314682674042</v>
      </c>
      <c r="V1186" s="106">
        <v>29183.527218551357</v>
      </c>
      <c r="W1186" s="10">
        <v>0.78819349351113566</v>
      </c>
      <c r="X1186" s="420"/>
      <c r="Y1186" s="420"/>
      <c r="Z1186" s="1"/>
      <c r="AA1186" s="1"/>
      <c r="AB1186" s="1"/>
      <c r="AC1186" s="1"/>
      <c r="AD1186" s="1"/>
    </row>
    <row r="1187" spans="17:30">
      <c r="Q1187" s="6">
        <v>1157</v>
      </c>
      <c r="R1187" s="7">
        <v>43824</v>
      </c>
      <c r="S1187" s="210">
        <v>4.5</v>
      </c>
      <c r="T1187" s="8">
        <v>1.0001249999999999</v>
      </c>
      <c r="U1187" s="98">
        <v>4.2173203889667388</v>
      </c>
      <c r="V1187" s="106">
        <v>29185.956144343327</v>
      </c>
      <c r="W1187" s="10">
        <v>0.78883757027363721</v>
      </c>
      <c r="X1187" s="420"/>
      <c r="Y1187" s="420"/>
      <c r="Z1187" s="1"/>
      <c r="AA1187" s="1"/>
      <c r="AB1187" s="1"/>
      <c r="AC1187" s="1"/>
      <c r="AD1187" s="1"/>
    </row>
    <row r="1188" spans="17:30">
      <c r="Q1188" s="6">
        <v>1158</v>
      </c>
      <c r="R1188" s="7">
        <v>43825</v>
      </c>
      <c r="S1188" s="210">
        <v>4.5</v>
      </c>
      <c r="T1188" s="8">
        <v>1.0001249999999999</v>
      </c>
      <c r="U1188" s="98">
        <v>4.2177086394026508</v>
      </c>
      <c r="V1188" s="106">
        <v>29188.385272293188</v>
      </c>
      <c r="W1188" s="10">
        <v>0.78948053874627888</v>
      </c>
      <c r="X1188" s="420"/>
      <c r="Y1188" s="420"/>
      <c r="Z1188" s="1"/>
      <c r="AA1188" s="1"/>
      <c r="AB1188" s="1"/>
      <c r="AC1188" s="1"/>
      <c r="AD1188" s="1"/>
    </row>
    <row r="1189" spans="17:30">
      <c r="Q1189" s="6">
        <v>1159</v>
      </c>
      <c r="R1189" s="7">
        <v>43826</v>
      </c>
      <c r="S1189" s="210">
        <v>4.5</v>
      </c>
      <c r="T1189" s="8">
        <v>1.0001249999999999</v>
      </c>
      <c r="U1189" s="98">
        <v>4.2180962213063333</v>
      </c>
      <c r="V1189" s="106">
        <v>29190.814602417784</v>
      </c>
      <c r="W1189" s="10">
        <v>0.79012240178721882</v>
      </c>
      <c r="X1189" s="420"/>
      <c r="Y1189" s="420"/>
      <c r="Z1189" s="1"/>
      <c r="AA1189" s="1"/>
      <c r="AB1189" s="1"/>
      <c r="AC1189" s="1"/>
      <c r="AD1189" s="1"/>
    </row>
    <row r="1190" spans="17:30">
      <c r="Q1190" s="6">
        <v>1160</v>
      </c>
      <c r="R1190" s="7">
        <v>43827</v>
      </c>
      <c r="S1190" s="210">
        <v>4.5</v>
      </c>
      <c r="T1190" s="8">
        <v>1.0001249999999999</v>
      </c>
      <c r="U1190" s="98">
        <v>4.2184831364030284</v>
      </c>
      <c r="V1190" s="106">
        <v>29193.244134733923</v>
      </c>
      <c r="W1190" s="10">
        <v>0.79076316224477861</v>
      </c>
      <c r="X1190" s="420"/>
      <c r="Y1190" s="420"/>
      <c r="Z1190" s="1"/>
      <c r="AA1190" s="1"/>
      <c r="AB1190" s="1"/>
      <c r="AC1190" s="1"/>
      <c r="AD1190" s="1"/>
    </row>
    <row r="1191" spans="17:30">
      <c r="Q1191" s="6">
        <v>1161</v>
      </c>
      <c r="R1191" s="7">
        <v>43828</v>
      </c>
      <c r="S1191" s="210">
        <v>4.5</v>
      </c>
      <c r="T1191" s="8">
        <v>1.0001249999999999</v>
      </c>
      <c r="U1191" s="98">
        <v>4.2188693864120497</v>
      </c>
      <c r="V1191" s="106">
        <v>29195.67386925844</v>
      </c>
      <c r="W1191" s="10">
        <v>0.79140282295753206</v>
      </c>
      <c r="X1191" s="420"/>
      <c r="Y1191" s="420"/>
      <c r="Z1191" s="1"/>
      <c r="AA1191" s="1"/>
      <c r="AB1191" s="1"/>
      <c r="AC1191" s="1"/>
      <c r="AD1191" s="1"/>
    </row>
    <row r="1192" spans="17:30">
      <c r="Q1192" s="6">
        <v>1162</v>
      </c>
      <c r="R1192" s="7">
        <v>43829</v>
      </c>
      <c r="S1192" s="210">
        <v>4.5</v>
      </c>
      <c r="T1192" s="8">
        <v>1.0001249999999999</v>
      </c>
      <c r="U1192" s="98">
        <v>4.2192549730468043</v>
      </c>
      <c r="V1192" s="106">
        <v>29198.103806008159</v>
      </c>
      <c r="W1192" s="10">
        <v>0.79204138675428304</v>
      </c>
      <c r="X1192" s="420"/>
      <c r="Y1192" s="420"/>
      <c r="Z1192" s="1"/>
      <c r="AA1192" s="1"/>
      <c r="AB1192" s="1"/>
      <c r="AC1192" s="1"/>
      <c r="AD1192" s="1"/>
    </row>
    <row r="1193" spans="17:30">
      <c r="Q1193" s="6">
        <v>1163</v>
      </c>
      <c r="R1193" s="7">
        <v>43830</v>
      </c>
      <c r="S1193" s="210">
        <v>4.5</v>
      </c>
      <c r="T1193" s="8">
        <v>1.0001249999999999</v>
      </c>
      <c r="U1193" s="98">
        <v>4.2196398980148153</v>
      </c>
      <c r="V1193" s="106">
        <v>29200.533944999926</v>
      </c>
      <c r="W1193" s="10">
        <v>0.79267885645417646</v>
      </c>
      <c r="X1193" s="420"/>
      <c r="Y1193" s="420"/>
      <c r="Z1193" s="1"/>
      <c r="AA1193" s="1"/>
      <c r="AB1193" s="1"/>
      <c r="AC1193" s="1"/>
      <c r="AD1193" s="1"/>
    </row>
    <row r="1194" spans="17:30">
      <c r="Q1194" s="6">
        <v>1164</v>
      </c>
      <c r="R1194" s="7">
        <v>43831</v>
      </c>
      <c r="S1194" s="210">
        <v>4.5</v>
      </c>
      <c r="T1194" s="8">
        <v>1.0001249999999999</v>
      </c>
      <c r="U1194" s="98">
        <v>4.2200241630177437</v>
      </c>
      <c r="V1194" s="106">
        <v>29202.964286250561</v>
      </c>
      <c r="W1194" s="10">
        <v>0.7933152348666539</v>
      </c>
      <c r="X1194" s="420"/>
      <c r="Y1194" s="420"/>
      <c r="Z1194" s="1"/>
      <c r="AA1194" s="1"/>
      <c r="AB1194" s="1"/>
      <c r="AC1194" s="1"/>
      <c r="AD1194" s="1"/>
    </row>
    <row r="1195" spans="17:30">
      <c r="Q1195" s="6">
        <v>1165</v>
      </c>
      <c r="R1195" s="7">
        <v>43832</v>
      </c>
      <c r="S1195" s="210">
        <v>4.5</v>
      </c>
      <c r="T1195" s="8">
        <v>1.0001249999999999</v>
      </c>
      <c r="U1195" s="98">
        <v>4.2204077697514109</v>
      </c>
      <c r="V1195" s="106">
        <v>29205.394829776906</v>
      </c>
      <c r="W1195" s="10">
        <v>0.79395052479156458</v>
      </c>
      <c r="X1195" s="420"/>
      <c r="Y1195" s="420"/>
      <c r="Z1195" s="1"/>
      <c r="AA1195" s="1"/>
      <c r="AB1195" s="1"/>
      <c r="AC1195" s="1"/>
      <c r="AD1195" s="1"/>
    </row>
    <row r="1196" spans="17:30">
      <c r="Q1196" s="6">
        <v>1166</v>
      </c>
      <c r="R1196" s="7">
        <v>43833</v>
      </c>
      <c r="S1196" s="210">
        <v>4.5</v>
      </c>
      <c r="T1196" s="8">
        <v>1.0001249999999999</v>
      </c>
      <c r="U1196" s="98">
        <v>4.2207907199058647</v>
      </c>
      <c r="V1196" s="106">
        <v>29207.825575595783</v>
      </c>
      <c r="W1196" s="10">
        <v>0.79458472901923205</v>
      </c>
      <c r="X1196" s="420"/>
      <c r="Y1196" s="420"/>
      <c r="Z1196" s="1"/>
      <c r="AA1196" s="1"/>
      <c r="AB1196" s="1"/>
      <c r="AC1196" s="1"/>
      <c r="AD1196" s="1"/>
    </row>
    <row r="1197" spans="17:30">
      <c r="Q1197" s="6">
        <v>1167</v>
      </c>
      <c r="R1197" s="7">
        <v>43834</v>
      </c>
      <c r="S1197" s="210">
        <v>4.5</v>
      </c>
      <c r="T1197" s="8">
        <v>1.0001249999999999</v>
      </c>
      <c r="U1197" s="98">
        <v>4.2211730151653803</v>
      </c>
      <c r="V1197" s="106">
        <v>29210.256523724038</v>
      </c>
      <c r="W1197" s="10">
        <v>0.79521785033043191</v>
      </c>
      <c r="X1197" s="420"/>
      <c r="Y1197" s="420"/>
      <c r="Z1197" s="1"/>
      <c r="AA1197" s="1"/>
      <c r="AB1197" s="1"/>
      <c r="AC1197" s="1"/>
      <c r="AD1197" s="1"/>
    </row>
    <row r="1198" spans="17:30">
      <c r="Q1198" s="6">
        <v>1168</v>
      </c>
      <c r="R1198" s="7">
        <v>43835</v>
      </c>
      <c r="S1198" s="210">
        <v>4.5</v>
      </c>
      <c r="T1198" s="8">
        <v>1.0001249999999999</v>
      </c>
      <c r="U1198" s="98">
        <v>4.2215546572084373</v>
      </c>
      <c r="V1198" s="106">
        <v>29212.687674178516</v>
      </c>
      <c r="W1198" s="10">
        <v>0.79584989149639185</v>
      </c>
      <c r="X1198" s="420"/>
      <c r="Y1198" s="420"/>
      <c r="Z1198" s="1"/>
      <c r="AA1198" s="1"/>
      <c r="AB1198" s="1"/>
      <c r="AC1198" s="1"/>
      <c r="AD1198" s="1"/>
    </row>
    <row r="1199" spans="17:30">
      <c r="Q1199" s="6">
        <v>1169</v>
      </c>
      <c r="R1199" s="7">
        <v>43836</v>
      </c>
      <c r="S1199" s="210">
        <v>4.5</v>
      </c>
      <c r="T1199" s="8">
        <v>1.0001249999999999</v>
      </c>
      <c r="U1199" s="98">
        <v>4.2219356477077863</v>
      </c>
      <c r="V1199" s="106">
        <v>29215.119026976045</v>
      </c>
      <c r="W1199" s="10">
        <v>0.79648085527896928</v>
      </c>
      <c r="X1199" s="420"/>
      <c r="Y1199" s="420"/>
      <c r="Z1199" s="1"/>
      <c r="AA1199" s="1"/>
      <c r="AB1199" s="1"/>
      <c r="AC1199" s="1"/>
      <c r="AD1199" s="1"/>
    </row>
    <row r="1200" spans="17:30">
      <c r="Q1200" s="6">
        <v>1170</v>
      </c>
      <c r="R1200" s="7">
        <v>43837</v>
      </c>
      <c r="S1200" s="210">
        <v>4.5</v>
      </c>
      <c r="T1200" s="8">
        <v>1.0001249999999999</v>
      </c>
      <c r="U1200" s="98">
        <v>4.2223159883304939</v>
      </c>
      <c r="V1200" s="106">
        <v>29217.550582133466</v>
      </c>
      <c r="W1200" s="10">
        <v>0.79711074443056251</v>
      </c>
      <c r="X1200" s="420"/>
      <c r="Y1200" s="420"/>
      <c r="Z1200" s="1"/>
      <c r="AA1200" s="1"/>
      <c r="AB1200" s="1"/>
      <c r="AC1200" s="1"/>
      <c r="AD1200" s="1"/>
    </row>
    <row r="1201" spans="17:30">
      <c r="Q1201" s="6">
        <v>1171</v>
      </c>
      <c r="R1201" s="7">
        <v>43838</v>
      </c>
      <c r="S1201" s="210">
        <v>4.5</v>
      </c>
      <c r="T1201" s="8">
        <v>1.0001249999999999</v>
      </c>
      <c r="U1201" s="98">
        <v>4.2226956807379423</v>
      </c>
      <c r="V1201" s="106">
        <v>29219.982339667626</v>
      </c>
      <c r="W1201" s="10">
        <v>0.79773956169424398</v>
      </c>
      <c r="X1201" s="420"/>
      <c r="Y1201" s="420"/>
      <c r="Z1201" s="1"/>
      <c r="AA1201" s="1"/>
      <c r="AB1201" s="1"/>
      <c r="AC1201" s="1"/>
      <c r="AD1201" s="1"/>
    </row>
    <row r="1202" spans="17:30">
      <c r="Q1202" s="6">
        <v>1172</v>
      </c>
      <c r="R1202" s="7">
        <v>43839</v>
      </c>
      <c r="S1202" s="210">
        <v>4.5</v>
      </c>
      <c r="T1202" s="8">
        <v>1.0001249999999999</v>
      </c>
      <c r="U1202" s="98">
        <v>4.2230747265858515</v>
      </c>
      <c r="V1202" s="106">
        <v>29222.41429959537</v>
      </c>
      <c r="W1202" s="10">
        <v>0.79836730980373805</v>
      </c>
      <c r="X1202" s="420"/>
      <c r="Y1202" s="420"/>
      <c r="Z1202" s="1"/>
      <c r="AA1202" s="1"/>
      <c r="AB1202" s="1"/>
      <c r="AC1202" s="1"/>
      <c r="AD1202" s="1"/>
    </row>
    <row r="1203" spans="17:30">
      <c r="Q1203" s="6">
        <v>1173</v>
      </c>
      <c r="R1203" s="7">
        <v>43840</v>
      </c>
      <c r="S1203" s="210">
        <v>4.5</v>
      </c>
      <c r="T1203" s="8">
        <v>1.0001249999999999</v>
      </c>
      <c r="U1203" s="98">
        <v>4.2234531275243015</v>
      </c>
      <c r="V1203" s="106">
        <v>29224.846461933539</v>
      </c>
      <c r="W1203" s="10">
        <v>0.79899399148346539</v>
      </c>
      <c r="X1203" s="420"/>
      <c r="Y1203" s="420"/>
      <c r="Z1203" s="1"/>
      <c r="AA1203" s="1"/>
      <c r="AB1203" s="1"/>
      <c r="AC1203" s="1"/>
      <c r="AD1203" s="1"/>
    </row>
    <row r="1204" spans="17:30">
      <c r="Q1204" s="6">
        <v>1174</v>
      </c>
      <c r="R1204" s="7">
        <v>43841</v>
      </c>
      <c r="S1204" s="210">
        <v>4.5</v>
      </c>
      <c r="T1204" s="8">
        <v>1.0001249999999999</v>
      </c>
      <c r="U1204" s="98">
        <v>4.2238308851977768</v>
      </c>
      <c r="V1204" s="106">
        <v>29227.278826698981</v>
      </c>
      <c r="W1204" s="10">
        <v>0.79961960944863186</v>
      </c>
      <c r="X1204" s="420"/>
      <c r="Y1204" s="420"/>
      <c r="Z1204" s="1"/>
      <c r="AA1204" s="1"/>
      <c r="AB1204" s="1"/>
      <c r="AC1204" s="1"/>
      <c r="AD1204" s="1"/>
    </row>
    <row r="1205" spans="17:30">
      <c r="Q1205" s="6">
        <v>1175</v>
      </c>
      <c r="R1205" s="7">
        <v>43842</v>
      </c>
      <c r="S1205" s="210">
        <v>4.5</v>
      </c>
      <c r="T1205" s="8">
        <v>1.0001249999999999</v>
      </c>
      <c r="U1205" s="98">
        <v>4.2242080012451444</v>
      </c>
      <c r="V1205" s="106">
        <v>29229.711393908543</v>
      </c>
      <c r="W1205" s="10">
        <v>0.80024416640520624</v>
      </c>
      <c r="X1205" s="420"/>
      <c r="Y1205" s="420"/>
      <c r="Z1205" s="1"/>
      <c r="AA1205" s="1"/>
      <c r="AB1205" s="1"/>
      <c r="AC1205" s="1"/>
      <c r="AD1205" s="1"/>
    </row>
    <row r="1206" spans="17:30">
      <c r="Q1206" s="6">
        <v>1176</v>
      </c>
      <c r="R1206" s="7">
        <v>43843</v>
      </c>
      <c r="S1206" s="210">
        <v>4.5</v>
      </c>
      <c r="T1206" s="8">
        <v>1.0001249999999999</v>
      </c>
      <c r="U1206" s="98">
        <v>4.2245844772997421</v>
      </c>
      <c r="V1206" s="106">
        <v>29232.14416357908</v>
      </c>
      <c r="W1206" s="10">
        <v>0.80086766504994245</v>
      </c>
      <c r="X1206" s="420"/>
      <c r="Y1206" s="420"/>
      <c r="Z1206" s="1"/>
      <c r="AA1206" s="1"/>
      <c r="AB1206" s="1"/>
      <c r="AC1206" s="1"/>
      <c r="AD1206" s="1"/>
    </row>
    <row r="1207" spans="17:30">
      <c r="Q1207" s="6">
        <v>1177</v>
      </c>
      <c r="R1207" s="7">
        <v>43844</v>
      </c>
      <c r="S1207" s="210">
        <v>4.5</v>
      </c>
      <c r="T1207" s="8">
        <v>1.0001249999999999</v>
      </c>
      <c r="U1207" s="98">
        <v>4.2249603149893566</v>
      </c>
      <c r="V1207" s="106">
        <v>29234.577135727432</v>
      </c>
      <c r="W1207" s="10">
        <v>0.80149010807062382</v>
      </c>
      <c r="X1207" s="420"/>
      <c r="Y1207" s="420"/>
      <c r="Z1207" s="1"/>
      <c r="AA1207" s="1"/>
      <c r="AB1207" s="1"/>
      <c r="AC1207" s="1"/>
      <c r="AD1207" s="1"/>
    </row>
    <row r="1208" spans="17:30">
      <c r="Q1208" s="6">
        <v>1178</v>
      </c>
      <c r="R1208" s="7">
        <v>43845</v>
      </c>
      <c r="S1208" s="210">
        <v>4.5</v>
      </c>
      <c r="T1208" s="8">
        <v>1.0001249999999999</v>
      </c>
      <c r="U1208" s="98">
        <v>4.2253355159362682</v>
      </c>
      <c r="V1208" s="106">
        <v>29237.010310370461</v>
      </c>
      <c r="W1208" s="10">
        <v>0.80211149814575222</v>
      </c>
      <c r="X1208" s="420"/>
      <c r="Y1208" s="420"/>
      <c r="Z1208" s="1"/>
      <c r="AA1208" s="1"/>
      <c r="AB1208" s="1"/>
      <c r="AC1208" s="1"/>
      <c r="AD1208" s="1"/>
    </row>
    <row r="1209" spans="17:30">
      <c r="Q1209" s="6">
        <v>1179</v>
      </c>
      <c r="R1209" s="7">
        <v>43846</v>
      </c>
      <c r="S1209" s="210">
        <v>4.5</v>
      </c>
      <c r="T1209" s="8">
        <v>1.0001249999999999</v>
      </c>
      <c r="U1209" s="98">
        <v>4.225710081757228</v>
      </c>
      <c r="V1209" s="106">
        <v>29239.443687525014</v>
      </c>
      <c r="W1209" s="10">
        <v>0.80273183794485892</v>
      </c>
      <c r="X1209" s="420"/>
      <c r="Y1209" s="420"/>
      <c r="Z1209" s="1"/>
      <c r="AA1209" s="1"/>
      <c r="AB1209" s="1"/>
      <c r="AC1209" s="1"/>
      <c r="AD1209" s="1"/>
    </row>
    <row r="1210" spans="17:30">
      <c r="Q1210" s="6">
        <v>1180</v>
      </c>
      <c r="R1210" s="7">
        <v>43847</v>
      </c>
      <c r="S1210" s="210">
        <v>4.5</v>
      </c>
      <c r="T1210" s="8">
        <v>1.0001249999999999</v>
      </c>
      <c r="U1210" s="98">
        <v>4.2260840140635691</v>
      </c>
      <c r="V1210" s="106">
        <v>29241.87726720795</v>
      </c>
      <c r="W1210" s="10">
        <v>0.80335113012846016</v>
      </c>
      <c r="X1210" s="420"/>
      <c r="Y1210" s="420"/>
      <c r="Z1210" s="1"/>
      <c r="AA1210" s="1"/>
      <c r="AB1210" s="1"/>
      <c r="AC1210" s="1"/>
      <c r="AD1210" s="1"/>
    </row>
    <row r="1211" spans="17:30">
      <c r="Q1211" s="6">
        <v>1181</v>
      </c>
      <c r="R1211" s="7">
        <v>43848</v>
      </c>
      <c r="S1211" s="210">
        <v>4.5</v>
      </c>
      <c r="T1211" s="8">
        <v>1.0001249999999999</v>
      </c>
      <c r="U1211" s="98">
        <v>4.2264573144611406</v>
      </c>
      <c r="V1211" s="106">
        <v>29244.311049436121</v>
      </c>
      <c r="W1211" s="10">
        <v>0.80396937734812379</v>
      </c>
      <c r="X1211" s="420"/>
      <c r="Y1211" s="420"/>
      <c r="Z1211" s="1"/>
      <c r="AA1211" s="1"/>
      <c r="AB1211" s="1"/>
      <c r="AC1211" s="1"/>
      <c r="AD1211" s="1"/>
    </row>
    <row r="1212" spans="17:30">
      <c r="Q1212" s="6">
        <v>1182</v>
      </c>
      <c r="R1212" s="7">
        <v>43849</v>
      </c>
      <c r="S1212" s="210">
        <v>4.5</v>
      </c>
      <c r="T1212" s="8">
        <v>1.0001249999999999</v>
      </c>
      <c r="U1212" s="98">
        <v>4.2268299845503954</v>
      </c>
      <c r="V1212" s="106">
        <v>29246.745034226387</v>
      </c>
      <c r="W1212" s="10">
        <v>0.80458658224640267</v>
      </c>
      <c r="X1212" s="420"/>
      <c r="Y1212" s="420"/>
      <c r="Z1212" s="1"/>
      <c r="AA1212" s="1"/>
      <c r="AB1212" s="1"/>
      <c r="AC1212" s="1"/>
      <c r="AD1212" s="1"/>
    </row>
    <row r="1213" spans="17:30">
      <c r="Q1213" s="6">
        <v>1183</v>
      </c>
      <c r="R1213" s="7">
        <v>43850</v>
      </c>
      <c r="S1213" s="210">
        <v>4.5</v>
      </c>
      <c r="T1213" s="8">
        <v>1.0001249999999999</v>
      </c>
      <c r="U1213" s="98">
        <v>4.2272020259263687</v>
      </c>
      <c r="V1213" s="106">
        <v>29249.179221595616</v>
      </c>
      <c r="W1213" s="10">
        <v>0.80520274745701226</v>
      </c>
      <c r="X1213" s="420"/>
      <c r="Y1213" s="420"/>
      <c r="Z1213" s="1"/>
      <c r="AA1213" s="1"/>
      <c r="AB1213" s="1"/>
      <c r="AC1213" s="1"/>
      <c r="AD1213" s="1"/>
    </row>
    <row r="1214" spans="17:30">
      <c r="Q1214" s="6">
        <v>1184</v>
      </c>
      <c r="R1214" s="7">
        <v>43851</v>
      </c>
      <c r="S1214" s="210">
        <v>4.5</v>
      </c>
      <c r="T1214" s="8">
        <v>1.0001249999999999</v>
      </c>
      <c r="U1214" s="98">
        <v>4.2275734401787224</v>
      </c>
      <c r="V1214" s="106">
        <v>29251.61361156065</v>
      </c>
      <c r="W1214" s="10">
        <v>0.80581787560476403</v>
      </c>
      <c r="X1214" s="420"/>
      <c r="Y1214" s="420"/>
      <c r="Z1214" s="1"/>
      <c r="AA1214" s="1"/>
      <c r="AB1214" s="1"/>
      <c r="AC1214" s="1"/>
      <c r="AD1214" s="1"/>
    </row>
    <row r="1215" spans="17:30">
      <c r="Q1215" s="6">
        <v>1185</v>
      </c>
      <c r="R1215" s="7">
        <v>43852</v>
      </c>
      <c r="S1215" s="210">
        <v>4.5</v>
      </c>
      <c r="T1215" s="8">
        <v>1.0001249999999999</v>
      </c>
      <c r="U1215" s="98">
        <v>4.2279442288917668</v>
      </c>
      <c r="V1215" s="106">
        <v>29254.048204138369</v>
      </c>
      <c r="W1215" s="10">
        <v>0.80643196930565431</v>
      </c>
      <c r="X1215" s="420"/>
      <c r="Y1215" s="420"/>
      <c r="Z1215" s="1"/>
      <c r="AA1215" s="1"/>
      <c r="AB1215" s="1"/>
      <c r="AC1215" s="1"/>
      <c r="AD1215" s="1"/>
    </row>
    <row r="1216" spans="17:30">
      <c r="Q1216" s="6">
        <v>1186</v>
      </c>
      <c r="R1216" s="7">
        <v>43853</v>
      </c>
      <c r="S1216" s="210">
        <v>4.5</v>
      </c>
      <c r="T1216" s="8">
        <v>1.0001249999999999</v>
      </c>
      <c r="U1216" s="98">
        <v>4.2283143936444834</v>
      </c>
      <c r="V1216" s="106">
        <v>29256.482999345622</v>
      </c>
      <c r="W1216" s="10">
        <v>0.80704503116688642</v>
      </c>
      <c r="X1216" s="420"/>
      <c r="Y1216" s="420"/>
      <c r="Z1216" s="1"/>
      <c r="AA1216" s="1"/>
      <c r="AB1216" s="1"/>
      <c r="AC1216" s="1"/>
      <c r="AD1216" s="1"/>
    </row>
    <row r="1217" spans="17:30">
      <c r="Q1217" s="6">
        <v>1187</v>
      </c>
      <c r="R1217" s="7">
        <v>43854</v>
      </c>
      <c r="S1217" s="210">
        <v>4.5</v>
      </c>
      <c r="T1217" s="8">
        <v>1.0001249999999999</v>
      </c>
      <c r="U1217" s="98">
        <v>4.2286839360105244</v>
      </c>
      <c r="V1217" s="106">
        <v>29258.917997199285</v>
      </c>
      <c r="W1217" s="10">
        <v>0.80765706378689295</v>
      </c>
      <c r="X1217" s="420"/>
      <c r="Y1217" s="420"/>
      <c r="Z1217" s="1"/>
      <c r="AA1217" s="1"/>
      <c r="AB1217" s="1"/>
      <c r="AC1217" s="1"/>
      <c r="AD1217" s="1"/>
    </row>
    <row r="1218" spans="17:30">
      <c r="Q1218" s="6">
        <v>1188</v>
      </c>
      <c r="R1218" s="7">
        <v>43855</v>
      </c>
      <c r="S1218" s="210">
        <v>4.5</v>
      </c>
      <c r="T1218" s="8">
        <v>1.0001249999999999</v>
      </c>
      <c r="U1218" s="98">
        <v>4.2290528575582798</v>
      </c>
      <c r="V1218" s="106">
        <v>29261.353197716217</v>
      </c>
      <c r="W1218" s="10">
        <v>0.80826806975542453</v>
      </c>
      <c r="X1218" s="420"/>
      <c r="Y1218" s="420"/>
      <c r="Z1218" s="1"/>
      <c r="AA1218" s="1"/>
      <c r="AB1218" s="1"/>
      <c r="AC1218" s="1"/>
      <c r="AD1218" s="1"/>
    </row>
    <row r="1219" spans="17:30">
      <c r="Q1219" s="6">
        <v>1189</v>
      </c>
      <c r="R1219" s="7">
        <v>43856</v>
      </c>
      <c r="S1219" s="210">
        <v>4.5</v>
      </c>
      <c r="T1219" s="8">
        <v>1.0001249999999999</v>
      </c>
      <c r="U1219" s="98">
        <v>4.2294211598508769</v>
      </c>
      <c r="V1219" s="106">
        <v>29263.788600913282</v>
      </c>
      <c r="W1219" s="10">
        <v>0.80887805165357207</v>
      </c>
      <c r="X1219" s="420"/>
      <c r="Y1219" s="420"/>
      <c r="Z1219" s="1"/>
      <c r="AA1219" s="1"/>
      <c r="AB1219" s="1"/>
      <c r="AC1219" s="1"/>
      <c r="AD1219" s="1"/>
    </row>
    <row r="1220" spans="17:30">
      <c r="Q1220" s="6">
        <v>1190</v>
      </c>
      <c r="R1220" s="7">
        <v>43857</v>
      </c>
      <c r="S1220" s="210">
        <v>4.5</v>
      </c>
      <c r="T1220" s="8">
        <v>1.0001249999999999</v>
      </c>
      <c r="U1220" s="98">
        <v>4.2297888444461584</v>
      </c>
      <c r="V1220" s="106">
        <v>29266.224206807365</v>
      </c>
      <c r="W1220" s="10">
        <v>0.8094870120536779</v>
      </c>
      <c r="X1220" s="420"/>
      <c r="Y1220" s="420"/>
      <c r="Z1220" s="1"/>
      <c r="AA1220" s="1"/>
      <c r="AB1220" s="1"/>
      <c r="AC1220" s="1"/>
      <c r="AD1220" s="1"/>
    </row>
    <row r="1221" spans="17:30">
      <c r="Q1221" s="6">
        <v>1191</v>
      </c>
      <c r="R1221" s="7">
        <v>43858</v>
      </c>
      <c r="S1221" s="210">
        <v>4.5</v>
      </c>
      <c r="T1221" s="8">
        <v>1.0001249999999999</v>
      </c>
      <c r="U1221" s="98">
        <v>4.2301559128967936</v>
      </c>
      <c r="V1221" s="106">
        <v>29268.66001541532</v>
      </c>
      <c r="W1221" s="10">
        <v>0.81009495351958005</v>
      </c>
      <c r="X1221" s="420"/>
      <c r="Y1221" s="420"/>
      <c r="Z1221" s="1"/>
      <c r="AA1221" s="1"/>
      <c r="AB1221" s="1"/>
      <c r="AC1221" s="1"/>
      <c r="AD1221" s="1"/>
    </row>
    <row r="1222" spans="17:30">
      <c r="Q1222" s="6">
        <v>1192</v>
      </c>
      <c r="R1222" s="7">
        <v>43859</v>
      </c>
      <c r="S1222" s="210">
        <v>4.5</v>
      </c>
      <c r="T1222" s="8">
        <v>1.0001249999999999</v>
      </c>
      <c r="U1222" s="98">
        <v>4.2305223667502334</v>
      </c>
      <c r="V1222" s="106">
        <v>29271.096026754025</v>
      </c>
      <c r="W1222" s="10">
        <v>0.81070187860650123</v>
      </c>
      <c r="X1222" s="420"/>
      <c r="Y1222" s="420"/>
      <c r="Z1222" s="1"/>
      <c r="AA1222" s="1"/>
      <c r="AB1222" s="1"/>
      <c r="AC1222" s="1"/>
      <c r="AD1222" s="1"/>
    </row>
    <row r="1223" spans="17:30">
      <c r="Q1223" s="6">
        <v>1193</v>
      </c>
      <c r="R1223" s="7">
        <v>43860</v>
      </c>
      <c r="S1223" s="210">
        <v>4.5</v>
      </c>
      <c r="T1223" s="8">
        <v>1.0001249999999999</v>
      </c>
      <c r="U1223" s="98">
        <v>4.2308882075487331</v>
      </c>
      <c r="V1223" s="106">
        <v>29273.532240840352</v>
      </c>
      <c r="W1223" s="10">
        <v>0.8113077898610932</v>
      </c>
      <c r="X1223" s="420"/>
      <c r="Y1223" s="420"/>
      <c r="Z1223" s="1"/>
      <c r="AA1223" s="1"/>
      <c r="AB1223" s="1"/>
      <c r="AC1223" s="1"/>
      <c r="AD1223" s="1"/>
    </row>
    <row r="1224" spans="17:30">
      <c r="Q1224" s="6">
        <v>1194</v>
      </c>
      <c r="R1224" s="7">
        <v>43861</v>
      </c>
      <c r="S1224" s="210">
        <v>4.5</v>
      </c>
      <c r="T1224" s="8">
        <v>1.0001249999999999</v>
      </c>
      <c r="U1224" s="98">
        <v>4.2312534368294408</v>
      </c>
      <c r="V1224" s="106">
        <v>29275.968657691181</v>
      </c>
      <c r="W1224" s="10">
        <v>0.81191268982161446</v>
      </c>
      <c r="X1224" s="420"/>
      <c r="Y1224" s="420"/>
      <c r="Z1224" s="1"/>
      <c r="AA1224" s="1"/>
      <c r="AB1224" s="1"/>
      <c r="AC1224" s="1"/>
      <c r="AD1224" s="1"/>
    </row>
    <row r="1225" spans="17:30">
      <c r="Q1225" s="6">
        <v>1195</v>
      </c>
      <c r="R1225" s="7">
        <v>43862</v>
      </c>
      <c r="S1225" s="210">
        <v>4.5</v>
      </c>
      <c r="T1225" s="8">
        <v>1.0001249999999999</v>
      </c>
      <c r="U1225" s="98">
        <v>4.2316180561243089</v>
      </c>
      <c r="V1225" s="106">
        <v>29278.405277323378</v>
      </c>
      <c r="W1225" s="10">
        <v>0.81251658101773039</v>
      </c>
      <c r="X1225" s="420"/>
      <c r="Y1225" s="420"/>
      <c r="Z1225" s="1"/>
      <c r="AA1225" s="1"/>
      <c r="AB1225" s="1"/>
      <c r="AC1225" s="1"/>
      <c r="AD1225" s="1"/>
    </row>
    <row r="1226" spans="17:30">
      <c r="Q1226" s="6">
        <v>1196</v>
      </c>
      <c r="R1226" s="7">
        <v>43863</v>
      </c>
      <c r="S1226" s="210">
        <v>4.5</v>
      </c>
      <c r="T1226" s="8">
        <v>1.0001249999999999</v>
      </c>
      <c r="U1226" s="98">
        <v>4.2319820669602271</v>
      </c>
      <c r="V1226" s="106">
        <v>29280.842099753831</v>
      </c>
      <c r="W1226" s="10">
        <v>0.81311946597075746</v>
      </c>
      <c r="X1226" s="420"/>
      <c r="Y1226" s="420"/>
      <c r="Z1226" s="1"/>
      <c r="AA1226" s="1"/>
      <c r="AB1226" s="1"/>
      <c r="AC1226" s="1"/>
      <c r="AD1226" s="1"/>
    </row>
    <row r="1227" spans="17:30">
      <c r="Q1227" s="6">
        <v>1197</v>
      </c>
      <c r="R1227" s="7">
        <v>43864</v>
      </c>
      <c r="S1227" s="210">
        <v>4.5</v>
      </c>
      <c r="T1227" s="8">
        <v>1.0001249999999999</v>
      </c>
      <c r="U1227" s="98">
        <v>4.2323454708589558</v>
      </c>
      <c r="V1227" s="106">
        <v>29283.279124999408</v>
      </c>
      <c r="W1227" s="10">
        <v>0.81372134719357447</v>
      </c>
      <c r="X1227" s="420"/>
      <c r="Y1227" s="420"/>
      <c r="Z1227" s="1"/>
      <c r="AA1227" s="1"/>
      <c r="AB1227" s="1"/>
      <c r="AC1227" s="1"/>
      <c r="AD1227" s="1"/>
    </row>
    <row r="1228" spans="17:30">
      <c r="Q1228" s="6">
        <v>1198</v>
      </c>
      <c r="R1228" s="7">
        <v>43865</v>
      </c>
      <c r="S1228" s="210">
        <v>4.5</v>
      </c>
      <c r="T1228" s="8">
        <v>1.0001249999999999</v>
      </c>
      <c r="U1228" s="98">
        <v>4.2327082693372153</v>
      </c>
      <c r="V1228" s="106">
        <v>29285.716353076994</v>
      </c>
      <c r="W1228" s="10">
        <v>0.81432222719075575</v>
      </c>
      <c r="X1228" s="420"/>
      <c r="Y1228" s="420"/>
      <c r="Z1228" s="1"/>
      <c r="AA1228" s="1"/>
      <c r="AB1228" s="1"/>
      <c r="AC1228" s="1"/>
      <c r="AD1228" s="1"/>
    </row>
    <row r="1229" spans="17:30">
      <c r="Q1229" s="6">
        <v>1199</v>
      </c>
      <c r="R1229" s="7">
        <v>43866</v>
      </c>
      <c r="S1229" s="210">
        <v>4.5</v>
      </c>
      <c r="T1229" s="8">
        <v>1.0001249999999999</v>
      </c>
      <c r="U1229" s="98">
        <v>4.233070463906663</v>
      </c>
      <c r="V1229" s="106">
        <v>29288.15378400348</v>
      </c>
      <c r="W1229" s="10">
        <v>0.81492210845848234</v>
      </c>
      <c r="X1229" s="420"/>
      <c r="Y1229" s="420"/>
      <c r="Z1229" s="1"/>
      <c r="AA1229" s="1"/>
      <c r="AB1229" s="1"/>
      <c r="AC1229" s="1"/>
      <c r="AD1229" s="1"/>
    </row>
    <row r="1230" spans="17:30">
      <c r="Q1230" s="6">
        <v>1200</v>
      </c>
      <c r="R1230" s="7">
        <v>43867</v>
      </c>
      <c r="S1230" s="210">
        <v>4.5</v>
      </c>
      <c r="T1230" s="8">
        <v>1.0001249999999999</v>
      </c>
      <c r="U1230" s="98">
        <v>4.233432056073938</v>
      </c>
      <c r="V1230" s="106">
        <v>29290.591417795735</v>
      </c>
      <c r="W1230" s="10">
        <v>0.81552099348469742</v>
      </c>
      <c r="X1230" s="420"/>
      <c r="Y1230" s="420"/>
      <c r="Z1230" s="1"/>
      <c r="AA1230" s="1"/>
      <c r="AB1230" s="1"/>
      <c r="AC1230" s="1"/>
      <c r="AD1230" s="1"/>
    </row>
    <row r="1231" spans="17:30">
      <c r="Q1231" s="6">
        <v>1201</v>
      </c>
      <c r="R1231" s="7">
        <v>43868</v>
      </c>
      <c r="S1231" s="210">
        <v>4.5</v>
      </c>
      <c r="T1231" s="8">
        <v>1.0001249999999999</v>
      </c>
      <c r="U1231" s="98">
        <v>4.2337930473406393</v>
      </c>
      <c r="V1231" s="106">
        <v>29293.029254470646</v>
      </c>
      <c r="W1231" s="10">
        <v>0.81611888474903971</v>
      </c>
      <c r="X1231" s="420"/>
      <c r="Y1231" s="420"/>
      <c r="Z1231" s="1"/>
      <c r="AA1231" s="1"/>
      <c r="AB1231" s="1"/>
      <c r="AC1231" s="1"/>
      <c r="AD1231" s="1"/>
    </row>
    <row r="1232" spans="17:30">
      <c r="Q1232" s="6">
        <v>1202</v>
      </c>
      <c r="R1232" s="7">
        <v>43869</v>
      </c>
      <c r="S1232" s="210">
        <v>4.5</v>
      </c>
      <c r="T1232" s="8">
        <v>1.0001249999999999</v>
      </c>
      <c r="U1232" s="98">
        <v>4.2341534392034141</v>
      </c>
      <c r="V1232" s="106">
        <v>29295.467294045106</v>
      </c>
      <c r="W1232" s="10">
        <v>0.81671578472295447</v>
      </c>
      <c r="X1232" s="420"/>
      <c r="Y1232" s="420"/>
      <c r="Z1232" s="1"/>
      <c r="AA1232" s="1"/>
      <c r="AB1232" s="1"/>
      <c r="AC1232" s="1"/>
      <c r="AD1232" s="1"/>
    </row>
    <row r="1233" spans="17:30">
      <c r="Q1233" s="6">
        <v>1203</v>
      </c>
      <c r="R1233" s="7">
        <v>43870</v>
      </c>
      <c r="S1233" s="210">
        <v>4.5</v>
      </c>
      <c r="T1233" s="8">
        <v>1.0001249999999999</v>
      </c>
      <c r="U1233" s="98">
        <v>4.2345132331539359</v>
      </c>
      <c r="V1233" s="106">
        <v>29297.905536535993</v>
      </c>
      <c r="W1233" s="10">
        <v>0.81731169586971575</v>
      </c>
      <c r="X1233" s="420"/>
      <c r="Y1233" s="420"/>
      <c r="Z1233" s="1"/>
      <c r="AA1233" s="1"/>
      <c r="AB1233" s="1"/>
      <c r="AC1233" s="1"/>
      <c r="AD1233" s="1"/>
    </row>
    <row r="1234" spans="17:30">
      <c r="Q1234" s="6">
        <v>1204</v>
      </c>
      <c r="R1234" s="7">
        <v>43871</v>
      </c>
      <c r="S1234" s="210">
        <v>4.5</v>
      </c>
      <c r="T1234" s="8">
        <v>1.0001249999999999</v>
      </c>
      <c r="U1234" s="98">
        <v>4.2348724306789265</v>
      </c>
      <c r="V1234" s="106">
        <v>29300.512158090878</v>
      </c>
      <c r="W1234" s="10">
        <v>0.81773119460191168</v>
      </c>
      <c r="X1234" s="420"/>
      <c r="Y1234" s="420"/>
      <c r="Z1234" s="1"/>
      <c r="AA1234" s="1"/>
      <c r="AB1234" s="1"/>
      <c r="AC1234" s="1"/>
      <c r="AD1234" s="1"/>
    </row>
    <row r="1235" spans="17:30">
      <c r="Q1235" s="6">
        <v>1205</v>
      </c>
      <c r="R1235" s="7">
        <v>43872</v>
      </c>
      <c r="S1235" s="210">
        <v>4.5</v>
      </c>
      <c r="T1235" s="8">
        <v>1.0001249999999999</v>
      </c>
      <c r="U1235" s="98">
        <v>4.2352310332602006</v>
      </c>
      <c r="V1235" s="106">
        <v>29303.119011555718</v>
      </c>
      <c r="W1235" s="10">
        <v>0.81814999881184569</v>
      </c>
      <c r="X1235" s="420"/>
      <c r="Y1235" s="420"/>
      <c r="Z1235" s="1"/>
      <c r="AA1235" s="1"/>
      <c r="AB1235" s="1"/>
      <c r="AC1235" s="1"/>
      <c r="AD1235" s="1"/>
    </row>
    <row r="1236" spans="17:30">
      <c r="Q1236" s="6">
        <v>1206</v>
      </c>
      <c r="R1236" s="7">
        <v>43873</v>
      </c>
      <c r="S1236" s="210">
        <v>4.5</v>
      </c>
      <c r="T1236" s="8">
        <v>1.0001249999999999</v>
      </c>
      <c r="U1236" s="98">
        <v>4.2355890423746212</v>
      </c>
      <c r="V1236" s="106">
        <v>29305.726096951141</v>
      </c>
      <c r="W1236" s="10">
        <v>0.81856811022282816</v>
      </c>
      <c r="X1236" s="420"/>
      <c r="Y1236" s="420"/>
      <c r="Z1236" s="1"/>
      <c r="AA1236" s="1"/>
      <c r="AB1236" s="1"/>
      <c r="AC1236" s="1"/>
      <c r="AD1236" s="1"/>
    </row>
    <row r="1237" spans="17:30">
      <c r="Q1237" s="6">
        <v>1207</v>
      </c>
      <c r="R1237" s="7">
        <v>43874</v>
      </c>
      <c r="S1237" s="210">
        <v>4.5</v>
      </c>
      <c r="T1237" s="8">
        <v>1.0001249999999999</v>
      </c>
      <c r="U1237" s="98">
        <v>4.2359464594942331</v>
      </c>
      <c r="V1237" s="106">
        <v>29308.333414297795</v>
      </c>
      <c r="W1237" s="10">
        <v>0.81898553055255174</v>
      </c>
      <c r="X1237" s="420"/>
      <c r="Y1237" s="420"/>
      <c r="Z1237" s="1"/>
      <c r="AA1237" s="1"/>
      <c r="AB1237" s="1"/>
      <c r="AC1237" s="1"/>
      <c r="AD1237" s="1"/>
    </row>
    <row r="1238" spans="17:30">
      <c r="Q1238" s="6">
        <v>1208</v>
      </c>
      <c r="R1238" s="7">
        <v>43875</v>
      </c>
      <c r="S1238" s="210">
        <v>4.5</v>
      </c>
      <c r="T1238" s="8">
        <v>1.0001249999999999</v>
      </c>
      <c r="U1238" s="98">
        <v>4.2363032860861516</v>
      </c>
      <c r="V1238" s="106">
        <v>29310.9409636163</v>
      </c>
      <c r="W1238" s="10">
        <v>0.81940226151295814</v>
      </c>
      <c r="X1238" s="420"/>
      <c r="Y1238" s="420"/>
      <c r="Z1238" s="1"/>
      <c r="AA1238" s="1"/>
      <c r="AB1238" s="1"/>
      <c r="AC1238" s="1"/>
      <c r="AD1238" s="1"/>
    </row>
    <row r="1239" spans="17:30">
      <c r="Q1239" s="6">
        <v>1209</v>
      </c>
      <c r="R1239" s="7">
        <v>43876</v>
      </c>
      <c r="S1239" s="210">
        <v>4.5</v>
      </c>
      <c r="T1239" s="8">
        <v>1.0001249999999999</v>
      </c>
      <c r="U1239" s="98">
        <v>4.2366595236126958</v>
      </c>
      <c r="V1239" s="106">
        <v>29313.548744927302</v>
      </c>
      <c r="W1239" s="10">
        <v>0.81981830481039353</v>
      </c>
      <c r="X1239" s="420"/>
      <c r="Y1239" s="420"/>
      <c r="Z1239" s="1"/>
      <c r="AA1239" s="1"/>
      <c r="AB1239" s="1"/>
      <c r="AC1239" s="1"/>
      <c r="AD1239" s="1"/>
    </row>
    <row r="1240" spans="17:30">
      <c r="Q1240" s="6">
        <v>1210</v>
      </c>
      <c r="R1240" s="7">
        <v>43877</v>
      </c>
      <c r="S1240" s="210">
        <v>4.5</v>
      </c>
      <c r="T1240" s="8">
        <v>1.0001249999999999</v>
      </c>
      <c r="U1240" s="98">
        <v>4.2370151735313444</v>
      </c>
      <c r="V1240" s="106">
        <v>29316.15675825144</v>
      </c>
      <c r="W1240" s="10">
        <v>0.82023366214556415</v>
      </c>
      <c r="X1240" s="420"/>
      <c r="Y1240" s="420"/>
      <c r="Z1240" s="1"/>
      <c r="AA1240" s="1"/>
      <c r="AB1240" s="1"/>
      <c r="AC1240" s="1"/>
      <c r="AD1240" s="1"/>
    </row>
    <row r="1241" spans="17:30">
      <c r="Q1241" s="6">
        <v>1211</v>
      </c>
      <c r="R1241" s="7">
        <v>43878</v>
      </c>
      <c r="S1241" s="210">
        <v>4.5</v>
      </c>
      <c r="T1241" s="8">
        <v>1.0001249999999999</v>
      </c>
      <c r="U1241" s="98">
        <v>4.2373702372947575</v>
      </c>
      <c r="V1241" s="106">
        <v>29318.765003609358</v>
      </c>
      <c r="W1241" s="10">
        <v>0.82064833521355851</v>
      </c>
      <c r="X1241" s="420"/>
      <c r="Y1241" s="420"/>
      <c r="Z1241" s="1"/>
      <c r="AA1241" s="1"/>
      <c r="AB1241" s="1"/>
      <c r="AC1241" s="1"/>
      <c r="AD1241" s="1"/>
    </row>
    <row r="1242" spans="17:30">
      <c r="Q1242" s="6">
        <v>1212</v>
      </c>
      <c r="R1242" s="7">
        <v>43879</v>
      </c>
      <c r="S1242" s="210">
        <v>4.5</v>
      </c>
      <c r="T1242" s="8">
        <v>1.0001249999999999</v>
      </c>
      <c r="U1242" s="98">
        <v>4.2377247163508436</v>
      </c>
      <c r="V1242" s="106">
        <v>29321.373481021703</v>
      </c>
      <c r="W1242" s="10">
        <v>0.82106232570389182</v>
      </c>
      <c r="X1242" s="420"/>
      <c r="Y1242" s="420"/>
      <c r="Z1242" s="1"/>
      <c r="AA1242" s="1"/>
      <c r="AB1242" s="1"/>
      <c r="AC1242" s="1"/>
      <c r="AD1242" s="1"/>
    </row>
    <row r="1243" spans="17:30">
      <c r="Q1243" s="6">
        <v>1213</v>
      </c>
      <c r="R1243" s="7">
        <v>43880</v>
      </c>
      <c r="S1243" s="210">
        <v>4.5</v>
      </c>
      <c r="T1243" s="8">
        <v>1.0001249999999999</v>
      </c>
      <c r="U1243" s="98">
        <v>4.238078612142715</v>
      </c>
      <c r="V1243" s="106">
        <v>29323.982190509119</v>
      </c>
      <c r="W1243" s="10">
        <v>0.82147563530050594</v>
      </c>
      <c r="X1243" s="420"/>
      <c r="Y1243" s="420"/>
      <c r="Z1243" s="1"/>
      <c r="AA1243" s="1"/>
      <c r="AB1243" s="1"/>
      <c r="AC1243" s="1"/>
      <c r="AD1243" s="1"/>
    </row>
    <row r="1244" spans="17:30">
      <c r="Q1244" s="6">
        <v>1214</v>
      </c>
      <c r="R1244" s="7">
        <v>43881</v>
      </c>
      <c r="S1244" s="210">
        <v>4.5</v>
      </c>
      <c r="T1244" s="8">
        <v>1.0001249999999999</v>
      </c>
      <c r="U1244" s="98">
        <v>4.2384319261087544</v>
      </c>
      <c r="V1244" s="106">
        <v>29326.591132092246</v>
      </c>
      <c r="W1244" s="10">
        <v>0.82188826568185824</v>
      </c>
      <c r="X1244" s="420"/>
      <c r="Y1244" s="420"/>
      <c r="Z1244" s="1"/>
      <c r="AA1244" s="1"/>
      <c r="AB1244" s="1"/>
      <c r="AC1244" s="1"/>
      <c r="AD1244" s="1"/>
    </row>
    <row r="1245" spans="17:30">
      <c r="Q1245" s="6">
        <v>1215</v>
      </c>
      <c r="R1245" s="7">
        <v>43882</v>
      </c>
      <c r="S1245" s="210">
        <v>4.5</v>
      </c>
      <c r="T1245" s="8">
        <v>1.0001249999999999</v>
      </c>
      <c r="U1245" s="98">
        <v>4.2387846596826151</v>
      </c>
      <c r="V1245" s="106">
        <v>29329.200305791743</v>
      </c>
      <c r="W1245" s="10">
        <v>0.82230021852081059</v>
      </c>
      <c r="X1245" s="420"/>
      <c r="Y1245" s="420"/>
      <c r="Z1245" s="1"/>
      <c r="AA1245" s="1"/>
      <c r="AB1245" s="1"/>
      <c r="AC1245" s="1"/>
      <c r="AD1245" s="1"/>
    </row>
    <row r="1246" spans="17:30">
      <c r="Q1246" s="6">
        <v>1216</v>
      </c>
      <c r="R1246" s="7">
        <v>43883</v>
      </c>
      <c r="S1246" s="210">
        <v>4.5</v>
      </c>
      <c r="T1246" s="8">
        <v>1.0001249999999999</v>
      </c>
      <c r="U1246" s="98">
        <v>4.2391368142932651</v>
      </c>
      <c r="V1246" s="106">
        <v>29331.809711628255</v>
      </c>
      <c r="W1246" s="10">
        <v>0.82271149548487355</v>
      </c>
      <c r="X1246" s="420"/>
      <c r="Y1246" s="420"/>
      <c r="Z1246" s="1"/>
      <c r="AA1246" s="1"/>
      <c r="AB1246" s="1"/>
      <c r="AC1246" s="1"/>
      <c r="AD1246" s="1"/>
    </row>
    <row r="1247" spans="17:30">
      <c r="Q1247" s="6">
        <v>1217</v>
      </c>
      <c r="R1247" s="7">
        <v>43884</v>
      </c>
      <c r="S1247" s="210">
        <v>4.5</v>
      </c>
      <c r="T1247" s="8">
        <v>1.0001249999999999</v>
      </c>
      <c r="U1247" s="98">
        <v>4.2394883913649428</v>
      </c>
      <c r="V1247" s="106">
        <v>29334.419349622436</v>
      </c>
      <c r="W1247" s="10">
        <v>0.82312209823591775</v>
      </c>
      <c r="X1247" s="420"/>
      <c r="Y1247" s="420"/>
      <c r="Z1247" s="1"/>
      <c r="AA1247" s="1"/>
      <c r="AB1247" s="1"/>
      <c r="AC1247" s="1"/>
      <c r="AD1247" s="1"/>
    </row>
    <row r="1248" spans="17:30">
      <c r="Q1248" s="6">
        <v>1218</v>
      </c>
      <c r="R1248" s="7">
        <v>43885</v>
      </c>
      <c r="S1248" s="210">
        <v>4.5</v>
      </c>
      <c r="T1248" s="8">
        <v>1.0001249999999999</v>
      </c>
      <c r="U1248" s="98">
        <v>4.2398393923172462</v>
      </c>
      <c r="V1248" s="106">
        <v>29337.029219794946</v>
      </c>
      <c r="W1248" s="10">
        <v>0.82353202843048479</v>
      </c>
      <c r="X1248" s="420"/>
      <c r="Y1248" s="420"/>
      <c r="Z1248" s="1"/>
      <c r="AA1248" s="1"/>
      <c r="AB1248" s="1"/>
      <c r="AC1248" s="1"/>
      <c r="AD1248" s="1"/>
    </row>
    <row r="1249" spans="17:30">
      <c r="Q1249" s="6">
        <v>1219</v>
      </c>
      <c r="R1249" s="7">
        <v>43886</v>
      </c>
      <c r="S1249" s="210">
        <v>4.5</v>
      </c>
      <c r="T1249" s="8">
        <v>1.0001249999999999</v>
      </c>
      <c r="U1249" s="98">
        <v>4.2401898185651099</v>
      </c>
      <c r="V1249" s="106">
        <v>29339.639322166429</v>
      </c>
      <c r="W1249" s="10">
        <v>0.82394128771965391</v>
      </c>
      <c r="X1249" s="420"/>
      <c r="Y1249" s="420"/>
      <c r="Z1249" s="1"/>
      <c r="AA1249" s="1"/>
      <c r="AB1249" s="1"/>
      <c r="AC1249" s="1"/>
      <c r="AD1249" s="1"/>
    </row>
    <row r="1250" spans="17:30">
      <c r="Q1250" s="6">
        <v>1220</v>
      </c>
      <c r="R1250" s="7">
        <v>43887</v>
      </c>
      <c r="S1250" s="210">
        <v>4.5</v>
      </c>
      <c r="T1250" s="8">
        <v>1.0001249999999999</v>
      </c>
      <c r="U1250" s="98">
        <v>4.2405396715188504</v>
      </c>
      <c r="V1250" s="106">
        <v>29342.249656757562</v>
      </c>
      <c r="W1250" s="10">
        <v>0.82434987774913093</v>
      </c>
      <c r="X1250" s="420"/>
      <c r="Y1250" s="420"/>
      <c r="Z1250" s="1"/>
      <c r="AA1250" s="1"/>
      <c r="AB1250" s="1"/>
      <c r="AC1250" s="1"/>
      <c r="AD1250" s="1"/>
    </row>
    <row r="1251" spans="17:30">
      <c r="Q1251" s="6">
        <v>1221</v>
      </c>
      <c r="R1251" s="7">
        <v>43888</v>
      </c>
      <c r="S1251" s="210">
        <v>4.5</v>
      </c>
      <c r="T1251" s="8">
        <v>1.0001249999999999</v>
      </c>
      <c r="U1251" s="98">
        <v>4.2408889525841875</v>
      </c>
      <c r="V1251" s="106">
        <v>29344.860223588999</v>
      </c>
      <c r="W1251" s="10">
        <v>0.82475780015922595</v>
      </c>
      <c r="X1251" s="420"/>
      <c r="Y1251" s="420"/>
      <c r="Z1251" s="1"/>
      <c r="AA1251" s="1"/>
      <c r="AB1251" s="1"/>
      <c r="AC1251" s="1"/>
      <c r="AD1251" s="1"/>
    </row>
    <row r="1252" spans="17:30">
      <c r="Q1252" s="6">
        <v>1222</v>
      </c>
      <c r="R1252" s="7">
        <v>43889</v>
      </c>
      <c r="S1252" s="210">
        <v>4.5</v>
      </c>
      <c r="T1252" s="8">
        <v>1.0001249999999999</v>
      </c>
      <c r="U1252" s="98">
        <v>4.2412376631622228</v>
      </c>
      <c r="V1252" s="106">
        <v>29347.471022681391</v>
      </c>
      <c r="W1252" s="10">
        <v>0.8251650565848756</v>
      </c>
      <c r="X1252" s="420"/>
      <c r="Y1252" s="420"/>
      <c r="Z1252" s="1"/>
      <c r="AA1252" s="1"/>
      <c r="AB1252" s="1"/>
      <c r="AC1252" s="1"/>
      <c r="AD1252" s="1"/>
    </row>
    <row r="1253" spans="17:30">
      <c r="Q1253" s="6">
        <v>1223</v>
      </c>
      <c r="R1253" s="7">
        <v>43890</v>
      </c>
      <c r="S1253" s="210">
        <v>4.5</v>
      </c>
      <c r="T1253" s="8">
        <v>1.0001249999999999</v>
      </c>
      <c r="U1253" s="98">
        <v>4.2415858046495059</v>
      </c>
      <c r="V1253" s="106">
        <v>29350.082054055416</v>
      </c>
      <c r="W1253" s="10">
        <v>0.82557164865570964</v>
      </c>
      <c r="X1253" s="420"/>
      <c r="Y1253" s="420"/>
      <c r="Z1253" s="1"/>
      <c r="AA1253" s="1"/>
      <c r="AB1253" s="1"/>
      <c r="AC1253" s="1"/>
      <c r="AD1253" s="1"/>
    </row>
    <row r="1254" spans="17:30">
      <c r="Q1254" s="6">
        <v>1224</v>
      </c>
      <c r="R1254" s="7">
        <v>43891</v>
      </c>
      <c r="S1254" s="210">
        <v>4.5</v>
      </c>
      <c r="T1254" s="8">
        <v>1.0001249999999999</v>
      </c>
      <c r="U1254" s="98">
        <v>4.241933378438012</v>
      </c>
      <c r="V1254" s="106">
        <v>29352.693317731733</v>
      </c>
      <c r="W1254" s="10">
        <v>0.82597757799607319</v>
      </c>
      <c r="X1254" s="420"/>
      <c r="Y1254" s="420"/>
      <c r="Z1254" s="1"/>
      <c r="AA1254" s="1"/>
      <c r="AB1254" s="1"/>
      <c r="AC1254" s="1"/>
      <c r="AD1254" s="1"/>
    </row>
    <row r="1255" spans="17:30">
      <c r="Q1255" s="6">
        <v>1225</v>
      </c>
      <c r="R1255" s="7">
        <v>43892</v>
      </c>
      <c r="S1255" s="210">
        <v>4.5</v>
      </c>
      <c r="T1255" s="8">
        <v>1.0001249999999999</v>
      </c>
      <c r="U1255" s="98">
        <v>4.242280385915187</v>
      </c>
      <c r="V1255" s="106">
        <v>29355.304813731014</v>
      </c>
      <c r="W1255" s="10">
        <v>0.82638284622491565</v>
      </c>
      <c r="X1255" s="420"/>
      <c r="Y1255" s="420"/>
      <c r="Z1255" s="1"/>
      <c r="AA1255" s="1"/>
      <c r="AB1255" s="1"/>
      <c r="AC1255" s="1"/>
      <c r="AD1255" s="1"/>
    </row>
    <row r="1256" spans="17:30">
      <c r="Q1256" s="6">
        <v>1226</v>
      </c>
      <c r="R1256" s="7">
        <v>43893</v>
      </c>
      <c r="S1256" s="210">
        <v>4.5</v>
      </c>
      <c r="T1256" s="8">
        <v>1.0001249999999999</v>
      </c>
      <c r="U1256" s="98">
        <v>4.242626828463969</v>
      </c>
      <c r="V1256" s="106">
        <v>29357.916542073926</v>
      </c>
      <c r="W1256" s="10">
        <v>0.82678745495603501</v>
      </c>
      <c r="X1256" s="420"/>
      <c r="Y1256" s="420"/>
      <c r="Z1256" s="1"/>
      <c r="AA1256" s="1"/>
      <c r="AB1256" s="1"/>
      <c r="AC1256" s="1"/>
      <c r="AD1256" s="1"/>
    </row>
    <row r="1257" spans="17:30">
      <c r="Q1257" s="6">
        <v>1227</v>
      </c>
      <c r="R1257" s="7">
        <v>43894</v>
      </c>
      <c r="S1257" s="210">
        <v>4.5</v>
      </c>
      <c r="T1257" s="8">
        <v>1.0001249999999999</v>
      </c>
      <c r="U1257" s="98">
        <v>4.2429727074627888</v>
      </c>
      <c r="V1257" s="106">
        <v>29360.528502781141</v>
      </c>
      <c r="W1257" s="10">
        <v>0.82719140579792239</v>
      </c>
      <c r="X1257" s="420"/>
      <c r="Y1257" s="420"/>
      <c r="Z1257" s="1"/>
      <c r="AA1257" s="1"/>
      <c r="AB1257" s="1"/>
      <c r="AC1257" s="1"/>
      <c r="AD1257" s="1"/>
    </row>
    <row r="1258" spans="17:30">
      <c r="Q1258" s="6">
        <v>1228</v>
      </c>
      <c r="R1258" s="7">
        <v>43895</v>
      </c>
      <c r="S1258" s="210">
        <v>4.5</v>
      </c>
      <c r="T1258" s="8">
        <v>1.0001249999999999</v>
      </c>
      <c r="U1258" s="98">
        <v>4.2433180242855917</v>
      </c>
      <c r="V1258" s="106">
        <v>29363.140695873328</v>
      </c>
      <c r="W1258" s="10">
        <v>0.82759470035382865</v>
      </c>
      <c r="X1258" s="420"/>
      <c r="Y1258" s="420"/>
      <c r="Z1258" s="1"/>
      <c r="AA1258" s="1"/>
      <c r="AB1258" s="1"/>
      <c r="AC1258" s="1"/>
      <c r="AD1258" s="1"/>
    </row>
    <row r="1259" spans="17:30">
      <c r="Q1259" s="6">
        <v>1229</v>
      </c>
      <c r="R1259" s="7">
        <v>43896</v>
      </c>
      <c r="S1259" s="210">
        <v>4.5</v>
      </c>
      <c r="T1259" s="8">
        <v>1.0001249999999999</v>
      </c>
      <c r="U1259" s="98">
        <v>4.2436627803018601</v>
      </c>
      <c r="V1259" s="106">
        <v>29365.75312137117</v>
      </c>
      <c r="W1259" s="10">
        <v>0.82799734022185323</v>
      </c>
      <c r="X1259" s="420"/>
      <c r="Y1259" s="420"/>
      <c r="Z1259" s="1"/>
      <c r="AA1259" s="1"/>
      <c r="AB1259" s="1"/>
      <c r="AC1259" s="1"/>
      <c r="AD1259" s="1"/>
    </row>
    <row r="1260" spans="17:30">
      <c r="Q1260" s="6">
        <v>1230</v>
      </c>
      <c r="R1260" s="7">
        <v>43897</v>
      </c>
      <c r="S1260" s="210">
        <v>4.5</v>
      </c>
      <c r="T1260" s="8">
        <v>1.0001249999999999</v>
      </c>
      <c r="U1260" s="98">
        <v>4.2440069768766575</v>
      </c>
      <c r="V1260" s="106">
        <v>29368.365779295338</v>
      </c>
      <c r="W1260" s="10">
        <v>0.82839932699487751</v>
      </c>
      <c r="X1260" s="420"/>
      <c r="Y1260" s="420"/>
      <c r="Z1260" s="1"/>
      <c r="AA1260" s="1"/>
      <c r="AB1260" s="1"/>
      <c r="AC1260" s="1"/>
      <c r="AD1260" s="1"/>
    </row>
    <row r="1261" spans="17:30">
      <c r="Q1261" s="6">
        <v>1231</v>
      </c>
      <c r="R1261" s="7">
        <v>43898</v>
      </c>
      <c r="S1261" s="210">
        <v>4.5</v>
      </c>
      <c r="T1261" s="8">
        <v>1.0001249999999999</v>
      </c>
      <c r="U1261" s="98">
        <v>4.2443506153705846</v>
      </c>
      <c r="V1261" s="106">
        <v>29370.978669666514</v>
      </c>
      <c r="W1261" s="10">
        <v>0.82880066226058702</v>
      </c>
      <c r="X1261" s="420"/>
      <c r="Y1261" s="420"/>
      <c r="Z1261" s="1"/>
      <c r="AA1261" s="1"/>
      <c r="AB1261" s="1"/>
      <c r="AC1261" s="1"/>
      <c r="AD1261" s="1"/>
    </row>
    <row r="1262" spans="17:30">
      <c r="Q1262" s="6">
        <v>1232</v>
      </c>
      <c r="R1262" s="7">
        <v>43899</v>
      </c>
      <c r="S1262" s="210">
        <v>4.5</v>
      </c>
      <c r="T1262" s="8">
        <v>1.0001249999999999</v>
      </c>
      <c r="U1262" s="98">
        <v>4.2446936971398452</v>
      </c>
      <c r="V1262" s="106">
        <v>29373.59179250538</v>
      </c>
      <c r="W1262" s="10">
        <v>0.82920134760158248</v>
      </c>
      <c r="X1262" s="420"/>
      <c r="Y1262" s="420"/>
      <c r="Z1262" s="1"/>
      <c r="AA1262" s="1"/>
      <c r="AB1262" s="1"/>
      <c r="AC1262" s="1"/>
      <c r="AD1262" s="1"/>
    </row>
    <row r="1263" spans="17:30">
      <c r="Q1263" s="6">
        <v>1233</v>
      </c>
      <c r="R1263" s="7">
        <v>43900</v>
      </c>
      <c r="S1263" s="210">
        <v>4.5</v>
      </c>
      <c r="T1263" s="8">
        <v>1.0001249999999999</v>
      </c>
      <c r="U1263" s="98">
        <v>4.2450362235362693</v>
      </c>
      <c r="V1263" s="106">
        <v>29376.036537246935</v>
      </c>
      <c r="W1263" s="10">
        <v>0.8297727048053094</v>
      </c>
      <c r="X1263" s="420"/>
      <c r="Y1263" s="420"/>
      <c r="Z1263" s="1"/>
      <c r="AA1263" s="1"/>
      <c r="AB1263" s="1"/>
      <c r="AC1263" s="1"/>
      <c r="AD1263" s="1"/>
    </row>
    <row r="1264" spans="17:30">
      <c r="Q1264" s="6">
        <v>1234</v>
      </c>
      <c r="R1264" s="7">
        <v>43901</v>
      </c>
      <c r="S1264" s="210">
        <v>4.5</v>
      </c>
      <c r="T1264" s="8">
        <v>1.0001249999999999</v>
      </c>
      <c r="U1264" s="98">
        <v>4.24537819590729</v>
      </c>
      <c r="V1264" s="106">
        <v>29378.481485462988</v>
      </c>
      <c r="W1264" s="10">
        <v>0.83034313921415137</v>
      </c>
      <c r="X1264" s="420"/>
      <c r="Y1264" s="420"/>
      <c r="Z1264" s="1"/>
      <c r="AA1264" s="1"/>
      <c r="AB1264" s="1"/>
      <c r="AC1264" s="1"/>
      <c r="AD1264" s="1"/>
    </row>
    <row r="1265" spans="17:30">
      <c r="Q1265" s="6">
        <v>1235</v>
      </c>
      <c r="R1265" s="7">
        <v>43902</v>
      </c>
      <c r="S1265" s="210">
        <v>4.5</v>
      </c>
      <c r="T1265" s="8">
        <v>1.0001249999999999</v>
      </c>
      <c r="U1265" s="98">
        <v>4.2457196155960109</v>
      </c>
      <c r="V1265" s="106">
        <v>29380.926637170473</v>
      </c>
      <c r="W1265" s="10">
        <v>0.83091265306192152</v>
      </c>
      <c r="X1265" s="420"/>
      <c r="Y1265" s="420"/>
      <c r="Z1265" s="1"/>
      <c r="AA1265" s="1"/>
      <c r="AB1265" s="1"/>
      <c r="AC1265" s="1"/>
      <c r="AD1265" s="1"/>
    </row>
    <row r="1266" spans="17:30">
      <c r="Q1266" s="6">
        <v>1236</v>
      </c>
      <c r="R1266" s="7">
        <v>43903</v>
      </c>
      <c r="S1266" s="210">
        <v>4.5</v>
      </c>
      <c r="T1266" s="8">
        <v>1.0001249999999999</v>
      </c>
      <c r="U1266" s="98">
        <v>4.2460604839411831</v>
      </c>
      <c r="V1266" s="106">
        <v>29383.371992386335</v>
      </c>
      <c r="W1266" s="10">
        <v>0.83148124857519434</v>
      </c>
      <c r="X1266" s="420"/>
      <c r="Y1266" s="420"/>
      <c r="Z1266" s="1"/>
      <c r="AA1266" s="1"/>
      <c r="AB1266" s="1"/>
      <c r="AC1266" s="1"/>
      <c r="AD1266" s="1"/>
    </row>
    <row r="1267" spans="17:30">
      <c r="Q1267" s="6">
        <v>1237</v>
      </c>
      <c r="R1267" s="7">
        <v>43904</v>
      </c>
      <c r="S1267" s="210">
        <v>4.5</v>
      </c>
      <c r="T1267" s="8">
        <v>1.0001249999999999</v>
      </c>
      <c r="U1267" s="98">
        <v>4.2464008022772282</v>
      </c>
      <c r="V1267" s="106">
        <v>29385.817551127497</v>
      </c>
      <c r="W1267" s="10">
        <v>0.83204892797339447</v>
      </c>
      <c r="X1267" s="420"/>
      <c r="Y1267" s="420"/>
      <c r="Z1267" s="1"/>
      <c r="AA1267" s="1"/>
      <c r="AB1267" s="1"/>
      <c r="AC1267" s="1"/>
      <c r="AD1267" s="1"/>
    </row>
    <row r="1268" spans="17:30">
      <c r="Q1268" s="6">
        <v>1238</v>
      </c>
      <c r="R1268" s="7">
        <v>43905</v>
      </c>
      <c r="S1268" s="210">
        <v>4.5</v>
      </c>
      <c r="T1268" s="8">
        <v>1.0001249999999999</v>
      </c>
      <c r="U1268" s="98">
        <v>4.2467405719342821</v>
      </c>
      <c r="V1268" s="106">
        <v>29388.263313410909</v>
      </c>
      <c r="W1268" s="10">
        <v>0.8326156934687523</v>
      </c>
      <c r="X1268" s="420"/>
      <c r="Y1268" s="420"/>
      <c r="Z1268" s="1"/>
      <c r="AA1268" s="1"/>
      <c r="AB1268" s="1"/>
      <c r="AC1268" s="1"/>
      <c r="AD1268" s="1"/>
    </row>
    <row r="1269" spans="17:30">
      <c r="Q1269" s="6">
        <v>1239</v>
      </c>
      <c r="R1269" s="7">
        <v>43906</v>
      </c>
      <c r="S1269" s="210">
        <v>4.5</v>
      </c>
      <c r="T1269" s="8">
        <v>1.0001249999999999</v>
      </c>
      <c r="U1269" s="98">
        <v>4.2470797942381955</v>
      </c>
      <c r="V1269" s="106">
        <v>29390.709279253508</v>
      </c>
      <c r="W1269" s="10">
        <v>0.83318154726643723</v>
      </c>
      <c r="X1269" s="420"/>
      <c r="Y1269" s="420"/>
      <c r="Z1269" s="1"/>
      <c r="AA1269" s="1"/>
      <c r="AB1269" s="1"/>
      <c r="AC1269" s="1"/>
      <c r="AD1269" s="1"/>
    </row>
    <row r="1270" spans="17:30">
      <c r="Q1270" s="6">
        <v>1240</v>
      </c>
      <c r="R1270" s="7">
        <v>43907</v>
      </c>
      <c r="S1270" s="210">
        <v>4.5</v>
      </c>
      <c r="T1270" s="8">
        <v>1.0001249999999999</v>
      </c>
      <c r="U1270" s="98">
        <v>4.2474184705105333</v>
      </c>
      <c r="V1270" s="106">
        <v>29393.155448672234</v>
      </c>
      <c r="W1270" s="10">
        <v>0.83374649156451319</v>
      </c>
      <c r="X1270" s="420"/>
      <c r="Y1270" s="420"/>
      <c r="Z1270" s="1"/>
      <c r="AA1270" s="1"/>
      <c r="AB1270" s="1"/>
      <c r="AC1270" s="1"/>
      <c r="AD1270" s="1"/>
    </row>
    <row r="1271" spans="17:30">
      <c r="Q1271" s="6">
        <v>1241</v>
      </c>
      <c r="R1271" s="7">
        <v>43908</v>
      </c>
      <c r="S1271" s="210">
        <v>4.5</v>
      </c>
      <c r="T1271" s="8">
        <v>1.0001249999999999</v>
      </c>
      <c r="U1271" s="98">
        <v>4.2477566020686197</v>
      </c>
      <c r="V1271" s="106">
        <v>29395.601821684035</v>
      </c>
      <c r="W1271" s="10">
        <v>0.83431052855393872</v>
      </c>
      <c r="X1271" s="420"/>
      <c r="Y1271" s="420"/>
      <c r="Z1271" s="1"/>
      <c r="AA1271" s="1"/>
      <c r="AB1271" s="1"/>
      <c r="AC1271" s="1"/>
      <c r="AD1271" s="1"/>
    </row>
    <row r="1272" spans="17:30">
      <c r="Q1272" s="6">
        <v>1242</v>
      </c>
      <c r="R1272" s="7">
        <v>43909</v>
      </c>
      <c r="S1272" s="210">
        <v>4.5</v>
      </c>
      <c r="T1272" s="8">
        <v>1.0001249999999999</v>
      </c>
      <c r="U1272" s="98">
        <v>4.2480941902255376</v>
      </c>
      <c r="V1272" s="106">
        <v>29398.048398305855</v>
      </c>
      <c r="W1272" s="10">
        <v>0.83487366041870015</v>
      </c>
      <c r="X1272" s="420"/>
      <c r="Y1272" s="420"/>
      <c r="Z1272" s="1"/>
      <c r="AA1272" s="1"/>
      <c r="AB1272" s="1"/>
      <c r="AC1272" s="1"/>
      <c r="AD1272" s="1"/>
    </row>
    <row r="1273" spans="17:30">
      <c r="Q1273" s="6">
        <v>1243</v>
      </c>
      <c r="R1273" s="7">
        <v>43910</v>
      </c>
      <c r="S1273" s="210">
        <v>4.5</v>
      </c>
      <c r="T1273" s="8">
        <v>1.0001249999999999</v>
      </c>
      <c r="U1273" s="98">
        <v>4.2484312362901511</v>
      </c>
      <c r="V1273" s="106">
        <v>29400.495178554644</v>
      </c>
      <c r="W1273" s="10">
        <v>0.83543588933572277</v>
      </c>
      <c r="X1273" s="420"/>
      <c r="Y1273" s="420"/>
      <c r="Z1273" s="1"/>
      <c r="AA1273" s="1"/>
      <c r="AB1273" s="1"/>
      <c r="AC1273" s="1"/>
      <c r="AD1273" s="1"/>
    </row>
    <row r="1274" spans="17:30">
      <c r="Q1274" s="6">
        <v>1244</v>
      </c>
      <c r="R1274" s="7">
        <v>43911</v>
      </c>
      <c r="S1274" s="210">
        <v>4.5</v>
      </c>
      <c r="T1274" s="8">
        <v>1.0001249999999999</v>
      </c>
      <c r="U1274" s="98">
        <v>4.2487677415671499</v>
      </c>
      <c r="V1274" s="106">
        <v>29402.942162447333</v>
      </c>
      <c r="W1274" s="10">
        <v>0.83599721747504852</v>
      </c>
      <c r="X1274" s="420"/>
      <c r="Y1274" s="420"/>
      <c r="Z1274" s="1"/>
      <c r="AA1274" s="1"/>
      <c r="AB1274" s="1"/>
      <c r="AC1274" s="1"/>
      <c r="AD1274" s="1"/>
    </row>
    <row r="1275" spans="17:30">
      <c r="Q1275" s="6">
        <v>1245</v>
      </c>
      <c r="R1275" s="7">
        <v>43912</v>
      </c>
      <c r="S1275" s="210">
        <v>4.5</v>
      </c>
      <c r="T1275" s="8">
        <v>1.0001249999999999</v>
      </c>
      <c r="U1275" s="98">
        <v>4.249103707357027</v>
      </c>
      <c r="V1275" s="106">
        <v>29405.389350000896</v>
      </c>
      <c r="W1275" s="10">
        <v>0.83655764699968049</v>
      </c>
      <c r="X1275" s="420"/>
      <c r="Y1275" s="420"/>
      <c r="Z1275" s="1"/>
      <c r="AA1275" s="1"/>
      <c r="AB1275" s="1"/>
      <c r="AC1275" s="1"/>
      <c r="AD1275" s="1"/>
    </row>
    <row r="1276" spans="17:30">
      <c r="Q1276" s="6">
        <v>1246</v>
      </c>
      <c r="R1276" s="7">
        <v>43913</v>
      </c>
      <c r="S1276" s="210">
        <v>4.5</v>
      </c>
      <c r="T1276" s="8">
        <v>1.0001249999999999</v>
      </c>
      <c r="U1276" s="98">
        <v>4.2494391349560789</v>
      </c>
      <c r="V1276" s="106">
        <v>29407.836741232262</v>
      </c>
      <c r="W1276" s="10">
        <v>0.83711718006571623</v>
      </c>
      <c r="X1276" s="420"/>
      <c r="Y1276" s="420"/>
      <c r="Z1276" s="1"/>
      <c r="AA1276" s="1"/>
      <c r="AB1276" s="1"/>
      <c r="AC1276" s="1"/>
      <c r="AD1276" s="1"/>
    </row>
    <row r="1277" spans="17:30">
      <c r="Q1277" s="6">
        <v>1247</v>
      </c>
      <c r="R1277" s="7">
        <v>43914</v>
      </c>
      <c r="S1277" s="210">
        <v>4.5</v>
      </c>
      <c r="T1277" s="8">
        <v>1.0001249999999999</v>
      </c>
      <c r="U1277" s="98">
        <v>4.2497740256564942</v>
      </c>
      <c r="V1277" s="106">
        <v>29410.284336158398</v>
      </c>
      <c r="W1277" s="10">
        <v>0.83767581882241426</v>
      </c>
      <c r="X1277" s="420"/>
      <c r="Y1277" s="420"/>
      <c r="Z1277" s="1"/>
      <c r="AA1277" s="1"/>
      <c r="AB1277" s="1"/>
      <c r="AC1277" s="1"/>
      <c r="AD1277" s="1"/>
    </row>
    <row r="1278" spans="17:30">
      <c r="Q1278" s="6">
        <v>1248</v>
      </c>
      <c r="R1278" s="7">
        <v>43915</v>
      </c>
      <c r="S1278" s="210">
        <v>4.5</v>
      </c>
      <c r="T1278" s="8">
        <v>1.0001249999999999</v>
      </c>
      <c r="U1278" s="98">
        <v>4.2501083807463313</v>
      </c>
      <c r="V1278" s="106">
        <v>29412.732134796246</v>
      </c>
      <c r="W1278" s="10">
        <v>0.83823356541214977</v>
      </c>
      <c r="X1278" s="420"/>
      <c r="Y1278" s="420"/>
      <c r="Z1278" s="1"/>
      <c r="AA1278" s="1"/>
      <c r="AB1278" s="1"/>
      <c r="AC1278" s="1"/>
      <c r="AD1278" s="1"/>
    </row>
    <row r="1279" spans="17:30">
      <c r="Q1279" s="6">
        <v>1249</v>
      </c>
      <c r="R1279" s="7">
        <v>43916</v>
      </c>
      <c r="S1279" s="210">
        <v>4.5</v>
      </c>
      <c r="T1279" s="8">
        <v>1.0001249999999999</v>
      </c>
      <c r="U1279" s="98">
        <v>4.2504422015094745</v>
      </c>
      <c r="V1279" s="106">
        <v>29415.180137162766</v>
      </c>
      <c r="W1279" s="10">
        <v>0.83879042197039233</v>
      </c>
      <c r="X1279" s="420"/>
      <c r="Y1279" s="420"/>
      <c r="Z1279" s="1"/>
      <c r="AA1279" s="1"/>
      <c r="AB1279" s="1"/>
      <c r="AC1279" s="1"/>
      <c r="AD1279" s="1"/>
    </row>
    <row r="1280" spans="17:30">
      <c r="Q1280" s="6">
        <v>1250</v>
      </c>
      <c r="R1280" s="7">
        <v>43917</v>
      </c>
      <c r="S1280" s="210">
        <v>4.5</v>
      </c>
      <c r="T1280" s="8">
        <v>1.0001249999999999</v>
      </c>
      <c r="U1280" s="98">
        <v>4.2507754892257665</v>
      </c>
      <c r="V1280" s="106">
        <v>29417.628343274922</v>
      </c>
      <c r="W1280" s="10">
        <v>0.83934639062588356</v>
      </c>
      <c r="X1280" s="420"/>
      <c r="Y1280" s="420"/>
      <c r="Z1280" s="1"/>
      <c r="AA1280" s="1"/>
      <c r="AB1280" s="1"/>
      <c r="AC1280" s="1"/>
      <c r="AD1280" s="1"/>
    </row>
    <row r="1281" spans="17:30">
      <c r="Q1281" s="6">
        <v>1251</v>
      </c>
      <c r="R1281" s="7">
        <v>43918</v>
      </c>
      <c r="S1281" s="210">
        <v>4.5</v>
      </c>
      <c r="T1281" s="8">
        <v>1.0001249999999999</v>
      </c>
      <c r="U1281" s="98">
        <v>4.2511082451709648</v>
      </c>
      <c r="V1281" s="106">
        <v>29420.076753149657</v>
      </c>
      <c r="W1281" s="10">
        <v>0.83990147350057054</v>
      </c>
      <c r="X1281" s="420"/>
      <c r="Y1281" s="420"/>
      <c r="Z1281" s="1"/>
      <c r="AA1281" s="1"/>
      <c r="AB1281" s="1"/>
      <c r="AC1281" s="1"/>
      <c r="AD1281" s="1"/>
    </row>
    <row r="1282" spans="17:30">
      <c r="Q1282" s="6">
        <v>1252</v>
      </c>
      <c r="R1282" s="7">
        <v>43919</v>
      </c>
      <c r="S1282" s="210">
        <v>4.5</v>
      </c>
      <c r="T1282" s="8">
        <v>1.0001249999999999</v>
      </c>
      <c r="U1282" s="98">
        <v>4.2514404706167186</v>
      </c>
      <c r="V1282" s="106">
        <v>29422.525366803937</v>
      </c>
      <c r="W1282" s="10">
        <v>0.84045567270960575</v>
      </c>
      <c r="X1282" s="420"/>
      <c r="Y1282" s="420"/>
      <c r="Z1282" s="1"/>
      <c r="AA1282" s="1"/>
      <c r="AB1282" s="1"/>
      <c r="AC1282" s="1"/>
      <c r="AD1282" s="1"/>
    </row>
    <row r="1283" spans="17:30">
      <c r="Q1283" s="6">
        <v>1253</v>
      </c>
      <c r="R1283" s="7">
        <v>43920</v>
      </c>
      <c r="S1283" s="210">
        <v>4.5</v>
      </c>
      <c r="T1283" s="8">
        <v>1.0001249999999999</v>
      </c>
      <c r="U1283" s="98">
        <v>4.2517721668306363</v>
      </c>
      <c r="V1283" s="106">
        <v>29424.974184254723</v>
      </c>
      <c r="W1283" s="10">
        <v>0.84100899036141374</v>
      </c>
      <c r="X1283" s="420"/>
      <c r="Y1283" s="420"/>
      <c r="Z1283" s="1"/>
      <c r="AA1283" s="1"/>
      <c r="AB1283" s="1"/>
      <c r="AC1283" s="1"/>
      <c r="AD1283" s="1"/>
    </row>
    <row r="1284" spans="17:30">
      <c r="Q1284" s="6">
        <v>1254</v>
      </c>
      <c r="R1284" s="7">
        <v>43921</v>
      </c>
      <c r="S1284" s="210">
        <v>4.5</v>
      </c>
      <c r="T1284" s="8">
        <v>1.0001249999999999</v>
      </c>
      <c r="U1284" s="98">
        <v>4.2521033350763071</v>
      </c>
      <c r="V1284" s="106">
        <v>29427.423205518979</v>
      </c>
      <c r="W1284" s="10">
        <v>0.84156142855775773</v>
      </c>
      <c r="X1284" s="420"/>
      <c r="Y1284" s="420"/>
      <c r="Z1284" s="1"/>
      <c r="AA1284" s="1"/>
      <c r="AB1284" s="1"/>
      <c r="AC1284" s="1"/>
      <c r="AD1284" s="1"/>
    </row>
    <row r="1285" spans="17:30">
      <c r="Q1285" s="6">
        <v>1255</v>
      </c>
      <c r="R1285" s="7">
        <v>43922</v>
      </c>
      <c r="S1285" s="210">
        <v>4.5</v>
      </c>
      <c r="T1285" s="8">
        <v>1.0001249999999999</v>
      </c>
      <c r="U1285" s="98">
        <v>4.2524339766133012</v>
      </c>
      <c r="V1285" s="106">
        <v>29429.872430613661</v>
      </c>
      <c r="W1285" s="10">
        <v>0.84211298939371737</v>
      </c>
      <c r="X1285" s="420"/>
      <c r="Y1285" s="420"/>
      <c r="Z1285" s="1"/>
      <c r="AA1285" s="1"/>
      <c r="AB1285" s="1"/>
      <c r="AC1285" s="1"/>
      <c r="AD1285" s="1"/>
    </row>
    <row r="1286" spans="17:30">
      <c r="Q1286" s="6">
        <v>1256</v>
      </c>
      <c r="R1286" s="7">
        <v>43923</v>
      </c>
      <c r="S1286" s="210">
        <v>4.5</v>
      </c>
      <c r="T1286" s="8">
        <v>1.0001249999999999</v>
      </c>
      <c r="U1286" s="98">
        <v>4.2527640926971699</v>
      </c>
      <c r="V1286" s="106">
        <v>29432.321859555741</v>
      </c>
      <c r="W1286" s="10">
        <v>0.84266367495768879</v>
      </c>
      <c r="X1286" s="420"/>
      <c r="Y1286" s="420"/>
      <c r="Z1286" s="1"/>
      <c r="AA1286" s="1"/>
      <c r="AB1286" s="1"/>
      <c r="AC1286" s="1"/>
      <c r="AD1286" s="1"/>
    </row>
    <row r="1287" spans="17:30">
      <c r="Q1287" s="6">
        <v>1257</v>
      </c>
      <c r="R1287" s="7">
        <v>43924</v>
      </c>
      <c r="S1287" s="210">
        <v>4.5</v>
      </c>
      <c r="T1287" s="8">
        <v>1.0001249999999999</v>
      </c>
      <c r="U1287" s="98">
        <v>4.253093684579512</v>
      </c>
      <c r="V1287" s="106">
        <v>29434.771492362179</v>
      </c>
      <c r="W1287" s="10">
        <v>0.84321348733147339</v>
      </c>
      <c r="X1287" s="420"/>
      <c r="Y1287" s="420"/>
      <c r="Z1287" s="1"/>
      <c r="AA1287" s="1"/>
      <c r="AB1287" s="1"/>
      <c r="AC1287" s="1"/>
      <c r="AD1287" s="1"/>
    </row>
    <row r="1288" spans="17:30">
      <c r="Q1288" s="6">
        <v>1258</v>
      </c>
      <c r="R1288" s="7">
        <v>43925</v>
      </c>
      <c r="S1288" s="210">
        <v>4.5</v>
      </c>
      <c r="T1288" s="8">
        <v>1.0001249999999999</v>
      </c>
      <c r="U1288" s="98">
        <v>4.2534227535079072</v>
      </c>
      <c r="V1288" s="106">
        <v>29437.221329049949</v>
      </c>
      <c r="W1288" s="10">
        <v>0.84376242859025563</v>
      </c>
      <c r="X1288" s="420"/>
      <c r="Y1288" s="420"/>
      <c r="Z1288" s="1"/>
      <c r="AA1288" s="1"/>
      <c r="AB1288" s="1"/>
      <c r="AC1288" s="1"/>
      <c r="AD1288" s="1"/>
    </row>
    <row r="1289" spans="17:30">
      <c r="Q1289" s="6">
        <v>1259</v>
      </c>
      <c r="R1289" s="7">
        <v>43926</v>
      </c>
      <c r="S1289" s="210">
        <v>4.5</v>
      </c>
      <c r="T1289" s="8">
        <v>1.0001249999999999</v>
      </c>
      <c r="U1289" s="98">
        <v>4.2537513007260053</v>
      </c>
      <c r="V1289" s="106">
        <v>29439.671369636017</v>
      </c>
      <c r="W1289" s="10">
        <v>0.84431050080266967</v>
      </c>
      <c r="X1289" s="420"/>
      <c r="Y1289" s="420"/>
      <c r="Z1289" s="1"/>
      <c r="AA1289" s="1"/>
      <c r="AB1289" s="1"/>
      <c r="AC1289" s="1"/>
      <c r="AD1289" s="1"/>
    </row>
    <row r="1290" spans="17:30">
      <c r="Q1290" s="6">
        <v>1260</v>
      </c>
      <c r="R1290" s="7">
        <v>43927</v>
      </c>
      <c r="S1290" s="210">
        <v>4.5</v>
      </c>
      <c r="T1290" s="8">
        <v>1.0001249999999999</v>
      </c>
      <c r="U1290" s="98">
        <v>4.2540793274735034</v>
      </c>
      <c r="V1290" s="106">
        <v>29442.121614137355</v>
      </c>
      <c r="W1290" s="10">
        <v>0.84485770603082155</v>
      </c>
      <c r="X1290" s="420"/>
      <c r="Y1290" s="420"/>
      <c r="Z1290" s="1"/>
      <c r="AA1290" s="1"/>
      <c r="AB1290" s="1"/>
      <c r="AC1290" s="1"/>
      <c r="AD1290" s="1"/>
    </row>
    <row r="1291" spans="17:30">
      <c r="Q1291" s="6">
        <v>1261</v>
      </c>
      <c r="R1291" s="7">
        <v>43928</v>
      </c>
      <c r="S1291" s="210">
        <v>4.5</v>
      </c>
      <c r="T1291" s="8">
        <v>1.0001249999999999</v>
      </c>
      <c r="U1291" s="98">
        <v>4.2544068349861908</v>
      </c>
      <c r="V1291" s="106">
        <v>29444.572062570925</v>
      </c>
      <c r="W1291" s="10">
        <v>0.8454040463302448</v>
      </c>
      <c r="X1291" s="420"/>
      <c r="Y1291" s="420"/>
      <c r="Z1291" s="1"/>
      <c r="AA1291" s="1"/>
      <c r="AB1291" s="1"/>
      <c r="AC1291" s="1"/>
      <c r="AD1291" s="1"/>
    </row>
    <row r="1292" spans="17:30">
      <c r="Q1292" s="6">
        <v>1262</v>
      </c>
      <c r="R1292" s="7">
        <v>43929</v>
      </c>
      <c r="S1292" s="210">
        <v>4.5</v>
      </c>
      <c r="T1292" s="8">
        <v>1.0001249999999999</v>
      </c>
      <c r="U1292" s="98">
        <v>4.2547338244959487</v>
      </c>
      <c r="V1292" s="106">
        <v>29447.022714953713</v>
      </c>
      <c r="W1292" s="10">
        <v>0.84594952375001142</v>
      </c>
      <c r="X1292" s="420"/>
      <c r="Y1292" s="420"/>
      <c r="Z1292" s="1"/>
      <c r="AA1292" s="1"/>
      <c r="AB1292" s="1"/>
      <c r="AC1292" s="1"/>
      <c r="AD1292" s="1"/>
    </row>
    <row r="1293" spans="17:30">
      <c r="Q1293" s="6">
        <v>1263</v>
      </c>
      <c r="R1293" s="7">
        <v>43930</v>
      </c>
      <c r="S1293" s="210">
        <v>4.5</v>
      </c>
      <c r="T1293" s="8">
        <v>1.0001249999999999</v>
      </c>
      <c r="U1293" s="98">
        <v>4.2550602972307283</v>
      </c>
      <c r="V1293" s="106">
        <v>29449.473571302686</v>
      </c>
      <c r="W1293" s="10">
        <v>0.84649414033273196</v>
      </c>
      <c r="X1293" s="420"/>
      <c r="Y1293" s="420"/>
      <c r="Z1293" s="1"/>
      <c r="AA1293" s="1"/>
      <c r="AB1293" s="1"/>
      <c r="AC1293" s="1"/>
      <c r="AD1293" s="1"/>
    </row>
    <row r="1294" spans="17:30">
      <c r="Q1294" s="6">
        <v>1264</v>
      </c>
      <c r="R1294" s="7">
        <v>43931</v>
      </c>
      <c r="S1294" s="210">
        <v>4.5</v>
      </c>
      <c r="T1294" s="8">
        <v>1.0001249999999999</v>
      </c>
      <c r="U1294" s="98">
        <v>4.2553862544146615</v>
      </c>
      <c r="V1294" s="106">
        <v>29452.006337159139</v>
      </c>
      <c r="W1294" s="10">
        <v>0.84695711029227905</v>
      </c>
      <c r="X1294" s="420"/>
      <c r="Y1294" s="420"/>
      <c r="Z1294" s="1"/>
      <c r="AA1294" s="1"/>
      <c r="AB1294" s="1"/>
      <c r="AC1294" s="1"/>
      <c r="AD1294" s="1"/>
    </row>
    <row r="1295" spans="17:30">
      <c r="Q1295" s="6">
        <v>1265</v>
      </c>
      <c r="R1295" s="7">
        <v>43932</v>
      </c>
      <c r="S1295" s="210">
        <v>4.5</v>
      </c>
      <c r="T1295" s="8">
        <v>1.0001249999999999</v>
      </c>
      <c r="U1295" s="98">
        <v>4.2557116972679498</v>
      </c>
      <c r="V1295" s="106">
        <v>29454.539320843007</v>
      </c>
      <c r="W1295" s="10">
        <v>0.84741935040388849</v>
      </c>
      <c r="X1295" s="420"/>
      <c r="Y1295" s="420"/>
      <c r="Z1295" s="1"/>
      <c r="AA1295" s="1"/>
      <c r="AB1295" s="1"/>
      <c r="AC1295" s="1"/>
      <c r="AD1295" s="1"/>
    </row>
    <row r="1296" spans="17:30">
      <c r="Q1296" s="6">
        <v>1266</v>
      </c>
      <c r="R1296" s="7">
        <v>43933</v>
      </c>
      <c r="S1296" s="210">
        <v>4.5</v>
      </c>
      <c r="T1296" s="8">
        <v>1.0001249999999999</v>
      </c>
      <c r="U1296" s="98">
        <v>4.2560366270070205</v>
      </c>
      <c r="V1296" s="106">
        <v>29457.072522373037</v>
      </c>
      <c r="W1296" s="10">
        <v>0.84788086239204752</v>
      </c>
      <c r="X1296" s="420"/>
      <c r="Y1296" s="420"/>
      <c r="Z1296" s="1"/>
      <c r="AA1296" s="1"/>
      <c r="AB1296" s="1"/>
      <c r="AC1296" s="1"/>
      <c r="AD1296" s="1"/>
    </row>
    <row r="1297" spans="17:30">
      <c r="Q1297" s="6">
        <v>1267</v>
      </c>
      <c r="R1297" s="7">
        <v>43934</v>
      </c>
      <c r="S1297" s="210">
        <v>4.5</v>
      </c>
      <c r="T1297" s="8">
        <v>1.0001249999999999</v>
      </c>
      <c r="U1297" s="98">
        <v>4.2563610448444145</v>
      </c>
      <c r="V1297" s="106">
        <v>29459.60594176795</v>
      </c>
      <c r="W1297" s="10">
        <v>0.84834164797584766</v>
      </c>
      <c r="X1297" s="420"/>
      <c r="Y1297" s="420"/>
      <c r="Z1297" s="1"/>
      <c r="AA1297" s="1"/>
      <c r="AB1297" s="1"/>
      <c r="AC1297" s="1"/>
      <c r="AD1297" s="1"/>
    </row>
    <row r="1298" spans="17:30">
      <c r="Q1298" s="6">
        <v>1268</v>
      </c>
      <c r="R1298" s="7">
        <v>43935</v>
      </c>
      <c r="S1298" s="210">
        <v>4.5</v>
      </c>
      <c r="T1298" s="8">
        <v>1.0001249999999999</v>
      </c>
      <c r="U1298" s="98">
        <v>4.2566849519888539</v>
      </c>
      <c r="V1298" s="106">
        <v>29462.139579046496</v>
      </c>
      <c r="W1298" s="10">
        <v>0.84880170886887374</v>
      </c>
      <c r="X1298" s="420"/>
      <c r="Y1298" s="420"/>
      <c r="Z1298" s="1"/>
      <c r="AA1298" s="1"/>
      <c r="AB1298" s="1"/>
      <c r="AC1298" s="1"/>
      <c r="AD1298" s="1"/>
    </row>
    <row r="1299" spans="17:30">
      <c r="Q1299" s="6">
        <v>1269</v>
      </c>
      <c r="R1299" s="7">
        <v>43936</v>
      </c>
      <c r="S1299" s="210">
        <v>4.5</v>
      </c>
      <c r="T1299" s="8">
        <v>1.0001249999999999</v>
      </c>
      <c r="U1299" s="98">
        <v>4.257008349645286</v>
      </c>
      <c r="V1299" s="106">
        <v>29464.673434227407</v>
      </c>
      <c r="W1299" s="10">
        <v>0.84926104677942593</v>
      </c>
      <c r="X1299" s="420"/>
      <c r="Y1299" s="420"/>
      <c r="Z1299" s="1"/>
      <c r="AA1299" s="1"/>
      <c r="AB1299" s="1"/>
      <c r="AC1299" s="1"/>
      <c r="AD1299" s="1"/>
    </row>
    <row r="1300" spans="17:30">
      <c r="Q1300" s="6">
        <v>1270</v>
      </c>
      <c r="R1300" s="7">
        <v>43937</v>
      </c>
      <c r="S1300" s="210">
        <v>4.5</v>
      </c>
      <c r="T1300" s="8">
        <v>1.0001249999999999</v>
      </c>
      <c r="U1300" s="98">
        <v>4.257331239014861</v>
      </c>
      <c r="V1300" s="106">
        <v>29467.207507329433</v>
      </c>
      <c r="W1300" s="10">
        <v>0.84971966341040872</v>
      </c>
      <c r="X1300" s="420"/>
      <c r="Y1300" s="420"/>
      <c r="Z1300" s="1"/>
      <c r="AA1300" s="1"/>
      <c r="AB1300" s="1"/>
      <c r="AC1300" s="1"/>
      <c r="AD1300" s="1"/>
    </row>
    <row r="1301" spans="17:30">
      <c r="Q1301" s="6">
        <v>1271</v>
      </c>
      <c r="R1301" s="7">
        <v>43938</v>
      </c>
      <c r="S1301" s="210">
        <v>4.5</v>
      </c>
      <c r="T1301" s="8">
        <v>1.0001249999999999</v>
      </c>
      <c r="U1301" s="98">
        <v>4.2576536212949545</v>
      </c>
      <c r="V1301" s="106">
        <v>29469.741798371299</v>
      </c>
      <c r="W1301" s="10">
        <v>0.85017756045939752</v>
      </c>
      <c r="X1301" s="420"/>
      <c r="Y1301" s="420"/>
      <c r="Z1301" s="1"/>
      <c r="AA1301" s="1"/>
      <c r="AB1301" s="1"/>
      <c r="AC1301" s="1"/>
      <c r="AD1301" s="1"/>
    </row>
    <row r="1302" spans="17:30">
      <c r="Q1302" s="6">
        <v>1272</v>
      </c>
      <c r="R1302" s="7">
        <v>43939</v>
      </c>
      <c r="S1302" s="210">
        <v>4.5</v>
      </c>
      <c r="T1302" s="8">
        <v>1.0001249999999999</v>
      </c>
      <c r="U1302" s="98">
        <v>4.2579754976791895</v>
      </c>
      <c r="V1302" s="106">
        <v>29472.276307371762</v>
      </c>
      <c r="W1302" s="10">
        <v>0.85063473961857206</v>
      </c>
      <c r="X1302" s="420"/>
      <c r="Y1302" s="420"/>
      <c r="Z1302" s="1"/>
      <c r="AA1302" s="1"/>
      <c r="AB1302" s="1"/>
      <c r="AC1302" s="1"/>
      <c r="AD1302" s="1"/>
    </row>
    <row r="1303" spans="17:30">
      <c r="Q1303" s="6">
        <v>1273</v>
      </c>
      <c r="R1303" s="7">
        <v>43940</v>
      </c>
      <c r="S1303" s="210">
        <v>4.5</v>
      </c>
      <c r="T1303" s="8">
        <v>1.0001249999999999</v>
      </c>
      <c r="U1303" s="98">
        <v>4.2582968693574363</v>
      </c>
      <c r="V1303" s="106">
        <v>29474.811034349561</v>
      </c>
      <c r="W1303" s="10">
        <v>0.85109120257491622</v>
      </c>
      <c r="X1303" s="420"/>
      <c r="Y1303" s="420"/>
      <c r="Z1303" s="1"/>
      <c r="AA1303" s="1"/>
      <c r="AB1303" s="1"/>
      <c r="AC1303" s="1"/>
      <c r="AD1303" s="1"/>
    </row>
    <row r="1304" spans="17:30">
      <c r="Q1304" s="6">
        <v>1274</v>
      </c>
      <c r="R1304" s="7">
        <v>43941</v>
      </c>
      <c r="S1304" s="210">
        <v>4.5</v>
      </c>
      <c r="T1304" s="8">
        <v>1.0001249999999999</v>
      </c>
      <c r="U1304" s="98">
        <v>4.2586177375158352</v>
      </c>
      <c r="V1304" s="106">
        <v>29477.345979323443</v>
      </c>
      <c r="W1304" s="10">
        <v>0.85154695101006261</v>
      </c>
      <c r="X1304" s="420"/>
      <c r="Y1304" s="420"/>
      <c r="Z1304" s="1"/>
      <c r="AA1304" s="1"/>
      <c r="AB1304" s="1"/>
      <c r="AC1304" s="1"/>
      <c r="AD1304" s="1"/>
    </row>
    <row r="1305" spans="17:30">
      <c r="Q1305" s="6">
        <v>1275</v>
      </c>
      <c r="R1305" s="7">
        <v>43942</v>
      </c>
      <c r="S1305" s="210">
        <v>4.5</v>
      </c>
      <c r="T1305" s="8">
        <v>1.0001249999999999</v>
      </c>
      <c r="U1305" s="98">
        <v>4.2589381033368179</v>
      </c>
      <c r="V1305" s="106">
        <v>29479.881142312162</v>
      </c>
      <c r="W1305" s="10">
        <v>0.8520019866003814</v>
      </c>
      <c r="X1305" s="420"/>
      <c r="Y1305" s="420"/>
      <c r="Z1305" s="1"/>
      <c r="AA1305" s="1"/>
      <c r="AB1305" s="1"/>
      <c r="AC1305" s="1"/>
      <c r="AD1305" s="1"/>
    </row>
    <row r="1306" spans="17:30">
      <c r="Q1306" s="6">
        <v>1276</v>
      </c>
      <c r="R1306" s="7">
        <v>43943</v>
      </c>
      <c r="S1306" s="210">
        <v>4.5</v>
      </c>
      <c r="T1306" s="8">
        <v>1.0001249999999999</v>
      </c>
      <c r="U1306" s="98">
        <v>4.2592579679991305</v>
      </c>
      <c r="V1306" s="106">
        <v>29482.416523334465</v>
      </c>
      <c r="W1306" s="10">
        <v>0.85245631101704689</v>
      </c>
      <c r="X1306" s="420"/>
      <c r="Y1306" s="420"/>
      <c r="Z1306" s="1"/>
      <c r="AA1306" s="1"/>
      <c r="AB1306" s="1"/>
      <c r="AC1306" s="1"/>
      <c r="AD1306" s="1"/>
    </row>
    <row r="1307" spans="17:30">
      <c r="Q1307" s="6">
        <v>1277</v>
      </c>
      <c r="R1307" s="7">
        <v>43944</v>
      </c>
      <c r="S1307" s="210">
        <v>4.5</v>
      </c>
      <c r="T1307" s="8">
        <v>1.0001249999999999</v>
      </c>
      <c r="U1307" s="98">
        <v>4.2595773326778108</v>
      </c>
      <c r="V1307" s="106">
        <v>29484.952122409104</v>
      </c>
      <c r="W1307" s="10">
        <v>0.85290992592599313</v>
      </c>
      <c r="X1307" s="420"/>
      <c r="Y1307" s="420"/>
      <c r="Z1307" s="1"/>
      <c r="AA1307" s="1"/>
      <c r="AB1307" s="1"/>
      <c r="AC1307" s="1"/>
      <c r="AD1307" s="1"/>
    </row>
    <row r="1308" spans="17:30">
      <c r="Q1308" s="6">
        <v>1278</v>
      </c>
      <c r="R1308" s="7">
        <v>43945</v>
      </c>
      <c r="S1308" s="210">
        <v>4.5</v>
      </c>
      <c r="T1308" s="8">
        <v>1.0001249999999999</v>
      </c>
      <c r="U1308" s="98">
        <v>4.259896198544233</v>
      </c>
      <c r="V1308" s="106">
        <v>29487.487939554827</v>
      </c>
      <c r="W1308" s="10">
        <v>0.85336283298791393</v>
      </c>
      <c r="X1308" s="420"/>
      <c r="Y1308" s="420"/>
      <c r="Z1308" s="1"/>
      <c r="AA1308" s="1"/>
      <c r="AB1308" s="1"/>
      <c r="AC1308" s="1"/>
      <c r="AD1308" s="1"/>
    </row>
    <row r="1309" spans="17:30">
      <c r="Q1309" s="6">
        <v>1279</v>
      </c>
      <c r="R1309" s="7">
        <v>43946</v>
      </c>
      <c r="S1309" s="210">
        <v>4.5</v>
      </c>
      <c r="T1309" s="8">
        <v>1.0001249999999999</v>
      </c>
      <c r="U1309" s="98">
        <v>4.2602145667661295</v>
      </c>
      <c r="V1309" s="106">
        <v>29490.023974790398</v>
      </c>
      <c r="W1309" s="10">
        <v>0.85381503385839608</v>
      </c>
      <c r="X1309" s="420"/>
      <c r="Y1309" s="420"/>
      <c r="Z1309" s="1"/>
      <c r="AA1309" s="1"/>
      <c r="AB1309" s="1"/>
      <c r="AC1309" s="1"/>
      <c r="AD1309" s="1"/>
    </row>
    <row r="1310" spans="17:30">
      <c r="Q1310" s="6">
        <v>1280</v>
      </c>
      <c r="R1310" s="7">
        <v>43947</v>
      </c>
      <c r="S1310" s="210">
        <v>4.5</v>
      </c>
      <c r="T1310" s="8">
        <v>1.0001249999999999</v>
      </c>
      <c r="U1310" s="98">
        <v>4.2605324385075694</v>
      </c>
      <c r="V1310" s="106">
        <v>29492.560228134571</v>
      </c>
      <c r="W1310" s="10">
        <v>0.8542665301878305</v>
      </c>
      <c r="X1310" s="420"/>
      <c r="Y1310" s="420"/>
      <c r="Z1310" s="1"/>
      <c r="AA1310" s="1"/>
      <c r="AB1310" s="1"/>
      <c r="AC1310" s="1"/>
      <c r="AD1310" s="1"/>
    </row>
    <row r="1311" spans="17:30">
      <c r="Q1311" s="6">
        <v>1281</v>
      </c>
      <c r="R1311" s="7">
        <v>43948</v>
      </c>
      <c r="S1311" s="210">
        <v>4.5</v>
      </c>
      <c r="T1311" s="8">
        <v>1.0001249999999999</v>
      </c>
      <c r="U1311" s="98">
        <v>4.2608498149290019</v>
      </c>
      <c r="V1311" s="106">
        <v>29495.096699606092</v>
      </c>
      <c r="W1311" s="10">
        <v>0.85471732362145669</v>
      </c>
      <c r="X1311" s="420"/>
      <c r="Y1311" s="420"/>
      <c r="Z1311" s="1"/>
      <c r="AA1311" s="1"/>
      <c r="AB1311" s="1"/>
      <c r="AC1311" s="1"/>
      <c r="AD1311" s="1"/>
    </row>
    <row r="1312" spans="17:30">
      <c r="Q1312" s="6">
        <v>1282</v>
      </c>
      <c r="R1312" s="7">
        <v>43949</v>
      </c>
      <c r="S1312" s="210">
        <v>4.5</v>
      </c>
      <c r="T1312" s="8">
        <v>1.0001249999999999</v>
      </c>
      <c r="U1312" s="98">
        <v>4.2611666971872797</v>
      </c>
      <c r="V1312" s="106">
        <v>29497.633389223742</v>
      </c>
      <c r="W1312" s="10">
        <v>0.85516741579942934</v>
      </c>
      <c r="X1312" s="420"/>
      <c r="Y1312" s="420"/>
      <c r="Z1312" s="1"/>
      <c r="AA1312" s="1"/>
      <c r="AB1312" s="1"/>
      <c r="AC1312" s="1"/>
      <c r="AD1312" s="1"/>
    </row>
    <row r="1313" spans="17:30">
      <c r="Q1313" s="6">
        <v>1283</v>
      </c>
      <c r="R1313" s="7">
        <v>43950</v>
      </c>
      <c r="S1313" s="210">
        <v>4.5</v>
      </c>
      <c r="T1313" s="8">
        <v>1.0001249999999999</v>
      </c>
      <c r="U1313" s="98">
        <v>4.2614830864356135</v>
      </c>
      <c r="V1313" s="106">
        <v>29500.170297006265</v>
      </c>
      <c r="W1313" s="10">
        <v>0.85561680835672949</v>
      </c>
      <c r="X1313" s="420"/>
      <c r="Y1313" s="420"/>
      <c r="Z1313" s="1"/>
      <c r="AA1313" s="1"/>
      <c r="AB1313" s="1"/>
      <c r="AC1313" s="1"/>
      <c r="AD1313" s="1"/>
    </row>
    <row r="1314" spans="17:30">
      <c r="Q1314" s="6">
        <v>1284</v>
      </c>
      <c r="R1314" s="7">
        <v>43951</v>
      </c>
      <c r="S1314" s="210">
        <v>4.5</v>
      </c>
      <c r="T1314" s="8">
        <v>1.0001249999999999</v>
      </c>
      <c r="U1314" s="98">
        <v>4.2617989838236836</v>
      </c>
      <c r="V1314" s="106">
        <v>29502.707422972435</v>
      </c>
      <c r="W1314" s="10">
        <v>0.85606550292340877</v>
      </c>
      <c r="X1314" s="420"/>
      <c r="Y1314" s="420"/>
      <c r="Z1314" s="1"/>
      <c r="AA1314" s="1"/>
      <c r="AB1314" s="1"/>
      <c r="AC1314" s="1"/>
      <c r="AD1314" s="1"/>
    </row>
    <row r="1315" spans="17:30">
      <c r="Q1315" s="6">
        <v>1285</v>
      </c>
      <c r="R1315" s="7">
        <v>43952</v>
      </c>
      <c r="S1315" s="210">
        <v>4.5</v>
      </c>
      <c r="T1315" s="8">
        <v>1.0001249999999999</v>
      </c>
      <c r="U1315" s="98">
        <v>4.2621143904975511</v>
      </c>
      <c r="V1315" s="106">
        <v>29505.244767141012</v>
      </c>
      <c r="W1315" s="10">
        <v>0.8565135011242786</v>
      </c>
      <c r="X1315" s="420"/>
      <c r="Y1315" s="420"/>
      <c r="Z1315" s="1"/>
      <c r="AA1315" s="1"/>
      <c r="AB1315" s="1"/>
      <c r="AC1315" s="1"/>
      <c r="AD1315" s="1"/>
    </row>
    <row r="1316" spans="17:30">
      <c r="Q1316" s="6">
        <v>1286</v>
      </c>
      <c r="R1316" s="7">
        <v>43953</v>
      </c>
      <c r="S1316" s="210">
        <v>4.5</v>
      </c>
      <c r="T1316" s="8">
        <v>1.0001249999999999</v>
      </c>
      <c r="U1316" s="98">
        <v>4.2624293075997466</v>
      </c>
      <c r="V1316" s="106">
        <v>29507.782329530761</v>
      </c>
      <c r="W1316" s="10">
        <v>0.85696080457926538</v>
      </c>
      <c r="X1316" s="420"/>
      <c r="Y1316" s="420"/>
      <c r="Z1316" s="1"/>
      <c r="AA1316" s="1"/>
      <c r="AB1316" s="1"/>
      <c r="AC1316" s="1"/>
      <c r="AD1316" s="1"/>
    </row>
    <row r="1317" spans="17:30">
      <c r="Q1317" s="6">
        <v>1287</v>
      </c>
      <c r="R1317" s="7">
        <v>43954</v>
      </c>
      <c r="S1317" s="210">
        <v>4.5</v>
      </c>
      <c r="T1317" s="8">
        <v>1.0001249999999999</v>
      </c>
      <c r="U1317" s="98">
        <v>4.2627437362692477</v>
      </c>
      <c r="V1317" s="106">
        <v>29510.320110160446</v>
      </c>
      <c r="W1317" s="10">
        <v>0.8574074149031663</v>
      </c>
      <c r="X1317" s="420"/>
      <c r="Y1317" s="420"/>
      <c r="Z1317" s="1"/>
      <c r="AA1317" s="1"/>
      <c r="AB1317" s="1"/>
      <c r="AC1317" s="1"/>
      <c r="AD1317" s="1"/>
    </row>
    <row r="1318" spans="17:30">
      <c r="Q1318" s="6">
        <v>1288</v>
      </c>
      <c r="R1318" s="7">
        <v>43955</v>
      </c>
      <c r="S1318" s="210">
        <v>4.5</v>
      </c>
      <c r="T1318" s="8">
        <v>1.0001249999999999</v>
      </c>
      <c r="U1318" s="98">
        <v>4.2630576776415019</v>
      </c>
      <c r="V1318" s="106">
        <v>29512.858109048851</v>
      </c>
      <c r="W1318" s="10">
        <v>0.85785333370582695</v>
      </c>
      <c r="X1318" s="420"/>
      <c r="Y1318" s="420"/>
      <c r="Z1318" s="1"/>
      <c r="AA1318" s="1"/>
      <c r="AB1318" s="1"/>
      <c r="AC1318" s="1"/>
      <c r="AD1318" s="1"/>
    </row>
    <row r="1319" spans="17:30">
      <c r="Q1319" s="6">
        <v>1289</v>
      </c>
      <c r="R1319" s="7">
        <v>43956</v>
      </c>
      <c r="S1319" s="210">
        <v>4.5</v>
      </c>
      <c r="T1319" s="8">
        <v>1.0001249999999999</v>
      </c>
      <c r="U1319" s="98">
        <v>4.263371132848448</v>
      </c>
      <c r="V1319" s="106">
        <v>29515.39632621473</v>
      </c>
      <c r="W1319" s="10">
        <v>0.85829856259214132</v>
      </c>
      <c r="X1319" s="420"/>
      <c r="Y1319" s="420"/>
      <c r="Z1319" s="1"/>
      <c r="AA1319" s="1"/>
      <c r="AB1319" s="1"/>
      <c r="AC1319" s="1"/>
      <c r="AD1319" s="1"/>
    </row>
    <row r="1320" spans="17:30">
      <c r="Q1320" s="6">
        <v>1290</v>
      </c>
      <c r="R1320" s="7">
        <v>43957</v>
      </c>
      <c r="S1320" s="210">
        <v>4.5</v>
      </c>
      <c r="T1320" s="8">
        <v>1.0001249999999999</v>
      </c>
      <c r="U1320" s="98">
        <v>4.2636841030184947</v>
      </c>
      <c r="V1320" s="106">
        <v>29517.934761676868</v>
      </c>
      <c r="W1320" s="10">
        <v>0.8587431031619408</v>
      </c>
      <c r="X1320" s="420"/>
      <c r="Y1320" s="420"/>
      <c r="Z1320" s="1"/>
      <c r="AA1320" s="1"/>
      <c r="AB1320" s="1"/>
      <c r="AC1320" s="1"/>
      <c r="AD1320" s="1"/>
    </row>
    <row r="1321" spans="17:30">
      <c r="Q1321" s="6">
        <v>1291</v>
      </c>
      <c r="R1321" s="7">
        <v>43958</v>
      </c>
      <c r="S1321" s="210">
        <v>4.5</v>
      </c>
      <c r="T1321" s="8">
        <v>1.0001249999999999</v>
      </c>
      <c r="U1321" s="98">
        <v>4.2639965892766085</v>
      </c>
      <c r="V1321" s="106">
        <v>29520.473415454027</v>
      </c>
      <c r="W1321" s="10">
        <v>0.85918695701021619</v>
      </c>
      <c r="X1321" s="420"/>
      <c r="Y1321" s="420"/>
      <c r="Z1321" s="1"/>
      <c r="AA1321" s="1"/>
      <c r="AB1321" s="1"/>
      <c r="AC1321" s="1"/>
      <c r="AD1321" s="1"/>
    </row>
    <row r="1322" spans="17:30">
      <c r="Q1322" s="6">
        <v>1292</v>
      </c>
      <c r="R1322" s="7">
        <v>43959</v>
      </c>
      <c r="S1322" s="210">
        <v>4.5</v>
      </c>
      <c r="T1322" s="8">
        <v>1.0001249999999999</v>
      </c>
      <c r="U1322" s="98">
        <v>4.2643085927442259</v>
      </c>
      <c r="V1322" s="106">
        <v>29523.012287564998</v>
      </c>
      <c r="W1322" s="10">
        <v>0.8596301257269845</v>
      </c>
      <c r="X1322" s="420"/>
      <c r="Y1322" s="420"/>
      <c r="Z1322" s="1"/>
      <c r="AA1322" s="1"/>
      <c r="AB1322" s="1"/>
      <c r="AC1322" s="1"/>
      <c r="AD1322" s="1"/>
    </row>
    <row r="1323" spans="17:30">
      <c r="Q1323" s="6">
        <v>1293</v>
      </c>
      <c r="R1323" s="7">
        <v>43960</v>
      </c>
      <c r="S1323" s="210">
        <v>4.5</v>
      </c>
      <c r="T1323" s="8">
        <v>1.0001249999999999</v>
      </c>
      <c r="U1323" s="98">
        <v>4.2646201145393636</v>
      </c>
      <c r="V1323" s="106">
        <v>29525.551378028551</v>
      </c>
      <c r="W1323" s="10">
        <v>0.86007261089737774</v>
      </c>
      <c r="X1323" s="420"/>
      <c r="Y1323" s="420"/>
      <c r="Z1323" s="1"/>
      <c r="AA1323" s="1"/>
      <c r="AB1323" s="1"/>
      <c r="AC1323" s="1"/>
      <c r="AD1323" s="1"/>
    </row>
    <row r="1324" spans="17:30">
      <c r="Q1324" s="6">
        <v>1294</v>
      </c>
      <c r="R1324" s="7">
        <v>43961</v>
      </c>
      <c r="S1324" s="210">
        <v>4.5</v>
      </c>
      <c r="T1324" s="8">
        <v>1.0001249999999999</v>
      </c>
      <c r="U1324" s="98">
        <v>4.2649311557765746</v>
      </c>
      <c r="V1324" s="106">
        <v>29528.008770266548</v>
      </c>
      <c r="W1324" s="10">
        <v>0.86059333955319506</v>
      </c>
      <c r="X1324" s="420"/>
      <c r="Y1324" s="420"/>
      <c r="Z1324" s="1"/>
      <c r="AA1324" s="1"/>
      <c r="AB1324" s="1"/>
      <c r="AC1324" s="1"/>
      <c r="AD1324" s="1"/>
    </row>
    <row r="1325" spans="17:30">
      <c r="Q1325" s="6">
        <v>1295</v>
      </c>
      <c r="R1325" s="7">
        <v>43962</v>
      </c>
      <c r="S1325" s="210">
        <v>4.5</v>
      </c>
      <c r="T1325" s="8">
        <v>1.0001249999999999</v>
      </c>
      <c r="U1325" s="98">
        <v>4.2652417175669477</v>
      </c>
      <c r="V1325" s="106">
        <v>29530.466367031684</v>
      </c>
      <c r="W1325" s="10">
        <v>0.86111326667708266</v>
      </c>
      <c r="X1325" s="420"/>
      <c r="Y1325" s="420"/>
      <c r="Z1325" s="1"/>
      <c r="AA1325" s="1"/>
      <c r="AB1325" s="1"/>
      <c r="AC1325" s="1"/>
      <c r="AD1325" s="1"/>
    </row>
    <row r="1326" spans="17:30">
      <c r="Q1326" s="6">
        <v>1296</v>
      </c>
      <c r="R1326" s="7">
        <v>43963</v>
      </c>
      <c r="S1326" s="210">
        <v>4.5</v>
      </c>
      <c r="T1326" s="8">
        <v>1.0001249999999999</v>
      </c>
      <c r="U1326" s="98">
        <v>4.265551801018197</v>
      </c>
      <c r="V1326" s="106">
        <v>29532.924168340982</v>
      </c>
      <c r="W1326" s="10">
        <v>0.86163239411827242</v>
      </c>
      <c r="X1326" s="420"/>
      <c r="Y1326" s="420"/>
      <c r="Z1326" s="1"/>
      <c r="AA1326" s="1"/>
      <c r="AB1326" s="1"/>
      <c r="AC1326" s="1"/>
      <c r="AD1326" s="1"/>
    </row>
    <row r="1327" spans="17:30">
      <c r="Q1327" s="6">
        <v>1297</v>
      </c>
      <c r="R1327" s="7">
        <v>43964</v>
      </c>
      <c r="S1327" s="210">
        <v>4.5</v>
      </c>
      <c r="T1327" s="8">
        <v>1.0001249999999999</v>
      </c>
      <c r="U1327" s="98">
        <v>4.2658614072345946</v>
      </c>
      <c r="V1327" s="106">
        <v>29535.382174211474</v>
      </c>
      <c r="W1327" s="10">
        <v>0.86215072372028967</v>
      </c>
      <c r="X1327" s="420"/>
      <c r="Y1327" s="420"/>
      <c r="Z1327" s="1"/>
      <c r="AA1327" s="1"/>
      <c r="AB1327" s="1"/>
      <c r="AC1327" s="1"/>
      <c r="AD1327" s="1"/>
    </row>
    <row r="1328" spans="17:30">
      <c r="Q1328" s="6">
        <v>1298</v>
      </c>
      <c r="R1328" s="7">
        <v>43965</v>
      </c>
      <c r="S1328" s="210">
        <v>4.5</v>
      </c>
      <c r="T1328" s="8">
        <v>1.0001249999999999</v>
      </c>
      <c r="U1328" s="98">
        <v>4.2661705373170378</v>
      </c>
      <c r="V1328" s="106">
        <v>29537.840384660172</v>
      </c>
      <c r="W1328" s="10">
        <v>0.86266825732099761</v>
      </c>
      <c r="X1328" s="420"/>
      <c r="Y1328" s="420"/>
      <c r="Z1328" s="1"/>
      <c r="AA1328" s="1"/>
      <c r="AB1328" s="1"/>
      <c r="AC1328" s="1"/>
      <c r="AD1328" s="1"/>
    </row>
    <row r="1329" spans="17:30">
      <c r="Q1329" s="6">
        <v>1299</v>
      </c>
      <c r="R1329" s="7">
        <v>43966</v>
      </c>
      <c r="S1329" s="210">
        <v>4.5</v>
      </c>
      <c r="T1329" s="8">
        <v>1.0001249999999999</v>
      </c>
      <c r="U1329" s="98">
        <v>4.2664791923630263</v>
      </c>
      <c r="V1329" s="106">
        <v>29540.298799704116</v>
      </c>
      <c r="W1329" s="10">
        <v>0.8631849967526195</v>
      </c>
      <c r="X1329" s="420"/>
      <c r="Y1329" s="420"/>
      <c r="Z1329" s="1"/>
      <c r="AA1329" s="1"/>
      <c r="AB1329" s="1"/>
      <c r="AC1329" s="1"/>
      <c r="AD1329" s="1"/>
    </row>
    <row r="1330" spans="17:30">
      <c r="Q1330" s="6">
        <v>1300</v>
      </c>
      <c r="R1330" s="7">
        <v>43967</v>
      </c>
      <c r="S1330" s="210">
        <v>4.5</v>
      </c>
      <c r="T1330" s="8">
        <v>1.0001249999999999</v>
      </c>
      <c r="U1330" s="98">
        <v>4.266787373466685</v>
      </c>
      <c r="V1330" s="106">
        <v>29542.757419360325</v>
      </c>
      <c r="W1330" s="10">
        <v>0.86370094384173868</v>
      </c>
      <c r="X1330" s="420"/>
      <c r="Y1330" s="420"/>
      <c r="Z1330" s="1"/>
      <c r="AA1330" s="1"/>
      <c r="AB1330" s="1"/>
      <c r="AC1330" s="1"/>
      <c r="AD1330" s="1"/>
    </row>
    <row r="1331" spans="17:30">
      <c r="Q1331" s="6">
        <v>1301</v>
      </c>
      <c r="R1331" s="7">
        <v>43968</v>
      </c>
      <c r="S1331" s="210">
        <v>4.5</v>
      </c>
      <c r="T1331" s="8">
        <v>1.0001249999999999</v>
      </c>
      <c r="U1331" s="98">
        <v>4.267095081718808</v>
      </c>
      <c r="V1331" s="106">
        <v>29545.216243645835</v>
      </c>
      <c r="W1331" s="10">
        <v>0.86421610040940955</v>
      </c>
      <c r="X1331" s="420"/>
      <c r="Y1331" s="420"/>
      <c r="Z1331" s="1"/>
      <c r="AA1331" s="1"/>
      <c r="AB1331" s="1"/>
      <c r="AC1331" s="1"/>
      <c r="AD1331" s="1"/>
    </row>
    <row r="1332" spans="17:30">
      <c r="Q1332" s="6">
        <v>1302</v>
      </c>
      <c r="R1332" s="7">
        <v>43969</v>
      </c>
      <c r="S1332" s="210">
        <v>4.5</v>
      </c>
      <c r="T1332" s="8">
        <v>1.0001249999999999</v>
      </c>
      <c r="U1332" s="98">
        <v>4.2674023182067922</v>
      </c>
      <c r="V1332" s="106">
        <v>29547.675272577671</v>
      </c>
      <c r="W1332" s="10">
        <v>0.86473046827097999</v>
      </c>
      <c r="X1332" s="420"/>
      <c r="Y1332" s="420"/>
      <c r="Z1332" s="1"/>
      <c r="AA1332" s="1"/>
      <c r="AB1332" s="1"/>
      <c r="AC1332" s="1"/>
      <c r="AD1332" s="1"/>
    </row>
    <row r="1333" spans="17:30">
      <c r="Q1333" s="6">
        <v>1303</v>
      </c>
      <c r="R1333" s="7">
        <v>43970</v>
      </c>
      <c r="S1333" s="210">
        <v>4.5</v>
      </c>
      <c r="T1333" s="8">
        <v>1.0001249999999999</v>
      </c>
      <c r="U1333" s="98">
        <v>4.2677090840147702</v>
      </c>
      <c r="V1333" s="106">
        <v>29550.134506172868</v>
      </c>
      <c r="W1333" s="10">
        <v>0.86524404923640219</v>
      </c>
      <c r="X1333" s="420"/>
      <c r="Y1333" s="420"/>
      <c r="Z1333" s="1"/>
      <c r="AA1333" s="1"/>
      <c r="AB1333" s="1"/>
      <c r="AC1333" s="1"/>
      <c r="AD1333" s="1"/>
    </row>
    <row r="1334" spans="17:30">
      <c r="Q1334" s="6">
        <v>1304</v>
      </c>
      <c r="R1334" s="7">
        <v>43971</v>
      </c>
      <c r="S1334" s="210">
        <v>4.5</v>
      </c>
      <c r="T1334" s="8">
        <v>1.0001249999999999</v>
      </c>
      <c r="U1334" s="98">
        <v>4.2680153802234999</v>
      </c>
      <c r="V1334" s="106">
        <v>29552.593944448472</v>
      </c>
      <c r="W1334" s="10">
        <v>0.8657568451099884</v>
      </c>
      <c r="X1334" s="420"/>
      <c r="Y1334" s="420"/>
      <c r="Z1334" s="1"/>
      <c r="AA1334" s="1"/>
      <c r="AB1334" s="1"/>
      <c r="AC1334" s="1"/>
      <c r="AD1334" s="1"/>
    </row>
    <row r="1335" spans="17:30">
      <c r="Q1335" s="6">
        <v>1305</v>
      </c>
      <c r="R1335" s="7">
        <v>43972</v>
      </c>
      <c r="S1335" s="210">
        <v>4.5</v>
      </c>
      <c r="T1335" s="8">
        <v>1.0001249999999999</v>
      </c>
      <c r="U1335" s="98">
        <v>4.2683212079104527</v>
      </c>
      <c r="V1335" s="106">
        <v>29555.053587421491</v>
      </c>
      <c r="W1335" s="10">
        <v>0.86626885769054418</v>
      </c>
      <c r="X1335" s="420"/>
      <c r="Y1335" s="420"/>
      <c r="Z1335" s="1"/>
      <c r="AA1335" s="1"/>
      <c r="AB1335" s="1"/>
      <c r="AC1335" s="1"/>
      <c r="AD1335" s="1"/>
    </row>
    <row r="1336" spans="17:30">
      <c r="Q1336" s="6">
        <v>1306</v>
      </c>
      <c r="R1336" s="7">
        <v>43973</v>
      </c>
      <c r="S1336" s="210">
        <v>4.5</v>
      </c>
      <c r="T1336" s="8">
        <v>1.0001249999999999</v>
      </c>
      <c r="U1336" s="98">
        <v>4.2686265681498137</v>
      </c>
      <c r="V1336" s="106">
        <v>29557.513435108991</v>
      </c>
      <c r="W1336" s="10">
        <v>0.86678008877143498</v>
      </c>
      <c r="X1336" s="420"/>
      <c r="Y1336" s="420"/>
      <c r="Z1336" s="1"/>
      <c r="AA1336" s="1"/>
      <c r="AB1336" s="1"/>
      <c r="AC1336" s="1"/>
      <c r="AD1336" s="1"/>
    </row>
    <row r="1337" spans="17:30">
      <c r="Q1337" s="6">
        <v>1307</v>
      </c>
      <c r="R1337" s="7">
        <v>43974</v>
      </c>
      <c r="S1337" s="210">
        <v>4.5</v>
      </c>
      <c r="T1337" s="8">
        <v>1.0001249999999999</v>
      </c>
      <c r="U1337" s="98">
        <v>4.2689314620124819</v>
      </c>
      <c r="V1337" s="106">
        <v>29559.973487527994</v>
      </c>
      <c r="W1337" s="10">
        <v>0.86729054014051954</v>
      </c>
      <c r="X1337" s="420"/>
      <c r="Y1337" s="420"/>
      <c r="Z1337" s="1"/>
      <c r="AA1337" s="1"/>
      <c r="AB1337" s="1"/>
      <c r="AC1337" s="1"/>
      <c r="AD1337" s="1"/>
    </row>
    <row r="1338" spans="17:30">
      <c r="Q1338" s="6">
        <v>1308</v>
      </c>
      <c r="R1338" s="7">
        <v>43975</v>
      </c>
      <c r="S1338" s="210">
        <v>4.5</v>
      </c>
      <c r="T1338" s="8">
        <v>1.0001249999999999</v>
      </c>
      <c r="U1338" s="98">
        <v>4.2692358905660921</v>
      </c>
      <c r="V1338" s="106">
        <v>29562.433744695543</v>
      </c>
      <c r="W1338" s="10">
        <v>0.86780021358021653</v>
      </c>
      <c r="X1338" s="420"/>
      <c r="Y1338" s="420"/>
      <c r="Z1338" s="1"/>
      <c r="AA1338" s="1"/>
      <c r="AB1338" s="1"/>
      <c r="AC1338" s="1"/>
      <c r="AD1338" s="1"/>
    </row>
    <row r="1339" spans="17:30">
      <c r="Q1339" s="6">
        <v>1309</v>
      </c>
      <c r="R1339" s="7">
        <v>43976</v>
      </c>
      <c r="S1339" s="210">
        <v>4.5</v>
      </c>
      <c r="T1339" s="8">
        <v>1.0001249999999999</v>
      </c>
      <c r="U1339" s="98">
        <v>4.2695398548750152</v>
      </c>
      <c r="V1339" s="106">
        <v>29564.894206628676</v>
      </c>
      <c r="W1339" s="10">
        <v>0.86830911086752671</v>
      </c>
      <c r="X1339" s="420"/>
      <c r="Y1339" s="420"/>
      <c r="Z1339" s="1"/>
      <c r="AA1339" s="1"/>
      <c r="AB1339" s="1"/>
      <c r="AC1339" s="1"/>
      <c r="AD1339" s="1"/>
    </row>
    <row r="1340" spans="17:30">
      <c r="Q1340" s="6">
        <v>1310</v>
      </c>
      <c r="R1340" s="7">
        <v>43977</v>
      </c>
      <c r="S1340" s="210">
        <v>4.5</v>
      </c>
      <c r="T1340" s="8">
        <v>1.0001249999999999</v>
      </c>
      <c r="U1340" s="98">
        <v>4.2698433560003579</v>
      </c>
      <c r="V1340" s="106">
        <v>29567.35487334444</v>
      </c>
      <c r="W1340" s="10">
        <v>0.86881723377401077</v>
      </c>
      <c r="X1340" s="420"/>
      <c r="Y1340" s="420"/>
      <c r="Z1340" s="1"/>
      <c r="AA1340" s="1"/>
      <c r="AB1340" s="1"/>
      <c r="AC1340" s="1"/>
      <c r="AD1340" s="1"/>
    </row>
    <row r="1341" spans="17:30">
      <c r="Q1341" s="6">
        <v>1311</v>
      </c>
      <c r="R1341" s="7">
        <v>43978</v>
      </c>
      <c r="S1341" s="210">
        <v>4.5</v>
      </c>
      <c r="T1341" s="8">
        <v>1.0001249999999999</v>
      </c>
      <c r="U1341" s="98">
        <v>4.2701463950000518</v>
      </c>
      <c r="V1341" s="106">
        <v>29569.815744859883</v>
      </c>
      <c r="W1341" s="10">
        <v>0.86932458406585589</v>
      </c>
      <c r="X1341" s="420"/>
      <c r="Y1341" s="420"/>
      <c r="Z1341" s="1"/>
      <c r="AA1341" s="1"/>
      <c r="AB1341" s="1"/>
      <c r="AC1341" s="1"/>
      <c r="AD1341" s="1"/>
    </row>
    <row r="1342" spans="17:30">
      <c r="Q1342" s="6">
        <v>1312</v>
      </c>
      <c r="R1342" s="7">
        <v>43979</v>
      </c>
      <c r="S1342" s="210">
        <v>4.5</v>
      </c>
      <c r="T1342" s="8">
        <v>1.0001249999999999</v>
      </c>
      <c r="U1342" s="98">
        <v>4.270448972928742</v>
      </c>
      <c r="V1342" s="106">
        <v>29572.276821192041</v>
      </c>
      <c r="W1342" s="10">
        <v>0.8698311635039202</v>
      </c>
      <c r="X1342" s="420"/>
      <c r="Y1342" s="420"/>
      <c r="Z1342" s="1"/>
      <c r="AA1342" s="1"/>
      <c r="AB1342" s="1"/>
      <c r="AC1342" s="1"/>
      <c r="AD1342" s="1"/>
    </row>
    <row r="1343" spans="17:30">
      <c r="Q1343" s="6">
        <v>1313</v>
      </c>
      <c r="R1343" s="7">
        <v>43980</v>
      </c>
      <c r="S1343" s="210">
        <v>4.5</v>
      </c>
      <c r="T1343" s="8">
        <v>1.0001249999999999</v>
      </c>
      <c r="U1343" s="98">
        <v>4.2707510908379209</v>
      </c>
      <c r="V1343" s="106">
        <v>29574.738102357962</v>
      </c>
      <c r="W1343" s="10">
        <v>0.87033697384366615</v>
      </c>
      <c r="X1343" s="420"/>
      <c r="Y1343" s="420"/>
      <c r="Z1343" s="1"/>
      <c r="AA1343" s="1"/>
      <c r="AB1343" s="1"/>
      <c r="AC1343" s="1"/>
      <c r="AD1343" s="1"/>
    </row>
    <row r="1344" spans="17:30">
      <c r="Q1344" s="6">
        <v>1314</v>
      </c>
      <c r="R1344" s="7">
        <v>43981</v>
      </c>
      <c r="S1344" s="210">
        <v>4.5</v>
      </c>
      <c r="T1344" s="8">
        <v>1.0001249999999999</v>
      </c>
      <c r="U1344" s="98">
        <v>4.271052749775861</v>
      </c>
      <c r="V1344" s="106">
        <v>29577.199588374697</v>
      </c>
      <c r="W1344" s="10">
        <v>0.87084201683524931</v>
      </c>
      <c r="X1344" s="420"/>
      <c r="Y1344" s="420"/>
      <c r="Z1344" s="1"/>
      <c r="AA1344" s="1"/>
      <c r="AB1344" s="1"/>
      <c r="AC1344" s="1"/>
      <c r="AD1344" s="1"/>
    </row>
    <row r="1345" spans="17:30">
      <c r="Q1345" s="6">
        <v>1315</v>
      </c>
      <c r="R1345" s="7">
        <v>43982</v>
      </c>
      <c r="S1345" s="210">
        <v>4.5</v>
      </c>
      <c r="T1345" s="8">
        <v>1.0001249999999999</v>
      </c>
      <c r="U1345" s="98">
        <v>4.2713539507876597</v>
      </c>
      <c r="V1345" s="106">
        <v>29579.6612792593</v>
      </c>
      <c r="W1345" s="10">
        <v>0.87134629422351839</v>
      </c>
      <c r="X1345" s="420"/>
      <c r="Y1345" s="420"/>
      <c r="Z1345" s="1"/>
      <c r="AA1345" s="1"/>
      <c r="AB1345" s="1"/>
      <c r="AC1345" s="1"/>
      <c r="AD1345" s="1"/>
    </row>
    <row r="1346" spans="17:30">
      <c r="Q1346" s="6">
        <v>1316</v>
      </c>
      <c r="R1346" s="7">
        <v>43983</v>
      </c>
      <c r="S1346" s="210">
        <v>4.5</v>
      </c>
      <c r="T1346" s="8">
        <v>1.0001249999999999</v>
      </c>
      <c r="U1346" s="98">
        <v>4.271654694915239</v>
      </c>
      <c r="V1346" s="106">
        <v>29582.123175028813</v>
      </c>
      <c r="W1346" s="10">
        <v>0.87184980774805965</v>
      </c>
      <c r="X1346" s="420"/>
      <c r="Y1346" s="420"/>
      <c r="Z1346" s="1"/>
      <c r="AA1346" s="1"/>
      <c r="AB1346" s="1"/>
      <c r="AC1346" s="1"/>
      <c r="AD1346" s="1"/>
    </row>
    <row r="1347" spans="17:30">
      <c r="Q1347" s="6">
        <v>1317</v>
      </c>
      <c r="R1347" s="7">
        <v>43984</v>
      </c>
      <c r="S1347" s="210">
        <v>4.5</v>
      </c>
      <c r="T1347" s="8">
        <v>1.0001249999999999</v>
      </c>
      <c r="U1347" s="98">
        <v>4.271954983197368</v>
      </c>
      <c r="V1347" s="106">
        <v>29584.585275700301</v>
      </c>
      <c r="W1347" s="10">
        <v>0.87235255914313026</v>
      </c>
      <c r="X1347" s="420"/>
      <c r="Y1347" s="420"/>
      <c r="Z1347" s="1"/>
      <c r="AA1347" s="1"/>
      <c r="AB1347" s="1"/>
      <c r="AC1347" s="1"/>
      <c r="AD1347" s="1"/>
    </row>
    <row r="1348" spans="17:30">
      <c r="Q1348" s="6">
        <v>1318</v>
      </c>
      <c r="R1348" s="7">
        <v>43985</v>
      </c>
      <c r="S1348" s="210">
        <v>4.5</v>
      </c>
      <c r="T1348" s="8">
        <v>1.0001249999999999</v>
      </c>
      <c r="U1348" s="98">
        <v>4.2722548166696628</v>
      </c>
      <c r="V1348" s="106">
        <v>29587.047581290801</v>
      </c>
      <c r="W1348" s="10">
        <v>0.87285455013779156</v>
      </c>
      <c r="X1348" s="420"/>
      <c r="Y1348" s="420"/>
      <c r="Z1348" s="1"/>
      <c r="AA1348" s="1"/>
      <c r="AB1348" s="1"/>
      <c r="AC1348" s="1"/>
      <c r="AD1348" s="1"/>
    </row>
    <row r="1349" spans="17:30">
      <c r="Q1349" s="6">
        <v>1319</v>
      </c>
      <c r="R1349" s="7">
        <v>43986</v>
      </c>
      <c r="S1349" s="210">
        <v>4.5</v>
      </c>
      <c r="T1349" s="8">
        <v>1.0001249999999999</v>
      </c>
      <c r="U1349" s="98">
        <v>4.2725541963646085</v>
      </c>
      <c r="V1349" s="106">
        <v>29589.510091817381</v>
      </c>
      <c r="W1349" s="10">
        <v>0.87335578245588685</v>
      </c>
      <c r="X1349" s="420"/>
      <c r="Y1349" s="420"/>
      <c r="Z1349" s="1"/>
      <c r="AA1349" s="1"/>
      <c r="AB1349" s="1"/>
      <c r="AC1349" s="1"/>
      <c r="AD1349" s="1"/>
    </row>
    <row r="1350" spans="17:30">
      <c r="Q1350" s="6">
        <v>1320</v>
      </c>
      <c r="R1350" s="7">
        <v>43987</v>
      </c>
      <c r="S1350" s="210">
        <v>4.5</v>
      </c>
      <c r="T1350" s="8">
        <v>1.0001249999999999</v>
      </c>
      <c r="U1350" s="98">
        <v>4.2728531233115596</v>
      </c>
      <c r="V1350" s="106">
        <v>29591.972807297097</v>
      </c>
      <c r="W1350" s="10">
        <v>0.87385625781601917</v>
      </c>
      <c r="X1350" s="420"/>
      <c r="Y1350" s="420"/>
      <c r="Z1350" s="1"/>
      <c r="AA1350" s="1"/>
      <c r="AB1350" s="1"/>
      <c r="AC1350" s="1"/>
      <c r="AD1350" s="1"/>
    </row>
    <row r="1351" spans="17:30">
      <c r="Q1351" s="6">
        <v>1321</v>
      </c>
      <c r="R1351" s="7">
        <v>43988</v>
      </c>
      <c r="S1351" s="210">
        <v>4.5</v>
      </c>
      <c r="T1351" s="8">
        <v>1.0001249999999999</v>
      </c>
      <c r="U1351" s="98">
        <v>4.2731515985367619</v>
      </c>
      <c r="V1351" s="106">
        <v>29594.435727747001</v>
      </c>
      <c r="W1351" s="10">
        <v>0.8743559779315957</v>
      </c>
      <c r="X1351" s="420"/>
      <c r="Y1351" s="420"/>
      <c r="Z1351" s="1"/>
      <c r="AA1351" s="1"/>
      <c r="AB1351" s="1"/>
      <c r="AC1351" s="1"/>
      <c r="AD1351" s="1"/>
    </row>
    <row r="1352" spans="17:30">
      <c r="Q1352" s="6">
        <v>1322</v>
      </c>
      <c r="R1352" s="7">
        <v>43989</v>
      </c>
      <c r="S1352" s="210">
        <v>4.5</v>
      </c>
      <c r="T1352" s="8">
        <v>1.0001249999999999</v>
      </c>
      <c r="U1352" s="98">
        <v>4.2734496230633745</v>
      </c>
      <c r="V1352" s="106">
        <v>29596.898853184157</v>
      </c>
      <c r="W1352" s="10">
        <v>0.87485494451089441</v>
      </c>
      <c r="X1352" s="420"/>
      <c r="Y1352" s="420"/>
      <c r="Z1352" s="1"/>
      <c r="AA1352" s="1"/>
      <c r="AB1352" s="1"/>
      <c r="AC1352" s="1"/>
      <c r="AD1352" s="1"/>
    </row>
    <row r="1353" spans="17:30">
      <c r="Q1353" s="6">
        <v>1323</v>
      </c>
      <c r="R1353" s="7">
        <v>43990</v>
      </c>
      <c r="S1353" s="210">
        <v>4.5</v>
      </c>
      <c r="T1353" s="8">
        <v>1.0001249999999999</v>
      </c>
      <c r="U1353" s="98">
        <v>4.2737471979114705</v>
      </c>
      <c r="V1353" s="106">
        <v>29599.362183625621</v>
      </c>
      <c r="W1353" s="10">
        <v>0.87535315925706403</v>
      </c>
      <c r="X1353" s="420"/>
      <c r="Y1353" s="420"/>
      <c r="Z1353" s="1"/>
      <c r="AA1353" s="1"/>
      <c r="AB1353" s="1"/>
      <c r="AC1353" s="1"/>
      <c r="AD1353" s="1"/>
    </row>
    <row r="1354" spans="17:30">
      <c r="Q1354" s="6">
        <v>1324</v>
      </c>
      <c r="R1354" s="7">
        <v>43991</v>
      </c>
      <c r="S1354" s="210">
        <v>4.5</v>
      </c>
      <c r="T1354" s="8">
        <v>1.0001249999999999</v>
      </c>
      <c r="U1354" s="98">
        <v>4.2740443240980142</v>
      </c>
      <c r="V1354" s="106">
        <v>29601.825719088458</v>
      </c>
      <c r="W1354" s="10">
        <v>0.87585062386805745</v>
      </c>
      <c r="X1354" s="420"/>
      <c r="Y1354" s="420"/>
      <c r="Z1354" s="1"/>
      <c r="AA1354" s="1"/>
      <c r="AB1354" s="1"/>
      <c r="AC1354" s="1"/>
      <c r="AD1354" s="1"/>
    </row>
    <row r="1355" spans="17:30">
      <c r="Q1355" s="6">
        <v>1325</v>
      </c>
      <c r="R1355" s="7">
        <v>43992</v>
      </c>
      <c r="S1355" s="210">
        <v>4.5</v>
      </c>
      <c r="T1355" s="8">
        <v>1.0001249999999999</v>
      </c>
      <c r="U1355" s="98">
        <v>4.2743410026369499</v>
      </c>
      <c r="V1355" s="106">
        <v>29604.37158780453</v>
      </c>
      <c r="W1355" s="10">
        <v>0.87627024910281737</v>
      </c>
      <c r="X1355" s="420"/>
      <c r="Y1355" s="420"/>
      <c r="Z1355" s="1"/>
      <c r="AA1355" s="1"/>
      <c r="AB1355" s="1"/>
      <c r="AC1355" s="1"/>
      <c r="AD1355" s="1"/>
    </row>
    <row r="1356" spans="17:30">
      <c r="Q1356" s="6">
        <v>1326</v>
      </c>
      <c r="R1356" s="7">
        <v>43993</v>
      </c>
      <c r="S1356" s="210">
        <v>4.5</v>
      </c>
      <c r="T1356" s="8">
        <v>1.0001249999999999</v>
      </c>
      <c r="U1356" s="98">
        <v>4.2746372345391359</v>
      </c>
      <c r="V1356" s="106">
        <v>29606.917675474913</v>
      </c>
      <c r="W1356" s="10">
        <v>0.87668924316028907</v>
      </c>
      <c r="X1356" s="420"/>
      <c r="Y1356" s="420"/>
      <c r="Z1356" s="1"/>
      <c r="AA1356" s="1"/>
      <c r="AB1356" s="1"/>
      <c r="AC1356" s="1"/>
      <c r="AD1356" s="1"/>
    </row>
    <row r="1357" spans="17:30">
      <c r="Q1357" s="6">
        <v>1327</v>
      </c>
      <c r="R1357" s="7">
        <v>43994</v>
      </c>
      <c r="S1357" s="210">
        <v>4.5</v>
      </c>
      <c r="T1357" s="8">
        <v>1.0001249999999999</v>
      </c>
      <c r="U1357" s="98">
        <v>4.2749330208123881</v>
      </c>
      <c r="V1357" s="106">
        <v>29609.46398211845</v>
      </c>
      <c r="W1357" s="10">
        <v>0.87710760746346761</v>
      </c>
      <c r="X1357" s="420"/>
      <c r="Y1357" s="420"/>
      <c r="Z1357" s="1"/>
      <c r="AA1357" s="1"/>
      <c r="AB1357" s="1"/>
      <c r="AC1357" s="1"/>
      <c r="AD1357" s="1"/>
    </row>
    <row r="1358" spans="17:30">
      <c r="Q1358" s="6">
        <v>1328</v>
      </c>
      <c r="R1358" s="7">
        <v>43995</v>
      </c>
      <c r="S1358" s="210">
        <v>4.5</v>
      </c>
      <c r="T1358" s="8">
        <v>1.0001249999999999</v>
      </c>
      <c r="U1358" s="98">
        <v>4.275228362461525</v>
      </c>
      <c r="V1358" s="106">
        <v>29612.010507753959</v>
      </c>
      <c r="W1358" s="10">
        <v>0.87752534343108479</v>
      </c>
      <c r="X1358" s="420"/>
      <c r="Y1358" s="420"/>
      <c r="Z1358" s="1"/>
      <c r="AA1358" s="1"/>
      <c r="AB1358" s="1"/>
      <c r="AC1358" s="1"/>
      <c r="AD1358" s="1"/>
    </row>
    <row r="1359" spans="17:30">
      <c r="Q1359" s="6">
        <v>1329</v>
      </c>
      <c r="R1359" s="7">
        <v>43996</v>
      </c>
      <c r="S1359" s="210">
        <v>4.5</v>
      </c>
      <c r="T1359" s="8">
        <v>1.0001249999999999</v>
      </c>
      <c r="U1359" s="98">
        <v>4.2755232604883231</v>
      </c>
      <c r="V1359" s="106">
        <v>29614.557252400289</v>
      </c>
      <c r="W1359" s="10">
        <v>0.87794245247760916</v>
      </c>
      <c r="X1359" s="420"/>
      <c r="Y1359" s="420"/>
      <c r="Z1359" s="1"/>
      <c r="AA1359" s="1"/>
      <c r="AB1359" s="1"/>
      <c r="AC1359" s="1"/>
      <c r="AD1359" s="1"/>
    </row>
    <row r="1360" spans="17:30">
      <c r="Q1360" s="6">
        <v>1330</v>
      </c>
      <c r="R1360" s="7">
        <v>43997</v>
      </c>
      <c r="S1360" s="210">
        <v>4.5</v>
      </c>
      <c r="T1360" s="8">
        <v>1.0001249999999999</v>
      </c>
      <c r="U1360" s="98">
        <v>4.2758177158915611</v>
      </c>
      <c r="V1360" s="106">
        <v>29617.104216076266</v>
      </c>
      <c r="W1360" s="10">
        <v>0.8783589360132682</v>
      </c>
      <c r="X1360" s="420"/>
      <c r="Y1360" s="420"/>
      <c r="Z1360" s="1"/>
      <c r="AA1360" s="1"/>
      <c r="AB1360" s="1"/>
      <c r="AC1360" s="1"/>
      <c r="AD1360" s="1"/>
    </row>
    <row r="1361" spans="17:30">
      <c r="Q1361" s="6">
        <v>1331</v>
      </c>
      <c r="R1361" s="7">
        <v>43998</v>
      </c>
      <c r="S1361" s="210">
        <v>4.5</v>
      </c>
      <c r="T1361" s="8">
        <v>1.0001249999999999</v>
      </c>
      <c r="U1361" s="98">
        <v>4.2761117296670204</v>
      </c>
      <c r="V1361" s="106">
        <v>29619.651398800735</v>
      </c>
      <c r="W1361" s="10">
        <v>0.87877479544404835</v>
      </c>
      <c r="X1361" s="420"/>
      <c r="Y1361" s="420"/>
      <c r="Z1361" s="1"/>
      <c r="AA1361" s="1"/>
      <c r="AB1361" s="1"/>
      <c r="AC1361" s="1"/>
      <c r="AD1361" s="1"/>
    </row>
    <row r="1362" spans="17:30">
      <c r="Q1362" s="6">
        <v>1332</v>
      </c>
      <c r="R1362" s="7">
        <v>43999</v>
      </c>
      <c r="S1362" s="210">
        <v>4.5</v>
      </c>
      <c r="T1362" s="8">
        <v>1.0001249999999999</v>
      </c>
      <c r="U1362" s="98">
        <v>4.2764053028074622</v>
      </c>
      <c r="V1362" s="106">
        <v>29622.198800592523</v>
      </c>
      <c r="W1362" s="10">
        <v>0.87919003217173941</v>
      </c>
      <c r="X1362" s="420"/>
      <c r="Y1362" s="420"/>
      <c r="Z1362" s="1"/>
      <c r="AA1362" s="1"/>
      <c r="AB1362" s="1"/>
      <c r="AC1362" s="1"/>
      <c r="AD1362" s="1"/>
    </row>
    <row r="1363" spans="17:30">
      <c r="Q1363" s="6">
        <v>1333</v>
      </c>
      <c r="R1363" s="7">
        <v>44000</v>
      </c>
      <c r="S1363" s="210">
        <v>4.5</v>
      </c>
      <c r="T1363" s="8">
        <v>1.0001249999999999</v>
      </c>
      <c r="U1363" s="98">
        <v>4.2766984363027394</v>
      </c>
      <c r="V1363" s="106">
        <v>29624.746421470481</v>
      </c>
      <c r="W1363" s="10">
        <v>0.87960464759395673</v>
      </c>
      <c r="X1363" s="420"/>
      <c r="Y1363" s="420"/>
      <c r="Z1363" s="1"/>
      <c r="AA1363" s="1"/>
      <c r="AB1363" s="1"/>
      <c r="AC1363" s="1"/>
      <c r="AD1363" s="1"/>
    </row>
    <row r="1364" spans="17:30">
      <c r="Q1364" s="6">
        <v>1334</v>
      </c>
      <c r="R1364" s="7">
        <v>44001</v>
      </c>
      <c r="S1364" s="210">
        <v>4.5</v>
      </c>
      <c r="T1364" s="8">
        <v>1.0001249999999999</v>
      </c>
      <c r="U1364" s="98">
        <v>4.2769911311396847</v>
      </c>
      <c r="V1364" s="106">
        <v>29627.294261453448</v>
      </c>
      <c r="W1364" s="10">
        <v>0.88001864310405242</v>
      </c>
      <c r="X1364" s="420"/>
      <c r="Y1364" s="420"/>
      <c r="Z1364" s="1"/>
      <c r="AA1364" s="1"/>
      <c r="AB1364" s="1"/>
      <c r="AC1364" s="1"/>
      <c r="AD1364" s="1"/>
    </row>
    <row r="1365" spans="17:30">
      <c r="Q1365" s="6">
        <v>1335</v>
      </c>
      <c r="R1365" s="7">
        <v>44002</v>
      </c>
      <c r="S1365" s="210">
        <v>4.5</v>
      </c>
      <c r="T1365" s="8">
        <v>1.0001249999999999</v>
      </c>
      <c r="U1365" s="98">
        <v>4.2772833883022221</v>
      </c>
      <c r="V1365" s="106">
        <v>29629.842320560267</v>
      </c>
      <c r="W1365" s="10">
        <v>0.88043202009133736</v>
      </c>
      <c r="X1365" s="420"/>
      <c r="Y1365" s="420"/>
      <c r="Z1365" s="1"/>
      <c r="AA1365" s="1"/>
      <c r="AB1365" s="1"/>
      <c r="AC1365" s="1"/>
      <c r="AD1365" s="1"/>
    </row>
    <row r="1366" spans="17:30">
      <c r="Q1366" s="6">
        <v>1336</v>
      </c>
      <c r="R1366" s="7">
        <v>44003</v>
      </c>
      <c r="S1366" s="210">
        <v>4.5</v>
      </c>
      <c r="T1366" s="8">
        <v>1.0001249999999999</v>
      </c>
      <c r="U1366" s="98">
        <v>4.2775752087713004</v>
      </c>
      <c r="V1366" s="106">
        <v>29632.390598809787</v>
      </c>
      <c r="W1366" s="10">
        <v>0.8808447799409036</v>
      </c>
      <c r="X1366" s="420"/>
      <c r="Y1366" s="420"/>
      <c r="Z1366" s="1"/>
      <c r="AA1366" s="1"/>
      <c r="AB1366" s="1"/>
      <c r="AC1366" s="1"/>
      <c r="AD1366" s="1"/>
    </row>
    <row r="1367" spans="17:30">
      <c r="Q1367" s="6">
        <v>1337</v>
      </c>
      <c r="R1367" s="7">
        <v>44004</v>
      </c>
      <c r="S1367" s="210">
        <v>4.5</v>
      </c>
      <c r="T1367" s="8">
        <v>1.0001249999999999</v>
      </c>
      <c r="U1367" s="98">
        <v>4.2778665935249593</v>
      </c>
      <c r="V1367" s="106">
        <v>29634.939096220853</v>
      </c>
      <c r="W1367" s="10">
        <v>0.88125692403369094</v>
      </c>
      <c r="X1367" s="420"/>
      <c r="Y1367" s="420"/>
      <c r="Z1367" s="1"/>
      <c r="AA1367" s="1"/>
      <c r="AB1367" s="1"/>
      <c r="AC1367" s="1"/>
      <c r="AD1367" s="1"/>
    </row>
    <row r="1368" spans="17:30">
      <c r="Q1368" s="6">
        <v>1338</v>
      </c>
      <c r="R1368" s="7">
        <v>44005</v>
      </c>
      <c r="S1368" s="210">
        <v>4.5</v>
      </c>
      <c r="T1368" s="8">
        <v>1.0001249999999999</v>
      </c>
      <c r="U1368" s="98">
        <v>4.2781575435383301</v>
      </c>
      <c r="V1368" s="106">
        <v>29637.487812812313</v>
      </c>
      <c r="W1368" s="10">
        <v>0.88166845374659797</v>
      </c>
      <c r="X1368" s="420"/>
      <c r="Y1368" s="420"/>
      <c r="Z1368" s="1"/>
      <c r="AA1368" s="1"/>
      <c r="AB1368" s="1"/>
      <c r="AC1368" s="1"/>
      <c r="AD1368" s="1"/>
    </row>
    <row r="1369" spans="17:30">
      <c r="Q1369" s="6">
        <v>1339</v>
      </c>
      <c r="R1369" s="7">
        <v>44006</v>
      </c>
      <c r="S1369" s="210">
        <v>4.5</v>
      </c>
      <c r="T1369" s="8">
        <v>1.0001249999999999</v>
      </c>
      <c r="U1369" s="98">
        <v>4.2784480597836128</v>
      </c>
      <c r="V1369" s="106">
        <v>29640.036748603012</v>
      </c>
      <c r="W1369" s="10">
        <v>0.88207937045232665</v>
      </c>
      <c r="X1369" s="420"/>
      <c r="Y1369" s="420"/>
      <c r="Z1369" s="1"/>
      <c r="AA1369" s="1"/>
      <c r="AB1369" s="1"/>
      <c r="AC1369" s="1"/>
      <c r="AD1369" s="1"/>
    </row>
    <row r="1370" spans="17:30">
      <c r="Q1370" s="6">
        <v>1340</v>
      </c>
      <c r="R1370" s="7">
        <v>44007</v>
      </c>
      <c r="S1370" s="210">
        <v>4.5</v>
      </c>
      <c r="T1370" s="8">
        <v>1.0001249999999999</v>
      </c>
      <c r="U1370" s="98">
        <v>4.2787381432301208</v>
      </c>
      <c r="V1370" s="106">
        <v>29642.585903611813</v>
      </c>
      <c r="W1370" s="10">
        <v>0.88248967551958213</v>
      </c>
      <c r="X1370" s="420"/>
      <c r="Y1370" s="420"/>
      <c r="Z1370" s="1"/>
      <c r="AA1370" s="1"/>
      <c r="AB1370" s="1"/>
      <c r="AC1370" s="1"/>
      <c r="AD1370" s="1"/>
    </row>
    <row r="1371" spans="17:30">
      <c r="Q1371" s="6">
        <v>1341</v>
      </c>
      <c r="R1371" s="7">
        <v>44008</v>
      </c>
      <c r="S1371" s="210">
        <v>4.5</v>
      </c>
      <c r="T1371" s="8">
        <v>1.0001249999999999</v>
      </c>
      <c r="U1371" s="98">
        <v>4.2790277948442812</v>
      </c>
      <c r="V1371" s="106">
        <v>29645.135277857567</v>
      </c>
      <c r="W1371" s="10">
        <v>0.88289937031293952</v>
      </c>
      <c r="X1371" s="420"/>
      <c r="Y1371" s="420"/>
      <c r="Z1371" s="1"/>
      <c r="AA1371" s="1"/>
      <c r="AB1371" s="1"/>
      <c r="AC1371" s="1"/>
      <c r="AD1371" s="1"/>
    </row>
    <row r="1372" spans="17:30">
      <c r="Q1372" s="6">
        <v>1342</v>
      </c>
      <c r="R1372" s="7">
        <v>44009</v>
      </c>
      <c r="S1372" s="210">
        <v>4.5</v>
      </c>
      <c r="T1372" s="8">
        <v>1.0001249999999999</v>
      </c>
      <c r="U1372" s="98">
        <v>4.2793170155896343</v>
      </c>
      <c r="V1372" s="106">
        <v>29647.684871359117</v>
      </c>
      <c r="W1372" s="10">
        <v>0.88330845619291054</v>
      </c>
      <c r="X1372" s="420"/>
      <c r="Y1372" s="420"/>
      <c r="Z1372" s="1"/>
      <c r="AA1372" s="1"/>
      <c r="AB1372" s="1"/>
      <c r="AC1372" s="1"/>
      <c r="AD1372" s="1"/>
    </row>
    <row r="1373" spans="17:30">
      <c r="Q1373" s="6">
        <v>1343</v>
      </c>
      <c r="R1373" s="7">
        <v>44010</v>
      </c>
      <c r="S1373" s="210">
        <v>4.5</v>
      </c>
      <c r="T1373" s="8">
        <v>1.0001249999999999</v>
      </c>
      <c r="U1373" s="98">
        <v>4.2796058064268783</v>
      </c>
      <c r="V1373" s="106">
        <v>29650.234684135332</v>
      </c>
      <c r="W1373" s="10">
        <v>0.88371693451601008</v>
      </c>
      <c r="X1373" s="420"/>
      <c r="Y1373" s="420"/>
      <c r="Z1373" s="1"/>
      <c r="AA1373" s="1"/>
      <c r="AB1373" s="1"/>
      <c r="AC1373" s="1"/>
      <c r="AD1373" s="1"/>
    </row>
    <row r="1374" spans="17:30">
      <c r="Q1374" s="6">
        <v>1344</v>
      </c>
      <c r="R1374" s="7">
        <v>44011</v>
      </c>
      <c r="S1374" s="210">
        <v>4.5</v>
      </c>
      <c r="T1374" s="8">
        <v>1.0001249999999999</v>
      </c>
      <c r="U1374" s="98">
        <v>4.2798941683138469</v>
      </c>
      <c r="V1374" s="106">
        <v>29652.784716205071</v>
      </c>
      <c r="W1374" s="10">
        <v>0.88412480663473403</v>
      </c>
      <c r="X1374" s="420"/>
      <c r="Y1374" s="420"/>
      <c r="Z1374" s="1"/>
      <c r="AA1374" s="1"/>
      <c r="AB1374" s="1"/>
      <c r="AC1374" s="1"/>
      <c r="AD1374" s="1"/>
    </row>
    <row r="1375" spans="17:30">
      <c r="Q1375" s="6">
        <v>1345</v>
      </c>
      <c r="R1375" s="7">
        <v>44012</v>
      </c>
      <c r="S1375" s="210">
        <v>4.5</v>
      </c>
      <c r="T1375" s="8">
        <v>1.0001249999999999</v>
      </c>
      <c r="U1375" s="98">
        <v>4.280182102205532</v>
      </c>
      <c r="V1375" s="106">
        <v>29655.33496758719</v>
      </c>
      <c r="W1375" s="10">
        <v>0.88453207389749267</v>
      </c>
      <c r="X1375" s="420"/>
      <c r="Y1375" s="420"/>
      <c r="Z1375" s="1"/>
      <c r="AA1375" s="1"/>
      <c r="AB1375" s="1"/>
      <c r="AC1375" s="1"/>
      <c r="AD1375" s="1"/>
    </row>
    <row r="1376" spans="17:30">
      <c r="Q1376" s="6">
        <v>1346</v>
      </c>
      <c r="R1376" s="7">
        <v>44013</v>
      </c>
      <c r="S1376" s="210">
        <v>4.5</v>
      </c>
      <c r="T1376" s="8">
        <v>1.0001249999999999</v>
      </c>
      <c r="U1376" s="98">
        <v>4.2804696090540828</v>
      </c>
      <c r="V1376" s="106">
        <v>29657.885438300553</v>
      </c>
      <c r="W1376" s="10">
        <v>0.88493873764878828</v>
      </c>
      <c r="X1376" s="420"/>
      <c r="Y1376" s="420"/>
      <c r="Z1376" s="1"/>
      <c r="AA1376" s="1"/>
      <c r="AB1376" s="1"/>
      <c r="AC1376" s="1"/>
      <c r="AD1376" s="1"/>
    </row>
    <row r="1377" spans="17:30">
      <c r="Q1377" s="6">
        <v>1347</v>
      </c>
      <c r="R1377" s="7">
        <v>44014</v>
      </c>
      <c r="S1377" s="210">
        <v>4.5</v>
      </c>
      <c r="T1377" s="8">
        <v>1.0001249999999999</v>
      </c>
      <c r="U1377" s="98">
        <v>4.280756689808829</v>
      </c>
      <c r="V1377" s="106">
        <v>29660.436128364021</v>
      </c>
      <c r="W1377" s="10">
        <v>0.88534479922903753</v>
      </c>
      <c r="X1377" s="420"/>
      <c r="Y1377" s="420"/>
      <c r="Z1377" s="1"/>
      <c r="AA1377" s="1"/>
      <c r="AB1377" s="1"/>
      <c r="AC1377" s="1"/>
      <c r="AD1377" s="1"/>
    </row>
    <row r="1378" spans="17:30">
      <c r="Q1378" s="6">
        <v>1348</v>
      </c>
      <c r="R1378" s="7">
        <v>44015</v>
      </c>
      <c r="S1378" s="210">
        <v>4.5</v>
      </c>
      <c r="T1378" s="8">
        <v>1.0001249999999999</v>
      </c>
      <c r="U1378" s="98">
        <v>4.2810433454163022</v>
      </c>
      <c r="V1378" s="106">
        <v>29662.987037796458</v>
      </c>
      <c r="W1378" s="10">
        <v>0.88575025997481571</v>
      </c>
      <c r="X1378" s="420"/>
      <c r="Y1378" s="420"/>
      <c r="Z1378" s="1"/>
      <c r="AA1378" s="1"/>
      <c r="AB1378" s="1"/>
      <c r="AC1378" s="1"/>
      <c r="AD1378" s="1"/>
    </row>
    <row r="1379" spans="17:30">
      <c r="Q1379" s="6">
        <v>1349</v>
      </c>
      <c r="R1379" s="7">
        <v>44016</v>
      </c>
      <c r="S1379" s="210">
        <v>4.5</v>
      </c>
      <c r="T1379" s="8">
        <v>1.0001249999999999</v>
      </c>
      <c r="U1379" s="98">
        <v>4.2813295768202364</v>
      </c>
      <c r="V1379" s="106">
        <v>29665.538166616734</v>
      </c>
      <c r="W1379" s="10">
        <v>0.88615512121867912</v>
      </c>
      <c r="X1379" s="420"/>
      <c r="Y1379" s="420"/>
      <c r="Z1379" s="1"/>
      <c r="AA1379" s="1"/>
      <c r="AB1379" s="1"/>
      <c r="AC1379" s="1"/>
      <c r="AD1379" s="1"/>
    </row>
    <row r="1380" spans="17:30">
      <c r="Q1380" s="6">
        <v>1350</v>
      </c>
      <c r="R1380" s="7">
        <v>44017</v>
      </c>
      <c r="S1380" s="210">
        <v>4.5</v>
      </c>
      <c r="T1380" s="8">
        <v>1.0001249999999999</v>
      </c>
      <c r="U1380" s="98">
        <v>4.2816153849615457</v>
      </c>
      <c r="V1380" s="106">
        <v>29668.089514843708</v>
      </c>
      <c r="W1380" s="10">
        <v>0.88655938428923164</v>
      </c>
      <c r="X1380" s="420"/>
      <c r="Y1380" s="420"/>
      <c r="Z1380" s="1"/>
      <c r="AA1380" s="1"/>
      <c r="AB1380" s="1"/>
      <c r="AC1380" s="1"/>
      <c r="AD1380" s="1"/>
    </row>
    <row r="1381" spans="17:30">
      <c r="Q1381" s="6">
        <v>1351</v>
      </c>
      <c r="R1381" s="7">
        <v>44018</v>
      </c>
      <c r="S1381" s="210">
        <v>4.5</v>
      </c>
      <c r="T1381" s="8">
        <v>1.0001249999999999</v>
      </c>
      <c r="U1381" s="98">
        <v>4.2819007707783907</v>
      </c>
      <c r="V1381" s="106">
        <v>29670.641082496266</v>
      </c>
      <c r="W1381" s="10">
        <v>0.88696305051116919</v>
      </c>
      <c r="X1381" s="420"/>
      <c r="Y1381" s="420"/>
      <c r="Z1381" s="1"/>
      <c r="AA1381" s="1"/>
      <c r="AB1381" s="1"/>
      <c r="AC1381" s="1"/>
      <c r="AD1381" s="1"/>
    </row>
    <row r="1382" spans="17:30">
      <c r="Q1382" s="6">
        <v>1352</v>
      </c>
      <c r="R1382" s="7">
        <v>44019</v>
      </c>
      <c r="S1382" s="210">
        <v>4.5</v>
      </c>
      <c r="T1382" s="8">
        <v>1.0001249999999999</v>
      </c>
      <c r="U1382" s="98">
        <v>4.2821857352061565</v>
      </c>
      <c r="V1382" s="106">
        <v>29673.192869593266</v>
      </c>
      <c r="W1382" s="10">
        <v>0.88736612120527969</v>
      </c>
      <c r="X1382" s="420"/>
      <c r="Y1382" s="420"/>
      <c r="Z1382" s="1"/>
      <c r="AA1382" s="1"/>
      <c r="AB1382" s="1"/>
      <c r="AC1382" s="1"/>
      <c r="AD1382" s="1"/>
    </row>
    <row r="1383" spans="17:30">
      <c r="Q1383" s="6">
        <v>1353</v>
      </c>
      <c r="R1383" s="7">
        <v>44020</v>
      </c>
      <c r="S1383" s="210">
        <v>4.5</v>
      </c>
      <c r="T1383" s="8">
        <v>1.0001249999999999</v>
      </c>
      <c r="U1383" s="98">
        <v>4.2824702791774527</v>
      </c>
      <c r="V1383" s="106">
        <v>29675.744876153589</v>
      </c>
      <c r="W1383" s="10">
        <v>0.88776859768848748</v>
      </c>
      <c r="X1383" s="420"/>
      <c r="Y1383" s="420"/>
      <c r="Z1383" s="1"/>
      <c r="AA1383" s="1"/>
      <c r="AB1383" s="1"/>
      <c r="AC1383" s="1"/>
      <c r="AD1383" s="1"/>
    </row>
    <row r="1384" spans="17:30">
      <c r="Q1384" s="6">
        <v>1354</v>
      </c>
      <c r="R1384" s="7">
        <v>44021</v>
      </c>
      <c r="S1384" s="210">
        <v>4.5</v>
      </c>
      <c r="T1384" s="8">
        <v>1.0001249999999999</v>
      </c>
      <c r="U1384" s="98">
        <v>4.2827544036221354</v>
      </c>
      <c r="V1384" s="106">
        <v>29678.297102196106</v>
      </c>
      <c r="W1384" s="10">
        <v>0.88817048127378673</v>
      </c>
      <c r="X1384" s="420"/>
      <c r="Y1384" s="420"/>
      <c r="Z1384" s="1"/>
      <c r="AA1384" s="1"/>
      <c r="AB1384" s="1"/>
      <c r="AC1384" s="1"/>
      <c r="AD1384" s="1"/>
    </row>
    <row r="1385" spans="17:30">
      <c r="Q1385" s="6">
        <v>1355</v>
      </c>
      <c r="R1385" s="7">
        <v>44022</v>
      </c>
      <c r="S1385" s="210">
        <v>4.5</v>
      </c>
      <c r="T1385" s="8">
        <v>1.0001249999999999</v>
      </c>
      <c r="U1385" s="98">
        <v>4.283038109467352</v>
      </c>
      <c r="V1385" s="106">
        <v>29680.767207360343</v>
      </c>
      <c r="W1385" s="10">
        <v>0.88864716658609844</v>
      </c>
      <c r="X1385" s="420"/>
      <c r="Y1385" s="420"/>
      <c r="Z1385" s="1"/>
      <c r="AA1385" s="1"/>
      <c r="AB1385" s="1"/>
      <c r="AC1385" s="1"/>
      <c r="AD1385" s="1"/>
    </row>
    <row r="1386" spans="17:30">
      <c r="Q1386" s="6">
        <v>1356</v>
      </c>
      <c r="R1386" s="7">
        <v>44023</v>
      </c>
      <c r="S1386" s="210">
        <v>4.5</v>
      </c>
      <c r="T1386" s="8">
        <v>1.0001249999999999</v>
      </c>
      <c r="U1386" s="98">
        <v>4.2833213976374962</v>
      </c>
      <c r="V1386" s="106">
        <v>29683.237518109814</v>
      </c>
      <c r="W1386" s="10">
        <v>0.88912315107003703</v>
      </c>
      <c r="X1386" s="420"/>
      <c r="Y1386" s="420"/>
      <c r="Z1386" s="1"/>
      <c r="AA1386" s="1"/>
      <c r="AB1386" s="1"/>
      <c r="AC1386" s="1"/>
      <c r="AD1386" s="1"/>
    </row>
    <row r="1387" spans="17:30">
      <c r="Q1387" s="6">
        <v>1357</v>
      </c>
      <c r="R1387" s="7">
        <v>44024</v>
      </c>
      <c r="S1387" s="210">
        <v>4.5</v>
      </c>
      <c r="T1387" s="8">
        <v>1.0001249999999999</v>
      </c>
      <c r="U1387" s="98">
        <v>4.2836042690542531</v>
      </c>
      <c r="V1387" s="106">
        <v>29685.708034461619</v>
      </c>
      <c r="W1387" s="10">
        <v>0.88959843627003377</v>
      </c>
      <c r="X1387" s="420"/>
      <c r="Y1387" s="420"/>
      <c r="Z1387" s="1"/>
      <c r="AA1387" s="1"/>
      <c r="AB1387" s="1"/>
      <c r="AC1387" s="1"/>
      <c r="AD1387" s="1"/>
    </row>
    <row r="1388" spans="17:30">
      <c r="Q1388" s="6">
        <v>1358</v>
      </c>
      <c r="R1388" s="7">
        <v>44025</v>
      </c>
      <c r="S1388" s="210">
        <v>4.5</v>
      </c>
      <c r="T1388" s="8">
        <v>1.0001249999999999</v>
      </c>
      <c r="U1388" s="98">
        <v>4.2838867246365764</v>
      </c>
      <c r="V1388" s="106">
        <v>29688.178756432884</v>
      </c>
      <c r="W1388" s="10">
        <v>0.89007302372590136</v>
      </c>
      <c r="X1388" s="420"/>
      <c r="Y1388" s="420"/>
      <c r="Z1388" s="1"/>
      <c r="AA1388" s="1"/>
      <c r="AB1388" s="1"/>
      <c r="AC1388" s="1"/>
      <c r="AD1388" s="1"/>
    </row>
    <row r="1389" spans="17:30">
      <c r="Q1389" s="6">
        <v>1359</v>
      </c>
      <c r="R1389" s="7">
        <v>44026</v>
      </c>
      <c r="S1389" s="210">
        <v>4.5</v>
      </c>
      <c r="T1389" s="8">
        <v>1.0001249999999999</v>
      </c>
      <c r="U1389" s="98">
        <v>4.2841687653007554</v>
      </c>
      <c r="V1389" s="106">
        <v>29690.649684040709</v>
      </c>
      <c r="W1389" s="10">
        <v>0.89054691497305605</v>
      </c>
      <c r="X1389" s="420"/>
      <c r="Y1389" s="420"/>
      <c r="Z1389" s="1"/>
      <c r="AA1389" s="1"/>
      <c r="AB1389" s="1"/>
      <c r="AC1389" s="1"/>
      <c r="AD1389" s="1"/>
    </row>
    <row r="1390" spans="17:30">
      <c r="Q1390" s="6">
        <v>1360</v>
      </c>
      <c r="R1390" s="7">
        <v>44027</v>
      </c>
      <c r="S1390" s="210">
        <v>4.5</v>
      </c>
      <c r="T1390" s="8">
        <v>1.0001249999999999</v>
      </c>
      <c r="U1390" s="98">
        <v>4.2844503919603483</v>
      </c>
      <c r="V1390" s="106">
        <v>29693.120817302221</v>
      </c>
      <c r="W1390" s="10">
        <v>0.89102011154229555</v>
      </c>
      <c r="X1390" s="420"/>
      <c r="Y1390" s="420"/>
      <c r="Z1390" s="1"/>
      <c r="AA1390" s="1"/>
      <c r="AB1390" s="1"/>
      <c r="AC1390" s="1"/>
      <c r="AD1390" s="1"/>
    </row>
    <row r="1391" spans="17:30">
      <c r="Q1391" s="6">
        <v>1361</v>
      </c>
      <c r="R1391" s="7">
        <v>44028</v>
      </c>
      <c r="S1391" s="210">
        <v>4.5</v>
      </c>
      <c r="T1391" s="8">
        <v>1.0001249999999999</v>
      </c>
      <c r="U1391" s="98">
        <v>4.2847316055262707</v>
      </c>
      <c r="V1391" s="106">
        <v>29695.592156234525</v>
      </c>
      <c r="W1391" s="10">
        <v>0.89149261496002108</v>
      </c>
      <c r="X1391" s="420"/>
      <c r="Y1391" s="420"/>
      <c r="Z1391" s="1"/>
      <c r="AA1391" s="1"/>
      <c r="AB1391" s="1"/>
      <c r="AC1391" s="1"/>
      <c r="AD1391" s="1"/>
    </row>
    <row r="1392" spans="17:30">
      <c r="Q1392" s="6">
        <v>1362</v>
      </c>
      <c r="R1392" s="7">
        <v>44029</v>
      </c>
      <c r="S1392" s="210">
        <v>4.5</v>
      </c>
      <c r="T1392" s="8">
        <v>1.0001249999999999</v>
      </c>
      <c r="U1392" s="98">
        <v>4.2850124069067519</v>
      </c>
      <c r="V1392" s="106">
        <v>29698.063700854742</v>
      </c>
      <c r="W1392" s="10">
        <v>0.89196442674814858</v>
      </c>
      <c r="X1392" s="420"/>
      <c r="Y1392" s="420"/>
      <c r="Z1392" s="1"/>
      <c r="AA1392" s="1"/>
      <c r="AB1392" s="1"/>
      <c r="AC1392" s="1"/>
      <c r="AD1392" s="1"/>
    </row>
    <row r="1393" spans="17:30">
      <c r="Q1393" s="6">
        <v>1363</v>
      </c>
      <c r="R1393" s="7">
        <v>44030</v>
      </c>
      <c r="S1393" s="210">
        <v>4.5</v>
      </c>
      <c r="T1393" s="8">
        <v>1.0001249999999999</v>
      </c>
      <c r="U1393" s="98">
        <v>4.2852927970073562</v>
      </c>
      <c r="V1393" s="106">
        <v>29700.535451179996</v>
      </c>
      <c r="W1393" s="10">
        <v>0.89243554842410866</v>
      </c>
      <c r="X1393" s="420"/>
      <c r="Y1393" s="420"/>
      <c r="Z1393" s="1"/>
      <c r="AA1393" s="1"/>
      <c r="AB1393" s="1"/>
      <c r="AC1393" s="1"/>
      <c r="AD1393" s="1"/>
    </row>
    <row r="1394" spans="17:30">
      <c r="Q1394" s="6">
        <v>1364</v>
      </c>
      <c r="R1394" s="7">
        <v>44031</v>
      </c>
      <c r="S1394" s="210">
        <v>4.5</v>
      </c>
      <c r="T1394" s="8">
        <v>1.0001249999999999</v>
      </c>
      <c r="U1394" s="98">
        <v>4.2855727767310059</v>
      </c>
      <c r="V1394" s="106">
        <v>29703.007407227407</v>
      </c>
      <c r="W1394" s="10">
        <v>0.89290598150093548</v>
      </c>
      <c r="X1394" s="420"/>
      <c r="Y1394" s="420"/>
      <c r="Z1394" s="1"/>
      <c r="AA1394" s="1"/>
      <c r="AB1394" s="1"/>
      <c r="AC1394" s="1"/>
      <c r="AD1394" s="1"/>
    </row>
    <row r="1395" spans="17:30">
      <c r="Q1395" s="6">
        <v>1365</v>
      </c>
      <c r="R1395" s="7">
        <v>44032</v>
      </c>
      <c r="S1395" s="210">
        <v>4.5</v>
      </c>
      <c r="T1395" s="8">
        <v>1.0001249999999999</v>
      </c>
      <c r="U1395" s="98">
        <v>4.2858523469779808</v>
      </c>
      <c r="V1395" s="106">
        <v>29705.4795690141</v>
      </c>
      <c r="W1395" s="10">
        <v>0.89337572748717786</v>
      </c>
      <c r="X1395" s="420"/>
      <c r="Y1395" s="420"/>
      <c r="Z1395" s="1"/>
      <c r="AA1395" s="1"/>
      <c r="AB1395" s="1"/>
      <c r="AC1395" s="1"/>
      <c r="AD1395" s="1"/>
    </row>
    <row r="1396" spans="17:30">
      <c r="Q1396" s="6">
        <v>1366</v>
      </c>
      <c r="R1396" s="7">
        <v>44033</v>
      </c>
      <c r="S1396" s="210">
        <v>4.5</v>
      </c>
      <c r="T1396" s="8">
        <v>1.0001249999999999</v>
      </c>
      <c r="U1396" s="98">
        <v>4.2861315086459406</v>
      </c>
      <c r="V1396" s="106">
        <v>29707.951936557183</v>
      </c>
      <c r="W1396" s="10">
        <v>0.8938447878870992</v>
      </c>
      <c r="X1396" s="420"/>
      <c r="Y1396" s="420"/>
      <c r="Z1396" s="1"/>
      <c r="AA1396" s="1"/>
      <c r="AB1396" s="1"/>
      <c r="AC1396" s="1"/>
      <c r="AD1396" s="1"/>
    </row>
    <row r="1397" spans="17:30">
      <c r="Q1397" s="6">
        <v>1367</v>
      </c>
      <c r="R1397" s="7">
        <v>44034</v>
      </c>
      <c r="S1397" s="210">
        <v>4.5</v>
      </c>
      <c r="T1397" s="8">
        <v>1.0001249999999999</v>
      </c>
      <c r="U1397" s="98">
        <v>4.2864102626298806</v>
      </c>
      <c r="V1397" s="106">
        <v>29710.424509873803</v>
      </c>
      <c r="W1397" s="10">
        <v>0.89431316420043316</v>
      </c>
      <c r="X1397" s="420"/>
      <c r="Y1397" s="420"/>
      <c r="Z1397" s="1"/>
      <c r="AA1397" s="1"/>
      <c r="AB1397" s="1"/>
      <c r="AC1397" s="1"/>
      <c r="AD1397" s="1"/>
    </row>
    <row r="1398" spans="17:30">
      <c r="Q1398" s="6">
        <v>1368</v>
      </c>
      <c r="R1398" s="7">
        <v>44035</v>
      </c>
      <c r="S1398" s="210">
        <v>4.5</v>
      </c>
      <c r="T1398" s="8">
        <v>1.0001249999999999</v>
      </c>
      <c r="U1398" s="98">
        <v>4.2866886098222201</v>
      </c>
      <c r="V1398" s="106">
        <v>29712.897288981065</v>
      </c>
      <c r="W1398" s="10">
        <v>0.89478085792262796</v>
      </c>
      <c r="X1398" s="420"/>
      <c r="Y1398" s="420"/>
      <c r="Z1398" s="1"/>
      <c r="AA1398" s="1"/>
      <c r="AB1398" s="1"/>
      <c r="AC1398" s="1"/>
      <c r="AD1398" s="1"/>
    </row>
    <row r="1399" spans="17:30">
      <c r="Q1399" s="6">
        <v>1369</v>
      </c>
      <c r="R1399" s="7">
        <v>44036</v>
      </c>
      <c r="S1399" s="210">
        <v>4.5</v>
      </c>
      <c r="T1399" s="8">
        <v>1.0001249999999999</v>
      </c>
      <c r="U1399" s="98">
        <v>4.2869665511127808</v>
      </c>
      <c r="V1399" s="106">
        <v>29715.370273896115</v>
      </c>
      <c r="W1399" s="10">
        <v>0.89524787054477972</v>
      </c>
      <c r="X1399" s="420"/>
      <c r="Y1399" s="420"/>
      <c r="Z1399" s="1"/>
      <c r="AA1399" s="1"/>
      <c r="AB1399" s="1"/>
      <c r="AC1399" s="1"/>
      <c r="AD1399" s="1"/>
    </row>
    <row r="1400" spans="17:30">
      <c r="Q1400" s="6">
        <v>1370</v>
      </c>
      <c r="R1400" s="7">
        <v>44037</v>
      </c>
      <c r="S1400" s="210">
        <v>4.5</v>
      </c>
      <c r="T1400" s="8">
        <v>1.0001249999999999</v>
      </c>
      <c r="U1400" s="98">
        <v>4.2872440873887641</v>
      </c>
      <c r="V1400" s="106">
        <v>29717.843464636069</v>
      </c>
      <c r="W1400" s="10">
        <v>0.89571420355361031</v>
      </c>
      <c r="X1400" s="420"/>
      <c r="Y1400" s="420"/>
      <c r="Z1400" s="1"/>
      <c r="AA1400" s="1"/>
      <c r="AB1400" s="1"/>
      <c r="AC1400" s="1"/>
      <c r="AD1400" s="1"/>
    </row>
    <row r="1401" spans="17:30">
      <c r="Q1401" s="6">
        <v>1371</v>
      </c>
      <c r="R1401" s="7">
        <v>44038</v>
      </c>
      <c r="S1401" s="210">
        <v>4.5</v>
      </c>
      <c r="T1401" s="8">
        <v>1.0001249999999999</v>
      </c>
      <c r="U1401" s="98">
        <v>4.2875212195348178</v>
      </c>
      <c r="V1401" s="106">
        <v>29720.316861218063</v>
      </c>
      <c r="W1401" s="10">
        <v>0.89617985843155612</v>
      </c>
      <c r="X1401" s="420"/>
      <c r="Y1401" s="420"/>
      <c r="Z1401" s="1"/>
      <c r="AA1401" s="1"/>
      <c r="AB1401" s="1"/>
      <c r="AC1401" s="1"/>
      <c r="AD1401" s="1"/>
    </row>
    <row r="1402" spans="17:30">
      <c r="Q1402" s="6">
        <v>1372</v>
      </c>
      <c r="R1402" s="7">
        <v>44039</v>
      </c>
      <c r="S1402" s="210">
        <v>4.5</v>
      </c>
      <c r="T1402" s="8">
        <v>1.0001249999999999</v>
      </c>
      <c r="U1402" s="98">
        <v>4.287797948432992</v>
      </c>
      <c r="V1402" s="106">
        <v>29722.790463659236</v>
      </c>
      <c r="W1402" s="10">
        <v>0.89664483665670147</v>
      </c>
      <c r="X1402" s="420"/>
      <c r="Y1402" s="420"/>
      <c r="Z1402" s="1"/>
      <c r="AA1402" s="1"/>
      <c r="AB1402" s="1"/>
      <c r="AC1402" s="1"/>
      <c r="AD1402" s="1"/>
    </row>
    <row r="1403" spans="17:30">
      <c r="Q1403" s="6">
        <v>1373</v>
      </c>
      <c r="R1403" s="7">
        <v>44040</v>
      </c>
      <c r="S1403" s="210">
        <v>4.5</v>
      </c>
      <c r="T1403" s="8">
        <v>1.0001249999999999</v>
      </c>
      <c r="U1403" s="98">
        <v>4.2880742749627832</v>
      </c>
      <c r="V1403" s="106">
        <v>29725.26427197671</v>
      </c>
      <c r="W1403" s="10">
        <v>0.89710913970284523</v>
      </c>
      <c r="X1403" s="420"/>
      <c r="Y1403" s="420"/>
      <c r="Z1403" s="1"/>
      <c r="AA1403" s="1"/>
      <c r="AB1403" s="1"/>
      <c r="AC1403" s="1"/>
      <c r="AD1403" s="1"/>
    </row>
    <row r="1404" spans="17:30">
      <c r="Q1404" s="6">
        <v>1374</v>
      </c>
      <c r="R1404" s="7">
        <v>44041</v>
      </c>
      <c r="S1404" s="210">
        <v>4.5</v>
      </c>
      <c r="T1404" s="8">
        <v>1.0001249999999999</v>
      </c>
      <c r="U1404" s="98">
        <v>4.288350200001112</v>
      </c>
      <c r="V1404" s="106">
        <v>29727.738286187625</v>
      </c>
      <c r="W1404" s="10">
        <v>0.89757276903954519</v>
      </c>
      <c r="X1404" s="420"/>
      <c r="Y1404" s="420"/>
      <c r="Z1404" s="1"/>
      <c r="AA1404" s="1"/>
      <c r="AB1404" s="1"/>
      <c r="AC1404" s="1"/>
      <c r="AD1404" s="1"/>
    </row>
    <row r="1405" spans="17:30">
      <c r="Q1405" s="6">
        <v>1375</v>
      </c>
      <c r="R1405" s="7">
        <v>44042</v>
      </c>
      <c r="S1405" s="210">
        <v>4.5</v>
      </c>
      <c r="T1405" s="8">
        <v>1.0001249999999999</v>
      </c>
      <c r="U1405" s="98">
        <v>4.2886257244223902</v>
      </c>
      <c r="V1405" s="106">
        <v>29730.212506309112</v>
      </c>
      <c r="W1405" s="10">
        <v>0.89803572613207372</v>
      </c>
      <c r="X1405" s="420"/>
      <c r="Y1405" s="420"/>
      <c r="Z1405" s="1"/>
      <c r="AA1405" s="1"/>
      <c r="AB1405" s="1"/>
      <c r="AC1405" s="1"/>
      <c r="AD1405" s="1"/>
    </row>
    <row r="1406" spans="17:30">
      <c r="Q1406" s="6">
        <v>1376</v>
      </c>
      <c r="R1406" s="7">
        <v>44043</v>
      </c>
      <c r="S1406" s="210">
        <v>4.5</v>
      </c>
      <c r="T1406" s="8">
        <v>1.0001249999999999</v>
      </c>
      <c r="U1406" s="98">
        <v>4.2889008490984537</v>
      </c>
      <c r="V1406" s="106">
        <v>29732.68693235832</v>
      </c>
      <c r="W1406" s="10">
        <v>0.89849801244141769</v>
      </c>
      <c r="X1406" s="420"/>
      <c r="Y1406" s="420"/>
      <c r="Z1406" s="1"/>
      <c r="AA1406" s="1"/>
      <c r="AB1406" s="1"/>
      <c r="AC1406" s="1"/>
      <c r="AD1406" s="1"/>
    </row>
    <row r="1407" spans="17:30">
      <c r="Q1407" s="6">
        <v>1377</v>
      </c>
      <c r="R1407" s="7">
        <v>44044</v>
      </c>
      <c r="S1407" s="210">
        <v>4.5</v>
      </c>
      <c r="T1407" s="8">
        <v>1.0001249999999999</v>
      </c>
      <c r="U1407" s="98">
        <v>4.2891755748986293</v>
      </c>
      <c r="V1407" s="106">
        <v>29735.161564352376</v>
      </c>
      <c r="W1407" s="10">
        <v>0.89895962942443397</v>
      </c>
      <c r="X1407" s="420"/>
      <c r="Y1407" s="420"/>
      <c r="Z1407" s="1"/>
      <c r="AA1407" s="1"/>
      <c r="AB1407" s="1"/>
      <c r="AC1407" s="1"/>
      <c r="AD1407" s="1"/>
    </row>
    <row r="1408" spans="17:30">
      <c r="Q1408" s="6">
        <v>1378</v>
      </c>
      <c r="R1408" s="7">
        <v>44045</v>
      </c>
      <c r="S1408" s="210">
        <v>4.5</v>
      </c>
      <c r="T1408" s="8">
        <v>1.0001249999999999</v>
      </c>
      <c r="U1408" s="98">
        <v>4.2894499026897348</v>
      </c>
      <c r="V1408" s="106">
        <v>29737.636402308435</v>
      </c>
      <c r="W1408" s="10">
        <v>0.89942057853364954</v>
      </c>
      <c r="X1408" s="420"/>
      <c r="Y1408" s="420"/>
      <c r="Z1408" s="1"/>
      <c r="AA1408" s="1"/>
      <c r="AB1408" s="1"/>
      <c r="AC1408" s="1"/>
      <c r="AD1408" s="1"/>
    </row>
    <row r="1409" spans="17:30">
      <c r="Q1409" s="6">
        <v>1379</v>
      </c>
      <c r="R1409" s="7">
        <v>44046</v>
      </c>
      <c r="S1409" s="210">
        <v>4.5</v>
      </c>
      <c r="T1409" s="8">
        <v>1.0001249999999999</v>
      </c>
      <c r="U1409" s="98">
        <v>4.2897238333360566</v>
      </c>
      <c r="V1409" s="106">
        <v>29740.111446243624</v>
      </c>
      <c r="W1409" s="10">
        <v>0.89988086121746136</v>
      </c>
      <c r="X1409" s="420"/>
      <c r="Y1409" s="420"/>
      <c r="Z1409" s="1"/>
      <c r="AA1409" s="1"/>
      <c r="AB1409" s="1"/>
      <c r="AC1409" s="1"/>
      <c r="AD1409" s="1"/>
    </row>
    <row r="1410" spans="17:30">
      <c r="Q1410" s="6">
        <v>1380</v>
      </c>
      <c r="R1410" s="7">
        <v>44047</v>
      </c>
      <c r="S1410" s="210">
        <v>4.5</v>
      </c>
      <c r="T1410" s="8">
        <v>1.0001249999999999</v>
      </c>
      <c r="U1410" s="98">
        <v>4.2899973676993941</v>
      </c>
      <c r="V1410" s="106">
        <v>29742.586696175094</v>
      </c>
      <c r="W1410" s="10">
        <v>0.90034047892011415</v>
      </c>
      <c r="X1410" s="420"/>
      <c r="Y1410" s="420"/>
      <c r="Z1410" s="1"/>
      <c r="AA1410" s="1"/>
      <c r="AB1410" s="1"/>
      <c r="AC1410" s="1"/>
      <c r="AD1410" s="1"/>
    </row>
    <row r="1411" spans="17:30">
      <c r="Q1411" s="6">
        <v>1381</v>
      </c>
      <c r="R1411" s="7">
        <v>44048</v>
      </c>
      <c r="S1411" s="210">
        <v>4.5</v>
      </c>
      <c r="T1411" s="8">
        <v>1.0001249999999999</v>
      </c>
      <c r="U1411" s="98">
        <v>4.2902705066390601</v>
      </c>
      <c r="V1411" s="106">
        <v>29745.062152119994</v>
      </c>
      <c r="W1411" s="10">
        <v>0.90079943308154498</v>
      </c>
      <c r="X1411" s="420"/>
      <c r="Y1411" s="420"/>
      <c r="Z1411" s="1"/>
      <c r="AA1411" s="1"/>
      <c r="AB1411" s="1"/>
      <c r="AC1411" s="1"/>
      <c r="AD1411" s="1"/>
    </row>
    <row r="1412" spans="17:30">
      <c r="Q1412" s="6">
        <v>1382</v>
      </c>
      <c r="R1412" s="7">
        <v>44049</v>
      </c>
      <c r="S1412" s="210">
        <v>4.5</v>
      </c>
      <c r="T1412" s="8">
        <v>1.0001249999999999</v>
      </c>
      <c r="U1412" s="98">
        <v>4.290543251011858</v>
      </c>
      <c r="V1412" s="106">
        <v>29747.537814095464</v>
      </c>
      <c r="W1412" s="10">
        <v>0.90125772513771629</v>
      </c>
      <c r="X1412" s="420"/>
      <c r="Y1412" s="420"/>
      <c r="Z1412" s="1"/>
      <c r="AA1412" s="1"/>
      <c r="AB1412" s="1"/>
      <c r="AC1412" s="1"/>
      <c r="AD1412" s="1"/>
    </row>
    <row r="1413" spans="17:30">
      <c r="Q1413" s="6">
        <v>1383</v>
      </c>
      <c r="R1413" s="7">
        <v>44050</v>
      </c>
      <c r="S1413" s="210">
        <v>4.5</v>
      </c>
      <c r="T1413" s="8">
        <v>1.0001249999999999</v>
      </c>
      <c r="U1413" s="98">
        <v>4.2908156016721488</v>
      </c>
      <c r="V1413" s="106">
        <v>29750.01368211865</v>
      </c>
      <c r="W1413" s="10">
        <v>0.9017153565202829</v>
      </c>
      <c r="X1413" s="420"/>
      <c r="Y1413" s="420"/>
      <c r="Z1413" s="1"/>
      <c r="AA1413" s="1"/>
      <c r="AB1413" s="1"/>
      <c r="AC1413" s="1"/>
      <c r="AD1413" s="1"/>
    </row>
    <row r="1414" spans="17:30">
      <c r="Q1414" s="6">
        <v>1384</v>
      </c>
      <c r="R1414" s="7">
        <v>44051</v>
      </c>
      <c r="S1414" s="210">
        <v>4.5</v>
      </c>
      <c r="T1414" s="8">
        <v>1.0001249999999999</v>
      </c>
      <c r="U1414" s="98">
        <v>4.2910875594718068</v>
      </c>
      <c r="V1414" s="106">
        <v>29752.489756206705</v>
      </c>
      <c r="W1414" s="10">
        <v>0.90217232865688057</v>
      </c>
      <c r="X1414" s="420"/>
      <c r="Y1414" s="420"/>
      <c r="Z1414" s="1"/>
      <c r="AA1414" s="1"/>
      <c r="AB1414" s="1"/>
      <c r="AC1414" s="1"/>
      <c r="AD1414" s="1"/>
    </row>
    <row r="1415" spans="17:30">
      <c r="Q1415" s="6">
        <v>1385</v>
      </c>
      <c r="R1415" s="7">
        <v>44052</v>
      </c>
      <c r="S1415" s="210">
        <v>4.5</v>
      </c>
      <c r="T1415" s="8">
        <v>1.0001249999999999</v>
      </c>
      <c r="U1415" s="98">
        <v>4.2913591252602856</v>
      </c>
      <c r="V1415" s="106">
        <v>29754.96603637678</v>
      </c>
      <c r="W1415" s="10">
        <v>0.90262864297105949</v>
      </c>
      <c r="X1415" s="420"/>
      <c r="Y1415" s="420"/>
      <c r="Z1415" s="1"/>
      <c r="AA1415" s="1"/>
      <c r="AB1415" s="1"/>
      <c r="AC1415" s="1"/>
      <c r="AD1415" s="1"/>
    </row>
    <row r="1416" spans="17:30">
      <c r="Q1416" s="6">
        <v>1386</v>
      </c>
      <c r="R1416" s="7">
        <v>44053</v>
      </c>
      <c r="S1416" s="210">
        <v>4.5</v>
      </c>
      <c r="T1416" s="8">
        <v>1.0001249999999999</v>
      </c>
      <c r="U1416" s="98">
        <v>4.2916302998845302</v>
      </c>
      <c r="V1416" s="106">
        <v>29757.442522646026</v>
      </c>
      <c r="W1416" s="10">
        <v>0.90308430088212877</v>
      </c>
      <c r="X1416" s="420"/>
      <c r="Y1416" s="420"/>
      <c r="Z1416" s="1"/>
      <c r="AA1416" s="1"/>
      <c r="AB1416" s="1"/>
      <c r="AC1416" s="1"/>
      <c r="AD1416" s="1"/>
    </row>
    <row r="1417" spans="17:30">
      <c r="Q1417" s="6">
        <v>1387</v>
      </c>
      <c r="R1417" s="7">
        <v>44054</v>
      </c>
      <c r="S1417" s="210">
        <v>4.5</v>
      </c>
      <c r="T1417" s="8">
        <v>1.0001249999999999</v>
      </c>
      <c r="U1417" s="98">
        <v>4.2919010841891092</v>
      </c>
      <c r="V1417" s="106">
        <v>29759.919215031598</v>
      </c>
      <c r="W1417" s="10">
        <v>0.90353930380546732</v>
      </c>
      <c r="X1417" s="420"/>
      <c r="Y1417" s="420"/>
      <c r="Z1417" s="1"/>
      <c r="AA1417" s="1"/>
      <c r="AB1417" s="1"/>
      <c r="AC1417" s="1"/>
      <c r="AD1417" s="1"/>
    </row>
    <row r="1418" spans="17:30">
      <c r="Q1418" s="6">
        <v>1388</v>
      </c>
      <c r="R1418" s="7">
        <v>44055</v>
      </c>
      <c r="S1418" s="210">
        <v>4.5</v>
      </c>
      <c r="T1418" s="8">
        <v>1.0001249999999999</v>
      </c>
      <c r="U1418" s="98">
        <v>4.2921714790161269</v>
      </c>
      <c r="V1418" s="106">
        <v>29762.396113550647</v>
      </c>
      <c r="W1418" s="10">
        <v>0.90399365315230185</v>
      </c>
      <c r="X1418" s="420"/>
      <c r="Y1418" s="420"/>
      <c r="Z1418" s="1"/>
      <c r="AA1418" s="1"/>
      <c r="AB1418" s="1"/>
      <c r="AC1418" s="1"/>
      <c r="AD1418" s="1"/>
    </row>
    <row r="1419" spans="17:30">
      <c r="Q1419" s="6">
        <v>1389</v>
      </c>
      <c r="R1419" s="7">
        <v>44056</v>
      </c>
      <c r="S1419" s="210">
        <v>4.5</v>
      </c>
      <c r="T1419" s="8">
        <v>1.0001249999999999</v>
      </c>
      <c r="U1419" s="98">
        <v>4.2924414852052672</v>
      </c>
      <c r="V1419" s="106">
        <v>29764.873218220338</v>
      </c>
      <c r="W1419" s="10">
        <v>0.90444735032984003</v>
      </c>
      <c r="X1419" s="420"/>
      <c r="Y1419" s="420"/>
      <c r="Z1419" s="1"/>
      <c r="AA1419" s="1"/>
      <c r="AB1419" s="1"/>
      <c r="AC1419" s="1"/>
      <c r="AD1419" s="1"/>
    </row>
    <row r="1420" spans="17:30">
      <c r="Q1420" s="6">
        <v>1390</v>
      </c>
      <c r="R1420" s="7">
        <v>44057</v>
      </c>
      <c r="S1420" s="210">
        <v>4.5</v>
      </c>
      <c r="T1420" s="8">
        <v>1.0001249999999999</v>
      </c>
      <c r="U1420" s="98">
        <v>4.2927111035938159</v>
      </c>
      <c r="V1420" s="106">
        <v>29767.350529057814</v>
      </c>
      <c r="W1420" s="10">
        <v>0.90490039674127054</v>
      </c>
      <c r="X1420" s="420"/>
      <c r="Y1420" s="420"/>
      <c r="Z1420" s="1"/>
      <c r="AA1420" s="1"/>
      <c r="AB1420" s="1"/>
      <c r="AC1420" s="1"/>
      <c r="AD1420" s="1"/>
    </row>
    <row r="1421" spans="17:30">
      <c r="Q1421" s="6">
        <v>1391</v>
      </c>
      <c r="R1421" s="7">
        <v>44058</v>
      </c>
      <c r="S1421" s="210">
        <v>4.5</v>
      </c>
      <c r="T1421" s="8">
        <v>1.0001249999999999</v>
      </c>
      <c r="U1421" s="98">
        <v>4.2929803350166607</v>
      </c>
      <c r="V1421" s="106">
        <v>29769.828046080253</v>
      </c>
      <c r="W1421" s="10">
        <v>0.90535279378574085</v>
      </c>
      <c r="X1421" s="420"/>
      <c r="Y1421" s="420"/>
      <c r="Z1421" s="1"/>
      <c r="AA1421" s="1"/>
      <c r="AB1421" s="1"/>
      <c r="AC1421" s="1"/>
      <c r="AD1421" s="1"/>
    </row>
    <row r="1422" spans="17:30">
      <c r="Q1422" s="6">
        <v>1392</v>
      </c>
      <c r="R1422" s="7">
        <v>44059</v>
      </c>
      <c r="S1422" s="210">
        <v>4.5</v>
      </c>
      <c r="T1422" s="8">
        <v>1.0001249999999999</v>
      </c>
      <c r="U1422" s="98">
        <v>4.2932491803062689</v>
      </c>
      <c r="V1422" s="106">
        <v>29772.305769304796</v>
      </c>
      <c r="W1422" s="10">
        <v>0.905804542858335</v>
      </c>
      <c r="X1422" s="420"/>
      <c r="Y1422" s="420"/>
      <c r="Z1422" s="1"/>
      <c r="AA1422" s="1"/>
      <c r="AB1422" s="1"/>
      <c r="AC1422" s="1"/>
      <c r="AD1422" s="1"/>
    </row>
    <row r="1423" spans="17:30">
      <c r="Q1423" s="6">
        <v>1393</v>
      </c>
      <c r="R1423" s="7">
        <v>44060</v>
      </c>
      <c r="S1423" s="210">
        <v>4.5</v>
      </c>
      <c r="T1423" s="8">
        <v>1.0001249999999999</v>
      </c>
      <c r="U1423" s="98">
        <v>4.2935176402927322</v>
      </c>
      <c r="V1423" s="106">
        <v>29774.783698748619</v>
      </c>
      <c r="W1423" s="10">
        <v>0.90625564535022907</v>
      </c>
      <c r="X1423" s="420"/>
      <c r="Y1423" s="420"/>
      <c r="Z1423" s="1"/>
      <c r="AA1423" s="1"/>
      <c r="AB1423" s="1"/>
      <c r="AC1423" s="1"/>
      <c r="AD1423" s="1"/>
    </row>
    <row r="1424" spans="17:30">
      <c r="Q1424" s="6">
        <v>1394</v>
      </c>
      <c r="R1424" s="7">
        <v>44061</v>
      </c>
      <c r="S1424" s="210">
        <v>4.5</v>
      </c>
      <c r="T1424" s="8">
        <v>1.0001249999999999</v>
      </c>
      <c r="U1424" s="98">
        <v>4.2937857158037662</v>
      </c>
      <c r="V1424" s="106">
        <v>29777.261834428879</v>
      </c>
      <c r="W1424" s="10">
        <v>0.90670610264858009</v>
      </c>
      <c r="X1424" s="420"/>
      <c r="Y1424" s="420"/>
      <c r="Z1424" s="1"/>
      <c r="AA1424" s="1"/>
      <c r="AB1424" s="1"/>
      <c r="AC1424" s="1"/>
      <c r="AD1424" s="1"/>
    </row>
    <row r="1425" spans="17:30">
      <c r="Q1425" s="6">
        <v>1395</v>
      </c>
      <c r="R1425" s="7">
        <v>44062</v>
      </c>
      <c r="S1425" s="210">
        <v>4.5</v>
      </c>
      <c r="T1425" s="8">
        <v>1.0001249999999999</v>
      </c>
      <c r="U1425" s="98">
        <v>4.294053407664733</v>
      </c>
      <c r="V1425" s="106">
        <v>29779.740176362746</v>
      </c>
      <c r="W1425" s="10">
        <v>0.90715591613659274</v>
      </c>
      <c r="X1425" s="420"/>
      <c r="Y1425" s="420"/>
      <c r="Z1425" s="1"/>
      <c r="AA1425" s="1"/>
      <c r="AB1425" s="1"/>
      <c r="AC1425" s="1"/>
      <c r="AD1425" s="1"/>
    </row>
    <row r="1426" spans="17:30">
      <c r="Q1426" s="6">
        <v>1396</v>
      </c>
      <c r="R1426" s="7">
        <v>44063</v>
      </c>
      <c r="S1426" s="210">
        <v>4.5</v>
      </c>
      <c r="T1426" s="8">
        <v>1.0001249999999999</v>
      </c>
      <c r="U1426" s="98">
        <v>4.2943207166986186</v>
      </c>
      <c r="V1426" s="106">
        <v>29782.218724567389</v>
      </c>
      <c r="W1426" s="10">
        <v>0.90760508719349708</v>
      </c>
      <c r="X1426" s="420"/>
      <c r="Y1426" s="420"/>
      <c r="Z1426" s="1"/>
      <c r="AA1426" s="1"/>
      <c r="AB1426" s="1"/>
      <c r="AC1426" s="1"/>
      <c r="AD1426" s="1"/>
    </row>
    <row r="1427" spans="17:30">
      <c r="Q1427" s="6">
        <v>1397</v>
      </c>
      <c r="R1427" s="7">
        <v>44064</v>
      </c>
      <c r="S1427" s="210">
        <v>4.5</v>
      </c>
      <c r="T1427" s="8">
        <v>1.0001249999999999</v>
      </c>
      <c r="U1427" s="98">
        <v>4.2945876437260555</v>
      </c>
      <c r="V1427" s="106">
        <v>29784.697479059956</v>
      </c>
      <c r="W1427" s="10">
        <v>0.90805361719461519</v>
      </c>
      <c r="X1427" s="420"/>
      <c r="Y1427" s="420"/>
      <c r="Z1427" s="1"/>
      <c r="AA1427" s="1"/>
      <c r="AB1427" s="1"/>
      <c r="AC1427" s="1"/>
      <c r="AD1427" s="1"/>
    </row>
    <row r="1428" spans="17:30">
      <c r="Q1428" s="6">
        <v>1398</v>
      </c>
      <c r="R1428" s="7">
        <v>44065</v>
      </c>
      <c r="S1428" s="210">
        <v>4.5</v>
      </c>
      <c r="T1428" s="8">
        <v>1.0001249999999999</v>
      </c>
      <c r="U1428" s="98">
        <v>4.2948541895653447</v>
      </c>
      <c r="V1428" s="106">
        <v>29787.176439857645</v>
      </c>
      <c r="W1428" s="10">
        <v>0.90850150751133896</v>
      </c>
      <c r="X1428" s="420"/>
      <c r="Y1428" s="420"/>
      <c r="Z1428" s="1"/>
      <c r="AA1428" s="1"/>
      <c r="AB1428" s="1"/>
      <c r="AC1428" s="1"/>
      <c r="AD1428" s="1"/>
    </row>
    <row r="1429" spans="17:30">
      <c r="Q1429" s="6">
        <v>1399</v>
      </c>
      <c r="R1429" s="7">
        <v>44066</v>
      </c>
      <c r="S1429" s="210">
        <v>4.5</v>
      </c>
      <c r="T1429" s="8">
        <v>1.0001249999999999</v>
      </c>
      <c r="U1429" s="98">
        <v>4.2951203550324335</v>
      </c>
      <c r="V1429" s="106">
        <v>29789.655606977602</v>
      </c>
      <c r="W1429" s="10">
        <v>0.90894875951115228</v>
      </c>
      <c r="X1429" s="420"/>
      <c r="Y1429" s="420"/>
      <c r="Z1429" s="1"/>
      <c r="AA1429" s="1"/>
      <c r="AB1429" s="1"/>
      <c r="AC1429" s="1"/>
      <c r="AD1429" s="1"/>
    </row>
    <row r="1430" spans="17:30">
      <c r="Q1430" s="6">
        <v>1400</v>
      </c>
      <c r="R1430" s="7">
        <v>44067</v>
      </c>
      <c r="S1430" s="210">
        <v>4.5</v>
      </c>
      <c r="T1430" s="8">
        <v>1.0001249999999999</v>
      </c>
      <c r="U1430" s="98">
        <v>4.2953861409409377</v>
      </c>
      <c r="V1430" s="106">
        <v>29792.134980437015</v>
      </c>
      <c r="W1430" s="10">
        <v>0.90939537455758668</v>
      </c>
      <c r="X1430" s="420"/>
      <c r="Y1430" s="420"/>
      <c r="Z1430" s="1"/>
      <c r="AA1430" s="1"/>
      <c r="AB1430" s="1"/>
      <c r="AC1430" s="1"/>
      <c r="AD1430" s="1"/>
    </row>
    <row r="1431" spans="17:30">
      <c r="Q1431" s="6">
        <v>1401</v>
      </c>
      <c r="R1431" s="7">
        <v>44068</v>
      </c>
      <c r="S1431" s="210">
        <v>4.5</v>
      </c>
      <c r="T1431" s="8">
        <v>1.0001249999999999</v>
      </c>
      <c r="U1431" s="98">
        <v>4.2956515481021862</v>
      </c>
      <c r="V1431" s="106">
        <v>29794.614560253049</v>
      </c>
      <c r="W1431" s="10">
        <v>0.9098413540103989</v>
      </c>
      <c r="X1431" s="420"/>
      <c r="Y1431" s="420"/>
      <c r="Z1431" s="1"/>
      <c r="AA1431" s="1"/>
      <c r="AB1431" s="1"/>
      <c r="AC1431" s="1"/>
      <c r="AD1431" s="1"/>
    </row>
    <row r="1432" spans="17:30">
      <c r="Q1432" s="6">
        <v>1402</v>
      </c>
      <c r="R1432" s="7">
        <v>44069</v>
      </c>
      <c r="S1432" s="210">
        <v>4.5</v>
      </c>
      <c r="T1432" s="8">
        <v>1.0001249999999999</v>
      </c>
      <c r="U1432" s="98">
        <v>4.2959165773251762</v>
      </c>
      <c r="V1432" s="106">
        <v>29797.094346442878</v>
      </c>
      <c r="W1432" s="10">
        <v>0.9102866992254155</v>
      </c>
      <c r="X1432" s="420"/>
      <c r="Y1432" s="420"/>
      <c r="Z1432" s="1"/>
      <c r="AA1432" s="1"/>
      <c r="AB1432" s="1"/>
      <c r="AC1432" s="1"/>
      <c r="AD1432" s="1"/>
    </row>
    <row r="1433" spans="17:30">
      <c r="Q1433" s="6">
        <v>1403</v>
      </c>
      <c r="R1433" s="7">
        <v>44070</v>
      </c>
      <c r="S1433" s="210">
        <v>4.5</v>
      </c>
      <c r="T1433" s="8">
        <v>1.0001249999999999</v>
      </c>
      <c r="U1433" s="98">
        <v>4.296181229416618</v>
      </c>
      <c r="V1433" s="106">
        <v>29799.574339023689</v>
      </c>
      <c r="W1433" s="10">
        <v>0.91073141155462167</v>
      </c>
      <c r="X1433" s="420"/>
      <c r="Y1433" s="420"/>
      <c r="Z1433" s="1"/>
      <c r="AA1433" s="1"/>
      <c r="AB1433" s="1"/>
      <c r="AC1433" s="1"/>
      <c r="AD1433" s="1"/>
    </row>
    <row r="1434" spans="17:30">
      <c r="Q1434" s="6">
        <v>1404</v>
      </c>
      <c r="R1434" s="7">
        <v>44071</v>
      </c>
      <c r="S1434" s="210">
        <v>4.5</v>
      </c>
      <c r="T1434" s="8">
        <v>1.0001249999999999</v>
      </c>
      <c r="U1434" s="98">
        <v>4.2964455051808903</v>
      </c>
      <c r="V1434" s="106">
        <v>29802.05453801265</v>
      </c>
      <c r="W1434" s="10">
        <v>0.91117549234611683</v>
      </c>
      <c r="X1434" s="420"/>
      <c r="Y1434" s="420"/>
      <c r="Z1434" s="1"/>
      <c r="AA1434" s="1"/>
      <c r="AB1434" s="1"/>
      <c r="AC1434" s="1"/>
      <c r="AD1434" s="1"/>
    </row>
    <row r="1435" spans="17:30">
      <c r="Q1435" s="6">
        <v>1405</v>
      </c>
      <c r="R1435" s="7">
        <v>44072</v>
      </c>
      <c r="S1435" s="210">
        <v>4.5</v>
      </c>
      <c r="T1435" s="8">
        <v>1.0001249999999999</v>
      </c>
      <c r="U1435" s="98">
        <v>4.2967094054201294</v>
      </c>
      <c r="V1435" s="106">
        <v>29804.534943426941</v>
      </c>
      <c r="W1435" s="10">
        <v>0.91161894294427004</v>
      </c>
      <c r="X1435" s="420"/>
      <c r="Y1435" s="420"/>
      <c r="Z1435" s="1"/>
      <c r="AA1435" s="1"/>
      <c r="AB1435" s="1"/>
      <c r="AC1435" s="1"/>
      <c r="AD1435" s="1"/>
    </row>
    <row r="1436" spans="17:30">
      <c r="Q1436" s="6">
        <v>1406</v>
      </c>
      <c r="R1436" s="7">
        <v>44073</v>
      </c>
      <c r="S1436" s="210">
        <v>4.5</v>
      </c>
      <c r="T1436" s="8">
        <v>1.0001249999999999</v>
      </c>
      <c r="U1436" s="98">
        <v>4.296972930934162</v>
      </c>
      <c r="V1436" s="106">
        <v>29807.015555283742</v>
      </c>
      <c r="W1436" s="10">
        <v>0.91206176468956457</v>
      </c>
      <c r="X1436" s="420"/>
      <c r="Y1436" s="420"/>
      <c r="Z1436" s="1"/>
      <c r="AA1436" s="1"/>
      <c r="AB1436" s="1"/>
      <c r="AC1436" s="1"/>
      <c r="AD1436" s="1"/>
    </row>
    <row r="1437" spans="17:30">
      <c r="Q1437" s="6">
        <v>1407</v>
      </c>
      <c r="R1437" s="7">
        <v>44074</v>
      </c>
      <c r="S1437" s="210">
        <v>4.5</v>
      </c>
      <c r="T1437" s="8">
        <v>1.0001249999999999</v>
      </c>
      <c r="U1437" s="98">
        <v>4.2972360825205724</v>
      </c>
      <c r="V1437" s="106">
        <v>29809.496373600246</v>
      </c>
      <c r="W1437" s="10">
        <v>0.91250395891866454</v>
      </c>
      <c r="X1437" s="420"/>
      <c r="Y1437" s="420"/>
      <c r="Z1437" s="1"/>
      <c r="AA1437" s="1"/>
      <c r="AB1437" s="1"/>
      <c r="AC1437" s="1"/>
      <c r="AD1437" s="1"/>
    </row>
    <row r="1438" spans="17:30">
      <c r="Q1438" s="6">
        <v>1408</v>
      </c>
      <c r="R1438" s="7">
        <v>44075</v>
      </c>
      <c r="S1438" s="210">
        <v>4.5</v>
      </c>
      <c r="T1438" s="8">
        <v>1.0001249999999999</v>
      </c>
      <c r="U1438" s="98">
        <v>4.2974988609746578</v>
      </c>
      <c r="V1438" s="106">
        <v>29811.977398393621</v>
      </c>
      <c r="W1438" s="10">
        <v>0.91294552696454812</v>
      </c>
      <c r="X1438" s="420"/>
      <c r="Y1438" s="420"/>
      <c r="Z1438" s="1"/>
      <c r="AA1438" s="1"/>
      <c r="AB1438" s="1"/>
      <c r="AC1438" s="1"/>
      <c r="AD1438" s="1"/>
    </row>
    <row r="1439" spans="17:30">
      <c r="Q1439" s="6">
        <v>1409</v>
      </c>
      <c r="R1439" s="7">
        <v>44076</v>
      </c>
      <c r="S1439" s="210">
        <v>4.5</v>
      </c>
      <c r="T1439" s="8">
        <v>1.0001249999999999</v>
      </c>
      <c r="U1439" s="98">
        <v>4.2977612670894727</v>
      </c>
      <c r="V1439" s="106">
        <v>29814.458629681067</v>
      </c>
      <c r="W1439" s="10">
        <v>0.9133864701563299</v>
      </c>
      <c r="X1439" s="420"/>
      <c r="Y1439" s="420"/>
      <c r="Z1439" s="1"/>
      <c r="AA1439" s="1"/>
      <c r="AB1439" s="1"/>
      <c r="AC1439" s="1"/>
      <c r="AD1439" s="1"/>
    </row>
    <row r="1440" spans="17:30">
      <c r="Q1440" s="6">
        <v>1410</v>
      </c>
      <c r="R1440" s="7">
        <v>44077</v>
      </c>
      <c r="S1440" s="210">
        <v>4.5</v>
      </c>
      <c r="T1440" s="8">
        <v>1.0001249999999999</v>
      </c>
      <c r="U1440" s="98">
        <v>4.2980233016558289</v>
      </c>
      <c r="V1440" s="106">
        <v>29816.940067479754</v>
      </c>
      <c r="W1440" s="10">
        <v>0.91382678981939414</v>
      </c>
      <c r="X1440" s="420"/>
      <c r="Y1440" s="420"/>
      <c r="Z1440" s="1"/>
      <c r="AA1440" s="1"/>
      <c r="AB1440" s="1"/>
      <c r="AC1440" s="1"/>
      <c r="AD1440" s="1"/>
    </row>
    <row r="1441" spans="17:30">
      <c r="Q1441" s="6">
        <v>1411</v>
      </c>
      <c r="R1441" s="7">
        <v>44078</v>
      </c>
      <c r="S1441" s="210">
        <v>4.5</v>
      </c>
      <c r="T1441" s="8">
        <v>1.0001249999999999</v>
      </c>
      <c r="U1441" s="98">
        <v>4.2982849654622957</v>
      </c>
      <c r="V1441" s="106">
        <v>29819.421711806881</v>
      </c>
      <c r="W1441" s="10">
        <v>0.91426648727537252</v>
      </c>
      <c r="X1441" s="420"/>
      <c r="Y1441" s="420"/>
      <c r="Z1441" s="1"/>
      <c r="AA1441" s="1"/>
      <c r="AB1441" s="1"/>
      <c r="AC1441" s="1"/>
      <c r="AD1441" s="1"/>
    </row>
    <row r="1442" spans="17:30">
      <c r="Q1442" s="6">
        <v>1412</v>
      </c>
      <c r="R1442" s="7">
        <v>44079</v>
      </c>
      <c r="S1442" s="210">
        <v>4.5</v>
      </c>
      <c r="T1442" s="8">
        <v>1.0001249999999999</v>
      </c>
      <c r="U1442" s="98">
        <v>4.2985462592951995</v>
      </c>
      <c r="V1442" s="106">
        <v>29821.903562679639</v>
      </c>
      <c r="W1442" s="10">
        <v>0.9147055638421886</v>
      </c>
      <c r="X1442" s="420"/>
      <c r="Y1442" s="420"/>
      <c r="Z1442" s="1"/>
      <c r="AA1442" s="1"/>
      <c r="AB1442" s="1"/>
      <c r="AC1442" s="1"/>
      <c r="AD1442" s="1"/>
    </row>
    <row r="1443" spans="17:30">
      <c r="Q1443" s="6">
        <v>1413</v>
      </c>
      <c r="R1443" s="7">
        <v>44080</v>
      </c>
      <c r="S1443" s="210">
        <v>4.5</v>
      </c>
      <c r="T1443" s="8">
        <v>1.0001249999999999</v>
      </c>
      <c r="U1443" s="98">
        <v>4.2988071839386688</v>
      </c>
      <c r="V1443" s="106">
        <v>29824.385620115212</v>
      </c>
      <c r="W1443" s="10">
        <v>0.91514402083401336</v>
      </c>
      <c r="X1443" s="420"/>
      <c r="Y1443" s="420"/>
      <c r="Z1443" s="1"/>
      <c r="AA1443" s="1"/>
      <c r="AB1443" s="1"/>
      <c r="AC1443" s="1"/>
      <c r="AD1443" s="1"/>
    </row>
    <row r="1444" spans="17:30">
      <c r="Q1444" s="6">
        <v>1414</v>
      </c>
      <c r="R1444" s="7">
        <v>44081</v>
      </c>
      <c r="S1444" s="210">
        <v>4.5</v>
      </c>
      <c r="T1444" s="8">
        <v>1.0001249999999999</v>
      </c>
      <c r="U1444" s="98">
        <v>4.2990677401746114</v>
      </c>
      <c r="V1444" s="106">
        <v>29826.867884130792</v>
      </c>
      <c r="W1444" s="10">
        <v>0.91558185956135407</v>
      </c>
      <c r="X1444" s="420"/>
      <c r="Y1444" s="420"/>
      <c r="Z1444" s="1"/>
      <c r="AA1444" s="1"/>
      <c r="AB1444" s="1"/>
      <c r="AC1444" s="1"/>
      <c r="AD1444" s="1"/>
    </row>
    <row r="1445" spans="17:30">
      <c r="Q1445" s="6">
        <v>1415</v>
      </c>
      <c r="R1445" s="7">
        <v>44082</v>
      </c>
      <c r="S1445" s="210">
        <v>4.5</v>
      </c>
      <c r="T1445" s="8">
        <v>1.0001249999999999</v>
      </c>
      <c r="U1445" s="98">
        <v>4.2993279287827368</v>
      </c>
      <c r="V1445" s="106">
        <v>29829.350354743576</v>
      </c>
      <c r="W1445" s="10">
        <v>0.91601908133100984</v>
      </c>
      <c r="X1445" s="420"/>
      <c r="Y1445" s="420"/>
      <c r="Z1445" s="1"/>
      <c r="AA1445" s="1"/>
      <c r="AB1445" s="1"/>
      <c r="AC1445" s="1"/>
      <c r="AD1445" s="1"/>
    </row>
    <row r="1446" spans="17:30">
      <c r="Q1446" s="6">
        <v>1416</v>
      </c>
      <c r="R1446" s="7">
        <v>44083</v>
      </c>
      <c r="S1446" s="210">
        <v>4.5</v>
      </c>
      <c r="T1446" s="8">
        <v>1.0001249999999999</v>
      </c>
      <c r="U1446" s="98">
        <v>4.2995877505405344</v>
      </c>
      <c r="V1446" s="106">
        <v>29831.833031970753</v>
      </c>
      <c r="W1446" s="10">
        <v>0.91645568744604944</v>
      </c>
      <c r="X1446" s="420"/>
      <c r="Y1446" s="420"/>
      <c r="Z1446" s="1"/>
      <c r="AA1446" s="1"/>
      <c r="AB1446" s="1"/>
      <c r="AC1446" s="1"/>
      <c r="AD1446" s="1"/>
    </row>
    <row r="1447" spans="17:30">
      <c r="Q1447" s="6">
        <v>1417</v>
      </c>
      <c r="R1447" s="7">
        <v>44084</v>
      </c>
      <c r="S1447" s="210">
        <v>4.5</v>
      </c>
      <c r="T1447" s="8">
        <v>1.0001249999999999</v>
      </c>
      <c r="U1447" s="98">
        <v>4.2998472062232951</v>
      </c>
      <c r="V1447" s="106">
        <v>29834.398682183681</v>
      </c>
      <c r="W1447" s="10">
        <v>0.91681956449569668</v>
      </c>
      <c r="X1447" s="420"/>
      <c r="Y1447" s="420"/>
      <c r="Z1447" s="1"/>
      <c r="AA1447" s="1"/>
      <c r="AB1447" s="1"/>
      <c r="AC1447" s="1"/>
      <c r="AD1447" s="1"/>
    </row>
    <row r="1448" spans="17:30">
      <c r="Q1448" s="6">
        <v>1418</v>
      </c>
      <c r="R1448" s="7">
        <v>44085</v>
      </c>
      <c r="S1448" s="210">
        <v>4.5</v>
      </c>
      <c r="T1448" s="8">
        <v>1.0001249999999999</v>
      </c>
      <c r="U1448" s="98">
        <v>4.3001062966041559</v>
      </c>
      <c r="V1448" s="106">
        <v>29836.964553052199</v>
      </c>
      <c r="W1448" s="10">
        <v>0.91718292962885695</v>
      </c>
      <c r="X1448" s="420"/>
      <c r="Y1448" s="420"/>
      <c r="Z1448" s="1"/>
      <c r="AA1448" s="1"/>
      <c r="AB1448" s="1"/>
      <c r="AC1448" s="1"/>
      <c r="AD1448" s="1"/>
    </row>
    <row r="1449" spans="17:30">
      <c r="Q1449" s="6">
        <v>1419</v>
      </c>
      <c r="R1449" s="7">
        <v>44086</v>
      </c>
      <c r="S1449" s="210">
        <v>4.5</v>
      </c>
      <c r="T1449" s="8">
        <v>1.0001249999999999</v>
      </c>
      <c r="U1449" s="98">
        <v>4.3003650224540779</v>
      </c>
      <c r="V1449" s="106">
        <v>29839.530644595303</v>
      </c>
      <c r="W1449" s="10">
        <v>0.91754578392504449</v>
      </c>
      <c r="X1449" s="420"/>
      <c r="Y1449" s="420"/>
      <c r="Z1449" s="1"/>
      <c r="AA1449" s="1"/>
      <c r="AB1449" s="1"/>
      <c r="AC1449" s="1"/>
      <c r="AD1449" s="1"/>
    </row>
    <row r="1450" spans="17:30">
      <c r="Q1450" s="6">
        <v>1420</v>
      </c>
      <c r="R1450" s="7">
        <v>44087</v>
      </c>
      <c r="S1450" s="210">
        <v>4.5</v>
      </c>
      <c r="T1450" s="8">
        <v>1.0001249999999999</v>
      </c>
      <c r="U1450" s="98">
        <v>4.300623384541824</v>
      </c>
      <c r="V1450" s="106">
        <v>29842.096956831956</v>
      </c>
      <c r="W1450" s="10">
        <v>0.91790812846077596</v>
      </c>
      <c r="X1450" s="420"/>
      <c r="Y1450" s="420"/>
      <c r="Z1450" s="1"/>
      <c r="AA1450" s="1"/>
      <c r="AB1450" s="1"/>
      <c r="AC1450" s="1"/>
      <c r="AD1450" s="1"/>
    </row>
    <row r="1451" spans="17:30">
      <c r="Q1451" s="6">
        <v>1421</v>
      </c>
      <c r="R1451" s="7">
        <v>44088</v>
      </c>
      <c r="S1451" s="210">
        <v>4.5</v>
      </c>
      <c r="T1451" s="8">
        <v>1.0001249999999999</v>
      </c>
      <c r="U1451" s="98">
        <v>4.3008813836340254</v>
      </c>
      <c r="V1451" s="106">
        <v>29844.663489781149</v>
      </c>
      <c r="W1451" s="10">
        <v>0.9182699643094816</v>
      </c>
      <c r="X1451" s="420"/>
      <c r="Y1451" s="420"/>
      <c r="Z1451" s="1"/>
      <c r="AA1451" s="1"/>
      <c r="AB1451" s="1"/>
      <c r="AC1451" s="1"/>
      <c r="AD1451" s="1"/>
    </row>
    <row r="1452" spans="17:30">
      <c r="Q1452" s="6">
        <v>1422</v>
      </c>
      <c r="R1452" s="7">
        <v>44089</v>
      </c>
      <c r="S1452" s="210">
        <v>4.5</v>
      </c>
      <c r="T1452" s="8">
        <v>1.0001249999999999</v>
      </c>
      <c r="U1452" s="98">
        <v>4.3011390204951372</v>
      </c>
      <c r="V1452" s="106">
        <v>29847.230243461861</v>
      </c>
      <c r="W1452" s="10">
        <v>0.91863129254161624</v>
      </c>
      <c r="X1452" s="420"/>
      <c r="Y1452" s="420"/>
      <c r="Z1452" s="1"/>
      <c r="AA1452" s="1"/>
      <c r="AB1452" s="1"/>
      <c r="AC1452" s="1"/>
      <c r="AD1452" s="1"/>
    </row>
    <row r="1453" spans="17:30">
      <c r="Q1453" s="6">
        <v>1423</v>
      </c>
      <c r="R1453" s="7">
        <v>44090</v>
      </c>
      <c r="S1453" s="210">
        <v>4.5</v>
      </c>
      <c r="T1453" s="8">
        <v>1.0001249999999999</v>
      </c>
      <c r="U1453" s="98">
        <v>4.3013962958875052</v>
      </c>
      <c r="V1453" s="106">
        <v>29849.79721789308</v>
      </c>
      <c r="W1453" s="10">
        <v>0.91899211422461491</v>
      </c>
      <c r="X1453" s="420"/>
      <c r="Y1453" s="420"/>
      <c r="Z1453" s="1"/>
      <c r="AA1453" s="1"/>
      <c r="AB1453" s="1"/>
      <c r="AC1453" s="1"/>
      <c r="AD1453" s="1"/>
    </row>
    <row r="1454" spans="17:30">
      <c r="Q1454" s="6">
        <v>1424</v>
      </c>
      <c r="R1454" s="7">
        <v>44091</v>
      </c>
      <c r="S1454" s="210">
        <v>4.5</v>
      </c>
      <c r="T1454" s="8">
        <v>1.0001249999999999</v>
      </c>
      <c r="U1454" s="98">
        <v>4.301653210571299</v>
      </c>
      <c r="V1454" s="106">
        <v>29852.364413093779</v>
      </c>
      <c r="W1454" s="10">
        <v>0.91935243042293724</v>
      </c>
      <c r="X1454" s="420"/>
      <c r="Y1454" s="420"/>
      <c r="Z1454" s="1"/>
      <c r="AA1454" s="1"/>
      <c r="AB1454" s="1"/>
      <c r="AC1454" s="1"/>
      <c r="AD1454" s="1"/>
    </row>
    <row r="1455" spans="17:30">
      <c r="Q1455" s="6">
        <v>1425</v>
      </c>
      <c r="R1455" s="7">
        <v>44092</v>
      </c>
      <c r="S1455" s="210">
        <v>4.5</v>
      </c>
      <c r="T1455" s="8">
        <v>1.0001249999999999</v>
      </c>
      <c r="U1455" s="98">
        <v>4.301909765304579</v>
      </c>
      <c r="V1455" s="106">
        <v>29854.931829082958</v>
      </c>
      <c r="W1455" s="10">
        <v>0.91971224219806746</v>
      </c>
      <c r="X1455" s="420"/>
      <c r="Y1455" s="420"/>
      <c r="Z1455" s="1"/>
      <c r="AA1455" s="1"/>
      <c r="AB1455" s="1"/>
      <c r="AC1455" s="1"/>
      <c r="AD1455" s="1"/>
    </row>
    <row r="1456" spans="17:30">
      <c r="Q1456" s="6">
        <v>1426</v>
      </c>
      <c r="R1456" s="7">
        <v>44093</v>
      </c>
      <c r="S1456" s="210">
        <v>4.5</v>
      </c>
      <c r="T1456" s="8">
        <v>1.0001249999999999</v>
      </c>
      <c r="U1456" s="98">
        <v>4.3021659608432739</v>
      </c>
      <c r="V1456" s="106">
        <v>29857.499465879595</v>
      </c>
      <c r="W1456" s="10">
        <v>0.92007155060851442</v>
      </c>
      <c r="X1456" s="420"/>
      <c r="Y1456" s="420"/>
      <c r="Z1456" s="1"/>
      <c r="AA1456" s="1"/>
      <c r="AB1456" s="1"/>
      <c r="AC1456" s="1"/>
      <c r="AD1456" s="1"/>
    </row>
    <row r="1457" spans="17:30">
      <c r="Q1457" s="6">
        <v>1427</v>
      </c>
      <c r="R1457" s="7">
        <v>44094</v>
      </c>
      <c r="S1457" s="210">
        <v>4.5</v>
      </c>
      <c r="T1457" s="8">
        <v>1.0001249999999999</v>
      </c>
      <c r="U1457" s="98">
        <v>4.3024217979412249</v>
      </c>
      <c r="V1457" s="106">
        <v>29860.067323502688</v>
      </c>
      <c r="W1457" s="10">
        <v>0.92043035670981155</v>
      </c>
      <c r="X1457" s="420"/>
      <c r="Y1457" s="420"/>
      <c r="Z1457" s="1"/>
      <c r="AA1457" s="1"/>
      <c r="AB1457" s="1"/>
      <c r="AC1457" s="1"/>
      <c r="AD1457" s="1"/>
    </row>
    <row r="1458" spans="17:30">
      <c r="Q1458" s="6">
        <v>1428</v>
      </c>
      <c r="R1458" s="7">
        <v>44095</v>
      </c>
      <c r="S1458" s="210">
        <v>4.5</v>
      </c>
      <c r="T1458" s="8">
        <v>1.0001249999999999</v>
      </c>
      <c r="U1458" s="98">
        <v>4.3026772773501198</v>
      </c>
      <c r="V1458" s="106">
        <v>29862.635401971231</v>
      </c>
      <c r="W1458" s="10">
        <v>0.92078866155456129</v>
      </c>
      <c r="X1458" s="420"/>
      <c r="Y1458" s="420"/>
      <c r="Z1458" s="1"/>
      <c r="AA1458" s="1"/>
      <c r="AB1458" s="1"/>
      <c r="AC1458" s="1"/>
      <c r="AD1458" s="1"/>
    </row>
    <row r="1459" spans="17:30">
      <c r="Q1459" s="6">
        <v>1429</v>
      </c>
      <c r="R1459" s="7">
        <v>44096</v>
      </c>
      <c r="S1459" s="210">
        <v>4.5</v>
      </c>
      <c r="T1459" s="8">
        <v>1.0001249999999999</v>
      </c>
      <c r="U1459" s="98">
        <v>4.302932399819559</v>
      </c>
      <c r="V1459" s="106">
        <v>29865.203701304206</v>
      </c>
      <c r="W1459" s="10">
        <v>0.92114646619241292</v>
      </c>
      <c r="X1459" s="420"/>
      <c r="Y1459" s="420"/>
      <c r="Z1459" s="1"/>
      <c r="AA1459" s="1"/>
      <c r="AB1459" s="1"/>
      <c r="AC1459" s="1"/>
      <c r="AD1459" s="1"/>
    </row>
    <row r="1460" spans="17:30">
      <c r="Q1460" s="6">
        <v>1430</v>
      </c>
      <c r="R1460" s="7">
        <v>44097</v>
      </c>
      <c r="S1460" s="210">
        <v>4.5</v>
      </c>
      <c r="T1460" s="8">
        <v>1.0001249999999999</v>
      </c>
      <c r="U1460" s="98">
        <v>4.3031871660970777</v>
      </c>
      <c r="V1460" s="106">
        <v>29867.772221520623</v>
      </c>
      <c r="W1460" s="10">
        <v>0.92150377167008468</v>
      </c>
      <c r="X1460" s="420"/>
      <c r="Y1460" s="420"/>
      <c r="Z1460" s="1"/>
      <c r="AA1460" s="1"/>
      <c r="AB1460" s="1"/>
      <c r="AC1460" s="1"/>
      <c r="AD1460" s="1"/>
    </row>
    <row r="1461" spans="17:30">
      <c r="Q1461" s="6">
        <v>1431</v>
      </c>
      <c r="R1461" s="7">
        <v>44098</v>
      </c>
      <c r="S1461" s="210">
        <v>4.5</v>
      </c>
      <c r="T1461" s="8">
        <v>1.0001249999999999</v>
      </c>
      <c r="U1461" s="98">
        <v>4.303441576928102</v>
      </c>
      <c r="V1461" s="106">
        <v>29870.340962639464</v>
      </c>
      <c r="W1461" s="10">
        <v>0.92186057903143048</v>
      </c>
      <c r="X1461" s="420"/>
      <c r="Y1461" s="420"/>
      <c r="Z1461" s="1"/>
      <c r="AA1461" s="1"/>
      <c r="AB1461" s="1"/>
      <c r="AC1461" s="1"/>
      <c r="AD1461" s="1"/>
    </row>
    <row r="1462" spans="17:30">
      <c r="Q1462" s="6">
        <v>1432</v>
      </c>
      <c r="R1462" s="7">
        <v>44099</v>
      </c>
      <c r="S1462" s="210">
        <v>4.5</v>
      </c>
      <c r="T1462" s="8">
        <v>1.0001249999999999</v>
      </c>
      <c r="U1462" s="98">
        <v>4.3036956330559928</v>
      </c>
      <c r="V1462" s="106">
        <v>29872.909924679738</v>
      </c>
      <c r="W1462" s="10">
        <v>0.92221688931728441</v>
      </c>
      <c r="X1462" s="420"/>
      <c r="Y1462" s="420"/>
      <c r="Z1462" s="1"/>
      <c r="AA1462" s="1"/>
      <c r="AB1462" s="1"/>
      <c r="AC1462" s="1"/>
      <c r="AD1462" s="1"/>
    </row>
    <row r="1463" spans="17:30">
      <c r="Q1463" s="6">
        <v>1433</v>
      </c>
      <c r="R1463" s="7">
        <v>44100</v>
      </c>
      <c r="S1463" s="210">
        <v>4.5</v>
      </c>
      <c r="T1463" s="8">
        <v>1.0001249999999999</v>
      </c>
      <c r="U1463" s="98">
        <v>4.3039493352220237</v>
      </c>
      <c r="V1463" s="106">
        <v>29875.479107660442</v>
      </c>
      <c r="W1463" s="10">
        <v>0.92257270356572718</v>
      </c>
      <c r="X1463" s="420"/>
      <c r="Y1463" s="420"/>
      <c r="Z1463" s="1"/>
      <c r="AA1463" s="1"/>
      <c r="AB1463" s="1"/>
      <c r="AC1463" s="1"/>
      <c r="AD1463" s="1"/>
    </row>
    <row r="1464" spans="17:30">
      <c r="Q1464" s="6">
        <v>1434</v>
      </c>
      <c r="R1464" s="7">
        <v>44101</v>
      </c>
      <c r="S1464" s="210">
        <v>4.5</v>
      </c>
      <c r="T1464" s="8">
        <v>1.0001249999999999</v>
      </c>
      <c r="U1464" s="98">
        <v>4.3042026841654035</v>
      </c>
      <c r="V1464" s="106">
        <v>29878.048511600573</v>
      </c>
      <c r="W1464" s="10">
        <v>0.92292802281181974</v>
      </c>
      <c r="X1464" s="420"/>
      <c r="Y1464" s="420"/>
      <c r="Z1464" s="1"/>
      <c r="AA1464" s="1"/>
      <c r="AB1464" s="1"/>
      <c r="AC1464" s="1"/>
      <c r="AD1464" s="1"/>
    </row>
    <row r="1465" spans="17:30">
      <c r="Q1465" s="6">
        <v>1435</v>
      </c>
      <c r="R1465" s="7">
        <v>44102</v>
      </c>
      <c r="S1465" s="210">
        <v>4.5</v>
      </c>
      <c r="T1465" s="8">
        <v>1.0001249999999999</v>
      </c>
      <c r="U1465" s="98">
        <v>4.3044556806232981</v>
      </c>
      <c r="V1465" s="106">
        <v>29880.618136519141</v>
      </c>
      <c r="W1465" s="10">
        <v>0.92328284808782524</v>
      </c>
      <c r="X1465" s="420"/>
      <c r="Y1465" s="420"/>
      <c r="Z1465" s="1"/>
      <c r="AA1465" s="1"/>
      <c r="AB1465" s="1"/>
      <c r="AC1465" s="1"/>
      <c r="AD1465" s="1"/>
    </row>
    <row r="1466" spans="17:30">
      <c r="Q1466" s="6">
        <v>1436</v>
      </c>
      <c r="R1466" s="7">
        <v>44103</v>
      </c>
      <c r="S1466" s="210">
        <v>4.5</v>
      </c>
      <c r="T1466" s="8">
        <v>1.0001249999999999</v>
      </c>
      <c r="U1466" s="98">
        <v>4.3047083253308083</v>
      </c>
      <c r="V1466" s="106">
        <v>29883.187982435149</v>
      </c>
      <c r="W1466" s="10">
        <v>0.92363718042307585</v>
      </c>
      <c r="X1466" s="420"/>
      <c r="Y1466" s="420"/>
      <c r="Z1466" s="1"/>
      <c r="AA1466" s="1"/>
      <c r="AB1466" s="1"/>
      <c r="AC1466" s="1"/>
      <c r="AD1466" s="1"/>
    </row>
    <row r="1467" spans="17:30">
      <c r="Q1467" s="6">
        <v>1437</v>
      </c>
      <c r="R1467" s="7">
        <v>44104</v>
      </c>
      <c r="S1467" s="210">
        <v>4.5</v>
      </c>
      <c r="T1467" s="8">
        <v>1.0001249999999999</v>
      </c>
      <c r="U1467" s="98">
        <v>4.3049606190210143</v>
      </c>
      <c r="V1467" s="106">
        <v>29885.758049367607</v>
      </c>
      <c r="W1467" s="10">
        <v>0.92399102084412821</v>
      </c>
      <c r="X1467" s="420"/>
      <c r="Y1467" s="420"/>
      <c r="Z1467" s="1"/>
      <c r="AA1467" s="1"/>
      <c r="AB1467" s="1"/>
      <c r="AC1467" s="1"/>
      <c r="AD1467" s="1"/>
    </row>
    <row r="1468" spans="17:30">
      <c r="Q1468" s="6">
        <v>1438</v>
      </c>
      <c r="R1468" s="7">
        <v>44105</v>
      </c>
      <c r="S1468" s="210">
        <v>4.5</v>
      </c>
      <c r="T1468" s="8">
        <v>1.0001249999999999</v>
      </c>
      <c r="U1468" s="98">
        <v>4.3052125624249316</v>
      </c>
      <c r="V1468" s="106">
        <v>29888.328337335515</v>
      </c>
      <c r="W1468" s="10">
        <v>0.92434437037460793</v>
      </c>
      <c r="X1468" s="420"/>
      <c r="Y1468" s="420"/>
      <c r="Z1468" s="1"/>
      <c r="AA1468" s="1"/>
      <c r="AB1468" s="1"/>
      <c r="AC1468" s="1"/>
      <c r="AD1468" s="1"/>
    </row>
    <row r="1469" spans="17:30">
      <c r="Q1469" s="6">
        <v>1439</v>
      </c>
      <c r="R1469" s="7">
        <v>44106</v>
      </c>
      <c r="S1469" s="210">
        <v>4.5</v>
      </c>
      <c r="T1469" s="8">
        <v>1.0001249999999999</v>
      </c>
      <c r="U1469" s="98">
        <v>4.3054641562715767</v>
      </c>
      <c r="V1469" s="106">
        <v>29890.89884635789</v>
      </c>
      <c r="W1469" s="10">
        <v>0.92469723003534288</v>
      </c>
      <c r="X1469" s="420"/>
      <c r="Y1469" s="420"/>
      <c r="Z1469" s="1"/>
      <c r="AA1469" s="1"/>
      <c r="AB1469" s="1"/>
      <c r="AC1469" s="1"/>
      <c r="AD1469" s="1"/>
    </row>
    <row r="1470" spans="17:30">
      <c r="Q1470" s="6">
        <v>1440</v>
      </c>
      <c r="R1470" s="7">
        <v>44107</v>
      </c>
      <c r="S1470" s="210">
        <v>4.5</v>
      </c>
      <c r="T1470" s="8">
        <v>1.0001249999999999</v>
      </c>
      <c r="U1470" s="98">
        <v>4.305715401287924</v>
      </c>
      <c r="V1470" s="106">
        <v>29893.469576453739</v>
      </c>
      <c r="W1470" s="10">
        <v>0.92504960084436316</v>
      </c>
      <c r="X1470" s="420"/>
      <c r="Y1470" s="420"/>
      <c r="Z1470" s="1"/>
      <c r="AA1470" s="1"/>
      <c r="AB1470" s="1"/>
      <c r="AC1470" s="1"/>
      <c r="AD1470" s="1"/>
    </row>
    <row r="1471" spans="17:30">
      <c r="Q1471" s="6">
        <v>1441</v>
      </c>
      <c r="R1471" s="7">
        <v>44108</v>
      </c>
      <c r="S1471" s="210">
        <v>4.5</v>
      </c>
      <c r="T1471" s="8">
        <v>1.0001249999999999</v>
      </c>
      <c r="U1471" s="98">
        <v>4.3059662981989488</v>
      </c>
      <c r="V1471" s="106">
        <v>29896.040527642079</v>
      </c>
      <c r="W1471" s="10">
        <v>0.92540148381683451</v>
      </c>
      <c r="X1471" s="420"/>
      <c r="Y1471" s="420"/>
      <c r="Z1471" s="1"/>
      <c r="AA1471" s="1"/>
      <c r="AB1471" s="1"/>
      <c r="AC1471" s="1"/>
      <c r="AD1471" s="1"/>
    </row>
    <row r="1472" spans="17:30">
      <c r="Q1472" s="6">
        <v>1442</v>
      </c>
      <c r="R1472" s="7">
        <v>44109</v>
      </c>
      <c r="S1472" s="210">
        <v>4.5</v>
      </c>
      <c r="T1472" s="8">
        <v>1.0001249999999999</v>
      </c>
      <c r="U1472" s="98">
        <v>4.3062168477276064</v>
      </c>
      <c r="V1472" s="106">
        <v>29898.611699941917</v>
      </c>
      <c r="W1472" s="10">
        <v>0.92575287996510269</v>
      </c>
      <c r="X1472" s="420"/>
      <c r="Y1472" s="420"/>
      <c r="Z1472" s="1"/>
      <c r="AA1472" s="1"/>
      <c r="AB1472" s="1"/>
      <c r="AC1472" s="1"/>
      <c r="AD1472" s="1"/>
    </row>
    <row r="1473" spans="17:30">
      <c r="Q1473" s="6">
        <v>1443</v>
      </c>
      <c r="R1473" s="7">
        <v>44110</v>
      </c>
      <c r="S1473" s="210">
        <v>4.5</v>
      </c>
      <c r="T1473" s="8">
        <v>1.0001249999999999</v>
      </c>
      <c r="U1473" s="98">
        <v>4.3064670505948532</v>
      </c>
      <c r="V1473" s="106">
        <v>29901.183093372281</v>
      </c>
      <c r="W1473" s="10">
        <v>0.92610379029873791</v>
      </c>
      <c r="X1473" s="420"/>
      <c r="Y1473" s="420"/>
      <c r="Z1473" s="1"/>
      <c r="AA1473" s="1"/>
      <c r="AB1473" s="1"/>
      <c r="AC1473" s="1"/>
      <c r="AD1473" s="1"/>
    </row>
    <row r="1474" spans="17:30">
      <c r="Q1474" s="6">
        <v>1444</v>
      </c>
      <c r="R1474" s="7">
        <v>44111</v>
      </c>
      <c r="S1474" s="210">
        <v>4.5</v>
      </c>
      <c r="T1474" s="8">
        <v>1.0001249999999999</v>
      </c>
      <c r="U1474" s="98">
        <v>4.3067169075196476</v>
      </c>
      <c r="V1474" s="106">
        <v>29903.754707952179</v>
      </c>
      <c r="W1474" s="10">
        <v>0.9264542158245348</v>
      </c>
      <c r="X1474" s="420"/>
      <c r="Y1474" s="420"/>
      <c r="Z1474" s="1"/>
      <c r="AA1474" s="1"/>
      <c r="AB1474" s="1"/>
      <c r="AC1474" s="1"/>
      <c r="AD1474" s="1"/>
    </row>
    <row r="1475" spans="17:30">
      <c r="Q1475" s="6">
        <v>1445</v>
      </c>
      <c r="R1475" s="7">
        <v>44112</v>
      </c>
      <c r="S1475" s="210">
        <v>4.5</v>
      </c>
      <c r="T1475" s="8">
        <v>1.0001249999999999</v>
      </c>
      <c r="U1475" s="98">
        <v>4.3069664192189938</v>
      </c>
      <c r="V1475" s="106">
        <v>29906.326543700638</v>
      </c>
      <c r="W1475" s="10">
        <v>0.92680415754651246</v>
      </c>
      <c r="X1475" s="420"/>
      <c r="Y1475" s="420"/>
      <c r="Z1475" s="1"/>
      <c r="AA1475" s="1"/>
      <c r="AB1475" s="1"/>
      <c r="AC1475" s="1"/>
      <c r="AD1475" s="1"/>
    </row>
    <row r="1476" spans="17:30">
      <c r="Q1476" s="6">
        <v>1446</v>
      </c>
      <c r="R1476" s="7">
        <v>44113</v>
      </c>
      <c r="S1476" s="210">
        <v>4.5</v>
      </c>
      <c r="T1476" s="8">
        <v>1.0001249999999999</v>
      </c>
      <c r="U1476" s="98">
        <v>4.3072155864078754</v>
      </c>
      <c r="V1476" s="106">
        <v>29908.898600636679</v>
      </c>
      <c r="W1476" s="10">
        <v>0.92715361646589223</v>
      </c>
      <c r="X1476" s="420"/>
      <c r="Y1476" s="420"/>
      <c r="Z1476" s="1"/>
      <c r="AA1476" s="1"/>
      <c r="AB1476" s="1"/>
      <c r="AC1476" s="1"/>
      <c r="AD1476" s="1"/>
    </row>
    <row r="1477" spans="17:30">
      <c r="Q1477" s="6">
        <v>1447</v>
      </c>
      <c r="R1477" s="7">
        <v>44114</v>
      </c>
      <c r="S1477" s="210">
        <v>4.5</v>
      </c>
      <c r="T1477" s="8">
        <v>1.0001249999999999</v>
      </c>
      <c r="U1477" s="98">
        <v>4.3074644097992998</v>
      </c>
      <c r="V1477" s="106">
        <v>29911.387898612091</v>
      </c>
      <c r="W1477" s="10">
        <v>0.92757322064473957</v>
      </c>
      <c r="X1477" s="420"/>
      <c r="Y1477" s="420"/>
      <c r="Z1477" s="1"/>
      <c r="AA1477" s="1"/>
      <c r="AB1477" s="1"/>
      <c r="AC1477" s="1"/>
      <c r="AD1477" s="1"/>
    </row>
    <row r="1478" spans="17:30">
      <c r="Q1478" s="6">
        <v>1448</v>
      </c>
      <c r="R1478" s="7">
        <v>44115</v>
      </c>
      <c r="S1478" s="210">
        <v>4.5</v>
      </c>
      <c r="T1478" s="8">
        <v>1.0001249999999999</v>
      </c>
      <c r="U1478" s="98">
        <v>4.3077128901043427</v>
      </c>
      <c r="V1478" s="106">
        <v>29913.877403770133</v>
      </c>
      <c r="W1478" s="10">
        <v>0.92799224700070848</v>
      </c>
      <c r="X1478" s="420"/>
      <c r="Y1478" s="420"/>
      <c r="Z1478" s="1"/>
      <c r="AA1478" s="1"/>
      <c r="AB1478" s="1"/>
      <c r="AC1478" s="1"/>
      <c r="AD1478" s="1"/>
    </row>
    <row r="1479" spans="17:30">
      <c r="Q1479" s="6">
        <v>1449</v>
      </c>
      <c r="R1479" s="7">
        <v>44116</v>
      </c>
      <c r="S1479" s="210">
        <v>4.5</v>
      </c>
      <c r="T1479" s="8">
        <v>1.0001249999999999</v>
      </c>
      <c r="U1479" s="98">
        <v>4.3079610280321035</v>
      </c>
      <c r="V1479" s="106">
        <v>29916.367116128054</v>
      </c>
      <c r="W1479" s="10">
        <v>0.92841069672651155</v>
      </c>
      <c r="X1479" s="420"/>
      <c r="Y1479" s="420"/>
      <c r="Z1479" s="1"/>
      <c r="AA1479" s="1"/>
      <c r="AB1479" s="1"/>
      <c r="AC1479" s="1"/>
      <c r="AD1479" s="1"/>
    </row>
    <row r="1480" spans="17:30">
      <c r="Q1480" s="6">
        <v>1450</v>
      </c>
      <c r="R1480" s="7">
        <v>44117</v>
      </c>
      <c r="S1480" s="210">
        <v>4.5</v>
      </c>
      <c r="T1480" s="8">
        <v>1.0001249999999999</v>
      </c>
      <c r="U1480" s="98">
        <v>4.3082088242897276</v>
      </c>
      <c r="V1480" s="106">
        <v>29918.857035703106</v>
      </c>
      <c r="W1480" s="10">
        <v>0.92882857101157512</v>
      </c>
      <c r="X1480" s="420"/>
      <c r="Y1480" s="420"/>
      <c r="Z1480" s="1"/>
      <c r="AA1480" s="1"/>
      <c r="AB1480" s="1"/>
      <c r="AC1480" s="1"/>
      <c r="AD1480" s="1"/>
    </row>
    <row r="1481" spans="17:30">
      <c r="Q1481" s="6">
        <v>1451</v>
      </c>
      <c r="R1481" s="7">
        <v>44118</v>
      </c>
      <c r="S1481" s="210">
        <v>4.5</v>
      </c>
      <c r="T1481" s="8">
        <v>1.0001249999999999</v>
      </c>
      <c r="U1481" s="98">
        <v>4.3084562795824288</v>
      </c>
      <c r="V1481" s="106">
        <v>29921.34716251252</v>
      </c>
      <c r="W1481" s="10">
        <v>0.92924587104210588</v>
      </c>
      <c r="X1481" s="420"/>
      <c r="Y1481" s="420"/>
      <c r="Z1481" s="1"/>
      <c r="AA1481" s="1"/>
      <c r="AB1481" s="1"/>
      <c r="AC1481" s="1"/>
      <c r="AD1481" s="1"/>
    </row>
    <row r="1482" spans="17:30">
      <c r="Q1482" s="6">
        <v>1452</v>
      </c>
      <c r="R1482" s="7">
        <v>44119</v>
      </c>
      <c r="S1482" s="210">
        <v>4.5</v>
      </c>
      <c r="T1482" s="8">
        <v>1.0001249999999999</v>
      </c>
      <c r="U1482" s="98">
        <v>4.3087033946134445</v>
      </c>
      <c r="V1482" s="106">
        <v>29923.83749657356</v>
      </c>
      <c r="W1482" s="10">
        <v>0.92966259800100204</v>
      </c>
      <c r="X1482" s="420"/>
      <c r="Y1482" s="420"/>
      <c r="Z1482" s="1"/>
      <c r="AA1482" s="1"/>
      <c r="AB1482" s="1"/>
      <c r="AC1482" s="1"/>
      <c r="AD1482" s="1"/>
    </row>
    <row r="1483" spans="17:30">
      <c r="Q1483" s="6">
        <v>1453</v>
      </c>
      <c r="R1483" s="7">
        <v>44120</v>
      </c>
      <c r="S1483" s="210">
        <v>4.5</v>
      </c>
      <c r="T1483" s="8">
        <v>1.0001249999999999</v>
      </c>
      <c r="U1483" s="98">
        <v>4.3089501700841248</v>
      </c>
      <c r="V1483" s="106">
        <v>29926.328037903459</v>
      </c>
      <c r="W1483" s="10">
        <v>0.93007875306796439</v>
      </c>
      <c r="X1483" s="420"/>
      <c r="Y1483" s="420"/>
      <c r="Z1483" s="1"/>
      <c r="AA1483" s="1"/>
      <c r="AB1483" s="1"/>
      <c r="AC1483" s="1"/>
      <c r="AD1483" s="1"/>
    </row>
    <row r="1484" spans="17:30">
      <c r="Q1484" s="6">
        <v>1454</v>
      </c>
      <c r="R1484" s="7">
        <v>44121</v>
      </c>
      <c r="S1484" s="210">
        <v>4.5</v>
      </c>
      <c r="T1484" s="8">
        <v>1.0001249999999999</v>
      </c>
      <c r="U1484" s="98">
        <v>4.3091966066938658</v>
      </c>
      <c r="V1484" s="106">
        <v>29928.818786519478</v>
      </c>
      <c r="W1484" s="10">
        <v>0.93049433741940746</v>
      </c>
      <c r="X1484" s="420"/>
      <c r="Y1484" s="420"/>
      <c r="Z1484" s="1"/>
      <c r="AA1484" s="1"/>
      <c r="AB1484" s="1"/>
      <c r="AC1484" s="1"/>
      <c r="AD1484" s="1"/>
    </row>
    <row r="1485" spans="17:30">
      <c r="Q1485" s="6">
        <v>1455</v>
      </c>
      <c r="R1485" s="7">
        <v>44122</v>
      </c>
      <c r="S1485" s="210">
        <v>4.5</v>
      </c>
      <c r="T1485" s="8">
        <v>1.0001249999999999</v>
      </c>
      <c r="U1485" s="98">
        <v>4.309442705140154</v>
      </c>
      <c r="V1485" s="106">
        <v>29931.309742438869</v>
      </c>
      <c r="W1485" s="10">
        <v>0.93090935222854831</v>
      </c>
      <c r="X1485" s="420"/>
      <c r="Y1485" s="420"/>
      <c r="Z1485" s="1"/>
      <c r="AA1485" s="1"/>
      <c r="AB1485" s="1"/>
      <c r="AC1485" s="1"/>
      <c r="AD1485" s="1"/>
    </row>
    <row r="1486" spans="17:30">
      <c r="Q1486" s="6">
        <v>1456</v>
      </c>
      <c r="R1486" s="7">
        <v>44123</v>
      </c>
      <c r="S1486" s="210">
        <v>4.5</v>
      </c>
      <c r="T1486" s="8">
        <v>1.0001249999999999</v>
      </c>
      <c r="U1486" s="98">
        <v>4.3096884661185442</v>
      </c>
      <c r="V1486" s="106">
        <v>29933.800905678883</v>
      </c>
      <c r="W1486" s="10">
        <v>0.93132379866538439</v>
      </c>
      <c r="X1486" s="420"/>
      <c r="Y1486" s="420"/>
      <c r="Z1486" s="1"/>
      <c r="AA1486" s="1"/>
      <c r="AB1486" s="1"/>
      <c r="AC1486" s="1"/>
      <c r="AD1486" s="1"/>
    </row>
    <row r="1487" spans="17:30">
      <c r="Q1487" s="6">
        <v>1457</v>
      </c>
      <c r="R1487" s="7">
        <v>44124</v>
      </c>
      <c r="S1487" s="210">
        <v>4.5</v>
      </c>
      <c r="T1487" s="8">
        <v>1.0001249999999999</v>
      </c>
      <c r="U1487" s="98">
        <v>4.3099338903227258</v>
      </c>
      <c r="V1487" s="106">
        <v>29936.29227625678</v>
      </c>
      <c r="W1487" s="10">
        <v>0.93173767789669348</v>
      </c>
      <c r="X1487" s="420"/>
      <c r="Y1487" s="420"/>
      <c r="Z1487" s="1"/>
      <c r="AA1487" s="1"/>
      <c r="AB1487" s="1"/>
      <c r="AC1487" s="1"/>
      <c r="AD1487" s="1"/>
    </row>
    <row r="1488" spans="17:30">
      <c r="Q1488" s="6">
        <v>1458</v>
      </c>
      <c r="R1488" s="7">
        <v>44125</v>
      </c>
      <c r="S1488" s="210">
        <v>4.5</v>
      </c>
      <c r="T1488" s="8">
        <v>1.0001249999999999</v>
      </c>
      <c r="U1488" s="98">
        <v>4.3101789784444344</v>
      </c>
      <c r="V1488" s="106">
        <v>29938.783854189805</v>
      </c>
      <c r="W1488" s="10">
        <v>0.93215099108610033</v>
      </c>
      <c r="X1488" s="420"/>
      <c r="Y1488" s="420"/>
      <c r="Z1488" s="1"/>
      <c r="AA1488" s="1"/>
      <c r="AB1488" s="1"/>
      <c r="AC1488" s="1"/>
      <c r="AD1488" s="1"/>
    </row>
    <row r="1489" spans="17:30">
      <c r="Q1489" s="6">
        <v>1459</v>
      </c>
      <c r="R1489" s="7">
        <v>44126</v>
      </c>
      <c r="S1489" s="210">
        <v>4.5</v>
      </c>
      <c r="T1489" s="8">
        <v>1.0001249999999999</v>
      </c>
      <c r="U1489" s="98">
        <v>4.3104237311735627</v>
      </c>
      <c r="V1489" s="106">
        <v>29941.275639495234</v>
      </c>
      <c r="W1489" s="10">
        <v>0.93256373939403225</v>
      </c>
      <c r="X1489" s="420"/>
      <c r="Y1489" s="420"/>
      <c r="Z1489" s="1"/>
      <c r="AA1489" s="1"/>
      <c r="AB1489" s="1"/>
      <c r="AC1489" s="1"/>
      <c r="AD1489" s="1"/>
    </row>
    <row r="1490" spans="17:30">
      <c r="Q1490" s="6">
        <v>1460</v>
      </c>
      <c r="R1490" s="7">
        <v>44127</v>
      </c>
      <c r="S1490" s="210">
        <v>4.5</v>
      </c>
      <c r="T1490" s="8">
        <v>1.0001249999999999</v>
      </c>
      <c r="U1490" s="98">
        <v>4.3106681491980714</v>
      </c>
      <c r="V1490" s="106">
        <v>29943.767632190309</v>
      </c>
      <c r="W1490" s="10">
        <v>0.93297592397771911</v>
      </c>
      <c r="X1490" s="420"/>
      <c r="Y1490" s="420"/>
      <c r="Z1490" s="1"/>
      <c r="AA1490" s="1"/>
      <c r="AB1490" s="1"/>
      <c r="AC1490" s="1"/>
      <c r="AD1490" s="1"/>
    </row>
    <row r="1491" spans="17:30">
      <c r="Q1491" s="6">
        <v>1461</v>
      </c>
      <c r="R1491" s="7">
        <v>44128</v>
      </c>
      <c r="S1491" s="210">
        <v>4.5</v>
      </c>
      <c r="T1491" s="8">
        <v>1.0001249999999999</v>
      </c>
      <c r="U1491" s="98">
        <v>4.3109122332040783</v>
      </c>
      <c r="V1491" s="106">
        <v>29946.259832292304</v>
      </c>
      <c r="W1491" s="10">
        <v>0.93338754599128215</v>
      </c>
      <c r="X1491" s="420"/>
      <c r="Y1491" s="420"/>
      <c r="Z1491" s="1"/>
      <c r="AA1491" s="1"/>
      <c r="AB1491" s="1"/>
      <c r="AC1491" s="1"/>
      <c r="AD1491" s="1"/>
    </row>
    <row r="1492" spans="17:30">
      <c r="Q1492" s="6">
        <v>1462</v>
      </c>
      <c r="R1492" s="7">
        <v>44129</v>
      </c>
      <c r="S1492" s="210">
        <v>4.5</v>
      </c>
      <c r="T1492" s="8">
        <v>1.0001249999999999</v>
      </c>
      <c r="U1492" s="98">
        <v>4.311155983875814</v>
      </c>
      <c r="V1492" s="106">
        <v>29948.75223981847</v>
      </c>
      <c r="W1492" s="10">
        <v>0.93379860658562297</v>
      </c>
      <c r="X1492" s="420"/>
      <c r="Y1492" s="420"/>
      <c r="Z1492" s="1"/>
      <c r="AA1492" s="1"/>
      <c r="AB1492" s="1"/>
      <c r="AC1492" s="1"/>
      <c r="AD1492" s="1"/>
    </row>
    <row r="1493" spans="17:30">
      <c r="Q1493" s="6">
        <v>1463</v>
      </c>
      <c r="R1493" s="7">
        <v>44130</v>
      </c>
      <c r="S1493" s="210">
        <v>4.5</v>
      </c>
      <c r="T1493" s="8">
        <v>1.0001249999999999</v>
      </c>
      <c r="U1493" s="98">
        <v>4.3113994018956436</v>
      </c>
      <c r="V1493" s="106">
        <v>29951.244854786077</v>
      </c>
      <c r="W1493" s="10">
        <v>0.93420910690862335</v>
      </c>
      <c r="X1493" s="420"/>
      <c r="Y1493" s="420"/>
      <c r="Z1493" s="1"/>
      <c r="AA1493" s="1"/>
      <c r="AB1493" s="1"/>
      <c r="AC1493" s="1"/>
      <c r="AD1493" s="1"/>
    </row>
    <row r="1494" spans="17:30">
      <c r="Q1494" s="6">
        <v>1464</v>
      </c>
      <c r="R1494" s="7">
        <v>44131</v>
      </c>
      <c r="S1494" s="210">
        <v>4.5</v>
      </c>
      <c r="T1494" s="8">
        <v>1.0001249999999999</v>
      </c>
      <c r="U1494" s="98">
        <v>4.3116424879440673</v>
      </c>
      <c r="V1494" s="106">
        <v>29953.737677212397</v>
      </c>
      <c r="W1494" s="10">
        <v>0.93461904810490104</v>
      </c>
      <c r="X1494" s="420"/>
      <c r="Y1494" s="420"/>
      <c r="Z1494" s="1"/>
      <c r="AA1494" s="1"/>
      <c r="AB1494" s="1"/>
      <c r="AC1494" s="1"/>
      <c r="AD1494" s="1"/>
    </row>
    <row r="1495" spans="17:30">
      <c r="Q1495" s="6">
        <v>1465</v>
      </c>
      <c r="R1495" s="7">
        <v>44132</v>
      </c>
      <c r="S1495" s="210">
        <v>4.5</v>
      </c>
      <c r="T1495" s="8">
        <v>1.0001249999999999</v>
      </c>
      <c r="U1495" s="98">
        <v>4.3118852426997423</v>
      </c>
      <c r="V1495" s="106">
        <v>29956.230707114682</v>
      </c>
      <c r="W1495" s="10">
        <v>0.93502843131607616</v>
      </c>
      <c r="X1495" s="420"/>
      <c r="Y1495" s="420"/>
      <c r="Z1495" s="1"/>
      <c r="AA1495" s="1"/>
      <c r="AB1495" s="1"/>
      <c r="AC1495" s="1"/>
      <c r="AD1495" s="1"/>
    </row>
    <row r="1496" spans="17:30">
      <c r="Q1496" s="6">
        <v>1466</v>
      </c>
      <c r="R1496" s="7">
        <v>44133</v>
      </c>
      <c r="S1496" s="210">
        <v>4.5</v>
      </c>
      <c r="T1496" s="8">
        <v>1.0001249999999999</v>
      </c>
      <c r="U1496" s="98">
        <v>4.3121276668394382</v>
      </c>
      <c r="V1496" s="106">
        <v>29958.72394451021</v>
      </c>
      <c r="W1496" s="10">
        <v>0.9354372576805714</v>
      </c>
      <c r="X1496" s="420"/>
      <c r="Y1496" s="420"/>
      <c r="Z1496" s="1"/>
      <c r="AA1496" s="1"/>
      <c r="AB1496" s="1"/>
      <c r="AC1496" s="1"/>
      <c r="AD1496" s="1"/>
    </row>
    <row r="1497" spans="17:30">
      <c r="Q1497" s="6">
        <v>1467</v>
      </c>
      <c r="R1497" s="7">
        <v>44134</v>
      </c>
      <c r="S1497" s="210">
        <v>4.5</v>
      </c>
      <c r="T1497" s="8">
        <v>1.0001249999999999</v>
      </c>
      <c r="U1497" s="98">
        <v>4.3123697610381262</v>
      </c>
      <c r="V1497" s="106">
        <v>29961.217389416244</v>
      </c>
      <c r="W1497" s="10">
        <v>0.93584552833376744</v>
      </c>
      <c r="X1497" s="420"/>
      <c r="Y1497" s="420"/>
      <c r="Z1497" s="1"/>
      <c r="AA1497" s="1"/>
      <c r="AB1497" s="1"/>
      <c r="AC1497" s="1"/>
      <c r="AD1497" s="1"/>
    </row>
    <row r="1498" spans="17:30">
      <c r="Q1498" s="6">
        <v>1468</v>
      </c>
      <c r="R1498" s="7">
        <v>44135</v>
      </c>
      <c r="S1498" s="210">
        <v>4.5</v>
      </c>
      <c r="T1498" s="8">
        <v>1.0001249999999999</v>
      </c>
      <c r="U1498" s="98">
        <v>4.3126115259689346</v>
      </c>
      <c r="V1498" s="106">
        <v>29963.711041850067</v>
      </c>
      <c r="W1498" s="10">
        <v>0.93625324440795854</v>
      </c>
      <c r="X1498" s="420"/>
      <c r="Y1498" s="420"/>
      <c r="Z1498" s="1"/>
      <c r="AA1498" s="1"/>
      <c r="AB1498" s="1"/>
      <c r="AC1498" s="1"/>
      <c r="AD1498" s="1"/>
    </row>
    <row r="1499" spans="17:30">
      <c r="Q1499" s="6">
        <v>1469</v>
      </c>
      <c r="R1499" s="7">
        <v>44136</v>
      </c>
      <c r="S1499" s="210">
        <v>4.5</v>
      </c>
      <c r="T1499" s="8">
        <v>1.0001249999999999</v>
      </c>
      <c r="U1499" s="98">
        <v>4.3128529623031486</v>
      </c>
      <c r="V1499" s="106">
        <v>29966.204901828933</v>
      </c>
      <c r="W1499" s="10">
        <v>0.93666040703233033</v>
      </c>
      <c r="X1499" s="420"/>
      <c r="Y1499" s="420"/>
      <c r="Z1499" s="1"/>
      <c r="AA1499" s="1"/>
      <c r="AB1499" s="1"/>
      <c r="AC1499" s="1"/>
      <c r="AD1499" s="1"/>
    </row>
    <row r="1500" spans="17:30">
      <c r="Q1500" s="6">
        <v>1470</v>
      </c>
      <c r="R1500" s="7">
        <v>44137</v>
      </c>
      <c r="S1500" s="210">
        <v>4.5</v>
      </c>
      <c r="T1500" s="8">
        <v>1.0001249999999999</v>
      </c>
      <c r="U1500" s="98">
        <v>4.3130940707102328</v>
      </c>
      <c r="V1500" s="106">
        <v>29968.698969370136</v>
      </c>
      <c r="W1500" s="10">
        <v>0.93706701733302644</v>
      </c>
      <c r="X1500" s="420"/>
      <c r="Y1500" s="420"/>
      <c r="Z1500" s="1"/>
      <c r="AA1500" s="1"/>
      <c r="AB1500" s="1"/>
      <c r="AC1500" s="1"/>
      <c r="AD1500" s="1"/>
    </row>
    <row r="1501" spans="17:30">
      <c r="Q1501" s="6">
        <v>1471</v>
      </c>
      <c r="R1501" s="7">
        <v>44138</v>
      </c>
      <c r="S1501" s="210">
        <v>4.5</v>
      </c>
      <c r="T1501" s="8">
        <v>1.0001249999999999</v>
      </c>
      <c r="U1501" s="98">
        <v>4.3133348518578307</v>
      </c>
      <c r="V1501" s="106">
        <v>29971.193244490936</v>
      </c>
      <c r="W1501" s="10">
        <v>0.93747307643317068</v>
      </c>
      <c r="X1501" s="420"/>
      <c r="Y1501" s="420"/>
      <c r="Z1501" s="1"/>
      <c r="AA1501" s="1"/>
      <c r="AB1501" s="1"/>
      <c r="AC1501" s="1"/>
      <c r="AD1501" s="1"/>
    </row>
    <row r="1502" spans="17:30">
      <c r="Q1502" s="6">
        <v>1472</v>
      </c>
      <c r="R1502" s="7">
        <v>44139</v>
      </c>
      <c r="S1502" s="210">
        <v>4.5</v>
      </c>
      <c r="T1502" s="8">
        <v>1.0001249999999999</v>
      </c>
      <c r="U1502" s="98">
        <v>4.3135753064117655</v>
      </c>
      <c r="V1502" s="106">
        <v>29973.687727208613</v>
      </c>
      <c r="W1502" s="10">
        <v>0.93787858545275604</v>
      </c>
      <c r="X1502" s="420"/>
      <c r="Y1502" s="420"/>
      <c r="Z1502" s="1"/>
      <c r="AA1502" s="1"/>
      <c r="AB1502" s="1"/>
      <c r="AC1502" s="1"/>
      <c r="AD1502" s="1"/>
    </row>
    <row r="1503" spans="17:30">
      <c r="Q1503" s="6">
        <v>1473</v>
      </c>
      <c r="R1503" s="7">
        <v>44140</v>
      </c>
      <c r="S1503" s="210">
        <v>4.5</v>
      </c>
      <c r="T1503" s="8">
        <v>1.0001249999999999</v>
      </c>
      <c r="U1503" s="98">
        <v>4.3138154350361058</v>
      </c>
      <c r="V1503" s="106">
        <v>29976.182417540454</v>
      </c>
      <c r="W1503" s="10">
        <v>0.93828354550884452</v>
      </c>
      <c r="X1503" s="420"/>
      <c r="Y1503" s="420"/>
      <c r="Z1503" s="1"/>
      <c r="AA1503" s="1"/>
      <c r="AB1503" s="1"/>
      <c r="AC1503" s="1"/>
      <c r="AD1503" s="1"/>
    </row>
    <row r="1504" spans="17:30">
      <c r="Q1504" s="6">
        <v>1474</v>
      </c>
      <c r="R1504" s="7">
        <v>44141</v>
      </c>
      <c r="S1504" s="210">
        <v>4.5</v>
      </c>
      <c r="T1504" s="8">
        <v>1.0001249999999999</v>
      </c>
      <c r="U1504" s="98">
        <v>4.3140552383930553</v>
      </c>
      <c r="V1504" s="106">
        <v>29978.67731550373</v>
      </c>
      <c r="W1504" s="10">
        <v>0.93868795771538949</v>
      </c>
      <c r="X1504" s="420"/>
      <c r="Y1504" s="420"/>
      <c r="Z1504" s="1"/>
      <c r="AA1504" s="1"/>
      <c r="AB1504" s="1"/>
      <c r="AC1504" s="1"/>
      <c r="AD1504" s="1"/>
    </row>
    <row r="1505" spans="17:30">
      <c r="Q1505" s="6">
        <v>1475</v>
      </c>
      <c r="R1505" s="7">
        <v>44142</v>
      </c>
      <c r="S1505" s="210">
        <v>4.5</v>
      </c>
      <c r="T1505" s="8">
        <v>1.0001249999999999</v>
      </c>
      <c r="U1505" s="98">
        <v>4.3142947171430635</v>
      </c>
      <c r="V1505" s="106">
        <v>29981.172421115723</v>
      </c>
      <c r="W1505" s="10">
        <v>0.93909182318341333</v>
      </c>
      <c r="X1505" s="420"/>
      <c r="Y1505" s="420"/>
      <c r="Z1505" s="1"/>
      <c r="AA1505" s="1"/>
      <c r="AB1505" s="1"/>
      <c r="AC1505" s="1"/>
      <c r="AD1505" s="1"/>
    </row>
    <row r="1506" spans="17:30">
      <c r="Q1506" s="6">
        <v>1476</v>
      </c>
      <c r="R1506" s="7">
        <v>44143</v>
      </c>
      <c r="S1506" s="210">
        <v>4.5</v>
      </c>
      <c r="T1506" s="8">
        <v>1.0001249999999999</v>
      </c>
      <c r="U1506" s="98">
        <v>4.3145338719447812</v>
      </c>
      <c r="V1506" s="106">
        <v>29983.667734393715</v>
      </c>
      <c r="W1506" s="10">
        <v>0.93949514302087422</v>
      </c>
      <c r="X1506" s="420"/>
      <c r="Y1506" s="420"/>
      <c r="Z1506" s="1"/>
      <c r="AA1506" s="1"/>
      <c r="AB1506" s="1"/>
      <c r="AC1506" s="1"/>
      <c r="AD1506" s="1"/>
    </row>
    <row r="1507" spans="17:30">
      <c r="Q1507" s="6">
        <v>1477</v>
      </c>
      <c r="R1507" s="7">
        <v>44144</v>
      </c>
      <c r="S1507" s="210">
        <v>4.5</v>
      </c>
      <c r="T1507" s="8">
        <v>1.0001249999999999</v>
      </c>
      <c r="U1507" s="98">
        <v>4.3147727034550831</v>
      </c>
      <c r="V1507" s="106">
        <v>29986.163255354993</v>
      </c>
      <c r="W1507" s="10">
        <v>0.93989791833275493</v>
      </c>
      <c r="X1507" s="420"/>
      <c r="Y1507" s="420"/>
      <c r="Z1507" s="1"/>
      <c r="AA1507" s="1"/>
      <c r="AB1507" s="1"/>
      <c r="AC1507" s="1"/>
      <c r="AD1507" s="1"/>
    </row>
    <row r="1508" spans="17:30">
      <c r="Q1508" s="6">
        <v>1478</v>
      </c>
      <c r="R1508" s="7">
        <v>44145</v>
      </c>
      <c r="S1508" s="210">
        <v>4.5</v>
      </c>
      <c r="T1508" s="8">
        <v>1.0001249999999999</v>
      </c>
      <c r="U1508" s="98">
        <v>4.3150112123290896</v>
      </c>
      <c r="V1508" s="106">
        <v>29988.742178549506</v>
      </c>
      <c r="W1508" s="10">
        <v>0.94023099579014779</v>
      </c>
      <c r="X1508" s="420"/>
      <c r="Y1508" s="420"/>
      <c r="Z1508" s="1"/>
      <c r="AA1508" s="1"/>
      <c r="AB1508" s="1"/>
      <c r="AC1508" s="1"/>
      <c r="AD1508" s="1"/>
    </row>
    <row r="1509" spans="17:30">
      <c r="Q1509" s="6">
        <v>1479</v>
      </c>
      <c r="R1509" s="7">
        <v>44146</v>
      </c>
      <c r="S1509" s="210">
        <v>4.5</v>
      </c>
      <c r="T1509" s="8">
        <v>1.0001249999999999</v>
      </c>
      <c r="U1509" s="98">
        <v>4.3152493992201002</v>
      </c>
      <c r="V1509" s="106">
        <v>29991.321323541135</v>
      </c>
      <c r="W1509" s="10">
        <v>0.94056362393539761</v>
      </c>
      <c r="X1509" s="420"/>
      <c r="Y1509" s="420"/>
      <c r="Z1509" s="1"/>
      <c r="AA1509" s="1"/>
      <c r="AB1509" s="1"/>
      <c r="AC1509" s="1"/>
      <c r="AD1509" s="1"/>
    </row>
    <row r="1510" spans="17:30">
      <c r="Q1510" s="6">
        <v>1480</v>
      </c>
      <c r="R1510" s="7">
        <v>44147</v>
      </c>
      <c r="S1510" s="210">
        <v>4.5</v>
      </c>
      <c r="T1510" s="8">
        <v>1.0001249999999999</v>
      </c>
      <c r="U1510" s="98">
        <v>4.3154872647797049</v>
      </c>
      <c r="V1510" s="106">
        <v>29993.900690348979</v>
      </c>
      <c r="W1510" s="10">
        <v>0.94089580367704428</v>
      </c>
      <c r="X1510" s="420"/>
      <c r="Y1510" s="420"/>
      <c r="Z1510" s="1"/>
      <c r="AA1510" s="1"/>
      <c r="AB1510" s="1"/>
      <c r="AC1510" s="1"/>
      <c r="AD1510" s="1"/>
    </row>
    <row r="1511" spans="17:30">
      <c r="Q1511" s="6">
        <v>1481</v>
      </c>
      <c r="R1511" s="7">
        <v>44148</v>
      </c>
      <c r="S1511" s="210">
        <v>4.5</v>
      </c>
      <c r="T1511" s="8">
        <v>1.0001249999999999</v>
      </c>
      <c r="U1511" s="98">
        <v>4.315724809657695</v>
      </c>
      <c r="V1511" s="106">
        <v>29996.48027899209</v>
      </c>
      <c r="W1511" s="10">
        <v>0.94122753592116304</v>
      </c>
      <c r="X1511" s="420"/>
      <c r="Y1511" s="420"/>
      <c r="Z1511" s="1"/>
      <c r="AA1511" s="1"/>
      <c r="AB1511" s="1"/>
      <c r="AC1511" s="1"/>
      <c r="AD1511" s="1"/>
    </row>
    <row r="1512" spans="17:30">
      <c r="Q1512" s="6">
        <v>1482</v>
      </c>
      <c r="R1512" s="7">
        <v>44149</v>
      </c>
      <c r="S1512" s="210">
        <v>4.5</v>
      </c>
      <c r="T1512" s="8">
        <v>1.0001249999999999</v>
      </c>
      <c r="U1512" s="98">
        <v>4.3159620345021521</v>
      </c>
      <c r="V1512" s="106">
        <v>29999.060089489565</v>
      </c>
      <c r="W1512" s="10">
        <v>0.94155882157147541</v>
      </c>
      <c r="X1512" s="420"/>
      <c r="Y1512" s="420"/>
      <c r="Z1512" s="1"/>
      <c r="AA1512" s="1"/>
      <c r="AB1512" s="1"/>
      <c r="AC1512" s="1"/>
      <c r="AD1512" s="1"/>
    </row>
    <row r="1513" spans="17:30">
      <c r="Q1513" s="6">
        <v>1483</v>
      </c>
      <c r="R1513" s="7">
        <v>44150</v>
      </c>
      <c r="S1513" s="210">
        <v>4.5</v>
      </c>
      <c r="T1513" s="8">
        <v>1.0001249999999999</v>
      </c>
      <c r="U1513" s="98">
        <v>4.3161989399593592</v>
      </c>
      <c r="V1513" s="106">
        <v>30001.640121860473</v>
      </c>
      <c r="W1513" s="10">
        <v>0.94188966152914944</v>
      </c>
      <c r="X1513" s="420"/>
      <c r="Y1513" s="420"/>
      <c r="Z1513" s="1"/>
      <c r="AA1513" s="1"/>
      <c r="AB1513" s="1"/>
      <c r="AC1513" s="1"/>
      <c r="AD1513" s="1"/>
    </row>
    <row r="1514" spans="17:30">
      <c r="Q1514" s="6">
        <v>1484</v>
      </c>
      <c r="R1514" s="7">
        <v>44151</v>
      </c>
      <c r="S1514" s="210">
        <v>4.5</v>
      </c>
      <c r="T1514" s="8">
        <v>1.0001249999999999</v>
      </c>
      <c r="U1514" s="98">
        <v>4.3164355266739118</v>
      </c>
      <c r="V1514" s="106">
        <v>30004.220376123911</v>
      </c>
      <c r="W1514" s="10">
        <v>0.94222005669302167</v>
      </c>
      <c r="X1514" s="420"/>
      <c r="Y1514" s="420"/>
      <c r="Z1514" s="1"/>
      <c r="AA1514" s="1"/>
      <c r="AB1514" s="1"/>
      <c r="AC1514" s="1"/>
      <c r="AD1514" s="1"/>
    </row>
    <row r="1515" spans="17:30">
      <c r="Q1515" s="6">
        <v>1485</v>
      </c>
      <c r="R1515" s="7">
        <v>44152</v>
      </c>
      <c r="S1515" s="210">
        <v>4.5</v>
      </c>
      <c r="T1515" s="8">
        <v>1.0001249999999999</v>
      </c>
      <c r="U1515" s="98">
        <v>4.3166717952886513</v>
      </c>
      <c r="V1515" s="106">
        <v>30006.800852298944</v>
      </c>
      <c r="W1515" s="10">
        <v>0.94255000795948618</v>
      </c>
      <c r="X1515" s="420"/>
      <c r="Y1515" s="420"/>
      <c r="Z1515" s="1"/>
      <c r="AA1515" s="1"/>
      <c r="AB1515" s="1"/>
      <c r="AC1515" s="1"/>
      <c r="AD1515" s="1"/>
    </row>
    <row r="1516" spans="17:30">
      <c r="Q1516" s="6">
        <v>1486</v>
      </c>
      <c r="R1516" s="7">
        <v>44153</v>
      </c>
      <c r="S1516" s="210">
        <v>4.5</v>
      </c>
      <c r="T1516" s="8">
        <v>1.0001249999999999</v>
      </c>
      <c r="U1516" s="98">
        <v>4.316907746444687</v>
      </c>
      <c r="V1516" s="106">
        <v>30009.381550404665</v>
      </c>
      <c r="W1516" s="10">
        <v>0.94287951622253896</v>
      </c>
      <c r="X1516" s="420"/>
      <c r="Y1516" s="420"/>
      <c r="Z1516" s="1"/>
      <c r="AA1516" s="1"/>
      <c r="AB1516" s="1"/>
      <c r="AC1516" s="1"/>
      <c r="AD1516" s="1"/>
    </row>
    <row r="1517" spans="17:30">
      <c r="Q1517" s="6">
        <v>1487</v>
      </c>
      <c r="R1517" s="7">
        <v>44154</v>
      </c>
      <c r="S1517" s="210">
        <v>4.5</v>
      </c>
      <c r="T1517" s="8">
        <v>1.0001249999999999</v>
      </c>
      <c r="U1517" s="98">
        <v>4.3171433807814186</v>
      </c>
      <c r="V1517" s="106">
        <v>30011.962470460163</v>
      </c>
      <c r="W1517" s="10">
        <v>0.94320858237375571</v>
      </c>
      <c r="X1517" s="420"/>
      <c r="Y1517" s="420"/>
      <c r="Z1517" s="1"/>
      <c r="AA1517" s="1"/>
      <c r="AB1517" s="1"/>
      <c r="AC1517" s="1"/>
      <c r="AD1517" s="1"/>
    </row>
    <row r="1518" spans="17:30">
      <c r="Q1518" s="6">
        <v>1488</v>
      </c>
      <c r="R1518" s="7">
        <v>44155</v>
      </c>
      <c r="S1518" s="210">
        <v>4.5</v>
      </c>
      <c r="T1518" s="8">
        <v>1.0001249999999999</v>
      </c>
      <c r="U1518" s="98">
        <v>4.3173786989365137</v>
      </c>
      <c r="V1518" s="106">
        <v>30014.543612484526</v>
      </c>
      <c r="W1518" s="10">
        <v>0.94353720730229185</v>
      </c>
      <c r="X1518" s="420"/>
      <c r="Y1518" s="420"/>
      <c r="Z1518" s="1"/>
      <c r="AA1518" s="1"/>
      <c r="AB1518" s="1"/>
      <c r="AC1518" s="1"/>
      <c r="AD1518" s="1"/>
    </row>
    <row r="1519" spans="17:30">
      <c r="Q1519" s="6">
        <v>1489</v>
      </c>
      <c r="R1519" s="7">
        <v>44156</v>
      </c>
      <c r="S1519" s="210">
        <v>4.5</v>
      </c>
      <c r="T1519" s="8">
        <v>1.0001249999999999</v>
      </c>
      <c r="U1519" s="98">
        <v>4.3176137015459304</v>
      </c>
      <c r="V1519" s="106">
        <v>30017.124976496845</v>
      </c>
      <c r="W1519" s="10">
        <v>0.94386539189501573</v>
      </c>
      <c r="X1519" s="420"/>
      <c r="Y1519" s="420"/>
      <c r="Z1519" s="1"/>
      <c r="AA1519" s="1"/>
      <c r="AB1519" s="1"/>
      <c r="AC1519" s="1"/>
      <c r="AD1519" s="1"/>
    </row>
    <row r="1520" spans="17:30">
      <c r="Q1520" s="6">
        <v>1490</v>
      </c>
      <c r="R1520" s="7">
        <v>44157</v>
      </c>
      <c r="S1520" s="210">
        <v>4.5</v>
      </c>
      <c r="T1520" s="8">
        <v>1.0001249999999999</v>
      </c>
      <c r="U1520" s="98">
        <v>4.3178483892439612</v>
      </c>
      <c r="V1520" s="106">
        <v>30019.706562516207</v>
      </c>
      <c r="W1520" s="10">
        <v>0.94419313703635321</v>
      </c>
      <c r="X1520" s="420"/>
      <c r="Y1520" s="420"/>
      <c r="Z1520" s="1"/>
      <c r="AA1520" s="1"/>
      <c r="AB1520" s="1"/>
      <c r="AC1520" s="1"/>
      <c r="AD1520" s="1"/>
    </row>
    <row r="1521" spans="17:30">
      <c r="Q1521" s="6">
        <v>1491</v>
      </c>
      <c r="R1521" s="7">
        <v>44158</v>
      </c>
      <c r="S1521" s="210">
        <v>4.5</v>
      </c>
      <c r="T1521" s="8">
        <v>1.0001249999999999</v>
      </c>
      <c r="U1521" s="98">
        <v>4.3180827626631446</v>
      </c>
      <c r="V1521" s="106">
        <v>30022.288370561713</v>
      </c>
      <c r="W1521" s="10">
        <v>0.9445204436083543</v>
      </c>
      <c r="X1521" s="420"/>
      <c r="Y1521" s="420"/>
      <c r="Z1521" s="1"/>
      <c r="AA1521" s="1"/>
      <c r="AB1521" s="1"/>
      <c r="AC1521" s="1"/>
      <c r="AD1521" s="1"/>
    </row>
    <row r="1522" spans="17:30">
      <c r="Q1522" s="6">
        <v>1492</v>
      </c>
      <c r="R1522" s="7">
        <v>44159</v>
      </c>
      <c r="S1522" s="210">
        <v>4.5</v>
      </c>
      <c r="T1522" s="8">
        <v>1.0001249999999999</v>
      </c>
      <c r="U1522" s="98">
        <v>4.3183168224343538</v>
      </c>
      <c r="V1522" s="106">
        <v>30024.870400652446</v>
      </c>
      <c r="W1522" s="10">
        <v>0.9448473124907375</v>
      </c>
      <c r="X1522" s="420"/>
      <c r="Y1522" s="420"/>
      <c r="Z1522" s="1"/>
      <c r="AA1522" s="1"/>
      <c r="AB1522" s="1"/>
      <c r="AC1522" s="1"/>
      <c r="AD1522" s="1"/>
    </row>
    <row r="1523" spans="17:30">
      <c r="Q1523" s="6">
        <v>1493</v>
      </c>
      <c r="R1523" s="7">
        <v>44160</v>
      </c>
      <c r="S1523" s="210">
        <v>4.5</v>
      </c>
      <c r="T1523" s="8">
        <v>1.0001249999999999</v>
      </c>
      <c r="U1523" s="98">
        <v>4.3185505691867743</v>
      </c>
      <c r="V1523" s="106">
        <v>30027.452652807515</v>
      </c>
      <c r="W1523" s="10">
        <v>0.94517374456086767</v>
      </c>
      <c r="X1523" s="420"/>
      <c r="Y1523" s="420"/>
      <c r="Z1523" s="1"/>
      <c r="AA1523" s="1"/>
      <c r="AB1523" s="1"/>
      <c r="AC1523" s="1"/>
      <c r="AD1523" s="1"/>
    </row>
    <row r="1524" spans="17:30">
      <c r="Q1524" s="6">
        <v>1494</v>
      </c>
      <c r="R1524" s="7">
        <v>44161</v>
      </c>
      <c r="S1524" s="210">
        <v>4.5</v>
      </c>
      <c r="T1524" s="8">
        <v>1.0001249999999999</v>
      </c>
      <c r="U1524" s="98">
        <v>4.3187840035479264</v>
      </c>
      <c r="V1524" s="106">
        <v>30030.035127046016</v>
      </c>
      <c r="W1524" s="10">
        <v>0.94549974069375597</v>
      </c>
      <c r="X1524" s="420"/>
      <c r="Y1524" s="420"/>
      <c r="Z1524" s="1"/>
      <c r="AA1524" s="1"/>
      <c r="AB1524" s="1"/>
      <c r="AC1524" s="1"/>
      <c r="AD1524" s="1"/>
    </row>
    <row r="1525" spans="17:30">
      <c r="Q1525" s="6">
        <v>1495</v>
      </c>
      <c r="R1525" s="7">
        <v>44162</v>
      </c>
      <c r="S1525" s="210">
        <v>4.5</v>
      </c>
      <c r="T1525" s="8">
        <v>1.0001249999999999</v>
      </c>
      <c r="U1525" s="98">
        <v>4.3190171261435983</v>
      </c>
      <c r="V1525" s="106">
        <v>30032.617823387038</v>
      </c>
      <c r="W1525" s="10">
        <v>0.94582530176210433</v>
      </c>
      <c r="X1525" s="420"/>
      <c r="Y1525" s="420"/>
      <c r="Z1525" s="1"/>
      <c r="AA1525" s="1"/>
      <c r="AB1525" s="1"/>
      <c r="AC1525" s="1"/>
      <c r="AD1525" s="1"/>
    </row>
    <row r="1526" spans="17:30">
      <c r="Q1526" s="6">
        <v>1496</v>
      </c>
      <c r="R1526" s="7">
        <v>44163</v>
      </c>
      <c r="S1526" s="210">
        <v>4.5</v>
      </c>
      <c r="T1526" s="8">
        <v>1.0001249999999999</v>
      </c>
      <c r="U1526" s="98">
        <v>4.3192499375979576</v>
      </c>
      <c r="V1526" s="106">
        <v>30035.200741849698</v>
      </c>
      <c r="W1526" s="10">
        <v>0.94615042863623877</v>
      </c>
      <c r="X1526" s="420"/>
      <c r="Y1526" s="420"/>
      <c r="Z1526" s="1"/>
      <c r="AA1526" s="1"/>
      <c r="AB1526" s="1"/>
      <c r="AC1526" s="1"/>
      <c r="AD1526" s="1"/>
    </row>
    <row r="1527" spans="17:30">
      <c r="Q1527" s="6">
        <v>1497</v>
      </c>
      <c r="R1527" s="7">
        <v>44164</v>
      </c>
      <c r="S1527" s="210">
        <v>4.5</v>
      </c>
      <c r="T1527" s="8">
        <v>1.0001249999999999</v>
      </c>
      <c r="U1527" s="98">
        <v>4.3194824385335062</v>
      </c>
      <c r="V1527" s="106">
        <v>30037.783882453092</v>
      </c>
      <c r="W1527" s="10">
        <v>0.94647512218419827</v>
      </c>
      <c r="X1527" s="420"/>
      <c r="Y1527" s="420"/>
      <c r="Z1527" s="1"/>
      <c r="AA1527" s="1"/>
      <c r="AB1527" s="1"/>
      <c r="AC1527" s="1"/>
      <c r="AD1527" s="1"/>
    </row>
    <row r="1528" spans="17:30">
      <c r="Q1528" s="6">
        <v>1498</v>
      </c>
      <c r="R1528" s="7">
        <v>44165</v>
      </c>
      <c r="S1528" s="210">
        <v>4.5</v>
      </c>
      <c r="T1528" s="8">
        <v>1.0001249999999999</v>
      </c>
      <c r="U1528" s="98">
        <v>4.3197146295710809</v>
      </c>
      <c r="V1528" s="106">
        <v>30040.367245216326</v>
      </c>
      <c r="W1528" s="10">
        <v>0.94679938327173474</v>
      </c>
      <c r="X1528" s="420"/>
      <c r="Y1528" s="420"/>
      <c r="Z1528" s="1"/>
      <c r="AA1528" s="1"/>
      <c r="AB1528" s="1"/>
      <c r="AC1528" s="1"/>
      <c r="AD1528" s="1"/>
    </row>
    <row r="1529" spans="17:30">
      <c r="Q1529" s="6">
        <v>1499</v>
      </c>
      <c r="R1529" s="7">
        <v>44166</v>
      </c>
      <c r="S1529" s="210">
        <v>4.5</v>
      </c>
      <c r="T1529" s="8">
        <v>1.0001249999999999</v>
      </c>
      <c r="U1529" s="98">
        <v>4.319946511329853</v>
      </c>
      <c r="V1529" s="106">
        <v>30042.950830158505</v>
      </c>
      <c r="W1529" s="10">
        <v>0.94712321276222422</v>
      </c>
      <c r="X1529" s="420"/>
      <c r="Y1529" s="420"/>
      <c r="Z1529" s="1"/>
      <c r="AA1529" s="1"/>
      <c r="AB1529" s="1"/>
      <c r="AC1529" s="1"/>
      <c r="AD1529" s="1"/>
    </row>
    <row r="1530" spans="17:30">
      <c r="Q1530" s="6">
        <v>1500</v>
      </c>
      <c r="R1530" s="7">
        <v>44167</v>
      </c>
      <c r="S1530" s="210">
        <v>4.5</v>
      </c>
      <c r="T1530" s="8">
        <v>1.0001249999999999</v>
      </c>
      <c r="U1530" s="98">
        <v>4.3201780844273285</v>
      </c>
      <c r="V1530" s="106">
        <v>30045.534637298737</v>
      </c>
      <c r="W1530" s="10">
        <v>0.9474466115168223</v>
      </c>
      <c r="X1530" s="420"/>
      <c r="Y1530" s="420"/>
      <c r="Z1530" s="1"/>
      <c r="AA1530" s="1"/>
      <c r="AB1530" s="1"/>
      <c r="AC1530" s="1"/>
      <c r="AD1530" s="1"/>
    </row>
    <row r="1531" spans="17:30">
      <c r="Q1531" s="6">
        <v>1501</v>
      </c>
      <c r="R1531" s="7">
        <v>44168</v>
      </c>
      <c r="S1531" s="210">
        <v>4.5</v>
      </c>
      <c r="T1531" s="8">
        <v>1.0001249999999999</v>
      </c>
      <c r="U1531" s="98">
        <v>4.3204093494794149</v>
      </c>
      <c r="V1531" s="106">
        <v>30048.118666656133</v>
      </c>
      <c r="W1531" s="10">
        <v>0.9477695803943309</v>
      </c>
      <c r="X1531" s="420"/>
      <c r="Y1531" s="420"/>
      <c r="Z1531" s="1"/>
      <c r="AA1531" s="1"/>
      <c r="AB1531" s="1"/>
      <c r="AC1531" s="1"/>
      <c r="AD1531" s="1"/>
    </row>
    <row r="1532" spans="17:30">
      <c r="Q1532" s="6">
        <v>1502</v>
      </c>
      <c r="R1532" s="7">
        <v>44169</v>
      </c>
      <c r="S1532" s="210">
        <v>4.5</v>
      </c>
      <c r="T1532" s="8">
        <v>1.0001249999999999</v>
      </c>
      <c r="U1532" s="98">
        <v>4.3206403071003541</v>
      </c>
      <c r="V1532" s="106">
        <v>30050.702918249812</v>
      </c>
      <c r="W1532" s="10">
        <v>0.94809212025128708</v>
      </c>
      <c r="X1532" s="420"/>
      <c r="Y1532" s="420"/>
      <c r="Z1532" s="1"/>
      <c r="AA1532" s="1"/>
      <c r="AB1532" s="1"/>
      <c r="AC1532" s="1"/>
      <c r="AD1532" s="1"/>
    </row>
    <row r="1533" spans="17:30">
      <c r="Q1533" s="6">
        <v>1503</v>
      </c>
      <c r="R1533" s="7">
        <v>44170</v>
      </c>
      <c r="S1533" s="210">
        <v>4.5</v>
      </c>
      <c r="T1533" s="8">
        <v>1.0001249999999999</v>
      </c>
      <c r="U1533" s="98">
        <v>4.3208709579027449</v>
      </c>
      <c r="V1533" s="106">
        <v>30053.287392098868</v>
      </c>
      <c r="W1533" s="10">
        <v>0.94841423194200747</v>
      </c>
      <c r="X1533" s="420"/>
      <c r="Y1533" s="420"/>
      <c r="Z1533" s="1"/>
      <c r="AA1533" s="1"/>
      <c r="AB1533" s="1"/>
      <c r="AC1533" s="1"/>
      <c r="AD1533" s="1"/>
    </row>
    <row r="1534" spans="17:30">
      <c r="Q1534" s="6">
        <v>1504</v>
      </c>
      <c r="R1534" s="7">
        <v>44171</v>
      </c>
      <c r="S1534" s="210">
        <v>4.5</v>
      </c>
      <c r="T1534" s="8">
        <v>1.0001249999999999</v>
      </c>
      <c r="U1534" s="98">
        <v>4.3211013024975875</v>
      </c>
      <c r="V1534" s="106">
        <v>30055.872088222437</v>
      </c>
      <c r="W1534" s="10">
        <v>0.948735916318455</v>
      </c>
      <c r="X1534" s="420"/>
      <c r="Y1534" s="420"/>
      <c r="Z1534" s="1"/>
      <c r="AA1534" s="1"/>
      <c r="AB1534" s="1"/>
      <c r="AC1534" s="1"/>
      <c r="AD1534" s="1"/>
    </row>
    <row r="1535" spans="17:30">
      <c r="Q1535" s="6">
        <v>1505</v>
      </c>
      <c r="R1535" s="7">
        <v>44172</v>
      </c>
      <c r="S1535" s="210">
        <v>4.5</v>
      </c>
      <c r="T1535" s="8">
        <v>1.0001249999999999</v>
      </c>
      <c r="U1535" s="98">
        <v>4.3213313414942611</v>
      </c>
      <c r="V1535" s="106">
        <v>30058.457006639619</v>
      </c>
      <c r="W1535" s="10">
        <v>0.94905717423043878</v>
      </c>
      <c r="X1535" s="420"/>
      <c r="Y1535" s="420"/>
      <c r="Z1535" s="1"/>
      <c r="AA1535" s="1"/>
      <c r="AB1535" s="1"/>
      <c r="AC1535" s="1"/>
      <c r="AD1535" s="1"/>
    </row>
    <row r="1536" spans="17:30">
      <c r="Q1536" s="6">
        <v>1506</v>
      </c>
      <c r="R1536" s="7">
        <v>44173</v>
      </c>
      <c r="S1536" s="210">
        <v>4.5</v>
      </c>
      <c r="T1536" s="8">
        <v>1.0001249999999999</v>
      </c>
      <c r="U1536" s="98">
        <v>4.3215610755005018</v>
      </c>
      <c r="V1536" s="106">
        <v>30061.042147369546</v>
      </c>
      <c r="W1536" s="10">
        <v>0.94937800652539206</v>
      </c>
      <c r="X1536" s="420"/>
      <c r="Y1536" s="420"/>
      <c r="Z1536" s="1"/>
      <c r="AA1536" s="1"/>
      <c r="AB1536" s="1"/>
      <c r="AC1536" s="1"/>
      <c r="AD1536" s="1"/>
    </row>
    <row r="1537" spans="17:30">
      <c r="Q1537" s="6">
        <v>1507</v>
      </c>
      <c r="R1537" s="7">
        <v>44174</v>
      </c>
      <c r="S1537" s="210">
        <v>4.5</v>
      </c>
      <c r="T1537" s="8">
        <v>1.0001249999999999</v>
      </c>
      <c r="U1537" s="98">
        <v>4.3217905051224692</v>
      </c>
      <c r="V1537" s="106">
        <v>30063.627510431328</v>
      </c>
      <c r="W1537" s="10">
        <v>0.94969841404859423</v>
      </c>
      <c r="X1537" s="420"/>
      <c r="Y1537" s="420"/>
      <c r="Z1537" s="1"/>
      <c r="AA1537" s="1"/>
      <c r="AB1537" s="1"/>
      <c r="AC1537" s="1"/>
      <c r="AD1537" s="1"/>
    </row>
    <row r="1538" spans="17:30">
      <c r="Q1538" s="6">
        <v>1508</v>
      </c>
      <c r="R1538" s="7">
        <v>44175</v>
      </c>
      <c r="S1538" s="210">
        <v>4.5</v>
      </c>
      <c r="T1538" s="8">
        <v>1.0001249999999999</v>
      </c>
      <c r="U1538" s="98">
        <v>4.3220196309646797</v>
      </c>
      <c r="V1538" s="106">
        <v>30066.129686392218</v>
      </c>
      <c r="W1538" s="10">
        <v>0.95008618289424973</v>
      </c>
      <c r="X1538" s="420"/>
      <c r="Y1538" s="420"/>
      <c r="Z1538" s="1"/>
      <c r="AA1538" s="1"/>
      <c r="AB1538" s="1"/>
      <c r="AC1538" s="1"/>
      <c r="AD1538" s="1"/>
    </row>
    <row r="1539" spans="17:30">
      <c r="Q1539" s="6">
        <v>1509</v>
      </c>
      <c r="R1539" s="7">
        <v>44176</v>
      </c>
      <c r="S1539" s="210">
        <v>4.5</v>
      </c>
      <c r="T1539" s="8">
        <v>1.0001249999999999</v>
      </c>
      <c r="U1539" s="98">
        <v>4.3222484536300954</v>
      </c>
      <c r="V1539" s="106">
        <v>30068.632070607568</v>
      </c>
      <c r="W1539" s="10">
        <v>0.95047343928496009</v>
      </c>
      <c r="X1539" s="420"/>
      <c r="Y1539" s="420"/>
      <c r="Z1539" s="1"/>
      <c r="AA1539" s="1"/>
      <c r="AB1539" s="1"/>
      <c r="AC1539" s="1"/>
      <c r="AD1539" s="1"/>
    </row>
    <row r="1540" spans="17:30">
      <c r="Q1540" s="6">
        <v>1510</v>
      </c>
      <c r="R1540" s="7">
        <v>44177</v>
      </c>
      <c r="S1540" s="210">
        <v>4.5</v>
      </c>
      <c r="T1540" s="8">
        <v>1.0001249999999999</v>
      </c>
      <c r="U1540" s="98">
        <v>4.3224769737200353</v>
      </c>
      <c r="V1540" s="106">
        <v>30071.134663094712</v>
      </c>
      <c r="W1540" s="10">
        <v>0.95086018423591323</v>
      </c>
      <c r="X1540" s="420"/>
      <c r="Y1540" s="420"/>
      <c r="Z1540" s="1"/>
      <c r="AA1540" s="1"/>
      <c r="AB1540" s="1"/>
      <c r="AC1540" s="1"/>
      <c r="AD1540" s="1"/>
    </row>
    <row r="1541" spans="17:30">
      <c r="Q1541" s="6">
        <v>1511</v>
      </c>
      <c r="R1541" s="7">
        <v>44178</v>
      </c>
      <c r="S1541" s="210">
        <v>4.5</v>
      </c>
      <c r="T1541" s="8">
        <v>1.0001249999999999</v>
      </c>
      <c r="U1541" s="98">
        <v>4.322705191834264</v>
      </c>
      <c r="V1541" s="106">
        <v>30073.637463870989</v>
      </c>
      <c r="W1541" s="10">
        <v>0.95124641875958815</v>
      </c>
      <c r="X1541" s="420"/>
      <c r="Y1541" s="420"/>
      <c r="Z1541" s="1"/>
      <c r="AA1541" s="1"/>
      <c r="AB1541" s="1"/>
      <c r="AC1541" s="1"/>
      <c r="AD1541" s="1"/>
    </row>
    <row r="1542" spans="17:30">
      <c r="Q1542" s="6">
        <v>1512</v>
      </c>
      <c r="R1542" s="7">
        <v>44179</v>
      </c>
      <c r="S1542" s="210">
        <v>4.5</v>
      </c>
      <c r="T1542" s="8">
        <v>1.0001249999999999</v>
      </c>
      <c r="U1542" s="98">
        <v>4.3229331085709477</v>
      </c>
      <c r="V1542" s="106">
        <v>30076.140472953721</v>
      </c>
      <c r="W1542" s="10">
        <v>0.95163214386586592</v>
      </c>
      <c r="X1542" s="420"/>
      <c r="Y1542" s="420"/>
      <c r="Z1542" s="1"/>
      <c r="AA1542" s="1"/>
      <c r="AB1542" s="1"/>
      <c r="AC1542" s="1"/>
      <c r="AD1542" s="1"/>
    </row>
    <row r="1543" spans="17:30">
      <c r="Q1543" s="6">
        <v>1513</v>
      </c>
      <c r="R1543" s="7">
        <v>44180</v>
      </c>
      <c r="S1543" s="210">
        <v>4.5</v>
      </c>
      <c r="T1543" s="8">
        <v>1.0001249999999999</v>
      </c>
      <c r="U1543" s="98">
        <v>4.3231607245266757</v>
      </c>
      <c r="V1543" s="106">
        <v>30078.643690360263</v>
      </c>
      <c r="W1543" s="10">
        <v>0.95201736056182984</v>
      </c>
      <c r="X1543" s="420"/>
      <c r="Y1543" s="420"/>
      <c r="Z1543" s="1"/>
      <c r="AA1543" s="1"/>
      <c r="AB1543" s="1"/>
      <c r="AC1543" s="1"/>
      <c r="AD1543" s="1"/>
    </row>
    <row r="1544" spans="17:30">
      <c r="Q1544" s="6">
        <v>1514</v>
      </c>
      <c r="R1544" s="7">
        <v>44181</v>
      </c>
      <c r="S1544" s="210">
        <v>4.5</v>
      </c>
      <c r="T1544" s="8">
        <v>1.0001249999999999</v>
      </c>
      <c r="U1544" s="98">
        <v>4.3233880402964386</v>
      </c>
      <c r="V1544" s="106">
        <v>30081.147116107939</v>
      </c>
      <c r="W1544" s="10">
        <v>0.95240206985203191</v>
      </c>
      <c r="X1544" s="420"/>
      <c r="Y1544" s="420"/>
      <c r="Z1544" s="1"/>
      <c r="AA1544" s="1"/>
      <c r="AB1544" s="1"/>
      <c r="AC1544" s="1"/>
      <c r="AD1544" s="1"/>
    </row>
    <row r="1545" spans="17:30">
      <c r="Q1545" s="6">
        <v>1515</v>
      </c>
      <c r="R1545" s="7">
        <v>44182</v>
      </c>
      <c r="S1545" s="210">
        <v>4.5</v>
      </c>
      <c r="T1545" s="8">
        <v>1.0001249999999999</v>
      </c>
      <c r="U1545" s="98">
        <v>4.3236150564737175</v>
      </c>
      <c r="V1545" s="106">
        <v>30083.650750214096</v>
      </c>
      <c r="W1545" s="10">
        <v>0.95278627273835959</v>
      </c>
      <c r="X1545" s="420"/>
      <c r="Y1545" s="420"/>
      <c r="Z1545" s="1"/>
      <c r="AA1545" s="1"/>
      <c r="AB1545" s="1"/>
      <c r="AC1545" s="1"/>
      <c r="AD1545" s="1"/>
    </row>
    <row r="1546" spans="17:30">
      <c r="Q1546" s="6">
        <v>1516</v>
      </c>
      <c r="R1546" s="7">
        <v>44183</v>
      </c>
      <c r="S1546" s="210">
        <v>4.5</v>
      </c>
      <c r="T1546" s="8">
        <v>1.0001249999999999</v>
      </c>
      <c r="U1546" s="98">
        <v>4.3238417736503942</v>
      </c>
      <c r="V1546" s="106">
        <v>30086.154592696072</v>
      </c>
      <c r="W1546" s="10">
        <v>0.95316997021999139</v>
      </c>
      <c r="X1546" s="420"/>
      <c r="Y1546" s="420"/>
      <c r="Z1546" s="1"/>
      <c r="AA1546" s="1"/>
      <c r="AB1546" s="1"/>
      <c r="AC1546" s="1"/>
      <c r="AD1546" s="1"/>
    </row>
    <row r="1547" spans="17:30">
      <c r="Q1547" s="6">
        <v>1517</v>
      </c>
      <c r="R1547" s="7">
        <v>44184</v>
      </c>
      <c r="S1547" s="210">
        <v>4.5</v>
      </c>
      <c r="T1547" s="8">
        <v>1.0001249999999999</v>
      </c>
      <c r="U1547" s="98">
        <v>4.3240681924167967</v>
      </c>
      <c r="V1547" s="106">
        <v>30088.658643571216</v>
      </c>
      <c r="W1547" s="10">
        <v>0.95355316329359674</v>
      </c>
      <c r="X1547" s="420"/>
      <c r="Y1547" s="420"/>
      <c r="Z1547" s="1"/>
      <c r="AA1547" s="1"/>
      <c r="AB1547" s="1"/>
      <c r="AC1547" s="1"/>
      <c r="AD1547" s="1"/>
    </row>
    <row r="1548" spans="17:30">
      <c r="Q1548" s="6">
        <v>1518</v>
      </c>
      <c r="R1548" s="7">
        <v>44185</v>
      </c>
      <c r="S1548" s="210">
        <v>4.5</v>
      </c>
      <c r="T1548" s="8">
        <v>1.0001249999999999</v>
      </c>
      <c r="U1548" s="98">
        <v>4.3242943133616762</v>
      </c>
      <c r="V1548" s="106">
        <v>30091.162902856871</v>
      </c>
      <c r="W1548" s="10">
        <v>0.95393585295309169</v>
      </c>
      <c r="X1548" s="420"/>
      <c r="Y1548" s="420"/>
      <c r="Z1548" s="1"/>
      <c r="AA1548" s="1"/>
      <c r="AB1548" s="1"/>
      <c r="AC1548" s="1"/>
      <c r="AD1548" s="1"/>
    </row>
    <row r="1549" spans="17:30">
      <c r="Q1549" s="6">
        <v>1519</v>
      </c>
      <c r="R1549" s="7">
        <v>44186</v>
      </c>
      <c r="S1549" s="210">
        <v>4.5</v>
      </c>
      <c r="T1549" s="8">
        <v>1.0001249999999999</v>
      </c>
      <c r="U1549" s="98">
        <v>4.3245201370722741</v>
      </c>
      <c r="V1549" s="106">
        <v>30093.667370570372</v>
      </c>
      <c r="W1549" s="10">
        <v>0.9543180401899054</v>
      </c>
      <c r="X1549" s="420"/>
      <c r="Y1549" s="420"/>
      <c r="Z1549" s="1"/>
      <c r="AA1549" s="1"/>
      <c r="AB1549" s="1"/>
      <c r="AC1549" s="1"/>
      <c r="AD1549" s="1"/>
    </row>
    <row r="1550" spans="17:30">
      <c r="Q1550" s="6">
        <v>1520</v>
      </c>
      <c r="R1550" s="7">
        <v>44187</v>
      </c>
      <c r="S1550" s="210">
        <v>4.5</v>
      </c>
      <c r="T1550" s="8">
        <v>1.0001249999999999</v>
      </c>
      <c r="U1550" s="98">
        <v>4.3247456641342552</v>
      </c>
      <c r="V1550" s="106">
        <v>30096.172046729083</v>
      </c>
      <c r="W1550" s="10">
        <v>0.9546997259927803</v>
      </c>
      <c r="X1550" s="420"/>
      <c r="Y1550" s="420"/>
      <c r="Z1550" s="1"/>
      <c r="AA1550" s="1"/>
      <c r="AB1550" s="1"/>
      <c r="AC1550" s="1"/>
      <c r="AD1550" s="1"/>
    </row>
    <row r="1551" spans="17:30">
      <c r="Q1551" s="6">
        <v>1521</v>
      </c>
      <c r="R1551" s="7">
        <v>44188</v>
      </c>
      <c r="S1551" s="210">
        <v>4.5</v>
      </c>
      <c r="T1551" s="8">
        <v>1.0001249999999999</v>
      </c>
      <c r="U1551" s="98">
        <v>4.3249708951317967</v>
      </c>
      <c r="V1551" s="106">
        <v>30098.676931350343</v>
      </c>
      <c r="W1551" s="10">
        <v>0.95508091134790529</v>
      </c>
      <c r="X1551" s="420"/>
      <c r="Y1551" s="420"/>
      <c r="Z1551" s="1"/>
      <c r="AA1551" s="1"/>
      <c r="AB1551" s="1"/>
      <c r="AC1551" s="1"/>
      <c r="AD1551" s="1"/>
    </row>
    <row r="1552" spans="17:30">
      <c r="Q1552" s="6">
        <v>1522</v>
      </c>
      <c r="R1552" s="7">
        <v>44189</v>
      </c>
      <c r="S1552" s="210">
        <v>4.5</v>
      </c>
      <c r="T1552" s="8">
        <v>1.0001249999999999</v>
      </c>
      <c r="U1552" s="98">
        <v>4.3251958306474991</v>
      </c>
      <c r="V1552" s="106">
        <v>30101.182024451504</v>
      </c>
      <c r="W1552" s="10">
        <v>0.95546159723889357</v>
      </c>
      <c r="X1552" s="420"/>
      <c r="Y1552" s="420"/>
      <c r="Z1552" s="1"/>
      <c r="AA1552" s="1"/>
      <c r="AB1552" s="1"/>
      <c r="AC1552" s="1"/>
      <c r="AD1552" s="1"/>
    </row>
    <row r="1553" spans="17:30">
      <c r="Q1553" s="6">
        <v>1523</v>
      </c>
      <c r="R1553" s="7">
        <v>44190</v>
      </c>
      <c r="S1553" s="210">
        <v>4.5</v>
      </c>
      <c r="T1553" s="8">
        <v>1.0001249999999999</v>
      </c>
      <c r="U1553" s="98">
        <v>4.3254204712624533</v>
      </c>
      <c r="V1553" s="106">
        <v>30103.687326049916</v>
      </c>
      <c r="W1553" s="10">
        <v>0.95584178464673819</v>
      </c>
      <c r="X1553" s="420"/>
      <c r="Y1553" s="420"/>
      <c r="Z1553" s="1"/>
      <c r="AA1553" s="1"/>
      <c r="AB1553" s="1"/>
      <c r="AC1553" s="1"/>
      <c r="AD1553" s="1"/>
    </row>
    <row r="1554" spans="17:30">
      <c r="Q1554" s="6">
        <v>1524</v>
      </c>
      <c r="R1554" s="7">
        <v>44191</v>
      </c>
      <c r="S1554" s="210">
        <v>4.5</v>
      </c>
      <c r="T1554" s="8">
        <v>1.0001249999999999</v>
      </c>
      <c r="U1554" s="98">
        <v>4.3256448175561957</v>
      </c>
      <c r="V1554" s="106">
        <v>30106.192836162929</v>
      </c>
      <c r="W1554" s="10">
        <v>0.95622147454990092</v>
      </c>
      <c r="X1554" s="420"/>
      <c r="Y1554" s="420"/>
      <c r="Z1554" s="1"/>
      <c r="AA1554" s="1"/>
      <c r="AB1554" s="1"/>
      <c r="AC1554" s="1"/>
      <c r="AD1554" s="1"/>
    </row>
    <row r="1555" spans="17:30">
      <c r="Q1555" s="6">
        <v>1525</v>
      </c>
      <c r="R1555" s="7">
        <v>44192</v>
      </c>
      <c r="S1555" s="210">
        <v>4.5</v>
      </c>
      <c r="T1555" s="8">
        <v>1.0001249999999999</v>
      </c>
      <c r="U1555" s="98">
        <v>4.3258688701067971</v>
      </c>
      <c r="V1555" s="106">
        <v>30108.698554807914</v>
      </c>
      <c r="W1555" s="10">
        <v>0.95660066792428999</v>
      </c>
      <c r="X1555" s="420"/>
      <c r="Y1555" s="420"/>
      <c r="Z1555" s="1"/>
      <c r="AA1555" s="1"/>
      <c r="AB1555" s="1"/>
      <c r="AC1555" s="1"/>
      <c r="AD1555" s="1"/>
    </row>
    <row r="1556" spans="17:30">
      <c r="Q1556" s="6">
        <v>1526</v>
      </c>
      <c r="R1556" s="7">
        <v>44193</v>
      </c>
      <c r="S1556" s="210">
        <v>4.5</v>
      </c>
      <c r="T1556" s="8">
        <v>1.0001249999999999</v>
      </c>
      <c r="U1556" s="98">
        <v>4.3260926294907742</v>
      </c>
      <c r="V1556" s="106">
        <v>30111.204482002206</v>
      </c>
      <c r="W1556" s="10">
        <v>0.95697936574323794</v>
      </c>
      <c r="X1556" s="420"/>
      <c r="Y1556" s="420"/>
      <c r="Z1556" s="1"/>
      <c r="AA1556" s="1"/>
      <c r="AB1556" s="1"/>
      <c r="AC1556" s="1"/>
      <c r="AD1556" s="1"/>
    </row>
    <row r="1557" spans="17:30">
      <c r="Q1557" s="6">
        <v>1527</v>
      </c>
      <c r="R1557" s="7">
        <v>44194</v>
      </c>
      <c r="S1557" s="210">
        <v>4.5</v>
      </c>
      <c r="T1557" s="8">
        <v>1.0001249999999999</v>
      </c>
      <c r="U1557" s="98">
        <v>4.3263160962831559</v>
      </c>
      <c r="V1557" s="106">
        <v>30113.710617763172</v>
      </c>
      <c r="W1557" s="10">
        <v>0.95735756897754598</v>
      </c>
      <c r="X1557" s="420"/>
      <c r="Y1557" s="420"/>
      <c r="Z1557" s="1"/>
      <c r="AA1557" s="1"/>
      <c r="AB1557" s="1"/>
      <c r="AC1557" s="1"/>
      <c r="AD1557" s="1"/>
    </row>
    <row r="1558" spans="17:30">
      <c r="Q1558" s="6">
        <v>1528</v>
      </c>
      <c r="R1558" s="7">
        <v>44195</v>
      </c>
      <c r="S1558" s="210">
        <v>4.5</v>
      </c>
      <c r="T1558" s="8">
        <v>1.0001249999999999</v>
      </c>
      <c r="U1558" s="98">
        <v>4.3265392710574613</v>
      </c>
      <c r="V1558" s="106">
        <v>30116.21696210817</v>
      </c>
      <c r="W1558" s="10">
        <v>0.95773527859548402</v>
      </c>
      <c r="X1558" s="420"/>
      <c r="Y1558" s="420"/>
      <c r="Z1558" s="1"/>
      <c r="AA1558" s="1"/>
      <c r="AB1558" s="1"/>
      <c r="AC1558" s="1"/>
      <c r="AD1558" s="1"/>
    </row>
    <row r="1559" spans="17:30">
      <c r="Q1559" s="6">
        <v>1529</v>
      </c>
      <c r="R1559" s="7">
        <v>44196</v>
      </c>
      <c r="S1559" s="210">
        <v>4.5</v>
      </c>
      <c r="T1559" s="8">
        <v>1.0001249999999999</v>
      </c>
      <c r="U1559" s="98">
        <v>4.3267621543857215</v>
      </c>
      <c r="V1559" s="106">
        <v>30118.723515054568</v>
      </c>
      <c r="W1559" s="10">
        <v>0.95811249556276845</v>
      </c>
      <c r="X1559" s="420"/>
      <c r="Y1559" s="420"/>
      <c r="Z1559" s="1"/>
      <c r="AA1559" s="1"/>
      <c r="AB1559" s="1"/>
      <c r="AC1559" s="1"/>
      <c r="AD1559" s="1"/>
    </row>
    <row r="1560" spans="17:30">
      <c r="Q1560" s="6">
        <v>1530</v>
      </c>
      <c r="R1560" s="7">
        <v>44197</v>
      </c>
      <c r="S1560" s="210">
        <v>4.5</v>
      </c>
      <c r="T1560" s="8">
        <v>1.0001249999999999</v>
      </c>
      <c r="U1560" s="98">
        <v>4.3269847468384581</v>
      </c>
      <c r="V1560" s="106">
        <v>30121.23027661971</v>
      </c>
      <c r="W1560" s="10">
        <v>0.95848922084267318</v>
      </c>
      <c r="X1560" s="420"/>
      <c r="Y1560" s="420"/>
      <c r="Z1560" s="1"/>
      <c r="AA1560" s="1"/>
      <c r="AB1560" s="1"/>
      <c r="AC1560" s="1"/>
      <c r="AD1560" s="1"/>
    </row>
    <row r="1561" spans="17:30">
      <c r="Q1561" s="6">
        <v>1531</v>
      </c>
      <c r="R1561" s="7">
        <v>44198</v>
      </c>
      <c r="S1561" s="210">
        <v>4.5</v>
      </c>
      <c r="T1561" s="8">
        <v>1.0001249999999999</v>
      </c>
      <c r="U1561" s="98">
        <v>4.3272070489847048</v>
      </c>
      <c r="V1561" s="106">
        <v>30123.73724682098</v>
      </c>
      <c r="W1561" s="10">
        <v>0.958865455395852</v>
      </c>
      <c r="X1561" s="420"/>
      <c r="Y1561" s="420"/>
      <c r="Z1561" s="1"/>
      <c r="AA1561" s="1"/>
      <c r="AB1561" s="1"/>
      <c r="AC1561" s="1"/>
      <c r="AD1561" s="1"/>
    </row>
    <row r="1562" spans="17:30">
      <c r="Q1562" s="6">
        <v>1532</v>
      </c>
      <c r="R1562" s="7">
        <v>44199</v>
      </c>
      <c r="S1562" s="210">
        <v>4.5</v>
      </c>
      <c r="T1562" s="8">
        <v>1.0001249999999999</v>
      </c>
      <c r="U1562" s="98">
        <v>4.3274290613920297</v>
      </c>
      <c r="V1562" s="106">
        <v>30126.244425675726</v>
      </c>
      <c r="W1562" s="10">
        <v>0.95924120018053838</v>
      </c>
      <c r="X1562" s="420"/>
      <c r="Y1562" s="420"/>
      <c r="Z1562" s="1"/>
      <c r="AA1562" s="1"/>
      <c r="AB1562" s="1"/>
      <c r="AC1562" s="1"/>
      <c r="AD1562" s="1"/>
    </row>
    <row r="1563" spans="17:30">
      <c r="Q1563" s="6">
        <v>1533</v>
      </c>
      <c r="R1563" s="7">
        <v>44200</v>
      </c>
      <c r="S1563" s="210">
        <v>4.5</v>
      </c>
      <c r="T1563" s="8">
        <v>1.0001249999999999</v>
      </c>
      <c r="U1563" s="98">
        <v>4.3276507846265133</v>
      </c>
      <c r="V1563" s="106">
        <v>30128.751813201321</v>
      </c>
      <c r="W1563" s="10">
        <v>0.95961645615247892</v>
      </c>
      <c r="X1563" s="420"/>
      <c r="Y1563" s="420"/>
      <c r="Z1563" s="1"/>
      <c r="AA1563" s="1"/>
      <c r="AB1563" s="1"/>
      <c r="AC1563" s="1"/>
      <c r="AD1563" s="1"/>
    </row>
    <row r="1564" spans="17:30">
      <c r="Q1564" s="6">
        <v>1534</v>
      </c>
      <c r="R1564" s="7">
        <v>44201</v>
      </c>
      <c r="S1564" s="210">
        <v>4.5</v>
      </c>
      <c r="T1564" s="8">
        <v>1.0001249999999999</v>
      </c>
      <c r="U1564" s="98">
        <v>4.3278722192527708</v>
      </c>
      <c r="V1564" s="106">
        <v>30131.259409415135</v>
      </c>
      <c r="W1564" s="10">
        <v>0.95999122426488892</v>
      </c>
      <c r="X1564" s="420"/>
      <c r="Y1564" s="420"/>
      <c r="Z1564" s="1"/>
      <c r="AA1564" s="1"/>
      <c r="AB1564" s="1"/>
      <c r="AC1564" s="1"/>
      <c r="AD1564" s="1"/>
    </row>
    <row r="1565" spans="17:30">
      <c r="Q1565" s="6">
        <v>1535</v>
      </c>
      <c r="R1565" s="7">
        <v>44202</v>
      </c>
      <c r="S1565" s="210">
        <v>4.5</v>
      </c>
      <c r="T1565" s="8">
        <v>1.0001249999999999</v>
      </c>
      <c r="U1565" s="98">
        <v>4.3280933658339293</v>
      </c>
      <c r="V1565" s="106">
        <v>30133.767214334533</v>
      </c>
      <c r="W1565" s="10">
        <v>0.96036550546854116</v>
      </c>
      <c r="X1565" s="420"/>
      <c r="Y1565" s="420"/>
      <c r="Z1565" s="1"/>
      <c r="AA1565" s="1"/>
      <c r="AB1565" s="1"/>
      <c r="AC1565" s="1"/>
      <c r="AD1565" s="1"/>
    </row>
    <row r="1566" spans="17:30">
      <c r="Q1566" s="6">
        <v>1536</v>
      </c>
      <c r="R1566" s="7">
        <v>44203</v>
      </c>
      <c r="S1566" s="210">
        <v>4.5</v>
      </c>
      <c r="T1566" s="8">
        <v>1.0001249999999999</v>
      </c>
      <c r="U1566" s="98">
        <v>4.3283142249316731</v>
      </c>
      <c r="V1566" s="106">
        <v>30136.275227976887</v>
      </c>
      <c r="W1566" s="10">
        <v>0.96073930071169933</v>
      </c>
      <c r="X1566" s="420"/>
      <c r="Y1566" s="420"/>
      <c r="Z1566" s="1"/>
      <c r="AA1566" s="1"/>
      <c r="AB1566" s="1"/>
      <c r="AC1566" s="1"/>
      <c r="AD1566" s="1"/>
    </row>
    <row r="1567" spans="17:30">
      <c r="Q1567" s="6">
        <v>1537</v>
      </c>
      <c r="R1567" s="7">
        <v>44204</v>
      </c>
      <c r="S1567" s="210">
        <v>4.5</v>
      </c>
      <c r="T1567" s="8">
        <v>1.0001249999999999</v>
      </c>
      <c r="U1567" s="98">
        <v>4.3285347971061983</v>
      </c>
      <c r="V1567" s="106">
        <v>30138.783450359566</v>
      </c>
      <c r="W1567" s="10">
        <v>0.96111261094018463</v>
      </c>
      <c r="X1567" s="420"/>
      <c r="Y1567" s="420"/>
      <c r="Z1567" s="1"/>
      <c r="AA1567" s="1"/>
      <c r="AB1567" s="1"/>
      <c r="AC1567" s="1"/>
      <c r="AD1567" s="1"/>
    </row>
    <row r="1568" spans="17:30">
      <c r="Q1568" s="6">
        <v>1538</v>
      </c>
      <c r="R1568" s="7">
        <v>44205</v>
      </c>
      <c r="S1568" s="210">
        <v>4.5</v>
      </c>
      <c r="T1568" s="8">
        <v>1.0001249999999999</v>
      </c>
      <c r="U1568" s="98">
        <v>4.3287550829162802</v>
      </c>
      <c r="V1568" s="106">
        <v>30141.291881499943</v>
      </c>
      <c r="W1568" s="10">
        <v>0.96148543709742018</v>
      </c>
      <c r="X1568" s="420"/>
      <c r="Y1568" s="420"/>
      <c r="Z1568" s="1"/>
      <c r="AA1568" s="1"/>
      <c r="AB1568" s="1"/>
      <c r="AC1568" s="1"/>
      <c r="AD1568" s="1"/>
    </row>
    <row r="1569" spans="17:30">
      <c r="Q1569" s="6">
        <v>1539</v>
      </c>
      <c r="R1569" s="7">
        <v>44206</v>
      </c>
      <c r="S1569" s="210">
        <v>4.5</v>
      </c>
      <c r="T1569" s="8">
        <v>1.0001249999999999</v>
      </c>
      <c r="U1569" s="98">
        <v>4.3289750829192286</v>
      </c>
      <c r="V1569" s="106">
        <v>30143.800521415396</v>
      </c>
      <c r="W1569" s="10">
        <v>0.96185778012429779</v>
      </c>
      <c r="X1569" s="420"/>
      <c r="Y1569" s="420"/>
      <c r="Z1569" s="1"/>
      <c r="AA1569" s="1"/>
      <c r="AB1569" s="1"/>
      <c r="AC1569" s="1"/>
      <c r="AD1569" s="1"/>
    </row>
    <row r="1570" spans="17:30">
      <c r="Q1570" s="6">
        <v>1540</v>
      </c>
      <c r="R1570" s="7">
        <v>44207</v>
      </c>
      <c r="S1570" s="210">
        <v>4.5</v>
      </c>
      <c r="T1570" s="8">
        <v>1.0001249999999999</v>
      </c>
      <c r="U1570" s="98">
        <v>4.3291947976708878</v>
      </c>
      <c r="V1570" s="106">
        <v>30146.309370123305</v>
      </c>
      <c r="W1570" s="10">
        <v>0.96222964095931118</v>
      </c>
      <c r="X1570" s="420"/>
      <c r="Y1570" s="420"/>
      <c r="Z1570" s="1"/>
      <c r="AA1570" s="1"/>
      <c r="AB1570" s="1"/>
      <c r="AC1570" s="1"/>
      <c r="AD1570" s="1"/>
    </row>
    <row r="1571" spans="17:30">
      <c r="Q1571" s="6">
        <v>1541</v>
      </c>
      <c r="R1571" s="7">
        <v>44208</v>
      </c>
      <c r="S1571" s="210">
        <v>4.5</v>
      </c>
      <c r="T1571" s="8">
        <v>1.0001249999999999</v>
      </c>
      <c r="U1571" s="98">
        <v>4.3294142277257031</v>
      </c>
      <c r="V1571" s="106">
        <v>30148.818427641039</v>
      </c>
      <c r="W1571" s="10">
        <v>0.96260102053855601</v>
      </c>
      <c r="X1571" s="420"/>
      <c r="Y1571" s="420"/>
      <c r="Z1571" s="1"/>
      <c r="AA1571" s="1"/>
      <c r="AB1571" s="1"/>
      <c r="AC1571" s="1"/>
      <c r="AD1571" s="1"/>
    </row>
    <row r="1572" spans="17:30">
      <c r="Q1572" s="6">
        <v>1542</v>
      </c>
      <c r="R1572" s="7">
        <v>44209</v>
      </c>
      <c r="S1572" s="210">
        <v>4.5</v>
      </c>
      <c r="T1572" s="8">
        <v>1.0001249999999999</v>
      </c>
      <c r="U1572" s="98">
        <v>4.3296333736366543</v>
      </c>
      <c r="V1572" s="106">
        <v>30151.32769398599</v>
      </c>
      <c r="W1572" s="10">
        <v>0.9629719197956188</v>
      </c>
      <c r="X1572" s="420"/>
      <c r="Y1572" s="420"/>
      <c r="Z1572" s="1"/>
      <c r="AA1572" s="1"/>
      <c r="AB1572" s="1"/>
      <c r="AC1572" s="1"/>
      <c r="AD1572" s="1"/>
    </row>
    <row r="1573" spans="17:30">
      <c r="Q1573" s="6">
        <v>1543</v>
      </c>
      <c r="R1573" s="7">
        <v>44210</v>
      </c>
      <c r="S1573" s="210">
        <v>4.5</v>
      </c>
      <c r="T1573" s="8">
        <v>1.0001249999999999</v>
      </c>
      <c r="U1573" s="98">
        <v>4.3298522359553004</v>
      </c>
      <c r="V1573" s="106">
        <v>30153.83716917552</v>
      </c>
      <c r="W1573" s="10">
        <v>0.96334233966177685</v>
      </c>
      <c r="X1573" s="420"/>
      <c r="Y1573" s="420"/>
      <c r="Z1573" s="1"/>
      <c r="AA1573" s="1"/>
      <c r="AB1573" s="1"/>
      <c r="AC1573" s="1"/>
      <c r="AD1573" s="1"/>
    </row>
    <row r="1574" spans="17:30">
      <c r="Q1574" s="6">
        <v>1544</v>
      </c>
      <c r="R1574" s="7">
        <v>44211</v>
      </c>
      <c r="S1574" s="210">
        <v>4.5</v>
      </c>
      <c r="T1574" s="8">
        <v>1.0001249999999999</v>
      </c>
      <c r="U1574" s="98">
        <v>4.3300708152317791</v>
      </c>
      <c r="V1574" s="106">
        <v>30156.346853227027</v>
      </c>
      <c r="W1574" s="10">
        <v>0.96371228106584272</v>
      </c>
      <c r="X1574" s="420"/>
      <c r="Y1574" s="420"/>
      <c r="Z1574" s="1"/>
      <c r="AA1574" s="1"/>
      <c r="AB1574" s="1"/>
      <c r="AC1574" s="1"/>
      <c r="AD1574" s="1"/>
    </row>
    <row r="1575" spans="17:30">
      <c r="Q1575" s="6">
        <v>1545</v>
      </c>
      <c r="R1575" s="7">
        <v>44212</v>
      </c>
      <c r="S1575" s="210">
        <v>4.5</v>
      </c>
      <c r="T1575" s="8">
        <v>1.0001249999999999</v>
      </c>
      <c r="U1575" s="98">
        <v>4.3302891120147846</v>
      </c>
      <c r="V1575" s="106">
        <v>30158.856746157886</v>
      </c>
      <c r="W1575" s="10">
        <v>0.96408174493423093</v>
      </c>
      <c r="X1575" s="420"/>
      <c r="Y1575" s="420"/>
      <c r="Z1575" s="1"/>
      <c r="AA1575" s="1"/>
      <c r="AB1575" s="1"/>
      <c r="AC1575" s="1"/>
      <c r="AD1575" s="1"/>
    </row>
    <row r="1576" spans="17:30">
      <c r="Q1576" s="6">
        <v>1546</v>
      </c>
      <c r="R1576" s="7">
        <v>44213</v>
      </c>
      <c r="S1576" s="210">
        <v>4.5</v>
      </c>
      <c r="T1576" s="8">
        <v>1.0001249999999999</v>
      </c>
      <c r="U1576" s="98">
        <v>4.3305071268516127</v>
      </c>
      <c r="V1576" s="106">
        <v>30161.366847985482</v>
      </c>
      <c r="W1576" s="10">
        <v>0.9644507321909801</v>
      </c>
      <c r="X1576" s="420"/>
      <c r="Y1576" s="420"/>
      <c r="Z1576" s="1"/>
      <c r="AA1576" s="1"/>
      <c r="AB1576" s="1"/>
      <c r="AC1576" s="1"/>
      <c r="AD1576" s="1"/>
    </row>
    <row r="1577" spans="17:30">
      <c r="Q1577" s="6">
        <v>1547</v>
      </c>
      <c r="R1577" s="7">
        <v>44214</v>
      </c>
      <c r="S1577" s="210">
        <v>4.5</v>
      </c>
      <c r="T1577" s="8">
        <v>1.0001249999999999</v>
      </c>
      <c r="U1577" s="98">
        <v>4.3307248602881376</v>
      </c>
      <c r="V1577" s="106">
        <v>30163.877158727206</v>
      </c>
      <c r="W1577" s="10">
        <v>0.96481924375775296</v>
      </c>
      <c r="X1577" s="420"/>
      <c r="Y1577" s="420"/>
      <c r="Z1577" s="1"/>
      <c r="AA1577" s="1"/>
      <c r="AB1577" s="1"/>
      <c r="AC1577" s="1"/>
      <c r="AD1577" s="1"/>
    </row>
    <row r="1578" spans="17:30">
      <c r="Q1578" s="6">
        <v>1548</v>
      </c>
      <c r="R1578" s="7">
        <v>44215</v>
      </c>
      <c r="S1578" s="210">
        <v>4.5</v>
      </c>
      <c r="T1578" s="8">
        <v>1.0001249999999999</v>
      </c>
      <c r="U1578" s="98">
        <v>4.3309423128688351</v>
      </c>
      <c r="V1578" s="106">
        <v>30166.387678400442</v>
      </c>
      <c r="W1578" s="10">
        <v>0.9651872805538142</v>
      </c>
      <c r="X1578" s="420"/>
      <c r="Y1578" s="420"/>
      <c r="Z1578" s="1"/>
      <c r="AA1578" s="1"/>
      <c r="AB1578" s="1"/>
      <c r="AC1578" s="1"/>
      <c r="AD1578" s="1"/>
    </row>
    <row r="1579" spans="17:30">
      <c r="Q1579" s="6">
        <v>1549</v>
      </c>
      <c r="R1579" s="7">
        <v>44216</v>
      </c>
      <c r="S1579" s="210">
        <v>4.5</v>
      </c>
      <c r="T1579" s="8">
        <v>1.0001249999999999</v>
      </c>
      <c r="U1579" s="98">
        <v>4.3311594851367818</v>
      </c>
      <c r="V1579" s="106">
        <v>30168.898407022585</v>
      </c>
      <c r="W1579" s="10">
        <v>0.96555484349609699</v>
      </c>
      <c r="X1579" s="420"/>
      <c r="Y1579" s="420"/>
      <c r="Z1579" s="1"/>
      <c r="AA1579" s="1"/>
      <c r="AB1579" s="1"/>
      <c r="AC1579" s="1"/>
      <c r="AD1579" s="1"/>
    </row>
    <row r="1580" spans="17:30">
      <c r="Q1580" s="6">
        <v>1550</v>
      </c>
      <c r="R1580" s="7">
        <v>44217</v>
      </c>
      <c r="S1580" s="210">
        <v>4.5</v>
      </c>
      <c r="T1580" s="8">
        <v>1.0001249999999999</v>
      </c>
      <c r="U1580" s="98">
        <v>4.3313763776336334</v>
      </c>
      <c r="V1580" s="106">
        <v>30171.409344611013</v>
      </c>
      <c r="W1580" s="10">
        <v>0.96592193349913646</v>
      </c>
      <c r="X1580" s="420"/>
      <c r="Y1580" s="420"/>
      <c r="Z1580" s="1"/>
      <c r="AA1580" s="1"/>
      <c r="AB1580" s="1"/>
      <c r="AC1580" s="1"/>
      <c r="AD1580" s="1"/>
    </row>
    <row r="1581" spans="17:30">
      <c r="Q1581" s="6">
        <v>1551</v>
      </c>
      <c r="R1581" s="7">
        <v>44218</v>
      </c>
      <c r="S1581" s="210">
        <v>4.5</v>
      </c>
      <c r="T1581" s="8">
        <v>1.0001249999999999</v>
      </c>
      <c r="U1581" s="98">
        <v>4.3315929908996464</v>
      </c>
      <c r="V1581" s="106">
        <v>30173.920491183137</v>
      </c>
      <c r="W1581" s="10">
        <v>0.96628855147511405</v>
      </c>
      <c r="X1581" s="420"/>
      <c r="Y1581" s="420"/>
      <c r="Z1581" s="1"/>
      <c r="AA1581" s="1"/>
      <c r="AB1581" s="1"/>
      <c r="AC1581" s="1"/>
      <c r="AD1581" s="1"/>
    </row>
    <row r="1582" spans="17:30">
      <c r="Q1582" s="6">
        <v>1552</v>
      </c>
      <c r="R1582" s="7">
        <v>44219</v>
      </c>
      <c r="S1582" s="210">
        <v>4.5</v>
      </c>
      <c r="T1582" s="8">
        <v>1.0001249999999999</v>
      </c>
      <c r="U1582" s="98">
        <v>4.3318093254737233</v>
      </c>
      <c r="V1582" s="106">
        <v>30176.431846756332</v>
      </c>
      <c r="W1582" s="10">
        <v>0.96665469833390194</v>
      </c>
      <c r="X1582" s="420"/>
      <c r="Y1582" s="420"/>
      <c r="Z1582" s="1"/>
      <c r="AA1582" s="1"/>
      <c r="AB1582" s="1"/>
      <c r="AC1582" s="1"/>
      <c r="AD1582" s="1"/>
    </row>
    <row r="1583" spans="17:30">
      <c r="Q1583" s="6">
        <v>1553</v>
      </c>
      <c r="R1583" s="7">
        <v>44220</v>
      </c>
      <c r="S1583" s="210">
        <v>4.5</v>
      </c>
      <c r="T1583" s="8">
        <v>1.0001249999999999</v>
      </c>
      <c r="U1583" s="98">
        <v>4.3320253818933452</v>
      </c>
      <c r="V1583" s="106">
        <v>30178.943411348006</v>
      </c>
      <c r="W1583" s="10">
        <v>0.96702037498301863</v>
      </c>
      <c r="X1583" s="420"/>
      <c r="Y1583" s="420"/>
      <c r="Z1583" s="1"/>
      <c r="AA1583" s="1"/>
      <c r="AB1583" s="1"/>
      <c r="AC1583" s="1"/>
      <c r="AD1583" s="1"/>
    </row>
    <row r="1584" spans="17:30">
      <c r="Q1584" s="6">
        <v>1554</v>
      </c>
      <c r="R1584" s="7">
        <v>44221</v>
      </c>
      <c r="S1584" s="210">
        <v>4.5</v>
      </c>
      <c r="T1584" s="8">
        <v>1.0001249999999999</v>
      </c>
      <c r="U1584" s="98">
        <v>4.3322411606946387</v>
      </c>
      <c r="V1584" s="106">
        <v>30181.455184975544</v>
      </c>
      <c r="W1584" s="10">
        <v>0.96738558232765115</v>
      </c>
      <c r="X1584" s="420"/>
      <c r="Y1584" s="420"/>
      <c r="Z1584" s="1"/>
      <c r="AA1584" s="1"/>
      <c r="AB1584" s="1"/>
      <c r="AC1584" s="1"/>
      <c r="AD1584" s="1"/>
    </row>
    <row r="1585" spans="17:30">
      <c r="Q1585" s="6">
        <v>1555</v>
      </c>
      <c r="R1585" s="7">
        <v>44222</v>
      </c>
      <c r="S1585" s="210">
        <v>4.5</v>
      </c>
      <c r="T1585" s="8">
        <v>1.0001249999999999</v>
      </c>
      <c r="U1585" s="98">
        <v>4.3324566624123539</v>
      </c>
      <c r="V1585" s="106">
        <v>30183.967167656352</v>
      </c>
      <c r="W1585" s="10">
        <v>0.96775032127069949</v>
      </c>
      <c r="X1585" s="420"/>
      <c r="Y1585" s="420"/>
      <c r="Z1585" s="1"/>
      <c r="AA1585" s="1"/>
      <c r="AB1585" s="1"/>
      <c r="AC1585" s="1"/>
      <c r="AD1585" s="1"/>
    </row>
    <row r="1586" spans="17:30">
      <c r="Q1586" s="6">
        <v>1556</v>
      </c>
      <c r="R1586" s="7">
        <v>44223</v>
      </c>
      <c r="S1586" s="210">
        <v>4.5</v>
      </c>
      <c r="T1586" s="8">
        <v>1.0001249999999999</v>
      </c>
      <c r="U1586" s="98">
        <v>4.3326718875798198</v>
      </c>
      <c r="V1586" s="106">
        <v>30186.479359407833</v>
      </c>
      <c r="W1586" s="10">
        <v>0.96811459271266553</v>
      </c>
      <c r="X1586" s="420"/>
      <c r="Y1586" s="420"/>
      <c r="Z1586" s="1"/>
      <c r="AA1586" s="1"/>
      <c r="AB1586" s="1"/>
      <c r="AC1586" s="1"/>
      <c r="AD1586" s="1"/>
    </row>
    <row r="1587" spans="17:30">
      <c r="Q1587" s="6">
        <v>1557</v>
      </c>
      <c r="R1587" s="7">
        <v>44224</v>
      </c>
      <c r="S1587" s="210">
        <v>4.5</v>
      </c>
      <c r="T1587" s="8">
        <v>1.0001249999999999</v>
      </c>
      <c r="U1587" s="98">
        <v>4.3328868367290774</v>
      </c>
      <c r="V1587" s="106">
        <v>30188.99176024738</v>
      </c>
      <c r="W1587" s="10">
        <v>0.96847839755180853</v>
      </c>
      <c r="X1587" s="420"/>
      <c r="Y1587" s="420"/>
      <c r="Z1587" s="1"/>
      <c r="AA1587" s="1"/>
      <c r="AB1587" s="1"/>
      <c r="AC1587" s="1"/>
      <c r="AD1587" s="1"/>
    </row>
    <row r="1588" spans="17:30">
      <c r="Q1588" s="6">
        <v>1558</v>
      </c>
      <c r="R1588" s="7">
        <v>44225</v>
      </c>
      <c r="S1588" s="210">
        <v>4.5</v>
      </c>
      <c r="T1588" s="8">
        <v>1.0001249999999999</v>
      </c>
      <c r="U1588" s="98">
        <v>4.3331015103907244</v>
      </c>
      <c r="V1588" s="106">
        <v>30191.504370192397</v>
      </c>
      <c r="W1588" s="10">
        <v>0.96884173668407847</v>
      </c>
      <c r="X1588" s="420"/>
      <c r="Y1588" s="420"/>
      <c r="Z1588" s="1"/>
      <c r="AA1588" s="1"/>
      <c r="AB1588" s="1"/>
      <c r="AC1588" s="1"/>
      <c r="AD1588" s="1"/>
    </row>
    <row r="1589" spans="17:30">
      <c r="Q1589" s="6">
        <v>1559</v>
      </c>
      <c r="R1589" s="7">
        <v>44226</v>
      </c>
      <c r="S1589" s="210">
        <v>4.5</v>
      </c>
      <c r="T1589" s="8">
        <v>1.0001249999999999</v>
      </c>
      <c r="U1589" s="98">
        <v>4.3333159090940487</v>
      </c>
      <c r="V1589" s="106">
        <v>30194.017189260285</v>
      </c>
      <c r="W1589" s="10">
        <v>0.96920461100313826</v>
      </c>
      <c r="X1589" s="420"/>
      <c r="Y1589" s="420"/>
      <c r="Z1589" s="1"/>
      <c r="AA1589" s="1"/>
      <c r="AB1589" s="1"/>
      <c r="AC1589" s="1"/>
      <c r="AD1589" s="1"/>
    </row>
    <row r="1590" spans="17:30">
      <c r="Q1590" s="6">
        <v>1560</v>
      </c>
      <c r="R1590" s="7">
        <v>44227</v>
      </c>
      <c r="S1590" s="210">
        <v>4.5</v>
      </c>
      <c r="T1590" s="8">
        <v>1.0001249999999999</v>
      </c>
      <c r="U1590" s="98">
        <v>4.3335300333669835</v>
      </c>
      <c r="V1590" s="106">
        <v>30196.530217468458</v>
      </c>
      <c r="W1590" s="10">
        <v>0.96956702140036377</v>
      </c>
      <c r="X1590" s="420"/>
      <c r="Y1590" s="420"/>
      <c r="Z1590" s="1"/>
      <c r="AA1590" s="1"/>
      <c r="AB1590" s="1"/>
      <c r="AC1590" s="1"/>
      <c r="AD1590" s="1"/>
    </row>
    <row r="1591" spans="17:30">
      <c r="Q1591" s="6">
        <v>1561</v>
      </c>
      <c r="R1591" s="7">
        <v>44228</v>
      </c>
      <c r="S1591" s="210">
        <v>4.5</v>
      </c>
      <c r="T1591" s="8">
        <v>1.0001249999999999</v>
      </c>
      <c r="U1591" s="98">
        <v>4.3337438837360853</v>
      </c>
      <c r="V1591" s="106">
        <v>30199.043454834311</v>
      </c>
      <c r="W1591" s="10">
        <v>0.96992896876479939</v>
      </c>
      <c r="X1591" s="420"/>
      <c r="Y1591" s="420"/>
      <c r="Z1591" s="1"/>
      <c r="AA1591" s="1"/>
      <c r="AB1591" s="1"/>
      <c r="AC1591" s="1"/>
      <c r="AD1591" s="1"/>
    </row>
    <row r="1592" spans="17:30">
      <c r="Q1592" s="6">
        <v>1562</v>
      </c>
      <c r="R1592" s="7">
        <v>44229</v>
      </c>
      <c r="S1592" s="210">
        <v>4.5</v>
      </c>
      <c r="T1592" s="8">
        <v>1.0001249999999999</v>
      </c>
      <c r="U1592" s="98">
        <v>4.3339574607265785</v>
      </c>
      <c r="V1592" s="106">
        <v>30201.556901375268</v>
      </c>
      <c r="W1592" s="10">
        <v>0.97029045398331348</v>
      </c>
      <c r="X1592" s="420"/>
      <c r="Y1592" s="420"/>
      <c r="Z1592" s="1"/>
      <c r="AA1592" s="1"/>
      <c r="AB1592" s="1"/>
      <c r="AC1592" s="1"/>
      <c r="AD1592" s="1"/>
    </row>
    <row r="1593" spans="17:30">
      <c r="Q1593" s="6">
        <v>1563</v>
      </c>
      <c r="R1593" s="7">
        <v>44230</v>
      </c>
      <c r="S1593" s="210">
        <v>4.5</v>
      </c>
      <c r="T1593" s="8">
        <v>1.0001249999999999</v>
      </c>
      <c r="U1593" s="98">
        <v>4.3341707648623329</v>
      </c>
      <c r="V1593" s="106">
        <v>30204.07055710872</v>
      </c>
      <c r="W1593" s="10">
        <v>0.97065147794046513</v>
      </c>
      <c r="X1593" s="420"/>
      <c r="Y1593" s="420"/>
      <c r="Z1593" s="1"/>
      <c r="AA1593" s="1"/>
      <c r="AB1593" s="1"/>
      <c r="AC1593" s="1"/>
      <c r="AD1593" s="1"/>
    </row>
    <row r="1594" spans="17:30">
      <c r="Q1594" s="6">
        <v>1564</v>
      </c>
      <c r="R1594" s="7">
        <v>44231</v>
      </c>
      <c r="S1594" s="210">
        <v>4.5</v>
      </c>
      <c r="T1594" s="8">
        <v>1.0001249999999999</v>
      </c>
      <c r="U1594" s="98">
        <v>4.3343837966659082</v>
      </c>
      <c r="V1594" s="106">
        <v>30206.584422052092</v>
      </c>
      <c r="W1594" s="10">
        <v>0.97101204151850418</v>
      </c>
      <c r="X1594" s="420"/>
      <c r="Y1594" s="420"/>
      <c r="Z1594" s="1"/>
      <c r="AA1594" s="1"/>
      <c r="AB1594" s="1"/>
      <c r="AC1594" s="1"/>
      <c r="AD1594" s="1"/>
    </row>
    <row r="1595" spans="17:30">
      <c r="Q1595" s="6">
        <v>1565</v>
      </c>
      <c r="R1595" s="7">
        <v>44232</v>
      </c>
      <c r="S1595" s="210">
        <v>4.5</v>
      </c>
      <c r="T1595" s="8">
        <v>1.0001249999999999</v>
      </c>
      <c r="U1595" s="98">
        <v>4.3345965566584876</v>
      </c>
      <c r="V1595" s="106">
        <v>30209.098496222792</v>
      </c>
      <c r="W1595" s="10">
        <v>0.9713721455975044</v>
      </c>
      <c r="X1595" s="420"/>
      <c r="Y1595" s="420"/>
      <c r="Z1595" s="1"/>
      <c r="AA1595" s="1"/>
      <c r="AB1595" s="1"/>
      <c r="AC1595" s="1"/>
      <c r="AD1595" s="1"/>
    </row>
    <row r="1596" spans="17:30">
      <c r="Q1596" s="6">
        <v>1566</v>
      </c>
      <c r="R1596" s="7">
        <v>44233</v>
      </c>
      <c r="S1596" s="210">
        <v>4.5</v>
      </c>
      <c r="T1596" s="8">
        <v>1.0001249999999999</v>
      </c>
      <c r="U1596" s="98">
        <v>4.3348090453599886</v>
      </c>
      <c r="V1596" s="106">
        <v>30211.612779638232</v>
      </c>
      <c r="W1596" s="10">
        <v>0.97173179105529695</v>
      </c>
      <c r="X1596" s="420"/>
      <c r="Y1596" s="420"/>
      <c r="Z1596" s="1"/>
      <c r="AA1596" s="1"/>
      <c r="AB1596" s="1"/>
      <c r="AC1596" s="1"/>
      <c r="AD1596" s="1"/>
    </row>
    <row r="1597" spans="17:30">
      <c r="Q1597" s="6">
        <v>1567</v>
      </c>
      <c r="R1597" s="7">
        <v>44234</v>
      </c>
      <c r="S1597" s="210">
        <v>4.5</v>
      </c>
      <c r="T1597" s="8">
        <v>1.0001249999999999</v>
      </c>
      <c r="U1597" s="98">
        <v>4.3350212632889296</v>
      </c>
      <c r="V1597" s="106">
        <v>30214.127272315825</v>
      </c>
      <c r="W1597" s="10">
        <v>0.9720909787674481</v>
      </c>
      <c r="X1597" s="420"/>
      <c r="Y1597" s="420"/>
      <c r="Z1597" s="1"/>
      <c r="AA1597" s="1"/>
      <c r="AB1597" s="1"/>
      <c r="AC1597" s="1"/>
      <c r="AD1597" s="1"/>
    </row>
    <row r="1598" spans="17:30">
      <c r="Q1598" s="6">
        <v>1568</v>
      </c>
      <c r="R1598" s="7">
        <v>44235</v>
      </c>
      <c r="S1598" s="210">
        <v>4.5</v>
      </c>
      <c r="T1598" s="8">
        <v>1.0001249999999999</v>
      </c>
      <c r="U1598" s="98">
        <v>4.3352332109625857</v>
      </c>
      <c r="V1598" s="106">
        <v>30216.641974272996</v>
      </c>
      <c r="W1598" s="10">
        <v>0.97244970960732591</v>
      </c>
      <c r="X1598" s="420"/>
      <c r="Y1598" s="420"/>
      <c r="Z1598" s="1"/>
      <c r="AA1598" s="1"/>
      <c r="AB1598" s="1"/>
      <c r="AC1598" s="1"/>
      <c r="AD1598" s="1"/>
    </row>
    <row r="1599" spans="17:30">
      <c r="Q1599" s="6">
        <v>1569</v>
      </c>
      <c r="R1599" s="7">
        <v>44236</v>
      </c>
      <c r="S1599" s="210">
        <v>4.5</v>
      </c>
      <c r="T1599" s="8">
        <v>1.0001249999999999</v>
      </c>
      <c r="U1599" s="98">
        <v>4.3354448888968555</v>
      </c>
      <c r="V1599" s="106">
        <v>30219.156885527154</v>
      </c>
      <c r="W1599" s="10">
        <v>0.97280798444601135</v>
      </c>
      <c r="X1599" s="420"/>
      <c r="Y1599" s="420"/>
      <c r="Z1599" s="1"/>
      <c r="AA1599" s="1"/>
      <c r="AB1599" s="1"/>
      <c r="AC1599" s="1"/>
      <c r="AD1599" s="1"/>
    </row>
    <row r="1600" spans="17:30">
      <c r="Q1600" s="6">
        <v>1570</v>
      </c>
      <c r="R1600" s="7">
        <v>44237</v>
      </c>
      <c r="S1600" s="210">
        <v>4.5</v>
      </c>
      <c r="T1600" s="8">
        <v>1.0001249999999999</v>
      </c>
      <c r="U1600" s="98">
        <v>4.3356562976063273</v>
      </c>
      <c r="V1600" s="106">
        <v>30221.941495714924</v>
      </c>
      <c r="W1600" s="10">
        <v>0.97295647951327613</v>
      </c>
      <c r="X1600" s="420"/>
      <c r="Y1600" s="420"/>
      <c r="Z1600" s="1"/>
      <c r="AA1600" s="1"/>
      <c r="AB1600" s="1"/>
      <c r="AC1600" s="1"/>
      <c r="AD1600" s="1"/>
    </row>
    <row r="1601" spans="17:30">
      <c r="Q1601" s="6">
        <v>1571</v>
      </c>
      <c r="R1601" s="7">
        <v>44238</v>
      </c>
      <c r="S1601" s="210">
        <v>4.5</v>
      </c>
      <c r="T1601" s="8">
        <v>1.0001249999999999</v>
      </c>
      <c r="U1601" s="98">
        <v>4.3358674376043238</v>
      </c>
      <c r="V1601" s="106">
        <v>30224.726362496669</v>
      </c>
      <c r="W1601" s="10">
        <v>0.97310478575325376</v>
      </c>
      <c r="X1601" s="420"/>
      <c r="Y1601" s="420"/>
      <c r="Z1601" s="1"/>
      <c r="AA1601" s="1"/>
      <c r="AB1601" s="1"/>
      <c r="AC1601" s="1"/>
      <c r="AD1601" s="1"/>
    </row>
    <row r="1602" spans="17:30">
      <c r="Q1602" s="6">
        <v>1572</v>
      </c>
      <c r="R1602" s="7">
        <v>44239</v>
      </c>
      <c r="S1602" s="210">
        <v>4.5</v>
      </c>
      <c r="T1602" s="8">
        <v>1.0001249999999999</v>
      </c>
      <c r="U1602" s="98">
        <v>4.3360783094028355</v>
      </c>
      <c r="V1602" s="106">
        <v>30227.511485896055</v>
      </c>
      <c r="W1602" s="10">
        <v>0.97325290352583416</v>
      </c>
      <c r="X1602" s="420"/>
      <c r="Y1602" s="420"/>
      <c r="Z1602" s="1"/>
      <c r="AA1602" s="1"/>
      <c r="AB1602" s="1"/>
      <c r="AC1602" s="1"/>
      <c r="AD1602" s="1"/>
    </row>
    <row r="1603" spans="17:30">
      <c r="Q1603" s="6">
        <v>1573</v>
      </c>
      <c r="R1603" s="7">
        <v>44240</v>
      </c>
      <c r="S1603" s="210">
        <v>4.5</v>
      </c>
      <c r="T1603" s="8">
        <v>1.0001249999999999</v>
      </c>
      <c r="U1603" s="98">
        <v>4.3362889135125426</v>
      </c>
      <c r="V1603" s="106">
        <v>30230.296865936711</v>
      </c>
      <c r="W1603" s="10">
        <v>0.97340083319008563</v>
      </c>
      <c r="X1603" s="420"/>
      <c r="Y1603" s="420"/>
      <c r="Z1603" s="1"/>
      <c r="AA1603" s="1"/>
      <c r="AB1603" s="1"/>
      <c r="AC1603" s="1"/>
      <c r="AD1603" s="1"/>
    </row>
    <row r="1604" spans="17:30">
      <c r="Q1604" s="6">
        <v>1574</v>
      </c>
      <c r="R1604" s="7">
        <v>44241</v>
      </c>
      <c r="S1604" s="210">
        <v>4.5</v>
      </c>
      <c r="T1604" s="8">
        <v>1.0001249999999999</v>
      </c>
      <c r="U1604" s="98">
        <v>4.3364992504428379</v>
      </c>
      <c r="V1604" s="106">
        <v>30233.08250264229</v>
      </c>
      <c r="W1604" s="10">
        <v>0.97354857510407733</v>
      </c>
      <c r="X1604" s="420"/>
      <c r="Y1604" s="420"/>
      <c r="Z1604" s="1"/>
      <c r="AA1604" s="1"/>
      <c r="AB1604" s="1"/>
      <c r="AC1604" s="1"/>
      <c r="AD1604" s="1"/>
    </row>
    <row r="1605" spans="17:30">
      <c r="Q1605" s="6">
        <v>1575</v>
      </c>
      <c r="R1605" s="7">
        <v>44242</v>
      </c>
      <c r="S1605" s="210">
        <v>4.5</v>
      </c>
      <c r="T1605" s="8">
        <v>1.0001249999999999</v>
      </c>
      <c r="U1605" s="98">
        <v>4.3367093207018481</v>
      </c>
      <c r="V1605" s="106">
        <v>30235.868396036451</v>
      </c>
      <c r="W1605" s="10">
        <v>0.97369612962507901</v>
      </c>
      <c r="X1605" s="420"/>
      <c r="Y1605" s="420"/>
      <c r="Z1605" s="1"/>
      <c r="AA1605" s="1"/>
      <c r="AB1605" s="1"/>
      <c r="AC1605" s="1"/>
      <c r="AD1605" s="1"/>
    </row>
    <row r="1606" spans="17:30">
      <c r="Q1606" s="6">
        <v>1576</v>
      </c>
      <c r="R1606" s="7">
        <v>44243</v>
      </c>
      <c r="S1606" s="210">
        <v>4.5</v>
      </c>
      <c r="T1606" s="8">
        <v>1.0001249999999999</v>
      </c>
      <c r="U1606" s="98">
        <v>4.3369191247963901</v>
      </c>
      <c r="V1606" s="106">
        <v>30238.65454614284</v>
      </c>
      <c r="W1606" s="10">
        <v>0.97384349710936124</v>
      </c>
      <c r="X1606" s="420"/>
      <c r="Y1606" s="420"/>
      <c r="Z1606" s="1"/>
      <c r="AA1606" s="1"/>
      <c r="AB1606" s="1"/>
      <c r="AC1606" s="1"/>
      <c r="AD1606" s="1"/>
    </row>
    <row r="1607" spans="17:30">
      <c r="Q1607" s="6">
        <v>1577</v>
      </c>
      <c r="R1607" s="7">
        <v>44244</v>
      </c>
      <c r="S1607" s="210">
        <v>4.5</v>
      </c>
      <c r="T1607" s="8">
        <v>1.0001249999999999</v>
      </c>
      <c r="U1607" s="98">
        <v>4.3371286632319928</v>
      </c>
      <c r="V1607" s="106">
        <v>30241.440952985111</v>
      </c>
      <c r="W1607" s="10">
        <v>0.97399067791232863</v>
      </c>
      <c r="X1607" s="420"/>
      <c r="Y1607" s="420"/>
      <c r="Z1607" s="1"/>
      <c r="AA1607" s="1"/>
      <c r="AB1607" s="1"/>
      <c r="AC1607" s="1"/>
      <c r="AD1607" s="1"/>
    </row>
    <row r="1608" spans="17:30">
      <c r="Q1608" s="6">
        <v>1578</v>
      </c>
      <c r="R1608" s="7">
        <v>44245</v>
      </c>
      <c r="S1608" s="210">
        <v>4.5</v>
      </c>
      <c r="T1608" s="8">
        <v>1.0001249999999999</v>
      </c>
      <c r="U1608" s="98">
        <v>4.3373379365129194</v>
      </c>
      <c r="V1608" s="106">
        <v>30244.227616586923</v>
      </c>
      <c r="W1608" s="10">
        <v>0.97413767238847537</v>
      </c>
      <c r="X1608" s="420"/>
      <c r="Y1608" s="420"/>
      <c r="Z1608" s="1"/>
      <c r="AA1608" s="1"/>
      <c r="AB1608" s="1"/>
      <c r="AC1608" s="1"/>
      <c r="AD1608" s="1"/>
    </row>
    <row r="1609" spans="17:30">
      <c r="Q1609" s="6">
        <v>1579</v>
      </c>
      <c r="R1609" s="7">
        <v>44246</v>
      </c>
      <c r="S1609" s="210">
        <v>4.5</v>
      </c>
      <c r="T1609" s="8">
        <v>1.0001249999999999</v>
      </c>
      <c r="U1609" s="98">
        <v>4.3375469451421234</v>
      </c>
      <c r="V1609" s="106">
        <v>30247.014536971936</v>
      </c>
      <c r="W1609" s="10">
        <v>0.97428448089140751</v>
      </c>
      <c r="X1609" s="420"/>
      <c r="Y1609" s="420"/>
      <c r="Z1609" s="1"/>
      <c r="AA1609" s="1"/>
      <c r="AB1609" s="1"/>
      <c r="AC1609" s="1"/>
      <c r="AD1609" s="1"/>
    </row>
    <row r="1610" spans="17:30">
      <c r="Q1610" s="6">
        <v>1580</v>
      </c>
      <c r="R1610" s="7">
        <v>44247</v>
      </c>
      <c r="S1610" s="210">
        <v>4.5</v>
      </c>
      <c r="T1610" s="8">
        <v>1.0001249999999999</v>
      </c>
      <c r="U1610" s="98">
        <v>4.3377556896213365</v>
      </c>
      <c r="V1610" s="106">
        <v>30249.801714163812</v>
      </c>
      <c r="W1610" s="10">
        <v>0.97443110377382069</v>
      </c>
      <c r="X1610" s="420"/>
      <c r="Y1610" s="420"/>
      <c r="Z1610" s="1"/>
      <c r="AA1610" s="1"/>
      <c r="AB1610" s="1"/>
      <c r="AC1610" s="1"/>
      <c r="AD1610" s="1"/>
    </row>
    <row r="1611" spans="17:30">
      <c r="Q1611" s="6">
        <v>1581</v>
      </c>
      <c r="R1611" s="7">
        <v>44248</v>
      </c>
      <c r="S1611" s="210">
        <v>4.5</v>
      </c>
      <c r="T1611" s="8">
        <v>1.0001249999999999</v>
      </c>
      <c r="U1611" s="98">
        <v>4.337964170451003</v>
      </c>
      <c r="V1611" s="106">
        <v>30252.589148186224</v>
      </c>
      <c r="W1611" s="10">
        <v>0.9745775413875446</v>
      </c>
      <c r="X1611" s="420"/>
      <c r="Y1611" s="420"/>
      <c r="Z1611" s="1"/>
      <c r="AA1611" s="1"/>
      <c r="AB1611" s="1"/>
      <c r="AC1611" s="1"/>
      <c r="AD1611" s="1"/>
    </row>
    <row r="1612" spans="17:30">
      <c r="Q1612" s="6">
        <v>1582</v>
      </c>
      <c r="R1612" s="7">
        <v>44249</v>
      </c>
      <c r="S1612" s="210">
        <v>4.5</v>
      </c>
      <c r="T1612" s="8">
        <v>1.0001249999999999</v>
      </c>
      <c r="U1612" s="98">
        <v>4.3381723881303014</v>
      </c>
      <c r="V1612" s="106">
        <v>30255.376839062821</v>
      </c>
      <c r="W1612" s="10">
        <v>0.97472379408354293</v>
      </c>
      <c r="X1612" s="420"/>
      <c r="Y1612" s="420"/>
      <c r="Z1612" s="1"/>
      <c r="AA1612" s="1"/>
      <c r="AB1612" s="1"/>
      <c r="AC1612" s="1"/>
      <c r="AD1612" s="1"/>
    </row>
    <row r="1613" spans="17:30">
      <c r="Q1613" s="6">
        <v>1583</v>
      </c>
      <c r="R1613" s="7">
        <v>44250</v>
      </c>
      <c r="S1613" s="210">
        <v>4.5</v>
      </c>
      <c r="T1613" s="8">
        <v>1.0001249999999999</v>
      </c>
      <c r="U1613" s="98">
        <v>4.3383803431571444</v>
      </c>
      <c r="V1613" s="106">
        <v>30258.164786817284</v>
      </c>
      <c r="W1613" s="10">
        <v>0.97486986221180238</v>
      </c>
      <c r="X1613" s="420"/>
      <c r="Y1613" s="420"/>
      <c r="Z1613" s="1"/>
      <c r="AA1613" s="1"/>
      <c r="AB1613" s="1"/>
      <c r="AC1613" s="1"/>
      <c r="AD1613" s="1"/>
    </row>
    <row r="1614" spans="17:30">
      <c r="Q1614" s="6">
        <v>1584</v>
      </c>
      <c r="R1614" s="7">
        <v>44251</v>
      </c>
      <c r="S1614" s="210">
        <v>4.5</v>
      </c>
      <c r="T1614" s="8">
        <v>1.0001249999999999</v>
      </c>
      <c r="U1614" s="98">
        <v>4.3385880360282014</v>
      </c>
      <c r="V1614" s="106">
        <v>30260.952991473278</v>
      </c>
      <c r="W1614" s="10">
        <v>0.97501574612153252</v>
      </c>
      <c r="X1614" s="420"/>
      <c r="Y1614" s="420"/>
      <c r="Z1614" s="1"/>
      <c r="AA1614" s="1"/>
      <c r="AB1614" s="1"/>
      <c r="AC1614" s="1"/>
      <c r="AD1614" s="1"/>
    </row>
    <row r="1615" spans="17:30">
      <c r="Q1615" s="6">
        <v>1585</v>
      </c>
      <c r="R1615" s="7">
        <v>44252</v>
      </c>
      <c r="S1615" s="210">
        <v>4.5</v>
      </c>
      <c r="T1615" s="8">
        <v>1.0001249999999999</v>
      </c>
      <c r="U1615" s="98">
        <v>4.3387954672388762</v>
      </c>
      <c r="V1615" s="106">
        <v>30263.741453054481</v>
      </c>
      <c r="W1615" s="10">
        <v>0.97516144616094369</v>
      </c>
      <c r="X1615" s="420"/>
      <c r="Y1615" s="420"/>
      <c r="Z1615" s="1"/>
      <c r="AA1615" s="1"/>
      <c r="AB1615" s="1"/>
      <c r="AC1615" s="1"/>
      <c r="AD1615" s="1"/>
    </row>
    <row r="1616" spans="17:30">
      <c r="Q1616" s="6">
        <v>1586</v>
      </c>
      <c r="R1616" s="7">
        <v>44253</v>
      </c>
      <c r="S1616" s="210">
        <v>4.5</v>
      </c>
      <c r="T1616" s="8">
        <v>1.0001249999999999</v>
      </c>
      <c r="U1616" s="98">
        <v>4.339002637283329</v>
      </c>
      <c r="V1616" s="106">
        <v>30266.530171584564</v>
      </c>
      <c r="W1616" s="10">
        <v>0.97530696267751349</v>
      </c>
      <c r="X1616" s="420"/>
      <c r="Y1616" s="420"/>
      <c r="Z1616" s="1"/>
      <c r="AA1616" s="1"/>
      <c r="AB1616" s="1"/>
      <c r="AC1616" s="1"/>
      <c r="AD1616" s="1"/>
    </row>
    <row r="1617" spans="17:30">
      <c r="Q1617" s="6">
        <v>1587</v>
      </c>
      <c r="R1617" s="7">
        <v>44254</v>
      </c>
      <c r="S1617" s="210">
        <v>4.5</v>
      </c>
      <c r="T1617" s="8">
        <v>1.0001249999999999</v>
      </c>
      <c r="U1617" s="98">
        <v>4.3392095466544989</v>
      </c>
      <c r="V1617" s="106">
        <v>30269.319147087201</v>
      </c>
      <c r="W1617" s="10">
        <v>0.97545229601772032</v>
      </c>
      <c r="X1617" s="420"/>
      <c r="Y1617" s="420"/>
      <c r="Z1617" s="1"/>
      <c r="AA1617" s="1"/>
      <c r="AB1617" s="1"/>
      <c r="AC1617" s="1"/>
      <c r="AD1617" s="1"/>
    </row>
    <row r="1618" spans="17:30">
      <c r="Q1618" s="6">
        <v>1588</v>
      </c>
      <c r="R1618" s="7">
        <v>44255</v>
      </c>
      <c r="S1618" s="210">
        <v>4.5</v>
      </c>
      <c r="T1618" s="8">
        <v>1.0001249999999999</v>
      </c>
      <c r="U1618" s="98">
        <v>4.3394161958440591</v>
      </c>
      <c r="V1618" s="106">
        <v>30272.108379586076</v>
      </c>
      <c r="W1618" s="10">
        <v>0.97559744652726543</v>
      </c>
      <c r="X1618" s="420"/>
      <c r="Y1618" s="420"/>
      <c r="Z1618" s="1"/>
      <c r="AA1618" s="1"/>
      <c r="AB1618" s="1"/>
      <c r="AC1618" s="1"/>
      <c r="AD1618" s="1"/>
    </row>
    <row r="1619" spans="17:30">
      <c r="Q1619" s="6">
        <v>1589</v>
      </c>
      <c r="R1619" s="7">
        <v>44256</v>
      </c>
      <c r="S1619" s="210">
        <v>4.5</v>
      </c>
      <c r="T1619" s="8">
        <v>1.0001249999999999</v>
      </c>
      <c r="U1619" s="98">
        <v>4.3396225853424397</v>
      </c>
      <c r="V1619" s="106">
        <v>30274.897869104865</v>
      </c>
      <c r="W1619" s="10">
        <v>0.97574241455087307</v>
      </c>
      <c r="X1619" s="420"/>
      <c r="Y1619" s="420"/>
      <c r="Z1619" s="1"/>
      <c r="AA1619" s="1"/>
      <c r="AB1619" s="1"/>
      <c r="AC1619" s="1"/>
      <c r="AD1619" s="1"/>
    </row>
    <row r="1620" spans="17:30">
      <c r="Q1620" s="6">
        <v>1590</v>
      </c>
      <c r="R1620" s="7">
        <v>44257</v>
      </c>
      <c r="S1620" s="210">
        <v>4.5</v>
      </c>
      <c r="T1620" s="8">
        <v>1.0001249999999999</v>
      </c>
      <c r="U1620" s="98">
        <v>4.3398287156388715</v>
      </c>
      <c r="V1620" s="106">
        <v>30277.687615667262</v>
      </c>
      <c r="W1620" s="10">
        <v>0.97588720043251254</v>
      </c>
      <c r="X1620" s="420"/>
      <c r="Y1620" s="420"/>
      <c r="Z1620" s="1"/>
      <c r="AA1620" s="1"/>
      <c r="AB1620" s="1"/>
      <c r="AC1620" s="1"/>
      <c r="AD1620" s="1"/>
    </row>
    <row r="1621" spans="17:30">
      <c r="Q1621" s="6">
        <v>1591</v>
      </c>
      <c r="R1621" s="7">
        <v>44258</v>
      </c>
      <c r="S1621" s="210">
        <v>4.5</v>
      </c>
      <c r="T1621" s="8">
        <v>1.0001249999999999</v>
      </c>
      <c r="U1621" s="98">
        <v>4.3400345872213419</v>
      </c>
      <c r="V1621" s="106">
        <v>30280.477619296944</v>
      </c>
      <c r="W1621" s="10">
        <v>0.97603180451522054</v>
      </c>
      <c r="X1621" s="420"/>
      <c r="Y1621" s="420"/>
      <c r="Z1621" s="1"/>
      <c r="AA1621" s="1"/>
      <c r="AB1621" s="1"/>
      <c r="AC1621" s="1"/>
      <c r="AD1621" s="1"/>
    </row>
    <row r="1622" spans="17:30">
      <c r="Q1622" s="6">
        <v>1592</v>
      </c>
      <c r="R1622" s="7">
        <v>44259</v>
      </c>
      <c r="S1622" s="210">
        <v>4.5</v>
      </c>
      <c r="T1622" s="8">
        <v>1.0001249999999999</v>
      </c>
      <c r="U1622" s="98">
        <v>4.3402402005766172</v>
      </c>
      <c r="V1622" s="106">
        <v>30283.267880017604</v>
      </c>
      <c r="W1622" s="10">
        <v>0.97617622714123442</v>
      </c>
      <c r="X1622" s="420"/>
      <c r="Y1622" s="420"/>
      <c r="Z1622" s="1"/>
      <c r="AA1622" s="1"/>
      <c r="AB1622" s="1"/>
      <c r="AC1622" s="1"/>
      <c r="AD1622" s="1"/>
    </row>
    <row r="1623" spans="17:30">
      <c r="Q1623" s="6">
        <v>1593</v>
      </c>
      <c r="R1623" s="7">
        <v>44260</v>
      </c>
      <c r="S1623" s="210">
        <v>4.5</v>
      </c>
      <c r="T1623" s="8">
        <v>1.0001249999999999</v>
      </c>
      <c r="U1623" s="98">
        <v>4.34044555619022</v>
      </c>
      <c r="V1623" s="106">
        <v>30286.058397852928</v>
      </c>
      <c r="W1623" s="10">
        <v>0.97632046865183675</v>
      </c>
      <c r="X1623" s="420"/>
      <c r="Y1623" s="420"/>
      <c r="Z1623" s="1"/>
      <c r="AA1623" s="1"/>
      <c r="AB1623" s="1"/>
      <c r="AC1623" s="1"/>
      <c r="AD1623" s="1"/>
    </row>
    <row r="1624" spans="17:30">
      <c r="Q1624" s="6">
        <v>1594</v>
      </c>
      <c r="R1624" s="7">
        <v>44261</v>
      </c>
      <c r="S1624" s="210">
        <v>4.5</v>
      </c>
      <c r="T1624" s="8">
        <v>1.0001249999999999</v>
      </c>
      <c r="U1624" s="98">
        <v>4.3406506545464962</v>
      </c>
      <c r="V1624" s="106">
        <v>30288.849172826609</v>
      </c>
      <c r="W1624" s="10">
        <v>0.97646452938753292</v>
      </c>
      <c r="X1624" s="420"/>
      <c r="Y1624" s="420"/>
      <c r="Z1624" s="1"/>
      <c r="AA1624" s="1"/>
      <c r="AB1624" s="1"/>
      <c r="AC1624" s="1"/>
      <c r="AD1624" s="1"/>
    </row>
    <row r="1625" spans="17:30">
      <c r="Q1625" s="6">
        <v>1595</v>
      </c>
      <c r="R1625" s="7">
        <v>44262</v>
      </c>
      <c r="S1625" s="210">
        <v>4.5</v>
      </c>
      <c r="T1625" s="8">
        <v>1.0001249999999999</v>
      </c>
      <c r="U1625" s="98">
        <v>4.3408554961285484</v>
      </c>
      <c r="V1625" s="106">
        <v>30291.640204962347</v>
      </c>
      <c r="W1625" s="10">
        <v>0.97660840968796236</v>
      </c>
      <c r="X1625" s="420"/>
      <c r="Y1625" s="420"/>
      <c r="Z1625" s="1"/>
      <c r="AA1625" s="1"/>
      <c r="AB1625" s="1"/>
      <c r="AC1625" s="1"/>
      <c r="AD1625" s="1"/>
    </row>
    <row r="1626" spans="17:30">
      <c r="Q1626" s="6">
        <v>1596</v>
      </c>
      <c r="R1626" s="7">
        <v>44263</v>
      </c>
      <c r="S1626" s="210">
        <v>4.5</v>
      </c>
      <c r="T1626" s="8">
        <v>1.0001249999999999</v>
      </c>
      <c r="U1626" s="98">
        <v>4.3410600814182798</v>
      </c>
      <c r="V1626" s="106">
        <v>30294.431494283832</v>
      </c>
      <c r="W1626" s="10">
        <v>0.97675210989187633</v>
      </c>
      <c r="X1626" s="420"/>
      <c r="Y1626" s="420"/>
      <c r="Z1626" s="1"/>
      <c r="AA1626" s="1"/>
      <c r="AB1626" s="1"/>
      <c r="AC1626" s="1"/>
      <c r="AD1626" s="1"/>
    </row>
    <row r="1627" spans="17:30">
      <c r="Q1627" s="6">
        <v>1597</v>
      </c>
      <c r="R1627" s="7">
        <v>44264</v>
      </c>
      <c r="S1627" s="210">
        <v>4.5</v>
      </c>
      <c r="T1627" s="8">
        <v>1.0001249999999999</v>
      </c>
      <c r="U1627" s="98">
        <v>4.3412644108963727</v>
      </c>
      <c r="V1627" s="106">
        <v>30297.223040814766</v>
      </c>
      <c r="W1627" s="10">
        <v>0.97689563033722671</v>
      </c>
      <c r="X1627" s="420"/>
      <c r="Y1627" s="420"/>
      <c r="Z1627" s="1"/>
      <c r="AA1627" s="1"/>
      <c r="AB1627" s="1"/>
      <c r="AC1627" s="1"/>
      <c r="AD1627" s="1"/>
    </row>
    <row r="1628" spans="17:30">
      <c r="Q1628" s="6">
        <v>1598</v>
      </c>
      <c r="R1628" s="7">
        <v>44265</v>
      </c>
      <c r="S1628" s="210">
        <v>4.5</v>
      </c>
      <c r="T1628" s="8">
        <v>1.0001249999999999</v>
      </c>
      <c r="U1628" s="98">
        <v>4.3414684850423324</v>
      </c>
      <c r="V1628" s="106">
        <v>30299.744658778138</v>
      </c>
      <c r="W1628" s="10">
        <v>0.97724463654564886</v>
      </c>
      <c r="X1628" s="420"/>
      <c r="Y1628" s="420"/>
      <c r="Z1628" s="1"/>
      <c r="AA1628" s="1"/>
      <c r="AB1628" s="1"/>
      <c r="AC1628" s="1"/>
      <c r="AD1628" s="1"/>
    </row>
    <row r="1629" spans="17:30">
      <c r="Q1629" s="6">
        <v>1599</v>
      </c>
      <c r="R1629" s="7">
        <v>44266</v>
      </c>
      <c r="S1629" s="210">
        <v>4.5</v>
      </c>
      <c r="T1629" s="8">
        <v>1.0001249999999999</v>
      </c>
      <c r="U1629" s="98">
        <v>4.3416723043344652</v>
      </c>
      <c r="V1629" s="106">
        <v>30302.266486614117</v>
      </c>
      <c r="W1629" s="10">
        <v>0.97759320742749622</v>
      </c>
      <c r="X1629" s="420"/>
      <c r="Y1629" s="420"/>
      <c r="Z1629" s="1"/>
      <c r="AA1629" s="1"/>
      <c r="AB1629" s="1"/>
      <c r="AC1629" s="1"/>
      <c r="AD1629" s="1"/>
    </row>
    <row r="1630" spans="17:30">
      <c r="Q1630" s="6">
        <v>1600</v>
      </c>
      <c r="R1630" s="7">
        <v>44267</v>
      </c>
      <c r="S1630" s="210">
        <v>4.5</v>
      </c>
      <c r="T1630" s="8">
        <v>1.0001249999999999</v>
      </c>
      <c r="U1630" s="98">
        <v>4.3418758692498782</v>
      </c>
      <c r="V1630" s="106">
        <v>30304.788524340169</v>
      </c>
      <c r="W1630" s="10">
        <v>0.97794134379673991</v>
      </c>
      <c r="X1630" s="420"/>
      <c r="Y1630" s="420"/>
      <c r="Z1630" s="1"/>
      <c r="AA1630" s="1"/>
      <c r="AB1630" s="1"/>
      <c r="AC1630" s="1"/>
      <c r="AD1630" s="1"/>
    </row>
    <row r="1631" spans="17:30">
      <c r="Q1631" s="6">
        <v>1601</v>
      </c>
      <c r="R1631" s="7">
        <v>44268</v>
      </c>
      <c r="S1631" s="210">
        <v>4.5</v>
      </c>
      <c r="T1631" s="8">
        <v>1.0001249999999999</v>
      </c>
      <c r="U1631" s="98">
        <v>4.3420791802644798</v>
      </c>
      <c r="V1631" s="106">
        <v>30307.310771973767</v>
      </c>
      <c r="W1631" s="10">
        <v>0.97828904646533044</v>
      </c>
      <c r="X1631" s="420"/>
      <c r="Y1631" s="420"/>
      <c r="Z1631" s="1"/>
      <c r="AA1631" s="1"/>
      <c r="AB1631" s="1"/>
      <c r="AC1631" s="1"/>
      <c r="AD1631" s="1"/>
    </row>
    <row r="1632" spans="17:30">
      <c r="Q1632" s="6">
        <v>1602</v>
      </c>
      <c r="R1632" s="7">
        <v>44269</v>
      </c>
      <c r="S1632" s="210">
        <v>4.5</v>
      </c>
      <c r="T1632" s="8">
        <v>1.0001249999999999</v>
      </c>
      <c r="U1632" s="98">
        <v>4.3422822378530013</v>
      </c>
      <c r="V1632" s="106">
        <v>30309.833229532371</v>
      </c>
      <c r="W1632" s="10">
        <v>0.9786363162432421</v>
      </c>
      <c r="X1632" s="420"/>
      <c r="Y1632" s="420"/>
      <c r="Z1632" s="1"/>
      <c r="AA1632" s="1"/>
      <c r="AB1632" s="1"/>
      <c r="AC1632" s="1"/>
      <c r="AD1632" s="1"/>
    </row>
    <row r="1633" spans="17:30">
      <c r="Q1633" s="6">
        <v>1603</v>
      </c>
      <c r="R1633" s="7">
        <v>44270</v>
      </c>
      <c r="S1633" s="210">
        <v>4.5</v>
      </c>
      <c r="T1633" s="8">
        <v>1.0001249999999999</v>
      </c>
      <c r="U1633" s="98">
        <v>4.3424850424889971</v>
      </c>
      <c r="V1633" s="106">
        <v>30312.355897033467</v>
      </c>
      <c r="W1633" s="10">
        <v>0.97898315393833979</v>
      </c>
      <c r="X1633" s="420"/>
      <c r="Y1633" s="420"/>
      <c r="Z1633" s="1"/>
      <c r="AA1633" s="1"/>
      <c r="AB1633" s="1"/>
      <c r="AC1633" s="1"/>
      <c r="AD1633" s="1"/>
    </row>
    <row r="1634" spans="17:30">
      <c r="Q1634" s="6">
        <v>1604</v>
      </c>
      <c r="R1634" s="7">
        <v>44271</v>
      </c>
      <c r="S1634" s="210">
        <v>4.5</v>
      </c>
      <c r="T1634" s="8">
        <v>1.0001249999999999</v>
      </c>
      <c r="U1634" s="98">
        <v>4.3426875946448229</v>
      </c>
      <c r="V1634" s="106">
        <v>30314.878774494518</v>
      </c>
      <c r="W1634" s="10">
        <v>0.97932956035657881</v>
      </c>
      <c r="X1634" s="420"/>
      <c r="Y1634" s="420"/>
      <c r="Z1634" s="1"/>
      <c r="AA1634" s="1"/>
      <c r="AB1634" s="1"/>
      <c r="AC1634" s="1"/>
      <c r="AD1634" s="1"/>
    </row>
    <row r="1635" spans="17:30">
      <c r="Q1635" s="6">
        <v>1605</v>
      </c>
      <c r="R1635" s="7">
        <v>44272</v>
      </c>
      <c r="S1635" s="210">
        <v>4.5</v>
      </c>
      <c r="T1635" s="8">
        <v>1.0001249999999999</v>
      </c>
      <c r="U1635" s="98">
        <v>4.3428898947916794</v>
      </c>
      <c r="V1635" s="106">
        <v>30317.401861933002</v>
      </c>
      <c r="W1635" s="10">
        <v>0.97967553630187165</v>
      </c>
      <c r="X1635" s="420"/>
      <c r="Y1635" s="420"/>
      <c r="Z1635" s="1"/>
      <c r="AA1635" s="1"/>
      <c r="AB1635" s="1"/>
      <c r="AC1635" s="1"/>
      <c r="AD1635" s="1"/>
    </row>
    <row r="1636" spans="17:30">
      <c r="Q1636" s="6">
        <v>1606</v>
      </c>
      <c r="R1636" s="7">
        <v>44273</v>
      </c>
      <c r="S1636" s="210">
        <v>4.5</v>
      </c>
      <c r="T1636" s="8">
        <v>1.0001249999999999</v>
      </c>
      <c r="U1636" s="98">
        <v>4.3430919433995685</v>
      </c>
      <c r="V1636" s="106">
        <v>30319.925159366394</v>
      </c>
      <c r="W1636" s="10">
        <v>0.98002108257606579</v>
      </c>
      <c r="X1636" s="420"/>
      <c r="Y1636" s="420"/>
      <c r="Z1636" s="1"/>
      <c r="AA1636" s="1"/>
      <c r="AB1636" s="1"/>
      <c r="AC1636" s="1"/>
      <c r="AD1636" s="1"/>
    </row>
    <row r="1637" spans="17:30">
      <c r="Q1637" s="6">
        <v>1607</v>
      </c>
      <c r="R1637" s="7">
        <v>44274</v>
      </c>
      <c r="S1637" s="210">
        <v>4.5</v>
      </c>
      <c r="T1637" s="8">
        <v>1.0001249999999999</v>
      </c>
      <c r="U1637" s="98">
        <v>4.3432937409373595</v>
      </c>
      <c r="V1637" s="106">
        <v>30322.448666812172</v>
      </c>
      <c r="W1637" s="10">
        <v>0.98036619997914354</v>
      </c>
      <c r="X1637" s="420"/>
      <c r="Y1637" s="420"/>
      <c r="Z1637" s="1"/>
      <c r="AA1637" s="1"/>
      <c r="AB1637" s="1"/>
      <c r="AC1637" s="1"/>
      <c r="AD1637" s="1"/>
    </row>
    <row r="1638" spans="17:30">
      <c r="Q1638" s="6">
        <v>1608</v>
      </c>
      <c r="R1638" s="7">
        <v>44275</v>
      </c>
      <c r="S1638" s="210">
        <v>4.5</v>
      </c>
      <c r="T1638" s="8">
        <v>1.0001249999999999</v>
      </c>
      <c r="U1638" s="98">
        <v>4.3434952878727451</v>
      </c>
      <c r="V1638" s="106">
        <v>30324.972384287823</v>
      </c>
      <c r="W1638" s="10">
        <v>0.98071088930904438</v>
      </c>
      <c r="X1638" s="420"/>
      <c r="Y1638" s="420"/>
      <c r="Z1638" s="1"/>
      <c r="AA1638" s="1"/>
      <c r="AB1638" s="1"/>
      <c r="AC1638" s="1"/>
      <c r="AD1638" s="1"/>
    </row>
    <row r="1639" spans="17:30">
      <c r="Q1639" s="6">
        <v>1609</v>
      </c>
      <c r="R1639" s="7">
        <v>44276</v>
      </c>
      <c r="S1639" s="210">
        <v>4.5</v>
      </c>
      <c r="T1639" s="8">
        <v>1.0001249999999999</v>
      </c>
      <c r="U1639" s="98">
        <v>4.3436965846722186</v>
      </c>
      <c r="V1639" s="106">
        <v>30327.496311810813</v>
      </c>
      <c r="W1639" s="10">
        <v>0.98105515136166499</v>
      </c>
      <c r="X1639" s="420"/>
      <c r="Y1639" s="420"/>
      <c r="Z1639" s="1"/>
      <c r="AA1639" s="1"/>
      <c r="AB1639" s="1"/>
      <c r="AC1639" s="1"/>
      <c r="AD1639" s="1"/>
    </row>
    <row r="1640" spans="17:30">
      <c r="Q1640" s="6">
        <v>1610</v>
      </c>
      <c r="R1640" s="7">
        <v>44277</v>
      </c>
      <c r="S1640" s="210">
        <v>4.5</v>
      </c>
      <c r="T1640" s="8">
        <v>1.0001249999999999</v>
      </c>
      <c r="U1640" s="98">
        <v>4.3438976318011857</v>
      </c>
      <c r="V1640" s="106">
        <v>30330.020449398642</v>
      </c>
      <c r="W1640" s="10">
        <v>0.98139898693105909</v>
      </c>
      <c r="X1640" s="420"/>
      <c r="Y1640" s="420"/>
      <c r="Z1640" s="1"/>
      <c r="AA1640" s="1"/>
      <c r="AB1640" s="1"/>
      <c r="AC1640" s="1"/>
      <c r="AD1640" s="1"/>
    </row>
    <row r="1641" spans="17:30">
      <c r="Q1641" s="6">
        <v>1611</v>
      </c>
      <c r="R1641" s="7">
        <v>44278</v>
      </c>
      <c r="S1641" s="210">
        <v>4.5</v>
      </c>
      <c r="T1641" s="8">
        <v>1.0001249999999999</v>
      </c>
      <c r="U1641" s="98">
        <v>4.3440984297238305</v>
      </c>
      <c r="V1641" s="106">
        <v>30332.544797068775</v>
      </c>
      <c r="W1641" s="10">
        <v>0.98174239680919317</v>
      </c>
      <c r="X1641" s="420"/>
      <c r="Y1641" s="420"/>
      <c r="Z1641" s="1"/>
      <c r="AA1641" s="1"/>
      <c r="AB1641" s="1"/>
      <c r="AC1641" s="1"/>
      <c r="AD1641" s="1"/>
    </row>
    <row r="1642" spans="17:30">
      <c r="Q1642" s="6">
        <v>1612</v>
      </c>
      <c r="R1642" s="7">
        <v>44279</v>
      </c>
      <c r="S1642" s="210">
        <v>4.5</v>
      </c>
      <c r="T1642" s="8">
        <v>1.0001249999999999</v>
      </c>
      <c r="U1642" s="98">
        <v>4.3442989789032493</v>
      </c>
      <c r="V1642" s="106">
        <v>30335.06935483871</v>
      </c>
      <c r="W1642" s="10">
        <v>0.98208538178616855</v>
      </c>
      <c r="X1642" s="420"/>
      <c r="Y1642" s="420"/>
      <c r="Z1642" s="1"/>
      <c r="AA1642" s="1"/>
      <c r="AB1642" s="1"/>
      <c r="AC1642" s="1"/>
      <c r="AD1642" s="1"/>
    </row>
    <row r="1643" spans="17:30">
      <c r="Q1643" s="6">
        <v>1613</v>
      </c>
      <c r="R1643" s="7">
        <v>44280</v>
      </c>
      <c r="S1643" s="210">
        <v>4.5</v>
      </c>
      <c r="T1643" s="8">
        <v>1.0001249999999999</v>
      </c>
      <c r="U1643" s="98">
        <v>4.3444992798013393</v>
      </c>
      <c r="V1643" s="106">
        <v>30337.594122725925</v>
      </c>
      <c r="W1643" s="10">
        <v>0.98242794265006594</v>
      </c>
      <c r="X1643" s="420"/>
      <c r="Y1643" s="420"/>
      <c r="Z1643" s="1"/>
      <c r="AA1643" s="1"/>
      <c r="AB1643" s="1"/>
      <c r="AC1643" s="1"/>
      <c r="AD1643" s="1"/>
    </row>
    <row r="1644" spans="17:30">
      <c r="Q1644" s="6">
        <v>1614</v>
      </c>
      <c r="R1644" s="7">
        <v>44281</v>
      </c>
      <c r="S1644" s="210">
        <v>4.5</v>
      </c>
      <c r="T1644" s="8">
        <v>1.0001249999999999</v>
      </c>
      <c r="U1644" s="98">
        <v>4.3446993328788652</v>
      </c>
      <c r="V1644" s="106">
        <v>30340.119100747914</v>
      </c>
      <c r="W1644" s="10">
        <v>0.98277008018703427</v>
      </c>
      <c r="X1644" s="420"/>
      <c r="Y1644" s="420"/>
      <c r="Z1644" s="1"/>
      <c r="AA1644" s="1"/>
      <c r="AB1644" s="1"/>
      <c r="AC1644" s="1"/>
      <c r="AD1644" s="1"/>
    </row>
    <row r="1645" spans="17:30">
      <c r="Q1645" s="6">
        <v>1615</v>
      </c>
      <c r="R1645" s="7">
        <v>44282</v>
      </c>
      <c r="S1645" s="210">
        <v>4.5</v>
      </c>
      <c r="T1645" s="8">
        <v>1.0001249999999999</v>
      </c>
      <c r="U1645" s="98">
        <v>4.3448991385955038</v>
      </c>
      <c r="V1645" s="106">
        <v>30342.644288922169</v>
      </c>
      <c r="W1645" s="10">
        <v>0.98311179518133507</v>
      </c>
      <c r="X1645" s="420"/>
      <c r="Y1645" s="420"/>
      <c r="Z1645" s="1"/>
      <c r="AA1645" s="1"/>
      <c r="AB1645" s="1"/>
      <c r="AC1645" s="1"/>
      <c r="AD1645" s="1"/>
    </row>
    <row r="1646" spans="17:30">
      <c r="Q1646" s="6">
        <v>1616</v>
      </c>
      <c r="R1646" s="7">
        <v>44283</v>
      </c>
      <c r="S1646" s="210">
        <v>4.5</v>
      </c>
      <c r="T1646" s="8">
        <v>1.0001249999999999</v>
      </c>
      <c r="U1646" s="98">
        <v>4.3450986974097106</v>
      </c>
      <c r="V1646" s="106">
        <v>30345.169687266171</v>
      </c>
      <c r="W1646" s="10">
        <v>0.98345308841520929</v>
      </c>
      <c r="X1646" s="420"/>
      <c r="Y1646" s="420"/>
      <c r="Z1646" s="1"/>
      <c r="AA1646" s="1"/>
      <c r="AB1646" s="1"/>
      <c r="AC1646" s="1"/>
      <c r="AD1646" s="1"/>
    </row>
    <row r="1647" spans="17:30">
      <c r="Q1647" s="6">
        <v>1617</v>
      </c>
      <c r="R1647" s="7">
        <v>44284</v>
      </c>
      <c r="S1647" s="210">
        <v>4.5</v>
      </c>
      <c r="T1647" s="8">
        <v>1.0001249999999999</v>
      </c>
      <c r="U1647" s="98">
        <v>4.3452980097788751</v>
      </c>
      <c r="V1647" s="106">
        <v>30347.695295797421</v>
      </c>
      <c r="W1647" s="10">
        <v>0.98379396066901048</v>
      </c>
      <c r="X1647" s="420"/>
      <c r="Y1647" s="420"/>
      <c r="Z1647" s="1"/>
      <c r="AA1647" s="1"/>
      <c r="AB1647" s="1"/>
      <c r="AC1647" s="1"/>
      <c r="AD1647" s="1"/>
    </row>
    <row r="1648" spans="17:30">
      <c r="Q1648" s="6">
        <v>1618</v>
      </c>
      <c r="R1648" s="7">
        <v>44285</v>
      </c>
      <c r="S1648" s="210">
        <v>4.5</v>
      </c>
      <c r="T1648" s="8">
        <v>1.0001249999999999</v>
      </c>
      <c r="U1648" s="98">
        <v>4.3454970761592326</v>
      </c>
      <c r="V1648" s="106">
        <v>30350.2211145334</v>
      </c>
      <c r="W1648" s="10">
        <v>0.98413441272118263</v>
      </c>
      <c r="X1648" s="420"/>
      <c r="Y1648" s="420"/>
      <c r="Z1648" s="1"/>
      <c r="AA1648" s="1"/>
      <c r="AB1648" s="1"/>
      <c r="AC1648" s="1"/>
      <c r="AD1648" s="1"/>
    </row>
    <row r="1649" spans="17:30">
      <c r="Q1649" s="6">
        <v>1619</v>
      </c>
      <c r="R1649" s="7">
        <v>44286</v>
      </c>
      <c r="S1649" s="210">
        <v>4.5</v>
      </c>
      <c r="T1649" s="8">
        <v>1.0001249999999999</v>
      </c>
      <c r="U1649" s="98">
        <v>4.3456958970059079</v>
      </c>
      <c r="V1649" s="106">
        <v>30352.747143491626</v>
      </c>
      <c r="W1649" s="10">
        <v>0.98447444534821571</v>
      </c>
      <c r="X1649" s="420"/>
      <c r="Y1649" s="420"/>
      <c r="Z1649" s="1"/>
      <c r="AA1649" s="1"/>
      <c r="AB1649" s="1"/>
      <c r="AC1649" s="1"/>
      <c r="AD1649" s="1"/>
    </row>
    <row r="1650" spans="17:30">
      <c r="Q1650" s="6">
        <v>1620</v>
      </c>
      <c r="R1650" s="7">
        <v>44287</v>
      </c>
      <c r="S1650" s="210">
        <v>4.5</v>
      </c>
      <c r="T1650" s="8">
        <v>1.0001249999999999</v>
      </c>
      <c r="U1650" s="98">
        <v>4.345894472772871</v>
      </c>
      <c r="V1650" s="106">
        <v>30355.273382689571</v>
      </c>
      <c r="W1650" s="10">
        <v>0.98481405932473454</v>
      </c>
      <c r="X1650" s="420"/>
      <c r="Y1650" s="420"/>
      <c r="Z1650" s="1"/>
      <c r="AA1650" s="1"/>
      <c r="AB1650" s="1"/>
      <c r="AC1650" s="1"/>
      <c r="AD1650" s="1"/>
    </row>
    <row r="1651" spans="17:30">
      <c r="Q1651" s="6">
        <v>1621</v>
      </c>
      <c r="R1651" s="7">
        <v>44288</v>
      </c>
      <c r="S1651" s="210">
        <v>4.5</v>
      </c>
      <c r="T1651" s="8">
        <v>1.0001249999999999</v>
      </c>
      <c r="U1651" s="98">
        <v>4.3460928039130042</v>
      </c>
      <c r="V1651" s="106">
        <v>30357.799832144756</v>
      </c>
      <c r="W1651" s="10">
        <v>0.98515325542338772</v>
      </c>
      <c r="X1651" s="420"/>
      <c r="Y1651" s="420"/>
      <c r="Z1651" s="1"/>
      <c r="AA1651" s="1"/>
      <c r="AB1651" s="1"/>
      <c r="AC1651" s="1"/>
      <c r="AD1651" s="1"/>
    </row>
    <row r="1652" spans="17:30">
      <c r="Q1652" s="6">
        <v>1622</v>
      </c>
      <c r="R1652" s="7">
        <v>44289</v>
      </c>
      <c r="S1652" s="210">
        <v>4.5</v>
      </c>
      <c r="T1652" s="8">
        <v>1.0001249999999999</v>
      </c>
      <c r="U1652" s="98">
        <v>4.3462908908780795</v>
      </c>
      <c r="V1652" s="106">
        <v>30360.326491874657</v>
      </c>
      <c r="W1652" s="10">
        <v>0.9854920344150031</v>
      </c>
      <c r="X1652" s="420"/>
      <c r="Y1652" s="420"/>
      <c r="Z1652" s="1"/>
      <c r="AA1652" s="1"/>
      <c r="AB1652" s="1"/>
      <c r="AC1652" s="1"/>
      <c r="AD1652" s="1"/>
    </row>
    <row r="1653" spans="17:30">
      <c r="Q1653" s="6">
        <v>1623</v>
      </c>
      <c r="R1653" s="7">
        <v>44290</v>
      </c>
      <c r="S1653" s="210">
        <v>4.5</v>
      </c>
      <c r="T1653" s="8">
        <v>1.0001249999999999</v>
      </c>
      <c r="U1653" s="98">
        <v>4.3464887341187142</v>
      </c>
      <c r="V1653" s="106">
        <v>30362.853361896792</v>
      </c>
      <c r="W1653" s="10">
        <v>0.98583039706847675</v>
      </c>
      <c r="X1653" s="420"/>
      <c r="Y1653" s="420"/>
      <c r="Z1653" s="1"/>
      <c r="AA1653" s="1"/>
      <c r="AB1653" s="1"/>
      <c r="AC1653" s="1"/>
      <c r="AD1653" s="1"/>
    </row>
    <row r="1654" spans="17:30">
      <c r="Q1654" s="6">
        <v>1624</v>
      </c>
      <c r="R1654" s="7">
        <v>44291</v>
      </c>
      <c r="S1654" s="210">
        <v>4.5</v>
      </c>
      <c r="T1654" s="8">
        <v>1.0001249999999999</v>
      </c>
      <c r="U1654" s="98">
        <v>4.3466863340844597</v>
      </c>
      <c r="V1654" s="106">
        <v>30365.380442228659</v>
      </c>
      <c r="W1654" s="10">
        <v>0.98616834415077292</v>
      </c>
      <c r="X1654" s="420"/>
      <c r="Y1654" s="420"/>
      <c r="Z1654" s="1"/>
      <c r="AA1654" s="1"/>
      <c r="AB1654" s="1"/>
      <c r="AC1654" s="1"/>
      <c r="AD1654" s="1"/>
    </row>
    <row r="1655" spans="17:30">
      <c r="Q1655" s="6">
        <v>1625</v>
      </c>
      <c r="R1655" s="7">
        <v>44292</v>
      </c>
      <c r="S1655" s="210">
        <v>4.5</v>
      </c>
      <c r="T1655" s="8">
        <v>1.0001249999999999</v>
      </c>
      <c r="U1655" s="98">
        <v>4.3468836912237574</v>
      </c>
      <c r="V1655" s="106">
        <v>30367.907732887765</v>
      </c>
      <c r="W1655" s="10">
        <v>0.98650587642705734</v>
      </c>
      <c r="X1655" s="420"/>
      <c r="Y1655" s="420"/>
      <c r="Z1655" s="1"/>
      <c r="AA1655" s="1"/>
      <c r="AB1655" s="1"/>
      <c r="AC1655" s="1"/>
      <c r="AD1655" s="1"/>
    </row>
    <row r="1656" spans="17:30">
      <c r="Q1656" s="6">
        <v>1626</v>
      </c>
      <c r="R1656" s="7">
        <v>44293</v>
      </c>
      <c r="S1656" s="210">
        <v>4.5</v>
      </c>
      <c r="T1656" s="8">
        <v>1.0001249999999999</v>
      </c>
      <c r="U1656" s="98">
        <v>4.3470808059839383</v>
      </c>
      <c r="V1656" s="106">
        <v>30370.435233891603</v>
      </c>
      <c r="W1656" s="10">
        <v>0.98684299466058611</v>
      </c>
      <c r="X1656" s="420"/>
      <c r="Y1656" s="420"/>
      <c r="Z1656" s="1"/>
      <c r="AA1656" s="1"/>
      <c r="AB1656" s="1"/>
      <c r="AC1656" s="1"/>
      <c r="AD1656" s="1"/>
    </row>
    <row r="1657" spans="17:30">
      <c r="Q1657" s="6">
        <v>1627</v>
      </c>
      <c r="R1657" s="7">
        <v>44294</v>
      </c>
      <c r="S1657" s="210">
        <v>4.5</v>
      </c>
      <c r="T1657" s="8">
        <v>1.0001249999999999</v>
      </c>
      <c r="U1657" s="98">
        <v>4.3472776788112233</v>
      </c>
      <c r="V1657" s="106">
        <v>30372.962945257696</v>
      </c>
      <c r="W1657" s="10">
        <v>0.98717969961268359</v>
      </c>
      <c r="X1657" s="420"/>
      <c r="Y1657" s="420"/>
      <c r="Z1657" s="1"/>
      <c r="AA1657" s="1"/>
      <c r="AB1657" s="1"/>
      <c r="AC1657" s="1"/>
      <c r="AD1657" s="1"/>
    </row>
    <row r="1658" spans="17:30">
      <c r="Q1658" s="6">
        <v>1628</v>
      </c>
      <c r="R1658" s="7">
        <v>44295</v>
      </c>
      <c r="S1658" s="210">
        <v>4.5</v>
      </c>
      <c r="T1658" s="8">
        <v>1.0001249999999999</v>
      </c>
      <c r="U1658" s="98">
        <v>4.3474743101507451</v>
      </c>
      <c r="V1658" s="106">
        <v>30375.49086700354</v>
      </c>
      <c r="W1658" s="10">
        <v>0.98751599204289775</v>
      </c>
      <c r="X1658" s="420"/>
      <c r="Y1658" s="420"/>
      <c r="Z1658" s="1"/>
      <c r="AA1658" s="1"/>
      <c r="AB1658" s="1"/>
      <c r="AC1658" s="1"/>
      <c r="AD1658" s="1"/>
    </row>
    <row r="1659" spans="17:30">
      <c r="Q1659" s="6">
        <v>1629</v>
      </c>
      <c r="R1659" s="7">
        <v>44296</v>
      </c>
      <c r="S1659" s="210">
        <v>4.5</v>
      </c>
      <c r="T1659" s="8">
        <v>1.0001249999999999</v>
      </c>
      <c r="U1659" s="98">
        <v>4.3476707004465709</v>
      </c>
      <c r="V1659" s="106">
        <v>30378.103273841803</v>
      </c>
      <c r="W1659" s="10">
        <v>0.98778909898133982</v>
      </c>
      <c r="X1659" s="420"/>
      <c r="Y1659" s="420"/>
      <c r="Z1659" s="1"/>
      <c r="AA1659" s="1"/>
      <c r="AB1659" s="1"/>
      <c r="AC1659" s="1"/>
      <c r="AD1659" s="1"/>
    </row>
    <row r="1660" spans="17:30">
      <c r="Q1660" s="6">
        <v>1630</v>
      </c>
      <c r="R1660" s="7">
        <v>44297</v>
      </c>
      <c r="S1660" s="210">
        <v>4.5</v>
      </c>
      <c r="T1660" s="8">
        <v>1.0001249999999999</v>
      </c>
      <c r="U1660" s="98">
        <v>4.3478668501416573</v>
      </c>
      <c r="V1660" s="106">
        <v>30380.715905356908</v>
      </c>
      <c r="W1660" s="10">
        <v>0.98806187155648928</v>
      </c>
      <c r="X1660" s="420"/>
      <c r="Y1660" s="420"/>
      <c r="Z1660" s="1"/>
      <c r="AA1660" s="1"/>
      <c r="AB1660" s="1"/>
      <c r="AC1660" s="1"/>
      <c r="AD1660" s="1"/>
    </row>
    <row r="1661" spans="17:30">
      <c r="Q1661" s="6">
        <v>1631</v>
      </c>
      <c r="R1661" s="7">
        <v>44298</v>
      </c>
      <c r="S1661" s="210">
        <v>4.5</v>
      </c>
      <c r="T1661" s="8">
        <v>1.0001249999999999</v>
      </c>
      <c r="U1661" s="98">
        <v>4.3480627596778731</v>
      </c>
      <c r="V1661" s="106">
        <v>30383.328761568187</v>
      </c>
      <c r="W1661" s="10">
        <v>0.9883343103819886</v>
      </c>
      <c r="X1661" s="420"/>
      <c r="Y1661" s="420"/>
      <c r="Z1661" s="1"/>
      <c r="AA1661" s="1"/>
      <c r="AB1661" s="1"/>
      <c r="AC1661" s="1"/>
      <c r="AD1661" s="1"/>
    </row>
    <row r="1662" spans="17:30">
      <c r="Q1662" s="6">
        <v>1632</v>
      </c>
      <c r="R1662" s="7">
        <v>44299</v>
      </c>
      <c r="S1662" s="210">
        <v>4.5</v>
      </c>
      <c r="T1662" s="8">
        <v>1.0001249999999999</v>
      </c>
      <c r="U1662" s="98">
        <v>4.3482584294959992</v>
      </c>
      <c r="V1662" s="106">
        <v>30385.941842494954</v>
      </c>
      <c r="W1662" s="10">
        <v>0.98860641606997035</v>
      </c>
      <c r="X1662" s="420"/>
      <c r="Y1662" s="420"/>
      <c r="Z1662" s="1"/>
      <c r="AA1662" s="1"/>
      <c r="AB1662" s="1"/>
      <c r="AC1662" s="1"/>
      <c r="AD1662" s="1"/>
    </row>
    <row r="1663" spans="17:30">
      <c r="Q1663" s="6">
        <v>1633</v>
      </c>
      <c r="R1663" s="7">
        <v>44300</v>
      </c>
      <c r="S1663" s="210">
        <v>4.5</v>
      </c>
      <c r="T1663" s="8">
        <v>1.0001249999999999</v>
      </c>
      <c r="U1663" s="98">
        <v>4.3484538600357725</v>
      </c>
      <c r="V1663" s="106">
        <v>30388.555148156545</v>
      </c>
      <c r="W1663" s="10">
        <v>0.98887818923114601</v>
      </c>
      <c r="X1663" s="420"/>
      <c r="Y1663" s="420"/>
      <c r="Z1663" s="1"/>
      <c r="AA1663" s="1"/>
      <c r="AB1663" s="1"/>
      <c r="AC1663" s="1"/>
      <c r="AD1663" s="1"/>
    </row>
    <row r="1664" spans="17:30">
      <c r="Q1664" s="6">
        <v>1634</v>
      </c>
      <c r="R1664" s="7">
        <v>44301</v>
      </c>
      <c r="S1664" s="210">
        <v>4.5</v>
      </c>
      <c r="T1664" s="8">
        <v>1.0001249999999999</v>
      </c>
      <c r="U1664" s="98">
        <v>4.3486490517358201</v>
      </c>
      <c r="V1664" s="106">
        <v>30391.168678572285</v>
      </c>
      <c r="W1664" s="10">
        <v>0.98914963047465054</v>
      </c>
      <c r="X1664" s="420"/>
      <c r="Y1664" s="420"/>
      <c r="Z1664" s="1"/>
      <c r="AA1664" s="1"/>
      <c r="AB1664" s="1"/>
      <c r="AC1664" s="1"/>
      <c r="AD1664" s="1"/>
    </row>
    <row r="1665" spans="17:30">
      <c r="Q1665" s="6">
        <v>1635</v>
      </c>
      <c r="R1665" s="7">
        <v>44302</v>
      </c>
      <c r="S1665" s="210">
        <v>4.5</v>
      </c>
      <c r="T1665" s="8">
        <v>1.0001249999999999</v>
      </c>
      <c r="U1665" s="98">
        <v>4.3488440050337029</v>
      </c>
      <c r="V1665" s="106">
        <v>30393.782433761506</v>
      </c>
      <c r="W1665" s="10">
        <v>0.98942074040817563</v>
      </c>
      <c r="X1665" s="420"/>
      <c r="Y1665" s="420"/>
      <c r="Z1665" s="1"/>
      <c r="AA1665" s="1"/>
      <c r="AB1665" s="1"/>
      <c r="AC1665" s="1"/>
      <c r="AD1665" s="1"/>
    </row>
    <row r="1666" spans="17:30">
      <c r="Q1666" s="6">
        <v>1636</v>
      </c>
      <c r="R1666" s="7">
        <v>44303</v>
      </c>
      <c r="S1666" s="210">
        <v>4.5</v>
      </c>
      <c r="T1666" s="8">
        <v>1.0001249999999999</v>
      </c>
      <c r="U1666" s="98">
        <v>4.3490387203659386</v>
      </c>
      <c r="V1666" s="106">
        <v>30396.396413743532</v>
      </c>
      <c r="W1666" s="10">
        <v>0.98969151963796964</v>
      </c>
      <c r="X1666" s="420"/>
      <c r="Y1666" s="420"/>
      <c r="Z1666" s="1"/>
      <c r="AA1666" s="1"/>
      <c r="AB1666" s="1"/>
      <c r="AC1666" s="1"/>
      <c r="AD1666" s="1"/>
    </row>
    <row r="1667" spans="17:30">
      <c r="Q1667" s="6">
        <v>1637</v>
      </c>
      <c r="R1667" s="7">
        <v>44304</v>
      </c>
      <c r="S1667" s="210">
        <v>4.5</v>
      </c>
      <c r="T1667" s="8">
        <v>1.0001249999999999</v>
      </c>
      <c r="U1667" s="98">
        <v>4.3492331981679566</v>
      </c>
      <c r="V1667" s="106">
        <v>30399.010618537701</v>
      </c>
      <c r="W1667" s="10">
        <v>0.98996196876870446</v>
      </c>
      <c r="X1667" s="420"/>
      <c r="Y1667" s="420"/>
      <c r="Z1667" s="1"/>
      <c r="AA1667" s="1"/>
      <c r="AB1667" s="1"/>
      <c r="AC1667" s="1"/>
      <c r="AD1667" s="1"/>
    </row>
    <row r="1668" spans="17:30">
      <c r="Q1668" s="6">
        <v>1638</v>
      </c>
      <c r="R1668" s="7">
        <v>44305</v>
      </c>
      <c r="S1668" s="210">
        <v>4.5</v>
      </c>
      <c r="T1668" s="8">
        <v>1.0001249999999999</v>
      </c>
      <c r="U1668" s="98">
        <v>4.3494274388741205</v>
      </c>
      <c r="V1668" s="106">
        <v>30401.625048163347</v>
      </c>
      <c r="W1668" s="10">
        <v>0.99023208840365307</v>
      </c>
      <c r="X1668" s="420"/>
      <c r="Y1668" s="420"/>
      <c r="Z1668" s="1"/>
      <c r="AA1668" s="1"/>
      <c r="AB1668" s="1"/>
      <c r="AC1668" s="1"/>
      <c r="AD1668" s="1"/>
    </row>
    <row r="1669" spans="17:30">
      <c r="Q1669" s="6">
        <v>1639</v>
      </c>
      <c r="R1669" s="7">
        <v>44306</v>
      </c>
      <c r="S1669" s="210">
        <v>4.5</v>
      </c>
      <c r="T1669" s="8">
        <v>1.0001249999999999</v>
      </c>
      <c r="U1669" s="98">
        <v>4.3496214429177504</v>
      </c>
      <c r="V1669" s="106">
        <v>30404.239702639803</v>
      </c>
      <c r="W1669" s="10">
        <v>0.99050187914460075</v>
      </c>
      <c r="X1669" s="420"/>
      <c r="Y1669" s="420"/>
      <c r="Z1669" s="1"/>
      <c r="AA1669" s="1"/>
      <c r="AB1669" s="1"/>
      <c r="AC1669" s="1"/>
      <c r="AD1669" s="1"/>
    </row>
    <row r="1670" spans="17:30">
      <c r="Q1670" s="6">
        <v>1640</v>
      </c>
      <c r="R1670" s="7">
        <v>44307</v>
      </c>
      <c r="S1670" s="210">
        <v>4.5</v>
      </c>
      <c r="T1670" s="8">
        <v>1.0001249999999999</v>
      </c>
      <c r="U1670" s="98">
        <v>4.3498152107311228</v>
      </c>
      <c r="V1670" s="106">
        <v>30406.854581986419</v>
      </c>
      <c r="W1670" s="10">
        <v>0.9907713415918673</v>
      </c>
      <c r="X1670" s="420"/>
      <c r="Y1670" s="420"/>
      <c r="Z1670" s="1"/>
      <c r="AA1670" s="1"/>
      <c r="AB1670" s="1"/>
      <c r="AC1670" s="1"/>
      <c r="AD1670" s="1"/>
    </row>
    <row r="1671" spans="17:30">
      <c r="Q1671" s="6">
        <v>1641</v>
      </c>
      <c r="R1671" s="7">
        <v>44308</v>
      </c>
      <c r="S1671" s="210">
        <v>4.5</v>
      </c>
      <c r="T1671" s="8">
        <v>1.0001249999999999</v>
      </c>
      <c r="U1671" s="98">
        <v>4.3500087427454259</v>
      </c>
      <c r="V1671" s="106">
        <v>30409.469686222521</v>
      </c>
      <c r="W1671" s="10">
        <v>0.99104047634430703</v>
      </c>
      <c r="X1671" s="420"/>
      <c r="Y1671" s="420"/>
      <c r="Z1671" s="1"/>
      <c r="AA1671" s="1"/>
      <c r="AB1671" s="1"/>
      <c r="AC1671" s="1"/>
      <c r="AD1671" s="1"/>
    </row>
    <row r="1672" spans="17:30">
      <c r="Q1672" s="6">
        <v>1642</v>
      </c>
      <c r="R1672" s="7">
        <v>44309</v>
      </c>
      <c r="S1672" s="210">
        <v>4.5</v>
      </c>
      <c r="T1672" s="8">
        <v>1.0001249999999999</v>
      </c>
      <c r="U1672" s="98">
        <v>4.3502020393908492</v>
      </c>
      <c r="V1672" s="106">
        <v>30412.085015367458</v>
      </c>
      <c r="W1672" s="10">
        <v>0.99130928399933094</v>
      </c>
      <c r="X1672" s="420"/>
      <c r="Y1672" s="420"/>
      <c r="Z1672" s="1"/>
      <c r="AA1672" s="1"/>
      <c r="AB1672" s="1"/>
      <c r="AC1672" s="1"/>
      <c r="AD1672" s="1"/>
    </row>
    <row r="1673" spans="17:30">
      <c r="Q1673" s="6">
        <v>1643</v>
      </c>
      <c r="R1673" s="7">
        <v>44310</v>
      </c>
      <c r="S1673" s="210">
        <v>4.5</v>
      </c>
      <c r="T1673" s="8">
        <v>1.0001249999999999</v>
      </c>
      <c r="U1673" s="98">
        <v>4.3503951010964714</v>
      </c>
      <c r="V1673" s="106">
        <v>30414.700569440567</v>
      </c>
      <c r="W1673" s="10">
        <v>0.99157776515288454</v>
      </c>
      <c r="X1673" s="420"/>
      <c r="Y1673" s="420"/>
      <c r="Z1673" s="1"/>
      <c r="AA1673" s="1"/>
      <c r="AB1673" s="1"/>
      <c r="AC1673" s="1"/>
      <c r="AD1673" s="1"/>
    </row>
    <row r="1674" spans="17:30">
      <c r="Q1674" s="6">
        <v>1644</v>
      </c>
      <c r="R1674" s="7">
        <v>44311</v>
      </c>
      <c r="S1674" s="210">
        <v>4.5</v>
      </c>
      <c r="T1674" s="8">
        <v>1.0001249999999999</v>
      </c>
      <c r="U1674" s="98">
        <v>4.3505879282903726</v>
      </c>
      <c r="V1674" s="106">
        <v>30417.316348461198</v>
      </c>
      <c r="W1674" s="10">
        <v>0.99184592039947006</v>
      </c>
      <c r="X1674" s="420"/>
      <c r="Y1674" s="420"/>
      <c r="Z1674" s="1"/>
      <c r="AA1674" s="1"/>
      <c r="AB1674" s="1"/>
      <c r="AC1674" s="1"/>
      <c r="AD1674" s="1"/>
    </row>
    <row r="1675" spans="17:30">
      <c r="Q1675" s="6">
        <v>1645</v>
      </c>
      <c r="R1675" s="7">
        <v>44312</v>
      </c>
      <c r="S1675" s="210">
        <v>4.5</v>
      </c>
      <c r="T1675" s="8">
        <v>1.0001249999999999</v>
      </c>
      <c r="U1675" s="98">
        <v>4.3507805213995887</v>
      </c>
      <c r="V1675" s="106">
        <v>30419.932352448697</v>
      </c>
      <c r="W1675" s="10">
        <v>0.99211375033214644</v>
      </c>
      <c r="X1675" s="420"/>
      <c r="Y1675" s="420"/>
      <c r="Z1675" s="1"/>
      <c r="AA1675" s="1"/>
      <c r="AB1675" s="1"/>
      <c r="AC1675" s="1"/>
      <c r="AD1675" s="1"/>
    </row>
    <row r="1676" spans="17:30">
      <c r="Q1676" s="6">
        <v>1646</v>
      </c>
      <c r="R1676" s="7">
        <v>44313</v>
      </c>
      <c r="S1676" s="210">
        <v>4.5</v>
      </c>
      <c r="T1676" s="8">
        <v>1.0001249999999999</v>
      </c>
      <c r="U1676" s="98">
        <v>4.3509728808501347</v>
      </c>
      <c r="V1676" s="106">
        <v>30422.548581422405</v>
      </c>
      <c r="W1676" s="10">
        <v>0.99238125554257373</v>
      </c>
      <c r="X1676" s="420"/>
      <c r="Y1676" s="420"/>
      <c r="Z1676" s="1"/>
      <c r="AA1676" s="1"/>
      <c r="AB1676" s="1"/>
      <c r="AC1676" s="1"/>
      <c r="AD1676" s="1"/>
    </row>
    <row r="1677" spans="17:30">
      <c r="Q1677" s="6">
        <v>1647</v>
      </c>
      <c r="R1677" s="7">
        <v>44314</v>
      </c>
      <c r="S1677" s="210">
        <v>4.5</v>
      </c>
      <c r="T1677" s="8">
        <v>1.0001249999999999</v>
      </c>
      <c r="U1677" s="98">
        <v>4.3511650070669372</v>
      </c>
      <c r="V1677" s="106">
        <v>30425.165035401682</v>
      </c>
      <c r="W1677" s="10">
        <v>0.99264843662090207</v>
      </c>
      <c r="X1677" s="420"/>
      <c r="Y1677" s="420"/>
      <c r="Z1677" s="1"/>
      <c r="AA1677" s="1"/>
      <c r="AB1677" s="1"/>
      <c r="AC1677" s="1"/>
      <c r="AD1677" s="1"/>
    </row>
    <row r="1678" spans="17:30">
      <c r="Q1678" s="6">
        <v>1648</v>
      </c>
      <c r="R1678" s="7">
        <v>44315</v>
      </c>
      <c r="S1678" s="210">
        <v>4.5</v>
      </c>
      <c r="T1678" s="8">
        <v>1.0001249999999999</v>
      </c>
      <c r="U1678" s="98">
        <v>4.3513569004739461</v>
      </c>
      <c r="V1678" s="106">
        <v>30427.781714405875</v>
      </c>
      <c r="W1678" s="10">
        <v>0.99291529415588275</v>
      </c>
      <c r="X1678" s="420"/>
      <c r="Y1678" s="420"/>
      <c r="Z1678" s="1"/>
      <c r="AA1678" s="1"/>
      <c r="AB1678" s="1"/>
      <c r="AC1678" s="1"/>
      <c r="AD1678" s="1"/>
    </row>
    <row r="1679" spans="17:30">
      <c r="Q1679" s="6">
        <v>1649</v>
      </c>
      <c r="R1679" s="7">
        <v>44316</v>
      </c>
      <c r="S1679" s="210">
        <v>4.5</v>
      </c>
      <c r="T1679" s="8">
        <v>1.0001249999999999</v>
      </c>
      <c r="U1679" s="98">
        <v>4.3515485614940674</v>
      </c>
      <c r="V1679" s="106">
        <v>30430.398618454336</v>
      </c>
      <c r="W1679" s="10">
        <v>0.99318182873489036</v>
      </c>
      <c r="X1679" s="420"/>
      <c r="Y1679" s="420"/>
      <c r="Z1679" s="1"/>
      <c r="AA1679" s="1"/>
      <c r="AB1679" s="1"/>
      <c r="AC1679" s="1"/>
      <c r="AD1679" s="1"/>
    </row>
    <row r="1680" spans="17:30">
      <c r="Q1680" s="6">
        <v>1650</v>
      </c>
      <c r="R1680" s="7">
        <v>44317</v>
      </c>
      <c r="S1680" s="210">
        <v>4.5</v>
      </c>
      <c r="T1680" s="8">
        <v>1.0001249999999999</v>
      </c>
      <c r="U1680" s="98">
        <v>4.351739990549186</v>
      </c>
      <c r="V1680" s="106">
        <v>30433.01574756642</v>
      </c>
      <c r="W1680" s="10">
        <v>0.99344804094383399</v>
      </c>
      <c r="X1680" s="420"/>
      <c r="Y1680" s="420"/>
      <c r="Z1680" s="1"/>
      <c r="AA1680" s="1"/>
      <c r="AB1680" s="1"/>
      <c r="AC1680" s="1"/>
      <c r="AD1680" s="1"/>
    </row>
    <row r="1681" spans="17:30">
      <c r="Q1681" s="6">
        <v>1651</v>
      </c>
      <c r="R1681" s="7">
        <v>44318</v>
      </c>
      <c r="S1681" s="210">
        <v>4.5</v>
      </c>
      <c r="T1681" s="8">
        <v>1.0001249999999999</v>
      </c>
      <c r="U1681" s="98">
        <v>4.3519311880601652</v>
      </c>
      <c r="V1681" s="106">
        <v>30435.633101761483</v>
      </c>
      <c r="W1681" s="10">
        <v>0.99371393136720165</v>
      </c>
      <c r="X1681" s="420"/>
      <c r="Y1681" s="420"/>
      <c r="Z1681" s="1"/>
      <c r="AA1681" s="1"/>
      <c r="AB1681" s="1"/>
      <c r="AC1681" s="1"/>
      <c r="AD1681" s="1"/>
    </row>
    <row r="1682" spans="17:30">
      <c r="Q1682" s="6">
        <v>1652</v>
      </c>
      <c r="R1682" s="7">
        <v>44319</v>
      </c>
      <c r="S1682" s="210">
        <v>4.5</v>
      </c>
      <c r="T1682" s="8">
        <v>1.0001249999999999</v>
      </c>
      <c r="U1682" s="98">
        <v>4.3521221544468469</v>
      </c>
      <c r="V1682" s="106">
        <v>30438.250681058886</v>
      </c>
      <c r="W1682" s="10">
        <v>0.99397950058808249</v>
      </c>
      <c r="X1682" s="420"/>
      <c r="Y1682" s="420"/>
      <c r="Z1682" s="1"/>
      <c r="AA1682" s="1"/>
      <c r="AB1682" s="1"/>
      <c r="AC1682" s="1"/>
      <c r="AD1682" s="1"/>
    </row>
    <row r="1683" spans="17:30">
      <c r="Q1683" s="6">
        <v>1653</v>
      </c>
      <c r="R1683" s="7">
        <v>44320</v>
      </c>
      <c r="S1683" s="210">
        <v>4.5</v>
      </c>
      <c r="T1683" s="8">
        <v>1.0001249999999999</v>
      </c>
      <c r="U1683" s="98">
        <v>4.3523128901280517</v>
      </c>
      <c r="V1683" s="106">
        <v>30440.868485477986</v>
      </c>
      <c r="W1683" s="10">
        <v>0.99424474918816674</v>
      </c>
      <c r="X1683" s="420"/>
      <c r="Y1683" s="420"/>
      <c r="Z1683" s="1"/>
      <c r="AA1683" s="1"/>
      <c r="AB1683" s="1"/>
      <c r="AC1683" s="1"/>
      <c r="AD1683" s="1"/>
    </row>
    <row r="1684" spans="17:30">
      <c r="Q1684" s="6">
        <v>1654</v>
      </c>
      <c r="R1684" s="7">
        <v>44321</v>
      </c>
      <c r="S1684" s="210">
        <v>4.5</v>
      </c>
      <c r="T1684" s="8">
        <v>1.0001249999999999</v>
      </c>
      <c r="U1684" s="98">
        <v>4.3525033955216008</v>
      </c>
      <c r="V1684" s="106">
        <v>30443.486515038137</v>
      </c>
      <c r="W1684" s="10">
        <v>0.99450967774770138</v>
      </c>
      <c r="X1684" s="420"/>
      <c r="Y1684" s="420"/>
      <c r="Z1684" s="1"/>
      <c r="AA1684" s="1"/>
      <c r="AB1684" s="1"/>
      <c r="AC1684" s="1"/>
      <c r="AD1684" s="1"/>
    </row>
    <row r="1685" spans="17:30">
      <c r="Q1685" s="6">
        <v>1655</v>
      </c>
      <c r="R1685" s="7">
        <v>44322</v>
      </c>
      <c r="S1685" s="210">
        <v>4.5</v>
      </c>
      <c r="T1685" s="8">
        <v>1.0001249999999999</v>
      </c>
      <c r="U1685" s="98">
        <v>4.3526936710443165</v>
      </c>
      <c r="V1685" s="106">
        <v>30446.10476975872</v>
      </c>
      <c r="W1685" s="10">
        <v>0.99477428684557889</v>
      </c>
      <c r="X1685" s="420"/>
      <c r="Y1685" s="420"/>
      <c r="Z1685" s="1"/>
      <c r="AA1685" s="1"/>
      <c r="AB1685" s="1"/>
      <c r="AC1685" s="1"/>
      <c r="AD1685" s="1"/>
    </row>
    <row r="1686" spans="17:30">
      <c r="Q1686" s="6">
        <v>1656</v>
      </c>
      <c r="R1686" s="7">
        <v>44323</v>
      </c>
      <c r="S1686" s="210">
        <v>4.5</v>
      </c>
      <c r="T1686" s="8">
        <v>1.0001249999999999</v>
      </c>
      <c r="U1686" s="98">
        <v>4.3528837171119994</v>
      </c>
      <c r="V1686" s="106">
        <v>30448.72324965908</v>
      </c>
      <c r="W1686" s="10">
        <v>0.99503857705931509</v>
      </c>
      <c r="X1686" s="420"/>
      <c r="Y1686" s="420"/>
      <c r="Z1686" s="1"/>
      <c r="AA1686" s="1"/>
      <c r="AB1686" s="1"/>
      <c r="AC1686" s="1"/>
      <c r="AD1686" s="1"/>
    </row>
    <row r="1687" spans="17:30">
      <c r="Q1687" s="6">
        <v>1657</v>
      </c>
      <c r="R1687" s="7">
        <v>44324</v>
      </c>
      <c r="S1687" s="210">
        <v>4.5</v>
      </c>
      <c r="T1687" s="8">
        <v>1.0001249999999999</v>
      </c>
      <c r="U1687" s="98">
        <v>4.3530735341394289</v>
      </c>
      <c r="V1687" s="106">
        <v>30451.341954758595</v>
      </c>
      <c r="W1687" s="10">
        <v>0.99530254896491588</v>
      </c>
      <c r="X1687" s="420"/>
      <c r="Y1687" s="420"/>
      <c r="Z1687" s="1"/>
      <c r="AA1687" s="1"/>
      <c r="AB1687" s="1"/>
      <c r="AC1687" s="1"/>
      <c r="AD1687" s="1"/>
    </row>
    <row r="1688" spans="17:30">
      <c r="Q1688" s="6">
        <v>1658</v>
      </c>
      <c r="R1688" s="7">
        <v>44325</v>
      </c>
      <c r="S1688" s="210">
        <v>4.5</v>
      </c>
      <c r="T1688" s="8">
        <v>1.0001249999999999</v>
      </c>
      <c r="U1688" s="98">
        <v>4.3532631225404295</v>
      </c>
      <c r="V1688" s="106">
        <v>30453.960885076634</v>
      </c>
      <c r="W1688" s="10">
        <v>0.99556620313714372</v>
      </c>
      <c r="X1688" s="420"/>
      <c r="Y1688" s="420"/>
      <c r="Z1688" s="1"/>
      <c r="AA1688" s="1"/>
      <c r="AB1688" s="1"/>
      <c r="AC1688" s="1"/>
      <c r="AD1688" s="1"/>
    </row>
    <row r="1689" spans="17:30">
      <c r="Q1689" s="6">
        <v>1659</v>
      </c>
      <c r="R1689" s="7">
        <v>44326</v>
      </c>
      <c r="S1689" s="210">
        <v>4.5</v>
      </c>
      <c r="T1689" s="8">
        <v>1.0001249999999999</v>
      </c>
      <c r="U1689" s="98">
        <v>4.3534524827278043</v>
      </c>
      <c r="V1689" s="106">
        <v>30456.49554822778</v>
      </c>
      <c r="W1689" s="10">
        <v>0.99589118363525575</v>
      </c>
      <c r="X1689" s="420"/>
      <c r="Y1689" s="420"/>
      <c r="Z1689" s="1"/>
      <c r="AA1689" s="1"/>
      <c r="AB1689" s="1"/>
      <c r="AC1689" s="1"/>
      <c r="AD1689" s="1"/>
    </row>
    <row r="1690" spans="17:30">
      <c r="Q1690" s="6">
        <v>1660</v>
      </c>
      <c r="R1690" s="7">
        <v>44327</v>
      </c>
      <c r="S1690" s="210">
        <v>4.5</v>
      </c>
      <c r="T1690" s="8">
        <v>1.0001249999999999</v>
      </c>
      <c r="U1690" s="98">
        <v>4.3536416151133794</v>
      </c>
      <c r="V1690" s="106">
        <v>30459.030422337277</v>
      </c>
      <c r="W1690" s="10">
        <v>0.99621577363442348</v>
      </c>
      <c r="X1690" s="420"/>
      <c r="Y1690" s="420"/>
      <c r="Z1690" s="1"/>
      <c r="AA1690" s="1"/>
      <c r="AB1690" s="1"/>
      <c r="AC1690" s="1"/>
      <c r="AD1690" s="1"/>
    </row>
    <row r="1691" spans="17:30">
      <c r="Q1691" s="6">
        <v>1661</v>
      </c>
      <c r="R1691" s="7">
        <v>44328</v>
      </c>
      <c r="S1691" s="210">
        <v>4.5</v>
      </c>
      <c r="T1691" s="8">
        <v>1.0001249999999999</v>
      </c>
      <c r="U1691" s="98">
        <v>4.3538305201079597</v>
      </c>
      <c r="V1691" s="106">
        <v>30461.565507422678</v>
      </c>
      <c r="W1691" s="10">
        <v>0.99653997383803983</v>
      </c>
      <c r="X1691" s="420"/>
      <c r="Y1691" s="420"/>
      <c r="Z1691" s="1"/>
      <c r="AA1691" s="1"/>
      <c r="AB1691" s="1"/>
      <c r="AC1691" s="1"/>
      <c r="AD1691" s="1"/>
    </row>
    <row r="1692" spans="17:30">
      <c r="Q1692" s="6">
        <v>1662</v>
      </c>
      <c r="R1692" s="7">
        <v>44329</v>
      </c>
      <c r="S1692" s="210">
        <v>4.5</v>
      </c>
      <c r="T1692" s="8">
        <v>1.0001249999999999</v>
      </c>
      <c r="U1692" s="98">
        <v>4.3540191981213949</v>
      </c>
      <c r="V1692" s="106">
        <v>30464.100803501551</v>
      </c>
      <c r="W1692" s="10">
        <v>0.99686378494787675</v>
      </c>
      <c r="X1692" s="420"/>
      <c r="Y1692" s="420"/>
      <c r="Z1692" s="1"/>
      <c r="AA1692" s="1"/>
      <c r="AB1692" s="1"/>
      <c r="AC1692" s="1"/>
      <c r="AD1692" s="1"/>
    </row>
    <row r="1693" spans="17:30">
      <c r="Q1693" s="6">
        <v>1663</v>
      </c>
      <c r="R1693" s="7">
        <v>44330</v>
      </c>
      <c r="S1693" s="210">
        <v>4.5</v>
      </c>
      <c r="T1693" s="8">
        <v>1.0001249999999999</v>
      </c>
      <c r="U1693" s="98">
        <v>4.3542076495625359</v>
      </c>
      <c r="V1693" s="106">
        <v>30466.636310591442</v>
      </c>
      <c r="W1693" s="10">
        <v>0.99718720766395208</v>
      </c>
      <c r="X1693" s="420"/>
      <c r="Y1693" s="420"/>
      <c r="Z1693" s="1"/>
      <c r="AA1693" s="1"/>
      <c r="AB1693" s="1"/>
      <c r="AC1693" s="1"/>
      <c r="AD1693" s="1"/>
    </row>
    <row r="1694" spans="17:30">
      <c r="Q1694" s="6">
        <v>1664</v>
      </c>
      <c r="R1694" s="7">
        <v>44331</v>
      </c>
      <c r="S1694" s="210">
        <v>4.5</v>
      </c>
      <c r="T1694" s="8">
        <v>1.0001249999999999</v>
      </c>
      <c r="U1694" s="98">
        <v>4.3543958748392342</v>
      </c>
      <c r="V1694" s="106">
        <v>30469.172028709931</v>
      </c>
      <c r="W1694" s="10">
        <v>0.99751024268459609</v>
      </c>
      <c r="X1694" s="420"/>
      <c r="Y1694" s="420"/>
      <c r="Z1694" s="1"/>
      <c r="AA1694" s="1"/>
      <c r="AB1694" s="1"/>
      <c r="AC1694" s="1"/>
      <c r="AD1694" s="1"/>
    </row>
    <row r="1695" spans="17:30">
      <c r="Q1695" s="6">
        <v>1665</v>
      </c>
      <c r="R1695" s="7">
        <v>44332</v>
      </c>
      <c r="S1695" s="210">
        <v>4.5</v>
      </c>
      <c r="T1695" s="8">
        <v>1.0001249999999999</v>
      </c>
      <c r="U1695" s="98">
        <v>4.3545838743584087</v>
      </c>
      <c r="V1695" s="106">
        <v>30471.707957874565</v>
      </c>
      <c r="W1695" s="10">
        <v>0.99783289070658476</v>
      </c>
      <c r="X1695" s="420"/>
      <c r="Y1695" s="420"/>
      <c r="Z1695" s="1"/>
      <c r="AA1695" s="1"/>
      <c r="AB1695" s="1"/>
      <c r="AC1695" s="1"/>
      <c r="AD1695" s="1"/>
    </row>
    <row r="1696" spans="17:30">
      <c r="Q1696" s="6">
        <v>1666</v>
      </c>
      <c r="R1696" s="7">
        <v>44333</v>
      </c>
      <c r="S1696" s="210">
        <v>4.5</v>
      </c>
      <c r="T1696" s="8">
        <v>1.0001249999999999</v>
      </c>
      <c r="U1696" s="98">
        <v>4.3547716485259569</v>
      </c>
      <c r="V1696" s="106">
        <v>30474.244098102918</v>
      </c>
      <c r="W1696" s="10">
        <v>0.99815515242487329</v>
      </c>
      <c r="X1696" s="420"/>
      <c r="Y1696" s="420"/>
      <c r="Z1696" s="1"/>
      <c r="AA1696" s="1"/>
      <c r="AB1696" s="1"/>
      <c r="AC1696" s="1"/>
      <c r="AD1696" s="1"/>
    </row>
    <row r="1697" spans="17:30">
      <c r="Q1697" s="6">
        <v>1667</v>
      </c>
      <c r="R1697" s="7">
        <v>44334</v>
      </c>
      <c r="S1697" s="210">
        <v>4.5</v>
      </c>
      <c r="T1697" s="8">
        <v>1.0001249999999999</v>
      </c>
      <c r="U1697" s="98">
        <v>4.3549591977468438</v>
      </c>
      <c r="V1697" s="106">
        <v>30476.780449412556</v>
      </c>
      <c r="W1697" s="10">
        <v>0.99847702853284037</v>
      </c>
      <c r="X1697" s="420"/>
      <c r="Y1697" s="420"/>
      <c r="Z1697" s="1"/>
      <c r="AA1697" s="1"/>
      <c r="AB1697" s="1"/>
      <c r="AC1697" s="1"/>
      <c r="AD1697" s="1"/>
    </row>
    <row r="1698" spans="17:30">
      <c r="Q1698" s="6">
        <v>1668</v>
      </c>
      <c r="R1698" s="7">
        <v>44335</v>
      </c>
      <c r="S1698" s="210">
        <v>4.5</v>
      </c>
      <c r="T1698" s="8">
        <v>1.0001249999999999</v>
      </c>
      <c r="U1698" s="98">
        <v>4.3551465224250352</v>
      </c>
      <c r="V1698" s="106">
        <v>30479.317011821044</v>
      </c>
      <c r="W1698" s="10">
        <v>0.99879851972222156</v>
      </c>
      <c r="X1698" s="420"/>
      <c r="Y1698" s="420"/>
      <c r="Z1698" s="1"/>
      <c r="AA1698" s="1"/>
      <c r="AB1698" s="1"/>
      <c r="AC1698" s="1"/>
      <c r="AD1698" s="1"/>
    </row>
    <row r="1699" spans="17:30">
      <c r="Q1699" s="6">
        <v>1669</v>
      </c>
      <c r="R1699" s="7">
        <v>44336</v>
      </c>
      <c r="S1699" s="210">
        <v>4.5</v>
      </c>
      <c r="T1699" s="8">
        <v>1.0001249999999999</v>
      </c>
      <c r="U1699" s="98">
        <v>4.3553336229635198</v>
      </c>
      <c r="V1699" s="106">
        <v>30481.853785345964</v>
      </c>
      <c r="W1699" s="10">
        <v>0.99911962668299825</v>
      </c>
      <c r="X1699" s="420"/>
      <c r="Y1699" s="420"/>
      <c r="Z1699" s="1"/>
      <c r="AA1699" s="1"/>
      <c r="AB1699" s="1"/>
      <c r="AC1699" s="1"/>
      <c r="AD1699" s="1"/>
    </row>
    <row r="1700" spans="17:30">
      <c r="Q1700" s="6">
        <v>1670</v>
      </c>
      <c r="R1700" s="7">
        <v>44337</v>
      </c>
      <c r="S1700" s="210">
        <v>4.5</v>
      </c>
      <c r="T1700" s="8">
        <v>1.0001249999999999</v>
      </c>
      <c r="U1700" s="98">
        <v>4.3555204997643537</v>
      </c>
      <c r="V1700" s="106">
        <v>30484.390770004866</v>
      </c>
      <c r="W1700" s="10">
        <v>0.99944035010359755</v>
      </c>
      <c r="X1700" s="420"/>
      <c r="Y1700" s="420"/>
      <c r="Z1700" s="1"/>
      <c r="AA1700" s="1"/>
      <c r="AB1700" s="1"/>
      <c r="AC1700" s="1"/>
      <c r="AD1700" s="1"/>
    </row>
    <row r="1701" spans="17:30">
      <c r="Q1701" s="6">
        <v>1671</v>
      </c>
      <c r="R1701" s="7">
        <v>44338</v>
      </c>
      <c r="S1701" s="210">
        <v>4.5</v>
      </c>
      <c r="T1701" s="8">
        <v>1.0001249999999999</v>
      </c>
      <c r="U1701" s="98">
        <v>4.3557071532286384</v>
      </c>
      <c r="V1701" s="106">
        <v>30486.927965815343</v>
      </c>
      <c r="W1701" s="10">
        <v>0.99976069067082562</v>
      </c>
      <c r="X1701" s="420"/>
      <c r="Y1701" s="420"/>
      <c r="Z1701" s="1"/>
      <c r="AA1701" s="1"/>
      <c r="AB1701" s="1"/>
      <c r="AC1701" s="1"/>
      <c r="AD1701" s="1"/>
    </row>
    <row r="1702" spans="17:30">
      <c r="Q1702" s="6">
        <v>1672</v>
      </c>
      <c r="R1702" s="7">
        <v>44339</v>
      </c>
      <c r="S1702" s="210">
        <v>4.5</v>
      </c>
      <c r="T1702" s="8">
        <v>1.0001249999999999</v>
      </c>
      <c r="U1702" s="98">
        <v>4.3558935837564761</v>
      </c>
      <c r="V1702" s="106">
        <v>30489.465372794952</v>
      </c>
      <c r="W1702" s="10">
        <v>1.0000806490697345</v>
      </c>
      <c r="X1702" s="420"/>
      <c r="Y1702" s="420"/>
      <c r="Z1702" s="1"/>
      <c r="AA1702" s="1"/>
      <c r="AB1702" s="1"/>
      <c r="AC1702" s="1"/>
      <c r="AD1702" s="1"/>
    </row>
    <row r="1703" spans="17:30">
      <c r="Q1703" s="6">
        <v>1673</v>
      </c>
      <c r="R1703" s="7">
        <v>44340</v>
      </c>
      <c r="S1703" s="210">
        <v>4.5</v>
      </c>
      <c r="T1703" s="8">
        <v>1.0001249999999999</v>
      </c>
      <c r="U1703" s="98">
        <v>4.3560797917470362</v>
      </c>
      <c r="V1703" s="106">
        <v>30492.002990961282</v>
      </c>
      <c r="W1703" s="10">
        <v>1.0004002259838218</v>
      </c>
      <c r="X1703" s="420"/>
      <c r="Y1703" s="420"/>
      <c r="Z1703" s="1"/>
      <c r="AA1703" s="1"/>
      <c r="AB1703" s="1"/>
      <c r="AC1703" s="1"/>
      <c r="AD1703" s="1"/>
    </row>
    <row r="1704" spans="17:30">
      <c r="Q1704" s="6">
        <v>1674</v>
      </c>
      <c r="R1704" s="7">
        <v>44341</v>
      </c>
      <c r="S1704" s="210">
        <v>4.5</v>
      </c>
      <c r="T1704" s="8">
        <v>1.0001249999999999</v>
      </c>
      <c r="U1704" s="98">
        <v>4.3562657775985558</v>
      </c>
      <c r="V1704" s="106">
        <v>30494.540820331902</v>
      </c>
      <c r="W1704" s="10">
        <v>1.0007194220949867</v>
      </c>
      <c r="X1704" s="420"/>
      <c r="Y1704" s="420"/>
      <c r="Z1704" s="1"/>
      <c r="AA1704" s="1"/>
      <c r="AB1704" s="1"/>
      <c r="AC1704" s="1"/>
      <c r="AD1704" s="1"/>
    </row>
    <row r="1705" spans="17:30">
      <c r="Q1705" s="6">
        <v>1675</v>
      </c>
      <c r="R1705" s="7">
        <v>44342</v>
      </c>
      <c r="S1705" s="210">
        <v>4.5</v>
      </c>
      <c r="T1705" s="8">
        <v>1.0001249999999999</v>
      </c>
      <c r="U1705" s="98">
        <v>4.356451541708295</v>
      </c>
      <c r="V1705" s="106">
        <v>30497.07886092439</v>
      </c>
      <c r="W1705" s="10">
        <v>1.0010382380834182</v>
      </c>
      <c r="X1705" s="420"/>
      <c r="Y1705" s="420"/>
      <c r="Z1705" s="1"/>
      <c r="AA1705" s="1"/>
      <c r="AB1705" s="1"/>
      <c r="AC1705" s="1"/>
      <c r="AD1705" s="1"/>
    </row>
    <row r="1706" spans="17:30">
      <c r="Q1706" s="6">
        <v>1676</v>
      </c>
      <c r="R1706" s="7">
        <v>44343</v>
      </c>
      <c r="S1706" s="210">
        <v>4.5</v>
      </c>
      <c r="T1706" s="8">
        <v>1.0001249999999999</v>
      </c>
      <c r="U1706" s="98">
        <v>4.3566370844725588</v>
      </c>
      <c r="V1706" s="106">
        <v>30499.617112756339</v>
      </c>
      <c r="W1706" s="10">
        <v>1.0013566746277514</v>
      </c>
      <c r="X1706" s="420"/>
      <c r="Y1706" s="420"/>
      <c r="Z1706" s="1"/>
      <c r="AA1706" s="1"/>
      <c r="AB1706" s="1"/>
      <c r="AC1706" s="1"/>
      <c r="AD1706" s="1"/>
    </row>
    <row r="1707" spans="17:30">
      <c r="Q1707" s="6">
        <v>1677</v>
      </c>
      <c r="R1707" s="7">
        <v>44344</v>
      </c>
      <c r="S1707" s="210">
        <v>4.5</v>
      </c>
      <c r="T1707" s="8">
        <v>1.0001249999999999</v>
      </c>
      <c r="U1707" s="98">
        <v>4.3568224062867422</v>
      </c>
      <c r="V1707" s="106">
        <v>30502.155575845311</v>
      </c>
      <c r="W1707" s="10">
        <v>1.0016747324049557</v>
      </c>
      <c r="X1707" s="420"/>
      <c r="Y1707" s="420"/>
      <c r="Z1707" s="1"/>
      <c r="AA1707" s="1"/>
      <c r="AB1707" s="1"/>
      <c r="AC1707" s="1"/>
      <c r="AD1707" s="1"/>
    </row>
    <row r="1708" spans="17:30">
      <c r="Q1708" s="6">
        <v>1678</v>
      </c>
      <c r="R1708" s="7">
        <v>44345</v>
      </c>
      <c r="S1708" s="210">
        <v>4.5</v>
      </c>
      <c r="T1708" s="8">
        <v>1.0001249999999999</v>
      </c>
      <c r="U1708" s="98">
        <v>4.3570075075452852</v>
      </c>
      <c r="V1708" s="106">
        <v>30504.6942502089</v>
      </c>
      <c r="W1708" s="10">
        <v>1.0019924120904466</v>
      </c>
      <c r="X1708" s="420"/>
      <c r="Y1708" s="420"/>
      <c r="Z1708" s="1"/>
      <c r="AA1708" s="1"/>
      <c r="AB1708" s="1"/>
      <c r="AC1708" s="1"/>
      <c r="AD1708" s="1"/>
    </row>
    <row r="1709" spans="17:30">
      <c r="Q1709" s="6">
        <v>1679</v>
      </c>
      <c r="R1709" s="7">
        <v>44346</v>
      </c>
      <c r="S1709" s="210">
        <v>4.5</v>
      </c>
      <c r="T1709" s="8">
        <v>1.0001249999999999</v>
      </c>
      <c r="U1709" s="98">
        <v>4.357192388641673</v>
      </c>
      <c r="V1709" s="106">
        <v>30507.233135864684</v>
      </c>
      <c r="W1709" s="10">
        <v>1.0023097143580184</v>
      </c>
      <c r="X1709" s="420"/>
      <c r="Y1709" s="420"/>
      <c r="Z1709" s="1"/>
      <c r="AA1709" s="1"/>
      <c r="AB1709" s="1"/>
      <c r="AC1709" s="1"/>
      <c r="AD1709" s="1"/>
    </row>
    <row r="1710" spans="17:30">
      <c r="Q1710" s="6">
        <v>1680</v>
      </c>
      <c r="R1710" s="7">
        <v>44347</v>
      </c>
      <c r="S1710" s="210">
        <v>4.5</v>
      </c>
      <c r="T1710" s="8">
        <v>1.0001249999999999</v>
      </c>
      <c r="U1710" s="98">
        <v>4.3573770499684805</v>
      </c>
      <c r="V1710" s="106">
        <v>30509.772232830259</v>
      </c>
      <c r="W1710" s="10">
        <v>1.0026266398798001</v>
      </c>
      <c r="X1710" s="420"/>
      <c r="Y1710" s="420"/>
      <c r="Z1710" s="1"/>
      <c r="AA1710" s="1"/>
      <c r="AB1710" s="1"/>
      <c r="AC1710" s="1"/>
      <c r="AD1710" s="1"/>
    </row>
    <row r="1711" spans="17:30">
      <c r="Q1711" s="6">
        <v>1681</v>
      </c>
      <c r="R1711" s="7">
        <v>44348</v>
      </c>
      <c r="S1711" s="210">
        <v>4.5</v>
      </c>
      <c r="T1711" s="8">
        <v>1.0001249999999999</v>
      </c>
      <c r="U1711" s="98">
        <v>4.3575614919173278</v>
      </c>
      <c r="V1711" s="106">
        <v>30512.311541123199</v>
      </c>
      <c r="W1711" s="10">
        <v>1.0029431893264551</v>
      </c>
      <c r="X1711" s="420"/>
      <c r="Y1711" s="420"/>
      <c r="Z1711" s="1"/>
      <c r="AA1711" s="1"/>
      <c r="AB1711" s="1"/>
      <c r="AC1711" s="1"/>
      <c r="AD1711" s="1"/>
    </row>
    <row r="1712" spans="17:30">
      <c r="Q1712" s="6">
        <v>1682</v>
      </c>
      <c r="R1712" s="7">
        <v>44349</v>
      </c>
      <c r="S1712" s="210">
        <v>4.5</v>
      </c>
      <c r="T1712" s="8">
        <v>1.0001249999999999</v>
      </c>
      <c r="U1712" s="98">
        <v>4.3577457148789023</v>
      </c>
      <c r="V1712" s="106">
        <v>30514.85106076111</v>
      </c>
      <c r="W1712" s="10">
        <v>1.0032593633669151</v>
      </c>
      <c r="X1712" s="420"/>
      <c r="Y1712" s="420"/>
      <c r="Z1712" s="1"/>
      <c r="AA1712" s="1"/>
      <c r="AB1712" s="1"/>
      <c r="AC1712" s="1"/>
      <c r="AD1712" s="1"/>
    </row>
    <row r="1713" spans="17:30">
      <c r="Q1713" s="6">
        <v>1683</v>
      </c>
      <c r="R1713" s="7">
        <v>44350</v>
      </c>
      <c r="S1713" s="210">
        <v>4.5</v>
      </c>
      <c r="T1713" s="8">
        <v>1.0001249999999999</v>
      </c>
      <c r="U1713" s="98">
        <v>4.3579297192430033</v>
      </c>
      <c r="V1713" s="106">
        <v>30517.390791761562</v>
      </c>
      <c r="W1713" s="10">
        <v>1.003575162668624</v>
      </c>
      <c r="X1713" s="420"/>
      <c r="Y1713" s="420"/>
      <c r="Z1713" s="1"/>
      <c r="AA1713" s="1"/>
      <c r="AB1713" s="1"/>
      <c r="AC1713" s="1"/>
      <c r="AD1713" s="1"/>
    </row>
    <row r="1714" spans="17:30">
      <c r="Q1714" s="6">
        <v>1684</v>
      </c>
      <c r="R1714" s="7">
        <v>44351</v>
      </c>
      <c r="S1714" s="210">
        <v>4.5</v>
      </c>
      <c r="T1714" s="8">
        <v>1.0001249999999999</v>
      </c>
      <c r="U1714" s="98">
        <v>4.3581135053984532</v>
      </c>
      <c r="V1714" s="106">
        <v>30519.930734142155</v>
      </c>
      <c r="W1714" s="10">
        <v>1.0038905878974047</v>
      </c>
      <c r="X1714" s="420"/>
      <c r="Y1714" s="420"/>
      <c r="Z1714" s="1"/>
      <c r="AA1714" s="1"/>
      <c r="AB1714" s="1"/>
      <c r="AC1714" s="1"/>
      <c r="AD1714" s="1"/>
    </row>
    <row r="1715" spans="17:30">
      <c r="Q1715" s="6">
        <v>1685</v>
      </c>
      <c r="R1715" s="7">
        <v>44352</v>
      </c>
      <c r="S1715" s="210">
        <v>4.5</v>
      </c>
      <c r="T1715" s="8">
        <v>1.0001249999999999</v>
      </c>
      <c r="U1715" s="98">
        <v>4.3582970737332083</v>
      </c>
      <c r="V1715" s="106">
        <v>30522.470887920492</v>
      </c>
      <c r="W1715" s="10">
        <v>1.0042056397175259</v>
      </c>
      <c r="X1715" s="420"/>
      <c r="Y1715" s="420"/>
      <c r="Z1715" s="1"/>
      <c r="AA1715" s="1"/>
      <c r="AB1715" s="1"/>
      <c r="AC1715" s="1"/>
      <c r="AD1715" s="1"/>
    </row>
    <row r="1716" spans="17:30">
      <c r="Q1716" s="6">
        <v>1686</v>
      </c>
      <c r="R1716" s="7">
        <v>44353</v>
      </c>
      <c r="S1716" s="210">
        <v>4.5</v>
      </c>
      <c r="T1716" s="8">
        <v>1.0001249999999999</v>
      </c>
      <c r="U1716" s="98">
        <v>4.3584804246342479</v>
      </c>
      <c r="V1716" s="106">
        <v>30525.011253114157</v>
      </c>
      <c r="W1716" s="10">
        <v>1.0045203187916574</v>
      </c>
      <c r="X1716" s="420"/>
      <c r="Y1716" s="420"/>
      <c r="Z1716" s="1"/>
      <c r="AA1716" s="1"/>
      <c r="AB1716" s="1"/>
      <c r="AC1716" s="1"/>
      <c r="AD1716" s="1"/>
    </row>
    <row r="1717" spans="17:30">
      <c r="Q1717" s="6">
        <v>1687</v>
      </c>
      <c r="R1717" s="7">
        <v>44354</v>
      </c>
      <c r="S1717" s="210">
        <v>4.5</v>
      </c>
      <c r="T1717" s="8">
        <v>1.0001249999999999</v>
      </c>
      <c r="U1717" s="98">
        <v>4.3586635584876632</v>
      </c>
      <c r="V1717" s="106">
        <v>30527.55182974074</v>
      </c>
      <c r="W1717" s="10">
        <v>1.0048346257808927</v>
      </c>
      <c r="X1717" s="420"/>
      <c r="Y1717" s="420"/>
      <c r="Z1717" s="1"/>
      <c r="AA1717" s="1"/>
      <c r="AB1717" s="1"/>
      <c r="AC1717" s="1"/>
      <c r="AD1717" s="1"/>
    </row>
    <row r="1718" spans="17:30">
      <c r="Q1718" s="6">
        <v>1688</v>
      </c>
      <c r="R1718" s="7">
        <v>44355</v>
      </c>
      <c r="S1718" s="210">
        <v>4.5</v>
      </c>
      <c r="T1718" s="8">
        <v>1.0001249999999999</v>
      </c>
      <c r="U1718" s="98">
        <v>4.3588464756786571</v>
      </c>
      <c r="V1718" s="106">
        <v>30530.092617817852</v>
      </c>
      <c r="W1718" s="10">
        <v>1.0051485613448374</v>
      </c>
      <c r="X1718" s="420"/>
      <c r="Y1718" s="420"/>
      <c r="Z1718" s="1"/>
      <c r="AA1718" s="1"/>
      <c r="AB1718" s="1"/>
      <c r="AC1718" s="1"/>
      <c r="AD1718" s="1"/>
    </row>
    <row r="1719" spans="17:30">
      <c r="Q1719" s="6">
        <v>1689</v>
      </c>
      <c r="R1719" s="7">
        <v>44356</v>
      </c>
      <c r="S1719" s="210">
        <v>4.5</v>
      </c>
      <c r="T1719" s="8">
        <v>1.0001249999999999</v>
      </c>
      <c r="U1719" s="98">
        <v>4.3590291765914779</v>
      </c>
      <c r="V1719" s="106">
        <v>30532.633617363084</v>
      </c>
      <c r="W1719" s="10">
        <v>1.005462126141432</v>
      </c>
      <c r="X1719" s="420"/>
      <c r="Y1719" s="420"/>
      <c r="Z1719" s="1"/>
      <c r="AA1719" s="1"/>
      <c r="AB1719" s="1"/>
      <c r="AC1719" s="1"/>
      <c r="AD1719" s="1"/>
    </row>
    <row r="1720" spans="17:30">
      <c r="Q1720" s="6">
        <v>1690</v>
      </c>
      <c r="R1720" s="7">
        <v>44357</v>
      </c>
      <c r="S1720" s="210">
        <v>4.5</v>
      </c>
      <c r="T1720" s="8">
        <v>1.0001249999999999</v>
      </c>
      <c r="U1720" s="98">
        <v>4.3592116616094856</v>
      </c>
      <c r="V1720" s="106">
        <v>30535.259539070867</v>
      </c>
      <c r="W1720" s="10">
        <v>1.0057148021572093</v>
      </c>
      <c r="X1720" s="420"/>
      <c r="Y1720" s="420"/>
      <c r="Z1720" s="1"/>
      <c r="AA1720" s="1"/>
      <c r="AB1720" s="1"/>
      <c r="AC1720" s="1"/>
      <c r="AD1720" s="1"/>
    </row>
    <row r="1721" spans="17:30">
      <c r="Q1721" s="6">
        <v>1691</v>
      </c>
      <c r="R1721" s="7">
        <v>44358</v>
      </c>
      <c r="S1721" s="210">
        <v>4.5</v>
      </c>
      <c r="T1721" s="8">
        <v>1.0001249999999999</v>
      </c>
      <c r="U1721" s="98">
        <v>4.3593939311151297</v>
      </c>
      <c r="V1721" s="106">
        <v>30537.885686617818</v>
      </c>
      <c r="W1721" s="10">
        <v>1.0059671799559133</v>
      </c>
      <c r="X1721" s="420"/>
      <c r="Y1721" s="420"/>
      <c r="Z1721" s="1"/>
      <c r="AA1721" s="1"/>
      <c r="AB1721" s="1"/>
      <c r="AC1721" s="1"/>
      <c r="AD1721" s="1"/>
    </row>
    <row r="1722" spans="17:30">
      <c r="Q1722" s="6">
        <v>1692</v>
      </c>
      <c r="R1722" s="7">
        <v>44359</v>
      </c>
      <c r="S1722" s="210">
        <v>4.5</v>
      </c>
      <c r="T1722" s="8">
        <v>1.0001249999999999</v>
      </c>
      <c r="U1722" s="98">
        <v>4.3595759854899718</v>
      </c>
      <c r="V1722" s="106">
        <v>30540.512060023375</v>
      </c>
      <c r="W1722" s="10">
        <v>1.0062192600651887</v>
      </c>
      <c r="X1722" s="420"/>
      <c r="Y1722" s="420"/>
      <c r="Z1722" s="1"/>
      <c r="AA1722" s="1"/>
      <c r="AB1722" s="1"/>
      <c r="AC1722" s="1"/>
      <c r="AD1722" s="1"/>
    </row>
    <row r="1723" spans="17:30">
      <c r="Q1723" s="6">
        <v>1693</v>
      </c>
      <c r="R1723" s="7">
        <v>44360</v>
      </c>
      <c r="S1723" s="210">
        <v>4.5</v>
      </c>
      <c r="T1723" s="8">
        <v>1.0001249999999999</v>
      </c>
      <c r="U1723" s="98">
        <v>4.3597578251146407</v>
      </c>
      <c r="V1723" s="106">
        <v>30543.138659306951</v>
      </c>
      <c r="W1723" s="10">
        <v>1.0064710430114365</v>
      </c>
      <c r="X1723" s="420"/>
      <c r="Y1723" s="420"/>
      <c r="Z1723" s="1"/>
      <c r="AA1723" s="1"/>
      <c r="AB1723" s="1"/>
      <c r="AC1723" s="1"/>
      <c r="AD1723" s="1"/>
    </row>
    <row r="1724" spans="17:30">
      <c r="Q1724" s="6">
        <v>1694</v>
      </c>
      <c r="R1724" s="7">
        <v>44361</v>
      </c>
      <c r="S1724" s="210">
        <v>4.5</v>
      </c>
      <c r="T1724" s="8">
        <v>1.0001249999999999</v>
      </c>
      <c r="U1724" s="98">
        <v>4.3599394503689215</v>
      </c>
      <c r="V1724" s="106">
        <v>30545.76548448798</v>
      </c>
      <c r="W1724" s="10">
        <v>1.0067225293198145</v>
      </c>
      <c r="X1724" s="420"/>
      <c r="Y1724" s="420"/>
      <c r="Z1724" s="1"/>
      <c r="AA1724" s="1"/>
      <c r="AB1724" s="1"/>
      <c r="AC1724" s="1"/>
      <c r="AD1724" s="1"/>
    </row>
    <row r="1725" spans="17:30">
      <c r="Q1725" s="6">
        <v>1695</v>
      </c>
      <c r="R1725" s="7">
        <v>44362</v>
      </c>
      <c r="S1725" s="210">
        <v>4.5</v>
      </c>
      <c r="T1725" s="8">
        <v>1.0001249999999999</v>
      </c>
      <c r="U1725" s="98">
        <v>4.3601208616316445</v>
      </c>
      <c r="V1725" s="106">
        <v>30548.392535585885</v>
      </c>
      <c r="W1725" s="10">
        <v>1.0069737195142148</v>
      </c>
      <c r="X1725" s="420"/>
      <c r="Y1725" s="420"/>
      <c r="Z1725" s="1"/>
      <c r="AA1725" s="1"/>
      <c r="AB1725" s="1"/>
      <c r="AC1725" s="1"/>
      <c r="AD1725" s="1"/>
    </row>
    <row r="1726" spans="17:30">
      <c r="Q1726" s="6">
        <v>1696</v>
      </c>
      <c r="R1726" s="7">
        <v>44363</v>
      </c>
      <c r="S1726" s="210">
        <v>4.5</v>
      </c>
      <c r="T1726" s="8">
        <v>1.0001249999999999</v>
      </c>
      <c r="U1726" s="98">
        <v>4.3603020592807962</v>
      </c>
      <c r="V1726" s="106">
        <v>30551.019812620103</v>
      </c>
      <c r="W1726" s="10">
        <v>1.0072246141173524</v>
      </c>
      <c r="X1726" s="420"/>
      <c r="Y1726" s="420"/>
      <c r="Z1726" s="1"/>
      <c r="AA1726" s="1"/>
      <c r="AB1726" s="1"/>
      <c r="AC1726" s="1"/>
      <c r="AD1726" s="1"/>
    </row>
    <row r="1727" spans="17:30">
      <c r="Q1727" s="6">
        <v>1697</v>
      </c>
      <c r="R1727" s="7">
        <v>44364</v>
      </c>
      <c r="S1727" s="210">
        <v>4.5</v>
      </c>
      <c r="T1727" s="8">
        <v>1.0001249999999999</v>
      </c>
      <c r="U1727" s="98">
        <v>4.3604830436934305</v>
      </c>
      <c r="V1727" s="106">
        <v>30553.647315610055</v>
      </c>
      <c r="W1727" s="10">
        <v>1.0074752136506326</v>
      </c>
      <c r="X1727" s="420"/>
      <c r="Y1727" s="420"/>
      <c r="Z1727" s="1"/>
      <c r="AA1727" s="1"/>
      <c r="AB1727" s="1"/>
      <c r="AC1727" s="1"/>
      <c r="AD1727" s="1"/>
    </row>
    <row r="1728" spans="17:30">
      <c r="Q1728" s="6">
        <v>1698</v>
      </c>
      <c r="R1728" s="7">
        <v>44365</v>
      </c>
      <c r="S1728" s="210">
        <v>4.5</v>
      </c>
      <c r="T1728" s="8">
        <v>1.0001249999999999</v>
      </c>
      <c r="U1728" s="98">
        <v>4.3606638152457577</v>
      </c>
      <c r="V1728" s="106">
        <v>30556.275044575181</v>
      </c>
      <c r="W1728" s="10">
        <v>1.0077255186343281</v>
      </c>
      <c r="X1728" s="420"/>
      <c r="Y1728" s="420"/>
      <c r="Z1728" s="1"/>
      <c r="AA1728" s="1"/>
      <c r="AB1728" s="1"/>
      <c r="AC1728" s="1"/>
      <c r="AD1728" s="1"/>
    </row>
    <row r="1729" spans="17:30">
      <c r="Q1729" s="6">
        <v>1699</v>
      </c>
      <c r="R1729" s="7">
        <v>44366</v>
      </c>
      <c r="S1729" s="210">
        <v>4.5</v>
      </c>
      <c r="T1729" s="8">
        <v>1.0001249999999999</v>
      </c>
      <c r="U1729" s="98">
        <v>4.3608443743130554</v>
      </c>
      <c r="V1729" s="106">
        <v>30558.902999534912</v>
      </c>
      <c r="W1729" s="10">
        <v>1.007975529587446</v>
      </c>
      <c r="X1729" s="420"/>
      <c r="Y1729" s="420"/>
      <c r="Z1729" s="1"/>
      <c r="AA1729" s="1"/>
      <c r="AB1729" s="1"/>
      <c r="AC1729" s="1"/>
      <c r="AD1729" s="1"/>
    </row>
    <row r="1730" spans="17:30">
      <c r="Q1730" s="6">
        <v>1700</v>
      </c>
      <c r="R1730" s="7">
        <v>44367</v>
      </c>
      <c r="S1730" s="210">
        <v>4.5</v>
      </c>
      <c r="T1730" s="8">
        <v>1.0001249999999999</v>
      </c>
      <c r="U1730" s="98">
        <v>4.3610247212697795</v>
      </c>
      <c r="V1730" s="106">
        <v>30561.531180508686</v>
      </c>
      <c r="W1730" s="10">
        <v>1.0082252470277497</v>
      </c>
      <c r="X1730" s="420"/>
      <c r="Y1730" s="420"/>
      <c r="Z1730" s="1"/>
      <c r="AA1730" s="1"/>
      <c r="AB1730" s="1"/>
      <c r="AC1730" s="1"/>
      <c r="AD1730" s="1"/>
    </row>
    <row r="1731" spans="17:30">
      <c r="Q1731" s="6">
        <v>1701</v>
      </c>
      <c r="R1731" s="7">
        <v>44368</v>
      </c>
      <c r="S1731" s="210">
        <v>4.5</v>
      </c>
      <c r="T1731" s="8">
        <v>1.0001249999999999</v>
      </c>
      <c r="U1731" s="98">
        <v>4.3612048564894534</v>
      </c>
      <c r="V1731" s="106">
        <v>30564.159587515944</v>
      </c>
      <c r="W1731" s="10">
        <v>1.008474671471804</v>
      </c>
      <c r="X1731" s="420"/>
      <c r="Y1731" s="420"/>
      <c r="Z1731" s="1"/>
      <c r="AA1731" s="1"/>
      <c r="AB1731" s="1"/>
      <c r="AC1731" s="1"/>
      <c r="AD1731" s="1"/>
    </row>
    <row r="1732" spans="17:30">
      <c r="Q1732" s="6">
        <v>1702</v>
      </c>
      <c r="R1732" s="7">
        <v>44369</v>
      </c>
      <c r="S1732" s="210">
        <v>4.5</v>
      </c>
      <c r="T1732" s="8">
        <v>1.0001249999999999</v>
      </c>
      <c r="U1732" s="98">
        <v>4.361384780344757</v>
      </c>
      <c r="V1732" s="106">
        <v>30566.78822057612</v>
      </c>
      <c r="W1732" s="10">
        <v>1.0087238034350188</v>
      </c>
      <c r="X1732" s="420"/>
      <c r="Y1732" s="420"/>
      <c r="Z1732" s="1"/>
      <c r="AA1732" s="1"/>
      <c r="AB1732" s="1"/>
      <c r="AC1732" s="1"/>
      <c r="AD1732" s="1"/>
    </row>
    <row r="1733" spans="17:30">
      <c r="Q1733" s="6">
        <v>1703</v>
      </c>
      <c r="R1733" s="7">
        <v>44370</v>
      </c>
      <c r="S1733" s="210">
        <v>4.5</v>
      </c>
      <c r="T1733" s="8">
        <v>1.0001249999999999</v>
      </c>
      <c r="U1733" s="98">
        <v>4.3615644932074593</v>
      </c>
      <c r="V1733" s="106">
        <v>30569.417079708666</v>
      </c>
      <c r="W1733" s="10">
        <v>1.0089726434314716</v>
      </c>
      <c r="X1733" s="420"/>
      <c r="Y1733" s="420"/>
      <c r="Z1733" s="1"/>
      <c r="AA1733" s="1"/>
      <c r="AB1733" s="1"/>
      <c r="AC1733" s="1"/>
      <c r="AD1733" s="1"/>
    </row>
    <row r="1734" spans="17:30">
      <c r="Q1734" s="6">
        <v>1704</v>
      </c>
      <c r="R1734" s="7">
        <v>44371</v>
      </c>
      <c r="S1734" s="210">
        <v>4.5</v>
      </c>
      <c r="T1734" s="8">
        <v>1.0001249999999999</v>
      </c>
      <c r="U1734" s="98">
        <v>4.3617439954485082</v>
      </c>
      <c r="V1734" s="106">
        <v>30572.046164933006</v>
      </c>
      <c r="W1734" s="10">
        <v>1.0092211919741967</v>
      </c>
      <c r="X1734" s="420"/>
      <c r="Y1734" s="420"/>
      <c r="Z1734" s="1"/>
      <c r="AA1734" s="1"/>
      <c r="AB1734" s="1"/>
      <c r="AC1734" s="1"/>
      <c r="AD1734" s="1"/>
    </row>
    <row r="1735" spans="17:30">
      <c r="Q1735" s="6">
        <v>1705</v>
      </c>
      <c r="R1735" s="7">
        <v>44372</v>
      </c>
      <c r="S1735" s="210">
        <v>4.5</v>
      </c>
      <c r="T1735" s="8">
        <v>1.0001249999999999</v>
      </c>
      <c r="U1735" s="98">
        <v>4.361923287437941</v>
      </c>
      <c r="V1735" s="106">
        <v>30574.675476268603</v>
      </c>
      <c r="W1735" s="10">
        <v>1.0094694495748735</v>
      </c>
      <c r="X1735" s="420"/>
      <c r="Y1735" s="420"/>
      <c r="Z1735" s="1"/>
      <c r="AA1735" s="1"/>
      <c r="AB1735" s="1"/>
      <c r="AC1735" s="1"/>
      <c r="AD1735" s="1"/>
    </row>
    <row r="1736" spans="17:30">
      <c r="Q1736" s="6">
        <v>1706</v>
      </c>
      <c r="R1736" s="7">
        <v>44373</v>
      </c>
      <c r="S1736" s="210">
        <v>4.5</v>
      </c>
      <c r="T1736" s="8">
        <v>1.0001249999999999</v>
      </c>
      <c r="U1736" s="98">
        <v>4.3621023695449512</v>
      </c>
      <c r="V1736" s="106">
        <v>30577.305013734902</v>
      </c>
      <c r="W1736" s="10">
        <v>1.0097174167440714</v>
      </c>
      <c r="X1736" s="420"/>
      <c r="Y1736" s="420"/>
      <c r="Z1736" s="1"/>
      <c r="AA1736" s="1"/>
      <c r="AB1736" s="1"/>
      <c r="AC1736" s="1"/>
      <c r="AD1736" s="1"/>
    </row>
    <row r="1737" spans="17:30">
      <c r="Q1737" s="6">
        <v>1707</v>
      </c>
      <c r="R1737" s="7">
        <v>44374</v>
      </c>
      <c r="S1737" s="210">
        <v>4.5</v>
      </c>
      <c r="T1737" s="8">
        <v>1.0001249999999999</v>
      </c>
      <c r="U1737" s="98">
        <v>4.3622812421378443</v>
      </c>
      <c r="V1737" s="106">
        <v>30579.934777351333</v>
      </c>
      <c r="W1737" s="10">
        <v>1.0099650939911387</v>
      </c>
      <c r="X1737" s="420"/>
      <c r="Y1737" s="420"/>
      <c r="Z1737" s="1"/>
      <c r="AA1737" s="1"/>
      <c r="AB1737" s="1"/>
      <c r="AC1737" s="1"/>
      <c r="AD1737" s="1"/>
    </row>
    <row r="1738" spans="17:30">
      <c r="Q1738" s="6">
        <v>1708</v>
      </c>
      <c r="R1738" s="7">
        <v>44375</v>
      </c>
      <c r="S1738" s="210">
        <v>4.5</v>
      </c>
      <c r="T1738" s="8">
        <v>1.0001249999999999</v>
      </c>
      <c r="U1738" s="98">
        <v>4.362459905584104</v>
      </c>
      <c r="V1738" s="106">
        <v>30582.564767137366</v>
      </c>
      <c r="W1738" s="10">
        <v>1.0102124818242686</v>
      </c>
      <c r="X1738" s="420"/>
      <c r="Y1738" s="420"/>
      <c r="Z1738" s="1"/>
      <c r="AA1738" s="1"/>
      <c r="AB1738" s="1"/>
      <c r="AC1738" s="1"/>
      <c r="AD1738" s="1"/>
    </row>
    <row r="1739" spans="17:30">
      <c r="Q1739" s="6">
        <v>1709</v>
      </c>
      <c r="R1739" s="7">
        <v>44376</v>
      </c>
      <c r="S1739" s="210">
        <v>4.5</v>
      </c>
      <c r="T1739" s="8">
        <v>1.0001249999999999</v>
      </c>
      <c r="U1739" s="98">
        <v>4.362638360250326</v>
      </c>
      <c r="V1739" s="106">
        <v>30585.194983112444</v>
      </c>
      <c r="W1739" s="10">
        <v>1.0104595807504335</v>
      </c>
      <c r="X1739" s="420"/>
      <c r="Y1739" s="420"/>
      <c r="Z1739" s="1"/>
      <c r="AA1739" s="1"/>
      <c r="AB1739" s="1"/>
      <c r="AC1739" s="1"/>
      <c r="AD1739" s="1"/>
    </row>
    <row r="1740" spans="17:30">
      <c r="Q1740" s="6">
        <v>1710</v>
      </c>
      <c r="R1740" s="7">
        <v>44377</v>
      </c>
      <c r="S1740" s="210">
        <v>4.5</v>
      </c>
      <c r="T1740" s="8">
        <v>1.0001249999999999</v>
      </c>
      <c r="U1740" s="98">
        <v>4.3628166065022622</v>
      </c>
      <c r="V1740" s="106">
        <v>30587.825425296021</v>
      </c>
      <c r="W1740" s="10">
        <v>1.0107063912754066</v>
      </c>
      <c r="X1740" s="420"/>
      <c r="Y1740" s="420"/>
      <c r="Z1740" s="1"/>
      <c r="AA1740" s="1"/>
      <c r="AB1740" s="1"/>
      <c r="AC1740" s="1"/>
      <c r="AD1740" s="1"/>
    </row>
    <row r="1741" spans="17:30">
      <c r="Q1741" s="6">
        <v>1711</v>
      </c>
      <c r="R1741" s="7">
        <v>44378</v>
      </c>
      <c r="S1741" s="210">
        <v>4.5</v>
      </c>
      <c r="T1741" s="8">
        <v>1.0001249999999999</v>
      </c>
      <c r="U1741" s="98">
        <v>4.3629946447047763</v>
      </c>
      <c r="V1741" s="106">
        <v>30590.456093707555</v>
      </c>
      <c r="W1741" s="10">
        <v>1.0109529139038065</v>
      </c>
      <c r="X1741" s="420"/>
      <c r="Y1741" s="420"/>
      <c r="Z1741" s="1"/>
      <c r="AA1741" s="1"/>
      <c r="AB1741" s="1"/>
      <c r="AC1741" s="1"/>
      <c r="AD1741" s="1"/>
    </row>
    <row r="1742" spans="17:30">
      <c r="Q1742" s="6">
        <v>1712</v>
      </c>
      <c r="R1742" s="7">
        <v>44379</v>
      </c>
      <c r="S1742" s="210">
        <v>4.5</v>
      </c>
      <c r="T1742" s="8">
        <v>1.0001249999999999</v>
      </c>
      <c r="U1742" s="98">
        <v>4.3631724752219325</v>
      </c>
      <c r="V1742" s="106">
        <v>30593.086988366496</v>
      </c>
      <c r="W1742" s="10">
        <v>1.0111991491390748</v>
      </c>
      <c r="X1742" s="420"/>
      <c r="Y1742" s="420"/>
      <c r="Z1742" s="1"/>
      <c r="AA1742" s="1"/>
      <c r="AB1742" s="1"/>
      <c r="AC1742" s="1"/>
      <c r="AD1742" s="1"/>
    </row>
    <row r="1743" spans="17:30">
      <c r="Q1743" s="6">
        <v>1713</v>
      </c>
      <c r="R1743" s="7">
        <v>44380</v>
      </c>
      <c r="S1743" s="210">
        <v>4.5</v>
      </c>
      <c r="T1743" s="8">
        <v>1.0001249999999999</v>
      </c>
      <c r="U1743" s="98">
        <v>4.3633500984169293</v>
      </c>
      <c r="V1743" s="106">
        <v>30595.718109292306</v>
      </c>
      <c r="W1743" s="10">
        <v>1.011445097483521</v>
      </c>
      <c r="X1743" s="420"/>
      <c r="Y1743" s="420"/>
      <c r="Z1743" s="1"/>
      <c r="AA1743" s="1"/>
      <c r="AB1743" s="1"/>
      <c r="AC1743" s="1"/>
      <c r="AD1743" s="1"/>
    </row>
    <row r="1744" spans="17:30">
      <c r="Q1744" s="6">
        <v>1714</v>
      </c>
      <c r="R1744" s="7">
        <v>44381</v>
      </c>
      <c r="S1744" s="210">
        <v>4.5</v>
      </c>
      <c r="T1744" s="8">
        <v>1.0001249999999999</v>
      </c>
      <c r="U1744" s="98">
        <v>4.3635275146520991</v>
      </c>
      <c r="V1744" s="106">
        <v>30598.349456504449</v>
      </c>
      <c r="W1744" s="10">
        <v>1.0116907594381663</v>
      </c>
      <c r="X1744" s="420"/>
      <c r="Y1744" s="420"/>
      <c r="Z1744" s="1"/>
      <c r="AA1744" s="1"/>
      <c r="AB1744" s="1"/>
      <c r="AC1744" s="1"/>
      <c r="AD1744" s="1"/>
    </row>
    <row r="1745" spans="17:30">
      <c r="Q1745" s="6">
        <v>1715</v>
      </c>
      <c r="R1745" s="7">
        <v>44382</v>
      </c>
      <c r="S1745" s="210">
        <v>4.5</v>
      </c>
      <c r="T1745" s="8">
        <v>1.0001249999999999</v>
      </c>
      <c r="U1745" s="98">
        <v>4.3637047242889526</v>
      </c>
      <c r="V1745" s="106">
        <v>30600.981030022373</v>
      </c>
      <c r="W1745" s="10">
        <v>1.011936135503011</v>
      </c>
      <c r="X1745" s="420"/>
      <c r="Y1745" s="420"/>
      <c r="Z1745" s="1"/>
      <c r="AA1745" s="1"/>
      <c r="AB1745" s="1"/>
      <c r="AC1745" s="1"/>
      <c r="AD1745" s="1"/>
    </row>
    <row r="1746" spans="17:30">
      <c r="Q1746" s="6">
        <v>1716</v>
      </c>
      <c r="R1746" s="7">
        <v>44383</v>
      </c>
      <c r="S1746" s="210">
        <v>4.5</v>
      </c>
      <c r="T1746" s="8">
        <v>1.0001249999999999</v>
      </c>
      <c r="U1746" s="98">
        <v>4.3638817276881348</v>
      </c>
      <c r="V1746" s="106">
        <v>30603.612829865557</v>
      </c>
      <c r="W1746" s="10">
        <v>1.0121812261767449</v>
      </c>
      <c r="X1746" s="420"/>
      <c r="Y1746" s="420"/>
      <c r="Z1746" s="1"/>
      <c r="AA1746" s="1"/>
      <c r="AB1746" s="1"/>
      <c r="AC1746" s="1"/>
      <c r="AD1746" s="1"/>
    </row>
    <row r="1747" spans="17:30">
      <c r="Q1747" s="6">
        <v>1717</v>
      </c>
      <c r="R1747" s="7">
        <v>44384</v>
      </c>
      <c r="S1747" s="210">
        <v>4.5</v>
      </c>
      <c r="T1747" s="8">
        <v>1.0001249999999999</v>
      </c>
      <c r="U1747" s="98">
        <v>4.3640585252094688</v>
      </c>
      <c r="V1747" s="106">
        <v>30606.244856053454</v>
      </c>
      <c r="W1747" s="10">
        <v>1.0124260319570366</v>
      </c>
      <c r="X1747" s="420"/>
      <c r="Y1747" s="420"/>
      <c r="Z1747" s="1"/>
      <c r="AA1747" s="1"/>
      <c r="AB1747" s="1"/>
      <c r="AC1747" s="1"/>
      <c r="AD1747" s="1"/>
    </row>
    <row r="1748" spans="17:30">
      <c r="Q1748" s="6">
        <v>1718</v>
      </c>
      <c r="R1748" s="7">
        <v>44385</v>
      </c>
      <c r="S1748" s="210">
        <v>4.5</v>
      </c>
      <c r="T1748" s="8">
        <v>1.0001249999999999</v>
      </c>
      <c r="U1748" s="98">
        <v>4.3642351172119564</v>
      </c>
      <c r="V1748" s="106">
        <v>30608.877108605535</v>
      </c>
      <c r="W1748" s="10">
        <v>1.0126705533403335</v>
      </c>
      <c r="X1748" s="420"/>
      <c r="Y1748" s="420"/>
      <c r="Z1748" s="1"/>
      <c r="AA1748" s="1"/>
      <c r="AB1748" s="1"/>
      <c r="AC1748" s="1"/>
      <c r="AD1748" s="1"/>
    </row>
    <row r="1749" spans="17:30">
      <c r="Q1749" s="6">
        <v>1719</v>
      </c>
      <c r="R1749" s="7">
        <v>44386</v>
      </c>
      <c r="S1749" s="210">
        <v>4.5</v>
      </c>
      <c r="T1749" s="8">
        <v>1.0001249999999999</v>
      </c>
      <c r="U1749" s="98">
        <v>4.3644115040537335</v>
      </c>
      <c r="V1749" s="106">
        <v>30611.509587541274</v>
      </c>
      <c r="W1749" s="10">
        <v>1.0129147908219061</v>
      </c>
      <c r="X1749" s="420"/>
      <c r="Y1749" s="420"/>
      <c r="Z1749" s="1"/>
      <c r="AA1749" s="1"/>
      <c r="AB1749" s="1"/>
      <c r="AC1749" s="1"/>
      <c r="AD1749" s="1"/>
    </row>
    <row r="1750" spans="17:30">
      <c r="Q1750" s="6">
        <v>1720</v>
      </c>
      <c r="R1750" s="7">
        <v>44387</v>
      </c>
      <c r="S1750" s="210">
        <v>4.5</v>
      </c>
      <c r="T1750" s="8">
        <v>1.0001249999999999</v>
      </c>
      <c r="U1750" s="98">
        <v>4.3645876860921362</v>
      </c>
      <c r="V1750" s="106">
        <v>30614.057363367392</v>
      </c>
      <c r="W1750" s="10">
        <v>1.0132182123896882</v>
      </c>
      <c r="X1750" s="420"/>
      <c r="Y1750" s="420"/>
      <c r="Z1750" s="1"/>
      <c r="AA1750" s="1"/>
      <c r="AB1750" s="1"/>
      <c r="AC1750" s="1"/>
      <c r="AD1750" s="1"/>
    </row>
    <row r="1751" spans="17:30">
      <c r="Q1751" s="6">
        <v>1721</v>
      </c>
      <c r="R1751" s="7">
        <v>44388</v>
      </c>
      <c r="S1751" s="210">
        <v>4.5</v>
      </c>
      <c r="T1751" s="8">
        <v>1.0001249999999999</v>
      </c>
      <c r="U1751" s="98">
        <v>4.3647636636836351</v>
      </c>
      <c r="V1751" s="106">
        <v>30616.605351243219</v>
      </c>
      <c r="W1751" s="10">
        <v>1.0135212822565354</v>
      </c>
      <c r="X1751" s="420"/>
      <c r="Y1751" s="420"/>
      <c r="Z1751" s="1"/>
      <c r="AA1751" s="1"/>
      <c r="AB1751" s="1"/>
      <c r="AC1751" s="1"/>
      <c r="AD1751" s="1"/>
    </row>
    <row r="1752" spans="17:30">
      <c r="Q1752" s="6">
        <v>1722</v>
      </c>
      <c r="R1752" s="7">
        <v>44389</v>
      </c>
      <c r="S1752" s="210">
        <v>4.5</v>
      </c>
      <c r="T1752" s="8">
        <v>1.0001249999999999</v>
      </c>
      <c r="U1752" s="98">
        <v>4.3649394371839012</v>
      </c>
      <c r="V1752" s="106">
        <v>30619.153551186399</v>
      </c>
      <c r="W1752" s="10">
        <v>1.0138240010335586</v>
      </c>
      <c r="X1752" s="420"/>
      <c r="Y1752" s="420"/>
      <c r="Z1752" s="1"/>
      <c r="AA1752" s="1"/>
      <c r="AB1752" s="1"/>
      <c r="AC1752" s="1"/>
      <c r="AD1752" s="1"/>
    </row>
    <row r="1753" spans="17:30">
      <c r="Q1753" s="6">
        <v>1723</v>
      </c>
      <c r="R1753" s="7">
        <v>44390</v>
      </c>
      <c r="S1753" s="210">
        <v>4.5</v>
      </c>
      <c r="T1753" s="8">
        <v>1.0001249999999999</v>
      </c>
      <c r="U1753" s="98">
        <v>4.365115006947784</v>
      </c>
      <c r="V1753" s="106">
        <v>30621.701963214589</v>
      </c>
      <c r="W1753" s="10">
        <v>1.0141263693305369</v>
      </c>
      <c r="X1753" s="420"/>
      <c r="Y1753" s="420"/>
      <c r="Z1753" s="1"/>
      <c r="AA1753" s="1"/>
      <c r="AB1753" s="1"/>
      <c r="AC1753" s="1"/>
      <c r="AD1753" s="1"/>
    </row>
    <row r="1754" spans="17:30">
      <c r="Q1754" s="6">
        <v>1724</v>
      </c>
      <c r="R1754" s="7">
        <v>44391</v>
      </c>
      <c r="S1754" s="210">
        <v>4.5</v>
      </c>
      <c r="T1754" s="8">
        <v>1.0001249999999999</v>
      </c>
      <c r="U1754" s="98">
        <v>4.3652903733292892</v>
      </c>
      <c r="V1754" s="106">
        <v>30624.250587345436</v>
      </c>
      <c r="W1754" s="10">
        <v>1.014428387755717</v>
      </c>
      <c r="X1754" s="420"/>
      <c r="Y1754" s="420"/>
      <c r="Z1754" s="1"/>
      <c r="AA1754" s="1"/>
      <c r="AB1754" s="1"/>
      <c r="AC1754" s="1"/>
      <c r="AD1754" s="1"/>
    </row>
    <row r="1755" spans="17:30">
      <c r="Q1755" s="6">
        <v>1725</v>
      </c>
      <c r="R1755" s="7">
        <v>44392</v>
      </c>
      <c r="S1755" s="210">
        <v>4.5</v>
      </c>
      <c r="T1755" s="8">
        <v>1.0001249999999999</v>
      </c>
      <c r="U1755" s="98">
        <v>4.3654655366816009</v>
      </c>
      <c r="V1755" s="106">
        <v>30626.799423596596</v>
      </c>
      <c r="W1755" s="10">
        <v>1.0147300569160356</v>
      </c>
      <c r="X1755" s="420"/>
      <c r="Y1755" s="420"/>
      <c r="Z1755" s="1"/>
      <c r="AA1755" s="1"/>
      <c r="AB1755" s="1"/>
      <c r="AC1755" s="1"/>
      <c r="AD1755" s="1"/>
    </row>
    <row r="1756" spans="17:30">
      <c r="Q1756" s="6">
        <v>1726</v>
      </c>
      <c r="R1756" s="7">
        <v>44393</v>
      </c>
      <c r="S1756" s="210">
        <v>4.5</v>
      </c>
      <c r="T1756" s="8">
        <v>1.0001249999999999</v>
      </c>
      <c r="U1756" s="98">
        <v>4.3656404973571039</v>
      </c>
      <c r="V1756" s="106">
        <v>30629.348471985722</v>
      </c>
      <c r="W1756" s="10">
        <v>1.0150313774169861</v>
      </c>
      <c r="X1756" s="420"/>
      <c r="Y1756" s="420"/>
      <c r="Z1756" s="1"/>
      <c r="AA1756" s="1"/>
      <c r="AB1756" s="1"/>
      <c r="AC1756" s="1"/>
      <c r="AD1756" s="1"/>
    </row>
    <row r="1757" spans="17:30">
      <c r="Q1757" s="6">
        <v>1727</v>
      </c>
      <c r="R1757" s="7">
        <v>44394</v>
      </c>
      <c r="S1757" s="210">
        <v>4.5</v>
      </c>
      <c r="T1757" s="8">
        <v>1.0001249999999999</v>
      </c>
      <c r="U1757" s="98">
        <v>4.3658152557073837</v>
      </c>
      <c r="V1757" s="106">
        <v>30631.89773253047</v>
      </c>
      <c r="W1757" s="10">
        <v>1.0153323498626854</v>
      </c>
      <c r="X1757" s="420"/>
      <c r="Y1757" s="420"/>
      <c r="Z1757" s="1"/>
      <c r="AA1757" s="1"/>
      <c r="AB1757" s="1"/>
      <c r="AC1757" s="1"/>
      <c r="AD1757" s="1"/>
    </row>
    <row r="1758" spans="17:30">
      <c r="Q1758" s="6">
        <v>1728</v>
      </c>
      <c r="R1758" s="7">
        <v>44395</v>
      </c>
      <c r="S1758" s="210">
        <v>4.5</v>
      </c>
      <c r="T1758" s="8">
        <v>1.0001249999999999</v>
      </c>
      <c r="U1758" s="98">
        <v>4.3659898120831819</v>
      </c>
      <c r="V1758" s="106">
        <v>30634.447205248493</v>
      </c>
      <c r="W1758" s="10">
        <v>1.0156329748558512</v>
      </c>
      <c r="X1758" s="420"/>
      <c r="Y1758" s="420"/>
      <c r="Z1758" s="1"/>
      <c r="AA1758" s="1"/>
      <c r="AB1758" s="1"/>
      <c r="AC1758" s="1"/>
      <c r="AD1758" s="1"/>
    </row>
    <row r="1759" spans="17:30">
      <c r="Q1759" s="6">
        <v>1729</v>
      </c>
      <c r="R1759" s="7">
        <v>44396</v>
      </c>
      <c r="S1759" s="210">
        <v>4.5</v>
      </c>
      <c r="T1759" s="8">
        <v>1.0001249999999999</v>
      </c>
      <c r="U1759" s="98">
        <v>4.3661641668344187</v>
      </c>
      <c r="V1759" s="106">
        <v>30636.996890157461</v>
      </c>
      <c r="W1759" s="10">
        <v>1.0159332529977583</v>
      </c>
      <c r="X1759" s="420"/>
      <c r="Y1759" s="420"/>
      <c r="Z1759" s="1"/>
      <c r="AA1759" s="1"/>
      <c r="AB1759" s="1"/>
      <c r="AC1759" s="1"/>
      <c r="AD1759" s="1"/>
    </row>
    <row r="1760" spans="17:30">
      <c r="Q1760" s="6">
        <v>1730</v>
      </c>
      <c r="R1760" s="7">
        <v>44397</v>
      </c>
      <c r="S1760" s="210">
        <v>4.5</v>
      </c>
      <c r="T1760" s="8">
        <v>1.0001249999999999</v>
      </c>
      <c r="U1760" s="98">
        <v>4.366338320310259</v>
      </c>
      <c r="V1760" s="106">
        <v>30639.546787275031</v>
      </c>
      <c r="W1760" s="10">
        <v>1.016233184888371</v>
      </c>
      <c r="X1760" s="420"/>
      <c r="Y1760" s="420"/>
      <c r="Z1760" s="1"/>
      <c r="AA1760" s="1"/>
      <c r="AB1760" s="1"/>
      <c r="AC1760" s="1"/>
      <c r="AD1760" s="1"/>
    </row>
    <row r="1761" spans="17:30">
      <c r="Q1761" s="6">
        <v>1731</v>
      </c>
      <c r="R1761" s="7">
        <v>44398</v>
      </c>
      <c r="S1761" s="210">
        <v>4.5</v>
      </c>
      <c r="T1761" s="8">
        <v>1.0001249999999999</v>
      </c>
      <c r="U1761" s="98">
        <v>4.3665122728590022</v>
      </c>
      <c r="V1761" s="106">
        <v>30642.096896618852</v>
      </c>
      <c r="W1761" s="10">
        <v>1.0165327711262107</v>
      </c>
      <c r="X1761" s="420"/>
      <c r="Y1761" s="420"/>
      <c r="Z1761" s="1"/>
      <c r="AA1761" s="1"/>
      <c r="AB1761" s="1"/>
      <c r="AC1761" s="1"/>
      <c r="AD1761" s="1"/>
    </row>
    <row r="1762" spans="17:30">
      <c r="Q1762" s="6">
        <v>1732</v>
      </c>
      <c r="R1762" s="7">
        <v>44399</v>
      </c>
      <c r="S1762" s="210">
        <v>4.5</v>
      </c>
      <c r="T1762" s="8">
        <v>1.0001249999999999</v>
      </c>
      <c r="U1762" s="98">
        <v>4.3666860248281925</v>
      </c>
      <c r="V1762" s="106">
        <v>30644.64721820661</v>
      </c>
      <c r="W1762" s="10">
        <v>1.0168320123084884</v>
      </c>
      <c r="X1762" s="420"/>
      <c r="Y1762" s="420"/>
      <c r="Z1762" s="1"/>
      <c r="AA1762" s="1"/>
      <c r="AB1762" s="1"/>
      <c r="AC1762" s="1"/>
      <c r="AD1762" s="1"/>
    </row>
    <row r="1763" spans="17:30">
      <c r="Q1763" s="6">
        <v>1733</v>
      </c>
      <c r="R1763" s="7">
        <v>44400</v>
      </c>
      <c r="S1763" s="210">
        <v>4.5</v>
      </c>
      <c r="T1763" s="8">
        <v>1.0001249999999999</v>
      </c>
      <c r="U1763" s="98">
        <v>4.3668595765645302</v>
      </c>
      <c r="V1763" s="106">
        <v>30647.197752055949</v>
      </c>
      <c r="W1763" s="10">
        <v>1.0171309090309499</v>
      </c>
      <c r="X1763" s="420"/>
      <c r="Y1763" s="420"/>
      <c r="Z1763" s="1"/>
      <c r="AA1763" s="1"/>
      <c r="AB1763" s="1"/>
      <c r="AC1763" s="1"/>
      <c r="AD1763" s="1"/>
    </row>
    <row r="1764" spans="17:30">
      <c r="Q1764" s="6">
        <v>1734</v>
      </c>
      <c r="R1764" s="7">
        <v>44401</v>
      </c>
      <c r="S1764" s="210">
        <v>4.5</v>
      </c>
      <c r="T1764" s="8">
        <v>1.0001249999999999</v>
      </c>
      <c r="U1764" s="98">
        <v>4.3670329284139608</v>
      </c>
      <c r="V1764" s="106">
        <v>30649.748498184548</v>
      </c>
      <c r="W1764" s="10">
        <v>1.0174294618880531</v>
      </c>
      <c r="X1764" s="420"/>
      <c r="Y1764" s="420"/>
      <c r="Z1764" s="1"/>
      <c r="AA1764" s="1"/>
      <c r="AB1764" s="1"/>
      <c r="AC1764" s="1"/>
      <c r="AD1764" s="1"/>
    </row>
    <row r="1765" spans="17:30">
      <c r="Q1765" s="6">
        <v>1735</v>
      </c>
      <c r="R1765" s="7">
        <v>44402</v>
      </c>
      <c r="S1765" s="210">
        <v>4.5</v>
      </c>
      <c r="T1765" s="8">
        <v>1.0001249999999999</v>
      </c>
      <c r="U1765" s="98">
        <v>4.3672060807216084</v>
      </c>
      <c r="V1765" s="106">
        <v>30652.299456610068</v>
      </c>
      <c r="W1765" s="10">
        <v>1.0177276714728567</v>
      </c>
      <c r="X1765" s="420"/>
      <c r="Y1765" s="420"/>
      <c r="Z1765" s="1"/>
      <c r="AA1765" s="1"/>
      <c r="AB1765" s="1"/>
      <c r="AC1765" s="1"/>
      <c r="AD1765" s="1"/>
    </row>
    <row r="1766" spans="17:30">
      <c r="Q1766" s="6">
        <v>1736</v>
      </c>
      <c r="R1766" s="7">
        <v>44403</v>
      </c>
      <c r="S1766" s="210">
        <v>4.5</v>
      </c>
      <c r="T1766" s="8">
        <v>1.0001249999999999</v>
      </c>
      <c r="U1766" s="98">
        <v>4.3673790338317975</v>
      </c>
      <c r="V1766" s="106">
        <v>30654.850627350181</v>
      </c>
      <c r="W1766" s="10">
        <v>1.0180255383770209</v>
      </c>
      <c r="X1766" s="420"/>
      <c r="Y1766" s="420"/>
      <c r="Z1766" s="1"/>
      <c r="AA1766" s="1"/>
      <c r="AB1766" s="1"/>
      <c r="AC1766" s="1"/>
      <c r="AD1766" s="1"/>
    </row>
    <row r="1767" spans="17:30">
      <c r="Q1767" s="6">
        <v>1737</v>
      </c>
      <c r="R1767" s="7">
        <v>44404</v>
      </c>
      <c r="S1767" s="210">
        <v>4.5</v>
      </c>
      <c r="T1767" s="8">
        <v>1.0001249999999999</v>
      </c>
      <c r="U1767" s="98">
        <v>4.3675517880880976</v>
      </c>
      <c r="V1767" s="106">
        <v>30657.402010422564</v>
      </c>
      <c r="W1767" s="10">
        <v>1.0183230631909179</v>
      </c>
      <c r="X1767" s="420"/>
      <c r="Y1767" s="420"/>
      <c r="Z1767" s="1"/>
      <c r="AA1767" s="1"/>
      <c r="AB1767" s="1"/>
      <c r="AC1767" s="1"/>
      <c r="AD1767" s="1"/>
    </row>
    <row r="1768" spans="17:30">
      <c r="Q1768" s="6">
        <v>1738</v>
      </c>
      <c r="R1768" s="7">
        <v>44405</v>
      </c>
      <c r="S1768" s="210">
        <v>4.5</v>
      </c>
      <c r="T1768" s="8">
        <v>1.0001249999999999</v>
      </c>
      <c r="U1768" s="98">
        <v>4.3677243438332347</v>
      </c>
      <c r="V1768" s="106">
        <v>30659.953605844879</v>
      </c>
      <c r="W1768" s="10">
        <v>1.0186202465034988</v>
      </c>
      <c r="X1768" s="420"/>
      <c r="Y1768" s="420"/>
      <c r="Z1768" s="1"/>
      <c r="AA1768" s="1"/>
      <c r="AB1768" s="1"/>
      <c r="AC1768" s="1"/>
      <c r="AD1768" s="1"/>
    </row>
    <row r="1769" spans="17:30">
      <c r="Q1769" s="6">
        <v>1739</v>
      </c>
      <c r="R1769" s="7">
        <v>44406</v>
      </c>
      <c r="S1769" s="210">
        <v>4.5</v>
      </c>
      <c r="T1769" s="8">
        <v>1.0001249999999999</v>
      </c>
      <c r="U1769" s="98">
        <v>4.3678967014091796</v>
      </c>
      <c r="V1769" s="106">
        <v>30662.505413634804</v>
      </c>
      <c r="W1769" s="10">
        <v>1.0189170889024046</v>
      </c>
      <c r="X1769" s="420"/>
      <c r="Y1769" s="420"/>
      <c r="Z1769" s="1"/>
      <c r="AA1769" s="1"/>
      <c r="AB1769" s="1"/>
      <c r="AC1769" s="1"/>
      <c r="AD1769" s="1"/>
    </row>
    <row r="1770" spans="17:30">
      <c r="Q1770" s="6">
        <v>1740</v>
      </c>
      <c r="R1770" s="7">
        <v>44407</v>
      </c>
      <c r="S1770" s="210">
        <v>4.5</v>
      </c>
      <c r="T1770" s="8">
        <v>1.0001249999999999</v>
      </c>
      <c r="U1770" s="98">
        <v>4.3680688611571261</v>
      </c>
      <c r="V1770" s="106">
        <v>30665.057433810012</v>
      </c>
      <c r="W1770" s="10">
        <v>1.0192135909739442</v>
      </c>
      <c r="X1770" s="420"/>
      <c r="Y1770" s="420"/>
      <c r="Z1770" s="1"/>
      <c r="AA1770" s="1"/>
      <c r="AB1770" s="1"/>
      <c r="AC1770" s="1"/>
      <c r="AD1770" s="1"/>
    </row>
    <row r="1771" spans="17:30">
      <c r="Q1771" s="6">
        <v>1741</v>
      </c>
      <c r="R1771" s="7">
        <v>44408</v>
      </c>
      <c r="S1771" s="210">
        <v>4.5</v>
      </c>
      <c r="T1771" s="8">
        <v>1.0001249999999999</v>
      </c>
      <c r="U1771" s="98">
        <v>4.3682408234174464</v>
      </c>
      <c r="V1771" s="106">
        <v>30667.609666388187</v>
      </c>
      <c r="W1771" s="10">
        <v>1.0195097533029829</v>
      </c>
      <c r="X1771" s="420"/>
      <c r="Y1771" s="420"/>
      <c r="Z1771" s="1"/>
      <c r="AA1771" s="1"/>
      <c r="AB1771" s="1"/>
      <c r="AC1771" s="1"/>
      <c r="AD1771" s="1"/>
    </row>
    <row r="1772" spans="17:30">
      <c r="Q1772" s="6">
        <v>1742</v>
      </c>
      <c r="R1772" s="7">
        <v>44409</v>
      </c>
      <c r="S1772" s="210">
        <v>4.5</v>
      </c>
      <c r="T1772" s="8">
        <v>1.0001249999999999</v>
      </c>
      <c r="U1772" s="98">
        <v>4.3684125885297798</v>
      </c>
      <c r="V1772" s="106">
        <v>30670.162111386999</v>
      </c>
      <c r="W1772" s="10">
        <v>1.0198055764731873</v>
      </c>
      <c r="X1772" s="420"/>
      <c r="Y1772" s="420"/>
      <c r="Z1772" s="1"/>
      <c r="AA1772" s="1"/>
      <c r="AB1772" s="1"/>
      <c r="AC1772" s="1"/>
      <c r="AD1772" s="1"/>
    </row>
    <row r="1773" spans="17:30">
      <c r="Q1773" s="6">
        <v>1743</v>
      </c>
      <c r="R1773" s="7">
        <v>44410</v>
      </c>
      <c r="S1773" s="210">
        <v>4.5</v>
      </c>
      <c r="T1773" s="8">
        <v>1.0001249999999999</v>
      </c>
      <c r="U1773" s="98">
        <v>4.3685841568329664</v>
      </c>
      <c r="V1773" s="106">
        <v>30672.714768824138</v>
      </c>
      <c r="W1773" s="10">
        <v>1.0201010610668027</v>
      </c>
      <c r="X1773" s="420"/>
      <c r="Y1773" s="420"/>
      <c r="Z1773" s="1"/>
      <c r="AA1773" s="1"/>
      <c r="AB1773" s="1"/>
      <c r="AC1773" s="1"/>
      <c r="AD1773" s="1"/>
    </row>
    <row r="1774" spans="17:30">
      <c r="Q1774" s="6">
        <v>1744</v>
      </c>
      <c r="R1774" s="7">
        <v>44411</v>
      </c>
      <c r="S1774" s="210">
        <v>4.5</v>
      </c>
      <c r="T1774" s="8">
        <v>1.0001249999999999</v>
      </c>
      <c r="U1774" s="98">
        <v>4.3687555286650692</v>
      </c>
      <c r="V1774" s="106">
        <v>30675.267638717269</v>
      </c>
      <c r="W1774" s="10">
        <v>1.0203962076647421</v>
      </c>
      <c r="X1774" s="420"/>
      <c r="Y1774" s="420"/>
      <c r="Z1774" s="1"/>
      <c r="AA1774" s="1"/>
      <c r="AB1774" s="1"/>
      <c r="AC1774" s="1"/>
      <c r="AD1774" s="1"/>
    </row>
    <row r="1775" spans="17:30">
      <c r="Q1775" s="6">
        <v>1745</v>
      </c>
      <c r="R1775" s="7">
        <v>44412</v>
      </c>
      <c r="S1775" s="210">
        <v>4.5</v>
      </c>
      <c r="T1775" s="8">
        <v>1.0001249999999999</v>
      </c>
      <c r="U1775" s="98">
        <v>4.3689267043633517</v>
      </c>
      <c r="V1775" s="106">
        <v>30677.820721084085</v>
      </c>
      <c r="W1775" s="10">
        <v>1.0206910168466088</v>
      </c>
      <c r="X1775" s="420"/>
      <c r="Y1775" s="420"/>
      <c r="Z1775" s="1"/>
      <c r="AA1775" s="1"/>
      <c r="AB1775" s="1"/>
      <c r="AC1775" s="1"/>
      <c r="AD1775" s="1"/>
    </row>
    <row r="1776" spans="17:30">
      <c r="Q1776" s="6">
        <v>1746</v>
      </c>
      <c r="R1776" s="7">
        <v>44413</v>
      </c>
      <c r="S1776" s="210">
        <v>4.5</v>
      </c>
      <c r="T1776" s="8">
        <v>1.0001249999999999</v>
      </c>
      <c r="U1776" s="98">
        <v>4.369097684264367</v>
      </c>
      <c r="V1776" s="106">
        <v>30680.374015942274</v>
      </c>
      <c r="W1776" s="10">
        <v>1.0209854891906955</v>
      </c>
      <c r="X1776" s="420"/>
      <c r="Y1776" s="420"/>
      <c r="Z1776" s="1"/>
      <c r="AA1776" s="1"/>
      <c r="AB1776" s="1"/>
      <c r="AC1776" s="1"/>
      <c r="AD1776" s="1"/>
    </row>
    <row r="1777" spans="17:30">
      <c r="Q1777" s="6">
        <v>1747</v>
      </c>
      <c r="R1777" s="7">
        <v>44414</v>
      </c>
      <c r="S1777" s="210">
        <v>4.5</v>
      </c>
      <c r="T1777" s="8">
        <v>1.0001249999999999</v>
      </c>
      <c r="U1777" s="98">
        <v>4.3692684687038463</v>
      </c>
      <c r="V1777" s="106">
        <v>30682.927523309514</v>
      </c>
      <c r="W1777" s="10">
        <v>1.0212796252739409</v>
      </c>
      <c r="X1777" s="420"/>
      <c r="Y1777" s="420"/>
      <c r="Z1777" s="1"/>
      <c r="AA1777" s="1"/>
      <c r="AB1777" s="1"/>
      <c r="AC1777" s="1"/>
      <c r="AD1777" s="1"/>
    </row>
    <row r="1778" spans="17:30">
      <c r="Q1778" s="6">
        <v>1748</v>
      </c>
      <c r="R1778" s="7">
        <v>44415</v>
      </c>
      <c r="S1778" s="210">
        <v>4.5</v>
      </c>
      <c r="T1778" s="8">
        <v>1.0001249999999999</v>
      </c>
      <c r="U1778" s="98">
        <v>4.3694390580167664</v>
      </c>
      <c r="V1778" s="106">
        <v>30685.481243203492</v>
      </c>
      <c r="W1778" s="10">
        <v>1.0215734256719955</v>
      </c>
      <c r="X1778" s="420"/>
      <c r="Y1778" s="420"/>
      <c r="Z1778" s="1"/>
      <c r="AA1778" s="1"/>
      <c r="AB1778" s="1"/>
      <c r="AC1778" s="1"/>
      <c r="AD1778" s="1"/>
    </row>
    <row r="1779" spans="17:30">
      <c r="Q1779" s="6">
        <v>1749</v>
      </c>
      <c r="R1779" s="7">
        <v>44416</v>
      </c>
      <c r="S1779" s="210">
        <v>4.5</v>
      </c>
      <c r="T1779" s="8">
        <v>1.0001249999999999</v>
      </c>
      <c r="U1779" s="98">
        <v>4.3696094525373486</v>
      </c>
      <c r="V1779" s="106">
        <v>30688.0351756419</v>
      </c>
      <c r="W1779" s="10">
        <v>1.0218668909591777</v>
      </c>
      <c r="X1779" s="420"/>
      <c r="Y1779" s="420"/>
      <c r="Z1779" s="1"/>
      <c r="AA1779" s="1"/>
      <c r="AB1779" s="1"/>
      <c r="AC1779" s="1"/>
      <c r="AD1779" s="1"/>
    </row>
    <row r="1780" spans="17:30">
      <c r="Q1780" s="6">
        <v>1750</v>
      </c>
      <c r="R1780" s="7">
        <v>44417</v>
      </c>
      <c r="S1780" s="210">
        <v>4.5</v>
      </c>
      <c r="T1780" s="8">
        <v>1.0001249999999999</v>
      </c>
      <c r="U1780" s="98">
        <v>4.3697796525990595</v>
      </c>
      <c r="V1780" s="106">
        <v>30690.589320642423</v>
      </c>
      <c r="W1780" s="10">
        <v>1.0221600217085181</v>
      </c>
      <c r="X1780" s="420"/>
      <c r="Y1780" s="420"/>
      <c r="Z1780" s="1"/>
      <c r="AA1780" s="1"/>
      <c r="AB1780" s="1"/>
      <c r="AC1780" s="1"/>
      <c r="AD1780" s="1"/>
    </row>
    <row r="1781" spans="17:30">
      <c r="Q1781" s="6">
        <v>1751</v>
      </c>
      <c r="R1781" s="7">
        <v>44418</v>
      </c>
      <c r="S1781" s="210">
        <v>4.5</v>
      </c>
      <c r="T1781" s="8">
        <v>1.0001249999999999</v>
      </c>
      <c r="U1781" s="98">
        <v>4.3699496585345665</v>
      </c>
      <c r="V1781" s="106">
        <v>30693.143678222757</v>
      </c>
      <c r="W1781" s="10">
        <v>1.0224528184917148</v>
      </c>
      <c r="X1781" s="420"/>
      <c r="Y1781" s="420"/>
      <c r="Z1781" s="1"/>
      <c r="AA1781" s="1"/>
      <c r="AB1781" s="1"/>
      <c r="AC1781" s="1"/>
      <c r="AD1781" s="1"/>
    </row>
    <row r="1782" spans="17:30">
      <c r="Q1782" s="6">
        <v>1752</v>
      </c>
      <c r="R1782" s="7">
        <v>44419</v>
      </c>
      <c r="S1782" s="210">
        <v>4.5</v>
      </c>
      <c r="T1782" s="8">
        <v>1.0001249999999999</v>
      </c>
      <c r="U1782" s="98">
        <v>4.3701194706758262</v>
      </c>
      <c r="V1782" s="106">
        <v>30695.698248400597</v>
      </c>
      <c r="W1782" s="10">
        <v>1.0227452818791782</v>
      </c>
      <c r="X1782" s="420"/>
      <c r="Y1782" s="420"/>
      <c r="Z1782" s="1"/>
      <c r="AA1782" s="1"/>
      <c r="AB1782" s="1"/>
      <c r="AC1782" s="1"/>
      <c r="AD1782" s="1"/>
    </row>
    <row r="1783" spans="17:30">
      <c r="Q1783" s="6">
        <v>1753</v>
      </c>
      <c r="R1783" s="7">
        <v>44420</v>
      </c>
      <c r="S1783" s="210">
        <v>4.5</v>
      </c>
      <c r="T1783" s="8">
        <v>1.0001249999999999</v>
      </c>
      <c r="U1783" s="98">
        <v>4.3702890893539958</v>
      </c>
      <c r="V1783" s="106">
        <v>30698.253031193632</v>
      </c>
      <c r="W1783" s="10">
        <v>1.023037412440031</v>
      </c>
      <c r="X1783" s="420"/>
      <c r="Y1783" s="420"/>
      <c r="Z1783" s="1"/>
      <c r="AA1783" s="1"/>
      <c r="AB1783" s="1"/>
      <c r="AC1783" s="1"/>
      <c r="AD1783" s="1"/>
    </row>
    <row r="1784" spans="17:30">
      <c r="Q1784" s="6">
        <v>1754</v>
      </c>
      <c r="R1784" s="7">
        <v>44421</v>
      </c>
      <c r="S1784" s="210">
        <v>4.5</v>
      </c>
      <c r="T1784" s="8">
        <v>1.0001249999999999</v>
      </c>
      <c r="U1784" s="98">
        <v>4.3704585148995223</v>
      </c>
      <c r="V1784" s="106">
        <v>30700.808026619561</v>
      </c>
      <c r="W1784" s="10">
        <v>1.0233292107420855</v>
      </c>
      <c r="X1784" s="420"/>
      <c r="Y1784" s="420"/>
      <c r="Z1784" s="1"/>
      <c r="AA1784" s="1"/>
      <c r="AB1784" s="1"/>
      <c r="AC1784" s="1"/>
      <c r="AD1784" s="1"/>
    </row>
    <row r="1785" spans="17:30">
      <c r="Q1785" s="6">
        <v>1755</v>
      </c>
      <c r="R1785" s="7">
        <v>44422</v>
      </c>
      <c r="S1785" s="210">
        <v>4.5</v>
      </c>
      <c r="T1785" s="8">
        <v>1.0001249999999999</v>
      </c>
      <c r="U1785" s="98">
        <v>4.370627747642053</v>
      </c>
      <c r="V1785" s="106">
        <v>30703.36323469608</v>
      </c>
      <c r="W1785" s="10">
        <v>1.0236206773518441</v>
      </c>
      <c r="X1785" s="420"/>
      <c r="Y1785" s="420"/>
      <c r="Z1785" s="1"/>
      <c r="AA1785" s="1"/>
      <c r="AB1785" s="1"/>
      <c r="AC1785" s="1"/>
      <c r="AD1785" s="1"/>
    </row>
    <row r="1786" spans="17:30">
      <c r="Q1786" s="6">
        <v>1756</v>
      </c>
      <c r="R1786" s="7">
        <v>44423</v>
      </c>
      <c r="S1786" s="210">
        <v>4.5</v>
      </c>
      <c r="T1786" s="8">
        <v>1.0001249999999999</v>
      </c>
      <c r="U1786" s="98">
        <v>4.3707967879105247</v>
      </c>
      <c r="V1786" s="106">
        <v>30705.918655440888</v>
      </c>
      <c r="W1786" s="10">
        <v>1.0239118128345659</v>
      </c>
      <c r="X1786" s="420"/>
      <c r="Y1786" s="420"/>
      <c r="Z1786" s="1"/>
      <c r="AA1786" s="1"/>
      <c r="AB1786" s="1"/>
      <c r="AC1786" s="1"/>
      <c r="AD1786" s="1"/>
    </row>
    <row r="1787" spans="17:30">
      <c r="Q1787" s="6">
        <v>1757</v>
      </c>
      <c r="R1787" s="7">
        <v>44424</v>
      </c>
      <c r="S1787" s="210">
        <v>4.5</v>
      </c>
      <c r="T1787" s="8">
        <v>1.0001249999999999</v>
      </c>
      <c r="U1787" s="98">
        <v>4.3709656360330973</v>
      </c>
      <c r="V1787" s="106">
        <v>30708.474288871686</v>
      </c>
      <c r="W1787" s="10">
        <v>1.0242026177541996</v>
      </c>
      <c r="X1787" s="420"/>
      <c r="Y1787" s="420"/>
      <c r="Z1787" s="1"/>
      <c r="AA1787" s="1"/>
      <c r="AB1787" s="1"/>
      <c r="AC1787" s="1"/>
      <c r="AD1787" s="1"/>
    </row>
    <row r="1788" spans="17:30">
      <c r="Q1788" s="6">
        <v>1758</v>
      </c>
      <c r="R1788" s="7">
        <v>44425</v>
      </c>
      <c r="S1788" s="210">
        <v>4.5</v>
      </c>
      <c r="T1788" s="8">
        <v>1.0001249999999999</v>
      </c>
      <c r="U1788" s="98">
        <v>4.3711342923372198</v>
      </c>
      <c r="V1788" s="106">
        <v>30711.030135006171</v>
      </c>
      <c r="W1788" s="10">
        <v>1.0244930926734286</v>
      </c>
      <c r="X1788" s="420"/>
      <c r="Y1788" s="420"/>
      <c r="Z1788" s="1"/>
      <c r="AA1788" s="1"/>
      <c r="AB1788" s="1"/>
      <c r="AC1788" s="1"/>
      <c r="AD1788" s="1"/>
    </row>
    <row r="1789" spans="17:30">
      <c r="Q1789" s="6">
        <v>1759</v>
      </c>
      <c r="R1789" s="7">
        <v>44426</v>
      </c>
      <c r="S1789" s="210">
        <v>4.5</v>
      </c>
      <c r="T1789" s="8">
        <v>1.0001249999999999</v>
      </c>
      <c r="U1789" s="98">
        <v>4.3713027571495644</v>
      </c>
      <c r="V1789" s="106">
        <v>30713.586193862055</v>
      </c>
      <c r="W1789" s="10">
        <v>1.0247832381536481</v>
      </c>
      <c r="X1789" s="420"/>
      <c r="Y1789" s="420"/>
      <c r="Z1789" s="1"/>
      <c r="AA1789" s="1"/>
      <c r="AB1789" s="1"/>
      <c r="AC1789" s="1"/>
      <c r="AD1789" s="1"/>
    </row>
    <row r="1790" spans="17:30">
      <c r="Q1790" s="6">
        <v>1760</v>
      </c>
      <c r="R1790" s="7">
        <v>44427</v>
      </c>
      <c r="S1790" s="210">
        <v>4.5</v>
      </c>
      <c r="T1790" s="8">
        <v>1.0001249999999999</v>
      </c>
      <c r="U1790" s="98">
        <v>4.3714710307960702</v>
      </c>
      <c r="V1790" s="106">
        <v>30716.142465457033</v>
      </c>
      <c r="W1790" s="10">
        <v>1.0250730547549658</v>
      </c>
      <c r="X1790" s="420"/>
      <c r="Y1790" s="420"/>
      <c r="Z1790" s="1"/>
      <c r="AA1790" s="1"/>
      <c r="AB1790" s="1"/>
      <c r="AC1790" s="1"/>
      <c r="AD1790" s="1"/>
    </row>
    <row r="1791" spans="17:30">
      <c r="Q1791" s="6">
        <v>1761</v>
      </c>
      <c r="R1791" s="7">
        <v>44428</v>
      </c>
      <c r="S1791" s="210">
        <v>4.5</v>
      </c>
      <c r="T1791" s="8">
        <v>1.0001249999999999</v>
      </c>
      <c r="U1791" s="98">
        <v>4.3716391136019661</v>
      </c>
      <c r="V1791" s="106">
        <v>30718.698949808826</v>
      </c>
      <c r="W1791" s="10">
        <v>1.0253625430362678</v>
      </c>
      <c r="X1791" s="420"/>
      <c r="Y1791" s="420"/>
      <c r="Z1791" s="1"/>
      <c r="AA1791" s="1"/>
      <c r="AB1791" s="1"/>
      <c r="AC1791" s="1"/>
      <c r="AD1791" s="1"/>
    </row>
    <row r="1792" spans="17:30">
      <c r="Q1792" s="6">
        <v>1762</v>
      </c>
      <c r="R1792" s="7">
        <v>44429</v>
      </c>
      <c r="S1792" s="210">
        <v>4.5</v>
      </c>
      <c r="T1792" s="8">
        <v>1.0001249999999999</v>
      </c>
      <c r="U1792" s="98">
        <v>4.3718070058917036</v>
      </c>
      <c r="V1792" s="106">
        <v>30721.255646935118</v>
      </c>
      <c r="W1792" s="10">
        <v>1.0256517035551527</v>
      </c>
      <c r="X1792" s="420"/>
      <c r="Y1792" s="420"/>
      <c r="Z1792" s="1"/>
      <c r="AA1792" s="1"/>
      <c r="AB1792" s="1"/>
      <c r="AC1792" s="1"/>
      <c r="AD1792" s="1"/>
    </row>
    <row r="1793" spans="17:30">
      <c r="Q1793" s="6">
        <v>1763</v>
      </c>
      <c r="R1793" s="7">
        <v>44430</v>
      </c>
      <c r="S1793" s="210">
        <v>4.5</v>
      </c>
      <c r="T1793" s="8">
        <v>1.0001249999999999</v>
      </c>
      <c r="U1793" s="98">
        <v>4.3719747079890015</v>
      </c>
      <c r="V1793" s="106">
        <v>30723.812556853642</v>
      </c>
      <c r="W1793" s="10">
        <v>1.0259405368679086</v>
      </c>
      <c r="X1793" s="420"/>
      <c r="Y1793" s="420"/>
      <c r="Z1793" s="1"/>
      <c r="AA1793" s="1"/>
      <c r="AB1793" s="1"/>
      <c r="AC1793" s="1"/>
      <c r="AD1793" s="1"/>
    </row>
    <row r="1794" spans="17:30">
      <c r="Q1794" s="6">
        <v>1764</v>
      </c>
      <c r="R1794" s="7">
        <v>44431</v>
      </c>
      <c r="S1794" s="210">
        <v>4.5</v>
      </c>
      <c r="T1794" s="8">
        <v>1.0001249999999999</v>
      </c>
      <c r="U1794" s="98">
        <v>4.372142220216868</v>
      </c>
      <c r="V1794" s="106">
        <v>30726.369679582094</v>
      </c>
      <c r="W1794" s="10">
        <v>1.0262290435296251</v>
      </c>
      <c r="X1794" s="420"/>
      <c r="Y1794" s="420"/>
      <c r="Z1794" s="1"/>
      <c r="AA1794" s="1"/>
      <c r="AB1794" s="1"/>
      <c r="AC1794" s="1"/>
      <c r="AD1794" s="1"/>
    </row>
    <row r="1795" spans="17:30">
      <c r="Q1795" s="6">
        <v>1765</v>
      </c>
      <c r="R1795" s="7">
        <v>44432</v>
      </c>
      <c r="S1795" s="210">
        <v>4.5</v>
      </c>
      <c r="T1795" s="8">
        <v>1.0001249999999999</v>
      </c>
      <c r="U1795" s="98">
        <v>4.3723095428975789</v>
      </c>
      <c r="V1795" s="106">
        <v>30728.927015138193</v>
      </c>
      <c r="W1795" s="10">
        <v>1.0265172240941478</v>
      </c>
      <c r="X1795" s="420"/>
      <c r="Y1795" s="420"/>
      <c r="Z1795" s="1"/>
      <c r="AA1795" s="1"/>
      <c r="AB1795" s="1"/>
      <c r="AC1795" s="1"/>
      <c r="AD1795" s="1"/>
    </row>
    <row r="1796" spans="17:30">
      <c r="Q1796" s="6">
        <v>1766</v>
      </c>
      <c r="R1796" s="7">
        <v>44433</v>
      </c>
      <c r="S1796" s="210">
        <v>4.5</v>
      </c>
      <c r="T1796" s="8">
        <v>1.0001249999999999</v>
      </c>
      <c r="U1796" s="98">
        <v>4.3724766763526546</v>
      </c>
      <c r="V1796" s="106">
        <v>30731.484563539645</v>
      </c>
      <c r="W1796" s="10">
        <v>1.0268050791139682</v>
      </c>
      <c r="X1796" s="420"/>
      <c r="Y1796" s="420"/>
      <c r="Z1796" s="1"/>
      <c r="AA1796" s="1"/>
      <c r="AB1796" s="1"/>
      <c r="AC1796" s="1"/>
      <c r="AD1796" s="1"/>
    </row>
    <row r="1797" spans="17:30">
      <c r="Q1797" s="6">
        <v>1767</v>
      </c>
      <c r="R1797" s="7">
        <v>44434</v>
      </c>
      <c r="S1797" s="210">
        <v>4.5</v>
      </c>
      <c r="T1797" s="8">
        <v>1.0001249999999999</v>
      </c>
      <c r="U1797" s="98">
        <v>4.3726436209029274</v>
      </c>
      <c r="V1797" s="106">
        <v>30734.04232480417</v>
      </c>
      <c r="W1797" s="10">
        <v>1.0270926091404897</v>
      </c>
      <c r="X1797" s="420"/>
      <c r="Y1797" s="420"/>
      <c r="Z1797" s="1"/>
      <c r="AA1797" s="1"/>
      <c r="AB1797" s="1"/>
      <c r="AC1797" s="1"/>
      <c r="AD1797" s="1"/>
    </row>
    <row r="1798" spans="17:30">
      <c r="Q1798" s="6">
        <v>1768</v>
      </c>
      <c r="R1798" s="7">
        <v>44435</v>
      </c>
      <c r="S1798" s="210">
        <v>4.5</v>
      </c>
      <c r="T1798" s="8">
        <v>1.0001249999999999</v>
      </c>
      <c r="U1798" s="98">
        <v>4.3728103768684745</v>
      </c>
      <c r="V1798" s="106">
        <v>30736.600298949492</v>
      </c>
      <c r="W1798" s="10">
        <v>1.0273798147237168</v>
      </c>
      <c r="X1798" s="420"/>
      <c r="Y1798" s="420"/>
      <c r="Z1798" s="1"/>
      <c r="AA1798" s="1"/>
      <c r="AB1798" s="1"/>
      <c r="AC1798" s="1"/>
      <c r="AD1798" s="1"/>
    </row>
    <row r="1799" spans="17:30">
      <c r="Q1799" s="6">
        <v>1769</v>
      </c>
      <c r="R1799" s="7">
        <v>44436</v>
      </c>
      <c r="S1799" s="210">
        <v>4.5</v>
      </c>
      <c r="T1799" s="8">
        <v>1.0001249999999999</v>
      </c>
      <c r="U1799" s="98">
        <v>4.3729769445686628</v>
      </c>
      <c r="V1799" s="106">
        <v>30739.158485993314</v>
      </c>
      <c r="W1799" s="10">
        <v>1.0276666964125214</v>
      </c>
      <c r="X1799" s="420"/>
      <c r="Y1799" s="420"/>
      <c r="Z1799" s="1"/>
      <c r="AA1799" s="1"/>
      <c r="AB1799" s="1"/>
      <c r="AC1799" s="1"/>
      <c r="AD1799" s="1"/>
    </row>
    <row r="1800" spans="17:30">
      <c r="Q1800" s="6">
        <v>1770</v>
      </c>
      <c r="R1800" s="7">
        <v>44437</v>
      </c>
      <c r="S1800" s="210">
        <v>4.5</v>
      </c>
      <c r="T1800" s="8">
        <v>1.0001249999999999</v>
      </c>
      <c r="U1800" s="98">
        <v>4.3731433243221263</v>
      </c>
      <c r="V1800" s="106">
        <v>30741.716885953363</v>
      </c>
      <c r="W1800" s="10">
        <v>1.0279532547544878</v>
      </c>
      <c r="X1800" s="420"/>
      <c r="Y1800" s="420"/>
      <c r="Z1800" s="1"/>
      <c r="AA1800" s="1"/>
      <c r="AB1800" s="1"/>
      <c r="AC1800" s="1"/>
      <c r="AD1800" s="1"/>
    </row>
    <row r="1801" spans="17:30">
      <c r="Q1801" s="6">
        <v>1771</v>
      </c>
      <c r="R1801" s="7">
        <v>44438</v>
      </c>
      <c r="S1801" s="210">
        <v>4.5</v>
      </c>
      <c r="T1801" s="8">
        <v>1.0001249999999999</v>
      </c>
      <c r="U1801" s="98">
        <v>4.3733095164468105</v>
      </c>
      <c r="V1801" s="106">
        <v>30744.275498847357</v>
      </c>
      <c r="W1801" s="10">
        <v>1.0282394902959791</v>
      </c>
      <c r="X1801" s="420"/>
      <c r="Y1801" s="420"/>
      <c r="Z1801" s="1"/>
      <c r="AA1801" s="1"/>
      <c r="AB1801" s="1"/>
      <c r="AC1801" s="1"/>
      <c r="AD1801" s="1"/>
    </row>
    <row r="1802" spans="17:30">
      <c r="Q1802" s="6">
        <v>1772</v>
      </c>
      <c r="R1802" s="7">
        <v>44439</v>
      </c>
      <c r="S1802" s="210">
        <v>4.5</v>
      </c>
      <c r="T1802" s="8">
        <v>1.0001249999999999</v>
      </c>
      <c r="U1802" s="98">
        <v>4.3734755212599064</v>
      </c>
      <c r="V1802" s="106">
        <v>30746.834324693024</v>
      </c>
      <c r="W1802" s="10">
        <v>1.0285254035821367</v>
      </c>
      <c r="X1802" s="420"/>
      <c r="Y1802" s="420"/>
      <c r="Z1802" s="1"/>
      <c r="AA1802" s="1"/>
      <c r="AB1802" s="1"/>
      <c r="AC1802" s="1"/>
      <c r="AD1802" s="1"/>
    </row>
    <row r="1803" spans="17:30">
      <c r="Q1803" s="6">
        <v>1773</v>
      </c>
      <c r="R1803" s="7">
        <v>44440</v>
      </c>
      <c r="S1803" s="210">
        <v>4.5</v>
      </c>
      <c r="T1803" s="8">
        <v>1.0001249999999999</v>
      </c>
      <c r="U1803" s="98">
        <v>4.3736413390779161</v>
      </c>
      <c r="V1803" s="106">
        <v>30749.393363508083</v>
      </c>
      <c r="W1803" s="10">
        <v>1.0288109951568369</v>
      </c>
      <c r="X1803" s="420"/>
      <c r="Y1803" s="420"/>
      <c r="Z1803" s="1"/>
      <c r="AA1803" s="1"/>
      <c r="AB1803" s="1"/>
      <c r="AC1803" s="1"/>
      <c r="AD1803" s="1"/>
    </row>
    <row r="1804" spans="17:30">
      <c r="Q1804" s="6">
        <v>1774</v>
      </c>
      <c r="R1804" s="7">
        <v>44441</v>
      </c>
      <c r="S1804" s="210">
        <v>4.5</v>
      </c>
      <c r="T1804" s="8">
        <v>1.0001249999999999</v>
      </c>
      <c r="U1804" s="98">
        <v>4.3738069702166094</v>
      </c>
      <c r="V1804" s="106">
        <v>30751.952615310267</v>
      </c>
      <c r="W1804" s="10">
        <v>1.0290962655627567</v>
      </c>
      <c r="X1804" s="420"/>
      <c r="Y1804" s="420"/>
      <c r="Z1804" s="1"/>
      <c r="AA1804" s="1"/>
      <c r="AB1804" s="1"/>
      <c r="AC1804" s="1"/>
      <c r="AD1804" s="1"/>
    </row>
    <row r="1805" spans="17:30">
      <c r="Q1805" s="6">
        <v>1775</v>
      </c>
      <c r="R1805" s="7">
        <v>44442</v>
      </c>
      <c r="S1805" s="210">
        <v>4.5</v>
      </c>
      <c r="T1805" s="8">
        <v>1.0001249999999999</v>
      </c>
      <c r="U1805" s="98">
        <v>4.3739724149910675</v>
      </c>
      <c r="V1805" s="106">
        <v>30754.512080117289</v>
      </c>
      <c r="W1805" s="10">
        <v>1.0293812153414184</v>
      </c>
      <c r="X1805" s="420"/>
      <c r="Y1805" s="420"/>
      <c r="Z1805" s="1"/>
      <c r="AA1805" s="1"/>
      <c r="AB1805" s="1"/>
      <c r="AC1805" s="1"/>
      <c r="AD1805" s="1"/>
    </row>
    <row r="1806" spans="17:30">
      <c r="Q1806" s="6">
        <v>1776</v>
      </c>
      <c r="R1806" s="7">
        <v>44443</v>
      </c>
      <c r="S1806" s="210">
        <v>4.5</v>
      </c>
      <c r="T1806" s="8">
        <v>1.0001249999999999</v>
      </c>
      <c r="U1806" s="98">
        <v>4.374137673715639</v>
      </c>
      <c r="V1806" s="106">
        <v>30757.071757946887</v>
      </c>
      <c r="W1806" s="10">
        <v>1.0296658450329899</v>
      </c>
      <c r="X1806" s="420"/>
      <c r="Y1806" s="420"/>
      <c r="Z1806" s="1"/>
      <c r="AA1806" s="1"/>
      <c r="AB1806" s="1"/>
      <c r="AC1806" s="1"/>
      <c r="AD1806" s="1"/>
    </row>
    <row r="1807" spans="17:30">
      <c r="Q1807" s="6">
        <v>1777</v>
      </c>
      <c r="R1807" s="7">
        <v>44444</v>
      </c>
      <c r="S1807" s="210">
        <v>4.5</v>
      </c>
      <c r="T1807" s="8">
        <v>1.0001249999999999</v>
      </c>
      <c r="U1807" s="98">
        <v>4.3743027467039841</v>
      </c>
      <c r="V1807" s="106">
        <v>30759.63164881679</v>
      </c>
      <c r="W1807" s="10">
        <v>1.0299501551765289</v>
      </c>
      <c r="X1807" s="420"/>
      <c r="Y1807" s="420"/>
      <c r="Z1807" s="1"/>
      <c r="AA1807" s="1"/>
      <c r="AB1807" s="1"/>
      <c r="AC1807" s="1"/>
      <c r="AD1807" s="1"/>
    </row>
    <row r="1808" spans="17:30">
      <c r="Q1808" s="6">
        <v>1778</v>
      </c>
      <c r="R1808" s="7">
        <v>44445</v>
      </c>
      <c r="S1808" s="210">
        <v>4.5</v>
      </c>
      <c r="T1808" s="8">
        <v>1.0001249999999999</v>
      </c>
      <c r="U1808" s="98">
        <v>4.3744676342690747</v>
      </c>
      <c r="V1808" s="106">
        <v>30762.191752744729</v>
      </c>
      <c r="W1808" s="10">
        <v>1.0302341463098941</v>
      </c>
      <c r="X1808" s="420"/>
      <c r="Y1808" s="420"/>
      <c r="Z1808" s="1"/>
      <c r="AA1808" s="1"/>
      <c r="AB1808" s="1"/>
      <c r="AC1808" s="1"/>
      <c r="AD1808" s="1"/>
    </row>
    <row r="1809" spans="17:30">
      <c r="Q1809" s="6">
        <v>1779</v>
      </c>
      <c r="R1809" s="7">
        <v>44446</v>
      </c>
      <c r="S1809" s="210">
        <v>4.5</v>
      </c>
      <c r="T1809" s="8">
        <v>1.0001249999999999</v>
      </c>
      <c r="U1809" s="98">
        <v>4.3746323367231499</v>
      </c>
      <c r="V1809" s="106">
        <v>30764.752069748432</v>
      </c>
      <c r="W1809" s="10">
        <v>1.0305178189697006</v>
      </c>
      <c r="X1809" s="420"/>
      <c r="Y1809" s="420"/>
      <c r="Z1809" s="1"/>
      <c r="AA1809" s="1"/>
      <c r="AB1809" s="1"/>
      <c r="AC1809" s="1"/>
      <c r="AD1809" s="1"/>
    </row>
    <row r="1810" spans="17:30">
      <c r="Q1810" s="6">
        <v>1780</v>
      </c>
      <c r="R1810" s="7">
        <v>44447</v>
      </c>
      <c r="S1810" s="210">
        <v>4.5</v>
      </c>
      <c r="T1810" s="8">
        <v>1.0001249999999999</v>
      </c>
      <c r="U1810" s="98">
        <v>4.3747968543777382</v>
      </c>
      <c r="V1810" s="106">
        <v>30767.312599845642</v>
      </c>
      <c r="W1810" s="10">
        <v>1.0308011736912981</v>
      </c>
      <c r="X1810" s="420"/>
      <c r="Y1810" s="420"/>
      <c r="Z1810" s="1"/>
      <c r="AA1810" s="1"/>
      <c r="AB1810" s="1"/>
      <c r="AC1810" s="1"/>
      <c r="AD1810" s="1"/>
    </row>
    <row r="1811" spans="17:30">
      <c r="Q1811" s="6">
        <v>1781</v>
      </c>
      <c r="R1811" s="7">
        <v>44448</v>
      </c>
      <c r="S1811" s="210">
        <v>4.5</v>
      </c>
      <c r="T1811" s="8">
        <v>1.0001249999999999</v>
      </c>
      <c r="U1811" s="98">
        <v>4.3749611875437022</v>
      </c>
      <c r="V1811" s="106">
        <v>30769.873343054085</v>
      </c>
      <c r="W1811" s="10">
        <v>1.031084211008948</v>
      </c>
      <c r="X1811" s="420"/>
      <c r="Y1811" s="420"/>
      <c r="Z1811" s="1"/>
      <c r="AA1811" s="1"/>
      <c r="AB1811" s="1"/>
      <c r="AC1811" s="1"/>
      <c r="AD1811" s="1"/>
    </row>
    <row r="1812" spans="17:30">
      <c r="Q1812" s="6">
        <v>1782</v>
      </c>
      <c r="R1812" s="7">
        <v>44449</v>
      </c>
      <c r="S1812" s="210">
        <v>4.5</v>
      </c>
      <c r="T1812" s="8">
        <v>1.0001249999999999</v>
      </c>
      <c r="U1812" s="98">
        <v>4.3751253365311937</v>
      </c>
      <c r="V1812" s="106">
        <v>30772.519668273515</v>
      </c>
      <c r="W1812" s="10">
        <v>1.0313095226636149</v>
      </c>
      <c r="X1812" s="420"/>
      <c r="Y1812" s="420"/>
      <c r="Z1812" s="1"/>
      <c r="AA1812" s="1"/>
      <c r="AB1812" s="1"/>
      <c r="AC1812" s="1"/>
      <c r="AD1812" s="1"/>
    </row>
    <row r="1813" spans="17:30">
      <c r="Q1813" s="6">
        <v>1783</v>
      </c>
      <c r="R1813" s="7">
        <v>44450</v>
      </c>
      <c r="S1813" s="210">
        <v>4.5</v>
      </c>
      <c r="T1813" s="8">
        <v>1.0001249999999999</v>
      </c>
      <c r="U1813" s="98">
        <v>4.3752893016496541</v>
      </c>
      <c r="V1813" s="106">
        <v>30775.166221086893</v>
      </c>
      <c r="W1813" s="10">
        <v>1.0315345820867128</v>
      </c>
      <c r="X1813" s="420"/>
      <c r="Y1813" s="420"/>
      <c r="Z1813" s="1"/>
      <c r="AA1813" s="1"/>
      <c r="AB1813" s="1"/>
      <c r="AC1813" s="1"/>
      <c r="AD1813" s="1"/>
    </row>
    <row r="1814" spans="17:30">
      <c r="Q1814" s="6">
        <v>1784</v>
      </c>
      <c r="R1814" s="7">
        <v>44451</v>
      </c>
      <c r="S1814" s="210">
        <v>4.5</v>
      </c>
      <c r="T1814" s="8">
        <v>1.0001249999999999</v>
      </c>
      <c r="U1814" s="98">
        <v>4.3754530832078808</v>
      </c>
      <c r="V1814" s="106">
        <v>30777.813001513809</v>
      </c>
      <c r="W1814" s="10">
        <v>1.0317593897015698</v>
      </c>
      <c r="X1814" s="420"/>
      <c r="Y1814" s="420"/>
      <c r="Z1814" s="1"/>
      <c r="AA1814" s="1"/>
      <c r="AB1814" s="1"/>
      <c r="AC1814" s="1"/>
      <c r="AD1814" s="1"/>
    </row>
    <row r="1815" spans="17:30">
      <c r="Q1815" s="6">
        <v>1785</v>
      </c>
      <c r="R1815" s="7">
        <v>44452</v>
      </c>
      <c r="S1815" s="210">
        <v>4.5</v>
      </c>
      <c r="T1815" s="8">
        <v>1.0001249999999999</v>
      </c>
      <c r="U1815" s="98">
        <v>4.3756166815139164</v>
      </c>
      <c r="V1815" s="106">
        <v>30780.460009573821</v>
      </c>
      <c r="W1815" s="10">
        <v>1.0319839459304925</v>
      </c>
      <c r="X1815" s="420"/>
      <c r="Y1815" s="420"/>
      <c r="Z1815" s="1"/>
      <c r="AA1815" s="1"/>
      <c r="AB1815" s="1"/>
      <c r="AC1815" s="1"/>
      <c r="AD1815" s="1"/>
    </row>
    <row r="1816" spans="17:30">
      <c r="Q1816" s="6">
        <v>1786</v>
      </c>
      <c r="R1816" s="7">
        <v>44453</v>
      </c>
      <c r="S1816" s="210">
        <v>4.5</v>
      </c>
      <c r="T1816" s="8">
        <v>1.0001249999999999</v>
      </c>
      <c r="U1816" s="98">
        <v>4.3757800968751592</v>
      </c>
      <c r="V1816" s="106">
        <v>30783.107245286516</v>
      </c>
      <c r="W1816" s="10">
        <v>1.032208251194966</v>
      </c>
      <c r="X1816" s="420"/>
      <c r="Y1816" s="420"/>
      <c r="Z1816" s="1"/>
      <c r="AA1816" s="1"/>
      <c r="AB1816" s="1"/>
      <c r="AC1816" s="1"/>
      <c r="AD1816" s="1"/>
    </row>
    <row r="1817" spans="17:30">
      <c r="Q1817" s="6">
        <v>1787</v>
      </c>
      <c r="R1817" s="7">
        <v>44454</v>
      </c>
      <c r="S1817" s="210">
        <v>4.5</v>
      </c>
      <c r="T1817" s="8">
        <v>1.0001249999999999</v>
      </c>
      <c r="U1817" s="98">
        <v>4.3759433295982975</v>
      </c>
      <c r="V1817" s="106">
        <v>30785.754708671473</v>
      </c>
      <c r="W1817" s="10">
        <v>1.0324323059154317</v>
      </c>
      <c r="X1817" s="420"/>
      <c r="Y1817" s="420"/>
      <c r="Z1817" s="1"/>
      <c r="AA1817" s="1"/>
      <c r="AB1817" s="1"/>
      <c r="AC1817" s="1"/>
      <c r="AD1817" s="1"/>
    </row>
    <row r="1818" spans="17:30">
      <c r="Q1818" s="6">
        <v>1788</v>
      </c>
      <c r="R1818" s="7">
        <v>44455</v>
      </c>
      <c r="S1818" s="210">
        <v>4.5</v>
      </c>
      <c r="T1818" s="8">
        <v>1.0001249999999999</v>
      </c>
      <c r="U1818" s="98">
        <v>4.3761063799893529</v>
      </c>
      <c r="V1818" s="106">
        <v>30788.40239974828</v>
      </c>
      <c r="W1818" s="10">
        <v>1.0326561105114429</v>
      </c>
      <c r="X1818" s="420"/>
      <c r="Y1818" s="420"/>
      <c r="Z1818" s="1"/>
      <c r="AA1818" s="1"/>
      <c r="AB1818" s="1"/>
      <c r="AC1818" s="1"/>
      <c r="AD1818" s="1"/>
    </row>
    <row r="1819" spans="17:30">
      <c r="Q1819" s="6">
        <v>1789</v>
      </c>
      <c r="R1819" s="7">
        <v>44456</v>
      </c>
      <c r="S1819" s="210">
        <v>4.5</v>
      </c>
      <c r="T1819" s="8">
        <v>1.0001249999999999</v>
      </c>
      <c r="U1819" s="98">
        <v>4.376269248353637</v>
      </c>
      <c r="V1819" s="106">
        <v>30791.050318536498</v>
      </c>
      <c r="W1819" s="10">
        <v>1.0328796654016204</v>
      </c>
      <c r="X1819" s="420"/>
      <c r="Y1819" s="420"/>
      <c r="Z1819" s="1"/>
      <c r="AA1819" s="1"/>
      <c r="AB1819" s="1"/>
      <c r="AC1819" s="1"/>
      <c r="AD1819" s="1"/>
    </row>
    <row r="1820" spans="17:30">
      <c r="Q1820" s="6">
        <v>1790</v>
      </c>
      <c r="R1820" s="7">
        <v>44457</v>
      </c>
      <c r="S1820" s="210">
        <v>4.5</v>
      </c>
      <c r="T1820" s="8">
        <v>1.0001249999999999</v>
      </c>
      <c r="U1820" s="98">
        <v>4.376431934995817</v>
      </c>
      <c r="V1820" s="106">
        <v>30793.698465055732</v>
      </c>
      <c r="W1820" s="10">
        <v>1.0331029710036299</v>
      </c>
      <c r="X1820" s="420"/>
      <c r="Y1820" s="420"/>
      <c r="Z1820" s="1"/>
      <c r="AA1820" s="1"/>
      <c r="AB1820" s="1"/>
      <c r="AC1820" s="1"/>
      <c r="AD1820" s="1"/>
    </row>
    <row r="1821" spans="17:30">
      <c r="Q1821" s="6">
        <v>1791</v>
      </c>
      <c r="R1821" s="7">
        <v>44458</v>
      </c>
      <c r="S1821" s="210">
        <v>4.5</v>
      </c>
      <c r="T1821" s="8">
        <v>1.0001249999999999</v>
      </c>
      <c r="U1821" s="98">
        <v>4.3765944402198498</v>
      </c>
      <c r="V1821" s="106">
        <v>30796.346839325553</v>
      </c>
      <c r="W1821" s="10">
        <v>1.0333260277342049</v>
      </c>
      <c r="X1821" s="420"/>
      <c r="Y1821" s="420"/>
      <c r="Z1821" s="1"/>
      <c r="AA1821" s="1"/>
      <c r="AB1821" s="1"/>
      <c r="AC1821" s="1"/>
      <c r="AD1821" s="1"/>
    </row>
    <row r="1822" spans="17:30">
      <c r="Q1822" s="6">
        <v>1792</v>
      </c>
      <c r="R1822" s="7">
        <v>44459</v>
      </c>
      <c r="S1822" s="210">
        <v>4.5</v>
      </c>
      <c r="T1822" s="8">
        <v>1.0001249999999999</v>
      </c>
      <c r="U1822" s="98">
        <v>4.3767567643290262</v>
      </c>
      <c r="V1822" s="106">
        <v>30798.995441365558</v>
      </c>
      <c r="W1822" s="10">
        <v>1.0335488360091682</v>
      </c>
      <c r="X1822" s="420"/>
      <c r="Y1822" s="420"/>
      <c r="Z1822" s="1"/>
      <c r="AA1822" s="1"/>
      <c r="AB1822" s="1"/>
      <c r="AC1822" s="1"/>
      <c r="AD1822" s="1"/>
    </row>
    <row r="1823" spans="17:30">
      <c r="Q1823" s="6">
        <v>1793</v>
      </c>
      <c r="R1823" s="7">
        <v>44460</v>
      </c>
      <c r="S1823" s="210">
        <v>4.5</v>
      </c>
      <c r="T1823" s="8">
        <v>1.0001249999999999</v>
      </c>
      <c r="U1823" s="98">
        <v>4.3769189076259707</v>
      </c>
      <c r="V1823" s="106">
        <v>30801.644271195339</v>
      </c>
      <c r="W1823" s="10">
        <v>1.0337713962434103</v>
      </c>
      <c r="X1823" s="420"/>
      <c r="Y1823" s="420"/>
      <c r="Z1823" s="1"/>
      <c r="AA1823" s="1"/>
      <c r="AB1823" s="1"/>
      <c r="AC1823" s="1"/>
      <c r="AD1823" s="1"/>
    </row>
    <row r="1824" spans="17:30">
      <c r="Q1824" s="6">
        <v>1794</v>
      </c>
      <c r="R1824" s="7">
        <v>44461</v>
      </c>
      <c r="S1824" s="210">
        <v>4.5</v>
      </c>
      <c r="T1824" s="8">
        <v>1.0001249999999999</v>
      </c>
      <c r="U1824" s="98">
        <v>4.3770808704126196</v>
      </c>
      <c r="V1824" s="106">
        <v>30804.293328834472</v>
      </c>
      <c r="W1824" s="10">
        <v>1.033993708850911</v>
      </c>
      <c r="X1824" s="420"/>
      <c r="Y1824" s="420"/>
      <c r="Z1824" s="1"/>
      <c r="AA1824" s="1"/>
      <c r="AB1824" s="1"/>
      <c r="AC1824" s="1"/>
      <c r="AD1824" s="1"/>
    </row>
    <row r="1825" spans="17:30">
      <c r="Q1825" s="6">
        <v>1795</v>
      </c>
      <c r="R1825" s="7">
        <v>44462</v>
      </c>
      <c r="S1825" s="210">
        <v>4.5</v>
      </c>
      <c r="T1825" s="8">
        <v>1.0001249999999999</v>
      </c>
      <c r="U1825" s="98">
        <v>4.3772426529902209</v>
      </c>
      <c r="V1825" s="106">
        <v>30806.942614302567</v>
      </c>
      <c r="W1825" s="10">
        <v>1.0342157742446512</v>
      </c>
      <c r="X1825" s="420"/>
      <c r="Y1825" s="420"/>
      <c r="Z1825" s="1"/>
      <c r="AA1825" s="1"/>
      <c r="AB1825" s="1"/>
      <c r="AC1825" s="1"/>
      <c r="AD1825" s="1"/>
    </row>
    <row r="1826" spans="17:30">
      <c r="Q1826" s="6">
        <v>1796</v>
      </c>
      <c r="R1826" s="7">
        <v>44463</v>
      </c>
      <c r="S1826" s="210">
        <v>4.5</v>
      </c>
      <c r="T1826" s="8">
        <v>1.0001249999999999</v>
      </c>
      <c r="U1826" s="98">
        <v>4.3774042556594006</v>
      </c>
      <c r="V1826" s="106">
        <v>30809.592127619198</v>
      </c>
      <c r="W1826" s="10">
        <v>1.0344375928368343</v>
      </c>
      <c r="X1826" s="420"/>
      <c r="Y1826" s="420"/>
      <c r="Z1826" s="1"/>
      <c r="AA1826" s="1"/>
      <c r="AB1826" s="1"/>
      <c r="AC1826" s="1"/>
      <c r="AD1826" s="1"/>
    </row>
    <row r="1827" spans="17:30">
      <c r="Q1827" s="6">
        <v>1797</v>
      </c>
      <c r="R1827" s="7">
        <v>44464</v>
      </c>
      <c r="S1827" s="210">
        <v>4.5</v>
      </c>
      <c r="T1827" s="8">
        <v>1.0001249999999999</v>
      </c>
      <c r="U1827" s="98">
        <v>4.3775656787200745</v>
      </c>
      <c r="V1827" s="106">
        <v>30812.24186880398</v>
      </c>
      <c r="W1827" s="10">
        <v>1.0346591650386427</v>
      </c>
      <c r="X1827" s="420"/>
      <c r="Y1827" s="420"/>
      <c r="Z1827" s="1"/>
      <c r="AA1827" s="1"/>
      <c r="AB1827" s="1"/>
      <c r="AC1827" s="1"/>
      <c r="AD1827" s="1"/>
    </row>
    <row r="1828" spans="17:30">
      <c r="Q1828" s="6">
        <v>1798</v>
      </c>
      <c r="R1828" s="7">
        <v>44465</v>
      </c>
      <c r="S1828" s="210">
        <v>4.5</v>
      </c>
      <c r="T1828" s="8">
        <v>1.0001249999999999</v>
      </c>
      <c r="U1828" s="98">
        <v>4.3777269224715143</v>
      </c>
      <c r="V1828" s="106">
        <v>30814.891837876508</v>
      </c>
      <c r="W1828" s="10">
        <v>1.0348804912603482</v>
      </c>
      <c r="X1828" s="420"/>
      <c r="Y1828" s="420"/>
      <c r="Z1828" s="1"/>
      <c r="AA1828" s="1"/>
      <c r="AB1828" s="1"/>
      <c r="AC1828" s="1"/>
      <c r="AD1828" s="1"/>
    </row>
    <row r="1829" spans="17:30">
      <c r="Q1829" s="6">
        <v>1799</v>
      </c>
      <c r="R1829" s="7">
        <v>44466</v>
      </c>
      <c r="S1829" s="210">
        <v>4.5</v>
      </c>
      <c r="T1829" s="8">
        <v>1.0001249999999999</v>
      </c>
      <c r="U1829" s="98">
        <v>4.3778879872123255</v>
      </c>
      <c r="V1829" s="106">
        <v>30817.542034856364</v>
      </c>
      <c r="W1829" s="10">
        <v>1.035101571911401</v>
      </c>
      <c r="X1829" s="420"/>
      <c r="Y1829" s="420"/>
      <c r="Z1829" s="1"/>
      <c r="AA1829" s="1"/>
      <c r="AB1829" s="1"/>
      <c r="AC1829" s="1"/>
      <c r="AD1829" s="1"/>
    </row>
    <row r="1830" spans="17:30">
      <c r="Q1830" s="6">
        <v>1800</v>
      </c>
      <c r="R1830" s="7">
        <v>44467</v>
      </c>
      <c r="S1830" s="210">
        <v>4.5</v>
      </c>
      <c r="T1830" s="8">
        <v>1.0001249999999999</v>
      </c>
      <c r="U1830" s="98">
        <v>4.3780488732404255</v>
      </c>
      <c r="V1830" s="106">
        <v>30820.192459763166</v>
      </c>
      <c r="W1830" s="10">
        <v>1.0353224074001854</v>
      </c>
      <c r="X1830" s="420"/>
      <c r="Y1830" s="420"/>
      <c r="Z1830" s="1"/>
      <c r="AA1830" s="1"/>
      <c r="AB1830" s="1"/>
      <c r="AC1830" s="1"/>
      <c r="AD1830" s="1"/>
    </row>
    <row r="1831" spans="17:30">
      <c r="Q1831" s="6">
        <v>1801</v>
      </c>
      <c r="R1831" s="7">
        <v>44468</v>
      </c>
      <c r="S1831" s="210">
        <v>4.5</v>
      </c>
      <c r="T1831" s="8">
        <v>1.0001249999999999</v>
      </c>
      <c r="U1831" s="98">
        <v>4.3782095808531096</v>
      </c>
      <c r="V1831" s="106">
        <v>30822.843112616512</v>
      </c>
      <c r="W1831" s="10">
        <v>1.0355429981343756</v>
      </c>
      <c r="X1831" s="420"/>
      <c r="Y1831" s="420"/>
      <c r="Z1831" s="1"/>
      <c r="AA1831" s="1"/>
      <c r="AB1831" s="1"/>
      <c r="AC1831" s="1"/>
      <c r="AD1831" s="1"/>
    </row>
    <row r="1832" spans="17:30">
      <c r="Q1832" s="6">
        <v>1802</v>
      </c>
      <c r="R1832" s="7">
        <v>44469</v>
      </c>
      <c r="S1832" s="210">
        <v>4.5</v>
      </c>
      <c r="T1832" s="8">
        <v>1.0001249999999999</v>
      </c>
      <c r="U1832" s="98">
        <v>4.3783701103469852</v>
      </c>
      <c r="V1832" s="106">
        <v>30825.493993436008</v>
      </c>
      <c r="W1832" s="10">
        <v>1.0357633445205794</v>
      </c>
      <c r="X1832" s="420"/>
      <c r="Y1832" s="420"/>
      <c r="Z1832" s="1"/>
      <c r="AA1832" s="1"/>
      <c r="AB1832" s="1"/>
      <c r="AC1832" s="1"/>
      <c r="AD1832" s="1"/>
    </row>
    <row r="1833" spans="17:30">
      <c r="Q1833" s="6">
        <v>1803</v>
      </c>
      <c r="R1833" s="7">
        <v>44470</v>
      </c>
      <c r="S1833" s="210">
        <v>4.5</v>
      </c>
      <c r="T1833" s="8">
        <v>1.0001249999999999</v>
      </c>
      <c r="U1833" s="98">
        <v>4.3785304620180154</v>
      </c>
      <c r="V1833" s="106">
        <v>30828.145102241255</v>
      </c>
      <c r="W1833" s="10">
        <v>1.0359834469645612</v>
      </c>
      <c r="X1833" s="420"/>
      <c r="Y1833" s="420"/>
      <c r="Z1833" s="1"/>
      <c r="AA1833" s="1"/>
      <c r="AB1833" s="1"/>
      <c r="AC1833" s="1"/>
      <c r="AD1833" s="1"/>
    </row>
    <row r="1834" spans="17:30">
      <c r="Q1834" s="6">
        <v>1804</v>
      </c>
      <c r="R1834" s="7">
        <v>44471</v>
      </c>
      <c r="S1834" s="210">
        <v>4.5</v>
      </c>
      <c r="T1834" s="8">
        <v>1.0001249999999999</v>
      </c>
      <c r="U1834" s="98">
        <v>4.3786906361615197</v>
      </c>
      <c r="V1834" s="106">
        <v>30830.796439051865</v>
      </c>
      <c r="W1834" s="10">
        <v>1.0362033058712639</v>
      </c>
      <c r="X1834" s="420"/>
      <c r="Y1834" s="420"/>
      <c r="Z1834" s="1"/>
      <c r="AA1834" s="1"/>
      <c r="AB1834" s="1"/>
      <c r="AC1834" s="1"/>
      <c r="AD1834" s="1"/>
    </row>
    <row r="1835" spans="17:30">
      <c r="Q1835" s="6">
        <v>1805</v>
      </c>
      <c r="R1835" s="7">
        <v>44472</v>
      </c>
      <c r="S1835" s="210">
        <v>4.5</v>
      </c>
      <c r="T1835" s="8">
        <v>1.0001249999999999</v>
      </c>
      <c r="U1835" s="98">
        <v>4.3788506330721289</v>
      </c>
      <c r="V1835" s="106">
        <v>30833.448003887446</v>
      </c>
      <c r="W1835" s="10">
        <v>1.0364229216445864</v>
      </c>
      <c r="X1835" s="420"/>
      <c r="Y1835" s="420"/>
      <c r="Z1835" s="1"/>
      <c r="AA1835" s="1"/>
      <c r="AB1835" s="1"/>
      <c r="AC1835" s="1"/>
      <c r="AD1835" s="1"/>
    </row>
    <row r="1836" spans="17:30">
      <c r="Q1836" s="6">
        <v>1806</v>
      </c>
      <c r="R1836" s="7">
        <v>44473</v>
      </c>
      <c r="S1836" s="210">
        <v>4.5</v>
      </c>
      <c r="T1836" s="8">
        <v>1.0001249999999999</v>
      </c>
      <c r="U1836" s="98">
        <v>4.3790104530438523</v>
      </c>
      <c r="V1836" s="106">
        <v>30836.099796767608</v>
      </c>
      <c r="W1836" s="10">
        <v>1.036642294687673</v>
      </c>
      <c r="X1836" s="420"/>
      <c r="Y1836" s="420"/>
      <c r="Z1836" s="1"/>
      <c r="AA1836" s="1"/>
      <c r="AB1836" s="1"/>
      <c r="AC1836" s="1"/>
      <c r="AD1836" s="1"/>
    </row>
    <row r="1837" spans="17:30">
      <c r="Q1837" s="6">
        <v>1807</v>
      </c>
      <c r="R1837" s="7">
        <v>44474</v>
      </c>
      <c r="S1837" s="210">
        <v>4.5</v>
      </c>
      <c r="T1837" s="8">
        <v>1.0001249999999999</v>
      </c>
      <c r="U1837" s="98">
        <v>4.3791700963700331</v>
      </c>
      <c r="V1837" s="106">
        <v>30838.75181771196</v>
      </c>
      <c r="W1837" s="10">
        <v>1.0368614254026687</v>
      </c>
      <c r="X1837" s="420"/>
      <c r="Y1837" s="420"/>
      <c r="Z1837" s="1"/>
      <c r="AA1837" s="1"/>
      <c r="AB1837" s="1"/>
      <c r="AC1837" s="1"/>
      <c r="AD1837" s="1"/>
    </row>
    <row r="1838" spans="17:30">
      <c r="Q1838" s="6">
        <v>1808</v>
      </c>
      <c r="R1838" s="7">
        <v>44475</v>
      </c>
      <c r="S1838" s="210">
        <v>4.5</v>
      </c>
      <c r="T1838" s="8">
        <v>1.0001249999999999</v>
      </c>
      <c r="U1838" s="98">
        <v>4.3793295633433704</v>
      </c>
      <c r="V1838" s="106">
        <v>30841.404066740128</v>
      </c>
      <c r="W1838" s="10">
        <v>1.0370803141908969</v>
      </c>
      <c r="X1838" s="420"/>
      <c r="Y1838" s="420"/>
      <c r="Z1838" s="1"/>
      <c r="AA1838" s="1"/>
      <c r="AB1838" s="1"/>
      <c r="AC1838" s="1"/>
      <c r="AD1838" s="1"/>
    </row>
    <row r="1839" spans="17:30">
      <c r="Q1839" s="6">
        <v>1809</v>
      </c>
      <c r="R1839" s="7">
        <v>44476</v>
      </c>
      <c r="S1839" s="210">
        <v>4.5</v>
      </c>
      <c r="T1839" s="8">
        <v>1.0001249999999999</v>
      </c>
      <c r="U1839" s="98">
        <v>4.3794888542559418</v>
      </c>
      <c r="V1839" s="106">
        <v>30844.056543871713</v>
      </c>
      <c r="W1839" s="10">
        <v>1.0372989614527928</v>
      </c>
      <c r="X1839" s="420"/>
      <c r="Y1839" s="420"/>
      <c r="Z1839" s="1"/>
      <c r="AA1839" s="1"/>
      <c r="AB1839" s="1"/>
      <c r="AC1839" s="1"/>
      <c r="AD1839" s="1"/>
    </row>
    <row r="1840" spans="17:30">
      <c r="Q1840" s="6">
        <v>1810</v>
      </c>
      <c r="R1840" s="7">
        <v>44477</v>
      </c>
      <c r="S1840" s="210">
        <v>4.5</v>
      </c>
      <c r="T1840" s="8">
        <v>1.0001249999999999</v>
      </c>
      <c r="U1840" s="98">
        <v>4.3796479693991364</v>
      </c>
      <c r="V1840" s="106">
        <v>30846.709249126347</v>
      </c>
      <c r="W1840" s="10">
        <v>1.0375173675878591</v>
      </c>
      <c r="X1840" s="420"/>
      <c r="Y1840" s="420"/>
      <c r="Z1840" s="1"/>
      <c r="AA1840" s="1"/>
      <c r="AB1840" s="1"/>
      <c r="AC1840" s="1"/>
      <c r="AD1840" s="1"/>
    </row>
    <row r="1841" spans="17:30">
      <c r="Q1841" s="6">
        <v>1811</v>
      </c>
      <c r="R1841" s="7">
        <v>44478</v>
      </c>
      <c r="S1841" s="210">
        <v>4.5</v>
      </c>
      <c r="T1841" s="8">
        <v>1.0001249999999999</v>
      </c>
      <c r="U1841" s="98">
        <v>4.3798069090637215</v>
      </c>
      <c r="V1841" s="106">
        <v>30849.362182523644</v>
      </c>
      <c r="W1841" s="10">
        <v>1.0377355329947768</v>
      </c>
      <c r="X1841" s="420"/>
      <c r="Y1841" s="420"/>
      <c r="Z1841" s="1"/>
      <c r="AA1841" s="1"/>
      <c r="AB1841" s="1"/>
      <c r="AC1841" s="1"/>
      <c r="AD1841" s="1"/>
    </row>
    <row r="1842" spans="17:30">
      <c r="Q1842" s="6">
        <v>1812</v>
      </c>
      <c r="R1842" s="7">
        <v>44479</v>
      </c>
      <c r="S1842" s="210">
        <v>4.5</v>
      </c>
      <c r="T1842" s="8">
        <v>1.0001249999999999</v>
      </c>
      <c r="U1842" s="98">
        <v>4.3799656735398429</v>
      </c>
      <c r="V1842" s="106">
        <v>30851.929754664932</v>
      </c>
      <c r="W1842" s="10">
        <v>1.0380099200991699</v>
      </c>
      <c r="X1842" s="420"/>
      <c r="Y1842" s="420"/>
      <c r="Z1842" s="1"/>
      <c r="AA1842" s="1"/>
      <c r="AB1842" s="1"/>
      <c r="AC1842" s="1"/>
      <c r="AD1842" s="1"/>
    </row>
    <row r="1843" spans="17:30">
      <c r="Q1843" s="6">
        <v>1813</v>
      </c>
      <c r="R1843" s="7">
        <v>44480</v>
      </c>
      <c r="S1843" s="210">
        <v>4.5</v>
      </c>
      <c r="T1843" s="8">
        <v>1.0001249999999999</v>
      </c>
      <c r="U1843" s="98">
        <v>4.3801242631169579</v>
      </c>
      <c r="V1843" s="106">
        <v>30854.497540503566</v>
      </c>
      <c r="W1843" s="10">
        <v>1.0382840052589826</v>
      </c>
      <c r="X1843" s="420"/>
      <c r="Y1843" s="420"/>
      <c r="Z1843" s="1"/>
      <c r="AA1843" s="1"/>
      <c r="AB1843" s="1"/>
      <c r="AC1843" s="1"/>
      <c r="AD1843" s="1"/>
    </row>
    <row r="1844" spans="17:30">
      <c r="Q1844" s="6">
        <v>1814</v>
      </c>
      <c r="R1844" s="7">
        <v>44481</v>
      </c>
      <c r="S1844" s="210">
        <v>4.5</v>
      </c>
      <c r="T1844" s="8">
        <v>1.0001249999999999</v>
      </c>
      <c r="U1844" s="98">
        <v>4.3802826780839466</v>
      </c>
      <c r="V1844" s="106">
        <v>30857.065540057323</v>
      </c>
      <c r="W1844" s="10">
        <v>1.038557788972394</v>
      </c>
      <c r="X1844" s="420"/>
      <c r="Y1844" s="420"/>
      <c r="Z1844" s="1"/>
      <c r="AA1844" s="1"/>
      <c r="AB1844" s="1"/>
      <c r="AC1844" s="1"/>
      <c r="AD1844" s="1"/>
    </row>
    <row r="1845" spans="17:30">
      <c r="Q1845" s="6">
        <v>1815</v>
      </c>
      <c r="R1845" s="7">
        <v>44482</v>
      </c>
      <c r="S1845" s="210">
        <v>4.5</v>
      </c>
      <c r="T1845" s="8">
        <v>1.0001249999999999</v>
      </c>
      <c r="U1845" s="98">
        <v>4.3804409187290005</v>
      </c>
      <c r="V1845" s="106">
        <v>30859.633753344002</v>
      </c>
      <c r="W1845" s="10">
        <v>1.0388312717363624</v>
      </c>
      <c r="X1845" s="420"/>
      <c r="Y1845" s="420"/>
      <c r="Z1845" s="1"/>
      <c r="AA1845" s="1"/>
      <c r="AB1845" s="1"/>
      <c r="AC1845" s="1"/>
      <c r="AD1845" s="1"/>
    </row>
    <row r="1846" spans="17:30">
      <c r="Q1846" s="6">
        <v>1816</v>
      </c>
      <c r="R1846" s="7">
        <v>44483</v>
      </c>
      <c r="S1846" s="210">
        <v>4.5</v>
      </c>
      <c r="T1846" s="8">
        <v>1.0001249999999999</v>
      </c>
      <c r="U1846" s="98">
        <v>4.3805989853397342</v>
      </c>
      <c r="V1846" s="106">
        <v>30862.20218038138</v>
      </c>
      <c r="W1846" s="10">
        <v>1.0391044540469352</v>
      </c>
      <c r="X1846" s="420"/>
      <c r="Y1846" s="420"/>
      <c r="Z1846" s="1"/>
      <c r="AA1846" s="1"/>
      <c r="AB1846" s="1"/>
      <c r="AC1846" s="1"/>
      <c r="AD1846" s="1"/>
    </row>
    <row r="1847" spans="17:30">
      <c r="Q1847" s="6">
        <v>1817</v>
      </c>
      <c r="R1847" s="7">
        <v>44484</v>
      </c>
      <c r="S1847" s="210">
        <v>4.5</v>
      </c>
      <c r="T1847" s="8">
        <v>1.0001249999999999</v>
      </c>
      <c r="U1847" s="98">
        <v>4.3807568782030737</v>
      </c>
      <c r="V1847" s="106">
        <v>30864.770821187256</v>
      </c>
      <c r="W1847" s="10">
        <v>1.0393773363988723</v>
      </c>
      <c r="X1847" s="420"/>
      <c r="Y1847" s="420"/>
      <c r="Z1847" s="1"/>
      <c r="AA1847" s="1"/>
      <c r="AB1847" s="1"/>
      <c r="AC1847" s="1"/>
      <c r="AD1847" s="1"/>
    </row>
    <row r="1848" spans="17:30">
      <c r="Q1848" s="6">
        <v>1818</v>
      </c>
      <c r="R1848" s="7">
        <v>44485</v>
      </c>
      <c r="S1848" s="210">
        <v>4.5</v>
      </c>
      <c r="T1848" s="8">
        <v>1.0001249999999999</v>
      </c>
      <c r="U1848" s="98">
        <v>4.3809145976053232</v>
      </c>
      <c r="V1848" s="106">
        <v>30867.339675779414</v>
      </c>
      <c r="W1848" s="10">
        <v>1.0396499192859787</v>
      </c>
      <c r="X1848" s="420"/>
      <c r="Y1848" s="420"/>
      <c r="Z1848" s="1"/>
      <c r="AA1848" s="1"/>
      <c r="AB1848" s="1"/>
      <c r="AC1848" s="1"/>
      <c r="AD1848" s="1"/>
    </row>
    <row r="1849" spans="17:30">
      <c r="Q1849" s="6">
        <v>1819</v>
      </c>
      <c r="R1849" s="7">
        <v>44486</v>
      </c>
      <c r="S1849" s="210">
        <v>4.5</v>
      </c>
      <c r="T1849" s="8">
        <v>1.0001249999999999</v>
      </c>
      <c r="U1849" s="98">
        <v>4.3810721438321876</v>
      </c>
      <c r="V1849" s="106">
        <v>30869.908744175653</v>
      </c>
      <c r="W1849" s="10">
        <v>1.039922203200927</v>
      </c>
      <c r="X1849" s="420"/>
      <c r="Y1849" s="420"/>
      <c r="Z1849" s="1"/>
      <c r="AA1849" s="1"/>
      <c r="AB1849" s="1"/>
      <c r="AC1849" s="1"/>
      <c r="AD1849" s="1"/>
    </row>
    <row r="1850" spans="17:30">
      <c r="Q1850" s="6">
        <v>1820</v>
      </c>
      <c r="R1850" s="7">
        <v>44487</v>
      </c>
      <c r="S1850" s="210">
        <v>4.5</v>
      </c>
      <c r="T1850" s="8">
        <v>1.0001249999999999</v>
      </c>
      <c r="U1850" s="98">
        <v>4.3812295171687277</v>
      </c>
      <c r="V1850" s="106">
        <v>30872.478026393765</v>
      </c>
      <c r="W1850" s="10">
        <v>1.0401941886353461</v>
      </c>
      <c r="X1850" s="420"/>
      <c r="Y1850" s="420"/>
      <c r="Z1850" s="1"/>
      <c r="AA1850" s="1"/>
      <c r="AB1850" s="1"/>
      <c r="AC1850" s="1"/>
      <c r="AD1850" s="1"/>
    </row>
    <row r="1851" spans="17:30">
      <c r="Q1851" s="6">
        <v>1821</v>
      </c>
      <c r="R1851" s="7">
        <v>44488</v>
      </c>
      <c r="S1851" s="210">
        <v>4.5</v>
      </c>
      <c r="T1851" s="8">
        <v>1.0001249999999999</v>
      </c>
      <c r="U1851" s="98">
        <v>4.3813867178993826</v>
      </c>
      <c r="V1851" s="106">
        <v>30875.04752245155</v>
      </c>
      <c r="W1851" s="10">
        <v>1.0404658760797325</v>
      </c>
      <c r="X1851" s="420"/>
      <c r="Y1851" s="420"/>
      <c r="Z1851" s="1"/>
      <c r="AA1851" s="1"/>
      <c r="AB1851" s="1"/>
      <c r="AC1851" s="1"/>
      <c r="AD1851" s="1"/>
    </row>
    <row r="1852" spans="17:30">
      <c r="Q1852" s="6">
        <v>1822</v>
      </c>
      <c r="R1852" s="7">
        <v>44489</v>
      </c>
      <c r="S1852" s="210">
        <v>4.5</v>
      </c>
      <c r="T1852" s="8">
        <v>1.0001249999999999</v>
      </c>
      <c r="U1852" s="98">
        <v>4.3815437463079698</v>
      </c>
      <c r="V1852" s="106">
        <v>30877.617232366807</v>
      </c>
      <c r="W1852" s="10">
        <v>1.0407372660235614</v>
      </c>
      <c r="X1852" s="420"/>
      <c r="Y1852" s="420"/>
      <c r="Z1852" s="1"/>
      <c r="AA1852" s="1"/>
      <c r="AB1852" s="1"/>
      <c r="AC1852" s="1"/>
      <c r="AD1852" s="1"/>
    </row>
    <row r="1853" spans="17:30">
      <c r="Q1853" s="6">
        <v>1823</v>
      </c>
      <c r="R1853" s="7">
        <v>44490</v>
      </c>
      <c r="S1853" s="210">
        <v>4.5</v>
      </c>
      <c r="T1853" s="8">
        <v>1.0001249999999999</v>
      </c>
      <c r="U1853" s="98">
        <v>4.381700602677685</v>
      </c>
      <c r="V1853" s="106">
        <v>30880.187156157321</v>
      </c>
      <c r="W1853" s="10">
        <v>1.0410083589551977</v>
      </c>
      <c r="X1853" s="420"/>
      <c r="Y1853" s="420"/>
      <c r="Z1853" s="1"/>
      <c r="AA1853" s="1"/>
      <c r="AB1853" s="1"/>
      <c r="AC1853" s="1"/>
      <c r="AD1853" s="1"/>
    </row>
    <row r="1854" spans="17:30">
      <c r="Q1854" s="6">
        <v>1824</v>
      </c>
      <c r="R1854" s="7">
        <v>44491</v>
      </c>
      <c r="S1854" s="210">
        <v>4.5</v>
      </c>
      <c r="T1854" s="8">
        <v>1.0001249999999999</v>
      </c>
      <c r="U1854" s="98">
        <v>4.3818572872910799</v>
      </c>
      <c r="V1854" s="106">
        <v>30882.757293840914</v>
      </c>
      <c r="W1854" s="10">
        <v>1.0412791553619627</v>
      </c>
      <c r="X1854" s="420"/>
      <c r="Y1854" s="420"/>
      <c r="Z1854" s="1"/>
      <c r="AA1854" s="1"/>
      <c r="AB1854" s="1"/>
      <c r="AC1854" s="1"/>
      <c r="AD1854" s="1"/>
    </row>
    <row r="1855" spans="17:30">
      <c r="Q1855" s="6">
        <v>1825</v>
      </c>
      <c r="R1855" s="7">
        <v>44492</v>
      </c>
      <c r="S1855" s="210">
        <v>4.5</v>
      </c>
      <c r="T1855" s="8">
        <v>1.0001249999999999</v>
      </c>
      <c r="U1855" s="98">
        <v>4.382013800430129</v>
      </c>
      <c r="V1855" s="106">
        <v>30885.327645435369</v>
      </c>
      <c r="W1855" s="10">
        <v>1.0415496557301118</v>
      </c>
      <c r="X1855" s="420"/>
      <c r="Y1855" s="420"/>
      <c r="Z1855" s="1"/>
      <c r="AA1855" s="1"/>
      <c r="AB1855" s="1"/>
      <c r="AC1855" s="1"/>
      <c r="AD1855" s="1"/>
    </row>
    <row r="1856" spans="17:30">
      <c r="Q1856" s="6">
        <v>1826</v>
      </c>
      <c r="R1856" s="7">
        <v>44493</v>
      </c>
      <c r="S1856" s="210">
        <v>4.5</v>
      </c>
      <c r="T1856" s="8">
        <v>1.0001249999999999</v>
      </c>
      <c r="U1856" s="98">
        <v>4.3821701423761406</v>
      </c>
      <c r="V1856" s="106">
        <v>30887.898210958505</v>
      </c>
      <c r="W1856" s="10">
        <v>1.0418198605448126</v>
      </c>
      <c r="X1856" s="420"/>
      <c r="Y1856" s="420"/>
      <c r="Z1856" s="1"/>
      <c r="AA1856" s="1"/>
      <c r="AB1856" s="1"/>
      <c r="AC1856" s="1"/>
      <c r="AD1856" s="1"/>
    </row>
    <row r="1857" spans="17:30">
      <c r="Q1857" s="6">
        <v>1827</v>
      </c>
      <c r="R1857" s="7">
        <v>44494</v>
      </c>
      <c r="S1857" s="210">
        <v>4.5</v>
      </c>
      <c r="T1857" s="8">
        <v>1.0001249999999999</v>
      </c>
      <c r="U1857" s="98">
        <v>4.3823263134098678</v>
      </c>
      <c r="V1857" s="106">
        <v>30890.468990428115</v>
      </c>
      <c r="W1857" s="10">
        <v>1.042089770290211</v>
      </c>
      <c r="X1857" s="420"/>
      <c r="Y1857" s="420"/>
      <c r="Z1857" s="1"/>
      <c r="AA1857" s="1"/>
      <c r="AB1857" s="1"/>
      <c r="AC1857" s="1"/>
      <c r="AD1857" s="1"/>
    </row>
    <row r="1858" spans="17:30">
      <c r="Q1858" s="6">
        <v>1828</v>
      </c>
      <c r="R1858" s="7">
        <v>44495</v>
      </c>
      <c r="S1858" s="210">
        <v>4.5</v>
      </c>
      <c r="T1858" s="8">
        <v>1.0001249999999999</v>
      </c>
      <c r="U1858" s="98">
        <v>4.3824823138113977</v>
      </c>
      <c r="V1858" s="106">
        <v>30893.039983862011</v>
      </c>
      <c r="W1858" s="10">
        <v>1.0423593854493429</v>
      </c>
      <c r="X1858" s="420"/>
      <c r="Y1858" s="420"/>
      <c r="Z1858" s="1"/>
      <c r="AA1858" s="1"/>
      <c r="AB1858" s="1"/>
      <c r="AC1858" s="1"/>
      <c r="AD1858" s="1"/>
    </row>
    <row r="1859" spans="17:30">
      <c r="Q1859" s="6">
        <v>1829</v>
      </c>
      <c r="R1859" s="7">
        <v>44496</v>
      </c>
      <c r="S1859" s="210">
        <v>4.5</v>
      </c>
      <c r="T1859" s="8">
        <v>1.0001249999999999</v>
      </c>
      <c r="U1859" s="98">
        <v>4.3826381438602402</v>
      </c>
      <c r="V1859" s="106">
        <v>30895.611191278007</v>
      </c>
      <c r="W1859" s="10">
        <v>1.042628706504245</v>
      </c>
      <c r="X1859" s="420"/>
      <c r="Y1859" s="420"/>
      <c r="Z1859" s="1"/>
      <c r="AA1859" s="1"/>
      <c r="AB1859" s="1"/>
      <c r="AC1859" s="1"/>
      <c r="AD1859" s="1"/>
    </row>
    <row r="1860" spans="17:30">
      <c r="Q1860" s="6">
        <v>1830</v>
      </c>
      <c r="R1860" s="7">
        <v>44497</v>
      </c>
      <c r="S1860" s="210">
        <v>4.5</v>
      </c>
      <c r="T1860" s="8">
        <v>1.0001249999999999</v>
      </c>
      <c r="U1860" s="98">
        <v>4.382793803835261</v>
      </c>
      <c r="V1860" s="106">
        <v>30898.182612693901</v>
      </c>
      <c r="W1860" s="10">
        <v>1.0428977339358658</v>
      </c>
      <c r="X1860" s="420"/>
      <c r="Y1860" s="420"/>
      <c r="Z1860" s="1"/>
      <c r="AA1860" s="1"/>
      <c r="AB1860" s="1"/>
      <c r="AC1860" s="1"/>
      <c r="AD1860" s="1"/>
    </row>
    <row r="1861" spans="17:30">
      <c r="Q1861" s="6">
        <v>1831</v>
      </c>
      <c r="R1861" s="7">
        <v>44498</v>
      </c>
      <c r="S1861" s="210">
        <v>4.5</v>
      </c>
      <c r="T1861" s="8">
        <v>1.0001249999999999</v>
      </c>
      <c r="U1861" s="98">
        <v>4.3829492940147485</v>
      </c>
      <c r="V1861" s="106">
        <v>30900.754248127512</v>
      </c>
      <c r="W1861" s="10">
        <v>1.0431664682241548</v>
      </c>
      <c r="X1861" s="420"/>
      <c r="Y1861" s="420"/>
      <c r="Z1861" s="1"/>
      <c r="AA1861" s="1"/>
      <c r="AB1861" s="1"/>
      <c r="AC1861" s="1"/>
      <c r="AD1861" s="1"/>
    </row>
    <row r="1862" spans="17:30">
      <c r="Q1862" s="6">
        <v>1832</v>
      </c>
      <c r="R1862" s="7">
        <v>44499</v>
      </c>
      <c r="S1862" s="210">
        <v>4.5</v>
      </c>
      <c r="T1862" s="8">
        <v>1.0001249999999999</v>
      </c>
      <c r="U1862" s="98">
        <v>4.3831046146763697</v>
      </c>
      <c r="V1862" s="106">
        <v>30903.326097596644</v>
      </c>
      <c r="W1862" s="10">
        <v>1.043434909847929</v>
      </c>
      <c r="X1862" s="420"/>
      <c r="Y1862" s="420"/>
      <c r="Z1862" s="1"/>
      <c r="AA1862" s="1"/>
      <c r="AB1862" s="1"/>
      <c r="AC1862" s="1"/>
      <c r="AD1862" s="1"/>
    </row>
    <row r="1863" spans="17:30">
      <c r="Q1863" s="6">
        <v>1833</v>
      </c>
      <c r="R1863" s="7">
        <v>44500</v>
      </c>
      <c r="S1863" s="210">
        <v>4.5</v>
      </c>
      <c r="T1863" s="8">
        <v>1.0001249999999999</v>
      </c>
      <c r="U1863" s="98">
        <v>4.3832597660971917</v>
      </c>
      <c r="V1863" s="106">
        <v>30905.898161119127</v>
      </c>
      <c r="W1863" s="10">
        <v>1.0437030592850505</v>
      </c>
      <c r="X1863" s="420"/>
      <c r="Y1863" s="420"/>
      <c r="Z1863" s="1"/>
      <c r="AA1863" s="1"/>
      <c r="AB1863" s="1"/>
      <c r="AC1863" s="1"/>
      <c r="AD1863" s="1"/>
    </row>
    <row r="1864" spans="17:30">
      <c r="Q1864" s="6">
        <v>1834</v>
      </c>
      <c r="R1864" s="7">
        <v>44501</v>
      </c>
      <c r="S1864" s="210">
        <v>4.5</v>
      </c>
      <c r="T1864" s="8">
        <v>1.0001249999999999</v>
      </c>
      <c r="U1864" s="98">
        <v>4.3834147485536823</v>
      </c>
      <c r="V1864" s="106">
        <v>30908.470438712757</v>
      </c>
      <c r="W1864" s="10">
        <v>1.0439709170122935</v>
      </c>
      <c r="X1864" s="420"/>
      <c r="Y1864" s="420"/>
      <c r="Z1864" s="1"/>
      <c r="AA1864" s="1"/>
      <c r="AB1864" s="1"/>
      <c r="AC1864" s="1"/>
      <c r="AD1864" s="1"/>
    </row>
    <row r="1865" spans="17:30">
      <c r="Q1865" s="6">
        <v>1835</v>
      </c>
      <c r="R1865" s="7">
        <v>44502</v>
      </c>
      <c r="S1865" s="210">
        <v>4.5</v>
      </c>
      <c r="T1865" s="8">
        <v>1.0001249999999999</v>
      </c>
      <c r="U1865" s="98">
        <v>4.3835695623217097</v>
      </c>
      <c r="V1865" s="106">
        <v>30911.042930395372</v>
      </c>
      <c r="W1865" s="10">
        <v>1.044238483505433</v>
      </c>
      <c r="X1865" s="420"/>
      <c r="Y1865" s="420"/>
      <c r="Z1865" s="1"/>
      <c r="AA1865" s="1"/>
      <c r="AB1865" s="1"/>
      <c r="AC1865" s="1"/>
      <c r="AD1865" s="1"/>
    </row>
    <row r="1866" spans="17:30">
      <c r="Q1866" s="6">
        <v>1836</v>
      </c>
      <c r="R1866" s="7">
        <v>44503</v>
      </c>
      <c r="S1866" s="210">
        <v>4.5</v>
      </c>
      <c r="T1866" s="8">
        <v>1.0001249999999999</v>
      </c>
      <c r="U1866" s="98">
        <v>4.3837242076765204</v>
      </c>
      <c r="V1866" s="106">
        <v>30913.615636184768</v>
      </c>
      <c r="W1866" s="10">
        <v>1.0445057592391782</v>
      </c>
      <c r="X1866" s="420"/>
      <c r="Y1866" s="420"/>
      <c r="Z1866" s="1"/>
      <c r="AA1866" s="1"/>
      <c r="AB1866" s="1"/>
      <c r="AC1866" s="1"/>
      <c r="AD1866" s="1"/>
    </row>
    <row r="1867" spans="17:30">
      <c r="Q1867" s="6">
        <v>1837</v>
      </c>
      <c r="R1867" s="7">
        <v>44504</v>
      </c>
      <c r="S1867" s="210">
        <v>4.5</v>
      </c>
      <c r="T1867" s="8">
        <v>1.0001249999999999</v>
      </c>
      <c r="U1867" s="98">
        <v>4.3838786848927613</v>
      </c>
      <c r="V1867" s="106">
        <v>30916.188556098779</v>
      </c>
      <c r="W1867" s="10">
        <v>1.0447727446871946</v>
      </c>
      <c r="X1867" s="420"/>
      <c r="Y1867" s="420"/>
      <c r="Z1867" s="1"/>
      <c r="AA1867" s="1"/>
      <c r="AB1867" s="1"/>
      <c r="AC1867" s="1"/>
      <c r="AD1867" s="1"/>
    </row>
    <row r="1868" spans="17:30">
      <c r="Q1868" s="6">
        <v>1838</v>
      </c>
      <c r="R1868" s="7">
        <v>44505</v>
      </c>
      <c r="S1868" s="210">
        <v>4.5</v>
      </c>
      <c r="T1868" s="8">
        <v>1.0001249999999999</v>
      </c>
      <c r="U1868" s="98">
        <v>4.3840329942445244</v>
      </c>
      <c r="V1868" s="106">
        <v>30918.761690155228</v>
      </c>
      <c r="W1868" s="10">
        <v>1.0450394403221486</v>
      </c>
      <c r="X1868" s="420"/>
      <c r="Y1868" s="420"/>
      <c r="Z1868" s="1"/>
      <c r="AA1868" s="1"/>
      <c r="AB1868" s="1"/>
      <c r="AC1868" s="1"/>
      <c r="AD1868" s="1"/>
    </row>
    <row r="1869" spans="17:30">
      <c r="Q1869" s="6">
        <v>1839</v>
      </c>
      <c r="R1869" s="7">
        <v>44506</v>
      </c>
      <c r="S1869" s="210">
        <v>4.5</v>
      </c>
      <c r="T1869" s="8">
        <v>1.0001249999999999</v>
      </c>
      <c r="U1869" s="98">
        <v>4.3841871360052576</v>
      </c>
      <c r="V1869" s="106">
        <v>30921.335038371933</v>
      </c>
      <c r="W1869" s="10">
        <v>1.0453058466156628</v>
      </c>
      <c r="X1869" s="420"/>
      <c r="Y1869" s="420"/>
      <c r="Z1869" s="1"/>
      <c r="AA1869" s="1"/>
      <c r="AB1869" s="1"/>
      <c r="AC1869" s="1"/>
      <c r="AD1869" s="1"/>
    </row>
    <row r="1870" spans="17:30">
      <c r="Q1870" s="6">
        <v>1840</v>
      </c>
      <c r="R1870" s="7">
        <v>44507</v>
      </c>
      <c r="S1870" s="210">
        <v>4.5</v>
      </c>
      <c r="T1870" s="8">
        <v>1.0001249999999999</v>
      </c>
      <c r="U1870" s="98">
        <v>4.3843411104478536</v>
      </c>
      <c r="V1870" s="106">
        <v>30923.908600766717</v>
      </c>
      <c r="W1870" s="10">
        <v>1.0455719640383609</v>
      </c>
      <c r="X1870" s="420"/>
      <c r="Y1870" s="420"/>
      <c r="Z1870" s="1"/>
      <c r="AA1870" s="1"/>
      <c r="AB1870" s="1"/>
      <c r="AC1870" s="1"/>
      <c r="AD1870" s="1"/>
    </row>
    <row r="1871" spans="17:30">
      <c r="Q1871" s="6">
        <v>1841</v>
      </c>
      <c r="R1871" s="7">
        <v>44508</v>
      </c>
      <c r="S1871" s="210">
        <v>4.5</v>
      </c>
      <c r="T1871" s="8">
        <v>1.0001249999999999</v>
      </c>
      <c r="U1871" s="98">
        <v>4.3844949178445836</v>
      </c>
      <c r="V1871" s="106">
        <v>30926.48237735741</v>
      </c>
      <c r="W1871" s="10">
        <v>1.045837793059845</v>
      </c>
      <c r="X1871" s="420"/>
      <c r="Y1871" s="420"/>
      <c r="Z1871" s="1"/>
      <c r="AA1871" s="1"/>
      <c r="AB1871" s="1"/>
      <c r="AC1871" s="1"/>
      <c r="AD1871" s="1"/>
    </row>
    <row r="1872" spans="17:30">
      <c r="Q1872" s="6">
        <v>1842</v>
      </c>
      <c r="R1872" s="7">
        <v>44509</v>
      </c>
      <c r="S1872" s="210">
        <v>4.5</v>
      </c>
      <c r="T1872" s="8">
        <v>1.0001249999999999</v>
      </c>
      <c r="U1872" s="98">
        <v>4.3846485584671413</v>
      </c>
      <c r="V1872" s="106">
        <v>30929.056368161833</v>
      </c>
      <c r="W1872" s="10">
        <v>1.0461033341486514</v>
      </c>
      <c r="X1872" s="420"/>
      <c r="Y1872" s="420"/>
      <c r="Z1872" s="1"/>
      <c r="AA1872" s="1"/>
      <c r="AB1872" s="1"/>
      <c r="AC1872" s="1"/>
      <c r="AD1872" s="1"/>
    </row>
    <row r="1873" spans="17:30">
      <c r="Q1873" s="6">
        <v>1843</v>
      </c>
      <c r="R1873" s="7">
        <v>44510</v>
      </c>
      <c r="S1873" s="210">
        <v>4.5</v>
      </c>
      <c r="T1873" s="8">
        <v>1.0001249999999999</v>
      </c>
      <c r="U1873" s="98">
        <v>4.3848020325866433</v>
      </c>
      <c r="V1873" s="106">
        <v>30931.716383722109</v>
      </c>
      <c r="W1873" s="10">
        <v>1.046313070865823</v>
      </c>
      <c r="X1873" s="420"/>
      <c r="Y1873" s="420"/>
      <c r="Z1873" s="1"/>
      <c r="AA1873" s="1"/>
      <c r="AB1873" s="1"/>
      <c r="AC1873" s="1"/>
      <c r="AD1873" s="1"/>
    </row>
    <row r="1874" spans="17:30">
      <c r="Q1874" s="6">
        <v>1844</v>
      </c>
      <c r="R1874" s="7">
        <v>44511</v>
      </c>
      <c r="S1874" s="210">
        <v>4.5</v>
      </c>
      <c r="T1874" s="8">
        <v>1.0001249999999999</v>
      </c>
      <c r="U1874" s="98">
        <v>4.3849553404735842</v>
      </c>
      <c r="V1874" s="106">
        <v>30934.376628053753</v>
      </c>
      <c r="W1874" s="10">
        <v>1.0465225805374567</v>
      </c>
      <c r="X1874" s="420"/>
      <c r="Y1874" s="420"/>
      <c r="Z1874" s="1"/>
      <c r="AA1874" s="1"/>
      <c r="AB1874" s="1"/>
      <c r="AC1874" s="1"/>
      <c r="AD1874" s="1"/>
    </row>
    <row r="1875" spans="17:30">
      <c r="Q1875" s="6">
        <v>1845</v>
      </c>
      <c r="R1875" s="7">
        <v>44512</v>
      </c>
      <c r="S1875" s="210">
        <v>4.5</v>
      </c>
      <c r="T1875" s="8">
        <v>1.0001249999999999</v>
      </c>
      <c r="U1875" s="98">
        <v>4.3851084823979258</v>
      </c>
      <c r="V1875" s="106">
        <v>30937.037101176458</v>
      </c>
      <c r="W1875" s="10">
        <v>1.0467318635320355</v>
      </c>
      <c r="X1875" s="420"/>
      <c r="Y1875" s="420"/>
      <c r="Z1875" s="1"/>
      <c r="AA1875" s="1"/>
      <c r="AB1875" s="1"/>
      <c r="AC1875" s="1"/>
      <c r="AD1875" s="1"/>
    </row>
    <row r="1876" spans="17:30">
      <c r="Q1876" s="6">
        <v>1846</v>
      </c>
      <c r="R1876" s="7">
        <v>44513</v>
      </c>
      <c r="S1876" s="210">
        <v>4.5</v>
      </c>
      <c r="T1876" s="8">
        <v>1.0001249999999999</v>
      </c>
      <c r="U1876" s="98">
        <v>4.3852614586289862</v>
      </c>
      <c r="V1876" s="106">
        <v>30939.697803109881</v>
      </c>
      <c r="W1876" s="10">
        <v>1.0469409202172208</v>
      </c>
      <c r="X1876" s="420"/>
      <c r="Y1876" s="420"/>
      <c r="Z1876" s="1"/>
      <c r="AA1876" s="1"/>
      <c r="AB1876" s="1"/>
      <c r="AC1876" s="1"/>
      <c r="AD1876" s="1"/>
    </row>
    <row r="1877" spans="17:30">
      <c r="Q1877" s="6">
        <v>1847</v>
      </c>
      <c r="R1877" s="7">
        <v>44514</v>
      </c>
      <c r="S1877" s="210">
        <v>4.5</v>
      </c>
      <c r="T1877" s="8">
        <v>1.0001249999999999</v>
      </c>
      <c r="U1877" s="98">
        <v>4.3854142694355502</v>
      </c>
      <c r="V1877" s="106">
        <v>30942.358733873716</v>
      </c>
      <c r="W1877" s="10">
        <v>1.047149750959897</v>
      </c>
      <c r="X1877" s="420"/>
      <c r="Y1877" s="420"/>
      <c r="Z1877" s="1"/>
      <c r="AA1877" s="1"/>
      <c r="AB1877" s="1"/>
      <c r="AC1877" s="1"/>
      <c r="AD1877" s="1"/>
    </row>
    <row r="1878" spans="17:30">
      <c r="Q1878" s="6">
        <v>1848</v>
      </c>
      <c r="R1878" s="7">
        <v>44515</v>
      </c>
      <c r="S1878" s="210">
        <v>4.5</v>
      </c>
      <c r="T1878" s="8">
        <v>1.0001249999999999</v>
      </c>
      <c r="U1878" s="98">
        <v>4.3855669150857812</v>
      </c>
      <c r="V1878" s="106">
        <v>30945.019893487635</v>
      </c>
      <c r="W1878" s="10">
        <v>1.0473583561261712</v>
      </c>
      <c r="X1878" s="420"/>
      <c r="Y1878" s="420"/>
      <c r="Z1878" s="1"/>
      <c r="AA1878" s="1"/>
      <c r="AB1878" s="1"/>
      <c r="AC1878" s="1"/>
      <c r="AD1878" s="1"/>
    </row>
    <row r="1879" spans="17:30">
      <c r="Q1879" s="6">
        <v>1849</v>
      </c>
      <c r="R1879" s="7">
        <v>44516</v>
      </c>
      <c r="S1879" s="210">
        <v>4.5</v>
      </c>
      <c r="T1879" s="8">
        <v>1.0001249999999999</v>
      </c>
      <c r="U1879" s="98">
        <v>4.3857193958473095</v>
      </c>
      <c r="V1879" s="106">
        <v>30947.68128197133</v>
      </c>
      <c r="W1879" s="10">
        <v>1.047566736081329</v>
      </c>
      <c r="X1879" s="420"/>
      <c r="Y1879" s="420"/>
      <c r="Z1879" s="1"/>
      <c r="AA1879" s="1"/>
      <c r="AB1879" s="1"/>
      <c r="AC1879" s="1"/>
      <c r="AD1879" s="1"/>
    </row>
    <row r="1880" spans="17:30">
      <c r="Q1880" s="6">
        <v>1850</v>
      </c>
      <c r="R1880" s="7">
        <v>44517</v>
      </c>
      <c r="S1880" s="210">
        <v>4.5</v>
      </c>
      <c r="T1880" s="8">
        <v>1.0001249999999999</v>
      </c>
      <c r="U1880" s="98">
        <v>4.3858717119871438</v>
      </c>
      <c r="V1880" s="106">
        <v>30950.342899344472</v>
      </c>
      <c r="W1880" s="10">
        <v>1.047774891189901</v>
      </c>
      <c r="X1880" s="420"/>
      <c r="Y1880" s="420"/>
      <c r="Z1880" s="1"/>
      <c r="AA1880" s="1"/>
      <c r="AB1880" s="1"/>
      <c r="AC1880" s="1"/>
      <c r="AD1880" s="1"/>
    </row>
    <row r="1881" spans="17:30">
      <c r="Q1881" s="6">
        <v>1851</v>
      </c>
      <c r="R1881" s="7">
        <v>44518</v>
      </c>
      <c r="S1881" s="210">
        <v>4.5</v>
      </c>
      <c r="T1881" s="8">
        <v>1.0001249999999999</v>
      </c>
      <c r="U1881" s="98">
        <v>4.3860238637717153</v>
      </c>
      <c r="V1881" s="106">
        <v>30953.004745626753</v>
      </c>
      <c r="W1881" s="10">
        <v>1.047982821815574</v>
      </c>
      <c r="X1881" s="420"/>
      <c r="Y1881" s="420"/>
      <c r="Z1881" s="1"/>
      <c r="AA1881" s="1"/>
      <c r="AB1881" s="1"/>
      <c r="AC1881" s="1"/>
      <c r="AD1881" s="1"/>
    </row>
    <row r="1882" spans="17:30">
      <c r="Q1882" s="6">
        <v>1852</v>
      </c>
      <c r="R1882" s="7">
        <v>44519</v>
      </c>
      <c r="S1882" s="210">
        <v>4.5</v>
      </c>
      <c r="T1882" s="8">
        <v>1.0001249999999999</v>
      </c>
      <c r="U1882" s="98">
        <v>4.3861758514669225</v>
      </c>
      <c r="V1882" s="106">
        <v>30955.666820837858</v>
      </c>
      <c r="W1882" s="10">
        <v>1.0481905283213022</v>
      </c>
      <c r="X1882" s="420"/>
      <c r="Y1882" s="420"/>
      <c r="Z1882" s="1"/>
      <c r="AA1882" s="1"/>
      <c r="AB1882" s="1"/>
      <c r="AC1882" s="1"/>
      <c r="AD1882" s="1"/>
    </row>
    <row r="1883" spans="17:30">
      <c r="Q1883" s="6">
        <v>1853</v>
      </c>
      <c r="R1883" s="7">
        <v>44520</v>
      </c>
      <c r="S1883" s="210">
        <v>4.5</v>
      </c>
      <c r="T1883" s="8">
        <v>1.0001249999999999</v>
      </c>
      <c r="U1883" s="98">
        <v>4.3863276753380642</v>
      </c>
      <c r="V1883" s="106">
        <v>30958.329124997475</v>
      </c>
      <c r="W1883" s="10">
        <v>1.0483980110692404</v>
      </c>
      <c r="X1883" s="420"/>
      <c r="Y1883" s="420"/>
      <c r="Z1883" s="1"/>
      <c r="AA1883" s="1"/>
      <c r="AB1883" s="1"/>
      <c r="AC1883" s="1"/>
      <c r="AD1883" s="1"/>
    </row>
    <row r="1884" spans="17:30">
      <c r="Q1884" s="6">
        <v>1854</v>
      </c>
      <c r="R1884" s="7">
        <v>44521</v>
      </c>
      <c r="S1884" s="210">
        <v>4.5</v>
      </c>
      <c r="T1884" s="8">
        <v>1.0001249999999999</v>
      </c>
      <c r="U1884" s="98">
        <v>4.3864793356498843</v>
      </c>
      <c r="V1884" s="106">
        <v>30960.991658125302</v>
      </c>
      <c r="W1884" s="10">
        <v>1.0486052704208104</v>
      </c>
      <c r="X1884" s="420"/>
      <c r="Y1884" s="420"/>
      <c r="Z1884" s="1"/>
      <c r="AA1884" s="1"/>
      <c r="AB1884" s="1"/>
      <c r="AC1884" s="1"/>
      <c r="AD1884" s="1"/>
    </row>
    <row r="1885" spans="17:30">
      <c r="Q1885" s="6">
        <v>1855</v>
      </c>
      <c r="R1885" s="7">
        <v>44522</v>
      </c>
      <c r="S1885" s="210">
        <v>4.5</v>
      </c>
      <c r="T1885" s="8">
        <v>1.0001249999999999</v>
      </c>
      <c r="U1885" s="98">
        <v>4.3866308326665271</v>
      </c>
      <c r="V1885" s="106">
        <v>30963.654420241019</v>
      </c>
      <c r="W1885" s="10">
        <v>1.0488123067365684</v>
      </c>
      <c r="X1885" s="420"/>
      <c r="Y1885" s="420"/>
      <c r="Z1885" s="1"/>
      <c r="AA1885" s="1"/>
      <c r="AB1885" s="1"/>
      <c r="AC1885" s="1"/>
      <c r="AD1885" s="1"/>
    </row>
    <row r="1886" spans="17:30">
      <c r="Q1886" s="6">
        <v>1856</v>
      </c>
      <c r="R1886" s="7">
        <v>44523</v>
      </c>
      <c r="S1886" s="210">
        <v>4.5</v>
      </c>
      <c r="T1886" s="8">
        <v>1.0001249999999999</v>
      </c>
      <c r="U1886" s="98">
        <v>4.3867821666515816</v>
      </c>
      <c r="V1886" s="106">
        <v>30966.317411364333</v>
      </c>
      <c r="W1886" s="10">
        <v>1.0490191203763599</v>
      </c>
      <c r="X1886" s="420"/>
      <c r="Y1886" s="420"/>
      <c r="Z1886" s="1"/>
      <c r="AA1886" s="1"/>
      <c r="AB1886" s="1"/>
      <c r="AC1886" s="1"/>
      <c r="AD1886" s="1"/>
    </row>
    <row r="1887" spans="17:30">
      <c r="Q1887" s="6">
        <v>1857</v>
      </c>
      <c r="R1887" s="7">
        <v>44524</v>
      </c>
      <c r="S1887" s="210">
        <v>4.5</v>
      </c>
      <c r="T1887" s="8">
        <v>1.0001249999999999</v>
      </c>
      <c r="U1887" s="98">
        <v>4.3869333378680819</v>
      </c>
      <c r="V1887" s="106">
        <v>30968.980631514922</v>
      </c>
      <c r="W1887" s="10">
        <v>1.049225711699231</v>
      </c>
      <c r="X1887" s="420"/>
      <c r="Y1887" s="420"/>
      <c r="Z1887" s="1"/>
      <c r="AA1887" s="1"/>
      <c r="AB1887" s="1"/>
      <c r="AC1887" s="1"/>
      <c r="AD1887" s="1"/>
    </row>
    <row r="1888" spans="17:30">
      <c r="Q1888" s="6">
        <v>1858</v>
      </c>
      <c r="R1888" s="7">
        <v>44525</v>
      </c>
      <c r="S1888" s="210">
        <v>4.5</v>
      </c>
      <c r="T1888" s="8">
        <v>1.0001249999999999</v>
      </c>
      <c r="U1888" s="98">
        <v>4.3870843465784848</v>
      </c>
      <c r="V1888" s="106">
        <v>30971.6440807125</v>
      </c>
      <c r="W1888" s="10">
        <v>1.0494320810634727</v>
      </c>
      <c r="X1888" s="420"/>
      <c r="Y1888" s="420"/>
      <c r="Z1888" s="1"/>
      <c r="AA1888" s="1"/>
      <c r="AB1888" s="1"/>
      <c r="AC1888" s="1"/>
      <c r="AD1888" s="1"/>
    </row>
    <row r="1889" spans="17:30">
      <c r="Q1889" s="6">
        <v>1859</v>
      </c>
      <c r="R1889" s="7">
        <v>44526</v>
      </c>
      <c r="S1889" s="210">
        <v>4.5</v>
      </c>
      <c r="T1889" s="8">
        <v>1.0001249999999999</v>
      </c>
      <c r="U1889" s="98">
        <v>4.3872351930446918</v>
      </c>
      <c r="V1889" s="106">
        <v>30974.307758976764</v>
      </c>
      <c r="W1889" s="10">
        <v>1.0496382288265771</v>
      </c>
      <c r="X1889" s="420"/>
      <c r="Y1889" s="420"/>
      <c r="Z1889" s="1"/>
      <c r="AA1889" s="1"/>
      <c r="AB1889" s="1"/>
      <c r="AC1889" s="1"/>
      <c r="AD1889" s="1"/>
    </row>
    <row r="1890" spans="17:30">
      <c r="Q1890" s="6">
        <v>1860</v>
      </c>
      <c r="R1890" s="7">
        <v>44527</v>
      </c>
      <c r="S1890" s="210">
        <v>4.5</v>
      </c>
      <c r="T1890" s="8">
        <v>1.0001249999999999</v>
      </c>
      <c r="U1890" s="98">
        <v>4.3873858775280272</v>
      </c>
      <c r="V1890" s="106">
        <v>30976.971666327401</v>
      </c>
      <c r="W1890" s="10">
        <v>1.0498441553453031</v>
      </c>
      <c r="X1890" s="420"/>
      <c r="Y1890" s="420"/>
      <c r="Z1890" s="1"/>
      <c r="AA1890" s="1"/>
      <c r="AB1890" s="1"/>
      <c r="AC1890" s="1"/>
      <c r="AD1890" s="1"/>
    </row>
    <row r="1891" spans="17:30">
      <c r="Q1891" s="6">
        <v>1861</v>
      </c>
      <c r="R1891" s="7">
        <v>44528</v>
      </c>
      <c r="S1891" s="210">
        <v>4.5</v>
      </c>
      <c r="T1891" s="8">
        <v>1.0001249999999999</v>
      </c>
      <c r="U1891" s="98">
        <v>4.3875364002892603</v>
      </c>
      <c r="V1891" s="106">
        <v>30979.635802784127</v>
      </c>
      <c r="W1891" s="10">
        <v>1.0500498609756326</v>
      </c>
      <c r="X1891" s="420"/>
      <c r="Y1891" s="420"/>
      <c r="Z1891" s="1"/>
      <c r="AA1891" s="1"/>
      <c r="AB1891" s="1"/>
      <c r="AC1891" s="1"/>
      <c r="AD1891" s="1"/>
    </row>
    <row r="1892" spans="17:30">
      <c r="Q1892" s="6">
        <v>1862</v>
      </c>
      <c r="R1892" s="7">
        <v>44529</v>
      </c>
      <c r="S1892" s="210">
        <v>4.5</v>
      </c>
      <c r="T1892" s="8">
        <v>1.0001249999999999</v>
      </c>
      <c r="U1892" s="98">
        <v>4.387686761588605</v>
      </c>
      <c r="V1892" s="106">
        <v>30982.300168366641</v>
      </c>
      <c r="W1892" s="10">
        <v>1.0502553460727482</v>
      </c>
      <c r="X1892" s="420"/>
      <c r="Y1892" s="420"/>
      <c r="Z1892" s="1"/>
      <c r="AA1892" s="1"/>
      <c r="AB1892" s="1"/>
      <c r="AC1892" s="1"/>
      <c r="AD1892" s="1"/>
    </row>
    <row r="1893" spans="17:30">
      <c r="Q1893" s="6">
        <v>1863</v>
      </c>
      <c r="R1893" s="7">
        <v>44530</v>
      </c>
      <c r="S1893" s="210">
        <v>4.5</v>
      </c>
      <c r="T1893" s="8">
        <v>1.0001249999999999</v>
      </c>
      <c r="U1893" s="98">
        <v>4.3878369616857205</v>
      </c>
      <c r="V1893" s="106">
        <v>30984.964763094653</v>
      </c>
      <c r="W1893" s="10">
        <v>1.0504606109911219</v>
      </c>
      <c r="X1893" s="420"/>
      <c r="Y1893" s="420"/>
      <c r="Z1893" s="1"/>
      <c r="AA1893" s="1"/>
      <c r="AB1893" s="1"/>
      <c r="AC1893" s="1"/>
      <c r="AD1893" s="1"/>
    </row>
    <row r="1894" spans="17:30">
      <c r="Q1894" s="6">
        <v>1864</v>
      </c>
      <c r="R1894" s="7">
        <v>44531</v>
      </c>
      <c r="S1894" s="210">
        <v>4.5</v>
      </c>
      <c r="T1894" s="8">
        <v>1.0001249999999999</v>
      </c>
      <c r="U1894" s="98">
        <v>4.3879870008397104</v>
      </c>
      <c r="V1894" s="106">
        <v>30987.629586987863</v>
      </c>
      <c r="W1894" s="10">
        <v>1.0506656560844707</v>
      </c>
      <c r="X1894" s="420"/>
      <c r="Y1894" s="420"/>
      <c r="Z1894" s="1"/>
      <c r="AA1894" s="1"/>
      <c r="AB1894" s="1"/>
      <c r="AC1894" s="1"/>
      <c r="AD1894" s="1"/>
    </row>
    <row r="1895" spans="17:30">
      <c r="Q1895" s="6">
        <v>1865</v>
      </c>
      <c r="R1895" s="7">
        <v>44532</v>
      </c>
      <c r="S1895" s="210">
        <v>4.5</v>
      </c>
      <c r="T1895" s="8">
        <v>1.0001249999999999</v>
      </c>
      <c r="U1895" s="98">
        <v>4.3881368793091236</v>
      </c>
      <c r="V1895" s="106">
        <v>30990.294640065986</v>
      </c>
      <c r="W1895" s="10">
        <v>1.0508704817057346</v>
      </c>
      <c r="X1895" s="420"/>
      <c r="Y1895" s="420"/>
      <c r="Z1895" s="1"/>
      <c r="AA1895" s="1"/>
      <c r="AB1895" s="1"/>
      <c r="AC1895" s="1"/>
      <c r="AD1895" s="1"/>
    </row>
    <row r="1896" spans="17:30">
      <c r="Q1896" s="6">
        <v>1866</v>
      </c>
      <c r="R1896" s="7">
        <v>44533</v>
      </c>
      <c r="S1896" s="210">
        <v>4.5</v>
      </c>
      <c r="T1896" s="8">
        <v>1.0001249999999999</v>
      </c>
      <c r="U1896" s="98">
        <v>4.3882865973519314</v>
      </c>
      <c r="V1896" s="106">
        <v>30992.959922348728</v>
      </c>
      <c r="W1896" s="10">
        <v>1.0510750882070763</v>
      </c>
      <c r="X1896" s="420"/>
      <c r="Y1896" s="420"/>
      <c r="Z1896" s="1"/>
      <c r="AA1896" s="1"/>
      <c r="AB1896" s="1"/>
      <c r="AC1896" s="1"/>
      <c r="AD1896" s="1"/>
    </row>
    <row r="1897" spans="17:30">
      <c r="Q1897" s="6">
        <v>1867</v>
      </c>
      <c r="R1897" s="7">
        <v>44534</v>
      </c>
      <c r="S1897" s="210">
        <v>4.5</v>
      </c>
      <c r="T1897" s="8">
        <v>1.0001249999999999</v>
      </c>
      <c r="U1897" s="98">
        <v>4.3884361552255724</v>
      </c>
      <c r="V1897" s="106">
        <v>30995.625433855806</v>
      </c>
      <c r="W1897" s="10">
        <v>1.0512794759399036</v>
      </c>
      <c r="X1897" s="420"/>
      <c r="Y1897" s="420"/>
      <c r="Z1897" s="1"/>
      <c r="AA1897" s="1"/>
      <c r="AB1897" s="1"/>
      <c r="AC1897" s="1"/>
      <c r="AD1897" s="1"/>
    </row>
    <row r="1898" spans="17:30">
      <c r="Q1898" s="6">
        <v>1868</v>
      </c>
      <c r="R1898" s="7">
        <v>44535</v>
      </c>
      <c r="S1898" s="210">
        <v>4.5</v>
      </c>
      <c r="T1898" s="8">
        <v>1.0001249999999999</v>
      </c>
      <c r="U1898" s="98">
        <v>4.38858555318693</v>
      </c>
      <c r="V1898" s="106">
        <v>30998.291174606929</v>
      </c>
      <c r="W1898" s="10">
        <v>1.0514836452549137</v>
      </c>
      <c r="X1898" s="420"/>
      <c r="Y1898" s="420"/>
      <c r="Z1898" s="1"/>
      <c r="AA1898" s="1"/>
      <c r="AB1898" s="1"/>
      <c r="AC1898" s="1"/>
      <c r="AD1898" s="1"/>
    </row>
    <row r="1899" spans="17:30">
      <c r="Q1899" s="6">
        <v>1869</v>
      </c>
      <c r="R1899" s="7">
        <v>44536</v>
      </c>
      <c r="S1899" s="210">
        <v>4.5</v>
      </c>
      <c r="T1899" s="8">
        <v>1.0001249999999999</v>
      </c>
      <c r="U1899" s="98">
        <v>4.3887347914923547</v>
      </c>
      <c r="V1899" s="106">
        <v>31000.957144621821</v>
      </c>
      <c r="W1899" s="10">
        <v>1.0516875965020267</v>
      </c>
      <c r="X1899" s="420"/>
      <c r="Y1899" s="420"/>
      <c r="Z1899" s="1"/>
      <c r="AA1899" s="1"/>
      <c r="AB1899" s="1"/>
      <c r="AC1899" s="1"/>
      <c r="AD1899" s="1"/>
    </row>
    <row r="1900" spans="17:30">
      <c r="Q1900" s="6">
        <v>1870</v>
      </c>
      <c r="R1900" s="7">
        <v>44537</v>
      </c>
      <c r="S1900" s="210">
        <v>4.5</v>
      </c>
      <c r="T1900" s="8">
        <v>1.0001249999999999</v>
      </c>
      <c r="U1900" s="98">
        <v>4.3888838703976418</v>
      </c>
      <c r="V1900" s="106">
        <v>31003.623343920186</v>
      </c>
      <c r="W1900" s="10">
        <v>1.0518913300304744</v>
      </c>
      <c r="X1900" s="420"/>
      <c r="Y1900" s="420"/>
      <c r="Z1900" s="1"/>
      <c r="AA1900" s="1"/>
      <c r="AB1900" s="1"/>
      <c r="AC1900" s="1"/>
      <c r="AD1900" s="1"/>
    </row>
    <row r="1901" spans="17:30">
      <c r="Q1901" s="6">
        <v>1871</v>
      </c>
      <c r="R1901" s="7">
        <v>44538</v>
      </c>
      <c r="S1901" s="210">
        <v>4.5</v>
      </c>
      <c r="T1901" s="8">
        <v>1.0001249999999999</v>
      </c>
      <c r="U1901" s="98">
        <v>4.3890327901580317</v>
      </c>
      <c r="V1901" s="106">
        <v>31006.289772521759</v>
      </c>
      <c r="W1901" s="10">
        <v>1.0520948461886226</v>
      </c>
      <c r="X1901" s="420"/>
      <c r="Y1901" s="420"/>
      <c r="Z1901" s="1"/>
      <c r="AA1901" s="1"/>
      <c r="AB1901" s="1"/>
      <c r="AC1901" s="1"/>
      <c r="AD1901" s="1"/>
    </row>
    <row r="1902" spans="17:30">
      <c r="Q1902" s="6">
        <v>1872</v>
      </c>
      <c r="R1902" s="7">
        <v>44539</v>
      </c>
      <c r="S1902" s="210">
        <v>4.5</v>
      </c>
      <c r="T1902" s="8">
        <v>1.0001249999999999</v>
      </c>
      <c r="U1902" s="98">
        <v>4.3891815510282095</v>
      </c>
      <c r="V1902" s="106">
        <v>31008.956430446251</v>
      </c>
      <c r="W1902" s="10">
        <v>1.0522981453242153</v>
      </c>
      <c r="X1902" s="420"/>
      <c r="Y1902" s="420"/>
      <c r="Z1902" s="1"/>
      <c r="AA1902" s="1"/>
      <c r="AB1902" s="1"/>
      <c r="AC1902" s="1"/>
      <c r="AD1902" s="1"/>
    </row>
    <row r="1903" spans="17:30">
      <c r="Q1903" s="6">
        <v>1873</v>
      </c>
      <c r="R1903" s="7">
        <v>44540</v>
      </c>
      <c r="S1903" s="210">
        <v>4.5</v>
      </c>
      <c r="T1903" s="8">
        <v>1.0001249999999999</v>
      </c>
      <c r="U1903" s="98">
        <v>4.3893301532623497</v>
      </c>
      <c r="V1903" s="106">
        <v>31011.537285511917</v>
      </c>
      <c r="W1903" s="10">
        <v>1.0525558588169392</v>
      </c>
      <c r="X1903" s="420"/>
      <c r="Y1903" s="420"/>
      <c r="Z1903" s="1"/>
      <c r="AA1903" s="1"/>
      <c r="AB1903" s="1"/>
      <c r="AC1903" s="1"/>
      <c r="AD1903" s="1"/>
    </row>
    <row r="1904" spans="17:30">
      <c r="Q1904" s="6">
        <v>1874</v>
      </c>
      <c r="R1904" s="7">
        <v>44541</v>
      </c>
      <c r="S1904" s="210">
        <v>4.5</v>
      </c>
      <c r="T1904" s="8">
        <v>1.0001249999999999</v>
      </c>
      <c r="U1904" s="98">
        <v>4.3894785971140493</v>
      </c>
      <c r="V1904" s="106">
        <v>31014.118355380451</v>
      </c>
      <c r="W1904" s="10">
        <v>1.0528132979247484</v>
      </c>
      <c r="X1904" s="420"/>
      <c r="Y1904" s="420"/>
      <c r="Z1904" s="1"/>
      <c r="AA1904" s="1"/>
      <c r="AB1904" s="1"/>
      <c r="AC1904" s="1"/>
      <c r="AD1904" s="1"/>
    </row>
    <row r="1905" spans="17:30">
      <c r="Q1905" s="6">
        <v>1875</v>
      </c>
      <c r="R1905" s="7">
        <v>44542</v>
      </c>
      <c r="S1905" s="210">
        <v>4.5</v>
      </c>
      <c r="T1905" s="8">
        <v>1.0001249999999999</v>
      </c>
      <c r="U1905" s="98">
        <v>4.3896268828363949</v>
      </c>
      <c r="V1905" s="106">
        <v>31016.699640069732</v>
      </c>
      <c r="W1905" s="10">
        <v>1.053070463085648</v>
      </c>
      <c r="X1905" s="420"/>
      <c r="Y1905" s="420"/>
      <c r="Z1905" s="1"/>
      <c r="AA1905" s="1"/>
      <c r="AB1905" s="1"/>
      <c r="AC1905" s="1"/>
      <c r="AD1905" s="1"/>
    </row>
    <row r="1906" spans="17:30">
      <c r="Q1906" s="6">
        <v>1876</v>
      </c>
      <c r="R1906" s="7">
        <v>44543</v>
      </c>
      <c r="S1906" s="210">
        <v>4.5</v>
      </c>
      <c r="T1906" s="8">
        <v>1.0001249999999999</v>
      </c>
      <c r="U1906" s="98">
        <v>4.3897750106819178</v>
      </c>
      <c r="V1906" s="106">
        <v>31019.28113959765</v>
      </c>
      <c r="W1906" s="10">
        <v>1.053327354736644</v>
      </c>
      <c r="X1906" s="420"/>
      <c r="Y1906" s="420"/>
      <c r="Z1906" s="1"/>
      <c r="AA1906" s="1"/>
      <c r="AB1906" s="1"/>
      <c r="AC1906" s="1"/>
      <c r="AD1906" s="1"/>
    </row>
    <row r="1907" spans="17:30">
      <c r="Q1907" s="6">
        <v>1877</v>
      </c>
      <c r="R1907" s="7">
        <v>44544</v>
      </c>
      <c r="S1907" s="210">
        <v>4.5</v>
      </c>
      <c r="T1907" s="8">
        <v>1.0001249999999999</v>
      </c>
      <c r="U1907" s="98">
        <v>4.3899229809026385</v>
      </c>
      <c r="V1907" s="106">
        <v>31021.862853982071</v>
      </c>
      <c r="W1907" s="10">
        <v>1.0535839733139207</v>
      </c>
      <c r="X1907" s="420"/>
      <c r="Y1907" s="420"/>
      <c r="Z1907" s="1"/>
      <c r="AA1907" s="1"/>
      <c r="AB1907" s="1"/>
      <c r="AC1907" s="1"/>
      <c r="AD1907" s="1"/>
    </row>
    <row r="1908" spans="17:30">
      <c r="Q1908" s="6">
        <v>1878</v>
      </c>
      <c r="R1908" s="7">
        <v>44545</v>
      </c>
      <c r="S1908" s="210">
        <v>4.5</v>
      </c>
      <c r="T1908" s="8">
        <v>1.0001249999999999</v>
      </c>
      <c r="U1908" s="98">
        <v>4.3900707937499783</v>
      </c>
      <c r="V1908" s="106">
        <v>31024.444783240888</v>
      </c>
      <c r="W1908" s="10">
        <v>1.0538403192525525</v>
      </c>
      <c r="X1908" s="420"/>
      <c r="Y1908" s="420"/>
      <c r="Z1908" s="1"/>
      <c r="AA1908" s="1"/>
      <c r="AB1908" s="1"/>
      <c r="AC1908" s="1"/>
      <c r="AD1908" s="1"/>
    </row>
    <row r="1909" spans="17:30">
      <c r="Q1909" s="6">
        <v>1879</v>
      </c>
      <c r="R1909" s="7">
        <v>44546</v>
      </c>
      <c r="S1909" s="210">
        <v>4.5</v>
      </c>
      <c r="T1909" s="8">
        <v>1.0001249999999999</v>
      </c>
      <c r="U1909" s="98">
        <v>4.3902184494748919</v>
      </c>
      <c r="V1909" s="106">
        <v>31027.026927391977</v>
      </c>
      <c r="W1909" s="10">
        <v>1.0540963929868585</v>
      </c>
      <c r="X1909" s="420"/>
      <c r="Y1909" s="420"/>
      <c r="Z1909" s="1"/>
      <c r="AA1909" s="1"/>
      <c r="AB1909" s="1"/>
      <c r="AC1909" s="1"/>
      <c r="AD1909" s="1"/>
    </row>
    <row r="1910" spans="17:30">
      <c r="Q1910" s="6">
        <v>1880</v>
      </c>
      <c r="R1910" s="7">
        <v>44547</v>
      </c>
      <c r="S1910" s="210">
        <v>4.5</v>
      </c>
      <c r="T1910" s="8">
        <v>1.0001249999999999</v>
      </c>
      <c r="U1910" s="98">
        <v>4.390365948327779</v>
      </c>
      <c r="V1910" s="106">
        <v>31029.609286453222</v>
      </c>
      <c r="W1910" s="10">
        <v>1.0543521949501811</v>
      </c>
      <c r="X1910" s="420"/>
      <c r="Y1910" s="420"/>
      <c r="Z1910" s="1"/>
      <c r="AA1910" s="1"/>
      <c r="AB1910" s="1"/>
      <c r="AC1910" s="1"/>
      <c r="AD1910" s="1"/>
    </row>
    <row r="1911" spans="17:30">
      <c r="Q1911" s="6">
        <v>1881</v>
      </c>
      <c r="R1911" s="7">
        <v>44548</v>
      </c>
      <c r="S1911" s="210">
        <v>4.5</v>
      </c>
      <c r="T1911" s="8">
        <v>1.0001249999999999</v>
      </c>
      <c r="U1911" s="98">
        <v>4.3905132905584843</v>
      </c>
      <c r="V1911" s="106">
        <v>31032.191860442519</v>
      </c>
      <c r="W1911" s="10">
        <v>1.0546077255749076</v>
      </c>
      <c r="X1911" s="420"/>
      <c r="Y1911" s="420"/>
      <c r="Z1911" s="1"/>
      <c r="AA1911" s="1"/>
      <c r="AB1911" s="1"/>
      <c r="AC1911" s="1"/>
      <c r="AD1911" s="1"/>
    </row>
    <row r="1912" spans="17:30">
      <c r="Q1912" s="6">
        <v>1882</v>
      </c>
      <c r="R1912" s="7">
        <v>44549</v>
      </c>
      <c r="S1912" s="210">
        <v>4.5</v>
      </c>
      <c r="T1912" s="8">
        <v>1.0001249999999999</v>
      </c>
      <c r="U1912" s="98">
        <v>4.3906604764163415</v>
      </c>
      <c r="V1912" s="106">
        <v>31034.774649377752</v>
      </c>
      <c r="W1912" s="10">
        <v>1.0548629852925595</v>
      </c>
      <c r="X1912" s="420"/>
      <c r="Y1912" s="420"/>
      <c r="Z1912" s="1"/>
      <c r="AA1912" s="1"/>
      <c r="AB1912" s="1"/>
      <c r="AC1912" s="1"/>
      <c r="AD1912" s="1"/>
    </row>
    <row r="1913" spans="17:30">
      <c r="Q1913" s="6">
        <v>1883</v>
      </c>
      <c r="R1913" s="7">
        <v>44550</v>
      </c>
      <c r="S1913" s="210">
        <v>4.5</v>
      </c>
      <c r="T1913" s="8">
        <v>1.0001249999999999</v>
      </c>
      <c r="U1913" s="98">
        <v>4.3908075061501517</v>
      </c>
      <c r="V1913" s="106">
        <v>31037.357653276817</v>
      </c>
      <c r="W1913" s="10">
        <v>1.0551179745336814</v>
      </c>
      <c r="X1913" s="420"/>
      <c r="Y1913" s="420"/>
      <c r="Z1913" s="1"/>
      <c r="AA1913" s="1"/>
      <c r="AB1913" s="1"/>
      <c r="AC1913" s="1"/>
      <c r="AD1913" s="1"/>
    </row>
    <row r="1914" spans="17:30">
      <c r="Q1914" s="6">
        <v>1884</v>
      </c>
      <c r="R1914" s="7">
        <v>44551</v>
      </c>
      <c r="S1914" s="210">
        <v>4.5</v>
      </c>
      <c r="T1914" s="8">
        <v>1.0001249999999999</v>
      </c>
      <c r="U1914" s="98">
        <v>4.3909543800082051</v>
      </c>
      <c r="V1914" s="106">
        <v>31039.940872157589</v>
      </c>
      <c r="W1914" s="10">
        <v>1.0553726937279739</v>
      </c>
      <c r="X1914" s="420"/>
      <c r="Y1914" s="420"/>
      <c r="Z1914" s="1"/>
      <c r="AA1914" s="1"/>
      <c r="AB1914" s="1"/>
      <c r="AC1914" s="1"/>
      <c r="AD1914" s="1"/>
    </row>
    <row r="1915" spans="17:30">
      <c r="Q1915" s="6">
        <v>1885</v>
      </c>
      <c r="R1915" s="7">
        <v>44552</v>
      </c>
      <c r="S1915" s="210">
        <v>4.5</v>
      </c>
      <c r="T1915" s="8">
        <v>1.0001249999999999</v>
      </c>
      <c r="U1915" s="98">
        <v>4.391101098238237</v>
      </c>
      <c r="V1915" s="106">
        <v>31042.52430603798</v>
      </c>
      <c r="W1915" s="10">
        <v>1.0556271433042053</v>
      </c>
      <c r="X1915" s="420"/>
      <c r="Y1915" s="420"/>
      <c r="Z1915" s="1"/>
      <c r="AA1915" s="1"/>
      <c r="AB1915" s="1"/>
      <c r="AC1915" s="1"/>
      <c r="AD1915" s="1"/>
    </row>
    <row r="1916" spans="17:30">
      <c r="Q1916" s="6">
        <v>1886</v>
      </c>
      <c r="R1916" s="7">
        <v>44553</v>
      </c>
      <c r="S1916" s="210">
        <v>4.5</v>
      </c>
      <c r="T1916" s="8">
        <v>1.0001249999999999</v>
      </c>
      <c r="U1916" s="98">
        <v>4.391247661087494</v>
      </c>
      <c r="V1916" s="106">
        <v>31045.107954935866</v>
      </c>
      <c r="W1916" s="10">
        <v>1.0558813236902331</v>
      </c>
      <c r="X1916" s="420"/>
      <c r="Y1916" s="420"/>
      <c r="Z1916" s="1"/>
      <c r="AA1916" s="1"/>
      <c r="AB1916" s="1"/>
      <c r="AC1916" s="1"/>
      <c r="AD1916" s="1"/>
    </row>
    <row r="1917" spans="17:30">
      <c r="Q1917" s="6">
        <v>1887</v>
      </c>
      <c r="R1917" s="7">
        <v>44554</v>
      </c>
      <c r="S1917" s="210">
        <v>4.5</v>
      </c>
      <c r="T1917" s="8">
        <v>1.0001249999999999</v>
      </c>
      <c r="U1917" s="98">
        <v>4.3913940688026454</v>
      </c>
      <c r="V1917" s="106">
        <v>31047.69181886916</v>
      </c>
      <c r="W1917" s="10">
        <v>1.0561352353129827</v>
      </c>
      <c r="X1917" s="420"/>
      <c r="Y1917" s="420"/>
      <c r="Z1917" s="1"/>
      <c r="AA1917" s="1"/>
      <c r="AB1917" s="1"/>
      <c r="AC1917" s="1"/>
      <c r="AD1917" s="1"/>
    </row>
    <row r="1918" spans="17:30">
      <c r="Q1918" s="6">
        <v>1888</v>
      </c>
      <c r="R1918" s="7">
        <v>44555</v>
      </c>
      <c r="S1918" s="210">
        <v>4.5</v>
      </c>
      <c r="T1918" s="8">
        <v>1.0001249999999999</v>
      </c>
      <c r="U1918" s="98">
        <v>4.3915403216298943</v>
      </c>
      <c r="V1918" s="106">
        <v>31050.275897855747</v>
      </c>
      <c r="W1918" s="10">
        <v>1.0563888785985132</v>
      </c>
      <c r="X1918" s="420"/>
      <c r="Y1918" s="420"/>
      <c r="Z1918" s="1"/>
      <c r="AA1918" s="1"/>
      <c r="AB1918" s="1"/>
      <c r="AC1918" s="1"/>
      <c r="AD1918" s="1"/>
    </row>
    <row r="1919" spans="17:30">
      <c r="Q1919" s="6">
        <v>1889</v>
      </c>
      <c r="R1919" s="7">
        <v>44556</v>
      </c>
      <c r="S1919" s="210">
        <v>4.5</v>
      </c>
      <c r="T1919" s="8">
        <v>1.0001249999999999</v>
      </c>
      <c r="U1919" s="98">
        <v>4.3916864198148886</v>
      </c>
      <c r="V1919" s="106">
        <v>31052.860191913525</v>
      </c>
      <c r="W1919" s="10">
        <v>1.0566422539719955</v>
      </c>
      <c r="X1919" s="420"/>
      <c r="Y1919" s="420"/>
      <c r="Z1919" s="1"/>
      <c r="AA1919" s="1"/>
      <c r="AB1919" s="1"/>
      <c r="AC1919" s="1"/>
      <c r="AD1919" s="1"/>
    </row>
    <row r="1920" spans="17:30">
      <c r="Q1920" s="6">
        <v>1890</v>
      </c>
      <c r="R1920" s="7">
        <v>44557</v>
      </c>
      <c r="S1920" s="210">
        <v>4.5</v>
      </c>
      <c r="T1920" s="8">
        <v>1.0001249999999999</v>
      </c>
      <c r="U1920" s="98">
        <v>4.3918323636027878</v>
      </c>
      <c r="V1920" s="106">
        <v>31055.444701060409</v>
      </c>
      <c r="W1920" s="10">
        <v>1.056895361857646</v>
      </c>
      <c r="X1920" s="420"/>
      <c r="Y1920" s="420"/>
      <c r="Z1920" s="1"/>
      <c r="AA1920" s="1"/>
      <c r="AB1920" s="1"/>
      <c r="AC1920" s="1"/>
      <c r="AD1920" s="1"/>
    </row>
    <row r="1921" spans="17:30">
      <c r="Q1921" s="6">
        <v>1891</v>
      </c>
      <c r="R1921" s="7">
        <v>44558</v>
      </c>
      <c r="S1921" s="210">
        <v>4.5</v>
      </c>
      <c r="T1921" s="8">
        <v>1.0001249999999999</v>
      </c>
      <c r="U1921" s="98">
        <v>4.3919781532381963</v>
      </c>
      <c r="V1921" s="106">
        <v>31058.029425314286</v>
      </c>
      <c r="W1921" s="10">
        <v>1.0571482026788592</v>
      </c>
      <c r="X1921" s="420"/>
      <c r="Y1921" s="420"/>
      <c r="Z1921" s="1"/>
      <c r="AA1921" s="1"/>
      <c r="AB1921" s="1"/>
      <c r="AC1921" s="1"/>
      <c r="AD1921" s="1"/>
    </row>
    <row r="1922" spans="17:30">
      <c r="Q1922" s="6">
        <v>1892</v>
      </c>
      <c r="R1922" s="7">
        <v>44559</v>
      </c>
      <c r="S1922" s="210">
        <v>4.5</v>
      </c>
      <c r="T1922" s="8">
        <v>1.0001249999999999</v>
      </c>
      <c r="U1922" s="98">
        <v>4.3921237889652076</v>
      </c>
      <c r="V1922" s="106">
        <v>31060.614364693065</v>
      </c>
      <c r="W1922" s="10">
        <v>1.0574007768580529</v>
      </c>
      <c r="X1922" s="420"/>
      <c r="Y1922" s="420"/>
      <c r="Z1922" s="1"/>
      <c r="AA1922" s="1"/>
      <c r="AB1922" s="1"/>
      <c r="AC1922" s="1"/>
      <c r="AD1922" s="1"/>
    </row>
    <row r="1923" spans="17:30">
      <c r="Q1923" s="6">
        <v>1893</v>
      </c>
      <c r="R1923" s="7">
        <v>44560</v>
      </c>
      <c r="S1923" s="210">
        <v>4.5</v>
      </c>
      <c r="T1923" s="8">
        <v>1.0001249999999999</v>
      </c>
      <c r="U1923" s="98">
        <v>4.3922692710274269</v>
      </c>
      <c r="V1923" s="106">
        <v>31063.199519214646</v>
      </c>
      <c r="W1923" s="10">
        <v>1.0576530848168231</v>
      </c>
      <c r="X1923" s="420"/>
      <c r="Y1923" s="420"/>
      <c r="Z1923" s="1"/>
      <c r="AA1923" s="1"/>
      <c r="AB1923" s="1"/>
      <c r="AC1923" s="1"/>
      <c r="AD1923" s="1"/>
    </row>
    <row r="1924" spans="17:30">
      <c r="Q1924" s="6">
        <v>1894</v>
      </c>
      <c r="R1924" s="7">
        <v>44561</v>
      </c>
      <c r="S1924" s="210">
        <v>4.5</v>
      </c>
      <c r="T1924" s="8">
        <v>1.0001249999999999</v>
      </c>
      <c r="U1924" s="98">
        <v>4.3924145996679265</v>
      </c>
      <c r="V1924" s="106">
        <v>31065.784888896946</v>
      </c>
      <c r="W1924" s="10">
        <v>1.0579051269758333</v>
      </c>
      <c r="X1924" s="420"/>
      <c r="Y1924" s="420"/>
      <c r="Z1924" s="1"/>
      <c r="AA1924" s="1"/>
      <c r="AB1924" s="1"/>
      <c r="AC1924" s="1"/>
      <c r="AD1924" s="1"/>
    </row>
    <row r="1925" spans="17:30">
      <c r="Q1925" s="6">
        <v>1895</v>
      </c>
      <c r="R1925" s="7">
        <v>44562</v>
      </c>
      <c r="S1925" s="210">
        <v>4.5</v>
      </c>
      <c r="T1925" s="8">
        <v>1.0001249999999999</v>
      </c>
      <c r="U1925" s="98">
        <v>4.39255977512929</v>
      </c>
      <c r="V1925" s="106">
        <v>31068.370473757856</v>
      </c>
      <c r="W1925" s="10">
        <v>1.0581569037549254</v>
      </c>
      <c r="X1925" s="420"/>
      <c r="Y1925" s="420"/>
      <c r="Z1925" s="1"/>
      <c r="AA1925" s="1"/>
      <c r="AB1925" s="1"/>
      <c r="AC1925" s="1"/>
      <c r="AD1925" s="1"/>
    </row>
    <row r="1926" spans="17:30">
      <c r="Q1926" s="6">
        <v>1896</v>
      </c>
      <c r="R1926" s="7">
        <v>44563</v>
      </c>
      <c r="S1926" s="210">
        <v>4.5</v>
      </c>
      <c r="T1926" s="8">
        <v>1.0001249999999999</v>
      </c>
      <c r="U1926" s="98">
        <v>4.392704797653546</v>
      </c>
      <c r="V1926" s="106">
        <v>31070.956273815307</v>
      </c>
      <c r="W1926" s="10">
        <v>1.0584084155729645</v>
      </c>
      <c r="X1926" s="420"/>
      <c r="Y1926" s="420"/>
      <c r="Z1926" s="1"/>
      <c r="AA1926" s="1"/>
      <c r="AB1926" s="1"/>
      <c r="AC1926" s="1"/>
      <c r="AD1926" s="1"/>
    </row>
    <row r="1927" spans="17:30">
      <c r="Q1927" s="6">
        <v>1897</v>
      </c>
      <c r="R1927" s="7">
        <v>44564</v>
      </c>
      <c r="S1927" s="210">
        <v>4.5</v>
      </c>
      <c r="T1927" s="8">
        <v>1.0001249999999999</v>
      </c>
      <c r="U1927" s="98">
        <v>4.3928496674822348</v>
      </c>
      <c r="V1927" s="106">
        <v>31073.542289087185</v>
      </c>
      <c r="W1927" s="10">
        <v>1.058659662848016</v>
      </c>
      <c r="X1927" s="420"/>
      <c r="Y1927" s="420"/>
      <c r="Z1927" s="1"/>
      <c r="AA1927" s="1"/>
      <c r="AB1927" s="1"/>
      <c r="AC1927" s="1"/>
      <c r="AD1927" s="1"/>
    </row>
    <row r="1928" spans="17:30">
      <c r="Q1928" s="6">
        <v>1898</v>
      </c>
      <c r="R1928" s="7">
        <v>44565</v>
      </c>
      <c r="S1928" s="210">
        <v>4.5</v>
      </c>
      <c r="T1928" s="8">
        <v>1.0001249999999999</v>
      </c>
      <c r="U1928" s="98">
        <v>4.3929943848564079</v>
      </c>
      <c r="V1928" s="106">
        <v>31076.128519591421</v>
      </c>
      <c r="W1928" s="10">
        <v>1.0589106459972131</v>
      </c>
      <c r="X1928" s="420"/>
      <c r="Y1928" s="420"/>
      <c r="Z1928" s="1"/>
      <c r="AA1928" s="1"/>
      <c r="AB1928" s="1"/>
      <c r="AC1928" s="1"/>
      <c r="AD1928" s="1"/>
    </row>
    <row r="1929" spans="17:30">
      <c r="Q1929" s="6">
        <v>1899</v>
      </c>
      <c r="R1929" s="7">
        <v>44566</v>
      </c>
      <c r="S1929" s="210">
        <v>4.5</v>
      </c>
      <c r="T1929" s="8">
        <v>1.0001249999999999</v>
      </c>
      <c r="U1929" s="98">
        <v>4.3931389500165841</v>
      </c>
      <c r="V1929" s="106">
        <v>31078.714965345924</v>
      </c>
      <c r="W1929" s="10">
        <v>1.0591613654368448</v>
      </c>
      <c r="X1929" s="420"/>
      <c r="Y1929" s="420"/>
      <c r="Z1929" s="1"/>
      <c r="AA1929" s="1"/>
      <c r="AB1929" s="1"/>
      <c r="AC1929" s="1"/>
      <c r="AD1929" s="1"/>
    </row>
    <row r="1930" spans="17:30">
      <c r="Q1930" s="6">
        <v>1900</v>
      </c>
      <c r="R1930" s="7">
        <v>44567</v>
      </c>
      <c r="S1930" s="210">
        <v>4.5</v>
      </c>
      <c r="T1930" s="8">
        <v>1.0001249999999999</v>
      </c>
      <c r="U1930" s="98">
        <v>4.3932833632027934</v>
      </c>
      <c r="V1930" s="106">
        <v>31081.301626368608</v>
      </c>
      <c r="W1930" s="10">
        <v>1.0594118215823345</v>
      </c>
      <c r="X1930" s="420"/>
      <c r="Y1930" s="420"/>
      <c r="Z1930" s="1"/>
      <c r="AA1930" s="1"/>
      <c r="AB1930" s="1"/>
      <c r="AC1930" s="1"/>
      <c r="AD1930" s="1"/>
    </row>
    <row r="1931" spans="17:30">
      <c r="Q1931" s="6">
        <v>1901</v>
      </c>
      <c r="R1931" s="7">
        <v>44568</v>
      </c>
      <c r="S1931" s="210">
        <v>4.5</v>
      </c>
      <c r="T1931" s="8">
        <v>1.0001249999999999</v>
      </c>
      <c r="U1931" s="98">
        <v>4.3934276246545556</v>
      </c>
      <c r="V1931" s="106">
        <v>31083.888502677386</v>
      </c>
      <c r="W1931" s="10">
        <v>1.0596620148481728</v>
      </c>
      <c r="X1931" s="420"/>
      <c r="Y1931" s="420"/>
      <c r="Z1931" s="1"/>
      <c r="AA1931" s="1"/>
      <c r="AB1931" s="1"/>
      <c r="AC1931" s="1"/>
      <c r="AD1931" s="1"/>
    </row>
    <row r="1932" spans="17:30">
      <c r="Q1932" s="6">
        <v>1902</v>
      </c>
      <c r="R1932" s="7">
        <v>44569</v>
      </c>
      <c r="S1932" s="210">
        <v>4.5</v>
      </c>
      <c r="T1932" s="8">
        <v>1.0001249999999999</v>
      </c>
      <c r="U1932" s="98">
        <v>4.3935717346108571</v>
      </c>
      <c r="V1932" s="106">
        <v>31086.475594290179</v>
      </c>
      <c r="W1932" s="10">
        <v>1.0599119456480288</v>
      </c>
      <c r="X1932" s="420"/>
      <c r="Y1932" s="420"/>
      <c r="Z1932" s="1"/>
      <c r="AA1932" s="1"/>
      <c r="AB1932" s="1"/>
      <c r="AC1932" s="1"/>
      <c r="AD1932" s="1"/>
    </row>
    <row r="1933" spans="17:30">
      <c r="Q1933" s="6">
        <v>1903</v>
      </c>
      <c r="R1933" s="7">
        <v>44570</v>
      </c>
      <c r="S1933" s="210">
        <v>4.5</v>
      </c>
      <c r="T1933" s="8">
        <v>1.0001249999999999</v>
      </c>
      <c r="U1933" s="98">
        <v>4.3937156933102406</v>
      </c>
      <c r="V1933" s="106">
        <v>31089.062901224905</v>
      </c>
      <c r="W1933" s="10">
        <v>1.0601616143947057</v>
      </c>
      <c r="X1933" s="420"/>
      <c r="Y1933" s="420"/>
      <c r="Z1933" s="1"/>
      <c r="AA1933" s="1"/>
      <c r="AB1933" s="1"/>
      <c r="AC1933" s="1"/>
      <c r="AD1933" s="1"/>
    </row>
    <row r="1934" spans="17:30">
      <c r="Q1934" s="6">
        <v>1904</v>
      </c>
      <c r="R1934" s="7">
        <v>44571</v>
      </c>
      <c r="S1934" s="210">
        <v>4.5</v>
      </c>
      <c r="T1934" s="8">
        <v>1.0001249999999999</v>
      </c>
      <c r="U1934" s="98">
        <v>4.3938595009907155</v>
      </c>
      <c r="V1934" s="106">
        <v>31091.650423499486</v>
      </c>
      <c r="W1934" s="10">
        <v>1.0604110215001405</v>
      </c>
      <c r="X1934" s="420"/>
      <c r="Y1934" s="420"/>
      <c r="Z1934" s="1"/>
      <c r="AA1934" s="1"/>
      <c r="AB1934" s="1"/>
      <c r="AC1934" s="1"/>
      <c r="AD1934" s="1"/>
    </row>
    <row r="1935" spans="17:30">
      <c r="Q1935" s="6">
        <v>1905</v>
      </c>
      <c r="R1935" s="7">
        <v>44572</v>
      </c>
      <c r="S1935" s="210">
        <v>4.5</v>
      </c>
      <c r="T1935" s="8">
        <v>1.0001249999999999</v>
      </c>
      <c r="U1935" s="98">
        <v>4.3940031578897809</v>
      </c>
      <c r="V1935" s="106">
        <v>31094.238161131852</v>
      </c>
      <c r="W1935" s="10">
        <v>1.0606601673753824</v>
      </c>
      <c r="X1935" s="420"/>
      <c r="Y1935" s="420"/>
      <c r="Z1935" s="1"/>
      <c r="AA1935" s="1"/>
      <c r="AB1935" s="1"/>
      <c r="AC1935" s="1"/>
      <c r="AD1935" s="1"/>
    </row>
    <row r="1936" spans="17:30">
      <c r="Q1936" s="6">
        <v>1906</v>
      </c>
      <c r="R1936" s="7">
        <v>44573</v>
      </c>
      <c r="S1936" s="210">
        <v>4.5</v>
      </c>
      <c r="T1936" s="8">
        <v>1.0001249999999999</v>
      </c>
      <c r="U1936" s="98">
        <v>4.3941466642444693</v>
      </c>
      <c r="V1936" s="106">
        <v>31096.826114139913</v>
      </c>
      <c r="W1936" s="10">
        <v>1.0609090524306586</v>
      </c>
      <c r="X1936" s="420"/>
      <c r="Y1936" s="420"/>
      <c r="Z1936" s="1"/>
      <c r="AA1936" s="1"/>
      <c r="AB1936" s="1"/>
      <c r="AC1936" s="1"/>
      <c r="AD1936" s="1"/>
    </row>
    <row r="1937" spans="17:30">
      <c r="Q1937" s="6">
        <v>1907</v>
      </c>
      <c r="R1937" s="7">
        <v>44574</v>
      </c>
      <c r="S1937" s="210">
        <v>4.5</v>
      </c>
      <c r="T1937" s="8">
        <v>1.0001249999999999</v>
      </c>
      <c r="U1937" s="98">
        <v>4.3942900202912805</v>
      </c>
      <c r="V1937" s="106">
        <v>31099.414282541613</v>
      </c>
      <c r="W1937" s="10">
        <v>1.061157677075264</v>
      </c>
      <c r="X1937" s="420"/>
      <c r="Y1937" s="420"/>
      <c r="Z1937" s="1"/>
      <c r="AA1937" s="1"/>
      <c r="AB1937" s="1"/>
      <c r="AC1937" s="1"/>
      <c r="AD1937" s="1"/>
    </row>
    <row r="1938" spans="17:30">
      <c r="Q1938" s="6">
        <v>1908</v>
      </c>
      <c r="R1938" s="7">
        <v>44575</v>
      </c>
      <c r="S1938" s="210">
        <v>4.5</v>
      </c>
      <c r="T1938" s="8">
        <v>1.0001249999999999</v>
      </c>
      <c r="U1938" s="98">
        <v>4.3944332262662478</v>
      </c>
      <c r="V1938" s="106">
        <v>31102.002666354856</v>
      </c>
      <c r="W1938" s="10">
        <v>1.0614060417177607</v>
      </c>
      <c r="X1938" s="420"/>
      <c r="Y1938" s="420"/>
      <c r="Z1938" s="1"/>
      <c r="AA1938" s="1"/>
      <c r="AB1938" s="1"/>
      <c r="AC1938" s="1"/>
      <c r="AD1938" s="1"/>
    </row>
    <row r="1939" spans="17:30">
      <c r="Q1939" s="6">
        <v>1909</v>
      </c>
      <c r="R1939" s="7">
        <v>44576</v>
      </c>
      <c r="S1939" s="210">
        <v>4.5</v>
      </c>
      <c r="T1939" s="8">
        <v>1.0001249999999999</v>
      </c>
      <c r="U1939" s="98">
        <v>4.394576282404894</v>
      </c>
      <c r="V1939" s="106">
        <v>31104.591265597592</v>
      </c>
      <c r="W1939" s="10">
        <v>1.0616541467657115</v>
      </c>
      <c r="X1939" s="420"/>
      <c r="Y1939" s="420"/>
      <c r="Z1939" s="1"/>
      <c r="AA1939" s="1"/>
      <c r="AB1939" s="1"/>
      <c r="AC1939" s="1"/>
      <c r="AD1939" s="1"/>
    </row>
    <row r="1940" spans="17:30">
      <c r="Q1940" s="6">
        <v>1910</v>
      </c>
      <c r="R1940" s="7">
        <v>44577</v>
      </c>
      <c r="S1940" s="210">
        <v>4.5</v>
      </c>
      <c r="T1940" s="8">
        <v>1.0001249999999999</v>
      </c>
      <c r="U1940" s="98">
        <v>4.3947191889422754</v>
      </c>
      <c r="V1940" s="106">
        <v>31107.180080287737</v>
      </c>
      <c r="W1940" s="10">
        <v>1.0619019926259687</v>
      </c>
      <c r="X1940" s="420"/>
      <c r="Y1940" s="420"/>
      <c r="Z1940" s="1"/>
      <c r="AA1940" s="1"/>
      <c r="AB1940" s="1"/>
      <c r="AC1940" s="1"/>
      <c r="AD1940" s="1"/>
    </row>
    <row r="1941" spans="17:30">
      <c r="Q1941" s="6">
        <v>1911</v>
      </c>
      <c r="R1941" s="7">
        <v>44578</v>
      </c>
      <c r="S1941" s="210">
        <v>4.5</v>
      </c>
      <c r="T1941" s="8">
        <v>1.0001249999999999</v>
      </c>
      <c r="U1941" s="98">
        <v>4.3948619461129379</v>
      </c>
      <c r="V1941" s="106">
        <v>31109.769110443227</v>
      </c>
      <c r="W1941" s="10">
        <v>1.0621495797044522</v>
      </c>
      <c r="X1941" s="420"/>
      <c r="Y1941" s="420"/>
      <c r="Z1941" s="1"/>
      <c r="AA1941" s="1"/>
      <c r="AB1941" s="1"/>
      <c r="AC1941" s="1"/>
      <c r="AD1941" s="1"/>
    </row>
    <row r="1942" spans="17:30">
      <c r="Q1942" s="6">
        <v>1912</v>
      </c>
      <c r="R1942" s="7">
        <v>44579</v>
      </c>
      <c r="S1942" s="210">
        <v>4.5</v>
      </c>
      <c r="T1942" s="8">
        <v>1.0001249999999999</v>
      </c>
      <c r="U1942" s="98">
        <v>4.3950045541509164</v>
      </c>
      <c r="V1942" s="106">
        <v>31112.358356081997</v>
      </c>
      <c r="W1942" s="10">
        <v>1.0623969084062379</v>
      </c>
      <c r="X1942" s="420"/>
      <c r="Y1942" s="420"/>
      <c r="Z1942" s="1"/>
      <c r="AA1942" s="1"/>
      <c r="AB1942" s="1"/>
      <c r="AC1942" s="1"/>
      <c r="AD1942" s="1"/>
    </row>
    <row r="1943" spans="17:30">
      <c r="Q1943" s="6">
        <v>1913</v>
      </c>
      <c r="R1943" s="7">
        <v>44580</v>
      </c>
      <c r="S1943" s="210">
        <v>4.5</v>
      </c>
      <c r="T1943" s="8">
        <v>1.0001249999999999</v>
      </c>
      <c r="U1943" s="98">
        <v>4.3951470132897796</v>
      </c>
      <c r="V1943" s="106">
        <v>31114.947817221979</v>
      </c>
      <c r="W1943" s="10">
        <v>1.0626439791355358</v>
      </c>
      <c r="X1943" s="420"/>
      <c r="Y1943" s="420"/>
      <c r="Z1943" s="1"/>
      <c r="AA1943" s="1"/>
      <c r="AB1943" s="1"/>
      <c r="AC1943" s="1"/>
      <c r="AD1943" s="1"/>
    </row>
    <row r="1944" spans="17:30">
      <c r="Q1944" s="6">
        <v>1914</v>
      </c>
      <c r="R1944" s="7">
        <v>44581</v>
      </c>
      <c r="S1944" s="210">
        <v>4.5</v>
      </c>
      <c r="T1944" s="8">
        <v>1.0001249999999999</v>
      </c>
      <c r="U1944" s="98">
        <v>4.39528932376263</v>
      </c>
      <c r="V1944" s="106">
        <v>31117.537493881118</v>
      </c>
      <c r="W1944" s="10">
        <v>1.0628907922958009</v>
      </c>
      <c r="X1944" s="420"/>
      <c r="Y1944" s="420"/>
      <c r="Z1944" s="1"/>
      <c r="AA1944" s="1"/>
      <c r="AB1944" s="1"/>
      <c r="AC1944" s="1"/>
      <c r="AD1944" s="1"/>
    </row>
    <row r="1945" spans="17:30">
      <c r="Q1945" s="6">
        <v>1915</v>
      </c>
      <c r="R1945" s="7">
        <v>44582</v>
      </c>
      <c r="S1945" s="210">
        <v>4.5</v>
      </c>
      <c r="T1945" s="8">
        <v>1.0001249999999999</v>
      </c>
      <c r="U1945" s="98">
        <v>4.3954314858020371</v>
      </c>
      <c r="V1945" s="106">
        <v>31120.127386077329</v>
      </c>
      <c r="W1945" s="10">
        <v>1.0631373482895556</v>
      </c>
      <c r="X1945" s="420"/>
      <c r="Y1945" s="420"/>
      <c r="Z1945" s="1"/>
      <c r="AA1945" s="1"/>
      <c r="AB1945" s="1"/>
      <c r="AC1945" s="1"/>
      <c r="AD1945" s="1"/>
    </row>
    <row r="1946" spans="17:30">
      <c r="Q1946" s="6">
        <v>1916</v>
      </c>
      <c r="R1946" s="7">
        <v>44583</v>
      </c>
      <c r="S1946" s="210">
        <v>4.5</v>
      </c>
      <c r="T1946" s="8">
        <v>1.0001249999999999</v>
      </c>
      <c r="U1946" s="98">
        <v>4.3955734996401263</v>
      </c>
      <c r="V1946" s="106">
        <v>31122.717493828579</v>
      </c>
      <c r="W1946" s="10">
        <v>1.0633836475185454</v>
      </c>
      <c r="X1946" s="420"/>
      <c r="Y1946" s="420"/>
      <c r="Z1946" s="1"/>
      <c r="AA1946" s="1"/>
      <c r="AB1946" s="1"/>
      <c r="AC1946" s="1"/>
      <c r="AD1946" s="1"/>
    </row>
    <row r="1947" spans="17:30">
      <c r="Q1947" s="6">
        <v>1917</v>
      </c>
      <c r="R1947" s="7">
        <v>44584</v>
      </c>
      <c r="S1947" s="210">
        <v>4.5</v>
      </c>
      <c r="T1947" s="8">
        <v>1.0001249999999999</v>
      </c>
      <c r="U1947" s="98">
        <v>4.3957153655085124</v>
      </c>
      <c r="V1947" s="106">
        <v>31125.307817152785</v>
      </c>
      <c r="W1947" s="10">
        <v>1.0636296903836495</v>
      </c>
      <c r="X1947" s="420"/>
      <c r="Y1947" s="420"/>
      <c r="Z1947" s="1"/>
      <c r="AA1947" s="1"/>
      <c r="AB1947" s="1"/>
      <c r="AC1947" s="1"/>
      <c r="AD1947" s="1"/>
    </row>
    <row r="1948" spans="17:30">
      <c r="Q1948" s="6">
        <v>1918</v>
      </c>
      <c r="R1948" s="7">
        <v>44585</v>
      </c>
      <c r="S1948" s="210">
        <v>4.5</v>
      </c>
      <c r="T1948" s="8">
        <v>1.0001249999999999</v>
      </c>
      <c r="U1948" s="98">
        <v>4.3958570836383437</v>
      </c>
      <c r="V1948" s="106">
        <v>31127.898356067904</v>
      </c>
      <c r="W1948" s="10">
        <v>1.0638754772849257</v>
      </c>
      <c r="X1948" s="420"/>
      <c r="Y1948" s="420"/>
      <c r="Z1948" s="1"/>
      <c r="AA1948" s="1"/>
      <c r="AB1948" s="1"/>
      <c r="AC1948" s="1"/>
      <c r="AD1948" s="1"/>
    </row>
    <row r="1949" spans="17:30">
      <c r="Q1949" s="6">
        <v>1919</v>
      </c>
      <c r="R1949" s="7">
        <v>44586</v>
      </c>
      <c r="S1949" s="210">
        <v>4.5</v>
      </c>
      <c r="T1949" s="8">
        <v>1.0001249999999999</v>
      </c>
      <c r="U1949" s="98">
        <v>4.3959986542602802</v>
      </c>
      <c r="V1949" s="106">
        <v>31130.489110591872</v>
      </c>
      <c r="W1949" s="10">
        <v>1.0641210086215658</v>
      </c>
      <c r="X1949" s="420"/>
      <c r="Y1949" s="420"/>
      <c r="Z1949" s="1"/>
      <c r="AA1949" s="1"/>
      <c r="AB1949" s="1"/>
      <c r="AC1949" s="1"/>
      <c r="AD1949" s="1"/>
    </row>
    <row r="1950" spans="17:30">
      <c r="Q1950" s="6">
        <v>1920</v>
      </c>
      <c r="R1950" s="7">
        <v>44587</v>
      </c>
      <c r="S1950" s="210">
        <v>4.5</v>
      </c>
      <c r="T1950" s="8">
        <v>1.0001249999999999</v>
      </c>
      <c r="U1950" s="98">
        <v>4.3961400776044934</v>
      </c>
      <c r="V1950" s="106">
        <v>31133.080080742639</v>
      </c>
      <c r="W1950" s="10">
        <v>1.0643662847919622</v>
      </c>
      <c r="X1950" s="420"/>
      <c r="Y1950" s="420"/>
      <c r="Z1950" s="1"/>
      <c r="AA1950" s="1"/>
      <c r="AB1950" s="1"/>
      <c r="AC1950" s="1"/>
      <c r="AD1950" s="1"/>
    </row>
    <row r="1951" spans="17:30">
      <c r="Q1951" s="6">
        <v>1921</v>
      </c>
      <c r="R1951" s="7">
        <v>44588</v>
      </c>
      <c r="S1951" s="210">
        <v>4.5</v>
      </c>
      <c r="T1951" s="8">
        <v>1.0001249999999999</v>
      </c>
      <c r="U1951" s="98">
        <v>4.3962813539007106</v>
      </c>
      <c r="V1951" s="106">
        <v>31135.671266538149</v>
      </c>
      <c r="W1951" s="10">
        <v>1.0646113061937301</v>
      </c>
      <c r="X1951" s="420"/>
      <c r="Y1951" s="420"/>
      <c r="Z1951" s="1"/>
      <c r="AA1951" s="1"/>
      <c r="AB1951" s="1"/>
      <c r="AC1951" s="1"/>
      <c r="AD1951" s="1"/>
    </row>
    <row r="1952" spans="17:30">
      <c r="Q1952" s="6">
        <v>1922</v>
      </c>
      <c r="R1952" s="7">
        <v>44589</v>
      </c>
      <c r="S1952" s="210">
        <v>4.5</v>
      </c>
      <c r="T1952" s="8">
        <v>1.0001249999999999</v>
      </c>
      <c r="U1952" s="98">
        <v>4.3964224833781262</v>
      </c>
      <c r="V1952" s="106">
        <v>31138.262667996351</v>
      </c>
      <c r="W1952" s="10">
        <v>1.0648560732235302</v>
      </c>
      <c r="X1952" s="420"/>
      <c r="Y1952" s="420"/>
      <c r="Z1952" s="1"/>
      <c r="AA1952" s="1"/>
      <c r="AB1952" s="1"/>
      <c r="AC1952" s="1"/>
      <c r="AD1952" s="1"/>
    </row>
    <row r="1953" spans="17:30">
      <c r="Q1953" s="6">
        <v>1923</v>
      </c>
      <c r="R1953" s="7">
        <v>44590</v>
      </c>
      <c r="S1953" s="210">
        <v>4.5</v>
      </c>
      <c r="T1953" s="8">
        <v>1.0001249999999999</v>
      </c>
      <c r="U1953" s="98">
        <v>4.3965634662655129</v>
      </c>
      <c r="V1953" s="106">
        <v>31140.854285135189</v>
      </c>
      <c r="W1953" s="10">
        <v>1.0651005862773344</v>
      </c>
      <c r="X1953" s="420"/>
      <c r="Y1953" s="420"/>
      <c r="Z1953" s="1"/>
      <c r="AA1953" s="1"/>
      <c r="AB1953" s="1"/>
      <c r="AC1953" s="1"/>
      <c r="AD1953" s="1"/>
    </row>
    <row r="1954" spans="17:30">
      <c r="Q1954" s="6">
        <v>1924</v>
      </c>
      <c r="R1954" s="7">
        <v>44591</v>
      </c>
      <c r="S1954" s="210">
        <v>4.5</v>
      </c>
      <c r="T1954" s="8">
        <v>1.0001249999999999</v>
      </c>
      <c r="U1954" s="98">
        <v>4.3967043027911323</v>
      </c>
      <c r="V1954" s="106">
        <v>31143.446117972617</v>
      </c>
      <c r="W1954" s="10">
        <v>1.0653448457501824</v>
      </c>
      <c r="X1954" s="420"/>
      <c r="Y1954" s="420"/>
      <c r="Z1954" s="1"/>
      <c r="AA1954" s="1"/>
      <c r="AB1954" s="1"/>
      <c r="AC1954" s="1"/>
      <c r="AD1954" s="1"/>
    </row>
    <row r="1955" spans="17:30">
      <c r="Q1955" s="6">
        <v>1925</v>
      </c>
      <c r="R1955" s="7">
        <v>44592</v>
      </c>
      <c r="S1955" s="210">
        <v>4.5</v>
      </c>
      <c r="T1955" s="8">
        <v>1.0001249999999999</v>
      </c>
      <c r="U1955" s="98">
        <v>4.3968449931827802</v>
      </c>
      <c r="V1955" s="106">
        <v>31146.038166526596</v>
      </c>
      <c r="W1955" s="10">
        <v>1.065588852036381</v>
      </c>
      <c r="X1955" s="420"/>
      <c r="Y1955" s="420"/>
      <c r="Z1955" s="1"/>
      <c r="AA1955" s="1"/>
      <c r="AB1955" s="1"/>
      <c r="AC1955" s="1"/>
      <c r="AD1955" s="1"/>
    </row>
    <row r="1956" spans="17:30">
      <c r="Q1956" s="6">
        <v>1926</v>
      </c>
      <c r="R1956" s="7">
        <v>44593</v>
      </c>
      <c r="S1956" s="210">
        <v>4.5</v>
      </c>
      <c r="T1956" s="8">
        <v>1.0001249999999999</v>
      </c>
      <c r="U1956" s="98">
        <v>4.396985537667808</v>
      </c>
      <c r="V1956" s="106">
        <v>31148.630430815065</v>
      </c>
      <c r="W1956" s="10">
        <v>1.0658326055293932</v>
      </c>
      <c r="X1956" s="420"/>
      <c r="Y1956" s="420"/>
      <c r="Z1956" s="1"/>
      <c r="AA1956" s="1"/>
      <c r="AB1956" s="1"/>
      <c r="AC1956" s="1"/>
      <c r="AD1956" s="1"/>
    </row>
    <row r="1957" spans="17:30">
      <c r="Q1957" s="6">
        <v>1927</v>
      </c>
      <c r="R1957" s="7">
        <v>44594</v>
      </c>
      <c r="S1957" s="210">
        <v>4.5</v>
      </c>
      <c r="T1957" s="8">
        <v>1.0001249999999999</v>
      </c>
      <c r="U1957" s="98">
        <v>4.3971259364730564</v>
      </c>
      <c r="V1957" s="106">
        <v>31151.222910855995</v>
      </c>
      <c r="W1957" s="10">
        <v>1.0660761066218383</v>
      </c>
      <c r="X1957" s="420"/>
      <c r="Y1957" s="420"/>
      <c r="Z1957" s="1"/>
      <c r="AA1957" s="1"/>
      <c r="AB1957" s="1"/>
      <c r="AC1957" s="1"/>
      <c r="AD1957" s="1"/>
    </row>
    <row r="1958" spans="17:30">
      <c r="Q1958" s="6">
        <v>1928</v>
      </c>
      <c r="R1958" s="7">
        <v>44595</v>
      </c>
      <c r="S1958" s="210">
        <v>4.5</v>
      </c>
      <c r="T1958" s="8">
        <v>1.0001249999999999</v>
      </c>
      <c r="U1958" s="98">
        <v>4.3972661898248999</v>
      </c>
      <c r="V1958" s="106">
        <v>31153.815606667329</v>
      </c>
      <c r="W1958" s="10">
        <v>1.0663193557055584</v>
      </c>
      <c r="X1958" s="420"/>
      <c r="Y1958" s="420"/>
      <c r="Z1958" s="1"/>
      <c r="AA1958" s="1"/>
      <c r="AB1958" s="1"/>
      <c r="AC1958" s="1"/>
      <c r="AD1958" s="1"/>
    </row>
    <row r="1959" spans="17:30">
      <c r="Q1959" s="6">
        <v>1929</v>
      </c>
      <c r="R1959" s="7">
        <v>44596</v>
      </c>
      <c r="S1959" s="210">
        <v>4.5</v>
      </c>
      <c r="T1959" s="8">
        <v>1.0001249999999999</v>
      </c>
      <c r="U1959" s="98">
        <v>4.397406297949269</v>
      </c>
      <c r="V1959" s="106">
        <v>31156.408518267031</v>
      </c>
      <c r="W1959" s="10">
        <v>1.0665623531715518</v>
      </c>
      <c r="X1959" s="420"/>
      <c r="Y1959" s="420"/>
      <c r="Z1959" s="1"/>
      <c r="AA1959" s="1"/>
      <c r="AB1959" s="1"/>
      <c r="AC1959" s="1"/>
      <c r="AD1959" s="1"/>
    </row>
    <row r="1960" spans="17:30">
      <c r="Q1960" s="6">
        <v>1930</v>
      </c>
      <c r="R1960" s="7">
        <v>44597</v>
      </c>
      <c r="S1960" s="210">
        <v>4.5</v>
      </c>
      <c r="T1960" s="8">
        <v>1.0001249999999999</v>
      </c>
      <c r="U1960" s="98">
        <v>4.3975462610716276</v>
      </c>
      <c r="V1960" s="106">
        <v>31159.00164567307</v>
      </c>
      <c r="W1960" s="10">
        <v>1.0668050994100398</v>
      </c>
      <c r="X1960" s="420"/>
      <c r="Y1960" s="420"/>
      <c r="Z1960" s="1"/>
      <c r="AA1960" s="1"/>
      <c r="AB1960" s="1"/>
      <c r="AC1960" s="1"/>
      <c r="AD1960" s="1"/>
    </row>
    <row r="1961" spans="17:30">
      <c r="Q1961" s="6">
        <v>1931</v>
      </c>
      <c r="R1961" s="7">
        <v>44598</v>
      </c>
      <c r="S1961" s="210">
        <v>4.5</v>
      </c>
      <c r="T1961" s="8">
        <v>1.0001249999999999</v>
      </c>
      <c r="U1961" s="98">
        <v>4.3976860794169514</v>
      </c>
      <c r="V1961" s="106">
        <v>31161.594988903395</v>
      </c>
      <c r="W1961" s="10">
        <v>1.0670475948104441</v>
      </c>
      <c r="X1961" s="420"/>
      <c r="Y1961" s="420"/>
      <c r="Z1961" s="1"/>
      <c r="AA1961" s="1"/>
      <c r="AB1961" s="1"/>
      <c r="AC1961" s="1"/>
      <c r="AD1961" s="1"/>
    </row>
    <row r="1962" spans="17:30">
      <c r="Q1962" s="6">
        <v>1932</v>
      </c>
      <c r="R1962" s="7">
        <v>44599</v>
      </c>
      <c r="S1962" s="210">
        <v>4.5</v>
      </c>
      <c r="T1962" s="8">
        <v>1.0001249999999999</v>
      </c>
      <c r="U1962" s="98">
        <v>4.3978257532097498</v>
      </c>
      <c r="V1962" s="106">
        <v>31164.188547975969</v>
      </c>
      <c r="W1962" s="10">
        <v>1.0672898397613428</v>
      </c>
      <c r="X1962" s="420"/>
      <c r="Y1962" s="420"/>
      <c r="Z1962" s="1"/>
      <c r="AA1962" s="1"/>
      <c r="AB1962" s="1"/>
      <c r="AC1962" s="1"/>
      <c r="AD1962" s="1"/>
    </row>
    <row r="1963" spans="17:30">
      <c r="Q1963" s="6">
        <v>1933</v>
      </c>
      <c r="R1963" s="7">
        <v>44600</v>
      </c>
      <c r="S1963" s="210">
        <v>4.5</v>
      </c>
      <c r="T1963" s="8">
        <v>1.0001249999999999</v>
      </c>
      <c r="U1963" s="98">
        <v>4.3979652826740878</v>
      </c>
      <c r="V1963" s="106">
        <v>31166.782322908763</v>
      </c>
      <c r="W1963" s="10">
        <v>1.0675318346505147</v>
      </c>
      <c r="X1963" s="420"/>
      <c r="Y1963" s="420"/>
      <c r="Z1963" s="1"/>
      <c r="AA1963" s="1"/>
      <c r="AB1963" s="1"/>
      <c r="AC1963" s="1"/>
      <c r="AD1963" s="1"/>
    </row>
    <row r="1964" spans="17:30">
      <c r="Q1964" s="6">
        <v>1934</v>
      </c>
      <c r="R1964" s="7">
        <v>44601</v>
      </c>
      <c r="S1964" s="210">
        <v>4.5</v>
      </c>
      <c r="T1964" s="8">
        <v>1.0001249999999999</v>
      </c>
      <c r="U1964" s="98">
        <v>4.3981046680335423</v>
      </c>
      <c r="V1964" s="106">
        <v>31169.376313719738</v>
      </c>
      <c r="W1964" s="10">
        <v>1.0677735798649834</v>
      </c>
      <c r="X1964" s="420"/>
      <c r="Y1964" s="420"/>
      <c r="Z1964" s="1"/>
      <c r="AA1964" s="1"/>
      <c r="AB1964" s="1"/>
      <c r="AC1964" s="1"/>
      <c r="AD1964" s="1"/>
    </row>
    <row r="1965" spans="17:30">
      <c r="Q1965" s="6">
        <v>1935</v>
      </c>
      <c r="R1965" s="7">
        <v>44602</v>
      </c>
      <c r="S1965" s="210">
        <v>4.5</v>
      </c>
      <c r="T1965" s="8">
        <v>1.0001249999999999</v>
      </c>
      <c r="U1965" s="98">
        <v>4.3982439095112458</v>
      </c>
      <c r="V1965" s="106">
        <v>31172.248483951302</v>
      </c>
      <c r="W1965" s="10">
        <v>1.0678450765889025</v>
      </c>
      <c r="X1965" s="420"/>
      <c r="Y1965" s="420"/>
      <c r="Z1965" s="1"/>
      <c r="AA1965" s="1"/>
      <c r="AB1965" s="1"/>
      <c r="AC1965" s="1"/>
      <c r="AD1965" s="1"/>
    </row>
    <row r="1966" spans="17:30">
      <c r="Q1966" s="6">
        <v>1936</v>
      </c>
      <c r="R1966" s="7">
        <v>44603</v>
      </c>
      <c r="S1966" s="210">
        <v>4.5</v>
      </c>
      <c r="T1966" s="8">
        <v>1.0001249999999999</v>
      </c>
      <c r="U1966" s="98">
        <v>4.3983830073298869</v>
      </c>
      <c r="V1966" s="106">
        <v>31175.120918845256</v>
      </c>
      <c r="W1966" s="10">
        <v>1.0679164995030854</v>
      </c>
      <c r="X1966" s="420"/>
      <c r="Y1966" s="420"/>
      <c r="Z1966" s="1"/>
      <c r="AA1966" s="1"/>
      <c r="AB1966" s="1"/>
      <c r="AC1966" s="1"/>
      <c r="AD1966" s="1"/>
    </row>
    <row r="1967" spans="17:30">
      <c r="Q1967" s="6">
        <v>1937</v>
      </c>
      <c r="R1967" s="7">
        <v>44604</v>
      </c>
      <c r="S1967" s="210">
        <v>4.5</v>
      </c>
      <c r="T1967" s="8">
        <v>1.0001249999999999</v>
      </c>
      <c r="U1967" s="98">
        <v>4.3985219617116433</v>
      </c>
      <c r="V1967" s="106">
        <v>31177.993618426004</v>
      </c>
      <c r="W1967" s="10">
        <v>1.0679878487217076</v>
      </c>
      <c r="X1967" s="420"/>
      <c r="Y1967" s="420"/>
      <c r="Z1967" s="1"/>
      <c r="AA1967" s="1"/>
      <c r="AB1967" s="1"/>
      <c r="AC1967" s="1"/>
      <c r="AD1967" s="1"/>
    </row>
    <row r="1968" spans="17:30">
      <c r="Q1968" s="6">
        <v>1938</v>
      </c>
      <c r="R1968" s="7">
        <v>44605</v>
      </c>
      <c r="S1968" s="210">
        <v>4.5</v>
      </c>
      <c r="T1968" s="8">
        <v>1.0001249999999999</v>
      </c>
      <c r="U1968" s="98">
        <v>4.3986607728782934</v>
      </c>
      <c r="V1968" s="106">
        <v>31180.866582717917</v>
      </c>
      <c r="W1968" s="10">
        <v>1.0680591243588555</v>
      </c>
      <c r="X1968" s="420"/>
      <c r="Y1968" s="420"/>
      <c r="Z1968" s="1"/>
      <c r="AA1968" s="1"/>
      <c r="AB1968" s="1"/>
      <c r="AC1968" s="1"/>
      <c r="AD1968" s="1"/>
    </row>
    <row r="1969" spans="17:30">
      <c r="Q1969" s="6">
        <v>1939</v>
      </c>
      <c r="R1969" s="7">
        <v>44606</v>
      </c>
      <c r="S1969" s="210">
        <v>4.5</v>
      </c>
      <c r="T1969" s="8">
        <v>1.0001249999999999</v>
      </c>
      <c r="U1969" s="98">
        <v>4.3987994410511266</v>
      </c>
      <c r="V1969" s="106">
        <v>31183.739811745399</v>
      </c>
      <c r="W1969" s="10">
        <v>1.0681303265282382</v>
      </c>
      <c r="X1969" s="420"/>
      <c r="Y1969" s="420"/>
      <c r="Z1969" s="1"/>
      <c r="AA1969" s="1"/>
      <c r="AB1969" s="1"/>
      <c r="AC1969" s="1"/>
      <c r="AD1969" s="1"/>
    </row>
    <row r="1970" spans="17:30">
      <c r="Q1970" s="6">
        <v>1940</v>
      </c>
      <c r="R1970" s="7">
        <v>44607</v>
      </c>
      <c r="S1970" s="210">
        <v>4.5</v>
      </c>
      <c r="T1970" s="8">
        <v>1.0001249999999999</v>
      </c>
      <c r="U1970" s="98">
        <v>4.3989379664509887</v>
      </c>
      <c r="V1970" s="106">
        <v>31186.613305532846</v>
      </c>
      <c r="W1970" s="10">
        <v>1.0682014553434094</v>
      </c>
      <c r="X1970" s="420"/>
      <c r="Y1970" s="420"/>
      <c r="Z1970" s="1"/>
      <c r="AA1970" s="1"/>
      <c r="AB1970" s="1"/>
      <c r="AC1970" s="1"/>
      <c r="AD1970" s="1"/>
    </row>
    <row r="1971" spans="17:30">
      <c r="Q1971" s="6">
        <v>1941</v>
      </c>
      <c r="R1971" s="7">
        <v>44608</v>
      </c>
      <c r="S1971" s="210">
        <v>4.5</v>
      </c>
      <c r="T1971" s="8">
        <v>1.0001249999999999</v>
      </c>
      <c r="U1971" s="98">
        <v>4.3990763492982587</v>
      </c>
      <c r="V1971" s="106">
        <v>31189.487064104655</v>
      </c>
      <c r="W1971" s="10">
        <v>1.0682725109176783</v>
      </c>
      <c r="X1971" s="420"/>
      <c r="Y1971" s="420"/>
      <c r="Z1971" s="1"/>
      <c r="AA1971" s="1"/>
      <c r="AB1971" s="1"/>
      <c r="AC1971" s="1"/>
      <c r="AD1971" s="1"/>
    </row>
    <row r="1972" spans="17:30">
      <c r="Q1972" s="6">
        <v>1942</v>
      </c>
      <c r="R1972" s="7">
        <v>44609</v>
      </c>
      <c r="S1972" s="210">
        <v>4.5</v>
      </c>
      <c r="T1972" s="8">
        <v>1.0001249999999999</v>
      </c>
      <c r="U1972" s="98">
        <v>4.3992145898128721</v>
      </c>
      <c r="V1972" s="106">
        <v>31192.361087485217</v>
      </c>
      <c r="W1972" s="10">
        <v>1.0683434933640878</v>
      </c>
      <c r="X1972" s="420"/>
      <c r="Y1972" s="420"/>
      <c r="Z1972" s="1"/>
      <c r="AA1972" s="1"/>
      <c r="AB1972" s="1"/>
      <c r="AC1972" s="1"/>
      <c r="AD1972" s="1"/>
    </row>
    <row r="1973" spans="17:30">
      <c r="Q1973" s="6">
        <v>1943</v>
      </c>
      <c r="R1973" s="7">
        <v>44610</v>
      </c>
      <c r="S1973" s="210">
        <v>4.5</v>
      </c>
      <c r="T1973" s="8">
        <v>1.0001249999999999</v>
      </c>
      <c r="U1973" s="98">
        <v>4.3993526882142975</v>
      </c>
      <c r="V1973" s="106">
        <v>31195.235375698936</v>
      </c>
      <c r="W1973" s="10">
        <v>1.0684144027954812</v>
      </c>
      <c r="X1973" s="420"/>
      <c r="Y1973" s="420"/>
      <c r="Z1973" s="1"/>
      <c r="AA1973" s="1"/>
      <c r="AB1973" s="1"/>
      <c r="AC1973" s="1"/>
      <c r="AD1973" s="1"/>
    </row>
    <row r="1974" spans="17:30">
      <c r="Q1974" s="6">
        <v>1944</v>
      </c>
      <c r="R1974" s="7">
        <v>44611</v>
      </c>
      <c r="S1974" s="210">
        <v>4.5</v>
      </c>
      <c r="T1974" s="8">
        <v>1.0001249999999999</v>
      </c>
      <c r="U1974" s="98">
        <v>4.3994906447215598</v>
      </c>
      <c r="V1974" s="106">
        <v>31198.109928770216</v>
      </c>
      <c r="W1974" s="10">
        <v>1.068485239324457</v>
      </c>
      <c r="X1974" s="420"/>
      <c r="Y1974" s="420"/>
      <c r="Z1974" s="1"/>
      <c r="AA1974" s="1"/>
      <c r="AB1974" s="1"/>
      <c r="AC1974" s="1"/>
      <c r="AD1974" s="1"/>
    </row>
    <row r="1975" spans="17:30">
      <c r="Q1975" s="6">
        <v>1945</v>
      </c>
      <c r="R1975" s="7">
        <v>44612</v>
      </c>
      <c r="S1975" s="210">
        <v>4.5</v>
      </c>
      <c r="T1975" s="8">
        <v>1.0001249999999999</v>
      </c>
      <c r="U1975" s="98">
        <v>4.399628459553262</v>
      </c>
      <c r="V1975" s="106">
        <v>31200.984746723472</v>
      </c>
      <c r="W1975" s="10">
        <v>1.0685560030633701</v>
      </c>
      <c r="X1975" s="420"/>
      <c r="Y1975" s="420"/>
      <c r="Z1975" s="1"/>
      <c r="AA1975" s="1"/>
      <c r="AB1975" s="1"/>
      <c r="AC1975" s="1"/>
      <c r="AD1975" s="1"/>
    </row>
    <row r="1976" spans="17:30">
      <c r="Q1976" s="6">
        <v>1946</v>
      </c>
      <c r="R1976" s="7">
        <v>44613</v>
      </c>
      <c r="S1976" s="210">
        <v>4.5</v>
      </c>
      <c r="T1976" s="8">
        <v>1.0001249999999999</v>
      </c>
      <c r="U1976" s="98">
        <v>4.3997661329275184</v>
      </c>
      <c r="V1976" s="106">
        <v>31203.859829583107</v>
      </c>
      <c r="W1976" s="10">
        <v>1.0686266941243749</v>
      </c>
      <c r="X1976" s="420"/>
      <c r="Y1976" s="420"/>
      <c r="Z1976" s="1"/>
      <c r="AA1976" s="1"/>
      <c r="AB1976" s="1"/>
      <c r="AC1976" s="1"/>
      <c r="AD1976" s="1"/>
    </row>
    <row r="1977" spans="17:30">
      <c r="Q1977" s="6">
        <v>1947</v>
      </c>
      <c r="R1977" s="7">
        <v>44614</v>
      </c>
      <c r="S1977" s="210">
        <v>4.5</v>
      </c>
      <c r="T1977" s="8">
        <v>1.0001249999999999</v>
      </c>
      <c r="U1977" s="98">
        <v>4.3999036650620216</v>
      </c>
      <c r="V1977" s="106">
        <v>31206.735177373521</v>
      </c>
      <c r="W1977" s="10">
        <v>1.0686973126194044</v>
      </c>
      <c r="X1977" s="420"/>
      <c r="Y1977" s="420"/>
      <c r="Z1977" s="1"/>
      <c r="AA1977" s="1"/>
      <c r="AB1977" s="1"/>
      <c r="AC1977" s="1"/>
      <c r="AD1977" s="1"/>
    </row>
    <row r="1978" spans="17:30">
      <c r="Q1978" s="6">
        <v>1948</v>
      </c>
      <c r="R1978" s="7">
        <v>44615</v>
      </c>
      <c r="S1978" s="210">
        <v>4.5</v>
      </c>
      <c r="T1978" s="8">
        <v>1.0001249999999999</v>
      </c>
      <c r="U1978" s="98">
        <v>4.4000410561739978</v>
      </c>
      <c r="V1978" s="106">
        <v>31209.610790119139</v>
      </c>
      <c r="W1978" s="10">
        <v>1.0687678586601024</v>
      </c>
      <c r="X1978" s="420"/>
      <c r="Y1978" s="420"/>
      <c r="Z1978" s="1"/>
      <c r="AA1978" s="1"/>
      <c r="AB1978" s="1"/>
      <c r="AC1978" s="1"/>
      <c r="AD1978" s="1"/>
    </row>
    <row r="1979" spans="17:30">
      <c r="Q1979" s="6">
        <v>1949</v>
      </c>
      <c r="R1979" s="7">
        <v>44616</v>
      </c>
      <c r="S1979" s="210">
        <v>4.5</v>
      </c>
      <c r="T1979" s="8">
        <v>1.0001249999999999</v>
      </c>
      <c r="U1979" s="98">
        <v>4.4001783064802513</v>
      </c>
      <c r="V1979" s="106">
        <v>31212.486667844369</v>
      </c>
      <c r="W1979" s="10">
        <v>1.0688383323579354</v>
      </c>
      <c r="X1979" s="420"/>
      <c r="Y1979" s="420"/>
      <c r="Z1979" s="1"/>
      <c r="AA1979" s="1"/>
      <c r="AB1979" s="1"/>
      <c r="AC1979" s="1"/>
      <c r="AD1979" s="1"/>
    </row>
    <row r="1980" spans="17:30">
      <c r="Q1980" s="6">
        <v>1950</v>
      </c>
      <c r="R1980" s="7">
        <v>44617</v>
      </c>
      <c r="S1980" s="210">
        <v>4.5</v>
      </c>
      <c r="T1980" s="8">
        <v>1.0001249999999999</v>
      </c>
      <c r="U1980" s="98">
        <v>4.4003154161971203</v>
      </c>
      <c r="V1980" s="106">
        <v>31215.362810573635</v>
      </c>
      <c r="W1980" s="10">
        <v>1.0689087338241032</v>
      </c>
      <c r="X1980" s="420"/>
      <c r="Y1980" s="420"/>
      <c r="Z1980" s="1"/>
      <c r="AA1980" s="1"/>
      <c r="AB1980" s="1"/>
      <c r="AC1980" s="1"/>
      <c r="AD1980" s="1"/>
    </row>
    <row r="1981" spans="17:30">
      <c r="Q1981" s="6">
        <v>1951</v>
      </c>
      <c r="R1981" s="7">
        <v>44618</v>
      </c>
      <c r="S1981" s="210">
        <v>4.5</v>
      </c>
      <c r="T1981" s="8">
        <v>1.0001249999999999</v>
      </c>
      <c r="U1981" s="98">
        <v>4.4004523855404987</v>
      </c>
      <c r="V1981" s="106">
        <v>31218.23921833135</v>
      </c>
      <c r="W1981" s="10">
        <v>1.0689790631696061</v>
      </c>
      <c r="X1981" s="420"/>
      <c r="Y1981" s="420"/>
      <c r="Z1981" s="1"/>
      <c r="AA1981" s="1"/>
      <c r="AB1981" s="1"/>
      <c r="AC1981" s="1"/>
      <c r="AD1981" s="1"/>
    </row>
    <row r="1982" spans="17:30">
      <c r="Q1982" s="6">
        <v>1952</v>
      </c>
      <c r="R1982" s="7">
        <v>44619</v>
      </c>
      <c r="S1982" s="210">
        <v>4.5</v>
      </c>
      <c r="T1982" s="8">
        <v>1.0001249999999999</v>
      </c>
      <c r="U1982" s="98">
        <v>4.4005892147258585</v>
      </c>
      <c r="V1982" s="106">
        <v>31221.115891141937</v>
      </c>
      <c r="W1982" s="10">
        <v>1.0690493205052443</v>
      </c>
      <c r="X1982" s="420"/>
      <c r="Y1982" s="420"/>
      <c r="Z1982" s="1"/>
      <c r="AA1982" s="1"/>
      <c r="AB1982" s="1"/>
      <c r="AC1982" s="1"/>
      <c r="AD1982" s="1"/>
    </row>
    <row r="1983" spans="17:30">
      <c r="Q1983" s="6">
        <v>1953</v>
      </c>
      <c r="R1983" s="7">
        <v>44620</v>
      </c>
      <c r="S1983" s="210">
        <v>4.5</v>
      </c>
      <c r="T1983" s="8">
        <v>1.0001249999999999</v>
      </c>
      <c r="U1983" s="98">
        <v>4.4007259039682278</v>
      </c>
      <c r="V1983" s="106">
        <v>31223.992829029819</v>
      </c>
      <c r="W1983" s="10">
        <v>1.0691195059415071</v>
      </c>
      <c r="X1983" s="420"/>
      <c r="Y1983" s="420"/>
      <c r="Z1983" s="1"/>
      <c r="AA1983" s="1"/>
      <c r="AB1983" s="1"/>
      <c r="AC1983" s="1"/>
      <c r="AD1983" s="1"/>
    </row>
    <row r="1984" spans="17:30">
      <c r="Q1984" s="6">
        <v>1954</v>
      </c>
      <c r="R1984" s="7">
        <v>44621</v>
      </c>
      <c r="S1984" s="210">
        <v>4.5</v>
      </c>
      <c r="T1984" s="8">
        <v>1.0001249999999999</v>
      </c>
      <c r="U1984" s="98">
        <v>4.4008624534821683</v>
      </c>
      <c r="V1984" s="106">
        <v>31226.870032019426</v>
      </c>
      <c r="W1984" s="10">
        <v>1.0691896195887507</v>
      </c>
      <c r="X1984" s="420"/>
      <c r="Y1984" s="420"/>
      <c r="Z1984" s="1"/>
      <c r="AA1984" s="1"/>
      <c r="AB1984" s="1"/>
      <c r="AC1984" s="1"/>
      <c r="AD1984" s="1"/>
    </row>
    <row r="1985" spans="17:30">
      <c r="Q1985" s="6">
        <v>1955</v>
      </c>
      <c r="R1985" s="7">
        <v>44622</v>
      </c>
      <c r="S1985" s="210">
        <v>4.5</v>
      </c>
      <c r="T1985" s="8">
        <v>1.0001249999999999</v>
      </c>
      <c r="U1985" s="98">
        <v>4.400998863481842</v>
      </c>
      <c r="V1985" s="106">
        <v>31229.747500135185</v>
      </c>
      <c r="W1985" s="10">
        <v>1.0692596615570205</v>
      </c>
      <c r="X1985" s="420"/>
      <c r="Y1985" s="420"/>
      <c r="Z1985" s="1"/>
      <c r="AA1985" s="1"/>
      <c r="AB1985" s="1"/>
      <c r="AC1985" s="1"/>
      <c r="AD1985" s="1"/>
    </row>
    <row r="1986" spans="17:30">
      <c r="Q1986" s="6">
        <v>1956</v>
      </c>
      <c r="R1986" s="7">
        <v>44623</v>
      </c>
      <c r="S1986" s="210">
        <v>4.5</v>
      </c>
      <c r="T1986" s="8">
        <v>1.0001249999999999</v>
      </c>
      <c r="U1986" s="98">
        <v>4.4011351341809446</v>
      </c>
      <c r="V1986" s="106">
        <v>31232.625233401523</v>
      </c>
      <c r="W1986" s="10">
        <v>1.0693296319562062</v>
      </c>
      <c r="X1986" s="420"/>
      <c r="Y1986" s="420"/>
      <c r="Z1986" s="1"/>
      <c r="AA1986" s="1"/>
      <c r="AB1986" s="1"/>
      <c r="AC1986" s="1"/>
      <c r="AD1986" s="1"/>
    </row>
    <row r="1987" spans="17:30">
      <c r="Q1987" s="6">
        <v>1957</v>
      </c>
      <c r="R1987" s="7">
        <v>44624</v>
      </c>
      <c r="S1987" s="210">
        <v>4.5</v>
      </c>
      <c r="T1987" s="8">
        <v>1.0001249999999999</v>
      </c>
      <c r="U1987" s="98">
        <v>4.40127126579275</v>
      </c>
      <c r="V1987" s="106">
        <v>31235.503231842882</v>
      </c>
      <c r="W1987" s="10">
        <v>1.0693995308959536</v>
      </c>
      <c r="X1987" s="420"/>
      <c r="Y1987" s="420"/>
      <c r="Z1987" s="1"/>
      <c r="AA1987" s="1"/>
      <c r="AB1987" s="1"/>
      <c r="AC1987" s="1"/>
      <c r="AD1987" s="1"/>
    </row>
    <row r="1988" spans="17:30">
      <c r="Q1988" s="6">
        <v>1958</v>
      </c>
      <c r="R1988" s="7">
        <v>44625</v>
      </c>
      <c r="S1988" s="210">
        <v>4.5</v>
      </c>
      <c r="T1988" s="8">
        <v>1.0001249999999999</v>
      </c>
      <c r="U1988" s="98">
        <v>4.4014072585300879</v>
      </c>
      <c r="V1988" s="106">
        <v>31238.381495483682</v>
      </c>
      <c r="W1988" s="10">
        <v>1.0694693584856418</v>
      </c>
      <c r="X1988" s="420"/>
      <c r="Y1988" s="420"/>
      <c r="Z1988" s="1"/>
      <c r="AA1988" s="1"/>
      <c r="AB1988" s="1"/>
      <c r="AC1988" s="1"/>
      <c r="AD1988" s="1"/>
    </row>
    <row r="1989" spans="17:30">
      <c r="Q1989" s="6">
        <v>1959</v>
      </c>
      <c r="R1989" s="7">
        <v>44626</v>
      </c>
      <c r="S1989" s="210">
        <v>4.5</v>
      </c>
      <c r="T1989" s="8">
        <v>1.0001249999999999</v>
      </c>
      <c r="U1989" s="98">
        <v>4.4015431126053661</v>
      </c>
      <c r="V1989" s="106">
        <v>31241.260024348376</v>
      </c>
      <c r="W1989" s="10">
        <v>1.0695391148344946</v>
      </c>
      <c r="X1989" s="420"/>
      <c r="Y1989" s="420"/>
      <c r="Z1989" s="1"/>
      <c r="AA1989" s="1"/>
      <c r="AB1989" s="1"/>
      <c r="AC1989" s="1"/>
      <c r="AD1989" s="1"/>
    </row>
    <row r="1990" spans="17:30">
      <c r="Q1990" s="6">
        <v>1960</v>
      </c>
      <c r="R1990" s="7">
        <v>44627</v>
      </c>
      <c r="S1990" s="210">
        <v>4.5</v>
      </c>
      <c r="T1990" s="8">
        <v>1.0001249999999999</v>
      </c>
      <c r="U1990" s="98">
        <v>4.4016788282305486</v>
      </c>
      <c r="V1990" s="106">
        <v>31244.138818461393</v>
      </c>
      <c r="W1990" s="10">
        <v>1.0696088000514692</v>
      </c>
      <c r="X1990" s="420"/>
      <c r="Y1990" s="420"/>
      <c r="Z1990" s="1"/>
      <c r="AA1990" s="1"/>
      <c r="AB1990" s="1"/>
      <c r="AC1990" s="1"/>
      <c r="AD1990" s="1"/>
    </row>
    <row r="1991" spans="17:30">
      <c r="Q1991" s="6">
        <v>1961</v>
      </c>
      <c r="R1991" s="7">
        <v>44628</v>
      </c>
      <c r="S1991" s="210">
        <v>4.5</v>
      </c>
      <c r="T1991" s="8">
        <v>1.0001249999999999</v>
      </c>
      <c r="U1991" s="98">
        <v>4.4018144056171771</v>
      </c>
      <c r="V1991" s="106">
        <v>31247.017877847178</v>
      </c>
      <c r="W1991" s="10">
        <v>1.0696784142453231</v>
      </c>
      <c r="X1991" s="420"/>
      <c r="Y1991" s="420"/>
      <c r="Z1991" s="1"/>
      <c r="AA1991" s="1"/>
      <c r="AB1991" s="1"/>
      <c r="AC1991" s="1"/>
      <c r="AD1991" s="1"/>
    </row>
    <row r="1992" spans="17:30">
      <c r="Q1992" s="6">
        <v>1962</v>
      </c>
      <c r="R1992" s="7">
        <v>44629</v>
      </c>
      <c r="S1992" s="210">
        <v>4.5</v>
      </c>
      <c r="T1992" s="8">
        <v>1.0001249999999999</v>
      </c>
      <c r="U1992" s="98">
        <v>4.4019498449763494</v>
      </c>
      <c r="V1992" s="106">
        <v>31249.897202530181</v>
      </c>
      <c r="W1992" s="10">
        <v>1.0697479575245694</v>
      </c>
      <c r="X1992" s="420"/>
      <c r="Y1992" s="420"/>
      <c r="Z1992" s="1"/>
      <c r="AA1992" s="1"/>
      <c r="AB1992" s="1"/>
      <c r="AC1992" s="1"/>
      <c r="AD1992" s="1"/>
    </row>
    <row r="1993" spans="17:30">
      <c r="Q1993" s="6">
        <v>1963</v>
      </c>
      <c r="R1993" s="7">
        <v>44630</v>
      </c>
      <c r="S1993" s="210">
        <v>4.5</v>
      </c>
      <c r="T1993" s="8">
        <v>1.0001249999999999</v>
      </c>
      <c r="U1993" s="98">
        <v>4.4020851465187416</v>
      </c>
      <c r="V1993" s="106">
        <v>31252.498110937966</v>
      </c>
      <c r="W1993" s="10">
        <v>1.0699850076192563</v>
      </c>
      <c r="X1993" s="420"/>
      <c r="Y1993" s="420"/>
      <c r="Z1993" s="1"/>
      <c r="AA1993" s="1"/>
      <c r="AB1993" s="1"/>
      <c r="AC1993" s="1"/>
      <c r="AD1993" s="1"/>
    </row>
    <row r="1994" spans="17:30">
      <c r="Q1994" s="6">
        <v>1964</v>
      </c>
      <c r="R1994" s="7">
        <v>44631</v>
      </c>
      <c r="S1994" s="210">
        <v>4.5</v>
      </c>
      <c r="T1994" s="8">
        <v>1.0001249999999999</v>
      </c>
      <c r="U1994" s="98">
        <v>4.4022203104546076</v>
      </c>
      <c r="V1994" s="106">
        <v>31255.099235817652</v>
      </c>
      <c r="W1994" s="10">
        <v>1.070221816873862</v>
      </c>
      <c r="X1994" s="420"/>
      <c r="Y1994" s="420"/>
      <c r="Z1994" s="1"/>
      <c r="AA1994" s="1"/>
      <c r="AB1994" s="1"/>
      <c r="AC1994" s="1"/>
      <c r="AD1994" s="1"/>
    </row>
    <row r="1995" spans="17:30">
      <c r="Q1995" s="6">
        <v>1965</v>
      </c>
      <c r="R1995" s="7">
        <v>44632</v>
      </c>
      <c r="S1995" s="210">
        <v>4.5</v>
      </c>
      <c r="T1995" s="8">
        <v>1.0001249999999999</v>
      </c>
      <c r="U1995" s="98">
        <v>4.4023553369937574</v>
      </c>
      <c r="V1995" s="106">
        <v>31257.70057718725</v>
      </c>
      <c r="W1995" s="10">
        <v>1.0704583856552263</v>
      </c>
      <c r="X1995" s="420"/>
      <c r="Y1995" s="420"/>
      <c r="Z1995" s="1"/>
      <c r="AA1995" s="1"/>
      <c r="AB1995" s="1"/>
      <c r="AC1995" s="1"/>
      <c r="AD1995" s="1"/>
    </row>
    <row r="1996" spans="17:30">
      <c r="Q1996" s="6">
        <v>1966</v>
      </c>
      <c r="R1996" s="7">
        <v>44633</v>
      </c>
      <c r="S1996" s="210">
        <v>4.5</v>
      </c>
      <c r="T1996" s="8">
        <v>1.0001249999999999</v>
      </c>
      <c r="U1996" s="98">
        <v>4.402490226345579</v>
      </c>
      <c r="V1996" s="106">
        <v>31260.302135064783</v>
      </c>
      <c r="W1996" s="10">
        <v>1.0706947143294565</v>
      </c>
      <c r="X1996" s="420"/>
      <c r="Y1996" s="420"/>
      <c r="Z1996" s="1"/>
      <c r="AA1996" s="1"/>
      <c r="AB1996" s="1"/>
      <c r="AC1996" s="1"/>
      <c r="AD1996" s="1"/>
    </row>
    <row r="1997" spans="17:30">
      <c r="Q1997" s="6">
        <v>1967</v>
      </c>
      <c r="R1997" s="7">
        <v>44634</v>
      </c>
      <c r="S1997" s="210">
        <v>4.5</v>
      </c>
      <c r="T1997" s="8">
        <v>1.0001249999999999</v>
      </c>
      <c r="U1997" s="98">
        <v>4.4026249787190608</v>
      </c>
      <c r="V1997" s="106">
        <v>31262.903909468267</v>
      </c>
      <c r="W1997" s="10">
        <v>1.0709308032619491</v>
      </c>
      <c r="X1997" s="420"/>
      <c r="Y1997" s="420"/>
      <c r="Z1997" s="1"/>
      <c r="AA1997" s="1"/>
      <c r="AB1997" s="1"/>
      <c r="AC1997" s="1"/>
      <c r="AD1997" s="1"/>
    </row>
    <row r="1998" spans="17:30">
      <c r="Q1998" s="6">
        <v>1968</v>
      </c>
      <c r="R1998" s="7">
        <v>44635</v>
      </c>
      <c r="S1998" s="210">
        <v>4.5</v>
      </c>
      <c r="T1998" s="8">
        <v>1.0001249999999999</v>
      </c>
      <c r="U1998" s="98">
        <v>4.4027595943227249</v>
      </c>
      <c r="V1998" s="106">
        <v>31265.505900415727</v>
      </c>
      <c r="W1998" s="10">
        <v>1.0711666528172792</v>
      </c>
      <c r="X1998" s="420"/>
      <c r="Y1998" s="420"/>
      <c r="Z1998" s="1"/>
      <c r="AA1998" s="1"/>
      <c r="AB1998" s="1"/>
      <c r="AC1998" s="1"/>
      <c r="AD1998" s="1"/>
    </row>
    <row r="1999" spans="17:30">
      <c r="Q1999" s="6">
        <v>1969</v>
      </c>
      <c r="R1999" s="7">
        <v>44636</v>
      </c>
      <c r="S1999" s="210">
        <v>4.5</v>
      </c>
      <c r="T1999" s="8">
        <v>1.0001249999999999</v>
      </c>
      <c r="U1999" s="98">
        <v>4.4028940733646937</v>
      </c>
      <c r="V1999" s="106">
        <v>31268.108107925182</v>
      </c>
      <c r="W1999" s="10">
        <v>1.0714022633593556</v>
      </c>
      <c r="X1999" s="420"/>
      <c r="Y1999" s="420"/>
      <c r="Z1999" s="1"/>
      <c r="AA1999" s="1"/>
      <c r="AB1999" s="1"/>
      <c r="AC1999" s="1"/>
      <c r="AD1999" s="1"/>
    </row>
    <row r="2000" spans="17:30">
      <c r="Q2000" s="6">
        <v>1970</v>
      </c>
      <c r="R2000" s="7">
        <v>44637</v>
      </c>
      <c r="S2000" s="210">
        <v>4.5</v>
      </c>
      <c r="T2000" s="8">
        <v>1.0001249999999999</v>
      </c>
      <c r="U2000" s="98">
        <v>4.4030284160526678</v>
      </c>
      <c r="V2000" s="106">
        <v>31270.710532014655</v>
      </c>
      <c r="W2000" s="10">
        <v>1.0716376352513102</v>
      </c>
      <c r="X2000" s="420"/>
      <c r="Y2000" s="420"/>
      <c r="Z2000" s="1"/>
      <c r="AA2000" s="1"/>
      <c r="AB2000" s="1"/>
      <c r="AC2000" s="1"/>
      <c r="AD2000" s="1"/>
    </row>
    <row r="2001" spans="17:30">
      <c r="Q2001" s="6">
        <v>1971</v>
      </c>
      <c r="R2001" s="7">
        <v>44638</v>
      </c>
      <c r="S2001" s="210">
        <v>4.5</v>
      </c>
      <c r="T2001" s="8">
        <v>1.0001249999999999</v>
      </c>
      <c r="U2001" s="98">
        <v>4.403162622593948</v>
      </c>
      <c r="V2001" s="106">
        <v>31273.313172702176</v>
      </c>
      <c r="W2001" s="10">
        <v>1.0718727688555862</v>
      </c>
      <c r="X2001" s="420"/>
      <c r="Y2001" s="420"/>
      <c r="Z2001" s="1"/>
      <c r="AA2001" s="1"/>
      <c r="AB2001" s="1"/>
      <c r="AC2001" s="1"/>
      <c r="AD2001" s="1"/>
    </row>
    <row r="2002" spans="17:30">
      <c r="Q2002" s="6">
        <v>1972</v>
      </c>
      <c r="R2002" s="7">
        <v>44639</v>
      </c>
      <c r="S2002" s="210">
        <v>4.5</v>
      </c>
      <c r="T2002" s="8">
        <v>1.0001249999999999</v>
      </c>
      <c r="U2002" s="98">
        <v>4.4032966931953688</v>
      </c>
      <c r="V2002" s="106">
        <v>31275.91603000577</v>
      </c>
      <c r="W2002" s="10">
        <v>1.0721076645338057</v>
      </c>
      <c r="X2002" s="420"/>
      <c r="Y2002" s="420"/>
      <c r="Z2002" s="1"/>
      <c r="AA2002" s="1"/>
      <c r="AB2002" s="1"/>
      <c r="AC2002" s="1"/>
      <c r="AD2002" s="1"/>
    </row>
    <row r="2003" spans="17:30">
      <c r="Q2003" s="6">
        <v>1973</v>
      </c>
      <c r="R2003" s="7">
        <v>44640</v>
      </c>
      <c r="S2003" s="210">
        <v>4.5</v>
      </c>
      <c r="T2003" s="8">
        <v>1.0001249999999999</v>
      </c>
      <c r="U2003" s="98">
        <v>4.403430628063365</v>
      </c>
      <c r="V2003" s="106">
        <v>31278.519103943476</v>
      </c>
      <c r="W2003" s="10">
        <v>1.0723423226469242</v>
      </c>
      <c r="X2003" s="420"/>
      <c r="Y2003" s="420"/>
      <c r="Z2003" s="1"/>
      <c r="AA2003" s="1"/>
      <c r="AB2003" s="1"/>
      <c r="AC2003" s="1"/>
      <c r="AD2003" s="1"/>
    </row>
    <row r="2004" spans="17:30">
      <c r="Q2004" s="6">
        <v>1974</v>
      </c>
      <c r="R2004" s="7">
        <v>44641</v>
      </c>
      <c r="S2004" s="210">
        <v>4.5</v>
      </c>
      <c r="T2004" s="8">
        <v>1.0001249999999999</v>
      </c>
      <c r="U2004" s="98">
        <v>4.403564427403972</v>
      </c>
      <c r="V2004" s="106">
        <v>31281.1223945333</v>
      </c>
      <c r="W2004" s="10">
        <v>1.0725767435552092</v>
      </c>
      <c r="X2004" s="420"/>
      <c r="Y2004" s="420"/>
      <c r="Z2004" s="1"/>
      <c r="AA2004" s="1"/>
      <c r="AB2004" s="1"/>
      <c r="AC2004" s="1"/>
      <c r="AD2004" s="1"/>
    </row>
    <row r="2005" spans="17:30">
      <c r="Q2005" s="6">
        <v>1975</v>
      </c>
      <c r="R2005" s="7">
        <v>44642</v>
      </c>
      <c r="S2005" s="210">
        <v>4.5</v>
      </c>
      <c r="T2005" s="8">
        <v>1.0001249999999999</v>
      </c>
      <c r="U2005" s="98">
        <v>4.4036980914227808</v>
      </c>
      <c r="V2005" s="106">
        <v>31283.725901793303</v>
      </c>
      <c r="W2005" s="10">
        <v>1.0728109276180842</v>
      </c>
      <c r="X2005" s="420"/>
      <c r="Y2005" s="420"/>
      <c r="Z2005" s="1"/>
      <c r="AA2005" s="1"/>
      <c r="AB2005" s="1"/>
      <c r="AC2005" s="1"/>
      <c r="AD2005" s="1"/>
    </row>
    <row r="2006" spans="17:30">
      <c r="Q2006" s="6">
        <v>1976</v>
      </c>
      <c r="R2006" s="7">
        <v>44643</v>
      </c>
      <c r="S2006" s="210">
        <v>4.5</v>
      </c>
      <c r="T2006" s="8">
        <v>1.0001249999999999</v>
      </c>
      <c r="U2006" s="98">
        <v>4.4038316203249828</v>
      </c>
      <c r="V2006" s="106">
        <v>31286.329625741495</v>
      </c>
      <c r="W2006" s="10">
        <v>1.0730448751943289</v>
      </c>
      <c r="X2006" s="420"/>
      <c r="Y2006" s="420"/>
      <c r="Z2006" s="1"/>
      <c r="AA2006" s="1"/>
      <c r="AB2006" s="1"/>
      <c r="AC2006" s="1"/>
      <c r="AD2006" s="1"/>
    </row>
    <row r="2007" spans="17:30">
      <c r="Q2007" s="6">
        <v>1977</v>
      </c>
      <c r="R2007" s="7">
        <v>44644</v>
      </c>
      <c r="S2007" s="210">
        <v>4.5</v>
      </c>
      <c r="T2007" s="8">
        <v>1.0001249999999999</v>
      </c>
      <c r="U2007" s="98">
        <v>4.4039650143153697</v>
      </c>
      <c r="V2007" s="106">
        <v>31288.933566395928</v>
      </c>
      <c r="W2007" s="10">
        <v>1.0732785866419903</v>
      </c>
      <c r="X2007" s="420"/>
      <c r="Y2007" s="420"/>
      <c r="Z2007" s="1"/>
      <c r="AA2007" s="1"/>
      <c r="AB2007" s="1"/>
      <c r="AC2007" s="1"/>
      <c r="AD2007" s="1"/>
    </row>
    <row r="2008" spans="17:30">
      <c r="Q2008" s="6">
        <v>1978</v>
      </c>
      <c r="R2008" s="7">
        <v>44645</v>
      </c>
      <c r="S2008" s="210">
        <v>4.5</v>
      </c>
      <c r="T2008" s="8">
        <v>1.0001249999999999</v>
      </c>
      <c r="U2008" s="98">
        <v>4.4040982735982892</v>
      </c>
      <c r="V2008" s="106">
        <v>31291.537723774625</v>
      </c>
      <c r="W2008" s="10">
        <v>1.0735120623184047</v>
      </c>
      <c r="X2008" s="420"/>
      <c r="Y2008" s="420"/>
      <c r="Z2008" s="1"/>
      <c r="AA2008" s="1"/>
      <c r="AB2008" s="1"/>
      <c r="AC2008" s="1"/>
      <c r="AD2008" s="1"/>
    </row>
    <row r="2009" spans="17:30">
      <c r="Q2009" s="6">
        <v>1979</v>
      </c>
      <c r="R2009" s="7">
        <v>44646</v>
      </c>
      <c r="S2009" s="210">
        <v>4.5</v>
      </c>
      <c r="T2009" s="8">
        <v>1.0001249999999999</v>
      </c>
      <c r="U2009" s="98">
        <v>4.4042313983776893</v>
      </c>
      <c r="V2009" s="106">
        <v>31294.142097895627</v>
      </c>
      <c r="W2009" s="10">
        <v>1.0737453025801091</v>
      </c>
      <c r="X2009" s="420"/>
      <c r="Y2009" s="420"/>
      <c r="Z2009" s="1"/>
      <c r="AA2009" s="1"/>
      <c r="AB2009" s="1"/>
      <c r="AC2009" s="1"/>
      <c r="AD2009" s="1"/>
    </row>
    <row r="2010" spans="17:30">
      <c r="Q2010" s="6">
        <v>1980</v>
      </c>
      <c r="R2010" s="7">
        <v>44647</v>
      </c>
      <c r="S2010" s="210">
        <v>4.5</v>
      </c>
      <c r="T2010" s="8">
        <v>1.0001249999999999</v>
      </c>
      <c r="U2010" s="98">
        <v>4.404364388857096</v>
      </c>
      <c r="V2010" s="106">
        <v>31296.746688776984</v>
      </c>
      <c r="W2010" s="10">
        <v>1.0739783077830189</v>
      </c>
      <c r="X2010" s="420"/>
      <c r="Y2010" s="420"/>
      <c r="Z2010" s="1"/>
      <c r="AA2010" s="1"/>
      <c r="AB2010" s="1"/>
      <c r="AC2010" s="1"/>
      <c r="AD2010" s="1"/>
    </row>
    <row r="2011" spans="17:30">
      <c r="Q2011" s="6">
        <v>1981</v>
      </c>
      <c r="R2011" s="7">
        <v>44648</v>
      </c>
      <c r="S2011" s="210">
        <v>4.5</v>
      </c>
      <c r="T2011" s="8">
        <v>1.0001249999999999</v>
      </c>
      <c r="U2011" s="98">
        <v>4.4044972452396358</v>
      </c>
      <c r="V2011" s="106">
        <v>31299.351496436724</v>
      </c>
      <c r="W2011" s="10">
        <v>1.07421107828225</v>
      </c>
      <c r="X2011" s="420"/>
      <c r="Y2011" s="420"/>
      <c r="Z2011" s="1"/>
      <c r="AA2011" s="1"/>
      <c r="AB2011" s="1"/>
      <c r="AC2011" s="1"/>
      <c r="AD2011" s="1"/>
    </row>
    <row r="2012" spans="17:30">
      <c r="Q2012" s="6">
        <v>1982</v>
      </c>
      <c r="R2012" s="7">
        <v>44649</v>
      </c>
      <c r="S2012" s="210">
        <v>4.5</v>
      </c>
      <c r="T2012" s="8">
        <v>1.0001249999999999</v>
      </c>
      <c r="U2012" s="98">
        <v>4.4046299677280354</v>
      </c>
      <c r="V2012" s="106">
        <v>31301.956520892891</v>
      </c>
      <c r="W2012" s="10">
        <v>1.0744436144322966</v>
      </c>
      <c r="X2012" s="420"/>
      <c r="Y2012" s="420"/>
      <c r="Z2012" s="1"/>
      <c r="AA2012" s="1"/>
      <c r="AB2012" s="1"/>
      <c r="AC2012" s="1"/>
      <c r="AD2012" s="1"/>
    </row>
    <row r="2013" spans="17:30">
      <c r="Q2013" s="6">
        <v>1983</v>
      </c>
      <c r="R2013" s="7">
        <v>44650</v>
      </c>
      <c r="S2013" s="210">
        <v>4.5</v>
      </c>
      <c r="T2013" s="8">
        <v>1.0001249999999999</v>
      </c>
      <c r="U2013" s="98">
        <v>4.4047625565245996</v>
      </c>
      <c r="V2013" s="106">
        <v>31304.561762163528</v>
      </c>
      <c r="W2013" s="10">
        <v>1.0746759165868536</v>
      </c>
      <c r="X2013" s="420"/>
      <c r="Y2013" s="420"/>
      <c r="Z2013" s="1"/>
      <c r="AA2013" s="1"/>
      <c r="AB2013" s="1"/>
      <c r="AC2013" s="1"/>
      <c r="AD2013" s="1"/>
    </row>
    <row r="2014" spans="17:30">
      <c r="Q2014" s="6">
        <v>1984</v>
      </c>
      <c r="R2014" s="7">
        <v>44651</v>
      </c>
      <c r="S2014" s="210">
        <v>4.5</v>
      </c>
      <c r="T2014" s="8">
        <v>1.0001249999999999</v>
      </c>
      <c r="U2014" s="98">
        <v>4.4048950118312336</v>
      </c>
      <c r="V2014" s="106">
        <v>31307.167220266692</v>
      </c>
      <c r="W2014" s="10">
        <v>1.0749079850989718</v>
      </c>
      <c r="X2014" s="420"/>
      <c r="Y2014" s="420"/>
      <c r="Z2014" s="1"/>
      <c r="AA2014" s="1"/>
      <c r="AB2014" s="1"/>
      <c r="AC2014" s="1"/>
      <c r="AD2014" s="1"/>
    </row>
    <row r="2015" spans="17:30">
      <c r="Q2015" s="6">
        <v>1985</v>
      </c>
      <c r="R2015" s="7">
        <v>44652</v>
      </c>
      <c r="S2015" s="210">
        <v>4.5</v>
      </c>
      <c r="T2015" s="8">
        <v>1.0001249999999999</v>
      </c>
      <c r="U2015" s="98">
        <v>4.4050273338494206</v>
      </c>
      <c r="V2015" s="106">
        <v>31309.77289522042</v>
      </c>
      <c r="W2015" s="10">
        <v>1.075139820320925</v>
      </c>
      <c r="X2015" s="420"/>
      <c r="Y2015" s="420"/>
      <c r="Z2015" s="1"/>
      <c r="AA2015" s="1"/>
      <c r="AB2015" s="1"/>
      <c r="AC2015" s="1"/>
      <c r="AD2015" s="1"/>
    </row>
    <row r="2016" spans="17:30">
      <c r="Q2016" s="6">
        <v>1986</v>
      </c>
      <c r="R2016" s="7">
        <v>44653</v>
      </c>
      <c r="S2016" s="210">
        <v>4.5</v>
      </c>
      <c r="T2016" s="8">
        <v>1.0001249999999999</v>
      </c>
      <c r="U2016" s="98">
        <v>4.4051595227802665</v>
      </c>
      <c r="V2016" s="106">
        <v>31312.378787042762</v>
      </c>
      <c r="W2016" s="10">
        <v>1.0753714226043209</v>
      </c>
      <c r="X2016" s="420"/>
      <c r="Y2016" s="420"/>
      <c r="Z2016" s="1"/>
      <c r="AA2016" s="1"/>
      <c r="AB2016" s="1"/>
      <c r="AC2016" s="1"/>
      <c r="AD2016" s="1"/>
    </row>
    <row r="2017" spans="17:30">
      <c r="Q2017" s="6">
        <v>1987</v>
      </c>
      <c r="R2017" s="7">
        <v>44654</v>
      </c>
      <c r="S2017" s="210">
        <v>4.5</v>
      </c>
      <c r="T2017" s="8">
        <v>1.0001249999999999</v>
      </c>
      <c r="U2017" s="98">
        <v>4.4052915788244329</v>
      </c>
      <c r="V2017" s="106">
        <v>31314.984895751764</v>
      </c>
      <c r="W2017" s="10">
        <v>1.0756027923000566</v>
      </c>
      <c r="X2017" s="420"/>
      <c r="Y2017" s="420"/>
      <c r="Z2017" s="1"/>
      <c r="AA2017" s="1"/>
      <c r="AB2017" s="1"/>
      <c r="AC2017" s="1"/>
      <c r="AD2017" s="1"/>
    </row>
    <row r="2018" spans="17:30">
      <c r="Q2018" s="6">
        <v>1988</v>
      </c>
      <c r="R2018" s="7">
        <v>44655</v>
      </c>
      <c r="S2018" s="210">
        <v>4.5</v>
      </c>
      <c r="T2018" s="8">
        <v>1.0001249999999999</v>
      </c>
      <c r="U2018" s="98">
        <v>4.4054235021822263</v>
      </c>
      <c r="V2018" s="106">
        <v>31317.591221365485</v>
      </c>
      <c r="W2018" s="10">
        <v>1.0758339297583408</v>
      </c>
      <c r="X2018" s="420"/>
      <c r="Y2018" s="420"/>
      <c r="Z2018" s="1"/>
      <c r="AA2018" s="1"/>
      <c r="AB2018" s="1"/>
      <c r="AC2018" s="1"/>
      <c r="AD2018" s="1"/>
    </row>
    <row r="2019" spans="17:30">
      <c r="Q2019" s="6">
        <v>1989</v>
      </c>
      <c r="R2019" s="7">
        <v>44656</v>
      </c>
      <c r="S2019" s="210">
        <v>4.5</v>
      </c>
      <c r="T2019" s="8">
        <v>1.0001249999999999</v>
      </c>
      <c r="U2019" s="98">
        <v>4.4055552930535091</v>
      </c>
      <c r="V2019" s="106">
        <v>31320.197763901975</v>
      </c>
      <c r="W2019" s="10">
        <v>1.0760648353286273</v>
      </c>
      <c r="X2019" s="420"/>
      <c r="Y2019" s="420"/>
      <c r="Z2019" s="1"/>
      <c r="AA2019" s="1"/>
      <c r="AB2019" s="1"/>
      <c r="AC2019" s="1"/>
      <c r="AD2019" s="1"/>
    </row>
    <row r="2020" spans="17:30">
      <c r="Q2020" s="6">
        <v>1990</v>
      </c>
      <c r="R2020" s="7">
        <v>44657</v>
      </c>
      <c r="S2020" s="210">
        <v>4.5</v>
      </c>
      <c r="T2020" s="8">
        <v>1.0001249999999999</v>
      </c>
      <c r="U2020" s="98">
        <v>4.4056869516377661</v>
      </c>
      <c r="V2020" s="106">
        <v>31322.804523379287</v>
      </c>
      <c r="W2020" s="10">
        <v>1.076295509359726</v>
      </c>
      <c r="X2020" s="420"/>
      <c r="Y2020" s="420"/>
      <c r="Z2020" s="1"/>
      <c r="AA2020" s="1"/>
      <c r="AB2020" s="1"/>
      <c r="AC2020" s="1"/>
      <c r="AD2020" s="1"/>
    </row>
    <row r="2021" spans="17:30">
      <c r="Q2021" s="6">
        <v>1991</v>
      </c>
      <c r="R2021" s="7">
        <v>44658</v>
      </c>
      <c r="S2021" s="210">
        <v>4.5</v>
      </c>
      <c r="T2021" s="8">
        <v>1.0001249999999999</v>
      </c>
      <c r="U2021" s="98">
        <v>4.4058184781340826</v>
      </c>
      <c r="V2021" s="106">
        <v>31325.411499815476</v>
      </c>
      <c r="W2021" s="10">
        <v>1.0765259521997361</v>
      </c>
      <c r="X2021" s="420"/>
      <c r="Y2021" s="420"/>
      <c r="Z2021" s="1"/>
      <c r="AA2021" s="1"/>
      <c r="AB2021" s="1"/>
      <c r="AC2021" s="1"/>
      <c r="AD2021" s="1"/>
    </row>
    <row r="2022" spans="17:30">
      <c r="Q2022" s="6">
        <v>1992</v>
      </c>
      <c r="R2022" s="7">
        <v>44659</v>
      </c>
      <c r="S2022" s="210">
        <v>4.5</v>
      </c>
      <c r="T2022" s="8">
        <v>1.0001249999999999</v>
      </c>
      <c r="U2022" s="98">
        <v>4.4059498727411217</v>
      </c>
      <c r="V2022" s="106">
        <v>31328.018693228601</v>
      </c>
      <c r="W2022" s="10">
        <v>1.0767561641960022</v>
      </c>
      <c r="X2022" s="420"/>
      <c r="Y2022" s="420"/>
      <c r="Z2022" s="1"/>
      <c r="AA2022" s="1"/>
      <c r="AB2022" s="1"/>
      <c r="AC2022" s="1"/>
      <c r="AD2022" s="1"/>
    </row>
    <row r="2023" spans="17:30">
      <c r="Q2023" s="6">
        <v>1993</v>
      </c>
      <c r="R2023" s="7">
        <v>44660</v>
      </c>
      <c r="S2023" s="210">
        <v>4.5</v>
      </c>
      <c r="T2023" s="8">
        <v>1.0001249999999999</v>
      </c>
      <c r="U2023" s="98">
        <v>4.4060811356571694</v>
      </c>
      <c r="V2023" s="106">
        <v>31330.626103636718</v>
      </c>
      <c r="W2023" s="10">
        <v>1.076986145695269</v>
      </c>
      <c r="X2023" s="420"/>
      <c r="Y2023" s="420"/>
      <c r="Z2023" s="1"/>
      <c r="AA2023" s="1"/>
      <c r="AB2023" s="1"/>
      <c r="AC2023" s="1"/>
      <c r="AD2023" s="1"/>
    </row>
    <row r="2024" spans="17:30">
      <c r="Q2024" s="6">
        <v>1994</v>
      </c>
      <c r="R2024" s="7">
        <v>44661</v>
      </c>
      <c r="S2024" s="210">
        <v>4.5</v>
      </c>
      <c r="T2024" s="8">
        <v>1.0001249999999999</v>
      </c>
      <c r="U2024" s="98">
        <v>4.4062122670801118</v>
      </c>
      <c r="V2024" s="106">
        <v>31333.320655709591</v>
      </c>
      <c r="W2024" s="10">
        <v>1.0771645686100451</v>
      </c>
      <c r="X2024" s="420"/>
      <c r="Y2024" s="420"/>
      <c r="Z2024" s="1"/>
      <c r="AA2024" s="1"/>
      <c r="AB2024" s="1"/>
      <c r="AC2024" s="1"/>
      <c r="AD2024" s="1"/>
    </row>
    <row r="2025" spans="17:30">
      <c r="Q2025" s="6">
        <v>1995</v>
      </c>
      <c r="R2025" s="7">
        <v>44662</v>
      </c>
      <c r="S2025" s="210">
        <v>4.5</v>
      </c>
      <c r="T2025" s="8">
        <v>1.0001249999999999</v>
      </c>
      <c r="U2025" s="98">
        <v>4.4063432672074132</v>
      </c>
      <c r="V2025" s="106">
        <v>31336.015439524104</v>
      </c>
      <c r="W2025" s="10">
        <v>1.0773428129692064</v>
      </c>
      <c r="X2025" s="420"/>
      <c r="Y2025" s="420"/>
      <c r="Z2025" s="1"/>
      <c r="AA2025" s="1"/>
      <c r="AB2025" s="1"/>
      <c r="AC2025" s="1"/>
      <c r="AD2025" s="1"/>
    </row>
    <row r="2026" spans="17:30">
      <c r="Q2026" s="6">
        <v>1996</v>
      </c>
      <c r="R2026" s="7">
        <v>44663</v>
      </c>
      <c r="S2026" s="210">
        <v>4.5</v>
      </c>
      <c r="T2026" s="8">
        <v>1.0001249999999999</v>
      </c>
      <c r="U2026" s="98">
        <v>4.4064741362361826</v>
      </c>
      <c r="V2026" s="106">
        <v>31338.710455100201</v>
      </c>
      <c r="W2026" s="10">
        <v>1.0775208790406499</v>
      </c>
      <c r="X2026" s="420"/>
      <c r="Y2026" s="420"/>
      <c r="Z2026" s="1"/>
      <c r="AA2026" s="1"/>
      <c r="AB2026" s="1"/>
      <c r="AC2026" s="1"/>
      <c r="AD2026" s="1"/>
    </row>
    <row r="2027" spans="17:30">
      <c r="Q2027" s="6">
        <v>1997</v>
      </c>
      <c r="R2027" s="7">
        <v>44664</v>
      </c>
      <c r="S2027" s="210">
        <v>4.5</v>
      </c>
      <c r="T2027" s="8">
        <v>1.0001249999999999</v>
      </c>
      <c r="U2027" s="98">
        <v>4.4066048743631292</v>
      </c>
      <c r="V2027" s="106">
        <v>31341.405702457803</v>
      </c>
      <c r="W2027" s="10">
        <v>1.0776987670917615</v>
      </c>
      <c r="X2027" s="420"/>
      <c r="Y2027" s="420"/>
      <c r="Z2027" s="1"/>
      <c r="AA2027" s="1"/>
      <c r="AB2027" s="1"/>
      <c r="AC2027" s="1"/>
      <c r="AD2027" s="1"/>
    </row>
    <row r="2028" spans="17:30">
      <c r="Q2028" s="6">
        <v>1998</v>
      </c>
      <c r="R2028" s="7">
        <v>44665</v>
      </c>
      <c r="S2028" s="210">
        <v>4.5</v>
      </c>
      <c r="T2028" s="8">
        <v>1.0001249999999999</v>
      </c>
      <c r="U2028" s="98">
        <v>4.4067354817845406</v>
      </c>
      <c r="V2028" s="106">
        <v>31344.101181616847</v>
      </c>
      <c r="W2028" s="10">
        <v>1.0778764773893501</v>
      </c>
      <c r="X2028" s="420"/>
      <c r="Y2028" s="420"/>
      <c r="Z2028" s="1"/>
      <c r="AA2028" s="1"/>
      <c r="AB2028" s="1"/>
      <c r="AC2028" s="1"/>
      <c r="AD2028" s="1"/>
    </row>
    <row r="2029" spans="17:30">
      <c r="Q2029" s="6">
        <v>1999</v>
      </c>
      <c r="R2029" s="7">
        <v>44666</v>
      </c>
      <c r="S2029" s="210">
        <v>4.5</v>
      </c>
      <c r="T2029" s="8">
        <v>1.0001249999999999</v>
      </c>
      <c r="U2029" s="98">
        <v>4.4068659586963266</v>
      </c>
      <c r="V2029" s="106">
        <v>31346.796892597275</v>
      </c>
      <c r="W2029" s="10">
        <v>1.0780540101997138</v>
      </c>
      <c r="X2029" s="420"/>
      <c r="Y2029" s="420"/>
      <c r="Z2029" s="1"/>
      <c r="AA2029" s="1"/>
      <c r="AB2029" s="1"/>
      <c r="AC2029" s="1"/>
      <c r="AD2029" s="1"/>
    </row>
    <row r="2030" spans="17:30">
      <c r="Q2030" s="6">
        <v>2000</v>
      </c>
      <c r="R2030" s="7">
        <v>44667</v>
      </c>
      <c r="S2030" s="210">
        <v>4.5</v>
      </c>
      <c r="T2030" s="8">
        <v>1.0001249999999999</v>
      </c>
      <c r="U2030" s="98">
        <v>4.4069963052940198</v>
      </c>
      <c r="V2030" s="106">
        <v>31349.492835419023</v>
      </c>
      <c r="W2030" s="10">
        <v>1.0782313657886178</v>
      </c>
      <c r="X2030" s="420"/>
      <c r="Y2030" s="420"/>
      <c r="Z2030" s="1"/>
      <c r="AA2030" s="1"/>
      <c r="AB2030" s="1"/>
      <c r="AC2030" s="1"/>
      <c r="AD2030" s="1"/>
    </row>
    <row r="2031" spans="17:30">
      <c r="Q2031" s="6">
        <v>2001</v>
      </c>
      <c r="R2031" s="7">
        <v>44668</v>
      </c>
      <c r="S2031" s="210">
        <v>4.5</v>
      </c>
      <c r="T2031" s="8">
        <v>1.0001249999999999</v>
      </c>
      <c r="U2031" s="98">
        <v>4.4071265217727529</v>
      </c>
      <c r="V2031" s="106">
        <v>31352.189010102018</v>
      </c>
      <c r="W2031" s="10">
        <v>1.0784085444213165</v>
      </c>
      <c r="X2031" s="420"/>
      <c r="Y2031" s="420"/>
      <c r="Z2031" s="1"/>
      <c r="AA2031" s="1"/>
      <c r="AB2031" s="1"/>
      <c r="AC2031" s="1"/>
      <c r="AD2031" s="1"/>
    </row>
    <row r="2032" spans="17:30">
      <c r="Q2032" s="6">
        <v>2002</v>
      </c>
      <c r="R2032" s="7">
        <v>44669</v>
      </c>
      <c r="S2032" s="210">
        <v>4.5</v>
      </c>
      <c r="T2032" s="8">
        <v>1.0001249999999999</v>
      </c>
      <c r="U2032" s="98">
        <v>4.4072566083272369</v>
      </c>
      <c r="V2032" s="106">
        <v>31354.885416666213</v>
      </c>
      <c r="W2032" s="10">
        <v>1.078585546362465</v>
      </c>
      <c r="X2032" s="420"/>
      <c r="Y2032" s="420"/>
      <c r="Z2032" s="1"/>
      <c r="AA2032" s="1"/>
      <c r="AB2032" s="1"/>
      <c r="AC2032" s="1"/>
      <c r="AD2032" s="1"/>
    </row>
    <row r="2033" spans="17:30">
      <c r="Q2033" s="6">
        <v>2003</v>
      </c>
      <c r="R2033" s="7">
        <v>44670</v>
      </c>
      <c r="S2033" s="210">
        <v>4.5</v>
      </c>
      <c r="T2033" s="8">
        <v>1.0001249999999999</v>
      </c>
      <c r="U2033" s="98">
        <v>4.4073865651518496</v>
      </c>
      <c r="V2033" s="106">
        <v>31357.582055131548</v>
      </c>
      <c r="W2033" s="10">
        <v>1.078762371876274</v>
      </c>
      <c r="X2033" s="420"/>
      <c r="Y2033" s="420"/>
      <c r="Z2033" s="1"/>
      <c r="AA2033" s="1"/>
      <c r="AB2033" s="1"/>
      <c r="AC2033" s="1"/>
      <c r="AD2033" s="1"/>
    </row>
    <row r="2034" spans="17:30">
      <c r="Q2034" s="6">
        <v>2004</v>
      </c>
      <c r="R2034" s="7">
        <v>44671</v>
      </c>
      <c r="S2034" s="210">
        <v>4.5</v>
      </c>
      <c r="T2034" s="8">
        <v>1.0001249999999999</v>
      </c>
      <c r="U2034" s="98">
        <v>4.4075163924405469</v>
      </c>
      <c r="V2034" s="106">
        <v>31360.278925517963</v>
      </c>
      <c r="W2034" s="10">
        <v>1.0789390212263772</v>
      </c>
      <c r="X2034" s="420"/>
      <c r="Y2034" s="420"/>
      <c r="Z2034" s="1"/>
      <c r="AA2034" s="1"/>
      <c r="AB2034" s="1"/>
      <c r="AC2034" s="1"/>
      <c r="AD2034" s="1"/>
    </row>
    <row r="2035" spans="17:30">
      <c r="Q2035" s="6">
        <v>2005</v>
      </c>
      <c r="R2035" s="7">
        <v>44672</v>
      </c>
      <c r="S2035" s="210">
        <v>4.5</v>
      </c>
      <c r="T2035" s="8">
        <v>1.0001249999999999</v>
      </c>
      <c r="U2035" s="98">
        <v>4.4076460903869075</v>
      </c>
      <c r="V2035" s="106">
        <v>31362.976027845416</v>
      </c>
      <c r="W2035" s="10">
        <v>1.0791154946759196</v>
      </c>
      <c r="X2035" s="420"/>
      <c r="Y2035" s="420"/>
      <c r="Z2035" s="1"/>
      <c r="AA2035" s="1"/>
      <c r="AB2035" s="1"/>
      <c r="AC2035" s="1"/>
      <c r="AD2035" s="1"/>
    </row>
    <row r="2036" spans="17:30">
      <c r="Q2036" s="6">
        <v>2006</v>
      </c>
      <c r="R2036" s="7">
        <v>44673</v>
      </c>
      <c r="S2036" s="210">
        <v>4.5</v>
      </c>
      <c r="T2036" s="8">
        <v>1.0001249999999999</v>
      </c>
      <c r="U2036" s="98">
        <v>4.4077756591841322</v>
      </c>
      <c r="V2036" s="106">
        <v>31365.673362133843</v>
      </c>
      <c r="W2036" s="10">
        <v>1.0792917924874912</v>
      </c>
      <c r="X2036" s="420"/>
      <c r="Y2036" s="420"/>
      <c r="Z2036" s="1"/>
      <c r="AA2036" s="1"/>
      <c r="AB2036" s="1"/>
      <c r="AC2036" s="1"/>
      <c r="AD2036" s="1"/>
    </row>
    <row r="2037" spans="17:30">
      <c r="Q2037" s="6">
        <v>2007</v>
      </c>
      <c r="R2037" s="7">
        <v>44674</v>
      </c>
      <c r="S2037" s="210">
        <v>4.5</v>
      </c>
      <c r="T2037" s="8">
        <v>1.0001249999999999</v>
      </c>
      <c r="U2037" s="98">
        <v>4.4079050990250224</v>
      </c>
      <c r="V2037" s="106">
        <v>31368.370928403201</v>
      </c>
      <c r="W2037" s="10">
        <v>1.0794679149231934</v>
      </c>
      <c r="X2037" s="420"/>
      <c r="Y2037" s="420"/>
      <c r="Z2037" s="1"/>
      <c r="AA2037" s="1"/>
      <c r="AB2037" s="1"/>
      <c r="AC2037" s="1"/>
      <c r="AD2037" s="1"/>
    </row>
    <row r="2038" spans="17:30">
      <c r="Q2038" s="6">
        <v>2008</v>
      </c>
      <c r="R2038" s="7">
        <v>44675</v>
      </c>
      <c r="S2038" s="210">
        <v>4.5</v>
      </c>
      <c r="T2038" s="8">
        <v>1.0001249999999999</v>
      </c>
      <c r="U2038" s="98">
        <v>4.4080344101020019</v>
      </c>
      <c r="V2038" s="106">
        <v>31371.068726673431</v>
      </c>
      <c r="W2038" s="10">
        <v>1.0796438622445503</v>
      </c>
      <c r="X2038" s="420"/>
      <c r="Y2038" s="420"/>
      <c r="Z2038" s="1"/>
      <c r="AA2038" s="1"/>
      <c r="AB2038" s="1"/>
      <c r="AC2038" s="1"/>
      <c r="AD2038" s="1"/>
    </row>
    <row r="2039" spans="17:30">
      <c r="Q2039" s="6">
        <v>2009</v>
      </c>
      <c r="R2039" s="7">
        <v>44676</v>
      </c>
      <c r="S2039" s="210">
        <v>4.5</v>
      </c>
      <c r="T2039" s="8">
        <v>1.0001249999999999</v>
      </c>
      <c r="U2039" s="98">
        <v>4.4081635926071172</v>
      </c>
      <c r="V2039" s="106">
        <v>31373.766756964495</v>
      </c>
      <c r="W2039" s="10">
        <v>1.0798196347126199</v>
      </c>
      <c r="X2039" s="420"/>
      <c r="Y2039" s="420"/>
      <c r="Z2039" s="1"/>
      <c r="AA2039" s="1"/>
      <c r="AB2039" s="1"/>
      <c r="AC2039" s="1"/>
      <c r="AD2039" s="1"/>
    </row>
    <row r="2040" spans="17:30">
      <c r="Q2040" s="6">
        <v>2010</v>
      </c>
      <c r="R2040" s="7">
        <v>44677</v>
      </c>
      <c r="S2040" s="210">
        <v>4.5</v>
      </c>
      <c r="T2040" s="8">
        <v>1.0001249999999999</v>
      </c>
      <c r="U2040" s="98">
        <v>4.4082926467320149</v>
      </c>
      <c r="V2040" s="106">
        <v>31376.465019296349</v>
      </c>
      <c r="W2040" s="10">
        <v>1.0799952325878825</v>
      </c>
      <c r="X2040" s="420"/>
      <c r="Y2040" s="420"/>
      <c r="Z2040" s="1"/>
      <c r="AA2040" s="1"/>
      <c r="AB2040" s="1"/>
      <c r="AC2040" s="1"/>
      <c r="AD2040" s="1"/>
    </row>
    <row r="2041" spans="17:30">
      <c r="Q2041" s="6">
        <v>2011</v>
      </c>
      <c r="R2041" s="7">
        <v>44678</v>
      </c>
      <c r="S2041" s="210">
        <v>4.5</v>
      </c>
      <c r="T2041" s="8">
        <v>1.0001249999999999</v>
      </c>
      <c r="U2041" s="98">
        <v>4.4084215726679865</v>
      </c>
      <c r="V2041" s="106">
        <v>31379.163513688938</v>
      </c>
      <c r="W2041" s="10">
        <v>1.080170656130397</v>
      </c>
      <c r="X2041" s="420"/>
      <c r="Y2041" s="420"/>
      <c r="Z2041" s="1"/>
      <c r="AA2041" s="1"/>
      <c r="AB2041" s="1"/>
      <c r="AC2041" s="1"/>
      <c r="AD2041" s="1"/>
    </row>
    <row r="2042" spans="17:30">
      <c r="Q2042" s="6">
        <v>2012</v>
      </c>
      <c r="R2042" s="7">
        <v>44679</v>
      </c>
      <c r="S2042" s="210">
        <v>4.5</v>
      </c>
      <c r="T2042" s="8">
        <v>1.0001249999999999</v>
      </c>
      <c r="U2042" s="98">
        <v>4.4085503706059237</v>
      </c>
      <c r="V2042" s="106">
        <v>31381.862240162231</v>
      </c>
      <c r="W2042" s="10">
        <v>1.0803459055996223</v>
      </c>
      <c r="X2042" s="420"/>
      <c r="Y2042" s="420"/>
      <c r="Z2042" s="1"/>
      <c r="AA2042" s="1"/>
      <c r="AB2042" s="1"/>
      <c r="AC2042" s="1"/>
      <c r="AD2042" s="1"/>
    </row>
    <row r="2043" spans="17:30">
      <c r="Q2043" s="6">
        <v>2013</v>
      </c>
      <c r="R2043" s="7">
        <v>44680</v>
      </c>
      <c r="S2043" s="210">
        <v>4.5</v>
      </c>
      <c r="T2043" s="8">
        <v>1.0001249999999999</v>
      </c>
      <c r="U2043" s="98">
        <v>4.408679040736363</v>
      </c>
      <c r="V2043" s="106">
        <v>31384.561198736184</v>
      </c>
      <c r="W2043" s="10">
        <v>1.0805209812545513</v>
      </c>
      <c r="X2043" s="420"/>
      <c r="Y2043" s="420"/>
      <c r="Z2043" s="1"/>
      <c r="AA2043" s="1"/>
      <c r="AB2043" s="1"/>
      <c r="AC2043" s="1"/>
      <c r="AD2043" s="1"/>
    </row>
    <row r="2044" spans="17:30">
      <c r="Q2044" s="6">
        <v>2014</v>
      </c>
      <c r="R2044" s="7">
        <v>44681</v>
      </c>
      <c r="S2044" s="210">
        <v>4.5</v>
      </c>
      <c r="T2044" s="8">
        <v>1.0001249999999999</v>
      </c>
      <c r="U2044" s="98">
        <v>4.4088075832494189</v>
      </c>
      <c r="V2044" s="106">
        <v>31387.260389430765</v>
      </c>
      <c r="W2044" s="10">
        <v>1.0806958833535996</v>
      </c>
      <c r="X2044" s="420"/>
      <c r="Y2044" s="420"/>
      <c r="Z2044" s="1"/>
      <c r="AA2044" s="1"/>
      <c r="AB2044" s="1"/>
      <c r="AC2044" s="1"/>
      <c r="AD2044" s="1"/>
    </row>
    <row r="2045" spans="17:30">
      <c r="Q2045" s="6">
        <v>2015</v>
      </c>
      <c r="R2045" s="7">
        <v>44682</v>
      </c>
      <c r="S2045" s="210">
        <v>4.5</v>
      </c>
      <c r="T2045" s="8">
        <v>1.0001249999999999</v>
      </c>
      <c r="U2045" s="98">
        <v>4.408935998334873</v>
      </c>
      <c r="V2045" s="106">
        <v>31389.959812265926</v>
      </c>
      <c r="W2045" s="10">
        <v>1.0808706121547385</v>
      </c>
      <c r="X2045" s="420"/>
      <c r="Y2045" s="420"/>
      <c r="Z2045" s="1"/>
      <c r="AA2045" s="1"/>
      <c r="AB2045" s="1"/>
      <c r="AC2045" s="1"/>
      <c r="AD2045" s="1"/>
    </row>
    <row r="2046" spans="17:30">
      <c r="Q2046" s="6">
        <v>2016</v>
      </c>
      <c r="R2046" s="7">
        <v>44683</v>
      </c>
      <c r="S2046" s="210">
        <v>4.5</v>
      </c>
      <c r="T2046" s="8">
        <v>1.0001249999999999</v>
      </c>
      <c r="U2046" s="98">
        <v>4.4090642861821294</v>
      </c>
      <c r="V2046" s="106">
        <v>31392.659467261637</v>
      </c>
      <c r="W2046" s="10">
        <v>1.0810451679154065</v>
      </c>
      <c r="X2046" s="420"/>
      <c r="Y2046" s="420"/>
      <c r="Z2046" s="1"/>
      <c r="AA2046" s="1"/>
      <c r="AB2046" s="1"/>
      <c r="AC2046" s="1"/>
      <c r="AD2046" s="1"/>
    </row>
    <row r="2047" spans="17:30">
      <c r="Q2047" s="6">
        <v>2017</v>
      </c>
      <c r="R2047" s="7">
        <v>44684</v>
      </c>
      <c r="S2047" s="210">
        <v>4.5</v>
      </c>
      <c r="T2047" s="8">
        <v>1.0001249999999999</v>
      </c>
      <c r="U2047" s="98">
        <v>4.4091924469801924</v>
      </c>
      <c r="V2047" s="106">
        <v>31395.359354437867</v>
      </c>
      <c r="W2047" s="10">
        <v>1.0812195508925315</v>
      </c>
      <c r="X2047" s="420"/>
      <c r="Y2047" s="420"/>
      <c r="Z2047" s="1"/>
      <c r="AA2047" s="1"/>
      <c r="AB2047" s="1"/>
      <c r="AC2047" s="1"/>
      <c r="AD2047" s="1"/>
    </row>
    <row r="2048" spans="17:30">
      <c r="Q2048" s="6">
        <v>2018</v>
      </c>
      <c r="R2048" s="7">
        <v>44685</v>
      </c>
      <c r="S2048" s="210">
        <v>4.5</v>
      </c>
      <c r="T2048" s="8">
        <v>1.0001249999999999</v>
      </c>
      <c r="U2048" s="98">
        <v>4.4093204809176889</v>
      </c>
      <c r="V2048" s="106">
        <v>31398.059473814585</v>
      </c>
      <c r="W2048" s="10">
        <v>1.0813937613425084</v>
      </c>
      <c r="X2048" s="420"/>
      <c r="Y2048" s="420"/>
      <c r="Z2048" s="1"/>
      <c r="AA2048" s="1"/>
      <c r="AB2048" s="1"/>
      <c r="AC2048" s="1"/>
      <c r="AD2048" s="1"/>
    </row>
    <row r="2049" spans="17:30">
      <c r="Q2049" s="6">
        <v>2019</v>
      </c>
      <c r="R2049" s="7">
        <v>44686</v>
      </c>
      <c r="S2049" s="210">
        <v>4.5</v>
      </c>
      <c r="T2049" s="8">
        <v>1.0001249999999999</v>
      </c>
      <c r="U2049" s="98">
        <v>4.4094483881828905</v>
      </c>
      <c r="V2049" s="106">
        <v>31400.759825411751</v>
      </c>
      <c r="W2049" s="10">
        <v>1.0815677995212658</v>
      </c>
      <c r="X2049" s="420"/>
      <c r="Y2049" s="420"/>
      <c r="Z2049" s="1"/>
      <c r="AA2049" s="1"/>
      <c r="AB2049" s="1"/>
      <c r="AC2049" s="1"/>
      <c r="AD2049" s="1"/>
    </row>
    <row r="2050" spans="17:30">
      <c r="Q2050" s="6">
        <v>2020</v>
      </c>
      <c r="R2050" s="7">
        <v>44687</v>
      </c>
      <c r="S2050" s="210">
        <v>4.5</v>
      </c>
      <c r="T2050" s="8">
        <v>1.0001249999999999</v>
      </c>
      <c r="U2050" s="98">
        <v>4.4095761689636914</v>
      </c>
      <c r="V2050" s="106">
        <v>31403.46040924935</v>
      </c>
      <c r="W2050" s="10">
        <v>1.0817416656841994</v>
      </c>
      <c r="X2050" s="420"/>
      <c r="Y2050" s="420"/>
      <c r="Z2050" s="1"/>
      <c r="AA2050" s="1"/>
      <c r="AB2050" s="1"/>
      <c r="AC2050" s="1"/>
      <c r="AD2050" s="1"/>
    </row>
    <row r="2051" spans="17:30">
      <c r="Q2051" s="6">
        <v>2021</v>
      </c>
      <c r="R2051" s="7">
        <v>44688</v>
      </c>
      <c r="S2051" s="210">
        <v>4.5</v>
      </c>
      <c r="T2051" s="8">
        <v>1.0001249999999999</v>
      </c>
      <c r="U2051" s="98">
        <v>4.4097038234476305</v>
      </c>
      <c r="V2051" s="106">
        <v>31406.161225347343</v>
      </c>
      <c r="W2051" s="10">
        <v>1.0819153600862164</v>
      </c>
      <c r="X2051" s="420"/>
      <c r="Y2051" s="420"/>
      <c r="Z2051" s="1"/>
      <c r="AA2051" s="1"/>
      <c r="AB2051" s="1"/>
      <c r="AC2051" s="1"/>
      <c r="AD2051" s="1"/>
    </row>
    <row r="2052" spans="17:30">
      <c r="Q2052" s="6">
        <v>2022</v>
      </c>
      <c r="R2052" s="7">
        <v>44689</v>
      </c>
      <c r="S2052" s="210">
        <v>4.5</v>
      </c>
      <c r="T2052" s="8">
        <v>1.0001249999999999</v>
      </c>
      <c r="U2052" s="98">
        <v>4.4098313518218468</v>
      </c>
      <c r="V2052" s="106">
        <v>31408.862273725717</v>
      </c>
      <c r="W2052" s="10">
        <v>1.0820888829817132</v>
      </c>
      <c r="X2052" s="420"/>
      <c r="Y2052" s="420"/>
      <c r="Z2052" s="1"/>
      <c r="AA2052" s="1"/>
      <c r="AB2052" s="1"/>
      <c r="AC2052" s="1"/>
      <c r="AD2052" s="1"/>
    </row>
    <row r="2053" spans="17:30">
      <c r="Q2053" s="6">
        <v>2023</v>
      </c>
      <c r="R2053" s="7">
        <v>44690</v>
      </c>
      <c r="S2053" s="210">
        <v>4.5</v>
      </c>
      <c r="T2053" s="8">
        <v>1.0001249999999999</v>
      </c>
      <c r="U2053" s="98">
        <v>4.4099587542731244</v>
      </c>
      <c r="V2053" s="106">
        <v>31411.563554404449</v>
      </c>
      <c r="W2053" s="10">
        <v>1.0822622346245536</v>
      </c>
      <c r="X2053" s="420"/>
      <c r="Y2053" s="420"/>
      <c r="Z2053" s="1"/>
      <c r="AA2053" s="1"/>
      <c r="AB2053" s="1"/>
      <c r="AC2053" s="1"/>
      <c r="AD2053" s="1"/>
    </row>
    <row r="2054" spans="17:30">
      <c r="Q2054" s="6">
        <v>2024</v>
      </c>
      <c r="R2054" s="7">
        <v>44691</v>
      </c>
      <c r="S2054" s="210">
        <v>4.5</v>
      </c>
      <c r="T2054" s="8">
        <v>1.0001249999999999</v>
      </c>
      <c r="U2054" s="98">
        <v>4.410086030987892</v>
      </c>
      <c r="V2054" s="106">
        <v>31414.177918196459</v>
      </c>
      <c r="W2054" s="10">
        <v>1.082485985541437</v>
      </c>
      <c r="X2054" s="420"/>
      <c r="Y2054" s="420"/>
      <c r="Z2054" s="1"/>
      <c r="AA2054" s="1"/>
      <c r="AB2054" s="1"/>
      <c r="AC2054" s="1"/>
      <c r="AD2054" s="1"/>
    </row>
    <row r="2055" spans="17:30">
      <c r="Q2055" s="6">
        <v>2025</v>
      </c>
      <c r="R2055" s="7">
        <v>44692</v>
      </c>
      <c r="S2055" s="210">
        <v>4.5</v>
      </c>
      <c r="T2055" s="8">
        <v>1.0001249999999999</v>
      </c>
      <c r="U2055" s="98">
        <v>4.4102131821521784</v>
      </c>
      <c r="V2055" s="106">
        <v>31416.792499580253</v>
      </c>
      <c r="W2055" s="10">
        <v>1.0827095159643196</v>
      </c>
      <c r="X2055" s="420"/>
      <c r="Y2055" s="420"/>
      <c r="Z2055" s="1"/>
      <c r="AA2055" s="1"/>
      <c r="AB2055" s="1"/>
      <c r="AC2055" s="1"/>
      <c r="AD2055" s="1"/>
    </row>
    <row r="2056" spans="17:30">
      <c r="Q2056" s="6">
        <v>2026</v>
      </c>
      <c r="R2056" s="7">
        <v>44693</v>
      </c>
      <c r="S2056" s="210">
        <v>4.5</v>
      </c>
      <c r="T2056" s="8">
        <v>1.0001249999999999</v>
      </c>
      <c r="U2056" s="98">
        <v>4.4103402079516574</v>
      </c>
      <c r="V2056" s="106">
        <v>31419.407298573933</v>
      </c>
      <c r="W2056" s="10">
        <v>1.0829328262189186</v>
      </c>
      <c r="X2056" s="420"/>
      <c r="Y2056" s="420"/>
      <c r="Z2056" s="1"/>
      <c r="AA2056" s="1"/>
      <c r="AB2056" s="1"/>
      <c r="AC2056" s="1"/>
      <c r="AD2056" s="1"/>
    </row>
    <row r="2057" spans="17:30">
      <c r="Q2057" s="6">
        <v>2027</v>
      </c>
      <c r="R2057" s="7">
        <v>44694</v>
      </c>
      <c r="S2057" s="210">
        <v>4.5</v>
      </c>
      <c r="T2057" s="8">
        <v>1.0001249999999999</v>
      </c>
      <c r="U2057" s="98">
        <v>4.4104671085716696</v>
      </c>
      <c r="V2057" s="106">
        <v>31422.02231519562</v>
      </c>
      <c r="W2057" s="10">
        <v>1.0831559166304183</v>
      </c>
      <c r="X2057" s="420"/>
      <c r="Y2057" s="420"/>
      <c r="Z2057" s="1"/>
      <c r="AA2057" s="1"/>
      <c r="AB2057" s="1"/>
      <c r="AC2057" s="1"/>
      <c r="AD2057" s="1"/>
    </row>
    <row r="2058" spans="17:30">
      <c r="Q2058" s="6">
        <v>2028</v>
      </c>
      <c r="R2058" s="7">
        <v>44695</v>
      </c>
      <c r="S2058" s="210">
        <v>4.5</v>
      </c>
      <c r="T2058" s="8">
        <v>1.0001249999999999</v>
      </c>
      <c r="U2058" s="98">
        <v>4.4105938841971337</v>
      </c>
      <c r="V2058" s="106">
        <v>31424.637549463419</v>
      </c>
      <c r="W2058" s="10">
        <v>1.0833787875232703</v>
      </c>
      <c r="X2058" s="420"/>
      <c r="Y2058" s="420"/>
      <c r="Z2058" s="1"/>
      <c r="AA2058" s="1"/>
      <c r="AB2058" s="1"/>
      <c r="AC2058" s="1"/>
      <c r="AD2058" s="1"/>
    </row>
    <row r="2059" spans="17:30">
      <c r="Q2059" s="6">
        <v>2029</v>
      </c>
      <c r="R2059" s="7">
        <v>44696</v>
      </c>
      <c r="S2059" s="210">
        <v>4.5</v>
      </c>
      <c r="T2059" s="8">
        <v>1.0001249999999999</v>
      </c>
      <c r="U2059" s="98">
        <v>4.4107205350126577</v>
      </c>
      <c r="V2059" s="106">
        <v>31427.253001395449</v>
      </c>
      <c r="W2059" s="10">
        <v>1.0836014392213489</v>
      </c>
      <c r="X2059" s="420"/>
      <c r="Y2059" s="420"/>
      <c r="Z2059" s="1"/>
      <c r="AA2059" s="1"/>
      <c r="AB2059" s="1"/>
      <c r="AC2059" s="1"/>
      <c r="AD2059" s="1"/>
    </row>
    <row r="2060" spans="17:30">
      <c r="Q2060" s="6">
        <v>2030</v>
      </c>
      <c r="R2060" s="7">
        <v>44697</v>
      </c>
      <c r="S2060" s="210">
        <v>4.5</v>
      </c>
      <c r="T2060" s="8">
        <v>1.0001249999999999</v>
      </c>
      <c r="U2060" s="98">
        <v>4.4108470612024497</v>
      </c>
      <c r="V2060" s="106">
        <v>31429.868671009823</v>
      </c>
      <c r="W2060" s="10">
        <v>1.0838238720478621</v>
      </c>
      <c r="X2060" s="420"/>
      <c r="Y2060" s="420"/>
      <c r="Z2060" s="1"/>
      <c r="AA2060" s="1"/>
      <c r="AB2060" s="1"/>
      <c r="AC2060" s="1"/>
      <c r="AD2060" s="1"/>
    </row>
    <row r="2061" spans="17:30">
      <c r="Q2061" s="6">
        <v>2031</v>
      </c>
      <c r="R2061" s="7">
        <v>44698</v>
      </c>
      <c r="S2061" s="210">
        <v>4.5</v>
      </c>
      <c r="T2061" s="8">
        <v>1.0001249999999999</v>
      </c>
      <c r="U2061" s="98">
        <v>4.4109734629503849</v>
      </c>
      <c r="V2061" s="106">
        <v>31432.484558324661</v>
      </c>
      <c r="W2061" s="10">
        <v>1.084046086325352</v>
      </c>
      <c r="X2061" s="420"/>
      <c r="Y2061" s="420"/>
      <c r="Z2061" s="1"/>
      <c r="AA2061" s="1"/>
      <c r="AB2061" s="1"/>
      <c r="AC2061" s="1"/>
      <c r="AD2061" s="1"/>
    </row>
    <row r="2062" spans="17:30">
      <c r="Q2062" s="6">
        <v>2032</v>
      </c>
      <c r="R2062" s="7">
        <v>44699</v>
      </c>
      <c r="S2062" s="210">
        <v>4.5</v>
      </c>
      <c r="T2062" s="8">
        <v>1.0001249999999999</v>
      </c>
      <c r="U2062" s="98">
        <v>4.4110997404399388</v>
      </c>
      <c r="V2062" s="106">
        <v>31435.100663358076</v>
      </c>
      <c r="W2062" s="10">
        <v>1.0842680823757833</v>
      </c>
      <c r="X2062" s="420"/>
      <c r="Y2062" s="420"/>
      <c r="Z2062" s="1"/>
      <c r="AA2062" s="1"/>
      <c r="AB2062" s="1"/>
      <c r="AC2062" s="1"/>
      <c r="AD2062" s="1"/>
    </row>
    <row r="2063" spans="17:30">
      <c r="Q2063" s="6">
        <v>2033</v>
      </c>
      <c r="R2063" s="7">
        <v>44700</v>
      </c>
      <c r="S2063" s="210">
        <v>4.5</v>
      </c>
      <c r="T2063" s="8">
        <v>1.0001249999999999</v>
      </c>
      <c r="U2063" s="98">
        <v>4.4112258938542537</v>
      </c>
      <c r="V2063" s="106">
        <v>31437.716986128198</v>
      </c>
      <c r="W2063" s="10">
        <v>1.0844898605204545</v>
      </c>
      <c r="X2063" s="420"/>
      <c r="Y2063" s="420"/>
      <c r="Z2063" s="1"/>
      <c r="AA2063" s="1"/>
      <c r="AB2063" s="1"/>
      <c r="AC2063" s="1"/>
      <c r="AD2063" s="1"/>
    </row>
    <row r="2064" spans="17:30">
      <c r="Q2064" s="6">
        <v>2034</v>
      </c>
      <c r="R2064" s="7">
        <v>44701</v>
      </c>
      <c r="S2064" s="210">
        <v>4.5</v>
      </c>
      <c r="T2064" s="8">
        <v>1.0001249999999999</v>
      </c>
      <c r="U2064" s="98">
        <v>4.4113519233761167</v>
      </c>
      <c r="V2064" s="106">
        <v>31440.33352665315</v>
      </c>
      <c r="W2064" s="10">
        <v>1.0847114210800424</v>
      </c>
      <c r="X2064" s="420"/>
      <c r="Y2064" s="420"/>
      <c r="Z2064" s="1"/>
      <c r="AA2064" s="1"/>
      <c r="AB2064" s="1"/>
      <c r="AC2064" s="1"/>
      <c r="AD2064" s="1"/>
    </row>
    <row r="2065" spans="17:30">
      <c r="Q2065" s="6">
        <v>2035</v>
      </c>
      <c r="R2065" s="7">
        <v>44702</v>
      </c>
      <c r="S2065" s="210">
        <v>4.5</v>
      </c>
      <c r="T2065" s="8">
        <v>1.0001249999999999</v>
      </c>
      <c r="U2065" s="98">
        <v>4.4114778291879375</v>
      </c>
      <c r="V2065" s="106">
        <v>31442.950284951039</v>
      </c>
      <c r="W2065" s="10">
        <v>1.0849327643746021</v>
      </c>
      <c r="X2065" s="420"/>
      <c r="Y2065" s="420"/>
      <c r="Z2065" s="1"/>
      <c r="AA2065" s="1"/>
      <c r="AB2065" s="1"/>
      <c r="AC2065" s="1"/>
      <c r="AD2065" s="1"/>
    </row>
    <row r="2066" spans="17:30">
      <c r="Q2066" s="6">
        <v>2036</v>
      </c>
      <c r="R2066" s="7">
        <v>44703</v>
      </c>
      <c r="S2066" s="210">
        <v>4.5</v>
      </c>
      <c r="T2066" s="8">
        <v>1.0001249999999999</v>
      </c>
      <c r="U2066" s="98">
        <v>4.4116036114717927</v>
      </c>
      <c r="V2066" s="106">
        <v>31445.567261040014</v>
      </c>
      <c r="W2066" s="10">
        <v>1.0851538907235669</v>
      </c>
      <c r="X2066" s="420"/>
      <c r="Y2066" s="420"/>
      <c r="Z2066" s="1"/>
      <c r="AA2066" s="1"/>
      <c r="AB2066" s="1"/>
      <c r="AC2066" s="1"/>
      <c r="AD2066" s="1"/>
    </row>
    <row r="2067" spans="17:30">
      <c r="Q2067" s="6">
        <v>2037</v>
      </c>
      <c r="R2067" s="7">
        <v>44704</v>
      </c>
      <c r="S2067" s="210">
        <v>4.5</v>
      </c>
      <c r="T2067" s="8">
        <v>1.0001249999999999</v>
      </c>
      <c r="U2067" s="98">
        <v>4.4117292704093591</v>
      </c>
      <c r="V2067" s="106">
        <v>31448.184454938182</v>
      </c>
      <c r="W2067" s="10">
        <v>1.0853748004457264</v>
      </c>
      <c r="X2067" s="420"/>
      <c r="Y2067" s="420"/>
      <c r="Z2067" s="1"/>
      <c r="AA2067" s="1"/>
      <c r="AB2067" s="1"/>
      <c r="AC2067" s="1"/>
      <c r="AD2067" s="1"/>
    </row>
    <row r="2068" spans="17:30">
      <c r="Q2068" s="6">
        <v>2038</v>
      </c>
      <c r="R2068" s="7">
        <v>44705</v>
      </c>
      <c r="S2068" s="210">
        <v>4.5</v>
      </c>
      <c r="T2068" s="8">
        <v>1.0001249999999999</v>
      </c>
      <c r="U2068" s="98">
        <v>4.4118548061820029</v>
      </c>
      <c r="V2068" s="106">
        <v>31450.801866663682</v>
      </c>
      <c r="W2068" s="10">
        <v>1.0855954938592483</v>
      </c>
      <c r="X2068" s="420"/>
      <c r="Y2068" s="420"/>
      <c r="Z2068" s="1"/>
      <c r="AA2068" s="1"/>
      <c r="AB2068" s="1"/>
      <c r="AC2068" s="1"/>
      <c r="AD2068" s="1"/>
    </row>
    <row r="2069" spans="17:30">
      <c r="Q2069" s="6">
        <v>2039</v>
      </c>
      <c r="R2069" s="7">
        <v>44706</v>
      </c>
      <c r="S2069" s="210">
        <v>4.5</v>
      </c>
      <c r="T2069" s="8">
        <v>1.0001249999999999</v>
      </c>
      <c r="U2069" s="98">
        <v>4.4119802189707125</v>
      </c>
      <c r="V2069" s="106">
        <v>31453.419496234634</v>
      </c>
      <c r="W2069" s="10">
        <v>1.0858159712816784</v>
      </c>
      <c r="X2069" s="420"/>
      <c r="Y2069" s="420"/>
      <c r="Z2069" s="1"/>
      <c r="AA2069" s="1"/>
      <c r="AB2069" s="1"/>
      <c r="AC2069" s="1"/>
      <c r="AD2069" s="1"/>
    </row>
    <row r="2070" spans="17:30">
      <c r="Q2070" s="6">
        <v>2040</v>
      </c>
      <c r="R2070" s="7">
        <v>44707</v>
      </c>
      <c r="S2070" s="210">
        <v>4.5</v>
      </c>
      <c r="T2070" s="8">
        <v>1.0001249999999999</v>
      </c>
      <c r="U2070" s="98">
        <v>4.4121055089561212</v>
      </c>
      <c r="V2070" s="106">
        <v>31456.037343669173</v>
      </c>
      <c r="W2070" s="10">
        <v>1.0860362330299411</v>
      </c>
      <c r="X2070" s="420"/>
      <c r="Y2070" s="420"/>
      <c r="Z2070" s="1"/>
      <c r="AA2070" s="1"/>
      <c r="AB2070" s="1"/>
      <c r="AC2070" s="1"/>
      <c r="AD2070" s="1"/>
    </row>
    <row r="2071" spans="17:30">
      <c r="Q2071" s="6">
        <v>2041</v>
      </c>
      <c r="R2071" s="7">
        <v>44708</v>
      </c>
      <c r="S2071" s="210">
        <v>4.5</v>
      </c>
      <c r="T2071" s="8">
        <v>1.0001249999999999</v>
      </c>
      <c r="U2071" s="98">
        <v>4.4122306763185293</v>
      </c>
      <c r="V2071" s="106">
        <v>31458.655408985447</v>
      </c>
      <c r="W2071" s="10">
        <v>1.0862562794203612</v>
      </c>
      <c r="X2071" s="420"/>
      <c r="Y2071" s="420"/>
      <c r="Z2071" s="1"/>
      <c r="AA2071" s="1"/>
      <c r="AB2071" s="1"/>
      <c r="AC2071" s="1"/>
      <c r="AD2071" s="1"/>
    </row>
    <row r="2072" spans="17:30">
      <c r="Q2072" s="6">
        <v>2042</v>
      </c>
      <c r="R2072" s="7">
        <v>44709</v>
      </c>
      <c r="S2072" s="210">
        <v>4.5</v>
      </c>
      <c r="T2072" s="8">
        <v>1.0001249999999999</v>
      </c>
      <c r="U2072" s="98">
        <v>4.4123557212378595</v>
      </c>
      <c r="V2072" s="106">
        <v>31461.273692201565</v>
      </c>
      <c r="W2072" s="10">
        <v>1.0864761107686416</v>
      </c>
      <c r="X2072" s="420"/>
      <c r="Y2072" s="420"/>
      <c r="Z2072" s="1"/>
      <c r="AA2072" s="1"/>
      <c r="AB2072" s="1"/>
      <c r="AC2072" s="1"/>
      <c r="AD2072" s="1"/>
    </row>
    <row r="2073" spans="17:30">
      <c r="Q2073" s="6">
        <v>2043</v>
      </c>
      <c r="R2073" s="7">
        <v>44710</v>
      </c>
      <c r="S2073" s="210">
        <v>4.5</v>
      </c>
      <c r="T2073" s="8">
        <v>1.0001249999999999</v>
      </c>
      <c r="U2073" s="98">
        <v>4.4124806438936792</v>
      </c>
      <c r="V2073" s="106">
        <v>31463.89219333568</v>
      </c>
      <c r="W2073" s="10">
        <v>1.086695727389797</v>
      </c>
      <c r="X2073" s="420"/>
      <c r="Y2073" s="420"/>
      <c r="Z2073" s="1"/>
      <c r="AA2073" s="1"/>
      <c r="AB2073" s="1"/>
      <c r="AC2073" s="1"/>
      <c r="AD2073" s="1"/>
    </row>
    <row r="2074" spans="17:30">
      <c r="Q2074" s="6">
        <v>2044</v>
      </c>
      <c r="R2074" s="7">
        <v>44711</v>
      </c>
      <c r="S2074" s="210">
        <v>4.5</v>
      </c>
      <c r="T2074" s="8">
        <v>1.0001249999999999</v>
      </c>
      <c r="U2074" s="98">
        <v>4.412605444465223</v>
      </c>
      <c r="V2074" s="106">
        <v>31466.510912405916</v>
      </c>
      <c r="W2074" s="10">
        <v>1.0869151295983537</v>
      </c>
      <c r="X2074" s="420"/>
      <c r="Y2074" s="420"/>
      <c r="Z2074" s="1"/>
      <c r="AA2074" s="1"/>
      <c r="AB2074" s="1"/>
      <c r="AC2074" s="1"/>
      <c r="AD2074" s="1"/>
    </row>
    <row r="2075" spans="17:30">
      <c r="Q2075" s="6">
        <v>2045</v>
      </c>
      <c r="R2075" s="7">
        <v>44712</v>
      </c>
      <c r="S2075" s="210">
        <v>4.5</v>
      </c>
      <c r="T2075" s="8">
        <v>1.0001249999999999</v>
      </c>
      <c r="U2075" s="98">
        <v>4.4127301231313698</v>
      </c>
      <c r="V2075" s="106">
        <v>31469.129849430428</v>
      </c>
      <c r="W2075" s="10">
        <v>1.087134317708105</v>
      </c>
      <c r="X2075" s="420"/>
      <c r="Y2075" s="420"/>
      <c r="Z2075" s="1"/>
      <c r="AA2075" s="1"/>
      <c r="AB2075" s="1"/>
      <c r="AC2075" s="1"/>
      <c r="AD2075" s="1"/>
    </row>
    <row r="2076" spans="17:30">
      <c r="Q2076" s="6">
        <v>2046</v>
      </c>
      <c r="R2076" s="7">
        <v>44713</v>
      </c>
      <c r="S2076" s="210">
        <v>4.5</v>
      </c>
      <c r="T2076" s="8">
        <v>1.0001249999999999</v>
      </c>
      <c r="U2076" s="98">
        <v>4.4128546800706436</v>
      </c>
      <c r="V2076" s="106">
        <v>31471.74900442734</v>
      </c>
      <c r="W2076" s="10">
        <v>1.0873532920323115</v>
      </c>
      <c r="X2076" s="420"/>
      <c r="Y2076" s="420"/>
      <c r="Z2076" s="1"/>
      <c r="AA2076" s="1"/>
      <c r="AB2076" s="1"/>
      <c r="AC2076" s="1"/>
      <c r="AD2076" s="1"/>
    </row>
    <row r="2077" spans="17:30">
      <c r="Q2077" s="6">
        <v>2047</v>
      </c>
      <c r="R2077" s="7">
        <v>44714</v>
      </c>
      <c r="S2077" s="210">
        <v>4.5</v>
      </c>
      <c r="T2077" s="8">
        <v>1.0001249999999999</v>
      </c>
      <c r="U2077" s="98">
        <v>4.4129791154612352</v>
      </c>
      <c r="V2077" s="106">
        <v>31474.368377414812</v>
      </c>
      <c r="W2077" s="10">
        <v>1.0875720528835675</v>
      </c>
      <c r="X2077" s="420"/>
      <c r="Y2077" s="420"/>
      <c r="Z2077" s="1"/>
      <c r="AA2077" s="1"/>
      <c r="AB2077" s="1"/>
      <c r="AC2077" s="1"/>
      <c r="AD2077" s="1"/>
    </row>
    <row r="2078" spans="17:30">
      <c r="Q2078" s="6">
        <v>2048</v>
      </c>
      <c r="R2078" s="7">
        <v>44715</v>
      </c>
      <c r="S2078" s="210">
        <v>4.5</v>
      </c>
      <c r="T2078" s="8">
        <v>1.0001249999999999</v>
      </c>
      <c r="U2078" s="98">
        <v>4.4131034294809579</v>
      </c>
      <c r="V2078" s="106">
        <v>31476.987968410966</v>
      </c>
      <c r="W2078" s="10">
        <v>1.0877906005739124</v>
      </c>
      <c r="X2078" s="420"/>
      <c r="Y2078" s="420"/>
      <c r="Z2078" s="1"/>
      <c r="AA2078" s="1"/>
      <c r="AB2078" s="1"/>
      <c r="AC2078" s="1"/>
      <c r="AD2078" s="1"/>
    </row>
    <row r="2079" spans="17:30">
      <c r="Q2079" s="6">
        <v>2049</v>
      </c>
      <c r="R2079" s="7">
        <v>44716</v>
      </c>
      <c r="S2079" s="210">
        <v>4.5</v>
      </c>
      <c r="T2079" s="8">
        <v>1.0001249999999999</v>
      </c>
      <c r="U2079" s="98">
        <v>4.4132276223073141</v>
      </c>
      <c r="V2079" s="106">
        <v>31479.607777433957</v>
      </c>
      <c r="W2079" s="10">
        <v>1.0880089354147415</v>
      </c>
      <c r="X2079" s="420"/>
      <c r="Y2079" s="420"/>
      <c r="Z2079" s="1"/>
      <c r="AA2079" s="1"/>
      <c r="AB2079" s="1"/>
      <c r="AC2079" s="1"/>
      <c r="AD2079" s="1"/>
    </row>
    <row r="2080" spans="17:30">
      <c r="Q2080" s="6">
        <v>2050</v>
      </c>
      <c r="R2080" s="7">
        <v>44717</v>
      </c>
      <c r="S2080" s="210">
        <v>4.5</v>
      </c>
      <c r="T2080" s="8">
        <v>1.0001249999999999</v>
      </c>
      <c r="U2080" s="98">
        <v>4.4133516941174511</v>
      </c>
      <c r="V2080" s="106">
        <v>31482.227804501941</v>
      </c>
      <c r="W2080" s="10">
        <v>1.0882270577168507</v>
      </c>
      <c r="X2080" s="420"/>
      <c r="Y2080" s="420"/>
      <c r="Z2080" s="1"/>
      <c r="AA2080" s="1"/>
      <c r="AB2080" s="1"/>
      <c r="AC2080" s="1"/>
      <c r="AD2080" s="1"/>
    </row>
    <row r="2081" spans="17:30">
      <c r="Q2081" s="6">
        <v>2051</v>
      </c>
      <c r="R2081" s="7">
        <v>44718</v>
      </c>
      <c r="S2081" s="210">
        <v>4.5</v>
      </c>
      <c r="T2081" s="8">
        <v>1.0001249999999999</v>
      </c>
      <c r="U2081" s="98">
        <v>4.4134756450881385</v>
      </c>
      <c r="V2081" s="106">
        <v>31484.848049633049</v>
      </c>
      <c r="W2081" s="10">
        <v>1.088444967790414</v>
      </c>
      <c r="X2081" s="420"/>
      <c r="Y2081" s="420"/>
      <c r="Z2081" s="1"/>
      <c r="AA2081" s="1"/>
      <c r="AB2081" s="1"/>
      <c r="AC2081" s="1"/>
      <c r="AD2081" s="1"/>
    </row>
    <row r="2082" spans="17:30">
      <c r="Q2082" s="6">
        <v>2052</v>
      </c>
      <c r="R2082" s="7">
        <v>44719</v>
      </c>
      <c r="S2082" s="210">
        <v>4.5</v>
      </c>
      <c r="T2082" s="8">
        <v>1.0001249999999999</v>
      </c>
      <c r="U2082" s="98">
        <v>4.4135994753958574</v>
      </c>
      <c r="V2082" s="106">
        <v>31487.468512845437</v>
      </c>
      <c r="W2082" s="10">
        <v>1.0886626659450727</v>
      </c>
      <c r="X2082" s="420"/>
      <c r="Y2082" s="420"/>
      <c r="Z2082" s="1"/>
      <c r="AA2082" s="1"/>
      <c r="AB2082" s="1"/>
      <c r="AC2082" s="1"/>
      <c r="AD2082" s="1"/>
    </row>
    <row r="2083" spans="17:30">
      <c r="Q2083" s="6">
        <v>2053</v>
      </c>
      <c r="R2083" s="7">
        <v>44720</v>
      </c>
      <c r="S2083" s="210">
        <v>4.5</v>
      </c>
      <c r="T2083" s="8">
        <v>1.0001249999999999</v>
      </c>
      <c r="U2083" s="98">
        <v>4.4137231852166892</v>
      </c>
      <c r="V2083" s="106">
        <v>31490.089194157259</v>
      </c>
      <c r="W2083" s="10">
        <v>1.0888801524897573</v>
      </c>
      <c r="X2083" s="420"/>
      <c r="Y2083" s="420"/>
      <c r="Z2083" s="1"/>
      <c r="AA2083" s="1"/>
      <c r="AB2083" s="1"/>
      <c r="AC2083" s="1"/>
      <c r="AD2083" s="1"/>
    </row>
    <row r="2084" spans="17:30">
      <c r="Q2084" s="6">
        <v>2054</v>
      </c>
      <c r="R2084" s="7">
        <v>44721</v>
      </c>
      <c r="S2084" s="210">
        <v>4.5</v>
      </c>
      <c r="T2084" s="8">
        <v>1.0001249999999999</v>
      </c>
      <c r="U2084" s="98">
        <v>4.4138467747264043</v>
      </c>
      <c r="V2084" s="106">
        <v>31492.710093586662</v>
      </c>
      <c r="W2084" s="10">
        <v>1.089097427732888</v>
      </c>
      <c r="X2084" s="420"/>
      <c r="Y2084" s="420"/>
      <c r="Z2084" s="1"/>
      <c r="AA2084" s="1"/>
      <c r="AB2084" s="1"/>
      <c r="AC2084" s="1"/>
      <c r="AD2084" s="1"/>
    </row>
    <row r="2085" spans="17:30">
      <c r="Q2085" s="6">
        <v>2055</v>
      </c>
      <c r="R2085" s="7">
        <v>44722</v>
      </c>
      <c r="S2085" s="210">
        <v>4.5</v>
      </c>
      <c r="T2085" s="8">
        <v>1.0001249999999999</v>
      </c>
      <c r="U2085" s="98">
        <v>4.4139702441004403</v>
      </c>
      <c r="V2085" s="106">
        <v>31495.418585494306</v>
      </c>
      <c r="W2085" s="10">
        <v>1.0892646812046936</v>
      </c>
      <c r="X2085" s="420"/>
      <c r="Y2085" s="420"/>
      <c r="Z2085" s="1"/>
      <c r="AA2085" s="1"/>
      <c r="AB2085" s="1"/>
      <c r="AC2085" s="1"/>
      <c r="AD2085" s="1"/>
    </row>
    <row r="2086" spans="17:30">
      <c r="Q2086" s="6">
        <v>2056</v>
      </c>
      <c r="R2086" s="7">
        <v>44723</v>
      </c>
      <c r="S2086" s="210">
        <v>4.5</v>
      </c>
      <c r="T2086" s="8">
        <v>1.0001249999999999</v>
      </c>
      <c r="U2086" s="98">
        <v>4.4140935935138792</v>
      </c>
      <c r="V2086" s="106">
        <v>31498.127310342465</v>
      </c>
      <c r="W2086" s="10">
        <v>1.0894317722549118</v>
      </c>
      <c r="X2086" s="420"/>
      <c r="Y2086" s="420"/>
      <c r="Z2086" s="1"/>
      <c r="AA2086" s="1"/>
      <c r="AB2086" s="1"/>
      <c r="AC2086" s="1"/>
      <c r="AD2086" s="1"/>
    </row>
    <row r="2087" spans="17:30">
      <c r="Q2087" s="6">
        <v>2057</v>
      </c>
      <c r="R2087" s="7">
        <v>44724</v>
      </c>
      <c r="S2087" s="210">
        <v>4.5</v>
      </c>
      <c r="T2087" s="8">
        <v>1.0001249999999999</v>
      </c>
      <c r="U2087" s="98">
        <v>4.414216823141448</v>
      </c>
      <c r="V2087" s="106">
        <v>31500.836268151194</v>
      </c>
      <c r="W2087" s="10">
        <v>1.0895987011199759</v>
      </c>
      <c r="X2087" s="420"/>
      <c r="Y2087" s="420"/>
      <c r="Z2087" s="1"/>
      <c r="AA2087" s="1"/>
      <c r="AB2087" s="1"/>
      <c r="AC2087" s="1"/>
      <c r="AD2087" s="1"/>
    </row>
    <row r="2088" spans="17:30">
      <c r="Q2088" s="6">
        <v>2058</v>
      </c>
      <c r="R2088" s="7">
        <v>44725</v>
      </c>
      <c r="S2088" s="210">
        <v>4.5</v>
      </c>
      <c r="T2088" s="8">
        <v>1.0001249999999999</v>
      </c>
      <c r="U2088" s="98">
        <v>4.4143399331575628</v>
      </c>
      <c r="V2088" s="106">
        <v>31503.545458940505</v>
      </c>
      <c r="W2088" s="10">
        <v>1.0897654680359414</v>
      </c>
      <c r="X2088" s="420"/>
      <c r="Y2088" s="420"/>
      <c r="Z2088" s="1"/>
      <c r="AA2088" s="1"/>
      <c r="AB2088" s="1"/>
      <c r="AC2088" s="1"/>
      <c r="AD2088" s="1"/>
    </row>
    <row r="2089" spans="17:30">
      <c r="Q2089" s="6">
        <v>2059</v>
      </c>
      <c r="R2089" s="7">
        <v>44726</v>
      </c>
      <c r="S2089" s="210">
        <v>4.5</v>
      </c>
      <c r="T2089" s="8">
        <v>1.0001249999999999</v>
      </c>
      <c r="U2089" s="98">
        <v>4.4144629237362842</v>
      </c>
      <c r="V2089" s="106">
        <v>31506.254882730453</v>
      </c>
      <c r="W2089" s="10">
        <v>1.0899320732383533</v>
      </c>
      <c r="X2089" s="420"/>
      <c r="Y2089" s="420"/>
      <c r="Z2089" s="1"/>
      <c r="AA2089" s="1"/>
      <c r="AB2089" s="1"/>
      <c r="AC2089" s="1"/>
      <c r="AD2089" s="1"/>
    </row>
    <row r="2090" spans="17:30">
      <c r="Q2090" s="6">
        <v>2060</v>
      </c>
      <c r="R2090" s="7">
        <v>44727</v>
      </c>
      <c r="S2090" s="210">
        <v>4.5</v>
      </c>
      <c r="T2090" s="8">
        <v>1.0001249999999999</v>
      </c>
      <c r="U2090" s="98">
        <v>4.4145857950513179</v>
      </c>
      <c r="V2090" s="106">
        <v>31508.96453954107</v>
      </c>
      <c r="W2090" s="10">
        <v>1.0900985169623123</v>
      </c>
      <c r="X2090" s="420"/>
      <c r="Y2090" s="420"/>
      <c r="Z2090" s="1"/>
      <c r="AA2090" s="1"/>
      <c r="AB2090" s="1"/>
      <c r="AC2090" s="1"/>
      <c r="AD2090" s="1"/>
    </row>
    <row r="2091" spans="17:30">
      <c r="Q2091" s="6">
        <v>2061</v>
      </c>
      <c r="R2091" s="7">
        <v>44728</v>
      </c>
      <c r="S2091" s="210">
        <v>4.5</v>
      </c>
      <c r="T2091" s="8">
        <v>1.0001249999999999</v>
      </c>
      <c r="U2091" s="98">
        <v>4.4147085472760805</v>
      </c>
      <c r="V2091" s="106">
        <v>31511.674429392406</v>
      </c>
      <c r="W2091" s="10">
        <v>1.0902647994424752</v>
      </c>
      <c r="X2091" s="420"/>
      <c r="Y2091" s="420"/>
      <c r="Z2091" s="1"/>
      <c r="AA2091" s="1"/>
      <c r="AB2091" s="1"/>
      <c r="AC2091" s="1"/>
      <c r="AD2091" s="1"/>
    </row>
    <row r="2092" spans="17:30">
      <c r="Q2092" s="6">
        <v>2062</v>
      </c>
      <c r="R2092" s="7">
        <v>44729</v>
      </c>
      <c r="S2092" s="210">
        <v>4.5</v>
      </c>
      <c r="T2092" s="8">
        <v>1.0001249999999999</v>
      </c>
      <c r="U2092" s="98">
        <v>4.4148311805836338</v>
      </c>
      <c r="V2092" s="106">
        <v>31514.384552304484</v>
      </c>
      <c r="W2092" s="10">
        <v>1.0904309209130769</v>
      </c>
      <c r="X2092" s="420"/>
      <c r="Y2092" s="420"/>
      <c r="Z2092" s="1"/>
      <c r="AA2092" s="1"/>
      <c r="AB2092" s="1"/>
      <c r="AC2092" s="1"/>
      <c r="AD2092" s="1"/>
    </row>
    <row r="2093" spans="17:30">
      <c r="Q2093" s="6">
        <v>2063</v>
      </c>
      <c r="R2093" s="7">
        <v>44730</v>
      </c>
      <c r="S2093" s="210">
        <v>4.5</v>
      </c>
      <c r="T2093" s="8">
        <v>1.0001249999999999</v>
      </c>
      <c r="U2093" s="98">
        <v>4.4149536951466839</v>
      </c>
      <c r="V2093" s="106">
        <v>31517.094908297364</v>
      </c>
      <c r="W2093" s="10">
        <v>1.0905968816078193</v>
      </c>
      <c r="X2093" s="420"/>
      <c r="Y2093" s="420"/>
      <c r="Z2093" s="1"/>
      <c r="AA2093" s="1"/>
      <c r="AB2093" s="1"/>
      <c r="AC2093" s="1"/>
      <c r="AD2093" s="1"/>
    </row>
    <row r="2094" spans="17:30">
      <c r="Q2094" s="6">
        <v>2064</v>
      </c>
      <c r="R2094" s="7">
        <v>44731</v>
      </c>
      <c r="S2094" s="210">
        <v>4.5</v>
      </c>
      <c r="T2094" s="8">
        <v>1.0001249999999999</v>
      </c>
      <c r="U2094" s="98">
        <v>4.4150760911376041</v>
      </c>
      <c r="V2094" s="106">
        <v>31519.805497391088</v>
      </c>
      <c r="W2094" s="10">
        <v>1.0907626817599603</v>
      </c>
      <c r="X2094" s="420"/>
      <c r="Y2094" s="420"/>
      <c r="Z2094" s="1"/>
      <c r="AA2094" s="1"/>
      <c r="AB2094" s="1"/>
      <c r="AC2094" s="1"/>
      <c r="AD2094" s="1"/>
    </row>
    <row r="2095" spans="17:30">
      <c r="Q2095" s="6">
        <v>2065</v>
      </c>
      <c r="R2095" s="7">
        <v>44732</v>
      </c>
      <c r="S2095" s="210">
        <v>4.5</v>
      </c>
      <c r="T2095" s="8">
        <v>1.0001249999999999</v>
      </c>
      <c r="U2095" s="98">
        <v>4.4151983687284568</v>
      </c>
      <c r="V2095" s="106">
        <v>31522.516319605696</v>
      </c>
      <c r="W2095" s="10">
        <v>1.0909283216024024</v>
      </c>
      <c r="X2095" s="420"/>
      <c r="Y2095" s="420"/>
      <c r="Z2095" s="1"/>
      <c r="AA2095" s="1"/>
      <c r="AB2095" s="1"/>
      <c r="AC2095" s="1"/>
      <c r="AD2095" s="1"/>
    </row>
    <row r="2096" spans="17:30">
      <c r="Q2096" s="6">
        <v>2066</v>
      </c>
      <c r="R2096" s="7">
        <v>44733</v>
      </c>
      <c r="S2096" s="210">
        <v>4.5</v>
      </c>
      <c r="T2096" s="8">
        <v>1.0001249999999999</v>
      </c>
      <c r="U2096" s="98">
        <v>4.4153205280909713</v>
      </c>
      <c r="V2096" s="106">
        <v>31525.227374961254</v>
      </c>
      <c r="W2096" s="10">
        <v>1.0910938013675153</v>
      </c>
      <c r="X2096" s="420"/>
      <c r="Y2096" s="420"/>
      <c r="Z2096" s="1"/>
      <c r="AA2096" s="1"/>
      <c r="AB2096" s="1"/>
      <c r="AC2096" s="1"/>
      <c r="AD2096" s="1"/>
    </row>
    <row r="2097" spans="17:30">
      <c r="Q2097" s="6">
        <v>2067</v>
      </c>
      <c r="R2097" s="7">
        <v>44734</v>
      </c>
      <c r="S2097" s="210">
        <v>4.5</v>
      </c>
      <c r="T2097" s="8">
        <v>1.0001249999999999</v>
      </c>
      <c r="U2097" s="98">
        <v>4.4154425693965216</v>
      </c>
      <c r="V2097" s="106">
        <v>31527.938663477795</v>
      </c>
      <c r="W2097" s="10">
        <v>1.0912591212872247</v>
      </c>
      <c r="X2097" s="420"/>
      <c r="Y2097" s="420"/>
      <c r="Z2097" s="1"/>
      <c r="AA2097" s="1"/>
      <c r="AB2097" s="1"/>
      <c r="AC2097" s="1"/>
      <c r="AD2097" s="1"/>
    </row>
    <row r="2098" spans="17:30">
      <c r="Q2098" s="6">
        <v>2068</v>
      </c>
      <c r="R2098" s="7">
        <v>44735</v>
      </c>
      <c r="S2098" s="210">
        <v>4.5</v>
      </c>
      <c r="T2098" s="8">
        <v>1.0001249999999999</v>
      </c>
      <c r="U2098" s="98">
        <v>4.4155644928161486</v>
      </c>
      <c r="V2098" s="106">
        <v>31530.650185175386</v>
      </c>
      <c r="W2098" s="10">
        <v>1.091424281593012</v>
      </c>
      <c r="X2098" s="420"/>
      <c r="Y2098" s="420"/>
      <c r="Z2098" s="1"/>
      <c r="AA2098" s="1"/>
      <c r="AB2098" s="1"/>
      <c r="AC2098" s="1"/>
      <c r="AD2098" s="1"/>
    </row>
    <row r="2099" spans="17:30">
      <c r="Q2099" s="6">
        <v>2069</v>
      </c>
      <c r="R2099" s="7">
        <v>44736</v>
      </c>
      <c r="S2099" s="210">
        <v>4.5</v>
      </c>
      <c r="T2099" s="8">
        <v>1.0001249999999999</v>
      </c>
      <c r="U2099" s="98">
        <v>4.4156862985206047</v>
      </c>
      <c r="V2099" s="106">
        <v>31533.361940074068</v>
      </c>
      <c r="W2099" s="10">
        <v>1.091589282515959</v>
      </c>
      <c r="X2099" s="420"/>
      <c r="Y2099" s="420"/>
      <c r="Z2099" s="1"/>
      <c r="AA2099" s="1"/>
      <c r="AB2099" s="1"/>
      <c r="AC2099" s="1"/>
      <c r="AD2099" s="1"/>
    </row>
    <row r="2100" spans="17:30">
      <c r="Q2100" s="6">
        <v>2070</v>
      </c>
      <c r="R2100" s="7">
        <v>44737</v>
      </c>
      <c r="S2100" s="210">
        <v>4.5</v>
      </c>
      <c r="T2100" s="8">
        <v>1.0001249999999999</v>
      </c>
      <c r="U2100" s="98">
        <v>4.4158079866802646</v>
      </c>
      <c r="V2100" s="106">
        <v>31536.07392819391</v>
      </c>
      <c r="W2100" s="10">
        <v>1.0917541242866369</v>
      </c>
      <c r="X2100" s="420"/>
      <c r="Y2100" s="420"/>
      <c r="Z2100" s="1"/>
      <c r="AA2100" s="1"/>
      <c r="AB2100" s="1"/>
      <c r="AC2100" s="1"/>
      <c r="AD2100" s="1"/>
    </row>
    <row r="2101" spans="17:30">
      <c r="Q2101" s="6">
        <v>2071</v>
      </c>
      <c r="R2101" s="7">
        <v>44738</v>
      </c>
      <c r="S2101" s="210">
        <v>4.5</v>
      </c>
      <c r="T2101" s="8">
        <v>1.0001249999999999</v>
      </c>
      <c r="U2101" s="98">
        <v>4.4159295574652146</v>
      </c>
      <c r="V2101" s="106">
        <v>31538.786149554966</v>
      </c>
      <c r="W2101" s="10">
        <v>1.0919188071351948</v>
      </c>
      <c r="X2101" s="420"/>
      <c r="Y2101" s="420"/>
      <c r="Z2101" s="1"/>
      <c r="AA2101" s="1"/>
      <c r="AB2101" s="1"/>
      <c r="AC2101" s="1"/>
      <c r="AD2101" s="1"/>
    </row>
    <row r="2102" spans="17:30">
      <c r="Q2102" s="6">
        <v>2072</v>
      </c>
      <c r="R2102" s="7">
        <v>44739</v>
      </c>
      <c r="S2102" s="210">
        <v>4.5</v>
      </c>
      <c r="T2102" s="8">
        <v>1.0001249999999999</v>
      </c>
      <c r="U2102" s="98">
        <v>4.4160510110451856</v>
      </c>
      <c r="V2102" s="106">
        <v>31541.498604177283</v>
      </c>
      <c r="W2102" s="10">
        <v>1.0920833312913825</v>
      </c>
      <c r="X2102" s="420"/>
      <c r="Y2102" s="420"/>
      <c r="Z2102" s="1"/>
      <c r="AA2102" s="1"/>
      <c r="AB2102" s="1"/>
      <c r="AC2102" s="1"/>
      <c r="AD2102" s="1"/>
    </row>
    <row r="2103" spans="17:30">
      <c r="Q2103" s="6">
        <v>2073</v>
      </c>
      <c r="R2103" s="7">
        <v>44740</v>
      </c>
      <c r="S2103" s="210">
        <v>4.5</v>
      </c>
      <c r="T2103" s="8">
        <v>1.0001249999999999</v>
      </c>
      <c r="U2103" s="98">
        <v>4.4161723475895975</v>
      </c>
      <c r="V2103" s="106">
        <v>31544.211292080941</v>
      </c>
      <c r="W2103" s="10">
        <v>1.0922476969844608</v>
      </c>
      <c r="X2103" s="420"/>
      <c r="Y2103" s="420"/>
      <c r="Z2103" s="1"/>
      <c r="AA2103" s="1"/>
      <c r="AB2103" s="1"/>
      <c r="AC2103" s="1"/>
      <c r="AD2103" s="1"/>
    </row>
    <row r="2104" spans="17:30">
      <c r="Q2104" s="6">
        <v>2074</v>
      </c>
      <c r="R2104" s="7">
        <v>44741</v>
      </c>
      <c r="S2104" s="210">
        <v>4.5</v>
      </c>
      <c r="T2104" s="8">
        <v>1.0001249999999999</v>
      </c>
      <c r="U2104" s="98">
        <v>4.4162935672675152</v>
      </c>
      <c r="V2104" s="106">
        <v>31546.924213285994</v>
      </c>
      <c r="W2104" s="10">
        <v>1.0924119044432246</v>
      </c>
      <c r="X2104" s="420"/>
      <c r="Y2104" s="420"/>
      <c r="Z2104" s="1"/>
      <c r="AA2104" s="1"/>
      <c r="AB2104" s="1"/>
      <c r="AC2104" s="1"/>
      <c r="AD2104" s="1"/>
    </row>
    <row r="2105" spans="17:30">
      <c r="Q2105" s="6">
        <v>2075</v>
      </c>
      <c r="R2105" s="7">
        <v>44742</v>
      </c>
      <c r="S2105" s="210">
        <v>4.5</v>
      </c>
      <c r="T2105" s="8">
        <v>1.0001249999999999</v>
      </c>
      <c r="U2105" s="98">
        <v>4.4164146702477147</v>
      </c>
      <c r="V2105" s="106">
        <v>31549.637367812509</v>
      </c>
      <c r="W2105" s="10">
        <v>1.0925759538960689</v>
      </c>
      <c r="X2105" s="420"/>
      <c r="Y2105" s="420"/>
      <c r="Z2105" s="1"/>
      <c r="AA2105" s="1"/>
      <c r="AB2105" s="1"/>
      <c r="AC2105" s="1"/>
      <c r="AD2105" s="1"/>
    </row>
    <row r="2106" spans="17:30">
      <c r="Q2106" s="6">
        <v>2076</v>
      </c>
      <c r="R2106" s="7">
        <v>44743</v>
      </c>
      <c r="S2106" s="210">
        <v>4.5</v>
      </c>
      <c r="T2106" s="8">
        <v>1.0001249999999999</v>
      </c>
      <c r="U2106" s="98">
        <v>4.4165356566986391</v>
      </c>
      <c r="V2106" s="106">
        <v>31552.350755680553</v>
      </c>
      <c r="W2106" s="10">
        <v>1.0927398455709891</v>
      </c>
      <c r="X2106" s="420"/>
      <c r="Y2106" s="420"/>
      <c r="Z2106" s="1"/>
      <c r="AA2106" s="1"/>
      <c r="AB2106" s="1"/>
      <c r="AC2106" s="1"/>
      <c r="AD2106" s="1"/>
    </row>
    <row r="2107" spans="17:30">
      <c r="Q2107" s="6">
        <v>2077</v>
      </c>
      <c r="R2107" s="7">
        <v>44744</v>
      </c>
      <c r="S2107" s="210">
        <v>4.5</v>
      </c>
      <c r="T2107" s="8">
        <v>1.0001249999999999</v>
      </c>
      <c r="U2107" s="98">
        <v>4.4166565267883984</v>
      </c>
      <c r="V2107" s="106">
        <v>31555.064376910188</v>
      </c>
      <c r="W2107" s="10">
        <v>1.0929035796954478</v>
      </c>
      <c r="X2107" s="420"/>
      <c r="Y2107" s="420"/>
      <c r="Z2107" s="1"/>
      <c r="AA2107" s="1"/>
      <c r="AB2107" s="1"/>
      <c r="AC2107" s="1"/>
      <c r="AD2107" s="1"/>
    </row>
    <row r="2108" spans="17:30">
      <c r="Q2108" s="6">
        <v>2078</v>
      </c>
      <c r="R2108" s="7">
        <v>44745</v>
      </c>
      <c r="S2108" s="210">
        <v>4.5</v>
      </c>
      <c r="T2108" s="8">
        <v>1.0001249999999999</v>
      </c>
      <c r="U2108" s="98">
        <v>4.4167772806847694</v>
      </c>
      <c r="V2108" s="106">
        <v>31557.778231521494</v>
      </c>
      <c r="W2108" s="10">
        <v>1.09306715649653</v>
      </c>
      <c r="X2108" s="420"/>
      <c r="Y2108" s="420"/>
      <c r="Z2108" s="1"/>
      <c r="AA2108" s="1"/>
      <c r="AB2108" s="1"/>
      <c r="AC2108" s="1"/>
      <c r="AD2108" s="1"/>
    </row>
    <row r="2109" spans="17:30">
      <c r="Q2109" s="6">
        <v>2079</v>
      </c>
      <c r="R2109" s="7">
        <v>44746</v>
      </c>
      <c r="S2109" s="210">
        <v>4.5</v>
      </c>
      <c r="T2109" s="8">
        <v>1.0001249999999999</v>
      </c>
      <c r="U2109" s="98">
        <v>4.4168979185552182</v>
      </c>
      <c r="V2109" s="106">
        <v>31560.492319534536</v>
      </c>
      <c r="W2109" s="10">
        <v>1.0932305762008543</v>
      </c>
      <c r="X2109" s="420"/>
      <c r="Y2109" s="420"/>
      <c r="Z2109" s="1"/>
      <c r="AA2109" s="1"/>
      <c r="AB2109" s="1"/>
      <c r="AC2109" s="1"/>
      <c r="AD2109" s="1"/>
    </row>
    <row r="2110" spans="17:30">
      <c r="Q2110" s="6">
        <v>2080</v>
      </c>
      <c r="R2110" s="7">
        <v>44747</v>
      </c>
      <c r="S2110" s="210">
        <v>4.5</v>
      </c>
      <c r="T2110" s="8">
        <v>1.0001249999999999</v>
      </c>
      <c r="U2110" s="98">
        <v>4.4170184405669</v>
      </c>
      <c r="V2110" s="106">
        <v>31563.206640969383</v>
      </c>
      <c r="W2110" s="10">
        <v>1.0933938390346842</v>
      </c>
      <c r="X2110" s="420"/>
      <c r="Y2110" s="420"/>
      <c r="Z2110" s="1"/>
      <c r="AA2110" s="1"/>
      <c r="AB2110" s="1"/>
      <c r="AC2110" s="1"/>
      <c r="AD2110" s="1"/>
    </row>
    <row r="2111" spans="17:30">
      <c r="Q2111" s="6">
        <v>2081</v>
      </c>
      <c r="R2111" s="7">
        <v>44748</v>
      </c>
      <c r="S2111" s="210">
        <v>4.5</v>
      </c>
      <c r="T2111" s="8">
        <v>1.0001249999999999</v>
      </c>
      <c r="U2111" s="98">
        <v>4.4171388468866146</v>
      </c>
      <c r="V2111" s="106">
        <v>31565.921195846124</v>
      </c>
      <c r="W2111" s="10">
        <v>1.0935569452236837</v>
      </c>
      <c r="X2111" s="420"/>
      <c r="Y2111" s="420"/>
      <c r="Z2111" s="1"/>
      <c r="AA2111" s="1"/>
      <c r="AB2111" s="1"/>
      <c r="AC2111" s="1"/>
      <c r="AD2111" s="1"/>
    </row>
    <row r="2112" spans="17:30">
      <c r="Q2112" s="6">
        <v>2082</v>
      </c>
      <c r="R2112" s="7">
        <v>44749</v>
      </c>
      <c r="S2112" s="210">
        <v>4.5</v>
      </c>
      <c r="T2112" s="8">
        <v>1.0001249999999999</v>
      </c>
      <c r="U2112" s="98">
        <v>4.4172591376808956</v>
      </c>
      <c r="V2112" s="106">
        <v>31568.635984184821</v>
      </c>
      <c r="W2112" s="10">
        <v>1.0937198949932947</v>
      </c>
      <c r="X2112" s="420"/>
      <c r="Y2112" s="420"/>
      <c r="Z2112" s="1"/>
      <c r="AA2112" s="1"/>
      <c r="AB2112" s="1"/>
      <c r="AC2112" s="1"/>
      <c r="AD2112" s="1"/>
    </row>
    <row r="2113" spans="17:30">
      <c r="Q2113" s="6">
        <v>2083</v>
      </c>
      <c r="R2113" s="7">
        <v>44750</v>
      </c>
      <c r="S2113" s="210">
        <v>4.5</v>
      </c>
      <c r="T2113" s="8">
        <v>1.0001249999999999</v>
      </c>
      <c r="U2113" s="98">
        <v>4.4173793131158989</v>
      </c>
      <c r="V2113" s="106">
        <v>31571.351006005563</v>
      </c>
      <c r="W2113" s="10">
        <v>1.0938826885683373</v>
      </c>
      <c r="X2113" s="420"/>
      <c r="Y2113" s="420"/>
      <c r="Z2113" s="1"/>
      <c r="AA2113" s="1"/>
      <c r="AB2113" s="1"/>
      <c r="AC2113" s="1"/>
      <c r="AD2113" s="1"/>
    </row>
    <row r="2114" spans="17:30">
      <c r="Q2114" s="6">
        <v>2084</v>
      </c>
      <c r="R2114" s="7">
        <v>44751</v>
      </c>
      <c r="S2114" s="210">
        <v>4.5</v>
      </c>
      <c r="T2114" s="8">
        <v>1.0001249999999999</v>
      </c>
      <c r="U2114" s="98">
        <v>4.4174993733575141</v>
      </c>
      <c r="V2114" s="106">
        <v>31574.066261328429</v>
      </c>
      <c r="W2114" s="10">
        <v>1.0940453261733207</v>
      </c>
      <c r="X2114" s="420"/>
      <c r="Y2114" s="420"/>
      <c r="Z2114" s="1"/>
      <c r="AA2114" s="1"/>
      <c r="AB2114" s="1"/>
      <c r="AC2114" s="1"/>
      <c r="AD2114" s="1"/>
    </row>
    <row r="2115" spans="17:30">
      <c r="Q2115" s="6">
        <v>2085</v>
      </c>
      <c r="R2115" s="7">
        <v>44752</v>
      </c>
      <c r="S2115" s="210">
        <v>4.5</v>
      </c>
      <c r="T2115" s="8">
        <v>1.0001249999999999</v>
      </c>
      <c r="U2115" s="98">
        <v>4.4176193185712753</v>
      </c>
      <c r="V2115" s="106">
        <v>31576.694150113948</v>
      </c>
      <c r="W2115" s="10">
        <v>1.0942569045084616</v>
      </c>
      <c r="X2115" s="420"/>
      <c r="Y2115" s="420"/>
      <c r="Z2115" s="1"/>
      <c r="AA2115" s="1"/>
      <c r="AB2115" s="1"/>
      <c r="AC2115" s="1"/>
      <c r="AD2115" s="1"/>
    </row>
    <row r="2116" spans="17:30">
      <c r="Q2116" s="6">
        <v>2086</v>
      </c>
      <c r="R2116" s="7">
        <v>44753</v>
      </c>
      <c r="S2116" s="210">
        <v>4.5</v>
      </c>
      <c r="T2116" s="8">
        <v>1.0001249999999999</v>
      </c>
      <c r="U2116" s="98">
        <v>4.417739148922406</v>
      </c>
      <c r="V2116" s="106">
        <v>31579.322257616921</v>
      </c>
      <c r="W2116" s="10">
        <v>1.0944682804302053</v>
      </c>
      <c r="X2116" s="420"/>
      <c r="Y2116" s="420"/>
      <c r="Z2116" s="1"/>
      <c r="AA2116" s="1"/>
      <c r="AB2116" s="1"/>
      <c r="AC2116" s="1"/>
      <c r="AD2116" s="1"/>
    </row>
    <row r="2117" spans="17:30">
      <c r="Q2117" s="6">
        <v>2087</v>
      </c>
      <c r="R2117" s="7">
        <v>44754</v>
      </c>
      <c r="S2117" s="210">
        <v>4.5</v>
      </c>
      <c r="T2117" s="8">
        <v>1.0001249999999999</v>
      </c>
      <c r="U2117" s="98">
        <v>4.417858864575841</v>
      </c>
      <c r="V2117" s="106">
        <v>31581.950583855552</v>
      </c>
      <c r="W2117" s="10">
        <v>1.0946794542289418</v>
      </c>
      <c r="X2117" s="420"/>
      <c r="Y2117" s="420"/>
      <c r="Z2117" s="1"/>
      <c r="AA2117" s="1"/>
      <c r="AB2117" s="1"/>
      <c r="AC2117" s="1"/>
      <c r="AD2117" s="1"/>
    </row>
    <row r="2118" spans="17:30">
      <c r="Q2118" s="6">
        <v>2088</v>
      </c>
      <c r="R2118" s="7">
        <v>44755</v>
      </c>
      <c r="S2118" s="210">
        <v>4.5</v>
      </c>
      <c r="T2118" s="8">
        <v>1.0001249999999999</v>
      </c>
      <c r="U2118" s="98">
        <v>4.4179784656961596</v>
      </c>
      <c r="V2118" s="106">
        <v>31584.579128848058</v>
      </c>
      <c r="W2118" s="10">
        <v>1.0948904261943726</v>
      </c>
      <c r="X2118" s="420"/>
      <c r="Y2118" s="420"/>
      <c r="Z2118" s="1"/>
      <c r="AA2118" s="1"/>
      <c r="AB2118" s="1"/>
      <c r="AC2118" s="1"/>
      <c r="AD2118" s="1"/>
    </row>
    <row r="2119" spans="17:30">
      <c r="Q2119" s="6">
        <v>2089</v>
      </c>
      <c r="R2119" s="7">
        <v>44756</v>
      </c>
      <c r="S2119" s="210">
        <v>4.5</v>
      </c>
      <c r="T2119" s="8">
        <v>1.0001249999999999</v>
      </c>
      <c r="U2119" s="98">
        <v>4.4180979524476527</v>
      </c>
      <c r="V2119" s="106">
        <v>31587.207892612627</v>
      </c>
      <c r="W2119" s="10">
        <v>1.0951011966157553</v>
      </c>
      <c r="X2119" s="420"/>
      <c r="Y2119" s="420"/>
      <c r="Z2119" s="1"/>
      <c r="AA2119" s="1"/>
      <c r="AB2119" s="1"/>
      <c r="AC2119" s="1"/>
      <c r="AD2119" s="1"/>
    </row>
    <row r="2120" spans="17:30">
      <c r="Q2120" s="6">
        <v>2090</v>
      </c>
      <c r="R2120" s="7">
        <v>44757</v>
      </c>
      <c r="S2120" s="210">
        <v>4.5</v>
      </c>
      <c r="T2120" s="8">
        <v>1.0001249999999999</v>
      </c>
      <c r="U2120" s="98">
        <v>4.4182173249943002</v>
      </c>
      <c r="V2120" s="106">
        <v>31589.836875167486</v>
      </c>
      <c r="W2120" s="10">
        <v>1.0953117657817701</v>
      </c>
      <c r="X2120" s="420"/>
      <c r="Y2120" s="420"/>
      <c r="Z2120" s="1"/>
      <c r="AA2120" s="1"/>
      <c r="AB2120" s="1"/>
      <c r="AC2120" s="1"/>
      <c r="AD2120" s="1"/>
    </row>
    <row r="2121" spans="17:30">
      <c r="Q2121" s="6">
        <v>2091</v>
      </c>
      <c r="R2121" s="7">
        <v>44758</v>
      </c>
      <c r="S2121" s="210">
        <v>4.5</v>
      </c>
      <c r="T2121" s="8">
        <v>1.0001249999999999</v>
      </c>
      <c r="U2121" s="98">
        <v>4.418336583499749</v>
      </c>
      <c r="V2121" s="106">
        <v>31592.466076530829</v>
      </c>
      <c r="W2121" s="10">
        <v>1.0955221339805199</v>
      </c>
      <c r="X2121" s="420"/>
      <c r="Y2121" s="420"/>
      <c r="Z2121" s="1"/>
      <c r="AA2121" s="1"/>
      <c r="AB2121" s="1"/>
      <c r="AC2121" s="1"/>
      <c r="AD2121" s="1"/>
    </row>
    <row r="2122" spans="17:30">
      <c r="Q2122" s="6">
        <v>2092</v>
      </c>
      <c r="R2122" s="7">
        <v>44759</v>
      </c>
      <c r="S2122" s="210">
        <v>4.5</v>
      </c>
      <c r="T2122" s="8">
        <v>1.0001249999999999</v>
      </c>
      <c r="U2122" s="98">
        <v>4.4184557281273351</v>
      </c>
      <c r="V2122" s="106">
        <v>31595.095496720871</v>
      </c>
      <c r="W2122" s="10">
        <v>1.0957323014995746</v>
      </c>
      <c r="X2122" s="420"/>
      <c r="Y2122" s="420"/>
      <c r="Z2122" s="1"/>
      <c r="AA2122" s="1"/>
      <c r="AB2122" s="1"/>
      <c r="AC2122" s="1"/>
      <c r="AD2122" s="1"/>
    </row>
    <row r="2123" spans="17:30">
      <c r="Q2123" s="6">
        <v>2093</v>
      </c>
      <c r="R2123" s="7">
        <v>44760</v>
      </c>
      <c r="S2123" s="210">
        <v>4.5</v>
      </c>
      <c r="T2123" s="8">
        <v>1.0001249999999999</v>
      </c>
      <c r="U2123" s="98">
        <v>4.4185747590401059</v>
      </c>
      <c r="V2123" s="106">
        <v>31597.725135755831</v>
      </c>
      <c r="W2123" s="10">
        <v>1.095942268625949</v>
      </c>
      <c r="X2123" s="420"/>
      <c r="Y2123" s="420"/>
      <c r="Z2123" s="1"/>
      <c r="AA2123" s="1"/>
      <c r="AB2123" s="1"/>
      <c r="AC2123" s="1"/>
      <c r="AD2123" s="1"/>
    </row>
    <row r="2124" spans="17:30">
      <c r="Q2124" s="6">
        <v>2094</v>
      </c>
      <c r="R2124" s="7">
        <v>44761</v>
      </c>
      <c r="S2124" s="210">
        <v>4.5</v>
      </c>
      <c r="T2124" s="8">
        <v>1.0001249999999999</v>
      </c>
      <c r="U2124" s="98">
        <v>4.4186936764007756</v>
      </c>
      <c r="V2124" s="106">
        <v>31600.354993653917</v>
      </c>
      <c r="W2124" s="10">
        <v>1.096152035646103</v>
      </c>
      <c r="X2124" s="420"/>
      <c r="Y2124" s="420"/>
      <c r="Z2124" s="1"/>
      <c r="AA2124" s="1"/>
      <c r="AB2124" s="1"/>
      <c r="AC2124" s="1"/>
      <c r="AD2124" s="1"/>
    </row>
    <row r="2125" spans="17:30">
      <c r="Q2125" s="6">
        <v>2095</v>
      </c>
      <c r="R2125" s="7">
        <v>44762</v>
      </c>
      <c r="S2125" s="210">
        <v>4.5</v>
      </c>
      <c r="T2125" s="8">
        <v>1.0001249999999999</v>
      </c>
      <c r="U2125" s="98">
        <v>4.4188124803717477</v>
      </c>
      <c r="V2125" s="106">
        <v>31602.985070433355</v>
      </c>
      <c r="W2125" s="10">
        <v>1.0963616028459855</v>
      </c>
      <c r="X2125" s="420"/>
      <c r="Y2125" s="420"/>
      <c r="Z2125" s="1"/>
      <c r="AA2125" s="1"/>
      <c r="AB2125" s="1"/>
      <c r="AC2125" s="1"/>
      <c r="AD2125" s="1"/>
    </row>
    <row r="2126" spans="17:30">
      <c r="Q2126" s="6">
        <v>2096</v>
      </c>
      <c r="R2126" s="7">
        <v>44763</v>
      </c>
      <c r="S2126" s="210">
        <v>4.5</v>
      </c>
      <c r="T2126" s="8">
        <v>1.0001249999999999</v>
      </c>
      <c r="U2126" s="98">
        <v>4.4189311711151369</v>
      </c>
      <c r="V2126" s="106">
        <v>31605.615366112346</v>
      </c>
      <c r="W2126" s="10">
        <v>1.0965709705109461</v>
      </c>
      <c r="X2126" s="420"/>
      <c r="Y2126" s="420"/>
      <c r="Z2126" s="1"/>
      <c r="AA2126" s="1"/>
      <c r="AB2126" s="1"/>
      <c r="AC2126" s="1"/>
      <c r="AD2126" s="1"/>
    </row>
    <row r="2127" spans="17:30">
      <c r="Q2127" s="6">
        <v>2097</v>
      </c>
      <c r="R2127" s="7">
        <v>44764</v>
      </c>
      <c r="S2127" s="210">
        <v>4.5</v>
      </c>
      <c r="T2127" s="8">
        <v>1.0001249999999999</v>
      </c>
      <c r="U2127" s="98">
        <v>4.4190497487927249</v>
      </c>
      <c r="V2127" s="106">
        <v>31608.245880709128</v>
      </c>
      <c r="W2127" s="10">
        <v>1.096780138925868</v>
      </c>
      <c r="X2127" s="420"/>
      <c r="Y2127" s="420"/>
      <c r="Z2127" s="1"/>
      <c r="AA2127" s="1"/>
      <c r="AB2127" s="1"/>
      <c r="AC2127" s="1"/>
      <c r="AD2127" s="1"/>
    </row>
    <row r="2128" spans="17:30">
      <c r="Q2128" s="6">
        <v>2098</v>
      </c>
      <c r="R2128" s="7">
        <v>44765</v>
      </c>
      <c r="S2128" s="210">
        <v>4.5</v>
      </c>
      <c r="T2128" s="8">
        <v>1.0001249999999999</v>
      </c>
      <c r="U2128" s="98">
        <v>4.4191682135660049</v>
      </c>
      <c r="V2128" s="106">
        <v>31610.876614241901</v>
      </c>
      <c r="W2128" s="10">
        <v>1.0969891083750127</v>
      </c>
      <c r="X2128" s="420"/>
      <c r="Y2128" s="420"/>
      <c r="Z2128" s="1"/>
      <c r="AA2128" s="1"/>
      <c r="AB2128" s="1"/>
      <c r="AC2128" s="1"/>
      <c r="AD2128" s="1"/>
    </row>
    <row r="2129" spans="17:30">
      <c r="Q2129" s="6">
        <v>2099</v>
      </c>
      <c r="R2129" s="7">
        <v>44766</v>
      </c>
      <c r="S2129" s="210">
        <v>4.5</v>
      </c>
      <c r="T2129" s="8">
        <v>1.0001249999999999</v>
      </c>
      <c r="U2129" s="98">
        <v>4.4192865655961366</v>
      </c>
      <c r="V2129" s="106">
        <v>31613.507566728902</v>
      </c>
      <c r="W2129" s="10">
        <v>1.0971978791421533</v>
      </c>
      <c r="X2129" s="420"/>
      <c r="Y2129" s="420"/>
      <c r="Z2129" s="1"/>
      <c r="AA2129" s="1"/>
      <c r="AB2129" s="1"/>
      <c r="AC2129" s="1"/>
      <c r="AD2129" s="1"/>
    </row>
    <row r="2130" spans="17:30">
      <c r="Q2130" s="6">
        <v>2100</v>
      </c>
      <c r="R2130" s="7">
        <v>44767</v>
      </c>
      <c r="S2130" s="210">
        <v>4.5</v>
      </c>
      <c r="T2130" s="8">
        <v>1.0001249999999999</v>
      </c>
      <c r="U2130" s="98">
        <v>4.4194048050440138</v>
      </c>
      <c r="V2130" s="106">
        <v>31616.138738188347</v>
      </c>
      <c r="W2130" s="10">
        <v>1.0974064515104853</v>
      </c>
      <c r="X2130" s="420"/>
      <c r="Y2130" s="420"/>
      <c r="Z2130" s="1"/>
      <c r="AA2130" s="1"/>
      <c r="AB2130" s="1"/>
      <c r="AC2130" s="1"/>
      <c r="AD2130" s="1"/>
    </row>
    <row r="2131" spans="17:30">
      <c r="Q2131" s="6">
        <v>2101</v>
      </c>
      <c r="R2131" s="7">
        <v>44768</v>
      </c>
      <c r="S2131" s="210">
        <v>4.5</v>
      </c>
      <c r="T2131" s="8">
        <v>1.0001249999999999</v>
      </c>
      <c r="U2131" s="98">
        <v>4.4195229320701745</v>
      </c>
      <c r="V2131" s="106">
        <v>31618.770128638465</v>
      </c>
      <c r="W2131" s="10">
        <v>1.0976148257626939</v>
      </c>
      <c r="X2131" s="420"/>
      <c r="Y2131" s="420"/>
      <c r="Z2131" s="1"/>
      <c r="AA2131" s="1"/>
      <c r="AB2131" s="1"/>
      <c r="AC2131" s="1"/>
      <c r="AD2131" s="1"/>
    </row>
    <row r="2132" spans="17:30">
      <c r="Q2132" s="6">
        <v>2102</v>
      </c>
      <c r="R2132" s="7">
        <v>44769</v>
      </c>
      <c r="S2132" s="210">
        <v>4.5</v>
      </c>
      <c r="T2132" s="8">
        <v>1.0001249999999999</v>
      </c>
      <c r="U2132" s="98">
        <v>4.4196409468348907</v>
      </c>
      <c r="V2132" s="106">
        <v>31621.401738097484</v>
      </c>
      <c r="W2132" s="10">
        <v>1.097823002180931</v>
      </c>
      <c r="X2132" s="420"/>
      <c r="Y2132" s="420"/>
      <c r="Z2132" s="1"/>
      <c r="AA2132" s="1"/>
      <c r="AB2132" s="1"/>
      <c r="AC2132" s="1"/>
      <c r="AD2132" s="1"/>
    </row>
    <row r="2133" spans="17:30">
      <c r="Q2133" s="6">
        <v>2103</v>
      </c>
      <c r="R2133" s="7">
        <v>44770</v>
      </c>
      <c r="S2133" s="210">
        <v>4.5</v>
      </c>
      <c r="T2133" s="8">
        <v>1.0001249999999999</v>
      </c>
      <c r="U2133" s="98">
        <v>4.4197588494981233</v>
      </c>
      <c r="V2133" s="106">
        <v>31624.033566583625</v>
      </c>
      <c r="W2133" s="10">
        <v>1.0980309810468158</v>
      </c>
      <c r="X2133" s="420"/>
      <c r="Y2133" s="420"/>
      <c r="Z2133" s="1"/>
      <c r="AA2133" s="1"/>
      <c r="AB2133" s="1"/>
      <c r="AC2133" s="1"/>
      <c r="AD2133" s="1"/>
    </row>
    <row r="2134" spans="17:30">
      <c r="Q2134" s="6">
        <v>2104</v>
      </c>
      <c r="R2134" s="7">
        <v>44771</v>
      </c>
      <c r="S2134" s="210">
        <v>4.5</v>
      </c>
      <c r="T2134" s="8">
        <v>1.0001249999999999</v>
      </c>
      <c r="U2134" s="98">
        <v>4.4198766402195222</v>
      </c>
      <c r="V2134" s="106">
        <v>31626.665614115122</v>
      </c>
      <c r="W2134" s="10">
        <v>1.0982387626413903</v>
      </c>
      <c r="X2134" s="420"/>
      <c r="Y2134" s="420"/>
      <c r="Z2134" s="1"/>
      <c r="AA2134" s="1"/>
      <c r="AB2134" s="1"/>
      <c r="AC2134" s="1"/>
      <c r="AD2134" s="1"/>
    </row>
    <row r="2135" spans="17:30">
      <c r="Q2135" s="6">
        <v>2105</v>
      </c>
      <c r="R2135" s="7">
        <v>44772</v>
      </c>
      <c r="S2135" s="210">
        <v>4.5</v>
      </c>
      <c r="T2135" s="8">
        <v>1.0001249999999999</v>
      </c>
      <c r="U2135" s="98">
        <v>4.4199943191584268</v>
      </c>
      <c r="V2135" s="106">
        <v>31629.297880710201</v>
      </c>
      <c r="W2135" s="10">
        <v>1.0984463472452299</v>
      </c>
      <c r="X2135" s="420"/>
      <c r="Y2135" s="420"/>
      <c r="Z2135" s="1"/>
      <c r="AA2135" s="1"/>
      <c r="AB2135" s="1"/>
      <c r="AC2135" s="1"/>
      <c r="AD2135" s="1"/>
    </row>
    <row r="2136" spans="17:30">
      <c r="Q2136" s="6">
        <v>2106</v>
      </c>
      <c r="R2136" s="7">
        <v>44773</v>
      </c>
      <c r="S2136" s="210">
        <v>4.5</v>
      </c>
      <c r="T2136" s="8">
        <v>1.0001249999999999</v>
      </c>
      <c r="U2136" s="98">
        <v>4.4201118864738875</v>
      </c>
      <c r="V2136" s="106">
        <v>31631.930366387107</v>
      </c>
      <c r="W2136" s="10">
        <v>1.0986537351382886</v>
      </c>
      <c r="X2136" s="420"/>
      <c r="Y2136" s="420"/>
      <c r="Z2136" s="1"/>
      <c r="AA2136" s="1"/>
      <c r="AB2136" s="1"/>
      <c r="AC2136" s="1"/>
      <c r="AD2136" s="1"/>
    </row>
    <row r="2137" spans="17:30">
      <c r="Q2137" s="6">
        <v>2107</v>
      </c>
      <c r="R2137" s="7">
        <v>44774</v>
      </c>
      <c r="S2137" s="210">
        <v>4.5</v>
      </c>
      <c r="T2137" s="8">
        <v>1.0001249999999999</v>
      </c>
      <c r="U2137" s="98">
        <v>4.4202293423246442</v>
      </c>
      <c r="V2137" s="106">
        <v>31634.563071164059</v>
      </c>
      <c r="W2137" s="10">
        <v>1.0988609266000982</v>
      </c>
      <c r="X2137" s="420"/>
      <c r="Y2137" s="420"/>
      <c r="Z2137" s="1"/>
      <c r="AA2137" s="1"/>
      <c r="AB2137" s="1"/>
      <c r="AC2137" s="1"/>
      <c r="AD2137" s="1"/>
    </row>
    <row r="2138" spans="17:30">
      <c r="Q2138" s="6">
        <v>2108</v>
      </c>
      <c r="R2138" s="7">
        <v>44775</v>
      </c>
      <c r="S2138" s="210">
        <v>4.5</v>
      </c>
      <c r="T2138" s="8">
        <v>1.0001249999999999</v>
      </c>
      <c r="U2138" s="98">
        <v>4.4203466868691477</v>
      </c>
      <c r="V2138" s="106">
        <v>31637.195995059308</v>
      </c>
      <c r="W2138" s="10">
        <v>1.0990679219095689</v>
      </c>
      <c r="X2138" s="420"/>
      <c r="Y2138" s="420"/>
      <c r="Z2138" s="1"/>
      <c r="AA2138" s="1"/>
      <c r="AB2138" s="1"/>
      <c r="AC2138" s="1"/>
      <c r="AD2138" s="1"/>
    </row>
    <row r="2139" spans="17:30">
      <c r="Q2139" s="6">
        <v>2109</v>
      </c>
      <c r="R2139" s="7">
        <v>44776</v>
      </c>
      <c r="S2139" s="210">
        <v>4.5</v>
      </c>
      <c r="T2139" s="8">
        <v>1.0001249999999999</v>
      </c>
      <c r="U2139" s="98">
        <v>4.4204639202655382</v>
      </c>
      <c r="V2139" s="106">
        <v>31639.829138091074</v>
      </c>
      <c r="W2139" s="10">
        <v>1.0992747213451226</v>
      </c>
      <c r="X2139" s="420"/>
      <c r="Y2139" s="420"/>
      <c r="Z2139" s="1"/>
      <c r="AA2139" s="1"/>
      <c r="AB2139" s="1"/>
      <c r="AC2139" s="1"/>
      <c r="AD2139" s="1"/>
    </row>
    <row r="2140" spans="17:30">
      <c r="Q2140" s="6">
        <v>2110</v>
      </c>
      <c r="R2140" s="7">
        <v>44777</v>
      </c>
      <c r="S2140" s="210">
        <v>4.5</v>
      </c>
      <c r="T2140" s="8">
        <v>1.0001249999999999</v>
      </c>
      <c r="U2140" s="98">
        <v>4.4205810426716674</v>
      </c>
      <c r="V2140" s="106">
        <v>31642.462500277608</v>
      </c>
      <c r="W2140" s="10">
        <v>1.0994813251846924</v>
      </c>
      <c r="X2140" s="420"/>
      <c r="Y2140" s="420"/>
      <c r="Z2140" s="1"/>
      <c r="AA2140" s="1"/>
      <c r="AB2140" s="1"/>
      <c r="AC2140" s="1"/>
      <c r="AD2140" s="1"/>
    </row>
    <row r="2141" spans="17:30">
      <c r="Q2141" s="6">
        <v>2111</v>
      </c>
      <c r="R2141" s="7">
        <v>44778</v>
      </c>
      <c r="S2141" s="210">
        <v>4.5</v>
      </c>
      <c r="T2141" s="8">
        <v>1.0001249999999999</v>
      </c>
      <c r="U2141" s="98">
        <v>4.4206980542450536</v>
      </c>
      <c r="V2141" s="106">
        <v>31645.096081637148</v>
      </c>
      <c r="W2141" s="10">
        <v>1.0996877337056121</v>
      </c>
      <c r="X2141" s="420"/>
      <c r="Y2141" s="420"/>
      <c r="Z2141" s="1"/>
      <c r="AA2141" s="1"/>
      <c r="AB2141" s="1"/>
      <c r="AC2141" s="1"/>
      <c r="AD2141" s="1"/>
    </row>
    <row r="2142" spans="17:30">
      <c r="Q2142" s="6">
        <v>2112</v>
      </c>
      <c r="R2142" s="7">
        <v>44779</v>
      </c>
      <c r="S2142" s="210">
        <v>4.5</v>
      </c>
      <c r="T2142" s="8">
        <v>1.0001249999999999</v>
      </c>
      <c r="U2142" s="98">
        <v>4.420814955142971</v>
      </c>
      <c r="V2142" s="106">
        <v>31647.729882187934</v>
      </c>
      <c r="W2142" s="10">
        <v>1.0998939471847269</v>
      </c>
      <c r="X2142" s="420"/>
      <c r="Y2142" s="420"/>
      <c r="Z2142" s="1"/>
      <c r="AA2142" s="1"/>
      <c r="AB2142" s="1"/>
      <c r="AC2142" s="1"/>
      <c r="AD2142" s="1"/>
    </row>
    <row r="2143" spans="17:30">
      <c r="Q2143" s="6">
        <v>2113</v>
      </c>
      <c r="R2143" s="7">
        <v>44780</v>
      </c>
      <c r="S2143" s="210">
        <v>4.5</v>
      </c>
      <c r="T2143" s="8">
        <v>1.0001249999999999</v>
      </c>
      <c r="U2143" s="98">
        <v>4.4209317455223607</v>
      </c>
      <c r="V2143" s="106">
        <v>31650.363901948203</v>
      </c>
      <c r="W2143" s="10">
        <v>1.100099965898349</v>
      </c>
      <c r="X2143" s="420"/>
      <c r="Y2143" s="420"/>
      <c r="Z2143" s="1"/>
      <c r="AA2143" s="1"/>
      <c r="AB2143" s="1"/>
      <c r="AC2143" s="1"/>
      <c r="AD2143" s="1"/>
    </row>
    <row r="2144" spans="17:30">
      <c r="Q2144" s="6">
        <v>2114</v>
      </c>
      <c r="R2144" s="7">
        <v>44781</v>
      </c>
      <c r="S2144" s="210">
        <v>4.5</v>
      </c>
      <c r="T2144" s="8">
        <v>1.0001249999999999</v>
      </c>
      <c r="U2144" s="98">
        <v>4.4210484255398752</v>
      </c>
      <c r="V2144" s="106">
        <v>31652.998140936212</v>
      </c>
      <c r="W2144" s="10">
        <v>1.1003057901223245</v>
      </c>
      <c r="X2144" s="420"/>
      <c r="Y2144" s="420"/>
      <c r="Z2144" s="1"/>
      <c r="AA2144" s="1"/>
      <c r="AB2144" s="1"/>
      <c r="AC2144" s="1"/>
      <c r="AD2144" s="1"/>
    </row>
    <row r="2145" spans="17:30">
      <c r="Q2145" s="6">
        <v>2115</v>
      </c>
      <c r="R2145" s="7">
        <v>44782</v>
      </c>
      <c r="S2145" s="210">
        <v>4.5</v>
      </c>
      <c r="T2145" s="8">
        <v>1.0001249999999999</v>
      </c>
      <c r="U2145" s="98">
        <v>4.4211649953518561</v>
      </c>
      <c r="V2145" s="106">
        <v>31655.632599170196</v>
      </c>
      <c r="W2145" s="10">
        <v>1.1005114201318555</v>
      </c>
      <c r="X2145" s="420"/>
      <c r="Y2145" s="420"/>
      <c r="Z2145" s="1"/>
      <c r="AA2145" s="1"/>
      <c r="AB2145" s="1"/>
      <c r="AC2145" s="1"/>
      <c r="AD2145" s="1"/>
    </row>
    <row r="2146" spans="17:30">
      <c r="Q2146" s="6">
        <v>2116</v>
      </c>
      <c r="R2146" s="7">
        <v>44783</v>
      </c>
      <c r="S2146" s="210">
        <v>4.5</v>
      </c>
      <c r="T2146" s="8">
        <v>1.0001249999999999</v>
      </c>
      <c r="U2146" s="98">
        <v>4.4212814551143786</v>
      </c>
      <c r="V2146" s="106">
        <v>31658.267276668408</v>
      </c>
      <c r="W2146" s="10">
        <v>1.1007168562017444</v>
      </c>
      <c r="X2146" s="420"/>
      <c r="Y2146" s="420"/>
      <c r="Z2146" s="1"/>
      <c r="AA2146" s="1"/>
      <c r="AB2146" s="1"/>
      <c r="AC2146" s="1"/>
      <c r="AD2146" s="1"/>
    </row>
    <row r="2147" spans="17:30">
      <c r="Q2147" s="6">
        <v>2117</v>
      </c>
      <c r="R2147" s="7">
        <v>44784</v>
      </c>
      <c r="S2147" s="210">
        <v>4.5</v>
      </c>
      <c r="T2147" s="8">
        <v>1.0001249999999999</v>
      </c>
      <c r="U2147" s="98">
        <v>4.421397804983207</v>
      </c>
      <c r="V2147" s="106">
        <v>31660.9021734491</v>
      </c>
      <c r="W2147" s="10">
        <v>1.1009220986062385</v>
      </c>
      <c r="X2147" s="420"/>
      <c r="Y2147" s="420"/>
      <c r="Z2147" s="1"/>
      <c r="AA2147" s="1"/>
      <c r="AB2147" s="1"/>
      <c r="AC2147" s="1"/>
      <c r="AD2147" s="1"/>
    </row>
    <row r="2148" spans="17:30">
      <c r="Q2148" s="6">
        <v>2118</v>
      </c>
      <c r="R2148" s="7">
        <v>44785</v>
      </c>
      <c r="S2148" s="210">
        <v>4.5</v>
      </c>
      <c r="T2148" s="8">
        <v>1.0001249999999999</v>
      </c>
      <c r="U2148" s="98">
        <v>4.4215140451138168</v>
      </c>
      <c r="V2148" s="106">
        <v>31663.537289530515</v>
      </c>
      <c r="W2148" s="10">
        <v>1.1011271476190521</v>
      </c>
      <c r="X2148" s="420"/>
      <c r="Y2148" s="420"/>
      <c r="Z2148" s="1"/>
      <c r="AA2148" s="1"/>
      <c r="AB2148" s="1"/>
      <c r="AC2148" s="1"/>
      <c r="AD2148" s="1"/>
    </row>
    <row r="2149" spans="17:30">
      <c r="Q2149" s="6">
        <v>2119</v>
      </c>
      <c r="R2149" s="7">
        <v>44786</v>
      </c>
      <c r="S2149" s="210">
        <v>4.5</v>
      </c>
      <c r="T2149" s="8">
        <v>1.0001249999999999</v>
      </c>
      <c r="U2149" s="98">
        <v>4.4216301756613952</v>
      </c>
      <c r="V2149" s="106">
        <v>31666.172624930918</v>
      </c>
      <c r="W2149" s="10">
        <v>1.1013320035133889</v>
      </c>
      <c r="X2149" s="420"/>
      <c r="Y2149" s="420"/>
      <c r="Z2149" s="1"/>
      <c r="AA2149" s="1"/>
      <c r="AB2149" s="1"/>
      <c r="AC2149" s="1"/>
      <c r="AD2149" s="1"/>
    </row>
    <row r="2150" spans="17:30">
      <c r="Q2150" s="6">
        <v>2120</v>
      </c>
      <c r="R2150" s="7">
        <v>44787</v>
      </c>
      <c r="S2150" s="210">
        <v>4.5</v>
      </c>
      <c r="T2150" s="8">
        <v>1.0001249999999999</v>
      </c>
      <c r="U2150" s="98">
        <v>4.421746196780818</v>
      </c>
      <c r="V2150" s="106">
        <v>31668.808179668547</v>
      </c>
      <c r="W2150" s="10">
        <v>1.1015366665619641</v>
      </c>
      <c r="X2150" s="420"/>
      <c r="Y2150" s="420"/>
      <c r="Z2150" s="1"/>
      <c r="AA2150" s="1"/>
      <c r="AB2150" s="1"/>
      <c r="AC2150" s="1"/>
      <c r="AD2150" s="1"/>
    </row>
    <row r="2151" spans="17:30">
      <c r="Q2151" s="6">
        <v>2121</v>
      </c>
      <c r="R2151" s="7">
        <v>44788</v>
      </c>
      <c r="S2151" s="210">
        <v>4.5</v>
      </c>
      <c r="T2151" s="8">
        <v>1.0001249999999999</v>
      </c>
      <c r="U2151" s="98">
        <v>4.4218621086266952</v>
      </c>
      <c r="V2151" s="106">
        <v>31671.443953761667</v>
      </c>
      <c r="W2151" s="10">
        <v>1.1017411370369379</v>
      </c>
      <c r="X2151" s="420"/>
      <c r="Y2151" s="420"/>
      <c r="Z2151" s="1"/>
      <c r="AA2151" s="1"/>
      <c r="AB2151" s="1"/>
      <c r="AC2151" s="1"/>
      <c r="AD2151" s="1"/>
    </row>
    <row r="2152" spans="17:30">
      <c r="Q2152" s="6">
        <v>2122</v>
      </c>
      <c r="R2152" s="7">
        <v>44789</v>
      </c>
      <c r="S2152" s="210">
        <v>4.5</v>
      </c>
      <c r="T2152" s="8">
        <v>1.0001249999999999</v>
      </c>
      <c r="U2152" s="98">
        <v>4.4219779113533253</v>
      </c>
      <c r="V2152" s="106">
        <v>31674.079947228533</v>
      </c>
      <c r="W2152" s="10">
        <v>1.1019454152100039</v>
      </c>
      <c r="X2152" s="420"/>
      <c r="Y2152" s="420"/>
      <c r="Z2152" s="1"/>
      <c r="AA2152" s="1"/>
      <c r="AB2152" s="1"/>
      <c r="AC2152" s="1"/>
      <c r="AD2152" s="1"/>
    </row>
    <row r="2153" spans="17:30">
      <c r="Q2153" s="6">
        <v>2123</v>
      </c>
      <c r="R2153" s="7">
        <v>44790</v>
      </c>
      <c r="S2153" s="210">
        <v>4.5</v>
      </c>
      <c r="T2153" s="8">
        <v>1.0001249999999999</v>
      </c>
      <c r="U2153" s="98">
        <v>4.4220936051147186</v>
      </c>
      <c r="V2153" s="106">
        <v>31676.716160087402</v>
      </c>
      <c r="W2153" s="10">
        <v>1.1021495013522786</v>
      </c>
      <c r="X2153" s="420"/>
      <c r="Y2153" s="420"/>
      <c r="Z2153" s="1"/>
      <c r="AA2153" s="1"/>
      <c r="AB2153" s="1"/>
      <c r="AC2153" s="1"/>
      <c r="AD2153" s="1"/>
    </row>
    <row r="2154" spans="17:30">
      <c r="Q2154" s="6">
        <v>2124</v>
      </c>
      <c r="R2154" s="7">
        <v>44791</v>
      </c>
      <c r="S2154" s="210">
        <v>4.5</v>
      </c>
      <c r="T2154" s="8">
        <v>1.0001249999999999</v>
      </c>
      <c r="U2154" s="98">
        <v>4.4222091900645966</v>
      </c>
      <c r="V2154" s="106">
        <v>31679.352592356536</v>
      </c>
      <c r="W2154" s="10">
        <v>1.1023533957344567</v>
      </c>
      <c r="X2154" s="420"/>
      <c r="Y2154" s="420"/>
      <c r="Z2154" s="1"/>
      <c r="AA2154" s="1"/>
      <c r="AB2154" s="1"/>
      <c r="AC2154" s="1"/>
      <c r="AD2154" s="1"/>
    </row>
    <row r="2155" spans="17:30">
      <c r="Q2155" s="6">
        <v>2125</v>
      </c>
      <c r="R2155" s="7">
        <v>44792</v>
      </c>
      <c r="S2155" s="210">
        <v>4.5</v>
      </c>
      <c r="T2155" s="8">
        <v>1.0001249999999999</v>
      </c>
      <c r="U2155" s="98">
        <v>4.422324666356392</v>
      </c>
      <c r="V2155" s="106">
        <v>31681.989244054192</v>
      </c>
      <c r="W2155" s="10">
        <v>1.1025570986266331</v>
      </c>
      <c r="X2155" s="420"/>
      <c r="Y2155" s="420"/>
      <c r="Z2155" s="1"/>
      <c r="AA2155" s="1"/>
      <c r="AB2155" s="1"/>
      <c r="AC2155" s="1"/>
      <c r="AD2155" s="1"/>
    </row>
    <row r="2156" spans="17:30">
      <c r="Q2156" s="6">
        <v>2126</v>
      </c>
      <c r="R2156" s="7">
        <v>44793</v>
      </c>
      <c r="S2156" s="210">
        <v>4.5</v>
      </c>
      <c r="T2156" s="8">
        <v>1.0001249999999999</v>
      </c>
      <c r="U2156" s="98">
        <v>4.4224400341432712</v>
      </c>
      <c r="V2156" s="106">
        <v>31684.626115198644</v>
      </c>
      <c r="W2156" s="10">
        <v>1.102760610298481</v>
      </c>
      <c r="X2156" s="420"/>
      <c r="Y2156" s="420"/>
      <c r="Z2156" s="1"/>
      <c r="AA2156" s="1"/>
      <c r="AB2156" s="1"/>
      <c r="AC2156" s="1"/>
      <c r="AD2156" s="1"/>
    </row>
    <row r="2157" spans="17:30">
      <c r="Q2157" s="6">
        <v>2127</v>
      </c>
      <c r="R2157" s="7">
        <v>44794</v>
      </c>
      <c r="S2157" s="210">
        <v>4.5</v>
      </c>
      <c r="T2157" s="8">
        <v>1.0001249999999999</v>
      </c>
      <c r="U2157" s="98">
        <v>4.4225552935780899</v>
      </c>
      <c r="V2157" s="106">
        <v>31687.263205808136</v>
      </c>
      <c r="W2157" s="10">
        <v>1.1029639310190964</v>
      </c>
      <c r="X2157" s="420"/>
      <c r="Y2157" s="420"/>
      <c r="Z2157" s="1"/>
      <c r="AA2157" s="1"/>
      <c r="AB2157" s="1"/>
      <c r="AC2157" s="1"/>
      <c r="AD2157" s="1"/>
    </row>
    <row r="2158" spans="17:30">
      <c r="Q2158" s="6">
        <v>2128</v>
      </c>
      <c r="R2158" s="7">
        <v>44795</v>
      </c>
      <c r="S2158" s="210">
        <v>4.5</v>
      </c>
      <c r="T2158" s="8">
        <v>1.0001249999999999</v>
      </c>
      <c r="U2158" s="98">
        <v>4.4226704448133924</v>
      </c>
      <c r="V2158" s="106">
        <v>31689.900515900961</v>
      </c>
      <c r="W2158" s="10">
        <v>1.1031670610571087</v>
      </c>
      <c r="X2158" s="420"/>
      <c r="Y2158" s="420"/>
      <c r="Z2158" s="1"/>
      <c r="AA2158" s="1"/>
      <c r="AB2158" s="1"/>
      <c r="AC2158" s="1"/>
      <c r="AD2158" s="1"/>
    </row>
    <row r="2159" spans="17:30">
      <c r="Q2159" s="6">
        <v>2129</v>
      </c>
      <c r="R2159" s="7">
        <v>44796</v>
      </c>
      <c r="S2159" s="210">
        <v>4.5</v>
      </c>
      <c r="T2159" s="8">
        <v>1.0001249999999999</v>
      </c>
      <c r="U2159" s="98">
        <v>4.4227854880015016</v>
      </c>
      <c r="V2159" s="106">
        <v>31692.538045495359</v>
      </c>
      <c r="W2159" s="10">
        <v>1.1033700006806813</v>
      </c>
      <c r="X2159" s="420"/>
      <c r="Y2159" s="420"/>
      <c r="Z2159" s="1"/>
      <c r="AA2159" s="1"/>
      <c r="AB2159" s="1"/>
      <c r="AC2159" s="1"/>
      <c r="AD2159" s="1"/>
    </row>
    <row r="2160" spans="17:30">
      <c r="Q2160" s="6">
        <v>2130</v>
      </c>
      <c r="R2160" s="7">
        <v>44797</v>
      </c>
      <c r="S2160" s="210">
        <v>4.5</v>
      </c>
      <c r="T2160" s="8">
        <v>1.0001249999999999</v>
      </c>
      <c r="U2160" s="98">
        <v>4.4229004232944069</v>
      </c>
      <c r="V2160" s="106">
        <v>31695.175794609622</v>
      </c>
      <c r="W2160" s="10">
        <v>1.1035727501573778</v>
      </c>
      <c r="X2160" s="420"/>
      <c r="Y2160" s="420"/>
      <c r="Z2160" s="1"/>
      <c r="AA2160" s="1"/>
      <c r="AB2160" s="1"/>
      <c r="AC2160" s="1"/>
      <c r="AD2160" s="1"/>
    </row>
    <row r="2161" spans="17:30">
      <c r="Q2161" s="6">
        <v>2131</v>
      </c>
      <c r="R2161" s="7">
        <v>44798</v>
      </c>
      <c r="S2161" s="210">
        <v>4.5</v>
      </c>
      <c r="T2161" s="8">
        <v>1.0001249999999999</v>
      </c>
      <c r="U2161" s="98">
        <v>4.4230152508438092</v>
      </c>
      <c r="V2161" s="106">
        <v>31697.813763262002</v>
      </c>
      <c r="W2161" s="10">
        <v>1.1037753097543179</v>
      </c>
      <c r="X2161" s="420"/>
      <c r="Y2161" s="420"/>
      <c r="Z2161" s="1"/>
      <c r="AA2161" s="1"/>
      <c r="AB2161" s="1"/>
      <c r="AC2161" s="1"/>
      <c r="AD2161" s="1"/>
    </row>
    <row r="2162" spans="17:30">
      <c r="Q2162" s="6">
        <v>2132</v>
      </c>
      <c r="R2162" s="7">
        <v>44799</v>
      </c>
      <c r="S2162" s="210">
        <v>4.5</v>
      </c>
      <c r="T2162" s="8">
        <v>1.0001249999999999</v>
      </c>
      <c r="U2162" s="98">
        <v>4.4231299708011651</v>
      </c>
      <c r="V2162" s="106">
        <v>31700.451951470783</v>
      </c>
      <c r="W2162" s="10">
        <v>1.1039776797381551</v>
      </c>
      <c r="X2162" s="420"/>
      <c r="Y2162" s="420"/>
      <c r="Z2162" s="1"/>
      <c r="AA2162" s="1"/>
      <c r="AB2162" s="1"/>
      <c r="AC2162" s="1"/>
      <c r="AD2162" s="1"/>
    </row>
    <row r="2163" spans="17:30">
      <c r="Q2163" s="6">
        <v>2133</v>
      </c>
      <c r="R2163" s="7">
        <v>44800</v>
      </c>
      <c r="S2163" s="210">
        <v>4.5</v>
      </c>
      <c r="T2163" s="8">
        <v>1.0001249999999999</v>
      </c>
      <c r="U2163" s="98">
        <v>4.4232445833175982</v>
      </c>
      <c r="V2163" s="106">
        <v>31703.090359254238</v>
      </c>
      <c r="W2163" s="10">
        <v>1.1041798603749431</v>
      </c>
      <c r="X2163" s="420"/>
      <c r="Y2163" s="420"/>
      <c r="Z2163" s="1"/>
      <c r="AA2163" s="1"/>
      <c r="AB2163" s="1"/>
      <c r="AC2163" s="1"/>
      <c r="AD2163" s="1"/>
    </row>
    <row r="2164" spans="17:30">
      <c r="Q2164" s="6">
        <v>2134</v>
      </c>
      <c r="R2164" s="7">
        <v>44801</v>
      </c>
      <c r="S2164" s="210">
        <v>4.5</v>
      </c>
      <c r="T2164" s="8">
        <v>1.0001249999999999</v>
      </c>
      <c r="U2164" s="98">
        <v>4.4233590885439877</v>
      </c>
      <c r="V2164" s="106">
        <v>31705.728986630635</v>
      </c>
      <c r="W2164" s="10">
        <v>1.1043818519303583</v>
      </c>
      <c r="X2164" s="420"/>
      <c r="Y2164" s="420"/>
      <c r="Z2164" s="1"/>
      <c r="AA2164" s="1"/>
      <c r="AB2164" s="1"/>
      <c r="AC2164" s="1"/>
      <c r="AD2164" s="1"/>
    </row>
    <row r="2165" spans="17:30">
      <c r="Q2165" s="6">
        <v>2135</v>
      </c>
      <c r="R2165" s="7">
        <v>44802</v>
      </c>
      <c r="S2165" s="210">
        <v>4.5</v>
      </c>
      <c r="T2165" s="8">
        <v>1.0001249999999999</v>
      </c>
      <c r="U2165" s="98">
        <v>4.4234734866309022</v>
      </c>
      <c r="V2165" s="106">
        <v>31708.367833618257</v>
      </c>
      <c r="W2165" s="10">
        <v>1.1045836546694998</v>
      </c>
      <c r="X2165" s="420"/>
      <c r="Y2165" s="420"/>
      <c r="Z2165" s="1"/>
      <c r="AA2165" s="1"/>
      <c r="AB2165" s="1"/>
      <c r="AC2165" s="1"/>
      <c r="AD2165" s="1"/>
    </row>
    <row r="2166" spans="17:30">
      <c r="Q2166" s="6">
        <v>2136</v>
      </c>
      <c r="R2166" s="7">
        <v>44803</v>
      </c>
      <c r="S2166" s="210">
        <v>4.5</v>
      </c>
      <c r="T2166" s="8">
        <v>1.0001249999999999</v>
      </c>
      <c r="U2166" s="98">
        <v>4.4235877777286658</v>
      </c>
      <c r="V2166" s="106">
        <v>31711.006900235374</v>
      </c>
      <c r="W2166" s="10">
        <v>1.1047852688570003</v>
      </c>
      <c r="X2166" s="420"/>
      <c r="Y2166" s="420"/>
      <c r="Z2166" s="1"/>
      <c r="AA2166" s="1"/>
      <c r="AB2166" s="1"/>
      <c r="AC2166" s="1"/>
      <c r="AD2166" s="1"/>
    </row>
    <row r="2167" spans="17:30">
      <c r="Q2167" s="6">
        <v>2137</v>
      </c>
      <c r="R2167" s="7">
        <v>44804</v>
      </c>
      <c r="S2167" s="210">
        <v>4.5</v>
      </c>
      <c r="T2167" s="8">
        <v>1.0001249999999999</v>
      </c>
      <c r="U2167" s="98">
        <v>4.4237019619872697</v>
      </c>
      <c r="V2167" s="106">
        <v>31713.646186500275</v>
      </c>
      <c r="W2167" s="10">
        <v>1.1049866947569598</v>
      </c>
      <c r="X2167" s="420"/>
      <c r="Y2167" s="420"/>
      <c r="Z2167" s="1"/>
      <c r="AA2167" s="1"/>
      <c r="AB2167" s="1"/>
      <c r="AC2167" s="1"/>
      <c r="AD2167" s="1"/>
    </row>
    <row r="2168" spans="17:30">
      <c r="Q2168" s="6">
        <v>2138</v>
      </c>
      <c r="R2168" s="7">
        <v>44805</v>
      </c>
      <c r="S2168" s="210">
        <v>4.5</v>
      </c>
      <c r="T2168" s="8">
        <v>1.0001249999999999</v>
      </c>
      <c r="U2168" s="98">
        <v>4.4238160395564829</v>
      </c>
      <c r="V2168" s="106">
        <v>31716.285692431236</v>
      </c>
      <c r="W2168" s="10">
        <v>1.1051879326330782</v>
      </c>
      <c r="X2168" s="420"/>
      <c r="Y2168" s="420"/>
      <c r="Z2168" s="1"/>
      <c r="AA2168" s="1"/>
      <c r="AB2168" s="1"/>
      <c r="AC2168" s="1"/>
      <c r="AD2168" s="1"/>
    </row>
    <row r="2169" spans="17:30">
      <c r="Q2169" s="6">
        <v>2139</v>
      </c>
      <c r="R2169" s="7">
        <v>44806</v>
      </c>
      <c r="S2169" s="210">
        <v>4.5</v>
      </c>
      <c r="T2169" s="8">
        <v>1.0001249999999999</v>
      </c>
      <c r="U2169" s="98">
        <v>4.4239300105857415</v>
      </c>
      <c r="V2169" s="106">
        <v>31718.925418046547</v>
      </c>
      <c r="W2169" s="10">
        <v>1.1053889827484342</v>
      </c>
      <c r="X2169" s="420"/>
      <c r="Y2169" s="420"/>
      <c r="Z2169" s="1"/>
      <c r="AA2169" s="1"/>
      <c r="AB2169" s="1"/>
      <c r="AC2169" s="1"/>
      <c r="AD2169" s="1"/>
    </row>
    <row r="2170" spans="17:30">
      <c r="Q2170" s="6">
        <v>2140</v>
      </c>
      <c r="R2170" s="7">
        <v>44807</v>
      </c>
      <c r="S2170" s="210">
        <v>4.5</v>
      </c>
      <c r="T2170" s="8">
        <v>1.0001249999999999</v>
      </c>
      <c r="U2170" s="98">
        <v>4.4240438752242373</v>
      </c>
      <c r="V2170" s="106">
        <v>31721.56536336448</v>
      </c>
      <c r="W2170" s="10">
        <v>1.1055898453657509</v>
      </c>
      <c r="X2170" s="420"/>
      <c r="Y2170" s="420"/>
      <c r="Z2170" s="1"/>
      <c r="AA2170" s="1"/>
      <c r="AB2170" s="1"/>
      <c r="AC2170" s="1"/>
      <c r="AD2170" s="1"/>
    </row>
    <row r="2171" spans="17:30">
      <c r="Q2171" s="6">
        <v>2141</v>
      </c>
      <c r="R2171" s="7">
        <v>44808</v>
      </c>
      <c r="S2171" s="210">
        <v>4.5</v>
      </c>
      <c r="T2171" s="8">
        <v>1.0001249999999999</v>
      </c>
      <c r="U2171" s="98">
        <v>4.4241576336208732</v>
      </c>
      <c r="V2171" s="106">
        <v>31724.205528403327</v>
      </c>
      <c r="W2171" s="10">
        <v>1.1057905207471297</v>
      </c>
      <c r="X2171" s="420"/>
      <c r="Y2171" s="420"/>
      <c r="Z2171" s="1"/>
      <c r="AA2171" s="1"/>
      <c r="AB2171" s="1"/>
      <c r="AC2171" s="1"/>
      <c r="AD2171" s="1"/>
    </row>
    <row r="2172" spans="17:30">
      <c r="Q2172" s="6">
        <v>2142</v>
      </c>
      <c r="R2172" s="7">
        <v>44809</v>
      </c>
      <c r="S2172" s="210">
        <v>4.5</v>
      </c>
      <c r="T2172" s="8">
        <v>1.0001249999999999</v>
      </c>
      <c r="U2172" s="98">
        <v>4.4242712859242861</v>
      </c>
      <c r="V2172" s="106">
        <v>31726.84591318138</v>
      </c>
      <c r="W2172" s="10">
        <v>1.1059910091543168</v>
      </c>
      <c r="X2172" s="420"/>
      <c r="Y2172" s="420"/>
      <c r="Z2172" s="1"/>
      <c r="AA2172" s="1"/>
      <c r="AB2172" s="1"/>
      <c r="AC2172" s="1"/>
      <c r="AD2172" s="1"/>
    </row>
    <row r="2173" spans="17:30">
      <c r="Q2173" s="6">
        <v>2143</v>
      </c>
      <c r="R2173" s="7">
        <v>44810</v>
      </c>
      <c r="S2173" s="210">
        <v>4.5</v>
      </c>
      <c r="T2173" s="8">
        <v>1.0001249999999999</v>
      </c>
      <c r="U2173" s="98">
        <v>4.4243848322828017</v>
      </c>
      <c r="V2173" s="106">
        <v>31729.486517716919</v>
      </c>
      <c r="W2173" s="10">
        <v>1.1061913108484589</v>
      </c>
      <c r="X2173" s="420"/>
      <c r="Y2173" s="420"/>
      <c r="Z2173" s="1"/>
      <c r="AA2173" s="1"/>
      <c r="AB2173" s="1"/>
      <c r="AC2173" s="1"/>
      <c r="AD2173" s="1"/>
    </row>
    <row r="2174" spans="17:30">
      <c r="Q2174" s="6">
        <v>2144</v>
      </c>
      <c r="R2174" s="7">
        <v>44811</v>
      </c>
      <c r="S2174" s="210">
        <v>4.5</v>
      </c>
      <c r="T2174" s="8">
        <v>1.0001249999999999</v>
      </c>
      <c r="U2174" s="98">
        <v>4.4244982728445015</v>
      </c>
      <c r="V2174" s="106">
        <v>31732.127342028238</v>
      </c>
      <c r="W2174" s="10">
        <v>1.1063914260902807</v>
      </c>
      <c r="X2174" s="420"/>
      <c r="Y2174" s="420"/>
      <c r="Z2174" s="1"/>
      <c r="AA2174" s="1"/>
      <c r="AB2174" s="1"/>
      <c r="AC2174" s="1"/>
      <c r="AD2174" s="1"/>
    </row>
    <row r="2175" spans="17:30">
      <c r="Q2175" s="6">
        <v>2145</v>
      </c>
      <c r="R2175" s="7">
        <v>44812</v>
      </c>
      <c r="S2175" s="210">
        <v>4.5</v>
      </c>
      <c r="T2175" s="8">
        <v>1.0001249999999999</v>
      </c>
      <c r="U2175" s="98">
        <v>4.4246116077571784</v>
      </c>
      <c r="V2175" s="106">
        <v>31734.76838613363</v>
      </c>
      <c r="W2175" s="10">
        <v>1.1065913551399742</v>
      </c>
      <c r="X2175" s="420"/>
      <c r="Y2175" s="420"/>
      <c r="Z2175" s="1"/>
      <c r="AA2175" s="1"/>
      <c r="AB2175" s="1"/>
      <c r="AC2175" s="1"/>
      <c r="AD2175" s="1"/>
    </row>
    <row r="2176" spans="17:30">
      <c r="Q2176" s="6">
        <v>2146</v>
      </c>
      <c r="R2176" s="7">
        <v>44813</v>
      </c>
      <c r="S2176" s="210">
        <v>4.5</v>
      </c>
      <c r="T2176" s="8">
        <v>1.0001249999999999</v>
      </c>
      <c r="U2176" s="98">
        <v>4.4247248371683368</v>
      </c>
      <c r="V2176" s="106">
        <v>31737.409650051388</v>
      </c>
      <c r="W2176" s="10">
        <v>1.1067910982572648</v>
      </c>
      <c r="X2176" s="420"/>
      <c r="Y2176" s="420"/>
      <c r="Z2176" s="1"/>
      <c r="AA2176" s="1"/>
      <c r="AB2176" s="1"/>
      <c r="AC2176" s="1"/>
      <c r="AD2176" s="1"/>
    </row>
    <row r="2177" spans="17:30">
      <c r="Q2177" s="6">
        <v>2147</v>
      </c>
      <c r="R2177" s="7">
        <v>44814</v>
      </c>
      <c r="S2177" s="210">
        <v>4.5</v>
      </c>
      <c r="T2177" s="8">
        <v>1.0001249999999999</v>
      </c>
      <c r="U2177" s="98">
        <v>4.4248379612252586</v>
      </c>
      <c r="V2177" s="106">
        <v>31740.139187044275</v>
      </c>
      <c r="W2177" s="10">
        <v>1.1069429710030665</v>
      </c>
      <c r="X2177" s="420"/>
      <c r="Y2177" s="420"/>
      <c r="Z2177" s="1"/>
      <c r="AA2177" s="1"/>
      <c r="AB2177" s="1"/>
      <c r="AC2177" s="1"/>
      <c r="AD2177" s="1"/>
    </row>
    <row r="2178" spans="17:30">
      <c r="Q2178" s="6">
        <v>2148</v>
      </c>
      <c r="R2178" s="7">
        <v>44815</v>
      </c>
      <c r="S2178" s="210">
        <v>4.5</v>
      </c>
      <c r="T2178" s="8">
        <v>1.0001249999999999</v>
      </c>
      <c r="U2178" s="98">
        <v>4.4249509800748932</v>
      </c>
      <c r="V2178" s="106">
        <v>31742.868958787636</v>
      </c>
      <c r="W2178" s="10">
        <v>1.1070947025681344</v>
      </c>
      <c r="X2178" s="420"/>
      <c r="Y2178" s="420"/>
      <c r="Z2178" s="1"/>
      <c r="AA2178" s="1"/>
      <c r="AB2178" s="1"/>
      <c r="AC2178" s="1"/>
      <c r="AD2178" s="1"/>
    </row>
    <row r="2179" spans="17:30">
      <c r="Q2179" s="6">
        <v>2149</v>
      </c>
      <c r="R2179" s="7">
        <v>44816</v>
      </c>
      <c r="S2179" s="210">
        <v>4.5</v>
      </c>
      <c r="T2179" s="8">
        <v>1.0001249999999999</v>
      </c>
      <c r="U2179" s="98">
        <v>4.4250638938639453</v>
      </c>
      <c r="V2179" s="106">
        <v>31745.598965301677</v>
      </c>
      <c r="W2179" s="10">
        <v>1.1072462931492666</v>
      </c>
      <c r="X2179" s="420"/>
      <c r="Y2179" s="420"/>
      <c r="Z2179" s="1"/>
      <c r="AA2179" s="1"/>
      <c r="AB2179" s="1"/>
      <c r="AC2179" s="1"/>
      <c r="AD2179" s="1"/>
    </row>
    <row r="2180" spans="17:30">
      <c r="Q2180" s="6">
        <v>2150</v>
      </c>
      <c r="R2180" s="7">
        <v>44817</v>
      </c>
      <c r="S2180" s="210">
        <v>4.5</v>
      </c>
      <c r="T2180" s="8">
        <v>1.0001249999999999</v>
      </c>
      <c r="U2180" s="98">
        <v>4.4251767027388311</v>
      </c>
      <c r="V2180" s="106">
        <v>31748.32920660657</v>
      </c>
      <c r="W2180" s="10">
        <v>1.1073977429428838</v>
      </c>
      <c r="X2180" s="420"/>
      <c r="Y2180" s="420"/>
      <c r="Z2180" s="1"/>
      <c r="AA2180" s="1"/>
      <c r="AB2180" s="1"/>
      <c r="AC2180" s="1"/>
      <c r="AD2180" s="1"/>
    </row>
    <row r="2181" spans="17:30">
      <c r="Q2181" s="6">
        <v>2151</v>
      </c>
      <c r="R2181" s="7">
        <v>44818</v>
      </c>
      <c r="S2181" s="210">
        <v>4.5</v>
      </c>
      <c r="T2181" s="8">
        <v>1.0001249999999999</v>
      </c>
      <c r="U2181" s="98">
        <v>4.4252894068457005</v>
      </c>
      <c r="V2181" s="106">
        <v>31751.059682722524</v>
      </c>
      <c r="W2181" s="10">
        <v>1.1075490521450071</v>
      </c>
      <c r="X2181" s="420"/>
      <c r="Y2181" s="420"/>
      <c r="Z2181" s="1"/>
      <c r="AA2181" s="1"/>
      <c r="AB2181" s="1"/>
      <c r="AC2181" s="1"/>
      <c r="AD2181" s="1"/>
    </row>
    <row r="2182" spans="17:30">
      <c r="Q2182" s="6">
        <v>2152</v>
      </c>
      <c r="R2182" s="7">
        <v>44819</v>
      </c>
      <c r="S2182" s="210">
        <v>4.5</v>
      </c>
      <c r="T2182" s="8">
        <v>1.0001249999999999</v>
      </c>
      <c r="U2182" s="98">
        <v>4.4254020063304589</v>
      </c>
      <c r="V2182" s="106">
        <v>31753.790393669726</v>
      </c>
      <c r="W2182" s="10">
        <v>1.1077002209513021</v>
      </c>
      <c r="X2182" s="420"/>
      <c r="Y2182" s="420"/>
      <c r="Z2182" s="1"/>
      <c r="AA2182" s="1"/>
      <c r="AB2182" s="1"/>
      <c r="AC2182" s="1"/>
      <c r="AD2182" s="1"/>
    </row>
    <row r="2183" spans="17:30">
      <c r="Q2183" s="6">
        <v>2153</v>
      </c>
      <c r="R2183" s="7">
        <v>44820</v>
      </c>
      <c r="S2183" s="210">
        <v>4.5</v>
      </c>
      <c r="T2183" s="8">
        <v>1.0001249999999999</v>
      </c>
      <c r="U2183" s="98">
        <v>4.4255145013387009</v>
      </c>
      <c r="V2183" s="106">
        <v>31756.521339468381</v>
      </c>
      <c r="W2183" s="10">
        <v>1.1078512495571013</v>
      </c>
      <c r="X2183" s="420"/>
      <c r="Y2183" s="420"/>
      <c r="Z2183" s="1"/>
      <c r="AA2183" s="1"/>
      <c r="AB2183" s="1"/>
      <c r="AC2183" s="1"/>
      <c r="AD2183" s="1"/>
    </row>
    <row r="2184" spans="17:30">
      <c r="Q2184" s="6">
        <v>2154</v>
      </c>
      <c r="R2184" s="7">
        <v>44821</v>
      </c>
      <c r="S2184" s="210">
        <v>4.5</v>
      </c>
      <c r="T2184" s="8">
        <v>1.0001249999999999</v>
      </c>
      <c r="U2184" s="98">
        <v>4.4256268920157771</v>
      </c>
      <c r="V2184" s="106">
        <v>31759.252520138671</v>
      </c>
      <c r="W2184" s="10">
        <v>1.1080021381573602</v>
      </c>
      <c r="X2184" s="420"/>
      <c r="Y2184" s="420"/>
      <c r="Z2184" s="1"/>
      <c r="AA2184" s="1"/>
      <c r="AB2184" s="1"/>
      <c r="AC2184" s="1"/>
      <c r="AD2184" s="1"/>
    </row>
    <row r="2185" spans="17:30">
      <c r="Q2185" s="6">
        <v>2155</v>
      </c>
      <c r="R2185" s="7">
        <v>44822</v>
      </c>
      <c r="S2185" s="210">
        <v>4.5</v>
      </c>
      <c r="T2185" s="8">
        <v>1.0001249999999999</v>
      </c>
      <c r="U2185" s="98">
        <v>4.425739178506749</v>
      </c>
      <c r="V2185" s="106">
        <v>31761.98393570081</v>
      </c>
      <c r="W2185" s="10">
        <v>1.1081528869466561</v>
      </c>
      <c r="X2185" s="420"/>
      <c r="Y2185" s="420"/>
      <c r="Z2185" s="1"/>
      <c r="AA2185" s="1"/>
      <c r="AB2185" s="1"/>
      <c r="AC2185" s="1"/>
      <c r="AD2185" s="1"/>
    </row>
    <row r="2186" spans="17:30">
      <c r="Q2186" s="6">
        <v>2156</v>
      </c>
      <c r="R2186" s="7">
        <v>44823</v>
      </c>
      <c r="S2186" s="210">
        <v>4.5</v>
      </c>
      <c r="T2186" s="8">
        <v>1.0001249999999999</v>
      </c>
      <c r="U2186" s="98">
        <v>4.4258513609564343</v>
      </c>
      <c r="V2186" s="106">
        <v>31764.715586174989</v>
      </c>
      <c r="W2186" s="10">
        <v>1.108303496119234</v>
      </c>
      <c r="X2186" s="420"/>
      <c r="Y2186" s="420"/>
      <c r="Z2186" s="1"/>
      <c r="AA2186" s="1"/>
      <c r="AB2186" s="1"/>
      <c r="AC2186" s="1"/>
      <c r="AD2186" s="1"/>
    </row>
    <row r="2187" spans="17:30">
      <c r="Q2187" s="6">
        <v>2157</v>
      </c>
      <c r="R2187" s="7">
        <v>44824</v>
      </c>
      <c r="S2187" s="210">
        <v>4.5</v>
      </c>
      <c r="T2187" s="8">
        <v>1.0001249999999999</v>
      </c>
      <c r="U2187" s="98">
        <v>4.4259634395093617</v>
      </c>
      <c r="V2187" s="106">
        <v>31767.447471581418</v>
      </c>
      <c r="W2187" s="10">
        <v>1.1084539658689385</v>
      </c>
      <c r="X2187" s="420"/>
      <c r="Y2187" s="420"/>
      <c r="Z2187" s="1"/>
      <c r="AA2187" s="1"/>
      <c r="AB2187" s="1"/>
      <c r="AC2187" s="1"/>
      <c r="AD2187" s="1"/>
    </row>
    <row r="2188" spans="17:30">
      <c r="Q2188" s="6">
        <v>2158</v>
      </c>
      <c r="R2188" s="7">
        <v>44825</v>
      </c>
      <c r="S2188" s="210">
        <v>4.5</v>
      </c>
      <c r="T2188" s="8">
        <v>1.0001249999999999</v>
      </c>
      <c r="U2188" s="98">
        <v>4.4260754143097936</v>
      </c>
      <c r="V2188" s="106">
        <v>31770.179591940305</v>
      </c>
      <c r="W2188" s="10">
        <v>1.1086042963893261</v>
      </c>
      <c r="X2188" s="420"/>
      <c r="Y2188" s="420"/>
      <c r="Z2188" s="1"/>
      <c r="AA2188" s="1"/>
      <c r="AB2188" s="1"/>
      <c r="AC2188" s="1"/>
      <c r="AD2188" s="1"/>
    </row>
    <row r="2189" spans="17:30">
      <c r="Q2189" s="6">
        <v>2159</v>
      </c>
      <c r="R2189" s="7">
        <v>44826</v>
      </c>
      <c r="S2189" s="210">
        <v>4.5</v>
      </c>
      <c r="T2189" s="8">
        <v>1.0001249999999999</v>
      </c>
      <c r="U2189" s="98">
        <v>4.4261872855017259</v>
      </c>
      <c r="V2189" s="106">
        <v>31772.911947271852</v>
      </c>
      <c r="W2189" s="10">
        <v>1.1087544878734867</v>
      </c>
      <c r="X2189" s="420"/>
      <c r="Y2189" s="420"/>
      <c r="Z2189" s="1"/>
      <c r="AA2189" s="1"/>
      <c r="AB2189" s="1"/>
      <c r="AC2189" s="1"/>
      <c r="AD2189" s="1"/>
    </row>
    <row r="2190" spans="17:30">
      <c r="Q2190" s="6">
        <v>2160</v>
      </c>
      <c r="R2190" s="7">
        <v>44827</v>
      </c>
      <c r="S2190" s="210">
        <v>4.5</v>
      </c>
      <c r="T2190" s="8">
        <v>1.0001249999999999</v>
      </c>
      <c r="U2190" s="98">
        <v>4.4262990532289104</v>
      </c>
      <c r="V2190" s="106">
        <v>31775.644537596268</v>
      </c>
      <c r="W2190" s="10">
        <v>1.1089045405142439</v>
      </c>
      <c r="X2190" s="420"/>
      <c r="Y2190" s="420"/>
      <c r="Z2190" s="1"/>
      <c r="AA2190" s="1"/>
      <c r="AB2190" s="1"/>
      <c r="AC2190" s="1"/>
      <c r="AD2190" s="1"/>
    </row>
    <row r="2191" spans="17:30">
      <c r="Q2191" s="6">
        <v>2161</v>
      </c>
      <c r="R2191" s="7">
        <v>44828</v>
      </c>
      <c r="S2191" s="210">
        <v>4.5</v>
      </c>
      <c r="T2191" s="8">
        <v>1.0001249999999999</v>
      </c>
      <c r="U2191" s="98">
        <v>4.42641071763481</v>
      </c>
      <c r="V2191" s="106">
        <v>31778.377362933759</v>
      </c>
      <c r="W2191" s="10">
        <v>1.1090544545040659</v>
      </c>
      <c r="X2191" s="420"/>
      <c r="Y2191" s="420"/>
      <c r="Z2191" s="1"/>
      <c r="AA2191" s="1"/>
      <c r="AB2191" s="1"/>
      <c r="AC2191" s="1"/>
      <c r="AD2191" s="1"/>
    </row>
    <row r="2192" spans="17:30">
      <c r="Q2192" s="6">
        <v>2162</v>
      </c>
      <c r="R2192" s="7">
        <v>44829</v>
      </c>
      <c r="S2192" s="210">
        <v>4.5</v>
      </c>
      <c r="T2192" s="8">
        <v>1.0001249999999999</v>
      </c>
      <c r="U2192" s="98">
        <v>4.4265222788626213</v>
      </c>
      <c r="V2192" s="106">
        <v>31781.110423304548</v>
      </c>
      <c r="W2192" s="10">
        <v>1.1092042300350213</v>
      </c>
      <c r="X2192" s="420"/>
      <c r="Y2192" s="420"/>
      <c r="Z2192" s="1"/>
      <c r="AA2192" s="1"/>
      <c r="AB2192" s="1"/>
      <c r="AC2192" s="1"/>
      <c r="AD2192" s="1"/>
    </row>
    <row r="2193" spans="17:30">
      <c r="Q2193" s="6">
        <v>2163</v>
      </c>
      <c r="R2193" s="7">
        <v>44830</v>
      </c>
      <c r="S2193" s="210">
        <v>4.5</v>
      </c>
      <c r="T2193" s="8">
        <v>1.0001249999999999</v>
      </c>
      <c r="U2193" s="98">
        <v>4.4266337370552744</v>
      </c>
      <c r="V2193" s="106">
        <v>31783.84371872884</v>
      </c>
      <c r="W2193" s="10">
        <v>1.1093538672988013</v>
      </c>
      <c r="X2193" s="420"/>
      <c r="Y2193" s="420"/>
      <c r="Z2193" s="1"/>
      <c r="AA2193" s="1"/>
      <c r="AB2193" s="1"/>
      <c r="AC2193" s="1"/>
      <c r="AD2193" s="1"/>
    </row>
    <row r="2194" spans="17:30">
      <c r="Q2194" s="6">
        <v>2164</v>
      </c>
      <c r="R2194" s="7">
        <v>44831</v>
      </c>
      <c r="S2194" s="210">
        <v>4.5</v>
      </c>
      <c r="T2194" s="8">
        <v>1.0001249999999999</v>
      </c>
      <c r="U2194" s="98">
        <v>4.4267450923554552</v>
      </c>
      <c r="V2194" s="106">
        <v>31786.577249226848</v>
      </c>
      <c r="W2194" s="10">
        <v>1.1095033664868303</v>
      </c>
      <c r="X2194" s="420"/>
      <c r="Y2194" s="420"/>
      <c r="Z2194" s="1"/>
      <c r="AA2194" s="1"/>
      <c r="AB2194" s="1"/>
      <c r="AC2194" s="1"/>
      <c r="AD2194" s="1"/>
    </row>
    <row r="2195" spans="17:30">
      <c r="Q2195" s="6">
        <v>2165</v>
      </c>
      <c r="R2195" s="7">
        <v>44832</v>
      </c>
      <c r="S2195" s="210">
        <v>4.5</v>
      </c>
      <c r="T2195" s="8">
        <v>1.0001249999999999</v>
      </c>
      <c r="U2195" s="98">
        <v>4.4268563449055831</v>
      </c>
      <c r="V2195" s="106">
        <v>31789.311014818799</v>
      </c>
      <c r="W2195" s="10">
        <v>1.1096527277901114</v>
      </c>
      <c r="X2195" s="420"/>
      <c r="Y2195" s="420"/>
      <c r="Z2195" s="1"/>
      <c r="AA2195" s="1"/>
      <c r="AB2195" s="1"/>
      <c r="AC2195" s="1"/>
      <c r="AD2195" s="1"/>
    </row>
    <row r="2196" spans="17:30">
      <c r="Q2196" s="6">
        <v>2166</v>
      </c>
      <c r="R2196" s="7">
        <v>44833</v>
      </c>
      <c r="S2196" s="210">
        <v>4.5</v>
      </c>
      <c r="T2196" s="8">
        <v>1.0001249999999999</v>
      </c>
      <c r="U2196" s="98">
        <v>4.426967494847811</v>
      </c>
      <c r="V2196" s="106">
        <v>31792.045015524905</v>
      </c>
      <c r="W2196" s="10">
        <v>1.109801951399314</v>
      </c>
      <c r="X2196" s="420"/>
      <c r="Y2196" s="420"/>
      <c r="Z2196" s="1"/>
      <c r="AA2196" s="1"/>
      <c r="AB2196" s="1"/>
      <c r="AC2196" s="1"/>
      <c r="AD2196" s="1"/>
    </row>
    <row r="2197" spans="17:30">
      <c r="Q2197" s="6">
        <v>2167</v>
      </c>
      <c r="R2197" s="7">
        <v>44834</v>
      </c>
      <c r="S2197" s="210">
        <v>4.5</v>
      </c>
      <c r="T2197" s="8">
        <v>1.0001249999999999</v>
      </c>
      <c r="U2197" s="98">
        <v>4.4270785423240033</v>
      </c>
      <c r="V2197" s="106">
        <v>31794.779251365391</v>
      </c>
      <c r="W2197" s="10">
        <v>1.109951037504775</v>
      </c>
      <c r="X2197" s="420"/>
      <c r="Y2197" s="420"/>
      <c r="Z2197" s="1"/>
      <c r="AA2197" s="1"/>
      <c r="AB2197" s="1"/>
      <c r="AC2197" s="1"/>
      <c r="AD2197" s="1"/>
    </row>
    <row r="2198" spans="17:30">
      <c r="Q2198" s="6">
        <v>2168</v>
      </c>
      <c r="R2198" s="7">
        <v>44835</v>
      </c>
      <c r="S2198" s="210">
        <v>4.5</v>
      </c>
      <c r="T2198" s="8">
        <v>1.0001249999999999</v>
      </c>
      <c r="U2198" s="98">
        <v>4.4271894874758022</v>
      </c>
      <c r="V2198" s="106">
        <v>31797.513722360476</v>
      </c>
      <c r="W2198" s="10">
        <v>1.1100999862964311</v>
      </c>
      <c r="X2198" s="420"/>
      <c r="Y2198" s="420"/>
      <c r="Z2198" s="1"/>
      <c r="AA2198" s="1"/>
      <c r="AB2198" s="1"/>
      <c r="AC2198" s="1"/>
      <c r="AD2198" s="1"/>
    </row>
    <row r="2199" spans="17:30">
      <c r="Q2199" s="6">
        <v>2169</v>
      </c>
      <c r="R2199" s="7">
        <v>44836</v>
      </c>
      <c r="S2199" s="210">
        <v>4.5</v>
      </c>
      <c r="T2199" s="8">
        <v>1.0001249999999999</v>
      </c>
      <c r="U2199" s="98">
        <v>4.4273003304445835</v>
      </c>
      <c r="V2199" s="106">
        <v>31800.248428530384</v>
      </c>
      <c r="W2199" s="10">
        <v>1.110248797963953</v>
      </c>
      <c r="X2199" s="420"/>
      <c r="Y2199" s="420"/>
      <c r="Z2199" s="1"/>
      <c r="AA2199" s="1"/>
      <c r="AB2199" s="1"/>
      <c r="AC2199" s="1"/>
      <c r="AD2199" s="1"/>
    </row>
    <row r="2200" spans="17:30">
      <c r="Q2200" s="6">
        <v>2170</v>
      </c>
      <c r="R2200" s="7">
        <v>44837</v>
      </c>
      <c r="S2200" s="210">
        <v>4.5</v>
      </c>
      <c r="T2200" s="8">
        <v>1.0001249999999999</v>
      </c>
      <c r="U2200" s="98">
        <v>4.4274110713714343</v>
      </c>
      <c r="V2200" s="106">
        <v>31802.983369895344</v>
      </c>
      <c r="W2200" s="10">
        <v>1.1103974726965671</v>
      </c>
      <c r="X2200" s="420"/>
      <c r="Y2200" s="420"/>
      <c r="Z2200" s="1"/>
      <c r="AA2200" s="1"/>
      <c r="AB2200" s="1"/>
      <c r="AC2200" s="1"/>
      <c r="AD2200" s="1"/>
    </row>
    <row r="2201" spans="17:30">
      <c r="Q2201" s="6">
        <v>2171</v>
      </c>
      <c r="R2201" s="7">
        <v>44838</v>
      </c>
      <c r="S2201" s="210">
        <v>4.5</v>
      </c>
      <c r="T2201" s="8">
        <v>1.0001249999999999</v>
      </c>
      <c r="U2201" s="98">
        <v>4.4275217103971976</v>
      </c>
      <c r="V2201" s="106">
        <v>31805.718546475582</v>
      </c>
      <c r="W2201" s="10">
        <v>1.110546010683211</v>
      </c>
      <c r="X2201" s="420"/>
      <c r="Y2201" s="420"/>
      <c r="Z2201" s="1"/>
      <c r="AA2201" s="1"/>
      <c r="AB2201" s="1"/>
      <c r="AC2201" s="1"/>
      <c r="AD2201" s="1"/>
    </row>
    <row r="2202" spans="17:30">
      <c r="Q2202" s="6">
        <v>2172</v>
      </c>
      <c r="R2202" s="7">
        <v>44839</v>
      </c>
      <c r="S2202" s="210">
        <v>4.5</v>
      </c>
      <c r="T2202" s="8">
        <v>1.0001249999999999</v>
      </c>
      <c r="U2202" s="98">
        <v>4.4276322476624719</v>
      </c>
      <c r="V2202" s="106">
        <v>31808.453958291324</v>
      </c>
      <c r="W2202" s="10">
        <v>1.1106944121124673</v>
      </c>
      <c r="X2202" s="420"/>
      <c r="Y2202" s="420"/>
      <c r="Z2202" s="1"/>
      <c r="AA2202" s="1"/>
      <c r="AB2202" s="1"/>
      <c r="AC2202" s="1"/>
      <c r="AD2202" s="1"/>
    </row>
    <row r="2203" spans="17:30">
      <c r="Q2203" s="6">
        <v>2173</v>
      </c>
      <c r="R2203" s="7">
        <v>44840</v>
      </c>
      <c r="S2203" s="210">
        <v>4.5</v>
      </c>
      <c r="T2203" s="8">
        <v>1.0001249999999999</v>
      </c>
      <c r="U2203" s="98">
        <v>4.4277426833075673</v>
      </c>
      <c r="V2203" s="106">
        <v>31811.189605362808</v>
      </c>
      <c r="W2203" s="10">
        <v>1.110842677172541</v>
      </c>
      <c r="X2203" s="420"/>
      <c r="Y2203" s="420"/>
      <c r="Z2203" s="1"/>
      <c r="AA2203" s="1"/>
      <c r="AB2203" s="1"/>
      <c r="AC2203" s="1"/>
      <c r="AD2203" s="1"/>
    </row>
    <row r="2204" spans="17:30">
      <c r="Q2204" s="6">
        <v>2174</v>
      </c>
      <c r="R2204" s="7">
        <v>44841</v>
      </c>
      <c r="S2204" s="210">
        <v>4.5</v>
      </c>
      <c r="T2204" s="8">
        <v>1.0001249999999999</v>
      </c>
      <c r="U2204" s="98">
        <v>4.4278530174725717</v>
      </c>
      <c r="V2204" s="106">
        <v>31813.925487710258</v>
      </c>
      <c r="W2204" s="10">
        <v>1.1109908060513263</v>
      </c>
      <c r="X2204" s="420"/>
      <c r="Y2204" s="420"/>
      <c r="Z2204" s="1"/>
      <c r="AA2204" s="1"/>
      <c r="AB2204" s="1"/>
      <c r="AC2204" s="1"/>
      <c r="AD2204" s="1"/>
    </row>
    <row r="2205" spans="17:30">
      <c r="Q2205" s="6">
        <v>2175</v>
      </c>
      <c r="R2205" s="7">
        <v>44842</v>
      </c>
      <c r="S2205" s="210">
        <v>4.5</v>
      </c>
      <c r="T2205" s="8">
        <v>1.0001249999999999</v>
      </c>
      <c r="U2205" s="98">
        <v>4.4279632502972843</v>
      </c>
      <c r="V2205" s="106">
        <v>31816.661605353918</v>
      </c>
      <c r="W2205" s="10">
        <v>1.1111387989363619</v>
      </c>
      <c r="X2205" s="420"/>
      <c r="Y2205" s="420"/>
      <c r="Z2205" s="1"/>
      <c r="AA2205" s="1"/>
      <c r="AB2205" s="1"/>
      <c r="AC2205" s="1"/>
      <c r="AD2205" s="1"/>
    </row>
    <row r="2206" spans="17:30">
      <c r="Q2206" s="6">
        <v>2176</v>
      </c>
      <c r="R2206" s="7">
        <v>44843</v>
      </c>
      <c r="S2206" s="210">
        <v>4.5</v>
      </c>
      <c r="T2206" s="8">
        <v>1.0001249999999999</v>
      </c>
      <c r="U2206" s="98">
        <v>4.4280733819212603</v>
      </c>
      <c r="V2206" s="106">
        <v>31819.397958314021</v>
      </c>
      <c r="W2206" s="10">
        <v>1.1112866560148538</v>
      </c>
      <c r="X2206" s="420"/>
      <c r="Y2206" s="420"/>
      <c r="Z2206" s="1"/>
      <c r="AA2206" s="1"/>
      <c r="AB2206" s="1"/>
      <c r="AC2206" s="1"/>
      <c r="AD2206" s="1"/>
    </row>
    <row r="2207" spans="17:30">
      <c r="Q2207" s="6">
        <v>2177</v>
      </c>
      <c r="R2207" s="7">
        <v>44844</v>
      </c>
      <c r="S2207" s="210">
        <v>4.5</v>
      </c>
      <c r="T2207" s="8">
        <v>1.0001249999999999</v>
      </c>
      <c r="U2207" s="98">
        <v>4.4281834124837882</v>
      </c>
      <c r="V2207" s="106">
        <v>31822.046265895453</v>
      </c>
      <c r="W2207" s="10">
        <v>1.1114814071452095</v>
      </c>
      <c r="X2207" s="420"/>
      <c r="Y2207" s="420"/>
      <c r="Z2207" s="1"/>
      <c r="AA2207" s="1"/>
      <c r="AB2207" s="1"/>
      <c r="AC2207" s="1"/>
      <c r="AD2207" s="1"/>
    </row>
    <row r="2208" spans="17:30">
      <c r="Q2208" s="6">
        <v>2178</v>
      </c>
      <c r="R2208" s="7">
        <v>44845</v>
      </c>
      <c r="S2208" s="210">
        <v>4.5</v>
      </c>
      <c r="T2208" s="8">
        <v>1.0001249999999999</v>
      </c>
      <c r="U2208" s="98">
        <v>4.4282933421239346</v>
      </c>
      <c r="V2208" s="106">
        <v>31824.694793893788</v>
      </c>
      <c r="W2208" s="10">
        <v>1.1116759798153408</v>
      </c>
      <c r="X2208" s="420"/>
      <c r="Y2208" s="420"/>
      <c r="Z2208" s="1"/>
      <c r="AA2208" s="1"/>
      <c r="AB2208" s="1"/>
      <c r="AC2208" s="1"/>
      <c r="AD2208" s="1"/>
    </row>
    <row r="2209" spans="17:30">
      <c r="Q2209" s="6">
        <v>2179</v>
      </c>
      <c r="R2209" s="7">
        <v>44846</v>
      </c>
      <c r="S2209" s="210">
        <v>4.5</v>
      </c>
      <c r="T2209" s="8">
        <v>1.0001249999999999</v>
      </c>
      <c r="U2209" s="98">
        <v>4.4284031709804772</v>
      </c>
      <c r="V2209" s="106">
        <v>31827.343542327366</v>
      </c>
      <c r="W2209" s="10">
        <v>1.1118703742704295</v>
      </c>
      <c r="X2209" s="420"/>
      <c r="Y2209" s="420"/>
      <c r="Z2209" s="1"/>
      <c r="AA2209" s="1"/>
      <c r="AB2209" s="1"/>
      <c r="AC2209" s="1"/>
      <c r="AD2209" s="1"/>
    </row>
    <row r="2210" spans="17:30">
      <c r="Q2210" s="6">
        <v>2180</v>
      </c>
      <c r="R2210" s="7">
        <v>44847</v>
      </c>
      <c r="S2210" s="210">
        <v>4.5</v>
      </c>
      <c r="T2210" s="8">
        <v>1.0001249999999999</v>
      </c>
      <c r="U2210" s="98">
        <v>4.4285128991919498</v>
      </c>
      <c r="V2210" s="106">
        <v>31829.992511214539</v>
      </c>
      <c r="W2210" s="10">
        <v>1.1120645907551907</v>
      </c>
      <c r="X2210" s="420"/>
      <c r="Y2210" s="420"/>
      <c r="Z2210" s="1"/>
      <c r="AA2210" s="1"/>
      <c r="AB2210" s="1"/>
      <c r="AC2210" s="1"/>
      <c r="AD2210" s="1"/>
    </row>
    <row r="2211" spans="17:30">
      <c r="Q2211" s="6">
        <v>2181</v>
      </c>
      <c r="R2211" s="7">
        <v>44848</v>
      </c>
      <c r="S2211" s="210">
        <v>4.5</v>
      </c>
      <c r="T2211" s="8">
        <v>1.0001249999999999</v>
      </c>
      <c r="U2211" s="98">
        <v>4.4286225268966195</v>
      </c>
      <c r="V2211" s="106">
        <v>31832.641700573648</v>
      </c>
      <c r="W2211" s="10">
        <v>1.1122586295139403</v>
      </c>
      <c r="X2211" s="420"/>
      <c r="Y2211" s="420"/>
      <c r="Z2211" s="1"/>
      <c r="AA2211" s="1"/>
      <c r="AB2211" s="1"/>
      <c r="AC2211" s="1"/>
      <c r="AD2211" s="1"/>
    </row>
    <row r="2212" spans="17:30">
      <c r="Q2212" s="6">
        <v>2182</v>
      </c>
      <c r="R2212" s="7">
        <v>44849</v>
      </c>
      <c r="S2212" s="210">
        <v>4.5</v>
      </c>
      <c r="T2212" s="8">
        <v>1.0001249999999999</v>
      </c>
      <c r="U2212" s="98">
        <v>4.4287320542325315</v>
      </c>
      <c r="V2212" s="106">
        <v>31835.291110423048</v>
      </c>
      <c r="W2212" s="10">
        <v>1.1124524907904831</v>
      </c>
      <c r="X2212" s="420"/>
      <c r="Y2212" s="420"/>
      <c r="Z2212" s="1"/>
      <c r="AA2212" s="1"/>
      <c r="AB2212" s="1"/>
      <c r="AC2212" s="1"/>
      <c r="AD2212" s="1"/>
    </row>
    <row r="2213" spans="17:30">
      <c r="Q2213" s="6">
        <v>2183</v>
      </c>
      <c r="R2213" s="7">
        <v>44850</v>
      </c>
      <c r="S2213" s="210">
        <v>4.5</v>
      </c>
      <c r="T2213" s="8">
        <v>1.0001249999999999</v>
      </c>
      <c r="U2213" s="98">
        <v>4.4288414813374644</v>
      </c>
      <c r="V2213" s="106">
        <v>31837.940740781087</v>
      </c>
      <c r="W2213" s="10">
        <v>1.112646174828269</v>
      </c>
      <c r="X2213" s="420"/>
      <c r="Y2213" s="420"/>
      <c r="Z2213" s="1"/>
      <c r="AA2213" s="1"/>
      <c r="AB2213" s="1"/>
      <c r="AC2213" s="1"/>
      <c r="AD2213" s="1"/>
    </row>
    <row r="2214" spans="17:30">
      <c r="Q2214" s="6">
        <v>2184</v>
      </c>
      <c r="R2214" s="7">
        <v>44851</v>
      </c>
      <c r="S2214" s="210">
        <v>4.5</v>
      </c>
      <c r="T2214" s="8">
        <v>1.0001249999999999</v>
      </c>
      <c r="U2214" s="98">
        <v>4.4289508083489304</v>
      </c>
      <c r="V2214" s="106">
        <v>31840.590591666118</v>
      </c>
      <c r="W2214" s="10">
        <v>1.1128396818701924</v>
      </c>
      <c r="X2214" s="420"/>
      <c r="Y2214" s="420"/>
      <c r="Z2214" s="1"/>
      <c r="AA2214" s="1"/>
      <c r="AB2214" s="1"/>
      <c r="AC2214" s="1"/>
      <c r="AD2214" s="1"/>
    </row>
    <row r="2215" spans="17:30">
      <c r="Q2215" s="6">
        <v>2185</v>
      </c>
      <c r="R2215" s="7">
        <v>44852</v>
      </c>
      <c r="S2215" s="210">
        <v>4.5</v>
      </c>
      <c r="T2215" s="8">
        <v>1.0001249999999999</v>
      </c>
      <c r="U2215" s="98">
        <v>4.4290600354041976</v>
      </c>
      <c r="V2215" s="106">
        <v>31843.240663096498</v>
      </c>
      <c r="W2215" s="10">
        <v>1.1130330121587928</v>
      </c>
      <c r="X2215" s="420"/>
      <c r="Y2215" s="420"/>
      <c r="Z2215" s="1"/>
      <c r="AA2215" s="1"/>
      <c r="AB2215" s="1"/>
      <c r="AC2215" s="1"/>
      <c r="AD2215" s="1"/>
    </row>
    <row r="2216" spans="17:30">
      <c r="Q2216" s="6">
        <v>2186</v>
      </c>
      <c r="R2216" s="7">
        <v>44853</v>
      </c>
      <c r="S2216" s="210">
        <v>4.5</v>
      </c>
      <c r="T2216" s="8">
        <v>1.0001249999999999</v>
      </c>
      <c r="U2216" s="98">
        <v>4.4291691626403118</v>
      </c>
      <c r="V2216" s="106">
        <v>31845.890955090581</v>
      </c>
      <c r="W2216" s="10">
        <v>1.1132261659361431</v>
      </c>
      <c r="X2216" s="420"/>
      <c r="Y2216" s="420"/>
      <c r="Z2216" s="1"/>
      <c r="AA2216" s="1"/>
      <c r="AB2216" s="1"/>
      <c r="AC2216" s="1"/>
      <c r="AD2216" s="1"/>
    </row>
    <row r="2217" spans="17:30">
      <c r="Q2217" s="6">
        <v>2187</v>
      </c>
      <c r="R2217" s="7">
        <v>44854</v>
      </c>
      <c r="S2217" s="210">
        <v>4.5</v>
      </c>
      <c r="T2217" s="8">
        <v>1.0001249999999999</v>
      </c>
      <c r="U2217" s="98">
        <v>4.4292781901940081</v>
      </c>
      <c r="V2217" s="106">
        <v>31848.541467666731</v>
      </c>
      <c r="W2217" s="10">
        <v>1.1134191434438501</v>
      </c>
      <c r="X2217" s="420"/>
      <c r="Y2217" s="420"/>
      <c r="Z2217" s="1"/>
      <c r="AA2217" s="1"/>
      <c r="AB2217" s="1"/>
      <c r="AC2217" s="1"/>
      <c r="AD2217" s="1"/>
    </row>
    <row r="2218" spans="17:30">
      <c r="Q2218" s="6">
        <v>2188</v>
      </c>
      <c r="R2218" s="7">
        <v>44855</v>
      </c>
      <c r="S2218" s="210">
        <v>4.5</v>
      </c>
      <c r="T2218" s="8">
        <v>1.0001249999999999</v>
      </c>
      <c r="U2218" s="98">
        <v>4.4293871182018218</v>
      </c>
      <c r="V2218" s="106">
        <v>31851.192200843292</v>
      </c>
      <c r="W2218" s="10">
        <v>1.1136119449230764</v>
      </c>
      <c r="X2218" s="420"/>
      <c r="Y2218" s="420"/>
      <c r="Z2218" s="1"/>
      <c r="AA2218" s="1"/>
      <c r="AB2218" s="1"/>
      <c r="AC2218" s="1"/>
      <c r="AD2218" s="1"/>
    </row>
    <row r="2219" spans="17:30">
      <c r="Q2219" s="6">
        <v>2189</v>
      </c>
      <c r="R2219" s="7">
        <v>44856</v>
      </c>
      <c r="S2219" s="210">
        <v>4.5</v>
      </c>
      <c r="T2219" s="8">
        <v>1.0001249999999999</v>
      </c>
      <c r="U2219" s="98">
        <v>4.4294959468000217</v>
      </c>
      <c r="V2219" s="106">
        <v>31853.843154638642</v>
      </c>
      <c r="W2219" s="10">
        <v>1.1138045706146071</v>
      </c>
      <c r="X2219" s="420"/>
      <c r="Y2219" s="420"/>
      <c r="Z2219" s="1"/>
      <c r="AA2219" s="1"/>
      <c r="AB2219" s="1"/>
      <c r="AC2219" s="1"/>
      <c r="AD2219" s="1"/>
    </row>
    <row r="2220" spans="17:30">
      <c r="Q2220" s="6">
        <v>2190</v>
      </c>
      <c r="R2220" s="7">
        <v>44857</v>
      </c>
      <c r="S2220" s="210">
        <v>4.5</v>
      </c>
      <c r="T2220" s="8">
        <v>1.0001249999999999</v>
      </c>
      <c r="U2220" s="98">
        <v>4.4296046761246322</v>
      </c>
      <c r="V2220" s="106">
        <v>31856.494329071127</v>
      </c>
      <c r="W2220" s="10">
        <v>1.1139970207586947</v>
      </c>
      <c r="X2220" s="420"/>
      <c r="Y2220" s="420"/>
      <c r="Z2220" s="1"/>
      <c r="AA2220" s="1"/>
      <c r="AB2220" s="1"/>
      <c r="AC2220" s="1"/>
      <c r="AD2220" s="1"/>
    </row>
    <row r="2221" spans="17:30">
      <c r="Q2221" s="6">
        <v>2191</v>
      </c>
      <c r="R2221" s="7">
        <v>44858</v>
      </c>
      <c r="S2221" s="210">
        <v>4.5</v>
      </c>
      <c r="T2221" s="8">
        <v>1.0001249999999999</v>
      </c>
      <c r="U2221" s="98">
        <v>4.4297133063114336</v>
      </c>
      <c r="V2221" s="106">
        <v>31859.145724159123</v>
      </c>
      <c r="W2221" s="10">
        <v>1.1141892955952581</v>
      </c>
      <c r="X2221" s="420"/>
      <c r="Y2221" s="420"/>
      <c r="Z2221" s="1"/>
      <c r="AA2221" s="1"/>
      <c r="AB2221" s="1"/>
      <c r="AC2221" s="1"/>
      <c r="AD2221" s="1"/>
    </row>
    <row r="2222" spans="17:30">
      <c r="Q2222" s="6">
        <v>2192</v>
      </c>
      <c r="R2222" s="7">
        <v>44859</v>
      </c>
      <c r="S2222" s="210">
        <v>4.5</v>
      </c>
      <c r="T2222" s="8">
        <v>1.0001249999999999</v>
      </c>
      <c r="U2222" s="98">
        <v>4.4298218374959397</v>
      </c>
      <c r="V2222" s="106">
        <v>31861.797339920988</v>
      </c>
      <c r="W2222" s="10">
        <v>1.1143813953636839</v>
      </c>
      <c r="X2222" s="420"/>
      <c r="Y2222" s="420"/>
      <c r="Z2222" s="1"/>
      <c r="AA2222" s="1"/>
      <c r="AB2222" s="1"/>
      <c r="AC2222" s="1"/>
      <c r="AD2222" s="1"/>
    </row>
    <row r="2223" spans="17:30">
      <c r="Q2223" s="6">
        <v>2193</v>
      </c>
      <c r="R2223" s="7">
        <v>44860</v>
      </c>
      <c r="S2223" s="210">
        <v>4.5</v>
      </c>
      <c r="T2223" s="8">
        <v>1.0001249999999999</v>
      </c>
      <c r="U2223" s="98">
        <v>4.4299302698134424</v>
      </c>
      <c r="V2223" s="106">
        <v>31864.449176375085</v>
      </c>
      <c r="W2223" s="10">
        <v>1.1145733203029806</v>
      </c>
      <c r="X2223" s="420"/>
      <c r="Y2223" s="420"/>
      <c r="Z2223" s="1"/>
      <c r="AA2223" s="1"/>
      <c r="AB2223" s="1"/>
      <c r="AC2223" s="1"/>
      <c r="AD2223" s="1"/>
    </row>
    <row r="2224" spans="17:30">
      <c r="Q2224" s="6">
        <v>2194</v>
      </c>
      <c r="R2224" s="7">
        <v>44861</v>
      </c>
      <c r="S2224" s="210">
        <v>4.5</v>
      </c>
      <c r="T2224" s="8">
        <v>1.0001249999999999</v>
      </c>
      <c r="U2224" s="98">
        <v>4.4300386033989669</v>
      </c>
      <c r="V2224" s="106">
        <v>31867.101233539797</v>
      </c>
      <c r="W2224" s="10">
        <v>1.1147650706517132</v>
      </c>
      <c r="X2224" s="420"/>
      <c r="Y2224" s="420"/>
      <c r="Z2224" s="1"/>
      <c r="AA2224" s="1"/>
      <c r="AB2224" s="1"/>
      <c r="AC2224" s="1"/>
      <c r="AD2224" s="1"/>
    </row>
    <row r="2225" spans="17:30">
      <c r="Q2225" s="6">
        <v>2195</v>
      </c>
      <c r="R2225" s="7">
        <v>44862</v>
      </c>
      <c r="S2225" s="210">
        <v>4.5</v>
      </c>
      <c r="T2225" s="8">
        <v>1.0001249999999999</v>
      </c>
      <c r="U2225" s="98">
        <v>4.4301468383872944</v>
      </c>
      <c r="V2225" s="106">
        <v>31869.753511433479</v>
      </c>
      <c r="W2225" s="10">
        <v>1.1149566466479799</v>
      </c>
      <c r="X2225" s="420"/>
      <c r="Y2225" s="420"/>
      <c r="Z2225" s="1"/>
      <c r="AA2225" s="1"/>
      <c r="AB2225" s="1"/>
      <c r="AC2225" s="1"/>
      <c r="AD2225" s="1"/>
    </row>
    <row r="2226" spans="17:30">
      <c r="Q2226" s="6">
        <v>2196</v>
      </c>
      <c r="R2226" s="7">
        <v>44863</v>
      </c>
      <c r="S2226" s="210">
        <v>4.5</v>
      </c>
      <c r="T2226" s="8">
        <v>1.0001249999999999</v>
      </c>
      <c r="U2226" s="98">
        <v>4.4302549749129838</v>
      </c>
      <c r="V2226" s="106">
        <v>31872.406010074508</v>
      </c>
      <c r="W2226" s="10">
        <v>1.1151480485295018</v>
      </c>
      <c r="X2226" s="420"/>
      <c r="Y2226" s="420"/>
      <c r="Z2226" s="1"/>
      <c r="AA2226" s="1"/>
      <c r="AB2226" s="1"/>
      <c r="AC2226" s="1"/>
      <c r="AD2226" s="1"/>
    </row>
    <row r="2227" spans="17:30">
      <c r="Q2227" s="6">
        <v>2197</v>
      </c>
      <c r="R2227" s="7">
        <v>44864</v>
      </c>
      <c r="S2227" s="210">
        <v>4.5</v>
      </c>
      <c r="T2227" s="8">
        <v>1.0001249999999999</v>
      </c>
      <c r="U2227" s="98">
        <v>4.4303630131103278</v>
      </c>
      <c r="V2227" s="106">
        <v>31875.05872948125</v>
      </c>
      <c r="W2227" s="10">
        <v>1.1153392765335335</v>
      </c>
      <c r="X2227" s="420"/>
      <c r="Y2227" s="420"/>
      <c r="Z2227" s="1"/>
      <c r="AA2227" s="1"/>
      <c r="AB2227" s="1"/>
      <c r="AC2227" s="1"/>
      <c r="AD2227" s="1"/>
    </row>
    <row r="2228" spans="17:30">
      <c r="Q2228" s="6">
        <v>2198</v>
      </c>
      <c r="R2228" s="7">
        <v>44865</v>
      </c>
      <c r="S2228" s="210">
        <v>4.5</v>
      </c>
      <c r="T2228" s="8">
        <v>1.0001249999999999</v>
      </c>
      <c r="U2228" s="98">
        <v>4.4304709531133746</v>
      </c>
      <c r="V2228" s="106">
        <v>31877.711669672095</v>
      </c>
      <c r="W2228" s="10">
        <v>1.1155303308968856</v>
      </c>
      <c r="X2228" s="420"/>
      <c r="Y2228" s="420"/>
      <c r="Z2228" s="1"/>
      <c r="AA2228" s="1"/>
      <c r="AB2228" s="1"/>
      <c r="AC2228" s="1"/>
      <c r="AD2228" s="1"/>
    </row>
    <row r="2229" spans="17:30">
      <c r="Q2229" s="6">
        <v>2199</v>
      </c>
      <c r="R2229" s="7">
        <v>44866</v>
      </c>
      <c r="S2229" s="210">
        <v>4.5</v>
      </c>
      <c r="T2229" s="8">
        <v>1.0001249999999999</v>
      </c>
      <c r="U2229" s="98">
        <v>4.4305787950559505</v>
      </c>
      <c r="V2229" s="106">
        <v>31880.364830665399</v>
      </c>
      <c r="W2229" s="10">
        <v>1.1157212118559912</v>
      </c>
      <c r="X2229" s="420"/>
      <c r="Y2229" s="420"/>
      <c r="Z2229" s="1"/>
      <c r="AA2229" s="1"/>
      <c r="AB2229" s="1"/>
      <c r="AC2229" s="1"/>
      <c r="AD2229" s="1"/>
    </row>
    <row r="2230" spans="17:30">
      <c r="Q2230" s="6">
        <v>2200</v>
      </c>
      <c r="R2230" s="7">
        <v>44867</v>
      </c>
      <c r="S2230" s="210">
        <v>4.5</v>
      </c>
      <c r="T2230" s="8">
        <v>1.0001249999999999</v>
      </c>
      <c r="U2230" s="98">
        <v>4.4306865390715933</v>
      </c>
      <c r="V2230" s="106">
        <v>31883.018212479557</v>
      </c>
      <c r="W2230" s="10">
        <v>1.1159119196467726</v>
      </c>
      <c r="X2230" s="420"/>
      <c r="Y2230" s="420"/>
      <c r="Z2230" s="1"/>
      <c r="AA2230" s="1"/>
      <c r="AB2230" s="1"/>
      <c r="AC2230" s="1"/>
      <c r="AD2230" s="1"/>
    </row>
    <row r="2231" spans="17:30">
      <c r="Q2231" s="6">
        <v>2201</v>
      </c>
      <c r="R2231" s="7">
        <v>44868</v>
      </c>
      <c r="S2231" s="210">
        <v>4.5</v>
      </c>
      <c r="T2231" s="8">
        <v>1.0001249999999999</v>
      </c>
      <c r="U2231" s="98">
        <v>4.4307941852936406</v>
      </c>
      <c r="V2231" s="106">
        <v>31885.671815132933</v>
      </c>
      <c r="W2231" s="10">
        <v>1.1161024545047971</v>
      </c>
      <c r="X2231" s="420"/>
      <c r="Y2231" s="420"/>
      <c r="Z2231" s="1"/>
      <c r="AA2231" s="1"/>
      <c r="AB2231" s="1"/>
      <c r="AC2231" s="1"/>
      <c r="AD2231" s="1"/>
    </row>
    <row r="2232" spans="17:30">
      <c r="Q2232" s="6">
        <v>2202</v>
      </c>
      <c r="R2232" s="7">
        <v>44869</v>
      </c>
      <c r="S2232" s="210">
        <v>4.5</v>
      </c>
      <c r="T2232" s="8">
        <v>1.0001249999999999</v>
      </c>
      <c r="U2232" s="98">
        <v>4.4309017338551859</v>
      </c>
      <c r="V2232" s="106">
        <v>31888.325638643917</v>
      </c>
      <c r="W2232" s="10">
        <v>1.1162928166651653</v>
      </c>
      <c r="X2232" s="420"/>
      <c r="Y2232" s="420"/>
      <c r="Z2232" s="1"/>
      <c r="AA2232" s="1"/>
      <c r="AB2232" s="1"/>
      <c r="AC2232" s="1"/>
      <c r="AD2232" s="1"/>
    </row>
    <row r="2233" spans="17:30">
      <c r="Q2233" s="6">
        <v>2203</v>
      </c>
      <c r="R2233" s="7">
        <v>44870</v>
      </c>
      <c r="S2233" s="210">
        <v>4.5</v>
      </c>
      <c r="T2233" s="8">
        <v>1.0001249999999999</v>
      </c>
      <c r="U2233" s="98">
        <v>4.4310091848890787</v>
      </c>
      <c r="V2233" s="106">
        <v>31890.979683030891</v>
      </c>
      <c r="W2233" s="10">
        <v>1.116483006362623</v>
      </c>
      <c r="X2233" s="420"/>
      <c r="Y2233" s="420"/>
      <c r="Z2233" s="1"/>
      <c r="AA2233" s="1"/>
      <c r="AB2233" s="1"/>
      <c r="AC2233" s="1"/>
      <c r="AD2233" s="1"/>
    </row>
    <row r="2234" spans="17:30">
      <c r="Q2234" s="6">
        <v>2204</v>
      </c>
      <c r="R2234" s="7">
        <v>44871</v>
      </c>
      <c r="S2234" s="210">
        <v>4.5</v>
      </c>
      <c r="T2234" s="8">
        <v>1.0001249999999999</v>
      </c>
      <c r="U2234" s="98">
        <v>4.4311165385279017</v>
      </c>
      <c r="V2234" s="106">
        <v>31893.633948312236</v>
      </c>
      <c r="W2234" s="10">
        <v>1.1166730238313605</v>
      </c>
      <c r="X2234" s="420"/>
      <c r="Y2234" s="420"/>
      <c r="Z2234" s="1"/>
      <c r="AA2234" s="1"/>
      <c r="AB2234" s="1"/>
      <c r="AC2234" s="1"/>
      <c r="AD2234" s="1"/>
    </row>
    <row r="2235" spans="17:30">
      <c r="Q2235" s="6">
        <v>2205</v>
      </c>
      <c r="R2235" s="7">
        <v>44872</v>
      </c>
      <c r="S2235" s="210">
        <v>4.5</v>
      </c>
      <c r="T2235" s="8">
        <v>1.0001249999999999</v>
      </c>
      <c r="U2235" s="98">
        <v>4.4312237949040156</v>
      </c>
      <c r="V2235" s="106">
        <v>31896.288434506328</v>
      </c>
      <c r="W2235" s="10">
        <v>1.1168628693052574</v>
      </c>
      <c r="X2235" s="420"/>
      <c r="Y2235" s="420"/>
      <c r="Z2235" s="1"/>
      <c r="AA2235" s="1"/>
      <c r="AB2235" s="1"/>
      <c r="AC2235" s="1"/>
      <c r="AD2235" s="1"/>
    </row>
    <row r="2236" spans="17:30">
      <c r="Q2236" s="6">
        <v>2206</v>
      </c>
      <c r="R2236" s="7">
        <v>44873</v>
      </c>
      <c r="S2236" s="210">
        <v>4.5</v>
      </c>
      <c r="T2236" s="8">
        <v>1.0001249999999999</v>
      </c>
      <c r="U2236" s="98">
        <v>4.4313309541495371</v>
      </c>
      <c r="V2236" s="106">
        <v>31898.943141631567</v>
      </c>
      <c r="W2236" s="10">
        <v>1.1170525430177047</v>
      </c>
      <c r="X2236" s="420"/>
      <c r="Y2236" s="420"/>
      <c r="Z2236" s="1"/>
      <c r="AA2236" s="1"/>
      <c r="AB2236" s="1"/>
      <c r="AC2236" s="1"/>
      <c r="AD2236" s="1"/>
    </row>
    <row r="2237" spans="17:30">
      <c r="Q2237" s="6">
        <v>2207</v>
      </c>
      <c r="R2237" s="7">
        <v>44874</v>
      </c>
      <c r="S2237" s="210">
        <v>4.5</v>
      </c>
      <c r="T2237" s="8">
        <v>1.0001249999999999</v>
      </c>
      <c r="U2237" s="98">
        <v>4.4314380163963607</v>
      </c>
      <c r="V2237" s="106">
        <v>31901.598069706335</v>
      </c>
      <c r="W2237" s="10">
        <v>1.1172420452017384</v>
      </c>
      <c r="X2237" s="420"/>
      <c r="Y2237" s="420"/>
      <c r="Z2237" s="1"/>
      <c r="AA2237" s="1"/>
      <c r="AB2237" s="1"/>
      <c r="AC2237" s="1"/>
      <c r="AD2237" s="1"/>
    </row>
    <row r="2238" spans="17:30">
      <c r="Q2238" s="6">
        <v>2208</v>
      </c>
      <c r="R2238" s="7">
        <v>44875</v>
      </c>
      <c r="S2238" s="210">
        <v>4.5</v>
      </c>
      <c r="T2238" s="8">
        <v>1.0001249999999999</v>
      </c>
      <c r="U2238" s="98">
        <v>4.4315449817761143</v>
      </c>
      <c r="V2238" s="106">
        <v>31904.341727522886</v>
      </c>
      <c r="W2238" s="10">
        <v>1.1173850039792654</v>
      </c>
      <c r="X2238" s="420"/>
      <c r="Y2238" s="420"/>
      <c r="Z2238" s="1"/>
      <c r="AA2238" s="1"/>
      <c r="AB2238" s="1"/>
      <c r="AC2238" s="1"/>
      <c r="AD2238" s="1"/>
    </row>
    <row r="2239" spans="17:30">
      <c r="Q2239" s="6">
        <v>2209</v>
      </c>
      <c r="R2239" s="7">
        <v>44876</v>
      </c>
      <c r="S2239" s="210">
        <v>4.5</v>
      </c>
      <c r="T2239" s="8">
        <v>1.0001249999999999</v>
      </c>
      <c r="U2239" s="98">
        <v>4.431651850420204</v>
      </c>
      <c r="V2239" s="106">
        <v>31907.085621304359</v>
      </c>
      <c r="W2239" s="10">
        <v>1.1175278335256111</v>
      </c>
      <c r="X2239" s="420"/>
      <c r="Y2239" s="420"/>
      <c r="Z2239" s="1"/>
      <c r="AA2239" s="1"/>
      <c r="AB2239" s="1"/>
      <c r="AC2239" s="1"/>
      <c r="AD2239" s="1"/>
    </row>
    <row r="2240" spans="17:30">
      <c r="Q2240" s="6">
        <v>2210</v>
      </c>
      <c r="R2240" s="7">
        <v>44877</v>
      </c>
      <c r="S2240" s="210">
        <v>4.5</v>
      </c>
      <c r="T2240" s="8">
        <v>1.0001249999999999</v>
      </c>
      <c r="U2240" s="98">
        <v>4.4317586224598138</v>
      </c>
      <c r="V2240" s="106">
        <v>31909.829751071054</v>
      </c>
      <c r="W2240" s="10">
        <v>1.1176705340159243</v>
      </c>
      <c r="X2240" s="420"/>
      <c r="Y2240" s="420"/>
      <c r="Z2240" s="1"/>
      <c r="AA2240" s="1"/>
      <c r="AB2240" s="1"/>
      <c r="AC2240" s="1"/>
      <c r="AD2240" s="1"/>
    </row>
    <row r="2241" spans="17:30">
      <c r="Q2241" s="6">
        <v>2211</v>
      </c>
      <c r="R2241" s="7">
        <v>44878</v>
      </c>
      <c r="S2241" s="210">
        <v>4.5</v>
      </c>
      <c r="T2241" s="8">
        <v>1.0001249999999999</v>
      </c>
      <c r="U2241" s="98">
        <v>4.431865298025861</v>
      </c>
      <c r="V2241" s="106">
        <v>31912.574116843261</v>
      </c>
      <c r="W2241" s="10">
        <v>1.1178131056250429</v>
      </c>
      <c r="X2241" s="420"/>
      <c r="Y2241" s="420"/>
      <c r="Z2241" s="1"/>
      <c r="AA2241" s="1"/>
      <c r="AB2241" s="1"/>
      <c r="AC2241" s="1"/>
      <c r="AD2241" s="1"/>
    </row>
    <row r="2242" spans="17:30">
      <c r="Q2242" s="6">
        <v>2212</v>
      </c>
      <c r="R2242" s="7">
        <v>44879</v>
      </c>
      <c r="S2242" s="210">
        <v>4.5</v>
      </c>
      <c r="T2242" s="8">
        <v>1.0001249999999999</v>
      </c>
      <c r="U2242" s="98">
        <v>4.4319718772490413</v>
      </c>
      <c r="V2242" s="106">
        <v>31915.318718641283</v>
      </c>
      <c r="W2242" s="10">
        <v>1.1179555485274717</v>
      </c>
      <c r="X2242" s="420"/>
      <c r="Y2242" s="420"/>
      <c r="Z2242" s="1"/>
      <c r="AA2242" s="1"/>
      <c r="AB2242" s="1"/>
      <c r="AC2242" s="1"/>
      <c r="AD2242" s="1"/>
    </row>
    <row r="2243" spans="17:30">
      <c r="Q2243" s="6">
        <v>2213</v>
      </c>
      <c r="R2243" s="7">
        <v>44880</v>
      </c>
      <c r="S2243" s="210">
        <v>4.5</v>
      </c>
      <c r="T2243" s="8">
        <v>1.0001249999999999</v>
      </c>
      <c r="U2243" s="98">
        <v>4.4320783602598057</v>
      </c>
      <c r="V2243" s="106">
        <v>31918.063556485413</v>
      </c>
      <c r="W2243" s="10">
        <v>1.1180978628974492</v>
      </c>
      <c r="X2243" s="420"/>
      <c r="Y2243" s="420"/>
      <c r="Z2243" s="1"/>
      <c r="AA2243" s="1"/>
      <c r="AB2243" s="1"/>
      <c r="AC2243" s="1"/>
      <c r="AD2243" s="1"/>
    </row>
    <row r="2244" spans="17:30">
      <c r="Q2244" s="6">
        <v>2214</v>
      </c>
      <c r="R2244" s="7">
        <v>44881</v>
      </c>
      <c r="S2244" s="210">
        <v>4.5</v>
      </c>
      <c r="T2244" s="8">
        <v>1.0001249999999999</v>
      </c>
      <c r="U2244" s="98">
        <v>4.4321847471883835</v>
      </c>
      <c r="V2244" s="106">
        <v>31920.808630395964</v>
      </c>
      <c r="W2244" s="10">
        <v>1.1182400489088362</v>
      </c>
      <c r="X2244" s="420"/>
      <c r="Y2244" s="420"/>
      <c r="Z2244" s="1"/>
      <c r="AA2244" s="1"/>
      <c r="AB2244" s="1"/>
      <c r="AC2244" s="1"/>
      <c r="AD2244" s="1"/>
    </row>
    <row r="2245" spans="17:30">
      <c r="Q2245" s="6">
        <v>2215</v>
      </c>
      <c r="R2245" s="7">
        <v>44882</v>
      </c>
      <c r="S2245" s="210">
        <v>4.5</v>
      </c>
      <c r="T2245" s="8">
        <v>1.0001249999999999</v>
      </c>
      <c r="U2245" s="98">
        <v>4.4322910381647596</v>
      </c>
      <c r="V2245" s="106">
        <v>31923.553940393223</v>
      </c>
      <c r="W2245" s="10">
        <v>1.1183821067352273</v>
      </c>
      <c r="X2245" s="420"/>
      <c r="Y2245" s="420"/>
      <c r="Z2245" s="1"/>
      <c r="AA2245" s="1"/>
      <c r="AB2245" s="1"/>
      <c r="AC2245" s="1"/>
      <c r="AD2245" s="1"/>
    </row>
    <row r="2246" spans="17:30">
      <c r="Q2246" s="6">
        <v>2216</v>
      </c>
      <c r="R2246" s="7">
        <v>44883</v>
      </c>
      <c r="S2246" s="210">
        <v>4.5</v>
      </c>
      <c r="T2246" s="8">
        <v>1.0001249999999999</v>
      </c>
      <c r="U2246" s="98">
        <v>4.4323972333186967</v>
      </c>
      <c r="V2246" s="106">
        <v>31926.299486497504</v>
      </c>
      <c r="W2246" s="10">
        <v>1.1185240365498839</v>
      </c>
      <c r="X2246" s="420"/>
      <c r="Y2246" s="420"/>
      <c r="Z2246" s="1"/>
      <c r="AA2246" s="1"/>
      <c r="AB2246" s="1"/>
      <c r="AC2246" s="1"/>
      <c r="AD2246" s="1"/>
    </row>
    <row r="2247" spans="17:30">
      <c r="Q2247" s="6">
        <v>2217</v>
      </c>
      <c r="R2247" s="7">
        <v>44884</v>
      </c>
      <c r="S2247" s="210">
        <v>4.5</v>
      </c>
      <c r="T2247" s="8">
        <v>1.0001249999999999</v>
      </c>
      <c r="U2247" s="98">
        <v>4.4325033327796914</v>
      </c>
      <c r="V2247" s="106">
        <v>31929.045268729107</v>
      </c>
      <c r="W2247" s="10">
        <v>1.1186658385257564</v>
      </c>
      <c r="X2247" s="420"/>
      <c r="Y2247" s="420"/>
      <c r="Z2247" s="1"/>
      <c r="AA2247" s="1"/>
      <c r="AB2247" s="1"/>
      <c r="AC2247" s="1"/>
      <c r="AD2247" s="1"/>
    </row>
    <row r="2248" spans="17:30">
      <c r="Q2248" s="6">
        <v>2218</v>
      </c>
      <c r="R2248" s="7">
        <v>44885</v>
      </c>
      <c r="S2248" s="210">
        <v>4.5</v>
      </c>
      <c r="T2248" s="8">
        <v>1.0001249999999999</v>
      </c>
      <c r="U2248" s="98">
        <v>4.4326093366770403</v>
      </c>
      <c r="V2248" s="106">
        <v>31931.791287108343</v>
      </c>
      <c r="W2248" s="10">
        <v>1.1188075128355068</v>
      </c>
      <c r="X2248" s="420"/>
      <c r="Y2248" s="420"/>
      <c r="Z2248" s="1"/>
      <c r="AA2248" s="1"/>
      <c r="AB2248" s="1"/>
      <c r="AC2248" s="1"/>
      <c r="AD2248" s="1"/>
    </row>
    <row r="2249" spans="17:30">
      <c r="Q2249" s="6">
        <v>2219</v>
      </c>
      <c r="R2249" s="7">
        <v>44886</v>
      </c>
      <c r="S2249" s="210">
        <v>4.5</v>
      </c>
      <c r="T2249" s="8">
        <v>1.0001249999999999</v>
      </c>
      <c r="U2249" s="98">
        <v>4.4327152451398177</v>
      </c>
      <c r="V2249" s="106">
        <v>31934.537541655529</v>
      </c>
      <c r="W2249" s="10">
        <v>1.1189490596514418</v>
      </c>
      <c r="X2249" s="420"/>
      <c r="Y2249" s="420"/>
      <c r="Z2249" s="1"/>
      <c r="AA2249" s="1"/>
      <c r="AB2249" s="1"/>
      <c r="AC2249" s="1"/>
      <c r="AD2249" s="1"/>
    </row>
    <row r="2250" spans="17:30">
      <c r="Q2250" s="6">
        <v>2220</v>
      </c>
      <c r="R2250" s="7">
        <v>44887</v>
      </c>
      <c r="S2250" s="210">
        <v>4.5</v>
      </c>
      <c r="T2250" s="8">
        <v>1.0001249999999999</v>
      </c>
      <c r="U2250" s="98">
        <v>4.4328210582968097</v>
      </c>
      <c r="V2250" s="106">
        <v>31937.284032390962</v>
      </c>
      <c r="W2250" s="10">
        <v>1.1190904791456013</v>
      </c>
      <c r="X2250" s="420"/>
      <c r="Y2250" s="420"/>
      <c r="Z2250" s="1"/>
      <c r="AA2250" s="1"/>
      <c r="AB2250" s="1"/>
      <c r="AC2250" s="1"/>
      <c r="AD2250" s="1"/>
    </row>
    <row r="2251" spans="17:30">
      <c r="Q2251" s="6">
        <v>2221</v>
      </c>
      <c r="R2251" s="7">
        <v>44888</v>
      </c>
      <c r="S2251" s="210">
        <v>4.5</v>
      </c>
      <c r="T2251" s="8">
        <v>1.0001249999999999</v>
      </c>
      <c r="U2251" s="98">
        <v>4.4329267762766245</v>
      </c>
      <c r="V2251" s="106">
        <v>31940.030759334968</v>
      </c>
      <c r="W2251" s="10">
        <v>1.1192317714896927</v>
      </c>
      <c r="X2251" s="420"/>
      <c r="Y2251" s="420"/>
      <c r="Z2251" s="1"/>
      <c r="AA2251" s="1"/>
      <c r="AB2251" s="1"/>
      <c r="AC2251" s="1"/>
      <c r="AD2251" s="1"/>
    </row>
    <row r="2252" spans="17:30">
      <c r="Q2252" s="6">
        <v>2222</v>
      </c>
      <c r="R2252" s="7">
        <v>44889</v>
      </c>
      <c r="S2252" s="210">
        <v>4.5</v>
      </c>
      <c r="T2252" s="8">
        <v>1.0001249999999999</v>
      </c>
      <c r="U2252" s="98">
        <v>4.4330323992076259</v>
      </c>
      <c r="V2252" s="106">
        <v>31942.77772250785</v>
      </c>
      <c r="W2252" s="10">
        <v>1.119372936855112</v>
      </c>
      <c r="X2252" s="420"/>
      <c r="Y2252" s="420"/>
      <c r="Z2252" s="1"/>
      <c r="AA2252" s="1"/>
      <c r="AB2252" s="1"/>
      <c r="AC2252" s="1"/>
      <c r="AD2252" s="1"/>
    </row>
    <row r="2253" spans="17:30">
      <c r="Q2253" s="6">
        <v>2223</v>
      </c>
      <c r="R2253" s="7">
        <v>44890</v>
      </c>
      <c r="S2253" s="210">
        <v>4.5</v>
      </c>
      <c r="T2253" s="8">
        <v>1.0001249999999999</v>
      </c>
      <c r="U2253" s="98">
        <v>4.4331379272179339</v>
      </c>
      <c r="V2253" s="106">
        <v>31945.524921929933</v>
      </c>
      <c r="W2253" s="10">
        <v>1.1195139754129668</v>
      </c>
      <c r="X2253" s="420"/>
      <c r="Y2253" s="420"/>
      <c r="Z2253" s="1"/>
      <c r="AA2253" s="1"/>
      <c r="AB2253" s="1"/>
      <c r="AC2253" s="1"/>
      <c r="AD2253" s="1"/>
    </row>
    <row r="2254" spans="17:30">
      <c r="Q2254" s="6">
        <v>2224</v>
      </c>
      <c r="R2254" s="7">
        <v>44891</v>
      </c>
      <c r="S2254" s="210">
        <v>4.5</v>
      </c>
      <c r="T2254" s="8">
        <v>1.0001249999999999</v>
      </c>
      <c r="U2254" s="98">
        <v>4.4332433604354238</v>
      </c>
      <c r="V2254" s="106">
        <v>31948.272357621539</v>
      </c>
      <c r="W2254" s="10">
        <v>1.1196548873340095</v>
      </c>
      <c r="X2254" s="420"/>
      <c r="Y2254" s="420"/>
      <c r="Z2254" s="1"/>
      <c r="AA2254" s="1"/>
      <c r="AB2254" s="1"/>
      <c r="AC2254" s="1"/>
      <c r="AD2254" s="1"/>
    </row>
    <row r="2255" spans="17:30">
      <c r="Q2255" s="6">
        <v>2225</v>
      </c>
      <c r="R2255" s="7">
        <v>44892</v>
      </c>
      <c r="S2255" s="210">
        <v>4.5</v>
      </c>
      <c r="T2255" s="8">
        <v>1.0001249999999999</v>
      </c>
      <c r="U2255" s="98">
        <v>4.4333486989877935</v>
      </c>
      <c r="V2255" s="106">
        <v>31951.020029602972</v>
      </c>
      <c r="W2255" s="10">
        <v>1.1197956727887703</v>
      </c>
      <c r="X2255" s="420"/>
      <c r="Y2255" s="420"/>
      <c r="Z2255" s="1"/>
      <c r="AA2255" s="1"/>
      <c r="AB2255" s="1"/>
      <c r="AC2255" s="1"/>
      <c r="AD2255" s="1"/>
    </row>
    <row r="2256" spans="17:30">
      <c r="Q2256" s="6">
        <v>2226</v>
      </c>
      <c r="R2256" s="7">
        <v>44893</v>
      </c>
      <c r="S2256" s="210">
        <v>4.5</v>
      </c>
      <c r="T2256" s="8">
        <v>1.0001249999999999</v>
      </c>
      <c r="U2256" s="98">
        <v>4.4334539430024744</v>
      </c>
      <c r="V2256" s="106">
        <v>31953.767937894569</v>
      </c>
      <c r="W2256" s="10">
        <v>1.1199363319474243</v>
      </c>
      <c r="X2256" s="420"/>
      <c r="Y2256" s="420"/>
      <c r="Z2256" s="1"/>
      <c r="AA2256" s="1"/>
      <c r="AB2256" s="1"/>
      <c r="AC2256" s="1"/>
      <c r="AD2256" s="1"/>
    </row>
    <row r="2257" spans="17:30">
      <c r="Q2257" s="6">
        <v>2227</v>
      </c>
      <c r="R2257" s="7">
        <v>44894</v>
      </c>
      <c r="S2257" s="210">
        <v>4.5</v>
      </c>
      <c r="T2257" s="8">
        <v>1.0001249999999999</v>
      </c>
      <c r="U2257" s="98">
        <v>4.4335590926066537</v>
      </c>
      <c r="V2257" s="106">
        <v>31956.516082516646</v>
      </c>
      <c r="W2257" s="10">
        <v>1.120076864979791</v>
      </c>
      <c r="X2257" s="420"/>
      <c r="Y2257" s="420"/>
      <c r="Z2257" s="1"/>
      <c r="AA2257" s="1"/>
      <c r="AB2257" s="1"/>
      <c r="AC2257" s="1"/>
      <c r="AD2257" s="1"/>
    </row>
    <row r="2258" spans="17:30">
      <c r="Q2258" s="6">
        <v>2228</v>
      </c>
      <c r="R2258" s="7">
        <v>44895</v>
      </c>
      <c r="S2258" s="210">
        <v>4.5</v>
      </c>
      <c r="T2258" s="8">
        <v>1.0001249999999999</v>
      </c>
      <c r="U2258" s="98">
        <v>4.4336641479273409</v>
      </c>
      <c r="V2258" s="106">
        <v>31959.264463489537</v>
      </c>
      <c r="W2258" s="10">
        <v>1.1202172720554682</v>
      </c>
      <c r="X2258" s="420"/>
      <c r="Y2258" s="420"/>
      <c r="Z2258" s="1"/>
      <c r="AA2258" s="1"/>
      <c r="AB2258" s="1"/>
      <c r="AC2258" s="1"/>
      <c r="AD2258" s="1"/>
    </row>
    <row r="2259" spans="17:30">
      <c r="Q2259" s="6">
        <v>2229</v>
      </c>
      <c r="R2259" s="7">
        <v>44896</v>
      </c>
      <c r="S2259" s="210">
        <v>4.5</v>
      </c>
      <c r="T2259" s="8">
        <v>1.0001249999999999</v>
      </c>
      <c r="U2259" s="98">
        <v>4.433769109091279</v>
      </c>
      <c r="V2259" s="106">
        <v>31962.01308083356</v>
      </c>
      <c r="W2259" s="10">
        <v>1.1203575533437427</v>
      </c>
      <c r="X2259" s="420"/>
      <c r="Y2259" s="420"/>
      <c r="Z2259" s="1"/>
      <c r="AA2259" s="1"/>
      <c r="AB2259" s="1"/>
      <c r="AC2259" s="1"/>
      <c r="AD2259" s="1"/>
    </row>
    <row r="2260" spans="17:30">
      <c r="Q2260" s="6">
        <v>2230</v>
      </c>
      <c r="R2260" s="7">
        <v>44897</v>
      </c>
      <c r="S2260" s="210">
        <v>4.5</v>
      </c>
      <c r="T2260" s="8">
        <v>1.0001249999999999</v>
      </c>
      <c r="U2260" s="98">
        <v>4.433873976224989</v>
      </c>
      <c r="V2260" s="106">
        <v>31964.761934569044</v>
      </c>
      <c r="W2260" s="10">
        <v>1.1204977090135237</v>
      </c>
      <c r="X2260" s="420"/>
      <c r="Y2260" s="420"/>
      <c r="Z2260" s="1"/>
      <c r="AA2260" s="1"/>
      <c r="AB2260" s="1"/>
      <c r="AC2260" s="1"/>
      <c r="AD2260" s="1"/>
    </row>
    <row r="2261" spans="17:30">
      <c r="Q2261" s="6">
        <v>2231</v>
      </c>
      <c r="R2261" s="7">
        <v>44898</v>
      </c>
      <c r="S2261" s="210">
        <v>4.5</v>
      </c>
      <c r="T2261" s="8">
        <v>1.0001249999999999</v>
      </c>
      <c r="U2261" s="98">
        <v>4.43397874945477</v>
      </c>
      <c r="V2261" s="106">
        <v>31967.511024716325</v>
      </c>
      <c r="W2261" s="10">
        <v>1.1206377392334987</v>
      </c>
      <c r="X2261" s="420"/>
      <c r="Y2261" s="420"/>
      <c r="Z2261" s="1"/>
      <c r="AA2261" s="1"/>
      <c r="AB2261" s="1"/>
      <c r="AC2261" s="1"/>
      <c r="AD2261" s="1"/>
    </row>
    <row r="2262" spans="17:30">
      <c r="Q2262" s="6">
        <v>2232</v>
      </c>
      <c r="R2262" s="7">
        <v>44899</v>
      </c>
      <c r="S2262" s="210">
        <v>4.5</v>
      </c>
      <c r="T2262" s="8">
        <v>1.0001249999999999</v>
      </c>
      <c r="U2262" s="98">
        <v>4.4340834289066988</v>
      </c>
      <c r="V2262" s="106">
        <v>31970.260351295732</v>
      </c>
      <c r="W2262" s="10">
        <v>1.1207776441720219</v>
      </c>
      <c r="X2262" s="420"/>
      <c r="Y2262" s="420"/>
      <c r="Z2262" s="1"/>
      <c r="AA2262" s="1"/>
      <c r="AB2262" s="1"/>
      <c r="AC2262" s="1"/>
      <c r="AD2262" s="1"/>
    </row>
    <row r="2263" spans="17:30">
      <c r="Q2263" s="6">
        <v>2233</v>
      </c>
      <c r="R2263" s="7">
        <v>44900</v>
      </c>
      <c r="S2263" s="210">
        <v>4.5</v>
      </c>
      <c r="T2263" s="8">
        <v>1.0001249999999999</v>
      </c>
      <c r="U2263" s="98">
        <v>4.4341880147066304</v>
      </c>
      <c r="V2263" s="106">
        <v>31973.009914327595</v>
      </c>
      <c r="W2263" s="10">
        <v>1.1209174239971365</v>
      </c>
      <c r="X2263" s="420"/>
      <c r="Y2263" s="420"/>
      <c r="Z2263" s="1"/>
      <c r="AA2263" s="1"/>
      <c r="AB2263" s="1"/>
      <c r="AC2263" s="1"/>
      <c r="AD2263" s="1"/>
    </row>
    <row r="2264" spans="17:30">
      <c r="Q2264" s="6">
        <v>2234</v>
      </c>
      <c r="R2264" s="7">
        <v>44901</v>
      </c>
      <c r="S2264" s="210">
        <v>4.5</v>
      </c>
      <c r="T2264" s="8">
        <v>1.0001249999999999</v>
      </c>
      <c r="U2264" s="98">
        <v>4.4342925069801753</v>
      </c>
      <c r="V2264" s="106">
        <v>31975.75971383226</v>
      </c>
      <c r="W2264" s="10">
        <v>1.1210570788765972</v>
      </c>
      <c r="X2264" s="420"/>
      <c r="Y2264" s="420"/>
      <c r="Z2264" s="1"/>
      <c r="AA2264" s="1"/>
      <c r="AB2264" s="1"/>
      <c r="AC2264" s="1"/>
      <c r="AD2264" s="1"/>
    </row>
    <row r="2265" spans="17:30">
      <c r="Q2265" s="6">
        <v>2235</v>
      </c>
      <c r="R2265" s="7">
        <v>44902</v>
      </c>
      <c r="S2265" s="210">
        <v>4.5</v>
      </c>
      <c r="T2265" s="8">
        <v>1.0001249999999999</v>
      </c>
      <c r="U2265" s="98">
        <v>4.4343969058527444</v>
      </c>
      <c r="V2265" s="106">
        <v>31978.509749830053</v>
      </c>
      <c r="W2265" s="10">
        <v>1.1211966089778702</v>
      </c>
      <c r="X2265" s="420"/>
      <c r="Y2265" s="420"/>
      <c r="Z2265" s="1"/>
      <c r="AA2265" s="1"/>
      <c r="AB2265" s="1"/>
      <c r="AC2265" s="1"/>
      <c r="AD2265" s="1"/>
    </row>
    <row r="2266" spans="17:30">
      <c r="Q2266" s="6">
        <v>2236</v>
      </c>
      <c r="R2266" s="7">
        <v>44903</v>
      </c>
      <c r="S2266" s="210">
        <v>4.5</v>
      </c>
      <c r="T2266" s="8">
        <v>1.0001249999999999</v>
      </c>
      <c r="U2266" s="98">
        <v>4.4345012114495264</v>
      </c>
      <c r="V2266" s="106">
        <v>31981.260022341325</v>
      </c>
      <c r="W2266" s="10">
        <v>1.1213360144681106</v>
      </c>
      <c r="X2266" s="420"/>
      <c r="Y2266" s="420"/>
      <c r="Z2266" s="1"/>
      <c r="AA2266" s="1"/>
      <c r="AB2266" s="1"/>
      <c r="AC2266" s="1"/>
      <c r="AD2266" s="1"/>
    </row>
    <row r="2267" spans="17:30">
      <c r="Q2267" s="6">
        <v>2237</v>
      </c>
      <c r="R2267" s="7">
        <v>44904</v>
      </c>
      <c r="S2267" s="210">
        <v>4.5</v>
      </c>
      <c r="T2267" s="8">
        <v>1.0001249999999999</v>
      </c>
      <c r="U2267" s="98">
        <v>4.4346054238954435</v>
      </c>
      <c r="V2267" s="106">
        <v>31984.010531386411</v>
      </c>
      <c r="W2267" s="10">
        <v>1.1214752955141627</v>
      </c>
      <c r="X2267" s="420"/>
      <c r="Y2267" s="420"/>
      <c r="Z2267" s="1"/>
      <c r="AA2267" s="1"/>
      <c r="AB2267" s="1"/>
      <c r="AC2267" s="1"/>
      <c r="AD2267" s="1"/>
    </row>
    <row r="2268" spans="17:30">
      <c r="Q2268" s="6">
        <v>2238</v>
      </c>
      <c r="R2268" s="7">
        <v>44905</v>
      </c>
      <c r="S2268" s="210">
        <v>4.5</v>
      </c>
      <c r="T2268" s="8">
        <v>1.0001249999999999</v>
      </c>
      <c r="U2268" s="98">
        <v>4.4347095433152406</v>
      </c>
      <c r="V2268" s="106">
        <v>31986.761276985657</v>
      </c>
      <c r="W2268" s="10">
        <v>1.1216144522826044</v>
      </c>
      <c r="X2268" s="420"/>
      <c r="Y2268" s="420"/>
      <c r="Z2268" s="1"/>
      <c r="AA2268" s="1"/>
      <c r="AB2268" s="1"/>
      <c r="AC2268" s="1"/>
      <c r="AD2268" s="1"/>
    </row>
    <row r="2269" spans="17:30">
      <c r="Q2269" s="6">
        <v>2239</v>
      </c>
      <c r="R2269" s="7">
        <v>44906</v>
      </c>
      <c r="S2269" s="210">
        <v>4.5</v>
      </c>
      <c r="T2269" s="8">
        <v>1.0001249999999999</v>
      </c>
      <c r="U2269" s="98">
        <v>4.4348135698334179</v>
      </c>
      <c r="V2269" s="106">
        <v>31989.512259159397</v>
      </c>
      <c r="W2269" s="10">
        <v>1.1217534849396804</v>
      </c>
      <c r="X2269" s="420"/>
      <c r="Y2269" s="420"/>
      <c r="Z2269" s="1"/>
      <c r="AA2269" s="1"/>
      <c r="AB2269" s="1"/>
      <c r="AC2269" s="1"/>
      <c r="AD2269" s="1"/>
    </row>
    <row r="2270" spans="17:30">
      <c r="Q2270" s="6">
        <v>2240</v>
      </c>
      <c r="R2270" s="7">
        <v>44907</v>
      </c>
      <c r="S2270" s="210">
        <v>4.5</v>
      </c>
      <c r="T2270" s="8">
        <v>1.0001249999999999</v>
      </c>
      <c r="U2270" s="98">
        <v>4.4349175035742538</v>
      </c>
      <c r="V2270" s="106">
        <v>31992.263477927987</v>
      </c>
      <c r="W2270" s="10">
        <v>1.121892393651347</v>
      </c>
      <c r="X2270" s="420"/>
      <c r="Y2270" s="420"/>
      <c r="Z2270" s="1"/>
      <c r="AA2270" s="1"/>
      <c r="AB2270" s="1"/>
      <c r="AC2270" s="1"/>
      <c r="AD2270" s="1"/>
    </row>
    <row r="2271" spans="17:30">
      <c r="Q2271" s="6">
        <v>2241</v>
      </c>
      <c r="R2271" s="7">
        <v>44908</v>
      </c>
      <c r="S2271" s="210">
        <v>4.5</v>
      </c>
      <c r="T2271" s="8">
        <v>1.0001249999999999</v>
      </c>
      <c r="U2271" s="98">
        <v>4.4350213446618048</v>
      </c>
      <c r="V2271" s="106">
        <v>31995.014933311773</v>
      </c>
      <c r="W2271" s="10">
        <v>1.1220311785832715</v>
      </c>
      <c r="X2271" s="420"/>
      <c r="Y2271" s="420"/>
      <c r="Z2271" s="1"/>
      <c r="AA2271" s="1"/>
      <c r="AB2271" s="1"/>
      <c r="AC2271" s="1"/>
      <c r="AD2271" s="1"/>
    </row>
    <row r="2272" spans="17:30">
      <c r="Q2272" s="6">
        <v>2242</v>
      </c>
      <c r="R2272" s="7">
        <v>44909</v>
      </c>
      <c r="S2272" s="210">
        <v>4.5</v>
      </c>
      <c r="T2272" s="8">
        <v>1.0001249999999999</v>
      </c>
      <c r="U2272" s="98">
        <v>4.4351250932199271</v>
      </c>
      <c r="V2272" s="106">
        <v>31997.766625331107</v>
      </c>
      <c r="W2272" s="10">
        <v>1.1221698399008551</v>
      </c>
      <c r="X2272" s="420"/>
      <c r="Y2272" s="420"/>
      <c r="Z2272" s="1"/>
      <c r="AA2272" s="1"/>
      <c r="AB2272" s="1"/>
      <c r="AC2272" s="1"/>
      <c r="AD2272" s="1"/>
    </row>
    <row r="2273" spans="17:30">
      <c r="Q2273" s="6">
        <v>2243</v>
      </c>
      <c r="R2273" s="7">
        <v>44910</v>
      </c>
      <c r="S2273" s="210">
        <v>4.5</v>
      </c>
      <c r="T2273" s="8">
        <v>1.0001249999999999</v>
      </c>
      <c r="U2273" s="98">
        <v>4.4352287493722331</v>
      </c>
      <c r="V2273" s="106">
        <v>32000.518554006336</v>
      </c>
      <c r="W2273" s="10">
        <v>1.1223083777691656</v>
      </c>
      <c r="X2273" s="420"/>
      <c r="Y2273" s="420"/>
      <c r="Z2273" s="1"/>
      <c r="AA2273" s="1"/>
      <c r="AB2273" s="1"/>
      <c r="AC2273" s="1"/>
      <c r="AD2273" s="1"/>
    </row>
    <row r="2274" spans="17:30">
      <c r="Q2274" s="6">
        <v>2244</v>
      </c>
      <c r="R2274" s="7">
        <v>44911</v>
      </c>
      <c r="S2274" s="210">
        <v>4.5</v>
      </c>
      <c r="T2274" s="8">
        <v>1.0001249999999999</v>
      </c>
      <c r="U2274" s="98">
        <v>4.435332313242113</v>
      </c>
      <c r="V2274" s="106">
        <v>32003.270719357817</v>
      </c>
      <c r="W2274" s="10">
        <v>1.1224467923529602</v>
      </c>
      <c r="X2274" s="420"/>
      <c r="Y2274" s="420"/>
      <c r="Z2274" s="1"/>
      <c r="AA2274" s="1"/>
      <c r="AB2274" s="1"/>
      <c r="AC2274" s="1"/>
      <c r="AD2274" s="1"/>
    </row>
    <row r="2275" spans="17:30">
      <c r="Q2275" s="6">
        <v>2245</v>
      </c>
      <c r="R2275" s="7">
        <v>44912</v>
      </c>
      <c r="S2275" s="210">
        <v>4.5</v>
      </c>
      <c r="T2275" s="8">
        <v>1.0001249999999999</v>
      </c>
      <c r="U2275" s="98">
        <v>4.435435784952757</v>
      </c>
      <c r="V2275" s="106">
        <v>32006.023121405906</v>
      </c>
      <c r="W2275" s="10">
        <v>1.1225850838167517</v>
      </c>
      <c r="X2275" s="420"/>
      <c r="Y2275" s="420"/>
      <c r="Z2275" s="1"/>
      <c r="AA2275" s="1"/>
      <c r="AB2275" s="1"/>
      <c r="AC2275" s="1"/>
      <c r="AD2275" s="1"/>
    </row>
    <row r="2276" spans="17:30">
      <c r="Q2276" s="6">
        <v>2246</v>
      </c>
      <c r="R2276" s="7">
        <v>44913</v>
      </c>
      <c r="S2276" s="210">
        <v>4.5</v>
      </c>
      <c r="T2276" s="8">
        <v>1.0001249999999999</v>
      </c>
      <c r="U2276" s="98">
        <v>4.4355391646271336</v>
      </c>
      <c r="V2276" s="106">
        <v>32008.775760170956</v>
      </c>
      <c r="W2276" s="10">
        <v>1.1227232523247643</v>
      </c>
      <c r="X2276" s="420"/>
      <c r="Y2276" s="420"/>
      <c r="Z2276" s="1"/>
      <c r="AA2276" s="1"/>
      <c r="AB2276" s="1"/>
      <c r="AC2276" s="1"/>
      <c r="AD2276" s="1"/>
    </row>
    <row r="2277" spans="17:30">
      <c r="Q2277" s="6">
        <v>2247</v>
      </c>
      <c r="R2277" s="7">
        <v>44914</v>
      </c>
      <c r="S2277" s="210">
        <v>4.5</v>
      </c>
      <c r="T2277" s="8">
        <v>1.0001249999999999</v>
      </c>
      <c r="U2277" s="98">
        <v>4.4356424523879667</v>
      </c>
      <c r="V2277" s="106">
        <v>32011.528635673327</v>
      </c>
      <c r="W2277" s="10">
        <v>1.1228612980408892</v>
      </c>
      <c r="X2277" s="420"/>
      <c r="Y2277" s="420"/>
      <c r="Z2277" s="1"/>
      <c r="AA2277" s="1"/>
      <c r="AB2277" s="1"/>
      <c r="AC2277" s="1"/>
      <c r="AD2277" s="1"/>
    </row>
    <row r="2278" spans="17:30">
      <c r="Q2278" s="6">
        <v>2248</v>
      </c>
      <c r="R2278" s="7">
        <v>44915</v>
      </c>
      <c r="S2278" s="210">
        <v>4.5</v>
      </c>
      <c r="T2278" s="8">
        <v>1.0001249999999999</v>
      </c>
      <c r="U2278" s="98">
        <v>4.4357456483578028</v>
      </c>
      <c r="V2278" s="106">
        <v>32014.281747933375</v>
      </c>
      <c r="W2278" s="10">
        <v>1.1229992211287287</v>
      </c>
      <c r="X2278" s="420"/>
      <c r="Y2278" s="420"/>
      <c r="Z2278" s="1"/>
      <c r="AA2278" s="1"/>
      <c r="AB2278" s="1"/>
      <c r="AC2278" s="1"/>
      <c r="AD2278" s="1"/>
    </row>
    <row r="2279" spans="17:30">
      <c r="Q2279" s="6">
        <v>2249</v>
      </c>
      <c r="R2279" s="7">
        <v>44916</v>
      </c>
      <c r="S2279" s="210">
        <v>4.5</v>
      </c>
      <c r="T2279" s="8">
        <v>1.0001249999999999</v>
      </c>
      <c r="U2279" s="98">
        <v>4.4358487526589219</v>
      </c>
      <c r="V2279" s="106">
        <v>32017.035096971471</v>
      </c>
      <c r="W2279" s="10">
        <v>1.123137021751619</v>
      </c>
      <c r="X2279" s="420"/>
      <c r="Y2279" s="420"/>
      <c r="Z2279" s="1"/>
      <c r="AA2279" s="1"/>
      <c r="AB2279" s="1"/>
      <c r="AC2279" s="1"/>
      <c r="AD2279" s="1"/>
    </row>
    <row r="2280" spans="17:30">
      <c r="Q2280" s="6">
        <v>2250</v>
      </c>
      <c r="R2280" s="7">
        <v>44917</v>
      </c>
      <c r="S2280" s="210">
        <v>4.5</v>
      </c>
      <c r="T2280" s="8">
        <v>1.0001249999999999</v>
      </c>
      <c r="U2280" s="98">
        <v>4.4359517654134262</v>
      </c>
      <c r="V2280" s="106">
        <v>32019.788682807975</v>
      </c>
      <c r="W2280" s="10">
        <v>1.1232747000725851</v>
      </c>
      <c r="X2280" s="420"/>
      <c r="Y2280" s="420"/>
      <c r="Z2280" s="1"/>
      <c r="AA2280" s="1"/>
      <c r="AB2280" s="1"/>
      <c r="AC2280" s="1"/>
      <c r="AD2280" s="1"/>
    </row>
    <row r="2281" spans="17:30">
      <c r="Q2281" s="6">
        <v>2251</v>
      </c>
      <c r="R2281" s="7">
        <v>44918</v>
      </c>
      <c r="S2281" s="210">
        <v>4.5</v>
      </c>
      <c r="T2281" s="8">
        <v>1.0001249999999999</v>
      </c>
      <c r="U2281" s="98">
        <v>4.436054686743196</v>
      </c>
      <c r="V2281" s="106">
        <v>32022.542505463247</v>
      </c>
      <c r="W2281" s="10">
        <v>1.123412256254408</v>
      </c>
      <c r="X2281" s="420"/>
      <c r="Y2281" s="420"/>
      <c r="Z2281" s="1"/>
      <c r="AA2281" s="1"/>
      <c r="AB2281" s="1"/>
      <c r="AC2281" s="1"/>
      <c r="AD2281" s="1"/>
    </row>
    <row r="2282" spans="17:30">
      <c r="Q2282" s="6">
        <v>2252</v>
      </c>
      <c r="R2282" s="7">
        <v>44919</v>
      </c>
      <c r="S2282" s="210">
        <v>4.5</v>
      </c>
      <c r="T2282" s="8">
        <v>1.0001249999999999</v>
      </c>
      <c r="U2282" s="98">
        <v>4.4361575167698897</v>
      </c>
      <c r="V2282" s="106">
        <v>32025.296564957662</v>
      </c>
      <c r="W2282" s="10">
        <v>1.1235496904595355</v>
      </c>
      <c r="X2282" s="420"/>
      <c r="Y2282" s="420"/>
      <c r="Z2282" s="1"/>
      <c r="AA2282" s="1"/>
      <c r="AB2282" s="1"/>
      <c r="AC2282" s="1"/>
      <c r="AD2282" s="1"/>
    </row>
    <row r="2283" spans="17:30">
      <c r="Q2283" s="6">
        <v>2253</v>
      </c>
      <c r="R2283" s="7">
        <v>44920</v>
      </c>
      <c r="S2283" s="210">
        <v>4.5</v>
      </c>
      <c r="T2283" s="8">
        <v>1.0001249999999999</v>
      </c>
      <c r="U2283" s="98">
        <v>4.4362602556149211</v>
      </c>
      <c r="V2283" s="106">
        <v>32028.050861311589</v>
      </c>
      <c r="W2283" s="10">
        <v>1.1236870028500823</v>
      </c>
      <c r="X2283" s="420"/>
      <c r="Y2283" s="420"/>
      <c r="Z2283" s="1"/>
      <c r="AA2283" s="1"/>
      <c r="AB2283" s="1"/>
      <c r="AC2283" s="1"/>
      <c r="AD2283" s="1"/>
    </row>
    <row r="2284" spans="17:30">
      <c r="Q2284" s="6">
        <v>2254</v>
      </c>
      <c r="R2284" s="7">
        <v>44921</v>
      </c>
      <c r="S2284" s="210">
        <v>4.5</v>
      </c>
      <c r="T2284" s="8">
        <v>1.0001249999999999</v>
      </c>
      <c r="U2284" s="98">
        <v>4.4363629033995489</v>
      </c>
      <c r="V2284" s="106">
        <v>32030.805394545394</v>
      </c>
      <c r="W2284" s="10">
        <v>1.1238241935880078</v>
      </c>
      <c r="X2284" s="420"/>
      <c r="Y2284" s="420"/>
      <c r="Z2284" s="1"/>
      <c r="AA2284" s="1"/>
      <c r="AB2284" s="1"/>
      <c r="AC2284" s="1"/>
      <c r="AD2284" s="1"/>
    </row>
    <row r="2285" spans="17:30">
      <c r="Q2285" s="6">
        <v>2255</v>
      </c>
      <c r="R2285" s="7">
        <v>44922</v>
      </c>
      <c r="S2285" s="210">
        <v>4.5</v>
      </c>
      <c r="T2285" s="8">
        <v>1.0001249999999999</v>
      </c>
      <c r="U2285" s="98">
        <v>4.4364654602447651</v>
      </c>
      <c r="V2285" s="106">
        <v>32033.560164679449</v>
      </c>
      <c r="W2285" s="10">
        <v>1.1239612628348938</v>
      </c>
      <c r="X2285" s="420"/>
      <c r="Y2285" s="420"/>
      <c r="Z2285" s="1"/>
      <c r="AA2285" s="1"/>
      <c r="AB2285" s="1"/>
      <c r="AC2285" s="1"/>
      <c r="AD2285" s="1"/>
    </row>
    <row r="2286" spans="17:30">
      <c r="Q2286" s="6">
        <v>2256</v>
      </c>
      <c r="R2286" s="7">
        <v>44923</v>
      </c>
      <c r="S2286" s="210">
        <v>4.5</v>
      </c>
      <c r="T2286" s="8">
        <v>1.0001249999999999</v>
      </c>
      <c r="U2286" s="98">
        <v>4.436567926271362</v>
      </c>
      <c r="V2286" s="106">
        <v>32036.315171734132</v>
      </c>
      <c r="W2286" s="10">
        <v>1.1240982107520114</v>
      </c>
      <c r="X2286" s="420"/>
      <c r="Y2286" s="420"/>
      <c r="Z2286" s="1"/>
      <c r="AA2286" s="1"/>
      <c r="AB2286" s="1"/>
      <c r="AC2286" s="1"/>
      <c r="AD2286" s="1"/>
    </row>
    <row r="2287" spans="17:30">
      <c r="Q2287" s="6">
        <v>2257</v>
      </c>
      <c r="R2287" s="7">
        <v>44924</v>
      </c>
      <c r="S2287" s="210">
        <v>4.5</v>
      </c>
      <c r="T2287" s="8">
        <v>1.0001249999999999</v>
      </c>
      <c r="U2287" s="98">
        <v>4.436670301599932</v>
      </c>
      <c r="V2287" s="106">
        <v>32039.070415729817</v>
      </c>
      <c r="W2287" s="10">
        <v>1.1242350375004095</v>
      </c>
      <c r="X2287" s="420"/>
      <c r="Y2287" s="420"/>
      <c r="Z2287" s="1"/>
      <c r="AA2287" s="1"/>
      <c r="AB2287" s="1"/>
      <c r="AC2287" s="1"/>
      <c r="AD2287" s="1"/>
    </row>
    <row r="2288" spans="17:30">
      <c r="Q2288" s="6">
        <v>2258</v>
      </c>
      <c r="R2288" s="7">
        <v>44925</v>
      </c>
      <c r="S2288" s="210">
        <v>4.5</v>
      </c>
      <c r="T2288" s="8">
        <v>1.0001249999999999</v>
      </c>
      <c r="U2288" s="98">
        <v>4.4367725863508456</v>
      </c>
      <c r="V2288" s="106">
        <v>32041.825896686882</v>
      </c>
      <c r="W2288" s="10">
        <v>1.1243717432408262</v>
      </c>
      <c r="X2288" s="420"/>
      <c r="Y2288" s="420"/>
      <c r="Z2288" s="1"/>
      <c r="AA2288" s="1"/>
      <c r="AB2288" s="1"/>
      <c r="AC2288" s="1"/>
      <c r="AD2288" s="1"/>
    </row>
    <row r="2289" spans="17:30">
      <c r="Q2289" s="6">
        <v>2259</v>
      </c>
      <c r="R2289" s="7">
        <v>44926</v>
      </c>
      <c r="S2289" s="210">
        <v>4.5</v>
      </c>
      <c r="T2289" s="8">
        <v>1.0001249999999999</v>
      </c>
      <c r="U2289" s="98">
        <v>4.436874780644251</v>
      </c>
      <c r="V2289" s="106">
        <v>32044.581614625717</v>
      </c>
      <c r="W2289" s="10">
        <v>1.1245083281337109</v>
      </c>
      <c r="X2289" s="420"/>
      <c r="Y2289" s="420"/>
      <c r="Z2289" s="1"/>
      <c r="AA2289" s="1"/>
      <c r="AB2289" s="1"/>
      <c r="AC2289" s="1"/>
      <c r="AD2289" s="1"/>
    </row>
    <row r="2290" spans="17:30">
      <c r="Q2290" s="6">
        <v>2260</v>
      </c>
      <c r="R2290" s="7">
        <v>44927</v>
      </c>
      <c r="S2290" s="210">
        <v>4.5</v>
      </c>
      <c r="T2290" s="8">
        <v>1.0001249999999999</v>
      </c>
      <c r="U2290" s="98">
        <v>4.4369768846000968</v>
      </c>
      <c r="V2290" s="106">
        <v>32047.33756956668</v>
      </c>
      <c r="W2290" s="10">
        <v>1.1246447923392688</v>
      </c>
      <c r="X2290" s="420"/>
      <c r="Y2290" s="420"/>
      <c r="Z2290" s="1"/>
      <c r="AA2290" s="1"/>
      <c r="AB2290" s="1"/>
      <c r="AC2290" s="1"/>
      <c r="AD2290" s="1"/>
    </row>
    <row r="2291" spans="17:30">
      <c r="Q2291" s="6">
        <v>2261</v>
      </c>
      <c r="R2291" s="7">
        <v>44928</v>
      </c>
      <c r="S2291" s="210">
        <v>4.5</v>
      </c>
      <c r="T2291" s="8">
        <v>1.0001249999999999</v>
      </c>
      <c r="U2291" s="98">
        <v>4.4370788983381093</v>
      </c>
      <c r="V2291" s="106">
        <v>32050.093761530174</v>
      </c>
      <c r="W2291" s="10">
        <v>1.1247811360173499</v>
      </c>
      <c r="X2291" s="420"/>
      <c r="Y2291" s="420"/>
      <c r="Z2291" s="1"/>
      <c r="AA2291" s="1"/>
      <c r="AB2291" s="1"/>
      <c r="AC2291" s="1"/>
      <c r="AD2291" s="1"/>
    </row>
    <row r="2292" spans="17:30">
      <c r="Q2292" s="6">
        <v>2262</v>
      </c>
      <c r="R2292" s="7">
        <v>44929</v>
      </c>
      <c r="S2292" s="210">
        <v>4.5</v>
      </c>
      <c r="T2292" s="8">
        <v>1.0001249999999999</v>
      </c>
      <c r="U2292" s="98">
        <v>4.4371808219778153</v>
      </c>
      <c r="V2292" s="106">
        <v>32052.850190536577</v>
      </c>
      <c r="W2292" s="10">
        <v>1.1249173593275597</v>
      </c>
      <c r="X2292" s="420"/>
      <c r="Y2292" s="420"/>
      <c r="Z2292" s="1"/>
      <c r="AA2292" s="1"/>
      <c r="AB2292" s="1"/>
      <c r="AC2292" s="1"/>
      <c r="AD2292" s="1"/>
    </row>
    <row r="2293" spans="17:30">
      <c r="Q2293" s="6">
        <v>2263</v>
      </c>
      <c r="R2293" s="7">
        <v>44930</v>
      </c>
      <c r="S2293" s="210">
        <v>4.5</v>
      </c>
      <c r="T2293" s="8">
        <v>1.0001249999999999</v>
      </c>
      <c r="U2293" s="98">
        <v>4.4372826556385192</v>
      </c>
      <c r="V2293" s="106">
        <v>32055.606856606275</v>
      </c>
      <c r="W2293" s="10">
        <v>1.1250534624292596</v>
      </c>
      <c r="X2293" s="420"/>
      <c r="Y2293" s="420"/>
      <c r="Z2293" s="1"/>
      <c r="AA2293" s="1"/>
      <c r="AB2293" s="1"/>
      <c r="AC2293" s="1"/>
      <c r="AD2293" s="1"/>
    </row>
    <row r="2294" spans="17:30">
      <c r="Q2294" s="6">
        <v>2264</v>
      </c>
      <c r="R2294" s="7">
        <v>44931</v>
      </c>
      <c r="S2294" s="210">
        <v>4.5</v>
      </c>
      <c r="T2294" s="8">
        <v>1.0001249999999999</v>
      </c>
      <c r="U2294" s="98">
        <v>4.4373843994393258</v>
      </c>
      <c r="V2294" s="106">
        <v>32058.363759759657</v>
      </c>
      <c r="W2294" s="10">
        <v>1.1251894454814781</v>
      </c>
      <c r="X2294" s="420"/>
      <c r="Y2294" s="420"/>
      <c r="Z2294" s="1"/>
      <c r="AA2294" s="1"/>
      <c r="AB2294" s="1"/>
      <c r="AC2294" s="1"/>
      <c r="AD2294" s="1"/>
    </row>
    <row r="2295" spans="17:30">
      <c r="Q2295" s="6">
        <v>2265</v>
      </c>
      <c r="R2295" s="7">
        <v>44932</v>
      </c>
      <c r="S2295" s="210">
        <v>4.5</v>
      </c>
      <c r="T2295" s="8">
        <v>1.0001249999999999</v>
      </c>
      <c r="U2295" s="98">
        <v>4.4374860534991178</v>
      </c>
      <c r="V2295" s="106">
        <v>32061.120900017122</v>
      </c>
      <c r="W2295" s="10">
        <v>1.1253253086429771</v>
      </c>
      <c r="X2295" s="420"/>
      <c r="Y2295" s="420"/>
      <c r="Z2295" s="1"/>
      <c r="AA2295" s="1"/>
      <c r="AB2295" s="1"/>
      <c r="AC2295" s="1"/>
      <c r="AD2295" s="1"/>
    </row>
    <row r="2296" spans="17:30">
      <c r="Q2296" s="6">
        <v>2266</v>
      </c>
      <c r="R2296" s="7">
        <v>44933</v>
      </c>
      <c r="S2296" s="210">
        <v>4.5</v>
      </c>
      <c r="T2296" s="8">
        <v>1.0001249999999999</v>
      </c>
      <c r="U2296" s="98">
        <v>4.4375876179365781</v>
      </c>
      <c r="V2296" s="106">
        <v>32063.878277399042</v>
      </c>
      <c r="W2296" s="10">
        <v>1.1254610520722297</v>
      </c>
      <c r="X2296" s="420"/>
      <c r="Y2296" s="420"/>
      <c r="Z2296" s="1"/>
      <c r="AA2296" s="1"/>
      <c r="AB2296" s="1"/>
      <c r="AC2296" s="1"/>
      <c r="AD2296" s="1"/>
    </row>
    <row r="2297" spans="17:30">
      <c r="Q2297" s="6">
        <v>2267</v>
      </c>
      <c r="R2297" s="7">
        <v>44934</v>
      </c>
      <c r="S2297" s="210">
        <v>4.5</v>
      </c>
      <c r="T2297" s="8">
        <v>1.0001249999999999</v>
      </c>
      <c r="U2297" s="98">
        <v>4.4376890928701895</v>
      </c>
      <c r="V2297" s="106">
        <v>32066.635891925827</v>
      </c>
      <c r="W2297" s="10">
        <v>1.1255966759274649</v>
      </c>
      <c r="X2297" s="420"/>
      <c r="Y2297" s="420"/>
      <c r="Z2297" s="1"/>
      <c r="AA2297" s="1"/>
      <c r="AB2297" s="1"/>
      <c r="AC2297" s="1"/>
      <c r="AD2297" s="1"/>
    </row>
    <row r="2298" spans="17:30">
      <c r="Q2298" s="6">
        <v>2268</v>
      </c>
      <c r="R2298" s="7">
        <v>44935</v>
      </c>
      <c r="S2298" s="210">
        <v>4.5</v>
      </c>
      <c r="T2298" s="8">
        <v>1.0001249999999999</v>
      </c>
      <c r="U2298" s="98">
        <v>4.437790478418191</v>
      </c>
      <c r="V2298" s="106">
        <v>32069.393743617871</v>
      </c>
      <c r="W2298" s="10">
        <v>1.1257321803665787</v>
      </c>
      <c r="X2298" s="420"/>
      <c r="Y2298" s="420"/>
      <c r="Z2298" s="1"/>
      <c r="AA2298" s="1"/>
      <c r="AB2298" s="1"/>
      <c r="AC2298" s="1"/>
      <c r="AD2298" s="1"/>
    </row>
    <row r="2299" spans="17:30">
      <c r="Q2299" s="6">
        <v>2269</v>
      </c>
      <c r="R2299" s="7">
        <v>44936</v>
      </c>
      <c r="S2299" s="210">
        <v>4.5</v>
      </c>
      <c r="T2299" s="8">
        <v>1.0001249999999999</v>
      </c>
      <c r="U2299" s="98">
        <v>4.4378917746986435</v>
      </c>
      <c r="V2299" s="106">
        <v>32072.151832495561</v>
      </c>
      <c r="W2299" s="10">
        <v>1.125867565547245</v>
      </c>
      <c r="X2299" s="420"/>
      <c r="Y2299" s="420"/>
      <c r="Z2299" s="1"/>
      <c r="AA2299" s="1"/>
      <c r="AB2299" s="1"/>
      <c r="AC2299" s="1"/>
      <c r="AD2299" s="1"/>
    </row>
    <row r="2300" spans="17:30">
      <c r="Q2300" s="6">
        <v>2270</v>
      </c>
      <c r="R2300" s="7">
        <v>44937</v>
      </c>
      <c r="S2300" s="210">
        <v>4.5</v>
      </c>
      <c r="T2300" s="8">
        <v>1.0001249999999999</v>
      </c>
      <c r="U2300" s="98">
        <v>4.4379929818293862</v>
      </c>
      <c r="V2300" s="106">
        <v>32074.910158579307</v>
      </c>
      <c r="W2300" s="10">
        <v>1.1260028316268267</v>
      </c>
      <c r="X2300" s="420"/>
      <c r="Y2300" s="420"/>
      <c r="Z2300" s="1"/>
      <c r="AA2300" s="1"/>
      <c r="AB2300" s="1"/>
      <c r="AC2300" s="1"/>
      <c r="AD2300" s="1"/>
    </row>
    <row r="2301" spans="17:30">
      <c r="Q2301" s="6">
        <v>2271</v>
      </c>
      <c r="R2301" s="7">
        <v>44938</v>
      </c>
      <c r="S2301" s="210">
        <v>4.5</v>
      </c>
      <c r="T2301" s="8">
        <v>1.0001249999999999</v>
      </c>
      <c r="U2301" s="98">
        <v>4.4380940999280583</v>
      </c>
      <c r="V2301" s="106">
        <v>32077.668721889495</v>
      </c>
      <c r="W2301" s="10">
        <v>1.1261379787624204</v>
      </c>
      <c r="X2301" s="420"/>
      <c r="Y2301" s="420"/>
      <c r="Z2301" s="1"/>
      <c r="AA2301" s="1"/>
      <c r="AB2301" s="1"/>
      <c r="AC2301" s="1"/>
      <c r="AD2301" s="1"/>
    </row>
    <row r="2302" spans="17:30">
      <c r="Q2302" s="6">
        <v>2272</v>
      </c>
      <c r="R2302" s="7">
        <v>44939</v>
      </c>
      <c r="S2302" s="210">
        <v>4.5</v>
      </c>
      <c r="T2302" s="8">
        <v>1.0001249999999999</v>
      </c>
      <c r="U2302" s="98">
        <v>4.4381951291120991</v>
      </c>
      <c r="V2302" s="106">
        <v>32080.427522446549</v>
      </c>
      <c r="W2302" s="10">
        <v>1.1262730071108118</v>
      </c>
      <c r="X2302" s="420"/>
      <c r="Y2302" s="420"/>
      <c r="Z2302" s="1"/>
      <c r="AA2302" s="1"/>
      <c r="AB2302" s="1"/>
      <c r="AC2302" s="1"/>
      <c r="AD2302" s="1"/>
    </row>
    <row r="2303" spans="17:30">
      <c r="Q2303" s="6">
        <v>2273</v>
      </c>
      <c r="R2303" s="7">
        <v>44940</v>
      </c>
      <c r="S2303" s="210">
        <v>4.5</v>
      </c>
      <c r="T2303" s="8">
        <v>1.0001249999999999</v>
      </c>
      <c r="U2303" s="98">
        <v>4.4382960694987261</v>
      </c>
      <c r="V2303" s="106">
        <v>32083.18656027086</v>
      </c>
      <c r="W2303" s="10">
        <v>1.126407916828609</v>
      </c>
      <c r="X2303" s="420"/>
      <c r="Y2303" s="420"/>
      <c r="Z2303" s="1"/>
      <c r="AA2303" s="1"/>
      <c r="AB2303" s="1"/>
      <c r="AC2303" s="1"/>
      <c r="AD2303" s="1"/>
    </row>
    <row r="2304" spans="17:30">
      <c r="Q2304" s="6">
        <v>2274</v>
      </c>
      <c r="R2304" s="7">
        <v>44941</v>
      </c>
      <c r="S2304" s="210">
        <v>4.5</v>
      </c>
      <c r="T2304" s="8">
        <v>1.0001249999999999</v>
      </c>
      <c r="U2304" s="98">
        <v>4.4383969212049568</v>
      </c>
      <c r="V2304" s="106">
        <v>32085.94583538283</v>
      </c>
      <c r="W2304" s="10">
        <v>1.1265427080720203</v>
      </c>
      <c r="X2304" s="420"/>
      <c r="Y2304" s="420"/>
      <c r="Z2304" s="1"/>
      <c r="AA2304" s="1"/>
      <c r="AB2304" s="1"/>
      <c r="AC2304" s="1"/>
      <c r="AD2304" s="1"/>
    </row>
    <row r="2305" spans="17:30">
      <c r="Q2305" s="6">
        <v>2275</v>
      </c>
      <c r="R2305" s="7">
        <v>44942</v>
      </c>
      <c r="S2305" s="210">
        <v>4.5</v>
      </c>
      <c r="T2305" s="8">
        <v>1.0001249999999999</v>
      </c>
      <c r="U2305" s="98">
        <v>4.4384976843476087</v>
      </c>
      <c r="V2305" s="106">
        <v>32088.705347802876</v>
      </c>
      <c r="W2305" s="10">
        <v>1.1266773809970765</v>
      </c>
      <c r="X2305" s="420"/>
      <c r="Y2305" s="420"/>
      <c r="Z2305" s="1"/>
      <c r="AA2305" s="1"/>
      <c r="AB2305" s="1"/>
      <c r="AC2305" s="1"/>
      <c r="AD2305" s="1"/>
    </row>
    <row r="2306" spans="17:30">
      <c r="Q2306" s="6">
        <v>2276</v>
      </c>
      <c r="R2306" s="7">
        <v>44943</v>
      </c>
      <c r="S2306" s="210">
        <v>4.5</v>
      </c>
      <c r="T2306" s="8">
        <v>1.0001249999999999</v>
      </c>
      <c r="U2306" s="98">
        <v>4.4385983590432998</v>
      </c>
      <c r="V2306" s="106">
        <v>32091.465097551398</v>
      </c>
      <c r="W2306" s="10">
        <v>1.1268119357594752</v>
      </c>
      <c r="X2306" s="420"/>
      <c r="Y2306" s="420"/>
      <c r="Z2306" s="1"/>
      <c r="AA2306" s="1"/>
      <c r="AB2306" s="1"/>
      <c r="AC2306" s="1"/>
      <c r="AD2306" s="1"/>
    </row>
    <row r="2307" spans="17:30">
      <c r="Q2307" s="6">
        <v>2277</v>
      </c>
      <c r="R2307" s="7">
        <v>44944</v>
      </c>
      <c r="S2307" s="210">
        <v>4.5</v>
      </c>
      <c r="T2307" s="8">
        <v>1.0001249999999999</v>
      </c>
      <c r="U2307" s="98">
        <v>4.4386989454084036</v>
      </c>
      <c r="V2307" s="106">
        <v>32094.225084648813</v>
      </c>
      <c r="W2307" s="10">
        <v>1.12694637251467</v>
      </c>
      <c r="X2307" s="420"/>
      <c r="Y2307" s="420"/>
      <c r="Z2307" s="1"/>
      <c r="AA2307" s="1"/>
      <c r="AB2307" s="1"/>
      <c r="AC2307" s="1"/>
      <c r="AD2307" s="1"/>
    </row>
    <row r="2308" spans="17:30">
      <c r="Q2308" s="6">
        <v>2278</v>
      </c>
      <c r="R2308" s="7">
        <v>44945</v>
      </c>
      <c r="S2308" s="210">
        <v>4.5</v>
      </c>
      <c r="T2308" s="8">
        <v>1.0001249999999999</v>
      </c>
      <c r="U2308" s="98">
        <v>4.4387994435591382</v>
      </c>
      <c r="V2308" s="106">
        <v>32096.985309115538</v>
      </c>
      <c r="W2308" s="10">
        <v>1.1270806914178255</v>
      </c>
      <c r="X2308" s="420"/>
      <c r="Y2308" s="420"/>
      <c r="Z2308" s="1"/>
      <c r="AA2308" s="1"/>
      <c r="AB2308" s="1"/>
      <c r="AC2308" s="1"/>
      <c r="AD2308" s="1"/>
    </row>
    <row r="2309" spans="17:30">
      <c r="Q2309" s="6">
        <v>2279</v>
      </c>
      <c r="R2309" s="7">
        <v>44946</v>
      </c>
      <c r="S2309" s="210">
        <v>4.5</v>
      </c>
      <c r="T2309" s="8">
        <v>1.0001249999999999</v>
      </c>
      <c r="U2309" s="98">
        <v>4.4388998536114999</v>
      </c>
      <c r="V2309" s="106">
        <v>32099.745770971982</v>
      </c>
      <c r="W2309" s="10">
        <v>1.1272148926238623</v>
      </c>
      <c r="X2309" s="420"/>
      <c r="Y2309" s="420"/>
      <c r="Z2309" s="1"/>
      <c r="AA2309" s="1"/>
      <c r="AB2309" s="1"/>
      <c r="AC2309" s="1"/>
      <c r="AD2309" s="1"/>
    </row>
    <row r="2310" spans="17:30">
      <c r="Q2310" s="6">
        <v>2280</v>
      </c>
      <c r="R2310" s="7">
        <v>44947</v>
      </c>
      <c r="S2310" s="210">
        <v>4.5</v>
      </c>
      <c r="T2310" s="8">
        <v>1.0001249999999999</v>
      </c>
      <c r="U2310" s="98">
        <v>4.4390001756812847</v>
      </c>
      <c r="V2310" s="106">
        <v>32102.506470238561</v>
      </c>
      <c r="W2310" s="10">
        <v>1.1273489762873901</v>
      </c>
      <c r="X2310" s="420"/>
      <c r="Y2310" s="420"/>
      <c r="Z2310" s="1"/>
      <c r="AA2310" s="1"/>
      <c r="AB2310" s="1"/>
      <c r="AC2310" s="1"/>
      <c r="AD2310" s="1"/>
    </row>
    <row r="2311" spans="17:30">
      <c r="Q2311" s="6">
        <v>2281</v>
      </c>
      <c r="R2311" s="7">
        <v>44948</v>
      </c>
      <c r="S2311" s="210">
        <v>4.5</v>
      </c>
      <c r="T2311" s="8">
        <v>1.0001249999999999</v>
      </c>
      <c r="U2311" s="98">
        <v>4.439100409884067</v>
      </c>
      <c r="V2311" s="106">
        <v>32105.267406935694</v>
      </c>
      <c r="W2311" s="10">
        <v>1.1274829425627964</v>
      </c>
      <c r="X2311" s="420"/>
      <c r="Y2311" s="420"/>
      <c r="Z2311" s="1"/>
      <c r="AA2311" s="1"/>
      <c r="AB2311" s="1"/>
      <c r="AC2311" s="1"/>
      <c r="AD2311" s="1"/>
    </row>
    <row r="2312" spans="17:30">
      <c r="Q2312" s="6">
        <v>2282</v>
      </c>
      <c r="R2312" s="7">
        <v>44949</v>
      </c>
      <c r="S2312" s="210">
        <v>4.5</v>
      </c>
      <c r="T2312" s="8">
        <v>1.0001249999999999</v>
      </c>
      <c r="U2312" s="98">
        <v>4.4392005563352432</v>
      </c>
      <c r="V2312" s="106">
        <v>32108.028581083803</v>
      </c>
      <c r="W2312" s="10">
        <v>1.1276167916041357</v>
      </c>
      <c r="X2312" s="420"/>
      <c r="Y2312" s="420"/>
      <c r="Z2312" s="1"/>
      <c r="AA2312" s="1"/>
      <c r="AB2312" s="1"/>
      <c r="AC2312" s="1"/>
      <c r="AD2312" s="1"/>
    </row>
    <row r="2313" spans="17:30">
      <c r="Q2313" s="6">
        <v>2283</v>
      </c>
      <c r="R2313" s="7">
        <v>44950</v>
      </c>
      <c r="S2313" s="210">
        <v>4.5</v>
      </c>
      <c r="T2313" s="8">
        <v>1.0001249999999999</v>
      </c>
      <c r="U2313" s="98">
        <v>4.4393006151500103</v>
      </c>
      <c r="V2313" s="106">
        <v>32110.78999270331</v>
      </c>
      <c r="W2313" s="10">
        <v>1.127750523565263</v>
      </c>
      <c r="X2313" s="420"/>
      <c r="Y2313" s="420"/>
      <c r="Z2313" s="1"/>
      <c r="AA2313" s="1"/>
      <c r="AB2313" s="1"/>
      <c r="AC2313" s="1"/>
      <c r="AD2313" s="1"/>
    </row>
    <row r="2314" spans="17:30">
      <c r="Q2314" s="6">
        <v>2284</v>
      </c>
      <c r="R2314" s="7">
        <v>44951</v>
      </c>
      <c r="S2314" s="210">
        <v>4.5</v>
      </c>
      <c r="T2314" s="8">
        <v>1.0001249999999999</v>
      </c>
      <c r="U2314" s="98">
        <v>4.4394005864433206</v>
      </c>
      <c r="V2314" s="106">
        <v>32113.551641814636</v>
      </c>
      <c r="W2314" s="10">
        <v>1.1278841385996996</v>
      </c>
      <c r="X2314" s="420"/>
      <c r="Y2314" s="420"/>
      <c r="Z2314" s="1"/>
      <c r="AA2314" s="1"/>
      <c r="AB2314" s="1"/>
      <c r="AC2314" s="1"/>
      <c r="AD2314" s="1"/>
    </row>
    <row r="2315" spans="17:30">
      <c r="Q2315" s="6">
        <v>2285</v>
      </c>
      <c r="R2315" s="7">
        <v>44952</v>
      </c>
      <c r="S2315" s="210">
        <v>4.5</v>
      </c>
      <c r="T2315" s="8">
        <v>1.0001249999999999</v>
      </c>
      <c r="U2315" s="98">
        <v>4.4395004703299712</v>
      </c>
      <c r="V2315" s="106">
        <v>32116.313528438204</v>
      </c>
      <c r="W2315" s="10">
        <v>1.1280176368607453</v>
      </c>
      <c r="X2315" s="420"/>
      <c r="Y2315" s="420"/>
      <c r="Z2315" s="1"/>
      <c r="AA2315" s="1"/>
      <c r="AB2315" s="1"/>
      <c r="AC2315" s="1"/>
      <c r="AD2315" s="1"/>
    </row>
    <row r="2316" spans="17:30">
      <c r="Q2316" s="6">
        <v>2286</v>
      </c>
      <c r="R2316" s="7">
        <v>44953</v>
      </c>
      <c r="S2316" s="210">
        <v>4.5</v>
      </c>
      <c r="T2316" s="8">
        <v>1.0001249999999999</v>
      </c>
      <c r="U2316" s="98">
        <v>4.4396002669245593</v>
      </c>
      <c r="V2316" s="106">
        <v>32119.075652594445</v>
      </c>
      <c r="W2316" s="10">
        <v>1.128151018501411</v>
      </c>
      <c r="X2316" s="420"/>
      <c r="Y2316" s="420"/>
      <c r="Z2316" s="1"/>
      <c r="AA2316" s="1"/>
      <c r="AB2316" s="1"/>
      <c r="AC2316" s="1"/>
      <c r="AD2316" s="1"/>
    </row>
    <row r="2317" spans="17:30">
      <c r="Q2317" s="6">
        <v>2287</v>
      </c>
      <c r="R2317" s="7">
        <v>44954</v>
      </c>
      <c r="S2317" s="210">
        <v>4.5</v>
      </c>
      <c r="T2317" s="8">
        <v>1.0001249999999999</v>
      </c>
      <c r="U2317" s="98">
        <v>4.4396999763414602</v>
      </c>
      <c r="V2317" s="106">
        <v>32121.83801430379</v>
      </c>
      <c r="W2317" s="10">
        <v>1.1282842836744633</v>
      </c>
      <c r="X2317" s="420"/>
      <c r="Y2317" s="420"/>
      <c r="Z2317" s="1"/>
      <c r="AA2317" s="1"/>
      <c r="AB2317" s="1"/>
      <c r="AC2317" s="1"/>
      <c r="AD2317" s="1"/>
    </row>
    <row r="2318" spans="17:30">
      <c r="Q2318" s="6">
        <v>2288</v>
      </c>
      <c r="R2318" s="7">
        <v>44955</v>
      </c>
      <c r="S2318" s="210">
        <v>4.5</v>
      </c>
      <c r="T2318" s="8">
        <v>1.0001249999999999</v>
      </c>
      <c r="U2318" s="98">
        <v>4.4397995986948269</v>
      </c>
      <c r="V2318" s="106">
        <v>32124.600613586663</v>
      </c>
      <c r="W2318" s="10">
        <v>1.128417432532336</v>
      </c>
      <c r="X2318" s="420"/>
      <c r="Y2318" s="420"/>
      <c r="Z2318" s="1"/>
      <c r="AA2318" s="1"/>
      <c r="AB2318" s="1"/>
      <c r="AC2318" s="1"/>
      <c r="AD2318" s="1"/>
    </row>
    <row r="2319" spans="17:30">
      <c r="Q2319" s="6">
        <v>2289</v>
      </c>
      <c r="R2319" s="7">
        <v>44956</v>
      </c>
      <c r="S2319" s="210">
        <v>4.5</v>
      </c>
      <c r="T2319" s="8">
        <v>1.0001249999999999</v>
      </c>
      <c r="U2319" s="98">
        <v>4.4398991340986793</v>
      </c>
      <c r="V2319" s="106">
        <v>32127.363450463497</v>
      </c>
      <c r="W2319" s="10">
        <v>1.1285504652272849</v>
      </c>
      <c r="X2319" s="420"/>
      <c r="Y2319" s="420"/>
      <c r="Z2319" s="1"/>
      <c r="AA2319" s="1"/>
      <c r="AB2319" s="1"/>
      <c r="AC2319" s="1"/>
      <c r="AD2319" s="1"/>
    </row>
    <row r="2320" spans="17:30">
      <c r="Q2320" s="6">
        <v>2290</v>
      </c>
      <c r="R2320" s="7">
        <v>44957</v>
      </c>
      <c r="S2320" s="210">
        <v>4.5</v>
      </c>
      <c r="T2320" s="8">
        <v>1.0001249999999999</v>
      </c>
      <c r="U2320" s="98">
        <v>4.4399985826667709</v>
      </c>
      <c r="V2320" s="106">
        <v>32130.126524954729</v>
      </c>
      <c r="W2320" s="10">
        <v>1.1286833819112552</v>
      </c>
      <c r="X2320" s="420"/>
      <c r="Y2320" s="420"/>
      <c r="Z2320" s="1"/>
      <c r="AA2320" s="1"/>
      <c r="AB2320" s="1"/>
      <c r="AC2320" s="1"/>
      <c r="AD2320" s="1"/>
    </row>
    <row r="2321" spans="17:30">
      <c r="Q2321" s="6">
        <v>2291</v>
      </c>
      <c r="R2321" s="7">
        <v>44958</v>
      </c>
      <c r="S2321" s="210">
        <v>4.5</v>
      </c>
      <c r="T2321" s="8">
        <v>1.0001249999999999</v>
      </c>
      <c r="U2321" s="98">
        <v>4.4400979445126998</v>
      </c>
      <c r="V2321" s="106">
        <v>32132.889837080795</v>
      </c>
      <c r="W2321" s="10">
        <v>1.1288161827359033</v>
      </c>
      <c r="X2321" s="420"/>
      <c r="Y2321" s="420"/>
      <c r="Z2321" s="1"/>
      <c r="AA2321" s="1"/>
      <c r="AB2321" s="1"/>
      <c r="AC2321" s="1"/>
      <c r="AD2321" s="1"/>
    </row>
    <row r="2322" spans="17:30">
      <c r="Q2322" s="6">
        <v>2292</v>
      </c>
      <c r="R2322" s="7">
        <v>44959</v>
      </c>
      <c r="S2322" s="210">
        <v>4.5</v>
      </c>
      <c r="T2322" s="8">
        <v>1.0001249999999999</v>
      </c>
      <c r="U2322" s="98">
        <v>4.440197219749864</v>
      </c>
      <c r="V2322" s="106">
        <v>32135.653386862134</v>
      </c>
      <c r="W2322" s="10">
        <v>1.1289488678526638</v>
      </c>
      <c r="X2322" s="420"/>
      <c r="Y2322" s="420"/>
      <c r="Z2322" s="1"/>
      <c r="AA2322" s="1"/>
      <c r="AB2322" s="1"/>
      <c r="AC2322" s="1"/>
      <c r="AD2322" s="1"/>
    </row>
    <row r="2323" spans="17:30">
      <c r="Q2323" s="6">
        <v>2293</v>
      </c>
      <c r="R2323" s="7">
        <v>44960</v>
      </c>
      <c r="S2323" s="210">
        <v>4.5</v>
      </c>
      <c r="T2323" s="8">
        <v>1.0001249999999999</v>
      </c>
      <c r="U2323" s="98">
        <v>4.4402964084914398</v>
      </c>
      <c r="V2323" s="106">
        <v>32138.41717431918</v>
      </c>
      <c r="W2323" s="10">
        <v>1.1290814374127267</v>
      </c>
      <c r="X2323" s="420"/>
      <c r="Y2323" s="420"/>
      <c r="Z2323" s="1"/>
      <c r="AA2323" s="1"/>
      <c r="AB2323" s="1"/>
      <c r="AC2323" s="1"/>
      <c r="AD2323" s="1"/>
    </row>
    <row r="2324" spans="17:30">
      <c r="Q2324" s="6">
        <v>2294</v>
      </c>
      <c r="R2324" s="7">
        <v>44961</v>
      </c>
      <c r="S2324" s="210">
        <v>4.5</v>
      </c>
      <c r="T2324" s="8">
        <v>1.0001249999999999</v>
      </c>
      <c r="U2324" s="98">
        <v>4.4403955108504256</v>
      </c>
      <c r="V2324" s="106">
        <v>32141.181199472372</v>
      </c>
      <c r="W2324" s="10">
        <v>1.1292138915669492</v>
      </c>
      <c r="X2324" s="420"/>
      <c r="Y2324" s="420"/>
      <c r="Z2324" s="1"/>
      <c r="AA2324" s="1"/>
      <c r="AB2324" s="1"/>
      <c r="AC2324" s="1"/>
      <c r="AD2324" s="1"/>
    </row>
    <row r="2325" spans="17:30">
      <c r="Q2325" s="6">
        <v>2295</v>
      </c>
      <c r="R2325" s="7">
        <v>44962</v>
      </c>
      <c r="S2325" s="210">
        <v>4.5</v>
      </c>
      <c r="T2325" s="8">
        <v>1.0001249999999999</v>
      </c>
      <c r="U2325" s="98">
        <v>4.4404945269396201</v>
      </c>
      <c r="V2325" s="106">
        <v>32143.945462342163</v>
      </c>
      <c r="W2325" s="10">
        <v>1.1293462304659663</v>
      </c>
      <c r="X2325" s="420"/>
      <c r="Y2325" s="420"/>
      <c r="Z2325" s="1"/>
      <c r="AA2325" s="1"/>
      <c r="AB2325" s="1"/>
      <c r="AC2325" s="1"/>
      <c r="AD2325" s="1"/>
    </row>
    <row r="2326" spans="17:30">
      <c r="Q2326" s="6">
        <v>2296</v>
      </c>
      <c r="R2326" s="7">
        <v>44963</v>
      </c>
      <c r="S2326" s="210">
        <v>4.5</v>
      </c>
      <c r="T2326" s="8">
        <v>1.0001249999999999</v>
      </c>
      <c r="U2326" s="98">
        <v>4.4405934568715999</v>
      </c>
      <c r="V2326" s="106">
        <v>32146.709962948997</v>
      </c>
      <c r="W2326" s="10">
        <v>1.1294784542601466</v>
      </c>
      <c r="X2326" s="420"/>
      <c r="Y2326" s="420"/>
      <c r="Z2326" s="1"/>
      <c r="AA2326" s="1"/>
      <c r="AB2326" s="1"/>
      <c r="AC2326" s="1"/>
      <c r="AD2326" s="1"/>
    </row>
    <row r="2327" spans="17:30">
      <c r="Q2327" s="6">
        <v>2297</v>
      </c>
      <c r="R2327" s="7">
        <v>44964</v>
      </c>
      <c r="S2327" s="210">
        <v>4.5</v>
      </c>
      <c r="T2327" s="8">
        <v>1.0001249999999999</v>
      </c>
      <c r="U2327" s="98">
        <v>4.4406923007587862</v>
      </c>
      <c r="V2327" s="106">
        <v>32149.474701313306</v>
      </c>
      <c r="W2327" s="10">
        <v>1.1296105630995923</v>
      </c>
      <c r="X2327" s="420"/>
      <c r="Y2327" s="420"/>
      <c r="Z2327" s="1"/>
      <c r="AA2327" s="1"/>
      <c r="AB2327" s="1"/>
      <c r="AC2327" s="1"/>
      <c r="AD2327" s="1"/>
    </row>
    <row r="2328" spans="17:30">
      <c r="Q2328" s="6">
        <v>2298</v>
      </c>
      <c r="R2328" s="7">
        <v>44965</v>
      </c>
      <c r="S2328" s="210">
        <v>4.5</v>
      </c>
      <c r="T2328" s="8">
        <v>1.0001249999999999</v>
      </c>
      <c r="U2328" s="98">
        <v>4.4407910587134003</v>
      </c>
      <c r="V2328" s="106">
        <v>32152.239677455545</v>
      </c>
      <c r="W2328" s="10">
        <v>1.1297425571341835</v>
      </c>
      <c r="X2328" s="420"/>
      <c r="Y2328" s="420"/>
      <c r="Z2328" s="1"/>
      <c r="AA2328" s="1"/>
      <c r="AB2328" s="1"/>
      <c r="AC2328" s="1"/>
      <c r="AD2328" s="1"/>
    </row>
    <row r="2329" spans="17:30">
      <c r="Q2329" s="6">
        <v>2299</v>
      </c>
      <c r="R2329" s="7">
        <v>44966</v>
      </c>
      <c r="S2329" s="210">
        <v>4.5</v>
      </c>
      <c r="T2329" s="8">
        <v>1.0001249999999999</v>
      </c>
      <c r="U2329" s="98">
        <v>4.4408897308474415</v>
      </c>
      <c r="V2329" s="106">
        <v>32155.004891396176</v>
      </c>
      <c r="W2329" s="10">
        <v>1.1298744365134672</v>
      </c>
      <c r="X2329" s="420"/>
      <c r="Y2329" s="420"/>
      <c r="Z2329" s="1"/>
      <c r="AA2329" s="1"/>
      <c r="AB2329" s="1"/>
      <c r="AC2329" s="1"/>
      <c r="AD2329" s="1"/>
    </row>
    <row r="2330" spans="17:30">
      <c r="Q2330" s="6">
        <v>2300</v>
      </c>
      <c r="R2330" s="7">
        <v>44967</v>
      </c>
      <c r="S2330" s="210">
        <v>4.5</v>
      </c>
      <c r="T2330" s="8">
        <v>1.0001249999999999</v>
      </c>
      <c r="U2330" s="98">
        <v>4.4409883172727316</v>
      </c>
      <c r="V2330" s="106">
        <v>32157.770343155637</v>
      </c>
      <c r="W2330" s="10">
        <v>1.1300062013868128</v>
      </c>
      <c r="X2330" s="420"/>
      <c r="Y2330" s="420"/>
      <c r="Z2330" s="1"/>
      <c r="AA2330" s="1"/>
      <c r="AB2330" s="1"/>
      <c r="AC2330" s="1"/>
      <c r="AD2330" s="1"/>
    </row>
    <row r="2331" spans="17:30">
      <c r="Q2331" s="6">
        <v>2301</v>
      </c>
      <c r="R2331" s="7">
        <v>44968</v>
      </c>
      <c r="S2331" s="210">
        <v>4.5</v>
      </c>
      <c r="T2331" s="8">
        <v>1.0001249999999999</v>
      </c>
      <c r="U2331" s="98">
        <v>4.4410868181008922</v>
      </c>
      <c r="V2331" s="106">
        <v>32160.536032754382</v>
      </c>
      <c r="W2331" s="10">
        <v>1.1301378519032346</v>
      </c>
      <c r="X2331" s="420"/>
      <c r="Y2331" s="420"/>
      <c r="Z2331" s="1"/>
      <c r="AA2331" s="1"/>
      <c r="AB2331" s="1"/>
      <c r="AC2331" s="1"/>
      <c r="AD2331" s="1"/>
    </row>
    <row r="2332" spans="17:30">
      <c r="Q2332" s="6">
        <v>2302</v>
      </c>
      <c r="R2332" s="7">
        <v>44969</v>
      </c>
      <c r="S2332" s="210">
        <v>4.5</v>
      </c>
      <c r="T2332" s="8">
        <v>1.0001249999999999</v>
      </c>
      <c r="U2332" s="98">
        <v>4.4411852334433455</v>
      </c>
      <c r="V2332" s="106">
        <v>32163.30196021287</v>
      </c>
      <c r="W2332" s="10">
        <v>1.1302693882115689</v>
      </c>
      <c r="X2332" s="420"/>
      <c r="Y2332" s="420"/>
      <c r="Z2332" s="1"/>
      <c r="AA2332" s="1"/>
      <c r="AB2332" s="1"/>
      <c r="AC2332" s="1"/>
      <c r="AD2332" s="1"/>
    </row>
    <row r="2333" spans="17:30">
      <c r="Q2333" s="6">
        <v>2303</v>
      </c>
      <c r="R2333" s="7">
        <v>44970</v>
      </c>
      <c r="S2333" s="210">
        <v>4.5</v>
      </c>
      <c r="T2333" s="8">
        <v>1.0001249999999999</v>
      </c>
      <c r="U2333" s="98">
        <v>4.4412835634113357</v>
      </c>
      <c r="V2333" s="106">
        <v>32166.068125551559</v>
      </c>
      <c r="W2333" s="10">
        <v>1.1304008104603636</v>
      </c>
      <c r="X2333" s="420"/>
      <c r="Y2333" s="420"/>
      <c r="Z2333" s="1"/>
      <c r="AA2333" s="1"/>
      <c r="AB2333" s="1"/>
      <c r="AC2333" s="1"/>
      <c r="AD2333" s="1"/>
    </row>
    <row r="2334" spans="17:30">
      <c r="Q2334" s="6">
        <v>2304</v>
      </c>
      <c r="R2334" s="7">
        <v>44971</v>
      </c>
      <c r="S2334" s="210">
        <v>4.5</v>
      </c>
      <c r="T2334" s="8">
        <v>1.0001249999999999</v>
      </c>
      <c r="U2334" s="98">
        <v>4.4413818081159073</v>
      </c>
      <c r="V2334" s="106">
        <v>32168.834528790907</v>
      </c>
      <c r="W2334" s="10">
        <v>1.1305321187979223</v>
      </c>
      <c r="X2334" s="420"/>
      <c r="Y2334" s="420"/>
      <c r="Z2334" s="1"/>
      <c r="AA2334" s="1"/>
      <c r="AB2334" s="1"/>
      <c r="AC2334" s="1"/>
      <c r="AD2334" s="1"/>
    </row>
    <row r="2335" spans="17:30">
      <c r="Q2335" s="6">
        <v>2305</v>
      </c>
      <c r="R2335" s="7">
        <v>44972</v>
      </c>
      <c r="S2335" s="210">
        <v>4.5</v>
      </c>
      <c r="T2335" s="8">
        <v>1.0001249999999999</v>
      </c>
      <c r="U2335" s="98">
        <v>4.4414799676679051</v>
      </c>
      <c r="V2335" s="106">
        <v>32171.601169951362</v>
      </c>
      <c r="W2335" s="10">
        <v>1.1306633133722599</v>
      </c>
      <c r="X2335" s="420"/>
      <c r="Y2335" s="420"/>
      <c r="Z2335" s="1"/>
      <c r="AA2335" s="1"/>
      <c r="AB2335" s="1"/>
      <c r="AC2335" s="1"/>
      <c r="AD2335" s="1"/>
    </row>
    <row r="2336" spans="17:30">
      <c r="Q2336" s="6">
        <v>2306</v>
      </c>
      <c r="R2336" s="7">
        <v>44973</v>
      </c>
      <c r="S2336" s="210">
        <v>4.5</v>
      </c>
      <c r="T2336" s="8">
        <v>1.0001249999999999</v>
      </c>
      <c r="U2336" s="98">
        <v>4.441578042177996</v>
      </c>
      <c r="V2336" s="106">
        <v>32174.368049053406</v>
      </c>
      <c r="W2336" s="10">
        <v>1.1307943943311471</v>
      </c>
      <c r="X2336" s="420"/>
      <c r="Y2336" s="420"/>
      <c r="Z2336" s="1"/>
      <c r="AA2336" s="1"/>
      <c r="AB2336" s="1"/>
      <c r="AC2336" s="1"/>
      <c r="AD2336" s="1"/>
    </row>
    <row r="2337" spans="17:30">
      <c r="Q2337" s="6">
        <v>2307</v>
      </c>
      <c r="R2337" s="7">
        <v>44974</v>
      </c>
      <c r="S2337" s="210">
        <v>4.5</v>
      </c>
      <c r="T2337" s="8">
        <v>1.0001249999999999</v>
      </c>
      <c r="U2337" s="98">
        <v>4.4416760317566473</v>
      </c>
      <c r="V2337" s="106">
        <v>32177.135166117496</v>
      </c>
      <c r="W2337" s="10">
        <v>1.1309253618221327</v>
      </c>
      <c r="X2337" s="420"/>
      <c r="Y2337" s="420"/>
      <c r="Z2337" s="1"/>
      <c r="AA2337" s="1"/>
      <c r="AB2337" s="1"/>
      <c r="AC2337" s="1"/>
      <c r="AD2337" s="1"/>
    </row>
    <row r="2338" spans="17:30">
      <c r="Q2338" s="6">
        <v>2308</v>
      </c>
      <c r="R2338" s="7">
        <v>44975</v>
      </c>
      <c r="S2338" s="210">
        <v>4.5</v>
      </c>
      <c r="T2338" s="8">
        <v>1.0001249999999999</v>
      </c>
      <c r="U2338" s="98">
        <v>4.4417739365141262</v>
      </c>
      <c r="V2338" s="106">
        <v>32179.902521164091</v>
      </c>
      <c r="W2338" s="10">
        <v>1.1310562159924764</v>
      </c>
      <c r="X2338" s="420"/>
      <c r="Y2338" s="420"/>
      <c r="Z2338" s="1"/>
      <c r="AA2338" s="1"/>
      <c r="AB2338" s="1"/>
      <c r="AC2338" s="1"/>
      <c r="AD2338" s="1"/>
    </row>
    <row r="2339" spans="17:30">
      <c r="Q2339" s="6">
        <v>2309</v>
      </c>
      <c r="R2339" s="7">
        <v>44976</v>
      </c>
      <c r="S2339" s="210">
        <v>4.5</v>
      </c>
      <c r="T2339" s="8">
        <v>1.0001249999999999</v>
      </c>
      <c r="U2339" s="98">
        <v>4.4418717565605448</v>
      </c>
      <c r="V2339" s="106">
        <v>32182.670114213666</v>
      </c>
      <c r="W2339" s="10">
        <v>1.1311869569892163</v>
      </c>
      <c r="X2339" s="420"/>
      <c r="Y2339" s="420"/>
      <c r="Z2339" s="1"/>
      <c r="AA2339" s="1"/>
      <c r="AB2339" s="1"/>
      <c r="AC2339" s="1"/>
      <c r="AD2339" s="1"/>
    </row>
    <row r="2340" spans="17:30">
      <c r="Q2340" s="6">
        <v>2310</v>
      </c>
      <c r="R2340" s="7">
        <v>44977</v>
      </c>
      <c r="S2340" s="210">
        <v>4.5</v>
      </c>
      <c r="T2340" s="8">
        <v>1.0001249999999999</v>
      </c>
      <c r="U2340" s="98">
        <v>4.4419694920057706</v>
      </c>
      <c r="V2340" s="106">
        <v>32185.437945286681</v>
      </c>
      <c r="W2340" s="10">
        <v>1.1313175849590573</v>
      </c>
      <c r="X2340" s="420"/>
      <c r="Y2340" s="420"/>
      <c r="Z2340" s="1"/>
      <c r="AA2340" s="1"/>
      <c r="AB2340" s="1"/>
      <c r="AC2340" s="1"/>
      <c r="AD2340" s="1"/>
    </row>
    <row r="2341" spans="17:30">
      <c r="Q2341" s="6">
        <v>2311</v>
      </c>
      <c r="R2341" s="7">
        <v>44978</v>
      </c>
      <c r="S2341" s="210">
        <v>4.5</v>
      </c>
      <c r="T2341" s="8">
        <v>1.0001249999999999</v>
      </c>
      <c r="U2341" s="98">
        <v>4.442067142959516</v>
      </c>
      <c r="V2341" s="106">
        <v>32188.206014403615</v>
      </c>
      <c r="W2341" s="10">
        <v>1.1314481000485488</v>
      </c>
      <c r="X2341" s="420"/>
      <c r="Y2341" s="420"/>
      <c r="Z2341" s="1"/>
      <c r="AA2341" s="1"/>
      <c r="AB2341" s="1"/>
      <c r="AC2341" s="1"/>
      <c r="AD2341" s="1"/>
    </row>
    <row r="2342" spans="17:30">
      <c r="Q2342" s="6">
        <v>2312</v>
      </c>
      <c r="R2342" s="7">
        <v>44979</v>
      </c>
      <c r="S2342" s="210">
        <v>4.5</v>
      </c>
      <c r="T2342" s="8">
        <v>1.0001249999999999</v>
      </c>
      <c r="U2342" s="98">
        <v>4.4421647095313155</v>
      </c>
      <c r="V2342" s="106">
        <v>32190.974321584941</v>
      </c>
      <c r="W2342" s="10">
        <v>1.1315785024039515</v>
      </c>
      <c r="X2342" s="420"/>
      <c r="Y2342" s="420"/>
      <c r="Z2342" s="1"/>
      <c r="AA2342" s="1"/>
      <c r="AB2342" s="1"/>
      <c r="AC2342" s="1"/>
      <c r="AD2342" s="1"/>
    </row>
    <row r="2343" spans="17:30">
      <c r="Q2343" s="6">
        <v>2313</v>
      </c>
      <c r="R2343" s="7">
        <v>44980</v>
      </c>
      <c r="S2343" s="210">
        <v>4.5</v>
      </c>
      <c r="T2343" s="8">
        <v>1.0001249999999999</v>
      </c>
      <c r="U2343" s="98">
        <v>4.4422621918304817</v>
      </c>
      <c r="V2343" s="106">
        <v>32193.742866851127</v>
      </c>
      <c r="W2343" s="10">
        <v>1.1317087921712377</v>
      </c>
      <c r="X2343" s="420"/>
      <c r="Y2343" s="420"/>
      <c r="Z2343" s="1"/>
      <c r="AA2343" s="1"/>
      <c r="AB2343" s="1"/>
      <c r="AC2343" s="1"/>
      <c r="AD2343" s="1"/>
    </row>
    <row r="2344" spans="17:30">
      <c r="Q2344" s="6">
        <v>2314</v>
      </c>
      <c r="R2344" s="7">
        <v>44981</v>
      </c>
      <c r="S2344" s="210">
        <v>4.5</v>
      </c>
      <c r="T2344" s="8">
        <v>1.0001249999999999</v>
      </c>
      <c r="U2344" s="98">
        <v>4.4423595899661494</v>
      </c>
      <c r="V2344" s="106">
        <v>32196.511650222659</v>
      </c>
      <c r="W2344" s="10">
        <v>1.1318389694961573</v>
      </c>
      <c r="X2344" s="420"/>
      <c r="Y2344" s="420"/>
      <c r="Z2344" s="1"/>
      <c r="AA2344" s="1"/>
      <c r="AB2344" s="1"/>
      <c r="AC2344" s="1"/>
      <c r="AD2344" s="1"/>
    </row>
    <row r="2345" spans="17:30">
      <c r="Q2345" s="6">
        <v>2315</v>
      </c>
      <c r="R2345" s="7">
        <v>44982</v>
      </c>
      <c r="S2345" s="210">
        <v>4.5</v>
      </c>
      <c r="T2345" s="8">
        <v>1.0001249999999999</v>
      </c>
      <c r="U2345" s="98">
        <v>4.4424569040472761</v>
      </c>
      <c r="V2345" s="106">
        <v>32199.280671720007</v>
      </c>
      <c r="W2345" s="10">
        <v>1.1319690345242162</v>
      </c>
      <c r="X2345" s="420"/>
      <c r="Y2345" s="420"/>
      <c r="Z2345" s="1"/>
      <c r="AA2345" s="1"/>
      <c r="AB2345" s="1"/>
      <c r="AC2345" s="1"/>
      <c r="AD2345" s="1"/>
    </row>
    <row r="2346" spans="17:30">
      <c r="Q2346" s="6">
        <v>2316</v>
      </c>
      <c r="R2346" s="7">
        <v>44983</v>
      </c>
      <c r="S2346" s="210">
        <v>4.5</v>
      </c>
      <c r="T2346" s="8">
        <v>1.0001249999999999</v>
      </c>
      <c r="U2346" s="98">
        <v>4.4425541341826191</v>
      </c>
      <c r="V2346" s="106">
        <v>32202.04993136365</v>
      </c>
      <c r="W2346" s="10">
        <v>1.1320989874006537</v>
      </c>
      <c r="X2346" s="420"/>
      <c r="Y2346" s="420"/>
      <c r="Z2346" s="1"/>
      <c r="AA2346" s="1"/>
      <c r="AB2346" s="1"/>
      <c r="AC2346" s="1"/>
      <c r="AD2346" s="1"/>
    </row>
    <row r="2347" spans="17:30">
      <c r="Q2347" s="6">
        <v>2317</v>
      </c>
      <c r="R2347" s="7">
        <v>44984</v>
      </c>
      <c r="S2347" s="210">
        <v>4.5</v>
      </c>
      <c r="T2347" s="8">
        <v>1.0001249999999999</v>
      </c>
      <c r="U2347" s="98">
        <v>4.4426512804807361</v>
      </c>
      <c r="V2347" s="106">
        <v>32204.819429174077</v>
      </c>
      <c r="W2347" s="10">
        <v>1.1322288282704651</v>
      </c>
      <c r="X2347" s="420"/>
      <c r="Y2347" s="420"/>
      <c r="Z2347" s="1"/>
      <c r="AA2347" s="1"/>
      <c r="AB2347" s="1"/>
      <c r="AC2347" s="1"/>
      <c r="AD2347" s="1"/>
    </row>
    <row r="2348" spans="17:30">
      <c r="Q2348" s="6">
        <v>2318</v>
      </c>
      <c r="R2348" s="7">
        <v>44985</v>
      </c>
      <c r="S2348" s="210">
        <v>4.5</v>
      </c>
      <c r="T2348" s="8">
        <v>1.0001249999999999</v>
      </c>
      <c r="U2348" s="98">
        <v>4.4427483430500292</v>
      </c>
      <c r="V2348" s="106">
        <v>32207.589165171761</v>
      </c>
      <c r="W2348" s="10">
        <v>1.1323585572784012</v>
      </c>
      <c r="X2348" s="420"/>
      <c r="Y2348" s="420"/>
      <c r="Z2348" s="1"/>
      <c r="AA2348" s="1"/>
      <c r="AB2348" s="1"/>
      <c r="AC2348" s="1"/>
      <c r="AD2348" s="1"/>
    </row>
    <row r="2349" spans="17:30">
      <c r="Q2349" s="6">
        <v>2319</v>
      </c>
      <c r="R2349" s="7">
        <v>44986</v>
      </c>
      <c r="S2349" s="210">
        <v>4.5</v>
      </c>
      <c r="T2349" s="8">
        <v>1.0001249999999999</v>
      </c>
      <c r="U2349" s="98">
        <v>4.4428453219987007</v>
      </c>
      <c r="V2349" s="106">
        <v>32210.3591393772</v>
      </c>
      <c r="W2349" s="10">
        <v>1.1324881745689463</v>
      </c>
      <c r="X2349" s="420"/>
      <c r="Y2349" s="420"/>
      <c r="Z2349" s="1"/>
      <c r="AA2349" s="1"/>
      <c r="AB2349" s="1"/>
      <c r="AC2349" s="1"/>
      <c r="AD2349" s="1"/>
    </row>
    <row r="2350" spans="17:30">
      <c r="Q2350" s="6">
        <v>2320</v>
      </c>
      <c r="R2350" s="7">
        <v>44987</v>
      </c>
      <c r="S2350" s="210">
        <v>4.5</v>
      </c>
      <c r="T2350" s="8">
        <v>1.0001249999999999</v>
      </c>
      <c r="U2350" s="98">
        <v>4.4429422174347755</v>
      </c>
      <c r="V2350" s="106">
        <v>32213.129351810865</v>
      </c>
      <c r="W2350" s="10">
        <v>1.1326176802863852</v>
      </c>
      <c r="X2350" s="420"/>
      <c r="Y2350" s="420"/>
      <c r="Z2350" s="1"/>
      <c r="AA2350" s="1"/>
      <c r="AB2350" s="1"/>
      <c r="AC2350" s="1"/>
      <c r="AD2350" s="1"/>
    </row>
    <row r="2351" spans="17:30">
      <c r="Q2351" s="6">
        <v>2321</v>
      </c>
      <c r="R2351" s="7">
        <v>44988</v>
      </c>
      <c r="S2351" s="210">
        <v>4.5</v>
      </c>
      <c r="T2351" s="8">
        <v>1.0001249999999999</v>
      </c>
      <c r="U2351" s="98">
        <v>4.443039029466056</v>
      </c>
      <c r="V2351" s="106">
        <v>32215.899802493259</v>
      </c>
      <c r="W2351" s="10">
        <v>1.1327470745746693</v>
      </c>
      <c r="X2351" s="420"/>
      <c r="Y2351" s="420"/>
      <c r="Z2351" s="1"/>
      <c r="AA2351" s="1"/>
      <c r="AB2351" s="1"/>
      <c r="AC2351" s="1"/>
      <c r="AD2351" s="1"/>
    </row>
    <row r="2352" spans="17:30">
      <c r="Q2352" s="6">
        <v>2322</v>
      </c>
      <c r="R2352" s="7">
        <v>44989</v>
      </c>
      <c r="S2352" s="210">
        <v>4.5</v>
      </c>
      <c r="T2352" s="8">
        <v>1.0001249999999999</v>
      </c>
      <c r="U2352" s="98">
        <v>4.4431357582002118</v>
      </c>
      <c r="V2352" s="106">
        <v>32218.670491444864</v>
      </c>
      <c r="W2352" s="10">
        <v>1.1328763575775724</v>
      </c>
      <c r="X2352" s="420"/>
      <c r="Y2352" s="420"/>
      <c r="Z2352" s="1"/>
      <c r="AA2352" s="1"/>
      <c r="AB2352" s="1"/>
      <c r="AC2352" s="1"/>
      <c r="AD2352" s="1"/>
    </row>
    <row r="2353" spans="17:30">
      <c r="Q2353" s="6">
        <v>2323</v>
      </c>
      <c r="R2353" s="7">
        <v>44990</v>
      </c>
      <c r="S2353" s="210">
        <v>4.5</v>
      </c>
      <c r="T2353" s="8">
        <v>1.0001249999999999</v>
      </c>
      <c r="U2353" s="98">
        <v>4.443232403744668</v>
      </c>
      <c r="V2353" s="106">
        <v>32221.441418686169</v>
      </c>
      <c r="W2353" s="10">
        <v>1.1330055294386021</v>
      </c>
      <c r="X2353" s="420"/>
      <c r="Y2353" s="420"/>
      <c r="Z2353" s="1"/>
      <c r="AA2353" s="1"/>
      <c r="AB2353" s="1"/>
      <c r="AC2353" s="1"/>
      <c r="AD2353" s="1"/>
    </row>
    <row r="2354" spans="17:30">
      <c r="Q2354" s="6">
        <v>2324</v>
      </c>
      <c r="R2354" s="7">
        <v>44991</v>
      </c>
      <c r="S2354" s="210">
        <v>4.5</v>
      </c>
      <c r="T2354" s="8">
        <v>1.0001249999999999</v>
      </c>
      <c r="U2354" s="98">
        <v>4.4433289662067166</v>
      </c>
      <c r="V2354" s="106">
        <v>32224.212584237681</v>
      </c>
      <c r="W2354" s="10">
        <v>1.1331345903010215</v>
      </c>
      <c r="X2354" s="420"/>
      <c r="Y2354" s="420"/>
      <c r="Z2354" s="1"/>
      <c r="AA2354" s="1"/>
      <c r="AB2354" s="1"/>
      <c r="AC2354" s="1"/>
      <c r="AD2354" s="1"/>
    </row>
    <row r="2355" spans="17:30">
      <c r="Q2355" s="6">
        <v>2325</v>
      </c>
      <c r="R2355" s="7">
        <v>44992</v>
      </c>
      <c r="S2355" s="210">
        <v>4.5</v>
      </c>
      <c r="T2355" s="8">
        <v>1.0001249999999999</v>
      </c>
      <c r="U2355" s="98">
        <v>4.4434254456934497</v>
      </c>
      <c r="V2355" s="106">
        <v>32226.983988119886</v>
      </c>
      <c r="W2355" s="10">
        <v>1.1332635403078273</v>
      </c>
      <c r="X2355" s="420"/>
      <c r="Y2355" s="420"/>
      <c r="Z2355" s="1"/>
      <c r="AA2355" s="1"/>
      <c r="AB2355" s="1"/>
      <c r="AC2355" s="1"/>
      <c r="AD2355" s="1"/>
    </row>
    <row r="2356" spans="17:30">
      <c r="Q2356" s="6">
        <v>2326</v>
      </c>
      <c r="R2356" s="7">
        <v>44993</v>
      </c>
      <c r="S2356" s="210">
        <v>4.5</v>
      </c>
      <c r="T2356" s="8">
        <v>1.0001249999999999</v>
      </c>
      <c r="U2356" s="98">
        <v>4.4435218423117595</v>
      </c>
      <c r="V2356" s="106">
        <v>32229.75563035328</v>
      </c>
      <c r="W2356" s="10">
        <v>1.133392379601772</v>
      </c>
      <c r="X2356" s="420"/>
      <c r="Y2356" s="420"/>
      <c r="Z2356" s="1"/>
      <c r="AA2356" s="1"/>
      <c r="AB2356" s="1"/>
      <c r="AC2356" s="1"/>
      <c r="AD2356" s="1"/>
    </row>
    <row r="2357" spans="17:30">
      <c r="Q2357" s="6">
        <v>2327</v>
      </c>
      <c r="R2357" s="7">
        <v>44994</v>
      </c>
      <c r="S2357" s="210">
        <v>4.5</v>
      </c>
      <c r="T2357" s="8">
        <v>1.0001249999999999</v>
      </c>
      <c r="U2357" s="98">
        <v>4.443618156168383</v>
      </c>
      <c r="V2357" s="106">
        <v>32232.527510958367</v>
      </c>
      <c r="W2357" s="10">
        <v>1.1335211083254304</v>
      </c>
      <c r="X2357" s="420"/>
      <c r="Y2357" s="420"/>
      <c r="Z2357" s="1"/>
      <c r="AA2357" s="1"/>
      <c r="AB2357" s="1"/>
      <c r="AC2357" s="1"/>
      <c r="AD2357" s="1"/>
    </row>
    <row r="2358" spans="17:30">
      <c r="Q2358" s="6">
        <v>2328</v>
      </c>
      <c r="R2358" s="7">
        <v>44995</v>
      </c>
      <c r="S2358" s="210">
        <v>4.5</v>
      </c>
      <c r="T2358" s="8">
        <v>1.0001249999999999</v>
      </c>
      <c r="U2358" s="98">
        <v>4.4437143873698348</v>
      </c>
      <c r="V2358" s="106">
        <v>32235.299629955647</v>
      </c>
      <c r="W2358" s="10">
        <v>1.1336497266210221</v>
      </c>
      <c r="X2358" s="420"/>
      <c r="Y2358" s="420"/>
      <c r="Z2358" s="1"/>
      <c r="AA2358" s="1"/>
      <c r="AB2358" s="1"/>
      <c r="AC2358" s="1"/>
      <c r="AD2358" s="1"/>
    </row>
    <row r="2359" spans="17:30">
      <c r="Q2359" s="6">
        <v>2329</v>
      </c>
      <c r="R2359" s="7">
        <v>44996</v>
      </c>
      <c r="S2359" s="210">
        <v>4.5</v>
      </c>
      <c r="T2359" s="8">
        <v>1.0001249999999999</v>
      </c>
      <c r="U2359" s="98">
        <v>4.4438105360224744</v>
      </c>
      <c r="V2359" s="106">
        <v>32238.071987365616</v>
      </c>
      <c r="W2359" s="10">
        <v>1.1337782346306113</v>
      </c>
      <c r="X2359" s="420"/>
      <c r="Y2359" s="420"/>
      <c r="Z2359" s="1"/>
      <c r="AA2359" s="1"/>
      <c r="AB2359" s="1"/>
      <c r="AC2359" s="1"/>
      <c r="AD2359" s="1"/>
    </row>
    <row r="2360" spans="17:30">
      <c r="Q2360" s="6">
        <v>2330</v>
      </c>
      <c r="R2360" s="7">
        <v>44997</v>
      </c>
      <c r="S2360" s="210">
        <v>4.5</v>
      </c>
      <c r="T2360" s="8">
        <v>1.0001249999999999</v>
      </c>
      <c r="U2360" s="98">
        <v>4.4439066022324836</v>
      </c>
      <c r="V2360" s="106">
        <v>32240.844583208793</v>
      </c>
      <c r="W2360" s="10">
        <v>1.1339066324959512</v>
      </c>
      <c r="X2360" s="420"/>
      <c r="Y2360" s="420"/>
      <c r="Z2360" s="1"/>
      <c r="AA2360" s="1"/>
      <c r="AB2360" s="1"/>
      <c r="AC2360" s="1"/>
      <c r="AD2360" s="1"/>
    </row>
    <row r="2361" spans="17:30">
      <c r="Q2361" s="6">
        <v>2331</v>
      </c>
      <c r="R2361" s="7">
        <v>44998</v>
      </c>
      <c r="S2361" s="210">
        <v>4.5</v>
      </c>
      <c r="T2361" s="8">
        <v>1.0001249999999999</v>
      </c>
      <c r="U2361" s="98">
        <v>4.4440025861058663</v>
      </c>
      <c r="V2361" s="106">
        <v>32243.617417505666</v>
      </c>
      <c r="W2361" s="10">
        <v>1.1340349203586619</v>
      </c>
      <c r="X2361" s="420"/>
      <c r="Y2361" s="420"/>
      <c r="Z2361" s="1"/>
      <c r="AA2361" s="1"/>
      <c r="AB2361" s="1"/>
      <c r="AC2361" s="1"/>
      <c r="AD2361" s="1"/>
    </row>
    <row r="2362" spans="17:30">
      <c r="Q2362" s="6">
        <v>2332</v>
      </c>
      <c r="R2362" s="7">
        <v>44999</v>
      </c>
      <c r="S2362" s="210">
        <v>4.5</v>
      </c>
      <c r="T2362" s="8">
        <v>1.0001249999999999</v>
      </c>
      <c r="U2362" s="98">
        <v>4.4440984877484047</v>
      </c>
      <c r="V2362" s="106">
        <v>32246.390490276757</v>
      </c>
      <c r="W2362" s="10">
        <v>1.1341630983599638</v>
      </c>
      <c r="X2362" s="420"/>
      <c r="Y2362" s="420"/>
      <c r="Z2362" s="1"/>
      <c r="AA2362" s="1"/>
      <c r="AB2362" s="1"/>
      <c r="AC2362" s="1"/>
      <c r="AD2362" s="1"/>
    </row>
    <row r="2363" spans="17:30">
      <c r="Q2363" s="6">
        <v>2333</v>
      </c>
      <c r="R2363" s="7">
        <v>45000</v>
      </c>
      <c r="S2363" s="210">
        <v>4.5</v>
      </c>
      <c r="T2363" s="8">
        <v>1.0001249999999999</v>
      </c>
      <c r="U2363" s="98">
        <v>4.4441943072657253</v>
      </c>
      <c r="V2363" s="106">
        <v>32249.163801542571</v>
      </c>
      <c r="W2363" s="10">
        <v>1.1342911666409661</v>
      </c>
      <c r="X2363" s="420"/>
      <c r="Y2363" s="420"/>
      <c r="Z2363" s="1"/>
      <c r="AA2363" s="1"/>
      <c r="AB2363" s="1"/>
      <c r="AC2363" s="1"/>
      <c r="AD2363" s="1"/>
    </row>
    <row r="2364" spans="17:30">
      <c r="Q2364" s="6">
        <v>2334</v>
      </c>
      <c r="R2364" s="7">
        <v>45001</v>
      </c>
      <c r="S2364" s="210">
        <v>4.5</v>
      </c>
      <c r="T2364" s="8">
        <v>1.0001249999999999</v>
      </c>
      <c r="U2364" s="98">
        <v>4.4442900447632994</v>
      </c>
      <c r="V2364" s="106">
        <v>32251.937351323617</v>
      </c>
      <c r="W2364" s="10">
        <v>1.1344191253424896</v>
      </c>
      <c r="X2364" s="420"/>
      <c r="Y2364" s="420"/>
      <c r="Z2364" s="1"/>
      <c r="AA2364" s="1"/>
      <c r="AB2364" s="1"/>
      <c r="AC2364" s="1"/>
      <c r="AD2364" s="1"/>
    </row>
    <row r="2365" spans="17:30">
      <c r="Q2365" s="6">
        <v>2335</v>
      </c>
      <c r="R2365" s="7">
        <v>45002</v>
      </c>
      <c r="S2365" s="210">
        <v>4.5</v>
      </c>
      <c r="T2365" s="8">
        <v>1.0001249999999999</v>
      </c>
      <c r="U2365" s="98">
        <v>4.444385700346376</v>
      </c>
      <c r="V2365" s="106">
        <v>32254.711139640411</v>
      </c>
      <c r="W2365" s="10">
        <v>1.1345469746050885</v>
      </c>
      <c r="X2365" s="420"/>
      <c r="Y2365" s="420"/>
      <c r="Z2365" s="1"/>
      <c r="AA2365" s="1"/>
      <c r="AB2365" s="1"/>
      <c r="AC2365" s="1"/>
      <c r="AD2365" s="1"/>
    </row>
    <row r="2366" spans="17:30">
      <c r="Q2366" s="6">
        <v>2336</v>
      </c>
      <c r="R2366" s="7">
        <v>45003</v>
      </c>
      <c r="S2366" s="210">
        <v>4.5</v>
      </c>
      <c r="T2366" s="8">
        <v>1.0001249999999999</v>
      </c>
      <c r="U2366" s="98">
        <v>4.4444812741200268</v>
      </c>
      <c r="V2366" s="106">
        <v>32257.485166513463</v>
      </c>
      <c r="W2366" s="10">
        <v>1.1346747145691172</v>
      </c>
      <c r="X2366" s="420"/>
      <c r="Y2366" s="420"/>
      <c r="Z2366" s="1"/>
      <c r="AA2366" s="1"/>
      <c r="AB2366" s="1"/>
      <c r="AC2366" s="1"/>
      <c r="AD2366" s="1"/>
    </row>
    <row r="2367" spans="17:30">
      <c r="Q2367" s="6">
        <v>2337</v>
      </c>
      <c r="R2367" s="7">
        <v>45004</v>
      </c>
      <c r="S2367" s="210">
        <v>4.5</v>
      </c>
      <c r="T2367" s="8">
        <v>1.0001249999999999</v>
      </c>
      <c r="U2367" s="98">
        <v>4.44457676618919</v>
      </c>
      <c r="V2367" s="106">
        <v>32260.259431963303</v>
      </c>
      <c r="W2367" s="10">
        <v>1.1348023453746636</v>
      </c>
      <c r="X2367" s="420"/>
      <c r="Y2367" s="420"/>
      <c r="Z2367" s="1"/>
      <c r="AA2367" s="1"/>
      <c r="AB2367" s="1"/>
      <c r="AC2367" s="1"/>
      <c r="AD2367" s="1"/>
    </row>
    <row r="2368" spans="17:30">
      <c r="Q2368" s="6">
        <v>2338</v>
      </c>
      <c r="R2368" s="7">
        <v>45005</v>
      </c>
      <c r="S2368" s="210">
        <v>4.5</v>
      </c>
      <c r="T2368" s="8">
        <v>1.0001249999999999</v>
      </c>
      <c r="U2368" s="98">
        <v>4.4446721766585817</v>
      </c>
      <c r="V2368" s="106">
        <v>32263.033936010434</v>
      </c>
      <c r="W2368" s="10">
        <v>1.1349298671616159</v>
      </c>
      <c r="X2368" s="420"/>
      <c r="Y2368" s="420"/>
      <c r="Z2368" s="1"/>
      <c r="AA2368" s="1"/>
      <c r="AB2368" s="1"/>
      <c r="AC2368" s="1"/>
      <c r="AD2368" s="1"/>
    </row>
    <row r="2369" spans="17:30">
      <c r="Q2369" s="6">
        <v>2339</v>
      </c>
      <c r="R2369" s="7">
        <v>45006</v>
      </c>
      <c r="S2369" s="210">
        <v>4.5</v>
      </c>
      <c r="T2369" s="8">
        <v>1.0001249999999999</v>
      </c>
      <c r="U2369" s="98">
        <v>4.4447675056327407</v>
      </c>
      <c r="V2369" s="106">
        <v>32265.808678675385</v>
      </c>
      <c r="W2369" s="10">
        <v>1.1350572800695735</v>
      </c>
      <c r="X2369" s="420"/>
      <c r="Y2369" s="420"/>
      <c r="Z2369" s="1"/>
      <c r="AA2369" s="1"/>
      <c r="AB2369" s="1"/>
      <c r="AC2369" s="1"/>
      <c r="AD2369" s="1"/>
    </row>
    <row r="2370" spans="17:30">
      <c r="Q2370" s="6">
        <v>2340</v>
      </c>
      <c r="R2370" s="7">
        <v>45007</v>
      </c>
      <c r="S2370" s="210">
        <v>4.5</v>
      </c>
      <c r="T2370" s="8">
        <v>1.0001249999999999</v>
      </c>
      <c r="U2370" s="98">
        <v>4.4448627532160279</v>
      </c>
      <c r="V2370" s="106">
        <v>32268.583659978678</v>
      </c>
      <c r="W2370" s="10">
        <v>1.1351845842379138</v>
      </c>
      <c r="X2370" s="420"/>
      <c r="Y2370" s="420"/>
      <c r="Z2370" s="1"/>
      <c r="AA2370" s="1"/>
      <c r="AB2370" s="1"/>
      <c r="AC2370" s="1"/>
      <c r="AD2370" s="1"/>
    </row>
    <row r="2371" spans="17:30">
      <c r="Q2371" s="6">
        <v>2341</v>
      </c>
      <c r="R2371" s="7">
        <v>45008</v>
      </c>
      <c r="S2371" s="210">
        <v>4.5</v>
      </c>
      <c r="T2371" s="8">
        <v>1.0001249999999999</v>
      </c>
      <c r="U2371" s="98">
        <v>4.4449579195126487</v>
      </c>
      <c r="V2371" s="106">
        <v>32271.358879940828</v>
      </c>
      <c r="W2371" s="10">
        <v>1.1353117798057921</v>
      </c>
      <c r="X2371" s="420"/>
      <c r="Y2371" s="420"/>
      <c r="Z2371" s="1"/>
      <c r="AA2371" s="1"/>
      <c r="AB2371" s="1"/>
      <c r="AC2371" s="1"/>
      <c r="AD2371" s="1"/>
    </row>
    <row r="2372" spans="17:30">
      <c r="Q2372" s="6">
        <v>2342</v>
      </c>
      <c r="R2372" s="7">
        <v>45009</v>
      </c>
      <c r="S2372" s="210">
        <v>4.5</v>
      </c>
      <c r="T2372" s="8">
        <v>1.0001249999999999</v>
      </c>
      <c r="U2372" s="98">
        <v>4.4450530046266312</v>
      </c>
      <c r="V2372" s="106">
        <v>32274.134338582371</v>
      </c>
      <c r="W2372" s="10">
        <v>1.1354388669121196</v>
      </c>
      <c r="X2372" s="420"/>
      <c r="Y2372" s="420"/>
      <c r="Z2372" s="1"/>
      <c r="AA2372" s="1"/>
      <c r="AB2372" s="1"/>
      <c r="AC2372" s="1"/>
      <c r="AD2372" s="1"/>
    </row>
    <row r="2373" spans="17:30">
      <c r="Q2373" s="6">
        <v>2343</v>
      </c>
      <c r="R2373" s="7">
        <v>45010</v>
      </c>
      <c r="S2373" s="210">
        <v>4.5</v>
      </c>
      <c r="T2373" s="8">
        <v>1.0001249999999999</v>
      </c>
      <c r="U2373" s="98">
        <v>4.4451480086617812</v>
      </c>
      <c r="V2373" s="106">
        <v>32276.910035923833</v>
      </c>
      <c r="W2373" s="10">
        <v>1.1355658456955409</v>
      </c>
      <c r="X2373" s="420"/>
      <c r="Y2373" s="420"/>
      <c r="Z2373" s="1"/>
      <c r="AA2373" s="1"/>
      <c r="AB2373" s="1"/>
      <c r="AC2373" s="1"/>
      <c r="AD2373" s="1"/>
    </row>
    <row r="2374" spans="17:30">
      <c r="Q2374" s="6">
        <v>2344</v>
      </c>
      <c r="R2374" s="7">
        <v>45011</v>
      </c>
      <c r="S2374" s="210">
        <v>4.5</v>
      </c>
      <c r="T2374" s="8">
        <v>1.0001249999999999</v>
      </c>
      <c r="U2374" s="98">
        <v>4.4452429317217712</v>
      </c>
      <c r="V2374" s="106">
        <v>32279.685971985738</v>
      </c>
      <c r="W2374" s="10">
        <v>1.135692716294523</v>
      </c>
      <c r="X2374" s="420"/>
      <c r="Y2374" s="420"/>
      <c r="Z2374" s="1"/>
      <c r="AA2374" s="1"/>
      <c r="AB2374" s="1"/>
      <c r="AC2374" s="1"/>
      <c r="AD2374" s="1"/>
    </row>
    <row r="2375" spans="17:30">
      <c r="Q2375" s="6">
        <v>2345</v>
      </c>
      <c r="R2375" s="7">
        <v>45012</v>
      </c>
      <c r="S2375" s="210">
        <v>4.5</v>
      </c>
      <c r="T2375" s="8">
        <v>1.0001249999999999</v>
      </c>
      <c r="U2375" s="98">
        <v>4.4453377739100963</v>
      </c>
      <c r="V2375" s="106">
        <v>32282.462146788617</v>
      </c>
      <c r="W2375" s="10">
        <v>1.1358194788472664</v>
      </c>
      <c r="X2375" s="420"/>
      <c r="Y2375" s="420"/>
      <c r="Z2375" s="1"/>
      <c r="AA2375" s="1"/>
      <c r="AB2375" s="1"/>
      <c r="AC2375" s="1"/>
      <c r="AD2375" s="1"/>
    </row>
    <row r="2376" spans="17:30">
      <c r="Q2376" s="6">
        <v>2346</v>
      </c>
      <c r="R2376" s="7">
        <v>45013</v>
      </c>
      <c r="S2376" s="210">
        <v>4.5</v>
      </c>
      <c r="T2376" s="8">
        <v>1.0001249999999999</v>
      </c>
      <c r="U2376" s="98">
        <v>4.4454325353300517</v>
      </c>
      <c r="V2376" s="106">
        <v>32285.238560353013</v>
      </c>
      <c r="W2376" s="10">
        <v>1.1359461334917276</v>
      </c>
      <c r="X2376" s="420"/>
      <c r="Y2376" s="420"/>
      <c r="Z2376" s="1"/>
      <c r="AA2376" s="1"/>
      <c r="AB2376" s="1"/>
      <c r="AC2376" s="1"/>
      <c r="AD2376" s="1"/>
    </row>
    <row r="2377" spans="17:30">
      <c r="Q2377" s="6">
        <v>2347</v>
      </c>
      <c r="R2377" s="7">
        <v>45014</v>
      </c>
      <c r="S2377" s="210">
        <v>4.5</v>
      </c>
      <c r="T2377" s="8">
        <v>1.0001249999999999</v>
      </c>
      <c r="U2377" s="98">
        <v>4.445527216084777</v>
      </c>
      <c r="V2377" s="106">
        <v>32288.015212699444</v>
      </c>
      <c r="W2377" s="10">
        <v>1.1360726803656185</v>
      </c>
      <c r="X2377" s="420"/>
      <c r="Y2377" s="420"/>
      <c r="Z2377" s="1"/>
      <c r="AA2377" s="1"/>
      <c r="AB2377" s="1"/>
      <c r="AC2377" s="1"/>
      <c r="AD2377" s="1"/>
    </row>
    <row r="2378" spans="17:30">
      <c r="Q2378" s="6">
        <v>2348</v>
      </c>
      <c r="R2378" s="7">
        <v>45015</v>
      </c>
      <c r="S2378" s="210">
        <v>4.5</v>
      </c>
      <c r="T2378" s="8">
        <v>1.0001249999999999</v>
      </c>
      <c r="U2378" s="98">
        <v>4.4456218162772121</v>
      </c>
      <c r="V2378" s="106">
        <v>32290.79210384846</v>
      </c>
      <c r="W2378" s="10">
        <v>1.1361991196064514</v>
      </c>
      <c r="X2378" s="420"/>
      <c r="Y2378" s="420"/>
      <c r="Z2378" s="1"/>
      <c r="AA2378" s="1"/>
      <c r="AB2378" s="1"/>
      <c r="AC2378" s="1"/>
      <c r="AD2378" s="1"/>
    </row>
    <row r="2379" spans="17:30">
      <c r="Q2379" s="6">
        <v>2349</v>
      </c>
      <c r="R2379" s="7">
        <v>45016</v>
      </c>
      <c r="S2379" s="210">
        <v>4.5</v>
      </c>
      <c r="T2379" s="8">
        <v>1.0001249999999999</v>
      </c>
      <c r="U2379" s="98">
        <v>4.4457163360101415</v>
      </c>
      <c r="V2379" s="106">
        <v>32293.569233820588</v>
      </c>
      <c r="W2379" s="10">
        <v>1.136325451351472</v>
      </c>
      <c r="X2379" s="420"/>
      <c r="Y2379" s="420"/>
      <c r="Z2379" s="1"/>
      <c r="AA2379" s="1"/>
      <c r="AB2379" s="1"/>
      <c r="AC2379" s="1"/>
      <c r="AD2379" s="1"/>
    </row>
    <row r="2380" spans="17:30">
      <c r="Q2380" s="6">
        <v>2350</v>
      </c>
      <c r="R2380" s="7">
        <v>45017</v>
      </c>
      <c r="S2380" s="210">
        <v>4.5</v>
      </c>
      <c r="T2380" s="8">
        <v>1.0001249999999999</v>
      </c>
      <c r="U2380" s="98">
        <v>4.445810775386172</v>
      </c>
      <c r="V2380" s="106">
        <v>32296.346602636375</v>
      </c>
      <c r="W2380" s="10">
        <v>1.1364516757377041</v>
      </c>
      <c r="X2380" s="420"/>
      <c r="Y2380" s="420"/>
      <c r="Z2380" s="1"/>
      <c r="AA2380" s="1"/>
      <c r="AB2380" s="1"/>
      <c r="AC2380" s="1"/>
      <c r="AD2380" s="1"/>
    </row>
    <row r="2381" spans="17:30">
      <c r="Q2381" s="6">
        <v>2351</v>
      </c>
      <c r="R2381" s="7">
        <v>45018</v>
      </c>
      <c r="S2381" s="210">
        <v>4.5</v>
      </c>
      <c r="T2381" s="8">
        <v>1.0001249999999999</v>
      </c>
      <c r="U2381" s="98">
        <v>4.4459051345077327</v>
      </c>
      <c r="V2381" s="106">
        <v>32299.124210316368</v>
      </c>
      <c r="W2381" s="10">
        <v>1.1365777929019716</v>
      </c>
      <c r="X2381" s="420"/>
      <c r="Y2381" s="420"/>
      <c r="Z2381" s="1"/>
      <c r="AA2381" s="1"/>
      <c r="AB2381" s="1"/>
      <c r="AC2381" s="1"/>
      <c r="AD2381" s="1"/>
    </row>
    <row r="2382" spans="17:30">
      <c r="Q2382" s="6">
        <v>2352</v>
      </c>
      <c r="R2382" s="7">
        <v>45019</v>
      </c>
      <c r="S2382" s="210">
        <v>4.5</v>
      </c>
      <c r="T2382" s="8">
        <v>1.0001249999999999</v>
      </c>
      <c r="U2382" s="98">
        <v>4.4459994134770975</v>
      </c>
      <c r="V2382" s="106">
        <v>32301.902056881092</v>
      </c>
      <c r="W2382" s="10">
        <v>1.1367038029808318</v>
      </c>
      <c r="X2382" s="420"/>
      <c r="Y2382" s="420"/>
      <c r="Z2382" s="1"/>
      <c r="AA2382" s="1"/>
      <c r="AB2382" s="1"/>
      <c r="AC2382" s="1"/>
      <c r="AD2382" s="1"/>
    </row>
    <row r="2383" spans="17:30">
      <c r="Q2383" s="6">
        <v>2353</v>
      </c>
      <c r="R2383" s="7">
        <v>45020</v>
      </c>
      <c r="S2383" s="210">
        <v>4.5</v>
      </c>
      <c r="T2383" s="8">
        <v>1.0001249999999999</v>
      </c>
      <c r="U2383" s="98">
        <v>4.446093612396318</v>
      </c>
      <c r="V2383" s="106">
        <v>32304.68014235111</v>
      </c>
      <c r="W2383" s="10">
        <v>1.1368297061105759</v>
      </c>
      <c r="X2383" s="420"/>
      <c r="Y2383" s="420"/>
      <c r="Z2383" s="1"/>
      <c r="AA2383" s="1"/>
      <c r="AB2383" s="1"/>
      <c r="AC2383" s="1"/>
      <c r="AD2383" s="1"/>
    </row>
    <row r="2384" spans="17:30">
      <c r="Q2384" s="6">
        <v>2354</v>
      </c>
      <c r="R2384" s="7">
        <v>45021</v>
      </c>
      <c r="S2384" s="210">
        <v>4.5</v>
      </c>
      <c r="T2384" s="8">
        <v>1.0001249999999999</v>
      </c>
      <c r="U2384" s="98">
        <v>4.4461877313673348</v>
      </c>
      <c r="V2384" s="106">
        <v>32307.458466746964</v>
      </c>
      <c r="W2384" s="10">
        <v>1.1369555024273614</v>
      </c>
      <c r="X2384" s="420"/>
      <c r="Y2384" s="420"/>
      <c r="Z2384" s="1"/>
      <c r="AA2384" s="1"/>
      <c r="AB2384" s="1"/>
      <c r="AC2384" s="1"/>
      <c r="AD2384" s="1"/>
    </row>
    <row r="2385" spans="17:30">
      <c r="Q2385" s="6">
        <v>2355</v>
      </c>
      <c r="R2385" s="7">
        <v>45022</v>
      </c>
      <c r="S2385" s="210">
        <v>4.5</v>
      </c>
      <c r="T2385" s="8">
        <v>1.0001249999999999</v>
      </c>
      <c r="U2385" s="98">
        <v>4.4462817704918667</v>
      </c>
      <c r="V2385" s="106">
        <v>32310.237030089196</v>
      </c>
      <c r="W2385" s="10">
        <v>1.1370811920670132</v>
      </c>
      <c r="X2385" s="420"/>
      <c r="Y2385" s="420"/>
      <c r="Z2385" s="1"/>
      <c r="AA2385" s="1"/>
      <c r="AB2385" s="1"/>
      <c r="AC2385" s="1"/>
      <c r="AD2385" s="1"/>
    </row>
    <row r="2386" spans="17:30">
      <c r="Q2386" s="6">
        <v>2356</v>
      </c>
      <c r="R2386" s="7">
        <v>45023</v>
      </c>
      <c r="S2386" s="210">
        <v>4.5</v>
      </c>
      <c r="T2386" s="8">
        <v>1.0001249999999999</v>
      </c>
      <c r="U2386" s="98">
        <v>4.4463757298714768</v>
      </c>
      <c r="V2386" s="106">
        <v>32313.01583239836</v>
      </c>
      <c r="W2386" s="10">
        <v>1.137206775165156</v>
      </c>
      <c r="X2386" s="420"/>
      <c r="Y2386" s="420"/>
      <c r="Z2386" s="1"/>
      <c r="AA2386" s="1"/>
      <c r="AB2386" s="1"/>
      <c r="AC2386" s="1"/>
      <c r="AD2386" s="1"/>
    </row>
    <row r="2387" spans="17:30">
      <c r="Q2387" s="6">
        <v>2357</v>
      </c>
      <c r="R2387" s="7">
        <v>45024</v>
      </c>
      <c r="S2387" s="210">
        <v>4.5</v>
      </c>
      <c r="T2387" s="8">
        <v>1.0001249999999999</v>
      </c>
      <c r="U2387" s="98">
        <v>4.4464696096075729</v>
      </c>
      <c r="V2387" s="106">
        <v>32315.794873695013</v>
      </c>
      <c r="W2387" s="10">
        <v>1.1373322518572593</v>
      </c>
      <c r="X2387" s="420"/>
      <c r="Y2387" s="420"/>
      <c r="Z2387" s="1"/>
      <c r="AA2387" s="1"/>
      <c r="AB2387" s="1"/>
      <c r="AC2387" s="1"/>
      <c r="AD2387" s="1"/>
    </row>
    <row r="2388" spans="17:30">
      <c r="Q2388" s="6">
        <v>2358</v>
      </c>
      <c r="R2388" s="7">
        <v>45025</v>
      </c>
      <c r="S2388" s="210">
        <v>4.5</v>
      </c>
      <c r="T2388" s="8">
        <v>1.0001249999999999</v>
      </c>
      <c r="U2388" s="98">
        <v>4.4465634098013629</v>
      </c>
      <c r="V2388" s="106">
        <v>32318.574153999696</v>
      </c>
      <c r="W2388" s="10">
        <v>1.1374576222784594</v>
      </c>
      <c r="X2388" s="420"/>
      <c r="Y2388" s="420"/>
      <c r="Z2388" s="1"/>
      <c r="AA2388" s="1"/>
      <c r="AB2388" s="1"/>
      <c r="AC2388" s="1"/>
      <c r="AD2388" s="1"/>
    </row>
    <row r="2389" spans="17:30">
      <c r="Q2389" s="6">
        <v>2359</v>
      </c>
      <c r="R2389" s="7">
        <v>45026</v>
      </c>
      <c r="S2389" s="210">
        <v>4.5</v>
      </c>
      <c r="T2389" s="8">
        <v>1.0001249999999999</v>
      </c>
      <c r="U2389" s="98">
        <v>4.4466571305538993</v>
      </c>
      <c r="V2389" s="106">
        <v>32321.353673332978</v>
      </c>
      <c r="W2389" s="10">
        <v>1.137582886563715</v>
      </c>
      <c r="X2389" s="420"/>
      <c r="Y2389" s="420"/>
      <c r="Z2389" s="1"/>
      <c r="AA2389" s="1"/>
      <c r="AB2389" s="1"/>
      <c r="AC2389" s="1"/>
      <c r="AD2389" s="1"/>
    </row>
    <row r="2390" spans="17:30">
      <c r="Q2390" s="6">
        <v>2360</v>
      </c>
      <c r="R2390" s="7">
        <v>45027</v>
      </c>
      <c r="S2390" s="210">
        <v>4.5</v>
      </c>
      <c r="T2390" s="8">
        <v>1.0001249999999999</v>
      </c>
      <c r="U2390" s="98">
        <v>4.4467507719660571</v>
      </c>
      <c r="V2390" s="106">
        <v>32324.133431715414</v>
      </c>
      <c r="W2390" s="10">
        <v>1.1377080448477406</v>
      </c>
      <c r="X2390" s="420"/>
      <c r="Y2390" s="420"/>
      <c r="Z2390" s="1"/>
      <c r="AA2390" s="1"/>
      <c r="AB2390" s="1"/>
      <c r="AC2390" s="1"/>
      <c r="AD2390" s="1"/>
    </row>
    <row r="2391" spans="17:30">
      <c r="Q2391" s="6">
        <v>2361</v>
      </c>
      <c r="R2391" s="7">
        <v>45028</v>
      </c>
      <c r="S2391" s="210">
        <v>4.5</v>
      </c>
      <c r="T2391" s="8">
        <v>1.0001249999999999</v>
      </c>
      <c r="U2391" s="98">
        <v>4.4468443341385333</v>
      </c>
      <c r="V2391" s="106">
        <v>32326.913429167555</v>
      </c>
      <c r="W2391" s="10">
        <v>1.1378330972650286</v>
      </c>
      <c r="X2391" s="420"/>
      <c r="Y2391" s="420"/>
      <c r="Z2391" s="1"/>
      <c r="AA2391" s="1"/>
      <c r="AB2391" s="1"/>
      <c r="AC2391" s="1"/>
      <c r="AD2391" s="1"/>
    </row>
    <row r="2392" spans="17:30">
      <c r="Q2392" s="6">
        <v>2362</v>
      </c>
      <c r="R2392" s="7">
        <v>45029</v>
      </c>
      <c r="S2392" s="210">
        <v>4.5</v>
      </c>
      <c r="T2392" s="8">
        <v>1.0001249999999999</v>
      </c>
      <c r="U2392" s="98">
        <v>4.4469378171718921</v>
      </c>
      <c r="V2392" s="106">
        <v>32329.693665709969</v>
      </c>
      <c r="W2392" s="10">
        <v>1.1379580439498715</v>
      </c>
      <c r="X2392" s="420"/>
      <c r="Y2392" s="420"/>
      <c r="Z2392" s="1"/>
      <c r="AA2392" s="1"/>
      <c r="AB2392" s="1"/>
      <c r="AC2392" s="1"/>
      <c r="AD2392" s="1"/>
    </row>
    <row r="2393" spans="17:30">
      <c r="Q2393" s="6">
        <v>2363</v>
      </c>
      <c r="R2393" s="7">
        <v>45030</v>
      </c>
      <c r="S2393" s="210">
        <v>4.5</v>
      </c>
      <c r="T2393" s="8">
        <v>1.0001249999999999</v>
      </c>
      <c r="U2393" s="98">
        <v>4.4470312211664753</v>
      </c>
      <c r="V2393" s="106">
        <v>32332.474141363218</v>
      </c>
      <c r="W2393" s="10">
        <v>1.1380828850362734</v>
      </c>
      <c r="X2393" s="420"/>
      <c r="Y2393" s="420"/>
      <c r="Z2393" s="1"/>
      <c r="AA2393" s="1"/>
      <c r="AB2393" s="1"/>
      <c r="AC2393" s="1"/>
      <c r="AD2393" s="1"/>
    </row>
    <row r="2394" spans="17:30">
      <c r="Q2394" s="6">
        <v>2364</v>
      </c>
      <c r="R2394" s="7">
        <v>45031</v>
      </c>
      <c r="S2394" s="210">
        <v>4.5</v>
      </c>
      <c r="T2394" s="8">
        <v>1.0001249999999999</v>
      </c>
      <c r="U2394" s="98">
        <v>4.4471245462224918</v>
      </c>
      <c r="V2394" s="106">
        <v>32335.254856147872</v>
      </c>
      <c r="W2394" s="10">
        <v>1.1382076206580605</v>
      </c>
      <c r="X2394" s="420"/>
      <c r="Y2394" s="420"/>
      <c r="Z2394" s="1"/>
      <c r="AA2394" s="1"/>
      <c r="AB2394" s="1"/>
      <c r="AC2394" s="1"/>
      <c r="AD2394" s="1"/>
    </row>
    <row r="2395" spans="17:30">
      <c r="Q2395" s="6">
        <v>2365</v>
      </c>
      <c r="R2395" s="7">
        <v>45032</v>
      </c>
      <c r="S2395" s="210">
        <v>4.5</v>
      </c>
      <c r="T2395" s="8">
        <v>1.0001249999999999</v>
      </c>
      <c r="U2395" s="98">
        <v>4.4472177924399725</v>
      </c>
      <c r="V2395" s="106">
        <v>32338.035810084479</v>
      </c>
      <c r="W2395" s="10">
        <v>1.1383322509488369</v>
      </c>
      <c r="X2395" s="420"/>
      <c r="Y2395" s="420"/>
      <c r="Z2395" s="1"/>
      <c r="AA2395" s="1"/>
      <c r="AB2395" s="1"/>
      <c r="AC2395" s="1"/>
      <c r="AD2395" s="1"/>
    </row>
    <row r="2396" spans="17:30">
      <c r="Q2396" s="6">
        <v>2366</v>
      </c>
      <c r="R2396" s="7">
        <v>45033</v>
      </c>
      <c r="S2396" s="210">
        <v>4.5</v>
      </c>
      <c r="T2396" s="8">
        <v>1.0001249999999999</v>
      </c>
      <c r="U2396" s="98">
        <v>4.447310959918771</v>
      </c>
      <c r="V2396" s="106">
        <v>32340.817003193628</v>
      </c>
      <c r="W2396" s="10">
        <v>1.1384567760419406</v>
      </c>
      <c r="X2396" s="420"/>
      <c r="Y2396" s="420"/>
      <c r="Z2396" s="1"/>
      <c r="AA2396" s="1"/>
      <c r="AB2396" s="1"/>
      <c r="AC2396" s="1"/>
      <c r="AD2396" s="1"/>
    </row>
    <row r="2397" spans="17:30">
      <c r="Q2397" s="6">
        <v>2367</v>
      </c>
      <c r="R2397" s="7">
        <v>45034</v>
      </c>
      <c r="S2397" s="210">
        <v>4.5</v>
      </c>
      <c r="T2397" s="8">
        <v>1.0001249999999999</v>
      </c>
      <c r="U2397" s="98">
        <v>4.4474040487585631</v>
      </c>
      <c r="V2397" s="106">
        <v>32343.598435495871</v>
      </c>
      <c r="W2397" s="10">
        <v>1.1385811960705094</v>
      </c>
      <c r="X2397" s="420"/>
      <c r="Y2397" s="420"/>
      <c r="Z2397" s="1"/>
      <c r="AA2397" s="1"/>
      <c r="AB2397" s="1"/>
      <c r="AC2397" s="1"/>
      <c r="AD2397" s="1"/>
    </row>
    <row r="2398" spans="17:30">
      <c r="Q2398" s="6">
        <v>2368</v>
      </c>
      <c r="R2398" s="7">
        <v>45035</v>
      </c>
      <c r="S2398" s="210">
        <v>4.5</v>
      </c>
      <c r="T2398" s="8">
        <v>1.0001249999999999</v>
      </c>
      <c r="U2398" s="98">
        <v>4.4474970590588914</v>
      </c>
      <c r="V2398" s="106">
        <v>32346.380107011799</v>
      </c>
      <c r="W2398" s="10">
        <v>1.1387055111674593</v>
      </c>
      <c r="X2398" s="420"/>
      <c r="Y2398" s="420"/>
      <c r="Z2398" s="1"/>
      <c r="AA2398" s="1"/>
      <c r="AB2398" s="1"/>
      <c r="AC2398" s="1"/>
      <c r="AD2398" s="1"/>
    </row>
    <row r="2399" spans="17:30">
      <c r="Q2399" s="6">
        <v>2369</v>
      </c>
      <c r="R2399" s="7">
        <v>45036</v>
      </c>
      <c r="S2399" s="210">
        <v>4.5</v>
      </c>
      <c r="T2399" s="8">
        <v>1.0001249999999999</v>
      </c>
      <c r="U2399" s="98">
        <v>4.4475899909190986</v>
      </c>
      <c r="V2399" s="106">
        <v>32349.162017761959</v>
      </c>
      <c r="W2399" s="10">
        <v>1.1388297214654841</v>
      </c>
      <c r="X2399" s="420"/>
      <c r="Y2399" s="420"/>
      <c r="Z2399" s="1"/>
      <c r="AA2399" s="1"/>
      <c r="AB2399" s="1"/>
      <c r="AC2399" s="1"/>
      <c r="AD2399" s="1"/>
    </row>
    <row r="2400" spans="17:30">
      <c r="Q2400" s="6">
        <v>2370</v>
      </c>
      <c r="R2400" s="7">
        <v>45037</v>
      </c>
      <c r="S2400" s="210">
        <v>4.5</v>
      </c>
      <c r="T2400" s="8">
        <v>1.0001249999999999</v>
      </c>
      <c r="U2400" s="98">
        <v>4.4476828444383942</v>
      </c>
      <c r="V2400" s="106">
        <v>32351.944167766953</v>
      </c>
      <c r="W2400" s="10">
        <v>1.1389538270970556</v>
      </c>
      <c r="X2400" s="420"/>
      <c r="Y2400" s="420"/>
      <c r="Z2400" s="1"/>
      <c r="AA2400" s="1"/>
      <c r="AB2400" s="1"/>
      <c r="AC2400" s="1"/>
      <c r="AD2400" s="1"/>
    </row>
    <row r="2401" spans="17:30">
      <c r="Q2401" s="6">
        <v>2371</v>
      </c>
      <c r="R2401" s="7">
        <v>45038</v>
      </c>
      <c r="S2401" s="210">
        <v>4.5</v>
      </c>
      <c r="T2401" s="8">
        <v>1.0001249999999999</v>
      </c>
      <c r="U2401" s="98">
        <v>4.4477756197157658</v>
      </c>
      <c r="V2401" s="106">
        <v>32354.726557047339</v>
      </c>
      <c r="W2401" s="10">
        <v>1.1390778281944014</v>
      </c>
      <c r="X2401" s="420"/>
      <c r="Y2401" s="420"/>
      <c r="Z2401" s="1"/>
      <c r="AA2401" s="1"/>
      <c r="AB2401" s="1"/>
      <c r="AC2401" s="1"/>
      <c r="AD2401" s="1"/>
    </row>
    <row r="2402" spans="17:30">
      <c r="Q2402" s="6">
        <v>2372</v>
      </c>
      <c r="R2402" s="7">
        <v>45039</v>
      </c>
      <c r="S2402" s="210">
        <v>4.5</v>
      </c>
      <c r="T2402" s="8">
        <v>1.0001249999999999</v>
      </c>
      <c r="U2402" s="98">
        <v>4.4478683168500899</v>
      </c>
      <c r="V2402" s="106">
        <v>32357.509185623712</v>
      </c>
      <c r="W2402" s="10">
        <v>1.1392017248895492</v>
      </c>
      <c r="X2402" s="420"/>
      <c r="Y2402" s="420"/>
      <c r="Z2402" s="1"/>
      <c r="AA2402" s="1"/>
      <c r="AB2402" s="1"/>
      <c r="AC2402" s="1"/>
      <c r="AD2402" s="1"/>
    </row>
    <row r="2403" spans="17:30">
      <c r="Q2403" s="6">
        <v>2373</v>
      </c>
      <c r="R2403" s="7">
        <v>45040</v>
      </c>
      <c r="S2403" s="210">
        <v>4.5</v>
      </c>
      <c r="T2403" s="8">
        <v>1.0001249999999999</v>
      </c>
      <c r="U2403" s="98">
        <v>4.4479609359400429</v>
      </c>
      <c r="V2403" s="106">
        <v>32360.292053516638</v>
      </c>
      <c r="W2403" s="10">
        <v>1.1393255173142602</v>
      </c>
      <c r="X2403" s="420"/>
      <c r="Y2403" s="420"/>
      <c r="Z2403" s="1"/>
      <c r="AA2403" s="1"/>
      <c r="AB2403" s="1"/>
      <c r="AC2403" s="1"/>
      <c r="AD2403" s="1"/>
    </row>
    <row r="2404" spans="17:30">
      <c r="Q2404" s="6">
        <v>2374</v>
      </c>
      <c r="R2404" s="7">
        <v>45041</v>
      </c>
      <c r="S2404" s="210">
        <v>4.5</v>
      </c>
      <c r="T2404" s="8">
        <v>1.0001249999999999</v>
      </c>
      <c r="U2404" s="98">
        <v>4.4480534770841462</v>
      </c>
      <c r="V2404" s="106">
        <v>32363.075160746699</v>
      </c>
      <c r="W2404" s="10">
        <v>1.1394492056001626</v>
      </c>
      <c r="X2404" s="420"/>
      <c r="Y2404" s="420"/>
      <c r="Z2404" s="1"/>
      <c r="AA2404" s="1"/>
      <c r="AB2404" s="1"/>
      <c r="AC2404" s="1"/>
      <c r="AD2404" s="1"/>
    </row>
    <row r="2405" spans="17:30">
      <c r="Q2405" s="6">
        <v>2375</v>
      </c>
      <c r="R2405" s="7">
        <v>45042</v>
      </c>
      <c r="S2405" s="210">
        <v>4.5</v>
      </c>
      <c r="T2405" s="8">
        <v>1.0001249999999999</v>
      </c>
      <c r="U2405" s="98">
        <v>4.4481459403807433</v>
      </c>
      <c r="V2405" s="106">
        <v>32365.858507334491</v>
      </c>
      <c r="W2405" s="10">
        <v>1.1395727898785735</v>
      </c>
      <c r="X2405" s="420"/>
      <c r="Y2405" s="420"/>
      <c r="Z2405" s="1"/>
      <c r="AA2405" s="1"/>
      <c r="AB2405" s="1"/>
      <c r="AC2405" s="1"/>
      <c r="AD2405" s="1"/>
    </row>
    <row r="2406" spans="17:30">
      <c r="Q2406" s="6">
        <v>2376</v>
      </c>
      <c r="R2406" s="7">
        <v>45043</v>
      </c>
      <c r="S2406" s="210">
        <v>4.5</v>
      </c>
      <c r="T2406" s="8">
        <v>1.0001249999999999</v>
      </c>
      <c r="U2406" s="98">
        <v>4.4482383259280445</v>
      </c>
      <c r="V2406" s="106">
        <v>32368.64209330059</v>
      </c>
      <c r="W2406" s="10">
        <v>1.1396962702806324</v>
      </c>
      <c r="X2406" s="420"/>
      <c r="Y2406" s="420"/>
      <c r="Z2406" s="1"/>
      <c r="AA2406" s="1"/>
      <c r="AB2406" s="1"/>
      <c r="AC2406" s="1"/>
      <c r="AD2406" s="1"/>
    </row>
    <row r="2407" spans="17:30">
      <c r="Q2407" s="6">
        <v>2377</v>
      </c>
      <c r="R2407" s="7">
        <v>45044</v>
      </c>
      <c r="S2407" s="210">
        <v>4.5</v>
      </c>
      <c r="T2407" s="8">
        <v>1.0001249999999999</v>
      </c>
      <c r="U2407" s="98">
        <v>4.4483306338240602</v>
      </c>
      <c r="V2407" s="106">
        <v>32371.425918665584</v>
      </c>
      <c r="W2407" s="10">
        <v>1.1398196469372568</v>
      </c>
      <c r="X2407" s="420"/>
      <c r="Y2407" s="420"/>
      <c r="Z2407" s="1"/>
      <c r="AA2407" s="1"/>
      <c r="AB2407" s="1"/>
      <c r="AC2407" s="1"/>
      <c r="AD2407" s="1"/>
    </row>
    <row r="2408" spans="17:30">
      <c r="Q2408" s="6">
        <v>2378</v>
      </c>
      <c r="R2408" s="7">
        <v>45045</v>
      </c>
      <c r="S2408" s="210">
        <v>4.5</v>
      </c>
      <c r="T2408" s="8">
        <v>1.0001249999999999</v>
      </c>
      <c r="U2408" s="98">
        <v>4.4484228641666457</v>
      </c>
      <c r="V2408" s="106">
        <v>32374.20998345007</v>
      </c>
      <c r="W2408" s="10">
        <v>1.13994291997912</v>
      </c>
      <c r="X2408" s="420"/>
      <c r="Y2408" s="420"/>
      <c r="Z2408" s="1"/>
      <c r="AA2408" s="1"/>
      <c r="AB2408" s="1"/>
      <c r="AC2408" s="1"/>
      <c r="AD2408" s="1"/>
    </row>
    <row r="2409" spans="17:30">
      <c r="Q2409" s="6">
        <v>2379</v>
      </c>
      <c r="R2409" s="7">
        <v>45046</v>
      </c>
      <c r="S2409" s="210">
        <v>4.5</v>
      </c>
      <c r="T2409" s="8">
        <v>1.0001249999999999</v>
      </c>
      <c r="U2409" s="98">
        <v>4.4485150170535004</v>
      </c>
      <c r="V2409" s="106">
        <v>32376.994287674628</v>
      </c>
      <c r="W2409" s="10">
        <v>1.1400660895367176</v>
      </c>
      <c r="X2409" s="420"/>
      <c r="Y2409" s="420"/>
      <c r="Z2409" s="1"/>
      <c r="AA2409" s="1"/>
      <c r="AB2409" s="1"/>
      <c r="AC2409" s="1"/>
      <c r="AD2409" s="1"/>
    </row>
    <row r="2410" spans="17:30">
      <c r="Q2410" s="6">
        <v>2380</v>
      </c>
      <c r="R2410" s="7">
        <v>45047</v>
      </c>
      <c r="S2410" s="210">
        <v>4.5</v>
      </c>
      <c r="T2410" s="8">
        <v>1.0001249999999999</v>
      </c>
      <c r="U2410" s="98">
        <v>4.4486070925821686</v>
      </c>
      <c r="V2410" s="106">
        <v>32379.778831359854</v>
      </c>
      <c r="W2410" s="10">
        <v>1.140189155740301</v>
      </c>
      <c r="X2410" s="420"/>
      <c r="Y2410" s="420"/>
      <c r="Z2410" s="1"/>
      <c r="AA2410" s="1"/>
      <c r="AB2410" s="1"/>
      <c r="AC2410" s="1"/>
      <c r="AD2410" s="1"/>
    </row>
    <row r="2411" spans="17:30">
      <c r="Q2411" s="6">
        <v>2381</v>
      </c>
      <c r="R2411" s="7">
        <v>45048</v>
      </c>
      <c r="S2411" s="210">
        <v>4.5</v>
      </c>
      <c r="T2411" s="8">
        <v>1.0001249999999999</v>
      </c>
      <c r="U2411" s="98">
        <v>4.4486990908499946</v>
      </c>
      <c r="V2411" s="106">
        <v>32382.563614526349</v>
      </c>
      <c r="W2411" s="10">
        <v>1.1403121187198773</v>
      </c>
      <c r="X2411" s="420"/>
      <c r="Y2411" s="420"/>
      <c r="Z2411" s="1"/>
      <c r="AA2411" s="1"/>
      <c r="AB2411" s="1"/>
      <c r="AC2411" s="1"/>
      <c r="AD2411" s="1"/>
    </row>
    <row r="2412" spans="17:30">
      <c r="Q2412" s="6">
        <v>2382</v>
      </c>
      <c r="R2412" s="7">
        <v>45049</v>
      </c>
      <c r="S2412" s="210">
        <v>4.5</v>
      </c>
      <c r="T2412" s="8">
        <v>1.0001249999999999</v>
      </c>
      <c r="U2412" s="98">
        <v>4.4487910119541896</v>
      </c>
      <c r="V2412" s="106">
        <v>32385.348637194704</v>
      </c>
      <c r="W2412" s="10">
        <v>1.1404349786052981</v>
      </c>
      <c r="X2412" s="420"/>
      <c r="Y2412" s="420"/>
      <c r="Z2412" s="1"/>
      <c r="AA2412" s="1"/>
      <c r="AB2412" s="1"/>
      <c r="AC2412" s="1"/>
      <c r="AD2412" s="1"/>
    </row>
    <row r="2413" spans="17:30">
      <c r="Q2413" s="6">
        <v>2383</v>
      </c>
      <c r="R2413" s="7">
        <v>45050</v>
      </c>
      <c r="S2413" s="210">
        <v>4.5</v>
      </c>
      <c r="T2413" s="8">
        <v>1.0001249999999999</v>
      </c>
      <c r="U2413" s="98">
        <v>4.4488828559918092</v>
      </c>
      <c r="V2413" s="106">
        <v>32388.133899385524</v>
      </c>
      <c r="W2413" s="10">
        <v>1.1405577355261487</v>
      </c>
      <c r="X2413" s="420"/>
      <c r="Y2413" s="420"/>
      <c r="Z2413" s="1"/>
      <c r="AA2413" s="1"/>
      <c r="AB2413" s="1"/>
      <c r="AC2413" s="1"/>
      <c r="AD2413" s="1"/>
    </row>
    <row r="2414" spans="17:30">
      <c r="Q2414" s="6">
        <v>2384</v>
      </c>
      <c r="R2414" s="7">
        <v>45051</v>
      </c>
      <c r="S2414" s="210">
        <v>4.5</v>
      </c>
      <c r="T2414" s="8">
        <v>1.0001249999999999</v>
      </c>
      <c r="U2414" s="98">
        <v>4.4489746230597094</v>
      </c>
      <c r="V2414" s="106">
        <v>32390.919401119394</v>
      </c>
      <c r="W2414" s="10">
        <v>1.1406803896118145</v>
      </c>
      <c r="X2414" s="420"/>
      <c r="Y2414" s="420"/>
      <c r="Z2414" s="1"/>
      <c r="AA2414" s="1"/>
      <c r="AB2414" s="1"/>
      <c r="AC2414" s="1"/>
      <c r="AD2414" s="1"/>
    </row>
    <row r="2415" spans="17:30">
      <c r="Q2415" s="6">
        <v>2385</v>
      </c>
      <c r="R2415" s="7">
        <v>45052</v>
      </c>
      <c r="S2415" s="210">
        <v>4.5</v>
      </c>
      <c r="T2415" s="8">
        <v>1.0001249999999999</v>
      </c>
      <c r="U2415" s="98">
        <v>4.4490663132546127</v>
      </c>
      <c r="V2415" s="106">
        <v>32393.705142416926</v>
      </c>
      <c r="W2415" s="10">
        <v>1.1408029409914366</v>
      </c>
      <c r="X2415" s="420"/>
      <c r="Y2415" s="420"/>
      <c r="Z2415" s="1"/>
      <c r="AA2415" s="1"/>
      <c r="AB2415" s="1"/>
      <c r="AC2415" s="1"/>
      <c r="AD2415" s="1"/>
    </row>
    <row r="2416" spans="17:30">
      <c r="Q2416" s="6">
        <v>2386</v>
      </c>
      <c r="R2416" s="7">
        <v>45053</v>
      </c>
      <c r="S2416" s="210">
        <v>4.5</v>
      </c>
      <c r="T2416" s="8">
        <v>1.0001249999999999</v>
      </c>
      <c r="U2416" s="98">
        <v>4.4491579266730863</v>
      </c>
      <c r="V2416" s="106">
        <v>32396.491123298722</v>
      </c>
      <c r="W2416" s="10">
        <v>1.1409253897940008</v>
      </c>
      <c r="X2416" s="420"/>
      <c r="Y2416" s="420"/>
      <c r="Z2416" s="1"/>
      <c r="AA2416" s="1"/>
      <c r="AB2416" s="1"/>
      <c r="AC2416" s="1"/>
      <c r="AD2416" s="1"/>
    </row>
    <row r="2417" spans="17:30">
      <c r="Q2417" s="6">
        <v>2387</v>
      </c>
      <c r="R2417" s="7">
        <v>45054</v>
      </c>
      <c r="S2417" s="210">
        <v>4.5</v>
      </c>
      <c r="T2417" s="8">
        <v>1.0001249999999999</v>
      </c>
      <c r="U2417" s="98">
        <v>4.4492494634115198</v>
      </c>
      <c r="V2417" s="106">
        <v>32399.27734378539</v>
      </c>
      <c r="W2417" s="10">
        <v>1.1410477361482263</v>
      </c>
      <c r="X2417" s="420"/>
      <c r="Y2417" s="420"/>
      <c r="Z2417" s="1"/>
      <c r="AA2417" s="1"/>
      <c r="AB2417" s="1"/>
      <c r="AC2417" s="1"/>
      <c r="AD2417" s="1"/>
    </row>
    <row r="2418" spans="17:30">
      <c r="Q2418" s="6">
        <v>2388</v>
      </c>
      <c r="R2418" s="7">
        <v>45055</v>
      </c>
      <c r="S2418" s="210">
        <v>4.5</v>
      </c>
      <c r="T2418" s="8">
        <v>1.0001249999999999</v>
      </c>
      <c r="U2418" s="98">
        <v>4.4493409235661252</v>
      </c>
      <c r="V2418" s="106">
        <v>32402.063803897527</v>
      </c>
      <c r="W2418" s="10">
        <v>1.1411699801826103</v>
      </c>
      <c r="X2418" s="420"/>
      <c r="Y2418" s="420"/>
      <c r="Z2418" s="1"/>
      <c r="AA2418" s="1"/>
      <c r="AB2418" s="1"/>
      <c r="AC2418" s="1"/>
      <c r="AD2418" s="1"/>
    </row>
    <row r="2419" spans="17:30">
      <c r="Q2419" s="6">
        <v>2389</v>
      </c>
      <c r="R2419" s="7">
        <v>45056</v>
      </c>
      <c r="S2419" s="210">
        <v>4.5</v>
      </c>
      <c r="T2419" s="8">
        <v>1.0001249999999999</v>
      </c>
      <c r="U2419" s="98">
        <v>4.4494323072330033</v>
      </c>
      <c r="V2419" s="106">
        <v>32404.850503655758</v>
      </c>
      <c r="W2419" s="10">
        <v>1.1412921220255168</v>
      </c>
      <c r="X2419" s="420"/>
      <c r="Y2419" s="420"/>
      <c r="Z2419" s="1"/>
      <c r="AA2419" s="1"/>
      <c r="AB2419" s="1"/>
      <c r="AC2419" s="1"/>
      <c r="AD2419" s="1"/>
    </row>
    <row r="2420" spans="17:30">
      <c r="Q2420" s="6">
        <v>2390</v>
      </c>
      <c r="R2420" s="7">
        <v>45057</v>
      </c>
      <c r="S2420" s="210">
        <v>4.5</v>
      </c>
      <c r="T2420" s="8">
        <v>1.0001249999999999</v>
      </c>
      <c r="U2420" s="98">
        <v>4.449523614508033</v>
      </c>
      <c r="V2420" s="106">
        <v>32407.637443080679</v>
      </c>
      <c r="W2420" s="10">
        <v>1.1414141618049545</v>
      </c>
      <c r="X2420" s="420"/>
      <c r="Y2420" s="420"/>
      <c r="Z2420" s="1"/>
      <c r="AA2420" s="1"/>
      <c r="AB2420" s="1"/>
      <c r="AC2420" s="1"/>
      <c r="AD2420" s="1"/>
    </row>
    <row r="2421" spans="17:30">
      <c r="Q2421" s="6">
        <v>2391</v>
      </c>
      <c r="R2421" s="7">
        <v>45058</v>
      </c>
      <c r="S2421" s="210">
        <v>4.5</v>
      </c>
      <c r="T2421" s="8">
        <v>1.0001249999999999</v>
      </c>
      <c r="U2421" s="98">
        <v>4.4496148454869822</v>
      </c>
      <c r="V2421" s="106">
        <v>32410.42462219291</v>
      </c>
      <c r="W2421" s="10">
        <v>1.1415360996488655</v>
      </c>
      <c r="X2421" s="420"/>
      <c r="Y2421" s="420"/>
      <c r="Z2421" s="1"/>
      <c r="AA2421" s="1"/>
      <c r="AB2421" s="1"/>
      <c r="AC2421" s="1"/>
      <c r="AD2421" s="1"/>
    </row>
    <row r="2422" spans="17:30">
      <c r="Q2422" s="6">
        <v>2392</v>
      </c>
      <c r="R2422" s="7">
        <v>45059</v>
      </c>
      <c r="S2422" s="210">
        <v>4.5</v>
      </c>
      <c r="T2422" s="8">
        <v>1.0001249999999999</v>
      </c>
      <c r="U2422" s="98">
        <v>4.4497060002654187</v>
      </c>
      <c r="V2422" s="106">
        <v>32413.212041013056</v>
      </c>
      <c r="W2422" s="10">
        <v>1.1416579356848588</v>
      </c>
      <c r="X2422" s="420"/>
      <c r="Y2422" s="420"/>
      <c r="Z2422" s="1"/>
      <c r="AA2422" s="1"/>
      <c r="AB2422" s="1"/>
      <c r="AC2422" s="1"/>
      <c r="AD2422" s="1"/>
    </row>
    <row r="2423" spans="17:30">
      <c r="Q2423" s="6">
        <v>2393</v>
      </c>
      <c r="R2423" s="7">
        <v>45060</v>
      </c>
      <c r="S2423" s="210">
        <v>4.5</v>
      </c>
      <c r="T2423" s="8">
        <v>1.0001249999999999</v>
      </c>
      <c r="U2423" s="98">
        <v>4.4497970789387997</v>
      </c>
      <c r="V2423" s="106">
        <v>32415.999699561748</v>
      </c>
      <c r="W2423" s="10">
        <v>1.1417796700404326</v>
      </c>
      <c r="X2423" s="420"/>
      <c r="Y2423" s="420"/>
      <c r="Z2423" s="1"/>
      <c r="AA2423" s="1"/>
      <c r="AB2423" s="1"/>
      <c r="AC2423" s="1"/>
      <c r="AD2423" s="1"/>
    </row>
    <row r="2424" spans="17:30">
      <c r="Q2424" s="6">
        <v>2394</v>
      </c>
      <c r="R2424" s="7">
        <v>45061</v>
      </c>
      <c r="S2424" s="210">
        <v>4.5</v>
      </c>
      <c r="T2424" s="8">
        <v>1.0001249999999999</v>
      </c>
      <c r="U2424" s="98">
        <v>4.4498880816023823</v>
      </c>
      <c r="V2424" s="106">
        <v>32418.787597859588</v>
      </c>
      <c r="W2424" s="10">
        <v>1.1419013028427738</v>
      </c>
      <c r="X2424" s="420"/>
      <c r="Y2424" s="420"/>
      <c r="Z2424" s="1"/>
      <c r="AA2424" s="1"/>
      <c r="AB2424" s="1"/>
      <c r="AC2424" s="1"/>
      <c r="AD2424" s="1"/>
    </row>
    <row r="2425" spans="17:30">
      <c r="Q2425" s="6">
        <v>2395</v>
      </c>
      <c r="R2425" s="7">
        <v>45062</v>
      </c>
      <c r="S2425" s="210">
        <v>4.5</v>
      </c>
      <c r="T2425" s="8">
        <v>1.0001249999999999</v>
      </c>
      <c r="U2425" s="98">
        <v>4.449979008351268</v>
      </c>
      <c r="V2425" s="106">
        <v>32421.575735927199</v>
      </c>
      <c r="W2425" s="10">
        <v>1.1420228342189365</v>
      </c>
      <c r="X2425" s="420"/>
      <c r="Y2425" s="420"/>
      <c r="Z2425" s="1"/>
      <c r="AA2425" s="1"/>
      <c r="AB2425" s="1"/>
      <c r="AC2425" s="1"/>
      <c r="AD2425" s="1"/>
    </row>
    <row r="2426" spans="17:30">
      <c r="Q2426" s="6">
        <v>2396</v>
      </c>
      <c r="R2426" s="7">
        <v>45063</v>
      </c>
      <c r="S2426" s="210">
        <v>4.5</v>
      </c>
      <c r="T2426" s="8">
        <v>1.0001249999999999</v>
      </c>
      <c r="U2426" s="98">
        <v>4.4500698592804255</v>
      </c>
      <c r="V2426" s="106">
        <v>32424.364113785206</v>
      </c>
      <c r="W2426" s="10">
        <v>1.1421442642957302</v>
      </c>
      <c r="X2426" s="420"/>
      <c r="Y2426" s="420"/>
      <c r="Z2426" s="1"/>
      <c r="AA2426" s="1"/>
      <c r="AB2426" s="1"/>
      <c r="AC2426" s="1"/>
      <c r="AD2426" s="1"/>
    </row>
    <row r="2427" spans="17:30">
      <c r="Q2427" s="6">
        <v>2397</v>
      </c>
      <c r="R2427" s="7">
        <v>45064</v>
      </c>
      <c r="S2427" s="210">
        <v>4.5</v>
      </c>
      <c r="T2427" s="8">
        <v>1.0001249999999999</v>
      </c>
      <c r="U2427" s="98">
        <v>4.4501606344846456</v>
      </c>
      <c r="V2427" s="106">
        <v>32427.152731454236</v>
      </c>
      <c r="W2427" s="10">
        <v>1.1422655931997427</v>
      </c>
      <c r="X2427" s="420"/>
      <c r="Y2427" s="420"/>
      <c r="Z2427" s="1"/>
      <c r="AA2427" s="1"/>
      <c r="AB2427" s="1"/>
      <c r="AC2427" s="1"/>
      <c r="AD2427" s="1"/>
    </row>
    <row r="2428" spans="17:30">
      <c r="Q2428" s="6">
        <v>2398</v>
      </c>
      <c r="R2428" s="7">
        <v>45065</v>
      </c>
      <c r="S2428" s="210">
        <v>4.5</v>
      </c>
      <c r="T2428" s="8">
        <v>1.0001249999999999</v>
      </c>
      <c r="U2428" s="98">
        <v>4.4502513340585637</v>
      </c>
      <c r="V2428" s="106">
        <v>32429.941588954909</v>
      </c>
      <c r="W2428" s="10">
        <v>1.142386821057384</v>
      </c>
      <c r="X2428" s="420"/>
      <c r="Y2428" s="420"/>
      <c r="Z2428" s="1"/>
      <c r="AA2428" s="1"/>
      <c r="AB2428" s="1"/>
      <c r="AC2428" s="1"/>
      <c r="AD2428" s="1"/>
    </row>
    <row r="2429" spans="17:30">
      <c r="Q2429" s="6">
        <v>2399</v>
      </c>
      <c r="R2429" s="7">
        <v>45066</v>
      </c>
      <c r="S2429" s="210">
        <v>4.5</v>
      </c>
      <c r="T2429" s="8">
        <v>1.0001249999999999</v>
      </c>
      <c r="U2429" s="98">
        <v>4.4503419580966597</v>
      </c>
      <c r="V2429" s="106">
        <v>32432.730686307845</v>
      </c>
      <c r="W2429" s="10">
        <v>1.1425079479948197</v>
      </c>
      <c r="X2429" s="420"/>
      <c r="Y2429" s="420"/>
      <c r="Z2429" s="1"/>
      <c r="AA2429" s="1"/>
      <c r="AB2429" s="1"/>
      <c r="AC2429" s="1"/>
      <c r="AD2429" s="1"/>
    </row>
    <row r="2430" spans="17:30">
      <c r="Q2430" s="6">
        <v>2400</v>
      </c>
      <c r="R2430" s="7">
        <v>45067</v>
      </c>
      <c r="S2430" s="210">
        <v>4.5</v>
      </c>
      <c r="T2430" s="8">
        <v>1.0001249999999999</v>
      </c>
      <c r="U2430" s="98">
        <v>4.4504325066932582</v>
      </c>
      <c r="V2430" s="106">
        <v>32435.520023533685</v>
      </c>
      <c r="W2430" s="10">
        <v>1.1426289741380158</v>
      </c>
      <c r="X2430" s="420"/>
      <c r="Y2430" s="420"/>
      <c r="Z2430" s="1"/>
      <c r="AA2430" s="1"/>
      <c r="AB2430" s="1"/>
      <c r="AC2430" s="1"/>
      <c r="AD2430" s="1"/>
    </row>
    <row r="2431" spans="17:30">
      <c r="Q2431" s="6">
        <v>2401</v>
      </c>
      <c r="R2431" s="7">
        <v>45068</v>
      </c>
      <c r="S2431" s="210">
        <v>4.5</v>
      </c>
      <c r="T2431" s="8">
        <v>1.0001249999999999</v>
      </c>
      <c r="U2431" s="98">
        <v>4.4505229799425061</v>
      </c>
      <c r="V2431" s="106">
        <v>32438.30960065305</v>
      </c>
      <c r="W2431" s="10">
        <v>1.1427498996127161</v>
      </c>
      <c r="X2431" s="420"/>
      <c r="Y2431" s="420"/>
      <c r="Z2431" s="1"/>
      <c r="AA2431" s="1"/>
      <c r="AB2431" s="1"/>
      <c r="AC2431" s="1"/>
      <c r="AD2431" s="1"/>
    </row>
    <row r="2432" spans="17:30">
      <c r="Q2432" s="6">
        <v>2402</v>
      </c>
      <c r="R2432" s="7">
        <v>45069</v>
      </c>
      <c r="S2432" s="210">
        <v>4.5</v>
      </c>
      <c r="T2432" s="8">
        <v>1.0001249999999999</v>
      </c>
      <c r="U2432" s="98">
        <v>4.4506133779384394</v>
      </c>
      <c r="V2432" s="106">
        <v>32441.099417686572</v>
      </c>
      <c r="W2432" s="10">
        <v>1.1428707245445091</v>
      </c>
      <c r="X2432" s="420"/>
      <c r="Y2432" s="420"/>
      <c r="Z2432" s="1"/>
      <c r="AA2432" s="1"/>
      <c r="AB2432" s="1"/>
      <c r="AC2432" s="1"/>
      <c r="AD2432" s="1"/>
    </row>
    <row r="2433" spans="17:30">
      <c r="Q2433" s="6">
        <v>2403</v>
      </c>
      <c r="R2433" s="7">
        <v>45070</v>
      </c>
      <c r="S2433" s="210">
        <v>4.5</v>
      </c>
      <c r="T2433" s="8">
        <v>1.0001249999999999</v>
      </c>
      <c r="U2433" s="98">
        <v>4.450703700774894</v>
      </c>
      <c r="V2433" s="106">
        <v>32443.889474654887</v>
      </c>
      <c r="W2433" s="10">
        <v>1.142991449058739</v>
      </c>
      <c r="X2433" s="420"/>
      <c r="Y2433" s="420"/>
      <c r="Z2433" s="1"/>
      <c r="AA2433" s="1"/>
      <c r="AB2433" s="1"/>
      <c r="AC2433" s="1"/>
      <c r="AD2433" s="1"/>
    </row>
    <row r="2434" spans="17:30">
      <c r="Q2434" s="6">
        <v>2404</v>
      </c>
      <c r="R2434" s="7">
        <v>45071</v>
      </c>
      <c r="S2434" s="210">
        <v>4.5</v>
      </c>
      <c r="T2434" s="8">
        <v>1.0001249999999999</v>
      </c>
      <c r="U2434" s="98">
        <v>4.4507939485455505</v>
      </c>
      <c r="V2434" s="106">
        <v>32446.679771578631</v>
      </c>
      <c r="W2434" s="10">
        <v>1.1431120732804834</v>
      </c>
      <c r="X2434" s="420"/>
      <c r="Y2434" s="420"/>
      <c r="Z2434" s="1"/>
      <c r="AA2434" s="1"/>
      <c r="AB2434" s="1"/>
      <c r="AC2434" s="1"/>
      <c r="AD2434" s="1"/>
    </row>
    <row r="2435" spans="17:30">
      <c r="Q2435" s="6">
        <v>2405</v>
      </c>
      <c r="R2435" s="7">
        <v>45072</v>
      </c>
      <c r="S2435" s="210">
        <v>4.5</v>
      </c>
      <c r="T2435" s="8">
        <v>1.0001249999999999</v>
      </c>
      <c r="U2435" s="98">
        <v>4.4508841213439787</v>
      </c>
      <c r="V2435" s="106">
        <v>32449.470308478434</v>
      </c>
      <c r="W2435" s="10">
        <v>1.1432325973347313</v>
      </c>
      <c r="X2435" s="420"/>
      <c r="Y2435" s="420"/>
      <c r="Z2435" s="1"/>
      <c r="AA2435" s="1"/>
      <c r="AB2435" s="1"/>
      <c r="AC2435" s="1"/>
      <c r="AD2435" s="1"/>
    </row>
    <row r="2436" spans="17:30">
      <c r="Q2436" s="6">
        <v>2406</v>
      </c>
      <c r="R2436" s="7">
        <v>45073</v>
      </c>
      <c r="S2436" s="210">
        <v>4.5</v>
      </c>
      <c r="T2436" s="8">
        <v>1.0001249999999999</v>
      </c>
      <c r="U2436" s="98">
        <v>4.4509742192635482</v>
      </c>
      <c r="V2436" s="106">
        <v>32452.26108537495</v>
      </c>
      <c r="W2436" s="10">
        <v>1.1433530213461385</v>
      </c>
      <c r="X2436" s="420"/>
      <c r="Y2436" s="420"/>
      <c r="Z2436" s="1"/>
      <c r="AA2436" s="1"/>
      <c r="AB2436" s="1"/>
      <c r="AC2436" s="1"/>
      <c r="AD2436" s="1"/>
    </row>
    <row r="2437" spans="17:30">
      <c r="Q2437" s="6">
        <v>2407</v>
      </c>
      <c r="R2437" s="7">
        <v>45074</v>
      </c>
      <c r="S2437" s="210">
        <v>4.5</v>
      </c>
      <c r="T2437" s="8">
        <v>1.0001249999999999</v>
      </c>
      <c r="U2437" s="98">
        <v>4.4510642423974955</v>
      </c>
      <c r="V2437" s="106">
        <v>32455.052102288802</v>
      </c>
      <c r="W2437" s="10">
        <v>1.1434733454392942</v>
      </c>
      <c r="X2437" s="420"/>
      <c r="Y2437" s="420"/>
      <c r="Z2437" s="1"/>
      <c r="AA2437" s="1"/>
      <c r="AB2437" s="1"/>
      <c r="AC2437" s="1"/>
      <c r="AD2437" s="1"/>
    </row>
    <row r="2438" spans="17:30">
      <c r="Q2438" s="6">
        <v>2408</v>
      </c>
      <c r="R2438" s="7">
        <v>45075</v>
      </c>
      <c r="S2438" s="210">
        <v>4.5</v>
      </c>
      <c r="T2438" s="8">
        <v>1.0001249999999999</v>
      </c>
      <c r="U2438" s="98">
        <v>4.4511541908388796</v>
      </c>
      <c r="V2438" s="106">
        <v>32457.843359240647</v>
      </c>
      <c r="W2438" s="10">
        <v>1.1435935697384325</v>
      </c>
      <c r="X2438" s="420"/>
      <c r="Y2438" s="420"/>
      <c r="Z2438" s="1"/>
      <c r="AA2438" s="1"/>
      <c r="AB2438" s="1"/>
      <c r="AC2438" s="1"/>
      <c r="AD2438" s="1"/>
    </row>
    <row r="2439" spans="17:30">
      <c r="Q2439" s="6">
        <v>2409</v>
      </c>
      <c r="R2439" s="7">
        <v>45076</v>
      </c>
      <c r="S2439" s="210">
        <v>4.5</v>
      </c>
      <c r="T2439" s="8">
        <v>1.0001249999999999</v>
      </c>
      <c r="U2439" s="98">
        <v>4.4512440646806262</v>
      </c>
      <c r="V2439" s="106">
        <v>32460.634856251123</v>
      </c>
      <c r="W2439" s="10">
        <v>1.1437136943676762</v>
      </c>
      <c r="X2439" s="420"/>
      <c r="Y2439" s="420"/>
      <c r="Z2439" s="1"/>
      <c r="AA2439" s="1"/>
      <c r="AB2439" s="1"/>
      <c r="AC2439" s="1"/>
      <c r="AD2439" s="1"/>
    </row>
    <row r="2440" spans="17:30">
      <c r="Q2440" s="6">
        <v>2410</v>
      </c>
      <c r="R2440" s="7">
        <v>45077</v>
      </c>
      <c r="S2440" s="210">
        <v>4.5</v>
      </c>
      <c r="T2440" s="8">
        <v>1.0001249999999999</v>
      </c>
      <c r="U2440" s="98">
        <v>4.4513338640155053</v>
      </c>
      <c r="V2440" s="106">
        <v>32463.426593340875</v>
      </c>
      <c r="W2440" s="10">
        <v>1.1438337194509263</v>
      </c>
      <c r="X2440" s="420"/>
      <c r="Y2440" s="420"/>
      <c r="Z2440" s="1"/>
      <c r="AA2440" s="1"/>
      <c r="AB2440" s="1"/>
      <c r="AC2440" s="1"/>
      <c r="AD2440" s="1"/>
    </row>
    <row r="2441" spans="17:30">
      <c r="Q2441" s="6">
        <v>2411</v>
      </c>
      <c r="R2441" s="7">
        <v>45078</v>
      </c>
      <c r="S2441" s="210">
        <v>4.5</v>
      </c>
      <c r="T2441" s="8">
        <v>1.0001249999999999</v>
      </c>
      <c r="U2441" s="98">
        <v>4.451423588936132</v>
      </c>
      <c r="V2441" s="106">
        <v>32466.218570530546</v>
      </c>
      <c r="W2441" s="10">
        <v>1.1439536451118615</v>
      </c>
      <c r="X2441" s="420"/>
      <c r="Y2441" s="420"/>
      <c r="Z2441" s="1"/>
      <c r="AA2441" s="1"/>
      <c r="AB2441" s="1"/>
      <c r="AC2441" s="1"/>
      <c r="AD2441" s="1"/>
    </row>
    <row r="2442" spans="17:30">
      <c r="Q2442" s="6">
        <v>2412</v>
      </c>
      <c r="R2442" s="7">
        <v>45079</v>
      </c>
      <c r="S2442" s="210">
        <v>4.5</v>
      </c>
      <c r="T2442" s="8">
        <v>1.0001249999999999</v>
      </c>
      <c r="U2442" s="98">
        <v>4.4515132395349655</v>
      </c>
      <c r="V2442" s="106">
        <v>32469.010787840794</v>
      </c>
      <c r="W2442" s="10">
        <v>1.1440734714739609</v>
      </c>
      <c r="X2442" s="420"/>
      <c r="Y2442" s="420"/>
      <c r="Z2442" s="1"/>
      <c r="AA2442" s="1"/>
      <c r="AB2442" s="1"/>
      <c r="AC2442" s="1"/>
      <c r="AD2442" s="1"/>
    </row>
    <row r="2443" spans="17:30">
      <c r="Q2443" s="6">
        <v>2413</v>
      </c>
      <c r="R2443" s="7">
        <v>45080</v>
      </c>
      <c r="S2443" s="210">
        <v>4.5</v>
      </c>
      <c r="T2443" s="8">
        <v>1.0001249999999999</v>
      </c>
      <c r="U2443" s="98">
        <v>4.4516028159043097</v>
      </c>
      <c r="V2443" s="106">
        <v>32471.803245292267</v>
      </c>
      <c r="W2443" s="10">
        <v>1.1441931986605258</v>
      </c>
      <c r="X2443" s="420"/>
      <c r="Y2443" s="420"/>
      <c r="Z2443" s="1"/>
      <c r="AA2443" s="1"/>
      <c r="AB2443" s="1"/>
      <c r="AC2443" s="1"/>
      <c r="AD2443" s="1"/>
    </row>
    <row r="2444" spans="17:30">
      <c r="Q2444" s="6">
        <v>2414</v>
      </c>
      <c r="R2444" s="7">
        <v>45081</v>
      </c>
      <c r="S2444" s="210">
        <v>4.5</v>
      </c>
      <c r="T2444" s="8">
        <v>1.0001249999999999</v>
      </c>
      <c r="U2444" s="98">
        <v>4.4516923181363355</v>
      </c>
      <c r="V2444" s="106">
        <v>32474.595942905617</v>
      </c>
      <c r="W2444" s="10">
        <v>1.1443128267946134</v>
      </c>
      <c r="X2444" s="420"/>
      <c r="Y2444" s="420"/>
      <c r="Z2444" s="1"/>
      <c r="AA2444" s="1"/>
      <c r="AB2444" s="1"/>
      <c r="AC2444" s="1"/>
      <c r="AD2444" s="1"/>
    </row>
    <row r="2445" spans="17:30">
      <c r="Q2445" s="6">
        <v>2415</v>
      </c>
      <c r="R2445" s="7">
        <v>45082</v>
      </c>
      <c r="S2445" s="210">
        <v>4.5</v>
      </c>
      <c r="T2445" s="8">
        <v>1.0001249999999999</v>
      </c>
      <c r="U2445" s="98">
        <v>4.4517817463230136</v>
      </c>
      <c r="V2445" s="106">
        <v>32477.388880701503</v>
      </c>
      <c r="W2445" s="10">
        <v>1.144432355999081</v>
      </c>
      <c r="X2445" s="420"/>
      <c r="Y2445" s="420"/>
      <c r="Z2445" s="1"/>
      <c r="AA2445" s="1"/>
      <c r="AB2445" s="1"/>
      <c r="AC2445" s="1"/>
      <c r="AD2445" s="1"/>
    </row>
    <row r="2446" spans="17:30">
      <c r="Q2446" s="6">
        <v>2416</v>
      </c>
      <c r="R2446" s="7">
        <v>45083</v>
      </c>
      <c r="S2446" s="210">
        <v>4.5</v>
      </c>
      <c r="T2446" s="8">
        <v>1.0001249999999999</v>
      </c>
      <c r="U2446" s="98">
        <v>4.4518711005562039</v>
      </c>
      <c r="V2446" s="106">
        <v>32480.182058700579</v>
      </c>
      <c r="W2446" s="10">
        <v>1.1445517863966304</v>
      </c>
      <c r="X2446" s="420"/>
      <c r="Y2446" s="420"/>
      <c r="Z2446" s="1"/>
      <c r="AA2446" s="1"/>
      <c r="AB2446" s="1"/>
      <c r="AC2446" s="1"/>
      <c r="AD2446" s="1"/>
    </row>
    <row r="2447" spans="17:30">
      <c r="Q2447" s="6">
        <v>2417</v>
      </c>
      <c r="R2447" s="7">
        <v>45084</v>
      </c>
      <c r="S2447" s="210">
        <v>4.5</v>
      </c>
      <c r="T2447" s="8">
        <v>1.0001249999999999</v>
      </c>
      <c r="U2447" s="98">
        <v>4.4519603809276109</v>
      </c>
      <c r="V2447" s="106">
        <v>32482.975476923504</v>
      </c>
      <c r="W2447" s="10">
        <v>1.1446711181096969</v>
      </c>
      <c r="X2447" s="420"/>
      <c r="Y2447" s="420"/>
      <c r="Z2447" s="1"/>
      <c r="AA2447" s="1"/>
      <c r="AB2447" s="1"/>
      <c r="AC2447" s="1"/>
      <c r="AD2447" s="1"/>
    </row>
    <row r="2448" spans="17:30">
      <c r="Q2448" s="6">
        <v>2418</v>
      </c>
      <c r="R2448" s="7">
        <v>45085</v>
      </c>
      <c r="S2448" s="210">
        <v>4.5</v>
      </c>
      <c r="T2448" s="8">
        <v>1.0001249999999999</v>
      </c>
      <c r="U2448" s="98">
        <v>4.4520495875287835</v>
      </c>
      <c r="V2448" s="106">
        <v>32485.769135390932</v>
      </c>
      <c r="W2448" s="10">
        <v>1.1447903512605828</v>
      </c>
      <c r="X2448" s="420"/>
      <c r="Y2448" s="420"/>
      <c r="Z2448" s="1"/>
      <c r="AA2448" s="1"/>
      <c r="AB2448" s="1"/>
      <c r="AC2448" s="1"/>
      <c r="AD2448" s="1"/>
    </row>
    <row r="2449" spans="17:30">
      <c r="Q2449" s="6">
        <v>2419</v>
      </c>
      <c r="R2449" s="7">
        <v>45086</v>
      </c>
      <c r="S2449" s="210">
        <v>4.5</v>
      </c>
      <c r="T2449" s="8">
        <v>1.0001249999999999</v>
      </c>
      <c r="U2449" s="98">
        <v>4.4521387204510932</v>
      </c>
      <c r="V2449" s="106">
        <v>32488.563034123534</v>
      </c>
      <c r="W2449" s="10">
        <v>1.1449094859713016</v>
      </c>
      <c r="X2449" s="420"/>
      <c r="Y2449" s="420"/>
      <c r="Z2449" s="1"/>
      <c r="AA2449" s="1"/>
      <c r="AB2449" s="1"/>
      <c r="AC2449" s="1"/>
      <c r="AD2449" s="1"/>
    </row>
    <row r="2450" spans="17:30">
      <c r="Q2450" s="6">
        <v>2420</v>
      </c>
      <c r="R2450" s="7">
        <v>45087</v>
      </c>
      <c r="S2450" s="210">
        <v>4.5</v>
      </c>
      <c r="T2450" s="8">
        <v>1.0001249999999999</v>
      </c>
      <c r="U2450" s="98">
        <v>4.4522277797858001</v>
      </c>
      <c r="V2450" s="106">
        <v>32491.357173141972</v>
      </c>
      <c r="W2450" s="10">
        <v>1.1450285223637335</v>
      </c>
      <c r="X2450" s="420"/>
      <c r="Y2450" s="420"/>
      <c r="Z2450" s="1"/>
      <c r="AA2450" s="1"/>
      <c r="AB2450" s="1"/>
      <c r="AC2450" s="1"/>
      <c r="AD2450" s="1"/>
    </row>
    <row r="2451" spans="17:30">
      <c r="Q2451" s="6">
        <v>2421</v>
      </c>
      <c r="R2451" s="7">
        <v>45088</v>
      </c>
      <c r="S2451" s="210">
        <v>4.5</v>
      </c>
      <c r="T2451" s="8">
        <v>1.0001249999999999</v>
      </c>
      <c r="U2451" s="98">
        <v>4.4523167656240092</v>
      </c>
      <c r="V2451" s="106">
        <v>32494.151552466908</v>
      </c>
      <c r="W2451" s="10">
        <v>1.1451474605595369</v>
      </c>
      <c r="X2451" s="420"/>
      <c r="Y2451" s="420"/>
      <c r="Z2451" s="1"/>
      <c r="AA2451" s="1"/>
      <c r="AB2451" s="1"/>
      <c r="AC2451" s="1"/>
      <c r="AD2451" s="1"/>
    </row>
    <row r="2452" spans="17:30">
      <c r="Q2452" s="6">
        <v>2422</v>
      </c>
      <c r="R2452" s="7">
        <v>45089</v>
      </c>
      <c r="S2452" s="210">
        <v>4.5</v>
      </c>
      <c r="T2452" s="8">
        <v>1.0001249999999999</v>
      </c>
      <c r="U2452" s="98">
        <v>4.4524056780566257</v>
      </c>
      <c r="V2452" s="106">
        <v>32496.946172119013</v>
      </c>
      <c r="W2452" s="10">
        <v>1.1452663006801478</v>
      </c>
      <c r="X2452" s="420"/>
      <c r="Y2452" s="420"/>
      <c r="Z2452" s="1"/>
      <c r="AA2452" s="1"/>
      <c r="AB2452" s="1"/>
      <c r="AC2452" s="1"/>
      <c r="AD2452" s="1"/>
    </row>
    <row r="2453" spans="17:30">
      <c r="Q2453" s="6">
        <v>2423</v>
      </c>
      <c r="R2453" s="7">
        <v>45090</v>
      </c>
      <c r="S2453" s="210">
        <v>4.5</v>
      </c>
      <c r="T2453" s="8">
        <v>1.0001249999999999</v>
      </c>
      <c r="U2453" s="98">
        <v>4.4524945171744656</v>
      </c>
      <c r="V2453" s="106">
        <v>32499.741032118945</v>
      </c>
      <c r="W2453" s="10">
        <v>1.1453850428468693</v>
      </c>
      <c r="X2453" s="420"/>
      <c r="Y2453" s="420"/>
      <c r="Z2453" s="1"/>
      <c r="AA2453" s="1"/>
      <c r="AB2453" s="1"/>
      <c r="AC2453" s="1"/>
      <c r="AD2453" s="1"/>
    </row>
    <row r="2454" spans="17:30">
      <c r="Q2454" s="6">
        <v>2424</v>
      </c>
      <c r="R2454" s="7">
        <v>45091</v>
      </c>
      <c r="S2454" s="210">
        <v>4.5</v>
      </c>
      <c r="T2454" s="8">
        <v>1.0001249999999999</v>
      </c>
      <c r="U2454" s="98">
        <v>4.4525832830681678</v>
      </c>
      <c r="V2454" s="106">
        <v>32502.536132487388</v>
      </c>
      <c r="W2454" s="10">
        <v>1.1455036871807156</v>
      </c>
      <c r="X2454" s="420"/>
      <c r="Y2454" s="420"/>
      <c r="Z2454" s="1"/>
      <c r="AA2454" s="1"/>
      <c r="AB2454" s="1"/>
      <c r="AC2454" s="1"/>
      <c r="AD2454" s="1"/>
    </row>
    <row r="2455" spans="17:30">
      <c r="Q2455" s="6">
        <v>2425</v>
      </c>
      <c r="R2455" s="7">
        <v>45092</v>
      </c>
      <c r="S2455" s="210">
        <v>4.5</v>
      </c>
      <c r="T2455" s="8">
        <v>1.0001249999999999</v>
      </c>
      <c r="U2455" s="98">
        <v>4.4526719758282374</v>
      </c>
      <c r="V2455" s="106">
        <v>32505.331473245013</v>
      </c>
      <c r="W2455" s="10">
        <v>1.1456222338025679</v>
      </c>
      <c r="X2455" s="420"/>
      <c r="Y2455" s="420"/>
      <c r="Z2455" s="1"/>
      <c r="AA2455" s="1"/>
      <c r="AB2455" s="1"/>
      <c r="AC2455" s="1"/>
      <c r="AD2455" s="1"/>
    </row>
    <row r="2456" spans="17:30">
      <c r="Q2456" s="6">
        <v>2426</v>
      </c>
      <c r="R2456" s="7">
        <v>45093</v>
      </c>
      <c r="S2456" s="210">
        <v>4.5</v>
      </c>
      <c r="T2456" s="8">
        <v>1.0001249999999999</v>
      </c>
      <c r="U2456" s="98">
        <v>4.4527605955450023</v>
      </c>
      <c r="V2456" s="106">
        <v>32508.127054412493</v>
      </c>
      <c r="W2456" s="10">
        <v>1.1457406828330852</v>
      </c>
      <c r="X2456" s="420"/>
      <c r="Y2456" s="420"/>
      <c r="Z2456" s="1"/>
      <c r="AA2456" s="1"/>
      <c r="AB2456" s="1"/>
      <c r="AC2456" s="1"/>
      <c r="AD2456" s="1"/>
    </row>
    <row r="2457" spans="17:30">
      <c r="Q2457" s="6">
        <v>2427</v>
      </c>
      <c r="R2457" s="7">
        <v>45094</v>
      </c>
      <c r="S2457" s="210">
        <v>4.5</v>
      </c>
      <c r="T2457" s="8">
        <v>1.0001249999999999</v>
      </c>
      <c r="U2457" s="98">
        <v>4.4528491423086791</v>
      </c>
      <c r="V2457" s="106">
        <v>32510.9228760105</v>
      </c>
      <c r="W2457" s="10">
        <v>1.1458590343927488</v>
      </c>
      <c r="X2457" s="420"/>
      <c r="Y2457" s="420"/>
      <c r="Z2457" s="1"/>
      <c r="AA2457" s="1"/>
      <c r="AB2457" s="1"/>
      <c r="AC2457" s="1"/>
      <c r="AD2457" s="1"/>
    </row>
    <row r="2458" spans="17:30">
      <c r="Q2458" s="6">
        <v>2428</v>
      </c>
      <c r="R2458" s="7">
        <v>45095</v>
      </c>
      <c r="S2458" s="210">
        <v>4.5</v>
      </c>
      <c r="T2458" s="8">
        <v>1.0001249999999999</v>
      </c>
      <c r="U2458" s="98">
        <v>4.4529376162092849</v>
      </c>
      <c r="V2458" s="106">
        <v>32513.718938059708</v>
      </c>
      <c r="W2458" s="10">
        <v>1.1459772886017738</v>
      </c>
      <c r="X2458" s="420"/>
      <c r="Y2458" s="420"/>
      <c r="Z2458" s="1"/>
      <c r="AA2458" s="1"/>
      <c r="AB2458" s="1"/>
      <c r="AC2458" s="1"/>
      <c r="AD2458" s="1"/>
    </row>
    <row r="2459" spans="17:30">
      <c r="Q2459" s="6">
        <v>2429</v>
      </c>
      <c r="R2459" s="7">
        <v>45096</v>
      </c>
      <c r="S2459" s="210">
        <v>4.5</v>
      </c>
      <c r="T2459" s="8">
        <v>1.0001249999999999</v>
      </c>
      <c r="U2459" s="98">
        <v>4.4530260173367475</v>
      </c>
      <c r="V2459" s="106">
        <v>32516.515240580815</v>
      </c>
      <c r="W2459" s="10">
        <v>1.1460954455802419</v>
      </c>
      <c r="X2459" s="420"/>
      <c r="Y2459" s="420"/>
      <c r="Z2459" s="1"/>
      <c r="AA2459" s="1"/>
      <c r="AB2459" s="1"/>
      <c r="AC2459" s="1"/>
      <c r="AD2459" s="1"/>
    </row>
    <row r="2460" spans="17:30">
      <c r="Q2460" s="6">
        <v>2430</v>
      </c>
      <c r="R2460" s="7">
        <v>45097</v>
      </c>
      <c r="S2460" s="210">
        <v>4.5</v>
      </c>
      <c r="T2460" s="8">
        <v>1.0001249999999999</v>
      </c>
      <c r="U2460" s="98">
        <v>4.4531143457807953</v>
      </c>
      <c r="V2460" s="106">
        <v>32519.311783594483</v>
      </c>
      <c r="W2460" s="10">
        <v>1.1462135054480349</v>
      </c>
      <c r="X2460" s="420"/>
      <c r="Y2460" s="420"/>
      <c r="Z2460" s="1"/>
      <c r="AA2460" s="1"/>
      <c r="AB2460" s="1"/>
      <c r="AC2460" s="1"/>
      <c r="AD2460" s="1"/>
    </row>
    <row r="2461" spans="17:30">
      <c r="Q2461" s="6">
        <v>2431</v>
      </c>
      <c r="R2461" s="7">
        <v>45098</v>
      </c>
      <c r="S2461" s="210">
        <v>4.5</v>
      </c>
      <c r="T2461" s="8">
        <v>1.0001249999999999</v>
      </c>
      <c r="U2461" s="98">
        <v>4.4532026016310455</v>
      </c>
      <c r="V2461" s="106">
        <v>32522.108567121406</v>
      </c>
      <c r="W2461" s="10">
        <v>1.1463314683248349</v>
      </c>
      <c r="X2461" s="420"/>
      <c r="Y2461" s="420"/>
      <c r="Z2461" s="1"/>
      <c r="AA2461" s="1"/>
      <c r="AB2461" s="1"/>
      <c r="AC2461" s="1"/>
      <c r="AD2461" s="1"/>
    </row>
    <row r="2462" spans="17:30">
      <c r="Q2462" s="6">
        <v>2432</v>
      </c>
      <c r="R2462" s="7">
        <v>45099</v>
      </c>
      <c r="S2462" s="210">
        <v>4.5</v>
      </c>
      <c r="T2462" s="8">
        <v>1.0001249999999999</v>
      </c>
      <c r="U2462" s="98">
        <v>4.4532907849769376</v>
      </c>
      <c r="V2462" s="106">
        <v>32524.905591182265</v>
      </c>
      <c r="W2462" s="10">
        <v>1.1464493343300575</v>
      </c>
      <c r="X2462" s="420"/>
      <c r="Y2462" s="420"/>
      <c r="Z2462" s="1"/>
      <c r="AA2462" s="1"/>
      <c r="AB2462" s="1"/>
      <c r="AC2462" s="1"/>
      <c r="AD2462" s="1"/>
    </row>
    <row r="2463" spans="17:30">
      <c r="Q2463" s="6">
        <v>2433</v>
      </c>
      <c r="R2463" s="7">
        <v>45100</v>
      </c>
      <c r="S2463" s="210">
        <v>4.5</v>
      </c>
      <c r="T2463" s="8">
        <v>1.0001249999999999</v>
      </c>
      <c r="U2463" s="98">
        <v>4.4533788959078002</v>
      </c>
      <c r="V2463" s="106">
        <v>32527.702855797746</v>
      </c>
      <c r="W2463" s="10">
        <v>1.1465671035830294</v>
      </c>
      <c r="X2463" s="420"/>
      <c r="Y2463" s="420"/>
      <c r="Z2463" s="1"/>
      <c r="AA2463" s="1"/>
      <c r="AB2463" s="1"/>
      <c r="AC2463" s="1"/>
      <c r="AD2463" s="1"/>
    </row>
    <row r="2464" spans="17:30">
      <c r="Q2464" s="6">
        <v>2434</v>
      </c>
      <c r="R2464" s="7">
        <v>45101</v>
      </c>
      <c r="S2464" s="210">
        <v>4.5</v>
      </c>
      <c r="T2464" s="8">
        <v>1.0001249999999999</v>
      </c>
      <c r="U2464" s="98">
        <v>4.4534669345127842</v>
      </c>
      <c r="V2464" s="106">
        <v>32530.500360988543</v>
      </c>
      <c r="W2464" s="10">
        <v>1.1466847762028332</v>
      </c>
      <c r="X2464" s="420"/>
      <c r="Y2464" s="420"/>
      <c r="Z2464" s="1"/>
      <c r="AA2464" s="1"/>
      <c r="AB2464" s="1"/>
      <c r="AC2464" s="1"/>
      <c r="AD2464" s="1"/>
    </row>
    <row r="2465" spans="17:30">
      <c r="Q2465" s="6">
        <v>2435</v>
      </c>
      <c r="R2465" s="7">
        <v>45102</v>
      </c>
      <c r="S2465" s="210">
        <v>4.5</v>
      </c>
      <c r="T2465" s="8">
        <v>1.0001249999999999</v>
      </c>
      <c r="U2465" s="98">
        <v>4.4535549008809072</v>
      </c>
      <c r="V2465" s="106">
        <v>32533.298106775343</v>
      </c>
      <c r="W2465" s="10">
        <v>1.1468023523083293</v>
      </c>
      <c r="X2465" s="420"/>
      <c r="Y2465" s="420"/>
      <c r="Z2465" s="1"/>
      <c r="AA2465" s="1"/>
      <c r="AB2465" s="1"/>
      <c r="AC2465" s="1"/>
      <c r="AD2465" s="1"/>
    </row>
    <row r="2466" spans="17:30">
      <c r="Q2466" s="6">
        <v>2436</v>
      </c>
      <c r="R2466" s="7">
        <v>45103</v>
      </c>
      <c r="S2466" s="210">
        <v>4.5</v>
      </c>
      <c r="T2466" s="8">
        <v>1.0001249999999999</v>
      </c>
      <c r="U2466" s="98">
        <v>4.4536427951010538</v>
      </c>
      <c r="V2466" s="106">
        <v>32536.096093178832</v>
      </c>
      <c r="W2466" s="10">
        <v>1.146919832018245</v>
      </c>
      <c r="X2466" s="420"/>
      <c r="Y2466" s="420"/>
      <c r="Z2466" s="1"/>
      <c r="AA2466" s="1"/>
      <c r="AB2466" s="1"/>
      <c r="AC2466" s="1"/>
      <c r="AD2466" s="1"/>
    </row>
    <row r="2467" spans="17:30">
      <c r="Q2467" s="6">
        <v>2437</v>
      </c>
      <c r="R2467" s="7">
        <v>45104</v>
      </c>
      <c r="S2467" s="210">
        <v>4.5</v>
      </c>
      <c r="T2467" s="8">
        <v>1.0001249999999999</v>
      </c>
      <c r="U2467" s="98">
        <v>4.4537306172619306</v>
      </c>
      <c r="V2467" s="106">
        <v>32538.894320219722</v>
      </c>
      <c r="W2467" s="10">
        <v>1.1470372154510411</v>
      </c>
      <c r="X2467" s="420"/>
      <c r="Y2467" s="420"/>
      <c r="Z2467" s="1"/>
      <c r="AA2467" s="1"/>
      <c r="AB2467" s="1"/>
      <c r="AC2467" s="1"/>
      <c r="AD2467" s="1"/>
    </row>
    <row r="2468" spans="17:30">
      <c r="Q2468" s="6">
        <v>2438</v>
      </c>
      <c r="R2468" s="7">
        <v>45105</v>
      </c>
      <c r="S2468" s="210">
        <v>4.5</v>
      </c>
      <c r="T2468" s="8">
        <v>1.0001249999999999</v>
      </c>
      <c r="U2468" s="98">
        <v>4.4538183674521337</v>
      </c>
      <c r="V2468" s="106">
        <v>32541.692787918688</v>
      </c>
      <c r="W2468" s="10">
        <v>1.1471545027250452</v>
      </c>
      <c r="X2468" s="420"/>
      <c r="Y2468" s="420"/>
      <c r="Z2468" s="1"/>
      <c r="AA2468" s="1"/>
      <c r="AB2468" s="1"/>
      <c r="AC2468" s="1"/>
      <c r="AD2468" s="1"/>
    </row>
    <row r="2469" spans="17:30">
      <c r="Q2469" s="6">
        <v>2439</v>
      </c>
      <c r="R2469" s="7">
        <v>45106</v>
      </c>
      <c r="S2469" s="210">
        <v>4.5</v>
      </c>
      <c r="T2469" s="8">
        <v>1.0001249999999999</v>
      </c>
      <c r="U2469" s="98">
        <v>4.453906045760081</v>
      </c>
      <c r="V2469" s="106">
        <v>32544.491496296436</v>
      </c>
      <c r="W2469" s="10">
        <v>1.1472716939583627</v>
      </c>
      <c r="X2469" s="420"/>
      <c r="Y2469" s="420"/>
      <c r="Z2469" s="1"/>
      <c r="AA2469" s="1"/>
      <c r="AB2469" s="1"/>
      <c r="AC2469" s="1"/>
      <c r="AD2469" s="1"/>
    </row>
    <row r="2470" spans="17:30">
      <c r="Q2470" s="6">
        <v>2440</v>
      </c>
      <c r="R2470" s="7">
        <v>45107</v>
      </c>
      <c r="S2470" s="210">
        <v>4.5</v>
      </c>
      <c r="T2470" s="8">
        <v>1.0001249999999999</v>
      </c>
      <c r="U2470" s="98">
        <v>4.4539936522740797</v>
      </c>
      <c r="V2470" s="106">
        <v>32547.29044537367</v>
      </c>
      <c r="W2470" s="10">
        <v>1.1473887892688994</v>
      </c>
      <c r="X2470" s="420"/>
      <c r="Y2470" s="420"/>
      <c r="Z2470" s="1"/>
      <c r="AA2470" s="1"/>
      <c r="AB2470" s="1"/>
      <c r="AC2470" s="1"/>
      <c r="AD2470" s="1"/>
    </row>
    <row r="2471" spans="17:30">
      <c r="Q2471" s="6">
        <v>2441</v>
      </c>
      <c r="R2471" s="7">
        <v>45108</v>
      </c>
      <c r="S2471" s="210">
        <v>4.5</v>
      </c>
      <c r="T2471" s="8">
        <v>1.0001249999999999</v>
      </c>
      <c r="U2471" s="98">
        <v>4.4540811870822594</v>
      </c>
      <c r="V2471" s="106">
        <v>32550.089635171087</v>
      </c>
      <c r="W2471" s="10">
        <v>1.1475057887743834</v>
      </c>
      <c r="X2471" s="420"/>
      <c r="Y2471" s="420"/>
      <c r="Z2471" s="1"/>
      <c r="AA2471" s="1"/>
      <c r="AB2471" s="1"/>
      <c r="AC2471" s="1"/>
      <c r="AD2471" s="1"/>
    </row>
    <row r="2472" spans="17:30">
      <c r="Q2472" s="6">
        <v>2442</v>
      </c>
      <c r="R2472" s="7">
        <v>45109</v>
      </c>
      <c r="S2472" s="210">
        <v>4.5</v>
      </c>
      <c r="T2472" s="8">
        <v>1.0001249999999999</v>
      </c>
      <c r="U2472" s="98">
        <v>4.4541686502726163</v>
      </c>
      <c r="V2472" s="106">
        <v>32552.889065709387</v>
      </c>
      <c r="W2472" s="10">
        <v>1.1476226925923427</v>
      </c>
      <c r="X2472" s="420"/>
      <c r="Y2472" s="420"/>
      <c r="Z2472" s="1"/>
      <c r="AA2472" s="1"/>
      <c r="AB2472" s="1"/>
      <c r="AC2472" s="1"/>
      <c r="AD2472" s="1"/>
    </row>
    <row r="2473" spans="17:30">
      <c r="Q2473" s="6">
        <v>2443</v>
      </c>
      <c r="R2473" s="7">
        <v>45110</v>
      </c>
      <c r="S2473" s="210">
        <v>4.5</v>
      </c>
      <c r="T2473" s="8">
        <v>1.0001249999999999</v>
      </c>
      <c r="U2473" s="98">
        <v>4.4542560419330357</v>
      </c>
      <c r="V2473" s="106">
        <v>32555.688737009274</v>
      </c>
      <c r="W2473" s="10">
        <v>1.1477395008401503</v>
      </c>
      <c r="X2473" s="420"/>
      <c r="Y2473" s="420"/>
      <c r="Z2473" s="1"/>
      <c r="AA2473" s="1"/>
      <c r="AB2473" s="1"/>
      <c r="AC2473" s="1"/>
      <c r="AD2473" s="1"/>
    </row>
    <row r="2474" spans="17:30">
      <c r="Q2474" s="6">
        <v>2444</v>
      </c>
      <c r="R2474" s="7">
        <v>45111</v>
      </c>
      <c r="S2474" s="210">
        <v>4.5</v>
      </c>
      <c r="T2474" s="8">
        <v>1.0001249999999999</v>
      </c>
      <c r="U2474" s="98">
        <v>4.454343362151203</v>
      </c>
      <c r="V2474" s="106">
        <v>32558.488649091461</v>
      </c>
      <c r="W2474" s="10">
        <v>1.1478562136348902</v>
      </c>
      <c r="X2474" s="420"/>
      <c r="Y2474" s="420"/>
      <c r="Z2474" s="1"/>
      <c r="AA2474" s="1"/>
      <c r="AB2474" s="1"/>
      <c r="AC2474" s="1"/>
      <c r="AD2474" s="1"/>
    </row>
    <row r="2475" spans="17:30">
      <c r="Q2475" s="6">
        <v>2445</v>
      </c>
      <c r="R2475" s="7">
        <v>45112</v>
      </c>
      <c r="S2475" s="210">
        <v>4.5</v>
      </c>
      <c r="T2475" s="8">
        <v>1.0001249999999999</v>
      </c>
      <c r="U2475" s="98">
        <v>4.4544306110146925</v>
      </c>
      <c r="V2475" s="106">
        <v>32561.288801976654</v>
      </c>
      <c r="W2475" s="10">
        <v>1.1479728310935577</v>
      </c>
      <c r="X2475" s="420"/>
      <c r="Y2475" s="420"/>
      <c r="Z2475" s="1"/>
      <c r="AA2475" s="1"/>
      <c r="AB2475" s="1"/>
      <c r="AC2475" s="1"/>
      <c r="AD2475" s="1"/>
    </row>
    <row r="2476" spans="17:30">
      <c r="Q2476" s="6">
        <v>2446</v>
      </c>
      <c r="R2476" s="7">
        <v>45113</v>
      </c>
      <c r="S2476" s="210">
        <v>4.5</v>
      </c>
      <c r="T2476" s="8">
        <v>1.0001249999999999</v>
      </c>
      <c r="U2476" s="98">
        <v>4.4545177886109233</v>
      </c>
      <c r="V2476" s="106">
        <v>32564.089195685559</v>
      </c>
      <c r="W2476" s="10">
        <v>1.148089353332904</v>
      </c>
      <c r="X2476" s="420"/>
      <c r="Y2476" s="420"/>
      <c r="Z2476" s="1"/>
      <c r="AA2476" s="1"/>
      <c r="AB2476" s="1"/>
      <c r="AC2476" s="1"/>
      <c r="AD2476" s="1"/>
    </row>
    <row r="2477" spans="17:30">
      <c r="Q2477" s="6">
        <v>2447</v>
      </c>
      <c r="R2477" s="7">
        <v>45114</v>
      </c>
      <c r="S2477" s="210">
        <v>4.5</v>
      </c>
      <c r="T2477" s="8">
        <v>1.0001249999999999</v>
      </c>
      <c r="U2477" s="98">
        <v>4.4546048950272032</v>
      </c>
      <c r="V2477" s="106">
        <v>32566.889830238892</v>
      </c>
      <c r="W2477" s="10">
        <v>1.1482057804695023</v>
      </c>
      <c r="X2477" s="420"/>
      <c r="Y2477" s="420"/>
      <c r="Z2477" s="1"/>
      <c r="AA2477" s="1"/>
      <c r="AB2477" s="1"/>
      <c r="AC2477" s="1"/>
      <c r="AD2477" s="1"/>
    </row>
    <row r="2478" spans="17:30">
      <c r="Q2478" s="6">
        <v>2448</v>
      </c>
      <c r="R2478" s="7">
        <v>45115</v>
      </c>
      <c r="S2478" s="210">
        <v>4.5</v>
      </c>
      <c r="T2478" s="8">
        <v>1.0001249999999999</v>
      </c>
      <c r="U2478" s="98">
        <v>4.4546919303506627</v>
      </c>
      <c r="V2478" s="106">
        <v>32569.690705657365</v>
      </c>
      <c r="W2478" s="10">
        <v>1.1483221126197485</v>
      </c>
      <c r="X2478" s="420"/>
      <c r="Y2478" s="420"/>
      <c r="Z2478" s="1"/>
      <c r="AA2478" s="1"/>
      <c r="AB2478" s="1"/>
      <c r="AC2478" s="1"/>
      <c r="AD2478" s="1"/>
    </row>
    <row r="2479" spans="17:30">
      <c r="Q2479" s="6">
        <v>2449</v>
      </c>
      <c r="R2479" s="7">
        <v>45116</v>
      </c>
      <c r="S2479" s="210">
        <v>4.5</v>
      </c>
      <c r="T2479" s="8">
        <v>1.0001249999999999</v>
      </c>
      <c r="U2479" s="98">
        <v>4.4547788946682987</v>
      </c>
      <c r="V2479" s="106">
        <v>32572.491821961688</v>
      </c>
      <c r="W2479" s="10">
        <v>1.1484383498998385</v>
      </c>
      <c r="X2479" s="420"/>
      <c r="Y2479" s="420"/>
      <c r="Z2479" s="1"/>
      <c r="AA2479" s="1"/>
      <c r="AB2479" s="1"/>
      <c r="AC2479" s="1"/>
      <c r="AD2479" s="1"/>
    </row>
    <row r="2480" spans="17:30">
      <c r="Q2480" s="6">
        <v>2450</v>
      </c>
      <c r="R2480" s="7">
        <v>45117</v>
      </c>
      <c r="S2480" s="210">
        <v>4.5</v>
      </c>
      <c r="T2480" s="8">
        <v>1.0001249999999999</v>
      </c>
      <c r="U2480" s="98">
        <v>4.4548657880669751</v>
      </c>
      <c r="V2480" s="106">
        <v>32575.293179172593</v>
      </c>
      <c r="W2480" s="10">
        <v>1.1485544924257685</v>
      </c>
      <c r="X2480" s="420"/>
      <c r="Y2480" s="420"/>
      <c r="Z2480" s="1"/>
      <c r="AA2480" s="1"/>
      <c r="AB2480" s="1"/>
      <c r="AC2480" s="1"/>
      <c r="AD2480" s="1"/>
    </row>
    <row r="2481" spans="17:30">
      <c r="Q2481" s="6">
        <v>2451</v>
      </c>
      <c r="R2481" s="7">
        <v>45118</v>
      </c>
      <c r="S2481" s="210">
        <v>4.5</v>
      </c>
      <c r="T2481" s="8">
        <v>1.0001249999999999</v>
      </c>
      <c r="U2481" s="98">
        <v>4.4549526106334003</v>
      </c>
      <c r="V2481" s="106">
        <v>32578.09477731078</v>
      </c>
      <c r="W2481" s="10">
        <v>1.1486705403133568</v>
      </c>
      <c r="X2481" s="420"/>
      <c r="Y2481" s="420"/>
      <c r="Z2481" s="1"/>
      <c r="AA2481" s="1"/>
      <c r="AB2481" s="1"/>
      <c r="AC2481" s="1"/>
      <c r="AD2481" s="1"/>
    </row>
    <row r="2482" spans="17:30">
      <c r="Q2482" s="6">
        <v>2452</v>
      </c>
      <c r="R2482" s="7">
        <v>45119</v>
      </c>
      <c r="S2482" s="210">
        <v>4.5</v>
      </c>
      <c r="T2482" s="8">
        <v>1.0001249999999999</v>
      </c>
      <c r="U2482" s="98">
        <v>4.4550393624541496</v>
      </c>
      <c r="V2482" s="106">
        <v>32580.896616396982</v>
      </c>
      <c r="W2482" s="10">
        <v>1.1487864936782</v>
      </c>
      <c r="X2482" s="420"/>
      <c r="Y2482" s="420"/>
      <c r="Z2482" s="1"/>
      <c r="AA2482" s="1"/>
      <c r="AB2482" s="1"/>
      <c r="AC2482" s="1"/>
      <c r="AD2482" s="1"/>
    </row>
    <row r="2483" spans="17:30">
      <c r="Q2483" s="6">
        <v>2453</v>
      </c>
      <c r="R2483" s="7">
        <v>45120</v>
      </c>
      <c r="S2483" s="210">
        <v>4.5</v>
      </c>
      <c r="T2483" s="8">
        <v>1.0001249999999999</v>
      </c>
      <c r="U2483" s="98">
        <v>4.4551260436156426</v>
      </c>
      <c r="V2483" s="106">
        <v>32583.698696451924</v>
      </c>
      <c r="W2483" s="10">
        <v>1.1489023526357611</v>
      </c>
      <c r="X2483" s="420"/>
      <c r="Y2483" s="420"/>
      <c r="Z2483" s="1"/>
      <c r="AA2483" s="1"/>
      <c r="AB2483" s="1"/>
      <c r="AC2483" s="1"/>
      <c r="AD2483" s="1"/>
    </row>
    <row r="2484" spans="17:30">
      <c r="Q2484" s="6">
        <v>2454</v>
      </c>
      <c r="R2484" s="7">
        <v>45121</v>
      </c>
      <c r="S2484" s="210">
        <v>4.5</v>
      </c>
      <c r="T2484" s="8">
        <v>1.0001249999999999</v>
      </c>
      <c r="U2484" s="98">
        <v>4.4552126542041881</v>
      </c>
      <c r="V2484" s="106">
        <v>32586.501017496321</v>
      </c>
      <c r="W2484" s="10">
        <v>1.1490181173013037</v>
      </c>
      <c r="X2484" s="420"/>
      <c r="Y2484" s="420"/>
      <c r="Z2484" s="1"/>
      <c r="AA2484" s="1"/>
      <c r="AB2484" s="1"/>
      <c r="AC2484" s="1"/>
      <c r="AD2484" s="1"/>
    </row>
    <row r="2485" spans="17:30">
      <c r="Q2485" s="6">
        <v>2455</v>
      </c>
      <c r="R2485" s="7">
        <v>45122</v>
      </c>
      <c r="S2485" s="210">
        <v>4.5</v>
      </c>
      <c r="T2485" s="8">
        <v>1.0001249999999999</v>
      </c>
      <c r="U2485" s="98">
        <v>4.4552991943059395</v>
      </c>
      <c r="V2485" s="106">
        <v>32589.303579550899</v>
      </c>
      <c r="W2485" s="10">
        <v>1.1491337877898689</v>
      </c>
      <c r="X2485" s="420"/>
      <c r="Y2485" s="420"/>
      <c r="Z2485" s="1"/>
      <c r="AA2485" s="1"/>
      <c r="AB2485" s="1"/>
      <c r="AC2485" s="1"/>
      <c r="AD2485" s="1"/>
    </row>
    <row r="2486" spans="17:30">
      <c r="Q2486" s="6">
        <v>2456</v>
      </c>
      <c r="R2486" s="7">
        <v>45123</v>
      </c>
      <c r="S2486" s="210">
        <v>4.5</v>
      </c>
      <c r="T2486" s="8">
        <v>1.0001249999999999</v>
      </c>
      <c r="U2486" s="98">
        <v>4.4553856640069167</v>
      </c>
      <c r="V2486" s="106">
        <v>32592.106382636386</v>
      </c>
      <c r="W2486" s="10">
        <v>1.1492493642163648</v>
      </c>
      <c r="X2486" s="420"/>
      <c r="Y2486" s="420"/>
      <c r="Z2486" s="1"/>
      <c r="AA2486" s="1"/>
      <c r="AB2486" s="1"/>
      <c r="AC2486" s="1"/>
      <c r="AD2486" s="1"/>
    </row>
    <row r="2487" spans="17:30">
      <c r="Q2487" s="6">
        <v>2457</v>
      </c>
      <c r="R2487" s="7">
        <v>45124</v>
      </c>
      <c r="S2487" s="210">
        <v>4.5</v>
      </c>
      <c r="T2487" s="8">
        <v>1.0001249999999999</v>
      </c>
      <c r="U2487" s="98">
        <v>4.4554720633929845</v>
      </c>
      <c r="V2487" s="106">
        <v>32594.909426773527</v>
      </c>
      <c r="W2487" s="10">
        <v>1.1493648466954332</v>
      </c>
      <c r="X2487" s="420"/>
      <c r="Y2487" s="420"/>
      <c r="Z2487" s="1"/>
      <c r="AA2487" s="1"/>
      <c r="AB2487" s="1"/>
      <c r="AC2487" s="1"/>
      <c r="AD2487" s="1"/>
    </row>
    <row r="2488" spans="17:30">
      <c r="Q2488" s="6">
        <v>2458</v>
      </c>
      <c r="R2488" s="7">
        <v>45125</v>
      </c>
      <c r="S2488" s="210">
        <v>4.5</v>
      </c>
      <c r="T2488" s="8">
        <v>1.0001249999999999</v>
      </c>
      <c r="U2488" s="98">
        <v>4.4555583925498521</v>
      </c>
      <c r="V2488" s="106">
        <v>32597.712711983033</v>
      </c>
      <c r="W2488" s="10">
        <v>1.1494802353416045</v>
      </c>
      <c r="X2488" s="420"/>
      <c r="Y2488" s="420"/>
      <c r="Z2488" s="1"/>
      <c r="AA2488" s="1"/>
      <c r="AB2488" s="1"/>
      <c r="AC2488" s="1"/>
      <c r="AD2488" s="1"/>
    </row>
    <row r="2489" spans="17:30">
      <c r="Q2489" s="6">
        <v>2459</v>
      </c>
      <c r="R2489" s="7">
        <v>45126</v>
      </c>
      <c r="S2489" s="210">
        <v>4.5</v>
      </c>
      <c r="T2489" s="8">
        <v>1.0001249999999999</v>
      </c>
      <c r="U2489" s="98">
        <v>4.4556446515631398</v>
      </c>
      <c r="V2489" s="106">
        <v>32600.516238285647</v>
      </c>
      <c r="W2489" s="10">
        <v>1.1495955302691874</v>
      </c>
      <c r="X2489" s="420"/>
      <c r="Y2489" s="420"/>
      <c r="Z2489" s="1"/>
      <c r="AA2489" s="1"/>
      <c r="AB2489" s="1"/>
      <c r="AC2489" s="1"/>
      <c r="AD2489" s="1"/>
    </row>
    <row r="2490" spans="17:30">
      <c r="Q2490" s="6">
        <v>2460</v>
      </c>
      <c r="R2490" s="7">
        <v>45127</v>
      </c>
      <c r="S2490" s="210">
        <v>4.5</v>
      </c>
      <c r="T2490" s="8">
        <v>1.0001249999999999</v>
      </c>
      <c r="U2490" s="98">
        <v>4.4557308405182905</v>
      </c>
      <c r="V2490" s="106">
        <v>32603.320005702099</v>
      </c>
      <c r="W2490" s="10">
        <v>1.1497107315923127</v>
      </c>
      <c r="X2490" s="420"/>
      <c r="Y2490" s="420"/>
      <c r="Z2490" s="1"/>
      <c r="AA2490" s="1"/>
      <c r="AB2490" s="1"/>
      <c r="AC2490" s="1"/>
      <c r="AD2490" s="1"/>
    </row>
    <row r="2491" spans="17:30">
      <c r="Q2491" s="6">
        <v>2461</v>
      </c>
      <c r="R2491" s="7">
        <v>45128</v>
      </c>
      <c r="S2491" s="210">
        <v>4.5</v>
      </c>
      <c r="T2491" s="8">
        <v>1.0001249999999999</v>
      </c>
      <c r="U2491" s="98">
        <v>4.4558169595006358</v>
      </c>
      <c r="V2491" s="106">
        <v>32606.124014253139</v>
      </c>
      <c r="W2491" s="10">
        <v>1.1498258394249339</v>
      </c>
      <c r="X2491" s="420"/>
      <c r="Y2491" s="420"/>
      <c r="Z2491" s="1"/>
      <c r="AA2491" s="1"/>
      <c r="AB2491" s="1"/>
      <c r="AC2491" s="1"/>
      <c r="AD2491" s="1"/>
    </row>
    <row r="2492" spans="17:30">
      <c r="Q2492" s="6">
        <v>2462</v>
      </c>
      <c r="R2492" s="7">
        <v>45129</v>
      </c>
      <c r="S2492" s="210">
        <v>4.5</v>
      </c>
      <c r="T2492" s="8">
        <v>1.0001249999999999</v>
      </c>
      <c r="U2492" s="98">
        <v>4.45590300859533</v>
      </c>
      <c r="V2492" s="106">
        <v>32608.928263959489</v>
      </c>
      <c r="W2492" s="10">
        <v>1.1499408538808042</v>
      </c>
      <c r="X2492" s="420"/>
      <c r="Y2492" s="420"/>
      <c r="Z2492" s="1"/>
      <c r="AA2492" s="1"/>
      <c r="AB2492" s="1"/>
      <c r="AC2492" s="1"/>
      <c r="AD2492" s="1"/>
    </row>
    <row r="2493" spans="17:30">
      <c r="Q2493" s="6">
        <v>2463</v>
      </c>
      <c r="R2493" s="7">
        <v>45130</v>
      </c>
      <c r="S2493" s="210">
        <v>4.5</v>
      </c>
      <c r="T2493" s="8">
        <v>1.0001249999999999</v>
      </c>
      <c r="U2493" s="98">
        <v>4.4559889878874159</v>
      </c>
      <c r="V2493" s="106">
        <v>32611.732754841891</v>
      </c>
      <c r="W2493" s="10">
        <v>1.1500557750734997</v>
      </c>
      <c r="X2493" s="420"/>
      <c r="Y2493" s="420"/>
      <c r="Z2493" s="1"/>
      <c r="AA2493" s="1"/>
      <c r="AB2493" s="1"/>
      <c r="AC2493" s="1"/>
      <c r="AD2493" s="1"/>
    </row>
    <row r="2494" spans="17:30">
      <c r="Q2494" s="6">
        <v>2464</v>
      </c>
      <c r="R2494" s="7">
        <v>45131</v>
      </c>
      <c r="S2494" s="210">
        <v>4.5</v>
      </c>
      <c r="T2494" s="8">
        <v>1.0001249999999999</v>
      </c>
      <c r="U2494" s="98">
        <v>4.4560748974618036</v>
      </c>
      <c r="V2494" s="106">
        <v>32614.537486921101</v>
      </c>
      <c r="W2494" s="10">
        <v>1.1501706031163961</v>
      </c>
      <c r="X2494" s="420"/>
      <c r="Y2494" s="420"/>
      <c r="Z2494" s="1"/>
      <c r="AA2494" s="1"/>
      <c r="AB2494" s="1"/>
      <c r="AC2494" s="1"/>
      <c r="AD2494" s="1"/>
    </row>
    <row r="2495" spans="17:30">
      <c r="Q2495" s="6">
        <v>2465</v>
      </c>
      <c r="R2495" s="7">
        <v>45132</v>
      </c>
      <c r="S2495" s="210">
        <v>4.5</v>
      </c>
      <c r="T2495" s="8">
        <v>1.0001249999999999</v>
      </c>
      <c r="U2495" s="98">
        <v>4.4561607374032475</v>
      </c>
      <c r="V2495" s="106">
        <v>32617.342460217849</v>
      </c>
      <c r="W2495" s="10">
        <v>1.1502853381227363</v>
      </c>
      <c r="X2495" s="420"/>
      <c r="Y2495" s="420"/>
      <c r="Z2495" s="1"/>
      <c r="AA2495" s="1"/>
      <c r="AB2495" s="1"/>
      <c r="AC2495" s="1"/>
      <c r="AD2495" s="1"/>
    </row>
    <row r="2496" spans="17:30">
      <c r="Q2496" s="6">
        <v>2466</v>
      </c>
      <c r="R2496" s="7">
        <v>45133</v>
      </c>
      <c r="S2496" s="210">
        <v>4.5</v>
      </c>
      <c r="T2496" s="8">
        <v>1.0001249999999999</v>
      </c>
      <c r="U2496" s="98">
        <v>4.4562465077963909</v>
      </c>
      <c r="V2496" s="106">
        <v>32620.14767475288</v>
      </c>
      <c r="W2496" s="10">
        <v>1.1503999802055409</v>
      </c>
      <c r="X2496" s="420"/>
      <c r="Y2496" s="420"/>
      <c r="Z2496" s="1"/>
      <c r="AA2496" s="1"/>
      <c r="AB2496" s="1"/>
      <c r="AC2496" s="1"/>
      <c r="AD2496" s="1"/>
    </row>
    <row r="2497" spans="17:30">
      <c r="Q2497" s="6">
        <v>2467</v>
      </c>
      <c r="R2497" s="7">
        <v>45134</v>
      </c>
      <c r="S2497" s="210">
        <v>4.5</v>
      </c>
      <c r="T2497" s="8">
        <v>1.0001249999999999</v>
      </c>
      <c r="U2497" s="98">
        <v>4.4563322087256996</v>
      </c>
      <c r="V2497" s="106">
        <v>32622.953130546954</v>
      </c>
      <c r="W2497" s="10">
        <v>1.1505145294776309</v>
      </c>
      <c r="X2497" s="420"/>
      <c r="Y2497" s="420"/>
      <c r="Z2497" s="1"/>
      <c r="AA2497" s="1"/>
      <c r="AB2497" s="1"/>
      <c r="AC2497" s="1"/>
      <c r="AD2497" s="1"/>
    </row>
    <row r="2498" spans="17:30">
      <c r="Q2498" s="6">
        <v>2468</v>
      </c>
      <c r="R2498" s="7">
        <v>45135</v>
      </c>
      <c r="S2498" s="210">
        <v>4.5</v>
      </c>
      <c r="T2498" s="8">
        <v>1.0001249999999999</v>
      </c>
      <c r="U2498" s="98">
        <v>4.4564178402755505</v>
      </c>
      <c r="V2498" s="106">
        <v>32625.758827620812</v>
      </c>
      <c r="W2498" s="10">
        <v>1.1506289860516938</v>
      </c>
      <c r="X2498" s="420"/>
      <c r="Y2498" s="420"/>
      <c r="Z2498" s="1"/>
      <c r="AA2498" s="1"/>
      <c r="AB2498" s="1"/>
      <c r="AC2498" s="1"/>
      <c r="AD2498" s="1"/>
    </row>
    <row r="2499" spans="17:30">
      <c r="Q2499" s="6">
        <v>2469</v>
      </c>
      <c r="R2499" s="7">
        <v>45136</v>
      </c>
      <c r="S2499" s="210">
        <v>4.5</v>
      </c>
      <c r="T2499" s="8">
        <v>1.0001249999999999</v>
      </c>
      <c r="U2499" s="98">
        <v>4.4565034025301431</v>
      </c>
      <c r="V2499" s="106">
        <v>32628.564765995205</v>
      </c>
      <c r="W2499" s="10">
        <v>1.1507433500401731</v>
      </c>
      <c r="X2499" s="420"/>
      <c r="Y2499" s="420"/>
      <c r="Z2499" s="1"/>
      <c r="AA2499" s="1"/>
      <c r="AB2499" s="1"/>
      <c r="AC2499" s="1"/>
      <c r="AD2499" s="1"/>
    </row>
    <row r="2500" spans="17:30">
      <c r="Q2500" s="6">
        <v>2470</v>
      </c>
      <c r="R2500" s="7">
        <v>45137</v>
      </c>
      <c r="S2500" s="210">
        <v>4.5</v>
      </c>
      <c r="T2500" s="8">
        <v>1.0001249999999999</v>
      </c>
      <c r="U2500" s="98">
        <v>4.4565888955735433</v>
      </c>
      <c r="V2500" s="106">
        <v>32631.370945690887</v>
      </c>
      <c r="W2500" s="10">
        <v>1.1508576215553568</v>
      </c>
      <c r="X2500" s="420"/>
      <c r="Y2500" s="420"/>
      <c r="Z2500" s="1"/>
      <c r="AA2500" s="1"/>
      <c r="AB2500" s="1"/>
      <c r="AC2500" s="1"/>
      <c r="AD2500" s="1"/>
    </row>
    <row r="2501" spans="17:30">
      <c r="Q2501" s="6">
        <v>2471</v>
      </c>
      <c r="R2501" s="7">
        <v>45138</v>
      </c>
      <c r="S2501" s="210">
        <v>4.5</v>
      </c>
      <c r="T2501" s="8">
        <v>1.0001249999999999</v>
      </c>
      <c r="U2501" s="98">
        <v>4.4566743194897285</v>
      </c>
      <c r="V2501" s="106">
        <v>32634.177366728611</v>
      </c>
      <c r="W2501" s="10">
        <v>1.1509718007094216</v>
      </c>
      <c r="X2501" s="420"/>
      <c r="Y2501" s="420"/>
      <c r="Z2501" s="1"/>
      <c r="AA2501" s="1"/>
      <c r="AB2501" s="1"/>
      <c r="AC2501" s="1"/>
      <c r="AD2501" s="1"/>
    </row>
    <row r="2502" spans="17:30">
      <c r="Q2502" s="6">
        <v>2472</v>
      </c>
      <c r="R2502" s="7">
        <v>45139</v>
      </c>
      <c r="S2502" s="210">
        <v>4.5</v>
      </c>
      <c r="T2502" s="8">
        <v>1.0001249999999999</v>
      </c>
      <c r="U2502" s="98">
        <v>4.456759674362476</v>
      </c>
      <c r="V2502" s="106">
        <v>32636.984029129137</v>
      </c>
      <c r="W2502" s="10">
        <v>1.1510858876142338</v>
      </c>
      <c r="X2502" s="420"/>
      <c r="Y2502" s="420"/>
      <c r="Z2502" s="1"/>
      <c r="AA2502" s="1"/>
      <c r="AB2502" s="1"/>
      <c r="AC2502" s="1"/>
      <c r="AD2502" s="1"/>
    </row>
    <row r="2503" spans="17:30">
      <c r="Q2503" s="6">
        <v>2473</v>
      </c>
      <c r="R2503" s="7">
        <v>45140</v>
      </c>
      <c r="S2503" s="210">
        <v>4.5</v>
      </c>
      <c r="T2503" s="8">
        <v>1.0001249999999999</v>
      </c>
      <c r="U2503" s="98">
        <v>4.4568449602754745</v>
      </c>
      <c r="V2503" s="106">
        <v>32639.790932913213</v>
      </c>
      <c r="W2503" s="10">
        <v>1.1511998823815928</v>
      </c>
      <c r="X2503" s="420"/>
      <c r="Y2503" s="420"/>
      <c r="Z2503" s="1"/>
      <c r="AA2503" s="1"/>
      <c r="AB2503" s="1"/>
      <c r="AC2503" s="1"/>
      <c r="AD2503" s="1"/>
    </row>
    <row r="2504" spans="17:30">
      <c r="Q2504" s="6">
        <v>2474</v>
      </c>
      <c r="R2504" s="7">
        <v>45141</v>
      </c>
      <c r="S2504" s="210">
        <v>4.5</v>
      </c>
      <c r="T2504" s="8">
        <v>1.0001249999999999</v>
      </c>
      <c r="U2504" s="98">
        <v>4.4569301773122572</v>
      </c>
      <c r="V2504" s="106">
        <v>32642.598078101619</v>
      </c>
      <c r="W2504" s="10">
        <v>1.1513137851230315</v>
      </c>
      <c r="X2504" s="420"/>
      <c r="Y2504" s="420"/>
      <c r="Z2504" s="1"/>
      <c r="AA2504" s="1"/>
      <c r="AB2504" s="1"/>
      <c r="AC2504" s="1"/>
      <c r="AD2504" s="1"/>
    </row>
    <row r="2505" spans="17:30">
      <c r="Q2505" s="6">
        <v>2475</v>
      </c>
      <c r="R2505" s="7">
        <v>45142</v>
      </c>
      <c r="S2505" s="210">
        <v>4.5</v>
      </c>
      <c r="T2505" s="8">
        <v>1.0001249999999999</v>
      </c>
      <c r="U2505" s="98">
        <v>4.4570153255562239</v>
      </c>
      <c r="V2505" s="106">
        <v>32645.405464715092</v>
      </c>
      <c r="W2505" s="10">
        <v>1.1514275959499498</v>
      </c>
      <c r="X2505" s="420"/>
      <c r="Y2505" s="420"/>
      <c r="Z2505" s="1"/>
      <c r="AA2505" s="1"/>
      <c r="AB2505" s="1"/>
      <c r="AC2505" s="1"/>
      <c r="AD2505" s="1"/>
    </row>
    <row r="2506" spans="17:30">
      <c r="Q2506" s="6">
        <v>2476</v>
      </c>
      <c r="R2506" s="7">
        <v>45143</v>
      </c>
      <c r="S2506" s="210">
        <v>4.5</v>
      </c>
      <c r="T2506" s="8">
        <v>1.0001249999999999</v>
      </c>
      <c r="U2506" s="98">
        <v>4.4571004050906415</v>
      </c>
      <c r="V2506" s="106">
        <v>32648.213092774415</v>
      </c>
      <c r="W2506" s="10">
        <v>1.1515413149735698</v>
      </c>
      <c r="X2506" s="420"/>
      <c r="Y2506" s="420"/>
      <c r="Z2506" s="1"/>
      <c r="AA2506" s="1"/>
      <c r="AB2506" s="1"/>
      <c r="AC2506" s="1"/>
      <c r="AD2506" s="1"/>
    </row>
    <row r="2507" spans="17:30">
      <c r="Q2507" s="6">
        <v>2477</v>
      </c>
      <c r="R2507" s="7">
        <v>45144</v>
      </c>
      <c r="S2507" s="210">
        <v>4.5</v>
      </c>
      <c r="T2507" s="8">
        <v>1.0001249999999999</v>
      </c>
      <c r="U2507" s="98">
        <v>4.4571854159986435</v>
      </c>
      <c r="V2507" s="106">
        <v>32651.020962300343</v>
      </c>
      <c r="W2507" s="10">
        <v>1.151654942304936</v>
      </c>
      <c r="X2507" s="420"/>
      <c r="Y2507" s="420"/>
      <c r="Z2507" s="1"/>
      <c r="AA2507" s="1"/>
      <c r="AB2507" s="1"/>
      <c r="AC2507" s="1"/>
      <c r="AD2507" s="1"/>
    </row>
    <row r="2508" spans="17:30">
      <c r="Q2508" s="6">
        <v>2478</v>
      </c>
      <c r="R2508" s="7">
        <v>45145</v>
      </c>
      <c r="S2508" s="210">
        <v>4.5</v>
      </c>
      <c r="T2508" s="8">
        <v>1.0001249999999999</v>
      </c>
      <c r="U2508" s="98">
        <v>4.45727035836323</v>
      </c>
      <c r="V2508" s="106">
        <v>32653.829073313649</v>
      </c>
      <c r="W2508" s="10">
        <v>1.1517684780548709</v>
      </c>
      <c r="X2508" s="420"/>
      <c r="Y2508" s="420"/>
      <c r="Z2508" s="1"/>
      <c r="AA2508" s="1"/>
      <c r="AB2508" s="1"/>
      <c r="AC2508" s="1"/>
      <c r="AD2508" s="1"/>
    </row>
    <row r="2509" spans="17:30">
      <c r="Q2509" s="6">
        <v>2479</v>
      </c>
      <c r="R2509" s="7">
        <v>45146</v>
      </c>
      <c r="S2509" s="210">
        <v>4.5</v>
      </c>
      <c r="T2509" s="8">
        <v>1.0001249999999999</v>
      </c>
      <c r="U2509" s="98">
        <v>4.4573552322672683</v>
      </c>
      <c r="V2509" s="106">
        <v>32656.637425835095</v>
      </c>
      <c r="W2509" s="10">
        <v>1.1518819223340859</v>
      </c>
      <c r="X2509" s="420"/>
      <c r="Y2509" s="420"/>
      <c r="Z2509" s="1"/>
      <c r="AA2509" s="1"/>
      <c r="AB2509" s="1"/>
      <c r="AC2509" s="1"/>
      <c r="AD2509" s="1"/>
    </row>
    <row r="2510" spans="17:30">
      <c r="Q2510" s="6">
        <v>2480</v>
      </c>
      <c r="R2510" s="7">
        <v>45147</v>
      </c>
      <c r="S2510" s="210">
        <v>4.5</v>
      </c>
      <c r="T2510" s="8">
        <v>1.0001249999999999</v>
      </c>
      <c r="U2510" s="98">
        <v>4.457440037793492</v>
      </c>
      <c r="V2510" s="106">
        <v>32659.446019885458</v>
      </c>
      <c r="W2510" s="10">
        <v>1.151995275253026</v>
      </c>
      <c r="X2510" s="420"/>
      <c r="Y2510" s="420"/>
      <c r="Z2510" s="1"/>
      <c r="AA2510" s="1"/>
      <c r="AB2510" s="1"/>
      <c r="AC2510" s="1"/>
      <c r="AD2510" s="1"/>
    </row>
    <row r="2511" spans="17:30">
      <c r="Q2511" s="6">
        <v>2481</v>
      </c>
      <c r="R2511" s="7">
        <v>45148</v>
      </c>
      <c r="S2511" s="210">
        <v>4.5</v>
      </c>
      <c r="T2511" s="8">
        <v>1.0001249999999999</v>
      </c>
      <c r="U2511" s="98">
        <v>4.4575247750244795</v>
      </c>
      <c r="V2511" s="106">
        <v>32662.254855485502</v>
      </c>
      <c r="W2511" s="10">
        <v>1.1521085369220474</v>
      </c>
      <c r="X2511" s="420"/>
      <c r="Y2511" s="420"/>
      <c r="Z2511" s="1"/>
      <c r="AA2511" s="1"/>
      <c r="AB2511" s="1"/>
      <c r="AC2511" s="1"/>
      <c r="AD2511" s="1"/>
    </row>
    <row r="2512" spans="17:30">
      <c r="Q2512" s="6">
        <v>2482</v>
      </c>
      <c r="R2512" s="7">
        <v>45149</v>
      </c>
      <c r="S2512" s="210">
        <v>4.5</v>
      </c>
      <c r="T2512" s="8">
        <v>1.0001249999999999</v>
      </c>
      <c r="U2512" s="98">
        <v>4.4576094440427205</v>
      </c>
      <c r="V2512" s="106">
        <v>32665.063932656012</v>
      </c>
      <c r="W2512" s="10">
        <v>1.1522217074512842</v>
      </c>
      <c r="X2512" s="420"/>
      <c r="Y2512" s="420"/>
      <c r="Z2512" s="1"/>
      <c r="AA2512" s="1"/>
      <c r="AB2512" s="1"/>
      <c r="AC2512" s="1"/>
      <c r="AD2512" s="1"/>
    </row>
    <row r="2513" spans="17:30">
      <c r="Q2513" s="6">
        <v>2483</v>
      </c>
      <c r="R2513" s="7">
        <v>45150</v>
      </c>
      <c r="S2513" s="210">
        <v>4.5</v>
      </c>
      <c r="T2513" s="8">
        <v>1.0001249999999999</v>
      </c>
      <c r="U2513" s="98">
        <v>4.4576940449305491</v>
      </c>
      <c r="V2513" s="106">
        <v>32667.873251417754</v>
      </c>
      <c r="W2513" s="10">
        <v>1.152334786950715</v>
      </c>
      <c r="X2513" s="420"/>
      <c r="Y2513" s="420"/>
      <c r="Z2513" s="1"/>
      <c r="AA2513" s="1"/>
      <c r="AB2513" s="1"/>
      <c r="AC2513" s="1"/>
      <c r="AD2513" s="1"/>
    </row>
    <row r="2514" spans="17:30">
      <c r="Q2514" s="6">
        <v>2484</v>
      </c>
      <c r="R2514" s="7">
        <v>45151</v>
      </c>
      <c r="S2514" s="210">
        <v>4.5</v>
      </c>
      <c r="T2514" s="8">
        <v>1.0001249999999999</v>
      </c>
      <c r="U2514" s="98">
        <v>4.457778577770144</v>
      </c>
      <c r="V2514" s="106">
        <v>32670.682811791514</v>
      </c>
      <c r="W2514" s="10">
        <v>1.1524477755300966</v>
      </c>
      <c r="X2514" s="420"/>
      <c r="Y2514" s="420"/>
      <c r="Z2514" s="1"/>
      <c r="AA2514" s="1"/>
      <c r="AB2514" s="1"/>
      <c r="AC2514" s="1"/>
      <c r="AD2514" s="1"/>
    </row>
    <row r="2515" spans="17:30">
      <c r="Q2515" s="6">
        <v>2485</v>
      </c>
      <c r="R2515" s="7">
        <v>45152</v>
      </c>
      <c r="S2515" s="210">
        <v>4.5</v>
      </c>
      <c r="T2515" s="8">
        <v>1.0001249999999999</v>
      </c>
      <c r="U2515" s="98">
        <v>4.457863042643595</v>
      </c>
      <c r="V2515" s="106">
        <v>32673.492613798069</v>
      </c>
      <c r="W2515" s="10">
        <v>1.1525606732990523</v>
      </c>
      <c r="X2515" s="420"/>
      <c r="Y2515" s="420"/>
      <c r="Z2515" s="1"/>
      <c r="AA2515" s="1"/>
      <c r="AB2515" s="1"/>
      <c r="AC2515" s="1"/>
      <c r="AD2515" s="1"/>
    </row>
    <row r="2516" spans="17:30">
      <c r="Q2516" s="6">
        <v>2486</v>
      </c>
      <c r="R2516" s="7">
        <v>45153</v>
      </c>
      <c r="S2516" s="210">
        <v>4.5</v>
      </c>
      <c r="T2516" s="8">
        <v>1.0001249999999999</v>
      </c>
      <c r="U2516" s="98">
        <v>4.4579474396328367</v>
      </c>
      <c r="V2516" s="106">
        <v>32676.302657458204</v>
      </c>
      <c r="W2516" s="10">
        <v>1.152673480367028</v>
      </c>
      <c r="X2516" s="420"/>
      <c r="Y2516" s="420"/>
      <c r="Z2516" s="1"/>
      <c r="AA2516" s="1"/>
      <c r="AB2516" s="1"/>
      <c r="AC2516" s="1"/>
      <c r="AD2516" s="1"/>
    </row>
    <row r="2517" spans="17:30">
      <c r="Q2517" s="6">
        <v>2487</v>
      </c>
      <c r="R2517" s="7">
        <v>45154</v>
      </c>
      <c r="S2517" s="210">
        <v>4.5</v>
      </c>
      <c r="T2517" s="8">
        <v>1.0001249999999999</v>
      </c>
      <c r="U2517" s="98">
        <v>4.458031768819648</v>
      </c>
      <c r="V2517" s="106">
        <v>32679.112942792694</v>
      </c>
      <c r="W2517" s="10">
        <v>1.1527861968432473</v>
      </c>
      <c r="X2517" s="420"/>
      <c r="Y2517" s="420"/>
      <c r="Z2517" s="1"/>
      <c r="AA2517" s="1"/>
      <c r="AB2517" s="1"/>
      <c r="AC2517" s="1"/>
      <c r="AD2517" s="1"/>
    </row>
    <row r="2518" spans="17:30">
      <c r="Q2518" s="6">
        <v>2488</v>
      </c>
      <c r="R2518" s="7">
        <v>45155</v>
      </c>
      <c r="S2518" s="210">
        <v>4.5</v>
      </c>
      <c r="T2518" s="8">
        <v>1.0001249999999999</v>
      </c>
      <c r="U2518" s="98">
        <v>4.4581160302857192</v>
      </c>
      <c r="V2518" s="106">
        <v>32681.923469822323</v>
      </c>
      <c r="W2518" s="10">
        <v>1.1528988228368231</v>
      </c>
      <c r="X2518" s="420"/>
      <c r="Y2518" s="420"/>
      <c r="Z2518" s="1"/>
      <c r="AA2518" s="1"/>
      <c r="AB2518" s="1"/>
      <c r="AC2518" s="1"/>
      <c r="AD2518" s="1"/>
    </row>
    <row r="2519" spans="17:30">
      <c r="Q2519" s="6">
        <v>2489</v>
      </c>
      <c r="R2519" s="7">
        <v>45156</v>
      </c>
      <c r="S2519" s="210">
        <v>4.5</v>
      </c>
      <c r="T2519" s="8">
        <v>1.0001249999999999</v>
      </c>
      <c r="U2519" s="98">
        <v>4.4582002241126073</v>
      </c>
      <c r="V2519" s="106">
        <v>32684.734238567886</v>
      </c>
      <c r="W2519" s="10">
        <v>1.1530113584566681</v>
      </c>
      <c r="X2519" s="420"/>
      <c r="Y2519" s="420"/>
      <c r="Z2519" s="1"/>
      <c r="AA2519" s="1"/>
      <c r="AB2519" s="1"/>
      <c r="AC2519" s="1"/>
      <c r="AD2519" s="1"/>
    </row>
    <row r="2520" spans="17:30">
      <c r="Q2520" s="6">
        <v>2490</v>
      </c>
      <c r="R2520" s="7">
        <v>45157</v>
      </c>
      <c r="S2520" s="210">
        <v>4.5</v>
      </c>
      <c r="T2520" s="8">
        <v>1.0001249999999999</v>
      </c>
      <c r="U2520" s="98">
        <v>4.4582843503817138</v>
      </c>
      <c r="V2520" s="106">
        <v>32687.54524905017</v>
      </c>
      <c r="W2520" s="10">
        <v>1.1531238038115177</v>
      </c>
      <c r="X2520" s="420"/>
      <c r="Y2520" s="420"/>
      <c r="Z2520" s="1"/>
      <c r="AA2520" s="1"/>
      <c r="AB2520" s="1"/>
      <c r="AC2520" s="1"/>
      <c r="AD2520" s="1"/>
    </row>
    <row r="2521" spans="17:30">
      <c r="Q2521" s="6">
        <v>2491</v>
      </c>
      <c r="R2521" s="7">
        <v>45158</v>
      </c>
      <c r="S2521" s="210">
        <v>4.5</v>
      </c>
      <c r="T2521" s="8">
        <v>1.0001249999999999</v>
      </c>
      <c r="U2521" s="98">
        <v>4.458368409174307</v>
      </c>
      <c r="V2521" s="106">
        <v>32690.35650128996</v>
      </c>
      <c r="W2521" s="10">
        <v>1.153236159009885</v>
      </c>
      <c r="X2521" s="420"/>
      <c r="Y2521" s="420"/>
      <c r="Z2521" s="1"/>
      <c r="AA2521" s="1"/>
      <c r="AB2521" s="1"/>
      <c r="AC2521" s="1"/>
      <c r="AD2521" s="1"/>
    </row>
    <row r="2522" spans="17:30">
      <c r="Q2522" s="6">
        <v>2492</v>
      </c>
      <c r="R2522" s="7">
        <v>45159</v>
      </c>
      <c r="S2522" s="210">
        <v>4.5</v>
      </c>
      <c r="T2522" s="8">
        <v>1.0001249999999999</v>
      </c>
      <c r="U2522" s="98">
        <v>4.4584524005715442</v>
      </c>
      <c r="V2522" s="106">
        <v>32693.167995308049</v>
      </c>
      <c r="W2522" s="10">
        <v>1.1533484241602165</v>
      </c>
      <c r="X2522" s="420"/>
      <c r="Y2522" s="420"/>
      <c r="Z2522" s="1"/>
      <c r="AA2522" s="1"/>
      <c r="AB2522" s="1"/>
      <c r="AC2522" s="1"/>
      <c r="AD2522" s="1"/>
    </row>
    <row r="2523" spans="17:30">
      <c r="Q2523" s="6">
        <v>2493</v>
      </c>
      <c r="R2523" s="7">
        <v>45160</v>
      </c>
      <c r="S2523" s="210">
        <v>4.5</v>
      </c>
      <c r="T2523" s="8">
        <v>1.0001249999999999</v>
      </c>
      <c r="U2523" s="98">
        <v>4.4585363246544496</v>
      </c>
      <c r="V2523" s="106">
        <v>32695.979731125237</v>
      </c>
      <c r="W2523" s="10">
        <v>1.1534605993706704</v>
      </c>
      <c r="X2523" s="420"/>
      <c r="Y2523" s="420"/>
      <c r="Z2523" s="1"/>
      <c r="AA2523" s="1"/>
      <c r="AB2523" s="1"/>
      <c r="AC2523" s="1"/>
      <c r="AD2523" s="1"/>
    </row>
    <row r="2524" spans="17:30">
      <c r="Q2524" s="6">
        <v>2494</v>
      </c>
      <c r="R2524" s="7">
        <v>45161</v>
      </c>
      <c r="S2524" s="210">
        <v>4.5</v>
      </c>
      <c r="T2524" s="8">
        <v>1.0001249999999999</v>
      </c>
      <c r="U2524" s="98">
        <v>4.4586201815039139</v>
      </c>
      <c r="V2524" s="106">
        <v>32698.791708762314</v>
      </c>
      <c r="W2524" s="10">
        <v>1.1535726847493377</v>
      </c>
      <c r="X2524" s="420"/>
      <c r="Y2524" s="420"/>
      <c r="Z2524" s="1"/>
      <c r="AA2524" s="1"/>
      <c r="AB2524" s="1"/>
      <c r="AC2524" s="1"/>
      <c r="AD2524" s="1"/>
    </row>
    <row r="2525" spans="17:30">
      <c r="Q2525" s="6">
        <v>2495</v>
      </c>
      <c r="R2525" s="7">
        <v>45162</v>
      </c>
      <c r="S2525" s="210">
        <v>4.5</v>
      </c>
      <c r="T2525" s="8">
        <v>1.0001249999999999</v>
      </c>
      <c r="U2525" s="98">
        <v>4.4587039712006948</v>
      </c>
      <c r="V2525" s="106">
        <v>32701.603928240074</v>
      </c>
      <c r="W2525" s="10">
        <v>1.1536846804040435</v>
      </c>
      <c r="X2525" s="420"/>
      <c r="Y2525" s="420"/>
      <c r="Z2525" s="1"/>
      <c r="AA2525" s="1"/>
      <c r="AB2525" s="1"/>
      <c r="AC2525" s="1"/>
      <c r="AD2525" s="1"/>
    </row>
    <row r="2526" spans="17:30">
      <c r="Q2526" s="6">
        <v>2496</v>
      </c>
      <c r="R2526" s="7">
        <v>45163</v>
      </c>
      <c r="S2526" s="210">
        <v>4.5</v>
      </c>
      <c r="T2526" s="8">
        <v>1.0001249999999999</v>
      </c>
      <c r="U2526" s="98">
        <v>4.4587876938254389</v>
      </c>
      <c r="V2526" s="106">
        <v>32704.416389579332</v>
      </c>
      <c r="W2526" s="10">
        <v>1.1537965864424793</v>
      </c>
      <c r="X2526" s="420"/>
      <c r="Y2526" s="420"/>
      <c r="Z2526" s="1"/>
      <c r="AA2526" s="1"/>
      <c r="AB2526" s="1"/>
      <c r="AC2526" s="1"/>
      <c r="AD2526" s="1"/>
    </row>
    <row r="2527" spans="17:30">
      <c r="Q2527" s="6">
        <v>2497</v>
      </c>
      <c r="R2527" s="7">
        <v>45164</v>
      </c>
      <c r="S2527" s="210">
        <v>4.5</v>
      </c>
      <c r="T2527" s="8">
        <v>1.0001249999999999</v>
      </c>
      <c r="U2527" s="98">
        <v>4.4588713494586152</v>
      </c>
      <c r="V2527" s="106">
        <v>32707.22909280087</v>
      </c>
      <c r="W2527" s="10">
        <v>1.1539084029722035</v>
      </c>
      <c r="X2527" s="420"/>
      <c r="Y2527" s="420"/>
      <c r="Z2527" s="1"/>
      <c r="AA2527" s="1"/>
      <c r="AB2527" s="1"/>
      <c r="AC2527" s="1"/>
      <c r="AD2527" s="1"/>
    </row>
    <row r="2528" spans="17:30">
      <c r="Q2528" s="6">
        <v>2498</v>
      </c>
      <c r="R2528" s="7">
        <v>45165</v>
      </c>
      <c r="S2528" s="210">
        <v>4.5</v>
      </c>
      <c r="T2528" s="8">
        <v>1.0001249999999999</v>
      </c>
      <c r="U2528" s="98">
        <v>4.4589549381806259</v>
      </c>
      <c r="V2528" s="106">
        <v>32710.042037925497</v>
      </c>
      <c r="W2528" s="10">
        <v>1.1540201301005304</v>
      </c>
      <c r="X2528" s="420"/>
      <c r="Y2528" s="420"/>
      <c r="Z2528" s="1"/>
      <c r="AA2528" s="1"/>
      <c r="AB2528" s="1"/>
      <c r="AC2528" s="1"/>
      <c r="AD2528" s="1"/>
    </row>
    <row r="2529" spans="17:30">
      <c r="Q2529" s="6">
        <v>2499</v>
      </c>
      <c r="R2529" s="7">
        <v>45166</v>
      </c>
      <c r="S2529" s="210">
        <v>4.5</v>
      </c>
      <c r="T2529" s="8">
        <v>1.0001249999999999</v>
      </c>
      <c r="U2529" s="98">
        <v>4.4590384600717181</v>
      </c>
      <c r="V2529" s="106">
        <v>32712.855224974028</v>
      </c>
      <c r="W2529" s="10">
        <v>1.1541317679346408</v>
      </c>
      <c r="X2529" s="420"/>
      <c r="Y2529" s="420"/>
      <c r="Z2529" s="1"/>
      <c r="AA2529" s="1"/>
      <c r="AB2529" s="1"/>
      <c r="AC2529" s="1"/>
      <c r="AD2529" s="1"/>
    </row>
    <row r="2530" spans="17:30">
      <c r="Q2530" s="6">
        <v>2500</v>
      </c>
      <c r="R2530" s="7">
        <v>45167</v>
      </c>
      <c r="S2530" s="210">
        <v>4.5</v>
      </c>
      <c r="T2530" s="8">
        <v>1.0001249999999999</v>
      </c>
      <c r="U2530" s="98">
        <v>4.4591219152119832</v>
      </c>
      <c r="V2530" s="106">
        <v>32715.668653967256</v>
      </c>
      <c r="W2530" s="10">
        <v>1.154243316581538</v>
      </c>
      <c r="X2530" s="420"/>
      <c r="Y2530" s="420"/>
      <c r="Z2530" s="1"/>
      <c r="AA2530" s="1"/>
      <c r="AB2530" s="1"/>
      <c r="AC2530" s="1"/>
      <c r="AD2530" s="1"/>
    </row>
    <row r="2531" spans="17:30">
      <c r="Q2531" s="6">
        <v>2501</v>
      </c>
      <c r="R2531" s="7">
        <v>45168</v>
      </c>
      <c r="S2531" s="210">
        <v>4.5</v>
      </c>
      <c r="T2531" s="8">
        <v>1.0001249999999999</v>
      </c>
      <c r="U2531" s="98">
        <v>4.4592053036814239</v>
      </c>
      <c r="V2531" s="106">
        <v>32718.482324925997</v>
      </c>
      <c r="W2531" s="10">
        <v>1.1543547761480477</v>
      </c>
      <c r="X2531" s="420"/>
      <c r="Y2531" s="420"/>
      <c r="Z2531" s="1"/>
      <c r="AA2531" s="1"/>
      <c r="AB2531" s="1"/>
      <c r="AC2531" s="1"/>
      <c r="AD2531" s="1"/>
    </row>
    <row r="2532" spans="17:30">
      <c r="Q2532" s="6">
        <v>2502</v>
      </c>
      <c r="R2532" s="7">
        <v>45169</v>
      </c>
      <c r="S2532" s="210">
        <v>4.5</v>
      </c>
      <c r="T2532" s="8">
        <v>1.0001249999999999</v>
      </c>
      <c r="U2532" s="98">
        <v>4.4592886255599096</v>
      </c>
      <c r="V2532" s="106">
        <v>32721.296237871054</v>
      </c>
      <c r="W2532" s="10">
        <v>1.1544661467408845</v>
      </c>
      <c r="X2532" s="420"/>
      <c r="Y2532" s="420"/>
      <c r="Z2532" s="1"/>
      <c r="AA2532" s="1"/>
      <c r="AB2532" s="1"/>
      <c r="AC2532" s="1"/>
      <c r="AD2532" s="1"/>
    </row>
    <row r="2533" spans="17:30">
      <c r="Q2533" s="6">
        <v>2503</v>
      </c>
      <c r="R2533" s="7">
        <v>45170</v>
      </c>
      <c r="S2533" s="210">
        <v>4.5</v>
      </c>
      <c r="T2533" s="8">
        <v>1.0001249999999999</v>
      </c>
      <c r="U2533" s="98">
        <v>4.4593718809271765</v>
      </c>
      <c r="V2533" s="106">
        <v>32724.110392823244</v>
      </c>
      <c r="W2533" s="10">
        <v>1.1545774284664967</v>
      </c>
      <c r="X2533" s="420"/>
      <c r="Y2533" s="420"/>
      <c r="Z2533" s="1"/>
      <c r="AA2533" s="1"/>
      <c r="AB2533" s="1"/>
      <c r="AC2533" s="1"/>
      <c r="AD2533" s="1"/>
    </row>
    <row r="2534" spans="17:30">
      <c r="Q2534" s="6">
        <v>2504</v>
      </c>
      <c r="R2534" s="7">
        <v>45171</v>
      </c>
      <c r="S2534" s="210">
        <v>4.5</v>
      </c>
      <c r="T2534" s="8">
        <v>1.0001249999999999</v>
      </c>
      <c r="U2534" s="98">
        <v>4.4594550698628277</v>
      </c>
      <c r="V2534" s="106">
        <v>32726.924789803379</v>
      </c>
      <c r="W2534" s="10">
        <v>1.1546886214312213</v>
      </c>
      <c r="X2534" s="420"/>
      <c r="Y2534" s="420"/>
      <c r="Z2534" s="1"/>
      <c r="AA2534" s="1"/>
      <c r="AB2534" s="1"/>
      <c r="AC2534" s="1"/>
      <c r="AD2534" s="1"/>
    </row>
    <row r="2535" spans="17:30">
      <c r="Q2535" s="6">
        <v>2505</v>
      </c>
      <c r="R2535" s="7">
        <v>45172</v>
      </c>
      <c r="S2535" s="210">
        <v>4.5</v>
      </c>
      <c r="T2535" s="8">
        <v>1.0001249999999999</v>
      </c>
      <c r="U2535" s="98">
        <v>4.4595381924463329</v>
      </c>
      <c r="V2535" s="106">
        <v>32729.739428832276</v>
      </c>
      <c r="W2535" s="10">
        <v>1.1547997257412179</v>
      </c>
      <c r="X2535" s="420"/>
      <c r="Y2535" s="420"/>
      <c r="Z2535" s="1"/>
      <c r="AA2535" s="1"/>
      <c r="AB2535" s="1"/>
      <c r="AC2535" s="1"/>
      <c r="AD2535" s="1"/>
    </row>
    <row r="2536" spans="17:30">
      <c r="Q2536" s="6">
        <v>2506</v>
      </c>
      <c r="R2536" s="7">
        <v>45173</v>
      </c>
      <c r="S2536" s="210">
        <v>4.5</v>
      </c>
      <c r="T2536" s="8">
        <v>1.0001249999999999</v>
      </c>
      <c r="U2536" s="98">
        <v>4.4596212487570508</v>
      </c>
      <c r="V2536" s="106">
        <v>32732.554309930747</v>
      </c>
      <c r="W2536" s="10">
        <v>1.1549107415024462</v>
      </c>
      <c r="X2536" s="420"/>
      <c r="Y2536" s="420"/>
      <c r="Z2536" s="1"/>
      <c r="AA2536" s="1"/>
      <c r="AB2536" s="1"/>
      <c r="AC2536" s="1"/>
      <c r="AD2536" s="1"/>
    </row>
    <row r="2537" spans="17:30">
      <c r="Q2537" s="6">
        <v>2507</v>
      </c>
      <c r="R2537" s="7">
        <v>45174</v>
      </c>
      <c r="S2537" s="210">
        <v>4.5</v>
      </c>
      <c r="T2537" s="8">
        <v>1.0001249999999999</v>
      </c>
      <c r="U2537" s="98">
        <v>4.459704238874207</v>
      </c>
      <c r="V2537" s="106">
        <v>32735.36943311962</v>
      </c>
      <c r="W2537" s="10">
        <v>1.1550216688207549</v>
      </c>
      <c r="X2537" s="420"/>
      <c r="Y2537" s="420"/>
      <c r="Z2537" s="1"/>
      <c r="AA2537" s="1"/>
      <c r="AB2537" s="1"/>
      <c r="AC2537" s="1"/>
      <c r="AD2537" s="1"/>
    </row>
    <row r="2538" spans="17:30">
      <c r="Q2538" s="6">
        <v>2508</v>
      </c>
      <c r="R2538" s="7">
        <v>45175</v>
      </c>
      <c r="S2538" s="210">
        <v>4.5</v>
      </c>
      <c r="T2538" s="8">
        <v>1.0001249999999999</v>
      </c>
      <c r="U2538" s="98">
        <v>4.4597871628768937</v>
      </c>
      <c r="V2538" s="106">
        <v>32738.184798419708</v>
      </c>
      <c r="W2538" s="10">
        <v>1.1551325078017705</v>
      </c>
      <c r="X2538" s="420"/>
      <c r="Y2538" s="420"/>
      <c r="Z2538" s="1"/>
      <c r="AA2538" s="1"/>
      <c r="AB2538" s="1"/>
      <c r="AC2538" s="1"/>
      <c r="AD2538" s="1"/>
    </row>
    <row r="2539" spans="17:30">
      <c r="Q2539" s="6">
        <v>2509</v>
      </c>
      <c r="R2539" s="7">
        <v>45176</v>
      </c>
      <c r="S2539" s="210">
        <v>4.5</v>
      </c>
      <c r="T2539" s="8">
        <v>1.0001249999999999</v>
      </c>
      <c r="U2539" s="98">
        <v>4.4598700208440922</v>
      </c>
      <c r="V2539" s="106">
        <v>32741.000405851835</v>
      </c>
      <c r="W2539" s="10">
        <v>1.1552432585509642</v>
      </c>
      <c r="X2539" s="420"/>
      <c r="Y2539" s="420"/>
      <c r="Z2539" s="1"/>
      <c r="AA2539" s="1"/>
      <c r="AB2539" s="1"/>
      <c r="AC2539" s="1"/>
      <c r="AD2539" s="1"/>
    </row>
    <row r="2540" spans="17:30">
      <c r="Q2540" s="6">
        <v>2510</v>
      </c>
      <c r="R2540" s="7">
        <v>45177</v>
      </c>
      <c r="S2540" s="210">
        <v>4.5</v>
      </c>
      <c r="T2540" s="8">
        <v>1.0001249999999999</v>
      </c>
      <c r="U2540" s="98">
        <v>4.4599528128546506</v>
      </c>
      <c r="V2540" s="106">
        <v>32743.816255436825</v>
      </c>
      <c r="W2540" s="10">
        <v>1.1553539211736519</v>
      </c>
      <c r="X2540" s="420"/>
      <c r="Y2540" s="420"/>
      <c r="Z2540" s="1"/>
      <c r="AA2540" s="1"/>
      <c r="AB2540" s="1"/>
      <c r="AC2540" s="1"/>
      <c r="AD2540" s="1"/>
    </row>
    <row r="2541" spans="17:30">
      <c r="Q2541" s="6">
        <v>2511</v>
      </c>
      <c r="R2541" s="7">
        <v>45178</v>
      </c>
      <c r="S2541" s="210">
        <v>4.5</v>
      </c>
      <c r="T2541" s="8">
        <v>1.0001249999999999</v>
      </c>
      <c r="U2541" s="98">
        <v>4.4600355389872837</v>
      </c>
      <c r="V2541" s="106">
        <v>32746.632347195511</v>
      </c>
      <c r="W2541" s="10">
        <v>1.1554644957749938</v>
      </c>
      <c r="X2541" s="420"/>
      <c r="Y2541" s="420"/>
      <c r="Z2541" s="1"/>
      <c r="AA2541" s="1"/>
      <c r="AB2541" s="1"/>
      <c r="AC2541" s="1"/>
      <c r="AD2541" s="1"/>
    </row>
    <row r="2542" spans="17:30">
      <c r="Q2542" s="6">
        <v>2512</v>
      </c>
      <c r="R2542" s="7">
        <v>45179</v>
      </c>
      <c r="S2542" s="210">
        <v>4.5</v>
      </c>
      <c r="T2542" s="8">
        <v>1.0001249999999999</v>
      </c>
      <c r="U2542" s="98">
        <v>4.4601181993205952</v>
      </c>
      <c r="V2542" s="106">
        <v>32749.448681148711</v>
      </c>
      <c r="W2542" s="10">
        <v>1.1555749824599504</v>
      </c>
      <c r="X2542" s="420"/>
      <c r="Y2542" s="420"/>
      <c r="Z2542" s="1"/>
      <c r="AA2542" s="1"/>
      <c r="AB2542" s="1"/>
      <c r="AC2542" s="1"/>
      <c r="AD2542" s="1"/>
    </row>
    <row r="2543" spans="17:30">
      <c r="Q2543" s="6">
        <v>2513</v>
      </c>
      <c r="R2543" s="7">
        <v>45180</v>
      </c>
      <c r="S2543" s="210">
        <v>4.5</v>
      </c>
      <c r="T2543" s="8">
        <v>1.0001249999999999</v>
      </c>
      <c r="U2543" s="98">
        <v>4.4602007939330779</v>
      </c>
      <c r="V2543" s="106">
        <v>32752.26525731726</v>
      </c>
      <c r="W2543" s="10">
        <v>1.1556853813333712</v>
      </c>
      <c r="X2543" s="420"/>
      <c r="Y2543" s="420"/>
      <c r="Z2543" s="1"/>
      <c r="AA2543" s="1"/>
      <c r="AB2543" s="1"/>
      <c r="AC2543" s="1"/>
      <c r="AD2543" s="1"/>
    </row>
    <row r="2544" spans="17:30">
      <c r="Q2544" s="6">
        <v>2514</v>
      </c>
      <c r="R2544" s="7">
        <v>45181</v>
      </c>
      <c r="S2544" s="210">
        <v>4.5</v>
      </c>
      <c r="T2544" s="8">
        <v>1.0001249999999999</v>
      </c>
      <c r="U2544" s="98">
        <v>4.460283322903047</v>
      </c>
      <c r="V2544" s="106">
        <v>32755.082075721977</v>
      </c>
      <c r="W2544" s="10">
        <v>1.1557956924998614</v>
      </c>
      <c r="X2544" s="420"/>
      <c r="Y2544" s="420"/>
      <c r="Z2544" s="1"/>
      <c r="AA2544" s="1"/>
      <c r="AB2544" s="1"/>
      <c r="AC2544" s="1"/>
      <c r="AD2544" s="1"/>
    </row>
    <row r="2545" spans="17:30">
      <c r="Q2545" s="6">
        <v>2515</v>
      </c>
      <c r="R2545" s="7">
        <v>45182</v>
      </c>
      <c r="S2545" s="210">
        <v>4.5</v>
      </c>
      <c r="T2545" s="8">
        <v>1.0001249999999999</v>
      </c>
      <c r="U2545" s="98">
        <v>4.4603657863087509</v>
      </c>
      <c r="V2545" s="106">
        <v>32757.899136383719</v>
      </c>
      <c r="W2545" s="10">
        <v>1.1559059160638929</v>
      </c>
      <c r="X2545" s="420"/>
      <c r="Y2545" s="420"/>
      <c r="Z2545" s="1"/>
      <c r="AA2545" s="1"/>
      <c r="AB2545" s="1"/>
      <c r="AC2545" s="1"/>
      <c r="AD2545" s="1"/>
    </row>
    <row r="2546" spans="17:30">
      <c r="Q2546" s="6">
        <v>2516</v>
      </c>
      <c r="R2546" s="7">
        <v>45183</v>
      </c>
      <c r="S2546" s="210">
        <v>4.5</v>
      </c>
      <c r="T2546" s="8">
        <v>1.0001249999999999</v>
      </c>
      <c r="U2546" s="98">
        <v>4.4604481842282828</v>
      </c>
      <c r="V2546" s="106">
        <v>32760.716439323303</v>
      </c>
      <c r="W2546" s="10">
        <v>1.1560160521298046</v>
      </c>
      <c r="X2546" s="420"/>
      <c r="Y2546" s="420"/>
      <c r="Z2546" s="1"/>
      <c r="AA2546" s="1"/>
      <c r="AB2546" s="1"/>
      <c r="AC2546" s="1"/>
      <c r="AD2546" s="1"/>
    </row>
    <row r="2547" spans="17:30">
      <c r="Q2547" s="6">
        <v>2517</v>
      </c>
      <c r="R2547" s="7">
        <v>45184</v>
      </c>
      <c r="S2547" s="210">
        <v>4.5</v>
      </c>
      <c r="T2547" s="8">
        <v>1.0001249999999999</v>
      </c>
      <c r="U2547" s="98">
        <v>4.4605305167396025</v>
      </c>
      <c r="V2547" s="106">
        <v>32763.533984561574</v>
      </c>
      <c r="W2547" s="10">
        <v>1.156126100801691</v>
      </c>
      <c r="X2547" s="420"/>
      <c r="Y2547" s="420"/>
      <c r="Z2547" s="1"/>
      <c r="AA2547" s="1"/>
      <c r="AB2547" s="1"/>
      <c r="AC2547" s="1"/>
      <c r="AD2547" s="1"/>
    </row>
    <row r="2548" spans="17:30">
      <c r="Q2548" s="6">
        <v>2518</v>
      </c>
      <c r="R2548" s="7">
        <v>45185</v>
      </c>
      <c r="S2548" s="210">
        <v>4.5</v>
      </c>
      <c r="T2548" s="8">
        <v>1.0001249999999999</v>
      </c>
      <c r="U2548" s="98">
        <v>4.4606127839205811</v>
      </c>
      <c r="V2548" s="106">
        <v>32766.351772119364</v>
      </c>
      <c r="W2548" s="10">
        <v>1.1562360621836243</v>
      </c>
      <c r="X2548" s="420"/>
      <c r="Y2548" s="420"/>
      <c r="Z2548" s="1"/>
      <c r="AA2548" s="1"/>
      <c r="AB2548" s="1"/>
      <c r="AC2548" s="1"/>
      <c r="AD2548" s="1"/>
    </row>
    <row r="2549" spans="17:30">
      <c r="Q2549" s="6">
        <v>2519</v>
      </c>
      <c r="R2549" s="7">
        <v>45186</v>
      </c>
      <c r="S2549" s="210">
        <v>4.5</v>
      </c>
      <c r="T2549" s="8">
        <v>1.0001249999999999</v>
      </c>
      <c r="U2549" s="98">
        <v>4.4606949858489342</v>
      </c>
      <c r="V2549" s="106">
        <v>32769.169802017517</v>
      </c>
      <c r="W2549" s="10">
        <v>1.1563459363793216</v>
      </c>
      <c r="X2549" s="420"/>
      <c r="Y2549" s="420"/>
      <c r="Z2549" s="1"/>
      <c r="AA2549" s="1"/>
      <c r="AB2549" s="1"/>
      <c r="AC2549" s="1"/>
      <c r="AD2549" s="1"/>
    </row>
    <row r="2550" spans="17:30">
      <c r="Q2550" s="6">
        <v>2520</v>
      </c>
      <c r="R2550" s="7">
        <v>45187</v>
      </c>
      <c r="S2550" s="210">
        <v>4.5</v>
      </c>
      <c r="T2550" s="8">
        <v>1.0001249999999999</v>
      </c>
      <c r="U2550" s="98">
        <v>4.4607771226022663</v>
      </c>
      <c r="V2550" s="106">
        <v>32771.98807427688</v>
      </c>
      <c r="W2550" s="10">
        <v>1.1564557234924999</v>
      </c>
      <c r="X2550" s="420"/>
      <c r="Y2550" s="420"/>
      <c r="Z2550" s="1"/>
      <c r="AA2550" s="1"/>
      <c r="AB2550" s="1"/>
      <c r="AC2550" s="1"/>
      <c r="AD2550" s="1"/>
    </row>
    <row r="2551" spans="17:30">
      <c r="Q2551" s="6">
        <v>2521</v>
      </c>
      <c r="R2551" s="7">
        <v>45188</v>
      </c>
      <c r="S2551" s="210">
        <v>4.5</v>
      </c>
      <c r="T2551" s="8">
        <v>1.0001249999999999</v>
      </c>
      <c r="U2551" s="98">
        <v>4.4608591942580711</v>
      </c>
      <c r="V2551" s="106">
        <v>32774.806588918291</v>
      </c>
      <c r="W2551" s="10">
        <v>1.1565654236266099</v>
      </c>
      <c r="X2551" s="420"/>
      <c r="Y2551" s="420"/>
      <c r="Z2551" s="1"/>
      <c r="AA2551" s="1"/>
      <c r="AB2551" s="1"/>
      <c r="AC2551" s="1"/>
      <c r="AD2551" s="1"/>
    </row>
    <row r="2552" spans="17:30">
      <c r="Q2552" s="6">
        <v>2522</v>
      </c>
      <c r="R2552" s="7">
        <v>45189</v>
      </c>
      <c r="S2552" s="210">
        <v>4.5</v>
      </c>
      <c r="T2552" s="8">
        <v>1.0001249999999999</v>
      </c>
      <c r="U2552" s="98">
        <v>4.4609412008936866</v>
      </c>
      <c r="V2552" s="106">
        <v>32777.625345962595</v>
      </c>
      <c r="W2552" s="10">
        <v>1.156675036884991</v>
      </c>
      <c r="X2552" s="420"/>
      <c r="Y2552" s="420"/>
      <c r="Z2552" s="1"/>
      <c r="AA2552" s="1"/>
      <c r="AB2552" s="1"/>
      <c r="AC2552" s="1"/>
      <c r="AD2552" s="1"/>
    </row>
    <row r="2553" spans="17:30">
      <c r="Q2553" s="6">
        <v>2523</v>
      </c>
      <c r="R2553" s="7">
        <v>45190</v>
      </c>
      <c r="S2553" s="210">
        <v>4.5</v>
      </c>
      <c r="T2553" s="8">
        <v>1.0001249999999999</v>
      </c>
      <c r="U2553" s="98">
        <v>4.4610231425863622</v>
      </c>
      <c r="V2553" s="106">
        <v>32780.444345430646</v>
      </c>
      <c r="W2553" s="10">
        <v>1.1567845633707829</v>
      </c>
      <c r="X2553" s="420"/>
      <c r="Y2553" s="420"/>
      <c r="Z2553" s="1"/>
      <c r="AA2553" s="1"/>
      <c r="AB2553" s="1"/>
      <c r="AC2553" s="1"/>
      <c r="AD2553" s="1"/>
    </row>
    <row r="2554" spans="17:30">
      <c r="Q2554" s="6">
        <v>2524</v>
      </c>
      <c r="R2554" s="7">
        <v>45191</v>
      </c>
      <c r="S2554" s="210">
        <v>4.5</v>
      </c>
      <c r="T2554" s="8">
        <v>1.0001249999999999</v>
      </c>
      <c r="U2554" s="98">
        <v>4.461105019413214</v>
      </c>
      <c r="V2554" s="106">
        <v>32783.263587343281</v>
      </c>
      <c r="W2554" s="10">
        <v>1.1568940031870145</v>
      </c>
      <c r="X2554" s="420"/>
      <c r="Y2554" s="420"/>
      <c r="Z2554" s="1"/>
      <c r="AA2554" s="1"/>
      <c r="AB2554" s="1"/>
      <c r="AC2554" s="1"/>
      <c r="AD2554" s="1"/>
    </row>
    <row r="2555" spans="17:30">
      <c r="Q2555" s="6">
        <v>2525</v>
      </c>
      <c r="R2555" s="7">
        <v>45192</v>
      </c>
      <c r="S2555" s="210">
        <v>4.5</v>
      </c>
      <c r="T2555" s="8">
        <v>1.0001249999999999</v>
      </c>
      <c r="U2555" s="98">
        <v>4.4611868314512471</v>
      </c>
      <c r="V2555" s="106">
        <v>32786.083071721368</v>
      </c>
      <c r="W2555" s="10">
        <v>1.1570033564365145</v>
      </c>
      <c r="X2555" s="420"/>
      <c r="Y2555" s="420"/>
      <c r="Z2555" s="1"/>
      <c r="AA2555" s="1"/>
      <c r="AB2555" s="1"/>
      <c r="AC2555" s="1"/>
      <c r="AD2555" s="1"/>
    </row>
    <row r="2556" spans="17:30">
      <c r="Q2556" s="6">
        <v>2526</v>
      </c>
      <c r="R2556" s="7">
        <v>45193</v>
      </c>
      <c r="S2556" s="210">
        <v>4.5</v>
      </c>
      <c r="T2556" s="8">
        <v>1.0001249999999999</v>
      </c>
      <c r="U2556" s="98">
        <v>4.461268578777311</v>
      </c>
      <c r="V2556" s="106">
        <v>32788.902798585746</v>
      </c>
      <c r="W2556" s="10">
        <v>1.1571126232219342</v>
      </c>
      <c r="X2556" s="420"/>
      <c r="Y2556" s="420"/>
      <c r="Z2556" s="1"/>
      <c r="AA2556" s="1"/>
      <c r="AB2556" s="1"/>
      <c r="AC2556" s="1"/>
      <c r="AD2556" s="1"/>
    </row>
    <row r="2557" spans="17:30">
      <c r="Q2557" s="6">
        <v>2527</v>
      </c>
      <c r="R2557" s="7">
        <v>45194</v>
      </c>
      <c r="S2557" s="210">
        <v>4.5</v>
      </c>
      <c r="T2557" s="8">
        <v>1.0001249999999999</v>
      </c>
      <c r="U2557" s="98">
        <v>4.4613502614681666</v>
      </c>
      <c r="V2557" s="106">
        <v>32791.722767957275</v>
      </c>
      <c r="W2557" s="10">
        <v>1.1572218036457915</v>
      </c>
      <c r="X2557" s="420"/>
      <c r="Y2557" s="420"/>
      <c r="Z2557" s="1"/>
      <c r="AA2557" s="1"/>
      <c r="AB2557" s="1"/>
      <c r="AC2557" s="1"/>
      <c r="AD2557" s="1"/>
    </row>
    <row r="2558" spans="17:30">
      <c r="Q2558" s="6">
        <v>2528</v>
      </c>
      <c r="R2558" s="7">
        <v>45195</v>
      </c>
      <c r="S2558" s="210">
        <v>4.5</v>
      </c>
      <c r="T2558" s="8">
        <v>1.0001249999999999</v>
      </c>
      <c r="U2558" s="98">
        <v>4.4614318796004193</v>
      </c>
      <c r="V2558" s="106">
        <v>32794.542979856815</v>
      </c>
      <c r="W2558" s="10">
        <v>1.1573308978104269</v>
      </c>
      <c r="X2558" s="420"/>
      <c r="Y2558" s="420"/>
      <c r="Z2558" s="1"/>
      <c r="AA2558" s="1"/>
      <c r="AB2558" s="1"/>
      <c r="AC2558" s="1"/>
      <c r="AD2558" s="1"/>
    </row>
    <row r="2559" spans="17:30">
      <c r="Q2559" s="6">
        <v>2529</v>
      </c>
      <c r="R2559" s="7">
        <v>45196</v>
      </c>
      <c r="S2559" s="210">
        <v>4.5</v>
      </c>
      <c r="T2559" s="8">
        <v>1.0001249999999999</v>
      </c>
      <c r="U2559" s="98">
        <v>4.4615134332506079</v>
      </c>
      <c r="V2559" s="106">
        <v>32797.363434305211</v>
      </c>
      <c r="W2559" s="10">
        <v>1.1574399058180473</v>
      </c>
      <c r="X2559" s="420"/>
      <c r="Y2559" s="420"/>
      <c r="Z2559" s="1"/>
      <c r="AA2559" s="1"/>
      <c r="AB2559" s="1"/>
      <c r="AC2559" s="1"/>
      <c r="AD2559" s="1"/>
    </row>
    <row r="2560" spans="17:30">
      <c r="Q2560" s="6">
        <v>2530</v>
      </c>
      <c r="R2560" s="7">
        <v>45197</v>
      </c>
      <c r="S2560" s="210">
        <v>4.5</v>
      </c>
      <c r="T2560" s="8">
        <v>1.0001249999999999</v>
      </c>
      <c r="U2560" s="98">
        <v>4.4615949224950935</v>
      </c>
      <c r="V2560" s="106">
        <v>32800.184131323338</v>
      </c>
      <c r="W2560" s="10">
        <v>1.1575488277706381</v>
      </c>
      <c r="X2560" s="420"/>
      <c r="Y2560" s="420"/>
      <c r="Z2560" s="1"/>
      <c r="AA2560" s="1"/>
      <c r="AB2560" s="1"/>
      <c r="AC2560" s="1"/>
      <c r="AD2560" s="1"/>
    </row>
    <row r="2561" spans="17:30">
      <c r="Q2561" s="6">
        <v>2531</v>
      </c>
      <c r="R2561" s="7">
        <v>45198</v>
      </c>
      <c r="S2561" s="210">
        <v>4.5</v>
      </c>
      <c r="T2561" s="8">
        <v>1.0001249999999999</v>
      </c>
      <c r="U2561" s="98">
        <v>4.4616763474101484</v>
      </c>
      <c r="V2561" s="106">
        <v>32803.005070932057</v>
      </c>
      <c r="W2561" s="10">
        <v>1.1576576637700731</v>
      </c>
      <c r="X2561" s="420"/>
      <c r="Y2561" s="420"/>
      <c r="Z2561" s="1"/>
      <c r="AA2561" s="1"/>
      <c r="AB2561" s="1"/>
      <c r="AC2561" s="1"/>
      <c r="AD2561" s="1"/>
    </row>
    <row r="2562" spans="17:30">
      <c r="Q2562" s="6">
        <v>2532</v>
      </c>
      <c r="R2562" s="7">
        <v>45199</v>
      </c>
      <c r="S2562" s="210">
        <v>4.5</v>
      </c>
      <c r="T2562" s="8">
        <v>1.0001249999999999</v>
      </c>
      <c r="U2562" s="98">
        <v>4.4617577080719339</v>
      </c>
      <c r="V2562" s="106">
        <v>32805.826253152227</v>
      </c>
      <c r="W2562" s="10">
        <v>1.1577664139180932</v>
      </c>
      <c r="X2562" s="420"/>
      <c r="Y2562" s="420"/>
      <c r="Z2562" s="1"/>
      <c r="AA2562" s="1"/>
      <c r="AB2562" s="1"/>
      <c r="AC2562" s="1"/>
      <c r="AD2562" s="1"/>
    </row>
    <row r="2563" spans="17:30">
      <c r="Q2563" s="6">
        <v>2533</v>
      </c>
      <c r="R2563" s="7">
        <v>45200</v>
      </c>
      <c r="S2563" s="210">
        <v>4.5</v>
      </c>
      <c r="T2563" s="8">
        <v>1.0001249999999999</v>
      </c>
      <c r="U2563" s="98">
        <v>4.461839004556456</v>
      </c>
      <c r="V2563" s="106">
        <v>32808.647678004709</v>
      </c>
      <c r="W2563" s="10">
        <v>1.1578750783162173</v>
      </c>
      <c r="X2563" s="420"/>
      <c r="Y2563" s="420"/>
      <c r="Z2563" s="1"/>
      <c r="AA2563" s="1"/>
      <c r="AB2563" s="1"/>
      <c r="AC2563" s="1"/>
      <c r="AD2563" s="1"/>
    </row>
    <row r="2564" spans="17:30">
      <c r="Q2564" s="6">
        <v>2534</v>
      </c>
      <c r="R2564" s="7">
        <v>45201</v>
      </c>
      <c r="S2564" s="210">
        <v>4.5</v>
      </c>
      <c r="T2564" s="8">
        <v>1.0001249999999999</v>
      </c>
      <c r="U2564" s="98">
        <v>4.4619202369396094</v>
      </c>
      <c r="V2564" s="106">
        <v>32811.469345510377</v>
      </c>
      <c r="W2564" s="10">
        <v>1.1579836570657864</v>
      </c>
      <c r="X2564" s="420"/>
      <c r="Y2564" s="420"/>
      <c r="Z2564" s="1"/>
      <c r="AA2564" s="1"/>
      <c r="AB2564" s="1"/>
      <c r="AC2564" s="1"/>
      <c r="AD2564" s="1"/>
    </row>
    <row r="2565" spans="17:30">
      <c r="Q2565" s="6">
        <v>2535</v>
      </c>
      <c r="R2565" s="7">
        <v>45202</v>
      </c>
      <c r="S2565" s="210">
        <v>4.5</v>
      </c>
      <c r="T2565" s="8">
        <v>1.0001249999999999</v>
      </c>
      <c r="U2565" s="98">
        <v>4.4620014052972001</v>
      </c>
      <c r="V2565" s="106">
        <v>32814.291255690092</v>
      </c>
      <c r="W2565" s="10">
        <v>1.1580921502680752</v>
      </c>
      <c r="X2565" s="420"/>
      <c r="Y2565" s="420"/>
      <c r="Z2565" s="1"/>
      <c r="AA2565" s="1"/>
      <c r="AB2565" s="1"/>
      <c r="AC2565" s="1"/>
      <c r="AD2565" s="1"/>
    </row>
    <row r="2566" spans="17:30">
      <c r="Q2566" s="6">
        <v>2536</v>
      </c>
      <c r="R2566" s="7">
        <v>45203</v>
      </c>
      <c r="S2566" s="210">
        <v>4.5</v>
      </c>
      <c r="T2566" s="8">
        <v>1.0001249999999999</v>
      </c>
      <c r="U2566" s="98">
        <v>4.4620825097048789</v>
      </c>
      <c r="V2566" s="106">
        <v>32817.113408564735</v>
      </c>
      <c r="W2566" s="10">
        <v>1.1582005580241139</v>
      </c>
      <c r="X2566" s="420"/>
      <c r="Y2566" s="420"/>
      <c r="Z2566" s="1"/>
      <c r="AA2566" s="1"/>
      <c r="AB2566" s="1"/>
      <c r="AC2566" s="1"/>
      <c r="AD2566" s="1"/>
    </row>
    <row r="2567" spans="17:30">
      <c r="Q2567" s="6">
        <v>2537</v>
      </c>
      <c r="R2567" s="7">
        <v>45204</v>
      </c>
      <c r="S2567" s="210">
        <v>4.5</v>
      </c>
      <c r="T2567" s="8">
        <v>1.0001249999999999</v>
      </c>
      <c r="U2567" s="98">
        <v>4.4621635502382073</v>
      </c>
      <c r="V2567" s="106">
        <v>32819.935804155175</v>
      </c>
      <c r="W2567" s="10">
        <v>1.1583088804348218</v>
      </c>
      <c r="X2567" s="420"/>
      <c r="Y2567" s="420"/>
      <c r="Z2567" s="1"/>
      <c r="AA2567" s="1"/>
      <c r="AB2567" s="1"/>
      <c r="AC2567" s="1"/>
      <c r="AD2567" s="1"/>
    </row>
    <row r="2568" spans="17:30">
      <c r="Q2568" s="6">
        <v>2538</v>
      </c>
      <c r="R2568" s="7">
        <v>45205</v>
      </c>
      <c r="S2568" s="210">
        <v>4.5</v>
      </c>
      <c r="T2568" s="8">
        <v>1.0001249999999999</v>
      </c>
      <c r="U2568" s="98">
        <v>4.4622445269725919</v>
      </c>
      <c r="V2568" s="106">
        <v>32822.758442482293</v>
      </c>
      <c r="W2568" s="10">
        <v>1.1584171176009184</v>
      </c>
      <c r="X2568" s="420"/>
      <c r="Y2568" s="420"/>
      <c r="Z2568" s="1"/>
      <c r="AA2568" s="1"/>
      <c r="AB2568" s="1"/>
      <c r="AC2568" s="1"/>
      <c r="AD2568" s="1"/>
    </row>
    <row r="2569" spans="17:30">
      <c r="Q2569" s="6">
        <v>2539</v>
      </c>
      <c r="R2569" s="7">
        <v>45206</v>
      </c>
      <c r="S2569" s="210">
        <v>4.5</v>
      </c>
      <c r="T2569" s="8">
        <v>1.0001249999999999</v>
      </c>
      <c r="U2569" s="98">
        <v>4.4623254399833501</v>
      </c>
      <c r="V2569" s="106">
        <v>32825.581323566948</v>
      </c>
      <c r="W2569" s="10">
        <v>1.1585252696230341</v>
      </c>
      <c r="X2569" s="420"/>
      <c r="Y2569" s="420"/>
      <c r="Z2569" s="1"/>
      <c r="AA2569" s="1"/>
      <c r="AB2569" s="1"/>
      <c r="AC2569" s="1"/>
      <c r="AD2569" s="1"/>
    </row>
    <row r="2570" spans="17:30">
      <c r="Q2570" s="6">
        <v>2540</v>
      </c>
      <c r="R2570" s="7">
        <v>45207</v>
      </c>
      <c r="S2570" s="210">
        <v>4.5</v>
      </c>
      <c r="T2570" s="8">
        <v>1.0001249999999999</v>
      </c>
      <c r="U2570" s="98">
        <v>4.4624062893456884</v>
      </c>
      <c r="V2570" s="106">
        <v>32828.404447430039</v>
      </c>
      <c r="W2570" s="10">
        <v>1.1586333366015555</v>
      </c>
      <c r="X2570" s="420"/>
      <c r="Y2570" s="420"/>
      <c r="Z2570" s="1"/>
      <c r="AA2570" s="1"/>
      <c r="AB2570" s="1"/>
      <c r="AC2570" s="1"/>
      <c r="AD2570" s="1"/>
    </row>
    <row r="2571" spans="17:30">
      <c r="Q2571" s="6">
        <v>2541</v>
      </c>
      <c r="R2571" s="7">
        <v>45208</v>
      </c>
      <c r="S2571" s="210">
        <v>4.5</v>
      </c>
      <c r="T2571" s="8">
        <v>1.0001249999999999</v>
      </c>
      <c r="U2571" s="98">
        <v>4.4624870751346579</v>
      </c>
      <c r="V2571" s="106">
        <v>32831.227814092432</v>
      </c>
      <c r="W2571" s="10">
        <v>1.1587413186367579</v>
      </c>
      <c r="X2571" s="420"/>
      <c r="Y2571" s="420"/>
      <c r="Z2571" s="1"/>
      <c r="AA2571" s="1"/>
      <c r="AB2571" s="1"/>
      <c r="AC2571" s="1"/>
      <c r="AD2571" s="1"/>
    </row>
    <row r="2572" spans="17:30">
      <c r="Q2572" s="6">
        <v>2542</v>
      </c>
      <c r="R2572" s="7">
        <v>45209</v>
      </c>
      <c r="S2572" s="210">
        <v>4.5</v>
      </c>
      <c r="T2572" s="8">
        <v>1.0001249999999999</v>
      </c>
      <c r="U2572" s="98">
        <v>4.4625677974252209</v>
      </c>
      <c r="V2572" s="106">
        <v>32834.051423575009</v>
      </c>
      <c r="W2572" s="10">
        <v>1.1588492158287833</v>
      </c>
      <c r="X2572" s="420"/>
      <c r="Y2572" s="420"/>
      <c r="Z2572" s="1"/>
      <c r="AA2572" s="1"/>
      <c r="AB2572" s="1"/>
      <c r="AC2572" s="1"/>
      <c r="AD2572" s="1"/>
    </row>
    <row r="2573" spans="17:30">
      <c r="Q2573" s="6">
        <v>2543</v>
      </c>
      <c r="R2573" s="7">
        <v>45210</v>
      </c>
      <c r="S2573" s="210">
        <v>4.5</v>
      </c>
      <c r="T2573" s="8">
        <v>1.0001249999999999</v>
      </c>
      <c r="U2573" s="98">
        <v>4.4626484562922064</v>
      </c>
      <c r="V2573" s="106">
        <v>32836.875275898659</v>
      </c>
      <c r="W2573" s="10">
        <v>1.1589570282775519</v>
      </c>
      <c r="X2573" s="420"/>
      <c r="Y2573" s="420"/>
      <c r="Z2573" s="1"/>
      <c r="AA2573" s="1"/>
      <c r="AB2573" s="1"/>
      <c r="AC2573" s="1"/>
      <c r="AD2573" s="1"/>
    </row>
    <row r="2574" spans="17:30">
      <c r="Q2574" s="6">
        <v>2544</v>
      </c>
      <c r="R2574" s="7">
        <v>45211</v>
      </c>
      <c r="S2574" s="210">
        <v>4.5</v>
      </c>
      <c r="T2574" s="8">
        <v>1.0001249999999999</v>
      </c>
      <c r="U2574" s="98">
        <v>4.4627290518103324</v>
      </c>
      <c r="V2574" s="106">
        <v>32839.699371084265</v>
      </c>
      <c r="W2574" s="10">
        <v>1.1590647560828504</v>
      </c>
      <c r="X2574" s="420"/>
      <c r="Y2574" s="420"/>
      <c r="Z2574" s="1"/>
      <c r="AA2574" s="1"/>
      <c r="AB2574" s="1"/>
      <c r="AC2574" s="1"/>
      <c r="AD2574" s="1"/>
    </row>
    <row r="2575" spans="17:30">
      <c r="Q2575" s="6">
        <v>2545</v>
      </c>
      <c r="R2575" s="7">
        <v>45212</v>
      </c>
      <c r="S2575" s="210">
        <v>4.5</v>
      </c>
      <c r="T2575" s="8">
        <v>1.0001249999999999</v>
      </c>
      <c r="U2575" s="98">
        <v>4.4628095840542059</v>
      </c>
      <c r="V2575" s="106">
        <v>32842.523709152716</v>
      </c>
      <c r="W2575" s="10">
        <v>1.1591723993443548</v>
      </c>
      <c r="X2575" s="420"/>
      <c r="Y2575" s="420"/>
      <c r="Z2575" s="1"/>
      <c r="AA2575" s="1"/>
      <c r="AB2575" s="1"/>
      <c r="AC2575" s="1"/>
      <c r="AD2575" s="1"/>
    </row>
    <row r="2576" spans="17:30">
      <c r="Q2576" s="6">
        <v>2546</v>
      </c>
      <c r="R2576" s="7">
        <v>45213</v>
      </c>
      <c r="S2576" s="210">
        <v>4.5</v>
      </c>
      <c r="T2576" s="8">
        <v>1.0001249999999999</v>
      </c>
      <c r="U2576" s="98">
        <v>4.4628900530983229</v>
      </c>
      <c r="V2576" s="106">
        <v>32845.348290124894</v>
      </c>
      <c r="W2576" s="10">
        <v>1.1592799581615632</v>
      </c>
      <c r="X2576" s="420"/>
      <c r="Y2576" s="420"/>
      <c r="Z2576" s="1"/>
      <c r="AA2576" s="1"/>
      <c r="AB2576" s="1"/>
      <c r="AC2576" s="1"/>
      <c r="AD2576" s="1"/>
    </row>
    <row r="2577" spans="17:30">
      <c r="Q2577" s="6">
        <v>2547</v>
      </c>
      <c r="R2577" s="7">
        <v>45214</v>
      </c>
      <c r="S2577" s="210">
        <v>4.5</v>
      </c>
      <c r="T2577" s="8">
        <v>1.0001249999999999</v>
      </c>
      <c r="U2577" s="98">
        <v>4.462970459017046</v>
      </c>
      <c r="V2577" s="106">
        <v>32848.173114021694</v>
      </c>
      <c r="W2577" s="10">
        <v>1.1593874326337739</v>
      </c>
      <c r="X2577" s="420"/>
      <c r="Y2577" s="420"/>
      <c r="Z2577" s="1"/>
      <c r="AA2577" s="1"/>
      <c r="AB2577" s="1"/>
      <c r="AC2577" s="1"/>
      <c r="AD2577" s="1"/>
    </row>
    <row r="2578" spans="17:30">
      <c r="Q2578" s="6">
        <v>2548</v>
      </c>
      <c r="R2578" s="7">
        <v>45215</v>
      </c>
      <c r="S2578" s="210">
        <v>4.5</v>
      </c>
      <c r="T2578" s="8">
        <v>1.0001249999999999</v>
      </c>
      <c r="U2578" s="98">
        <v>4.4630508018846049</v>
      </c>
      <c r="V2578" s="106">
        <v>32850.998180864008</v>
      </c>
      <c r="W2578" s="10">
        <v>1.159494822860152</v>
      </c>
      <c r="X2578" s="420"/>
      <c r="Y2578" s="420"/>
      <c r="Z2578" s="1"/>
      <c r="AA2578" s="1"/>
      <c r="AB2578" s="1"/>
      <c r="AC2578" s="1"/>
      <c r="AD2578" s="1"/>
    </row>
    <row r="2579" spans="17:30">
      <c r="Q2579" s="6">
        <v>2549</v>
      </c>
      <c r="R2579" s="7">
        <v>45216</v>
      </c>
      <c r="S2579" s="210">
        <v>4.5</v>
      </c>
      <c r="T2579" s="8">
        <v>1.0001249999999999</v>
      </c>
      <c r="U2579" s="98">
        <v>4.4631310817751624</v>
      </c>
      <c r="V2579" s="106">
        <v>32853.823490672738</v>
      </c>
      <c r="W2579" s="10">
        <v>1.1596021289397518</v>
      </c>
      <c r="X2579" s="420"/>
      <c r="Y2579" s="420"/>
      <c r="Z2579" s="1"/>
      <c r="AA2579" s="1"/>
      <c r="AB2579" s="1"/>
      <c r="AC2579" s="1"/>
      <c r="AD2579" s="1"/>
    </row>
    <row r="2580" spans="17:30">
      <c r="Q2580" s="6">
        <v>2550</v>
      </c>
      <c r="R2580" s="7">
        <v>45217</v>
      </c>
      <c r="S2580" s="210">
        <v>4.5</v>
      </c>
      <c r="T2580" s="8">
        <v>1.0001249999999999</v>
      </c>
      <c r="U2580" s="98">
        <v>4.4632112987627037</v>
      </c>
      <c r="V2580" s="106">
        <v>32856.649043468766</v>
      </c>
      <c r="W2580" s="10">
        <v>1.1597093509713829</v>
      </c>
      <c r="X2580" s="420"/>
      <c r="Y2580" s="420"/>
      <c r="Z2580" s="1"/>
      <c r="AA2580" s="1"/>
      <c r="AB2580" s="1"/>
      <c r="AC2580" s="1"/>
      <c r="AD2580" s="1"/>
    </row>
    <row r="2581" spans="17:30">
      <c r="Q2581" s="6">
        <v>2551</v>
      </c>
      <c r="R2581" s="7">
        <v>45218</v>
      </c>
      <c r="S2581" s="210">
        <v>4.5</v>
      </c>
      <c r="T2581" s="8">
        <v>1.0001249999999999</v>
      </c>
      <c r="U2581" s="98">
        <v>4.4632914529211698</v>
      </c>
      <c r="V2581" s="106">
        <v>32859.474839272996</v>
      </c>
      <c r="W2581" s="10">
        <v>1.159816489053811</v>
      </c>
      <c r="X2581" s="420"/>
      <c r="Y2581" s="420"/>
      <c r="Z2581" s="1"/>
      <c r="AA2581" s="1"/>
      <c r="AB2581" s="1"/>
      <c r="AC2581" s="1"/>
      <c r="AD2581" s="1"/>
    </row>
    <row r="2582" spans="17:30">
      <c r="Q2582" s="6">
        <v>2552</v>
      </c>
      <c r="R2582" s="7">
        <v>45219</v>
      </c>
      <c r="S2582" s="210">
        <v>4.5</v>
      </c>
      <c r="T2582" s="8">
        <v>1.0001249999999999</v>
      </c>
      <c r="U2582" s="98">
        <v>4.4633715443243238</v>
      </c>
      <c r="V2582" s="106">
        <v>32862.300878106333</v>
      </c>
      <c r="W2582" s="10">
        <v>1.1599235432855348</v>
      </c>
      <c r="X2582" s="420"/>
      <c r="Y2582" s="420"/>
      <c r="Z2582" s="1"/>
      <c r="AA2582" s="1"/>
      <c r="AB2582" s="1"/>
      <c r="AC2582" s="1"/>
      <c r="AD2582" s="1"/>
    </row>
    <row r="2583" spans="17:30">
      <c r="Q2583" s="6">
        <v>2553</v>
      </c>
      <c r="R2583" s="7">
        <v>45220</v>
      </c>
      <c r="S2583" s="210">
        <v>4.5</v>
      </c>
      <c r="T2583" s="8">
        <v>1.0001249999999999</v>
      </c>
      <c r="U2583" s="98">
        <v>4.4634515730458402</v>
      </c>
      <c r="V2583" s="106">
        <v>32865.127159989672</v>
      </c>
      <c r="W2583" s="10">
        <v>1.1600305137650091</v>
      </c>
      <c r="X2583" s="420"/>
      <c r="Y2583" s="420"/>
      <c r="Z2583" s="1"/>
      <c r="AA2583" s="1"/>
      <c r="AB2583" s="1"/>
      <c r="AC2583" s="1"/>
      <c r="AD2583" s="1"/>
    </row>
    <row r="2584" spans="17:30">
      <c r="Q2584" s="6">
        <v>2554</v>
      </c>
      <c r="R2584" s="7">
        <v>45221</v>
      </c>
      <c r="S2584" s="210">
        <v>4.5</v>
      </c>
      <c r="T2584" s="8">
        <v>1.0001249999999999</v>
      </c>
      <c r="U2584" s="98">
        <v>4.46353153915926</v>
      </c>
      <c r="V2584" s="106">
        <v>32867.953684943925</v>
      </c>
      <c r="W2584" s="10">
        <v>1.1601374005904219</v>
      </c>
      <c r="X2584" s="420"/>
      <c r="Y2584" s="420"/>
      <c r="Z2584" s="1"/>
      <c r="AA2584" s="1"/>
      <c r="AB2584" s="1"/>
      <c r="AC2584" s="1"/>
      <c r="AD2584" s="1"/>
    </row>
    <row r="2585" spans="17:30">
      <c r="Q2585" s="6">
        <v>2555</v>
      </c>
      <c r="R2585" s="7">
        <v>45222</v>
      </c>
      <c r="S2585" s="210">
        <v>4.5</v>
      </c>
      <c r="T2585" s="8">
        <v>1.0001249999999999</v>
      </c>
      <c r="U2585" s="98">
        <v>4.4636114427380358</v>
      </c>
      <c r="V2585" s="106">
        <v>32870.78045298998</v>
      </c>
      <c r="W2585" s="10">
        <v>1.1602442038598948</v>
      </c>
      <c r="X2585" s="420"/>
      <c r="Y2585" s="420"/>
      <c r="Z2585" s="1"/>
      <c r="AA2585" s="1"/>
      <c r="AB2585" s="1"/>
      <c r="AC2585" s="1"/>
      <c r="AD2585" s="1"/>
    </row>
    <row r="2586" spans="17:30">
      <c r="Q2586" s="6">
        <v>2556</v>
      </c>
      <c r="R2586" s="7">
        <v>45223</v>
      </c>
      <c r="S2586" s="210">
        <v>4.5</v>
      </c>
      <c r="T2586" s="8">
        <v>1.0001249999999999</v>
      </c>
      <c r="U2586" s="98">
        <v>4.4636912838555087</v>
      </c>
      <c r="V2586" s="106">
        <v>32873.607464148765</v>
      </c>
      <c r="W2586" s="10">
        <v>1.1603509236713716</v>
      </c>
      <c r="X2586" s="420"/>
      <c r="Y2586" s="420"/>
      <c r="Z2586" s="1"/>
      <c r="AA2586" s="1"/>
      <c r="AB2586" s="1"/>
      <c r="AC2586" s="1"/>
      <c r="AD2586" s="1"/>
    </row>
    <row r="2587" spans="17:30">
      <c r="Q2587" s="6">
        <v>2557</v>
      </c>
      <c r="R2587" s="7">
        <v>45224</v>
      </c>
      <c r="S2587" s="210">
        <v>4.5</v>
      </c>
      <c r="T2587" s="8">
        <v>1.0001249999999999</v>
      </c>
      <c r="U2587" s="98">
        <v>4.4637710625848648</v>
      </c>
      <c r="V2587" s="106">
        <v>32876.434718441167</v>
      </c>
      <c r="W2587" s="10">
        <v>1.1604575601226186</v>
      </c>
      <c r="X2587" s="420"/>
      <c r="Y2587" s="420"/>
      <c r="Z2587" s="1"/>
      <c r="AA2587" s="1"/>
      <c r="AB2587" s="1"/>
      <c r="AC2587" s="1"/>
      <c r="AD2587" s="1"/>
    </row>
    <row r="2588" spans="17:30">
      <c r="Q2588" s="6">
        <v>2558</v>
      </c>
      <c r="R2588" s="7">
        <v>45225</v>
      </c>
      <c r="S2588" s="210">
        <v>4.5</v>
      </c>
      <c r="T2588" s="8">
        <v>1.0001249999999999</v>
      </c>
      <c r="U2588" s="98">
        <v>4.4638507789992232</v>
      </c>
      <c r="V2588" s="106">
        <v>32879.262215888113</v>
      </c>
      <c r="W2588" s="10">
        <v>1.1605641133112909</v>
      </c>
      <c r="X2588" s="420"/>
      <c r="Y2588" s="420"/>
      <c r="Z2588" s="1"/>
      <c r="AA2588" s="1"/>
      <c r="AB2588" s="1"/>
      <c r="AC2588" s="1"/>
      <c r="AD2588" s="1"/>
    </row>
    <row r="2589" spans="17:30">
      <c r="Q2589" s="6">
        <v>2559</v>
      </c>
      <c r="R2589" s="7">
        <v>45226</v>
      </c>
      <c r="S2589" s="210">
        <v>4.5</v>
      </c>
      <c r="T2589" s="8">
        <v>1.0001249999999999</v>
      </c>
      <c r="U2589" s="98">
        <v>4.4639304331715479</v>
      </c>
      <c r="V2589" s="106">
        <v>32882.089956510499</v>
      </c>
      <c r="W2589" s="10">
        <v>1.1606705833348441</v>
      </c>
      <c r="X2589" s="420"/>
      <c r="Y2589" s="420"/>
      <c r="Z2589" s="1"/>
      <c r="AA2589" s="1"/>
      <c r="AB2589" s="1"/>
      <c r="AC2589" s="1"/>
      <c r="AD2589" s="1"/>
    </row>
    <row r="2590" spans="17:30">
      <c r="Q2590" s="6">
        <v>2560</v>
      </c>
      <c r="R2590" s="7">
        <v>45227</v>
      </c>
      <c r="S2590" s="210">
        <v>4.5</v>
      </c>
      <c r="T2590" s="8">
        <v>1.0001249999999999</v>
      </c>
      <c r="U2590" s="98">
        <v>4.4640100251747139</v>
      </c>
      <c r="V2590" s="106">
        <v>32884.917940329266</v>
      </c>
      <c r="W2590" s="10">
        <v>1.1607769702906223</v>
      </c>
      <c r="X2590" s="420"/>
      <c r="Y2590" s="420"/>
      <c r="Z2590" s="1"/>
      <c r="AA2590" s="1"/>
      <c r="AB2590" s="1"/>
      <c r="AC2590" s="1"/>
      <c r="AD2590" s="1"/>
    </row>
    <row r="2591" spans="17:30">
      <c r="Q2591" s="6">
        <v>2561</v>
      </c>
      <c r="R2591" s="7">
        <v>45228</v>
      </c>
      <c r="S2591" s="210">
        <v>4.5</v>
      </c>
      <c r="T2591" s="8">
        <v>1.0001249999999999</v>
      </c>
      <c r="U2591" s="98">
        <v>4.4640895550814852</v>
      </c>
      <c r="V2591" s="106">
        <v>32887.746167365294</v>
      </c>
      <c r="W2591" s="10">
        <v>1.1608832742758146</v>
      </c>
      <c r="X2591" s="420"/>
      <c r="Y2591" s="420"/>
      <c r="Z2591" s="1"/>
      <c r="AA2591" s="1"/>
      <c r="AB2591" s="1"/>
      <c r="AC2591" s="1"/>
      <c r="AD2591" s="1"/>
    </row>
    <row r="2592" spans="17:30">
      <c r="Q2592" s="6">
        <v>2562</v>
      </c>
      <c r="R2592" s="7">
        <v>45229</v>
      </c>
      <c r="S2592" s="210">
        <v>4.5</v>
      </c>
      <c r="T2592" s="8">
        <v>1.0001249999999999</v>
      </c>
      <c r="U2592" s="98">
        <v>4.4641690229644926</v>
      </c>
      <c r="V2592" s="106">
        <v>32890.574637639533</v>
      </c>
      <c r="W2592" s="10">
        <v>1.16098949538741</v>
      </c>
      <c r="X2592" s="420"/>
      <c r="Y2592" s="420"/>
      <c r="Z2592" s="1"/>
      <c r="AA2592" s="1"/>
      <c r="AB2592" s="1"/>
      <c r="AC2592" s="1"/>
      <c r="AD2592" s="1"/>
    </row>
    <row r="2593" spans="17:30">
      <c r="Q2593" s="6">
        <v>2563</v>
      </c>
      <c r="R2593" s="7">
        <v>45230</v>
      </c>
      <c r="S2593" s="210">
        <v>4.5</v>
      </c>
      <c r="T2593" s="8">
        <v>1.0001249999999999</v>
      </c>
      <c r="U2593" s="98">
        <v>4.464248428896278</v>
      </c>
      <c r="V2593" s="106">
        <v>32893.403351172885</v>
      </c>
      <c r="W2593" s="10">
        <v>1.1610956337223088</v>
      </c>
      <c r="X2593" s="420"/>
      <c r="Y2593" s="420"/>
      <c r="Z2593" s="1"/>
      <c r="AA2593" s="1"/>
      <c r="AB2593" s="1"/>
      <c r="AC2593" s="1"/>
      <c r="AD2593" s="1"/>
    </row>
    <row r="2594" spans="17:30">
      <c r="Q2594" s="6">
        <v>2564</v>
      </c>
      <c r="R2594" s="7">
        <v>45231</v>
      </c>
      <c r="S2594" s="210">
        <v>4.5</v>
      </c>
      <c r="T2594" s="8">
        <v>1.0001249999999999</v>
      </c>
      <c r="U2594" s="98">
        <v>4.4643277729492503</v>
      </c>
      <c r="V2594" s="106">
        <v>32896.232307986276</v>
      </c>
      <c r="W2594" s="10">
        <v>1.1612016893772115</v>
      </c>
      <c r="X2594" s="420"/>
      <c r="Y2594" s="420"/>
      <c r="Z2594" s="1"/>
      <c r="AA2594" s="1"/>
      <c r="AB2594" s="1"/>
      <c r="AC2594" s="1"/>
      <c r="AD2594" s="1"/>
    </row>
    <row r="2595" spans="17:30">
      <c r="Q2595" s="6">
        <v>2565</v>
      </c>
      <c r="R2595" s="7">
        <v>45232</v>
      </c>
      <c r="S2595" s="210">
        <v>4.5</v>
      </c>
      <c r="T2595" s="8">
        <v>1.0001249999999999</v>
      </c>
      <c r="U2595" s="98">
        <v>4.4644070551957071</v>
      </c>
      <c r="V2595" s="106">
        <v>32899.061508100633</v>
      </c>
      <c r="W2595" s="10">
        <v>1.1613076624487295</v>
      </c>
      <c r="X2595" s="420"/>
      <c r="Y2595" s="420"/>
      <c r="Z2595" s="1"/>
      <c r="AA2595" s="1"/>
      <c r="AB2595" s="1"/>
      <c r="AC2595" s="1"/>
      <c r="AD2595" s="1"/>
    </row>
    <row r="2596" spans="17:30">
      <c r="Q2596" s="6">
        <v>2566</v>
      </c>
      <c r="R2596" s="7">
        <v>45233</v>
      </c>
      <c r="S2596" s="210">
        <v>4.5</v>
      </c>
      <c r="T2596" s="8">
        <v>1.0001249999999999</v>
      </c>
      <c r="U2596" s="98">
        <v>4.4644862757078352</v>
      </c>
      <c r="V2596" s="106">
        <v>32901.890951536865</v>
      </c>
      <c r="W2596" s="10">
        <v>1.1614135530332526</v>
      </c>
      <c r="X2596" s="420"/>
      <c r="Y2596" s="420"/>
      <c r="Z2596" s="1"/>
      <c r="AA2596" s="1"/>
      <c r="AB2596" s="1"/>
      <c r="AC2596" s="1"/>
      <c r="AD2596" s="1"/>
    </row>
    <row r="2597" spans="17:30">
      <c r="Q2597" s="6">
        <v>2567</v>
      </c>
      <c r="R2597" s="7">
        <v>45234</v>
      </c>
      <c r="S2597" s="210">
        <v>4.5</v>
      </c>
      <c r="T2597" s="8">
        <v>1.0001249999999999</v>
      </c>
      <c r="U2597" s="98">
        <v>4.4645654345577102</v>
      </c>
      <c r="V2597" s="106">
        <v>32904.720638315921</v>
      </c>
      <c r="W2597" s="10">
        <v>1.1615193612270369</v>
      </c>
      <c r="X2597" s="420"/>
      <c r="Y2597" s="420"/>
      <c r="Z2597" s="1"/>
      <c r="AA2597" s="1"/>
      <c r="AB2597" s="1"/>
      <c r="AC2597" s="1"/>
      <c r="AD2597" s="1"/>
    </row>
    <row r="2598" spans="17:30">
      <c r="Q2598" s="6">
        <v>2568</v>
      </c>
      <c r="R2598" s="7">
        <v>45235</v>
      </c>
      <c r="S2598" s="210">
        <v>4.5</v>
      </c>
      <c r="T2598" s="8">
        <v>1.0001249999999999</v>
      </c>
      <c r="U2598" s="98">
        <v>4.4646445318173189</v>
      </c>
      <c r="V2598" s="106">
        <v>32907.550568458704</v>
      </c>
      <c r="W2598" s="10">
        <v>1.1616250871262501</v>
      </c>
      <c r="X2598" s="420"/>
      <c r="Y2598" s="420"/>
      <c r="Z2598" s="1"/>
      <c r="AA2598" s="1"/>
      <c r="AB2598" s="1"/>
      <c r="AC2598" s="1"/>
      <c r="AD2598" s="1"/>
    </row>
    <row r="2599" spans="17:30">
      <c r="Q2599" s="6">
        <v>2569</v>
      </c>
      <c r="R2599" s="7">
        <v>45236</v>
      </c>
      <c r="S2599" s="210">
        <v>4.5</v>
      </c>
      <c r="T2599" s="8">
        <v>1.0001249999999999</v>
      </c>
      <c r="U2599" s="98">
        <v>4.4647235675584929</v>
      </c>
      <c r="V2599" s="106">
        <v>32910.380741986177</v>
      </c>
      <c r="W2599" s="10">
        <v>1.1617307308268154</v>
      </c>
      <c r="X2599" s="420"/>
      <c r="Y2599" s="420"/>
      <c r="Z2599" s="1"/>
      <c r="AA2599" s="1"/>
      <c r="AB2599" s="1"/>
      <c r="AC2599" s="1"/>
      <c r="AD2599" s="1"/>
    </row>
    <row r="2600" spans="17:30">
      <c r="Q2600" s="6">
        <v>2570</v>
      </c>
      <c r="R2600" s="7">
        <v>45237</v>
      </c>
      <c r="S2600" s="210">
        <v>4.5</v>
      </c>
      <c r="T2600" s="8">
        <v>1.0001249999999999</v>
      </c>
      <c r="U2600" s="98">
        <v>4.4648025418529746</v>
      </c>
      <c r="V2600" s="106">
        <v>32913.211158919243</v>
      </c>
      <c r="W2600" s="10">
        <v>1.1618362924245895</v>
      </c>
      <c r="X2600" s="420"/>
      <c r="Y2600" s="420"/>
      <c r="Z2600" s="1"/>
      <c r="AA2600" s="1"/>
      <c r="AB2600" s="1"/>
      <c r="AC2600" s="1"/>
      <c r="AD2600" s="1"/>
    </row>
    <row r="2601" spans="17:30">
      <c r="Q2601" s="6">
        <v>2571</v>
      </c>
      <c r="R2601" s="7">
        <v>45238</v>
      </c>
      <c r="S2601" s="210">
        <v>4.5</v>
      </c>
      <c r="T2601" s="8">
        <v>1.0001249999999999</v>
      </c>
      <c r="U2601" s="98">
        <v>4.4648814547723958</v>
      </c>
      <c r="V2601" s="106">
        <v>32916.041819278842</v>
      </c>
      <c r="W2601" s="10">
        <v>1.1619417720152514</v>
      </c>
      <c r="X2601" s="420"/>
      <c r="Y2601" s="420"/>
      <c r="Z2601" s="1"/>
      <c r="AA2601" s="1"/>
      <c r="AB2601" s="1"/>
      <c r="AC2601" s="1"/>
      <c r="AD2601" s="1"/>
    </row>
    <row r="2602" spans="17:30">
      <c r="Q2602" s="6">
        <v>2572</v>
      </c>
      <c r="R2602" s="7">
        <v>45239</v>
      </c>
      <c r="S2602" s="210">
        <v>4.5</v>
      </c>
      <c r="T2602" s="8">
        <v>1.0001249999999999</v>
      </c>
      <c r="U2602" s="98">
        <v>4.4649603063882992</v>
      </c>
      <c r="V2602" s="106">
        <v>32918.872723085915</v>
      </c>
      <c r="W2602" s="10">
        <v>1.1620471696943024</v>
      </c>
      <c r="X2602" s="420"/>
      <c r="Y2602" s="420"/>
      <c r="Z2602" s="1"/>
      <c r="AA2602" s="1"/>
      <c r="AB2602" s="1"/>
      <c r="AC2602" s="1"/>
      <c r="AD2602" s="1"/>
    </row>
    <row r="2603" spans="17:30">
      <c r="Q2603" s="6">
        <v>2573</v>
      </c>
      <c r="R2603" s="7">
        <v>45240</v>
      </c>
      <c r="S2603" s="210">
        <v>4.5</v>
      </c>
      <c r="T2603" s="8">
        <v>1.0001249999999999</v>
      </c>
      <c r="U2603" s="98">
        <v>4.4650390967720499</v>
      </c>
      <c r="V2603" s="106">
        <v>32921.703870361402</v>
      </c>
      <c r="W2603" s="10">
        <v>1.1621524855571108</v>
      </c>
      <c r="X2603" s="420"/>
      <c r="Y2603" s="420"/>
      <c r="Z2603" s="1"/>
      <c r="AA2603" s="1"/>
      <c r="AB2603" s="1"/>
      <c r="AC2603" s="1"/>
      <c r="AD2603" s="1"/>
    </row>
    <row r="2604" spans="17:30">
      <c r="Q2604" s="6">
        <v>2574</v>
      </c>
      <c r="R2604" s="7">
        <v>45241</v>
      </c>
      <c r="S2604" s="210">
        <v>4.5</v>
      </c>
      <c r="T2604" s="8">
        <v>1.0001249999999999</v>
      </c>
      <c r="U2604" s="98">
        <v>4.4651178259949909</v>
      </c>
      <c r="V2604" s="106">
        <v>32924.535261126235</v>
      </c>
      <c r="W2604" s="10">
        <v>1.1622577196989559</v>
      </c>
      <c r="X2604" s="420"/>
      <c r="Y2604" s="420"/>
      <c r="Z2604" s="1"/>
      <c r="AA2604" s="1"/>
      <c r="AB2604" s="1"/>
      <c r="AC2604" s="1"/>
      <c r="AD2604" s="1"/>
    </row>
    <row r="2605" spans="17:30">
      <c r="Q2605" s="6">
        <v>2575</v>
      </c>
      <c r="R2605" s="7">
        <v>45242</v>
      </c>
      <c r="S2605" s="210">
        <v>4.5</v>
      </c>
      <c r="T2605" s="8">
        <v>1.0001249999999999</v>
      </c>
      <c r="U2605" s="98">
        <v>4.4651964941282651</v>
      </c>
      <c r="V2605" s="106">
        <v>32927.366895401356</v>
      </c>
      <c r="W2605" s="10">
        <v>1.1623628722148727</v>
      </c>
      <c r="X2605" s="420"/>
      <c r="Y2605" s="420"/>
      <c r="Z2605" s="1"/>
      <c r="AA2605" s="1"/>
      <c r="AB2605" s="1"/>
      <c r="AC2605" s="1"/>
      <c r="AD2605" s="1"/>
    </row>
    <row r="2606" spans="17:30">
      <c r="Q2606" s="6">
        <v>2576</v>
      </c>
      <c r="R2606" s="7">
        <v>45243</v>
      </c>
      <c r="S2606" s="210">
        <v>4.5</v>
      </c>
      <c r="T2606" s="8">
        <v>1.0001249999999999</v>
      </c>
      <c r="U2606" s="98">
        <v>4.4652751012429714</v>
      </c>
      <c r="V2606" s="106">
        <v>32930.19877320771</v>
      </c>
      <c r="W2606" s="10">
        <v>1.1624679431998075</v>
      </c>
      <c r="X2606" s="420"/>
      <c r="Y2606" s="420"/>
      <c r="Z2606" s="1"/>
      <c r="AA2606" s="1"/>
      <c r="AB2606" s="1"/>
      <c r="AC2606" s="1"/>
      <c r="AD2606" s="1"/>
    </row>
    <row r="2607" spans="17:30">
      <c r="Q2607" s="6">
        <v>2577</v>
      </c>
      <c r="R2607" s="7">
        <v>45244</v>
      </c>
      <c r="S2607" s="210">
        <v>4.5</v>
      </c>
      <c r="T2607" s="8">
        <v>1.0001249999999999</v>
      </c>
      <c r="U2607" s="98">
        <v>4.4653536474100752</v>
      </c>
      <c r="V2607" s="106">
        <v>32933.030894566247</v>
      </c>
      <c r="W2607" s="10">
        <v>1.162572932748529</v>
      </c>
      <c r="X2607" s="420"/>
      <c r="Y2607" s="420"/>
      <c r="Z2607" s="1"/>
      <c r="AA2607" s="1"/>
      <c r="AB2607" s="1"/>
      <c r="AC2607" s="1"/>
      <c r="AD2607" s="1"/>
    </row>
    <row r="2608" spans="17:30">
      <c r="Q2608" s="6">
        <v>2578</v>
      </c>
      <c r="R2608" s="7">
        <v>45245</v>
      </c>
      <c r="S2608" s="210">
        <v>4.5</v>
      </c>
      <c r="T2608" s="8">
        <v>1.0001249999999999</v>
      </c>
      <c r="U2608" s="98">
        <v>4.4654321327004309</v>
      </c>
      <c r="V2608" s="106">
        <v>32935.863259497906</v>
      </c>
      <c r="W2608" s="10">
        <v>1.1626778409557392</v>
      </c>
      <c r="X2608" s="420"/>
      <c r="Y2608" s="420"/>
      <c r="Z2608" s="1"/>
      <c r="AA2608" s="1"/>
      <c r="AB2608" s="1"/>
      <c r="AC2608" s="1"/>
      <c r="AD2608" s="1"/>
    </row>
    <row r="2609" spans="17:30">
      <c r="Q2609" s="6">
        <v>2579</v>
      </c>
      <c r="R2609" s="7">
        <v>45246</v>
      </c>
      <c r="S2609" s="210">
        <v>4.5</v>
      </c>
      <c r="T2609" s="8">
        <v>1.0001249999999999</v>
      </c>
      <c r="U2609" s="98">
        <v>4.465510557184782</v>
      </c>
      <c r="V2609" s="106">
        <v>32938.695868023642</v>
      </c>
      <c r="W2609" s="10">
        <v>1.1627826679158515</v>
      </c>
      <c r="X2609" s="420"/>
      <c r="Y2609" s="420"/>
      <c r="Z2609" s="1"/>
      <c r="AA2609" s="1"/>
      <c r="AB2609" s="1"/>
      <c r="AC2609" s="1"/>
      <c r="AD2609" s="1"/>
    </row>
    <row r="2610" spans="17:30">
      <c r="Q2610" s="6">
        <v>2580</v>
      </c>
      <c r="R2610" s="7">
        <v>45247</v>
      </c>
      <c r="S2610" s="210">
        <v>4.5</v>
      </c>
      <c r="T2610" s="8">
        <v>1.0001249999999999</v>
      </c>
      <c r="U2610" s="98">
        <v>4.4655889209337607</v>
      </c>
      <c r="V2610" s="106">
        <v>32941.528720164395</v>
      </c>
      <c r="W2610" s="10">
        <v>1.1628874137232792</v>
      </c>
      <c r="X2610" s="420"/>
      <c r="Y2610" s="420"/>
      <c r="Z2610" s="1"/>
      <c r="AA2610" s="1"/>
      <c r="AB2610" s="1"/>
      <c r="AC2610" s="1"/>
      <c r="AD2610" s="1"/>
    </row>
    <row r="2611" spans="17:30">
      <c r="Q2611" s="6">
        <v>2581</v>
      </c>
      <c r="R2611" s="7">
        <v>45248</v>
      </c>
      <c r="S2611" s="210">
        <v>4.5</v>
      </c>
      <c r="T2611" s="8">
        <v>1.0001249999999999</v>
      </c>
      <c r="U2611" s="98">
        <v>4.4656672240179107</v>
      </c>
      <c r="V2611" s="106">
        <v>32944.36181594112</v>
      </c>
      <c r="W2611" s="10">
        <v>1.1629920784721914</v>
      </c>
      <c r="X2611" s="420"/>
      <c r="Y2611" s="420"/>
      <c r="Z2611" s="1"/>
      <c r="AA2611" s="1"/>
      <c r="AB2611" s="1"/>
      <c r="AC2611" s="1"/>
      <c r="AD2611" s="1"/>
    </row>
    <row r="2612" spans="17:30">
      <c r="Q2612" s="6">
        <v>2582</v>
      </c>
      <c r="R2612" s="7">
        <v>45249</v>
      </c>
      <c r="S2612" s="210">
        <v>4.5</v>
      </c>
      <c r="T2612" s="8">
        <v>1.0001249999999999</v>
      </c>
      <c r="U2612" s="98">
        <v>4.4657454665076424</v>
      </c>
      <c r="V2612" s="106">
        <v>32947.195155374779</v>
      </c>
      <c r="W2612" s="10">
        <v>1.1630966622566463</v>
      </c>
      <c r="X2612" s="420"/>
      <c r="Y2612" s="420"/>
      <c r="Z2612" s="1"/>
      <c r="AA2612" s="1"/>
      <c r="AB2612" s="1"/>
      <c r="AC2612" s="1"/>
      <c r="AD2612" s="1"/>
    </row>
    <row r="2613" spans="17:30">
      <c r="Q2613" s="6">
        <v>2583</v>
      </c>
      <c r="R2613" s="7">
        <v>45250</v>
      </c>
      <c r="S2613" s="210">
        <v>4.5</v>
      </c>
      <c r="T2613" s="8">
        <v>1.0001249999999999</v>
      </c>
      <c r="U2613" s="98">
        <v>4.465823648473255</v>
      </c>
      <c r="V2613" s="106">
        <v>32950.028738486319</v>
      </c>
      <c r="W2613" s="10">
        <v>1.1632011651705687</v>
      </c>
      <c r="X2613" s="420"/>
      <c r="Y2613" s="420"/>
      <c r="Z2613" s="1"/>
      <c r="AA2613" s="1"/>
      <c r="AB2613" s="1"/>
      <c r="AC2613" s="1"/>
      <c r="AD2613" s="1"/>
    </row>
    <row r="2614" spans="17:30">
      <c r="Q2614" s="6">
        <v>2584</v>
      </c>
      <c r="R2614" s="7">
        <v>45251</v>
      </c>
      <c r="S2614" s="210">
        <v>4.5</v>
      </c>
      <c r="T2614" s="8">
        <v>1.0001249999999999</v>
      </c>
      <c r="U2614" s="98">
        <v>4.465901769984959</v>
      </c>
      <c r="V2614" s="106">
        <v>32952.862565296695</v>
      </c>
      <c r="W2614" s="10">
        <v>1.1633055873077058</v>
      </c>
      <c r="X2614" s="420"/>
      <c r="Y2614" s="420"/>
      <c r="Z2614" s="1"/>
      <c r="AA2614" s="1"/>
      <c r="AB2614" s="1"/>
      <c r="AC2614" s="1"/>
      <c r="AD2614" s="1"/>
    </row>
    <row r="2615" spans="17:30">
      <c r="Q2615" s="6">
        <v>2585</v>
      </c>
      <c r="R2615" s="7">
        <v>45252</v>
      </c>
      <c r="S2615" s="210">
        <v>4.5</v>
      </c>
      <c r="T2615" s="8">
        <v>1.0001249999999999</v>
      </c>
      <c r="U2615" s="98">
        <v>4.4659798311128318</v>
      </c>
      <c r="V2615" s="106">
        <v>32955.696635826869</v>
      </c>
      <c r="W2615" s="10">
        <v>1.1634099287616717</v>
      </c>
      <c r="X2615" s="420"/>
      <c r="Y2615" s="420"/>
      <c r="Z2615" s="1"/>
      <c r="AA2615" s="1"/>
      <c r="AB2615" s="1"/>
      <c r="AC2615" s="1"/>
      <c r="AD2615" s="1"/>
    </row>
    <row r="2616" spans="17:30">
      <c r="Q2616" s="6">
        <v>2586</v>
      </c>
      <c r="R2616" s="7">
        <v>45253</v>
      </c>
      <c r="S2616" s="210">
        <v>4.5</v>
      </c>
      <c r="T2616" s="8">
        <v>1.0001249999999999</v>
      </c>
      <c r="U2616" s="98">
        <v>4.4660578319268618</v>
      </c>
      <c r="V2616" s="106">
        <v>32958.530950097818</v>
      </c>
      <c r="W2616" s="10">
        <v>1.1635141896259471</v>
      </c>
      <c r="X2616" s="420"/>
      <c r="Y2616" s="420"/>
      <c r="Z2616" s="1"/>
      <c r="AA2616" s="1"/>
      <c r="AB2616" s="1"/>
      <c r="AC2616" s="1"/>
      <c r="AD2616" s="1"/>
    </row>
    <row r="2617" spans="17:30">
      <c r="Q2617" s="6">
        <v>2587</v>
      </c>
      <c r="R2617" s="7">
        <v>45254</v>
      </c>
      <c r="S2617" s="210">
        <v>4.5</v>
      </c>
      <c r="T2617" s="8">
        <v>1.0001249999999999</v>
      </c>
      <c r="U2617" s="98">
        <v>4.4661357724969264</v>
      </c>
      <c r="V2617" s="106">
        <v>32961.365508130468</v>
      </c>
      <c r="W2617" s="10">
        <v>1.1636183699938796</v>
      </c>
      <c r="X2617" s="420"/>
      <c r="Y2617" s="420"/>
      <c r="Z2617" s="1"/>
      <c r="AA2617" s="1"/>
      <c r="AB2617" s="1"/>
      <c r="AC2617" s="1"/>
      <c r="AD2617" s="1"/>
    </row>
    <row r="2618" spans="17:30">
      <c r="Q2618" s="6">
        <v>2588</v>
      </c>
      <c r="R2618" s="7">
        <v>45255</v>
      </c>
      <c r="S2618" s="210">
        <v>4.5</v>
      </c>
      <c r="T2618" s="8">
        <v>1.0001249999999999</v>
      </c>
      <c r="U2618" s="98">
        <v>4.466213652892792</v>
      </c>
      <c r="V2618" s="106">
        <v>32964.200309945823</v>
      </c>
      <c r="W2618" s="10">
        <v>1.163722469958639</v>
      </c>
      <c r="X2618" s="420"/>
      <c r="Y2618" s="420"/>
      <c r="Z2618" s="1"/>
      <c r="AA2618" s="1"/>
      <c r="AB2618" s="1"/>
      <c r="AC2618" s="1"/>
      <c r="AD2618" s="1"/>
    </row>
    <row r="2619" spans="17:30">
      <c r="Q2619" s="6">
        <v>2589</v>
      </c>
      <c r="R2619" s="7">
        <v>45256</v>
      </c>
      <c r="S2619" s="210">
        <v>4.5</v>
      </c>
      <c r="T2619" s="8">
        <v>1.0001249999999999</v>
      </c>
      <c r="U2619" s="98">
        <v>4.4662914731841363</v>
      </c>
      <c r="V2619" s="106">
        <v>32967.035355564825</v>
      </c>
      <c r="W2619" s="10">
        <v>1.1638264896132844</v>
      </c>
      <c r="X2619" s="420"/>
      <c r="Y2619" s="420"/>
      <c r="Z2619" s="1"/>
      <c r="AA2619" s="1"/>
      <c r="AB2619" s="1"/>
      <c r="AC2619" s="1"/>
      <c r="AD2619" s="1"/>
    </row>
    <row r="2620" spans="17:30">
      <c r="Q2620" s="6">
        <v>2590</v>
      </c>
      <c r="R2620" s="7">
        <v>45257</v>
      </c>
      <c r="S2620" s="210">
        <v>4.5</v>
      </c>
      <c r="T2620" s="8">
        <v>1.0001249999999999</v>
      </c>
      <c r="U2620" s="98">
        <v>4.4663692334404814</v>
      </c>
      <c r="V2620" s="106">
        <v>32969.870645008443</v>
      </c>
      <c r="W2620" s="10">
        <v>1.1639304290506969</v>
      </c>
      <c r="X2620" s="420"/>
      <c r="Y2620" s="420"/>
      <c r="Z2620" s="1"/>
      <c r="AA2620" s="1"/>
      <c r="AB2620" s="1"/>
      <c r="AC2620" s="1"/>
      <c r="AD2620" s="1"/>
    </row>
    <row r="2621" spans="17:30">
      <c r="Q2621" s="6">
        <v>2591</v>
      </c>
      <c r="R2621" s="7">
        <v>45258</v>
      </c>
      <c r="S2621" s="210">
        <v>4.5</v>
      </c>
      <c r="T2621" s="8">
        <v>1.0001249999999999</v>
      </c>
      <c r="U2621" s="98">
        <v>4.4664469337312829</v>
      </c>
      <c r="V2621" s="106">
        <v>32972.70617829766</v>
      </c>
      <c r="W2621" s="10">
        <v>1.1640342883636245</v>
      </c>
      <c r="X2621" s="420"/>
      <c r="Y2621" s="420"/>
      <c r="Z2621" s="1"/>
      <c r="AA2621" s="1"/>
      <c r="AB2621" s="1"/>
      <c r="AC2621" s="1"/>
      <c r="AD2621" s="1"/>
    </row>
    <row r="2622" spans="17:30">
      <c r="Q2622" s="6">
        <v>2592</v>
      </c>
      <c r="R2622" s="7">
        <v>45259</v>
      </c>
      <c r="S2622" s="210">
        <v>4.5</v>
      </c>
      <c r="T2622" s="8">
        <v>1.0001249999999999</v>
      </c>
      <c r="U2622" s="98">
        <v>4.4665245741258852</v>
      </c>
      <c r="V2622" s="106">
        <v>32975.541955453438</v>
      </c>
      <c r="W2622" s="10">
        <v>1.1641380676447044</v>
      </c>
      <c r="X2622" s="420"/>
      <c r="Y2622" s="420"/>
      <c r="Z2622" s="1"/>
      <c r="AA2622" s="1"/>
      <c r="AB2622" s="1"/>
      <c r="AC2622" s="1"/>
      <c r="AD2622" s="1"/>
    </row>
    <row r="2623" spans="17:30">
      <c r="Q2623" s="6">
        <v>2593</v>
      </c>
      <c r="R2623" s="7">
        <v>45260</v>
      </c>
      <c r="S2623" s="210">
        <v>4.5</v>
      </c>
      <c r="T2623" s="8">
        <v>1.0001249999999999</v>
      </c>
      <c r="U2623" s="98">
        <v>4.466602154693522</v>
      </c>
      <c r="V2623" s="106">
        <v>32978.377976496755</v>
      </c>
      <c r="W2623" s="10">
        <v>1.164241766986418</v>
      </c>
      <c r="X2623" s="420"/>
      <c r="Y2623" s="420"/>
      <c r="Z2623" s="1"/>
      <c r="AA2623" s="1"/>
      <c r="AB2623" s="1"/>
      <c r="AC2623" s="1"/>
      <c r="AD2623" s="1"/>
    </row>
    <row r="2624" spans="17:30">
      <c r="Q2624" s="6">
        <v>2594</v>
      </c>
      <c r="R2624" s="7">
        <v>45261</v>
      </c>
      <c r="S2624" s="210">
        <v>4.5</v>
      </c>
      <c r="T2624" s="8">
        <v>1.0001249999999999</v>
      </c>
      <c r="U2624" s="98">
        <v>4.4666796755033156</v>
      </c>
      <c r="V2624" s="106">
        <v>32981.214241448572</v>
      </c>
      <c r="W2624" s="10">
        <v>1.1643453864810693</v>
      </c>
      <c r="X2624" s="420"/>
      <c r="Y2624" s="420"/>
      <c r="Z2624" s="1"/>
      <c r="AA2624" s="1"/>
      <c r="AB2624" s="1"/>
      <c r="AC2624" s="1"/>
      <c r="AD2624" s="1"/>
    </row>
    <row r="2625" spans="17:30">
      <c r="Q2625" s="6">
        <v>2595</v>
      </c>
      <c r="R2625" s="7">
        <v>45262</v>
      </c>
      <c r="S2625" s="210">
        <v>4.5</v>
      </c>
      <c r="T2625" s="8">
        <v>1.0001249999999999</v>
      </c>
      <c r="U2625" s="98">
        <v>4.4667571366242775</v>
      </c>
      <c r="V2625" s="106">
        <v>32984.050750329894</v>
      </c>
      <c r="W2625" s="10">
        <v>1.1644489262208291</v>
      </c>
      <c r="X2625" s="420"/>
      <c r="Y2625" s="420"/>
      <c r="Z2625" s="1"/>
      <c r="AA2625" s="1"/>
      <c r="AB2625" s="1"/>
      <c r="AC2625" s="1"/>
      <c r="AD2625" s="1"/>
    </row>
    <row r="2626" spans="17:30">
      <c r="Q2626" s="6">
        <v>2596</v>
      </c>
      <c r="R2626" s="7">
        <v>45263</v>
      </c>
      <c r="S2626" s="210">
        <v>4.5</v>
      </c>
      <c r="T2626" s="8">
        <v>1.0001249999999999</v>
      </c>
      <c r="U2626" s="98">
        <v>4.4668345381253083</v>
      </c>
      <c r="V2626" s="106">
        <v>32986.88750316167</v>
      </c>
      <c r="W2626" s="10">
        <v>1.1645523862977791</v>
      </c>
      <c r="X2626" s="420"/>
      <c r="Y2626" s="420"/>
      <c r="Z2626" s="1"/>
      <c r="AA2626" s="1"/>
      <c r="AB2626" s="1"/>
      <c r="AC2626" s="1"/>
      <c r="AD2626" s="1"/>
    </row>
    <row r="2627" spans="17:30">
      <c r="Q2627" s="6">
        <v>2597</v>
      </c>
      <c r="R2627" s="7">
        <v>45264</v>
      </c>
      <c r="S2627" s="210">
        <v>4.5</v>
      </c>
      <c r="T2627" s="8">
        <v>1.0001249999999999</v>
      </c>
      <c r="U2627" s="98">
        <v>4.4669118800752416</v>
      </c>
      <c r="V2627" s="106">
        <v>32989.724499964897</v>
      </c>
      <c r="W2627" s="10">
        <v>1.1646557668038238</v>
      </c>
      <c r="X2627" s="420"/>
      <c r="Y2627" s="420"/>
      <c r="Z2627" s="1"/>
      <c r="AA2627" s="1"/>
      <c r="AB2627" s="1"/>
      <c r="AC2627" s="1"/>
      <c r="AD2627" s="1"/>
    </row>
    <row r="2628" spans="17:30">
      <c r="Q2628" s="6">
        <v>2598</v>
      </c>
      <c r="R2628" s="7">
        <v>45265</v>
      </c>
      <c r="S2628" s="210">
        <v>4.5</v>
      </c>
      <c r="T2628" s="8">
        <v>1.0001249999999999</v>
      </c>
      <c r="U2628" s="98">
        <v>4.466989162542756</v>
      </c>
      <c r="V2628" s="106">
        <v>32992.56174076056</v>
      </c>
      <c r="W2628" s="10">
        <v>1.1647590678306896</v>
      </c>
      <c r="X2628" s="420"/>
      <c r="Y2628" s="420"/>
      <c r="Z2628" s="1"/>
      <c r="AA2628" s="1"/>
      <c r="AB2628" s="1"/>
      <c r="AC2628" s="1"/>
      <c r="AD2628" s="1"/>
    </row>
    <row r="2629" spans="17:30">
      <c r="Q2629" s="6">
        <v>2599</v>
      </c>
      <c r="R2629" s="7">
        <v>45266</v>
      </c>
      <c r="S2629" s="210">
        <v>4.5</v>
      </c>
      <c r="T2629" s="8">
        <v>1.0001249999999999</v>
      </c>
      <c r="U2629" s="98">
        <v>4.467066385596441</v>
      </c>
      <c r="V2629" s="106">
        <v>32995.399225569636</v>
      </c>
      <c r="W2629" s="10">
        <v>1.1648622894699923</v>
      </c>
      <c r="X2629" s="420"/>
      <c r="Y2629" s="420"/>
      <c r="Z2629" s="1"/>
      <c r="AA2629" s="1"/>
      <c r="AB2629" s="1"/>
      <c r="AC2629" s="1"/>
      <c r="AD2629" s="1"/>
    </row>
    <row r="2630" spans="17:30">
      <c r="Q2630" s="6">
        <v>2600</v>
      </c>
      <c r="R2630" s="7">
        <v>45267</v>
      </c>
      <c r="S2630" s="210">
        <v>4.5</v>
      </c>
      <c r="T2630" s="8">
        <v>1.0001249999999999</v>
      </c>
      <c r="U2630" s="98">
        <v>4.4671435493047973</v>
      </c>
      <c r="V2630" s="106">
        <v>32998.236954413114</v>
      </c>
      <c r="W2630" s="10">
        <v>1.1649654318132363</v>
      </c>
      <c r="X2630" s="420"/>
      <c r="Y2630" s="420"/>
      <c r="Z2630" s="1"/>
      <c r="AA2630" s="1"/>
      <c r="AB2630" s="1"/>
      <c r="AC2630" s="1"/>
      <c r="AD2630" s="1"/>
    </row>
    <row r="2631" spans="17:30">
      <c r="Q2631" s="6">
        <v>2601</v>
      </c>
      <c r="R2631" s="7">
        <v>45268</v>
      </c>
      <c r="S2631" s="210">
        <v>4.5</v>
      </c>
      <c r="T2631" s="8">
        <v>1.0001249999999999</v>
      </c>
      <c r="U2631" s="98">
        <v>4.4672206537362147</v>
      </c>
      <c r="V2631" s="106">
        <v>33001.07492731198</v>
      </c>
      <c r="W2631" s="10">
        <v>1.1650684949517931</v>
      </c>
      <c r="X2631" s="420"/>
      <c r="Y2631" s="420"/>
      <c r="Z2631" s="1"/>
      <c r="AA2631" s="1"/>
      <c r="AB2631" s="1"/>
      <c r="AC2631" s="1"/>
      <c r="AD2631" s="1"/>
    </row>
    <row r="2632" spans="17:30">
      <c r="Q2632" s="6">
        <v>2602</v>
      </c>
      <c r="R2632" s="7">
        <v>45269</v>
      </c>
      <c r="S2632" s="210">
        <v>4.5</v>
      </c>
      <c r="T2632" s="8">
        <v>1.0001249999999999</v>
      </c>
      <c r="U2632" s="98">
        <v>4.4672976989589719</v>
      </c>
      <c r="V2632" s="106">
        <v>33003.913144287217</v>
      </c>
      <c r="W2632" s="10">
        <v>1.1651714789768119</v>
      </c>
      <c r="X2632" s="420"/>
      <c r="Y2632" s="420"/>
      <c r="Z2632" s="1"/>
      <c r="AA2632" s="1"/>
      <c r="AB2632" s="1"/>
      <c r="AC2632" s="1"/>
      <c r="AD2632" s="1"/>
    </row>
    <row r="2633" spans="17:30">
      <c r="Q2633" s="6">
        <v>2603</v>
      </c>
      <c r="R2633" s="7">
        <v>45270</v>
      </c>
      <c r="S2633" s="210">
        <v>4.5</v>
      </c>
      <c r="T2633" s="8">
        <v>1.0001249999999999</v>
      </c>
      <c r="U2633" s="98">
        <v>4.4673746850412144</v>
      </c>
      <c r="V2633" s="106">
        <v>33006.751605359837</v>
      </c>
      <c r="W2633" s="10">
        <v>1.1652743839793533</v>
      </c>
      <c r="X2633" s="420"/>
      <c r="Y2633" s="420"/>
      <c r="Z2633" s="1"/>
      <c r="AA2633" s="1"/>
      <c r="AB2633" s="1"/>
      <c r="AC2633" s="1"/>
      <c r="AD2633" s="1"/>
    </row>
    <row r="2634" spans="17:30">
      <c r="Q2634" s="6">
        <v>2604</v>
      </c>
      <c r="R2634" s="7">
        <v>45271</v>
      </c>
      <c r="S2634" s="210">
        <v>4.5</v>
      </c>
      <c r="T2634" s="8">
        <v>1.0001249999999999</v>
      </c>
      <c r="U2634" s="98">
        <v>4.4674516120510432</v>
      </c>
      <c r="V2634" s="106">
        <v>33009.590310550811</v>
      </c>
      <c r="W2634" s="10">
        <v>1.1653772100503446</v>
      </c>
      <c r="X2634" s="420"/>
      <c r="Y2634" s="420"/>
      <c r="Z2634" s="1"/>
      <c r="AA2634" s="1"/>
      <c r="AB2634" s="1"/>
      <c r="AC2634" s="1"/>
      <c r="AD2634" s="1"/>
    </row>
    <row r="2635" spans="17:30">
      <c r="Q2635" s="6">
        <v>2605</v>
      </c>
      <c r="R2635" s="7">
        <v>45272</v>
      </c>
      <c r="S2635" s="210">
        <v>4.5</v>
      </c>
      <c r="T2635" s="8">
        <v>1.0001249999999999</v>
      </c>
      <c r="U2635" s="98">
        <v>4.4675284800564041</v>
      </c>
      <c r="V2635" s="106">
        <v>33012.429259881144</v>
      </c>
      <c r="W2635" s="10">
        <v>1.1654799572805796</v>
      </c>
      <c r="X2635" s="420"/>
      <c r="Y2635" s="420"/>
      <c r="Z2635" s="1"/>
      <c r="AA2635" s="1"/>
      <c r="AB2635" s="1"/>
      <c r="AC2635" s="1"/>
      <c r="AD2635" s="1"/>
    </row>
    <row r="2636" spans="17:30">
      <c r="Q2636" s="6">
        <v>2606</v>
      </c>
      <c r="R2636" s="7">
        <v>45273</v>
      </c>
      <c r="S2636" s="210">
        <v>4.5</v>
      </c>
      <c r="T2636" s="8">
        <v>1.0001249999999999</v>
      </c>
      <c r="U2636" s="98">
        <v>4.4676052891251539</v>
      </c>
      <c r="V2636" s="106">
        <v>33015.268453371835</v>
      </c>
      <c r="W2636" s="10">
        <v>1.1655826257606972</v>
      </c>
      <c r="X2636" s="420"/>
      <c r="Y2636" s="420"/>
      <c r="Z2636" s="1"/>
      <c r="AA2636" s="1"/>
      <c r="AB2636" s="1"/>
      <c r="AC2636" s="1"/>
      <c r="AD2636" s="1"/>
    </row>
    <row r="2637" spans="17:30">
      <c r="Q2637" s="6">
        <v>2607</v>
      </c>
      <c r="R2637" s="7">
        <v>45274</v>
      </c>
      <c r="S2637" s="210">
        <v>4.5</v>
      </c>
      <c r="T2637" s="8">
        <v>1.0001249999999999</v>
      </c>
      <c r="U2637" s="98">
        <v>4.4676820393250605</v>
      </c>
      <c r="V2637" s="106">
        <v>33018.107891043881</v>
      </c>
      <c r="W2637" s="10">
        <v>1.1656852155811581</v>
      </c>
      <c r="X2637" s="420"/>
      <c r="Y2637" s="420"/>
      <c r="Z2637" s="1"/>
      <c r="AA2637" s="1"/>
      <c r="AB2637" s="1"/>
      <c r="AC2637" s="1"/>
      <c r="AD2637" s="1"/>
    </row>
    <row r="2638" spans="17:30">
      <c r="Q2638" s="6">
        <v>2608</v>
      </c>
      <c r="R2638" s="7">
        <v>45275</v>
      </c>
      <c r="S2638" s="210">
        <v>4.5</v>
      </c>
      <c r="T2638" s="8">
        <v>1.0001249999999999</v>
      </c>
      <c r="U2638" s="98">
        <v>4.4677587307237809</v>
      </c>
      <c r="V2638" s="106">
        <v>33020.947572918289</v>
      </c>
      <c r="W2638" s="10">
        <v>1.1657877268323791</v>
      </c>
      <c r="X2638" s="420"/>
      <c r="Y2638" s="420"/>
      <c r="Z2638" s="1"/>
      <c r="AA2638" s="1"/>
      <c r="AB2638" s="1"/>
      <c r="AC2638" s="1"/>
      <c r="AD2638" s="1"/>
    </row>
    <row r="2639" spans="17:30">
      <c r="Q2639" s="6">
        <v>2609</v>
      </c>
      <c r="R2639" s="7">
        <v>45276</v>
      </c>
      <c r="S2639" s="210">
        <v>4.5</v>
      </c>
      <c r="T2639" s="8">
        <v>1.0001249999999999</v>
      </c>
      <c r="U2639" s="98">
        <v>4.4678353633888612</v>
      </c>
      <c r="V2639" s="106">
        <v>33023.787499016034</v>
      </c>
      <c r="W2639" s="10">
        <v>1.1658901596045768</v>
      </c>
      <c r="X2639" s="420"/>
      <c r="Y2639" s="420"/>
      <c r="Z2639" s="1"/>
      <c r="AA2639" s="1"/>
      <c r="AB2639" s="1"/>
      <c r="AC2639" s="1"/>
      <c r="AD2639" s="1"/>
    </row>
    <row r="2640" spans="17:30">
      <c r="Q2640" s="6">
        <v>2610</v>
      </c>
      <c r="R2640" s="7">
        <v>45277</v>
      </c>
      <c r="S2640" s="210">
        <v>4.5</v>
      </c>
      <c r="T2640" s="8">
        <v>1.0001249999999999</v>
      </c>
      <c r="U2640" s="98">
        <v>4.4679119373877363</v>
      </c>
      <c r="V2640" s="106">
        <v>33026.62766935816</v>
      </c>
      <c r="W2640" s="10">
        <v>1.1659925139878125</v>
      </c>
      <c r="X2640" s="420"/>
      <c r="Y2640" s="420"/>
      <c r="Z2640" s="1"/>
      <c r="AA2640" s="1"/>
      <c r="AB2640" s="1"/>
      <c r="AC2640" s="1"/>
      <c r="AD2640" s="1"/>
    </row>
    <row r="2641" spans="17:30">
      <c r="Q2641" s="6">
        <v>2611</v>
      </c>
      <c r="R2641" s="7">
        <v>45278</v>
      </c>
      <c r="S2641" s="210">
        <v>4.5</v>
      </c>
      <c r="T2641" s="8">
        <v>1.0001249999999999</v>
      </c>
      <c r="U2641" s="98">
        <v>4.4679884527877523</v>
      </c>
      <c r="V2641" s="106">
        <v>33029.468083965643</v>
      </c>
      <c r="W2641" s="10">
        <v>1.1660947900720586</v>
      </c>
      <c r="X2641" s="420"/>
      <c r="Y2641" s="420"/>
      <c r="Z2641" s="1"/>
      <c r="AA2641" s="1"/>
      <c r="AB2641" s="1"/>
      <c r="AC2641" s="1"/>
      <c r="AD2641" s="1"/>
    </row>
    <row r="2642" spans="17:30">
      <c r="Q2642" s="6">
        <v>2612</v>
      </c>
      <c r="R2642" s="7">
        <v>45279</v>
      </c>
      <c r="S2642" s="210">
        <v>4.5</v>
      </c>
      <c r="T2642" s="8">
        <v>1.0001249999999999</v>
      </c>
      <c r="U2642" s="98">
        <v>4.4680649096561442</v>
      </c>
      <c r="V2642" s="106">
        <v>33032.308742859503</v>
      </c>
      <c r="W2642" s="10">
        <v>1.1661969879470879</v>
      </c>
      <c r="X2642" s="420"/>
      <c r="Y2642" s="420"/>
      <c r="Z2642" s="1"/>
      <c r="AA2642" s="1"/>
      <c r="AB2642" s="1"/>
      <c r="AC2642" s="1"/>
      <c r="AD2642" s="1"/>
    </row>
    <row r="2643" spans="17:30">
      <c r="Q2643" s="6">
        <v>2613</v>
      </c>
      <c r="R2643" s="7">
        <v>45280</v>
      </c>
      <c r="S2643" s="210">
        <v>4.5</v>
      </c>
      <c r="T2643" s="8">
        <v>1.0001249999999999</v>
      </c>
      <c r="U2643" s="98">
        <v>4.4681413080600585</v>
      </c>
      <c r="V2643" s="106">
        <v>33035.149646060738</v>
      </c>
      <c r="W2643" s="10">
        <v>1.1662991077026286</v>
      </c>
      <c r="X2643" s="420"/>
      <c r="Y2643" s="420"/>
      <c r="Z2643" s="1"/>
      <c r="AA2643" s="1"/>
      <c r="AB2643" s="1"/>
      <c r="AC2643" s="1"/>
      <c r="AD2643" s="1"/>
    </row>
    <row r="2644" spans="17:30">
      <c r="Q2644" s="6">
        <v>2614</v>
      </c>
      <c r="R2644" s="7">
        <v>45281</v>
      </c>
      <c r="S2644" s="210">
        <v>4.5</v>
      </c>
      <c r="T2644" s="8">
        <v>1.0001249999999999</v>
      </c>
      <c r="U2644" s="98">
        <v>4.4682176480665303</v>
      </c>
      <c r="V2644" s="106">
        <v>33037.990793590376</v>
      </c>
      <c r="W2644" s="10">
        <v>1.1664011494281867</v>
      </c>
      <c r="X2644" s="420"/>
      <c r="Y2644" s="420"/>
      <c r="Z2644" s="1"/>
      <c r="AA2644" s="1"/>
      <c r="AB2644" s="1"/>
      <c r="AC2644" s="1"/>
      <c r="AD2644" s="1"/>
    </row>
    <row r="2645" spans="17:30">
      <c r="Q2645" s="6">
        <v>2615</v>
      </c>
      <c r="R2645" s="7">
        <v>45282</v>
      </c>
      <c r="S2645" s="210">
        <v>4.5</v>
      </c>
      <c r="T2645" s="8">
        <v>1.0001249999999999</v>
      </c>
      <c r="U2645" s="98">
        <v>4.468293929742484</v>
      </c>
      <c r="V2645" s="106">
        <v>33040.83218546943</v>
      </c>
      <c r="W2645" s="10">
        <v>1.1665031132131576</v>
      </c>
      <c r="X2645" s="420"/>
      <c r="Y2645" s="420"/>
      <c r="Z2645" s="1"/>
      <c r="AA2645" s="1"/>
      <c r="AB2645" s="1"/>
      <c r="AC2645" s="1"/>
      <c r="AD2645" s="1"/>
    </row>
    <row r="2646" spans="17:30">
      <c r="Q2646" s="6">
        <v>2616</v>
      </c>
      <c r="R2646" s="7">
        <v>45283</v>
      </c>
      <c r="S2646" s="210">
        <v>4.5</v>
      </c>
      <c r="T2646" s="8">
        <v>1.0001249999999999</v>
      </c>
      <c r="U2646" s="98">
        <v>4.4683701531547548</v>
      </c>
      <c r="V2646" s="106">
        <v>33043.673821718898</v>
      </c>
      <c r="W2646" s="10">
        <v>1.1666049991468253</v>
      </c>
      <c r="X2646" s="420"/>
      <c r="Y2646" s="420"/>
      <c r="Z2646" s="1"/>
      <c r="AA2646" s="1"/>
      <c r="AB2646" s="1"/>
      <c r="AC2646" s="1"/>
      <c r="AD2646" s="1"/>
    </row>
    <row r="2647" spans="17:30">
      <c r="Q2647" s="6">
        <v>2617</v>
      </c>
      <c r="R2647" s="7">
        <v>45284</v>
      </c>
      <c r="S2647" s="210">
        <v>4.5</v>
      </c>
      <c r="T2647" s="8">
        <v>1.0001249999999999</v>
      </c>
      <c r="U2647" s="98">
        <v>4.4684463183700673</v>
      </c>
      <c r="V2647" s="106">
        <v>33046.515702359808</v>
      </c>
      <c r="W2647" s="10">
        <v>1.1667068073182962</v>
      </c>
      <c r="X2647" s="420"/>
      <c r="Y2647" s="420"/>
      <c r="Z2647" s="1"/>
      <c r="AA2647" s="1"/>
      <c r="AB2647" s="1"/>
      <c r="AC2647" s="1"/>
      <c r="AD2647" s="1"/>
    </row>
    <row r="2648" spans="17:30">
      <c r="Q2648" s="6">
        <v>2618</v>
      </c>
      <c r="R2648" s="7">
        <v>45285</v>
      </c>
      <c r="S2648" s="210">
        <v>4.5</v>
      </c>
      <c r="T2648" s="8">
        <v>1.0001249999999999</v>
      </c>
      <c r="U2648" s="98">
        <v>4.4685224254550349</v>
      </c>
      <c r="V2648" s="106">
        <v>33049.35782741318</v>
      </c>
      <c r="W2648" s="10">
        <v>1.1668085378165882</v>
      </c>
      <c r="X2648" s="420"/>
      <c r="Y2648" s="420"/>
      <c r="Z2648" s="1"/>
      <c r="AA2648" s="1"/>
      <c r="AB2648" s="1"/>
      <c r="AC2648" s="1"/>
      <c r="AD2648" s="1"/>
    </row>
    <row r="2649" spans="17:30">
      <c r="Q2649" s="6">
        <v>2619</v>
      </c>
      <c r="R2649" s="7">
        <v>45286</v>
      </c>
      <c r="S2649" s="210">
        <v>4.5</v>
      </c>
      <c r="T2649" s="8">
        <v>1.0001249999999999</v>
      </c>
      <c r="U2649" s="98">
        <v>4.468598474476182</v>
      </c>
      <c r="V2649" s="106">
        <v>33052.200196900034</v>
      </c>
      <c r="W2649" s="10">
        <v>1.166910190730519</v>
      </c>
      <c r="X2649" s="420"/>
      <c r="Y2649" s="420"/>
      <c r="Z2649" s="1"/>
      <c r="AA2649" s="1"/>
      <c r="AB2649" s="1"/>
      <c r="AC2649" s="1"/>
      <c r="AD2649" s="1"/>
    </row>
    <row r="2650" spans="17:30">
      <c r="Q2650" s="6">
        <v>2620</v>
      </c>
      <c r="R2650" s="7">
        <v>45287</v>
      </c>
      <c r="S2650" s="210">
        <v>4.5</v>
      </c>
      <c r="T2650" s="8">
        <v>1.0001249999999999</v>
      </c>
      <c r="U2650" s="98">
        <v>4.4686744654999444</v>
      </c>
      <c r="V2650" s="106">
        <v>33055.042810841383</v>
      </c>
      <c r="W2650" s="10">
        <v>1.1670117661488177</v>
      </c>
      <c r="X2650" s="420"/>
      <c r="Y2650" s="420"/>
      <c r="Z2650" s="1"/>
      <c r="AA2650" s="1"/>
      <c r="AB2650" s="1"/>
      <c r="AC2650" s="1"/>
      <c r="AD2650" s="1"/>
    </row>
    <row r="2651" spans="17:30">
      <c r="Q2651" s="6">
        <v>2621</v>
      </c>
      <c r="R2651" s="7">
        <v>45288</v>
      </c>
      <c r="S2651" s="210">
        <v>4.5</v>
      </c>
      <c r="T2651" s="8">
        <v>1.0001249999999999</v>
      </c>
      <c r="U2651" s="98">
        <v>4.4687503985926469</v>
      </c>
      <c r="V2651" s="106">
        <v>33057.885669258263</v>
      </c>
      <c r="W2651" s="10">
        <v>1.1671132641601245</v>
      </c>
      <c r="X2651" s="420"/>
      <c r="Y2651" s="420"/>
      <c r="Z2651" s="1"/>
      <c r="AA2651" s="1"/>
      <c r="AB2651" s="1"/>
      <c r="AC2651" s="1"/>
      <c r="AD2651" s="1"/>
    </row>
    <row r="2652" spans="17:30">
      <c r="Q2652" s="6">
        <v>2622</v>
      </c>
      <c r="R2652" s="7">
        <v>45289</v>
      </c>
      <c r="S2652" s="210">
        <v>4.5</v>
      </c>
      <c r="T2652" s="8">
        <v>1.0001249999999999</v>
      </c>
      <c r="U2652" s="98">
        <v>4.4688262738205031</v>
      </c>
      <c r="V2652" s="106">
        <v>33060.728772171693</v>
      </c>
      <c r="W2652" s="10">
        <v>1.1672146848528353</v>
      </c>
      <c r="X2652" s="420"/>
      <c r="Y2652" s="420"/>
      <c r="Z2652" s="1"/>
      <c r="AA2652" s="1"/>
      <c r="AB2652" s="1"/>
      <c r="AC2652" s="1"/>
      <c r="AD2652" s="1"/>
    </row>
    <row r="2653" spans="17:30">
      <c r="Q2653" s="6">
        <v>2623</v>
      </c>
      <c r="R2653" s="7">
        <v>45290</v>
      </c>
      <c r="S2653" s="210">
        <v>4.5</v>
      </c>
      <c r="T2653" s="8">
        <v>1.0001249999999999</v>
      </c>
      <c r="U2653" s="98">
        <v>4.4689020912496158</v>
      </c>
      <c r="V2653" s="106">
        <v>33063.572119602701</v>
      </c>
      <c r="W2653" s="10">
        <v>1.1673160283152573</v>
      </c>
      <c r="X2653" s="420"/>
      <c r="Y2653" s="420"/>
      <c r="Z2653" s="1"/>
      <c r="AA2653" s="1"/>
      <c r="AB2653" s="1"/>
      <c r="AC2653" s="1"/>
      <c r="AD2653" s="1"/>
    </row>
    <row r="2654" spans="17:30">
      <c r="Q2654" s="6">
        <v>2624</v>
      </c>
      <c r="R2654" s="7">
        <v>45291</v>
      </c>
      <c r="S2654" s="210">
        <v>4.5</v>
      </c>
      <c r="T2654" s="8">
        <v>1.0001249999999999</v>
      </c>
      <c r="U2654" s="98">
        <v>4.468977850946021</v>
      </c>
      <c r="V2654" s="106">
        <v>33066.415711572321</v>
      </c>
      <c r="W2654" s="10">
        <v>1.1674172946356087</v>
      </c>
      <c r="X2654" s="420"/>
      <c r="Y2654" s="420"/>
      <c r="Z2654" s="1"/>
      <c r="AA2654" s="1"/>
      <c r="AB2654" s="1"/>
      <c r="AC2654" s="1"/>
      <c r="AD2654" s="1"/>
    </row>
    <row r="2655" spans="17:30">
      <c r="Q2655" s="6">
        <v>2625</v>
      </c>
      <c r="R2655" s="7">
        <v>45292</v>
      </c>
      <c r="S2655" s="210">
        <v>4.5</v>
      </c>
      <c r="T2655" s="8">
        <v>1.0001249999999999</v>
      </c>
      <c r="U2655" s="98">
        <v>4.4690535529756215</v>
      </c>
      <c r="V2655" s="106">
        <v>33069.259548101581</v>
      </c>
      <c r="W2655" s="10">
        <v>1.1675184839019082</v>
      </c>
      <c r="X2655" s="420"/>
      <c r="Y2655" s="420"/>
      <c r="Z2655" s="1"/>
      <c r="AA2655" s="1"/>
      <c r="AB2655" s="1"/>
      <c r="AC2655" s="1"/>
      <c r="AD2655" s="1"/>
    </row>
    <row r="2656" spans="17:30">
      <c r="Q2656" s="6">
        <v>2626</v>
      </c>
      <c r="R2656" s="7">
        <v>45293</v>
      </c>
      <c r="S2656" s="210">
        <v>4.5</v>
      </c>
      <c r="T2656" s="8">
        <v>1.0001249999999999</v>
      </c>
      <c r="U2656" s="98">
        <v>4.4691291974042535</v>
      </c>
      <c r="V2656" s="106">
        <v>33072.10362921151</v>
      </c>
      <c r="W2656" s="10">
        <v>1.1676195962020852</v>
      </c>
      <c r="X2656" s="420"/>
      <c r="Y2656" s="420"/>
      <c r="Z2656" s="1"/>
      <c r="AA2656" s="1"/>
      <c r="AB2656" s="1"/>
      <c r="AC2656" s="1"/>
      <c r="AD2656" s="1"/>
    </row>
    <row r="2657" spans="17:30">
      <c r="Q2657" s="6">
        <v>2627</v>
      </c>
      <c r="R2657" s="7">
        <v>45294</v>
      </c>
      <c r="S2657" s="210">
        <v>4.5</v>
      </c>
      <c r="T2657" s="8">
        <v>1.0001249999999999</v>
      </c>
      <c r="U2657" s="98">
        <v>4.4692047842976201</v>
      </c>
      <c r="V2657" s="106">
        <v>33074.947954923147</v>
      </c>
      <c r="W2657" s="10">
        <v>1.1677206316238919</v>
      </c>
      <c r="X2657" s="420"/>
      <c r="Y2657" s="420"/>
      <c r="Z2657" s="1"/>
      <c r="AA2657" s="1"/>
      <c r="AB2657" s="1"/>
      <c r="AC2657" s="1"/>
      <c r="AD2657" s="1"/>
    </row>
    <row r="2658" spans="17:30">
      <c r="Q2658" s="6">
        <v>2628</v>
      </c>
      <c r="R2658" s="7">
        <v>45295</v>
      </c>
      <c r="S2658" s="210">
        <v>4.5</v>
      </c>
      <c r="T2658" s="8">
        <v>1.0001249999999999</v>
      </c>
      <c r="U2658" s="98">
        <v>4.4692803137213355</v>
      </c>
      <c r="V2658" s="106">
        <v>33077.792525257522</v>
      </c>
      <c r="W2658" s="10">
        <v>1.1678215902550138</v>
      </c>
      <c r="X2658" s="420"/>
      <c r="Y2658" s="420"/>
      <c r="Z2658" s="1"/>
      <c r="AA2658" s="1"/>
      <c r="AB2658" s="1"/>
      <c r="AC2658" s="1"/>
      <c r="AD2658" s="1"/>
    </row>
    <row r="2659" spans="17:30">
      <c r="Q2659" s="6">
        <v>2629</v>
      </c>
      <c r="R2659" s="7">
        <v>45296</v>
      </c>
      <c r="S2659" s="210">
        <v>4.5</v>
      </c>
      <c r="T2659" s="8">
        <v>1.0001249999999999</v>
      </c>
      <c r="U2659" s="98">
        <v>4.469355785740925</v>
      </c>
      <c r="V2659" s="106">
        <v>33080.637340235691</v>
      </c>
      <c r="W2659" s="10">
        <v>1.1679224721829362</v>
      </c>
      <c r="X2659" s="420"/>
      <c r="Y2659" s="420"/>
      <c r="Z2659" s="1"/>
      <c r="AA2659" s="1"/>
      <c r="AB2659" s="1"/>
      <c r="AC2659" s="1"/>
      <c r="AD2659" s="1"/>
    </row>
    <row r="2660" spans="17:30">
      <c r="Q2660" s="6">
        <v>2630</v>
      </c>
      <c r="R2660" s="7">
        <v>45297</v>
      </c>
      <c r="S2660" s="210">
        <v>4.5</v>
      </c>
      <c r="T2660" s="8">
        <v>1.0001249999999999</v>
      </c>
      <c r="U2660" s="98">
        <v>4.4694312004218029</v>
      </c>
      <c r="V2660" s="106">
        <v>33083.482399878681</v>
      </c>
      <c r="W2660" s="10">
        <v>1.1680232774950339</v>
      </c>
      <c r="X2660" s="420"/>
      <c r="Y2660" s="420"/>
      <c r="Z2660" s="1"/>
      <c r="AA2660" s="1"/>
      <c r="AB2660" s="1"/>
      <c r="AC2660" s="1"/>
      <c r="AD2660" s="1"/>
    </row>
    <row r="2661" spans="17:30">
      <c r="Q2661" s="6">
        <v>2631</v>
      </c>
      <c r="R2661" s="7">
        <v>45298</v>
      </c>
      <c r="S2661" s="210">
        <v>4.5</v>
      </c>
      <c r="T2661" s="8">
        <v>1.0001249999999999</v>
      </c>
      <c r="U2661" s="98">
        <v>4.4695065578292947</v>
      </c>
      <c r="V2661" s="106">
        <v>33086.327704207535</v>
      </c>
      <c r="W2661" s="10">
        <v>1.1681240062785703</v>
      </c>
      <c r="X2661" s="420"/>
      <c r="Y2661" s="420"/>
      <c r="Z2661" s="1"/>
      <c r="AA2661" s="1"/>
      <c r="AB2661" s="1"/>
      <c r="AC2661" s="1"/>
      <c r="AD2661" s="1"/>
    </row>
    <row r="2662" spans="17:30">
      <c r="Q2662" s="6">
        <v>2632</v>
      </c>
      <c r="R2662" s="7">
        <v>45299</v>
      </c>
      <c r="S2662" s="210">
        <v>4.5</v>
      </c>
      <c r="T2662" s="8">
        <v>1.0001249999999999</v>
      </c>
      <c r="U2662" s="98">
        <v>4.4695818580286151</v>
      </c>
      <c r="V2662" s="106">
        <v>33089.173253243302</v>
      </c>
      <c r="W2662" s="10">
        <v>1.1682246586206757</v>
      </c>
      <c r="X2662" s="420"/>
      <c r="Y2662" s="420"/>
      <c r="Z2662" s="1"/>
      <c r="AA2662" s="1"/>
      <c r="AB2662" s="1"/>
      <c r="AC2662" s="1"/>
      <c r="AD2662" s="1"/>
    </row>
    <row r="2663" spans="17:30">
      <c r="Q2663" s="6">
        <v>2633</v>
      </c>
      <c r="R2663" s="7">
        <v>45300</v>
      </c>
      <c r="S2663" s="210">
        <v>4.5</v>
      </c>
      <c r="T2663" s="8">
        <v>1.0001249999999999</v>
      </c>
      <c r="U2663" s="98">
        <v>4.4696571010848896</v>
      </c>
      <c r="V2663" s="106">
        <v>33092.019047007016</v>
      </c>
      <c r="W2663" s="10">
        <v>1.1683252346083028</v>
      </c>
      <c r="X2663" s="420"/>
      <c r="Y2663" s="420"/>
      <c r="Z2663" s="1"/>
      <c r="AA2663" s="1"/>
      <c r="AB2663" s="1"/>
      <c r="AC2663" s="1"/>
      <c r="AD2663" s="1"/>
    </row>
    <row r="2664" spans="17:30">
      <c r="Q2664" s="6">
        <v>2634</v>
      </c>
      <c r="R2664" s="7">
        <v>45301</v>
      </c>
      <c r="S2664" s="210">
        <v>4.5</v>
      </c>
      <c r="T2664" s="8">
        <v>1.0001249999999999</v>
      </c>
      <c r="U2664" s="98">
        <v>4.4697322870631329</v>
      </c>
      <c r="V2664" s="106">
        <v>33094.865085519734</v>
      </c>
      <c r="W2664" s="10">
        <v>1.1684257343283155</v>
      </c>
      <c r="X2664" s="420"/>
      <c r="Y2664" s="420"/>
      <c r="Z2664" s="1"/>
      <c r="AA2664" s="1"/>
      <c r="AB2664" s="1"/>
      <c r="AC2664" s="1"/>
      <c r="AD2664" s="1"/>
    </row>
    <row r="2665" spans="17:30">
      <c r="Q2665" s="6">
        <v>2635</v>
      </c>
      <c r="R2665" s="7">
        <v>45302</v>
      </c>
      <c r="S2665" s="210">
        <v>4.5</v>
      </c>
      <c r="T2665" s="8">
        <v>1.0001249999999999</v>
      </c>
      <c r="U2665" s="98">
        <v>4.4698074160282708</v>
      </c>
      <c r="V2665" s="106">
        <v>33097.711368802513</v>
      </c>
      <c r="W2665" s="10">
        <v>1.1685261578674222</v>
      </c>
      <c r="X2665" s="420"/>
      <c r="Y2665" s="420"/>
      <c r="Z2665" s="1"/>
      <c r="AA2665" s="1"/>
      <c r="AB2665" s="1"/>
      <c r="AC2665" s="1"/>
      <c r="AD2665" s="1"/>
    </row>
    <row r="2666" spans="17:30">
      <c r="Q2666" s="6">
        <v>2636</v>
      </c>
      <c r="R2666" s="7">
        <v>45303</v>
      </c>
      <c r="S2666" s="210">
        <v>4.5</v>
      </c>
      <c r="T2666" s="8">
        <v>1.0001249999999999</v>
      </c>
      <c r="U2666" s="98">
        <v>4.4698824880451182</v>
      </c>
      <c r="V2666" s="106">
        <v>33100.55789687638</v>
      </c>
      <c r="W2666" s="10">
        <v>1.1686265053122202</v>
      </c>
      <c r="X2666" s="420"/>
      <c r="Y2666" s="420"/>
      <c r="Z2666" s="1"/>
      <c r="AA2666" s="1"/>
      <c r="AB2666" s="1"/>
      <c r="AC2666" s="1"/>
      <c r="AD2666" s="1"/>
    </row>
    <row r="2667" spans="17:30">
      <c r="Q2667" s="6">
        <v>2637</v>
      </c>
      <c r="R2667" s="7">
        <v>45304</v>
      </c>
      <c r="S2667" s="210">
        <v>4.5</v>
      </c>
      <c r="T2667" s="8">
        <v>1.0001249999999999</v>
      </c>
      <c r="U2667" s="98">
        <v>4.4699575031784233</v>
      </c>
      <c r="V2667" s="106">
        <v>33103.404669762414</v>
      </c>
      <c r="W2667" s="10">
        <v>1.1687267767491516</v>
      </c>
      <c r="X2667" s="420"/>
      <c r="Y2667" s="420"/>
      <c r="Z2667" s="1"/>
      <c r="AA2667" s="1"/>
      <c r="AB2667" s="1"/>
      <c r="AC2667" s="1"/>
      <c r="AD2667" s="1"/>
    </row>
    <row r="2668" spans="17:30">
      <c r="Q2668" s="6">
        <v>2638</v>
      </c>
      <c r="R2668" s="7">
        <v>45305</v>
      </c>
      <c r="S2668" s="210">
        <v>4.5</v>
      </c>
      <c r="T2668" s="8">
        <v>1.0001249999999999</v>
      </c>
      <c r="U2668" s="98">
        <v>4.4700324614927789</v>
      </c>
      <c r="V2668" s="106">
        <v>33106.251687481657</v>
      </c>
      <c r="W2668" s="10">
        <v>1.1688269722645472</v>
      </c>
      <c r="X2668" s="420"/>
      <c r="Y2668" s="420"/>
      <c r="Z2668" s="1"/>
      <c r="AA2668" s="1"/>
      <c r="AB2668" s="1"/>
      <c r="AC2668" s="1"/>
      <c r="AD2668" s="1"/>
    </row>
    <row r="2669" spans="17:30">
      <c r="Q2669" s="6">
        <v>2639</v>
      </c>
      <c r="R2669" s="7">
        <v>45306</v>
      </c>
      <c r="S2669" s="210">
        <v>4.5</v>
      </c>
      <c r="T2669" s="8">
        <v>1.0001249999999999</v>
      </c>
      <c r="U2669" s="98">
        <v>4.4701073630527555</v>
      </c>
      <c r="V2669" s="106">
        <v>33109.098950055166</v>
      </c>
      <c r="W2669" s="10">
        <v>1.1689270919446271</v>
      </c>
      <c r="X2669" s="420"/>
      <c r="Y2669" s="420"/>
      <c r="Z2669" s="1"/>
      <c r="AA2669" s="1"/>
      <c r="AB2669" s="1"/>
      <c r="AC2669" s="1"/>
      <c r="AD2669" s="1"/>
    </row>
    <row r="2670" spans="17:30">
      <c r="Q2670" s="6">
        <v>2640</v>
      </c>
      <c r="R2670" s="7">
        <v>45307</v>
      </c>
      <c r="S2670" s="210">
        <v>4.5</v>
      </c>
      <c r="T2670" s="8">
        <v>1.0001249999999999</v>
      </c>
      <c r="U2670" s="98">
        <v>4.470182207922746</v>
      </c>
      <c r="V2670" s="106">
        <v>33111.946457503996</v>
      </c>
      <c r="W2670" s="10">
        <v>1.169027135875389</v>
      </c>
      <c r="X2670" s="420"/>
      <c r="Y2670" s="420"/>
      <c r="Z2670" s="1"/>
      <c r="AA2670" s="1"/>
      <c r="AB2670" s="1"/>
      <c r="AC2670" s="1"/>
      <c r="AD2670" s="1"/>
    </row>
    <row r="2671" spans="17:30">
      <c r="Q2671" s="6">
        <v>2641</v>
      </c>
      <c r="R2671" s="7">
        <v>45308</v>
      </c>
      <c r="S2671" s="210">
        <v>4.5</v>
      </c>
      <c r="T2671" s="8">
        <v>1.0001249999999999</v>
      </c>
      <c r="U2671" s="98">
        <v>4.4702569961671212</v>
      </c>
      <c r="V2671" s="106">
        <v>33114.79420984922</v>
      </c>
      <c r="W2671" s="10">
        <v>1.169127104142853</v>
      </c>
      <c r="X2671" s="420"/>
      <c r="Y2671" s="420"/>
      <c r="Z2671" s="1"/>
      <c r="AA2671" s="1"/>
      <c r="AB2671" s="1"/>
      <c r="AC2671" s="1"/>
      <c r="AD2671" s="1"/>
    </row>
    <row r="2672" spans="17:30">
      <c r="Q2672" s="6">
        <v>2642</v>
      </c>
      <c r="R2672" s="7">
        <v>45309</v>
      </c>
      <c r="S2672" s="210">
        <v>4.5</v>
      </c>
      <c r="T2672" s="8">
        <v>1.0001249999999999</v>
      </c>
      <c r="U2672" s="98">
        <v>4.4703317278500965</v>
      </c>
      <c r="V2672" s="106">
        <v>33117.642207111887</v>
      </c>
      <c r="W2672" s="10">
        <v>1.1692269968327507</v>
      </c>
      <c r="X2672" s="420"/>
      <c r="Y2672" s="420"/>
      <c r="Z2672" s="1"/>
      <c r="AA2672" s="1"/>
      <c r="AB2672" s="1"/>
      <c r="AC2672" s="1"/>
      <c r="AD2672" s="1"/>
    </row>
    <row r="2673" spans="17:30">
      <c r="Q2673" s="6">
        <v>2643</v>
      </c>
      <c r="R2673" s="7">
        <v>45310</v>
      </c>
      <c r="S2673" s="210">
        <v>4.5</v>
      </c>
      <c r="T2673" s="8">
        <v>1.0001249999999999</v>
      </c>
      <c r="U2673" s="98">
        <v>4.4704064030358204</v>
      </c>
      <c r="V2673" s="106">
        <v>33120.490449313067</v>
      </c>
      <c r="W2673" s="10">
        <v>1.1693268140308133</v>
      </c>
      <c r="X2673" s="420"/>
      <c r="Y2673" s="420"/>
      <c r="Z2673" s="1"/>
      <c r="AA2673" s="1"/>
      <c r="AB2673" s="1"/>
      <c r="AC2673" s="1"/>
      <c r="AD2673" s="1"/>
    </row>
    <row r="2674" spans="17:30">
      <c r="Q2674" s="6">
        <v>2644</v>
      </c>
      <c r="R2674" s="7">
        <v>45311</v>
      </c>
      <c r="S2674" s="210">
        <v>4.5</v>
      </c>
      <c r="T2674" s="8">
        <v>1.0001249999999999</v>
      </c>
      <c r="U2674" s="98">
        <v>4.4704810217883528</v>
      </c>
      <c r="V2674" s="106">
        <v>33123.338936473825</v>
      </c>
      <c r="W2674" s="10">
        <v>1.1694265558225503</v>
      </c>
      <c r="X2674" s="420"/>
      <c r="Y2674" s="420"/>
      <c r="Z2674" s="1"/>
      <c r="AA2674" s="1"/>
      <c r="AB2674" s="1"/>
      <c r="AC2674" s="1"/>
      <c r="AD2674" s="1"/>
    </row>
    <row r="2675" spans="17:30">
      <c r="Q2675" s="6">
        <v>2645</v>
      </c>
      <c r="R2675" s="7">
        <v>45312</v>
      </c>
      <c r="S2675" s="210">
        <v>4.5</v>
      </c>
      <c r="T2675" s="8">
        <v>1.0001249999999999</v>
      </c>
      <c r="U2675" s="98">
        <v>4.4705555841716205</v>
      </c>
      <c r="V2675" s="106">
        <v>33126.187668615225</v>
      </c>
      <c r="W2675" s="10">
        <v>1.1695262222934044</v>
      </c>
      <c r="X2675" s="420"/>
      <c r="Y2675" s="420"/>
      <c r="Z2675" s="1"/>
      <c r="AA2675" s="1"/>
      <c r="AB2675" s="1"/>
      <c r="AC2675" s="1"/>
      <c r="AD2675" s="1"/>
    </row>
    <row r="2676" spans="17:30">
      <c r="Q2676" s="6">
        <v>2646</v>
      </c>
      <c r="R2676" s="7">
        <v>45313</v>
      </c>
      <c r="S2676" s="210">
        <v>4.5</v>
      </c>
      <c r="T2676" s="8">
        <v>1.0001249999999999</v>
      </c>
      <c r="U2676" s="98">
        <v>4.4706300902494833</v>
      </c>
      <c r="V2676" s="106">
        <v>33129.036645758337</v>
      </c>
      <c r="W2676" s="10">
        <v>1.1696258135286186</v>
      </c>
      <c r="X2676" s="420"/>
      <c r="Y2676" s="420"/>
      <c r="Z2676" s="1"/>
      <c r="AA2676" s="1"/>
      <c r="AB2676" s="1"/>
      <c r="AC2676" s="1"/>
      <c r="AD2676" s="1"/>
    </row>
    <row r="2677" spans="17:30">
      <c r="Q2677" s="6">
        <v>2647</v>
      </c>
      <c r="R2677" s="7">
        <v>45314</v>
      </c>
      <c r="S2677" s="210">
        <v>4.5</v>
      </c>
      <c r="T2677" s="8">
        <v>1.0001249999999999</v>
      </c>
      <c r="U2677" s="98">
        <v>4.4707045400856682</v>
      </c>
      <c r="V2677" s="106">
        <v>33131.88586792424</v>
      </c>
      <c r="W2677" s="10">
        <v>1.1697253296133914</v>
      </c>
      <c r="X2677" s="420"/>
      <c r="Y2677" s="420"/>
      <c r="Z2677" s="1"/>
      <c r="AA2677" s="1"/>
      <c r="AB2677" s="1"/>
      <c r="AC2677" s="1"/>
      <c r="AD2677" s="1"/>
    </row>
    <row r="2678" spans="17:30">
      <c r="Q2678" s="6">
        <v>2648</v>
      </c>
      <c r="R2678" s="7">
        <v>45315</v>
      </c>
      <c r="S2678" s="210">
        <v>4.5</v>
      </c>
      <c r="T2678" s="8">
        <v>1.0001249999999999</v>
      </c>
      <c r="U2678" s="98">
        <v>4.4707789337438575</v>
      </c>
      <c r="V2678" s="106">
        <v>33134.735335134006</v>
      </c>
      <c r="W2678" s="10">
        <v>1.1698247706327214</v>
      </c>
      <c r="X2678" s="420"/>
      <c r="Y2678" s="420"/>
      <c r="Z2678" s="1"/>
      <c r="AA2678" s="1"/>
      <c r="AB2678" s="1"/>
      <c r="AC2678" s="1"/>
      <c r="AD2678" s="1"/>
    </row>
    <row r="2679" spans="17:30">
      <c r="Q2679" s="6">
        <v>2649</v>
      </c>
      <c r="R2679" s="7">
        <v>45316</v>
      </c>
      <c r="S2679" s="210">
        <v>4.5</v>
      </c>
      <c r="T2679" s="8">
        <v>1.0001249999999999</v>
      </c>
      <c r="U2679" s="98">
        <v>4.4708532712876226</v>
      </c>
      <c r="V2679" s="106">
        <v>33137.585047408698</v>
      </c>
      <c r="W2679" s="10">
        <v>1.1699241366715185</v>
      </c>
      <c r="X2679" s="420"/>
      <c r="Y2679" s="420"/>
      <c r="Z2679" s="1"/>
      <c r="AA2679" s="1"/>
      <c r="AB2679" s="1"/>
      <c r="AC2679" s="1"/>
      <c r="AD2679" s="1"/>
    </row>
    <row r="2680" spans="17:30">
      <c r="Q2680" s="6">
        <v>2650</v>
      </c>
      <c r="R2680" s="7">
        <v>45317</v>
      </c>
      <c r="S2680" s="210">
        <v>4.5</v>
      </c>
      <c r="T2680" s="8">
        <v>1.0001249999999999</v>
      </c>
      <c r="U2680" s="98">
        <v>4.4709275527804015</v>
      </c>
      <c r="V2680" s="106">
        <v>33140.435004769395</v>
      </c>
      <c r="W2680" s="10">
        <v>1.1700234278145816</v>
      </c>
      <c r="X2680" s="420"/>
      <c r="Y2680" s="420"/>
      <c r="Z2680" s="1"/>
      <c r="AA2680" s="1"/>
      <c r="AB2680" s="1"/>
      <c r="AC2680" s="1"/>
      <c r="AD2680" s="1"/>
    </row>
    <row r="2681" spans="17:30">
      <c r="Q2681" s="6">
        <v>2651</v>
      </c>
      <c r="R2681" s="7">
        <v>45318</v>
      </c>
      <c r="S2681" s="210">
        <v>4.5</v>
      </c>
      <c r="T2681" s="8">
        <v>1.0001249999999999</v>
      </c>
      <c r="U2681" s="98">
        <v>4.4710017782855882</v>
      </c>
      <c r="V2681" s="106">
        <v>33143.285207237182</v>
      </c>
      <c r="W2681" s="10">
        <v>1.1701226441465318</v>
      </c>
      <c r="X2681" s="420"/>
      <c r="Y2681" s="420"/>
      <c r="Z2681" s="1"/>
      <c r="AA2681" s="1"/>
      <c r="AB2681" s="1"/>
      <c r="AC2681" s="1"/>
      <c r="AD2681" s="1"/>
    </row>
    <row r="2682" spans="17:30">
      <c r="Q2682" s="6">
        <v>2652</v>
      </c>
      <c r="R2682" s="7">
        <v>45319</v>
      </c>
      <c r="S2682" s="210">
        <v>4.5</v>
      </c>
      <c r="T2682" s="8">
        <v>1.0001249999999999</v>
      </c>
      <c r="U2682" s="98">
        <v>4.471075947866443</v>
      </c>
      <c r="V2682" s="106">
        <v>33146.135654833139</v>
      </c>
      <c r="W2682" s="10">
        <v>1.1702217857518793</v>
      </c>
      <c r="X2682" s="420"/>
      <c r="Y2682" s="420"/>
      <c r="Z2682" s="1"/>
      <c r="AA2682" s="1"/>
      <c r="AB2682" s="1"/>
      <c r="AC2682" s="1"/>
      <c r="AD2682" s="1"/>
    </row>
    <row r="2683" spans="17:30">
      <c r="Q2683" s="6">
        <v>2653</v>
      </c>
      <c r="R2683" s="7">
        <v>45320</v>
      </c>
      <c r="S2683" s="210">
        <v>4.5</v>
      </c>
      <c r="T2683" s="8">
        <v>1.0001249999999999</v>
      </c>
      <c r="U2683" s="98">
        <v>4.4711500615861599</v>
      </c>
      <c r="V2683" s="106">
        <v>33148.98634757835</v>
      </c>
      <c r="W2683" s="10">
        <v>1.1703208527150233</v>
      </c>
      <c r="X2683" s="420"/>
      <c r="Y2683" s="420"/>
      <c r="Z2683" s="1"/>
      <c r="AA2683" s="1"/>
      <c r="AB2683" s="1"/>
      <c r="AC2683" s="1"/>
      <c r="AD2683" s="1"/>
    </row>
    <row r="2684" spans="17:30">
      <c r="Q2684" s="6">
        <v>2654</v>
      </c>
      <c r="R2684" s="7">
        <v>45321</v>
      </c>
      <c r="S2684" s="210">
        <v>4.5</v>
      </c>
      <c r="T2684" s="8">
        <v>1.0001249999999999</v>
      </c>
      <c r="U2684" s="98">
        <v>4.4712241195078217</v>
      </c>
      <c r="V2684" s="106">
        <v>33151.837285493879</v>
      </c>
      <c r="W2684" s="10">
        <v>1.1704198451202741</v>
      </c>
      <c r="X2684" s="420"/>
      <c r="Y2684" s="420"/>
      <c r="Z2684" s="1"/>
      <c r="AA2684" s="1"/>
      <c r="AB2684" s="1"/>
      <c r="AC2684" s="1"/>
      <c r="AD2684" s="1"/>
    </row>
    <row r="2685" spans="17:30">
      <c r="Q2685" s="6">
        <v>2655</v>
      </c>
      <c r="R2685" s="7">
        <v>45322</v>
      </c>
      <c r="S2685" s="210">
        <v>4.5</v>
      </c>
      <c r="T2685" s="8">
        <v>1.0001249999999999</v>
      </c>
      <c r="U2685" s="98">
        <v>4.4712981216944003</v>
      </c>
      <c r="V2685" s="106">
        <v>33154.688468600842</v>
      </c>
      <c r="W2685" s="10">
        <v>1.1705187630516978</v>
      </c>
      <c r="X2685" s="420"/>
      <c r="Y2685" s="420"/>
      <c r="Z2685" s="1"/>
      <c r="AA2685" s="1"/>
      <c r="AB2685" s="1"/>
      <c r="AC2685" s="1"/>
      <c r="AD2685" s="1"/>
    </row>
    <row r="2686" spans="17:30">
      <c r="Q2686" s="6">
        <v>2656</v>
      </c>
      <c r="R2686" s="7">
        <v>45323</v>
      </c>
      <c r="S2686" s="210">
        <v>4.5</v>
      </c>
      <c r="T2686" s="8">
        <v>1.0001249999999999</v>
      </c>
      <c r="U2686" s="98">
        <v>4.471372068208801</v>
      </c>
      <c r="V2686" s="106">
        <v>33157.539896920302</v>
      </c>
      <c r="W2686" s="10">
        <v>1.1706176065933382</v>
      </c>
      <c r="X2686" s="420"/>
      <c r="Y2686" s="420"/>
      <c r="Z2686" s="1"/>
      <c r="AA2686" s="1"/>
      <c r="AB2686" s="1"/>
      <c r="AC2686" s="1"/>
      <c r="AD2686" s="1"/>
    </row>
    <row r="2687" spans="17:30">
      <c r="Q2687" s="6">
        <v>2657</v>
      </c>
      <c r="R2687" s="7">
        <v>45324</v>
      </c>
      <c r="S2687" s="210">
        <v>4.5</v>
      </c>
      <c r="T2687" s="8">
        <v>1.0001249999999999</v>
      </c>
      <c r="U2687" s="98">
        <v>4.4714459591138178</v>
      </c>
      <c r="V2687" s="106">
        <v>33160.391570473359</v>
      </c>
      <c r="W2687" s="10">
        <v>1.1707163758290617</v>
      </c>
      <c r="X2687" s="420"/>
      <c r="Y2687" s="420"/>
      <c r="Z2687" s="1"/>
      <c r="AA2687" s="1"/>
      <c r="AB2687" s="1"/>
      <c r="AC2687" s="1"/>
      <c r="AD2687" s="1"/>
    </row>
    <row r="2688" spans="17:30">
      <c r="Q2688" s="6">
        <v>2658</v>
      </c>
      <c r="R2688" s="7">
        <v>45325</v>
      </c>
      <c r="S2688" s="210">
        <v>4.5</v>
      </c>
      <c r="T2688" s="8">
        <v>1.0001249999999999</v>
      </c>
      <c r="U2688" s="98">
        <v>4.4715197944721785</v>
      </c>
      <c r="V2688" s="106">
        <v>33163.243489281107</v>
      </c>
      <c r="W2688" s="10">
        <v>1.1708150708426679</v>
      </c>
      <c r="X2688" s="420"/>
      <c r="Y2688" s="420"/>
      <c r="Z2688" s="1"/>
      <c r="AA2688" s="1"/>
      <c r="AB2688" s="1"/>
      <c r="AC2688" s="1"/>
      <c r="AD2688" s="1"/>
    </row>
    <row r="2689" spans="17:30">
      <c r="Q2689" s="6">
        <v>2659</v>
      </c>
      <c r="R2689" s="7">
        <v>45326</v>
      </c>
      <c r="S2689" s="210">
        <v>4.5</v>
      </c>
      <c r="T2689" s="8">
        <v>1.0001249999999999</v>
      </c>
      <c r="U2689" s="98">
        <v>4.4715935743464774</v>
      </c>
      <c r="V2689" s="106">
        <v>33166.095653364639</v>
      </c>
      <c r="W2689" s="10">
        <v>1.1709136917177343</v>
      </c>
      <c r="X2689" s="420"/>
      <c r="Y2689" s="420"/>
      <c r="Z2689" s="1"/>
      <c r="AA2689" s="1"/>
      <c r="AB2689" s="1"/>
      <c r="AC2689" s="1"/>
      <c r="AD2689" s="1"/>
    </row>
    <row r="2690" spans="17:30">
      <c r="Q2690" s="6">
        <v>2660</v>
      </c>
      <c r="R2690" s="7">
        <v>45327</v>
      </c>
      <c r="S2690" s="210">
        <v>4.5</v>
      </c>
      <c r="T2690" s="8">
        <v>1.0001249999999999</v>
      </c>
      <c r="U2690" s="98">
        <v>4.4716672987992201</v>
      </c>
      <c r="V2690" s="106">
        <v>33168.948062745039</v>
      </c>
      <c r="W2690" s="10">
        <v>1.1710122385377941</v>
      </c>
      <c r="X2690" s="420"/>
      <c r="Y2690" s="420"/>
      <c r="Z2690" s="1"/>
      <c r="AA2690" s="1"/>
      <c r="AB2690" s="1"/>
      <c r="AC2690" s="1"/>
      <c r="AD2690" s="1"/>
    </row>
    <row r="2691" spans="17:30">
      <c r="Q2691" s="6">
        <v>2661</v>
      </c>
      <c r="R2691" s="7">
        <v>45328</v>
      </c>
      <c r="S2691" s="210">
        <v>4.5</v>
      </c>
      <c r="T2691" s="8">
        <v>1.0001249999999999</v>
      </c>
      <c r="U2691" s="98">
        <v>4.4717409678928455</v>
      </c>
      <c r="V2691" s="106">
        <v>33171.80071744341</v>
      </c>
      <c r="W2691" s="10">
        <v>1.1711107113862473</v>
      </c>
      <c r="X2691" s="420"/>
      <c r="Y2691" s="420"/>
      <c r="Z2691" s="1"/>
      <c r="AA2691" s="1"/>
      <c r="AB2691" s="1"/>
      <c r="AC2691" s="1"/>
      <c r="AD2691" s="1"/>
    </row>
    <row r="2692" spans="17:30">
      <c r="Q2692" s="6">
        <v>2662</v>
      </c>
      <c r="R2692" s="7">
        <v>45329</v>
      </c>
      <c r="S2692" s="210">
        <v>4.5</v>
      </c>
      <c r="T2692" s="8">
        <v>1.0001249999999999</v>
      </c>
      <c r="U2692" s="98">
        <v>4.4718145816896815</v>
      </c>
      <c r="V2692" s="106">
        <v>33174.65361748085</v>
      </c>
      <c r="W2692" s="10">
        <v>1.1712091103463163</v>
      </c>
      <c r="X2692" s="420"/>
      <c r="Y2692" s="420"/>
      <c r="Z2692" s="1"/>
      <c r="AA2692" s="1"/>
      <c r="AB2692" s="1"/>
      <c r="AC2692" s="1"/>
      <c r="AD2692" s="1"/>
    </row>
    <row r="2693" spans="17:30">
      <c r="Q2693" s="6">
        <v>2663</v>
      </c>
      <c r="R2693" s="7">
        <v>45330</v>
      </c>
      <c r="S2693" s="210">
        <v>4.5</v>
      </c>
      <c r="T2693" s="8">
        <v>1.0001249999999999</v>
      </c>
      <c r="U2693" s="98">
        <v>4.4718881402519672</v>
      </c>
      <c r="V2693" s="106">
        <v>33177.506762878453</v>
      </c>
      <c r="W2693" s="10">
        <v>1.1713074355011566</v>
      </c>
      <c r="X2693" s="420"/>
      <c r="Y2693" s="420"/>
      <c r="Z2693" s="1"/>
      <c r="AA2693" s="1"/>
      <c r="AB2693" s="1"/>
      <c r="AC2693" s="1"/>
      <c r="AD2693" s="1"/>
    </row>
    <row r="2694" spans="17:30">
      <c r="Q2694" s="6">
        <v>2664</v>
      </c>
      <c r="R2694" s="7">
        <v>45331</v>
      </c>
      <c r="S2694" s="210">
        <v>4.5</v>
      </c>
      <c r="T2694" s="8">
        <v>1.0001249999999999</v>
      </c>
      <c r="U2694" s="98">
        <v>4.4719616436418308</v>
      </c>
      <c r="V2694" s="106">
        <v>33180.360153657333</v>
      </c>
      <c r="W2694" s="10">
        <v>1.1714056869337464</v>
      </c>
      <c r="X2694" s="420"/>
      <c r="Y2694" s="420"/>
      <c r="Z2694" s="1"/>
      <c r="AA2694" s="1"/>
      <c r="AB2694" s="1"/>
      <c r="AC2694" s="1"/>
      <c r="AD2694" s="1"/>
    </row>
    <row r="2695" spans="17:30">
      <c r="Q2695" s="6">
        <v>2665</v>
      </c>
      <c r="R2695" s="7">
        <v>45332</v>
      </c>
      <c r="S2695" s="210">
        <v>4.5</v>
      </c>
      <c r="T2695" s="8">
        <v>1.0001249999999999</v>
      </c>
      <c r="U2695" s="98">
        <v>4.4720350919213336</v>
      </c>
      <c r="V2695" s="106">
        <v>33183.213789838577</v>
      </c>
      <c r="W2695" s="10">
        <v>1.1715038647269971</v>
      </c>
      <c r="X2695" s="420"/>
      <c r="Y2695" s="420"/>
      <c r="Z2695" s="1"/>
      <c r="AA2695" s="1"/>
      <c r="AB2695" s="1"/>
      <c r="AC2695" s="1"/>
      <c r="AD2695" s="1"/>
    </row>
    <row r="2696" spans="17:30">
      <c r="Q2696" s="6">
        <v>2666</v>
      </c>
      <c r="R2696" s="7">
        <v>45333</v>
      </c>
      <c r="S2696" s="210">
        <v>4.5</v>
      </c>
      <c r="T2696" s="8">
        <v>1.0001249999999999</v>
      </c>
      <c r="U2696" s="98">
        <v>4.4721084851524484</v>
      </c>
      <c r="V2696" s="106">
        <v>33186.067671443314</v>
      </c>
      <c r="W2696" s="10">
        <v>1.1716019689636648</v>
      </c>
      <c r="X2696" s="420"/>
      <c r="Y2696" s="420"/>
      <c r="Z2696" s="1"/>
      <c r="AA2696" s="1"/>
      <c r="AB2696" s="1"/>
      <c r="AC2696" s="1"/>
      <c r="AD2696" s="1"/>
    </row>
    <row r="2697" spans="17:30">
      <c r="Q2697" s="6">
        <v>2667</v>
      </c>
      <c r="R2697" s="7">
        <v>45334</v>
      </c>
      <c r="S2697" s="210">
        <v>4.5</v>
      </c>
      <c r="T2697" s="8">
        <v>1.0001249999999999</v>
      </c>
      <c r="U2697" s="98">
        <v>4.4721818233970145</v>
      </c>
      <c r="V2697" s="106">
        <v>33188.921798492636</v>
      </c>
      <c r="W2697" s="10">
        <v>1.1716999997263722</v>
      </c>
      <c r="X2697" s="420"/>
      <c r="Y2697" s="420"/>
      <c r="Z2697" s="1"/>
      <c r="AA2697" s="1"/>
      <c r="AB2697" s="1"/>
      <c r="AC2697" s="1"/>
      <c r="AD2697" s="1"/>
    </row>
    <row r="2698" spans="17:30">
      <c r="Q2698" s="6">
        <v>2668</v>
      </c>
      <c r="R2698" s="7">
        <v>45335</v>
      </c>
      <c r="S2698" s="210">
        <v>4.5</v>
      </c>
      <c r="T2698" s="8">
        <v>1.0001249999999999</v>
      </c>
      <c r="U2698" s="98">
        <v>4.4722551067168048</v>
      </c>
      <c r="V2698" s="106">
        <v>33191.776171007652</v>
      </c>
      <c r="W2698" s="10">
        <v>1.1717979570976089</v>
      </c>
      <c r="X2698" s="420"/>
      <c r="Y2698" s="420"/>
      <c r="Z2698" s="1"/>
      <c r="AA2698" s="1"/>
      <c r="AB2698" s="1"/>
      <c r="AC2698" s="1"/>
      <c r="AD2698" s="1"/>
    </row>
    <row r="2699" spans="17:30">
      <c r="Q2699" s="6">
        <v>2669</v>
      </c>
      <c r="R2699" s="7">
        <v>45336</v>
      </c>
      <c r="S2699" s="210">
        <v>4.5</v>
      </c>
      <c r="T2699" s="8">
        <v>1.0001249999999999</v>
      </c>
      <c r="U2699" s="98">
        <v>4.4723283351735033</v>
      </c>
      <c r="V2699" s="106">
        <v>33194.630789009476</v>
      </c>
      <c r="W2699" s="10">
        <v>1.1718958411597979</v>
      </c>
      <c r="X2699" s="420"/>
      <c r="Y2699" s="420"/>
      <c r="Z2699" s="1"/>
      <c r="AA2699" s="1"/>
      <c r="AB2699" s="1"/>
      <c r="AC2699" s="1"/>
      <c r="AD2699" s="1"/>
    </row>
    <row r="2700" spans="17:30">
      <c r="Q2700" s="6">
        <v>2670</v>
      </c>
      <c r="R2700" s="7">
        <v>45337</v>
      </c>
      <c r="S2700" s="210">
        <v>4.5</v>
      </c>
      <c r="T2700" s="8">
        <v>1.0001249999999999</v>
      </c>
      <c r="U2700" s="98">
        <v>4.472401508828705</v>
      </c>
      <c r="V2700" s="106">
        <v>33197.485652519223</v>
      </c>
      <c r="W2700" s="10">
        <v>1.1719936519952068</v>
      </c>
      <c r="X2700" s="420"/>
      <c r="Y2700" s="420"/>
      <c r="Z2700" s="1"/>
      <c r="AA2700" s="1"/>
      <c r="AB2700" s="1"/>
      <c r="AC2700" s="1"/>
      <c r="AD2700" s="1"/>
    </row>
    <row r="2701" spans="17:30">
      <c r="Q2701" s="6">
        <v>2671</v>
      </c>
      <c r="R2701" s="7">
        <v>45338</v>
      </c>
      <c r="S2701" s="210">
        <v>4.5</v>
      </c>
      <c r="T2701" s="8">
        <v>1.0001249999999999</v>
      </c>
      <c r="U2701" s="98">
        <v>4.4724746277438943</v>
      </c>
      <c r="V2701" s="106">
        <v>33200.340761558</v>
      </c>
      <c r="W2701" s="10">
        <v>1.1720913896859475</v>
      </c>
      <c r="X2701" s="420"/>
      <c r="Y2701" s="420"/>
      <c r="Z2701" s="1"/>
      <c r="AA2701" s="1"/>
      <c r="AB2701" s="1"/>
      <c r="AC2701" s="1"/>
      <c r="AD2701" s="1"/>
    </row>
    <row r="2702" spans="17:30">
      <c r="Q2702" s="6">
        <v>2672</v>
      </c>
      <c r="R2702" s="7">
        <v>45339</v>
      </c>
      <c r="S2702" s="210">
        <v>4.5</v>
      </c>
      <c r="T2702" s="8">
        <v>1.0001249999999999</v>
      </c>
      <c r="U2702" s="98">
        <v>4.4725476919804663</v>
      </c>
      <c r="V2702" s="106">
        <v>33203.19611614693</v>
      </c>
      <c r="W2702" s="10">
        <v>1.1721890543140434</v>
      </c>
      <c r="X2702" s="420"/>
      <c r="Y2702" s="420"/>
      <c r="Z2702" s="1"/>
      <c r="AA2702" s="1"/>
      <c r="AB2702" s="1"/>
      <c r="AC2702" s="1"/>
      <c r="AD2702" s="1"/>
    </row>
    <row r="2703" spans="17:30">
      <c r="Q2703" s="6">
        <v>2673</v>
      </c>
      <c r="R2703" s="7">
        <v>45340</v>
      </c>
      <c r="S2703" s="210">
        <v>4.5</v>
      </c>
      <c r="T2703" s="8">
        <v>1.0001249999999999</v>
      </c>
      <c r="U2703" s="98">
        <v>4.4726207015997499</v>
      </c>
      <c r="V2703" s="106">
        <v>33206.051716307127</v>
      </c>
      <c r="W2703" s="10">
        <v>1.1722866459614067</v>
      </c>
      <c r="X2703" s="420"/>
      <c r="Y2703" s="420"/>
      <c r="Z2703" s="1"/>
      <c r="AA2703" s="1"/>
      <c r="AB2703" s="1"/>
      <c r="AC2703" s="1"/>
      <c r="AD2703" s="1"/>
    </row>
    <row r="2704" spans="17:30">
      <c r="Q2704" s="6">
        <v>2674</v>
      </c>
      <c r="R2704" s="7">
        <v>45341</v>
      </c>
      <c r="S2704" s="210">
        <v>4.5</v>
      </c>
      <c r="T2704" s="8">
        <v>1.0001249999999999</v>
      </c>
      <c r="U2704" s="98">
        <v>4.4726936566629405</v>
      </c>
      <c r="V2704" s="106">
        <v>33208.907562059714</v>
      </c>
      <c r="W2704" s="10">
        <v>1.1723841647097721</v>
      </c>
      <c r="X2704" s="420"/>
      <c r="Y2704" s="420"/>
      <c r="Z2704" s="1"/>
      <c r="AA2704" s="1"/>
      <c r="AB2704" s="1"/>
      <c r="AC2704" s="1"/>
      <c r="AD2704" s="1"/>
    </row>
    <row r="2705" spans="17:30">
      <c r="Q2705" s="6">
        <v>2675</v>
      </c>
      <c r="R2705" s="7">
        <v>45342</v>
      </c>
      <c r="S2705" s="210">
        <v>4.5</v>
      </c>
      <c r="T2705" s="8">
        <v>1.0001249999999999</v>
      </c>
      <c r="U2705" s="98">
        <v>4.4727665572311892</v>
      </c>
      <c r="V2705" s="106">
        <v>33211.763653425813</v>
      </c>
      <c r="W2705" s="10">
        <v>1.172481610640852</v>
      </c>
      <c r="X2705" s="420"/>
      <c r="Y2705" s="420"/>
      <c r="Z2705" s="1"/>
      <c r="AA2705" s="1"/>
      <c r="AB2705" s="1"/>
      <c r="AC2705" s="1"/>
      <c r="AD2705" s="1"/>
    </row>
    <row r="2706" spans="17:30">
      <c r="Q2706" s="6">
        <v>2676</v>
      </c>
      <c r="R2706" s="7">
        <v>45343</v>
      </c>
      <c r="S2706" s="210">
        <v>4.5</v>
      </c>
      <c r="T2706" s="8">
        <v>1.0001249999999999</v>
      </c>
      <c r="U2706" s="98">
        <v>4.4728394033655139</v>
      </c>
      <c r="V2706" s="106">
        <v>33214.619990426552</v>
      </c>
      <c r="W2706" s="10">
        <v>1.1725789838360923</v>
      </c>
      <c r="X2706" s="420"/>
      <c r="Y2706" s="420"/>
      <c r="Z2706" s="1"/>
      <c r="AA2706" s="1"/>
      <c r="AB2706" s="1"/>
      <c r="AC2706" s="1"/>
      <c r="AD2706" s="1"/>
    </row>
    <row r="2707" spans="17:30">
      <c r="Q2707" s="6">
        <v>2677</v>
      </c>
      <c r="R2707" s="7">
        <v>45344</v>
      </c>
      <c r="S2707" s="210">
        <v>4.5</v>
      </c>
      <c r="T2707" s="8">
        <v>1.0001249999999999</v>
      </c>
      <c r="U2707" s="98">
        <v>4.4729121951268658</v>
      </c>
      <c r="V2707" s="106">
        <v>33217.476573083048</v>
      </c>
      <c r="W2707" s="10">
        <v>1.1726762843769833</v>
      </c>
      <c r="X2707" s="420"/>
      <c r="Y2707" s="420"/>
      <c r="Z2707" s="1"/>
      <c r="AA2707" s="1"/>
      <c r="AB2707" s="1"/>
      <c r="AC2707" s="1"/>
      <c r="AD2707" s="1"/>
    </row>
    <row r="2708" spans="17:30">
      <c r="Q2708" s="6">
        <v>2678</v>
      </c>
      <c r="R2708" s="7">
        <v>45345</v>
      </c>
      <c r="S2708" s="210">
        <v>4.5</v>
      </c>
      <c r="T2708" s="8">
        <v>1.0001249999999999</v>
      </c>
      <c r="U2708" s="98">
        <v>4.4729849325761073</v>
      </c>
      <c r="V2708" s="106">
        <v>33220.333401416436</v>
      </c>
      <c r="W2708" s="10">
        <v>1.1727735123447713</v>
      </c>
      <c r="X2708" s="420"/>
      <c r="Y2708" s="420"/>
      <c r="Z2708" s="1"/>
      <c r="AA2708" s="1"/>
      <c r="AB2708" s="1"/>
      <c r="AC2708" s="1"/>
      <c r="AD2708" s="1"/>
    </row>
    <row r="2709" spans="17:30">
      <c r="Q2709" s="6">
        <v>2679</v>
      </c>
      <c r="R2709" s="7">
        <v>45346</v>
      </c>
      <c r="S2709" s="210">
        <v>4.5</v>
      </c>
      <c r="T2709" s="8">
        <v>1.0001249999999999</v>
      </c>
      <c r="U2709" s="98">
        <v>4.4730576157739899</v>
      </c>
      <c r="V2709" s="106">
        <v>33223.190475447838</v>
      </c>
      <c r="W2709" s="10">
        <v>1.1728706678205914</v>
      </c>
      <c r="X2709" s="420"/>
      <c r="Y2709" s="420"/>
      <c r="Z2709" s="1"/>
      <c r="AA2709" s="1"/>
      <c r="AB2709" s="1"/>
      <c r="AC2709" s="1"/>
      <c r="AD2709" s="1"/>
    </row>
    <row r="2710" spans="17:30">
      <c r="Q2710" s="6">
        <v>2680</v>
      </c>
      <c r="R2710" s="7">
        <v>45347</v>
      </c>
      <c r="S2710" s="210">
        <v>4.5</v>
      </c>
      <c r="T2710" s="8">
        <v>1.0001249999999999</v>
      </c>
      <c r="U2710" s="98">
        <v>4.4731302447811983</v>
      </c>
      <c r="V2710" s="106">
        <v>33226.047795198385</v>
      </c>
      <c r="W2710" s="10">
        <v>1.1729677508855563</v>
      </c>
      <c r="X2710" s="420"/>
      <c r="Y2710" s="420"/>
      <c r="Z2710" s="1"/>
      <c r="AA2710" s="1"/>
      <c r="AB2710" s="1"/>
      <c r="AC2710" s="1"/>
      <c r="AD2710" s="1"/>
    </row>
    <row r="2711" spans="17:30">
      <c r="Q2711" s="6">
        <v>2681</v>
      </c>
      <c r="R2711" s="7">
        <v>45348</v>
      </c>
      <c r="S2711" s="210">
        <v>4.5</v>
      </c>
      <c r="T2711" s="8">
        <v>1.0001249999999999</v>
      </c>
      <c r="U2711" s="98">
        <v>4.4732028196583062</v>
      </c>
      <c r="V2711" s="106">
        <v>33228.905360689212</v>
      </c>
      <c r="W2711" s="10">
        <v>1.173064761620557</v>
      </c>
      <c r="X2711" s="420"/>
      <c r="Y2711" s="420"/>
      <c r="Z2711" s="1"/>
      <c r="AA2711" s="1"/>
      <c r="AB2711" s="1"/>
      <c r="AC2711" s="1"/>
      <c r="AD2711" s="1"/>
    </row>
    <row r="2712" spans="17:30">
      <c r="Q2712" s="6">
        <v>2682</v>
      </c>
      <c r="R2712" s="7">
        <v>45349</v>
      </c>
      <c r="S2712" s="210">
        <v>4.5</v>
      </c>
      <c r="T2712" s="8">
        <v>1.0001249999999999</v>
      </c>
      <c r="U2712" s="98">
        <v>4.4732753404657988</v>
      </c>
      <c r="V2712" s="106">
        <v>33231.763171941464</v>
      </c>
      <c r="W2712" s="10">
        <v>1.173161700106351</v>
      </c>
      <c r="X2712" s="420"/>
      <c r="Y2712" s="420"/>
      <c r="Z2712" s="1"/>
      <c r="AA2712" s="1"/>
      <c r="AB2712" s="1"/>
      <c r="AC2712" s="1"/>
      <c r="AD2712" s="1"/>
    </row>
    <row r="2713" spans="17:30">
      <c r="Q2713" s="6">
        <v>2683</v>
      </c>
      <c r="R2713" s="7">
        <v>45350</v>
      </c>
      <c r="S2713" s="210">
        <v>4.5</v>
      </c>
      <c r="T2713" s="8">
        <v>1.0001249999999999</v>
      </c>
      <c r="U2713" s="98">
        <v>4.473347807264072</v>
      </c>
      <c r="V2713" s="106">
        <v>33234.621228976255</v>
      </c>
      <c r="W2713" s="10">
        <v>1.1732585664236739</v>
      </c>
      <c r="X2713" s="420"/>
      <c r="Y2713" s="420"/>
      <c r="Z2713" s="1"/>
      <c r="AA2713" s="1"/>
      <c r="AB2713" s="1"/>
      <c r="AC2713" s="1"/>
      <c r="AD2713" s="1"/>
    </row>
    <row r="2714" spans="17:30">
      <c r="Q2714" s="6">
        <v>2684</v>
      </c>
      <c r="R2714" s="7">
        <v>45351</v>
      </c>
      <c r="S2714" s="210">
        <v>4.5</v>
      </c>
      <c r="T2714" s="8">
        <v>1.0001249999999999</v>
      </c>
      <c r="U2714" s="98">
        <v>4.4734202201134554</v>
      </c>
      <c r="V2714" s="106">
        <v>33237.479531814744</v>
      </c>
      <c r="W2714" s="10">
        <v>1.1733553606530611</v>
      </c>
      <c r="X2714" s="420"/>
      <c r="Y2714" s="420"/>
      <c r="Z2714" s="1"/>
      <c r="AA2714" s="1"/>
      <c r="AB2714" s="1"/>
      <c r="AC2714" s="1"/>
      <c r="AD2714" s="1"/>
    </row>
    <row r="2715" spans="17:30">
      <c r="Q2715" s="6">
        <v>2685</v>
      </c>
      <c r="R2715" s="7">
        <v>45352</v>
      </c>
      <c r="S2715" s="210">
        <v>4.5</v>
      </c>
      <c r="T2715" s="8">
        <v>1.0001249999999999</v>
      </c>
      <c r="U2715" s="98">
        <v>4.4734925790741675</v>
      </c>
      <c r="V2715" s="106">
        <v>33240.338080478061</v>
      </c>
      <c r="W2715" s="10">
        <v>1.1734520828749817</v>
      </c>
      <c r="X2715" s="420"/>
      <c r="Y2715" s="420"/>
      <c r="Z2715" s="1"/>
      <c r="AA2715" s="1"/>
      <c r="AB2715" s="1"/>
      <c r="AC2715" s="1"/>
      <c r="AD2715" s="1"/>
    </row>
    <row r="2716" spans="17:30">
      <c r="Q2716" s="6">
        <v>2686</v>
      </c>
      <c r="R2716" s="7">
        <v>45353</v>
      </c>
      <c r="S2716" s="210">
        <v>4.5</v>
      </c>
      <c r="T2716" s="8">
        <v>1.0001249999999999</v>
      </c>
      <c r="U2716" s="98">
        <v>4.473564884206338</v>
      </c>
      <c r="V2716" s="106">
        <v>33243.196874987349</v>
      </c>
      <c r="W2716" s="10">
        <v>1.173548733169727</v>
      </c>
      <c r="X2716" s="420"/>
      <c r="Y2716" s="420"/>
      <c r="Z2716" s="1"/>
      <c r="AA2716" s="1"/>
      <c r="AB2716" s="1"/>
      <c r="AC2716" s="1"/>
      <c r="AD2716" s="1"/>
    </row>
    <row r="2717" spans="17:30">
      <c r="Q2717" s="6">
        <v>2687</v>
      </c>
      <c r="R2717" s="7">
        <v>45354</v>
      </c>
      <c r="S2717" s="210">
        <v>4.5</v>
      </c>
      <c r="T2717" s="8">
        <v>1.0001249999999999</v>
      </c>
      <c r="U2717" s="98">
        <v>4.4736371355700078</v>
      </c>
      <c r="V2717" s="106">
        <v>33246.055915363759</v>
      </c>
      <c r="W2717" s="10">
        <v>1.1736453116174994</v>
      </c>
      <c r="X2717" s="420"/>
      <c r="Y2717" s="420"/>
      <c r="Z2717" s="1"/>
      <c r="AA2717" s="1"/>
      <c r="AB2717" s="1"/>
      <c r="AC2717" s="1"/>
      <c r="AD2717" s="1"/>
    </row>
    <row r="2718" spans="17:30">
      <c r="Q2718" s="6">
        <v>2688</v>
      </c>
      <c r="R2718" s="7">
        <v>45355</v>
      </c>
      <c r="S2718" s="210">
        <v>4.5</v>
      </c>
      <c r="T2718" s="8">
        <v>1.0001249999999999</v>
      </c>
      <c r="U2718" s="98">
        <v>4.473709333225151</v>
      </c>
      <c r="V2718" s="106">
        <v>33248.915201628421</v>
      </c>
      <c r="W2718" s="10">
        <v>1.1737418182984349</v>
      </c>
      <c r="X2718" s="420"/>
      <c r="Y2718" s="420"/>
      <c r="Z2718" s="1"/>
      <c r="AA2718" s="1"/>
      <c r="AB2718" s="1"/>
      <c r="AC2718" s="1"/>
      <c r="AD2718" s="1"/>
    </row>
    <row r="2719" spans="17:30">
      <c r="Q2719" s="6">
        <v>2689</v>
      </c>
      <c r="R2719" s="7">
        <v>45356</v>
      </c>
      <c r="S2719" s="210">
        <v>4.5</v>
      </c>
      <c r="T2719" s="8">
        <v>1.0001249999999999</v>
      </c>
      <c r="U2719" s="98">
        <v>4.4737814772316087</v>
      </c>
      <c r="V2719" s="106">
        <v>33251.774733802493</v>
      </c>
      <c r="W2719" s="10">
        <v>1.1738382532924474</v>
      </c>
      <c r="X2719" s="420"/>
      <c r="Y2719" s="420"/>
      <c r="Z2719" s="1"/>
      <c r="AA2719" s="1"/>
      <c r="AB2719" s="1"/>
      <c r="AC2719" s="1"/>
      <c r="AD2719" s="1"/>
    </row>
    <row r="2720" spans="17:30">
      <c r="Q2720" s="6">
        <v>2690</v>
      </c>
      <c r="R2720" s="7">
        <v>45357</v>
      </c>
      <c r="S2720" s="210">
        <v>4.5</v>
      </c>
      <c r="T2720" s="8">
        <v>1.0001249999999999</v>
      </c>
      <c r="U2720" s="98">
        <v>4.4738535676491553</v>
      </c>
      <c r="V2720" s="106">
        <v>33254.634511907134</v>
      </c>
      <c r="W2720" s="10">
        <v>1.173934616679384</v>
      </c>
      <c r="X2720" s="420"/>
      <c r="Y2720" s="420"/>
      <c r="Z2720" s="1"/>
      <c r="AA2720" s="1"/>
      <c r="AB2720" s="1"/>
      <c r="AC2720" s="1"/>
      <c r="AD2720" s="1"/>
    </row>
    <row r="2721" spans="17:30">
      <c r="Q2721" s="6">
        <v>2691</v>
      </c>
      <c r="R2721" s="7">
        <v>45358</v>
      </c>
      <c r="S2721" s="210">
        <v>4.5</v>
      </c>
      <c r="T2721" s="8">
        <v>1.0001249999999999</v>
      </c>
      <c r="U2721" s="98">
        <v>4.4739256045374987</v>
      </c>
      <c r="V2721" s="106">
        <v>33257.494535963473</v>
      </c>
      <c r="W2721" s="10">
        <v>1.1740309085390033</v>
      </c>
      <c r="X2721" s="420"/>
      <c r="Y2721" s="420"/>
      <c r="Z2721" s="1"/>
      <c r="AA2721" s="1"/>
      <c r="AB2721" s="1"/>
      <c r="AC2721" s="1"/>
      <c r="AD2721" s="1"/>
    </row>
    <row r="2722" spans="17:30">
      <c r="Q2722" s="6">
        <v>2692</v>
      </c>
      <c r="R2722" s="7">
        <v>45359</v>
      </c>
      <c r="S2722" s="210">
        <v>4.5</v>
      </c>
      <c r="T2722" s="8">
        <v>1.0001249999999999</v>
      </c>
      <c r="U2722" s="98">
        <v>4.4739975879562133</v>
      </c>
      <c r="V2722" s="106">
        <v>33260.354805992676</v>
      </c>
      <c r="W2722" s="10">
        <v>1.1741271289508637</v>
      </c>
      <c r="X2722" s="420"/>
      <c r="Y2722" s="420"/>
      <c r="Z2722" s="1"/>
      <c r="AA2722" s="1"/>
      <c r="AB2722" s="1"/>
      <c r="AC2722" s="1"/>
      <c r="AD2722" s="1"/>
    </row>
    <row r="2723" spans="17:30">
      <c r="Q2723" s="6">
        <v>2693</v>
      </c>
      <c r="R2723" s="7">
        <v>45360</v>
      </c>
      <c r="S2723" s="210">
        <v>4.5</v>
      </c>
      <c r="T2723" s="8">
        <v>1.0001249999999999</v>
      </c>
      <c r="U2723" s="98">
        <v>4.4740695179648293</v>
      </c>
      <c r="V2723" s="106">
        <v>33263.215322015887</v>
      </c>
      <c r="W2723" s="10">
        <v>1.1742232779945239</v>
      </c>
      <c r="X2723" s="420"/>
      <c r="Y2723" s="420"/>
      <c r="Z2723" s="1"/>
      <c r="AA2723" s="1"/>
      <c r="AB2723" s="1"/>
      <c r="AC2723" s="1"/>
      <c r="AD2723" s="1"/>
    </row>
    <row r="2724" spans="17:30">
      <c r="Q2724" s="6">
        <v>2694</v>
      </c>
      <c r="R2724" s="7">
        <v>45361</v>
      </c>
      <c r="S2724" s="210">
        <v>4.5</v>
      </c>
      <c r="T2724" s="8">
        <v>1.0001249999999999</v>
      </c>
      <c r="U2724" s="98">
        <v>4.4741413946227437</v>
      </c>
      <c r="V2724" s="106">
        <v>33266.076084054279</v>
      </c>
      <c r="W2724" s="10">
        <v>1.1743193557492759</v>
      </c>
      <c r="X2724" s="420"/>
      <c r="Y2724" s="420"/>
      <c r="Z2724" s="1"/>
      <c r="AA2724" s="1"/>
      <c r="AB2724" s="1"/>
      <c r="AC2724" s="1"/>
      <c r="AD2724" s="1"/>
    </row>
    <row r="2725" spans="17:30">
      <c r="Q2725" s="6">
        <v>2695</v>
      </c>
      <c r="R2725" s="7">
        <v>45362</v>
      </c>
      <c r="S2725" s="210">
        <v>4.5</v>
      </c>
      <c r="T2725" s="8">
        <v>1.0001249999999999</v>
      </c>
      <c r="U2725" s="98">
        <v>4.474213217989309</v>
      </c>
      <c r="V2725" s="106">
        <v>33268.937092129003</v>
      </c>
      <c r="W2725" s="10">
        <v>1.1744153622944342</v>
      </c>
      <c r="X2725" s="420"/>
      <c r="Y2725" s="420"/>
      <c r="Z2725" s="1"/>
      <c r="AA2725" s="1"/>
      <c r="AB2725" s="1"/>
      <c r="AC2725" s="1"/>
      <c r="AD2725" s="1"/>
    </row>
    <row r="2726" spans="17:30">
      <c r="Q2726" s="6">
        <v>2696</v>
      </c>
      <c r="R2726" s="7">
        <v>45363</v>
      </c>
      <c r="S2726" s="210">
        <v>4.5</v>
      </c>
      <c r="T2726" s="8">
        <v>1.0001249999999999</v>
      </c>
      <c r="U2726" s="98">
        <v>4.4742849881237667</v>
      </c>
      <c r="V2726" s="106">
        <v>33271.798346261217</v>
      </c>
      <c r="W2726" s="10">
        <v>1.1745112977091354</v>
      </c>
      <c r="X2726" s="420"/>
      <c r="Y2726" s="420"/>
      <c r="Z2726" s="1"/>
      <c r="AA2726" s="1"/>
      <c r="AB2726" s="1"/>
      <c r="AC2726" s="1"/>
      <c r="AD2726" s="1"/>
    </row>
    <row r="2727" spans="17:30">
      <c r="Q2727" s="6">
        <v>2697</v>
      </c>
      <c r="R2727" s="7">
        <v>45364</v>
      </c>
      <c r="S2727" s="210">
        <v>4.5</v>
      </c>
      <c r="T2727" s="8">
        <v>1.0001249999999999</v>
      </c>
      <c r="U2727" s="98">
        <v>4.4743567050852917</v>
      </c>
      <c r="V2727" s="106">
        <v>33274.659846472074</v>
      </c>
      <c r="W2727" s="10">
        <v>1.174607162072383</v>
      </c>
      <c r="X2727" s="420"/>
      <c r="Y2727" s="420"/>
      <c r="Z2727" s="1"/>
      <c r="AA2727" s="1"/>
      <c r="AB2727" s="1"/>
      <c r="AC2727" s="1"/>
      <c r="AD2727" s="1"/>
    </row>
    <row r="2728" spans="17:30">
      <c r="Q2728" s="6">
        <v>2698</v>
      </c>
      <c r="R2728" s="7">
        <v>45365</v>
      </c>
      <c r="S2728" s="210">
        <v>4.5</v>
      </c>
      <c r="T2728" s="8">
        <v>1.0001249999999999</v>
      </c>
      <c r="U2728" s="98">
        <v>4.4744283689329256</v>
      </c>
      <c r="V2728" s="106">
        <v>33277.521592782759</v>
      </c>
      <c r="W2728" s="10">
        <v>1.1747029554630917</v>
      </c>
      <c r="X2728" s="420"/>
      <c r="Y2728" s="420"/>
      <c r="Z2728" s="1"/>
      <c r="AA2728" s="1"/>
      <c r="AB2728" s="1"/>
      <c r="AC2728" s="1"/>
      <c r="AD2728" s="1"/>
    </row>
    <row r="2729" spans="17:30">
      <c r="Q2729" s="6">
        <v>2699</v>
      </c>
      <c r="R2729" s="7">
        <v>45366</v>
      </c>
      <c r="S2729" s="210">
        <v>4.5</v>
      </c>
      <c r="T2729" s="8">
        <v>1.0001249999999999</v>
      </c>
      <c r="U2729" s="98">
        <v>4.4744999797256657</v>
      </c>
      <c r="V2729" s="106">
        <v>33280.383585214418</v>
      </c>
      <c r="W2729" s="10">
        <v>1.1747986779600206</v>
      </c>
      <c r="X2729" s="420"/>
      <c r="Y2729" s="420"/>
      <c r="Z2729" s="1"/>
      <c r="AA2729" s="1"/>
      <c r="AB2729" s="1"/>
      <c r="AC2729" s="1"/>
      <c r="AD2729" s="1"/>
    </row>
    <row r="2730" spans="17:30">
      <c r="Q2730" s="6">
        <v>2700</v>
      </c>
      <c r="R2730" s="7">
        <v>45367</v>
      </c>
      <c r="S2730" s="210">
        <v>4.5</v>
      </c>
      <c r="T2730" s="8">
        <v>1.0001249999999999</v>
      </c>
      <c r="U2730" s="98">
        <v>4.4745715375223982</v>
      </c>
      <c r="V2730" s="106">
        <v>33283.245823788224</v>
      </c>
      <c r="W2730" s="10">
        <v>1.1748943296418846</v>
      </c>
      <c r="X2730" s="420"/>
      <c r="Y2730" s="420"/>
      <c r="Z2730" s="1"/>
      <c r="AA2730" s="1"/>
      <c r="AB2730" s="1"/>
      <c r="AC2730" s="1"/>
      <c r="AD2730" s="1"/>
    </row>
    <row r="2731" spans="17:30">
      <c r="Q2731" s="6">
        <v>2701</v>
      </c>
      <c r="R2731" s="7">
        <v>45368</v>
      </c>
      <c r="S2731" s="210">
        <v>4.5</v>
      </c>
      <c r="T2731" s="8">
        <v>1.0001249999999999</v>
      </c>
      <c r="U2731" s="98">
        <v>4.4746430423819428</v>
      </c>
      <c r="V2731" s="106">
        <v>33286.108308525363</v>
      </c>
      <c r="W2731" s="10">
        <v>1.1749899105871764</v>
      </c>
      <c r="X2731" s="420"/>
      <c r="Y2731" s="420"/>
      <c r="Z2731" s="1"/>
      <c r="AA2731" s="1"/>
      <c r="AB2731" s="1"/>
      <c r="AC2731" s="1"/>
      <c r="AD2731" s="1"/>
    </row>
    <row r="2732" spans="17:30">
      <c r="Q2732" s="6">
        <v>2702</v>
      </c>
      <c r="R2732" s="7">
        <v>45369</v>
      </c>
      <c r="S2732" s="210">
        <v>4.5</v>
      </c>
      <c r="T2732" s="8">
        <v>1.0001249999999999</v>
      </c>
      <c r="U2732" s="98">
        <v>4.4747144943630079</v>
      </c>
      <c r="V2732" s="106">
        <v>33288.971039446973</v>
      </c>
      <c r="W2732" s="10">
        <v>1.1750854208743888</v>
      </c>
      <c r="X2732" s="420"/>
      <c r="Y2732" s="420"/>
      <c r="Z2732" s="1"/>
      <c r="AA2732" s="1"/>
      <c r="AB2732" s="1"/>
      <c r="AC2732" s="1"/>
      <c r="AD2732" s="1"/>
    </row>
    <row r="2733" spans="17:30">
      <c r="Q2733" s="6">
        <v>2703</v>
      </c>
      <c r="R2733" s="7">
        <v>45370</v>
      </c>
      <c r="S2733" s="210">
        <v>4.5</v>
      </c>
      <c r="T2733" s="8">
        <v>1.0001249999999999</v>
      </c>
      <c r="U2733" s="98">
        <v>4.4747858935242357</v>
      </c>
      <c r="V2733" s="106">
        <v>33291.834016574263</v>
      </c>
      <c r="W2733" s="10">
        <v>1.1751808605818148</v>
      </c>
      <c r="X2733" s="420"/>
      <c r="Y2733" s="420"/>
      <c r="Z2733" s="1"/>
      <c r="AA2733" s="1"/>
      <c r="AB2733" s="1"/>
      <c r="AC2733" s="1"/>
      <c r="AD2733" s="1"/>
    </row>
    <row r="2734" spans="17:30">
      <c r="Q2734" s="6">
        <v>2704</v>
      </c>
      <c r="R2734" s="7">
        <v>45371</v>
      </c>
      <c r="S2734" s="210">
        <v>4.5</v>
      </c>
      <c r="T2734" s="8">
        <v>1.0001249999999999</v>
      </c>
      <c r="U2734" s="98">
        <v>4.4748572399241793</v>
      </c>
      <c r="V2734" s="106">
        <v>33294.69723992837</v>
      </c>
      <c r="W2734" s="10">
        <v>1.1752762297877029</v>
      </c>
      <c r="X2734" s="420"/>
      <c r="Y2734" s="420"/>
      <c r="Z2734" s="1"/>
      <c r="AA2734" s="1"/>
      <c r="AB2734" s="1"/>
      <c r="AC2734" s="1"/>
      <c r="AD2734" s="1"/>
    </row>
    <row r="2735" spans="17:30">
      <c r="Q2735" s="6">
        <v>2705</v>
      </c>
      <c r="R2735" s="7">
        <v>45372</v>
      </c>
      <c r="S2735" s="210">
        <v>4.5</v>
      </c>
      <c r="T2735" s="8">
        <v>1.0001249999999999</v>
      </c>
      <c r="U2735" s="98">
        <v>4.4749285336213029</v>
      </c>
      <c r="V2735" s="106">
        <v>33297.560709530502</v>
      </c>
      <c r="W2735" s="10">
        <v>1.1753715285701016</v>
      </c>
      <c r="X2735" s="420"/>
      <c r="Y2735" s="420"/>
      <c r="Z2735" s="1"/>
      <c r="AA2735" s="1"/>
      <c r="AB2735" s="1"/>
      <c r="AC2735" s="1"/>
      <c r="AD2735" s="1"/>
    </row>
    <row r="2736" spans="17:30">
      <c r="Q2736" s="6">
        <v>2706</v>
      </c>
      <c r="R2736" s="7">
        <v>45373</v>
      </c>
      <c r="S2736" s="210">
        <v>4.5</v>
      </c>
      <c r="T2736" s="8">
        <v>1.0001249999999999</v>
      </c>
      <c r="U2736" s="98">
        <v>4.47499977467396</v>
      </c>
      <c r="V2736" s="106">
        <v>33300.424425401819</v>
      </c>
      <c r="W2736" s="10">
        <v>1.175466757006971</v>
      </c>
      <c r="X2736" s="420"/>
      <c r="Y2736" s="420"/>
      <c r="Z2736" s="1"/>
      <c r="AA2736" s="1"/>
      <c r="AB2736" s="1"/>
      <c r="AC2736" s="1"/>
      <c r="AD2736" s="1"/>
    </row>
    <row r="2737" spans="17:30">
      <c r="Q2737" s="6">
        <v>2707</v>
      </c>
      <c r="R2737" s="7">
        <v>45374</v>
      </c>
      <c r="S2737" s="210">
        <v>4.5</v>
      </c>
      <c r="T2737" s="8">
        <v>1.0001249999999999</v>
      </c>
      <c r="U2737" s="98">
        <v>4.4750709631404595</v>
      </c>
      <c r="V2737" s="106">
        <v>33303.288387563509</v>
      </c>
      <c r="W2737" s="10">
        <v>1.1755619151762042</v>
      </c>
      <c r="X2737" s="420"/>
      <c r="Y2737" s="420"/>
      <c r="Z2737" s="1"/>
      <c r="AA2737" s="1"/>
      <c r="AB2737" s="1"/>
      <c r="AC2737" s="1"/>
      <c r="AD2737" s="1"/>
    </row>
    <row r="2738" spans="17:30">
      <c r="Q2738" s="6">
        <v>2708</v>
      </c>
      <c r="R2738" s="7">
        <v>45375</v>
      </c>
      <c r="S2738" s="210">
        <v>4.5</v>
      </c>
      <c r="T2738" s="8">
        <v>1.0001249999999999</v>
      </c>
      <c r="U2738" s="98">
        <v>4.4751420990789992</v>
      </c>
      <c r="V2738" s="106">
        <v>33306.152596036758</v>
      </c>
      <c r="W2738" s="10">
        <v>1.1756570031555613</v>
      </c>
      <c r="X2738" s="420"/>
      <c r="Y2738" s="420"/>
      <c r="Z2738" s="1"/>
      <c r="AA2738" s="1"/>
      <c r="AB2738" s="1"/>
      <c r="AC2738" s="1"/>
      <c r="AD2738" s="1"/>
    </row>
    <row r="2739" spans="17:30">
      <c r="Q2739" s="6">
        <v>2709</v>
      </c>
      <c r="R2739" s="7">
        <v>45376</v>
      </c>
      <c r="S2739" s="210">
        <v>4.5</v>
      </c>
      <c r="T2739" s="8">
        <v>1.0001249999999999</v>
      </c>
      <c r="U2739" s="98">
        <v>4.4752131825476882</v>
      </c>
      <c r="V2739" s="106">
        <v>33309.01705084274</v>
      </c>
      <c r="W2739" s="10">
        <v>1.1757520210226469</v>
      </c>
      <c r="X2739" s="420"/>
      <c r="Y2739" s="420"/>
      <c r="Z2739" s="1"/>
      <c r="AA2739" s="1"/>
      <c r="AB2739" s="1"/>
      <c r="AC2739" s="1"/>
      <c r="AD2739" s="1"/>
    </row>
    <row r="2740" spans="17:30">
      <c r="Q2740" s="6">
        <v>2710</v>
      </c>
      <c r="R2740" s="7">
        <v>45377</v>
      </c>
      <c r="S2740" s="210">
        <v>4.5</v>
      </c>
      <c r="T2740" s="8">
        <v>1.0001249999999999</v>
      </c>
      <c r="U2740" s="98">
        <v>4.475284213604569</v>
      </c>
      <c r="V2740" s="106">
        <v>33311.88175200265</v>
      </c>
      <c r="W2740" s="10">
        <v>1.1758469688549544</v>
      </c>
      <c r="X2740" s="420"/>
      <c r="Y2740" s="420"/>
      <c r="Z2740" s="1"/>
      <c r="AA2740" s="1"/>
      <c r="AB2740" s="1"/>
      <c r="AC2740" s="1"/>
      <c r="AD2740" s="1"/>
    </row>
    <row r="2741" spans="17:30">
      <c r="Q2741" s="6">
        <v>2711</v>
      </c>
      <c r="R2741" s="7">
        <v>45378</v>
      </c>
      <c r="S2741" s="210">
        <v>4.5</v>
      </c>
      <c r="T2741" s="8">
        <v>1.0001249999999999</v>
      </c>
      <c r="U2741" s="98">
        <v>4.4753551923075729</v>
      </c>
      <c r="V2741" s="106">
        <v>33314.746699537667</v>
      </c>
      <c r="W2741" s="10">
        <v>1.1759418467299332</v>
      </c>
      <c r="X2741" s="420"/>
      <c r="Y2741" s="420"/>
      <c r="Z2741" s="1"/>
      <c r="AA2741" s="1"/>
      <c r="AB2741" s="1"/>
      <c r="AC2741" s="1"/>
      <c r="AD2741" s="1"/>
    </row>
    <row r="2742" spans="17:30">
      <c r="Q2742" s="6">
        <v>2712</v>
      </c>
      <c r="R2742" s="7">
        <v>45379</v>
      </c>
      <c r="S2742" s="210">
        <v>4.5</v>
      </c>
      <c r="T2742" s="8">
        <v>1.0001249999999999</v>
      </c>
      <c r="U2742" s="98">
        <v>4.475426118714565</v>
      </c>
      <c r="V2742" s="106">
        <v>33317.61189346898</v>
      </c>
      <c r="W2742" s="10">
        <v>1.1760366547248324</v>
      </c>
      <c r="X2742" s="420"/>
      <c r="Y2742" s="420"/>
      <c r="Z2742" s="1"/>
      <c r="AA2742" s="1"/>
      <c r="AB2742" s="1"/>
      <c r="AC2742" s="1"/>
      <c r="AD2742" s="1"/>
    </row>
    <row r="2743" spans="17:30">
      <c r="Q2743" s="6">
        <v>2713</v>
      </c>
      <c r="R2743" s="7">
        <v>45380</v>
      </c>
      <c r="S2743" s="210">
        <v>4.5</v>
      </c>
      <c r="T2743" s="8">
        <v>1.0001249999999999</v>
      </c>
      <c r="U2743" s="98">
        <v>4.4754969928833432</v>
      </c>
      <c r="V2743" s="106">
        <v>33320.477333817784</v>
      </c>
      <c r="W2743" s="10">
        <v>1.1761313929168793</v>
      </c>
      <c r="X2743" s="420"/>
      <c r="Y2743" s="420"/>
      <c r="Z2743" s="1"/>
      <c r="AA2743" s="1"/>
      <c r="AB2743" s="1"/>
      <c r="AC2743" s="1"/>
      <c r="AD2743" s="1"/>
    </row>
    <row r="2744" spans="17:30">
      <c r="Q2744" s="6">
        <v>2714</v>
      </c>
      <c r="R2744" s="7">
        <v>45381</v>
      </c>
      <c r="S2744" s="210">
        <v>4.5</v>
      </c>
      <c r="T2744" s="8">
        <v>1.0001249999999999</v>
      </c>
      <c r="U2744" s="98">
        <v>4.4755678148715727</v>
      </c>
      <c r="V2744" s="106">
        <v>33323.343020605273</v>
      </c>
      <c r="W2744" s="10">
        <v>1.1762260613830788</v>
      </c>
      <c r="X2744" s="420"/>
      <c r="Y2744" s="420"/>
      <c r="Z2744" s="1"/>
      <c r="AA2744" s="1"/>
      <c r="AB2744" s="1"/>
      <c r="AC2744" s="1"/>
      <c r="AD2744" s="1"/>
    </row>
    <row r="2745" spans="17:30">
      <c r="Q2745" s="6">
        <v>2715</v>
      </c>
      <c r="R2745" s="7">
        <v>45382</v>
      </c>
      <c r="S2745" s="210">
        <v>4.5</v>
      </c>
      <c r="T2745" s="8">
        <v>1.0001249999999999</v>
      </c>
      <c r="U2745" s="98">
        <v>4.4756385847368518</v>
      </c>
      <c r="V2745" s="106">
        <v>33326.208953852634</v>
      </c>
      <c r="W2745" s="10">
        <v>1.1763206602003917</v>
      </c>
      <c r="X2745" s="420"/>
      <c r="Y2745" s="420"/>
      <c r="Z2745" s="1"/>
      <c r="AA2745" s="1"/>
      <c r="AB2745" s="1"/>
      <c r="AC2745" s="1"/>
      <c r="AD2745" s="1"/>
    </row>
    <row r="2746" spans="17:30">
      <c r="Q2746" s="6">
        <v>2716</v>
      </c>
      <c r="R2746" s="7">
        <v>45383</v>
      </c>
      <c r="S2746" s="210">
        <v>4.5</v>
      </c>
      <c r="T2746" s="8">
        <v>1.0001249999999999</v>
      </c>
      <c r="U2746" s="98">
        <v>4.4757093025367123</v>
      </c>
      <c r="V2746" s="106">
        <v>33329.075133581071</v>
      </c>
      <c r="W2746" s="10">
        <v>1.1764151894456676</v>
      </c>
      <c r="X2746" s="420"/>
      <c r="Y2746" s="420"/>
      <c r="Z2746" s="1"/>
      <c r="AA2746" s="1"/>
      <c r="AB2746" s="1"/>
      <c r="AC2746" s="1"/>
      <c r="AD2746" s="1"/>
    </row>
    <row r="2747" spans="17:30">
      <c r="Q2747" s="6">
        <v>2717</v>
      </c>
      <c r="R2747" s="7">
        <v>45384</v>
      </c>
      <c r="S2747" s="210">
        <v>4.5</v>
      </c>
      <c r="T2747" s="8">
        <v>1.0001249999999999</v>
      </c>
      <c r="U2747" s="98">
        <v>4.475779968328597</v>
      </c>
      <c r="V2747" s="106">
        <v>33331.941559811778</v>
      </c>
      <c r="W2747" s="10">
        <v>1.1765096491956228</v>
      </c>
      <c r="X2747" s="420"/>
      <c r="Y2747" s="420"/>
      <c r="Z2747" s="1"/>
      <c r="AA2747" s="1"/>
      <c r="AB2747" s="1"/>
      <c r="AC2747" s="1"/>
      <c r="AD2747" s="1"/>
    </row>
    <row r="2748" spans="17:30">
      <c r="Q2748" s="6">
        <v>2718</v>
      </c>
      <c r="R2748" s="7">
        <v>45385</v>
      </c>
      <c r="S2748" s="210">
        <v>4.5</v>
      </c>
      <c r="T2748" s="8">
        <v>1.0001249999999999</v>
      </c>
      <c r="U2748" s="98">
        <v>4.4758505821698602</v>
      </c>
      <c r="V2748" s="106">
        <v>33334.808232565963</v>
      </c>
      <c r="W2748" s="10">
        <v>1.1766040395268851</v>
      </c>
      <c r="X2748" s="420"/>
      <c r="Y2748" s="420"/>
      <c r="Z2748" s="1"/>
      <c r="AA2748" s="1"/>
      <c r="AB2748" s="1"/>
      <c r="AC2748" s="1"/>
      <c r="AD2748" s="1"/>
    </row>
    <row r="2749" spans="17:30">
      <c r="Q2749" s="6">
        <v>2719</v>
      </c>
      <c r="R2749" s="7">
        <v>45386</v>
      </c>
      <c r="S2749" s="210">
        <v>4.5</v>
      </c>
      <c r="T2749" s="8">
        <v>1.0001249999999999</v>
      </c>
      <c r="U2749" s="98">
        <v>4.4759211441177449</v>
      </c>
      <c r="V2749" s="106">
        <v>33337.675151864823</v>
      </c>
      <c r="W2749" s="10">
        <v>1.1766983605158821</v>
      </c>
      <c r="X2749" s="420"/>
      <c r="Y2749" s="420"/>
      <c r="Z2749" s="1"/>
      <c r="AA2749" s="1"/>
      <c r="AB2749" s="1"/>
      <c r="AC2749" s="1"/>
      <c r="AD2749" s="1"/>
    </row>
    <row r="2750" spans="17:30">
      <c r="Q2750" s="6">
        <v>2720</v>
      </c>
      <c r="R2750" s="7">
        <v>45387</v>
      </c>
      <c r="S2750" s="210">
        <v>4.5</v>
      </c>
      <c r="T2750" s="8">
        <v>1.0001249999999999</v>
      </c>
      <c r="U2750" s="98">
        <v>4.4759916542294498</v>
      </c>
      <c r="V2750" s="106">
        <v>33340.54231772956</v>
      </c>
      <c r="W2750" s="10">
        <v>1.1767926122390637</v>
      </c>
      <c r="X2750" s="420"/>
      <c r="Y2750" s="420"/>
      <c r="Z2750" s="1"/>
      <c r="AA2750" s="1"/>
      <c r="AB2750" s="1"/>
      <c r="AC2750" s="1"/>
      <c r="AD2750" s="1"/>
    </row>
    <row r="2751" spans="17:30">
      <c r="Q2751" s="6">
        <v>2721</v>
      </c>
      <c r="R2751" s="7">
        <v>45388</v>
      </c>
      <c r="S2751" s="210">
        <v>4.5</v>
      </c>
      <c r="T2751" s="8">
        <v>1.0001249999999999</v>
      </c>
      <c r="U2751" s="98">
        <v>4.4760621125620847</v>
      </c>
      <c r="V2751" s="106">
        <v>33343.409730181374</v>
      </c>
      <c r="W2751" s="10">
        <v>1.1768867947727024</v>
      </c>
      <c r="X2751" s="420"/>
      <c r="Y2751" s="420"/>
      <c r="Z2751" s="1"/>
      <c r="AA2751" s="1"/>
      <c r="AB2751" s="1"/>
      <c r="AC2751" s="1"/>
      <c r="AD2751" s="1"/>
    </row>
    <row r="2752" spans="17:30">
      <c r="Q2752" s="6">
        <v>2722</v>
      </c>
      <c r="R2752" s="7">
        <v>45389</v>
      </c>
      <c r="S2752" s="210">
        <v>4.5</v>
      </c>
      <c r="T2752" s="8">
        <v>1.0001249999999999</v>
      </c>
      <c r="U2752" s="98">
        <v>4.4761325191726486</v>
      </c>
      <c r="V2752" s="106">
        <v>33346.277389241484</v>
      </c>
      <c r="W2752" s="10">
        <v>1.176980908192915</v>
      </c>
      <c r="X2752" s="420"/>
      <c r="Y2752" s="420"/>
      <c r="Z2752" s="1"/>
      <c r="AA2752" s="1"/>
      <c r="AB2752" s="1"/>
      <c r="AC2752" s="1"/>
      <c r="AD2752" s="1"/>
    </row>
    <row r="2753" spans="17:30">
      <c r="Q2753" s="6">
        <v>2723</v>
      </c>
      <c r="R2753" s="7">
        <v>45390</v>
      </c>
      <c r="S2753" s="210">
        <v>4.5</v>
      </c>
      <c r="T2753" s="8">
        <v>1.0001249999999999</v>
      </c>
      <c r="U2753" s="98">
        <v>4.4762028741180737</v>
      </c>
      <c r="V2753" s="106">
        <v>33349.145294931099</v>
      </c>
      <c r="W2753" s="10">
        <v>1.177074952575774</v>
      </c>
      <c r="X2753" s="420"/>
      <c r="Y2753" s="420"/>
      <c r="Z2753" s="1"/>
      <c r="AA2753" s="1"/>
      <c r="AB2753" s="1"/>
      <c r="AC2753" s="1"/>
      <c r="AD2753" s="1"/>
    </row>
    <row r="2754" spans="17:30">
      <c r="Q2754" s="6">
        <v>2724</v>
      </c>
      <c r="R2754" s="7">
        <v>45391</v>
      </c>
      <c r="S2754" s="210">
        <v>4.5</v>
      </c>
      <c r="T2754" s="8">
        <v>1.0001249999999999</v>
      </c>
      <c r="U2754" s="98">
        <v>4.4762731774552034</v>
      </c>
      <c r="V2754" s="106">
        <v>33352.01344727142</v>
      </c>
      <c r="W2754" s="10">
        <v>1.1771689279971964</v>
      </c>
      <c r="X2754" s="420"/>
      <c r="Y2754" s="420"/>
      <c r="Z2754" s="1"/>
      <c r="AA2754" s="1"/>
      <c r="AB2754" s="1"/>
      <c r="AC2754" s="1"/>
      <c r="AD2754" s="1"/>
    </row>
    <row r="2755" spans="17:30">
      <c r="Q2755" s="6">
        <v>2725</v>
      </c>
      <c r="R2755" s="7">
        <v>45392</v>
      </c>
      <c r="S2755" s="210">
        <v>4.5</v>
      </c>
      <c r="T2755" s="8">
        <v>1.0001249999999999</v>
      </c>
      <c r="U2755" s="98">
        <v>4.4763434292408144</v>
      </c>
      <c r="V2755" s="106">
        <v>33354.881846283672</v>
      </c>
      <c r="W2755" s="10">
        <v>1.1772628345330327</v>
      </c>
      <c r="X2755" s="420"/>
      <c r="Y2755" s="420"/>
      <c r="Z2755" s="1"/>
      <c r="AA2755" s="1"/>
      <c r="AB2755" s="1"/>
      <c r="AC2755" s="1"/>
      <c r="AD2755" s="1"/>
    </row>
    <row r="2756" spans="17:30">
      <c r="Q2756" s="6">
        <v>2726</v>
      </c>
      <c r="R2756" s="7">
        <v>45393</v>
      </c>
      <c r="S2756" s="210">
        <v>4.5</v>
      </c>
      <c r="T2756" s="8">
        <v>1.0001249999999999</v>
      </c>
      <c r="U2756" s="98">
        <v>4.4764136295315948</v>
      </c>
      <c r="V2756" s="106">
        <v>33357.750491989056</v>
      </c>
      <c r="W2756" s="10">
        <v>1.1773566722590223</v>
      </c>
      <c r="X2756" s="420"/>
      <c r="Y2756" s="420"/>
      <c r="Z2756" s="1"/>
      <c r="AA2756" s="1"/>
      <c r="AB2756" s="1"/>
      <c r="AC2756" s="1"/>
      <c r="AD2756" s="1"/>
    </row>
    <row r="2757" spans="17:30">
      <c r="Q2757" s="6">
        <v>2727</v>
      </c>
      <c r="R2757" s="7">
        <v>45394</v>
      </c>
      <c r="S2757" s="210">
        <v>4.5</v>
      </c>
      <c r="T2757" s="8">
        <v>1.0001249999999999</v>
      </c>
      <c r="U2757" s="98">
        <v>4.4764837783841216</v>
      </c>
      <c r="V2757" s="106">
        <v>33360.619384408797</v>
      </c>
      <c r="W2757" s="10">
        <v>1.1774504412507047</v>
      </c>
      <c r="X2757" s="420"/>
      <c r="Y2757" s="420"/>
      <c r="Z2757" s="1"/>
      <c r="AA2757" s="1"/>
      <c r="AB2757" s="1"/>
      <c r="AC2757" s="1"/>
      <c r="AD2757" s="1"/>
    </row>
    <row r="2758" spans="17:30">
      <c r="Q2758" s="6">
        <v>2728</v>
      </c>
      <c r="R2758" s="7">
        <v>45395</v>
      </c>
      <c r="S2758" s="210">
        <v>4.5</v>
      </c>
      <c r="T2758" s="8">
        <v>1.0001249999999999</v>
      </c>
      <c r="U2758" s="98">
        <v>4.4765538758549273</v>
      </c>
      <c r="V2758" s="106">
        <v>33363.48852356412</v>
      </c>
      <c r="W2758" s="10">
        <v>1.1775441415835974</v>
      </c>
      <c r="X2758" s="420"/>
      <c r="Y2758" s="420"/>
      <c r="Z2758" s="1"/>
      <c r="AA2758" s="1"/>
      <c r="AB2758" s="1"/>
      <c r="AC2758" s="1"/>
      <c r="AD2758" s="1"/>
    </row>
    <row r="2759" spans="17:30">
      <c r="Q2759" s="6">
        <v>2729</v>
      </c>
      <c r="R2759" s="7">
        <v>45396</v>
      </c>
      <c r="S2759" s="210">
        <v>4.5</v>
      </c>
      <c r="T2759" s="8">
        <v>1.0001249999999999</v>
      </c>
      <c r="U2759" s="98">
        <v>4.4766239220004334</v>
      </c>
      <c r="V2759" s="106">
        <v>33366.357909476224</v>
      </c>
      <c r="W2759" s="10">
        <v>1.1776377733330845</v>
      </c>
      <c r="X2759" s="420"/>
      <c r="Y2759" s="420"/>
      <c r="Z2759" s="1"/>
      <c r="AA2759" s="1"/>
      <c r="AB2759" s="1"/>
      <c r="AC2759" s="1"/>
      <c r="AD2759" s="1"/>
    </row>
    <row r="2760" spans="17:30">
      <c r="Q2760" s="6">
        <v>2730</v>
      </c>
      <c r="R2760" s="7">
        <v>45397</v>
      </c>
      <c r="S2760" s="210">
        <v>4.5</v>
      </c>
      <c r="T2760" s="8">
        <v>1.0001249999999999</v>
      </c>
      <c r="U2760" s="98">
        <v>4.4766939168769948</v>
      </c>
      <c r="V2760" s="106">
        <v>33369.227542166351</v>
      </c>
      <c r="W2760" s="10">
        <v>1.1777313365744391</v>
      </c>
      <c r="X2760" s="420"/>
      <c r="Y2760" s="420"/>
      <c r="Z2760" s="1"/>
      <c r="AA2760" s="1"/>
      <c r="AB2760" s="1"/>
      <c r="AC2760" s="1"/>
      <c r="AD2760" s="1"/>
    </row>
    <row r="2761" spans="17:30">
      <c r="Q2761" s="6">
        <v>2731</v>
      </c>
      <c r="R2761" s="7">
        <v>45398</v>
      </c>
      <c r="S2761" s="210">
        <v>4.5</v>
      </c>
      <c r="T2761" s="8">
        <v>1.0001249999999999</v>
      </c>
      <c r="U2761" s="98">
        <v>4.4767638605408777</v>
      </c>
      <c r="V2761" s="106">
        <v>33372.097421655715</v>
      </c>
      <c r="W2761" s="10">
        <v>1.1778248313828232</v>
      </c>
      <c r="X2761" s="420"/>
      <c r="Y2761" s="420"/>
      <c r="Z2761" s="1"/>
      <c r="AA2761" s="1"/>
      <c r="AB2761" s="1"/>
      <c r="AC2761" s="1"/>
      <c r="AD2761" s="1"/>
    </row>
    <row r="2762" spans="17:30">
      <c r="Q2762" s="6">
        <v>2732</v>
      </c>
      <c r="R2762" s="7">
        <v>45399</v>
      </c>
      <c r="S2762" s="210">
        <v>4.5</v>
      </c>
      <c r="T2762" s="8">
        <v>1.0001249999999999</v>
      </c>
      <c r="U2762" s="98">
        <v>4.4768337530482594</v>
      </c>
      <c r="V2762" s="106">
        <v>33374.967547965549</v>
      </c>
      <c r="W2762" s="10">
        <v>1.1779182578332881</v>
      </c>
      <c r="X2762" s="420"/>
      <c r="Y2762" s="420"/>
      <c r="Z2762" s="1"/>
      <c r="AA2762" s="1"/>
      <c r="AB2762" s="1"/>
      <c r="AC2762" s="1"/>
      <c r="AD2762" s="1"/>
    </row>
    <row r="2763" spans="17:30">
      <c r="Q2763" s="6">
        <v>2733</v>
      </c>
      <c r="R2763" s="7">
        <v>45400</v>
      </c>
      <c r="S2763" s="210">
        <v>4.5</v>
      </c>
      <c r="T2763" s="8">
        <v>1.0001249999999999</v>
      </c>
      <c r="U2763" s="98">
        <v>4.4769035944552504</v>
      </c>
      <c r="V2763" s="106">
        <v>33377.837921117076</v>
      </c>
      <c r="W2763" s="10">
        <v>1.1780116160007736</v>
      </c>
      <c r="X2763" s="420"/>
      <c r="Y2763" s="420"/>
      <c r="Z2763" s="1"/>
      <c r="AA2763" s="1"/>
      <c r="AB2763" s="1"/>
      <c r="AC2763" s="1"/>
      <c r="AD2763" s="1"/>
    </row>
    <row r="2764" spans="17:30">
      <c r="Q2764" s="6">
        <v>2734</v>
      </c>
      <c r="R2764" s="7">
        <v>45401</v>
      </c>
      <c r="S2764" s="210">
        <v>4.5</v>
      </c>
      <c r="T2764" s="8">
        <v>1.0001249999999999</v>
      </c>
      <c r="U2764" s="98">
        <v>4.4769733848178728</v>
      </c>
      <c r="V2764" s="106">
        <v>33380.70854113152</v>
      </c>
      <c r="W2764" s="10">
        <v>1.1781049059600868</v>
      </c>
      <c r="X2764" s="420"/>
      <c r="Y2764" s="420"/>
      <c r="Z2764" s="1"/>
      <c r="AA2764" s="1"/>
      <c r="AB2764" s="1"/>
      <c r="AC2764" s="1"/>
      <c r="AD2764" s="1"/>
    </row>
    <row r="2765" spans="17:30">
      <c r="Q2765" s="6">
        <v>2735</v>
      </c>
      <c r="R2765" s="7">
        <v>45402</v>
      </c>
      <c r="S2765" s="210">
        <v>4.5</v>
      </c>
      <c r="T2765" s="8">
        <v>1.0001249999999999</v>
      </c>
      <c r="U2765" s="98">
        <v>4.4770431241920594</v>
      </c>
      <c r="V2765" s="106">
        <v>33383.579408030128</v>
      </c>
      <c r="W2765" s="10">
        <v>1.1781981277859899</v>
      </c>
      <c r="X2765" s="420"/>
      <c r="Y2765" s="420"/>
      <c r="Z2765" s="1"/>
      <c r="AA2765" s="1"/>
      <c r="AB2765" s="1"/>
      <c r="AC2765" s="1"/>
      <c r="AD2765" s="1"/>
    </row>
    <row r="2766" spans="17:30">
      <c r="Q2766" s="6">
        <v>2736</v>
      </c>
      <c r="R2766" s="7">
        <v>45403</v>
      </c>
      <c r="S2766" s="210">
        <v>4.5</v>
      </c>
      <c r="T2766" s="8">
        <v>1.0001249999999999</v>
      </c>
      <c r="U2766" s="98">
        <v>4.4771128126336768</v>
      </c>
      <c r="V2766" s="106">
        <v>33386.450521834107</v>
      </c>
      <c r="W2766" s="10">
        <v>1.1782912815530899</v>
      </c>
      <c r="X2766" s="420"/>
      <c r="Y2766" s="420"/>
      <c r="Z2766" s="1"/>
      <c r="AA2766" s="1"/>
      <c r="AB2766" s="1"/>
      <c r="AC2766" s="1"/>
      <c r="AD2766" s="1"/>
    </row>
    <row r="2767" spans="17:30">
      <c r="Q2767" s="6">
        <v>2737</v>
      </c>
      <c r="R2767" s="7">
        <v>45404</v>
      </c>
      <c r="S2767" s="210">
        <v>4.5</v>
      </c>
      <c r="T2767" s="8">
        <v>1.0001249999999999</v>
      </c>
      <c r="U2767" s="98">
        <v>4.4771824501985025</v>
      </c>
      <c r="V2767" s="106">
        <v>33389.321882564727</v>
      </c>
      <c r="W2767" s="10">
        <v>1.1783843673358829</v>
      </c>
      <c r="X2767" s="420"/>
      <c r="Y2767" s="420"/>
      <c r="Z2767" s="1"/>
      <c r="AA2767" s="1"/>
      <c r="AB2767" s="1"/>
      <c r="AC2767" s="1"/>
      <c r="AD2767" s="1"/>
    </row>
    <row r="2768" spans="17:30">
      <c r="Q2768" s="6">
        <v>2738</v>
      </c>
      <c r="R2768" s="7">
        <v>45405</v>
      </c>
      <c r="S2768" s="210">
        <v>4.5</v>
      </c>
      <c r="T2768" s="8">
        <v>1.0001249999999999</v>
      </c>
      <c r="U2768" s="98">
        <v>4.4772520369422253</v>
      </c>
      <c r="V2768" s="106">
        <v>33392.193490243189</v>
      </c>
      <c r="W2768" s="10">
        <v>1.1784773852087538</v>
      </c>
      <c r="X2768" s="420"/>
      <c r="Y2768" s="420"/>
      <c r="Z2768" s="1"/>
      <c r="AA2768" s="1"/>
      <c r="AB2768" s="1"/>
      <c r="AC2768" s="1"/>
      <c r="AD2768" s="1"/>
    </row>
    <row r="2769" spans="17:30">
      <c r="Q2769" s="6">
        <v>2739</v>
      </c>
      <c r="R2769" s="7">
        <v>45406</v>
      </c>
      <c r="S2769" s="210">
        <v>4.5</v>
      </c>
      <c r="T2769" s="8">
        <v>1.0001249999999999</v>
      </c>
      <c r="U2769" s="98">
        <v>4.4773215729204452</v>
      </c>
      <c r="V2769" s="106">
        <v>33395.065344890754</v>
      </c>
      <c r="W2769" s="10">
        <v>1.1785703352459986</v>
      </c>
      <c r="X2769" s="420"/>
      <c r="Y2769" s="420"/>
      <c r="Z2769" s="1"/>
      <c r="AA2769" s="1"/>
      <c r="AB2769" s="1"/>
      <c r="AC2769" s="1"/>
      <c r="AD2769" s="1"/>
    </row>
    <row r="2770" spans="17:30">
      <c r="Q2770" s="6">
        <v>2740</v>
      </c>
      <c r="R2770" s="7">
        <v>45407</v>
      </c>
      <c r="S2770" s="210">
        <v>4.5</v>
      </c>
      <c r="T2770" s="8">
        <v>1.0001249999999999</v>
      </c>
      <c r="U2770" s="98">
        <v>4.4773910581887177</v>
      </c>
      <c r="V2770" s="106">
        <v>33397.937446528653</v>
      </c>
      <c r="W2770" s="10">
        <v>1.1786632175218026</v>
      </c>
      <c r="X2770" s="420"/>
      <c r="Y2770" s="420"/>
      <c r="Z2770" s="1"/>
      <c r="AA2770" s="1"/>
      <c r="AB2770" s="1"/>
      <c r="AC2770" s="1"/>
      <c r="AD2770" s="1"/>
    </row>
    <row r="2771" spans="17:30">
      <c r="Q2771" s="6">
        <v>2741</v>
      </c>
      <c r="R2771" s="7">
        <v>45408</v>
      </c>
      <c r="S2771" s="210">
        <v>4.5</v>
      </c>
      <c r="T2771" s="8">
        <v>1.0001249999999999</v>
      </c>
      <c r="U2771" s="98">
        <v>4.4774604928024653</v>
      </c>
      <c r="V2771" s="106">
        <v>33400.809795178138</v>
      </c>
      <c r="W2771" s="10">
        <v>1.1787560321102175</v>
      </c>
      <c r="X2771" s="420"/>
      <c r="Y2771" s="420"/>
      <c r="Z2771" s="1"/>
      <c r="AA2771" s="1"/>
      <c r="AB2771" s="1"/>
      <c r="AC2771" s="1"/>
      <c r="AD2771" s="1"/>
    </row>
    <row r="2772" spans="17:30">
      <c r="Q2772" s="6">
        <v>2742</v>
      </c>
      <c r="R2772" s="7">
        <v>45409</v>
      </c>
      <c r="S2772" s="210">
        <v>4.5</v>
      </c>
      <c r="T2772" s="8">
        <v>1.0001249999999999</v>
      </c>
      <c r="U2772" s="98">
        <v>4.4775298768170879</v>
      </c>
      <c r="V2772" s="106">
        <v>33403.682390860442</v>
      </c>
      <c r="W2772" s="10">
        <v>1.1788487790852509</v>
      </c>
      <c r="X2772" s="420"/>
      <c r="Y2772" s="420"/>
      <c r="Z2772" s="1"/>
      <c r="AA2772" s="1"/>
      <c r="AB2772" s="1"/>
      <c r="AC2772" s="1"/>
      <c r="AD2772" s="1"/>
    </row>
    <row r="2773" spans="17:30">
      <c r="Q2773" s="6">
        <v>2743</v>
      </c>
      <c r="R2773" s="7">
        <v>45410</v>
      </c>
      <c r="S2773" s="210">
        <v>4.5</v>
      </c>
      <c r="T2773" s="8">
        <v>1.0001249999999999</v>
      </c>
      <c r="U2773" s="98">
        <v>4.4775992102878526</v>
      </c>
      <c r="V2773" s="106">
        <v>33406.555233596817</v>
      </c>
      <c r="W2773" s="10">
        <v>1.1789414585206881</v>
      </c>
      <c r="X2773" s="420"/>
      <c r="Y2773" s="420"/>
      <c r="Z2773" s="1"/>
      <c r="AA2773" s="1"/>
      <c r="AB2773" s="1"/>
      <c r="AC2773" s="1"/>
      <c r="AD2773" s="1"/>
    </row>
    <row r="2774" spans="17:30">
      <c r="Q2774" s="6">
        <v>2744</v>
      </c>
      <c r="R2774" s="7">
        <v>45411</v>
      </c>
      <c r="S2774" s="210">
        <v>4.5</v>
      </c>
      <c r="T2774" s="8">
        <v>1.0001249999999999</v>
      </c>
      <c r="U2774" s="98">
        <v>4.4776684932699817</v>
      </c>
      <c r="V2774" s="106">
        <v>33409.428323408494</v>
      </c>
      <c r="W2774" s="10">
        <v>1.179034070490359</v>
      </c>
      <c r="X2774" s="420"/>
      <c r="Y2774" s="420"/>
      <c r="Z2774" s="1"/>
      <c r="AA2774" s="1"/>
      <c r="AB2774" s="1"/>
      <c r="AC2774" s="1"/>
      <c r="AD2774" s="1"/>
    </row>
    <row r="2775" spans="17:30">
      <c r="Q2775" s="6">
        <v>2745</v>
      </c>
      <c r="R2775" s="7">
        <v>45412</v>
      </c>
      <c r="S2775" s="210">
        <v>4.5</v>
      </c>
      <c r="T2775" s="8">
        <v>1.0001249999999999</v>
      </c>
      <c r="U2775" s="98">
        <v>4.4777377258186091</v>
      </c>
      <c r="V2775" s="106">
        <v>33412.301660316756</v>
      </c>
      <c r="W2775" s="10">
        <v>1.179126615067827</v>
      </c>
      <c r="X2775" s="420"/>
      <c r="Y2775" s="420"/>
      <c r="Z2775" s="1"/>
      <c r="AA2775" s="1"/>
      <c r="AB2775" s="1"/>
      <c r="AC2775" s="1"/>
      <c r="AD2775" s="1"/>
    </row>
    <row r="2776" spans="17:30">
      <c r="Q2776" s="6">
        <v>2746</v>
      </c>
      <c r="R2776" s="7">
        <v>45413</v>
      </c>
      <c r="S2776" s="210">
        <v>4.5</v>
      </c>
      <c r="T2776" s="8">
        <v>1.0001249999999999</v>
      </c>
      <c r="U2776" s="98">
        <v>4.4778069079887795</v>
      </c>
      <c r="V2776" s="106">
        <v>33415.175244342827</v>
      </c>
      <c r="W2776" s="10">
        <v>1.1792190923266999</v>
      </c>
      <c r="X2776" s="420"/>
      <c r="Y2776" s="420"/>
      <c r="Z2776" s="1"/>
      <c r="AA2776" s="1"/>
      <c r="AB2776" s="1"/>
      <c r="AC2776" s="1"/>
      <c r="AD2776" s="1"/>
    </row>
    <row r="2777" spans="17:30">
      <c r="Q2777" s="6">
        <v>2747</v>
      </c>
      <c r="R2777" s="7">
        <v>45414</v>
      </c>
      <c r="S2777" s="210">
        <v>4.5</v>
      </c>
      <c r="T2777" s="8">
        <v>1.0001249999999999</v>
      </c>
      <c r="U2777" s="98">
        <v>4.4778760398354489</v>
      </c>
      <c r="V2777" s="106">
        <v>33418.049075507959</v>
      </c>
      <c r="W2777" s="10">
        <v>1.1793115023403411</v>
      </c>
      <c r="X2777" s="420"/>
      <c r="Y2777" s="420"/>
      <c r="Z2777" s="1"/>
      <c r="AA2777" s="1"/>
      <c r="AB2777" s="1"/>
      <c r="AC2777" s="1"/>
      <c r="AD2777" s="1"/>
    </row>
    <row r="2778" spans="17:30">
      <c r="Q2778" s="6">
        <v>2748</v>
      </c>
      <c r="R2778" s="7">
        <v>45415</v>
      </c>
      <c r="S2778" s="210">
        <v>4.5</v>
      </c>
      <c r="T2778" s="8">
        <v>1.0001249999999999</v>
      </c>
      <c r="U2778" s="98">
        <v>4.4779451214135069</v>
      </c>
      <c r="V2778" s="106">
        <v>33420.923153833428</v>
      </c>
      <c r="W2778" s="10">
        <v>1.1794038451820921</v>
      </c>
      <c r="X2778" s="420"/>
      <c r="Y2778" s="420"/>
      <c r="Z2778" s="1"/>
      <c r="AA2778" s="1"/>
      <c r="AB2778" s="1"/>
      <c r="AC2778" s="1"/>
      <c r="AD2778" s="1"/>
    </row>
    <row r="2779" spans="17:30">
      <c r="Q2779" s="6">
        <v>2749</v>
      </c>
      <c r="R2779" s="7">
        <v>45416</v>
      </c>
      <c r="S2779" s="210">
        <v>4.5</v>
      </c>
      <c r="T2779" s="8">
        <v>1.0001249999999999</v>
      </c>
      <c r="U2779" s="98">
        <v>4.4780141527777761</v>
      </c>
      <c r="V2779" s="106">
        <v>33423.797479340479</v>
      </c>
      <c r="W2779" s="10">
        <v>1.1794961209251831</v>
      </c>
      <c r="X2779" s="420"/>
      <c r="Y2779" s="420"/>
      <c r="Z2779" s="1"/>
      <c r="AA2779" s="1"/>
      <c r="AB2779" s="1"/>
      <c r="AC2779" s="1"/>
      <c r="AD2779" s="1"/>
    </row>
    <row r="2780" spans="17:30">
      <c r="Q2780" s="6">
        <v>2750</v>
      </c>
      <c r="R2780" s="7">
        <v>45417</v>
      </c>
      <c r="S2780" s="210">
        <v>4.5</v>
      </c>
      <c r="T2780" s="8">
        <v>1.0001249999999999</v>
      </c>
      <c r="U2780" s="98">
        <v>4.4780831339829685</v>
      </c>
      <c r="V2780" s="106">
        <v>33426.672052050359</v>
      </c>
      <c r="W2780" s="10">
        <v>1.179588329642689</v>
      </c>
      <c r="X2780" s="420"/>
      <c r="Y2780" s="420"/>
      <c r="Z2780" s="1"/>
      <c r="AA2780" s="1"/>
      <c r="AB2780" s="1"/>
      <c r="AC2780" s="1"/>
      <c r="AD2780" s="1"/>
    </row>
    <row r="2781" spans="17:30">
      <c r="Q2781" s="6">
        <v>2751</v>
      </c>
      <c r="R2781" s="7">
        <v>45418</v>
      </c>
      <c r="S2781" s="210">
        <v>4.5</v>
      </c>
      <c r="T2781" s="8">
        <v>1.0001249999999999</v>
      </c>
      <c r="U2781" s="98">
        <v>4.4781520650837514</v>
      </c>
      <c r="V2781" s="106">
        <v>33429.546871984348</v>
      </c>
      <c r="W2781" s="10">
        <v>1.1796804714076403</v>
      </c>
      <c r="X2781" s="420"/>
      <c r="Y2781" s="420"/>
      <c r="Z2781" s="1"/>
      <c r="AA2781" s="1"/>
      <c r="AB2781" s="1"/>
      <c r="AC2781" s="1"/>
      <c r="AD2781" s="1"/>
    </row>
    <row r="2782" spans="17:30">
      <c r="Q2782" s="6">
        <v>2752</v>
      </c>
      <c r="R2782" s="7">
        <v>45419</v>
      </c>
      <c r="S2782" s="210">
        <v>4.5</v>
      </c>
      <c r="T2782" s="8">
        <v>1.0001249999999999</v>
      </c>
      <c r="U2782" s="98">
        <v>4.4782209461346811</v>
      </c>
      <c r="V2782" s="106">
        <v>33432.421939163694</v>
      </c>
      <c r="W2782" s="10">
        <v>1.1797725462929121</v>
      </c>
      <c r="X2782" s="420"/>
      <c r="Y2782" s="420"/>
      <c r="Z2782" s="1"/>
      <c r="AA2782" s="1"/>
      <c r="AB2782" s="1"/>
      <c r="AC2782" s="1"/>
      <c r="AD2782" s="1"/>
    </row>
    <row r="2783" spans="17:30">
      <c r="Q2783" s="6">
        <v>2753</v>
      </c>
      <c r="R2783" s="7">
        <v>45420</v>
      </c>
      <c r="S2783" s="210">
        <v>4.5</v>
      </c>
      <c r="T2783" s="8">
        <v>1.0001249999999999</v>
      </c>
      <c r="U2783" s="98">
        <v>4.4782897771902475</v>
      </c>
      <c r="V2783" s="106">
        <v>33435.297253609671</v>
      </c>
      <c r="W2783" s="10">
        <v>1.1798645543712905</v>
      </c>
      <c r="X2783" s="420"/>
      <c r="Y2783" s="420"/>
      <c r="Z2783" s="1"/>
      <c r="AA2783" s="1"/>
      <c r="AB2783" s="1"/>
      <c r="AC2783" s="1"/>
      <c r="AD2783" s="1"/>
    </row>
    <row r="2784" spans="17:30">
      <c r="Q2784" s="6">
        <v>2754</v>
      </c>
      <c r="R2784" s="7">
        <v>45421</v>
      </c>
      <c r="S2784" s="210">
        <v>4.5</v>
      </c>
      <c r="T2784" s="8">
        <v>1.0001249999999999</v>
      </c>
      <c r="U2784" s="98">
        <v>4.4783585583048735</v>
      </c>
      <c r="V2784" s="106">
        <v>33438.17281534354</v>
      </c>
      <c r="W2784" s="10">
        <v>1.1799564957154951</v>
      </c>
      <c r="X2784" s="420"/>
      <c r="Y2784" s="420"/>
      <c r="Z2784" s="1"/>
      <c r="AA2784" s="1"/>
      <c r="AB2784" s="1"/>
      <c r="AC2784" s="1"/>
      <c r="AD2784" s="1"/>
    </row>
    <row r="2785" spans="17:30">
      <c r="Q2785" s="6">
        <v>2755</v>
      </c>
      <c r="R2785" s="7">
        <v>45422</v>
      </c>
      <c r="S2785" s="210">
        <v>4.5</v>
      </c>
      <c r="T2785" s="8">
        <v>1.0001249999999999</v>
      </c>
      <c r="U2785" s="98">
        <v>4.4784272895328936</v>
      </c>
      <c r="V2785" s="106">
        <v>33441.048624386567</v>
      </c>
      <c r="W2785" s="10">
        <v>1.180048370398068</v>
      </c>
      <c r="X2785" s="420"/>
      <c r="Y2785" s="420"/>
      <c r="Z2785" s="1"/>
      <c r="AA2785" s="1"/>
      <c r="AB2785" s="1"/>
      <c r="AC2785" s="1"/>
      <c r="AD2785" s="1"/>
    </row>
    <row r="2786" spans="17:30">
      <c r="Q2786" s="6">
        <v>2756</v>
      </c>
      <c r="R2786" s="7">
        <v>45423</v>
      </c>
      <c r="S2786" s="210">
        <v>4.5</v>
      </c>
      <c r="T2786" s="8">
        <v>1.0001249999999999</v>
      </c>
      <c r="U2786" s="98">
        <v>4.4784959709285532</v>
      </c>
      <c r="V2786" s="106">
        <v>33443.924680760028</v>
      </c>
      <c r="W2786" s="10">
        <v>1.1801401784914844</v>
      </c>
      <c r="X2786" s="420"/>
      <c r="Y2786" s="420"/>
      <c r="Z2786" s="1"/>
      <c r="AA2786" s="1"/>
      <c r="AB2786" s="1"/>
      <c r="AC2786" s="1"/>
      <c r="AD2786" s="1"/>
    </row>
    <row r="2787" spans="17:30">
      <c r="Q2787" s="6">
        <v>2757</v>
      </c>
      <c r="R2787" s="7">
        <v>45424</v>
      </c>
      <c r="S2787" s="210">
        <v>4.5</v>
      </c>
      <c r="T2787" s="8">
        <v>1.0001249999999999</v>
      </c>
      <c r="U2787" s="98">
        <v>4.4785646025460313</v>
      </c>
      <c r="V2787" s="106">
        <v>33446.800984485191</v>
      </c>
      <c r="W2787" s="10">
        <v>1.1802319200681088</v>
      </c>
      <c r="X2787" s="420"/>
      <c r="Y2787" s="420"/>
      <c r="Z2787" s="1"/>
      <c r="AA2787" s="1"/>
      <c r="AB2787" s="1"/>
      <c r="AC2787" s="1"/>
      <c r="AD2787" s="1"/>
    </row>
    <row r="2788" spans="17:30">
      <c r="Q2788" s="6">
        <v>2758</v>
      </c>
      <c r="R2788" s="7">
        <v>45425</v>
      </c>
      <c r="S2788" s="210">
        <v>4.5</v>
      </c>
      <c r="T2788" s="8">
        <v>1.0001249999999999</v>
      </c>
      <c r="U2788" s="98">
        <v>4.4786331844394178</v>
      </c>
      <c r="V2788" s="106">
        <v>33449.677535583323</v>
      </c>
      <c r="W2788" s="10">
        <v>1.1803235952002389</v>
      </c>
      <c r="X2788" s="420"/>
      <c r="Y2788" s="420"/>
      <c r="Z2788" s="1"/>
      <c r="AA2788" s="1"/>
      <c r="AB2788" s="1"/>
      <c r="AC2788" s="1"/>
      <c r="AD2788" s="1"/>
    </row>
    <row r="2789" spans="17:30">
      <c r="Q2789" s="6">
        <v>2759</v>
      </c>
      <c r="R2789" s="7">
        <v>45426</v>
      </c>
      <c r="S2789" s="210">
        <v>4.5</v>
      </c>
      <c r="T2789" s="8">
        <v>1.0001249999999999</v>
      </c>
      <c r="U2789" s="98">
        <v>4.4787017166627363</v>
      </c>
      <c r="V2789" s="106">
        <v>33452.554334075707</v>
      </c>
      <c r="W2789" s="10">
        <v>1.1804152039599947</v>
      </c>
      <c r="X2789" s="420"/>
      <c r="Y2789" s="420"/>
      <c r="Z2789" s="1"/>
      <c r="AA2789" s="1"/>
      <c r="AB2789" s="1"/>
      <c r="AC2789" s="1"/>
      <c r="AD2789" s="1"/>
    </row>
    <row r="2790" spans="17:30">
      <c r="Q2790" s="6">
        <v>2760</v>
      </c>
      <c r="R2790" s="7">
        <v>45427</v>
      </c>
      <c r="S2790" s="210">
        <v>4.5</v>
      </c>
      <c r="T2790" s="8">
        <v>1.0001249999999999</v>
      </c>
      <c r="U2790" s="98">
        <v>4.4787701992699214</v>
      </c>
      <c r="V2790" s="106">
        <v>33455.431379983616</v>
      </c>
      <c r="W2790" s="10">
        <v>1.1805067464194297</v>
      </c>
      <c r="X2790" s="420"/>
      <c r="Y2790" s="420"/>
      <c r="Z2790" s="1"/>
      <c r="AA2790" s="1"/>
      <c r="AB2790" s="1"/>
      <c r="AC2790" s="1"/>
      <c r="AD2790" s="1"/>
    </row>
    <row r="2791" spans="17:30">
      <c r="Q2791" s="6">
        <v>2761</v>
      </c>
      <c r="R2791" s="7">
        <v>45428</v>
      </c>
      <c r="S2791" s="210">
        <v>4.5</v>
      </c>
      <c r="T2791" s="8">
        <v>1.0001249999999999</v>
      </c>
      <c r="U2791" s="98">
        <v>4.4788386323148632</v>
      </c>
      <c r="V2791" s="106">
        <v>33458.308673328327</v>
      </c>
      <c r="W2791" s="10">
        <v>1.1805982226505529</v>
      </c>
      <c r="X2791" s="420"/>
      <c r="Y2791" s="420"/>
      <c r="Z2791" s="1"/>
      <c r="AA2791" s="1"/>
      <c r="AB2791" s="1"/>
      <c r="AC2791" s="1"/>
      <c r="AD2791" s="1"/>
    </row>
    <row r="2792" spans="17:30">
      <c r="Q2792" s="6">
        <v>2762</v>
      </c>
      <c r="R2792" s="7">
        <v>45429</v>
      </c>
      <c r="S2792" s="210">
        <v>4.5</v>
      </c>
      <c r="T2792" s="8">
        <v>1.0001249999999999</v>
      </c>
      <c r="U2792" s="98">
        <v>4.4789070158513189</v>
      </c>
      <c r="V2792" s="106">
        <v>33461.186214131129</v>
      </c>
      <c r="W2792" s="10">
        <v>1.1806896327251293</v>
      </c>
      <c r="X2792" s="420"/>
      <c r="Y2792" s="420"/>
      <c r="Z2792" s="1"/>
      <c r="AA2792" s="1"/>
      <c r="AB2792" s="1"/>
      <c r="AC2792" s="1"/>
      <c r="AD2792" s="1"/>
    </row>
    <row r="2793" spans="17:30">
      <c r="Q2793" s="6">
        <v>2763</v>
      </c>
      <c r="R2793" s="7">
        <v>45430</v>
      </c>
      <c r="S2793" s="210">
        <v>4.5</v>
      </c>
      <c r="T2793" s="8">
        <v>1.0001249999999999</v>
      </c>
      <c r="U2793" s="98">
        <v>4.4789753499330009</v>
      </c>
      <c r="V2793" s="106">
        <v>33464.064002413295</v>
      </c>
      <c r="W2793" s="10">
        <v>1.1807809767149458</v>
      </c>
      <c r="X2793" s="420"/>
      <c r="Y2793" s="420"/>
      <c r="Z2793" s="1"/>
      <c r="AA2793" s="1"/>
      <c r="AB2793" s="1"/>
      <c r="AC2793" s="1"/>
      <c r="AD2793" s="1"/>
    </row>
    <row r="2794" spans="17:30">
      <c r="Q2794" s="6">
        <v>2764</v>
      </c>
      <c r="R2794" s="7">
        <v>45431</v>
      </c>
      <c r="S2794" s="210">
        <v>4.5</v>
      </c>
      <c r="T2794" s="8">
        <v>1.0001249999999999</v>
      </c>
      <c r="U2794" s="98">
        <v>4.4790436346135332</v>
      </c>
      <c r="V2794" s="106">
        <v>33466.942038196117</v>
      </c>
      <c r="W2794" s="10">
        <v>1.1808722546916339</v>
      </c>
      <c r="X2794" s="420"/>
      <c r="Y2794" s="420"/>
      <c r="Z2794" s="1"/>
      <c r="AA2794" s="1"/>
      <c r="AB2794" s="1"/>
      <c r="AC2794" s="1"/>
      <c r="AD2794" s="1"/>
    </row>
    <row r="2795" spans="17:30">
      <c r="Q2795" s="6">
        <v>2765</v>
      </c>
      <c r="R2795" s="7">
        <v>45432</v>
      </c>
      <c r="S2795" s="210">
        <v>4.5</v>
      </c>
      <c r="T2795" s="8">
        <v>1.0001249999999999</v>
      </c>
      <c r="U2795" s="98">
        <v>4.4791118699464727</v>
      </c>
      <c r="V2795" s="106">
        <v>33469.820321500869</v>
      </c>
      <c r="W2795" s="10">
        <v>1.1809634667267144</v>
      </c>
      <c r="X2795" s="420"/>
      <c r="Y2795" s="420"/>
      <c r="Z2795" s="1"/>
      <c r="AA2795" s="1"/>
      <c r="AB2795" s="1"/>
      <c r="AC2795" s="1"/>
      <c r="AD2795" s="1"/>
    </row>
    <row r="2796" spans="17:30">
      <c r="Q2796" s="6">
        <v>2766</v>
      </c>
      <c r="R2796" s="7">
        <v>45433</v>
      </c>
      <c r="S2796" s="210">
        <v>4.5</v>
      </c>
      <c r="T2796" s="8">
        <v>1.0001249999999999</v>
      </c>
      <c r="U2796" s="98">
        <v>4.4791800559852879</v>
      </c>
      <c r="V2796" s="106">
        <v>33472.698852348854</v>
      </c>
      <c r="W2796" s="10">
        <v>1.1810546128916188</v>
      </c>
      <c r="X2796" s="420"/>
      <c r="Y2796" s="420"/>
      <c r="Z2796" s="1"/>
      <c r="AA2796" s="1"/>
      <c r="AB2796" s="1"/>
      <c r="AC2796" s="1"/>
      <c r="AD2796" s="1"/>
    </row>
    <row r="2797" spans="17:30">
      <c r="Q2797" s="6">
        <v>2767</v>
      </c>
      <c r="R2797" s="7">
        <v>45434</v>
      </c>
      <c r="S2797" s="210">
        <v>4.5</v>
      </c>
      <c r="T2797" s="8">
        <v>1.0001249999999999</v>
      </c>
      <c r="U2797" s="98">
        <v>4.4792481927833805</v>
      </c>
      <c r="V2797" s="106">
        <v>33475.577630761349</v>
      </c>
      <c r="W2797" s="10">
        <v>1.1811456932576903</v>
      </c>
      <c r="X2797" s="420"/>
      <c r="Y2797" s="420"/>
      <c r="Z2797" s="1"/>
      <c r="AA2797" s="1"/>
      <c r="AB2797" s="1"/>
      <c r="AC2797" s="1"/>
      <c r="AD2797" s="1"/>
    </row>
    <row r="2798" spans="17:30">
      <c r="Q2798" s="6">
        <v>2768</v>
      </c>
      <c r="R2798" s="7">
        <v>45435</v>
      </c>
      <c r="S2798" s="210">
        <v>4.5</v>
      </c>
      <c r="T2798" s="8">
        <v>1.0001249999999999</v>
      </c>
      <c r="U2798" s="98">
        <v>4.4793162803940856</v>
      </c>
      <c r="V2798" s="106">
        <v>33478.456656759656</v>
      </c>
      <c r="W2798" s="10">
        <v>1.1812367078961605</v>
      </c>
      <c r="X2798" s="420"/>
      <c r="Y2798" s="420"/>
      <c r="Z2798" s="1"/>
      <c r="AA2798" s="1"/>
      <c r="AB2798" s="1"/>
      <c r="AC2798" s="1"/>
      <c r="AD2798" s="1"/>
    </row>
    <row r="2799" spans="17:30">
      <c r="Q2799" s="6">
        <v>2769</v>
      </c>
      <c r="R2799" s="7">
        <v>45436</v>
      </c>
      <c r="S2799" s="210">
        <v>4.5</v>
      </c>
      <c r="T2799" s="8">
        <v>1.0001249999999999</v>
      </c>
      <c r="U2799" s="98">
        <v>4.4793843188706273</v>
      </c>
      <c r="V2799" s="106">
        <v>33481.335930365058</v>
      </c>
      <c r="W2799" s="10">
        <v>1.1813276568781506</v>
      </c>
      <c r="X2799" s="420"/>
      <c r="Y2799" s="420"/>
      <c r="Z2799" s="1"/>
      <c r="AA2799" s="1"/>
      <c r="AB2799" s="1"/>
      <c r="AC2799" s="1"/>
      <c r="AD2799" s="1"/>
    </row>
    <row r="2800" spans="17:30">
      <c r="Q2800" s="6">
        <v>2770</v>
      </c>
      <c r="R2800" s="7">
        <v>45437</v>
      </c>
      <c r="S2800" s="210">
        <v>4.5</v>
      </c>
      <c r="T2800" s="8">
        <v>1.0001249999999999</v>
      </c>
      <c r="U2800" s="98">
        <v>4.479452308266163</v>
      </c>
      <c r="V2800" s="106">
        <v>33484.215451598859</v>
      </c>
      <c r="W2800" s="10">
        <v>1.181418540274648</v>
      </c>
      <c r="X2800" s="420"/>
      <c r="Y2800" s="420"/>
      <c r="Z2800" s="1"/>
      <c r="AA2800" s="1"/>
      <c r="AB2800" s="1"/>
      <c r="AC2800" s="1"/>
      <c r="AD2800" s="1"/>
    </row>
    <row r="2801" spans="17:30">
      <c r="Q2801" s="6">
        <v>2771</v>
      </c>
      <c r="R2801" s="7">
        <v>45438</v>
      </c>
      <c r="S2801" s="210">
        <v>4.5</v>
      </c>
      <c r="T2801" s="8">
        <v>1.0001249999999999</v>
      </c>
      <c r="U2801" s="98">
        <v>4.4795202486338059</v>
      </c>
      <c r="V2801" s="106">
        <v>33487.095220482348</v>
      </c>
      <c r="W2801" s="10">
        <v>1.1815093581565961</v>
      </c>
      <c r="X2801" s="420"/>
      <c r="Y2801" s="420"/>
      <c r="Z2801" s="1"/>
      <c r="AA2801" s="1"/>
      <c r="AB2801" s="1"/>
      <c r="AC2801" s="1"/>
      <c r="AD2801" s="1"/>
    </row>
    <row r="2802" spans="17:30">
      <c r="Q2802" s="6">
        <v>2772</v>
      </c>
      <c r="R2802" s="7">
        <v>45439</v>
      </c>
      <c r="S2802" s="210">
        <v>4.5</v>
      </c>
      <c r="T2802" s="8">
        <v>1.0001249999999999</v>
      </c>
      <c r="U2802" s="98">
        <v>4.479588140026558</v>
      </c>
      <c r="V2802" s="106">
        <v>33489.97523703683</v>
      </c>
      <c r="W2802" s="10">
        <v>1.1816001105948049</v>
      </c>
      <c r="X2802" s="420"/>
      <c r="Y2802" s="420"/>
      <c r="Z2802" s="1"/>
      <c r="AA2802" s="1"/>
      <c r="AB2802" s="1"/>
      <c r="AC2802" s="1"/>
      <c r="AD2802" s="1"/>
    </row>
    <row r="2803" spans="17:30">
      <c r="Q2803" s="6">
        <v>2773</v>
      </c>
      <c r="R2803" s="7">
        <v>45440</v>
      </c>
      <c r="S2803" s="210">
        <v>4.5</v>
      </c>
      <c r="T2803" s="8">
        <v>1.0001249999999999</v>
      </c>
      <c r="U2803" s="98">
        <v>4.4796559824973547</v>
      </c>
      <c r="V2803" s="106">
        <v>33492.855501283608</v>
      </c>
      <c r="W2803" s="10">
        <v>1.1816907976599955</v>
      </c>
      <c r="X2803" s="420"/>
      <c r="Y2803" s="420"/>
      <c r="Z2803" s="1"/>
      <c r="AA2803" s="1"/>
      <c r="AB2803" s="1"/>
      <c r="AC2803" s="1"/>
      <c r="AD2803" s="1"/>
    </row>
    <row r="2804" spans="17:30">
      <c r="Q2804" s="6">
        <v>2774</v>
      </c>
      <c r="R2804" s="7">
        <v>45441</v>
      </c>
      <c r="S2804" s="210">
        <v>4.5</v>
      </c>
      <c r="T2804" s="8">
        <v>1.0001249999999999</v>
      </c>
      <c r="U2804" s="98">
        <v>4.4797237760990427</v>
      </c>
      <c r="V2804" s="106">
        <v>33495.736013243972</v>
      </c>
      <c r="W2804" s="10">
        <v>1.1817814194227561</v>
      </c>
      <c r="X2804" s="420"/>
      <c r="Y2804" s="420"/>
      <c r="Z2804" s="1"/>
      <c r="AA2804" s="1"/>
      <c r="AB2804" s="1"/>
      <c r="AC2804" s="1"/>
      <c r="AD2804" s="1"/>
    </row>
    <row r="2805" spans="17:30">
      <c r="Q2805" s="6">
        <v>2775</v>
      </c>
      <c r="R2805" s="7">
        <v>45442</v>
      </c>
      <c r="S2805" s="210">
        <v>4.5</v>
      </c>
      <c r="T2805" s="8">
        <v>1.0001249999999999</v>
      </c>
      <c r="U2805" s="98">
        <v>4.4797915208844241</v>
      </c>
      <c r="V2805" s="106">
        <v>33498.61677293924</v>
      </c>
      <c r="W2805" s="10">
        <v>1.1818719759536078</v>
      </c>
      <c r="X2805" s="420"/>
      <c r="Y2805" s="420"/>
      <c r="Z2805" s="1"/>
      <c r="AA2805" s="1"/>
      <c r="AB2805" s="1"/>
      <c r="AC2805" s="1"/>
      <c r="AD2805" s="1"/>
    </row>
    <row r="2806" spans="17:30">
      <c r="Q2806" s="6">
        <v>2776</v>
      </c>
      <c r="R2806" s="7">
        <v>45443</v>
      </c>
      <c r="S2806" s="210">
        <v>4.5</v>
      </c>
      <c r="T2806" s="8">
        <v>1.0001249999999999</v>
      </c>
      <c r="U2806" s="98">
        <v>4.4798592169061902</v>
      </c>
      <c r="V2806" s="106">
        <v>33501.49778039071</v>
      </c>
      <c r="W2806" s="10">
        <v>1.1819624673229612</v>
      </c>
      <c r="X2806" s="420"/>
      <c r="Y2806" s="420"/>
      <c r="Z2806" s="1"/>
      <c r="AA2806" s="1"/>
      <c r="AB2806" s="1"/>
      <c r="AC2806" s="1"/>
      <c r="AD2806" s="1"/>
    </row>
    <row r="2807" spans="17:30">
      <c r="Q2807" s="6">
        <v>2777</v>
      </c>
      <c r="R2807" s="7">
        <v>45444</v>
      </c>
      <c r="S2807" s="210">
        <v>4.5</v>
      </c>
      <c r="T2807" s="8">
        <v>1.0001249999999999</v>
      </c>
      <c r="U2807" s="98">
        <v>4.4799268642169876</v>
      </c>
      <c r="V2807" s="106">
        <v>33504.379035619691</v>
      </c>
      <c r="W2807" s="10">
        <v>1.1820528936011376</v>
      </c>
      <c r="X2807" s="420"/>
      <c r="Y2807" s="420"/>
      <c r="Z2807" s="1"/>
      <c r="AA2807" s="1"/>
      <c r="AB2807" s="1"/>
      <c r="AC2807" s="1"/>
      <c r="AD2807" s="1"/>
    </row>
    <row r="2808" spans="17:30">
      <c r="Q2808" s="6">
        <v>2778</v>
      </c>
      <c r="R2808" s="7">
        <v>45445</v>
      </c>
      <c r="S2808" s="210">
        <v>4.5</v>
      </c>
      <c r="T2808" s="8">
        <v>1.0001249999999999</v>
      </c>
      <c r="U2808" s="98">
        <v>4.4799944628693744</v>
      </c>
      <c r="V2808" s="106">
        <v>33507.260538647497</v>
      </c>
      <c r="W2808" s="10">
        <v>1.1821432548583033</v>
      </c>
      <c r="X2808" s="420"/>
      <c r="Y2808" s="420"/>
      <c r="Z2808" s="1"/>
      <c r="AA2808" s="1"/>
      <c r="AB2808" s="1"/>
      <c r="AC2808" s="1"/>
      <c r="AD2808" s="1"/>
    </row>
    <row r="2809" spans="17:30">
      <c r="Q2809" s="6">
        <v>2779</v>
      </c>
      <c r="R2809" s="7">
        <v>45446</v>
      </c>
      <c r="S2809" s="210">
        <v>4.5</v>
      </c>
      <c r="T2809" s="8">
        <v>1.0001249999999999</v>
      </c>
      <c r="U2809" s="98">
        <v>4.4800620129158197</v>
      </c>
      <c r="V2809" s="106">
        <v>33510.142289495438</v>
      </c>
      <c r="W2809" s="10">
        <v>1.182233551164602</v>
      </c>
      <c r="X2809" s="420"/>
      <c r="Y2809" s="420"/>
      <c r="Z2809" s="1"/>
      <c r="AA2809" s="1"/>
      <c r="AB2809" s="1"/>
      <c r="AC2809" s="1"/>
      <c r="AD2809" s="1"/>
    </row>
    <row r="2810" spans="17:30">
      <c r="Q2810" s="6">
        <v>2780</v>
      </c>
      <c r="R2810" s="7">
        <v>45447</v>
      </c>
      <c r="S2810" s="210">
        <v>4.5</v>
      </c>
      <c r="T2810" s="8">
        <v>1.0001249999999999</v>
      </c>
      <c r="U2810" s="98">
        <v>4.4801295144087483</v>
      </c>
      <c r="V2810" s="106">
        <v>33513.024288184832</v>
      </c>
      <c r="W2810" s="10">
        <v>1.1823237825900224</v>
      </c>
      <c r="X2810" s="420"/>
      <c r="Y2810" s="420"/>
      <c r="Z2810" s="1"/>
      <c r="AA2810" s="1"/>
      <c r="AB2810" s="1"/>
      <c r="AC2810" s="1"/>
      <c r="AD2810" s="1"/>
    </row>
    <row r="2811" spans="17:30">
      <c r="Q2811" s="6">
        <v>2781</v>
      </c>
      <c r="R2811" s="7">
        <v>45448</v>
      </c>
      <c r="S2811" s="210">
        <v>4.5</v>
      </c>
      <c r="T2811" s="8">
        <v>1.0001249999999999</v>
      </c>
      <c r="U2811" s="98">
        <v>4.4801969674004738</v>
      </c>
      <c r="V2811" s="106">
        <v>33515.906534736976</v>
      </c>
      <c r="W2811" s="10">
        <v>1.1824139492044861</v>
      </c>
      <c r="X2811" s="420"/>
      <c r="Y2811" s="420"/>
      <c r="Z2811" s="1"/>
      <c r="AA2811" s="1"/>
      <c r="AB2811" s="1"/>
      <c r="AC2811" s="1"/>
      <c r="AD2811" s="1"/>
    </row>
    <row r="2812" spans="17:30">
      <c r="Q2812" s="6">
        <v>2782</v>
      </c>
      <c r="R2812" s="7">
        <v>45449</v>
      </c>
      <c r="S2812" s="210">
        <v>4.5</v>
      </c>
      <c r="T2812" s="8">
        <v>1.0001249999999999</v>
      </c>
      <c r="U2812" s="98">
        <v>4.4802643719432655</v>
      </c>
      <c r="V2812" s="106">
        <v>33518.789029173204</v>
      </c>
      <c r="W2812" s="10">
        <v>1.1825040510777818</v>
      </c>
      <c r="X2812" s="420"/>
      <c r="Y2812" s="420"/>
      <c r="Z2812" s="1"/>
      <c r="AA2812" s="1"/>
      <c r="AB2812" s="1"/>
      <c r="AC2812" s="1"/>
      <c r="AD2812" s="1"/>
    </row>
    <row r="2813" spans="17:30">
      <c r="Q2813" s="6">
        <v>2783</v>
      </c>
      <c r="R2813" s="7">
        <v>45450</v>
      </c>
      <c r="S2813" s="210">
        <v>4.5</v>
      </c>
      <c r="T2813" s="8">
        <v>1.0001249999999999</v>
      </c>
      <c r="U2813" s="98">
        <v>4.4803317280892818</v>
      </c>
      <c r="V2813" s="106">
        <v>33521.671771514833</v>
      </c>
      <c r="W2813" s="10">
        <v>1.1825940882795871</v>
      </c>
      <c r="X2813" s="420"/>
      <c r="Y2813" s="420"/>
      <c r="Z2813" s="1"/>
      <c r="AA2813" s="1"/>
      <c r="AB2813" s="1"/>
      <c r="AC2813" s="1"/>
      <c r="AD2813" s="1"/>
    </row>
    <row r="2814" spans="17:30">
      <c r="Q2814" s="6">
        <v>2784</v>
      </c>
      <c r="R2814" s="7">
        <v>45451</v>
      </c>
      <c r="S2814" s="210">
        <v>4.5</v>
      </c>
      <c r="T2814" s="8">
        <v>1.0001249999999999</v>
      </c>
      <c r="U2814" s="98">
        <v>4.4803990358906365</v>
      </c>
      <c r="V2814" s="106">
        <v>33524.554761783183</v>
      </c>
      <c r="W2814" s="10">
        <v>1.1826840608795353</v>
      </c>
      <c r="X2814" s="420"/>
      <c r="Y2814" s="420"/>
      <c r="Z2814" s="1"/>
      <c r="AA2814" s="1"/>
      <c r="AB2814" s="1"/>
      <c r="AC2814" s="1"/>
      <c r="AD2814" s="1"/>
    </row>
    <row r="2815" spans="17:30">
      <c r="Q2815" s="6">
        <v>2785</v>
      </c>
      <c r="R2815" s="7">
        <v>45452</v>
      </c>
      <c r="S2815" s="210">
        <v>4.5</v>
      </c>
      <c r="T2815" s="8">
        <v>1.0001249999999999</v>
      </c>
      <c r="U2815" s="98">
        <v>4.4804662953993546</v>
      </c>
      <c r="V2815" s="106">
        <v>33527.437999999565</v>
      </c>
      <c r="W2815" s="10">
        <v>1.1827739689471262</v>
      </c>
      <c r="X2815" s="420"/>
      <c r="Y2815" s="420"/>
      <c r="Z2815" s="1"/>
      <c r="AA2815" s="1"/>
      <c r="AB2815" s="1"/>
      <c r="AC2815" s="1"/>
      <c r="AD2815" s="1"/>
    </row>
    <row r="2816" spans="17:30">
      <c r="Q2816" s="6">
        <v>2786</v>
      </c>
      <c r="R2816" s="7">
        <v>45453</v>
      </c>
      <c r="S2816" s="210">
        <v>4.5</v>
      </c>
      <c r="T2816" s="8">
        <v>1.0001249999999999</v>
      </c>
      <c r="U2816" s="98">
        <v>4.4805335066674168</v>
      </c>
      <c r="V2816" s="106">
        <v>33530.321486185327</v>
      </c>
      <c r="W2816" s="10">
        <v>1.1828638125517488</v>
      </c>
      <c r="X2816" s="420"/>
      <c r="Y2816" s="420"/>
      <c r="Z2816" s="1"/>
      <c r="AA2816" s="1"/>
      <c r="AB2816" s="1"/>
      <c r="AC2816" s="1"/>
      <c r="AD2816" s="1"/>
    </row>
    <row r="2817" spans="17:30">
      <c r="Q2817" s="6">
        <v>2787</v>
      </c>
      <c r="R2817" s="7">
        <v>45454</v>
      </c>
      <c r="S2817" s="210">
        <v>4.5</v>
      </c>
      <c r="T2817" s="8">
        <v>1.0001249999999999</v>
      </c>
      <c r="U2817" s="98">
        <v>4.4806006697466705</v>
      </c>
      <c r="V2817" s="106">
        <v>33533.205220361771</v>
      </c>
      <c r="W2817" s="10">
        <v>1.1829535917627254</v>
      </c>
      <c r="X2817" s="420"/>
      <c r="Y2817" s="420"/>
      <c r="Z2817" s="1"/>
      <c r="AA2817" s="1"/>
      <c r="AB2817" s="1"/>
      <c r="AC2817" s="1"/>
      <c r="AD2817" s="1"/>
    </row>
    <row r="2818" spans="17:30">
      <c r="Q2818" s="6">
        <v>2788</v>
      </c>
      <c r="R2818" s="7">
        <v>45455</v>
      </c>
      <c r="S2818" s="210">
        <v>4.5</v>
      </c>
      <c r="T2818" s="8">
        <v>1.0001249999999999</v>
      </c>
      <c r="U2818" s="98">
        <v>4.4806677846889409</v>
      </c>
      <c r="V2818" s="106">
        <v>33536.089202550247</v>
      </c>
      <c r="W2818" s="10">
        <v>1.1830433066492452</v>
      </c>
      <c r="X2818" s="420"/>
      <c r="Y2818" s="420"/>
      <c r="Z2818" s="1"/>
      <c r="AA2818" s="1"/>
      <c r="AB2818" s="1"/>
      <c r="AC2818" s="1"/>
      <c r="AD2818" s="1"/>
    </row>
    <row r="2819" spans="17:30">
      <c r="Q2819" s="6">
        <v>2789</v>
      </c>
      <c r="R2819" s="7">
        <v>45456</v>
      </c>
      <c r="S2819" s="210">
        <v>4.5</v>
      </c>
      <c r="T2819" s="8">
        <v>1.0001249999999999</v>
      </c>
      <c r="U2819" s="98">
        <v>4.4807348515459644</v>
      </c>
      <c r="V2819" s="106">
        <v>33538.973432772073</v>
      </c>
      <c r="W2819" s="10">
        <v>1.1831329572804306</v>
      </c>
      <c r="X2819" s="420"/>
      <c r="Y2819" s="420"/>
      <c r="Z2819" s="1"/>
      <c r="AA2819" s="1"/>
      <c r="AB2819" s="1"/>
      <c r="AC2819" s="1"/>
      <c r="AD2819" s="1"/>
    </row>
    <row r="2820" spans="17:30">
      <c r="Q2820" s="6">
        <v>2790</v>
      </c>
      <c r="R2820" s="7">
        <v>45457</v>
      </c>
      <c r="S2820" s="210">
        <v>4.5</v>
      </c>
      <c r="T2820" s="8">
        <v>1.0001249999999999</v>
      </c>
      <c r="U2820" s="98">
        <v>4.4808018703693886</v>
      </c>
      <c r="V2820" s="106">
        <v>33541.857911048573</v>
      </c>
      <c r="W2820" s="10">
        <v>1.1832225437252708</v>
      </c>
      <c r="X2820" s="420"/>
      <c r="Y2820" s="420"/>
      <c r="Z2820" s="1"/>
      <c r="AA2820" s="1"/>
      <c r="AB2820" s="1"/>
      <c r="AC2820" s="1"/>
      <c r="AD2820" s="1"/>
    </row>
    <row r="2821" spans="17:30">
      <c r="Q2821" s="6">
        <v>2791</v>
      </c>
      <c r="R2821" s="7">
        <v>45458</v>
      </c>
      <c r="S2821" s="210">
        <v>4.5</v>
      </c>
      <c r="T2821" s="8">
        <v>1.0001249999999999</v>
      </c>
      <c r="U2821" s="98">
        <v>4.4808688412107944</v>
      </c>
      <c r="V2821" s="106">
        <v>33544.742637401097</v>
      </c>
      <c r="W2821" s="10">
        <v>1.1833120660526886</v>
      </c>
      <c r="X2821" s="420"/>
      <c r="Y2821" s="420"/>
      <c r="Z2821" s="1"/>
      <c r="AA2821" s="1"/>
      <c r="AB2821" s="1"/>
      <c r="AC2821" s="1"/>
      <c r="AD2821" s="1"/>
    </row>
    <row r="2822" spans="17:30">
      <c r="Q2822" s="6">
        <v>2792</v>
      </c>
      <c r="R2822" s="7">
        <v>45459</v>
      </c>
      <c r="S2822" s="210">
        <v>4.5</v>
      </c>
      <c r="T2822" s="8">
        <v>1.0001249999999999</v>
      </c>
      <c r="U2822" s="98">
        <v>4.4809357641216963</v>
      </c>
      <c r="V2822" s="106">
        <v>33547.62761185097</v>
      </c>
      <c r="W2822" s="10">
        <v>1.1834015243314511</v>
      </c>
      <c r="X2822" s="420"/>
      <c r="Y2822" s="420"/>
      <c r="Z2822" s="1"/>
      <c r="AA2822" s="1"/>
      <c r="AB2822" s="1"/>
      <c r="AC2822" s="1"/>
      <c r="AD2822" s="1"/>
    </row>
    <row r="2823" spans="17:30">
      <c r="Q2823" s="6">
        <v>2793</v>
      </c>
      <c r="R2823" s="7">
        <v>45460</v>
      </c>
      <c r="S2823" s="210">
        <v>4.5</v>
      </c>
      <c r="T2823" s="8">
        <v>1.0001249999999999</v>
      </c>
      <c r="U2823" s="98">
        <v>4.4810026391535418</v>
      </c>
      <c r="V2823" s="106">
        <v>33550.512834419533</v>
      </c>
      <c r="W2823" s="10">
        <v>1.1834909186303255</v>
      </c>
      <c r="X2823" s="420"/>
      <c r="Y2823" s="420"/>
      <c r="Z2823" s="1"/>
      <c r="AA2823" s="1"/>
      <c r="AB2823" s="1"/>
      <c r="AC2823" s="1"/>
      <c r="AD2823" s="1"/>
    </row>
    <row r="2824" spans="17:30">
      <c r="Q2824" s="6">
        <v>2794</v>
      </c>
      <c r="R2824" s="7">
        <v>45461</v>
      </c>
      <c r="S2824" s="210">
        <v>4.5</v>
      </c>
      <c r="T2824" s="8">
        <v>1.0001249999999999</v>
      </c>
      <c r="U2824" s="98">
        <v>4.48106946635769</v>
      </c>
      <c r="V2824" s="106">
        <v>33553.398305128125</v>
      </c>
      <c r="W2824" s="10">
        <v>1.1835802490179237</v>
      </c>
      <c r="X2824" s="420"/>
      <c r="Y2824" s="420"/>
      <c r="Z2824" s="1"/>
      <c r="AA2824" s="1"/>
      <c r="AB2824" s="1"/>
      <c r="AC2824" s="1"/>
      <c r="AD2824" s="1"/>
    </row>
    <row r="2825" spans="17:30">
      <c r="Q2825" s="6">
        <v>2795</v>
      </c>
      <c r="R2825" s="7">
        <v>45462</v>
      </c>
      <c r="S2825" s="210">
        <v>4.5</v>
      </c>
      <c r="T2825" s="8">
        <v>1.0001249999999999</v>
      </c>
      <c r="U2825" s="98">
        <v>4.4811362457854331</v>
      </c>
      <c r="V2825" s="106">
        <v>33556.284023998087</v>
      </c>
      <c r="W2825" s="10">
        <v>1.1836695155627242</v>
      </c>
      <c r="X2825" s="420"/>
      <c r="Y2825" s="420"/>
      <c r="Z2825" s="1"/>
      <c r="AA2825" s="1"/>
      <c r="AB2825" s="1"/>
      <c r="AC2825" s="1"/>
      <c r="AD2825" s="1"/>
    </row>
    <row r="2826" spans="17:30">
      <c r="Q2826" s="6">
        <v>2796</v>
      </c>
      <c r="R2826" s="7">
        <v>45463</v>
      </c>
      <c r="S2826" s="210">
        <v>4.5</v>
      </c>
      <c r="T2826" s="8">
        <v>1.0001249999999999</v>
      </c>
      <c r="U2826" s="98">
        <v>4.4812029774879747</v>
      </c>
      <c r="V2826" s="106">
        <v>33559.169991050752</v>
      </c>
      <c r="W2826" s="10">
        <v>1.1837587183331388</v>
      </c>
      <c r="X2826" s="420"/>
      <c r="Y2826" s="420"/>
      <c r="Z2826" s="1"/>
      <c r="AA2826" s="1"/>
      <c r="AB2826" s="1"/>
      <c r="AC2826" s="1"/>
      <c r="AD2826" s="1"/>
    </row>
    <row r="2827" spans="17:30">
      <c r="Q2827" s="6">
        <v>2797</v>
      </c>
      <c r="R2827" s="7">
        <v>45464</v>
      </c>
      <c r="S2827" s="210">
        <v>4.5</v>
      </c>
      <c r="T2827" s="8">
        <v>1.0001249999999999</v>
      </c>
      <c r="U2827" s="98">
        <v>4.4812696615164738</v>
      </c>
      <c r="V2827" s="106">
        <v>33562.056206307483</v>
      </c>
      <c r="W2827" s="10">
        <v>1.1838478573975353</v>
      </c>
      <c r="X2827" s="420"/>
      <c r="Y2827" s="420"/>
      <c r="Z2827" s="1"/>
      <c r="AA2827" s="1"/>
      <c r="AB2827" s="1"/>
      <c r="AC2827" s="1"/>
      <c r="AD2827" s="1"/>
    </row>
    <row r="2828" spans="17:30">
      <c r="Q2828" s="6">
        <v>2798</v>
      </c>
      <c r="R2828" s="7">
        <v>45465</v>
      </c>
      <c r="S2828" s="210">
        <v>4.5</v>
      </c>
      <c r="T2828" s="8">
        <v>1.0001249999999999</v>
      </c>
      <c r="U2828" s="98">
        <v>4.4813362979219784</v>
      </c>
      <c r="V2828" s="106">
        <v>33564.94266978962</v>
      </c>
      <c r="W2828" s="10">
        <v>1.1839369328240812</v>
      </c>
      <c r="X2828" s="420"/>
      <c r="Y2828" s="420"/>
      <c r="Z2828" s="1"/>
      <c r="AA2828" s="1"/>
      <c r="AB2828" s="1"/>
      <c r="AC2828" s="1"/>
      <c r="AD2828" s="1"/>
    </row>
    <row r="2829" spans="17:30">
      <c r="Q2829" s="6">
        <v>2799</v>
      </c>
      <c r="R2829" s="7">
        <v>45466</v>
      </c>
      <c r="S2829" s="210">
        <v>4.5</v>
      </c>
      <c r="T2829" s="8">
        <v>1.0001249999999999</v>
      </c>
      <c r="U2829" s="98">
        <v>4.4814028867555145</v>
      </c>
      <c r="V2829" s="106">
        <v>33567.829381518502</v>
      </c>
      <c r="W2829" s="10">
        <v>1.1840259446809442</v>
      </c>
      <c r="X2829" s="420"/>
      <c r="Y2829" s="420"/>
      <c r="Z2829" s="1"/>
      <c r="AA2829" s="1"/>
      <c r="AB2829" s="1"/>
      <c r="AC2829" s="1"/>
      <c r="AD2829" s="1"/>
    </row>
    <row r="2830" spans="17:30">
      <c r="Q2830" s="6">
        <v>2800</v>
      </c>
      <c r="R2830" s="7">
        <v>45467</v>
      </c>
      <c r="S2830" s="210">
        <v>4.5</v>
      </c>
      <c r="T2830" s="8">
        <v>1.0001249999999999</v>
      </c>
      <c r="U2830" s="98">
        <v>4.4814694280679745</v>
      </c>
      <c r="V2830" s="106">
        <v>33570.716341515486</v>
      </c>
      <c r="W2830" s="10">
        <v>1.1841148930361145</v>
      </c>
      <c r="X2830" s="420"/>
      <c r="Y2830" s="420"/>
      <c r="Z2830" s="1"/>
      <c r="AA2830" s="1"/>
      <c r="AB2830" s="1"/>
      <c r="AC2830" s="1"/>
      <c r="AD2830" s="1"/>
    </row>
    <row r="2831" spans="17:30">
      <c r="Q2831" s="6">
        <v>2801</v>
      </c>
      <c r="R2831" s="7">
        <v>45468</v>
      </c>
      <c r="S2831" s="210">
        <v>4.5</v>
      </c>
      <c r="T2831" s="8">
        <v>1.0001249999999999</v>
      </c>
      <c r="U2831" s="98">
        <v>4.4815359219102291</v>
      </c>
      <c r="V2831" s="106">
        <v>33573.603549801926</v>
      </c>
      <c r="W2831" s="10">
        <v>1.1842037779575376</v>
      </c>
      <c r="X2831" s="420"/>
      <c r="Y2831" s="420"/>
      <c r="Z2831" s="1"/>
      <c r="AA2831" s="1"/>
      <c r="AB2831" s="1"/>
      <c r="AC2831" s="1"/>
      <c r="AD2831" s="1"/>
    </row>
    <row r="2832" spans="17:30">
      <c r="Q2832" s="6">
        <v>2802</v>
      </c>
      <c r="R2832" s="7">
        <v>45469</v>
      </c>
      <c r="S2832" s="210">
        <v>4.5</v>
      </c>
      <c r="T2832" s="8">
        <v>1.0001249999999999</v>
      </c>
      <c r="U2832" s="98">
        <v>4.4816023683330597</v>
      </c>
      <c r="V2832" s="106">
        <v>33576.491006399177</v>
      </c>
      <c r="W2832" s="10">
        <v>1.184292599513026</v>
      </c>
      <c r="X2832" s="420"/>
      <c r="Y2832" s="420"/>
      <c r="Z2832" s="1"/>
      <c r="AA2832" s="1"/>
      <c r="AB2832" s="1"/>
      <c r="AC2832" s="1"/>
      <c r="AD2832" s="1"/>
    </row>
    <row r="2833" spans="17:30">
      <c r="Q2833" s="6">
        <v>2803</v>
      </c>
      <c r="R2833" s="7">
        <v>45470</v>
      </c>
      <c r="S2833" s="210">
        <v>4.5</v>
      </c>
      <c r="T2833" s="8">
        <v>1.0001249999999999</v>
      </c>
      <c r="U2833" s="98">
        <v>4.4816687673871813</v>
      </c>
      <c r="V2833" s="106">
        <v>33579.378711328594</v>
      </c>
      <c r="W2833" s="10">
        <v>1.1843813577703699</v>
      </c>
      <c r="X2833" s="420"/>
      <c r="Y2833" s="420"/>
      <c r="Z2833" s="1"/>
      <c r="AA2833" s="1"/>
      <c r="AB2833" s="1"/>
      <c r="AC2833" s="1"/>
      <c r="AD2833" s="1"/>
    </row>
    <row r="2834" spans="17:30">
      <c r="Q2834" s="6">
        <v>2804</v>
      </c>
      <c r="R2834" s="7">
        <v>45471</v>
      </c>
      <c r="S2834" s="210">
        <v>4.5</v>
      </c>
      <c r="T2834" s="8">
        <v>1.0001249999999999</v>
      </c>
      <c r="U2834" s="98">
        <v>4.481735119123198</v>
      </c>
      <c r="V2834" s="106">
        <v>33582.266664611525</v>
      </c>
      <c r="W2834" s="10">
        <v>1.1844700527971375</v>
      </c>
      <c r="X2834" s="420"/>
      <c r="Y2834" s="420"/>
      <c r="Z2834" s="1"/>
      <c r="AA2834" s="1"/>
      <c r="AB2834" s="1"/>
      <c r="AC2834" s="1"/>
      <c r="AD2834" s="1"/>
    </row>
    <row r="2835" spans="17:30">
      <c r="Q2835" s="6">
        <v>2805</v>
      </c>
      <c r="R2835" s="7">
        <v>45472</v>
      </c>
      <c r="S2835" s="210">
        <v>4.5</v>
      </c>
      <c r="T2835" s="8">
        <v>1.0001249999999999</v>
      </c>
      <c r="U2835" s="98">
        <v>4.4818014235916914</v>
      </c>
      <c r="V2835" s="106">
        <v>33585.154866269331</v>
      </c>
      <c r="W2835" s="10">
        <v>1.1845586846609413</v>
      </c>
      <c r="X2835" s="420"/>
      <c r="Y2835" s="420"/>
      <c r="Z2835" s="1"/>
      <c r="AA2835" s="1"/>
      <c r="AB2835" s="1"/>
      <c r="AC2835" s="1"/>
      <c r="AD2835" s="1"/>
    </row>
    <row r="2836" spans="17:30">
      <c r="Q2836" s="6">
        <v>2806</v>
      </c>
      <c r="R2836" s="7">
        <v>45473</v>
      </c>
      <c r="S2836" s="210">
        <v>4.5</v>
      </c>
      <c r="T2836" s="8">
        <v>1.0001249999999999</v>
      </c>
      <c r="U2836" s="98">
        <v>4.4818676808431546</v>
      </c>
      <c r="V2836" s="106">
        <v>33588.043316323383</v>
      </c>
      <c r="W2836" s="10">
        <v>1.1846472534291719</v>
      </c>
      <c r="X2836" s="420"/>
      <c r="Y2836" s="420"/>
      <c r="Z2836" s="1"/>
      <c r="AA2836" s="1"/>
      <c r="AB2836" s="1"/>
      <c r="AC2836" s="1"/>
      <c r="AD2836" s="1"/>
    </row>
    <row r="2837" spans="17:30">
      <c r="Q2837" s="6">
        <v>2807</v>
      </c>
      <c r="R2837" s="7">
        <v>45474</v>
      </c>
      <c r="S2837" s="210">
        <v>4.5</v>
      </c>
      <c r="T2837" s="8">
        <v>1.0001249999999999</v>
      </c>
      <c r="U2837" s="98">
        <v>4.4819338909280138</v>
      </c>
      <c r="V2837" s="106">
        <v>33590.932014795049</v>
      </c>
      <c r="W2837" s="10">
        <v>1.1847357591692198</v>
      </c>
      <c r="X2837" s="420"/>
      <c r="Y2837" s="420"/>
      <c r="Z2837" s="1"/>
      <c r="AA2837" s="1"/>
      <c r="AB2837" s="1"/>
      <c r="AC2837" s="1"/>
      <c r="AD2837" s="1"/>
    </row>
    <row r="2838" spans="17:30">
      <c r="Q2838" s="6">
        <v>2808</v>
      </c>
      <c r="R2838" s="7">
        <v>45475</v>
      </c>
      <c r="S2838" s="210">
        <v>4.5</v>
      </c>
      <c r="T2838" s="8">
        <v>1.0001249999999999</v>
      </c>
      <c r="U2838" s="98">
        <v>4.4820000538966065</v>
      </c>
      <c r="V2838" s="106">
        <v>33593.820961705671</v>
      </c>
      <c r="W2838" s="10">
        <v>1.1848242019483202</v>
      </c>
      <c r="X2838" s="420"/>
      <c r="Y2838" s="420"/>
      <c r="Z2838" s="1"/>
      <c r="AA2838" s="1"/>
      <c r="AB2838" s="1"/>
      <c r="AC2838" s="1"/>
      <c r="AD2838" s="1"/>
    </row>
    <row r="2839" spans="17:30">
      <c r="Q2839" s="6">
        <v>2809</v>
      </c>
      <c r="R2839" s="7">
        <v>45476</v>
      </c>
      <c r="S2839" s="210">
        <v>4.5</v>
      </c>
      <c r="T2839" s="8">
        <v>1.0001249999999999</v>
      </c>
      <c r="U2839" s="98">
        <v>4.4820661697992037</v>
      </c>
      <c r="V2839" s="106">
        <v>33596.710157076639</v>
      </c>
      <c r="W2839" s="10">
        <v>1.1849125818336415</v>
      </c>
      <c r="X2839" s="420"/>
      <c r="Y2839" s="420"/>
      <c r="Z2839" s="1"/>
      <c r="AA2839" s="1"/>
      <c r="AB2839" s="1"/>
      <c r="AC2839" s="1"/>
      <c r="AD2839" s="1"/>
    </row>
    <row r="2840" spans="17:30">
      <c r="Q2840" s="6">
        <v>2810</v>
      </c>
      <c r="R2840" s="7">
        <v>45477</v>
      </c>
      <c r="S2840" s="210">
        <v>4.5</v>
      </c>
      <c r="T2840" s="8">
        <v>1.0001249999999999</v>
      </c>
      <c r="U2840" s="98">
        <v>4.4821322386860096</v>
      </c>
      <c r="V2840" s="106">
        <v>33599.599600929309</v>
      </c>
      <c r="W2840" s="10">
        <v>1.1850008988922411</v>
      </c>
      <c r="X2840" s="420"/>
      <c r="Y2840" s="420"/>
      <c r="Z2840" s="1"/>
      <c r="AA2840" s="1"/>
      <c r="AB2840" s="1"/>
      <c r="AC2840" s="1"/>
      <c r="AD2840" s="1"/>
    </row>
    <row r="2841" spans="17:30">
      <c r="Q2841" s="6">
        <v>2811</v>
      </c>
      <c r="R2841" s="7">
        <v>45478</v>
      </c>
      <c r="S2841" s="210">
        <v>4.5</v>
      </c>
      <c r="T2841" s="8">
        <v>1.0001249999999999</v>
      </c>
      <c r="U2841" s="98">
        <v>4.482198260607162</v>
      </c>
      <c r="V2841" s="106">
        <v>33602.489293285049</v>
      </c>
      <c r="W2841" s="10">
        <v>1.1850891531910879</v>
      </c>
      <c r="X2841" s="420"/>
      <c r="Y2841" s="420"/>
      <c r="Z2841" s="1"/>
      <c r="AA2841" s="1"/>
      <c r="AB2841" s="1"/>
      <c r="AC2841" s="1"/>
      <c r="AD2841" s="1"/>
    </row>
    <row r="2842" spans="17:30">
      <c r="Q2842" s="6">
        <v>2812</v>
      </c>
      <c r="R2842" s="7">
        <v>45479</v>
      </c>
      <c r="S2842" s="210">
        <v>4.5</v>
      </c>
      <c r="T2842" s="8">
        <v>1.0001249999999999</v>
      </c>
      <c r="U2842" s="98">
        <v>4.4822642356127096</v>
      </c>
      <c r="V2842" s="106">
        <v>33605.379234165244</v>
      </c>
      <c r="W2842" s="10">
        <v>1.1851773447970393</v>
      </c>
      <c r="X2842" s="420"/>
      <c r="Y2842" s="420"/>
      <c r="Z2842" s="1"/>
      <c r="AA2842" s="1"/>
      <c r="AB2842" s="1"/>
      <c r="AC2842" s="1"/>
      <c r="AD2842" s="1"/>
    </row>
    <row r="2843" spans="17:30">
      <c r="Q2843" s="6">
        <v>2813</v>
      </c>
      <c r="R2843" s="7">
        <v>45480</v>
      </c>
      <c r="S2843" s="210">
        <v>4.5</v>
      </c>
      <c r="T2843" s="8">
        <v>1.0001249999999999</v>
      </c>
      <c r="U2843" s="98">
        <v>4.4823301637526569</v>
      </c>
      <c r="V2843" s="106">
        <v>33608.26942359125</v>
      </c>
      <c r="W2843" s="10">
        <v>1.1852654737769086</v>
      </c>
      <c r="X2843" s="420"/>
      <c r="Y2843" s="420"/>
      <c r="Z2843" s="1"/>
      <c r="AA2843" s="1"/>
      <c r="AB2843" s="1"/>
      <c r="AC2843" s="1"/>
      <c r="AD2843" s="1"/>
    </row>
    <row r="2844" spans="17:30">
      <c r="Q2844" s="6">
        <v>2814</v>
      </c>
      <c r="R2844" s="7">
        <v>45481</v>
      </c>
      <c r="S2844" s="210">
        <v>4.5</v>
      </c>
      <c r="T2844" s="8">
        <v>1.0001249999999999</v>
      </c>
      <c r="U2844" s="98">
        <v>4.4823960450769196</v>
      </c>
      <c r="V2844" s="106">
        <v>33611.159861584456</v>
      </c>
      <c r="W2844" s="10">
        <v>1.1853535401973536</v>
      </c>
      <c r="X2844" s="420"/>
      <c r="Y2844" s="420"/>
      <c r="Z2844" s="1"/>
      <c r="AA2844" s="1"/>
      <c r="AB2844" s="1"/>
      <c r="AC2844" s="1"/>
      <c r="AD2844" s="1"/>
    </row>
    <row r="2845" spans="17:30">
      <c r="Q2845" s="6">
        <v>2815</v>
      </c>
      <c r="R2845" s="7">
        <v>45482</v>
      </c>
      <c r="S2845" s="210">
        <v>4.5</v>
      </c>
      <c r="T2845" s="8">
        <v>1.0001249999999999</v>
      </c>
      <c r="U2845" s="98">
        <v>4.4824618796353466</v>
      </c>
      <c r="V2845" s="106">
        <v>33614.05054816624</v>
      </c>
      <c r="W2845" s="10">
        <v>1.1854415441249877</v>
      </c>
      <c r="X2845" s="420"/>
      <c r="Y2845" s="420"/>
      <c r="Z2845" s="1"/>
      <c r="AA2845" s="1"/>
      <c r="AB2845" s="1"/>
      <c r="AC2845" s="1"/>
      <c r="AD2845" s="1"/>
    </row>
    <row r="2846" spans="17:30">
      <c r="Q2846" s="6">
        <v>2816</v>
      </c>
      <c r="R2846" s="7">
        <v>45483</v>
      </c>
      <c r="S2846" s="210">
        <v>4.5</v>
      </c>
      <c r="T2846" s="8">
        <v>1.0001249999999999</v>
      </c>
      <c r="U2846" s="98">
        <v>4.4825276674776982</v>
      </c>
      <c r="V2846" s="106">
        <v>33616.941483357972</v>
      </c>
      <c r="W2846" s="10">
        <v>1.1855294856262688</v>
      </c>
      <c r="X2846" s="420"/>
      <c r="Y2846" s="420"/>
      <c r="Z2846" s="1"/>
      <c r="AA2846" s="1"/>
      <c r="AB2846" s="1"/>
      <c r="AC2846" s="1"/>
      <c r="AD2846" s="1"/>
    </row>
    <row r="2847" spans="17:30">
      <c r="Q2847" s="6">
        <v>2817</v>
      </c>
      <c r="R2847" s="7">
        <v>45484</v>
      </c>
      <c r="S2847" s="210">
        <v>4.5</v>
      </c>
      <c r="T2847" s="8">
        <v>1.0001249999999999</v>
      </c>
      <c r="U2847" s="98">
        <v>4.4825934086537123</v>
      </c>
      <c r="V2847" s="106">
        <v>33619.832667181043</v>
      </c>
      <c r="W2847" s="10">
        <v>1.1856173647676327</v>
      </c>
      <c r="X2847" s="420"/>
      <c r="Y2847" s="420"/>
      <c r="Z2847" s="1"/>
      <c r="AA2847" s="1"/>
      <c r="AB2847" s="1"/>
      <c r="AC2847" s="1"/>
      <c r="AD2847" s="1"/>
    </row>
    <row r="2848" spans="17:30">
      <c r="Q2848" s="6">
        <v>2818</v>
      </c>
      <c r="R2848" s="7">
        <v>45485</v>
      </c>
      <c r="S2848" s="210">
        <v>4.5</v>
      </c>
      <c r="T2848" s="8">
        <v>1.0001249999999999</v>
      </c>
      <c r="U2848" s="98">
        <v>4.4826591032130159</v>
      </c>
      <c r="V2848" s="106">
        <v>33622.724099656836</v>
      </c>
      <c r="W2848" s="10">
        <v>1.1857051816153819</v>
      </c>
      <c r="X2848" s="420"/>
      <c r="Y2848" s="420"/>
      <c r="Z2848" s="1"/>
      <c r="AA2848" s="1"/>
      <c r="AB2848" s="1"/>
      <c r="AC2848" s="1"/>
      <c r="AD2848" s="1"/>
    </row>
    <row r="2849" spans="17:30">
      <c r="Q2849" s="6">
        <v>2819</v>
      </c>
      <c r="R2849" s="7">
        <v>45486</v>
      </c>
      <c r="S2849" s="210">
        <v>4.5</v>
      </c>
      <c r="T2849" s="8">
        <v>1.0001249999999999</v>
      </c>
      <c r="U2849" s="98">
        <v>4.4827247512051471</v>
      </c>
      <c r="V2849" s="106">
        <v>33625.615780806729</v>
      </c>
      <c r="W2849" s="10">
        <v>1.1857929362357078</v>
      </c>
      <c r="X2849" s="420"/>
      <c r="Y2849" s="420"/>
      <c r="Z2849" s="1"/>
      <c r="AA2849" s="1"/>
      <c r="AB2849" s="1"/>
      <c r="AC2849" s="1"/>
      <c r="AD2849" s="1"/>
    </row>
    <row r="2850" spans="17:30">
      <c r="Q2850" s="6">
        <v>2820</v>
      </c>
      <c r="R2850" s="7">
        <v>45487</v>
      </c>
      <c r="S2850" s="210">
        <v>4.5</v>
      </c>
      <c r="T2850" s="8">
        <v>1.0001249999999999</v>
      </c>
      <c r="U2850" s="98">
        <v>4.482790352679622</v>
      </c>
      <c r="V2850" s="106">
        <v>33628.50771065212</v>
      </c>
      <c r="W2850" s="10">
        <v>1.1858806286947354</v>
      </c>
      <c r="X2850" s="420"/>
      <c r="Y2850" s="420"/>
      <c r="Z2850" s="1"/>
      <c r="AA2850" s="1"/>
      <c r="AB2850" s="1"/>
      <c r="AC2850" s="1"/>
      <c r="AD2850" s="1"/>
    </row>
    <row r="2851" spans="17:30">
      <c r="Q2851" s="6">
        <v>2821</v>
      </c>
      <c r="R2851" s="7">
        <v>45488</v>
      </c>
      <c r="S2851" s="210">
        <v>4.5</v>
      </c>
      <c r="T2851" s="8">
        <v>1.0001249999999999</v>
      </c>
      <c r="U2851" s="98">
        <v>4.4828559076858676</v>
      </c>
      <c r="V2851" s="106">
        <v>33631.399889214379</v>
      </c>
      <c r="W2851" s="10">
        <v>1.1859682590584786</v>
      </c>
      <c r="X2851" s="420"/>
      <c r="Y2851" s="420"/>
      <c r="Z2851" s="1"/>
      <c r="AA2851" s="1"/>
      <c r="AB2851" s="1"/>
      <c r="AC2851" s="1"/>
      <c r="AD2851" s="1"/>
    </row>
    <row r="2852" spans="17:30">
      <c r="Q2852" s="6">
        <v>2822</v>
      </c>
      <c r="R2852" s="7">
        <v>45489</v>
      </c>
      <c r="S2852" s="210">
        <v>4.5</v>
      </c>
      <c r="T2852" s="8">
        <v>1.0001249999999999</v>
      </c>
      <c r="U2852" s="98">
        <v>4.4829214162732445</v>
      </c>
      <c r="V2852" s="106">
        <v>33634.292316514919</v>
      </c>
      <c r="W2852" s="10">
        <v>1.1860558273929067</v>
      </c>
      <c r="X2852" s="420"/>
      <c r="Y2852" s="420"/>
      <c r="Z2852" s="1"/>
      <c r="AA2852" s="1"/>
      <c r="AB2852" s="1"/>
      <c r="AC2852" s="1"/>
      <c r="AD2852" s="1"/>
    </row>
    <row r="2853" spans="17:30">
      <c r="Q2853" s="6">
        <v>2823</v>
      </c>
      <c r="R2853" s="7">
        <v>45490</v>
      </c>
      <c r="S2853" s="210">
        <v>4.5</v>
      </c>
      <c r="T2853" s="8">
        <v>1.0001249999999999</v>
      </c>
      <c r="U2853" s="98">
        <v>4.4829868784910243</v>
      </c>
      <c r="V2853" s="106">
        <v>33637.184992575116</v>
      </c>
      <c r="W2853" s="10">
        <v>1.1861433337638339</v>
      </c>
      <c r="X2853" s="420"/>
      <c r="Y2853" s="420"/>
      <c r="Z2853" s="1"/>
      <c r="AA2853" s="1"/>
      <c r="AB2853" s="1"/>
      <c r="AC2853" s="1"/>
      <c r="AD2853" s="1"/>
    </row>
    <row r="2854" spans="17:30">
      <c r="Q2854" s="6">
        <v>2824</v>
      </c>
      <c r="R2854" s="7">
        <v>45491</v>
      </c>
      <c r="S2854" s="210">
        <v>4.5</v>
      </c>
      <c r="T2854" s="8">
        <v>1.0001249999999999</v>
      </c>
      <c r="U2854" s="98">
        <v>4.4830522943884343</v>
      </c>
      <c r="V2854" s="106">
        <v>33640.077917416376</v>
      </c>
      <c r="W2854" s="10">
        <v>1.1862307782369852</v>
      </c>
      <c r="X2854" s="420"/>
      <c r="Y2854" s="420"/>
      <c r="Z2854" s="1"/>
      <c r="AA2854" s="1"/>
      <c r="AB2854" s="1"/>
      <c r="AC2854" s="1"/>
      <c r="AD2854" s="1"/>
    </row>
    <row r="2855" spans="17:30">
      <c r="Q2855" s="6">
        <v>2825</v>
      </c>
      <c r="R2855" s="7">
        <v>45492</v>
      </c>
      <c r="S2855" s="210">
        <v>4.5</v>
      </c>
      <c r="T2855" s="8">
        <v>1.0001249999999999</v>
      </c>
      <c r="U2855" s="98">
        <v>4.4831176640146353</v>
      </c>
      <c r="V2855" s="106">
        <v>33642.971091060077</v>
      </c>
      <c r="W2855" s="10">
        <v>1.1863181608780637</v>
      </c>
      <c r="X2855" s="420"/>
      <c r="Y2855" s="420"/>
      <c r="Z2855" s="1"/>
      <c r="AA2855" s="1"/>
      <c r="AB2855" s="1"/>
      <c r="AC2855" s="1"/>
      <c r="AD2855" s="1"/>
    </row>
    <row r="2856" spans="17:30">
      <c r="Q2856" s="6">
        <v>2826</v>
      </c>
      <c r="R2856" s="7">
        <v>45493</v>
      </c>
      <c r="S2856" s="210">
        <v>4.5</v>
      </c>
      <c r="T2856" s="8">
        <v>1.0001249999999999</v>
      </c>
      <c r="U2856" s="98">
        <v>4.4831829874186768</v>
      </c>
      <c r="V2856" s="106">
        <v>33645.864513527638</v>
      </c>
      <c r="W2856" s="10">
        <v>1.1864054817525949</v>
      </c>
      <c r="X2856" s="420"/>
      <c r="Y2856" s="420"/>
      <c r="Z2856" s="1"/>
      <c r="AA2856" s="1"/>
      <c r="AB2856" s="1"/>
      <c r="AC2856" s="1"/>
      <c r="AD2856" s="1"/>
    </row>
    <row r="2857" spans="17:30">
      <c r="Q2857" s="6">
        <v>2827</v>
      </c>
      <c r="R2857" s="7">
        <v>45494</v>
      </c>
      <c r="S2857" s="210">
        <v>4.5</v>
      </c>
      <c r="T2857" s="8">
        <v>1.0001249999999999</v>
      </c>
      <c r="U2857" s="98">
        <v>4.4832482646495864</v>
      </c>
      <c r="V2857" s="106">
        <v>33648.758184840444</v>
      </c>
      <c r="W2857" s="10">
        <v>1.1864927409260595</v>
      </c>
      <c r="X2857" s="420"/>
      <c r="Y2857" s="420"/>
      <c r="Z2857" s="1"/>
      <c r="AA2857" s="1"/>
      <c r="AB2857" s="1"/>
      <c r="AC2857" s="1"/>
      <c r="AD2857" s="1"/>
    </row>
    <row r="2858" spans="17:30">
      <c r="Q2858" s="6">
        <v>2828</v>
      </c>
      <c r="R2858" s="7">
        <v>45495</v>
      </c>
      <c r="S2858" s="210">
        <v>4.5</v>
      </c>
      <c r="T2858" s="8">
        <v>1.0001249999999999</v>
      </c>
      <c r="U2858" s="98">
        <v>4.4833134957562804</v>
      </c>
      <c r="V2858" s="106">
        <v>33651.652105019908</v>
      </c>
      <c r="W2858" s="10">
        <v>1.1865799384637832</v>
      </c>
      <c r="X2858" s="420"/>
      <c r="Y2858" s="420"/>
      <c r="Z2858" s="1"/>
      <c r="AA2858" s="1"/>
      <c r="AB2858" s="1"/>
      <c r="AC2858" s="1"/>
      <c r="AD2858" s="1"/>
    </row>
    <row r="2859" spans="17:30">
      <c r="Q2859" s="6">
        <v>2829</v>
      </c>
      <c r="R2859" s="7">
        <v>45496</v>
      </c>
      <c r="S2859" s="210">
        <v>4.5</v>
      </c>
      <c r="T2859" s="8">
        <v>1.0001249999999999</v>
      </c>
      <c r="U2859" s="98">
        <v>4.4833786807876308</v>
      </c>
      <c r="V2859" s="106">
        <v>33654.546274087421</v>
      </c>
      <c r="W2859" s="10">
        <v>1.1866670744311136</v>
      </c>
      <c r="X2859" s="420"/>
      <c r="Y2859" s="420"/>
      <c r="Z2859" s="1"/>
      <c r="AA2859" s="1"/>
      <c r="AB2859" s="1"/>
      <c r="AC2859" s="1"/>
      <c r="AD2859" s="1"/>
    </row>
    <row r="2860" spans="17:30">
      <c r="Q2860" s="6">
        <v>2830</v>
      </c>
      <c r="R2860" s="7">
        <v>45497</v>
      </c>
      <c r="S2860" s="210">
        <v>4.5</v>
      </c>
      <c r="T2860" s="8">
        <v>1.0001249999999999</v>
      </c>
      <c r="U2860" s="98">
        <v>4.4834438197924431</v>
      </c>
      <c r="V2860" s="106">
        <v>33657.440692064411</v>
      </c>
      <c r="W2860" s="10">
        <v>1.1867541488931987</v>
      </c>
      <c r="X2860" s="420"/>
      <c r="Y2860" s="420"/>
      <c r="Z2860" s="1"/>
      <c r="AA2860" s="1"/>
      <c r="AB2860" s="1"/>
      <c r="AC2860" s="1"/>
      <c r="AD2860" s="1"/>
    </row>
    <row r="2861" spans="17:30">
      <c r="Q2861" s="6">
        <v>2831</v>
      </c>
      <c r="R2861" s="7">
        <v>45498</v>
      </c>
      <c r="S2861" s="210">
        <v>4.5</v>
      </c>
      <c r="T2861" s="8">
        <v>1.0001249999999999</v>
      </c>
      <c r="U2861" s="98">
        <v>4.4835089128194561</v>
      </c>
      <c r="V2861" s="106">
        <v>33660.335358972254</v>
      </c>
      <c r="W2861" s="10">
        <v>1.186841161915142</v>
      </c>
      <c r="X2861" s="420"/>
      <c r="Y2861" s="420"/>
      <c r="Z2861" s="1"/>
      <c r="AA2861" s="1"/>
      <c r="AB2861" s="1"/>
      <c r="AC2861" s="1"/>
      <c r="AD2861" s="1"/>
    </row>
    <row r="2862" spans="17:30">
      <c r="Q2862" s="6">
        <v>2832</v>
      </c>
      <c r="R2862" s="7">
        <v>45499</v>
      </c>
      <c r="S2862" s="210">
        <v>4.5</v>
      </c>
      <c r="T2862" s="8">
        <v>1.0001249999999999</v>
      </c>
      <c r="U2862" s="98">
        <v>4.4835739599173419</v>
      </c>
      <c r="V2862" s="106">
        <v>33663.230274832378</v>
      </c>
      <c r="W2862" s="10">
        <v>1.1869281135619802</v>
      </c>
      <c r="X2862" s="420"/>
      <c r="Y2862" s="420"/>
      <c r="Z2862" s="1"/>
      <c r="AA2862" s="1"/>
      <c r="AB2862" s="1"/>
      <c r="AC2862" s="1"/>
      <c r="AD2862" s="1"/>
    </row>
    <row r="2863" spans="17:30">
      <c r="Q2863" s="6">
        <v>2833</v>
      </c>
      <c r="R2863" s="7">
        <v>45500</v>
      </c>
      <c r="S2863" s="210">
        <v>4.5</v>
      </c>
      <c r="T2863" s="8">
        <v>1.0001249999999999</v>
      </c>
      <c r="U2863" s="98">
        <v>4.4836389611346616</v>
      </c>
      <c r="V2863" s="106">
        <v>33666.12543966619</v>
      </c>
      <c r="W2863" s="10">
        <v>1.1870150038985727</v>
      </c>
      <c r="X2863" s="420"/>
      <c r="Y2863" s="420"/>
      <c r="Z2863" s="1"/>
      <c r="AA2863" s="1"/>
      <c r="AB2863" s="1"/>
      <c r="AC2863" s="1"/>
      <c r="AD2863" s="1"/>
    </row>
    <row r="2864" spans="17:30">
      <c r="Q2864" s="6">
        <v>2834</v>
      </c>
      <c r="R2864" s="7">
        <v>45501</v>
      </c>
      <c r="S2864" s="210">
        <v>4.5</v>
      </c>
      <c r="T2864" s="8">
        <v>1.0001249999999999</v>
      </c>
      <c r="U2864" s="98">
        <v>4.4837039165199766</v>
      </c>
      <c r="V2864" s="106">
        <v>33669.020853495102</v>
      </c>
      <c r="W2864" s="10">
        <v>1.1871018329898231</v>
      </c>
      <c r="X2864" s="420"/>
      <c r="Y2864" s="420"/>
      <c r="Z2864" s="1"/>
      <c r="AA2864" s="1"/>
      <c r="AB2864" s="1"/>
      <c r="AC2864" s="1"/>
      <c r="AD2864" s="1"/>
    </row>
    <row r="2865" spans="17:30">
      <c r="Q2865" s="6">
        <v>2835</v>
      </c>
      <c r="R2865" s="7">
        <v>45502</v>
      </c>
      <c r="S2865" s="210">
        <v>4.5</v>
      </c>
      <c r="T2865" s="8">
        <v>1.0001249999999999</v>
      </c>
      <c r="U2865" s="98">
        <v>4.4837688261217146</v>
      </c>
      <c r="V2865" s="106">
        <v>33671.916516340534</v>
      </c>
      <c r="W2865" s="10">
        <v>1.1871886009003685</v>
      </c>
      <c r="X2865" s="420"/>
      <c r="Y2865" s="420"/>
      <c r="Z2865" s="1"/>
      <c r="AA2865" s="1"/>
      <c r="AB2865" s="1"/>
      <c r="AC2865" s="1"/>
      <c r="AD2865" s="1"/>
    </row>
    <row r="2866" spans="17:30">
      <c r="Q2866" s="6">
        <v>2836</v>
      </c>
      <c r="R2866" s="7">
        <v>45503</v>
      </c>
      <c r="S2866" s="210">
        <v>4.5</v>
      </c>
      <c r="T2866" s="8">
        <v>1.0001249999999999</v>
      </c>
      <c r="U2866" s="98">
        <v>4.4838336899882814</v>
      </c>
      <c r="V2866" s="106">
        <v>33674.812428223893</v>
      </c>
      <c r="W2866" s="10">
        <v>1.1872753076949127</v>
      </c>
      <c r="X2866" s="420"/>
      <c r="Y2866" s="420"/>
      <c r="Z2866" s="1"/>
      <c r="AA2866" s="1"/>
      <c r="AB2866" s="1"/>
      <c r="AC2866" s="1"/>
      <c r="AD2866" s="1"/>
    </row>
    <row r="2867" spans="17:30">
      <c r="Q2867" s="6">
        <v>2837</v>
      </c>
      <c r="R2867" s="7">
        <v>45504</v>
      </c>
      <c r="S2867" s="210">
        <v>4.5</v>
      </c>
      <c r="T2867" s="8">
        <v>1.0001249999999999</v>
      </c>
      <c r="U2867" s="98">
        <v>4.4838985081679938</v>
      </c>
      <c r="V2867" s="106">
        <v>33677.708589166599</v>
      </c>
      <c r="W2867" s="10">
        <v>1.187361953437982</v>
      </c>
      <c r="X2867" s="420"/>
      <c r="Y2867" s="420"/>
      <c r="Z2867" s="1"/>
      <c r="AA2867" s="1"/>
      <c r="AB2867" s="1"/>
      <c r="AC2867" s="1"/>
      <c r="AD2867" s="1"/>
    </row>
    <row r="2868" spans="17:30">
      <c r="Q2868" s="6">
        <v>2838</v>
      </c>
      <c r="R2868" s="7">
        <v>45505</v>
      </c>
      <c r="S2868" s="210">
        <v>4.5</v>
      </c>
      <c r="T2868" s="8">
        <v>1.0001249999999999</v>
      </c>
      <c r="U2868" s="98">
        <v>4.4839632807091023</v>
      </c>
      <c r="V2868" s="106">
        <v>33680.60499919008</v>
      </c>
      <c r="W2868" s="10">
        <v>1.187448538194058</v>
      </c>
      <c r="X2868" s="420"/>
      <c r="Y2868" s="420"/>
      <c r="Z2868" s="1"/>
      <c r="AA2868" s="1"/>
      <c r="AB2868" s="1"/>
      <c r="AC2868" s="1"/>
      <c r="AD2868" s="1"/>
    </row>
    <row r="2869" spans="17:30">
      <c r="Q2869" s="6">
        <v>2839</v>
      </c>
      <c r="R2869" s="7">
        <v>45506</v>
      </c>
      <c r="S2869" s="210">
        <v>4.5</v>
      </c>
      <c r="T2869" s="8">
        <v>1.0001249999999999</v>
      </c>
      <c r="U2869" s="98">
        <v>4.4840280076597905</v>
      </c>
      <c r="V2869" s="106">
        <v>33683.501658315749</v>
      </c>
      <c r="W2869" s="10">
        <v>1.1875350620274672</v>
      </c>
      <c r="X2869" s="420"/>
      <c r="Y2869" s="420"/>
      <c r="Z2869" s="1"/>
      <c r="AA2869" s="1"/>
      <c r="AB2869" s="1"/>
      <c r="AC2869" s="1"/>
      <c r="AD2869" s="1"/>
    </row>
    <row r="2870" spans="17:30">
      <c r="Q2870" s="6">
        <v>2840</v>
      </c>
      <c r="R2870" s="7">
        <v>45507</v>
      </c>
      <c r="S2870" s="210">
        <v>4.5</v>
      </c>
      <c r="T2870" s="8">
        <v>1.0001249999999999</v>
      </c>
      <c r="U2870" s="98">
        <v>4.4840926890681754</v>
      </c>
      <c r="V2870" s="106">
        <v>33686.39856656504</v>
      </c>
      <c r="W2870" s="10">
        <v>1.1876215250025135</v>
      </c>
      <c r="X2870" s="420"/>
      <c r="Y2870" s="420"/>
      <c r="Z2870" s="1"/>
      <c r="AA2870" s="1"/>
      <c r="AB2870" s="1"/>
      <c r="AC2870" s="1"/>
      <c r="AD2870" s="1"/>
    </row>
    <row r="2871" spans="17:30">
      <c r="Q2871" s="6">
        <v>2841</v>
      </c>
      <c r="R2871" s="7">
        <v>45508</v>
      </c>
      <c r="S2871" s="210">
        <v>4.5</v>
      </c>
      <c r="T2871" s="8">
        <v>1.0001249999999999</v>
      </c>
      <c r="U2871" s="98">
        <v>4.4841573249822853</v>
      </c>
      <c r="V2871" s="106">
        <v>33689.295723959367</v>
      </c>
      <c r="W2871" s="10">
        <v>1.1877079271833457</v>
      </c>
      <c r="X2871" s="420"/>
      <c r="Y2871" s="420"/>
      <c r="Z2871" s="1"/>
      <c r="AA2871" s="1"/>
      <c r="AB2871" s="1"/>
      <c r="AC2871" s="1"/>
      <c r="AD2871" s="1"/>
    </row>
    <row r="2872" spans="17:30">
      <c r="Q2872" s="6">
        <v>2842</v>
      </c>
      <c r="R2872" s="7">
        <v>45509</v>
      </c>
      <c r="S2872" s="210">
        <v>4.5</v>
      </c>
      <c r="T2872" s="8">
        <v>1.0001249999999999</v>
      </c>
      <c r="U2872" s="98">
        <v>4.4842219154501262</v>
      </c>
      <c r="V2872" s="106">
        <v>33692.193130520172</v>
      </c>
      <c r="W2872" s="10">
        <v>1.1877942686341125</v>
      </c>
      <c r="X2872" s="420"/>
      <c r="Y2872" s="420"/>
      <c r="Z2872" s="1"/>
      <c r="AA2872" s="1"/>
      <c r="AB2872" s="1"/>
      <c r="AC2872" s="1"/>
      <c r="AD2872" s="1"/>
    </row>
    <row r="2873" spans="17:30">
      <c r="Q2873" s="6">
        <v>2843</v>
      </c>
      <c r="R2873" s="7">
        <v>45510</v>
      </c>
      <c r="S2873" s="210">
        <v>4.5</v>
      </c>
      <c r="T2873" s="8">
        <v>1.0001249999999999</v>
      </c>
      <c r="U2873" s="98">
        <v>4.4842864605196153</v>
      </c>
      <c r="V2873" s="106">
        <v>33695.090786268862</v>
      </c>
      <c r="W2873" s="10">
        <v>1.1878805494188072</v>
      </c>
      <c r="X2873" s="420"/>
      <c r="Y2873" s="420"/>
      <c r="Z2873" s="1"/>
      <c r="AA2873" s="1"/>
      <c r="AB2873" s="1"/>
      <c r="AC2873" s="1"/>
      <c r="AD2873" s="1"/>
    </row>
    <row r="2874" spans="17:30">
      <c r="Q2874" s="6">
        <v>2844</v>
      </c>
      <c r="R2874" s="7">
        <v>45511</v>
      </c>
      <c r="S2874" s="210">
        <v>4.5</v>
      </c>
      <c r="T2874" s="8">
        <v>1.0001249999999999</v>
      </c>
      <c r="U2874" s="98">
        <v>4.4843509602385812</v>
      </c>
      <c r="V2874" s="106">
        <v>33697.988691226885</v>
      </c>
      <c r="W2874" s="10">
        <v>1.1879667696013119</v>
      </c>
      <c r="X2874" s="420"/>
      <c r="Y2874" s="420"/>
      <c r="Z2874" s="1"/>
      <c r="AA2874" s="1"/>
      <c r="AB2874" s="1"/>
      <c r="AC2874" s="1"/>
      <c r="AD2874" s="1"/>
    </row>
    <row r="2875" spans="17:30">
      <c r="Q2875" s="6">
        <v>2845</v>
      </c>
      <c r="R2875" s="7">
        <v>45512</v>
      </c>
      <c r="S2875" s="210">
        <v>4.5</v>
      </c>
      <c r="T2875" s="8">
        <v>1.0001249999999999</v>
      </c>
      <c r="U2875" s="98">
        <v>4.4844154146548076</v>
      </c>
      <c r="V2875" s="106">
        <v>33700.886845415669</v>
      </c>
      <c r="W2875" s="10">
        <v>1.1880529292454867</v>
      </c>
      <c r="X2875" s="420"/>
      <c r="Y2875" s="420"/>
      <c r="Z2875" s="1"/>
      <c r="AA2875" s="1"/>
      <c r="AB2875" s="1"/>
      <c r="AC2875" s="1"/>
      <c r="AD2875" s="1"/>
    </row>
    <row r="2876" spans="17:30">
      <c r="Q2876" s="6">
        <v>2846</v>
      </c>
      <c r="R2876" s="7">
        <v>45513</v>
      </c>
      <c r="S2876" s="210">
        <v>4.5</v>
      </c>
      <c r="T2876" s="8">
        <v>1.0001249999999999</v>
      </c>
      <c r="U2876" s="98">
        <v>4.4844798238160122</v>
      </c>
      <c r="V2876" s="106">
        <v>33703.78524885665</v>
      </c>
      <c r="W2876" s="10">
        <v>1.1881390284150584</v>
      </c>
      <c r="X2876" s="420"/>
      <c r="Y2876" s="420"/>
      <c r="Z2876" s="1"/>
      <c r="AA2876" s="1"/>
      <c r="AB2876" s="1"/>
      <c r="AC2876" s="1"/>
      <c r="AD2876" s="1"/>
    </row>
    <row r="2877" spans="17:30">
      <c r="Q2877" s="6">
        <v>2847</v>
      </c>
      <c r="R2877" s="7">
        <v>45514</v>
      </c>
      <c r="S2877" s="210">
        <v>4.5</v>
      </c>
      <c r="T2877" s="8">
        <v>1.0001249999999999</v>
      </c>
      <c r="U2877" s="98">
        <v>4.4845441877698455</v>
      </c>
      <c r="V2877" s="106">
        <v>33706.683901571269</v>
      </c>
      <c r="W2877" s="10">
        <v>1.1882250671736649</v>
      </c>
      <c r="X2877" s="420"/>
      <c r="Y2877" s="420"/>
      <c r="Z2877" s="1"/>
      <c r="AA2877" s="1"/>
      <c r="AB2877" s="1"/>
      <c r="AC2877" s="1"/>
      <c r="AD2877" s="1"/>
    </row>
    <row r="2878" spans="17:30">
      <c r="Q2878" s="6">
        <v>2848</v>
      </c>
      <c r="R2878" s="7">
        <v>45515</v>
      </c>
      <c r="S2878" s="210">
        <v>4.5</v>
      </c>
      <c r="T2878" s="8">
        <v>1.0001249999999999</v>
      </c>
      <c r="U2878" s="98">
        <v>4.4846085065638919</v>
      </c>
      <c r="V2878" s="106">
        <v>33709.582803580954</v>
      </c>
      <c r="W2878" s="10">
        <v>1.1883110455849</v>
      </c>
      <c r="X2878" s="420"/>
      <c r="Y2878" s="420"/>
      <c r="Z2878" s="1"/>
      <c r="AA2878" s="1"/>
      <c r="AB2878" s="1"/>
      <c r="AC2878" s="1"/>
      <c r="AD2878" s="1"/>
    </row>
    <row r="2879" spans="17:30">
      <c r="Q2879" s="6">
        <v>2849</v>
      </c>
      <c r="R2879" s="7">
        <v>45516</v>
      </c>
      <c r="S2879" s="210">
        <v>4.5</v>
      </c>
      <c r="T2879" s="8">
        <v>1.0001249999999999</v>
      </c>
      <c r="U2879" s="98">
        <v>4.4846727802456465</v>
      </c>
      <c r="V2879" s="106">
        <v>33712.481954907154</v>
      </c>
      <c r="W2879" s="10">
        <v>1.1883969637122016</v>
      </c>
      <c r="X2879" s="420"/>
      <c r="Y2879" s="420"/>
      <c r="Z2879" s="1"/>
      <c r="AA2879" s="1"/>
      <c r="AB2879" s="1"/>
      <c r="AC2879" s="1"/>
      <c r="AD2879" s="1"/>
    </row>
    <row r="2880" spans="17:30">
      <c r="Q2880" s="6">
        <v>2850</v>
      </c>
      <c r="R2880" s="7">
        <v>45517</v>
      </c>
      <c r="S2880" s="210">
        <v>4.5</v>
      </c>
      <c r="T2880" s="8">
        <v>1.0001249999999999</v>
      </c>
      <c r="U2880" s="98">
        <v>4.4847370088625604</v>
      </c>
      <c r="V2880" s="106">
        <v>33715.381355571299</v>
      </c>
      <c r="W2880" s="10">
        <v>1.1884828216189636</v>
      </c>
      <c r="X2880" s="420"/>
      <c r="Y2880" s="420"/>
      <c r="Z2880" s="1"/>
      <c r="AA2880" s="1"/>
      <c r="AB2880" s="1"/>
      <c r="AC2880" s="1"/>
      <c r="AD2880" s="1"/>
    </row>
    <row r="2881" spans="17:30">
      <c r="Q2881" s="6">
        <v>2851</v>
      </c>
      <c r="R2881" s="7">
        <v>45518</v>
      </c>
      <c r="S2881" s="210">
        <v>4.5</v>
      </c>
      <c r="T2881" s="8">
        <v>1.0001249999999999</v>
      </c>
      <c r="U2881" s="98">
        <v>4.4848011924620179</v>
      </c>
      <c r="V2881" s="106">
        <v>33718.28100559485</v>
      </c>
      <c r="W2881" s="10">
        <v>1.1885686193684686</v>
      </c>
      <c r="X2881" s="420"/>
      <c r="Y2881" s="420"/>
      <c r="Z2881" s="1"/>
      <c r="AA2881" s="1"/>
      <c r="AB2881" s="1"/>
      <c r="AC2881" s="1"/>
      <c r="AD2881" s="1"/>
    </row>
    <row r="2882" spans="17:30">
      <c r="Q2882" s="6">
        <v>2852</v>
      </c>
      <c r="R2882" s="7">
        <v>45519</v>
      </c>
      <c r="S2882" s="210">
        <v>4.5</v>
      </c>
      <c r="T2882" s="8">
        <v>1.0001249999999999</v>
      </c>
      <c r="U2882" s="98">
        <v>4.4848653310913145</v>
      </c>
      <c r="V2882" s="106">
        <v>33721.180904999252</v>
      </c>
      <c r="W2882" s="10">
        <v>1.1886543570239105</v>
      </c>
      <c r="X2882" s="420"/>
      <c r="Y2882" s="420"/>
      <c r="Z2882" s="1"/>
      <c r="AA2882" s="1"/>
      <c r="AB2882" s="1"/>
      <c r="AC2882" s="1"/>
      <c r="AD2882" s="1"/>
    </row>
    <row r="2883" spans="17:30">
      <c r="Q2883" s="6">
        <v>2853</v>
      </c>
      <c r="R2883" s="7">
        <v>45520</v>
      </c>
      <c r="S2883" s="210">
        <v>4.5</v>
      </c>
      <c r="T2883" s="8">
        <v>1.0001249999999999</v>
      </c>
      <c r="U2883" s="98">
        <v>4.4849294247977012</v>
      </c>
      <c r="V2883" s="106">
        <v>33724.081053805938</v>
      </c>
      <c r="W2883" s="10">
        <v>1.1887400346484167</v>
      </c>
      <c r="X2883" s="420"/>
      <c r="Y2883" s="420"/>
      <c r="Z2883" s="1"/>
      <c r="AA2883" s="1"/>
      <c r="AB2883" s="1"/>
      <c r="AC2883" s="1"/>
      <c r="AD2883" s="1"/>
    </row>
    <row r="2884" spans="17:30">
      <c r="Q2884" s="6">
        <v>2854</v>
      </c>
      <c r="R2884" s="7">
        <v>45521</v>
      </c>
      <c r="S2884" s="210">
        <v>4.5</v>
      </c>
      <c r="T2884" s="8">
        <v>1.0001249999999999</v>
      </c>
      <c r="U2884" s="98">
        <v>4.4849934736283625</v>
      </c>
      <c r="V2884" s="106">
        <v>33726.981452036365</v>
      </c>
      <c r="W2884" s="10">
        <v>1.1888256523050034</v>
      </c>
      <c r="X2884" s="420"/>
      <c r="Y2884" s="420"/>
      <c r="Z2884" s="1"/>
      <c r="AA2884" s="1"/>
      <c r="AB2884" s="1"/>
      <c r="AC2884" s="1"/>
      <c r="AD2884" s="1"/>
    </row>
    <row r="2885" spans="17:30">
      <c r="Q2885" s="6">
        <v>2855</v>
      </c>
      <c r="R2885" s="7">
        <v>45522</v>
      </c>
      <c r="S2885" s="210">
        <v>4.5</v>
      </c>
      <c r="T2885" s="8">
        <v>1.0001249999999999</v>
      </c>
      <c r="U2885" s="98">
        <v>4.4850574776304164</v>
      </c>
      <c r="V2885" s="106">
        <v>33729.882099711984</v>
      </c>
      <c r="W2885" s="10">
        <v>1.1889112100566201</v>
      </c>
      <c r="X2885" s="420"/>
      <c r="Y2885" s="420"/>
      <c r="Z2885" s="1"/>
      <c r="AA2885" s="1"/>
      <c r="AB2885" s="1"/>
      <c r="AC2885" s="1"/>
      <c r="AD2885" s="1"/>
    </row>
    <row r="2886" spans="17:30">
      <c r="Q2886" s="6">
        <v>2856</v>
      </c>
      <c r="R2886" s="7">
        <v>45523</v>
      </c>
      <c r="S2886" s="210">
        <v>4.5</v>
      </c>
      <c r="T2886" s="8">
        <v>1.0001249999999999</v>
      </c>
      <c r="U2886" s="98">
        <v>4.485121436850914</v>
      </c>
      <c r="V2886" s="106">
        <v>33732.78299685425</v>
      </c>
      <c r="W2886" s="10">
        <v>1.1889967079661057</v>
      </c>
      <c r="X2886" s="420"/>
      <c r="Y2886" s="420"/>
      <c r="Z2886" s="1"/>
      <c r="AA2886" s="1"/>
      <c r="AB2886" s="1"/>
      <c r="AC2886" s="1"/>
      <c r="AD2886" s="1"/>
    </row>
    <row r="2887" spans="17:30">
      <c r="Q2887" s="6">
        <v>2857</v>
      </c>
      <c r="R2887" s="7">
        <v>45524</v>
      </c>
      <c r="S2887" s="210">
        <v>4.5</v>
      </c>
      <c r="T2887" s="8">
        <v>1.0001249999999999</v>
      </c>
      <c r="U2887" s="98">
        <v>4.4851853513368178</v>
      </c>
      <c r="V2887" s="106">
        <v>33735.684143484621</v>
      </c>
      <c r="W2887" s="10">
        <v>1.189082146096232</v>
      </c>
      <c r="X2887" s="420"/>
      <c r="Y2887" s="420"/>
      <c r="Z2887" s="1"/>
      <c r="AA2887" s="1"/>
      <c r="AB2887" s="1"/>
      <c r="AC2887" s="1"/>
      <c r="AD2887" s="1"/>
    </row>
    <row r="2888" spans="17:30">
      <c r="Q2888" s="6">
        <v>2858</v>
      </c>
      <c r="R2888" s="7">
        <v>45525</v>
      </c>
      <c r="S2888" s="210">
        <v>4.5</v>
      </c>
      <c r="T2888" s="8">
        <v>1.0001249999999999</v>
      </c>
      <c r="U2888" s="98">
        <v>4.4852492211350681</v>
      </c>
      <c r="V2888" s="106">
        <v>33738.585539624546</v>
      </c>
      <c r="W2888" s="10">
        <v>1.18916752450966</v>
      </c>
      <c r="X2888" s="420"/>
      <c r="Y2888" s="420"/>
      <c r="Z2888" s="1"/>
      <c r="AA2888" s="1"/>
      <c r="AB2888" s="1"/>
      <c r="AC2888" s="1"/>
      <c r="AD2888" s="1"/>
    </row>
    <row r="2889" spans="17:30">
      <c r="Q2889" s="6">
        <v>2859</v>
      </c>
      <c r="R2889" s="7">
        <v>45526</v>
      </c>
      <c r="S2889" s="210">
        <v>4.5</v>
      </c>
      <c r="T2889" s="8">
        <v>1.0001249999999999</v>
      </c>
      <c r="U2889" s="98">
        <v>4.4853130462924939</v>
      </c>
      <c r="V2889" s="106">
        <v>33741.487185295482</v>
      </c>
      <c r="W2889" s="10">
        <v>1.1892528432690064</v>
      </c>
      <c r="X2889" s="420"/>
      <c r="Y2889" s="420"/>
      <c r="Z2889" s="1"/>
      <c r="AA2889" s="1"/>
      <c r="AB2889" s="1"/>
      <c r="AC2889" s="1"/>
      <c r="AD2889" s="1"/>
    </row>
    <row r="2890" spans="17:30">
      <c r="Q2890" s="6">
        <v>2860</v>
      </c>
      <c r="R2890" s="7">
        <v>45527</v>
      </c>
      <c r="S2890" s="210">
        <v>4.5</v>
      </c>
      <c r="T2890" s="8">
        <v>1.0001249999999999</v>
      </c>
      <c r="U2890" s="98">
        <v>4.4853768268558802</v>
      </c>
      <c r="V2890" s="106">
        <v>33744.389080518908</v>
      </c>
      <c r="W2890" s="10">
        <v>1.18933810243671</v>
      </c>
      <c r="X2890" s="420"/>
      <c r="Y2890" s="420"/>
      <c r="Z2890" s="1"/>
      <c r="AA2890" s="1"/>
      <c r="AB2890" s="1"/>
      <c r="AC2890" s="1"/>
      <c r="AD2890" s="1"/>
    </row>
    <row r="2891" spans="17:30">
      <c r="Q2891" s="6">
        <v>2861</v>
      </c>
      <c r="R2891" s="7">
        <v>45528</v>
      </c>
      <c r="S2891" s="210">
        <v>4.5</v>
      </c>
      <c r="T2891" s="8">
        <v>1.0001249999999999</v>
      </c>
      <c r="U2891" s="98">
        <v>4.4854405628719674</v>
      </c>
      <c r="V2891" s="106">
        <v>33747.291225316265</v>
      </c>
      <c r="W2891" s="10">
        <v>1.1894233020752321</v>
      </c>
      <c r="X2891" s="420"/>
      <c r="Y2891" s="420"/>
      <c r="Z2891" s="1"/>
      <c r="AA2891" s="1"/>
      <c r="AB2891" s="1"/>
      <c r="AC2891" s="1"/>
      <c r="AD2891" s="1"/>
    </row>
    <row r="2892" spans="17:30">
      <c r="Q2892" s="6">
        <v>2862</v>
      </c>
      <c r="R2892" s="7">
        <v>45529</v>
      </c>
      <c r="S2892" s="210">
        <v>4.5</v>
      </c>
      <c r="T2892" s="8">
        <v>1.0001249999999999</v>
      </c>
      <c r="U2892" s="98">
        <v>4.4855042543874069</v>
      </c>
      <c r="V2892" s="106">
        <v>33750.193619709033</v>
      </c>
      <c r="W2892" s="10">
        <v>1.1895084422469004</v>
      </c>
      <c r="X2892" s="420"/>
      <c r="Y2892" s="420"/>
      <c r="Z2892" s="1"/>
      <c r="AA2892" s="1"/>
      <c r="AB2892" s="1"/>
      <c r="AC2892" s="1"/>
      <c r="AD2892" s="1"/>
    </row>
    <row r="2893" spans="17:30">
      <c r="Q2893" s="6">
        <v>2863</v>
      </c>
      <c r="R2893" s="7">
        <v>45530</v>
      </c>
      <c r="S2893" s="210">
        <v>4.5</v>
      </c>
      <c r="T2893" s="8">
        <v>1.0001249999999999</v>
      </c>
      <c r="U2893" s="98">
        <v>4.4855679014487615</v>
      </c>
      <c r="V2893" s="106">
        <v>33753.09626371866</v>
      </c>
      <c r="W2893" s="10">
        <v>1.1895935230139321</v>
      </c>
      <c r="X2893" s="420"/>
      <c r="Y2893" s="420"/>
      <c r="Z2893" s="1"/>
      <c r="AA2893" s="1"/>
      <c r="AB2893" s="1"/>
      <c r="AC2893" s="1"/>
      <c r="AD2893" s="1"/>
    </row>
    <row r="2894" spans="17:30">
      <c r="Q2894" s="6">
        <v>2864</v>
      </c>
      <c r="R2894" s="7">
        <v>45531</v>
      </c>
      <c r="S2894" s="210">
        <v>4.5</v>
      </c>
      <c r="T2894" s="8">
        <v>1.0001249999999999</v>
      </c>
      <c r="U2894" s="98">
        <v>4.4856315041025718</v>
      </c>
      <c r="V2894" s="106">
        <v>33755.999157366634</v>
      </c>
      <c r="W2894" s="10">
        <v>1.189678544438455</v>
      </c>
      <c r="X2894" s="420"/>
      <c r="Y2894" s="420"/>
      <c r="Z2894" s="1"/>
      <c r="AA2894" s="1"/>
      <c r="AB2894" s="1"/>
      <c r="AC2894" s="1"/>
      <c r="AD2894" s="1"/>
    </row>
    <row r="2895" spans="17:30">
      <c r="Q2895" s="6">
        <v>2865</v>
      </c>
      <c r="R2895" s="7">
        <v>45532</v>
      </c>
      <c r="S2895" s="210">
        <v>4.5</v>
      </c>
      <c r="T2895" s="8">
        <v>1.0001249999999999</v>
      </c>
      <c r="U2895" s="98">
        <v>4.4856950623953118</v>
      </c>
      <c r="V2895" s="106">
        <v>33758.90230067441</v>
      </c>
      <c r="W2895" s="10">
        <v>1.1897635065825751</v>
      </c>
      <c r="X2895" s="420"/>
      <c r="Y2895" s="420"/>
      <c r="Z2895" s="1"/>
      <c r="AA2895" s="1"/>
      <c r="AB2895" s="1"/>
      <c r="AC2895" s="1"/>
      <c r="AD2895" s="1"/>
    </row>
    <row r="2896" spans="17:30">
      <c r="Q2896" s="6">
        <v>2866</v>
      </c>
      <c r="R2896" s="7">
        <v>45533</v>
      </c>
      <c r="S2896" s="210">
        <v>4.5</v>
      </c>
      <c r="T2896" s="8">
        <v>1.0001249999999999</v>
      </c>
      <c r="U2896" s="98">
        <v>4.4857585763733665</v>
      </c>
      <c r="V2896" s="106">
        <v>33761.805693663475</v>
      </c>
      <c r="W2896" s="10">
        <v>1.1898484095082651</v>
      </c>
      <c r="X2896" s="420"/>
      <c r="Y2896" s="420"/>
      <c r="Z2896" s="1"/>
      <c r="AA2896" s="1"/>
      <c r="AB2896" s="1"/>
      <c r="AC2896" s="1"/>
      <c r="AD2896" s="1"/>
    </row>
    <row r="2897" spans="17:30">
      <c r="Q2897" s="6">
        <v>2867</v>
      </c>
      <c r="R2897" s="7">
        <v>45534</v>
      </c>
      <c r="S2897" s="210">
        <v>4.5</v>
      </c>
      <c r="T2897" s="8">
        <v>1.0001249999999999</v>
      </c>
      <c r="U2897" s="98">
        <v>4.4858220460830545</v>
      </c>
      <c r="V2897" s="106">
        <v>33764.709336355278</v>
      </c>
      <c r="W2897" s="10">
        <v>1.1899332532773865</v>
      </c>
      <c r="X2897" s="420"/>
      <c r="Y2897" s="420"/>
      <c r="Z2897" s="1"/>
      <c r="AA2897" s="1"/>
      <c r="AB2897" s="1"/>
      <c r="AC2897" s="1"/>
      <c r="AD2897" s="1"/>
    </row>
    <row r="2898" spans="17:30">
      <c r="Q2898" s="6">
        <v>2868</v>
      </c>
      <c r="R2898" s="7">
        <v>45535</v>
      </c>
      <c r="S2898" s="210">
        <v>4.5</v>
      </c>
      <c r="T2898" s="8">
        <v>1.0001249999999999</v>
      </c>
      <c r="U2898" s="98">
        <v>4.4858854715706498</v>
      </c>
      <c r="V2898" s="106">
        <v>33767.613228771326</v>
      </c>
      <c r="W2898" s="10">
        <v>1.1900180379517789</v>
      </c>
      <c r="X2898" s="420"/>
      <c r="Y2898" s="420"/>
      <c r="Z2898" s="1"/>
      <c r="AA2898" s="1"/>
      <c r="AB2898" s="1"/>
      <c r="AC2898" s="1"/>
      <c r="AD2898" s="1"/>
    </row>
    <row r="2899" spans="17:30">
      <c r="Q2899" s="6">
        <v>2869</v>
      </c>
      <c r="R2899" s="7">
        <v>45536</v>
      </c>
      <c r="S2899" s="210">
        <v>4.5</v>
      </c>
      <c r="T2899" s="8">
        <v>1.0001249999999999</v>
      </c>
      <c r="U2899" s="98">
        <v>4.4859488528823599</v>
      </c>
      <c r="V2899" s="106">
        <v>33770.51737093307</v>
      </c>
      <c r="W2899" s="10">
        <v>1.1901027635931483</v>
      </c>
      <c r="X2899" s="420"/>
      <c r="Y2899" s="420"/>
      <c r="Z2899" s="1"/>
      <c r="AA2899" s="1"/>
      <c r="AB2899" s="1"/>
      <c r="AC2899" s="1"/>
      <c r="AD2899" s="1"/>
    </row>
    <row r="2900" spans="17:30">
      <c r="Q2900" s="6">
        <v>2870</v>
      </c>
      <c r="R2900" s="7">
        <v>45537</v>
      </c>
      <c r="S2900" s="210">
        <v>4.5</v>
      </c>
      <c r="T2900" s="8">
        <v>1.0001249999999999</v>
      </c>
      <c r="U2900" s="98">
        <v>4.4860121900643035</v>
      </c>
      <c r="V2900" s="106">
        <v>33773.421762862003</v>
      </c>
      <c r="W2900" s="10">
        <v>1.1901874302631121</v>
      </c>
      <c r="X2900" s="420"/>
      <c r="Y2900" s="420"/>
      <c r="Z2900" s="1"/>
      <c r="AA2900" s="1"/>
      <c r="AB2900" s="1"/>
      <c r="AC2900" s="1"/>
      <c r="AD2900" s="1"/>
    </row>
    <row r="2901" spans="17:30">
      <c r="Q2901" s="6">
        <v>2871</v>
      </c>
      <c r="R2901" s="7">
        <v>45538</v>
      </c>
      <c r="S2901" s="210">
        <v>4.5</v>
      </c>
      <c r="T2901" s="8">
        <v>1.0001249999999999</v>
      </c>
      <c r="U2901" s="98">
        <v>4.4860754831625771</v>
      </c>
      <c r="V2901" s="106">
        <v>33776.326404579602</v>
      </c>
      <c r="W2901" s="10">
        <v>1.1902720380232434</v>
      </c>
      <c r="X2901" s="420"/>
      <c r="Y2901" s="420"/>
      <c r="Z2901" s="1"/>
      <c r="AA2901" s="1"/>
      <c r="AB2901" s="1"/>
      <c r="AC2901" s="1"/>
      <c r="AD2901" s="1"/>
    </row>
    <row r="2902" spans="17:30">
      <c r="Q2902" s="6">
        <v>2872</v>
      </c>
      <c r="R2902" s="7">
        <v>45539</v>
      </c>
      <c r="S2902" s="210">
        <v>4.5</v>
      </c>
      <c r="T2902" s="8">
        <v>1.0001249999999999</v>
      </c>
      <c r="U2902" s="98">
        <v>4.4861387322231661</v>
      </c>
      <c r="V2902" s="106">
        <v>33779.231296107348</v>
      </c>
      <c r="W2902" s="10">
        <v>1.1903565869349597</v>
      </c>
      <c r="X2902" s="420"/>
      <c r="Y2902" s="420"/>
      <c r="Z2902" s="1"/>
      <c r="AA2902" s="1"/>
      <c r="AB2902" s="1"/>
      <c r="AC2902" s="1"/>
      <c r="AD2902" s="1"/>
    </row>
    <row r="2903" spans="17:30">
      <c r="Q2903" s="6">
        <v>2873</v>
      </c>
      <c r="R2903" s="7">
        <v>45540</v>
      </c>
      <c r="S2903" s="210">
        <v>4.5</v>
      </c>
      <c r="T2903" s="8">
        <v>1.0001249999999999</v>
      </c>
      <c r="U2903" s="98">
        <v>4.4862019372920336</v>
      </c>
      <c r="V2903" s="106">
        <v>33782.136437466725</v>
      </c>
      <c r="W2903" s="10">
        <v>1.1904410770597007</v>
      </c>
      <c r="X2903" s="420"/>
      <c r="Y2903" s="420"/>
      <c r="Z2903" s="1"/>
      <c r="AA2903" s="1"/>
      <c r="AB2903" s="1"/>
      <c r="AC2903" s="1"/>
      <c r="AD2903" s="1"/>
    </row>
    <row r="2904" spans="17:30">
      <c r="Q2904" s="6">
        <v>2874</v>
      </c>
      <c r="R2904" s="7">
        <v>45541</v>
      </c>
      <c r="S2904" s="210">
        <v>4.5</v>
      </c>
      <c r="T2904" s="8">
        <v>1.0001249999999999</v>
      </c>
      <c r="U2904" s="98">
        <v>4.4862650984150543</v>
      </c>
      <c r="V2904" s="106">
        <v>33785.041828679219</v>
      </c>
      <c r="W2904" s="10">
        <v>1.1905255084587063</v>
      </c>
      <c r="X2904" s="420"/>
      <c r="Y2904" s="420"/>
      <c r="Z2904" s="1"/>
      <c r="AA2904" s="1"/>
      <c r="AB2904" s="1"/>
      <c r="AC2904" s="1"/>
      <c r="AD2904" s="1"/>
    </row>
    <row r="2905" spans="17:30">
      <c r="Q2905" s="6">
        <v>2875</v>
      </c>
      <c r="R2905" s="7">
        <v>45542</v>
      </c>
      <c r="S2905" s="210">
        <v>4.5</v>
      </c>
      <c r="T2905" s="8">
        <v>1.0001249999999999</v>
      </c>
      <c r="U2905" s="98">
        <v>4.4863282156380357</v>
      </c>
      <c r="V2905" s="106">
        <v>33787.947469766332</v>
      </c>
      <c r="W2905" s="10">
        <v>1.1906098811932164</v>
      </c>
      <c r="X2905" s="420"/>
      <c r="Y2905" s="420"/>
      <c r="Z2905" s="1"/>
      <c r="AA2905" s="1"/>
      <c r="AB2905" s="1"/>
      <c r="AC2905" s="1"/>
      <c r="AD2905" s="1"/>
    </row>
    <row r="2906" spans="17:30">
      <c r="Q2906" s="6">
        <v>2876</v>
      </c>
      <c r="R2906" s="7">
        <v>45543</v>
      </c>
      <c r="S2906" s="210">
        <v>4.5</v>
      </c>
      <c r="T2906" s="8">
        <v>1.0001249999999999</v>
      </c>
      <c r="U2906" s="98">
        <v>4.4863912890067414</v>
      </c>
      <c r="V2906" s="106">
        <v>33790.853360749526</v>
      </c>
      <c r="W2906" s="10">
        <v>1.1906941953243155</v>
      </c>
      <c r="X2906" s="420"/>
      <c r="Y2906" s="420"/>
      <c r="Z2906" s="1"/>
      <c r="AA2906" s="1"/>
      <c r="AB2906" s="1"/>
      <c r="AC2906" s="1"/>
      <c r="AD2906" s="1"/>
    </row>
    <row r="2907" spans="17:30">
      <c r="Q2907" s="6">
        <v>2877</v>
      </c>
      <c r="R2907" s="7">
        <v>45544</v>
      </c>
      <c r="S2907" s="210">
        <v>4.5</v>
      </c>
      <c r="T2907" s="8">
        <v>1.0001249999999999</v>
      </c>
      <c r="U2907" s="98">
        <v>4.4864543185668682</v>
      </c>
      <c r="V2907" s="106">
        <v>33793.759501650326</v>
      </c>
      <c r="W2907" s="10">
        <v>1.1907784509130881</v>
      </c>
      <c r="X2907" s="420"/>
      <c r="Y2907" s="420"/>
      <c r="Z2907" s="1"/>
      <c r="AA2907" s="1"/>
      <c r="AB2907" s="1"/>
      <c r="AC2907" s="1"/>
      <c r="AD2907" s="1"/>
    </row>
    <row r="2908" spans="17:30">
      <c r="Q2908" s="6">
        <v>2878</v>
      </c>
      <c r="R2908" s="7">
        <v>45545</v>
      </c>
      <c r="S2908" s="210">
        <v>4.5</v>
      </c>
      <c r="T2908" s="8">
        <v>1.0001249999999999</v>
      </c>
      <c r="U2908" s="98">
        <v>4.4865173043640239</v>
      </c>
      <c r="V2908" s="106">
        <v>33796.665892490208</v>
      </c>
      <c r="W2908" s="10">
        <v>1.190862648020441</v>
      </c>
      <c r="X2908" s="420"/>
      <c r="Y2908" s="420"/>
      <c r="Z2908" s="1"/>
      <c r="AA2908" s="1"/>
      <c r="AB2908" s="1"/>
      <c r="AC2908" s="1"/>
      <c r="AD2908" s="1"/>
    </row>
    <row r="2909" spans="17:30">
      <c r="Q2909" s="6">
        <v>2879</v>
      </c>
      <c r="R2909" s="7">
        <v>45546</v>
      </c>
      <c r="S2909" s="210">
        <v>4.5</v>
      </c>
      <c r="T2909" s="8">
        <v>1.0001249999999999</v>
      </c>
      <c r="U2909" s="98">
        <v>4.4865802464437721</v>
      </c>
      <c r="V2909" s="106">
        <v>33799.572533290666</v>
      </c>
      <c r="W2909" s="10">
        <v>1.1909467867072365</v>
      </c>
      <c r="X2909" s="420"/>
      <c r="Y2909" s="420"/>
      <c r="Z2909" s="1"/>
      <c r="AA2909" s="1"/>
      <c r="AB2909" s="1"/>
      <c r="AC2909" s="1"/>
      <c r="AD2909" s="1"/>
    </row>
    <row r="2910" spans="17:30">
      <c r="Q2910" s="6">
        <v>2880</v>
      </c>
      <c r="R2910" s="7">
        <v>45547</v>
      </c>
      <c r="S2910" s="210">
        <v>4.5</v>
      </c>
      <c r="T2910" s="8">
        <v>1.0001249999999999</v>
      </c>
      <c r="U2910" s="98">
        <v>4.486643144851632</v>
      </c>
      <c r="V2910" s="106">
        <v>33802.479424073194</v>
      </c>
      <c r="W2910" s="10">
        <v>1.1910308670342928</v>
      </c>
      <c r="X2910" s="420"/>
      <c r="Y2910" s="420"/>
      <c r="Z2910" s="1"/>
      <c r="AA2910" s="1"/>
      <c r="AB2910" s="1"/>
      <c r="AC2910" s="1"/>
      <c r="AD2910" s="1"/>
    </row>
    <row r="2911" spans="17:30">
      <c r="Q2911" s="6">
        <v>2881</v>
      </c>
      <c r="R2911" s="7">
        <v>45548</v>
      </c>
      <c r="S2911" s="210">
        <v>4.5</v>
      </c>
      <c r="T2911" s="8">
        <v>1.0001249999999999</v>
      </c>
      <c r="U2911" s="98">
        <v>4.4867059996330116</v>
      </c>
      <c r="V2911" s="106">
        <v>33805.386564859313</v>
      </c>
      <c r="W2911" s="10">
        <v>1.1911148890622947</v>
      </c>
      <c r="X2911" s="420"/>
      <c r="Y2911" s="420"/>
      <c r="Z2911" s="1"/>
      <c r="AA2911" s="1"/>
      <c r="AB2911" s="1"/>
      <c r="AC2911" s="1"/>
      <c r="AD2911" s="1"/>
    </row>
    <row r="2912" spans="17:30">
      <c r="Q2912" s="6">
        <v>2882</v>
      </c>
      <c r="R2912" s="7">
        <v>45549</v>
      </c>
      <c r="S2912" s="210">
        <v>4.5</v>
      </c>
      <c r="T2912" s="8">
        <v>1.0001249999999999</v>
      </c>
      <c r="U2912" s="98">
        <v>4.4867688108333192</v>
      </c>
      <c r="V2912" s="106">
        <v>33808.293955670502</v>
      </c>
      <c r="W2912" s="10">
        <v>1.191198852851838</v>
      </c>
      <c r="X2912" s="420"/>
      <c r="Y2912" s="420"/>
      <c r="Z2912" s="1"/>
      <c r="AA2912" s="1"/>
      <c r="AB2912" s="1"/>
      <c r="AC2912" s="1"/>
      <c r="AD2912" s="1"/>
    </row>
    <row r="2913" spans="17:30">
      <c r="Q2913" s="6">
        <v>2883</v>
      </c>
      <c r="R2913" s="7">
        <v>45550</v>
      </c>
      <c r="S2913" s="210">
        <v>4.5</v>
      </c>
      <c r="T2913" s="8">
        <v>1.0001249999999999</v>
      </c>
      <c r="U2913" s="98">
        <v>4.4868315784978297</v>
      </c>
      <c r="V2913" s="106">
        <v>33811.20159652827</v>
      </c>
      <c r="W2913" s="10">
        <v>1.1912827584634744</v>
      </c>
      <c r="X2913" s="420"/>
      <c r="Y2913" s="420"/>
      <c r="Z2913" s="1"/>
      <c r="AA2913" s="1"/>
      <c r="AB2913" s="1"/>
      <c r="AC2913" s="1"/>
      <c r="AD2913" s="1"/>
    </row>
    <row r="2914" spans="17:30">
      <c r="Q2914" s="6">
        <v>2884</v>
      </c>
      <c r="R2914" s="7">
        <v>45551</v>
      </c>
      <c r="S2914" s="210">
        <v>4.5</v>
      </c>
      <c r="T2914" s="8">
        <v>1.0001249999999999</v>
      </c>
      <c r="U2914" s="98">
        <v>4.4868943026718178</v>
      </c>
      <c r="V2914" s="106">
        <v>33814.109487454123</v>
      </c>
      <c r="W2914" s="10">
        <v>1.1913666059576444</v>
      </c>
      <c r="X2914" s="420"/>
      <c r="Y2914" s="420"/>
      <c r="Z2914" s="1"/>
      <c r="AA2914" s="1"/>
      <c r="AB2914" s="1"/>
      <c r="AC2914" s="1"/>
      <c r="AD2914" s="1"/>
    </row>
    <row r="2915" spans="17:30">
      <c r="Q2915" s="6">
        <v>2885</v>
      </c>
      <c r="R2915" s="7">
        <v>45552</v>
      </c>
      <c r="S2915" s="210">
        <v>4.5</v>
      </c>
      <c r="T2915" s="8">
        <v>1.0001249999999999</v>
      </c>
      <c r="U2915" s="98">
        <v>4.4869569834004475</v>
      </c>
      <c r="V2915" s="106">
        <v>33817.017628469577</v>
      </c>
      <c r="W2915" s="10">
        <v>1.1914503953946998</v>
      </c>
      <c r="X2915" s="420"/>
      <c r="Y2915" s="420"/>
      <c r="Z2915" s="1"/>
      <c r="AA2915" s="1"/>
      <c r="AB2915" s="1"/>
      <c r="AC2915" s="1"/>
      <c r="AD2915" s="1"/>
    </row>
    <row r="2916" spans="17:30">
      <c r="Q2916" s="6">
        <v>2886</v>
      </c>
      <c r="R2916" s="7">
        <v>45553</v>
      </c>
      <c r="S2916" s="210">
        <v>4.5</v>
      </c>
      <c r="T2916" s="8">
        <v>1.0001249999999999</v>
      </c>
      <c r="U2916" s="98">
        <v>4.4870196207288604</v>
      </c>
      <c r="V2916" s="106">
        <v>33819.926019596125</v>
      </c>
      <c r="W2916" s="10">
        <v>1.1915341268349255</v>
      </c>
      <c r="X2916" s="420"/>
      <c r="Y2916" s="420"/>
      <c r="Z2916" s="1"/>
      <c r="AA2916" s="1"/>
      <c r="AB2916" s="1"/>
      <c r="AC2916" s="1"/>
      <c r="AD2916" s="1"/>
    </row>
    <row r="2917" spans="17:30">
      <c r="Q2917" s="6">
        <v>2887</v>
      </c>
      <c r="R2917" s="7">
        <v>45554</v>
      </c>
      <c r="S2917" s="210">
        <v>4.5</v>
      </c>
      <c r="T2917" s="8">
        <v>1.0001249999999999</v>
      </c>
      <c r="U2917" s="98">
        <v>4.4870822147021094</v>
      </c>
      <c r="V2917" s="106">
        <v>33822.834660855289</v>
      </c>
      <c r="W2917" s="10">
        <v>1.1916178003385403</v>
      </c>
      <c r="X2917" s="420"/>
      <c r="Y2917" s="420"/>
      <c r="Z2917" s="1"/>
      <c r="AA2917" s="1"/>
      <c r="AB2917" s="1"/>
      <c r="AC2917" s="1"/>
      <c r="AD2917" s="1"/>
    </row>
    <row r="2918" spans="17:30">
      <c r="Q2918" s="6">
        <v>2888</v>
      </c>
      <c r="R2918" s="7">
        <v>45555</v>
      </c>
      <c r="S2918" s="210">
        <v>4.5</v>
      </c>
      <c r="T2918" s="8">
        <v>1.0001249999999999</v>
      </c>
      <c r="U2918" s="98">
        <v>4.4871447653651808</v>
      </c>
      <c r="V2918" s="106">
        <v>33825.743552268577</v>
      </c>
      <c r="W2918" s="10">
        <v>1.191701415965607</v>
      </c>
      <c r="X2918" s="420"/>
      <c r="Y2918" s="420"/>
      <c r="Z2918" s="1"/>
      <c r="AA2918" s="1"/>
      <c r="AB2918" s="1"/>
      <c r="AC2918" s="1"/>
      <c r="AD2918" s="1"/>
    </row>
    <row r="2919" spans="17:30">
      <c r="Q2919" s="6">
        <v>2889</v>
      </c>
      <c r="R2919" s="7">
        <v>45556</v>
      </c>
      <c r="S2919" s="210">
        <v>4.5</v>
      </c>
      <c r="T2919" s="8">
        <v>1.0001249999999999</v>
      </c>
      <c r="U2919" s="98">
        <v>4.4872072727630163</v>
      </c>
      <c r="V2919" s="106">
        <v>33828.652693857504</v>
      </c>
      <c r="W2919" s="10">
        <v>1.1917849737761665</v>
      </c>
      <c r="X2919" s="420"/>
      <c r="Y2919" s="420"/>
      <c r="Z2919" s="1"/>
      <c r="AA2919" s="1"/>
      <c r="AB2919" s="1"/>
      <c r="AC2919" s="1"/>
      <c r="AD2919" s="1"/>
    </row>
    <row r="2920" spans="17:30">
      <c r="Q2920" s="6">
        <v>2890</v>
      </c>
      <c r="R2920" s="7">
        <v>45557</v>
      </c>
      <c r="S2920" s="210">
        <v>4.5</v>
      </c>
      <c r="T2920" s="8">
        <v>1.0001249999999999</v>
      </c>
      <c r="U2920" s="98">
        <v>4.4872697369404912</v>
      </c>
      <c r="V2920" s="106">
        <v>33831.562085643585</v>
      </c>
      <c r="W2920" s="10">
        <v>1.191868473830171</v>
      </c>
      <c r="X2920" s="420"/>
      <c r="Y2920" s="420"/>
      <c r="Z2920" s="1"/>
      <c r="AA2920" s="1"/>
      <c r="AB2920" s="1"/>
      <c r="AC2920" s="1"/>
      <c r="AD2920" s="1"/>
    </row>
    <row r="2921" spans="17:30">
      <c r="Q2921" s="6">
        <v>2891</v>
      </c>
      <c r="R2921" s="7">
        <v>45558</v>
      </c>
      <c r="S2921" s="210">
        <v>4.5</v>
      </c>
      <c r="T2921" s="8">
        <v>1.0001249999999999</v>
      </c>
      <c r="U2921" s="98">
        <v>4.4873321579424363</v>
      </c>
      <c r="V2921" s="106">
        <v>33834.471727648335</v>
      </c>
      <c r="W2921" s="10">
        <v>1.191951916187528</v>
      </c>
      <c r="X2921" s="420"/>
      <c r="Y2921" s="420"/>
      <c r="Z2921" s="1"/>
      <c r="AA2921" s="1"/>
      <c r="AB2921" s="1"/>
      <c r="AC2921" s="1"/>
      <c r="AD2921" s="1"/>
    </row>
    <row r="2922" spans="17:30">
      <c r="Q2922" s="6">
        <v>2892</v>
      </c>
      <c r="R2922" s="7">
        <v>45559</v>
      </c>
      <c r="S2922" s="210">
        <v>4.5</v>
      </c>
      <c r="T2922" s="8">
        <v>1.0001249999999999</v>
      </c>
      <c r="U2922" s="98">
        <v>4.4873945358135714</v>
      </c>
      <c r="V2922" s="106">
        <v>33837.381619893276</v>
      </c>
      <c r="W2922" s="10">
        <v>1.1920353009079676</v>
      </c>
      <c r="X2922" s="420"/>
      <c r="Y2922" s="420"/>
      <c r="Z2922" s="1"/>
      <c r="AA2922" s="1"/>
      <c r="AB2922" s="1"/>
      <c r="AC2922" s="1"/>
      <c r="AD2922" s="1"/>
    </row>
    <row r="2923" spans="17:30">
      <c r="Q2923" s="6">
        <v>2893</v>
      </c>
      <c r="R2923" s="7">
        <v>45560</v>
      </c>
      <c r="S2923" s="210">
        <v>4.5</v>
      </c>
      <c r="T2923" s="8">
        <v>1.0001249999999999</v>
      </c>
      <c r="U2923" s="98">
        <v>4.487456870598594</v>
      </c>
      <c r="V2923" s="106">
        <v>33840.291762399938</v>
      </c>
      <c r="W2923" s="10">
        <v>1.1921186280511975</v>
      </c>
      <c r="X2923" s="420"/>
      <c r="Y2923" s="420"/>
      <c r="Z2923" s="1"/>
      <c r="AA2923" s="1"/>
      <c r="AB2923" s="1"/>
      <c r="AC2923" s="1"/>
      <c r="AD2923" s="1"/>
    </row>
    <row r="2924" spans="17:30">
      <c r="Q2924" s="6">
        <v>2894</v>
      </c>
      <c r="R2924" s="7">
        <v>45561</v>
      </c>
      <c r="S2924" s="210">
        <v>4.5</v>
      </c>
      <c r="T2924" s="8">
        <v>1.0001249999999999</v>
      </c>
      <c r="U2924" s="98">
        <v>4.4875191623421351</v>
      </c>
      <c r="V2924" s="106">
        <v>33843.202155189829</v>
      </c>
      <c r="W2924" s="10">
        <v>1.1922018976768145</v>
      </c>
      <c r="X2924" s="420"/>
      <c r="Y2924" s="420"/>
      <c r="Z2924" s="1"/>
      <c r="AA2924" s="1"/>
      <c r="AB2924" s="1"/>
      <c r="AC2924" s="1"/>
      <c r="AD2924" s="1"/>
    </row>
    <row r="2925" spans="17:30">
      <c r="Q2925" s="6">
        <v>2895</v>
      </c>
      <c r="R2925" s="7">
        <v>45562</v>
      </c>
      <c r="S2925" s="210">
        <v>4.5</v>
      </c>
      <c r="T2925" s="8">
        <v>1.0001249999999999</v>
      </c>
      <c r="U2925" s="98">
        <v>4.4875814110887591</v>
      </c>
      <c r="V2925" s="106">
        <v>33846.112798284492</v>
      </c>
      <c r="W2925" s="10">
        <v>1.1922851098443932</v>
      </c>
      <c r="X2925" s="420"/>
      <c r="Y2925" s="420"/>
      <c r="Z2925" s="1"/>
      <c r="AA2925" s="1"/>
      <c r="AB2925" s="1"/>
      <c r="AC2925" s="1"/>
      <c r="AD2925" s="1"/>
    </row>
    <row r="2926" spans="17:30">
      <c r="Q2926" s="6">
        <v>2896</v>
      </c>
      <c r="R2926" s="7">
        <v>45563</v>
      </c>
      <c r="S2926" s="210">
        <v>4.5</v>
      </c>
      <c r="T2926" s="8">
        <v>1.0001249999999999</v>
      </c>
      <c r="U2926" s="98">
        <v>4.4876436168829636</v>
      </c>
      <c r="V2926" s="106">
        <v>33849.023691705443</v>
      </c>
      <c r="W2926" s="10">
        <v>1.1923682646133749</v>
      </c>
      <c r="X2926" s="420"/>
      <c r="Y2926" s="420"/>
      <c r="Z2926" s="1"/>
      <c r="AA2926" s="1"/>
      <c r="AB2926" s="1"/>
      <c r="AC2926" s="1"/>
      <c r="AD2926" s="1"/>
    </row>
    <row r="2927" spans="17:30">
      <c r="Q2927" s="6">
        <v>2897</v>
      </c>
      <c r="R2927" s="7">
        <v>45564</v>
      </c>
      <c r="S2927" s="210">
        <v>4.5</v>
      </c>
      <c r="T2927" s="8">
        <v>1.0001249999999999</v>
      </c>
      <c r="U2927" s="98">
        <v>4.4877057797691799</v>
      </c>
      <c r="V2927" s="106">
        <v>33851.934835474203</v>
      </c>
      <c r="W2927" s="10">
        <v>1.1924513620430899</v>
      </c>
      <c r="X2927" s="420"/>
      <c r="Y2927" s="420"/>
      <c r="Z2927" s="1"/>
      <c r="AA2927" s="1"/>
      <c r="AB2927" s="1"/>
      <c r="AC2927" s="1"/>
      <c r="AD2927" s="1"/>
    </row>
    <row r="2928" spans="17:30">
      <c r="Q2928" s="6">
        <v>2898</v>
      </c>
      <c r="R2928" s="7">
        <v>45565</v>
      </c>
      <c r="S2928" s="210">
        <v>4.5</v>
      </c>
      <c r="T2928" s="8">
        <v>1.0001249999999999</v>
      </c>
      <c r="U2928" s="98">
        <v>4.4877678997917947</v>
      </c>
      <c r="V2928" s="106">
        <v>33854.846229612318</v>
      </c>
      <c r="W2928" s="10">
        <v>1.1925344021928463</v>
      </c>
      <c r="X2928" s="420"/>
      <c r="Y2928" s="420"/>
      <c r="Z2928" s="1"/>
      <c r="AA2928" s="1"/>
      <c r="AB2928" s="1"/>
      <c r="AC2928" s="1"/>
      <c r="AD2928" s="1"/>
    </row>
    <row r="2929" spans="17:30">
      <c r="Q2929" s="6">
        <v>2899</v>
      </c>
      <c r="R2929" s="7">
        <v>45566</v>
      </c>
      <c r="S2929" s="210">
        <v>4.5</v>
      </c>
      <c r="T2929" s="8">
        <v>1.0001249999999999</v>
      </c>
      <c r="U2929" s="98">
        <v>4.487829976995128</v>
      </c>
      <c r="V2929" s="106">
        <v>33857.757874141316</v>
      </c>
      <c r="W2929" s="10">
        <v>1.1926173851218413</v>
      </c>
      <c r="X2929" s="420"/>
      <c r="Y2929" s="420"/>
      <c r="Z2929" s="1"/>
      <c r="AA2929" s="1"/>
      <c r="AB2929" s="1"/>
      <c r="AC2929" s="1"/>
      <c r="AD2929" s="1"/>
    </row>
    <row r="2930" spans="17:30">
      <c r="Q2930" s="6">
        <v>2900</v>
      </c>
      <c r="R2930" s="7">
        <v>45567</v>
      </c>
      <c r="S2930" s="210">
        <v>4.5</v>
      </c>
      <c r="T2930" s="8">
        <v>1.0001249999999999</v>
      </c>
      <c r="U2930" s="98">
        <v>4.4878920114234555</v>
      </c>
      <c r="V2930" s="106">
        <v>33860.669769082728</v>
      </c>
      <c r="W2930" s="10">
        <v>1.1927003108892276</v>
      </c>
      <c r="X2930" s="420"/>
      <c r="Y2930" s="420"/>
      <c r="Z2930" s="1"/>
      <c r="AA2930" s="1"/>
      <c r="AB2930" s="1"/>
      <c r="AC2930" s="1"/>
      <c r="AD2930" s="1"/>
    </row>
    <row r="2931" spans="17:30">
      <c r="Q2931" s="6">
        <v>2901</v>
      </c>
      <c r="R2931" s="7">
        <v>45568</v>
      </c>
      <c r="S2931" s="210">
        <v>4.5</v>
      </c>
      <c r="T2931" s="8">
        <v>1.0001249999999999</v>
      </c>
      <c r="U2931" s="98">
        <v>4.4879540031209419</v>
      </c>
      <c r="V2931" s="106">
        <v>33863.581914458096</v>
      </c>
      <c r="W2931" s="10">
        <v>1.1927831795540245</v>
      </c>
      <c r="X2931" s="420"/>
      <c r="Y2931" s="420"/>
      <c r="Z2931" s="1"/>
      <c r="AA2931" s="1"/>
      <c r="AB2931" s="1"/>
      <c r="AC2931" s="1"/>
      <c r="AD2931" s="1"/>
    </row>
    <row r="2932" spans="17:30">
      <c r="Q2932" s="6">
        <v>2902</v>
      </c>
      <c r="R2932" s="7">
        <v>45569</v>
      </c>
      <c r="S2932" s="210">
        <v>4.5</v>
      </c>
      <c r="T2932" s="8">
        <v>1.0001249999999999</v>
      </c>
      <c r="U2932" s="98">
        <v>4.488015952131752</v>
      </c>
      <c r="V2932" s="106">
        <v>33866.494310288959</v>
      </c>
      <c r="W2932" s="10">
        <v>1.1928659911752071</v>
      </c>
      <c r="X2932" s="420"/>
      <c r="Y2932" s="420"/>
      <c r="Z2932" s="1"/>
      <c r="AA2932" s="1"/>
      <c r="AB2932" s="1"/>
      <c r="AC2932" s="1"/>
      <c r="AD2932" s="1"/>
    </row>
    <row r="2933" spans="17:30">
      <c r="Q2933" s="6">
        <v>2903</v>
      </c>
      <c r="R2933" s="7">
        <v>45570</v>
      </c>
      <c r="S2933" s="210">
        <v>4.5</v>
      </c>
      <c r="T2933" s="8">
        <v>1.0001249999999999</v>
      </c>
      <c r="U2933" s="98">
        <v>4.4880778584999392</v>
      </c>
      <c r="V2933" s="106">
        <v>33869.406956596853</v>
      </c>
      <c r="W2933" s="10">
        <v>1.1929487458116395</v>
      </c>
      <c r="X2933" s="420"/>
      <c r="Y2933" s="420"/>
      <c r="Z2933" s="1"/>
      <c r="AA2933" s="1"/>
      <c r="AB2933" s="1"/>
      <c r="AC2933" s="1"/>
      <c r="AD2933" s="1"/>
    </row>
    <row r="2934" spans="17:30">
      <c r="Q2934" s="6">
        <v>2904</v>
      </c>
      <c r="R2934" s="7">
        <v>45571</v>
      </c>
      <c r="S2934" s="210">
        <v>4.5</v>
      </c>
      <c r="T2934" s="8">
        <v>1.0001249999999999</v>
      </c>
      <c r="U2934" s="98">
        <v>4.4881397222695352</v>
      </c>
      <c r="V2934" s="106">
        <v>33872.319853403307</v>
      </c>
      <c r="W2934" s="10">
        <v>1.1930314435221412</v>
      </c>
      <c r="X2934" s="420"/>
      <c r="Y2934" s="420"/>
      <c r="Z2934" s="1"/>
      <c r="AA2934" s="1"/>
      <c r="AB2934" s="1"/>
      <c r="AC2934" s="1"/>
      <c r="AD2934" s="1"/>
    </row>
    <row r="2935" spans="17:30">
      <c r="Q2935" s="6">
        <v>2905</v>
      </c>
      <c r="R2935" s="7">
        <v>45572</v>
      </c>
      <c r="S2935" s="210">
        <v>4.5</v>
      </c>
      <c r="T2935" s="8">
        <v>1.0001249999999999</v>
      </c>
      <c r="U2935" s="98">
        <v>4.4882015434844824</v>
      </c>
      <c r="V2935" s="106">
        <v>33875.233000729895</v>
      </c>
      <c r="W2935" s="10">
        <v>1.1931140843653987</v>
      </c>
      <c r="X2935" s="420"/>
      <c r="Y2935" s="420"/>
      <c r="Z2935" s="1"/>
      <c r="AA2935" s="1"/>
      <c r="AB2935" s="1"/>
      <c r="AC2935" s="1"/>
      <c r="AD2935" s="1"/>
    </row>
    <row r="2936" spans="17:30">
      <c r="Q2936" s="6">
        <v>2906</v>
      </c>
      <c r="R2936" s="7">
        <v>45573</v>
      </c>
      <c r="S2936" s="210">
        <v>4.5</v>
      </c>
      <c r="T2936" s="8">
        <v>1.0001249999999999</v>
      </c>
      <c r="U2936" s="98">
        <v>4.4882633221886792</v>
      </c>
      <c r="V2936" s="106">
        <v>33878.146398598132</v>
      </c>
      <c r="W2936" s="10">
        <v>1.1931966684000761</v>
      </c>
      <c r="X2936" s="420"/>
      <c r="Y2936" s="420"/>
      <c r="Z2936" s="1"/>
      <c r="AA2936" s="1"/>
      <c r="AB2936" s="1"/>
      <c r="AC2936" s="1"/>
      <c r="AD2936" s="1"/>
    </row>
    <row r="2937" spans="17:30">
      <c r="Q2937" s="6">
        <v>2907</v>
      </c>
      <c r="R2937" s="7">
        <v>45574</v>
      </c>
      <c r="S2937" s="210">
        <v>4.5</v>
      </c>
      <c r="T2937" s="8">
        <v>1.0001249999999999</v>
      </c>
      <c r="U2937" s="98">
        <v>4.4883250584259571</v>
      </c>
      <c r="V2937" s="106">
        <v>33881.06004702959</v>
      </c>
      <c r="W2937" s="10">
        <v>1.1932791956847266</v>
      </c>
      <c r="X2937" s="420"/>
      <c r="Y2937" s="420"/>
      <c r="Z2937" s="1"/>
      <c r="AA2937" s="1"/>
      <c r="AB2937" s="1"/>
      <c r="AC2937" s="1"/>
      <c r="AD2937" s="1"/>
    </row>
    <row r="2938" spans="17:30">
      <c r="Q2938" s="6">
        <v>2908</v>
      </c>
      <c r="R2938" s="7">
        <v>45575</v>
      </c>
      <c r="S2938" s="210">
        <v>4.5</v>
      </c>
      <c r="T2938" s="8">
        <v>1.0001249999999999</v>
      </c>
      <c r="U2938" s="98">
        <v>4.4883867522400811</v>
      </c>
      <c r="V2938" s="106">
        <v>33883.973946045808</v>
      </c>
      <c r="W2938" s="10">
        <v>1.1933616662777924</v>
      </c>
      <c r="X2938" s="420"/>
      <c r="Y2938" s="420"/>
      <c r="Z2938" s="1"/>
      <c r="AA2938" s="1"/>
      <c r="AB2938" s="1"/>
      <c r="AC2938" s="1"/>
      <c r="AD2938" s="1"/>
    </row>
    <row r="2939" spans="17:30">
      <c r="Q2939" s="6">
        <v>2909</v>
      </c>
      <c r="R2939" s="7">
        <v>45576</v>
      </c>
      <c r="S2939" s="210">
        <v>4.5</v>
      </c>
      <c r="T2939" s="8">
        <v>1.0001249999999999</v>
      </c>
      <c r="U2939" s="98">
        <v>4.4884484036747718</v>
      </c>
      <c r="V2939" s="106">
        <v>33886.888095668335</v>
      </c>
      <c r="W2939" s="10">
        <v>1.1934440802377155</v>
      </c>
      <c r="X2939" s="420"/>
      <c r="Y2939" s="420"/>
      <c r="Z2939" s="1"/>
      <c r="AA2939" s="1"/>
      <c r="AB2939" s="1"/>
      <c r="AC2939" s="1"/>
      <c r="AD2939" s="1"/>
    </row>
    <row r="2940" spans="17:30">
      <c r="Q2940" s="6">
        <v>2910</v>
      </c>
      <c r="R2940" s="7">
        <v>45577</v>
      </c>
      <c r="S2940" s="210">
        <v>4.5</v>
      </c>
      <c r="T2940" s="8">
        <v>1.0001249999999999</v>
      </c>
      <c r="U2940" s="98">
        <v>4.4885100127736832</v>
      </c>
      <c r="V2940" s="106">
        <v>33889.802495918724</v>
      </c>
      <c r="W2940" s="10">
        <v>1.1935264376227828</v>
      </c>
      <c r="X2940" s="420"/>
      <c r="Y2940" s="420"/>
      <c r="Z2940" s="1"/>
      <c r="AA2940" s="1"/>
      <c r="AB2940" s="1"/>
      <c r="AC2940" s="1"/>
      <c r="AD2940" s="1"/>
    </row>
    <row r="2941" spans="17:30">
      <c r="Q2941" s="6">
        <v>2911</v>
      </c>
      <c r="R2941" s="7">
        <v>45578</v>
      </c>
      <c r="S2941" s="210">
        <v>4.5</v>
      </c>
      <c r="T2941" s="8">
        <v>1.0001249999999999</v>
      </c>
      <c r="U2941" s="98">
        <v>4.4885715795804026</v>
      </c>
      <c r="V2941" s="106">
        <v>33892.717146818533</v>
      </c>
      <c r="W2941" s="10">
        <v>1.1936087384912586</v>
      </c>
      <c r="X2941" s="420"/>
      <c r="Y2941" s="420"/>
      <c r="Z2941" s="1"/>
      <c r="AA2941" s="1"/>
      <c r="AB2941" s="1"/>
      <c r="AC2941" s="1"/>
      <c r="AD2941" s="1"/>
    </row>
    <row r="2942" spans="17:30">
      <c r="Q2942" s="6">
        <v>2912</v>
      </c>
      <c r="R2942" s="7">
        <v>45579</v>
      </c>
      <c r="S2942" s="210">
        <v>4.5</v>
      </c>
      <c r="T2942" s="8">
        <v>1.0001249999999999</v>
      </c>
      <c r="U2942" s="98">
        <v>4.4886331041384731</v>
      </c>
      <c r="V2942" s="106">
        <v>33895.632048389314</v>
      </c>
      <c r="W2942" s="10">
        <v>1.1936909829012521</v>
      </c>
      <c r="X2942" s="420"/>
      <c r="Y2942" s="420"/>
      <c r="Z2942" s="1"/>
      <c r="AA2942" s="1"/>
      <c r="AB2942" s="1"/>
      <c r="AC2942" s="1"/>
      <c r="AD2942" s="1"/>
    </row>
    <row r="2943" spans="17:30">
      <c r="Q2943" s="6">
        <v>2913</v>
      </c>
      <c r="R2943" s="7">
        <v>45580</v>
      </c>
      <c r="S2943" s="210">
        <v>4.5</v>
      </c>
      <c r="T2943" s="8">
        <v>1.0001249999999999</v>
      </c>
      <c r="U2943" s="98">
        <v>4.4886945864913486</v>
      </c>
      <c r="V2943" s="106">
        <v>33898.54720065264</v>
      </c>
      <c r="W2943" s="10">
        <v>1.1937731709108723</v>
      </c>
      <c r="X2943" s="420"/>
      <c r="Y2943" s="420"/>
      <c r="Z2943" s="1"/>
      <c r="AA2943" s="1"/>
      <c r="AB2943" s="1"/>
      <c r="AC2943" s="1"/>
      <c r="AD2943" s="1"/>
    </row>
    <row r="2944" spans="17:30">
      <c r="Q2944" s="6">
        <v>2914</v>
      </c>
      <c r="R2944" s="7">
        <v>45581</v>
      </c>
      <c r="S2944" s="210">
        <v>4.5</v>
      </c>
      <c r="T2944" s="8">
        <v>1.0001249999999999</v>
      </c>
      <c r="U2944" s="98">
        <v>4.4887560266824611</v>
      </c>
      <c r="V2944" s="106">
        <v>33901.462603630054</v>
      </c>
      <c r="W2944" s="10">
        <v>1.1938553025781173</v>
      </c>
      <c r="X2944" s="420"/>
      <c r="Y2944" s="420"/>
      <c r="Z2944" s="1"/>
      <c r="AA2944" s="1"/>
      <c r="AB2944" s="1"/>
      <c r="AC2944" s="1"/>
      <c r="AD2944" s="1"/>
    </row>
    <row r="2945" spans="17:30">
      <c r="Q2945" s="6">
        <v>2915</v>
      </c>
      <c r="R2945" s="7">
        <v>45582</v>
      </c>
      <c r="S2945" s="210">
        <v>4.5</v>
      </c>
      <c r="T2945" s="8">
        <v>1.0001249999999999</v>
      </c>
      <c r="U2945" s="98">
        <v>4.4888174247551538</v>
      </c>
      <c r="V2945" s="106">
        <v>33904.378257343124</v>
      </c>
      <c r="W2945" s="10">
        <v>1.1939373779608964</v>
      </c>
      <c r="X2945" s="420"/>
      <c r="Y2945" s="420"/>
      <c r="Z2945" s="1"/>
      <c r="AA2945" s="1"/>
      <c r="AB2945" s="1"/>
      <c r="AC2945" s="1"/>
      <c r="AD2945" s="1"/>
    </row>
    <row r="2946" spans="17:30">
      <c r="Q2946" s="6">
        <v>2916</v>
      </c>
      <c r="R2946" s="7">
        <v>45583</v>
      </c>
      <c r="S2946" s="210">
        <v>4.5</v>
      </c>
      <c r="T2946" s="8">
        <v>1.0001249999999999</v>
      </c>
      <c r="U2946" s="98">
        <v>4.4888787807527253</v>
      </c>
      <c r="V2946" s="106">
        <v>33907.294161813421</v>
      </c>
      <c r="W2946" s="10">
        <v>1.1940193971170299</v>
      </c>
      <c r="X2946" s="420"/>
      <c r="Y2946" s="420"/>
      <c r="Z2946" s="1"/>
      <c r="AA2946" s="1"/>
      <c r="AB2946" s="1"/>
      <c r="AC2946" s="1"/>
      <c r="AD2946" s="1"/>
    </row>
    <row r="2947" spans="17:30">
      <c r="Q2947" s="6">
        <v>2917</v>
      </c>
      <c r="R2947" s="7">
        <v>45584</v>
      </c>
      <c r="S2947" s="210">
        <v>4.5</v>
      </c>
      <c r="T2947" s="8">
        <v>1.0001249999999999</v>
      </c>
      <c r="U2947" s="98">
        <v>4.4889400947184299</v>
      </c>
      <c r="V2947" s="106">
        <v>33910.210317062505</v>
      </c>
      <c r="W2947" s="10">
        <v>1.194101360104316</v>
      </c>
      <c r="X2947" s="420"/>
      <c r="Y2947" s="420"/>
      <c r="Z2947" s="1"/>
      <c r="AA2947" s="1"/>
      <c r="AB2947" s="1"/>
      <c r="AC2947" s="1"/>
      <c r="AD2947" s="1"/>
    </row>
    <row r="2948" spans="17:30">
      <c r="Q2948" s="6">
        <v>2918</v>
      </c>
      <c r="R2948" s="7">
        <v>45585</v>
      </c>
      <c r="S2948" s="210">
        <v>4.5</v>
      </c>
      <c r="T2948" s="8">
        <v>1.0001249999999999</v>
      </c>
      <c r="U2948" s="98">
        <v>4.4890013666954109</v>
      </c>
      <c r="V2948" s="106">
        <v>33913.126723111942</v>
      </c>
      <c r="W2948" s="10">
        <v>1.1941832669803976</v>
      </c>
      <c r="X2948" s="420"/>
      <c r="Y2948" s="420"/>
      <c r="Z2948" s="1"/>
      <c r="AA2948" s="1"/>
      <c r="AB2948" s="1"/>
      <c r="AC2948" s="1"/>
      <c r="AD2948" s="1"/>
    </row>
    <row r="2949" spans="17:30">
      <c r="Q2949" s="6">
        <v>2919</v>
      </c>
      <c r="R2949" s="7">
        <v>45586</v>
      </c>
      <c r="S2949" s="210">
        <v>4.5</v>
      </c>
      <c r="T2949" s="8">
        <v>1.0001249999999999</v>
      </c>
      <c r="U2949" s="98">
        <v>4.4890625967268116</v>
      </c>
      <c r="V2949" s="106">
        <v>33916.043379983304</v>
      </c>
      <c r="W2949" s="10">
        <v>1.1942651178028951</v>
      </c>
      <c r="X2949" s="420"/>
      <c r="Y2949" s="420"/>
      <c r="Z2949" s="1"/>
      <c r="AA2949" s="1"/>
      <c r="AB2949" s="1"/>
      <c r="AC2949" s="1"/>
      <c r="AD2949" s="1"/>
    </row>
    <row r="2950" spans="17:30">
      <c r="Q2950" s="6">
        <v>2920</v>
      </c>
      <c r="R2950" s="7">
        <v>45587</v>
      </c>
      <c r="S2950" s="210">
        <v>4.5</v>
      </c>
      <c r="T2950" s="8">
        <v>1.0001249999999999</v>
      </c>
      <c r="U2950" s="98">
        <v>4.4891237848556642</v>
      </c>
      <c r="V2950" s="106">
        <v>33918.960287698166</v>
      </c>
      <c r="W2950" s="10">
        <v>1.1943469126293182</v>
      </c>
      <c r="X2950" s="420"/>
      <c r="Y2950" s="420"/>
      <c r="Z2950" s="1"/>
      <c r="AA2950" s="1"/>
      <c r="AB2950" s="1"/>
      <c r="AC2950" s="1"/>
      <c r="AD2950" s="1"/>
    </row>
    <row r="2951" spans="17:30">
      <c r="Q2951" s="6">
        <v>2921</v>
      </c>
      <c r="R2951" s="7">
        <v>45588</v>
      </c>
      <c r="S2951" s="210">
        <v>4.5</v>
      </c>
      <c r="T2951" s="8">
        <v>1.0001249999999999</v>
      </c>
      <c r="U2951" s="98">
        <v>4.4891849311249787</v>
      </c>
      <c r="V2951" s="106">
        <v>33921.8774462781</v>
      </c>
      <c r="W2951" s="10">
        <v>1.1944286515170877</v>
      </c>
      <c r="X2951" s="420"/>
      <c r="Y2951" s="420"/>
      <c r="Z2951" s="1"/>
      <c r="AA2951" s="1"/>
      <c r="AB2951" s="1"/>
      <c r="AC2951" s="1"/>
      <c r="AD2951" s="1"/>
    </row>
    <row r="2952" spans="17:30">
      <c r="Q2952" s="6">
        <v>2922</v>
      </c>
      <c r="R2952" s="7">
        <v>45589</v>
      </c>
      <c r="S2952" s="210">
        <v>4.5</v>
      </c>
      <c r="T2952" s="8">
        <v>1.0001249999999999</v>
      </c>
      <c r="U2952" s="98">
        <v>4.4892460355776986</v>
      </c>
      <c r="V2952" s="106">
        <v>33924.794855744673</v>
      </c>
      <c r="W2952" s="10">
        <v>1.1945103345236241</v>
      </c>
      <c r="X2952" s="420"/>
      <c r="Y2952" s="420"/>
      <c r="Z2952" s="1"/>
      <c r="AA2952" s="1"/>
      <c r="AB2952" s="1"/>
      <c r="AC2952" s="1"/>
      <c r="AD2952" s="1"/>
    </row>
    <row r="2953" spans="17:30">
      <c r="Q2953" s="6">
        <v>2923</v>
      </c>
      <c r="R2953" s="7">
        <v>45590</v>
      </c>
      <c r="S2953" s="210">
        <v>4.5</v>
      </c>
      <c r="T2953" s="8">
        <v>1.0001249999999999</v>
      </c>
      <c r="U2953" s="98">
        <v>4.4893070982567229</v>
      </c>
      <c r="V2953" s="106">
        <v>33927.712516119471</v>
      </c>
      <c r="W2953" s="10">
        <v>1.1945919617061707</v>
      </c>
      <c r="X2953" s="420"/>
      <c r="Y2953" s="420"/>
      <c r="Z2953" s="1"/>
      <c r="AA2953" s="1"/>
      <c r="AB2953" s="1"/>
      <c r="AC2953" s="1"/>
      <c r="AD2953" s="1"/>
    </row>
    <row r="2954" spans="17:30">
      <c r="Q2954" s="6">
        <v>2924</v>
      </c>
      <c r="R2954" s="7">
        <v>45591</v>
      </c>
      <c r="S2954" s="210">
        <v>4.5</v>
      </c>
      <c r="T2954" s="8">
        <v>1.0001249999999999</v>
      </c>
      <c r="U2954" s="98">
        <v>4.4893681192048396</v>
      </c>
      <c r="V2954" s="106">
        <v>33930.630427424076</v>
      </c>
      <c r="W2954" s="10">
        <v>1.1946735331219482</v>
      </c>
      <c r="X2954" s="420"/>
      <c r="Y2954" s="420"/>
      <c r="Z2954" s="1"/>
      <c r="AA2954" s="1"/>
      <c r="AB2954" s="1"/>
      <c r="AC2954" s="1"/>
      <c r="AD2954" s="1"/>
    </row>
    <row r="2955" spans="17:30">
      <c r="Q2955" s="6">
        <v>2925</v>
      </c>
      <c r="R2955" s="7">
        <v>45592</v>
      </c>
      <c r="S2955" s="210">
        <v>4.5</v>
      </c>
      <c r="T2955" s="8">
        <v>1.0001249999999999</v>
      </c>
      <c r="U2955" s="98">
        <v>4.4894290984648366</v>
      </c>
      <c r="V2955" s="106">
        <v>33933.54858968006</v>
      </c>
      <c r="W2955" s="10">
        <v>1.1947550488280889</v>
      </c>
      <c r="X2955" s="420"/>
      <c r="Y2955" s="420"/>
      <c r="Z2955" s="1"/>
      <c r="AA2955" s="1"/>
      <c r="AB2955" s="1"/>
      <c r="AC2955" s="1"/>
      <c r="AD2955" s="1"/>
    </row>
    <row r="2956" spans="17:30">
      <c r="Q2956" s="6">
        <v>2926</v>
      </c>
      <c r="R2956" s="7">
        <v>45593</v>
      </c>
      <c r="S2956" s="210">
        <v>4.5</v>
      </c>
      <c r="T2956" s="8">
        <v>1.0001249999999999</v>
      </c>
      <c r="U2956" s="98">
        <v>4.4894900360794132</v>
      </c>
      <c r="V2956" s="106">
        <v>33936.467002909012</v>
      </c>
      <c r="W2956" s="10">
        <v>1.194836508881636</v>
      </c>
      <c r="X2956" s="420"/>
      <c r="Y2956" s="420"/>
      <c r="Z2956" s="1"/>
      <c r="AA2956" s="1"/>
      <c r="AB2956" s="1"/>
      <c r="AC2956" s="1"/>
      <c r="AD2956" s="1"/>
    </row>
    <row r="2957" spans="17:30">
      <c r="Q2957" s="6">
        <v>2927</v>
      </c>
      <c r="R2957" s="7">
        <v>45594</v>
      </c>
      <c r="S2957" s="210">
        <v>4.5</v>
      </c>
      <c r="T2957" s="8">
        <v>1.0001249999999999</v>
      </c>
      <c r="U2957" s="98">
        <v>4.4895509320912241</v>
      </c>
      <c r="V2957" s="106">
        <v>33939.385667132512</v>
      </c>
      <c r="W2957" s="10">
        <v>1.1949179133395882</v>
      </c>
      <c r="X2957" s="420"/>
      <c r="Y2957" s="420"/>
      <c r="Z2957" s="1"/>
      <c r="AA2957" s="1"/>
      <c r="AB2957" s="1"/>
      <c r="AC2957" s="1"/>
      <c r="AD2957" s="1"/>
    </row>
    <row r="2958" spans="17:30">
      <c r="Q2958" s="6">
        <v>2928</v>
      </c>
      <c r="R2958" s="7">
        <v>45595</v>
      </c>
      <c r="S2958" s="210">
        <v>4.5</v>
      </c>
      <c r="T2958" s="8">
        <v>1.0001249999999999</v>
      </c>
      <c r="U2958" s="98">
        <v>4.4896117865428575</v>
      </c>
      <c r="V2958" s="106">
        <v>33942.304582372148</v>
      </c>
      <c r="W2958" s="10">
        <v>1.1949992622588113</v>
      </c>
      <c r="X2958" s="420"/>
      <c r="Y2958" s="420"/>
      <c r="Z2958" s="1"/>
      <c r="AA2958" s="1"/>
      <c r="AB2958" s="1"/>
      <c r="AC2958" s="1"/>
      <c r="AD2958" s="1"/>
    </row>
    <row r="2959" spans="17:30">
      <c r="Q2959" s="6">
        <v>2929</v>
      </c>
      <c r="R2959" s="7">
        <v>45596</v>
      </c>
      <c r="S2959" s="210">
        <v>4.5</v>
      </c>
      <c r="T2959" s="8">
        <v>1.0001249999999999</v>
      </c>
      <c r="U2959" s="98">
        <v>4.4896725994768349</v>
      </c>
      <c r="V2959" s="106">
        <v>33945.223748649521</v>
      </c>
      <c r="W2959" s="10">
        <v>1.1950805556961264</v>
      </c>
      <c r="X2959" s="420"/>
      <c r="Y2959" s="420"/>
      <c r="Z2959" s="1"/>
      <c r="AA2959" s="1"/>
      <c r="AB2959" s="1"/>
      <c r="AC2959" s="1"/>
      <c r="AD2959" s="1"/>
    </row>
    <row r="2960" spans="17:30">
      <c r="Q2960" s="6">
        <v>2930</v>
      </c>
      <c r="R2960" s="7">
        <v>45597</v>
      </c>
      <c r="S2960" s="210">
        <v>4.5</v>
      </c>
      <c r="T2960" s="8">
        <v>1.0001249999999999</v>
      </c>
      <c r="U2960" s="98">
        <v>4.4897333709356335</v>
      </c>
      <c r="V2960" s="106">
        <v>33948.143165986192</v>
      </c>
      <c r="W2960" s="10">
        <v>1.1951617937082881</v>
      </c>
      <c r="X2960" s="420"/>
      <c r="Y2960" s="420"/>
      <c r="Z2960" s="1"/>
      <c r="AA2960" s="1"/>
      <c r="AB2960" s="1"/>
      <c r="AC2960" s="1"/>
      <c r="AD2960" s="1"/>
    </row>
    <row r="2961" spans="17:30">
      <c r="Q2961" s="6">
        <v>2931</v>
      </c>
      <c r="R2961" s="7">
        <v>45598</v>
      </c>
      <c r="S2961" s="210">
        <v>4.5</v>
      </c>
      <c r="T2961" s="8">
        <v>1.0001249999999999</v>
      </c>
      <c r="U2961" s="98">
        <v>4.4897941009616638</v>
      </c>
      <c r="V2961" s="106">
        <v>33951.062834403783</v>
      </c>
      <c r="W2961" s="10">
        <v>1.1952429763519401</v>
      </c>
      <c r="X2961" s="420"/>
      <c r="Y2961" s="420"/>
      <c r="Z2961" s="1"/>
      <c r="AA2961" s="1"/>
      <c r="AB2961" s="1"/>
      <c r="AC2961" s="1"/>
      <c r="AD2961" s="1"/>
    </row>
    <row r="2962" spans="17:30">
      <c r="Q2962" s="6">
        <v>2932</v>
      </c>
      <c r="R2962" s="7">
        <v>45599</v>
      </c>
      <c r="S2962" s="210">
        <v>4.5</v>
      </c>
      <c r="T2962" s="8">
        <v>1.0001249999999999</v>
      </c>
      <c r="U2962" s="98">
        <v>4.4898547895972918</v>
      </c>
      <c r="V2962" s="106">
        <v>33953.982753923869</v>
      </c>
      <c r="W2962" s="10">
        <v>1.1953241036836815</v>
      </c>
      <c r="X2962" s="420"/>
      <c r="Y2962" s="420"/>
      <c r="Z2962" s="1"/>
      <c r="AA2962" s="1"/>
      <c r="AB2962" s="1"/>
      <c r="AC2962" s="1"/>
      <c r="AD2962" s="1"/>
    </row>
    <row r="2963" spans="17:30">
      <c r="Q2963" s="6">
        <v>2933</v>
      </c>
      <c r="R2963" s="7">
        <v>45600</v>
      </c>
      <c r="S2963" s="210">
        <v>4.5</v>
      </c>
      <c r="T2963" s="8">
        <v>1.0001249999999999</v>
      </c>
      <c r="U2963" s="98">
        <v>4.4899154368848171</v>
      </c>
      <c r="V2963" s="106">
        <v>33956.902924568058</v>
      </c>
      <c r="W2963" s="10">
        <v>1.1954051757600226</v>
      </c>
      <c r="X2963" s="420"/>
      <c r="Y2963" s="420"/>
      <c r="Z2963" s="1"/>
      <c r="AA2963" s="1"/>
      <c r="AB2963" s="1"/>
      <c r="AC2963" s="1"/>
      <c r="AD2963" s="1"/>
    </row>
    <row r="2964" spans="17:30">
      <c r="Q2964" s="6">
        <v>2934</v>
      </c>
      <c r="R2964" s="7">
        <v>45601</v>
      </c>
      <c r="S2964" s="210">
        <v>4.5</v>
      </c>
      <c r="T2964" s="8">
        <v>1.0001249999999999</v>
      </c>
      <c r="U2964" s="98">
        <v>4.4899760428664726</v>
      </c>
      <c r="V2964" s="106">
        <v>33959.823346357938</v>
      </c>
      <c r="W2964" s="10">
        <v>1.195486192637385</v>
      </c>
      <c r="X2964" s="420"/>
      <c r="Y2964" s="420"/>
      <c r="Z2964" s="1"/>
      <c r="AA2964" s="1"/>
      <c r="AB2964" s="1"/>
      <c r="AC2964" s="1"/>
      <c r="AD2964" s="1"/>
    </row>
    <row r="2965" spans="17:30">
      <c r="Q2965" s="6">
        <v>2935</v>
      </c>
      <c r="R2965" s="7">
        <v>45602</v>
      </c>
      <c r="S2965" s="210">
        <v>4.5</v>
      </c>
      <c r="T2965" s="8">
        <v>1.0001249999999999</v>
      </c>
      <c r="U2965" s="98">
        <v>4.4900366075844467</v>
      </c>
      <c r="V2965" s="106">
        <v>33962.744019315112</v>
      </c>
      <c r="W2965" s="10">
        <v>1.1955671543721236</v>
      </c>
      <c r="X2965" s="420"/>
      <c r="Y2965" s="420"/>
      <c r="Z2965" s="1"/>
      <c r="AA2965" s="1"/>
      <c r="AB2965" s="1"/>
      <c r="AC2965" s="1"/>
      <c r="AD2965" s="1"/>
    </row>
    <row r="2966" spans="17:30">
      <c r="Q2966" s="6">
        <v>2936</v>
      </c>
      <c r="R2966" s="7">
        <v>45603</v>
      </c>
      <c r="S2966" s="210">
        <v>4.5</v>
      </c>
      <c r="T2966" s="8">
        <v>1.0001249999999999</v>
      </c>
      <c r="U2966" s="98">
        <v>4.4900971310808835</v>
      </c>
      <c r="V2966" s="106">
        <v>33965.664943461183</v>
      </c>
      <c r="W2966" s="10">
        <v>1.1956480610205489</v>
      </c>
      <c r="X2966" s="420"/>
      <c r="Y2966" s="420"/>
      <c r="Z2966" s="1"/>
      <c r="AA2966" s="1"/>
      <c r="AB2966" s="1"/>
      <c r="AC2966" s="1"/>
      <c r="AD2966" s="1"/>
    </row>
    <row r="2967" spans="17:30">
      <c r="Q2967" s="6">
        <v>2937</v>
      </c>
      <c r="R2967" s="7">
        <v>45604</v>
      </c>
      <c r="S2967" s="210">
        <v>4.5</v>
      </c>
      <c r="T2967" s="8">
        <v>1.0001249999999999</v>
      </c>
      <c r="U2967" s="98">
        <v>4.4901576133978383</v>
      </c>
      <c r="V2967" s="106">
        <v>33968.586118817751</v>
      </c>
      <c r="W2967" s="10">
        <v>1.195728912638816</v>
      </c>
      <c r="X2967" s="420"/>
      <c r="Y2967" s="420"/>
      <c r="Z2967" s="1"/>
      <c r="AA2967" s="1"/>
      <c r="AB2967" s="1"/>
      <c r="AC2967" s="1"/>
      <c r="AD2967" s="1"/>
    </row>
    <row r="2968" spans="17:30">
      <c r="Q2968" s="6">
        <v>2938</v>
      </c>
      <c r="R2968" s="7">
        <v>45605</v>
      </c>
      <c r="S2968" s="210">
        <v>4.5</v>
      </c>
      <c r="T2968" s="8">
        <v>1.0001249999999999</v>
      </c>
      <c r="U2968" s="98">
        <v>4.4902180545773218</v>
      </c>
      <c r="V2968" s="106">
        <v>33971.507545406428</v>
      </c>
      <c r="W2968" s="10">
        <v>1.1958097092830799</v>
      </c>
      <c r="X2968" s="420"/>
      <c r="Y2968" s="420"/>
      <c r="Z2968" s="1"/>
      <c r="AA2968" s="1"/>
      <c r="AB2968" s="1"/>
      <c r="AC2968" s="1"/>
      <c r="AD2968" s="1"/>
    </row>
    <row r="2969" spans="17:30">
      <c r="Q2969" s="6">
        <v>2939</v>
      </c>
      <c r="R2969" s="7">
        <v>45606</v>
      </c>
      <c r="S2969" s="210">
        <v>4.5</v>
      </c>
      <c r="T2969" s="8">
        <v>1.0001249999999999</v>
      </c>
      <c r="U2969" s="98">
        <v>4.4902784546612784</v>
      </c>
      <c r="V2969" s="106">
        <v>33974.429223248815</v>
      </c>
      <c r="W2969" s="10">
        <v>1.1958904510093848</v>
      </c>
      <c r="X2969" s="420"/>
      <c r="Y2969" s="420"/>
      <c r="Z2969" s="1"/>
      <c r="AA2969" s="1"/>
      <c r="AB2969" s="1"/>
      <c r="AC2969" s="1"/>
      <c r="AD2969" s="1"/>
    </row>
    <row r="2970" spans="17:30">
      <c r="Q2970" s="6">
        <v>2940</v>
      </c>
      <c r="R2970" s="7">
        <v>45607</v>
      </c>
      <c r="S2970" s="210">
        <v>4.5</v>
      </c>
      <c r="T2970" s="8">
        <v>1.0001249999999999</v>
      </c>
      <c r="U2970" s="98">
        <v>4.49033881369163</v>
      </c>
      <c r="V2970" s="106">
        <v>33977.351152366507</v>
      </c>
      <c r="W2970" s="10">
        <v>1.1959711378737081</v>
      </c>
      <c r="X2970" s="420"/>
      <c r="Y2970" s="420"/>
      <c r="Z2970" s="1"/>
      <c r="AA2970" s="1"/>
      <c r="AB2970" s="1"/>
      <c r="AC2970" s="1"/>
      <c r="AD2970" s="1"/>
    </row>
    <row r="2971" spans="17:30">
      <c r="Q2971" s="6">
        <v>2941</v>
      </c>
      <c r="R2971" s="7">
        <v>45608</v>
      </c>
      <c r="S2971" s="210">
        <v>4.5</v>
      </c>
      <c r="T2971" s="8">
        <v>1.0001249999999999</v>
      </c>
      <c r="U2971" s="98">
        <v>4.4903991317102099</v>
      </c>
      <c r="V2971" s="106">
        <v>33980.273332781151</v>
      </c>
      <c r="W2971" s="10">
        <v>1.1960517699319162</v>
      </c>
      <c r="X2971" s="420"/>
      <c r="Y2971" s="420"/>
      <c r="Z2971" s="1"/>
      <c r="AA2971" s="1"/>
      <c r="AB2971" s="1"/>
      <c r="AC2971" s="1"/>
      <c r="AD2971" s="1"/>
    </row>
    <row r="2972" spans="17:30">
      <c r="Q2972" s="6">
        <v>2942</v>
      </c>
      <c r="R2972" s="7">
        <v>45609</v>
      </c>
      <c r="S2972" s="210">
        <v>4.5</v>
      </c>
      <c r="T2972" s="8">
        <v>1.0001249999999999</v>
      </c>
      <c r="U2972" s="98">
        <v>4.4904594087588068</v>
      </c>
      <c r="V2972" s="106">
        <v>33983.195764514327</v>
      </c>
      <c r="W2972" s="10">
        <v>1.1961323472398755</v>
      </c>
      <c r="X2972" s="420"/>
      <c r="Y2972" s="420"/>
      <c r="Z2972" s="1"/>
      <c r="AA2972" s="1"/>
      <c r="AB2972" s="1"/>
      <c r="AC2972" s="1"/>
      <c r="AD2972" s="1"/>
    </row>
    <row r="2973" spans="17:30">
      <c r="Q2973" s="6">
        <v>2943</v>
      </c>
      <c r="R2973" s="7">
        <v>45610</v>
      </c>
      <c r="S2973" s="210">
        <v>4.5</v>
      </c>
      <c r="T2973" s="8">
        <v>1.0001249999999999</v>
      </c>
      <c r="U2973" s="98">
        <v>4.4905196448791429</v>
      </c>
      <c r="V2973" s="106">
        <v>33986.118447587658</v>
      </c>
      <c r="W2973" s="10">
        <v>1.196212869853297</v>
      </c>
      <c r="X2973" s="420"/>
      <c r="Y2973" s="420"/>
      <c r="Z2973" s="1"/>
      <c r="AA2973" s="1"/>
      <c r="AB2973" s="1"/>
      <c r="AC2973" s="1"/>
      <c r="AD2973" s="1"/>
    </row>
    <row r="2974" spans="17:30">
      <c r="Q2974" s="6">
        <v>2944</v>
      </c>
      <c r="R2974" s="7">
        <v>45611</v>
      </c>
      <c r="S2974" s="210">
        <v>4.5</v>
      </c>
      <c r="T2974" s="8">
        <v>1.0001249999999999</v>
      </c>
      <c r="U2974" s="98">
        <v>4.490579840112896</v>
      </c>
      <c r="V2974" s="106">
        <v>33989.041382022762</v>
      </c>
      <c r="W2974" s="10">
        <v>1.1962933378278917</v>
      </c>
      <c r="X2974" s="420"/>
      <c r="Y2974" s="420"/>
      <c r="Z2974" s="1"/>
      <c r="AA2974" s="1"/>
      <c r="AB2974" s="1"/>
      <c r="AC2974" s="1"/>
      <c r="AD2974" s="1"/>
    </row>
    <row r="2975" spans="17:30">
      <c r="Q2975" s="6">
        <v>2945</v>
      </c>
      <c r="R2975" s="7">
        <v>45612</v>
      </c>
      <c r="S2975" s="210">
        <v>4.5</v>
      </c>
      <c r="T2975" s="8">
        <v>1.0001249999999999</v>
      </c>
      <c r="U2975" s="98">
        <v>4.4906399945016773</v>
      </c>
      <c r="V2975" s="106">
        <v>33991.964567841263</v>
      </c>
      <c r="W2975" s="10">
        <v>1.1963737512192152</v>
      </c>
      <c r="X2975" s="420"/>
      <c r="Y2975" s="420"/>
      <c r="Z2975" s="1"/>
      <c r="AA2975" s="1"/>
      <c r="AB2975" s="1"/>
      <c r="AC2975" s="1"/>
      <c r="AD2975" s="1"/>
    </row>
    <row r="2976" spans="17:30">
      <c r="Q2976" s="6">
        <v>2946</v>
      </c>
      <c r="R2976" s="7">
        <v>45613</v>
      </c>
      <c r="S2976" s="210">
        <v>4.5</v>
      </c>
      <c r="T2976" s="8">
        <v>1.0001249999999999</v>
      </c>
      <c r="U2976" s="98">
        <v>4.4907001080870312</v>
      </c>
      <c r="V2976" s="106">
        <v>33994.888005064771</v>
      </c>
      <c r="W2976" s="10">
        <v>1.1964541100827786</v>
      </c>
      <c r="X2976" s="420"/>
      <c r="Y2976" s="420"/>
      <c r="Z2976" s="1"/>
      <c r="AA2976" s="1"/>
      <c r="AB2976" s="1"/>
      <c r="AC2976" s="1"/>
      <c r="AD2976" s="1"/>
    </row>
    <row r="2977" spans="17:30">
      <c r="Q2977" s="6">
        <v>2947</v>
      </c>
      <c r="R2977" s="7">
        <v>45614</v>
      </c>
      <c r="S2977" s="210">
        <v>4.5</v>
      </c>
      <c r="T2977" s="8">
        <v>1.0001249999999999</v>
      </c>
      <c r="U2977" s="98">
        <v>4.4907601809104802</v>
      </c>
      <c r="V2977" s="106">
        <v>33997.811693714917</v>
      </c>
      <c r="W2977" s="10">
        <v>1.1965344144740486</v>
      </c>
      <c r="X2977" s="420"/>
      <c r="Y2977" s="420"/>
      <c r="Z2977" s="1"/>
      <c r="AA2977" s="1"/>
      <c r="AB2977" s="1"/>
      <c r="AC2977" s="1"/>
      <c r="AD2977" s="1"/>
    </row>
    <row r="2978" spans="17:30">
      <c r="Q2978" s="6">
        <v>2948</v>
      </c>
      <c r="R2978" s="7">
        <v>45615</v>
      </c>
      <c r="S2978" s="210">
        <v>4.5</v>
      </c>
      <c r="T2978" s="8">
        <v>1.0001249999999999</v>
      </c>
      <c r="U2978" s="98">
        <v>4.4908202130134578</v>
      </c>
      <c r="V2978" s="106">
        <v>34000.735633813318</v>
      </c>
      <c r="W2978" s="10">
        <v>1.1966146644484033</v>
      </c>
      <c r="X2978" s="420"/>
      <c r="Y2978" s="420"/>
      <c r="Z2978" s="1"/>
      <c r="AA2978" s="1"/>
      <c r="AB2978" s="1"/>
      <c r="AC2978" s="1"/>
      <c r="AD2978" s="1"/>
    </row>
    <row r="2979" spans="17:30">
      <c r="Q2979" s="6">
        <v>2949</v>
      </c>
      <c r="R2979" s="7">
        <v>45616</v>
      </c>
      <c r="S2979" s="210">
        <v>4.5</v>
      </c>
      <c r="T2979" s="8">
        <v>1.0001249999999999</v>
      </c>
      <c r="U2979" s="98">
        <v>4.490880204437353</v>
      </c>
      <c r="V2979" s="106">
        <v>34003.65982538159</v>
      </c>
      <c r="W2979" s="10">
        <v>1.1966948600611094</v>
      </c>
      <c r="X2979" s="420"/>
      <c r="Y2979" s="420"/>
      <c r="Z2979" s="1"/>
      <c r="AA2979" s="1"/>
      <c r="AB2979" s="1"/>
      <c r="AC2979" s="1"/>
      <c r="AD2979" s="1"/>
    </row>
    <row r="2980" spans="17:30">
      <c r="Q2980" s="6">
        <v>2950</v>
      </c>
      <c r="R2980" s="7">
        <v>45617</v>
      </c>
      <c r="S2980" s="210">
        <v>4.5</v>
      </c>
      <c r="T2980" s="8">
        <v>1.0001249999999999</v>
      </c>
      <c r="U2980" s="98">
        <v>4.4909401552235106</v>
      </c>
      <c r="V2980" s="106">
        <v>34006.58426844138</v>
      </c>
      <c r="W2980" s="10">
        <v>1.1967750013673895</v>
      </c>
      <c r="X2980" s="420"/>
      <c r="Y2980" s="420"/>
      <c r="Z2980" s="1"/>
      <c r="AA2980" s="1"/>
      <c r="AB2980" s="1"/>
      <c r="AC2980" s="1"/>
      <c r="AD2980" s="1"/>
    </row>
    <row r="2981" spans="17:30">
      <c r="Q2981" s="6">
        <v>2951</v>
      </c>
      <c r="R2981" s="7">
        <v>45618</v>
      </c>
      <c r="S2981" s="210">
        <v>4.5</v>
      </c>
      <c r="T2981" s="8">
        <v>1.0001249999999999</v>
      </c>
      <c r="U2981" s="98">
        <v>4.4910000654132087</v>
      </c>
      <c r="V2981" s="106">
        <v>34009.508963014319</v>
      </c>
      <c r="W2981" s="10">
        <v>1.1968550884223994</v>
      </c>
      <c r="X2981" s="420"/>
      <c r="Y2981" s="420"/>
      <c r="Z2981" s="1"/>
      <c r="AA2981" s="1"/>
      <c r="AB2981" s="1"/>
      <c r="AC2981" s="1"/>
      <c r="AD2981" s="1"/>
    </row>
    <row r="2982" spans="17:30">
      <c r="Q2982" s="6">
        <v>2952</v>
      </c>
      <c r="R2982" s="7">
        <v>45619</v>
      </c>
      <c r="S2982" s="210">
        <v>4.5</v>
      </c>
      <c r="T2982" s="8">
        <v>1.0001249999999999</v>
      </c>
      <c r="U2982" s="98">
        <v>4.4910599350476588</v>
      </c>
      <c r="V2982" s="106">
        <v>34012.433909122017</v>
      </c>
      <c r="W2982" s="10">
        <v>1.1969351212812063</v>
      </c>
      <c r="X2982" s="420"/>
      <c r="Y2982" s="420"/>
      <c r="Z2982" s="1"/>
      <c r="AA2982" s="1"/>
      <c r="AB2982" s="1"/>
      <c r="AC2982" s="1"/>
      <c r="AD2982" s="1"/>
    </row>
    <row r="2983" spans="17:30">
      <c r="Q2983" s="6">
        <v>2953</v>
      </c>
      <c r="R2983" s="7">
        <v>45620</v>
      </c>
      <c r="S2983" s="210">
        <v>4.5</v>
      </c>
      <c r="T2983" s="8">
        <v>1.0001249999999999</v>
      </c>
      <c r="U2983" s="98">
        <v>4.4911197641680278</v>
      </c>
      <c r="V2983" s="106">
        <v>34015.35910678612</v>
      </c>
      <c r="W2983" s="10">
        <v>1.1970150999988105</v>
      </c>
      <c r="X2983" s="420"/>
      <c r="Y2983" s="420"/>
      <c r="Z2983" s="1"/>
      <c r="AA2983" s="1"/>
      <c r="AB2983" s="1"/>
      <c r="AC2983" s="1"/>
      <c r="AD2983" s="1"/>
    </row>
    <row r="2984" spans="17:30">
      <c r="Q2984" s="6">
        <v>2954</v>
      </c>
      <c r="R2984" s="7">
        <v>45621</v>
      </c>
      <c r="S2984" s="210">
        <v>4.5</v>
      </c>
      <c r="T2984" s="8">
        <v>1.0001249999999999</v>
      </c>
      <c r="U2984" s="98">
        <v>4.4911795528154164</v>
      </c>
      <c r="V2984" s="106">
        <v>34018.284556028251</v>
      </c>
      <c r="W2984" s="10">
        <v>1.1970950246301015</v>
      </c>
      <c r="X2984" s="420"/>
      <c r="Y2984" s="420"/>
      <c r="Z2984" s="1"/>
      <c r="AA2984" s="1"/>
      <c r="AB2984" s="1"/>
      <c r="AC2984" s="1"/>
      <c r="AD2984" s="1"/>
    </row>
    <row r="2985" spans="17:30">
      <c r="Q2985" s="6">
        <v>2955</v>
      </c>
      <c r="R2985" s="7">
        <v>45622</v>
      </c>
      <c r="S2985" s="210">
        <v>4.5</v>
      </c>
      <c r="T2985" s="8">
        <v>1.0001249999999999</v>
      </c>
      <c r="U2985" s="98">
        <v>4.4912393010309026</v>
      </c>
      <c r="V2985" s="106">
        <v>34021.210256870072</v>
      </c>
      <c r="W2985" s="10">
        <v>1.1971748952299688</v>
      </c>
      <c r="X2985" s="420"/>
      <c r="Y2985" s="420"/>
      <c r="Z2985" s="1"/>
      <c r="AA2985" s="1"/>
      <c r="AB2985" s="1"/>
      <c r="AC2985" s="1"/>
      <c r="AD2985" s="1"/>
    </row>
    <row r="2986" spans="17:30">
      <c r="Q2986" s="6">
        <v>2956</v>
      </c>
      <c r="R2986" s="7">
        <v>45623</v>
      </c>
      <c r="S2986" s="210">
        <v>4.5</v>
      </c>
      <c r="T2986" s="8">
        <v>1.0001249999999999</v>
      </c>
      <c r="U2986" s="98">
        <v>4.4912990088554761</v>
      </c>
      <c r="V2986" s="106">
        <v>34024.136209333192</v>
      </c>
      <c r="W2986" s="10">
        <v>1.1972547118531462</v>
      </c>
      <c r="X2986" s="420"/>
      <c r="Y2986" s="420"/>
      <c r="Z2986" s="1"/>
      <c r="AA2986" s="1"/>
      <c r="AB2986" s="1"/>
      <c r="AC2986" s="1"/>
      <c r="AD2986" s="1"/>
    </row>
    <row r="2987" spans="17:30">
      <c r="Q2987" s="6">
        <v>2957</v>
      </c>
      <c r="R2987" s="7">
        <v>45624</v>
      </c>
      <c r="S2987" s="210">
        <v>4.5</v>
      </c>
      <c r="T2987" s="8">
        <v>1.0001249999999999</v>
      </c>
      <c r="U2987" s="98">
        <v>4.4913586763300817</v>
      </c>
      <c r="V2987" s="106">
        <v>34027.062413439278</v>
      </c>
      <c r="W2987" s="10">
        <v>1.1973344745543679</v>
      </c>
      <c r="X2987" s="420"/>
      <c r="Y2987" s="420"/>
      <c r="Z2987" s="1"/>
      <c r="AA2987" s="1"/>
      <c r="AB2987" s="1"/>
      <c r="AC2987" s="1"/>
      <c r="AD2987" s="1"/>
    </row>
    <row r="2988" spans="17:30">
      <c r="Q2988" s="6">
        <v>2958</v>
      </c>
      <c r="R2988" s="7">
        <v>45625</v>
      </c>
      <c r="S2988" s="210">
        <v>4.5</v>
      </c>
      <c r="T2988" s="8">
        <v>1.0001249999999999</v>
      </c>
      <c r="U2988" s="98">
        <v>4.4914183034955979</v>
      </c>
      <c r="V2988" s="106">
        <v>34029.988869209948</v>
      </c>
      <c r="W2988" s="10">
        <v>1.1974141833882346</v>
      </c>
      <c r="X2988" s="420"/>
      <c r="Y2988" s="420"/>
      <c r="Z2988" s="1"/>
      <c r="AA2988" s="1"/>
      <c r="AB2988" s="1"/>
      <c r="AC2988" s="1"/>
      <c r="AD2988" s="1"/>
    </row>
    <row r="2989" spans="17:30">
      <c r="Q2989" s="6">
        <v>2959</v>
      </c>
      <c r="R2989" s="7">
        <v>45626</v>
      </c>
      <c r="S2989" s="210">
        <v>4.5</v>
      </c>
      <c r="T2989" s="8">
        <v>1.0001249999999999</v>
      </c>
      <c r="U2989" s="98">
        <v>4.4914778903928587</v>
      </c>
      <c r="V2989" s="106">
        <v>34032.915576666863</v>
      </c>
      <c r="W2989" s="10">
        <v>1.1974938384092804</v>
      </c>
      <c r="X2989" s="420"/>
      <c r="Y2989" s="420"/>
      <c r="Z2989" s="1"/>
      <c r="AA2989" s="1"/>
      <c r="AB2989" s="1"/>
      <c r="AC2989" s="1"/>
      <c r="AD2989" s="1"/>
    </row>
    <row r="2990" spans="17:30">
      <c r="Q2990" s="6">
        <v>2960</v>
      </c>
      <c r="R2990" s="7">
        <v>45627</v>
      </c>
      <c r="S2990" s="210">
        <v>4.5</v>
      </c>
      <c r="T2990" s="8">
        <v>1.0001249999999999</v>
      </c>
      <c r="U2990" s="98">
        <v>4.4915374370626537</v>
      </c>
      <c r="V2990" s="106">
        <v>34035.842535831667</v>
      </c>
      <c r="W2990" s="10">
        <v>1.197573439671995</v>
      </c>
      <c r="X2990" s="420"/>
      <c r="Y2990" s="420"/>
      <c r="Z2990" s="1"/>
      <c r="AA2990" s="1"/>
      <c r="AB2990" s="1"/>
      <c r="AC2990" s="1"/>
      <c r="AD2990" s="1"/>
    </row>
    <row r="2991" spans="17:30">
      <c r="Q2991" s="6">
        <v>2961</v>
      </c>
      <c r="R2991" s="7">
        <v>45628</v>
      </c>
      <c r="S2991" s="210">
        <v>4.5</v>
      </c>
      <c r="T2991" s="8">
        <v>1.0001249999999999</v>
      </c>
      <c r="U2991" s="98">
        <v>4.4915969435457059</v>
      </c>
      <c r="V2991" s="106">
        <v>34038.769746725993</v>
      </c>
      <c r="W2991" s="10">
        <v>1.1976529872308239</v>
      </c>
      <c r="X2991" s="420"/>
      <c r="Y2991" s="420"/>
      <c r="Z2991" s="1"/>
      <c r="AA2991" s="1"/>
      <c r="AB2991" s="1"/>
      <c r="AC2991" s="1"/>
      <c r="AD2991" s="1"/>
    </row>
    <row r="2992" spans="17:30">
      <c r="Q2992" s="6">
        <v>2962</v>
      </c>
      <c r="R2992" s="7">
        <v>45629</v>
      </c>
      <c r="S2992" s="210">
        <v>4.5</v>
      </c>
      <c r="T2992" s="8">
        <v>1.0001249999999999</v>
      </c>
      <c r="U2992" s="98">
        <v>4.4916564098826717</v>
      </c>
      <c r="V2992" s="106">
        <v>34041.697209371509</v>
      </c>
      <c r="W2992" s="10">
        <v>1.1977324811400347</v>
      </c>
      <c r="X2992" s="420"/>
      <c r="Y2992" s="420"/>
      <c r="Z2992" s="1"/>
      <c r="AA2992" s="1"/>
      <c r="AB2992" s="1"/>
      <c r="AC2992" s="1"/>
      <c r="AD2992" s="1"/>
    </row>
    <row r="2993" spans="17:30">
      <c r="Q2993" s="6">
        <v>2963</v>
      </c>
      <c r="R2993" s="7">
        <v>45630</v>
      </c>
      <c r="S2993" s="210">
        <v>4.5</v>
      </c>
      <c r="T2993" s="8">
        <v>1.0001249999999999</v>
      </c>
      <c r="U2993" s="98">
        <v>4.4917158361141629</v>
      </c>
      <c r="V2993" s="106">
        <v>34044.624923789859</v>
      </c>
      <c r="W2993" s="10">
        <v>1.1978119214538951</v>
      </c>
      <c r="X2993" s="420"/>
      <c r="Y2993" s="420"/>
      <c r="Z2993" s="1"/>
      <c r="AA2993" s="1"/>
      <c r="AB2993" s="1"/>
      <c r="AC2993" s="1"/>
      <c r="AD2993" s="1"/>
    </row>
    <row r="2994" spans="17:30">
      <c r="Q2994" s="6">
        <v>2964</v>
      </c>
      <c r="R2994" s="7">
        <v>45631</v>
      </c>
      <c r="S2994" s="210">
        <v>4.5</v>
      </c>
      <c r="T2994" s="8">
        <v>1.0001249999999999</v>
      </c>
      <c r="U2994" s="98">
        <v>4.4917752222807472</v>
      </c>
      <c r="V2994" s="106">
        <v>34047.552890002698</v>
      </c>
      <c r="W2994" s="10">
        <v>1.1978913082266285</v>
      </c>
      <c r="X2994" s="420"/>
      <c r="Y2994" s="420"/>
      <c r="Z2994" s="1"/>
      <c r="AA2994" s="1"/>
      <c r="AB2994" s="1"/>
      <c r="AC2994" s="1"/>
      <c r="AD2994" s="1"/>
    </row>
    <row r="2995" spans="17:30">
      <c r="Q2995" s="6">
        <v>2965</v>
      </c>
      <c r="R2995" s="7">
        <v>45632</v>
      </c>
      <c r="S2995" s="210">
        <v>4.5</v>
      </c>
      <c r="T2995" s="8">
        <v>1.0001249999999999</v>
      </c>
      <c r="U2995" s="98">
        <v>4.4918345684229255</v>
      </c>
      <c r="V2995" s="106">
        <v>34050.481108031679</v>
      </c>
      <c r="W2995" s="10">
        <v>1.1979706415123026</v>
      </c>
      <c r="X2995" s="420"/>
      <c r="Y2995" s="420"/>
      <c r="Z2995" s="1"/>
      <c r="AA2995" s="1"/>
      <c r="AB2995" s="1"/>
      <c r="AC2995" s="1"/>
      <c r="AD2995" s="1"/>
    </row>
    <row r="2996" spans="17:30">
      <c r="Q2996" s="6">
        <v>2966</v>
      </c>
      <c r="R2996" s="7">
        <v>45633</v>
      </c>
      <c r="S2996" s="210">
        <v>4.5</v>
      </c>
      <c r="T2996" s="8">
        <v>1.0001249999999999</v>
      </c>
      <c r="U2996" s="98">
        <v>4.4918938745811543</v>
      </c>
      <c r="V2996" s="106">
        <v>34053.409577898456</v>
      </c>
      <c r="W2996" s="10">
        <v>1.1980499213649853</v>
      </c>
      <c r="X2996" s="420"/>
      <c r="Y2996" s="420"/>
      <c r="Z2996" s="1"/>
      <c r="AA2996" s="1"/>
      <c r="AB2996" s="1"/>
      <c r="AC2996" s="1"/>
      <c r="AD2996" s="1"/>
    </row>
    <row r="2997" spans="17:30">
      <c r="Q2997" s="6">
        <v>2967</v>
      </c>
      <c r="R2997" s="7">
        <v>45634</v>
      </c>
      <c r="S2997" s="210">
        <v>4.5</v>
      </c>
      <c r="T2997" s="8">
        <v>1.0001249999999999</v>
      </c>
      <c r="U2997" s="98">
        <v>4.4919531407958235</v>
      </c>
      <c r="V2997" s="106">
        <v>34056.338299624702</v>
      </c>
      <c r="W2997" s="10">
        <v>1.1981291478386336</v>
      </c>
      <c r="X2997" s="420"/>
      <c r="Y2997" s="420"/>
      <c r="Z2997" s="1"/>
      <c r="AA2997" s="1"/>
      <c r="AB2997" s="1"/>
      <c r="AC2997" s="1"/>
      <c r="AD2997" s="1"/>
    </row>
    <row r="2998" spans="17:30">
      <c r="Q2998" s="6">
        <v>2968</v>
      </c>
      <c r="R2998" s="7">
        <v>45635</v>
      </c>
      <c r="S2998" s="210">
        <v>4.5</v>
      </c>
      <c r="T2998" s="8">
        <v>1.0001249999999999</v>
      </c>
      <c r="U2998" s="98">
        <v>4.4920123671072787</v>
      </c>
      <c r="V2998" s="106">
        <v>34059.267273232064</v>
      </c>
      <c r="W2998" s="10">
        <v>1.1982083209871153</v>
      </c>
      <c r="X2998" s="420"/>
      <c r="Y2998" s="420"/>
      <c r="Z2998" s="1"/>
      <c r="AA2998" s="1"/>
      <c r="AB2998" s="1"/>
      <c r="AC2998" s="1"/>
      <c r="AD2998" s="1"/>
    </row>
    <row r="2999" spans="17:30">
      <c r="Q2999" s="6">
        <v>2969</v>
      </c>
      <c r="R2999" s="7">
        <v>45636</v>
      </c>
      <c r="S2999" s="210">
        <v>4.5</v>
      </c>
      <c r="T2999" s="8">
        <v>1.0001249999999999</v>
      </c>
      <c r="U2999" s="98">
        <v>4.4920715535557765</v>
      </c>
      <c r="V2999" s="106">
        <v>34062.196498742203</v>
      </c>
      <c r="W2999" s="10">
        <v>1.1982874408642763</v>
      </c>
      <c r="X2999" s="420"/>
      <c r="Y2999" s="420"/>
      <c r="Z2999" s="1"/>
      <c r="AA2999" s="1"/>
      <c r="AB2999" s="1"/>
      <c r="AC2999" s="1"/>
      <c r="AD2999" s="1"/>
    </row>
    <row r="3000" spans="17:30">
      <c r="Q3000" s="6">
        <v>2970</v>
      </c>
      <c r="R3000" s="7">
        <v>45637</v>
      </c>
      <c r="S3000" s="210">
        <v>4.5</v>
      </c>
      <c r="T3000" s="8">
        <v>1.0001249999999999</v>
      </c>
      <c r="U3000" s="98">
        <v>4.4921307001815736</v>
      </c>
      <c r="V3000" s="106">
        <v>34065.125976176794</v>
      </c>
      <c r="W3000" s="10">
        <v>1.1983665075238292</v>
      </c>
      <c r="X3000" s="420"/>
      <c r="Y3000" s="420"/>
      <c r="Z3000" s="1"/>
      <c r="AA3000" s="1"/>
      <c r="AB3000" s="1"/>
      <c r="AC3000" s="1"/>
      <c r="AD3000" s="1"/>
    </row>
    <row r="3001" spans="17:30">
      <c r="Q3001" s="6">
        <v>2971</v>
      </c>
      <c r="R3001" s="7">
        <v>45638</v>
      </c>
      <c r="S3001" s="210">
        <v>4.5</v>
      </c>
      <c r="T3001" s="8">
        <v>1.0001249999999999</v>
      </c>
      <c r="U3001" s="98">
        <v>4.49218980702486</v>
      </c>
      <c r="V3001" s="106">
        <v>34068.055705557505</v>
      </c>
      <c r="W3001" s="10">
        <v>1.1984455210195089</v>
      </c>
      <c r="X3001" s="420"/>
      <c r="Y3001" s="420"/>
      <c r="Z3001" s="1"/>
      <c r="AA3001" s="1"/>
      <c r="AB3001" s="1"/>
      <c r="AC3001" s="1"/>
      <c r="AD3001" s="1"/>
    </row>
    <row r="3002" spans="17:30">
      <c r="Q3002" s="6">
        <v>2972</v>
      </c>
      <c r="R3002" s="7">
        <v>45639</v>
      </c>
      <c r="S3002" s="210">
        <v>4.5</v>
      </c>
      <c r="T3002" s="8">
        <v>1.0001249999999999</v>
      </c>
      <c r="U3002" s="98">
        <v>4.4922488741257371</v>
      </c>
      <c r="V3002" s="106">
        <v>34070.985686905988</v>
      </c>
      <c r="W3002" s="10">
        <v>1.1985244814048723</v>
      </c>
      <c r="X3002" s="420"/>
      <c r="Y3002" s="420"/>
      <c r="Z3002" s="1"/>
      <c r="AA3002" s="1"/>
      <c r="AB3002" s="1"/>
      <c r="AC3002" s="1"/>
      <c r="AD3002" s="1"/>
    </row>
    <row r="3003" spans="17:30">
      <c r="Q3003" s="6">
        <v>2973</v>
      </c>
      <c r="R3003" s="7">
        <v>45640</v>
      </c>
      <c r="S3003" s="210">
        <v>4.5</v>
      </c>
      <c r="T3003" s="8">
        <v>1.0001249999999999</v>
      </c>
      <c r="U3003" s="98">
        <v>4.4923079015242839</v>
      </c>
      <c r="V3003" s="106">
        <v>34073.915920243926</v>
      </c>
      <c r="W3003" s="10">
        <v>1.1986033887334768</v>
      </c>
      <c r="X3003" s="420"/>
      <c r="Y3003" s="420"/>
      <c r="Z3003" s="1"/>
      <c r="AA3003" s="1"/>
      <c r="AB3003" s="1"/>
      <c r="AC3003" s="1"/>
      <c r="AD3003" s="1"/>
    </row>
    <row r="3004" spans="17:30">
      <c r="Q3004" s="6">
        <v>2974</v>
      </c>
      <c r="R3004" s="7">
        <v>45641</v>
      </c>
      <c r="S3004" s="210">
        <v>4.5</v>
      </c>
      <c r="T3004" s="8">
        <v>1.0001249999999999</v>
      </c>
      <c r="U3004" s="98">
        <v>4.4923668892605129</v>
      </c>
      <c r="V3004" s="106">
        <v>34076.846405592994</v>
      </c>
      <c r="W3004" s="10">
        <v>1.1986822430587463</v>
      </c>
      <c r="X3004" s="420"/>
      <c r="Y3004" s="420"/>
      <c r="Z3004" s="1"/>
      <c r="AA3004" s="1"/>
      <c r="AB3004" s="1"/>
      <c r="AC3004" s="1"/>
      <c r="AD3004" s="1"/>
    </row>
    <row r="3005" spans="17:30">
      <c r="Q3005" s="6">
        <v>2975</v>
      </c>
      <c r="R3005" s="7">
        <v>45642</v>
      </c>
      <c r="S3005" s="210">
        <v>4.5</v>
      </c>
      <c r="T3005" s="8">
        <v>1.0001249999999999</v>
      </c>
      <c r="U3005" s="98">
        <v>4.4924258373743919</v>
      </c>
      <c r="V3005" s="106">
        <v>34079.777142974854</v>
      </c>
      <c r="W3005" s="10">
        <v>1.1987610444340824</v>
      </c>
      <c r="X3005" s="420"/>
      <c r="Y3005" s="420"/>
      <c r="Z3005" s="1"/>
      <c r="AA3005" s="1"/>
      <c r="AB3005" s="1"/>
      <c r="AC3005" s="1"/>
      <c r="AD3005" s="1"/>
    </row>
    <row r="3006" spans="17:30">
      <c r="Q3006" s="6">
        <v>2976</v>
      </c>
      <c r="R3006" s="7">
        <v>45643</v>
      </c>
      <c r="S3006" s="210">
        <v>4.5</v>
      </c>
      <c r="T3006" s="8">
        <v>1.0001249999999999</v>
      </c>
      <c r="U3006" s="98">
        <v>4.4924847459058226</v>
      </c>
      <c r="V3006" s="106">
        <v>34082.708132411186</v>
      </c>
      <c r="W3006" s="10">
        <v>1.1988397929128203</v>
      </c>
      <c r="X3006" s="420"/>
      <c r="Y3006" s="420"/>
      <c r="Z3006" s="1"/>
      <c r="AA3006" s="1"/>
      <c r="AB3006" s="1"/>
      <c r="AC3006" s="1"/>
      <c r="AD3006" s="1"/>
    </row>
    <row r="3007" spans="17:30">
      <c r="Q3007" s="6">
        <v>2977</v>
      </c>
      <c r="R3007" s="7">
        <v>45644</v>
      </c>
      <c r="S3007" s="210">
        <v>4.5</v>
      </c>
      <c r="T3007" s="8">
        <v>1.0001249999999999</v>
      </c>
      <c r="U3007" s="98">
        <v>4.4925436148946618</v>
      </c>
      <c r="V3007" s="106">
        <v>34085.639373923681</v>
      </c>
      <c r="W3007" s="10">
        <v>1.1989184885481841</v>
      </c>
      <c r="X3007" s="420"/>
      <c r="Y3007" s="420"/>
      <c r="Z3007" s="1"/>
      <c r="AA3007" s="1"/>
      <c r="AB3007" s="1"/>
      <c r="AC3007" s="1"/>
      <c r="AD3007" s="1"/>
    </row>
    <row r="3008" spans="17:30">
      <c r="Q3008" s="6">
        <v>2978</v>
      </c>
      <c r="R3008" s="7">
        <v>45645</v>
      </c>
      <c r="S3008" s="210">
        <v>4.5</v>
      </c>
      <c r="T3008" s="8">
        <v>1.0001249999999999</v>
      </c>
      <c r="U3008" s="98">
        <v>4.4926024443807</v>
      </c>
      <c r="V3008" s="106">
        <v>34088.570867533999</v>
      </c>
      <c r="W3008" s="10">
        <v>1.1989971313933312</v>
      </c>
      <c r="X3008" s="420"/>
      <c r="Y3008" s="420"/>
      <c r="Z3008" s="1"/>
      <c r="AA3008" s="1"/>
      <c r="AB3008" s="1"/>
      <c r="AC3008" s="1"/>
      <c r="AD3008" s="1"/>
    </row>
    <row r="3009" spans="17:30">
      <c r="Q3009" s="6">
        <v>2979</v>
      </c>
      <c r="R3009" s="7">
        <v>45646</v>
      </c>
      <c r="S3009" s="210">
        <v>4.5</v>
      </c>
      <c r="T3009" s="8">
        <v>1.0001249999999999</v>
      </c>
      <c r="U3009" s="98">
        <v>4.4926612344037054</v>
      </c>
      <c r="V3009" s="106">
        <v>34091.50261326383</v>
      </c>
      <c r="W3009" s="10">
        <v>1.199075721501397</v>
      </c>
      <c r="X3009" s="420"/>
      <c r="Y3009" s="420"/>
      <c r="Z3009" s="1"/>
      <c r="AA3009" s="1"/>
      <c r="AB3009" s="1"/>
      <c r="AC3009" s="1"/>
      <c r="AD3009" s="1"/>
    </row>
    <row r="3010" spans="17:30">
      <c r="Q3010" s="6">
        <v>2980</v>
      </c>
      <c r="R3010" s="7">
        <v>45647</v>
      </c>
      <c r="S3010" s="210">
        <v>4.5</v>
      </c>
      <c r="T3010" s="8">
        <v>1.0001249999999999</v>
      </c>
      <c r="U3010" s="98">
        <v>4.4927199850033572</v>
      </c>
      <c r="V3010" s="106">
        <v>34094.434611134857</v>
      </c>
      <c r="W3010" s="10">
        <v>1.1991542589254056</v>
      </c>
      <c r="X3010" s="420"/>
      <c r="Y3010" s="420"/>
      <c r="Z3010" s="1"/>
      <c r="AA3010" s="1"/>
      <c r="AB3010" s="1"/>
      <c r="AC3010" s="1"/>
      <c r="AD3010" s="1"/>
    </row>
    <row r="3011" spans="17:30">
      <c r="Q3011" s="6">
        <v>2981</v>
      </c>
      <c r="R3011" s="7">
        <v>45648</v>
      </c>
      <c r="S3011" s="210">
        <v>4.5</v>
      </c>
      <c r="T3011" s="8">
        <v>1.0001249999999999</v>
      </c>
      <c r="U3011" s="98">
        <v>4.4927786962193128</v>
      </c>
      <c r="V3011" s="106">
        <v>34097.366861168768</v>
      </c>
      <c r="W3011" s="10">
        <v>1.1992327437182926</v>
      </c>
      <c r="X3011" s="420"/>
      <c r="Y3011" s="420"/>
      <c r="Z3011" s="1"/>
      <c r="AA3011" s="1"/>
      <c r="AB3011" s="1"/>
      <c r="AC3011" s="1"/>
      <c r="AD3011" s="1"/>
    </row>
    <row r="3012" spans="17:30">
      <c r="Q3012" s="6">
        <v>2982</v>
      </c>
      <c r="R3012" s="7">
        <v>45649</v>
      </c>
      <c r="S3012" s="210">
        <v>4.5</v>
      </c>
      <c r="T3012" s="8">
        <v>1.0001249999999999</v>
      </c>
      <c r="U3012" s="98">
        <v>4.4928373680911404</v>
      </c>
      <c r="V3012" s="106">
        <v>34100.299363387247</v>
      </c>
      <c r="W3012" s="10">
        <v>1.1993111759329489</v>
      </c>
      <c r="X3012" s="420"/>
      <c r="Y3012" s="420"/>
      <c r="Z3012" s="1"/>
      <c r="AA3012" s="1"/>
      <c r="AB3012" s="1"/>
      <c r="AC3012" s="1"/>
      <c r="AD3012" s="1"/>
    </row>
    <row r="3013" spans="17:30">
      <c r="Q3013" s="6">
        <v>2983</v>
      </c>
      <c r="R3013" s="7">
        <v>45650</v>
      </c>
      <c r="S3013" s="210">
        <v>4.5</v>
      </c>
      <c r="T3013" s="8">
        <v>1.0001249999999999</v>
      </c>
      <c r="U3013" s="98">
        <v>4.4928960006583862</v>
      </c>
      <c r="V3013" s="106">
        <v>34103.232117811982</v>
      </c>
      <c r="W3013" s="10">
        <v>1.199389555622199</v>
      </c>
      <c r="X3013" s="420"/>
      <c r="Y3013" s="420"/>
      <c r="Z3013" s="1"/>
      <c r="AA3013" s="1"/>
      <c r="AB3013" s="1"/>
      <c r="AC3013" s="1"/>
      <c r="AD3013" s="1"/>
    </row>
    <row r="3014" spans="17:30">
      <c r="Q3014" s="6">
        <v>2984</v>
      </c>
      <c r="R3014" s="7">
        <v>45651</v>
      </c>
      <c r="S3014" s="210">
        <v>4.5</v>
      </c>
      <c r="T3014" s="8">
        <v>1.0001249999999999</v>
      </c>
      <c r="U3014" s="98">
        <v>4.4929545939605298</v>
      </c>
      <c r="V3014" s="106">
        <v>34106.165124464664</v>
      </c>
      <c r="W3014" s="10">
        <v>1.1994678828388006</v>
      </c>
      <c r="X3014" s="420"/>
      <c r="Y3014" s="420"/>
      <c r="Z3014" s="1"/>
      <c r="AA3014" s="1"/>
      <c r="AB3014" s="1"/>
      <c r="AC3014" s="1"/>
      <c r="AD3014" s="1"/>
    </row>
    <row r="3015" spans="17:30">
      <c r="Q3015" s="6">
        <v>2985</v>
      </c>
      <c r="R3015" s="7">
        <v>45652</v>
      </c>
      <c r="S3015" s="210">
        <v>4.5</v>
      </c>
      <c r="T3015" s="8">
        <v>1.0001249999999999</v>
      </c>
      <c r="U3015" s="98">
        <v>4.4930131480370061</v>
      </c>
      <c r="V3015" s="106">
        <v>34109.098383366989</v>
      </c>
      <c r="W3015" s="10">
        <v>1.1995461576354227</v>
      </c>
      <c r="X3015" s="420"/>
      <c r="Y3015" s="420"/>
      <c r="Z3015" s="1"/>
      <c r="AA3015" s="1"/>
      <c r="AB3015" s="1"/>
      <c r="AC3015" s="1"/>
      <c r="AD3015" s="1"/>
    </row>
    <row r="3016" spans="17:30">
      <c r="Q3016" s="6">
        <v>2986</v>
      </c>
      <c r="R3016" s="7">
        <v>45653</v>
      </c>
      <c r="S3016" s="210">
        <v>4.5</v>
      </c>
      <c r="T3016" s="8">
        <v>1.0001249999999999</v>
      </c>
      <c r="U3016" s="98">
        <v>4.4930716629271839</v>
      </c>
      <c r="V3016" s="106">
        <v>34112.03189454064</v>
      </c>
      <c r="W3016" s="10">
        <v>1.1996243800646456</v>
      </c>
      <c r="X3016" s="420"/>
      <c r="Y3016" s="420"/>
      <c r="Z3016" s="1"/>
      <c r="AA3016" s="1"/>
      <c r="AB3016" s="1"/>
      <c r="AC3016" s="1"/>
      <c r="AD3016" s="1"/>
    </row>
    <row r="3017" spans="17:30">
      <c r="Q3017" s="6">
        <v>2987</v>
      </c>
      <c r="R3017" s="7">
        <v>45654</v>
      </c>
      <c r="S3017" s="210">
        <v>4.5</v>
      </c>
      <c r="T3017" s="8">
        <v>1.0001249999999999</v>
      </c>
      <c r="U3017" s="98">
        <v>4.493130138670387</v>
      </c>
      <c r="V3017" s="106">
        <v>34114.965658007328</v>
      </c>
      <c r="W3017" s="10">
        <v>1.199702550179027</v>
      </c>
      <c r="X3017" s="420"/>
      <c r="Y3017" s="420"/>
      <c r="Z3017" s="1"/>
      <c r="AA3017" s="1"/>
      <c r="AB3017" s="1"/>
      <c r="AC3017" s="1"/>
      <c r="AD3017" s="1"/>
    </row>
    <row r="3018" spans="17:30">
      <c r="Q3018" s="6">
        <v>2988</v>
      </c>
      <c r="R3018" s="7">
        <v>45655</v>
      </c>
      <c r="S3018" s="210">
        <v>4.5</v>
      </c>
      <c r="T3018" s="8">
        <v>1.0001249999999999</v>
      </c>
      <c r="U3018" s="98">
        <v>4.4931885753058953</v>
      </c>
      <c r="V3018" s="106">
        <v>34117.899673788743</v>
      </c>
      <c r="W3018" s="10">
        <v>1.1997806680310363</v>
      </c>
      <c r="X3018" s="420"/>
      <c r="Y3018" s="420"/>
      <c r="Z3018" s="1"/>
      <c r="AA3018" s="1"/>
      <c r="AB3018" s="1"/>
      <c r="AC3018" s="1"/>
      <c r="AD3018" s="1"/>
    </row>
    <row r="3019" spans="17:30">
      <c r="Q3019" s="6">
        <v>2989</v>
      </c>
      <c r="R3019" s="7">
        <v>45656</v>
      </c>
      <c r="S3019" s="210">
        <v>4.5</v>
      </c>
      <c r="T3019" s="8">
        <v>1.0001249999999999</v>
      </c>
      <c r="U3019" s="98">
        <v>4.4932469728729219</v>
      </c>
      <c r="V3019" s="106">
        <v>34120.833941906589</v>
      </c>
      <c r="W3019" s="10">
        <v>1.1998587336730759</v>
      </c>
      <c r="X3019" s="420"/>
      <c r="Y3019" s="420"/>
      <c r="Z3019" s="1"/>
      <c r="AA3019" s="1"/>
      <c r="AB3019" s="1"/>
      <c r="AC3019" s="1"/>
      <c r="AD3019" s="1"/>
    </row>
    <row r="3020" spans="17:30">
      <c r="Q3020" s="6">
        <v>2990</v>
      </c>
      <c r="R3020" s="7">
        <v>45657</v>
      </c>
      <c r="S3020" s="210">
        <v>4.5</v>
      </c>
      <c r="T3020" s="8">
        <v>1.0001249999999999</v>
      </c>
      <c r="U3020" s="98">
        <v>4.4933053314106353</v>
      </c>
      <c r="V3020" s="106">
        <v>34123.768462382563</v>
      </c>
      <c r="W3020" s="10">
        <v>1.1999367471574374</v>
      </c>
      <c r="X3020" s="420"/>
      <c r="Y3020" s="420"/>
      <c r="Z3020" s="1"/>
      <c r="AA3020" s="1"/>
      <c r="AB3020" s="1"/>
      <c r="AC3020" s="1"/>
      <c r="AD3020" s="1"/>
    </row>
    <row r="3021" spans="17:30">
      <c r="Q3021" s="6">
        <v>2991</v>
      </c>
      <c r="R3021" s="7">
        <v>45658</v>
      </c>
      <c r="S3021" s="210">
        <v>4.5</v>
      </c>
      <c r="T3021" s="8">
        <v>1.0001249999999999</v>
      </c>
      <c r="U3021" s="98">
        <v>4.4933636509581376</v>
      </c>
      <c r="V3021" s="106">
        <v>34126.703235238369</v>
      </c>
      <c r="W3021" s="10">
        <v>1.2000147085363899</v>
      </c>
      <c r="X3021" s="420"/>
      <c r="Y3021" s="420"/>
      <c r="Z3021" s="1"/>
      <c r="AA3021" s="1"/>
      <c r="AB3021" s="1"/>
      <c r="AC3021" s="1"/>
      <c r="AD3021" s="1"/>
    </row>
    <row r="3022" spans="17:30">
      <c r="Q3022" s="6">
        <v>2992</v>
      </c>
      <c r="R3022" s="7">
        <v>45659</v>
      </c>
      <c r="S3022" s="210">
        <v>4.5</v>
      </c>
      <c r="T3022" s="8">
        <v>1.0001249999999999</v>
      </c>
      <c r="U3022" s="98">
        <v>4.4934219315545088</v>
      </c>
      <c r="V3022" s="106">
        <v>34129.638260495725</v>
      </c>
      <c r="W3022" s="10">
        <v>1.2000926178621141</v>
      </c>
      <c r="X3022" s="420"/>
      <c r="Y3022" s="420"/>
      <c r="Z3022" s="1"/>
      <c r="AA3022" s="1"/>
      <c r="AB3022" s="1"/>
      <c r="AC3022" s="1"/>
      <c r="AD3022" s="1"/>
    </row>
    <row r="3023" spans="17:30">
      <c r="Q3023" s="6">
        <v>2993</v>
      </c>
      <c r="R3023" s="7">
        <v>45660</v>
      </c>
      <c r="S3023" s="210">
        <v>4.5</v>
      </c>
      <c r="T3023" s="8">
        <v>1.0001249999999999</v>
      </c>
      <c r="U3023" s="98">
        <v>4.4934801732387619</v>
      </c>
      <c r="V3023" s="106">
        <v>34132.573538176322</v>
      </c>
      <c r="W3023" s="10">
        <v>1.2001704751867459</v>
      </c>
      <c r="X3023" s="420"/>
      <c r="Y3023" s="420"/>
      <c r="Z3023" s="1"/>
      <c r="AA3023" s="1"/>
      <c r="AB3023" s="1"/>
      <c r="AC3023" s="1"/>
      <c r="AD3023" s="1"/>
    </row>
    <row r="3024" spans="17:30">
      <c r="Q3024" s="6">
        <v>2994</v>
      </c>
      <c r="R3024" s="7">
        <v>45661</v>
      </c>
      <c r="S3024" s="210">
        <v>4.5</v>
      </c>
      <c r="T3024" s="8">
        <v>1.0001249999999999</v>
      </c>
      <c r="U3024" s="98">
        <v>4.4935383760498437</v>
      </c>
      <c r="V3024" s="106">
        <v>34135.509068301872</v>
      </c>
      <c r="W3024" s="10">
        <v>1.2002482805623105</v>
      </c>
      <c r="X3024" s="420"/>
      <c r="Y3024" s="420"/>
      <c r="Z3024" s="1"/>
      <c r="AA3024" s="1"/>
      <c r="AB3024" s="1"/>
      <c r="AC3024" s="1"/>
      <c r="AD3024" s="1"/>
    </row>
    <row r="3025" spans="17:30">
      <c r="Q3025" s="6">
        <v>2995</v>
      </c>
      <c r="R3025" s="7">
        <v>45662</v>
      </c>
      <c r="S3025" s="210">
        <v>4.5</v>
      </c>
      <c r="T3025" s="8">
        <v>1.0001249999999999</v>
      </c>
      <c r="U3025" s="98">
        <v>4.4935965400266564</v>
      </c>
      <c r="V3025" s="106">
        <v>34138.444850894091</v>
      </c>
      <c r="W3025" s="10">
        <v>1.2003260340407884</v>
      </c>
      <c r="X3025" s="420"/>
      <c r="Y3025" s="420"/>
      <c r="Z3025" s="1"/>
      <c r="AA3025" s="1"/>
      <c r="AB3025" s="1"/>
      <c r="AC3025" s="1"/>
      <c r="AD3025" s="1"/>
    </row>
    <row r="3026" spans="17:30">
      <c r="Q3026" s="6">
        <v>2996</v>
      </c>
      <c r="R3026" s="7">
        <v>45663</v>
      </c>
      <c r="S3026" s="210">
        <v>4.5</v>
      </c>
      <c r="T3026" s="8">
        <v>1.0001249999999999</v>
      </c>
      <c r="U3026" s="98">
        <v>4.4936546652080578</v>
      </c>
      <c r="V3026" s="106">
        <v>34141.380885974701</v>
      </c>
      <c r="W3026" s="10">
        <v>1.2004037356740938</v>
      </c>
      <c r="X3026" s="420"/>
      <c r="Y3026" s="420"/>
      <c r="Z3026" s="1"/>
      <c r="AA3026" s="1"/>
      <c r="AB3026" s="1"/>
      <c r="AC3026" s="1"/>
      <c r="AD3026" s="1"/>
    </row>
    <row r="3027" spans="17:30">
      <c r="Q3027" s="6">
        <v>2997</v>
      </c>
      <c r="R3027" s="7">
        <v>45664</v>
      </c>
      <c r="S3027" s="210">
        <v>4.5</v>
      </c>
      <c r="T3027" s="8">
        <v>1.0001249999999999</v>
      </c>
      <c r="U3027" s="98">
        <v>4.493712751632839</v>
      </c>
      <c r="V3027" s="106">
        <v>34144.317173565396</v>
      </c>
      <c r="W3027" s="10">
        <v>1.2004813855140517</v>
      </c>
      <c r="X3027" s="420"/>
      <c r="Y3027" s="420"/>
      <c r="Z3027" s="1"/>
      <c r="AA3027" s="1"/>
      <c r="AB3027" s="1"/>
      <c r="AC3027" s="1"/>
      <c r="AD3027" s="1"/>
    </row>
    <row r="3028" spans="17:30">
      <c r="Q3028" s="6">
        <v>2998</v>
      </c>
      <c r="R3028" s="7">
        <v>45665</v>
      </c>
      <c r="S3028" s="210">
        <v>4.5</v>
      </c>
      <c r="T3028" s="8">
        <v>1.0001249999999999</v>
      </c>
      <c r="U3028" s="98">
        <v>4.4937707993397691</v>
      </c>
      <c r="V3028" s="106">
        <v>34147.253713687918</v>
      </c>
      <c r="W3028" s="10">
        <v>1.2005589836124209</v>
      </c>
      <c r="X3028" s="420"/>
      <c r="Y3028" s="420"/>
      <c r="Z3028" s="1"/>
      <c r="AA3028" s="1"/>
      <c r="AB3028" s="1"/>
      <c r="AC3028" s="1"/>
      <c r="AD3028" s="1"/>
    </row>
    <row r="3029" spans="17:30">
      <c r="Q3029" s="6">
        <v>2999</v>
      </c>
      <c r="R3029" s="7">
        <v>45666</v>
      </c>
      <c r="S3029" s="210">
        <v>4.5</v>
      </c>
      <c r="T3029" s="8">
        <v>1.0001249999999999</v>
      </c>
      <c r="U3029" s="98">
        <v>4.4938288083675282</v>
      </c>
      <c r="V3029" s="106">
        <v>34150.190506363957</v>
      </c>
      <c r="W3029" s="10">
        <v>1.2006365300209154</v>
      </c>
      <c r="X3029" s="420"/>
      <c r="Y3029" s="420"/>
      <c r="Z3029" s="1"/>
      <c r="AA3029" s="1"/>
      <c r="AB3029" s="1"/>
      <c r="AC3029" s="1"/>
      <c r="AD3029" s="1"/>
    </row>
    <row r="3030" spans="17:30">
      <c r="Q3030" s="6">
        <v>3000</v>
      </c>
      <c r="R3030" s="7">
        <v>45667</v>
      </c>
      <c r="S3030" s="210">
        <v>4.5</v>
      </c>
      <c r="T3030" s="8">
        <v>1.0001249999999999</v>
      </c>
      <c r="U3030" s="98">
        <v>4.4938867787547743</v>
      </c>
      <c r="V3030" s="106">
        <v>34153.127551615253</v>
      </c>
      <c r="W3030" s="10">
        <v>1.2007140247911829</v>
      </c>
      <c r="X3030" s="420"/>
      <c r="Y3030" s="420"/>
      <c r="Z3030" s="1"/>
      <c r="AA3030" s="1"/>
      <c r="AB3030" s="1"/>
      <c r="AC3030" s="1"/>
      <c r="AD3030" s="1"/>
    </row>
    <row r="3031" spans="17:30">
      <c r="Q3031" s="6">
        <v>3001</v>
      </c>
      <c r="R3031" s="7">
        <v>45668</v>
      </c>
      <c r="S3031" s="210">
        <v>4.5</v>
      </c>
      <c r="T3031" s="8">
        <v>1.0001249999999999</v>
      </c>
      <c r="U3031" s="98">
        <v>4.4939447105401209</v>
      </c>
      <c r="V3031" s="106">
        <v>34156.064849463524</v>
      </c>
      <c r="W3031" s="10">
        <v>1.2007914679747822</v>
      </c>
      <c r="X3031" s="420"/>
      <c r="Y3031" s="420"/>
      <c r="Z3031" s="1"/>
      <c r="AA3031" s="1"/>
      <c r="AB3031" s="1"/>
      <c r="AC3031" s="1"/>
      <c r="AD3031" s="1"/>
    </row>
    <row r="3032" spans="17:30">
      <c r="Q3032" s="6">
        <v>3002</v>
      </c>
      <c r="R3032" s="7">
        <v>45669</v>
      </c>
      <c r="S3032" s="210">
        <v>4.5</v>
      </c>
      <c r="T3032" s="8">
        <v>1.0001249999999999</v>
      </c>
      <c r="U3032" s="98">
        <v>4.4940026037620706</v>
      </c>
      <c r="V3032" s="106">
        <v>34159.002399930498</v>
      </c>
      <c r="W3032" s="10">
        <v>1.2008688596231609</v>
      </c>
      <c r="X3032" s="420"/>
      <c r="Y3032" s="420"/>
      <c r="Z3032" s="1"/>
      <c r="AA3032" s="1"/>
      <c r="AB3032" s="1"/>
      <c r="AC3032" s="1"/>
      <c r="AD3032" s="1"/>
    </row>
    <row r="3033" spans="17:30">
      <c r="Q3033" s="6">
        <v>3003</v>
      </c>
      <c r="R3033" s="7">
        <v>45670</v>
      </c>
      <c r="S3033" s="210">
        <v>4.5</v>
      </c>
      <c r="T3033" s="8">
        <v>1.0001249999999999</v>
      </c>
      <c r="U3033" s="98">
        <v>4.4940604584591481</v>
      </c>
      <c r="V3033" s="106">
        <v>34161.940203037891</v>
      </c>
      <c r="W3033" s="10">
        <v>1.200946199787789</v>
      </c>
      <c r="X3033" s="420"/>
      <c r="Y3033" s="420"/>
      <c r="Z3033" s="1"/>
      <c r="AA3033" s="1"/>
      <c r="AB3033" s="1"/>
      <c r="AC3033" s="1"/>
      <c r="AD3033" s="1"/>
    </row>
    <row r="3034" spans="17:30">
      <c r="Q3034" s="6">
        <v>3004</v>
      </c>
      <c r="R3034" s="7">
        <v>45671</v>
      </c>
      <c r="S3034" s="210">
        <v>4.5</v>
      </c>
      <c r="T3034" s="8">
        <v>1.0001249999999999</v>
      </c>
      <c r="U3034" s="98">
        <v>4.4941182746697894</v>
      </c>
      <c r="V3034" s="106">
        <v>34164.878258807446</v>
      </c>
      <c r="W3034" s="10">
        <v>1.2010234885200033</v>
      </c>
      <c r="X3034" s="420"/>
      <c r="Y3034" s="420"/>
      <c r="Z3034" s="1"/>
      <c r="AA3034" s="1"/>
      <c r="AB3034" s="1"/>
      <c r="AC3034" s="1"/>
      <c r="AD3034" s="1"/>
    </row>
    <row r="3035" spans="17:30">
      <c r="Q3035" s="6">
        <v>3005</v>
      </c>
      <c r="R3035" s="7">
        <v>45672</v>
      </c>
      <c r="S3035" s="210">
        <v>4.5</v>
      </c>
      <c r="T3035" s="8">
        <v>1.0001249999999999</v>
      </c>
      <c r="U3035" s="98">
        <v>4.4941760524323859</v>
      </c>
      <c r="V3035" s="106">
        <v>34167.816567260874</v>
      </c>
      <c r="W3035" s="10">
        <v>1.2011007258711182</v>
      </c>
      <c r="X3035" s="420"/>
      <c r="Y3035" s="420"/>
      <c r="Z3035" s="1"/>
      <c r="AA3035" s="1"/>
      <c r="AB3035" s="1"/>
      <c r="AC3035" s="1"/>
      <c r="AD3035" s="1"/>
    </row>
    <row r="3036" spans="17:30">
      <c r="Q3036" s="6">
        <v>3006</v>
      </c>
      <c r="R3036" s="7">
        <v>45673</v>
      </c>
      <c r="S3036" s="210">
        <v>4.5</v>
      </c>
      <c r="T3036" s="8">
        <v>1.0001249999999999</v>
      </c>
      <c r="U3036" s="98">
        <v>4.4942337917852626</v>
      </c>
      <c r="V3036" s="106">
        <v>34170.755128419922</v>
      </c>
      <c r="W3036" s="10">
        <v>1.2011779118923149</v>
      </c>
      <c r="X3036" s="420"/>
      <c r="Y3036" s="420"/>
      <c r="Z3036" s="1"/>
      <c r="AA3036" s="1"/>
      <c r="AB3036" s="1"/>
      <c r="AC3036" s="1"/>
      <c r="AD3036" s="1"/>
    </row>
    <row r="3037" spans="17:30">
      <c r="Q3037" s="6">
        <v>3007</v>
      </c>
      <c r="R3037" s="7">
        <v>45674</v>
      </c>
      <c r="S3037" s="210">
        <v>4.5</v>
      </c>
      <c r="T3037" s="8">
        <v>1.0001249999999999</v>
      </c>
      <c r="U3037" s="98">
        <v>4.4942914927667221</v>
      </c>
      <c r="V3037" s="106">
        <v>34173.693942306316</v>
      </c>
      <c r="W3037" s="10">
        <v>1.2012550466347749</v>
      </c>
      <c r="X3037" s="420"/>
      <c r="Y3037" s="420"/>
      <c r="Z3037" s="1"/>
      <c r="AA3037" s="1"/>
      <c r="AB3037" s="1"/>
      <c r="AC3037" s="1"/>
      <c r="AD3037" s="1"/>
    </row>
    <row r="3038" spans="17:30">
      <c r="Q3038" s="6">
        <v>3008</v>
      </c>
      <c r="R3038" s="7">
        <v>45675</v>
      </c>
      <c r="S3038" s="210">
        <v>4.5</v>
      </c>
      <c r="T3038" s="8">
        <v>1.0001249999999999</v>
      </c>
      <c r="U3038" s="98">
        <v>4.4943491554150006</v>
      </c>
      <c r="V3038" s="106">
        <v>34176.633008941797</v>
      </c>
      <c r="W3038" s="10">
        <v>1.2013321301495461</v>
      </c>
      <c r="X3038" s="420"/>
      <c r="Y3038" s="420"/>
      <c r="Z3038" s="1"/>
      <c r="AA3038" s="1"/>
      <c r="AB3038" s="1"/>
      <c r="AC3038" s="1"/>
      <c r="AD3038" s="1"/>
    </row>
    <row r="3039" spans="17:30">
      <c r="Q3039" s="6">
        <v>3009</v>
      </c>
      <c r="R3039" s="7">
        <v>45676</v>
      </c>
      <c r="S3039" s="210">
        <v>4.5</v>
      </c>
      <c r="T3039" s="8">
        <v>1.0001249999999999</v>
      </c>
      <c r="U3039" s="98">
        <v>4.4944067797682674</v>
      </c>
      <c r="V3039" s="106">
        <v>34179.572328348098</v>
      </c>
      <c r="W3039" s="10">
        <v>1.2014091624876766</v>
      </c>
      <c r="X3039" s="420"/>
      <c r="Y3039" s="420"/>
      <c r="Z3039" s="1"/>
      <c r="AA3039" s="1"/>
      <c r="AB3039" s="1"/>
      <c r="AC3039" s="1"/>
      <c r="AD3039" s="1"/>
    </row>
    <row r="3040" spans="17:30">
      <c r="Q3040" s="6">
        <v>3010</v>
      </c>
      <c r="R3040" s="7">
        <v>45677</v>
      </c>
      <c r="S3040" s="210">
        <v>4.5</v>
      </c>
      <c r="T3040" s="8">
        <v>1.0001249999999999</v>
      </c>
      <c r="U3040" s="98">
        <v>4.4944643658646921</v>
      </c>
      <c r="V3040" s="106">
        <v>34182.511900546961</v>
      </c>
      <c r="W3040" s="10">
        <v>1.2014861437001256</v>
      </c>
      <c r="X3040" s="420"/>
      <c r="Y3040" s="420"/>
      <c r="Z3040" s="1"/>
      <c r="AA3040" s="1"/>
      <c r="AB3040" s="1"/>
      <c r="AC3040" s="1"/>
      <c r="AD3040" s="1"/>
    </row>
    <row r="3041" spans="17:30">
      <c r="Q3041" s="6">
        <v>3011</v>
      </c>
      <c r="R3041" s="7">
        <v>45678</v>
      </c>
      <c r="S3041" s="210">
        <v>4.5</v>
      </c>
      <c r="T3041" s="8">
        <v>1.0001249999999999</v>
      </c>
      <c r="U3041" s="98">
        <v>4.4945219137423331</v>
      </c>
      <c r="V3041" s="106">
        <v>34185.451725560124</v>
      </c>
      <c r="W3041" s="10">
        <v>1.2015630738377414</v>
      </c>
      <c r="X3041" s="420"/>
      <c r="Y3041" s="420"/>
      <c r="Z3041" s="1"/>
      <c r="AA3041" s="1"/>
      <c r="AB3041" s="1"/>
      <c r="AC3041" s="1"/>
      <c r="AD3041" s="1"/>
    </row>
    <row r="3042" spans="17:30">
      <c r="Q3042" s="6">
        <v>3012</v>
      </c>
      <c r="R3042" s="7">
        <v>45679</v>
      </c>
      <c r="S3042" s="210">
        <v>4.5</v>
      </c>
      <c r="T3042" s="8">
        <v>1.0001249999999999</v>
      </c>
      <c r="U3042" s="98">
        <v>4.4945794234392267</v>
      </c>
      <c r="V3042" s="106">
        <v>34188.391803409337</v>
      </c>
      <c r="W3042" s="10">
        <v>1.20163995295135</v>
      </c>
      <c r="X3042" s="420"/>
      <c r="Y3042" s="420"/>
      <c r="Z3042" s="1"/>
      <c r="AA3042" s="1"/>
      <c r="AB3042" s="1"/>
      <c r="AC3042" s="1"/>
      <c r="AD3042" s="1"/>
    </row>
    <row r="3043" spans="17:30">
      <c r="Q3043" s="6">
        <v>3013</v>
      </c>
      <c r="R3043" s="7">
        <v>45680</v>
      </c>
      <c r="S3043" s="210">
        <v>4.5</v>
      </c>
      <c r="T3043" s="8">
        <v>1.0001249999999999</v>
      </c>
      <c r="U3043" s="98">
        <v>4.4946368949933646</v>
      </c>
      <c r="V3043" s="106">
        <v>34191.332134116332</v>
      </c>
      <c r="W3043" s="10">
        <v>1.2017167810916884</v>
      </c>
      <c r="X3043" s="420"/>
      <c r="Y3043" s="420"/>
      <c r="Z3043" s="1"/>
      <c r="AA3043" s="1"/>
      <c r="AB3043" s="1"/>
      <c r="AC3043" s="1"/>
      <c r="AD3043" s="1"/>
    </row>
    <row r="3044" spans="17:30">
      <c r="Q3044" s="6">
        <v>3014</v>
      </c>
      <c r="R3044" s="7">
        <v>45681</v>
      </c>
      <c r="S3044" s="210">
        <v>4.5</v>
      </c>
      <c r="T3044" s="8">
        <v>1.0001249999999999</v>
      </c>
      <c r="U3044" s="98">
        <v>4.4946943284426943</v>
      </c>
      <c r="V3044" s="106">
        <v>34194.272717702865</v>
      </c>
      <c r="W3044" s="10">
        <v>1.2017935583094497</v>
      </c>
      <c r="X3044" s="420"/>
      <c r="Y3044" s="420"/>
      <c r="Z3044" s="1"/>
      <c r="AA3044" s="1"/>
      <c r="AB3044" s="1"/>
      <c r="AC3044" s="1"/>
      <c r="AD3044" s="1"/>
    </row>
    <row r="3045" spans="17:30">
      <c r="Q3045" s="6">
        <v>3015</v>
      </c>
      <c r="R3045" s="7">
        <v>45682</v>
      </c>
      <c r="S3045" s="210">
        <v>4.5</v>
      </c>
      <c r="T3045" s="8">
        <v>1.0001249999999999</v>
      </c>
      <c r="U3045" s="98">
        <v>4.4947517238250745</v>
      </c>
      <c r="V3045" s="106">
        <v>34197.213554190683</v>
      </c>
      <c r="W3045" s="10">
        <v>1.2018702846552376</v>
      </c>
      <c r="X3045" s="420"/>
      <c r="Y3045" s="420"/>
      <c r="Z3045" s="1"/>
      <c r="AA3045" s="1"/>
      <c r="AB3045" s="1"/>
      <c r="AC3045" s="1"/>
      <c r="AD3045" s="1"/>
    </row>
    <row r="3046" spans="17:30">
      <c r="Q3046" s="6">
        <v>3016</v>
      </c>
      <c r="R3046" s="7">
        <v>45683</v>
      </c>
      <c r="S3046" s="210">
        <v>4.5</v>
      </c>
      <c r="T3046" s="8">
        <v>1.0001249999999999</v>
      </c>
      <c r="U3046" s="98">
        <v>4.4948090811783414</v>
      </c>
      <c r="V3046" s="106">
        <v>34200.154643601534</v>
      </c>
      <c r="W3046" s="10">
        <v>1.2019469601795896</v>
      </c>
      <c r="X3046" s="420"/>
      <c r="Y3046" s="420"/>
      <c r="Z3046" s="1"/>
      <c r="AA3046" s="1"/>
      <c r="AB3046" s="1"/>
      <c r="AC3046" s="1"/>
      <c r="AD3046" s="1"/>
    </row>
    <row r="3047" spans="17:30">
      <c r="Q3047" s="6">
        <v>3017</v>
      </c>
      <c r="R3047" s="7">
        <v>45684</v>
      </c>
      <c r="S3047" s="210">
        <v>4.5</v>
      </c>
      <c r="T3047" s="8">
        <v>1.0001249999999999</v>
      </c>
      <c r="U3047" s="98">
        <v>4.4948664005403094</v>
      </c>
      <c r="V3047" s="106">
        <v>34203.095985957181</v>
      </c>
      <c r="W3047" s="10">
        <v>1.2020235849330208</v>
      </c>
      <c r="X3047" s="420"/>
      <c r="Y3047" s="420"/>
      <c r="Z3047" s="1"/>
      <c r="AA3047" s="1"/>
      <c r="AB3047" s="1"/>
      <c r="AC3047" s="1"/>
      <c r="AD3047" s="1"/>
    </row>
    <row r="3048" spans="17:30">
      <c r="Q3048" s="6">
        <v>3018</v>
      </c>
      <c r="R3048" s="7">
        <v>45685</v>
      </c>
      <c r="S3048" s="210">
        <v>4.5</v>
      </c>
      <c r="T3048" s="8">
        <v>1.0001249999999999</v>
      </c>
      <c r="U3048" s="98">
        <v>4.4949236819486815</v>
      </c>
      <c r="V3048" s="106">
        <v>34206.037581279365</v>
      </c>
      <c r="W3048" s="10">
        <v>1.2021001589658908</v>
      </c>
      <c r="X3048" s="420"/>
      <c r="Y3048" s="420"/>
      <c r="Z3048" s="1"/>
      <c r="AA3048" s="1"/>
      <c r="AB3048" s="1"/>
      <c r="AC3048" s="1"/>
      <c r="AD3048" s="1"/>
    </row>
    <row r="3049" spans="17:30">
      <c r="Q3049" s="6">
        <v>3019</v>
      </c>
      <c r="R3049" s="7">
        <v>45686</v>
      </c>
      <c r="S3049" s="210">
        <v>4.5</v>
      </c>
      <c r="T3049" s="8">
        <v>1.0001249999999999</v>
      </c>
      <c r="U3049" s="98">
        <v>4.4949809254411388</v>
      </c>
      <c r="V3049" s="106">
        <v>34208.979429589846</v>
      </c>
      <c r="W3049" s="10">
        <v>1.2021766823285596</v>
      </c>
      <c r="X3049" s="420"/>
      <c r="Y3049" s="420"/>
      <c r="Z3049" s="1"/>
      <c r="AA3049" s="1"/>
      <c r="AB3049" s="1"/>
      <c r="AC3049" s="1"/>
      <c r="AD3049" s="1"/>
    </row>
    <row r="3050" spans="17:30">
      <c r="Q3050" s="6">
        <v>3020</v>
      </c>
      <c r="R3050" s="7">
        <v>45687</v>
      </c>
      <c r="S3050" s="210">
        <v>4.5</v>
      </c>
      <c r="T3050" s="8">
        <v>1.0001249999999999</v>
      </c>
      <c r="U3050" s="98">
        <v>4.49503813105534</v>
      </c>
      <c r="V3050" s="106">
        <v>34211.921530910389</v>
      </c>
      <c r="W3050" s="10">
        <v>1.20225315507132</v>
      </c>
      <c r="X3050" s="420"/>
      <c r="Y3050" s="420"/>
      <c r="Z3050" s="1"/>
      <c r="AA3050" s="1"/>
      <c r="AB3050" s="1"/>
      <c r="AC3050" s="1"/>
      <c r="AD3050" s="1"/>
    </row>
    <row r="3051" spans="17:30">
      <c r="Q3051" s="6">
        <v>3021</v>
      </c>
      <c r="R3051" s="7">
        <v>45688</v>
      </c>
      <c r="S3051" s="210">
        <v>4.5</v>
      </c>
      <c r="T3051" s="8">
        <v>1.0001249999999999</v>
      </c>
      <c r="U3051" s="98">
        <v>4.4950952988288551</v>
      </c>
      <c r="V3051" s="106">
        <v>34214.863885262741</v>
      </c>
      <c r="W3051" s="10">
        <v>1.2023295772443765</v>
      </c>
      <c r="X3051" s="420"/>
      <c r="Y3051" s="420"/>
      <c r="Z3051" s="1"/>
      <c r="AA3051" s="1"/>
      <c r="AB3051" s="1"/>
      <c r="AC3051" s="1"/>
      <c r="AD3051" s="1"/>
    </row>
    <row r="3052" spans="17:30">
      <c r="Q3052" s="6">
        <v>3022</v>
      </c>
      <c r="R3052" s="7">
        <v>45689</v>
      </c>
      <c r="S3052" s="210">
        <v>4.5</v>
      </c>
      <c r="T3052" s="8">
        <v>1.0001249999999999</v>
      </c>
      <c r="U3052" s="98">
        <v>4.4951524287992095</v>
      </c>
      <c r="V3052" s="106">
        <v>34217.806492668664</v>
      </c>
      <c r="W3052" s="10">
        <v>1.2024059488978667</v>
      </c>
      <c r="X3052" s="420"/>
      <c r="Y3052" s="420"/>
      <c r="Z3052" s="1"/>
      <c r="AA3052" s="1"/>
      <c r="AB3052" s="1"/>
      <c r="AC3052" s="1"/>
      <c r="AD3052" s="1"/>
    </row>
    <row r="3053" spans="17:30">
      <c r="Q3053" s="6">
        <v>3023</v>
      </c>
      <c r="R3053" s="7">
        <v>45690</v>
      </c>
      <c r="S3053" s="210">
        <v>4.5</v>
      </c>
      <c r="T3053" s="8">
        <v>1.0001249999999999</v>
      </c>
      <c r="U3053" s="98">
        <v>4.4952095210039067</v>
      </c>
      <c r="V3053" s="106">
        <v>34220.749353149942</v>
      </c>
      <c r="W3053" s="10">
        <v>1.2024822700818838</v>
      </c>
      <c r="X3053" s="420"/>
      <c r="Y3053" s="420"/>
      <c r="Z3053" s="1"/>
      <c r="AA3053" s="1"/>
      <c r="AB3053" s="1"/>
      <c r="AC3053" s="1"/>
      <c r="AD3053" s="1"/>
    </row>
    <row r="3054" spans="17:30">
      <c r="Q3054" s="6">
        <v>3024</v>
      </c>
      <c r="R3054" s="7">
        <v>45691</v>
      </c>
      <c r="S3054" s="210">
        <v>4.5</v>
      </c>
      <c r="T3054" s="8">
        <v>1.0001249999999999</v>
      </c>
      <c r="U3054" s="98">
        <v>4.4952665754803611</v>
      </c>
      <c r="V3054" s="106">
        <v>34223.692466728324</v>
      </c>
      <c r="W3054" s="10">
        <v>1.2025585408464101</v>
      </c>
      <c r="X3054" s="420"/>
      <c r="Y3054" s="420"/>
      <c r="Z3054" s="1"/>
      <c r="AA3054" s="1"/>
      <c r="AB3054" s="1"/>
      <c r="AC3054" s="1"/>
      <c r="AD3054" s="1"/>
    </row>
    <row r="3055" spans="17:30">
      <c r="Q3055" s="6">
        <v>3025</v>
      </c>
      <c r="R3055" s="7">
        <v>45692</v>
      </c>
      <c r="S3055" s="210">
        <v>4.5</v>
      </c>
      <c r="T3055" s="8">
        <v>1.0001249999999999</v>
      </c>
      <c r="U3055" s="98">
        <v>4.4953235922659651</v>
      </c>
      <c r="V3055" s="106">
        <v>34226.635833425571</v>
      </c>
      <c r="W3055" s="10">
        <v>1.2026347612414057</v>
      </c>
      <c r="X3055" s="420"/>
      <c r="Y3055" s="420"/>
      <c r="Z3055" s="1"/>
      <c r="AA3055" s="1"/>
      <c r="AB3055" s="1"/>
      <c r="AC3055" s="1"/>
      <c r="AD3055" s="1"/>
    </row>
    <row r="3056" spans="17:30">
      <c r="Q3056" s="6">
        <v>3026</v>
      </c>
      <c r="R3056" s="7">
        <v>45693</v>
      </c>
      <c r="S3056" s="210">
        <v>4.5</v>
      </c>
      <c r="T3056" s="8">
        <v>1.0001249999999999</v>
      </c>
      <c r="U3056" s="98">
        <v>4.4953805713980666</v>
      </c>
      <c r="V3056" s="106">
        <v>34229.579453263468</v>
      </c>
      <c r="W3056" s="10">
        <v>1.2027109313167639</v>
      </c>
      <c r="X3056" s="420"/>
      <c r="Y3056" s="420"/>
      <c r="Z3056" s="1"/>
      <c r="AA3056" s="1"/>
      <c r="AB3056" s="1"/>
      <c r="AC3056" s="1"/>
      <c r="AD3056" s="1"/>
    </row>
    <row r="3057" spans="17:30">
      <c r="Q3057" s="6">
        <v>3027</v>
      </c>
      <c r="R3057" s="7">
        <v>45694</v>
      </c>
      <c r="S3057" s="210">
        <v>4.5</v>
      </c>
      <c r="T3057" s="8">
        <v>1.0001249999999999</v>
      </c>
      <c r="U3057" s="98">
        <v>4.4954375129139468</v>
      </c>
      <c r="V3057" s="106">
        <v>34232.523326263778</v>
      </c>
      <c r="W3057" s="10">
        <v>1.2027870511222893</v>
      </c>
      <c r="X3057" s="420"/>
      <c r="Y3057" s="420"/>
      <c r="Z3057" s="1"/>
      <c r="AA3057" s="1"/>
      <c r="AB3057" s="1"/>
      <c r="AC3057" s="1"/>
      <c r="AD3057" s="1"/>
    </row>
    <row r="3058" spans="17:30">
      <c r="Q3058" s="6">
        <v>3028</v>
      </c>
      <c r="R3058" s="7">
        <v>45695</v>
      </c>
      <c r="S3058" s="210">
        <v>4.5</v>
      </c>
      <c r="T3058" s="8">
        <v>1.0001249999999999</v>
      </c>
      <c r="U3058" s="98">
        <v>4.4954944168508426</v>
      </c>
      <c r="V3058" s="106">
        <v>34235.467452448276</v>
      </c>
      <c r="W3058" s="10">
        <v>1.2028631207077423</v>
      </c>
      <c r="X3058" s="420"/>
      <c r="Y3058" s="420"/>
      <c r="Z3058" s="1"/>
      <c r="AA3058" s="1"/>
      <c r="AB3058" s="1"/>
      <c r="AC3058" s="1"/>
      <c r="AD3058" s="1"/>
    </row>
    <row r="3059" spans="17:30">
      <c r="Q3059" s="6">
        <v>3029</v>
      </c>
      <c r="R3059" s="7">
        <v>45696</v>
      </c>
      <c r="S3059" s="210">
        <v>4.5</v>
      </c>
      <c r="T3059" s="8">
        <v>1.0001249999999999</v>
      </c>
      <c r="U3059" s="98">
        <v>4.4955512832459243</v>
      </c>
      <c r="V3059" s="106">
        <v>34238.411831838734</v>
      </c>
      <c r="W3059" s="10">
        <v>1.2029391401227496</v>
      </c>
      <c r="X3059" s="420"/>
      <c r="Y3059" s="420"/>
      <c r="Z3059" s="1"/>
      <c r="AA3059" s="1"/>
      <c r="AB3059" s="1"/>
      <c r="AC3059" s="1"/>
      <c r="AD3059" s="1"/>
    </row>
    <row r="3060" spans="17:30">
      <c r="Q3060" s="6">
        <v>3030</v>
      </c>
      <c r="R3060" s="7">
        <v>45697</v>
      </c>
      <c r="S3060" s="210">
        <v>4.5</v>
      </c>
      <c r="T3060" s="8">
        <v>1.0001249999999999</v>
      </c>
      <c r="U3060" s="98">
        <v>4.4956081121363622</v>
      </c>
      <c r="V3060" s="106">
        <v>34241.356464456927</v>
      </c>
      <c r="W3060" s="10">
        <v>1.203015109417005</v>
      </c>
      <c r="X3060" s="420"/>
      <c r="Y3060" s="420"/>
      <c r="Z3060" s="1"/>
      <c r="AA3060" s="1"/>
      <c r="AB3060" s="1"/>
      <c r="AC3060" s="1"/>
      <c r="AD3060" s="1"/>
    </row>
    <row r="3061" spans="17:30">
      <c r="Q3061" s="6">
        <v>3031</v>
      </c>
      <c r="R3061" s="7">
        <v>45698</v>
      </c>
      <c r="S3061" s="210">
        <v>4.5</v>
      </c>
      <c r="T3061" s="8">
        <v>1.0001249999999999</v>
      </c>
      <c r="U3061" s="98">
        <v>4.4956649035592378</v>
      </c>
      <c r="V3061" s="106">
        <v>34244.301350324648</v>
      </c>
      <c r="W3061" s="10">
        <v>1.2030910286400243</v>
      </c>
      <c r="X3061" s="420"/>
      <c r="Y3061" s="420"/>
      <c r="Z3061" s="1"/>
      <c r="AA3061" s="1"/>
      <c r="AB3061" s="1"/>
      <c r="AC3061" s="1"/>
      <c r="AD3061" s="1"/>
    </row>
    <row r="3062" spans="17:30">
      <c r="Q3062" s="6">
        <v>3032</v>
      </c>
      <c r="R3062" s="7">
        <v>45699</v>
      </c>
      <c r="S3062" s="210">
        <v>4.5</v>
      </c>
      <c r="T3062" s="8">
        <v>1.0001249999999999</v>
      </c>
      <c r="U3062" s="98">
        <v>4.4957216575515879</v>
      </c>
      <c r="V3062" s="106">
        <v>34247.246489463651</v>
      </c>
      <c r="W3062" s="10">
        <v>1.2031668978413235</v>
      </c>
      <c r="X3062" s="420"/>
      <c r="Y3062" s="420"/>
      <c r="Z3062" s="1"/>
      <c r="AA3062" s="1"/>
      <c r="AB3062" s="1"/>
      <c r="AC3062" s="1"/>
      <c r="AD3062" s="1"/>
    </row>
    <row r="3063" spans="17:30">
      <c r="Q3063" s="6">
        <v>3033</v>
      </c>
      <c r="R3063" s="7">
        <v>45700</v>
      </c>
      <c r="S3063" s="210">
        <v>4.5</v>
      </c>
      <c r="T3063" s="8">
        <v>1.0001249999999999</v>
      </c>
      <c r="U3063" s="98">
        <v>4.4957783741503832</v>
      </c>
      <c r="V3063" s="106">
        <v>34250.191881895749</v>
      </c>
      <c r="W3063" s="10">
        <v>1.2032427170702409</v>
      </c>
      <c r="X3063" s="420"/>
      <c r="Y3063" s="420"/>
      <c r="Z3063" s="1"/>
      <c r="AA3063" s="1"/>
      <c r="AB3063" s="1"/>
      <c r="AC3063" s="1"/>
      <c r="AD3063" s="1"/>
    </row>
    <row r="3064" spans="17:30">
      <c r="Q3064" s="6">
        <v>3034</v>
      </c>
      <c r="R3064" s="7">
        <v>45701</v>
      </c>
      <c r="S3064" s="210">
        <v>4.5</v>
      </c>
      <c r="T3064" s="8">
        <v>1.0001249999999999</v>
      </c>
      <c r="U3064" s="98">
        <v>4.4958350533925939</v>
      </c>
      <c r="V3064" s="106">
        <v>34253.137527642699</v>
      </c>
      <c r="W3064" s="10">
        <v>1.2033184863762036</v>
      </c>
      <c r="X3064" s="420"/>
      <c r="Y3064" s="420"/>
      <c r="Z3064" s="1"/>
      <c r="AA3064" s="1"/>
      <c r="AB3064" s="1"/>
      <c r="AC3064" s="1"/>
      <c r="AD3064" s="1"/>
    </row>
    <row r="3065" spans="17:30">
      <c r="Q3065" s="6">
        <v>3035</v>
      </c>
      <c r="R3065" s="7">
        <v>45702</v>
      </c>
      <c r="S3065" s="210">
        <v>4.5</v>
      </c>
      <c r="T3065" s="8">
        <v>1.0001249999999999</v>
      </c>
      <c r="U3065" s="98">
        <v>4.495891695315124</v>
      </c>
      <c r="V3065" s="106">
        <v>34256.083426726305</v>
      </c>
      <c r="W3065" s="10">
        <v>1.2033942058085056</v>
      </c>
      <c r="X3065" s="420"/>
      <c r="Y3065" s="420"/>
      <c r="Z3065" s="1"/>
      <c r="AA3065" s="1"/>
      <c r="AB3065" s="1"/>
      <c r="AC3065" s="1"/>
      <c r="AD3065" s="1"/>
    </row>
    <row r="3066" spans="17:30">
      <c r="Q3066" s="6">
        <v>3036</v>
      </c>
      <c r="R3066" s="7">
        <v>45703</v>
      </c>
      <c r="S3066" s="210">
        <v>4.5</v>
      </c>
      <c r="T3066" s="8">
        <v>1.0001249999999999</v>
      </c>
      <c r="U3066" s="98">
        <v>4.4959482999547884</v>
      </c>
      <c r="V3066" s="106">
        <v>34259.029579168338</v>
      </c>
      <c r="W3066" s="10">
        <v>1.2034698754163298</v>
      </c>
      <c r="X3066" s="420"/>
      <c r="Y3066" s="420"/>
      <c r="Z3066" s="1"/>
      <c r="AA3066" s="1"/>
      <c r="AB3066" s="1"/>
      <c r="AC3066" s="1"/>
      <c r="AD3066" s="1"/>
    </row>
    <row r="3067" spans="17:30">
      <c r="Q3067" s="6">
        <v>3037</v>
      </c>
      <c r="R3067" s="7">
        <v>45704</v>
      </c>
      <c r="S3067" s="210">
        <v>4.5</v>
      </c>
      <c r="T3067" s="8">
        <v>1.0001249999999999</v>
      </c>
      <c r="U3067" s="98">
        <v>4.4960048673484243</v>
      </c>
      <c r="V3067" s="106">
        <v>34261.975984990611</v>
      </c>
      <c r="W3067" s="10">
        <v>1.2035454952488811</v>
      </c>
      <c r="X3067" s="420"/>
      <c r="Y3067" s="420"/>
      <c r="Z3067" s="1"/>
      <c r="AA3067" s="1"/>
      <c r="AB3067" s="1"/>
      <c r="AC3067" s="1"/>
      <c r="AD3067" s="1"/>
    </row>
    <row r="3068" spans="17:30">
      <c r="Q3068" s="6">
        <v>3038</v>
      </c>
      <c r="R3068" s="7">
        <v>45705</v>
      </c>
      <c r="S3068" s="210">
        <v>4.5</v>
      </c>
      <c r="T3068" s="8">
        <v>1.0001249999999999</v>
      </c>
      <c r="U3068" s="98">
        <v>4.4960613975327579</v>
      </c>
      <c r="V3068" s="106">
        <v>34264.922644214901</v>
      </c>
      <c r="W3068" s="10">
        <v>1.2036210653552537</v>
      </c>
      <c r="X3068" s="420"/>
      <c r="Y3068" s="420"/>
      <c r="Z3068" s="1"/>
      <c r="AA3068" s="1"/>
      <c r="AB3068" s="1"/>
      <c r="AC3068" s="1"/>
      <c r="AD3068" s="1"/>
    </row>
    <row r="3069" spans="17:30">
      <c r="Q3069" s="6">
        <v>3039</v>
      </c>
      <c r="R3069" s="7">
        <v>45706</v>
      </c>
      <c r="S3069" s="210">
        <v>4.5</v>
      </c>
      <c r="T3069" s="8">
        <v>1.0001249999999999</v>
      </c>
      <c r="U3069" s="98">
        <v>4.4961178905444932</v>
      </c>
      <c r="V3069" s="106">
        <v>34267.869556862999</v>
      </c>
      <c r="W3069" s="10">
        <v>1.2036965857844528</v>
      </c>
      <c r="X3069" s="420"/>
      <c r="Y3069" s="420"/>
      <c r="Z3069" s="1"/>
      <c r="AA3069" s="1"/>
      <c r="AB3069" s="1"/>
      <c r="AC3069" s="1"/>
      <c r="AD3069" s="1"/>
    </row>
    <row r="3070" spans="17:30">
      <c r="Q3070" s="6">
        <v>3040</v>
      </c>
      <c r="R3070" s="7">
        <v>45707</v>
      </c>
      <c r="S3070" s="210">
        <v>4.5</v>
      </c>
      <c r="T3070" s="8">
        <v>1.0001249999999999</v>
      </c>
      <c r="U3070" s="98">
        <v>4.4961743464202897</v>
      </c>
      <c r="V3070" s="106">
        <v>34270.816722956704</v>
      </c>
      <c r="W3070" s="10">
        <v>1.2037720565854615</v>
      </c>
      <c r="X3070" s="420"/>
      <c r="Y3070" s="420"/>
      <c r="Z3070" s="1"/>
      <c r="AA3070" s="1"/>
      <c r="AB3070" s="1"/>
      <c r="AC3070" s="1"/>
      <c r="AD3070" s="1"/>
    </row>
    <row r="3071" spans="17:30">
      <c r="Q3071" s="6">
        <v>3041</v>
      </c>
      <c r="R3071" s="7">
        <v>45708</v>
      </c>
      <c r="S3071" s="210">
        <v>4.5</v>
      </c>
      <c r="T3071" s="8">
        <v>1.0001249999999999</v>
      </c>
      <c r="U3071" s="98">
        <v>4.4962307651967404</v>
      </c>
      <c r="V3071" s="106">
        <v>34273.764142517823</v>
      </c>
      <c r="W3071" s="10">
        <v>1.2038474778071739</v>
      </c>
      <c r="X3071" s="420"/>
      <c r="Y3071" s="420"/>
      <c r="Z3071" s="1"/>
      <c r="AA3071" s="1"/>
      <c r="AB3071" s="1"/>
      <c r="AC3071" s="1"/>
      <c r="AD3071" s="1"/>
    </row>
    <row r="3072" spans="17:30">
      <c r="Q3072" s="6">
        <v>3042</v>
      </c>
      <c r="R3072" s="7">
        <v>45709</v>
      </c>
      <c r="S3072" s="210">
        <v>4.5</v>
      </c>
      <c r="T3072" s="8">
        <v>1.0001249999999999</v>
      </c>
      <c r="U3072" s="98">
        <v>4.496287146910416</v>
      </c>
      <c r="V3072" s="106">
        <v>34276.711815568146</v>
      </c>
      <c r="W3072" s="10">
        <v>1.20392284949844</v>
      </c>
      <c r="X3072" s="420"/>
      <c r="Y3072" s="420"/>
      <c r="Z3072" s="1"/>
      <c r="AA3072" s="1"/>
      <c r="AB3072" s="1"/>
      <c r="AC3072" s="1"/>
      <c r="AD3072" s="1"/>
    </row>
    <row r="3073" spans="17:30">
      <c r="Q3073" s="6">
        <v>3043</v>
      </c>
      <c r="R3073" s="7">
        <v>45710</v>
      </c>
      <c r="S3073" s="210">
        <v>4.5</v>
      </c>
      <c r="T3073" s="8">
        <v>1.0001249999999999</v>
      </c>
      <c r="U3073" s="98">
        <v>4.4963434915978207</v>
      </c>
      <c r="V3073" s="106">
        <v>34279.659742129465</v>
      </c>
      <c r="W3073" s="10">
        <v>1.2039981717080428</v>
      </c>
      <c r="X3073" s="420"/>
      <c r="Y3073" s="420"/>
      <c r="Z3073" s="1"/>
      <c r="AA3073" s="1"/>
      <c r="AB3073" s="1"/>
      <c r="AC3073" s="1"/>
      <c r="AD3073" s="1"/>
    </row>
    <row r="3074" spans="17:30">
      <c r="Q3074" s="6">
        <v>3044</v>
      </c>
      <c r="R3074" s="7">
        <v>45711</v>
      </c>
      <c r="S3074" s="210">
        <v>4.5</v>
      </c>
      <c r="T3074" s="8">
        <v>1.0001249999999999</v>
      </c>
      <c r="U3074" s="98">
        <v>4.4963997992954141</v>
      </c>
      <c r="V3074" s="106">
        <v>34282.6079222236</v>
      </c>
      <c r="W3074" s="10">
        <v>1.2040734444846546</v>
      </c>
      <c r="X3074" s="420"/>
      <c r="Y3074" s="420"/>
      <c r="Z3074" s="1"/>
      <c r="AA3074" s="1"/>
      <c r="AB3074" s="1"/>
      <c r="AC3074" s="1"/>
      <c r="AD3074" s="1"/>
    </row>
    <row r="3075" spans="17:30">
      <c r="Q3075" s="6">
        <v>3045</v>
      </c>
      <c r="R3075" s="7">
        <v>45712</v>
      </c>
      <c r="S3075" s="210">
        <v>4.5</v>
      </c>
      <c r="T3075" s="8">
        <v>1.0001249999999999</v>
      </c>
      <c r="U3075" s="98">
        <v>4.4964560700396117</v>
      </c>
      <c r="V3075" s="106">
        <v>34285.556355872344</v>
      </c>
      <c r="W3075" s="10">
        <v>1.2041486678769697</v>
      </c>
      <c r="X3075" s="420"/>
      <c r="Y3075" s="420"/>
      <c r="Z3075" s="1"/>
      <c r="AA3075" s="1"/>
      <c r="AB3075" s="1"/>
      <c r="AC3075" s="1"/>
      <c r="AD3075" s="1"/>
    </row>
    <row r="3076" spans="17:30">
      <c r="Q3076" s="6">
        <v>3046</v>
      </c>
      <c r="R3076" s="7">
        <v>45713</v>
      </c>
      <c r="S3076" s="210">
        <v>4.5</v>
      </c>
      <c r="T3076" s="8">
        <v>1.0001249999999999</v>
      </c>
      <c r="U3076" s="98">
        <v>4.496512303866762</v>
      </c>
      <c r="V3076" s="106">
        <v>34288.50504309751</v>
      </c>
      <c r="W3076" s="10">
        <v>1.2042238419335494</v>
      </c>
      <c r="X3076" s="420"/>
      <c r="Y3076" s="420"/>
      <c r="Z3076" s="1"/>
      <c r="AA3076" s="1"/>
      <c r="AB3076" s="1"/>
      <c r="AC3076" s="1"/>
      <c r="AD3076" s="1"/>
    </row>
    <row r="3077" spans="17:30">
      <c r="Q3077" s="6">
        <v>3047</v>
      </c>
      <c r="R3077" s="7">
        <v>45714</v>
      </c>
      <c r="S3077" s="210">
        <v>4.5</v>
      </c>
      <c r="T3077" s="8">
        <v>1.0001249999999999</v>
      </c>
      <c r="U3077" s="98">
        <v>4.4965685008131917</v>
      </c>
      <c r="V3077" s="106">
        <v>34291.45398392091</v>
      </c>
      <c r="W3077" s="10">
        <v>1.2042989667028881</v>
      </c>
      <c r="X3077" s="420"/>
      <c r="Y3077" s="420"/>
      <c r="Z3077" s="1"/>
      <c r="AA3077" s="1"/>
      <c r="AB3077" s="1"/>
      <c r="AC3077" s="1"/>
      <c r="AD3077" s="1"/>
    </row>
    <row r="3078" spans="17:30">
      <c r="Q3078" s="6">
        <v>3048</v>
      </c>
      <c r="R3078" s="7">
        <v>45715</v>
      </c>
      <c r="S3078" s="210">
        <v>4.5</v>
      </c>
      <c r="T3078" s="8">
        <v>1.0001249999999999</v>
      </c>
      <c r="U3078" s="98">
        <v>4.4966246609151828</v>
      </c>
      <c r="V3078" s="106">
        <v>34294.403178364337</v>
      </c>
      <c r="W3078" s="10">
        <v>1.2043740422335025</v>
      </c>
      <c r="X3078" s="420"/>
      <c r="Y3078" s="420"/>
      <c r="Z3078" s="1"/>
      <c r="AA3078" s="1"/>
      <c r="AB3078" s="1"/>
      <c r="AC3078" s="1"/>
      <c r="AD3078" s="1"/>
    </row>
    <row r="3079" spans="17:30">
      <c r="Q3079" s="6">
        <v>3049</v>
      </c>
      <c r="R3079" s="7">
        <v>45716</v>
      </c>
      <c r="S3079" s="210">
        <v>4.5</v>
      </c>
      <c r="T3079" s="8">
        <v>1.0001249999999999</v>
      </c>
      <c r="U3079" s="98">
        <v>4.4966807842089507</v>
      </c>
      <c r="V3079" s="106">
        <v>34297.352626449625</v>
      </c>
      <c r="W3079" s="10">
        <v>1.2044490685737319</v>
      </c>
      <c r="X3079" s="420"/>
      <c r="Y3079" s="420"/>
      <c r="Z3079" s="1"/>
      <c r="AA3079" s="1"/>
      <c r="AB3079" s="1"/>
      <c r="AC3079" s="1"/>
      <c r="AD3079" s="1"/>
    </row>
    <row r="3080" spans="17:30">
      <c r="Q3080" s="6">
        <v>3050</v>
      </c>
      <c r="R3080" s="7">
        <v>45717</v>
      </c>
      <c r="S3080" s="210">
        <v>4.5</v>
      </c>
      <c r="T3080" s="8">
        <v>1.0001249999999999</v>
      </c>
      <c r="U3080" s="98">
        <v>4.4967368707306665</v>
      </c>
      <c r="V3080" s="106">
        <v>34300.302328198573</v>
      </c>
      <c r="W3080" s="10">
        <v>1.2045240457719153</v>
      </c>
      <c r="X3080" s="420"/>
      <c r="Y3080" s="420"/>
      <c r="Z3080" s="1"/>
      <c r="AA3080" s="1"/>
      <c r="AB3080" s="1"/>
      <c r="AC3080" s="1"/>
      <c r="AD3080" s="1"/>
    </row>
    <row r="3081" spans="17:30">
      <c r="Q3081" s="6">
        <v>3051</v>
      </c>
      <c r="R3081" s="7">
        <v>45718</v>
      </c>
      <c r="S3081" s="210">
        <v>4.5</v>
      </c>
      <c r="T3081" s="8">
        <v>1.0001249999999999</v>
      </c>
      <c r="U3081" s="98">
        <v>4.4967929205164792</v>
      </c>
      <c r="V3081" s="106">
        <v>34303.252283633003</v>
      </c>
      <c r="W3081" s="10">
        <v>1.2045989738763474</v>
      </c>
      <c r="X3081" s="420"/>
      <c r="Y3081" s="420"/>
      <c r="Z3081" s="1"/>
      <c r="AA3081" s="1"/>
      <c r="AB3081" s="1"/>
      <c r="AC3081" s="1"/>
      <c r="AD3081" s="1"/>
    </row>
    <row r="3082" spans="17:30">
      <c r="Q3082" s="6">
        <v>3052</v>
      </c>
      <c r="R3082" s="7">
        <v>45719</v>
      </c>
      <c r="S3082" s="210">
        <v>4.5</v>
      </c>
      <c r="T3082" s="8">
        <v>1.0001249999999999</v>
      </c>
      <c r="U3082" s="98">
        <v>4.4968489336024486</v>
      </c>
      <c r="V3082" s="106">
        <v>34306.202492774733</v>
      </c>
      <c r="W3082" s="10">
        <v>1.2046738529352119</v>
      </c>
      <c r="X3082" s="420"/>
      <c r="Y3082" s="420"/>
      <c r="Z3082" s="1"/>
      <c r="AA3082" s="1"/>
      <c r="AB3082" s="1"/>
      <c r="AC3082" s="1"/>
      <c r="AD3082" s="1"/>
    </row>
    <row r="3083" spans="17:30">
      <c r="Q3083" s="6">
        <v>3053</v>
      </c>
      <c r="R3083" s="7">
        <v>45720</v>
      </c>
      <c r="S3083" s="210">
        <v>4.5</v>
      </c>
      <c r="T3083" s="8">
        <v>1.0001249999999999</v>
      </c>
      <c r="U3083" s="98">
        <v>4.4969049100246128</v>
      </c>
      <c r="V3083" s="106">
        <v>34309.152955645586</v>
      </c>
      <c r="W3083" s="10">
        <v>1.2047486829966481</v>
      </c>
      <c r="X3083" s="420"/>
      <c r="Y3083" s="420"/>
      <c r="Z3083" s="1"/>
      <c r="AA3083" s="1"/>
      <c r="AB3083" s="1"/>
      <c r="AC3083" s="1"/>
      <c r="AD3083" s="1"/>
    </row>
    <row r="3084" spans="17:30">
      <c r="Q3084" s="6">
        <v>3054</v>
      </c>
      <c r="R3084" s="7">
        <v>45721</v>
      </c>
      <c r="S3084" s="210">
        <v>4.5</v>
      </c>
      <c r="T3084" s="8">
        <v>1.0001249999999999</v>
      </c>
      <c r="U3084" s="98">
        <v>4.496960849818965</v>
      </c>
      <c r="V3084" s="106">
        <v>34312.103672267374</v>
      </c>
      <c r="W3084" s="10">
        <v>1.2048234641087507</v>
      </c>
      <c r="X3084" s="420"/>
      <c r="Y3084" s="420"/>
      <c r="Z3084" s="1"/>
      <c r="AA3084" s="1"/>
      <c r="AB3084" s="1"/>
      <c r="AC3084" s="1"/>
      <c r="AD3084" s="1"/>
    </row>
    <row r="3085" spans="17:30">
      <c r="Q3085" s="6">
        <v>3055</v>
      </c>
      <c r="R3085" s="7">
        <v>45722</v>
      </c>
      <c r="S3085" s="210">
        <v>4.5</v>
      </c>
      <c r="T3085" s="8">
        <v>1.0001249999999999</v>
      </c>
      <c r="U3085" s="98">
        <v>4.4970167530214322</v>
      </c>
      <c r="V3085" s="106">
        <v>34315.054642661926</v>
      </c>
      <c r="W3085" s="10">
        <v>1.2048981963195038</v>
      </c>
      <c r="X3085" s="420"/>
      <c r="Y3085" s="420"/>
      <c r="Z3085" s="1"/>
      <c r="AA3085" s="1"/>
      <c r="AB3085" s="1"/>
      <c r="AC3085" s="1"/>
      <c r="AD3085" s="1"/>
    </row>
    <row r="3086" spans="17:30">
      <c r="Q3086" s="6">
        <v>3056</v>
      </c>
      <c r="R3086" s="7">
        <v>45723</v>
      </c>
      <c r="S3086" s="210">
        <v>4.5</v>
      </c>
      <c r="T3086" s="8">
        <v>1.0001249999999999</v>
      </c>
      <c r="U3086" s="98">
        <v>4.4970726196679189</v>
      </c>
      <c r="V3086" s="106">
        <v>34318.005866851068</v>
      </c>
      <c r="W3086" s="10">
        <v>1.204972879676891</v>
      </c>
      <c r="X3086" s="420"/>
      <c r="Y3086" s="420"/>
      <c r="Z3086" s="1"/>
      <c r="AA3086" s="1"/>
      <c r="AB3086" s="1"/>
      <c r="AC3086" s="1"/>
      <c r="AD3086" s="1"/>
    </row>
    <row r="3087" spans="17:30">
      <c r="Q3087" s="6">
        <v>3057</v>
      </c>
      <c r="R3087" s="7">
        <v>45724</v>
      </c>
      <c r="S3087" s="210">
        <v>4.5</v>
      </c>
      <c r="T3087" s="8">
        <v>1.0001249999999999</v>
      </c>
      <c r="U3087" s="98">
        <v>4.4971284497942632</v>
      </c>
      <c r="V3087" s="106">
        <v>34320.957344856623</v>
      </c>
      <c r="W3087" s="10">
        <v>1.2050475142287853</v>
      </c>
      <c r="X3087" s="420"/>
      <c r="Y3087" s="420"/>
      <c r="Z3087" s="1"/>
      <c r="AA3087" s="1"/>
      <c r="AB3087" s="1"/>
      <c r="AC3087" s="1"/>
      <c r="AD3087" s="1"/>
    </row>
    <row r="3088" spans="17:30">
      <c r="Q3088" s="6">
        <v>3058</v>
      </c>
      <c r="R3088" s="7">
        <v>45725</v>
      </c>
      <c r="S3088" s="210">
        <v>4.5</v>
      </c>
      <c r="T3088" s="8">
        <v>1.0001249999999999</v>
      </c>
      <c r="U3088" s="98">
        <v>4.4971842434362586</v>
      </c>
      <c r="V3088" s="106">
        <v>34323.909076700438</v>
      </c>
      <c r="W3088" s="10">
        <v>1.2051221000229706</v>
      </c>
      <c r="X3088" s="420"/>
      <c r="Y3088" s="420"/>
      <c r="Z3088" s="1"/>
      <c r="AA3088" s="1"/>
      <c r="AB3088" s="1"/>
      <c r="AC3088" s="1"/>
      <c r="AD3088" s="1"/>
    </row>
    <row r="3089" spans="17:30">
      <c r="Q3089" s="6">
        <v>3059</v>
      </c>
      <c r="R3089" s="7">
        <v>45726</v>
      </c>
      <c r="S3089" s="210">
        <v>4.5</v>
      </c>
      <c r="T3089" s="8">
        <v>1.0001249999999999</v>
      </c>
      <c r="U3089" s="98">
        <v>4.4972400006296542</v>
      </c>
      <c r="V3089" s="106">
        <v>34326.861062404321</v>
      </c>
      <c r="W3089" s="10">
        <v>1.2051966371072753</v>
      </c>
      <c r="X3089" s="420"/>
      <c r="Y3089" s="420"/>
      <c r="Z3089" s="1"/>
      <c r="AA3089" s="1"/>
      <c r="AB3089" s="1"/>
      <c r="AC3089" s="1"/>
      <c r="AD3089" s="1"/>
    </row>
    <row r="3090" spans="17:30">
      <c r="Q3090" s="6">
        <v>3060</v>
      </c>
      <c r="R3090" s="7">
        <v>45727</v>
      </c>
      <c r="S3090" s="210">
        <v>4.5</v>
      </c>
      <c r="T3090" s="8">
        <v>1.0001249999999999</v>
      </c>
      <c r="U3090" s="98">
        <v>4.497295721410155</v>
      </c>
      <c r="V3090" s="106">
        <v>34329.813301990107</v>
      </c>
      <c r="W3090" s="10">
        <v>1.2052711255293502</v>
      </c>
      <c r="X3090" s="420"/>
      <c r="Y3090" s="420"/>
      <c r="Z3090" s="1"/>
      <c r="AA3090" s="1"/>
      <c r="AB3090" s="1"/>
      <c r="AC3090" s="1"/>
      <c r="AD3090" s="1"/>
    </row>
    <row r="3091" spans="17:30">
      <c r="Q3091" s="6">
        <v>3061</v>
      </c>
      <c r="R3091" s="7">
        <v>45728</v>
      </c>
      <c r="S3091" s="210">
        <v>4.5</v>
      </c>
      <c r="T3091" s="8">
        <v>1.0001249999999999</v>
      </c>
      <c r="U3091" s="98">
        <v>4.4973514058134212</v>
      </c>
      <c r="V3091" s="106">
        <v>34332.765795479652</v>
      </c>
      <c r="W3091" s="10">
        <v>1.2053455653368683</v>
      </c>
      <c r="X3091" s="420"/>
      <c r="Y3091" s="420"/>
      <c r="Z3091" s="1"/>
      <c r="AA3091" s="1"/>
      <c r="AB3091" s="1"/>
      <c r="AC3091" s="1"/>
      <c r="AD3091" s="1"/>
    </row>
    <row r="3092" spans="17:30">
      <c r="Q3092" s="6">
        <v>3062</v>
      </c>
      <c r="R3092" s="7">
        <v>45729</v>
      </c>
      <c r="S3092" s="210">
        <v>4.5</v>
      </c>
      <c r="T3092" s="8">
        <v>1.0001249999999999</v>
      </c>
      <c r="U3092" s="98">
        <v>4.4974070538750688</v>
      </c>
      <c r="V3092" s="106">
        <v>34335.718542894771</v>
      </c>
      <c r="W3092" s="10">
        <v>1.2054199565773915</v>
      </c>
      <c r="X3092" s="420"/>
      <c r="Y3092" s="420"/>
      <c r="Z3092" s="1"/>
      <c r="AA3092" s="1"/>
      <c r="AB3092" s="1"/>
      <c r="AC3092" s="1"/>
      <c r="AD3092" s="1"/>
    </row>
    <row r="3093" spans="17:30">
      <c r="Q3093" s="6">
        <v>3063</v>
      </c>
      <c r="R3093" s="7">
        <v>45730</v>
      </c>
      <c r="S3093" s="210">
        <v>4.5</v>
      </c>
      <c r="T3093" s="8">
        <v>1.0001249999999999</v>
      </c>
      <c r="U3093" s="98">
        <v>4.4974626656306693</v>
      </c>
      <c r="V3093" s="106">
        <v>34338.671544257304</v>
      </c>
      <c r="W3093" s="10">
        <v>1.2054942992984374</v>
      </c>
      <c r="X3093" s="420"/>
      <c r="Y3093" s="420"/>
      <c r="Z3093" s="1"/>
      <c r="AA3093" s="1"/>
      <c r="AB3093" s="1"/>
      <c r="AC3093" s="1"/>
      <c r="AD3093" s="1"/>
    </row>
    <row r="3094" spans="17:30">
      <c r="Q3094" s="6">
        <v>3064</v>
      </c>
      <c r="R3094" s="7">
        <v>45731</v>
      </c>
      <c r="S3094" s="210">
        <v>4.5</v>
      </c>
      <c r="T3094" s="8">
        <v>1.0001249999999999</v>
      </c>
      <c r="U3094" s="98">
        <v>4.4975182411157499</v>
      </c>
      <c r="V3094" s="106">
        <v>34341.624799589103</v>
      </c>
      <c r="W3094" s="10">
        <v>1.2055685935474791</v>
      </c>
      <c r="X3094" s="420"/>
      <c r="Y3094" s="420"/>
      <c r="Z3094" s="1"/>
      <c r="AA3094" s="1"/>
      <c r="AB3094" s="1"/>
      <c r="AC3094" s="1"/>
      <c r="AD3094" s="1"/>
    </row>
    <row r="3095" spans="17:30">
      <c r="Q3095" s="6">
        <v>3065</v>
      </c>
      <c r="R3095" s="7">
        <v>45732</v>
      </c>
      <c r="S3095" s="210">
        <v>4.5</v>
      </c>
      <c r="T3095" s="8">
        <v>1.0001249999999999</v>
      </c>
      <c r="U3095" s="98">
        <v>4.497573780365749</v>
      </c>
      <c r="V3095" s="106">
        <v>34344.578308912016</v>
      </c>
      <c r="W3095" s="10">
        <v>1.2056428393718566</v>
      </c>
      <c r="X3095" s="420"/>
      <c r="Y3095" s="420"/>
      <c r="Z3095" s="1"/>
      <c r="AA3095" s="1"/>
      <c r="AB3095" s="1"/>
      <c r="AC3095" s="1"/>
      <c r="AD3095" s="1"/>
    </row>
    <row r="3096" spans="17:30">
      <c r="Q3096" s="6">
        <v>3066</v>
      </c>
      <c r="R3096" s="7">
        <v>45733</v>
      </c>
      <c r="S3096" s="210">
        <v>4.5</v>
      </c>
      <c r="T3096" s="8">
        <v>1.0001249999999999</v>
      </c>
      <c r="U3096" s="98">
        <v>4.4976292834161269</v>
      </c>
      <c r="V3096" s="106">
        <v>34347.532072247857</v>
      </c>
      <c r="W3096" s="10">
        <v>1.2057170368189762</v>
      </c>
      <c r="X3096" s="420"/>
      <c r="Y3096" s="420"/>
      <c r="Z3096" s="1"/>
      <c r="AA3096" s="1"/>
      <c r="AB3096" s="1"/>
      <c r="AC3096" s="1"/>
      <c r="AD3096" s="1"/>
    </row>
    <row r="3097" spans="17:30">
      <c r="Q3097" s="6">
        <v>3067</v>
      </c>
      <c r="R3097" s="7">
        <v>45734</v>
      </c>
      <c r="S3097" s="210">
        <v>4.5</v>
      </c>
      <c r="T3097" s="8">
        <v>1.0001249999999999</v>
      </c>
      <c r="U3097" s="98">
        <v>4.4976847503022332</v>
      </c>
      <c r="V3097" s="106">
        <v>34350.486089618506</v>
      </c>
      <c r="W3097" s="10">
        <v>1.2057911859360226</v>
      </c>
      <c r="X3097" s="420"/>
      <c r="Y3097" s="420"/>
      <c r="Z3097" s="1"/>
      <c r="AA3097" s="1"/>
      <c r="AB3097" s="1"/>
      <c r="AC3097" s="1"/>
      <c r="AD3097" s="1"/>
    </row>
    <row r="3098" spans="17:30">
      <c r="Q3098" s="6">
        <v>3068</v>
      </c>
      <c r="R3098" s="7">
        <v>45735</v>
      </c>
      <c r="S3098" s="210">
        <v>4.5</v>
      </c>
      <c r="T3098" s="8">
        <v>1.0001249999999999</v>
      </c>
      <c r="U3098" s="98">
        <v>4.4977401810594175</v>
      </c>
      <c r="V3098" s="106">
        <v>34353.440361045788</v>
      </c>
      <c r="W3098" s="10">
        <v>1.2058652867702246</v>
      </c>
      <c r="X3098" s="420"/>
      <c r="Y3098" s="420"/>
      <c r="Z3098" s="1"/>
      <c r="AA3098" s="1"/>
      <c r="AB3098" s="1"/>
      <c r="AC3098" s="1"/>
      <c r="AD3098" s="1"/>
    </row>
    <row r="3099" spans="17:30">
      <c r="Q3099" s="6">
        <v>3069</v>
      </c>
      <c r="R3099" s="7">
        <v>45736</v>
      </c>
      <c r="S3099" s="210">
        <v>4.5</v>
      </c>
      <c r="T3099" s="8">
        <v>1.0001249999999999</v>
      </c>
      <c r="U3099" s="98">
        <v>4.4977955757229848</v>
      </c>
      <c r="V3099" s="106">
        <v>34356.39488655157</v>
      </c>
      <c r="W3099" s="10">
        <v>1.2059393393687889</v>
      </c>
      <c r="X3099" s="420"/>
      <c r="Y3099" s="420"/>
      <c r="Z3099" s="1"/>
      <c r="AA3099" s="1"/>
      <c r="AB3099" s="1"/>
      <c r="AC3099" s="1"/>
      <c r="AD3099" s="1"/>
    </row>
    <row r="3100" spans="17:30">
      <c r="Q3100" s="6">
        <v>3070</v>
      </c>
      <c r="R3100" s="7">
        <v>45737</v>
      </c>
      <c r="S3100" s="210">
        <v>4.5</v>
      </c>
      <c r="T3100" s="8">
        <v>1.0001249999999999</v>
      </c>
      <c r="U3100" s="98">
        <v>4.4978509343281514</v>
      </c>
      <c r="V3100" s="106">
        <v>34359.349666157679</v>
      </c>
      <c r="W3100" s="10">
        <v>1.2060133437787224</v>
      </c>
      <c r="X3100" s="420"/>
      <c r="Y3100" s="420"/>
      <c r="Z3100" s="1"/>
      <c r="AA3100" s="1"/>
      <c r="AB3100" s="1"/>
      <c r="AC3100" s="1"/>
      <c r="AD3100" s="1"/>
    </row>
    <row r="3101" spans="17:30">
      <c r="Q3101" s="6">
        <v>3071</v>
      </c>
      <c r="R3101" s="7">
        <v>45738</v>
      </c>
      <c r="S3101" s="210">
        <v>4.5</v>
      </c>
      <c r="T3101" s="8">
        <v>1.0001249999999999</v>
      </c>
      <c r="U3101" s="98">
        <v>4.4979062569101114</v>
      </c>
      <c r="V3101" s="106">
        <v>34362.304699886001</v>
      </c>
      <c r="W3101" s="10">
        <v>1.206087300047054</v>
      </c>
      <c r="X3101" s="420"/>
      <c r="Y3101" s="420"/>
      <c r="Z3101" s="1"/>
      <c r="AA3101" s="1"/>
      <c r="AB3101" s="1"/>
      <c r="AC3101" s="1"/>
      <c r="AD3101" s="1"/>
    </row>
    <row r="3102" spans="17:30">
      <c r="Q3102" s="6">
        <v>3072</v>
      </c>
      <c r="R3102" s="7">
        <v>45739</v>
      </c>
      <c r="S3102" s="210">
        <v>4.5</v>
      </c>
      <c r="T3102" s="8">
        <v>1.0001249999999999</v>
      </c>
      <c r="U3102" s="98">
        <v>4.4979615435040365</v>
      </c>
      <c r="V3102" s="106">
        <v>34365.259987758363</v>
      </c>
      <c r="W3102" s="10">
        <v>1.2061612082207906</v>
      </c>
      <c r="X3102" s="420"/>
      <c r="Y3102" s="420"/>
      <c r="Z3102" s="1"/>
      <c r="AA3102" s="1"/>
      <c r="AB3102" s="1"/>
      <c r="AC3102" s="1"/>
      <c r="AD3102" s="1"/>
    </row>
    <row r="3103" spans="17:30">
      <c r="Q3103" s="6">
        <v>3073</v>
      </c>
      <c r="R3103" s="7">
        <v>45740</v>
      </c>
      <c r="S3103" s="210">
        <v>4.5</v>
      </c>
      <c r="T3103" s="8">
        <v>1.0001249999999999</v>
      </c>
      <c r="U3103" s="98">
        <v>4.49801679414501</v>
      </c>
      <c r="V3103" s="106">
        <v>34368.215529796631</v>
      </c>
      <c r="W3103" s="10">
        <v>1.2062350683468059</v>
      </c>
      <c r="X3103" s="420"/>
      <c r="Y3103" s="420"/>
      <c r="Z3103" s="1"/>
      <c r="AA3103" s="1"/>
      <c r="AB3103" s="1"/>
      <c r="AC3103" s="1"/>
      <c r="AD3103" s="1"/>
    </row>
    <row r="3104" spans="17:30">
      <c r="Q3104" s="6">
        <v>3074</v>
      </c>
      <c r="R3104" s="7">
        <v>45741</v>
      </c>
      <c r="S3104" s="210">
        <v>4.5</v>
      </c>
      <c r="T3104" s="8">
        <v>1.0001249999999999</v>
      </c>
      <c r="U3104" s="98">
        <v>4.4980720088681148</v>
      </c>
      <c r="V3104" s="106">
        <v>34371.171326022675</v>
      </c>
      <c r="W3104" s="10">
        <v>1.2063088804719291</v>
      </c>
      <c r="X3104" s="420"/>
      <c r="Y3104" s="420"/>
      <c r="Z3104" s="1"/>
      <c r="AA3104" s="1"/>
      <c r="AB3104" s="1"/>
      <c r="AC3104" s="1"/>
      <c r="AD3104" s="1"/>
    </row>
    <row r="3105" spans="17:30">
      <c r="Q3105" s="6">
        <v>3075</v>
      </c>
      <c r="R3105" s="7">
        <v>45742</v>
      </c>
      <c r="S3105" s="210">
        <v>4.5</v>
      </c>
      <c r="T3105" s="8">
        <v>1.0001249999999999</v>
      </c>
      <c r="U3105" s="98">
        <v>4.4981271877083451</v>
      </c>
      <c r="V3105" s="106">
        <v>34374.127376458353</v>
      </c>
      <c r="W3105" s="10">
        <v>1.2063826446429449</v>
      </c>
      <c r="X3105" s="420"/>
      <c r="Y3105" s="420"/>
      <c r="Z3105" s="1"/>
      <c r="AA3105" s="1"/>
      <c r="AB3105" s="1"/>
      <c r="AC3105" s="1"/>
      <c r="AD3105" s="1"/>
    </row>
    <row r="3106" spans="17:30">
      <c r="Q3106" s="6">
        <v>3076</v>
      </c>
      <c r="R3106" s="7">
        <v>45743</v>
      </c>
      <c r="S3106" s="210">
        <v>4.5</v>
      </c>
      <c r="T3106" s="8">
        <v>1.0001249999999999</v>
      </c>
      <c r="U3106" s="98">
        <v>4.498182330700673</v>
      </c>
      <c r="V3106" s="106">
        <v>34377.083681125514</v>
      </c>
      <c r="W3106" s="10">
        <v>1.2064563609065715</v>
      </c>
      <c r="X3106" s="420"/>
      <c r="Y3106" s="420"/>
      <c r="Z3106" s="1"/>
      <c r="AA3106" s="1"/>
      <c r="AB3106" s="1"/>
      <c r="AC3106" s="1"/>
      <c r="AD3106" s="1"/>
    </row>
    <row r="3107" spans="17:30">
      <c r="Q3107" s="6">
        <v>3077</v>
      </c>
      <c r="R3107" s="7">
        <v>45744</v>
      </c>
      <c r="S3107" s="210">
        <v>4.5</v>
      </c>
      <c r="T3107" s="8">
        <v>1.0001249999999999</v>
      </c>
      <c r="U3107" s="98">
        <v>4.4982374378800261</v>
      </c>
      <c r="V3107" s="106">
        <v>34380.040240046037</v>
      </c>
      <c r="W3107" s="10">
        <v>1.2065300293094827</v>
      </c>
      <c r="X3107" s="420"/>
      <c r="Y3107" s="420"/>
      <c r="Z3107" s="1"/>
      <c r="AA3107" s="1"/>
      <c r="AB3107" s="1"/>
      <c r="AC3107" s="1"/>
      <c r="AD3107" s="1"/>
    </row>
    <row r="3108" spans="17:30">
      <c r="Q3108" s="6">
        <v>3078</v>
      </c>
      <c r="R3108" s="7">
        <v>45745</v>
      </c>
      <c r="S3108" s="210">
        <v>4.5</v>
      </c>
      <c r="T3108" s="8">
        <v>1.0001249999999999</v>
      </c>
      <c r="U3108" s="98">
        <v>4.4982925092812653</v>
      </c>
      <c r="V3108" s="106">
        <v>34382.997053241779</v>
      </c>
      <c r="W3108" s="10">
        <v>1.2066036498982413</v>
      </c>
      <c r="X3108" s="420"/>
      <c r="Y3108" s="420"/>
      <c r="Z3108" s="1"/>
      <c r="AA3108" s="1"/>
      <c r="AB3108" s="1"/>
      <c r="AC3108" s="1"/>
      <c r="AD3108" s="1"/>
    </row>
    <row r="3109" spans="17:30">
      <c r="Q3109" s="6">
        <v>3079</v>
      </c>
      <c r="R3109" s="7">
        <v>45746</v>
      </c>
      <c r="S3109" s="210">
        <v>4.5</v>
      </c>
      <c r="T3109" s="8">
        <v>1.0001249999999999</v>
      </c>
      <c r="U3109" s="98">
        <v>4.4983475449392518</v>
      </c>
      <c r="V3109" s="106">
        <v>34385.954120734619</v>
      </c>
      <c r="W3109" s="10">
        <v>1.20667722271941</v>
      </c>
      <c r="X3109" s="420"/>
      <c r="Y3109" s="420"/>
      <c r="Z3109" s="1"/>
      <c r="AA3109" s="1"/>
      <c r="AB3109" s="1"/>
      <c r="AC3109" s="1"/>
      <c r="AD3109" s="1"/>
    </row>
    <row r="3110" spans="17:30">
      <c r="Q3110" s="6">
        <v>3080</v>
      </c>
      <c r="R3110" s="7">
        <v>45747</v>
      </c>
      <c r="S3110" s="210">
        <v>4.5</v>
      </c>
      <c r="T3110" s="8">
        <v>1.0001249999999999</v>
      </c>
      <c r="U3110" s="98">
        <v>4.4984025448887577</v>
      </c>
      <c r="V3110" s="106">
        <v>34388.911442546421</v>
      </c>
      <c r="W3110" s="10">
        <v>1.2067507478194406</v>
      </c>
      <c r="X3110" s="420"/>
      <c r="Y3110" s="420"/>
      <c r="Z3110" s="1"/>
      <c r="AA3110" s="1"/>
      <c r="AB3110" s="1"/>
      <c r="AC3110" s="1"/>
      <c r="AD3110" s="1"/>
    </row>
    <row r="3111" spans="17:30">
      <c r="Q3111" s="6">
        <v>3081</v>
      </c>
      <c r="R3111" s="7">
        <v>45748</v>
      </c>
      <c r="S3111" s="210">
        <v>4.5</v>
      </c>
      <c r="T3111" s="8">
        <v>1.0001249999999999</v>
      </c>
      <c r="U3111" s="98">
        <v>4.4984575091645107</v>
      </c>
      <c r="V3111" s="106">
        <v>34391.869018699057</v>
      </c>
      <c r="W3111" s="10">
        <v>1.2068242252447625</v>
      </c>
      <c r="X3111" s="420"/>
      <c r="Y3111" s="420"/>
      <c r="Z3111" s="1"/>
      <c r="AA3111" s="1"/>
      <c r="AB3111" s="1"/>
      <c r="AC3111" s="1"/>
      <c r="AD3111" s="1"/>
    </row>
    <row r="3112" spans="17:30">
      <c r="Q3112" s="6">
        <v>3082</v>
      </c>
      <c r="R3112" s="7">
        <v>45749</v>
      </c>
      <c r="S3112" s="210">
        <v>4.5</v>
      </c>
      <c r="T3112" s="8">
        <v>1.0001249999999999</v>
      </c>
      <c r="U3112" s="98">
        <v>4.4985124378012165</v>
      </c>
      <c r="V3112" s="106">
        <v>34394.826849214398</v>
      </c>
      <c r="W3112" s="10">
        <v>1.2068976550417387</v>
      </c>
      <c r="X3112" s="420"/>
      <c r="Y3112" s="420"/>
      <c r="Z3112" s="1"/>
      <c r="AA3112" s="1"/>
      <c r="AB3112" s="1"/>
      <c r="AC3112" s="1"/>
      <c r="AD3112" s="1"/>
    </row>
    <row r="3113" spans="17:30">
      <c r="Q3113" s="6">
        <v>3083</v>
      </c>
      <c r="R3113" s="7">
        <v>45750</v>
      </c>
      <c r="S3113" s="210">
        <v>4.5</v>
      </c>
      <c r="T3113" s="8">
        <v>1.0001249999999999</v>
      </c>
      <c r="U3113" s="98">
        <v>4.4985673308335361</v>
      </c>
      <c r="V3113" s="106">
        <v>34397.784934114337</v>
      </c>
      <c r="W3113" s="10">
        <v>1.2069710372566211</v>
      </c>
      <c r="X3113" s="420"/>
      <c r="Y3113" s="420"/>
      <c r="Z3113" s="1"/>
      <c r="AA3113" s="1"/>
      <c r="AB3113" s="1"/>
      <c r="AC3113" s="1"/>
      <c r="AD3113" s="1"/>
    </row>
    <row r="3114" spans="17:30">
      <c r="Q3114" s="6">
        <v>3084</v>
      </c>
      <c r="R3114" s="7">
        <v>45751</v>
      </c>
      <c r="S3114" s="210">
        <v>4.5</v>
      </c>
      <c r="T3114" s="8">
        <v>1.0001249999999999</v>
      </c>
      <c r="U3114" s="98">
        <v>4.4986221882960642</v>
      </c>
      <c r="V3114" s="106">
        <v>34400.743273420725</v>
      </c>
      <c r="W3114" s="10">
        <v>1.207044371935706</v>
      </c>
      <c r="X3114" s="420"/>
      <c r="Y3114" s="420"/>
      <c r="Z3114" s="1"/>
      <c r="AA3114" s="1"/>
      <c r="AB3114" s="1"/>
      <c r="AC3114" s="1"/>
      <c r="AD3114" s="1"/>
    </row>
    <row r="3115" spans="17:30">
      <c r="Q3115" s="6">
        <v>3085</v>
      </c>
      <c r="R3115" s="7">
        <v>45752</v>
      </c>
      <c r="S3115" s="210">
        <v>4.5</v>
      </c>
      <c r="T3115" s="8">
        <v>1.0001249999999999</v>
      </c>
      <c r="U3115" s="98">
        <v>4.4986770102233731</v>
      </c>
      <c r="V3115" s="106">
        <v>34403.701867155469</v>
      </c>
      <c r="W3115" s="10">
        <v>1.207117659125112</v>
      </c>
      <c r="X3115" s="420"/>
      <c r="Y3115" s="420"/>
      <c r="Z3115" s="1"/>
      <c r="AA3115" s="1"/>
      <c r="AB3115" s="1"/>
      <c r="AC3115" s="1"/>
      <c r="AD3115" s="1"/>
    </row>
    <row r="3116" spans="17:30">
      <c r="Q3116" s="6">
        <v>3086</v>
      </c>
      <c r="R3116" s="7">
        <v>45753</v>
      </c>
      <c r="S3116" s="210">
        <v>4.5</v>
      </c>
      <c r="T3116" s="8">
        <v>1.0001249999999999</v>
      </c>
      <c r="U3116" s="98">
        <v>4.4987317966499685</v>
      </c>
      <c r="V3116" s="106">
        <v>34406.660715340433</v>
      </c>
      <c r="W3116" s="10">
        <v>1.2071908988710023</v>
      </c>
      <c r="X3116" s="420"/>
      <c r="Y3116" s="420"/>
      <c r="Z3116" s="1"/>
      <c r="AA3116" s="1"/>
      <c r="AB3116" s="1"/>
      <c r="AC3116" s="1"/>
      <c r="AD3116" s="1"/>
    </row>
    <row r="3117" spans="17:30">
      <c r="Q3117" s="6">
        <v>3087</v>
      </c>
      <c r="R3117" s="7">
        <v>45754</v>
      </c>
      <c r="S3117" s="210">
        <v>4.5</v>
      </c>
      <c r="T3117" s="8">
        <v>1.0001249999999999</v>
      </c>
      <c r="U3117" s="98">
        <v>4.4987865476103339</v>
      </c>
      <c r="V3117" s="106">
        <v>34409.619817997511</v>
      </c>
      <c r="W3117" s="10">
        <v>1.2072640912193844</v>
      </c>
      <c r="X3117" s="420"/>
      <c r="Y3117" s="420"/>
      <c r="Z3117" s="1"/>
      <c r="AA3117" s="1"/>
      <c r="AB3117" s="1"/>
      <c r="AC3117" s="1"/>
      <c r="AD3117" s="1"/>
    </row>
    <row r="3118" spans="17:30">
      <c r="Q3118" s="6">
        <v>3088</v>
      </c>
      <c r="R3118" s="7">
        <v>45755</v>
      </c>
      <c r="S3118" s="210">
        <v>4.5</v>
      </c>
      <c r="T3118" s="8">
        <v>1.0001249999999999</v>
      </c>
      <c r="U3118" s="98">
        <v>4.4988412631388863</v>
      </c>
      <c r="V3118" s="106">
        <v>34412.579175148581</v>
      </c>
      <c r="W3118" s="10">
        <v>1.2073372362162882</v>
      </c>
      <c r="X3118" s="420"/>
      <c r="Y3118" s="420"/>
      <c r="Z3118" s="1"/>
      <c r="AA3118" s="1"/>
      <c r="AB3118" s="1"/>
      <c r="AC3118" s="1"/>
      <c r="AD3118" s="1"/>
    </row>
    <row r="3119" spans="17:30">
      <c r="Q3119" s="6">
        <v>3089</v>
      </c>
      <c r="R3119" s="7">
        <v>45756</v>
      </c>
      <c r="S3119" s="210">
        <v>4.5</v>
      </c>
      <c r="T3119" s="8">
        <v>1.0001249999999999</v>
      </c>
      <c r="U3119" s="98">
        <v>4.4988959432700204</v>
      </c>
      <c r="V3119" s="106">
        <v>34415.53878681553</v>
      </c>
      <c r="W3119" s="10">
        <v>1.2074103339076547</v>
      </c>
      <c r="X3119" s="420"/>
      <c r="Y3119" s="420"/>
      <c r="Z3119" s="1"/>
      <c r="AA3119" s="1"/>
      <c r="AB3119" s="1"/>
      <c r="AC3119" s="1"/>
      <c r="AD3119" s="1"/>
    </row>
    <row r="3120" spans="17:30">
      <c r="Q3120" s="6">
        <v>3090</v>
      </c>
      <c r="R3120" s="7">
        <v>45757</v>
      </c>
      <c r="S3120" s="210">
        <v>4.5</v>
      </c>
      <c r="T3120" s="8">
        <v>1.0001249999999999</v>
      </c>
      <c r="U3120" s="98">
        <v>4.4989505880380642</v>
      </c>
      <c r="V3120" s="106">
        <v>34418.498653020251</v>
      </c>
      <c r="W3120" s="10">
        <v>1.207483384339314</v>
      </c>
      <c r="X3120" s="420"/>
      <c r="Y3120" s="420"/>
      <c r="Z3120" s="1"/>
      <c r="AA3120" s="1"/>
      <c r="AB3120" s="1"/>
      <c r="AC3120" s="1"/>
      <c r="AD3120" s="1"/>
    </row>
    <row r="3121" spans="17:30">
      <c r="Q3121" s="6">
        <v>3091</v>
      </c>
      <c r="R3121" s="7">
        <v>45758</v>
      </c>
      <c r="S3121" s="210">
        <v>4.5</v>
      </c>
      <c r="T3121" s="8">
        <v>1.0001249999999999</v>
      </c>
      <c r="U3121" s="98">
        <v>4.4990051974773015</v>
      </c>
      <c r="V3121" s="106">
        <v>34421.458773784638</v>
      </c>
      <c r="W3121" s="10">
        <v>1.2075563875571182</v>
      </c>
      <c r="X3121" s="420"/>
      <c r="Y3121" s="420"/>
      <c r="Z3121" s="1"/>
      <c r="AA3121" s="1"/>
      <c r="AB3121" s="1"/>
      <c r="AC3121" s="1"/>
      <c r="AD3121" s="1"/>
    </row>
    <row r="3122" spans="17:30">
      <c r="Q3122" s="6">
        <v>3092</v>
      </c>
      <c r="R3122" s="7">
        <v>45759</v>
      </c>
      <c r="S3122" s="210">
        <v>4.5</v>
      </c>
      <c r="T3122" s="8">
        <v>1.0001249999999999</v>
      </c>
      <c r="U3122" s="98">
        <v>4.499059771622016</v>
      </c>
      <c r="V3122" s="106">
        <v>34424.419149130583</v>
      </c>
      <c r="W3122" s="10">
        <v>1.2076293436068308</v>
      </c>
      <c r="X3122" s="420"/>
      <c r="Y3122" s="420"/>
      <c r="Z3122" s="1"/>
      <c r="AA3122" s="1"/>
      <c r="AB3122" s="1"/>
      <c r="AC3122" s="1"/>
      <c r="AD3122" s="1"/>
    </row>
    <row r="3123" spans="17:30">
      <c r="Q3123" s="6">
        <v>3093</v>
      </c>
      <c r="R3123" s="7">
        <v>45760</v>
      </c>
      <c r="S3123" s="210">
        <v>4.5</v>
      </c>
      <c r="T3123" s="8">
        <v>1.0001249999999999</v>
      </c>
      <c r="U3123" s="98">
        <v>4.4991143105063802</v>
      </c>
      <c r="V3123" s="106">
        <v>34427.379779079973</v>
      </c>
      <c r="W3123" s="10">
        <v>1.2077022525341263</v>
      </c>
      <c r="X3123" s="420"/>
      <c r="Y3123" s="420"/>
      <c r="Z3123" s="1"/>
      <c r="AA3123" s="1"/>
      <c r="AB3123" s="1"/>
      <c r="AC3123" s="1"/>
      <c r="AD3123" s="1"/>
    </row>
    <row r="3124" spans="17:30">
      <c r="Q3124" s="6">
        <v>3094</v>
      </c>
      <c r="R3124" s="7">
        <v>45761</v>
      </c>
      <c r="S3124" s="210">
        <v>4.5</v>
      </c>
      <c r="T3124" s="8">
        <v>1.0001249999999999</v>
      </c>
      <c r="U3124" s="98">
        <v>4.4991688141645669</v>
      </c>
      <c r="V3124" s="106">
        <v>34430.340663654715</v>
      </c>
      <c r="W3124" s="10">
        <v>1.2077751143846571</v>
      </c>
      <c r="X3124" s="420"/>
      <c r="Y3124" s="420"/>
      <c r="Z3124" s="1"/>
      <c r="AA3124" s="1"/>
      <c r="AB3124" s="1"/>
      <c r="AC3124" s="1"/>
      <c r="AD3124" s="1"/>
    </row>
    <row r="3125" spans="17:30">
      <c r="Q3125" s="6">
        <v>3095</v>
      </c>
      <c r="R3125" s="7">
        <v>45762</v>
      </c>
      <c r="S3125" s="210">
        <v>4.5</v>
      </c>
      <c r="T3125" s="8">
        <v>1.0001249999999999</v>
      </c>
      <c r="U3125" s="98">
        <v>4.4992232826307044</v>
      </c>
      <c r="V3125" s="106">
        <v>34433.301802876704</v>
      </c>
      <c r="W3125" s="10">
        <v>1.207847929204009</v>
      </c>
      <c r="X3125" s="420"/>
      <c r="Y3125" s="420"/>
      <c r="Z3125" s="1"/>
      <c r="AA3125" s="1"/>
      <c r="AB3125" s="1"/>
      <c r="AC3125" s="1"/>
      <c r="AD3125" s="1"/>
    </row>
    <row r="3126" spans="17:30">
      <c r="Q3126" s="6">
        <v>3096</v>
      </c>
      <c r="R3126" s="7">
        <v>45763</v>
      </c>
      <c r="S3126" s="210">
        <v>4.5</v>
      </c>
      <c r="T3126" s="8">
        <v>1.0001249999999999</v>
      </c>
      <c r="U3126" s="98">
        <v>4.4992777159388542</v>
      </c>
      <c r="V3126" s="106">
        <v>34436.263196767832</v>
      </c>
      <c r="W3126" s="10">
        <v>1.207920697037701</v>
      </c>
      <c r="X3126" s="420"/>
      <c r="Y3126" s="420"/>
      <c r="Z3126" s="1"/>
      <c r="AA3126" s="1"/>
      <c r="AB3126" s="1"/>
      <c r="AC3126" s="1"/>
      <c r="AD3126" s="1"/>
    </row>
    <row r="3127" spans="17:30">
      <c r="Q3127" s="6">
        <v>3097</v>
      </c>
      <c r="R3127" s="7">
        <v>45764</v>
      </c>
      <c r="S3127" s="210">
        <v>4.5</v>
      </c>
      <c r="T3127" s="8">
        <v>1.0001249999999999</v>
      </c>
      <c r="U3127" s="98">
        <v>4.4993321141230558</v>
      </c>
      <c r="V3127" s="106">
        <v>34439.224845350014</v>
      </c>
      <c r="W3127" s="10">
        <v>1.207993417931208</v>
      </c>
      <c r="X3127" s="420"/>
      <c r="Y3127" s="420"/>
      <c r="Z3127" s="1"/>
      <c r="AA3127" s="1"/>
      <c r="AB3127" s="1"/>
      <c r="AC3127" s="1"/>
      <c r="AD3127" s="1"/>
    </row>
    <row r="3128" spans="17:30">
      <c r="Q3128" s="6">
        <v>3098</v>
      </c>
      <c r="R3128" s="7">
        <v>45765</v>
      </c>
      <c r="S3128" s="210">
        <v>4.5</v>
      </c>
      <c r="T3128" s="8">
        <v>1.0001249999999999</v>
      </c>
      <c r="U3128" s="98">
        <v>4.499386477217282</v>
      </c>
      <c r="V3128" s="106">
        <v>34442.186748645159</v>
      </c>
      <c r="W3128" s="10">
        <v>1.2080660919299158</v>
      </c>
      <c r="X3128" s="420"/>
      <c r="Y3128" s="420"/>
      <c r="Z3128" s="1"/>
      <c r="AA3128" s="1"/>
      <c r="AB3128" s="1"/>
      <c r="AC3128" s="1"/>
      <c r="AD3128" s="1"/>
    </row>
    <row r="3129" spans="17:30">
      <c r="Q3129" s="6">
        <v>3099</v>
      </c>
      <c r="R3129" s="7">
        <v>45766</v>
      </c>
      <c r="S3129" s="210">
        <v>4.5</v>
      </c>
      <c r="T3129" s="8">
        <v>1.0001249999999999</v>
      </c>
      <c r="U3129" s="98">
        <v>4.4994408052554835</v>
      </c>
      <c r="V3129" s="106">
        <v>34445.14890667516</v>
      </c>
      <c r="W3129" s="10">
        <v>1.2081387190791659</v>
      </c>
      <c r="X3129" s="420"/>
      <c r="Y3129" s="420"/>
      <c r="Z3129" s="1"/>
      <c r="AA3129" s="1"/>
      <c r="AB3129" s="1"/>
      <c r="AC3129" s="1"/>
      <c r="AD3129" s="1"/>
    </row>
    <row r="3130" spans="17:30">
      <c r="Q3130" s="6">
        <v>3100</v>
      </c>
      <c r="R3130" s="7">
        <v>45767</v>
      </c>
      <c r="S3130" s="210">
        <v>4.5</v>
      </c>
      <c r="T3130" s="8">
        <v>1.0001249999999999</v>
      </c>
      <c r="U3130" s="98">
        <v>4.4994950982715443</v>
      </c>
      <c r="V3130" s="106">
        <v>34448.111319461925</v>
      </c>
      <c r="W3130" s="10">
        <v>1.2082112994242777</v>
      </c>
      <c r="X3130" s="420"/>
      <c r="Y3130" s="420"/>
      <c r="Z3130" s="1"/>
      <c r="AA3130" s="1"/>
      <c r="AB3130" s="1"/>
      <c r="AC3130" s="1"/>
      <c r="AD3130" s="1"/>
    </row>
    <row r="3131" spans="17:30">
      <c r="Q3131" s="6">
        <v>3101</v>
      </c>
      <c r="R3131" s="7">
        <v>45768</v>
      </c>
      <c r="S3131" s="210">
        <v>4.5</v>
      </c>
      <c r="T3131" s="8">
        <v>1.0001249999999999</v>
      </c>
      <c r="U3131" s="98">
        <v>4.4995493562993261</v>
      </c>
      <c r="V3131" s="106">
        <v>34451.073987027368</v>
      </c>
      <c r="W3131" s="10">
        <v>1.2082838330104373</v>
      </c>
      <c r="X3131" s="420"/>
      <c r="Y3131" s="420"/>
      <c r="Z3131" s="1"/>
      <c r="AA3131" s="1"/>
      <c r="AB3131" s="1"/>
      <c r="AC3131" s="1"/>
      <c r="AD3131" s="1"/>
    </row>
    <row r="3132" spans="17:30">
      <c r="Q3132" s="6">
        <v>3102</v>
      </c>
      <c r="R3132" s="7">
        <v>45769</v>
      </c>
      <c r="S3132" s="210">
        <v>4.5</v>
      </c>
      <c r="T3132" s="8">
        <v>1.0001249999999999</v>
      </c>
      <c r="U3132" s="98">
        <v>4.4996035793726463</v>
      </c>
      <c r="V3132" s="106">
        <v>34454.036909393406</v>
      </c>
      <c r="W3132" s="10">
        <v>1.2083563198828307</v>
      </c>
      <c r="X3132" s="420"/>
      <c r="Y3132" s="420"/>
      <c r="Z3132" s="1"/>
      <c r="AA3132" s="1"/>
      <c r="AB3132" s="1"/>
      <c r="AC3132" s="1"/>
      <c r="AD3132" s="1"/>
    </row>
    <row r="3133" spans="17:30">
      <c r="Q3133" s="6">
        <v>3103</v>
      </c>
      <c r="R3133" s="7">
        <v>45770</v>
      </c>
      <c r="S3133" s="210">
        <v>4.5</v>
      </c>
      <c r="T3133" s="8">
        <v>1.0001249999999999</v>
      </c>
      <c r="U3133" s="98">
        <v>4.499657767525278</v>
      </c>
      <c r="V3133" s="106">
        <v>34457.000086581946</v>
      </c>
      <c r="W3133" s="10">
        <v>1.2084287600866217</v>
      </c>
      <c r="X3133" s="420"/>
      <c r="Y3133" s="420"/>
      <c r="Z3133" s="1"/>
      <c r="AA3133" s="1"/>
      <c r="AB3133" s="1"/>
      <c r="AC3133" s="1"/>
      <c r="AD3133" s="1"/>
    </row>
    <row r="3134" spans="17:30">
      <c r="Q3134" s="6">
        <v>3104</v>
      </c>
      <c r="R3134" s="7">
        <v>45771</v>
      </c>
      <c r="S3134" s="210">
        <v>4.5</v>
      </c>
      <c r="T3134" s="8">
        <v>1.0001249999999999</v>
      </c>
      <c r="U3134" s="98">
        <v>4.4997119207909275</v>
      </c>
      <c r="V3134" s="106">
        <v>34459.96351861491</v>
      </c>
      <c r="W3134" s="10">
        <v>1.2085011536667745</v>
      </c>
      <c r="X3134" s="420"/>
      <c r="Y3134" s="420"/>
      <c r="Z3134" s="1"/>
      <c r="AA3134" s="1"/>
      <c r="AB3134" s="1"/>
      <c r="AC3134" s="1"/>
      <c r="AD3134" s="1"/>
    </row>
    <row r="3135" spans="17:30">
      <c r="Q3135" s="6">
        <v>3105</v>
      </c>
      <c r="R3135" s="7">
        <v>45772</v>
      </c>
      <c r="S3135" s="210">
        <v>4.5</v>
      </c>
      <c r="T3135" s="8">
        <v>1.0001249999999999</v>
      </c>
      <c r="U3135" s="98">
        <v>4.499766039203279</v>
      </c>
      <c r="V3135" s="106">
        <v>34462.927205514199</v>
      </c>
      <c r="W3135" s="10">
        <v>1.208573500668364</v>
      </c>
      <c r="X3135" s="420"/>
      <c r="Y3135" s="420"/>
      <c r="Z3135" s="1"/>
      <c r="AA3135" s="1"/>
      <c r="AB3135" s="1"/>
      <c r="AC3135" s="1"/>
      <c r="AD3135" s="1"/>
    </row>
    <row r="3136" spans="17:30">
      <c r="Q3136" s="6">
        <v>3106</v>
      </c>
      <c r="R3136" s="7">
        <v>45773</v>
      </c>
      <c r="S3136" s="210">
        <v>4.5</v>
      </c>
      <c r="T3136" s="8">
        <v>1.0001249999999999</v>
      </c>
      <c r="U3136" s="98">
        <v>4.4998201227959722</v>
      </c>
      <c r="V3136" s="106">
        <v>34465.891147301751</v>
      </c>
      <c r="W3136" s="10">
        <v>1.2086458011362877</v>
      </c>
      <c r="X3136" s="420"/>
      <c r="Y3136" s="420"/>
      <c r="Z3136" s="1"/>
      <c r="AA3136" s="1"/>
      <c r="AB3136" s="1"/>
      <c r="AC3136" s="1"/>
      <c r="AD3136" s="1"/>
    </row>
    <row r="3137" spans="17:30">
      <c r="Q3137" s="6">
        <v>3107</v>
      </c>
      <c r="R3137" s="7">
        <v>45774</v>
      </c>
      <c r="S3137" s="210">
        <v>4.5</v>
      </c>
      <c r="T3137" s="8">
        <v>1.0001249999999999</v>
      </c>
      <c r="U3137" s="98">
        <v>4.4998741716026025</v>
      </c>
      <c r="V3137" s="106">
        <v>34468.855343999494</v>
      </c>
      <c r="W3137" s="10">
        <v>1.2087180551154431</v>
      </c>
      <c r="X3137" s="420"/>
      <c r="Y3137" s="420"/>
      <c r="Z3137" s="1"/>
      <c r="AA3137" s="1"/>
      <c r="AB3137" s="1"/>
      <c r="AC3137" s="1"/>
      <c r="AD3137" s="1"/>
    </row>
    <row r="3138" spans="17:30">
      <c r="Q3138" s="6">
        <v>3108</v>
      </c>
      <c r="R3138" s="7">
        <v>45775</v>
      </c>
      <c r="S3138" s="210">
        <v>4.5</v>
      </c>
      <c r="T3138" s="8">
        <v>1.0001249999999999</v>
      </c>
      <c r="U3138" s="98">
        <v>4.4999281856567208</v>
      </c>
      <c r="V3138" s="106">
        <v>34471.819795629322</v>
      </c>
      <c r="W3138" s="10">
        <v>1.2087902626506386</v>
      </c>
      <c r="X3138" s="420"/>
      <c r="Y3138" s="420"/>
      <c r="Z3138" s="1"/>
      <c r="AA3138" s="1"/>
      <c r="AB3138" s="1"/>
      <c r="AC3138" s="1"/>
      <c r="AD3138" s="1"/>
    </row>
    <row r="3139" spans="17:30">
      <c r="Q3139" s="6">
        <v>3109</v>
      </c>
      <c r="R3139" s="7">
        <v>45776</v>
      </c>
      <c r="S3139" s="210">
        <v>4.5</v>
      </c>
      <c r="T3139" s="8">
        <v>1.0001249999999999</v>
      </c>
      <c r="U3139" s="98">
        <v>4.4999821649918337</v>
      </c>
      <c r="V3139" s="106">
        <v>34474.784502213181</v>
      </c>
      <c r="W3139" s="10">
        <v>1.208862423786683</v>
      </c>
      <c r="X3139" s="420"/>
      <c r="Y3139" s="420"/>
      <c r="Z3139" s="1"/>
      <c r="AA3139" s="1"/>
      <c r="AB3139" s="1"/>
      <c r="AC3139" s="1"/>
      <c r="AD3139" s="1"/>
    </row>
    <row r="3140" spans="17:30">
      <c r="Q3140" s="6">
        <v>3110</v>
      </c>
      <c r="R3140" s="7">
        <v>45777</v>
      </c>
      <c r="S3140" s="210">
        <v>4.5</v>
      </c>
      <c r="T3140" s="8">
        <v>1.0001249999999999</v>
      </c>
      <c r="U3140" s="98">
        <v>4.5000361096414032</v>
      </c>
      <c r="V3140" s="106">
        <v>34477.749463772998</v>
      </c>
      <c r="W3140" s="10">
        <v>1.2089345385682293</v>
      </c>
      <c r="X3140" s="420"/>
      <c r="Y3140" s="420"/>
      <c r="Z3140" s="1"/>
      <c r="AA3140" s="1"/>
      <c r="AB3140" s="1"/>
      <c r="AC3140" s="1"/>
      <c r="AD3140" s="1"/>
    </row>
    <row r="3141" spans="17:30">
      <c r="Q3141" s="6">
        <v>3111</v>
      </c>
      <c r="R3141" s="7">
        <v>45778</v>
      </c>
      <c r="S3141" s="210">
        <v>4.5</v>
      </c>
      <c r="T3141" s="8">
        <v>1.0001249999999999</v>
      </c>
      <c r="U3141" s="98">
        <v>4.5000900196388471</v>
      </c>
      <c r="V3141" s="106">
        <v>34480.714680330697</v>
      </c>
      <c r="W3141" s="10">
        <v>1.209006607039953</v>
      </c>
      <c r="X3141" s="420"/>
      <c r="Y3141" s="420"/>
      <c r="Z3141" s="1"/>
      <c r="AA3141" s="1"/>
      <c r="AB3141" s="1"/>
      <c r="AC3141" s="1"/>
      <c r="AD3141" s="1"/>
    </row>
    <row r="3142" spans="17:30">
      <c r="Q3142" s="6">
        <v>3112</v>
      </c>
      <c r="R3142" s="7">
        <v>45779</v>
      </c>
      <c r="S3142" s="210">
        <v>4.5</v>
      </c>
      <c r="T3142" s="8">
        <v>1.0001249999999999</v>
      </c>
      <c r="U3142" s="98">
        <v>4.500143895017561</v>
      </c>
      <c r="V3142" s="106">
        <v>34483.680151908207</v>
      </c>
      <c r="W3142" s="10">
        <v>1.2090786292464406</v>
      </c>
      <c r="X3142" s="420"/>
      <c r="Y3142" s="420"/>
      <c r="Z3142" s="1"/>
      <c r="AA3142" s="1"/>
      <c r="AB3142" s="1"/>
      <c r="AC3142" s="1"/>
      <c r="AD3142" s="1"/>
    </row>
    <row r="3143" spans="17:30">
      <c r="Q3143" s="6">
        <v>3113</v>
      </c>
      <c r="R3143" s="7">
        <v>45780</v>
      </c>
      <c r="S3143" s="210">
        <v>4.5</v>
      </c>
      <c r="T3143" s="8">
        <v>1.0001249999999999</v>
      </c>
      <c r="U3143" s="98">
        <v>4.5001977358108514</v>
      </c>
      <c r="V3143" s="106">
        <v>34486.645878527459</v>
      </c>
      <c r="W3143" s="10">
        <v>1.2091506052322565</v>
      </c>
      <c r="X3143" s="420"/>
      <c r="Y3143" s="420"/>
      <c r="Z3143" s="1"/>
      <c r="AA3143" s="1"/>
      <c r="AB3143" s="1"/>
      <c r="AC3143" s="1"/>
      <c r="AD3143" s="1"/>
    </row>
    <row r="3144" spans="17:30">
      <c r="Q3144" s="6">
        <v>3114</v>
      </c>
      <c r="R3144" s="7">
        <v>45781</v>
      </c>
      <c r="S3144" s="210">
        <v>4.5</v>
      </c>
      <c r="T3144" s="8">
        <v>1.0001249999999999</v>
      </c>
      <c r="U3144" s="98">
        <v>4.5002515420520472</v>
      </c>
      <c r="V3144" s="106">
        <v>34489.611860210403</v>
      </c>
      <c r="W3144" s="10">
        <v>1.209222535041854</v>
      </c>
      <c r="X3144" s="420"/>
      <c r="Y3144" s="420"/>
      <c r="Z3144" s="1"/>
      <c r="AA3144" s="1"/>
      <c r="AB3144" s="1"/>
      <c r="AC3144" s="1"/>
      <c r="AD3144" s="1"/>
    </row>
    <row r="3145" spans="17:30">
      <c r="Q3145" s="6">
        <v>3115</v>
      </c>
      <c r="R3145" s="7">
        <v>45782</v>
      </c>
      <c r="S3145" s="210">
        <v>4.5</v>
      </c>
      <c r="T3145" s="8">
        <v>1.0001249999999999</v>
      </c>
      <c r="U3145" s="98">
        <v>4.5003053137743665</v>
      </c>
      <c r="V3145" s="106">
        <v>34492.578096978956</v>
      </c>
      <c r="W3145" s="10">
        <v>1.2092944187196419</v>
      </c>
      <c r="X3145" s="420"/>
      <c r="Y3145" s="420"/>
      <c r="Z3145" s="1"/>
      <c r="AA3145" s="1"/>
      <c r="AB3145" s="1"/>
      <c r="AC3145" s="1"/>
      <c r="AD3145" s="1"/>
    </row>
    <row r="3146" spans="17:30">
      <c r="Q3146" s="6">
        <v>3116</v>
      </c>
      <c r="R3146" s="7">
        <v>45783</v>
      </c>
      <c r="S3146" s="210">
        <v>4.5</v>
      </c>
      <c r="T3146" s="8">
        <v>1.0001249999999999</v>
      </c>
      <c r="U3146" s="98">
        <v>4.500359051011027</v>
      </c>
      <c r="V3146" s="106">
        <v>34495.544588855068</v>
      </c>
      <c r="W3146" s="10">
        <v>1.2093662563100294</v>
      </c>
      <c r="X3146" s="420"/>
      <c r="Y3146" s="420"/>
      <c r="Z3146" s="1"/>
      <c r="AA3146" s="1"/>
      <c r="AB3146" s="1"/>
      <c r="AC3146" s="1"/>
      <c r="AD3146" s="1"/>
    </row>
    <row r="3147" spans="17:30">
      <c r="Q3147" s="6">
        <v>3117</v>
      </c>
      <c r="R3147" s="7">
        <v>45784</v>
      </c>
      <c r="S3147" s="210">
        <v>4.5</v>
      </c>
      <c r="T3147" s="8">
        <v>1.0001249999999999</v>
      </c>
      <c r="U3147" s="98">
        <v>4.5004127537952021</v>
      </c>
      <c r="V3147" s="106">
        <v>34498.511335860669</v>
      </c>
      <c r="W3147" s="10">
        <v>1.2094380478572919</v>
      </c>
      <c r="X3147" s="420"/>
      <c r="Y3147" s="420"/>
      <c r="Z3147" s="1"/>
      <c r="AA3147" s="1"/>
      <c r="AB3147" s="1"/>
      <c r="AC3147" s="1"/>
      <c r="AD3147" s="1"/>
    </row>
    <row r="3148" spans="17:30">
      <c r="Q3148" s="6">
        <v>3118</v>
      </c>
      <c r="R3148" s="7">
        <v>45785</v>
      </c>
      <c r="S3148" s="210">
        <v>4.5</v>
      </c>
      <c r="T3148" s="8">
        <v>1.0001249999999999</v>
      </c>
      <c r="U3148" s="98">
        <v>4.5004664221599988</v>
      </c>
      <c r="V3148" s="106">
        <v>34501.478338017718</v>
      </c>
      <c r="W3148" s="10">
        <v>1.2095097934056831</v>
      </c>
      <c r="X3148" s="420"/>
      <c r="Y3148" s="420"/>
      <c r="Z3148" s="1"/>
      <c r="AA3148" s="1"/>
      <c r="AB3148" s="1"/>
      <c r="AC3148" s="1"/>
      <c r="AD3148" s="1"/>
    </row>
    <row r="3149" spans="17:30">
      <c r="Q3149" s="6">
        <v>3119</v>
      </c>
      <c r="R3149" s="7">
        <v>45786</v>
      </c>
      <c r="S3149" s="210">
        <v>4.5</v>
      </c>
      <c r="T3149" s="8">
        <v>1.0001249999999999</v>
      </c>
      <c r="U3149" s="98">
        <v>4.5005200561385017</v>
      </c>
      <c r="V3149" s="106">
        <v>34504.445595348137</v>
      </c>
      <c r="W3149" s="10">
        <v>1.2095814929993898</v>
      </c>
      <c r="X3149" s="420"/>
      <c r="Y3149" s="420"/>
      <c r="Z3149" s="1"/>
      <c r="AA3149" s="1"/>
      <c r="AB3149" s="1"/>
      <c r="AC3149" s="1"/>
      <c r="AD3149" s="1"/>
    </row>
    <row r="3150" spans="17:30">
      <c r="Q3150" s="6">
        <v>3120</v>
      </c>
      <c r="R3150" s="7">
        <v>45787</v>
      </c>
      <c r="S3150" s="210">
        <v>4.5</v>
      </c>
      <c r="T3150" s="8">
        <v>1.0001249999999999</v>
      </c>
      <c r="U3150" s="98">
        <v>4.500573655763751</v>
      </c>
      <c r="V3150" s="106">
        <v>34507.413107873894</v>
      </c>
      <c r="W3150" s="10">
        <v>1.2096531466825766</v>
      </c>
      <c r="X3150" s="420"/>
      <c r="Y3150" s="420"/>
      <c r="Z3150" s="1"/>
      <c r="AA3150" s="1"/>
      <c r="AB3150" s="1"/>
      <c r="AC3150" s="1"/>
      <c r="AD3150" s="1"/>
    </row>
    <row r="3151" spans="17:30">
      <c r="Q3151" s="6">
        <v>3121</v>
      </c>
      <c r="R3151" s="7">
        <v>45788</v>
      </c>
      <c r="S3151" s="210">
        <v>4.5</v>
      </c>
      <c r="T3151" s="8">
        <v>1.0001249999999999</v>
      </c>
      <c r="U3151" s="98">
        <v>4.5006272210687426</v>
      </c>
      <c r="V3151" s="106">
        <v>34510.380875616916</v>
      </c>
      <c r="W3151" s="10">
        <v>1.2097247544993195</v>
      </c>
      <c r="X3151" s="420"/>
      <c r="Y3151" s="420"/>
      <c r="Z3151" s="1"/>
      <c r="AA3151" s="1"/>
      <c r="AB3151" s="1"/>
      <c r="AC3151" s="1"/>
      <c r="AD3151" s="1"/>
    </row>
    <row r="3152" spans="17:30">
      <c r="Q3152" s="6">
        <v>3122</v>
      </c>
      <c r="R3152" s="7">
        <v>45789</v>
      </c>
      <c r="S3152" s="210">
        <v>4.5</v>
      </c>
      <c r="T3152" s="8">
        <v>1.0001249999999999</v>
      </c>
      <c r="U3152" s="98">
        <v>4.5006807520864278</v>
      </c>
      <c r="V3152" s="106">
        <v>34513.348898599172</v>
      </c>
      <c r="W3152" s="10">
        <v>1.2097963164936276</v>
      </c>
      <c r="X3152" s="420"/>
      <c r="Y3152" s="420"/>
      <c r="Z3152" s="1"/>
      <c r="AA3152" s="1"/>
      <c r="AB3152" s="1"/>
      <c r="AC3152" s="1"/>
      <c r="AD3152" s="1"/>
    </row>
    <row r="3153" spans="17:30">
      <c r="Q3153" s="6">
        <v>3123</v>
      </c>
      <c r="R3153" s="7">
        <v>45790</v>
      </c>
      <c r="S3153" s="210">
        <v>4.5</v>
      </c>
      <c r="T3153" s="8">
        <v>1.0001249999999999</v>
      </c>
      <c r="U3153" s="98">
        <v>4.5007342488497137</v>
      </c>
      <c r="V3153" s="106">
        <v>34516.317176842596</v>
      </c>
      <c r="W3153" s="10">
        <v>1.2098678327094881</v>
      </c>
      <c r="X3153" s="420"/>
      <c r="Y3153" s="420"/>
      <c r="Z3153" s="1"/>
      <c r="AA3153" s="1"/>
      <c r="AB3153" s="1"/>
      <c r="AC3153" s="1"/>
      <c r="AD3153" s="1"/>
    </row>
    <row r="3154" spans="17:30">
      <c r="Q3154" s="6">
        <v>3124</v>
      </c>
      <c r="R3154" s="7">
        <v>45791</v>
      </c>
      <c r="S3154" s="210">
        <v>4.5</v>
      </c>
      <c r="T3154" s="8">
        <v>1.0001249999999999</v>
      </c>
      <c r="U3154" s="98">
        <v>4.5007877113914629</v>
      </c>
      <c r="V3154" s="106">
        <v>34519.285710369164</v>
      </c>
      <c r="W3154" s="10">
        <v>1.209939303190799</v>
      </c>
      <c r="X3154" s="420"/>
      <c r="Y3154" s="420"/>
      <c r="Z3154" s="1"/>
      <c r="AA3154" s="1"/>
      <c r="AB3154" s="1"/>
      <c r="AC3154" s="1"/>
      <c r="AD3154" s="1"/>
    </row>
    <row r="3155" spans="17:30">
      <c r="Q3155" s="6">
        <v>3125</v>
      </c>
      <c r="R3155" s="7">
        <v>45792</v>
      </c>
      <c r="S3155" s="210">
        <v>4.5</v>
      </c>
      <c r="T3155" s="8">
        <v>1.0001249999999999</v>
      </c>
      <c r="U3155" s="98">
        <v>4.5008411397445158</v>
      </c>
      <c r="V3155" s="106">
        <v>34522.254499200804</v>
      </c>
      <c r="W3155" s="10">
        <v>1.2100107279814143</v>
      </c>
      <c r="X3155" s="420"/>
      <c r="Y3155" s="420"/>
      <c r="Z3155" s="1"/>
      <c r="AA3155" s="1"/>
      <c r="AB3155" s="1"/>
      <c r="AC3155" s="1"/>
      <c r="AD3155" s="1"/>
    </row>
    <row r="3156" spans="17:30">
      <c r="Q3156" s="6">
        <v>3126</v>
      </c>
      <c r="R3156" s="7">
        <v>45793</v>
      </c>
      <c r="S3156" s="210">
        <v>4.5</v>
      </c>
      <c r="T3156" s="8">
        <v>1.0001249999999999</v>
      </c>
      <c r="U3156" s="98">
        <v>4.5008945339416462</v>
      </c>
      <c r="V3156" s="106">
        <v>34525.223543359491</v>
      </c>
      <c r="W3156" s="10">
        <v>1.2100821071251433</v>
      </c>
      <c r="X3156" s="420"/>
      <c r="Y3156" s="420"/>
      <c r="Z3156" s="1"/>
      <c r="AA3156" s="1"/>
      <c r="AB3156" s="1"/>
      <c r="AC3156" s="1"/>
      <c r="AD3156" s="1"/>
    </row>
    <row r="3157" spans="17:30">
      <c r="Q3157" s="6">
        <v>3127</v>
      </c>
      <c r="R3157" s="7">
        <v>45794</v>
      </c>
      <c r="S3157" s="210">
        <v>4.5</v>
      </c>
      <c r="T3157" s="8">
        <v>1.0001249999999999</v>
      </c>
      <c r="U3157" s="98">
        <v>4.5009478940156056</v>
      </c>
      <c r="V3157" s="106">
        <v>34528.192842867174</v>
      </c>
      <c r="W3157" s="10">
        <v>1.2101534406657288</v>
      </c>
      <c r="X3157" s="420"/>
      <c r="Y3157" s="420"/>
      <c r="Z3157" s="1"/>
      <c r="AA3157" s="1"/>
      <c r="AB3157" s="1"/>
      <c r="AC3157" s="1"/>
      <c r="AD3157" s="1"/>
    </row>
    <row r="3158" spans="17:30">
      <c r="Q3158" s="6">
        <v>3128</v>
      </c>
      <c r="R3158" s="7">
        <v>45795</v>
      </c>
      <c r="S3158" s="210">
        <v>4.5</v>
      </c>
      <c r="T3158" s="8">
        <v>1.0001249999999999</v>
      </c>
      <c r="U3158" s="98">
        <v>4.5010012199991012</v>
      </c>
      <c r="V3158" s="106">
        <v>34531.162397745829</v>
      </c>
      <c r="W3158" s="10">
        <v>1.2102247286468693</v>
      </c>
      <c r="X3158" s="420"/>
      <c r="Y3158" s="420"/>
      <c r="Z3158" s="1"/>
      <c r="AA3158" s="1"/>
      <c r="AB3158" s="1"/>
      <c r="AC3158" s="1"/>
      <c r="AD3158" s="1"/>
    </row>
    <row r="3159" spans="17:30">
      <c r="Q3159" s="6">
        <v>3129</v>
      </c>
      <c r="R3159" s="7">
        <v>45796</v>
      </c>
      <c r="S3159" s="210">
        <v>4.5</v>
      </c>
      <c r="T3159" s="8">
        <v>1.0001249999999999</v>
      </c>
      <c r="U3159" s="98">
        <v>4.5010545119247736</v>
      </c>
      <c r="V3159" s="106">
        <v>34534.132208017407</v>
      </c>
      <c r="W3159" s="10">
        <v>1.2102959711121963</v>
      </c>
      <c r="X3159" s="420"/>
      <c r="Y3159" s="420"/>
      <c r="Z3159" s="1"/>
      <c r="AA3159" s="1"/>
      <c r="AB3159" s="1"/>
      <c r="AC3159" s="1"/>
      <c r="AD3159" s="1"/>
    </row>
    <row r="3160" spans="17:30">
      <c r="Q3160" s="6">
        <v>3130</v>
      </c>
      <c r="R3160" s="7">
        <v>45797</v>
      </c>
      <c r="S3160" s="210">
        <v>4.5</v>
      </c>
      <c r="T3160" s="8">
        <v>1.0001249999999999</v>
      </c>
      <c r="U3160" s="98">
        <v>4.5011077698252411</v>
      </c>
      <c r="V3160" s="106">
        <v>34537.102273703873</v>
      </c>
      <c r="W3160" s="10">
        <v>1.2103671681052752</v>
      </c>
      <c r="X3160" s="420"/>
      <c r="Y3160" s="420"/>
      <c r="Z3160" s="1"/>
      <c r="AA3160" s="1"/>
      <c r="AB3160" s="1"/>
      <c r="AC3160" s="1"/>
      <c r="AD3160" s="1"/>
    </row>
    <row r="3161" spans="17:30">
      <c r="Q3161" s="6">
        <v>3131</v>
      </c>
      <c r="R3161" s="7">
        <v>45798</v>
      </c>
      <c r="S3161" s="210">
        <v>4.5</v>
      </c>
      <c r="T3161" s="8">
        <v>1.0001249999999999</v>
      </c>
      <c r="U3161" s="98">
        <v>4.5011609937330999</v>
      </c>
      <c r="V3161" s="106">
        <v>34540.072594827194</v>
      </c>
      <c r="W3161" s="10">
        <v>1.2104383196696267</v>
      </c>
      <c r="X3161" s="420"/>
      <c r="Y3161" s="420"/>
      <c r="Z3161" s="1"/>
      <c r="AA3161" s="1"/>
      <c r="AB3161" s="1"/>
      <c r="AC3161" s="1"/>
      <c r="AD3161" s="1"/>
    </row>
    <row r="3162" spans="17:30">
      <c r="Q3162" s="6">
        <v>3132</v>
      </c>
      <c r="R3162" s="7">
        <v>45799</v>
      </c>
      <c r="S3162" s="210">
        <v>4.5</v>
      </c>
      <c r="T3162" s="8">
        <v>1.0001249999999999</v>
      </c>
      <c r="U3162" s="98">
        <v>4.5012141836808794</v>
      </c>
      <c r="V3162" s="106">
        <v>34543.043171409336</v>
      </c>
      <c r="W3162" s="10">
        <v>1.2105094258487492</v>
      </c>
      <c r="X3162" s="420"/>
      <c r="Y3162" s="420"/>
      <c r="Z3162" s="1"/>
      <c r="AA3162" s="1"/>
      <c r="AB3162" s="1"/>
      <c r="AC3162" s="1"/>
      <c r="AD3162" s="1"/>
    </row>
    <row r="3163" spans="17:30">
      <c r="Q3163" s="6">
        <v>3133</v>
      </c>
      <c r="R3163" s="7">
        <v>45800</v>
      </c>
      <c r="S3163" s="210">
        <v>4.5</v>
      </c>
      <c r="T3163" s="8">
        <v>1.0001249999999999</v>
      </c>
      <c r="U3163" s="98">
        <v>4.5012673397010428</v>
      </c>
      <c r="V3163" s="106">
        <v>34546.014003472286</v>
      </c>
      <c r="W3163" s="10">
        <v>1.2105804866860082</v>
      </c>
      <c r="X3163" s="420"/>
      <c r="Y3163" s="420"/>
      <c r="Z3163" s="1"/>
      <c r="AA3163" s="1"/>
      <c r="AB3163" s="1"/>
      <c r="AC3163" s="1"/>
      <c r="AD3163" s="1"/>
    </row>
    <row r="3164" spans="17:30">
      <c r="Q3164" s="6">
        <v>3134</v>
      </c>
      <c r="R3164" s="7">
        <v>45801</v>
      </c>
      <c r="S3164" s="210">
        <v>4.5</v>
      </c>
      <c r="T3164" s="8">
        <v>1.0001249999999999</v>
      </c>
      <c r="U3164" s="98">
        <v>4.5013204618260749</v>
      </c>
      <c r="V3164" s="106">
        <v>34548.98509103799</v>
      </c>
      <c r="W3164" s="10">
        <v>1.210651502224791</v>
      </c>
      <c r="X3164" s="420"/>
      <c r="Y3164" s="420"/>
      <c r="Z3164" s="1"/>
      <c r="AA3164" s="1"/>
      <c r="AB3164" s="1"/>
      <c r="AC3164" s="1"/>
      <c r="AD3164" s="1"/>
    </row>
    <row r="3165" spans="17:30">
      <c r="Q3165" s="6">
        <v>3135</v>
      </c>
      <c r="R3165" s="7">
        <v>45802</v>
      </c>
      <c r="S3165" s="210">
        <v>4.5</v>
      </c>
      <c r="T3165" s="8">
        <v>1.0001249999999999</v>
      </c>
      <c r="U3165" s="98">
        <v>4.5013735500883723</v>
      </c>
      <c r="V3165" s="106">
        <v>34551.956434128449</v>
      </c>
      <c r="W3165" s="10">
        <v>1.2107224725083743</v>
      </c>
      <c r="X3165" s="420"/>
      <c r="Y3165" s="420"/>
      <c r="Z3165" s="1"/>
      <c r="AA3165" s="1"/>
      <c r="AB3165" s="1"/>
      <c r="AC3165" s="1"/>
      <c r="AD3165" s="1"/>
    </row>
    <row r="3166" spans="17:30">
      <c r="Q3166" s="6">
        <v>3136</v>
      </c>
      <c r="R3166" s="7">
        <v>45803</v>
      </c>
      <c r="S3166" s="210">
        <v>4.5</v>
      </c>
      <c r="T3166" s="8">
        <v>1.0001249999999999</v>
      </c>
      <c r="U3166" s="98">
        <v>4.5014266045203088</v>
      </c>
      <c r="V3166" s="106">
        <v>34554.928032765623</v>
      </c>
      <c r="W3166" s="10">
        <v>1.2107933975800345</v>
      </c>
      <c r="X3166" s="420"/>
      <c r="Y3166" s="420"/>
      <c r="Z3166" s="1"/>
      <c r="AA3166" s="1"/>
      <c r="AB3166" s="1"/>
      <c r="AC3166" s="1"/>
      <c r="AD3166" s="1"/>
    </row>
    <row r="3167" spans="17:30">
      <c r="Q3167" s="6">
        <v>3137</v>
      </c>
      <c r="R3167" s="7">
        <v>45804</v>
      </c>
      <c r="S3167" s="210">
        <v>4.5</v>
      </c>
      <c r="T3167" s="8">
        <v>1.0001249999999999</v>
      </c>
      <c r="U3167" s="98">
        <v>4.5014796251541922</v>
      </c>
      <c r="V3167" s="106">
        <v>34557.899886971485</v>
      </c>
      <c r="W3167" s="10">
        <v>1.2108642774829148</v>
      </c>
      <c r="X3167" s="420"/>
      <c r="Y3167" s="420"/>
      <c r="Z3167" s="1"/>
      <c r="AA3167" s="1"/>
      <c r="AB3167" s="1"/>
      <c r="AC3167" s="1"/>
      <c r="AD3167" s="1"/>
    </row>
    <row r="3168" spans="17:30">
      <c r="Q3168" s="6">
        <v>3138</v>
      </c>
      <c r="R3168" s="7">
        <v>45805</v>
      </c>
      <c r="S3168" s="210">
        <v>4.5</v>
      </c>
      <c r="T3168" s="8">
        <v>1.0001249999999999</v>
      </c>
      <c r="U3168" s="98">
        <v>4.5015326120223298</v>
      </c>
      <c r="V3168" s="106">
        <v>34560.871996768037</v>
      </c>
      <c r="W3168" s="10">
        <v>1.210935112260203</v>
      </c>
      <c r="X3168" s="420"/>
      <c r="Y3168" s="420"/>
      <c r="Z3168" s="1"/>
      <c r="AA3168" s="1"/>
      <c r="AB3168" s="1"/>
      <c r="AC3168" s="1"/>
      <c r="AD3168" s="1"/>
    </row>
    <row r="3169" spans="17:30">
      <c r="Q3169" s="6">
        <v>3139</v>
      </c>
      <c r="R3169" s="7">
        <v>45806</v>
      </c>
      <c r="S3169" s="210">
        <v>4.5</v>
      </c>
      <c r="T3169" s="8">
        <v>1.0001249999999999</v>
      </c>
      <c r="U3169" s="98">
        <v>4.5015855651569625</v>
      </c>
      <c r="V3169" s="106">
        <v>34563.844362177239</v>
      </c>
      <c r="W3169" s="10">
        <v>1.2110059019549313</v>
      </c>
      <c r="X3169" s="420"/>
      <c r="Y3169" s="420"/>
      <c r="Z3169" s="1"/>
      <c r="AA3169" s="1"/>
      <c r="AB3169" s="1"/>
      <c r="AC3169" s="1"/>
      <c r="AD3169" s="1"/>
    </row>
    <row r="3170" spans="17:30">
      <c r="Q3170" s="6">
        <v>3140</v>
      </c>
      <c r="R3170" s="7">
        <v>45807</v>
      </c>
      <c r="S3170" s="210">
        <v>4.5</v>
      </c>
      <c r="T3170" s="8">
        <v>1.0001249999999999</v>
      </c>
      <c r="U3170" s="98">
        <v>4.5016384845902868</v>
      </c>
      <c r="V3170" s="106">
        <v>34566.816983221084</v>
      </c>
      <c r="W3170" s="10">
        <v>1.2110766466101541</v>
      </c>
      <c r="X3170" s="420"/>
      <c r="Y3170" s="420"/>
      <c r="Z3170" s="1"/>
      <c r="AA3170" s="1"/>
      <c r="AB3170" s="1"/>
      <c r="AC3170" s="1"/>
      <c r="AD3170" s="1"/>
    </row>
    <row r="3171" spans="17:30">
      <c r="Q3171" s="6">
        <v>3141</v>
      </c>
      <c r="R3171" s="7">
        <v>45808</v>
      </c>
      <c r="S3171" s="210">
        <v>4.5</v>
      </c>
      <c r="T3171" s="8">
        <v>1.0001249999999999</v>
      </c>
      <c r="U3171" s="98">
        <v>4.501691370354477</v>
      </c>
      <c r="V3171" s="106">
        <v>34569.789859921548</v>
      </c>
      <c r="W3171" s="10">
        <v>1.2111473462688593</v>
      </c>
      <c r="X3171" s="420"/>
      <c r="Y3171" s="420"/>
      <c r="Z3171" s="1"/>
      <c r="AA3171" s="1"/>
      <c r="AB3171" s="1"/>
      <c r="AC3171" s="1"/>
      <c r="AD3171" s="1"/>
    </row>
    <row r="3172" spans="17:30">
      <c r="Q3172" s="6">
        <v>3142</v>
      </c>
      <c r="R3172" s="7">
        <v>45809</v>
      </c>
      <c r="S3172" s="210">
        <v>4.5</v>
      </c>
      <c r="T3172" s="8">
        <v>1.0001249999999999</v>
      </c>
      <c r="U3172" s="98">
        <v>4.5017442224816406</v>
      </c>
      <c r="V3172" s="106">
        <v>34572.762992300639</v>
      </c>
      <c r="W3172" s="10">
        <v>1.2112180009739015</v>
      </c>
      <c r="X3172" s="420"/>
      <c r="Y3172" s="420"/>
      <c r="Z3172" s="1"/>
      <c r="AA3172" s="1"/>
      <c r="AB3172" s="1"/>
      <c r="AC3172" s="1"/>
      <c r="AD3172" s="1"/>
    </row>
    <row r="3173" spans="17:30">
      <c r="Q3173" s="6">
        <v>3143</v>
      </c>
      <c r="R3173" s="7">
        <v>45810</v>
      </c>
      <c r="S3173" s="210">
        <v>4.5</v>
      </c>
      <c r="T3173" s="8">
        <v>1.0001249999999999</v>
      </c>
      <c r="U3173" s="98">
        <v>4.5017970410038632</v>
      </c>
      <c r="V3173" s="106">
        <v>34575.736380380331</v>
      </c>
      <c r="W3173" s="10">
        <v>1.2112886107682019</v>
      </c>
      <c r="X3173" s="420"/>
      <c r="Y3173" s="420"/>
      <c r="Z3173" s="1"/>
      <c r="AA3173" s="1"/>
      <c r="AB3173" s="1"/>
      <c r="AC3173" s="1"/>
      <c r="AD3173" s="1"/>
    </row>
    <row r="3174" spans="17:30">
      <c r="Q3174" s="6">
        <v>3144</v>
      </c>
      <c r="R3174" s="7">
        <v>45811</v>
      </c>
      <c r="S3174" s="210">
        <v>4.5</v>
      </c>
      <c r="T3174" s="8">
        <v>1.0001249999999999</v>
      </c>
      <c r="U3174" s="98">
        <v>4.5018498259531858</v>
      </c>
      <c r="V3174" s="106">
        <v>34578.710024182612</v>
      </c>
      <c r="W3174" s="10">
        <v>1.2113591756945263</v>
      </c>
      <c r="X3174" s="420"/>
      <c r="Y3174" s="420"/>
      <c r="Z3174" s="1"/>
      <c r="AA3174" s="1"/>
      <c r="AB3174" s="1"/>
      <c r="AC3174" s="1"/>
      <c r="AD3174" s="1"/>
    </row>
    <row r="3175" spans="17:30">
      <c r="Q3175" s="6">
        <v>3145</v>
      </c>
      <c r="R3175" s="7">
        <v>45812</v>
      </c>
      <c r="S3175" s="210">
        <v>4.5</v>
      </c>
      <c r="T3175" s="8">
        <v>1.0001249999999999</v>
      </c>
      <c r="U3175" s="98">
        <v>4.501902577361605</v>
      </c>
      <c r="V3175" s="106">
        <v>34581.683923729492</v>
      </c>
      <c r="W3175" s="10">
        <v>1.2114296957956627</v>
      </c>
      <c r="X3175" s="420"/>
      <c r="Y3175" s="420"/>
      <c r="Z3175" s="1"/>
      <c r="AA3175" s="1"/>
      <c r="AB3175" s="1"/>
      <c r="AC3175" s="1"/>
      <c r="AD3175" s="1"/>
    </row>
    <row r="3176" spans="17:30">
      <c r="Q3176" s="6">
        <v>3146</v>
      </c>
      <c r="R3176" s="7">
        <v>45813</v>
      </c>
      <c r="S3176" s="210">
        <v>4.5</v>
      </c>
      <c r="T3176" s="8">
        <v>1.0001249999999999</v>
      </c>
      <c r="U3176" s="98">
        <v>4.5019552952610953</v>
      </c>
      <c r="V3176" s="106">
        <v>34584.658079042943</v>
      </c>
      <c r="W3176" s="10">
        <v>1.2115001711142659</v>
      </c>
      <c r="X3176" s="420"/>
      <c r="Y3176" s="420"/>
      <c r="Z3176" s="1"/>
      <c r="AA3176" s="1"/>
      <c r="AB3176" s="1"/>
      <c r="AC3176" s="1"/>
      <c r="AD3176" s="1"/>
    </row>
    <row r="3177" spans="17:30">
      <c r="Q3177" s="6">
        <v>3147</v>
      </c>
      <c r="R3177" s="7">
        <v>45814</v>
      </c>
      <c r="S3177" s="210">
        <v>4.5</v>
      </c>
      <c r="T3177" s="8">
        <v>1.0001249999999999</v>
      </c>
      <c r="U3177" s="98">
        <v>4.5020079796835644</v>
      </c>
      <c r="V3177" s="106">
        <v>34587.632490144984</v>
      </c>
      <c r="W3177" s="10">
        <v>1.211570601693035</v>
      </c>
      <c r="X3177" s="420"/>
      <c r="Y3177" s="420"/>
      <c r="Z3177" s="1"/>
      <c r="AA3177" s="1"/>
      <c r="AB3177" s="1"/>
      <c r="AC3177" s="1"/>
      <c r="AD3177" s="1"/>
    </row>
    <row r="3178" spans="17:30">
      <c r="Q3178" s="6">
        <v>3148</v>
      </c>
      <c r="R3178" s="7">
        <v>45815</v>
      </c>
      <c r="S3178" s="210">
        <v>4.5</v>
      </c>
      <c r="T3178" s="8">
        <v>1.0001249999999999</v>
      </c>
      <c r="U3178" s="98">
        <v>4.5020606306608757</v>
      </c>
      <c r="V3178" s="106">
        <v>34590.607157057595</v>
      </c>
      <c r="W3178" s="10">
        <v>1.2116409875745138</v>
      </c>
      <c r="X3178" s="420"/>
      <c r="Y3178" s="420"/>
      <c r="Z3178" s="1"/>
      <c r="AA3178" s="1"/>
      <c r="AB3178" s="1"/>
      <c r="AC3178" s="1"/>
      <c r="AD3178" s="1"/>
    </row>
    <row r="3179" spans="17:30">
      <c r="Q3179" s="6">
        <v>3149</v>
      </c>
      <c r="R3179" s="7">
        <v>45816</v>
      </c>
      <c r="S3179" s="210">
        <v>4.5</v>
      </c>
      <c r="T3179" s="8">
        <v>1.0001249999999999</v>
      </c>
      <c r="U3179" s="98">
        <v>4.5021132482248927</v>
      </c>
      <c r="V3179" s="106">
        <v>34593.582079802793</v>
      </c>
      <c r="W3179" s="10">
        <v>1.211711328801246</v>
      </c>
      <c r="X3179" s="420"/>
      <c r="Y3179" s="420"/>
      <c r="Z3179" s="1"/>
      <c r="AA3179" s="1"/>
      <c r="AB3179" s="1"/>
      <c r="AC3179" s="1"/>
      <c r="AD3179" s="1"/>
    </row>
    <row r="3180" spans="17:30">
      <c r="Q3180" s="6">
        <v>3150</v>
      </c>
      <c r="R3180" s="7">
        <v>45817</v>
      </c>
      <c r="S3180" s="210">
        <v>4.5</v>
      </c>
      <c r="T3180" s="8">
        <v>1.0001249999999999</v>
      </c>
      <c r="U3180" s="98">
        <v>4.5021658324073899</v>
      </c>
      <c r="V3180" s="106">
        <v>34596.557258402572</v>
      </c>
      <c r="W3180" s="10">
        <v>1.211781625415731</v>
      </c>
      <c r="X3180" s="420"/>
      <c r="Y3180" s="420"/>
      <c r="Z3180" s="1"/>
      <c r="AA3180" s="1"/>
      <c r="AB3180" s="1"/>
      <c r="AC3180" s="1"/>
      <c r="AD3180" s="1"/>
    </row>
    <row r="3181" spans="17:30">
      <c r="Q3181" s="6">
        <v>3151</v>
      </c>
      <c r="R3181" s="7">
        <v>45818</v>
      </c>
      <c r="S3181" s="210">
        <v>4.5</v>
      </c>
      <c r="T3181" s="8">
        <v>1.0001249999999999</v>
      </c>
      <c r="U3181" s="98">
        <v>4.5022183832401419</v>
      </c>
      <c r="V3181" s="106">
        <v>34599.532692878929</v>
      </c>
      <c r="W3181" s="10">
        <v>1.2118518774603793</v>
      </c>
      <c r="X3181" s="420"/>
      <c r="Y3181" s="420"/>
      <c r="Z3181" s="1"/>
      <c r="AA3181" s="1"/>
      <c r="AB3181" s="1"/>
      <c r="AC3181" s="1"/>
      <c r="AD3181" s="1"/>
    </row>
    <row r="3182" spans="17:30">
      <c r="Q3182" s="6">
        <v>3152</v>
      </c>
      <c r="R3182" s="7">
        <v>45819</v>
      </c>
      <c r="S3182" s="210">
        <v>4.5</v>
      </c>
      <c r="T3182" s="8">
        <v>1.0001249999999999</v>
      </c>
      <c r="U3182" s="98">
        <v>4.5022709007548567</v>
      </c>
      <c r="V3182" s="106">
        <v>34602.508383253888</v>
      </c>
      <c r="W3182" s="10">
        <v>1.2119220849775791</v>
      </c>
      <c r="X3182" s="420"/>
      <c r="Y3182" s="420"/>
      <c r="Z3182" s="1"/>
      <c r="AA3182" s="1"/>
      <c r="AB3182" s="1"/>
      <c r="AC3182" s="1"/>
      <c r="AD3182" s="1"/>
    </row>
    <row r="3183" spans="17:30">
      <c r="Q3183" s="6">
        <v>3153</v>
      </c>
      <c r="R3183" s="7">
        <v>45820</v>
      </c>
      <c r="S3183" s="210">
        <v>4.5</v>
      </c>
      <c r="T3183" s="8">
        <v>1.0001249999999999</v>
      </c>
      <c r="U3183" s="98">
        <v>4.50232338498322</v>
      </c>
      <c r="V3183" s="106">
        <v>34605.484329549443</v>
      </c>
      <c r="W3183" s="10">
        <v>1.2119922480096745</v>
      </c>
      <c r="X3183" s="420"/>
      <c r="Y3183" s="420"/>
      <c r="Z3183" s="1"/>
      <c r="AA3183" s="1"/>
      <c r="AB3183" s="1"/>
      <c r="AC3183" s="1"/>
      <c r="AD3183" s="1"/>
    </row>
    <row r="3184" spans="17:30">
      <c r="Q3184" s="6">
        <v>3154</v>
      </c>
      <c r="R3184" s="7">
        <v>45821</v>
      </c>
      <c r="S3184" s="210">
        <v>4.5</v>
      </c>
      <c r="T3184" s="8">
        <v>1.0001249999999999</v>
      </c>
      <c r="U3184" s="98">
        <v>4.5023758359568511</v>
      </c>
      <c r="V3184" s="106">
        <v>34608.460531787612</v>
      </c>
      <c r="W3184" s="10">
        <v>1.2120623665988761</v>
      </c>
      <c r="X3184" s="420"/>
      <c r="Y3184" s="420"/>
      <c r="Z3184" s="1"/>
      <c r="AA3184" s="1"/>
      <c r="AB3184" s="1"/>
      <c r="AC3184" s="1"/>
      <c r="AD3184" s="1"/>
    </row>
    <row r="3185" spans="17:30">
      <c r="Q3185" s="6">
        <v>3155</v>
      </c>
      <c r="R3185" s="7">
        <v>45822</v>
      </c>
      <c r="S3185" s="210">
        <v>4.5</v>
      </c>
      <c r="T3185" s="8">
        <v>1.0001249999999999</v>
      </c>
      <c r="U3185" s="98">
        <v>4.502428253707369</v>
      </c>
      <c r="V3185" s="106">
        <v>34611.436989990405</v>
      </c>
      <c r="W3185" s="10">
        <v>1.2121324407874168</v>
      </c>
      <c r="X3185" s="420"/>
      <c r="Y3185" s="420"/>
      <c r="Z3185" s="1"/>
      <c r="AA3185" s="1"/>
      <c r="AB3185" s="1"/>
      <c r="AC3185" s="1"/>
      <c r="AD3185" s="1"/>
    </row>
    <row r="3186" spans="17:30">
      <c r="Q3186" s="6">
        <v>3156</v>
      </c>
      <c r="R3186" s="7">
        <v>45823</v>
      </c>
      <c r="S3186" s="210">
        <v>4.5</v>
      </c>
      <c r="T3186" s="8">
        <v>1.0001249999999999</v>
      </c>
      <c r="U3186" s="98">
        <v>4.5024806382663041</v>
      </c>
      <c r="V3186" s="106">
        <v>34614.413704179839</v>
      </c>
      <c r="W3186" s="10">
        <v>1.212202470617485</v>
      </c>
      <c r="X3186" s="420"/>
      <c r="Y3186" s="420"/>
      <c r="Z3186" s="1"/>
      <c r="AA3186" s="1"/>
      <c r="AB3186" s="1"/>
      <c r="AC3186" s="1"/>
      <c r="AD3186" s="1"/>
    </row>
    <row r="3187" spans="17:30">
      <c r="Q3187" s="6">
        <v>3157</v>
      </c>
      <c r="R3187" s="7">
        <v>45824</v>
      </c>
      <c r="S3187" s="210">
        <v>4.5</v>
      </c>
      <c r="T3187" s="8">
        <v>1.0001249999999999</v>
      </c>
      <c r="U3187" s="98">
        <v>4.5025329896651867</v>
      </c>
      <c r="V3187" s="106">
        <v>34617.390674377915</v>
      </c>
      <c r="W3187" s="10">
        <v>1.2122724561311582</v>
      </c>
      <c r="X3187" s="420"/>
      <c r="Y3187" s="420"/>
      <c r="Z3187" s="1"/>
      <c r="AA3187" s="1"/>
      <c r="AB3187" s="1"/>
      <c r="AC3187" s="1"/>
      <c r="AD3187" s="1"/>
    </row>
    <row r="3188" spans="17:30">
      <c r="Q3188" s="6">
        <v>3158</v>
      </c>
      <c r="R3188" s="7">
        <v>45825</v>
      </c>
      <c r="S3188" s="210">
        <v>4.5</v>
      </c>
      <c r="T3188" s="8">
        <v>1.0001249999999999</v>
      </c>
      <c r="U3188" s="98">
        <v>4.5025853079354805</v>
      </c>
      <c r="V3188" s="106">
        <v>34620.367900606674</v>
      </c>
      <c r="W3188" s="10">
        <v>1.2123423973704917</v>
      </c>
      <c r="X3188" s="420"/>
      <c r="Y3188" s="420"/>
      <c r="Z3188" s="1"/>
      <c r="AA3188" s="1"/>
      <c r="AB3188" s="1"/>
      <c r="AC3188" s="1"/>
      <c r="AD3188" s="1"/>
    </row>
    <row r="3189" spans="17:30">
      <c r="Q3189" s="6">
        <v>3159</v>
      </c>
      <c r="R3189" s="7">
        <v>45826</v>
      </c>
      <c r="S3189" s="210">
        <v>4.5</v>
      </c>
      <c r="T3189" s="8">
        <v>1.0001249999999999</v>
      </c>
      <c r="U3189" s="98">
        <v>4.5026375931086271</v>
      </c>
      <c r="V3189" s="106">
        <v>34623.345382888117</v>
      </c>
      <c r="W3189" s="10">
        <v>1.212412294377474</v>
      </c>
      <c r="X3189" s="420"/>
      <c r="Y3189" s="420"/>
      <c r="Z3189" s="1"/>
      <c r="AA3189" s="1"/>
      <c r="AB3189" s="1"/>
      <c r="AC3189" s="1"/>
      <c r="AD3189" s="1"/>
    </row>
    <row r="3190" spans="17:30">
      <c r="Q3190" s="6">
        <v>3160</v>
      </c>
      <c r="R3190" s="7">
        <v>45827</v>
      </c>
      <c r="S3190" s="210">
        <v>4.5</v>
      </c>
      <c r="T3190" s="8">
        <v>1.0001249999999999</v>
      </c>
      <c r="U3190" s="98">
        <v>4.5026898452160458</v>
      </c>
      <c r="V3190" s="106">
        <v>34626.32312124427</v>
      </c>
      <c r="W3190" s="10">
        <v>1.2124821471940939</v>
      </c>
      <c r="X3190" s="420"/>
      <c r="Y3190" s="420"/>
      <c r="Z3190" s="1"/>
      <c r="AA3190" s="1"/>
      <c r="AB3190" s="1"/>
      <c r="AC3190" s="1"/>
      <c r="AD3190" s="1"/>
    </row>
    <row r="3191" spans="17:30">
      <c r="Q3191" s="6">
        <v>3161</v>
      </c>
      <c r="R3191" s="7">
        <v>45828</v>
      </c>
      <c r="S3191" s="210">
        <v>4.5</v>
      </c>
      <c r="T3191" s="8">
        <v>1.0001249999999999</v>
      </c>
      <c r="U3191" s="98">
        <v>4.502742064289067</v>
      </c>
      <c r="V3191" s="106">
        <v>34629.301115697162</v>
      </c>
      <c r="W3191" s="10">
        <v>1.2125519558622289</v>
      </c>
      <c r="X3191" s="420"/>
      <c r="Y3191" s="420"/>
      <c r="Z3191" s="1"/>
      <c r="AA3191" s="1"/>
      <c r="AB3191" s="1"/>
      <c r="AC3191" s="1"/>
      <c r="AD3191" s="1"/>
    </row>
    <row r="3192" spans="17:30">
      <c r="Q3192" s="6">
        <v>3162</v>
      </c>
      <c r="R3192" s="7">
        <v>45829</v>
      </c>
      <c r="S3192" s="210">
        <v>4.5</v>
      </c>
      <c r="T3192" s="8">
        <v>1.0001249999999999</v>
      </c>
      <c r="U3192" s="98">
        <v>4.5027942503590213</v>
      </c>
      <c r="V3192" s="106">
        <v>34632.27936626882</v>
      </c>
      <c r="W3192" s="10">
        <v>1.21262172042369</v>
      </c>
      <c r="X3192" s="420"/>
      <c r="Y3192" s="420"/>
      <c r="Z3192" s="1"/>
      <c r="AA3192" s="1"/>
      <c r="AB3192" s="1"/>
      <c r="AC3192" s="1"/>
      <c r="AD3192" s="1"/>
    </row>
    <row r="3193" spans="17:30">
      <c r="Q3193" s="6">
        <v>3163</v>
      </c>
      <c r="R3193" s="7">
        <v>45830</v>
      </c>
      <c r="S3193" s="210">
        <v>4.5</v>
      </c>
      <c r="T3193" s="8">
        <v>1.0001249999999999</v>
      </c>
      <c r="U3193" s="98">
        <v>4.5028464034571725</v>
      </c>
      <c r="V3193" s="106">
        <v>34635.257872981252</v>
      </c>
      <c r="W3193" s="10">
        <v>1.2126914409203104</v>
      </c>
      <c r="X3193" s="420"/>
      <c r="Y3193" s="420"/>
      <c r="Z3193" s="1"/>
      <c r="AA3193" s="1"/>
      <c r="AB3193" s="1"/>
      <c r="AC3193" s="1"/>
      <c r="AD3193" s="1"/>
    </row>
    <row r="3194" spans="17:30">
      <c r="Q3194" s="6">
        <v>3164</v>
      </c>
      <c r="R3194" s="7">
        <v>45831</v>
      </c>
      <c r="S3194" s="210">
        <v>4.5</v>
      </c>
      <c r="T3194" s="8">
        <v>1.0001249999999999</v>
      </c>
      <c r="U3194" s="98">
        <v>4.5028985236147623</v>
      </c>
      <c r="V3194" s="106">
        <v>34638.236635856512</v>
      </c>
      <c r="W3194" s="10">
        <v>1.212761117393768</v>
      </c>
      <c r="X3194" s="420"/>
      <c r="Y3194" s="420"/>
      <c r="Z3194" s="1"/>
      <c r="AA3194" s="1"/>
      <c r="AB3194" s="1"/>
      <c r="AC3194" s="1"/>
      <c r="AD3194" s="1"/>
    </row>
    <row r="3195" spans="17:30">
      <c r="Q3195" s="6">
        <v>3165</v>
      </c>
      <c r="R3195" s="7">
        <v>45832</v>
      </c>
      <c r="S3195" s="210">
        <v>4.5</v>
      </c>
      <c r="T3195" s="8">
        <v>1.0001249999999999</v>
      </c>
      <c r="U3195" s="98">
        <v>4.502950610862988</v>
      </c>
      <c r="V3195" s="106">
        <v>34641.21565491661</v>
      </c>
      <c r="W3195" s="10">
        <v>1.2128307498858071</v>
      </c>
      <c r="X3195" s="420"/>
      <c r="Y3195" s="420"/>
      <c r="Z3195" s="1"/>
      <c r="AA3195" s="1"/>
      <c r="AB3195" s="1"/>
      <c r="AC3195" s="1"/>
      <c r="AD3195" s="1"/>
    </row>
    <row r="3196" spans="17:30">
      <c r="Q3196" s="6">
        <v>3166</v>
      </c>
      <c r="R3196" s="7">
        <v>45833</v>
      </c>
      <c r="S3196" s="210">
        <v>4.5</v>
      </c>
      <c r="T3196" s="8">
        <v>1.0001249999999999</v>
      </c>
      <c r="U3196" s="98">
        <v>4.5030026652330246</v>
      </c>
      <c r="V3196" s="106">
        <v>34644.194930183607</v>
      </c>
      <c r="W3196" s="10">
        <v>1.2129003384380166</v>
      </c>
      <c r="X3196" s="420"/>
      <c r="Y3196" s="420"/>
      <c r="Z3196" s="1"/>
      <c r="AA3196" s="1"/>
      <c r="AB3196" s="1"/>
      <c r="AC3196" s="1"/>
      <c r="AD3196" s="1"/>
    </row>
    <row r="3197" spans="17:30">
      <c r="Q3197" s="6">
        <v>3167</v>
      </c>
      <c r="R3197" s="7">
        <v>45834</v>
      </c>
      <c r="S3197" s="210">
        <v>4.5</v>
      </c>
      <c r="T3197" s="8">
        <v>1.0001249999999999</v>
      </c>
      <c r="U3197" s="98">
        <v>4.5030546867559806</v>
      </c>
      <c r="V3197" s="106">
        <v>34647.174461679497</v>
      </c>
      <c r="W3197" s="10">
        <v>1.2129698830919855</v>
      </c>
      <c r="X3197" s="420"/>
      <c r="Y3197" s="420"/>
      <c r="Z3197" s="1"/>
      <c r="AA3197" s="1"/>
      <c r="AB3197" s="1"/>
      <c r="AC3197" s="1"/>
      <c r="AD3197" s="1"/>
    </row>
    <row r="3198" spans="17:30">
      <c r="Q3198" s="6">
        <v>3168</v>
      </c>
      <c r="R3198" s="7">
        <v>45835</v>
      </c>
      <c r="S3198" s="210">
        <v>4.5</v>
      </c>
      <c r="T3198" s="8">
        <v>1.0001249999999999</v>
      </c>
      <c r="U3198" s="98">
        <v>4.5031066754629423</v>
      </c>
      <c r="V3198" s="106">
        <v>34650.154249426356</v>
      </c>
      <c r="W3198" s="10">
        <v>1.2130393838892584</v>
      </c>
      <c r="X3198" s="420"/>
      <c r="Y3198" s="420"/>
      <c r="Z3198" s="1"/>
      <c r="AA3198" s="1"/>
      <c r="AB3198" s="1"/>
      <c r="AC3198" s="1"/>
      <c r="AD3198" s="1"/>
    </row>
    <row r="3199" spans="17:30">
      <c r="Q3199" s="6">
        <v>3169</v>
      </c>
      <c r="R3199" s="7">
        <v>45836</v>
      </c>
      <c r="S3199" s="210">
        <v>4.5</v>
      </c>
      <c r="T3199" s="8">
        <v>1.0001249999999999</v>
      </c>
      <c r="U3199" s="98">
        <v>4.5031586313849514</v>
      </c>
      <c r="V3199" s="106">
        <v>34653.134293446201</v>
      </c>
      <c r="W3199" s="10">
        <v>1.2131088408712909</v>
      </c>
      <c r="X3199" s="420"/>
      <c r="Y3199" s="420"/>
      <c r="Z3199" s="1"/>
      <c r="AA3199" s="1"/>
      <c r="AB3199" s="1"/>
      <c r="AC3199" s="1"/>
      <c r="AD3199" s="1"/>
    </row>
    <row r="3200" spans="17:30">
      <c r="Q3200" s="6">
        <v>3170</v>
      </c>
      <c r="R3200" s="7">
        <v>45837</v>
      </c>
      <c r="S3200" s="210">
        <v>4.5</v>
      </c>
      <c r="T3200" s="8">
        <v>1.0001249999999999</v>
      </c>
      <c r="U3200" s="98">
        <v>4.5032105545530055</v>
      </c>
      <c r="V3200" s="106">
        <v>34656.114593761071</v>
      </c>
      <c r="W3200" s="10">
        <v>1.2131782540794944</v>
      </c>
      <c r="X3200" s="420"/>
      <c r="Y3200" s="420"/>
      <c r="Z3200" s="1"/>
      <c r="AA3200" s="1"/>
      <c r="AB3200" s="1"/>
      <c r="AC3200" s="1"/>
      <c r="AD3200" s="1"/>
    </row>
    <row r="3201" spans="17:30">
      <c r="Q3201" s="6">
        <v>3171</v>
      </c>
      <c r="R3201" s="7">
        <v>45838</v>
      </c>
      <c r="S3201" s="210">
        <v>4.5</v>
      </c>
      <c r="T3201" s="8">
        <v>1.0001249999999999</v>
      </c>
      <c r="U3201" s="98">
        <v>4.5032624449980574</v>
      </c>
      <c r="V3201" s="106">
        <v>34659.095150393019</v>
      </c>
      <c r="W3201" s="10">
        <v>1.2132476235552359</v>
      </c>
      <c r="X3201" s="420"/>
      <c r="Y3201" s="420"/>
      <c r="Z3201" s="1"/>
      <c r="AA3201" s="1"/>
      <c r="AB3201" s="1"/>
      <c r="AC3201" s="1"/>
      <c r="AD3201" s="1"/>
    </row>
    <row r="3202" spans="17:30">
      <c r="Q3202" s="6">
        <v>3172</v>
      </c>
      <c r="R3202" s="7">
        <v>45839</v>
      </c>
      <c r="S3202" s="210">
        <v>4.5</v>
      </c>
      <c r="T3202" s="8">
        <v>1.0001249999999999</v>
      </c>
      <c r="U3202" s="98">
        <v>4.5033143027510381</v>
      </c>
      <c r="V3202" s="106">
        <v>34662.075963364085</v>
      </c>
      <c r="W3202" s="10">
        <v>1.2133169493398599</v>
      </c>
      <c r="X3202" s="420"/>
      <c r="Y3202" s="420"/>
      <c r="Z3202" s="1"/>
      <c r="AA3202" s="1"/>
      <c r="AB3202" s="1"/>
      <c r="AC3202" s="1"/>
      <c r="AD3202" s="1"/>
    </row>
    <row r="3203" spans="17:30">
      <c r="Q3203" s="6">
        <v>3173</v>
      </c>
      <c r="R3203" s="7">
        <v>45840</v>
      </c>
      <c r="S3203" s="210">
        <v>4.5</v>
      </c>
      <c r="T3203" s="8">
        <v>1.0001249999999999</v>
      </c>
      <c r="U3203" s="98">
        <v>4.5033661278428339</v>
      </c>
      <c r="V3203" s="106">
        <v>34665.057032696313</v>
      </c>
      <c r="W3203" s="10">
        <v>1.213386231474578</v>
      </c>
      <c r="X3203" s="420"/>
      <c r="Y3203" s="420"/>
      <c r="Z3203" s="1"/>
      <c r="AA3203" s="1"/>
      <c r="AB3203" s="1"/>
      <c r="AC3203" s="1"/>
      <c r="AD3203" s="1"/>
    </row>
    <row r="3204" spans="17:30">
      <c r="Q3204" s="6">
        <v>3174</v>
      </c>
      <c r="R3204" s="7">
        <v>45841</v>
      </c>
      <c r="S3204" s="210">
        <v>4.5</v>
      </c>
      <c r="T3204" s="8">
        <v>1.0001249999999999</v>
      </c>
      <c r="U3204" s="98">
        <v>4.503417920304309</v>
      </c>
      <c r="V3204" s="106">
        <v>34668.038358411752</v>
      </c>
      <c r="W3204" s="10">
        <v>1.2134554700006683</v>
      </c>
      <c r="X3204" s="420"/>
      <c r="Y3204" s="420"/>
      <c r="Z3204" s="1"/>
      <c r="AA3204" s="1"/>
      <c r="AB3204" s="1"/>
      <c r="AC3204" s="1"/>
      <c r="AD3204" s="1"/>
    </row>
    <row r="3205" spans="17:30">
      <c r="Q3205" s="6">
        <v>3175</v>
      </c>
      <c r="R3205" s="7">
        <v>45842</v>
      </c>
      <c r="S3205" s="210">
        <v>4.5</v>
      </c>
      <c r="T3205" s="8">
        <v>1.0001249999999999</v>
      </c>
      <c r="U3205" s="98">
        <v>4.5034696801662388</v>
      </c>
      <c r="V3205" s="106">
        <v>34671.019940532453</v>
      </c>
      <c r="W3205" s="10">
        <v>1.2135246649592535</v>
      </c>
      <c r="X3205" s="420"/>
      <c r="Y3205" s="420"/>
      <c r="Z3205" s="1"/>
      <c r="AA3205" s="1"/>
      <c r="AB3205" s="1"/>
      <c r="AC3205" s="1"/>
      <c r="AD3205" s="1"/>
    </row>
    <row r="3206" spans="17:30">
      <c r="Q3206" s="6">
        <v>3176</v>
      </c>
      <c r="R3206" s="7">
        <v>45843</v>
      </c>
      <c r="S3206" s="210">
        <v>4.5</v>
      </c>
      <c r="T3206" s="8">
        <v>1.0001249999999999</v>
      </c>
      <c r="U3206" s="98">
        <v>4.503521407459421</v>
      </c>
      <c r="V3206" s="106">
        <v>34674.001779080478</v>
      </c>
      <c r="W3206" s="10">
        <v>1.2135938163914339</v>
      </c>
      <c r="X3206" s="420"/>
      <c r="Y3206" s="420"/>
      <c r="Z3206" s="1"/>
      <c r="AA3206" s="1"/>
      <c r="AB3206" s="1"/>
      <c r="AC3206" s="1"/>
      <c r="AD3206" s="1"/>
    </row>
    <row r="3207" spans="17:30">
      <c r="Q3207" s="6">
        <v>3177</v>
      </c>
      <c r="R3207" s="7">
        <v>45844</v>
      </c>
      <c r="S3207" s="210">
        <v>4.5</v>
      </c>
      <c r="T3207" s="8">
        <v>1.0001249999999999</v>
      </c>
      <c r="U3207" s="98">
        <v>4.5035731022145642</v>
      </c>
      <c r="V3207" s="106">
        <v>34676.98387407785</v>
      </c>
      <c r="W3207" s="10">
        <v>1.2136629243382879</v>
      </c>
      <c r="X3207" s="420"/>
      <c r="Y3207" s="420"/>
      <c r="Z3207" s="1"/>
      <c r="AA3207" s="1"/>
      <c r="AB3207" s="1"/>
      <c r="AC3207" s="1"/>
      <c r="AD3207" s="1"/>
    </row>
    <row r="3208" spans="17:30">
      <c r="Q3208" s="6">
        <v>3178</v>
      </c>
      <c r="R3208" s="7">
        <v>45845</v>
      </c>
      <c r="S3208" s="210">
        <v>4.5</v>
      </c>
      <c r="T3208" s="8">
        <v>1.0001249999999999</v>
      </c>
      <c r="U3208" s="98">
        <v>4.5036247644623773</v>
      </c>
      <c r="V3208" s="106">
        <v>34679.966225546661</v>
      </c>
      <c r="W3208" s="10">
        <v>1.2137319888408049</v>
      </c>
      <c r="X3208" s="420"/>
      <c r="Y3208" s="420"/>
      <c r="Z3208" s="1"/>
      <c r="AA3208" s="1"/>
      <c r="AB3208" s="1"/>
      <c r="AC3208" s="1"/>
      <c r="AD3208" s="1"/>
    </row>
    <row r="3209" spans="17:30">
      <c r="Q3209" s="6">
        <v>3179</v>
      </c>
      <c r="R3209" s="7">
        <v>45846</v>
      </c>
      <c r="S3209" s="210">
        <v>4.5</v>
      </c>
      <c r="T3209" s="8">
        <v>1.0001249999999999</v>
      </c>
      <c r="U3209" s="98">
        <v>4.5036763942335023</v>
      </c>
      <c r="V3209" s="106">
        <v>34682.948833508948</v>
      </c>
      <c r="W3209" s="10">
        <v>1.2138010099399743</v>
      </c>
      <c r="X3209" s="420"/>
      <c r="Y3209" s="420"/>
      <c r="Z3209" s="1"/>
      <c r="AA3209" s="1"/>
      <c r="AB3209" s="1"/>
      <c r="AC3209" s="1"/>
      <c r="AD3209" s="1"/>
    </row>
    <row r="3210" spans="17:30">
      <c r="Q3210" s="6">
        <v>3180</v>
      </c>
      <c r="R3210" s="7">
        <v>45847</v>
      </c>
      <c r="S3210" s="210">
        <v>4.5</v>
      </c>
      <c r="T3210" s="8">
        <v>1.0001249999999999</v>
      </c>
      <c r="U3210" s="98">
        <v>4.5037279915585593</v>
      </c>
      <c r="V3210" s="106">
        <v>34685.931697986773</v>
      </c>
      <c r="W3210" s="10">
        <v>1.2138699876766523</v>
      </c>
      <c r="X3210" s="420"/>
      <c r="Y3210" s="420"/>
      <c r="Z3210" s="1"/>
      <c r="AA3210" s="1"/>
      <c r="AB3210" s="1"/>
      <c r="AC3210" s="1"/>
      <c r="AD3210" s="1"/>
    </row>
    <row r="3211" spans="17:30">
      <c r="Q3211" s="6">
        <v>3181</v>
      </c>
      <c r="R3211" s="7">
        <v>45848</v>
      </c>
      <c r="S3211" s="210">
        <v>4.5</v>
      </c>
      <c r="T3211" s="8">
        <v>1.0001249999999999</v>
      </c>
      <c r="U3211" s="98">
        <v>4.5037795564681238</v>
      </c>
      <c r="V3211" s="106">
        <v>34688.91481900221</v>
      </c>
      <c r="W3211" s="10">
        <v>1.2139389220916952</v>
      </c>
      <c r="X3211" s="420"/>
      <c r="Y3211" s="420"/>
      <c r="Z3211" s="1"/>
      <c r="AA3211" s="1"/>
      <c r="AB3211" s="1"/>
      <c r="AC3211" s="1"/>
      <c r="AD3211" s="1"/>
    </row>
    <row r="3212" spans="17:30">
      <c r="Q3212" s="6">
        <v>3182</v>
      </c>
      <c r="R3212" s="7">
        <v>45849</v>
      </c>
      <c r="S3212" s="210">
        <v>4.5</v>
      </c>
      <c r="T3212" s="8">
        <v>1.0001249999999999</v>
      </c>
      <c r="U3212" s="98">
        <v>4.5038310889927269</v>
      </c>
      <c r="V3212" s="106">
        <v>34691.898196577298</v>
      </c>
      <c r="W3212" s="10">
        <v>1.2140078132259369</v>
      </c>
      <c r="X3212" s="420"/>
      <c r="Y3212" s="420"/>
      <c r="Z3212" s="1"/>
      <c r="AA3212" s="1"/>
      <c r="AB3212" s="1"/>
      <c r="AC3212" s="1"/>
      <c r="AD3212" s="1"/>
    </row>
    <row r="3213" spans="17:30">
      <c r="Q3213" s="6">
        <v>3183</v>
      </c>
      <c r="R3213" s="7">
        <v>45850</v>
      </c>
      <c r="S3213" s="210">
        <v>4.5</v>
      </c>
      <c r="T3213" s="8">
        <v>1.0001249999999999</v>
      </c>
      <c r="U3213" s="98">
        <v>4.5038825891628775</v>
      </c>
      <c r="V3213" s="106">
        <v>34694.881830734113</v>
      </c>
      <c r="W3213" s="10">
        <v>1.2140766611201004</v>
      </c>
      <c r="X3213" s="420"/>
      <c r="Y3213" s="420"/>
      <c r="Z3213" s="1"/>
      <c r="AA3213" s="1"/>
      <c r="AB3213" s="1"/>
      <c r="AC3213" s="1"/>
      <c r="AD3213" s="1"/>
    </row>
    <row r="3214" spans="17:30">
      <c r="Q3214" s="6">
        <v>3184</v>
      </c>
      <c r="R3214" s="7">
        <v>45851</v>
      </c>
      <c r="S3214" s="210">
        <v>4.5</v>
      </c>
      <c r="T3214" s="8">
        <v>1.0001249999999999</v>
      </c>
      <c r="U3214" s="98">
        <v>4.5039340570090181</v>
      </c>
      <c r="V3214" s="106">
        <v>34697.865721494731</v>
      </c>
      <c r="W3214" s="10">
        <v>1.2141454658148865</v>
      </c>
      <c r="X3214" s="420"/>
      <c r="Y3214" s="420"/>
      <c r="Z3214" s="1"/>
      <c r="AA3214" s="1"/>
      <c r="AB3214" s="1"/>
      <c r="AC3214" s="1"/>
      <c r="AD3214" s="1"/>
    </row>
    <row r="3215" spans="17:30">
      <c r="Q3215" s="6">
        <v>3185</v>
      </c>
      <c r="R3215" s="7">
        <v>45852</v>
      </c>
      <c r="S3215" s="210">
        <v>4.5</v>
      </c>
      <c r="T3215" s="8">
        <v>1.0001249999999999</v>
      </c>
      <c r="U3215" s="98">
        <v>4.5039854925615908</v>
      </c>
      <c r="V3215" s="106">
        <v>34700.849868881218</v>
      </c>
      <c r="W3215" s="10">
        <v>1.2142142273509293</v>
      </c>
      <c r="X3215" s="420"/>
      <c r="Y3215" s="420"/>
      <c r="Z3215" s="1"/>
      <c r="AA3215" s="1"/>
      <c r="AB3215" s="1"/>
      <c r="AC3215" s="1"/>
      <c r="AD3215" s="1"/>
    </row>
    <row r="3216" spans="17:30">
      <c r="Q3216" s="6">
        <v>3186</v>
      </c>
      <c r="R3216" s="7">
        <v>45853</v>
      </c>
      <c r="S3216" s="210">
        <v>4.5</v>
      </c>
      <c r="T3216" s="8">
        <v>1.0001249999999999</v>
      </c>
      <c r="U3216" s="98">
        <v>4.5040368958509713</v>
      </c>
      <c r="V3216" s="106">
        <v>34703.834272915636</v>
      </c>
      <c r="W3216" s="10">
        <v>1.2142829457688409</v>
      </c>
      <c r="X3216" s="420"/>
      <c r="Y3216" s="420"/>
      <c r="Z3216" s="1"/>
      <c r="AA3216" s="1"/>
      <c r="AB3216" s="1"/>
      <c r="AC3216" s="1"/>
      <c r="AD3216" s="1"/>
    </row>
    <row r="3217" spans="17:30">
      <c r="Q3217" s="6">
        <v>3187</v>
      </c>
      <c r="R3217" s="7">
        <v>45854</v>
      </c>
      <c r="S3217" s="210">
        <v>4.5</v>
      </c>
      <c r="T3217" s="8">
        <v>1.0001249999999999</v>
      </c>
      <c r="U3217" s="98">
        <v>4.5040882669075133</v>
      </c>
      <c r="V3217" s="106">
        <v>34706.818933620067</v>
      </c>
      <c r="W3217" s="10">
        <v>1.2143516211091665</v>
      </c>
      <c r="X3217" s="420"/>
      <c r="Y3217" s="420"/>
      <c r="Z3217" s="1"/>
      <c r="AA3217" s="1"/>
      <c r="AB3217" s="1"/>
      <c r="AC3217" s="1"/>
      <c r="AD3217" s="1"/>
    </row>
    <row r="3218" spans="17:30">
      <c r="Q3218" s="6">
        <v>3188</v>
      </c>
      <c r="R3218" s="7">
        <v>45855</v>
      </c>
      <c r="S3218" s="210">
        <v>4.5</v>
      </c>
      <c r="T3218" s="8">
        <v>1.0001249999999999</v>
      </c>
      <c r="U3218" s="98">
        <v>4.5041396057615257</v>
      </c>
      <c r="V3218" s="106">
        <v>34709.803851016579</v>
      </c>
      <c r="W3218" s="10">
        <v>1.2144202534124071</v>
      </c>
      <c r="X3218" s="420"/>
      <c r="Y3218" s="420"/>
      <c r="Z3218" s="1"/>
      <c r="AA3218" s="1"/>
      <c r="AB3218" s="1"/>
      <c r="AC3218" s="1"/>
      <c r="AD3218" s="1"/>
    </row>
    <row r="3219" spans="17:30">
      <c r="Q3219" s="6">
        <v>3189</v>
      </c>
      <c r="R3219" s="7">
        <v>45856</v>
      </c>
      <c r="S3219" s="210">
        <v>4.5</v>
      </c>
      <c r="T3219" s="8">
        <v>1.0001249999999999</v>
      </c>
      <c r="U3219" s="98">
        <v>4.5041909124432733</v>
      </c>
      <c r="V3219" s="106">
        <v>34712.78902512724</v>
      </c>
      <c r="W3219" s="10">
        <v>1.214488842718997</v>
      </c>
      <c r="X3219" s="420"/>
      <c r="Y3219" s="420"/>
      <c r="Z3219" s="1"/>
      <c r="AA3219" s="1"/>
      <c r="AB3219" s="1"/>
      <c r="AC3219" s="1"/>
      <c r="AD3219" s="1"/>
    </row>
    <row r="3220" spans="17:30">
      <c r="Q3220" s="6">
        <v>3190</v>
      </c>
      <c r="R3220" s="7">
        <v>45857</v>
      </c>
      <c r="S3220" s="210">
        <v>4.5</v>
      </c>
      <c r="T3220" s="8">
        <v>1.0001249999999999</v>
      </c>
      <c r="U3220" s="98">
        <v>4.5042421869829763</v>
      </c>
      <c r="V3220" s="106">
        <v>34715.774455974155</v>
      </c>
      <c r="W3220" s="10">
        <v>1.214557389069304</v>
      </c>
      <c r="X3220" s="420"/>
      <c r="Y3220" s="420"/>
      <c r="Z3220" s="1"/>
      <c r="AA3220" s="1"/>
      <c r="AB3220" s="1"/>
      <c r="AC3220" s="1"/>
      <c r="AD3220" s="1"/>
    </row>
    <row r="3221" spans="17:30">
      <c r="Q3221" s="6">
        <v>3191</v>
      </c>
      <c r="R3221" s="7">
        <v>45858</v>
      </c>
      <c r="S3221" s="210">
        <v>4.5</v>
      </c>
      <c r="T3221" s="8">
        <v>1.0001249999999999</v>
      </c>
      <c r="U3221" s="98">
        <v>4.5042934294108328</v>
      </c>
      <c r="V3221" s="106">
        <v>34718.760143579384</v>
      </c>
      <c r="W3221" s="10">
        <v>1.2146258925036735</v>
      </c>
      <c r="X3221" s="420"/>
      <c r="Y3221" s="420"/>
      <c r="Z3221" s="1"/>
      <c r="AA3221" s="1"/>
      <c r="AB3221" s="1"/>
      <c r="AC3221" s="1"/>
      <c r="AD3221" s="1"/>
    </row>
    <row r="3222" spans="17:30">
      <c r="Q3222" s="6">
        <v>3192</v>
      </c>
      <c r="R3222" s="7">
        <v>45859</v>
      </c>
      <c r="S3222" s="210">
        <v>4.5</v>
      </c>
      <c r="T3222" s="8">
        <v>1.0001249999999999</v>
      </c>
      <c r="U3222" s="98">
        <v>4.5043446397570186</v>
      </c>
      <c r="V3222" s="106">
        <v>34721.746087965017</v>
      </c>
      <c r="W3222" s="10">
        <v>1.2146943530624288</v>
      </c>
      <c r="X3222" s="420"/>
      <c r="Y3222" s="420"/>
      <c r="Z3222" s="1"/>
      <c r="AA3222" s="1"/>
      <c r="AB3222" s="1"/>
      <c r="AC3222" s="1"/>
      <c r="AD3222" s="1"/>
    </row>
    <row r="3223" spans="17:30">
      <c r="Q3223" s="6">
        <v>3193</v>
      </c>
      <c r="R3223" s="7">
        <v>45860</v>
      </c>
      <c r="S3223" s="210">
        <v>4.5</v>
      </c>
      <c r="T3223" s="8">
        <v>1.0001249999999999</v>
      </c>
      <c r="U3223" s="98">
        <v>4.504395818051643</v>
      </c>
      <c r="V3223" s="106">
        <v>34724.732289153129</v>
      </c>
      <c r="W3223" s="10">
        <v>1.2147627707858044</v>
      </c>
      <c r="X3223" s="420"/>
      <c r="Y3223" s="420"/>
      <c r="Z3223" s="1"/>
      <c r="AA3223" s="1"/>
      <c r="AB3223" s="1"/>
      <c r="AC3223" s="1"/>
      <c r="AD3223" s="1"/>
    </row>
    <row r="3224" spans="17:30">
      <c r="Q3224" s="6">
        <v>3194</v>
      </c>
      <c r="R3224" s="7">
        <v>45861</v>
      </c>
      <c r="S3224" s="210">
        <v>4.5</v>
      </c>
      <c r="T3224" s="8">
        <v>1.0001249999999999</v>
      </c>
      <c r="U3224" s="98">
        <v>4.5044469643247931</v>
      </c>
      <c r="V3224" s="106">
        <v>34727.718747165804</v>
      </c>
      <c r="W3224" s="10">
        <v>1.2148311457139904</v>
      </c>
      <c r="X3224" s="420"/>
      <c r="Y3224" s="420"/>
      <c r="Z3224" s="1"/>
      <c r="AA3224" s="1"/>
      <c r="AB3224" s="1"/>
      <c r="AC3224" s="1"/>
      <c r="AD3224" s="1"/>
    </row>
    <row r="3225" spans="17:30">
      <c r="Q3225" s="6">
        <v>3195</v>
      </c>
      <c r="R3225" s="7">
        <v>45862</v>
      </c>
      <c r="S3225" s="210">
        <v>4.5</v>
      </c>
      <c r="T3225" s="8">
        <v>1.0001249999999999</v>
      </c>
      <c r="U3225" s="98">
        <v>4.5044980786064892</v>
      </c>
      <c r="V3225" s="106">
        <v>34730.705462025158</v>
      </c>
      <c r="W3225" s="10">
        <v>1.2148994778870659</v>
      </c>
      <c r="X3225" s="420"/>
      <c r="Y3225" s="420"/>
      <c r="Z3225" s="1"/>
      <c r="AA3225" s="1"/>
      <c r="AB3225" s="1"/>
      <c r="AC3225" s="1"/>
      <c r="AD3225" s="1"/>
    </row>
    <row r="3226" spans="17:30">
      <c r="Q3226" s="6">
        <v>3196</v>
      </c>
      <c r="R3226" s="7">
        <v>45863</v>
      </c>
      <c r="S3226" s="210">
        <v>4.5</v>
      </c>
      <c r="T3226" s="8">
        <v>1.0001249999999999</v>
      </c>
      <c r="U3226" s="98">
        <v>4.5045491609267518</v>
      </c>
      <c r="V3226" s="106">
        <v>34733.692433753247</v>
      </c>
      <c r="W3226" s="10">
        <v>1.2149677673451986</v>
      </c>
      <c r="X3226" s="420"/>
      <c r="Y3226" s="420"/>
      <c r="Z3226" s="1"/>
      <c r="AA3226" s="1"/>
      <c r="AB3226" s="1"/>
      <c r="AC3226" s="1"/>
      <c r="AD3226" s="1"/>
    </row>
    <row r="3227" spans="17:30">
      <c r="Q3227" s="6">
        <v>3197</v>
      </c>
      <c r="R3227" s="7">
        <v>45864</v>
      </c>
      <c r="S3227" s="210">
        <v>4.5</v>
      </c>
      <c r="T3227" s="8">
        <v>1.0001249999999999</v>
      </c>
      <c r="U3227" s="98">
        <v>4.504600211315557</v>
      </c>
      <c r="V3227" s="106">
        <v>34736.679662372175</v>
      </c>
      <c r="W3227" s="10">
        <v>1.2150360141284011</v>
      </c>
      <c r="X3227" s="420"/>
      <c r="Y3227" s="420"/>
      <c r="Z3227" s="1"/>
      <c r="AA3227" s="1"/>
      <c r="AB3227" s="1"/>
      <c r="AC3227" s="1"/>
      <c r="AD3227" s="1"/>
    </row>
    <row r="3228" spans="17:30">
      <c r="Q3228" s="6">
        <v>3198</v>
      </c>
      <c r="R3228" s="7">
        <v>45865</v>
      </c>
      <c r="S3228" s="210">
        <v>4.5</v>
      </c>
      <c r="T3228" s="8">
        <v>1.0001249999999999</v>
      </c>
      <c r="U3228" s="98">
        <v>4.5046512298028363</v>
      </c>
      <c r="V3228" s="106">
        <v>34739.667147904045</v>
      </c>
      <c r="W3228" s="10">
        <v>1.2151042182766858</v>
      </c>
      <c r="X3228" s="420"/>
      <c r="Y3228" s="420"/>
      <c r="Z3228" s="1"/>
      <c r="AA3228" s="1"/>
      <c r="AB3228" s="1"/>
      <c r="AC3228" s="1"/>
      <c r="AD3228" s="1"/>
    </row>
    <row r="3229" spans="17:30">
      <c r="Q3229" s="6">
        <v>3199</v>
      </c>
      <c r="R3229" s="7">
        <v>45866</v>
      </c>
      <c r="S3229" s="210">
        <v>4.5</v>
      </c>
      <c r="T3229" s="8">
        <v>1.0001249999999999</v>
      </c>
      <c r="U3229" s="98">
        <v>4.5047022164184769</v>
      </c>
      <c r="V3229" s="106">
        <v>34742.654890370934</v>
      </c>
      <c r="W3229" s="10">
        <v>1.2151723798299541</v>
      </c>
      <c r="X3229" s="420"/>
      <c r="Y3229" s="420"/>
      <c r="Z3229" s="1"/>
      <c r="AA3229" s="1"/>
      <c r="AB3229" s="1"/>
      <c r="AC3229" s="1"/>
      <c r="AD3229" s="1"/>
    </row>
    <row r="3230" spans="17:30">
      <c r="Q3230" s="6">
        <v>3200</v>
      </c>
      <c r="R3230" s="7">
        <v>45867</v>
      </c>
      <c r="S3230" s="210">
        <v>4.5</v>
      </c>
      <c r="T3230" s="8">
        <v>1.0001249999999999</v>
      </c>
      <c r="U3230" s="98">
        <v>4.5047531711923217</v>
      </c>
      <c r="V3230" s="106">
        <v>34745.642889794952</v>
      </c>
      <c r="W3230" s="10">
        <v>1.2152404988280852</v>
      </c>
      <c r="X3230" s="420"/>
      <c r="Y3230" s="420"/>
      <c r="Z3230" s="1"/>
      <c r="AA3230" s="1"/>
      <c r="AB3230" s="1"/>
      <c r="AC3230" s="1"/>
      <c r="AD3230" s="1"/>
    </row>
    <row r="3231" spans="17:30">
      <c r="Q3231" s="6">
        <v>3201</v>
      </c>
      <c r="R3231" s="7">
        <v>45868</v>
      </c>
      <c r="S3231" s="210">
        <v>4.5</v>
      </c>
      <c r="T3231" s="8">
        <v>1.0001249999999999</v>
      </c>
      <c r="U3231" s="98">
        <v>4.5048040941542133</v>
      </c>
      <c r="V3231" s="106">
        <v>34748.631146198204</v>
      </c>
      <c r="W3231" s="10">
        <v>1.2153085753109583</v>
      </c>
      <c r="X3231" s="420"/>
      <c r="Y3231" s="420"/>
      <c r="Z3231" s="1"/>
      <c r="AA3231" s="1"/>
      <c r="AB3231" s="1"/>
      <c r="AC3231" s="1"/>
      <c r="AD3231" s="1"/>
    </row>
    <row r="3232" spans="17:30">
      <c r="Q3232" s="6">
        <v>3202</v>
      </c>
      <c r="R3232" s="7">
        <v>45869</v>
      </c>
      <c r="S3232" s="210">
        <v>4.5</v>
      </c>
      <c r="T3232" s="8">
        <v>1.0001249999999999</v>
      </c>
      <c r="U3232" s="98">
        <v>4.5048549853339281</v>
      </c>
      <c r="V3232" s="106">
        <v>34751.619659602773</v>
      </c>
      <c r="W3232" s="10">
        <v>1.2153766093183638</v>
      </c>
      <c r="X3232" s="420"/>
      <c r="Y3232" s="420"/>
      <c r="Z3232" s="1"/>
      <c r="AA3232" s="1"/>
      <c r="AB3232" s="1"/>
      <c r="AC3232" s="1"/>
      <c r="AD3232" s="1"/>
    </row>
    <row r="3233" spans="17:30">
      <c r="Q3233" s="6">
        <v>3203</v>
      </c>
      <c r="R3233" s="7">
        <v>45870</v>
      </c>
      <c r="S3233" s="210">
        <v>4.5</v>
      </c>
      <c r="T3233" s="8">
        <v>1.0001249999999999</v>
      </c>
      <c r="U3233" s="98">
        <v>4.5049058447611978</v>
      </c>
      <c r="V3233" s="106">
        <v>34754.608430030778</v>
      </c>
      <c r="W3233" s="10">
        <v>1.2154446008900255</v>
      </c>
      <c r="X3233" s="420"/>
      <c r="Y3233" s="420"/>
      <c r="Z3233" s="1"/>
      <c r="AA3233" s="1"/>
      <c r="AB3233" s="1"/>
      <c r="AC3233" s="1"/>
      <c r="AD3233" s="1"/>
    </row>
    <row r="3234" spans="17:30">
      <c r="Q3234" s="6">
        <v>3204</v>
      </c>
      <c r="R3234" s="7">
        <v>45871</v>
      </c>
      <c r="S3234" s="210">
        <v>4.5</v>
      </c>
      <c r="T3234" s="8">
        <v>1.0001249999999999</v>
      </c>
      <c r="U3234" s="98">
        <v>4.5049566724657319</v>
      </c>
      <c r="V3234" s="106">
        <v>34757.597457504322</v>
      </c>
      <c r="W3234" s="10">
        <v>1.2155125500656228</v>
      </c>
      <c r="X3234" s="420"/>
      <c r="Y3234" s="420"/>
      <c r="Z3234" s="1"/>
      <c r="AA3234" s="1"/>
      <c r="AB3234" s="1"/>
      <c r="AC3234" s="1"/>
      <c r="AD3234" s="1"/>
    </row>
    <row r="3235" spans="17:30">
      <c r="Q3235" s="6">
        <v>3205</v>
      </c>
      <c r="R3235" s="7">
        <v>45872</v>
      </c>
      <c r="S3235" s="210">
        <v>4.5</v>
      </c>
      <c r="T3235" s="8">
        <v>1.0001249999999999</v>
      </c>
      <c r="U3235" s="98">
        <v>4.5050074684772179</v>
      </c>
      <c r="V3235" s="106">
        <v>34760.586742045496</v>
      </c>
      <c r="W3235" s="10">
        <v>1.215580456884835</v>
      </c>
      <c r="X3235" s="420"/>
      <c r="Y3235" s="420"/>
      <c r="Z3235" s="1"/>
      <c r="AA3235" s="1"/>
      <c r="AB3235" s="1"/>
      <c r="AC3235" s="1"/>
      <c r="AD3235" s="1"/>
    </row>
    <row r="3236" spans="17:30">
      <c r="Q3236" s="6">
        <v>3206</v>
      </c>
      <c r="R3236" s="7">
        <v>45873</v>
      </c>
      <c r="S3236" s="210">
        <v>4.5</v>
      </c>
      <c r="T3236" s="8">
        <v>1.0001249999999999</v>
      </c>
      <c r="U3236" s="98">
        <v>4.5050582328252764</v>
      </c>
      <c r="V3236" s="106">
        <v>34763.576283676433</v>
      </c>
      <c r="W3236" s="10">
        <v>1.2156483213872082</v>
      </c>
      <c r="X3236" s="420"/>
      <c r="Y3236" s="420"/>
      <c r="Z3236" s="1"/>
      <c r="AA3236" s="1"/>
      <c r="AB3236" s="1"/>
      <c r="AC3236" s="1"/>
      <c r="AD3236" s="1"/>
    </row>
    <row r="3237" spans="17:30">
      <c r="Q3237" s="6">
        <v>3207</v>
      </c>
      <c r="R3237" s="7">
        <v>45874</v>
      </c>
      <c r="S3237" s="210">
        <v>4.5</v>
      </c>
      <c r="T3237" s="8">
        <v>1.0001249999999999</v>
      </c>
      <c r="U3237" s="98">
        <v>4.505108965539506</v>
      </c>
      <c r="V3237" s="106">
        <v>34766.566082419224</v>
      </c>
      <c r="W3237" s="10">
        <v>1.215716143612311</v>
      </c>
      <c r="X3237" s="420"/>
      <c r="Y3237" s="420"/>
      <c r="Z3237" s="1"/>
      <c r="AA3237" s="1"/>
      <c r="AB3237" s="1"/>
      <c r="AC3237" s="1"/>
      <c r="AD3237" s="1"/>
    </row>
    <row r="3238" spans="17:30">
      <c r="Q3238" s="6">
        <v>3208</v>
      </c>
      <c r="R3238" s="7">
        <v>45875</v>
      </c>
      <c r="S3238" s="210">
        <v>4.5</v>
      </c>
      <c r="T3238" s="8">
        <v>1.0001249999999999</v>
      </c>
      <c r="U3238" s="98">
        <v>4.5051596666494609</v>
      </c>
      <c r="V3238" s="106">
        <v>34769.556138295993</v>
      </c>
      <c r="W3238" s="10">
        <v>1.2157839235996448</v>
      </c>
      <c r="X3238" s="420"/>
      <c r="Y3238" s="420"/>
      <c r="Z3238" s="1"/>
      <c r="AA3238" s="1"/>
      <c r="AB3238" s="1"/>
      <c r="AC3238" s="1"/>
      <c r="AD3238" s="1"/>
    </row>
    <row r="3239" spans="17:30">
      <c r="Q3239" s="6">
        <v>3209</v>
      </c>
      <c r="R3239" s="7">
        <v>45876</v>
      </c>
      <c r="S3239" s="210">
        <v>4.5</v>
      </c>
      <c r="T3239" s="8">
        <v>1.0001249999999999</v>
      </c>
      <c r="U3239" s="98">
        <v>4.5052103361846729</v>
      </c>
      <c r="V3239" s="106">
        <v>34772.546451328846</v>
      </c>
      <c r="W3239" s="10">
        <v>1.215851661388645</v>
      </c>
      <c r="X3239" s="420"/>
      <c r="Y3239" s="420"/>
      <c r="Z3239" s="1"/>
      <c r="AA3239" s="1"/>
      <c r="AB3239" s="1"/>
      <c r="AC3239" s="1"/>
      <c r="AD3239" s="1"/>
    </row>
    <row r="3240" spans="17:30">
      <c r="Q3240" s="6">
        <v>3210</v>
      </c>
      <c r="R3240" s="7">
        <v>45877</v>
      </c>
      <c r="S3240" s="210">
        <v>4.5</v>
      </c>
      <c r="T3240" s="8">
        <v>1.0001249999999999</v>
      </c>
      <c r="U3240" s="98">
        <v>4.5052609741746297</v>
      </c>
      <c r="V3240" s="106">
        <v>34775.537021539909</v>
      </c>
      <c r="W3240" s="10">
        <v>1.2159193570187021</v>
      </c>
      <c r="X3240" s="420"/>
      <c r="Y3240" s="420"/>
      <c r="Z3240" s="1"/>
      <c r="AA3240" s="1"/>
      <c r="AB3240" s="1"/>
      <c r="AC3240" s="1"/>
      <c r="AD3240" s="1"/>
    </row>
    <row r="3241" spans="17:30">
      <c r="Q3241" s="6">
        <v>3211</v>
      </c>
      <c r="R3241" s="7">
        <v>45878</v>
      </c>
      <c r="S3241" s="210">
        <v>4.5</v>
      </c>
      <c r="T3241" s="8">
        <v>1.0001249999999999</v>
      </c>
      <c r="U3241" s="98">
        <v>4.5053115806487742</v>
      </c>
      <c r="V3241" s="106">
        <v>34778.5278489513</v>
      </c>
      <c r="W3241" s="10">
        <v>1.2159870105291626</v>
      </c>
      <c r="X3241" s="420"/>
      <c r="Y3241" s="420"/>
      <c r="Z3241" s="1"/>
      <c r="AA3241" s="1"/>
      <c r="AB3241" s="1"/>
      <c r="AC3241" s="1"/>
      <c r="AD3241" s="1"/>
    </row>
    <row r="3242" spans="17:30">
      <c r="Q3242" s="6">
        <v>3212</v>
      </c>
      <c r="R3242" s="7">
        <v>45879</v>
      </c>
      <c r="S3242" s="210">
        <v>4.5</v>
      </c>
      <c r="T3242" s="8">
        <v>1.0001249999999999</v>
      </c>
      <c r="U3242" s="98">
        <v>4.5053621556365275</v>
      </c>
      <c r="V3242" s="106">
        <v>34781.518933585117</v>
      </c>
      <c r="W3242" s="10">
        <v>1.2160546219593282</v>
      </c>
      <c r="X3242" s="420"/>
      <c r="Y3242" s="420"/>
      <c r="Z3242" s="1"/>
      <c r="AA3242" s="1"/>
      <c r="AB3242" s="1"/>
      <c r="AC3242" s="1"/>
      <c r="AD3242" s="1"/>
    </row>
    <row r="3243" spans="17:30">
      <c r="Q3243" s="6">
        <v>3213</v>
      </c>
      <c r="R3243" s="7">
        <v>45880</v>
      </c>
      <c r="S3243" s="210">
        <v>4.5</v>
      </c>
      <c r="T3243" s="8">
        <v>1.0001249999999999</v>
      </c>
      <c r="U3243" s="98">
        <v>4.5054126991672661</v>
      </c>
      <c r="V3243" s="106">
        <v>34784.510275463515</v>
      </c>
      <c r="W3243" s="10">
        <v>1.2161221913484566</v>
      </c>
      <c r="X3243" s="420"/>
      <c r="Y3243" s="420"/>
      <c r="Z3243" s="1"/>
      <c r="AA3243" s="1"/>
      <c r="AB3243" s="1"/>
      <c r="AC3243" s="1"/>
      <c r="AD3243" s="1"/>
    </row>
    <row r="3244" spans="17:30">
      <c r="Q3244" s="6">
        <v>3214</v>
      </c>
      <c r="R3244" s="7">
        <v>45881</v>
      </c>
      <c r="S3244" s="210">
        <v>4.5</v>
      </c>
      <c r="T3244" s="8">
        <v>1.0001249999999999</v>
      </c>
      <c r="U3244" s="98">
        <v>4.5054632112703219</v>
      </c>
      <c r="V3244" s="106">
        <v>34787.501874608599</v>
      </c>
      <c r="W3244" s="10">
        <v>1.2161897187357384</v>
      </c>
      <c r="X3244" s="420"/>
      <c r="Y3244" s="420"/>
      <c r="Z3244" s="1"/>
      <c r="AA3244" s="1"/>
      <c r="AB3244" s="1"/>
      <c r="AC3244" s="1"/>
      <c r="AD3244" s="1"/>
    </row>
    <row r="3245" spans="17:30">
      <c r="Q3245" s="6">
        <v>3215</v>
      </c>
      <c r="R3245" s="7">
        <v>45882</v>
      </c>
      <c r="S3245" s="210">
        <v>4.5</v>
      </c>
      <c r="T3245" s="8">
        <v>1.0001249999999999</v>
      </c>
      <c r="U3245" s="98">
        <v>4.5055136919749827</v>
      </c>
      <c r="V3245" s="106">
        <v>34790.493731042494</v>
      </c>
      <c r="W3245" s="10">
        <v>1.2162572041603203</v>
      </c>
      <c r="X3245" s="420"/>
      <c r="Y3245" s="420"/>
      <c r="Z3245" s="1"/>
      <c r="AA3245" s="1"/>
      <c r="AB3245" s="1"/>
      <c r="AC3245" s="1"/>
      <c r="AD3245" s="1"/>
    </row>
    <row r="3246" spans="17:30">
      <c r="Q3246" s="6">
        <v>3216</v>
      </c>
      <c r="R3246" s="7">
        <v>45883</v>
      </c>
      <c r="S3246" s="210">
        <v>4.5</v>
      </c>
      <c r="T3246" s="8">
        <v>1.0001249999999999</v>
      </c>
      <c r="U3246" s="98">
        <v>4.5055641413105363</v>
      </c>
      <c r="V3246" s="106">
        <v>34793.485844787341</v>
      </c>
      <c r="W3246" s="10">
        <v>1.2163246476613043</v>
      </c>
      <c r="X3246" s="420"/>
      <c r="Y3246" s="420"/>
      <c r="Z3246" s="1"/>
      <c r="AA3246" s="1"/>
      <c r="AB3246" s="1"/>
      <c r="AC3246" s="1"/>
      <c r="AD3246" s="1"/>
    </row>
    <row r="3247" spans="17:30">
      <c r="Q3247" s="6">
        <v>3217</v>
      </c>
      <c r="R3247" s="7">
        <v>45884</v>
      </c>
      <c r="S3247" s="210">
        <v>4.5</v>
      </c>
      <c r="T3247" s="8">
        <v>1.0001249999999999</v>
      </c>
      <c r="U3247" s="98">
        <v>4.5056145593062036</v>
      </c>
      <c r="V3247" s="106">
        <v>34796.478215865252</v>
      </c>
      <c r="W3247" s="10">
        <v>1.2163920492777258</v>
      </c>
      <c r="X3247" s="420"/>
      <c r="Y3247" s="420"/>
      <c r="Z3247" s="1"/>
      <c r="AA3247" s="1"/>
      <c r="AB3247" s="1"/>
      <c r="AC3247" s="1"/>
      <c r="AD3247" s="1"/>
    </row>
    <row r="3248" spans="17:30">
      <c r="Q3248" s="6">
        <v>3218</v>
      </c>
      <c r="R3248" s="7">
        <v>45885</v>
      </c>
      <c r="S3248" s="210">
        <v>4.5</v>
      </c>
      <c r="T3248" s="8">
        <v>1.0001249999999999</v>
      </c>
      <c r="U3248" s="98">
        <v>4.5056649459911835</v>
      </c>
      <c r="V3248" s="106">
        <v>34799.470844298368</v>
      </c>
      <c r="W3248" s="10">
        <v>1.2164594090486425</v>
      </c>
      <c r="X3248" s="420"/>
      <c r="Y3248" s="420"/>
      <c r="Z3248" s="1"/>
      <c r="AA3248" s="1"/>
      <c r="AB3248" s="1"/>
      <c r="AC3248" s="1"/>
      <c r="AD3248" s="1"/>
    </row>
    <row r="3249" spans="17:30">
      <c r="Q3249" s="6">
        <v>3219</v>
      </c>
      <c r="R3249" s="7">
        <v>45886</v>
      </c>
      <c r="S3249" s="210">
        <v>4.5</v>
      </c>
      <c r="T3249" s="8">
        <v>1.0001249999999999</v>
      </c>
      <c r="U3249" s="98">
        <v>4.5057153013946527</v>
      </c>
      <c r="V3249" s="106">
        <v>34802.46373010883</v>
      </c>
      <c r="W3249" s="10">
        <v>1.2165267270129787</v>
      </c>
      <c r="X3249" s="420"/>
      <c r="Y3249" s="420"/>
      <c r="Z3249" s="1"/>
      <c r="AA3249" s="1"/>
      <c r="AB3249" s="1"/>
      <c r="AC3249" s="1"/>
      <c r="AD3249" s="1"/>
    </row>
    <row r="3250" spans="17:30">
      <c r="Q3250" s="6">
        <v>3220</v>
      </c>
      <c r="R3250" s="7">
        <v>45887</v>
      </c>
      <c r="S3250" s="210">
        <v>4.5</v>
      </c>
      <c r="T3250" s="8">
        <v>1.0001249999999999</v>
      </c>
      <c r="U3250" s="98">
        <v>4.505765625545699</v>
      </c>
      <c r="V3250" s="106">
        <v>34805.456873318755</v>
      </c>
      <c r="W3250" s="10">
        <v>1.2165940032096367</v>
      </c>
      <c r="X3250" s="420"/>
      <c r="Y3250" s="420"/>
      <c r="Z3250" s="1"/>
      <c r="AA3250" s="1"/>
      <c r="AB3250" s="1"/>
      <c r="AC3250" s="1"/>
      <c r="AD3250" s="1"/>
    </row>
    <row r="3251" spans="17:30">
      <c r="Q3251" s="6">
        <v>3221</v>
      </c>
      <c r="R3251" s="7">
        <v>45888</v>
      </c>
      <c r="S3251" s="210">
        <v>4.5</v>
      </c>
      <c r="T3251" s="8">
        <v>1.0001249999999999</v>
      </c>
      <c r="U3251" s="98">
        <v>4.5058159184734325</v>
      </c>
      <c r="V3251" s="106">
        <v>34808.450273950293</v>
      </c>
      <c r="W3251" s="10">
        <v>1.2166612376774966</v>
      </c>
      <c r="X3251" s="420"/>
      <c r="Y3251" s="420"/>
      <c r="Z3251" s="1"/>
      <c r="AA3251" s="1"/>
      <c r="AB3251" s="1"/>
      <c r="AC3251" s="1"/>
      <c r="AD3251" s="1"/>
    </row>
    <row r="3252" spans="17:30">
      <c r="Q3252" s="6">
        <v>3222</v>
      </c>
      <c r="R3252" s="7">
        <v>45889</v>
      </c>
      <c r="S3252" s="210">
        <v>4.5</v>
      </c>
      <c r="T3252" s="8">
        <v>1.0001249999999999</v>
      </c>
      <c r="U3252" s="98">
        <v>4.5058661802068967</v>
      </c>
      <c r="V3252" s="106">
        <v>34811.443932025591</v>
      </c>
      <c r="W3252" s="10">
        <v>1.2167284304553494</v>
      </c>
      <c r="X3252" s="420"/>
      <c r="Y3252" s="420"/>
      <c r="Z3252" s="1"/>
      <c r="AA3252" s="1"/>
      <c r="AB3252" s="1"/>
      <c r="AC3252" s="1"/>
      <c r="AD3252" s="1"/>
    </row>
    <row r="3253" spans="17:30">
      <c r="Q3253" s="6">
        <v>3223</v>
      </c>
      <c r="R3253" s="7">
        <v>45890</v>
      </c>
      <c r="S3253" s="210">
        <v>4.5</v>
      </c>
      <c r="T3253" s="8">
        <v>1.0001249999999999</v>
      </c>
      <c r="U3253" s="98">
        <v>4.5059164107750904</v>
      </c>
      <c r="V3253" s="106">
        <v>34814.437847566769</v>
      </c>
      <c r="W3253" s="10">
        <v>1.2167955815819642</v>
      </c>
      <c r="X3253" s="420"/>
      <c r="Y3253" s="420"/>
      <c r="Z3253" s="1"/>
      <c r="AA3253" s="1"/>
      <c r="AB3253" s="1"/>
      <c r="AC3253" s="1"/>
      <c r="AD3253" s="1"/>
    </row>
    <row r="3254" spans="17:30">
      <c r="Q3254" s="6">
        <v>3224</v>
      </c>
      <c r="R3254" s="7">
        <v>45891</v>
      </c>
      <c r="S3254" s="210">
        <v>4.5</v>
      </c>
      <c r="T3254" s="8">
        <v>1.0001249999999999</v>
      </c>
      <c r="U3254" s="98">
        <v>4.5059666102070128</v>
      </c>
      <c r="V3254" s="106">
        <v>34817.432020595988</v>
      </c>
      <c r="W3254" s="10">
        <v>1.2168626910960656</v>
      </c>
      <c r="X3254" s="420"/>
      <c r="Y3254" s="420"/>
      <c r="Z3254" s="1"/>
      <c r="AA3254" s="1"/>
      <c r="AB3254" s="1"/>
      <c r="AC3254" s="1"/>
      <c r="AD3254" s="1"/>
    </row>
    <row r="3255" spans="17:30">
      <c r="Q3255" s="6">
        <v>3225</v>
      </c>
      <c r="R3255" s="7">
        <v>45892</v>
      </c>
      <c r="S3255" s="210">
        <v>4.5</v>
      </c>
      <c r="T3255" s="8">
        <v>1.0001249999999999</v>
      </c>
      <c r="U3255" s="98">
        <v>4.5060167785315963</v>
      </c>
      <c r="V3255" s="106">
        <v>34820.426451135383</v>
      </c>
      <c r="W3255" s="10">
        <v>1.2169297590363337</v>
      </c>
      <c r="X3255" s="420"/>
      <c r="Y3255" s="420"/>
      <c r="Z3255" s="1"/>
      <c r="AA3255" s="1"/>
      <c r="AB3255" s="1"/>
      <c r="AC3255" s="1"/>
      <c r="AD3255" s="1"/>
    </row>
    <row r="3256" spans="17:30">
      <c r="Q3256" s="6">
        <v>3226</v>
      </c>
      <c r="R3256" s="7">
        <v>45893</v>
      </c>
      <c r="S3256" s="210">
        <v>4.5</v>
      </c>
      <c r="T3256" s="8">
        <v>1.0001249999999999</v>
      </c>
      <c r="U3256" s="98">
        <v>4.5060669157777511</v>
      </c>
      <c r="V3256" s="106">
        <v>34823.421139207108</v>
      </c>
      <c r="W3256" s="10">
        <v>1.2169967854413599</v>
      </c>
      <c r="X3256" s="420"/>
      <c r="Y3256" s="420"/>
      <c r="Z3256" s="1"/>
      <c r="AA3256" s="1"/>
      <c r="AB3256" s="1"/>
      <c r="AC3256" s="1"/>
      <c r="AD3256" s="1"/>
    </row>
    <row r="3257" spans="17:30">
      <c r="Q3257" s="6">
        <v>3227</v>
      </c>
      <c r="R3257" s="7">
        <v>45894</v>
      </c>
      <c r="S3257" s="210">
        <v>4.5</v>
      </c>
      <c r="T3257" s="8">
        <v>1.0001249999999999</v>
      </c>
      <c r="U3257" s="98">
        <v>4.5061170219743207</v>
      </c>
      <c r="V3257" s="106">
        <v>34826.416084833305</v>
      </c>
      <c r="W3257" s="10">
        <v>1.2170637703497356</v>
      </c>
      <c r="X3257" s="420"/>
      <c r="Y3257" s="420"/>
      <c r="Z3257" s="1"/>
      <c r="AA3257" s="1"/>
      <c r="AB3257" s="1"/>
      <c r="AC3257" s="1"/>
      <c r="AD3257" s="1"/>
    </row>
    <row r="3258" spans="17:30">
      <c r="Q3258" s="6">
        <v>3228</v>
      </c>
      <c r="R3258" s="7">
        <v>45895</v>
      </c>
      <c r="S3258" s="210">
        <v>4.5</v>
      </c>
      <c r="T3258" s="8">
        <v>1.0001249999999999</v>
      </c>
      <c r="U3258" s="98">
        <v>4.5061670971501711</v>
      </c>
      <c r="V3258" s="106">
        <v>34829.411288036128</v>
      </c>
      <c r="W3258" s="10">
        <v>1.2171307137999632</v>
      </c>
      <c r="X3258" s="420"/>
      <c r="Y3258" s="420"/>
      <c r="Z3258" s="1"/>
      <c r="AA3258" s="1"/>
      <c r="AB3258" s="1"/>
      <c r="AC3258" s="1"/>
      <c r="AD3258" s="1"/>
    </row>
    <row r="3259" spans="17:30">
      <c r="Q3259" s="6">
        <v>3229</v>
      </c>
      <c r="R3259" s="7">
        <v>45896</v>
      </c>
      <c r="S3259" s="210">
        <v>4.5</v>
      </c>
      <c r="T3259" s="8">
        <v>1.0001249999999999</v>
      </c>
      <c r="U3259" s="98">
        <v>4.506217141334079</v>
      </c>
      <c r="V3259" s="106">
        <v>34832.406748837733</v>
      </c>
      <c r="W3259" s="10">
        <v>1.2171976158305231</v>
      </c>
      <c r="X3259" s="420"/>
      <c r="Y3259" s="420"/>
      <c r="Z3259" s="1"/>
      <c r="AA3259" s="1"/>
      <c r="AB3259" s="1"/>
      <c r="AC3259" s="1"/>
      <c r="AD3259" s="1"/>
    </row>
    <row r="3260" spans="17:30">
      <c r="Q3260" s="6">
        <v>3230</v>
      </c>
      <c r="R3260" s="7">
        <v>45897</v>
      </c>
      <c r="S3260" s="210">
        <v>4.5</v>
      </c>
      <c r="T3260" s="8">
        <v>1.0001249999999999</v>
      </c>
      <c r="U3260" s="98">
        <v>4.5062671545548216</v>
      </c>
      <c r="V3260" s="106">
        <v>34835.402467260261</v>
      </c>
      <c r="W3260" s="10">
        <v>1.2172644764798735</v>
      </c>
      <c r="X3260" s="420"/>
      <c r="Y3260" s="420"/>
      <c r="Z3260" s="1"/>
      <c r="AA3260" s="1"/>
      <c r="AB3260" s="1"/>
      <c r="AC3260" s="1"/>
      <c r="AD3260" s="1"/>
    </row>
    <row r="3261" spans="17:30">
      <c r="Q3261" s="6">
        <v>3231</v>
      </c>
      <c r="R3261" s="7">
        <v>45898</v>
      </c>
      <c r="S3261" s="210">
        <v>4.5</v>
      </c>
      <c r="T3261" s="8">
        <v>1.0001249999999999</v>
      </c>
      <c r="U3261" s="98">
        <v>4.5063171368411314</v>
      </c>
      <c r="V3261" s="106">
        <v>34838.398443325881</v>
      </c>
      <c r="W3261" s="10">
        <v>1.2173312957863835</v>
      </c>
      <c r="X3261" s="420"/>
      <c r="Y3261" s="420"/>
      <c r="Z3261" s="1"/>
      <c r="AA3261" s="1"/>
      <c r="AB3261" s="1"/>
      <c r="AC3261" s="1"/>
      <c r="AD3261" s="1"/>
    </row>
    <row r="3262" spans="17:30">
      <c r="Q3262" s="6">
        <v>3232</v>
      </c>
      <c r="R3262" s="7">
        <v>45899</v>
      </c>
      <c r="S3262" s="210">
        <v>4.5</v>
      </c>
      <c r="T3262" s="8">
        <v>1.0001249999999999</v>
      </c>
      <c r="U3262" s="98">
        <v>4.5063670882216966</v>
      </c>
      <c r="V3262" s="106">
        <v>34841.394677056749</v>
      </c>
      <c r="W3262" s="10">
        <v>1.2173980737884005</v>
      </c>
      <c r="X3262" s="420"/>
      <c r="Y3262" s="420"/>
      <c r="Z3262" s="1"/>
      <c r="AA3262" s="1"/>
      <c r="AB3262" s="1"/>
      <c r="AC3262" s="1"/>
      <c r="AD3262" s="1"/>
    </row>
    <row r="3263" spans="17:30">
      <c r="Q3263" s="6">
        <v>3233</v>
      </c>
      <c r="R3263" s="7">
        <v>45900</v>
      </c>
      <c r="S3263" s="210">
        <v>4.5</v>
      </c>
      <c r="T3263" s="8">
        <v>1.0001249999999999</v>
      </c>
      <c r="U3263" s="98">
        <v>4.5064170087251609</v>
      </c>
      <c r="V3263" s="106">
        <v>34844.391168475027</v>
      </c>
      <c r="W3263" s="10">
        <v>1.2174648105241825</v>
      </c>
      <c r="X3263" s="420"/>
      <c r="Y3263" s="420"/>
      <c r="Z3263" s="1"/>
      <c r="AA3263" s="1"/>
      <c r="AB3263" s="1"/>
      <c r="AC3263" s="1"/>
      <c r="AD3263" s="1"/>
    </row>
    <row r="3264" spans="17:30">
      <c r="Q3264" s="6">
        <v>3234</v>
      </c>
      <c r="R3264" s="7">
        <v>45901</v>
      </c>
      <c r="S3264" s="210">
        <v>4.5</v>
      </c>
      <c r="T3264" s="8">
        <v>1.0001249999999999</v>
      </c>
      <c r="U3264" s="98">
        <v>4.5064668983801459</v>
      </c>
      <c r="V3264" s="106">
        <v>34847.387917602871</v>
      </c>
      <c r="W3264" s="10">
        <v>1.2175315060319658</v>
      </c>
      <c r="X3264" s="420"/>
      <c r="Y3264" s="420"/>
      <c r="Z3264" s="1"/>
      <c r="AA3264" s="1"/>
      <c r="AB3264" s="1"/>
      <c r="AC3264" s="1"/>
      <c r="AD3264" s="1"/>
    </row>
    <row r="3265" spans="17:30">
      <c r="Q3265" s="6">
        <v>3235</v>
      </c>
      <c r="R3265" s="7">
        <v>45902</v>
      </c>
      <c r="S3265" s="210">
        <v>4.5</v>
      </c>
      <c r="T3265" s="8">
        <v>1.0001249999999999</v>
      </c>
      <c r="U3265" s="98">
        <v>4.5065167572152509</v>
      </c>
      <c r="V3265" s="106">
        <v>34850.384924462451</v>
      </c>
      <c r="W3265" s="10">
        <v>1.2175981603499642</v>
      </c>
      <c r="X3265" s="420"/>
      <c r="Y3265" s="420"/>
      <c r="Z3265" s="1"/>
      <c r="AA3265" s="1"/>
      <c r="AB3265" s="1"/>
      <c r="AC3265" s="1"/>
      <c r="AD3265" s="1"/>
    </row>
    <row r="3266" spans="17:30">
      <c r="Q3266" s="6">
        <v>3236</v>
      </c>
      <c r="R3266" s="7">
        <v>45903</v>
      </c>
      <c r="S3266" s="210">
        <v>4.5</v>
      </c>
      <c r="T3266" s="8">
        <v>1.0001249999999999</v>
      </c>
      <c r="U3266" s="98">
        <v>4.5065665852590309</v>
      </c>
      <c r="V3266" s="106">
        <v>34853.382189075928</v>
      </c>
      <c r="W3266" s="10">
        <v>1.2176647735163248</v>
      </c>
      <c r="X3266" s="420"/>
      <c r="Y3266" s="420"/>
      <c r="Z3266" s="1"/>
      <c r="AA3266" s="1"/>
      <c r="AB3266" s="1"/>
      <c r="AC3266" s="1"/>
      <c r="AD3266" s="1"/>
    </row>
    <row r="3267" spans="17:30">
      <c r="Q3267" s="6">
        <v>3237</v>
      </c>
      <c r="R3267" s="7">
        <v>45904</v>
      </c>
      <c r="S3267" s="210">
        <v>4.5</v>
      </c>
      <c r="T3267" s="8">
        <v>1.0001249999999999</v>
      </c>
      <c r="U3267" s="98">
        <v>4.5066163825399741</v>
      </c>
      <c r="V3267" s="106">
        <v>34856.379711465474</v>
      </c>
      <c r="W3267" s="10">
        <v>1.2177313455691285</v>
      </c>
      <c r="X3267" s="420"/>
      <c r="Y3267" s="420"/>
      <c r="Z3267" s="1"/>
      <c r="AA3267" s="1"/>
      <c r="AB3267" s="1"/>
      <c r="AC3267" s="1"/>
      <c r="AD3267" s="1"/>
    </row>
    <row r="3268" spans="17:30">
      <c r="Q3268" s="6">
        <v>3238</v>
      </c>
      <c r="R3268" s="7">
        <v>45905</v>
      </c>
      <c r="S3268" s="210">
        <v>4.5</v>
      </c>
      <c r="T3268" s="8">
        <v>1.0001249999999999</v>
      </c>
      <c r="U3268" s="98">
        <v>4.5066661490865689</v>
      </c>
      <c r="V3268" s="106">
        <v>34859.377491653264</v>
      </c>
      <c r="W3268" s="10">
        <v>1.2177978765464115</v>
      </c>
      <c r="X3268" s="420"/>
      <c r="Y3268" s="420"/>
      <c r="Z3268" s="1"/>
      <c r="AA3268" s="1"/>
      <c r="AB3268" s="1"/>
      <c r="AC3268" s="1"/>
      <c r="AD3268" s="1"/>
    </row>
    <row r="3269" spans="17:30">
      <c r="Q3269" s="6">
        <v>3239</v>
      </c>
      <c r="R3269" s="7">
        <v>45906</v>
      </c>
      <c r="S3269" s="210">
        <v>4.5</v>
      </c>
      <c r="T3269" s="8">
        <v>1.0001249999999999</v>
      </c>
      <c r="U3269" s="98">
        <v>4.5067158849272815</v>
      </c>
      <c r="V3269" s="106">
        <v>34862.375529661454</v>
      </c>
      <c r="W3269" s="10">
        <v>1.2178643664862543</v>
      </c>
      <c r="X3269" s="420"/>
      <c r="Y3269" s="420"/>
      <c r="Z3269" s="1"/>
      <c r="AA3269" s="1"/>
      <c r="AB3269" s="1"/>
      <c r="AC3269" s="1"/>
      <c r="AD3269" s="1"/>
    </row>
    <row r="3270" spans="17:30">
      <c r="Q3270" s="6">
        <v>3240</v>
      </c>
      <c r="R3270" s="7">
        <v>45907</v>
      </c>
      <c r="S3270" s="210">
        <v>4.5</v>
      </c>
      <c r="T3270" s="8">
        <v>1.0001249999999999</v>
      </c>
      <c r="U3270" s="98">
        <v>4.506765590090489</v>
      </c>
      <c r="V3270" s="106">
        <v>34865.373825512223</v>
      </c>
      <c r="W3270" s="10">
        <v>1.2179308154265156</v>
      </c>
      <c r="X3270" s="420"/>
      <c r="Y3270" s="420"/>
      <c r="Z3270" s="1"/>
      <c r="AA3270" s="1"/>
      <c r="AB3270" s="1"/>
      <c r="AC3270" s="1"/>
      <c r="AD3270" s="1"/>
    </row>
    <row r="3271" spans="17:30">
      <c r="Q3271" s="6">
        <v>3241</v>
      </c>
      <c r="R3271" s="7">
        <v>45908</v>
      </c>
      <c r="S3271" s="210">
        <v>4.5</v>
      </c>
      <c r="T3271" s="8">
        <v>1.0001249999999999</v>
      </c>
      <c r="U3271" s="98">
        <v>4.5068152646045911</v>
      </c>
      <c r="V3271" s="106">
        <v>34868.372379227752</v>
      </c>
      <c r="W3271" s="10">
        <v>1.217997223405165</v>
      </c>
      <c r="X3271" s="420"/>
      <c r="Y3271" s="420"/>
      <c r="Z3271" s="1"/>
      <c r="AA3271" s="1"/>
      <c r="AB3271" s="1"/>
      <c r="AC3271" s="1"/>
      <c r="AD3271" s="1"/>
    </row>
    <row r="3272" spans="17:30">
      <c r="Q3272" s="6">
        <v>3242</v>
      </c>
      <c r="R3272" s="7">
        <v>45909</v>
      </c>
      <c r="S3272" s="210">
        <v>4.5</v>
      </c>
      <c r="T3272" s="8">
        <v>1.0001249999999999</v>
      </c>
      <c r="U3272" s="98">
        <v>4.5068649084979207</v>
      </c>
      <c r="V3272" s="106">
        <v>34871.371190830214</v>
      </c>
      <c r="W3272" s="10">
        <v>1.2180635904600612</v>
      </c>
      <c r="X3272" s="420"/>
      <c r="Y3272" s="420"/>
      <c r="Z3272" s="1"/>
      <c r="AA3272" s="1"/>
      <c r="AB3272" s="1"/>
      <c r="AC3272" s="1"/>
      <c r="AD3272" s="1"/>
    </row>
    <row r="3273" spans="17:30">
      <c r="Q3273" s="6">
        <v>3243</v>
      </c>
      <c r="R3273" s="7">
        <v>45910</v>
      </c>
      <c r="S3273" s="210">
        <v>4.5</v>
      </c>
      <c r="T3273" s="8">
        <v>1.0001249999999999</v>
      </c>
      <c r="U3273" s="98">
        <v>4.5069145217987883</v>
      </c>
      <c r="V3273" s="106">
        <v>34874.370260341799</v>
      </c>
      <c r="W3273" s="10">
        <v>1.2181299166290183</v>
      </c>
      <c r="X3273" s="420"/>
      <c r="Y3273" s="420"/>
      <c r="Z3273" s="1"/>
      <c r="AA3273" s="1"/>
      <c r="AB3273" s="1"/>
      <c r="AC3273" s="1"/>
      <c r="AD3273" s="1"/>
    </row>
    <row r="3274" spans="17:30">
      <c r="Q3274" s="6">
        <v>3244</v>
      </c>
      <c r="R3274" s="7">
        <v>45911</v>
      </c>
      <c r="S3274" s="210">
        <v>4.5</v>
      </c>
      <c r="T3274" s="8">
        <v>1.0001249999999999</v>
      </c>
      <c r="U3274" s="98">
        <v>4.5069641045354381</v>
      </c>
      <c r="V3274" s="106">
        <v>34877.369587784669</v>
      </c>
      <c r="W3274" s="10">
        <v>1.2181962019497838</v>
      </c>
      <c r="X3274" s="420"/>
      <c r="Y3274" s="420"/>
      <c r="Z3274" s="1"/>
      <c r="AA3274" s="1"/>
      <c r="AB3274" s="1"/>
      <c r="AC3274" s="1"/>
      <c r="AD3274" s="1"/>
    </row>
    <row r="3275" spans="17:30">
      <c r="Q3275" s="6">
        <v>3245</v>
      </c>
      <c r="R3275" s="7">
        <v>45912</v>
      </c>
      <c r="S3275" s="210">
        <v>4.5</v>
      </c>
      <c r="T3275" s="8">
        <v>1.0001249999999999</v>
      </c>
      <c r="U3275" s="98">
        <v>4.5070136567361363</v>
      </c>
      <c r="V3275" s="106">
        <v>34880.369173181025</v>
      </c>
      <c r="W3275" s="10">
        <v>1.2182624464601055</v>
      </c>
      <c r="X3275" s="420"/>
      <c r="Y3275" s="420"/>
      <c r="Z3275" s="1"/>
      <c r="AA3275" s="1"/>
      <c r="AB3275" s="1"/>
      <c r="AC3275" s="1"/>
      <c r="AD3275" s="1"/>
    </row>
    <row r="3276" spans="17:30">
      <c r="Q3276" s="6">
        <v>3246</v>
      </c>
      <c r="R3276" s="7">
        <v>45913</v>
      </c>
      <c r="S3276" s="210">
        <v>4.5</v>
      </c>
      <c r="T3276" s="8">
        <v>1.0001249999999999</v>
      </c>
      <c r="U3276" s="98">
        <v>4.5070631784290605</v>
      </c>
      <c r="V3276" s="106">
        <v>34883.369016553035</v>
      </c>
      <c r="W3276" s="10">
        <v>1.218328650197642</v>
      </c>
      <c r="X3276" s="420"/>
      <c r="Y3276" s="420"/>
      <c r="Z3276" s="1"/>
      <c r="AA3276" s="1"/>
      <c r="AB3276" s="1"/>
      <c r="AC3276" s="1"/>
      <c r="AD3276" s="1"/>
    </row>
    <row r="3277" spans="17:30">
      <c r="Q3277" s="6">
        <v>3247</v>
      </c>
      <c r="R3277" s="7">
        <v>45914</v>
      </c>
      <c r="S3277" s="210">
        <v>4.5</v>
      </c>
      <c r="T3277" s="8">
        <v>1.0001249999999999</v>
      </c>
      <c r="U3277" s="98">
        <v>4.507112669642388</v>
      </c>
      <c r="V3277" s="106">
        <v>34886.369117922906</v>
      </c>
      <c r="W3277" s="10">
        <v>1.2183948132000522</v>
      </c>
      <c r="X3277" s="420"/>
      <c r="Y3277" s="420"/>
      <c r="Z3277" s="1"/>
      <c r="AA3277" s="1"/>
      <c r="AB3277" s="1"/>
      <c r="AC3277" s="1"/>
      <c r="AD3277" s="1"/>
    </row>
    <row r="3278" spans="17:30">
      <c r="Q3278" s="6">
        <v>3248</v>
      </c>
      <c r="R3278" s="7">
        <v>45915</v>
      </c>
      <c r="S3278" s="210">
        <v>4.5</v>
      </c>
      <c r="T3278" s="8">
        <v>1.0001249999999999</v>
      </c>
      <c r="U3278" s="98">
        <v>4.507162130404252</v>
      </c>
      <c r="V3278" s="106">
        <v>34889.369477312808</v>
      </c>
      <c r="W3278" s="10">
        <v>1.2184609355049059</v>
      </c>
      <c r="X3278" s="420"/>
      <c r="Y3278" s="420"/>
      <c r="Z3278" s="1"/>
      <c r="AA3278" s="1"/>
      <c r="AB3278" s="1"/>
      <c r="AC3278" s="1"/>
      <c r="AD3278" s="1"/>
    </row>
    <row r="3279" spans="17:30">
      <c r="Q3279" s="6">
        <v>3249</v>
      </c>
      <c r="R3279" s="7">
        <v>45916</v>
      </c>
      <c r="S3279" s="210">
        <v>4.5</v>
      </c>
      <c r="T3279" s="8">
        <v>1.0001249999999999</v>
      </c>
      <c r="U3279" s="98">
        <v>4.507211560742741</v>
      </c>
      <c r="V3279" s="106">
        <v>34892.370094744947</v>
      </c>
      <c r="W3279" s="10">
        <v>1.2185270171497509</v>
      </c>
      <c r="X3279" s="420"/>
      <c r="Y3279" s="420"/>
      <c r="Z3279" s="1"/>
      <c r="AA3279" s="1"/>
      <c r="AB3279" s="1"/>
      <c r="AC3279" s="1"/>
      <c r="AD3279" s="1"/>
    </row>
    <row r="3280" spans="17:30">
      <c r="Q3280" s="6">
        <v>3250</v>
      </c>
      <c r="R3280" s="7">
        <v>45917</v>
      </c>
      <c r="S3280" s="210">
        <v>4.5</v>
      </c>
      <c r="T3280" s="8">
        <v>1.0001249999999999</v>
      </c>
      <c r="U3280" s="98">
        <v>4.5072609606859215</v>
      </c>
      <c r="V3280" s="106">
        <v>34895.3709702415</v>
      </c>
      <c r="W3280" s="10">
        <v>1.2185930581720683</v>
      </c>
      <c r="X3280" s="420"/>
      <c r="Y3280" s="420"/>
      <c r="Z3280" s="1"/>
      <c r="AA3280" s="1"/>
      <c r="AB3280" s="1"/>
      <c r="AC3280" s="1"/>
      <c r="AD3280" s="1"/>
    </row>
    <row r="3281" spans="17:30">
      <c r="Q3281" s="6">
        <v>3251</v>
      </c>
      <c r="R3281" s="7">
        <v>45918</v>
      </c>
      <c r="S3281" s="210">
        <v>4.5</v>
      </c>
      <c r="T3281" s="8">
        <v>1.0001249999999999</v>
      </c>
      <c r="U3281" s="98">
        <v>4.5073103302618156</v>
      </c>
      <c r="V3281" s="106">
        <v>34898.372103824673</v>
      </c>
      <c r="W3281" s="10">
        <v>1.2186590586092949</v>
      </c>
      <c r="X3281" s="420"/>
      <c r="Y3281" s="420"/>
      <c r="Z3281" s="1"/>
      <c r="AA3281" s="1"/>
      <c r="AB3281" s="1"/>
      <c r="AC3281" s="1"/>
      <c r="AD3281" s="1"/>
    </row>
    <row r="3282" spans="17:30">
      <c r="Q3282" s="6">
        <v>3252</v>
      </c>
      <c r="R3282" s="7">
        <v>45919</v>
      </c>
      <c r="S3282" s="210">
        <v>4.5</v>
      </c>
      <c r="T3282" s="8">
        <v>1.0001249999999999</v>
      </c>
      <c r="U3282" s="98">
        <v>4.507359669498423</v>
      </c>
      <c r="V3282" s="106">
        <v>34901.373495516658</v>
      </c>
      <c r="W3282" s="10">
        <v>1.2187250184988674</v>
      </c>
      <c r="X3282" s="420"/>
      <c r="Y3282" s="420"/>
      <c r="Z3282" s="1"/>
      <c r="AA3282" s="1"/>
      <c r="AB3282" s="1"/>
      <c r="AC3282" s="1"/>
      <c r="AD3282" s="1"/>
    </row>
    <row r="3283" spans="17:30">
      <c r="Q3283" s="6">
        <v>3253</v>
      </c>
      <c r="R3283" s="7">
        <v>45920</v>
      </c>
      <c r="S3283" s="210">
        <v>4.5</v>
      </c>
      <c r="T3283" s="8">
        <v>1.0001249999999999</v>
      </c>
      <c r="U3283" s="98">
        <v>4.507408978423677</v>
      </c>
      <c r="V3283" s="106">
        <v>34904.375145339654</v>
      </c>
      <c r="W3283" s="10">
        <v>1.218790937878067</v>
      </c>
      <c r="X3283" s="420"/>
      <c r="Y3283" s="420"/>
      <c r="Z3283" s="1"/>
      <c r="AA3283" s="1"/>
      <c r="AB3283" s="1"/>
      <c r="AC3283" s="1"/>
      <c r="AD3283" s="1"/>
    </row>
    <row r="3284" spans="17:30">
      <c r="Q3284" s="6">
        <v>3254</v>
      </c>
      <c r="R3284" s="7">
        <v>45921</v>
      </c>
      <c r="S3284" s="210">
        <v>4.5</v>
      </c>
      <c r="T3284" s="8">
        <v>1.0001249999999999</v>
      </c>
      <c r="U3284" s="98">
        <v>4.507458257065533</v>
      </c>
      <c r="V3284" s="106">
        <v>34907.37705331586</v>
      </c>
      <c r="W3284" s="10">
        <v>1.2188568167842861</v>
      </c>
      <c r="X3284" s="420"/>
      <c r="Y3284" s="420"/>
      <c r="Z3284" s="1"/>
      <c r="AA3284" s="1"/>
      <c r="AB3284" s="1"/>
      <c r="AC3284" s="1"/>
      <c r="AD3284" s="1"/>
    </row>
    <row r="3285" spans="17:30">
      <c r="Q3285" s="6">
        <v>3255</v>
      </c>
      <c r="R3285" s="7">
        <v>45922</v>
      </c>
      <c r="S3285" s="210">
        <v>4.5</v>
      </c>
      <c r="T3285" s="8">
        <v>1.0001249999999999</v>
      </c>
      <c r="U3285" s="98">
        <v>4.5075075054518576</v>
      </c>
      <c r="V3285" s="106">
        <v>34910.37921946749</v>
      </c>
      <c r="W3285" s="10">
        <v>1.2189226552547394</v>
      </c>
      <c r="X3285" s="420"/>
      <c r="Y3285" s="420"/>
      <c r="Z3285" s="1"/>
      <c r="AA3285" s="1"/>
      <c r="AB3285" s="1"/>
      <c r="AC3285" s="1"/>
      <c r="AD3285" s="1"/>
    </row>
    <row r="3286" spans="17:30">
      <c r="Q3286" s="6">
        <v>3256</v>
      </c>
      <c r="R3286" s="7">
        <v>45923</v>
      </c>
      <c r="S3286" s="210">
        <v>4.5</v>
      </c>
      <c r="T3286" s="8">
        <v>1.0001249999999999</v>
      </c>
      <c r="U3286" s="98">
        <v>4.5075567236105174</v>
      </c>
      <c r="V3286" s="106">
        <v>34913.381643816727</v>
      </c>
      <c r="W3286" s="10">
        <v>1.2189884533266637</v>
      </c>
      <c r="X3286" s="420"/>
      <c r="Y3286" s="420"/>
      <c r="Z3286" s="1"/>
      <c r="AA3286" s="1"/>
      <c r="AB3286" s="1"/>
      <c r="AC3286" s="1"/>
      <c r="AD3286" s="1"/>
    </row>
    <row r="3287" spans="17:30">
      <c r="Q3287" s="6">
        <v>3257</v>
      </c>
      <c r="R3287" s="7">
        <v>45924</v>
      </c>
      <c r="S3287" s="210">
        <v>4.5</v>
      </c>
      <c r="T3287" s="8">
        <v>1.0001249999999999</v>
      </c>
      <c r="U3287" s="98">
        <v>4.5076059115693345</v>
      </c>
      <c r="V3287" s="106">
        <v>34916.384326385793</v>
      </c>
      <c r="W3287" s="10">
        <v>1.2190542110372071</v>
      </c>
      <c r="X3287" s="420"/>
      <c r="Y3287" s="420"/>
      <c r="Z3287" s="1"/>
      <c r="AA3287" s="1"/>
      <c r="AB3287" s="1"/>
      <c r="AC3287" s="1"/>
      <c r="AD3287" s="1"/>
    </row>
    <row r="3288" spans="17:30">
      <c r="Q3288" s="6">
        <v>3258</v>
      </c>
      <c r="R3288" s="7">
        <v>45925</v>
      </c>
      <c r="S3288" s="210">
        <v>4.5</v>
      </c>
      <c r="T3288" s="8">
        <v>1.0001249999999999</v>
      </c>
      <c r="U3288" s="98">
        <v>4.507655069356109</v>
      </c>
      <c r="V3288" s="106">
        <v>34919.387267196893</v>
      </c>
      <c r="W3288" s="10">
        <v>1.2191199284235399</v>
      </c>
      <c r="X3288" s="420"/>
      <c r="Y3288" s="420"/>
      <c r="Z3288" s="1"/>
      <c r="AA3288" s="1"/>
      <c r="AB3288" s="1"/>
      <c r="AC3288" s="1"/>
      <c r="AD3288" s="1"/>
    </row>
    <row r="3289" spans="17:30">
      <c r="Q3289" s="6">
        <v>3259</v>
      </c>
      <c r="R3289" s="7">
        <v>45926</v>
      </c>
      <c r="S3289" s="210">
        <v>4.5</v>
      </c>
      <c r="T3289" s="8">
        <v>1.0001249999999999</v>
      </c>
      <c r="U3289" s="98">
        <v>4.5077041969985743</v>
      </c>
      <c r="V3289" s="106">
        <v>34922.390466272227</v>
      </c>
      <c r="W3289" s="10">
        <v>1.2191856055226991</v>
      </c>
      <c r="X3289" s="420"/>
      <c r="Y3289" s="420"/>
      <c r="Z3289" s="1"/>
      <c r="AA3289" s="1"/>
      <c r="AB3289" s="1"/>
      <c r="AC3289" s="1"/>
      <c r="AD3289" s="1"/>
    </row>
    <row r="3290" spans="17:30">
      <c r="Q3290" s="6">
        <v>3260</v>
      </c>
      <c r="R3290" s="7">
        <v>45927</v>
      </c>
      <c r="S3290" s="210">
        <v>4.5</v>
      </c>
      <c r="T3290" s="8">
        <v>1.0001249999999999</v>
      </c>
      <c r="U3290" s="98">
        <v>4.5077532945244636</v>
      </c>
      <c r="V3290" s="106">
        <v>34925.393923634016</v>
      </c>
      <c r="W3290" s="10">
        <v>1.2192512423717661</v>
      </c>
      <c r="X3290" s="420"/>
      <c r="Y3290" s="420"/>
      <c r="Z3290" s="1"/>
      <c r="AA3290" s="1"/>
      <c r="AB3290" s="1"/>
      <c r="AC3290" s="1"/>
      <c r="AD3290" s="1"/>
    </row>
    <row r="3291" spans="17:30">
      <c r="Q3291" s="6">
        <v>3261</v>
      </c>
      <c r="R3291" s="7">
        <v>45928</v>
      </c>
      <c r="S3291" s="210">
        <v>4.5</v>
      </c>
      <c r="T3291" s="8">
        <v>1.0001249999999999</v>
      </c>
      <c r="U3291" s="98">
        <v>4.5078023619614438</v>
      </c>
      <c r="V3291" s="106">
        <v>34928.39763930448</v>
      </c>
      <c r="W3291" s="10">
        <v>1.219316839007667</v>
      </c>
      <c r="X3291" s="420"/>
      <c r="Y3291" s="420"/>
      <c r="Z3291" s="1"/>
      <c r="AA3291" s="1"/>
      <c r="AB3291" s="1"/>
      <c r="AC3291" s="1"/>
      <c r="AD3291" s="1"/>
    </row>
    <row r="3292" spans="17:30">
      <c r="Q3292" s="6">
        <v>3262</v>
      </c>
      <c r="R3292" s="7">
        <v>45929</v>
      </c>
      <c r="S3292" s="210">
        <v>4.5</v>
      </c>
      <c r="T3292" s="8">
        <v>1.0001249999999999</v>
      </c>
      <c r="U3292" s="98">
        <v>4.5078513993371816</v>
      </c>
      <c r="V3292" s="106">
        <v>34931.401613305818</v>
      </c>
      <c r="W3292" s="10">
        <v>1.2193823954673944</v>
      </c>
      <c r="X3292" s="420"/>
      <c r="Y3292" s="420"/>
      <c r="Z3292" s="1"/>
      <c r="AA3292" s="1"/>
      <c r="AB3292" s="1"/>
      <c r="AC3292" s="1"/>
      <c r="AD3292" s="1"/>
    </row>
    <row r="3293" spans="17:30">
      <c r="Q3293" s="6">
        <v>3263</v>
      </c>
      <c r="R3293" s="7">
        <v>45930</v>
      </c>
      <c r="S3293" s="210">
        <v>4.5</v>
      </c>
      <c r="T3293" s="8">
        <v>1.0001249999999999</v>
      </c>
      <c r="U3293" s="98">
        <v>4.5079004066792772</v>
      </c>
      <c r="V3293" s="106">
        <v>34934.405845660258</v>
      </c>
      <c r="W3293" s="10">
        <v>1.2194479117878299</v>
      </c>
      <c r="X3293" s="420"/>
      <c r="Y3293" s="420"/>
      <c r="Z3293" s="1"/>
      <c r="AA3293" s="1"/>
      <c r="AB3293" s="1"/>
      <c r="AC3293" s="1"/>
      <c r="AD3293" s="1"/>
    </row>
    <row r="3294" spans="17:30">
      <c r="Q3294" s="6">
        <v>3264</v>
      </c>
      <c r="R3294" s="7">
        <v>45931</v>
      </c>
      <c r="S3294" s="210">
        <v>4.5</v>
      </c>
      <c r="T3294" s="8">
        <v>1.0001249999999999</v>
      </c>
      <c r="U3294" s="98">
        <v>4.5079493840153306</v>
      </c>
      <c r="V3294" s="106">
        <v>34937.410336390021</v>
      </c>
      <c r="W3294" s="10">
        <v>1.2195133880058329</v>
      </c>
      <c r="X3294" s="420"/>
      <c r="Y3294" s="420"/>
      <c r="Z3294" s="1"/>
      <c r="AA3294" s="1"/>
      <c r="AB3294" s="1"/>
      <c r="AC3294" s="1"/>
      <c r="AD3294" s="1"/>
    </row>
    <row r="3295" spans="17:30">
      <c r="Q3295" s="6">
        <v>3265</v>
      </c>
      <c r="R3295" s="7">
        <v>45932</v>
      </c>
      <c r="S3295" s="210">
        <v>4.5</v>
      </c>
      <c r="T3295" s="8">
        <v>1.0001249999999999</v>
      </c>
      <c r="U3295" s="98">
        <v>4.5079983313728755</v>
      </c>
      <c r="V3295" s="106">
        <v>34940.415085517321</v>
      </c>
      <c r="W3295" s="10">
        <v>1.219578824158174</v>
      </c>
      <c r="X3295" s="420"/>
      <c r="Y3295" s="420"/>
      <c r="Z3295" s="1"/>
      <c r="AA3295" s="1"/>
      <c r="AB3295" s="1"/>
      <c r="AC3295" s="1"/>
      <c r="AD3295" s="1"/>
    </row>
    <row r="3296" spans="17:30">
      <c r="Q3296" s="6">
        <v>3266</v>
      </c>
      <c r="R3296" s="7">
        <v>45933</v>
      </c>
      <c r="S3296" s="210">
        <v>4.5</v>
      </c>
      <c r="T3296" s="8">
        <v>1.0001249999999999</v>
      </c>
      <c r="U3296" s="98">
        <v>4.5080472487794454</v>
      </c>
      <c r="V3296" s="106">
        <v>34943.420093064378</v>
      </c>
      <c r="W3296" s="10">
        <v>1.2196442202816904</v>
      </c>
      <c r="X3296" s="420"/>
      <c r="Y3296" s="420"/>
      <c r="Z3296" s="1"/>
      <c r="AA3296" s="1"/>
      <c r="AB3296" s="1"/>
      <c r="AC3296" s="1"/>
      <c r="AD3296" s="1"/>
    </row>
    <row r="3297" spans="17:30">
      <c r="Q3297" s="6">
        <v>3267</v>
      </c>
      <c r="R3297" s="7">
        <v>45934</v>
      </c>
      <c r="S3297" s="210">
        <v>4.5</v>
      </c>
      <c r="T3297" s="8">
        <v>1.0001249999999999</v>
      </c>
      <c r="U3297" s="98">
        <v>4.5080961362625072</v>
      </c>
      <c r="V3297" s="106">
        <v>34946.425359053435</v>
      </c>
      <c r="W3297" s="10">
        <v>1.2197095764130417</v>
      </c>
      <c r="X3297" s="420"/>
      <c r="Y3297" s="420"/>
      <c r="Z3297" s="1"/>
      <c r="AA3297" s="1"/>
      <c r="AB3297" s="1"/>
      <c r="AC3297" s="1"/>
      <c r="AD3297" s="1"/>
    </row>
    <row r="3298" spans="17:30">
      <c r="Q3298" s="6">
        <v>3268</v>
      </c>
      <c r="R3298" s="7">
        <v>45935</v>
      </c>
      <c r="S3298" s="210">
        <v>4.5</v>
      </c>
      <c r="T3298" s="8">
        <v>1.0001249999999999</v>
      </c>
      <c r="U3298" s="98">
        <v>4.5081449938495277</v>
      </c>
      <c r="V3298" s="106">
        <v>34949.430883506699</v>
      </c>
      <c r="W3298" s="10">
        <v>1.2197748925889318</v>
      </c>
      <c r="X3298" s="420"/>
      <c r="Y3298" s="420"/>
      <c r="Z3298" s="1"/>
      <c r="AA3298" s="1"/>
      <c r="AB3298" s="1"/>
      <c r="AC3298" s="1"/>
      <c r="AD3298" s="1"/>
    </row>
    <row r="3299" spans="17:30">
      <c r="Q3299" s="6">
        <v>3269</v>
      </c>
      <c r="R3299" s="7">
        <v>45936</v>
      </c>
      <c r="S3299" s="210">
        <v>4.5</v>
      </c>
      <c r="T3299" s="8">
        <v>1.0001249999999999</v>
      </c>
      <c r="U3299" s="98">
        <v>4.5081938215679074</v>
      </c>
      <c r="V3299" s="106">
        <v>34952.436666446411</v>
      </c>
      <c r="W3299" s="10">
        <v>1.2198401688459759</v>
      </c>
      <c r="X3299" s="420"/>
      <c r="Y3299" s="420"/>
      <c r="Z3299" s="1"/>
      <c r="AA3299" s="1"/>
      <c r="AB3299" s="1"/>
      <c r="AC3299" s="1"/>
      <c r="AD3299" s="1"/>
    </row>
    <row r="3300" spans="17:30">
      <c r="Q3300" s="6">
        <v>3270</v>
      </c>
      <c r="R3300" s="7">
        <v>45937</v>
      </c>
      <c r="S3300" s="210">
        <v>4.5</v>
      </c>
      <c r="T3300" s="8">
        <v>1.0001249999999999</v>
      </c>
      <c r="U3300" s="98">
        <v>4.5082426194450242</v>
      </c>
      <c r="V3300" s="106">
        <v>34955.442707894799</v>
      </c>
      <c r="W3300" s="10">
        <v>1.2199054052207448</v>
      </c>
      <c r="X3300" s="420"/>
      <c r="Y3300" s="420"/>
      <c r="Z3300" s="1"/>
      <c r="AA3300" s="1"/>
      <c r="AB3300" s="1"/>
      <c r="AC3300" s="1"/>
      <c r="AD3300" s="1"/>
    </row>
    <row r="3301" spans="17:30">
      <c r="Q3301" s="6">
        <v>3271</v>
      </c>
      <c r="R3301" s="7">
        <v>45938</v>
      </c>
      <c r="S3301" s="210">
        <v>4.5</v>
      </c>
      <c r="T3301" s="8">
        <v>1.0001249999999999</v>
      </c>
      <c r="U3301" s="98">
        <v>4.5082913875082342</v>
      </c>
      <c r="V3301" s="106">
        <v>34958.449007874093</v>
      </c>
      <c r="W3301" s="10">
        <v>1.2199706017498091</v>
      </c>
      <c r="X3301" s="420"/>
      <c r="Y3301" s="420"/>
      <c r="Z3301" s="1"/>
      <c r="AA3301" s="1"/>
      <c r="AB3301" s="1"/>
      <c r="AC3301" s="1"/>
      <c r="AD3301" s="1"/>
    </row>
    <row r="3302" spans="17:30">
      <c r="Q3302" s="6">
        <v>3272</v>
      </c>
      <c r="R3302" s="7">
        <v>45939</v>
      </c>
      <c r="S3302" s="210">
        <v>4.5</v>
      </c>
      <c r="T3302" s="8">
        <v>1.0001249999999999</v>
      </c>
      <c r="U3302" s="98">
        <v>4.5083401257848488</v>
      </c>
      <c r="V3302" s="106">
        <v>34961.455566406534</v>
      </c>
      <c r="W3302" s="10">
        <v>1.2200357584696508</v>
      </c>
      <c r="X3302" s="420"/>
      <c r="Y3302" s="420"/>
      <c r="Z3302" s="1"/>
      <c r="AA3302" s="1"/>
      <c r="AB3302" s="1"/>
      <c r="AC3302" s="1"/>
      <c r="AD3302" s="1"/>
    </row>
    <row r="3303" spans="17:30">
      <c r="Q3303" s="6">
        <v>3273</v>
      </c>
      <c r="R3303" s="7">
        <v>45940</v>
      </c>
      <c r="S3303" s="210">
        <v>4.5</v>
      </c>
      <c r="T3303" s="8">
        <v>1.0001249999999999</v>
      </c>
      <c r="U3303" s="98">
        <v>4.5083888343021572</v>
      </c>
      <c r="V3303" s="106">
        <v>34964.46238351435</v>
      </c>
      <c r="W3303" s="10">
        <v>1.2201008754167297</v>
      </c>
      <c r="X3303" s="420"/>
      <c r="Y3303" s="420"/>
      <c r="Z3303" s="1"/>
      <c r="AA3303" s="1"/>
      <c r="AB3303" s="1"/>
      <c r="AC3303" s="1"/>
      <c r="AD3303" s="1"/>
    </row>
    <row r="3304" spans="17:30">
      <c r="Q3304" s="6">
        <v>3274</v>
      </c>
      <c r="R3304" s="7">
        <v>45941</v>
      </c>
      <c r="S3304" s="210">
        <v>4.5</v>
      </c>
      <c r="T3304" s="8">
        <v>1.0001249999999999</v>
      </c>
      <c r="U3304" s="98">
        <v>4.5084375130874044</v>
      </c>
      <c r="V3304" s="106">
        <v>34967.469459219785</v>
      </c>
      <c r="W3304" s="10">
        <v>1.2201659526274167</v>
      </c>
      <c r="X3304" s="420"/>
      <c r="Y3304" s="420"/>
      <c r="Z3304" s="1"/>
      <c r="AA3304" s="1"/>
      <c r="AB3304" s="1"/>
      <c r="AC3304" s="1"/>
      <c r="AD3304" s="1"/>
    </row>
    <row r="3305" spans="17:30">
      <c r="Q3305" s="6">
        <v>3275</v>
      </c>
      <c r="R3305" s="7">
        <v>45942</v>
      </c>
      <c r="S3305" s="210">
        <v>4.5</v>
      </c>
      <c r="T3305" s="8">
        <v>1.0001249999999999</v>
      </c>
      <c r="U3305" s="98">
        <v>4.5084861621677907</v>
      </c>
      <c r="V3305" s="106">
        <v>34970.47679354508</v>
      </c>
      <c r="W3305" s="10">
        <v>1.2202309901381048</v>
      </c>
      <c r="X3305" s="420"/>
      <c r="Y3305" s="420"/>
      <c r="Z3305" s="1"/>
      <c r="AA3305" s="1"/>
      <c r="AB3305" s="1"/>
      <c r="AC3305" s="1"/>
      <c r="AD3305" s="1"/>
    </row>
    <row r="3306" spans="17:30">
      <c r="Q3306" s="6">
        <v>3276</v>
      </c>
      <c r="R3306" s="7">
        <v>45943</v>
      </c>
      <c r="S3306" s="210">
        <v>4.5</v>
      </c>
      <c r="T3306" s="8">
        <v>1.0001249999999999</v>
      </c>
      <c r="U3306" s="98">
        <v>4.5085347815705168</v>
      </c>
      <c r="V3306" s="106">
        <v>34973.484386512471</v>
      </c>
      <c r="W3306" s="10">
        <v>1.2202959879850983</v>
      </c>
      <c r="X3306" s="420"/>
      <c r="Y3306" s="420"/>
      <c r="Z3306" s="1"/>
      <c r="AA3306" s="1"/>
      <c r="AB3306" s="1"/>
      <c r="AC3306" s="1"/>
      <c r="AD3306" s="1"/>
    </row>
    <row r="3307" spans="17:30">
      <c r="Q3307" s="6">
        <v>3277</v>
      </c>
      <c r="R3307" s="7">
        <v>45944</v>
      </c>
      <c r="S3307" s="210">
        <v>4.5</v>
      </c>
      <c r="T3307" s="8">
        <v>1.0001249999999999</v>
      </c>
      <c r="U3307" s="98">
        <v>4.5085833713227164</v>
      </c>
      <c r="V3307" s="106">
        <v>34976.492238144208</v>
      </c>
      <c r="W3307" s="10">
        <v>1.2203609462046794</v>
      </c>
      <c r="X3307" s="420"/>
      <c r="Y3307" s="420"/>
      <c r="Z3307" s="1"/>
      <c r="AA3307" s="1"/>
      <c r="AB3307" s="1"/>
      <c r="AC3307" s="1"/>
      <c r="AD3307" s="1"/>
    </row>
    <row r="3308" spans="17:30">
      <c r="Q3308" s="6">
        <v>3278</v>
      </c>
      <c r="R3308" s="7">
        <v>45945</v>
      </c>
      <c r="S3308" s="210">
        <v>4.5</v>
      </c>
      <c r="T3308" s="8">
        <v>1.0001249999999999</v>
      </c>
      <c r="U3308" s="98">
        <v>4.5086319314515233</v>
      </c>
      <c r="V3308" s="106">
        <v>34979.500348462534</v>
      </c>
      <c r="W3308" s="10">
        <v>1.2204258648330857</v>
      </c>
      <c r="X3308" s="420"/>
      <c r="Y3308" s="420"/>
      <c r="Z3308" s="1"/>
      <c r="AA3308" s="1"/>
      <c r="AB3308" s="1"/>
      <c r="AC3308" s="1"/>
      <c r="AD3308" s="1"/>
    </row>
    <row r="3309" spans="17:30">
      <c r="Q3309" s="6">
        <v>3279</v>
      </c>
      <c r="R3309" s="7">
        <v>45946</v>
      </c>
      <c r="S3309" s="210">
        <v>4.5</v>
      </c>
      <c r="T3309" s="8">
        <v>1.0001249999999999</v>
      </c>
      <c r="U3309" s="98">
        <v>4.5086804619840049</v>
      </c>
      <c r="V3309" s="106">
        <v>34982.508717489705</v>
      </c>
      <c r="W3309" s="10">
        <v>1.2204907439064883</v>
      </c>
      <c r="X3309" s="420"/>
      <c r="Y3309" s="420"/>
      <c r="Z3309" s="1"/>
      <c r="AA3309" s="1"/>
      <c r="AB3309" s="1"/>
      <c r="AC3309" s="1"/>
      <c r="AD3309" s="1"/>
    </row>
    <row r="3310" spans="17:30">
      <c r="Q3310" s="6">
        <v>3280</v>
      </c>
      <c r="R3310" s="7">
        <v>45947</v>
      </c>
      <c r="S3310" s="210">
        <v>4.5</v>
      </c>
      <c r="T3310" s="8">
        <v>1.0001249999999999</v>
      </c>
      <c r="U3310" s="98">
        <v>4.508728962947206</v>
      </c>
      <c r="V3310" s="106">
        <v>34985.517345247958</v>
      </c>
      <c r="W3310" s="10">
        <v>1.2205555834610138</v>
      </c>
      <c r="X3310" s="420"/>
      <c r="Y3310" s="420"/>
      <c r="Z3310" s="1"/>
      <c r="AA3310" s="1"/>
      <c r="AB3310" s="1"/>
      <c r="AC3310" s="1"/>
      <c r="AD3310" s="1"/>
    </row>
    <row r="3311" spans="17:30">
      <c r="Q3311" s="6">
        <v>3281</v>
      </c>
      <c r="R3311" s="7">
        <v>45948</v>
      </c>
      <c r="S3311" s="210">
        <v>4.5</v>
      </c>
      <c r="T3311" s="8">
        <v>1.0001249999999999</v>
      </c>
      <c r="U3311" s="98">
        <v>4.5087774343681719</v>
      </c>
      <c r="V3311" s="106">
        <v>34988.526231759555</v>
      </c>
      <c r="W3311" s="10">
        <v>1.2206203835327889</v>
      </c>
      <c r="X3311" s="420"/>
      <c r="Y3311" s="420"/>
      <c r="Z3311" s="1"/>
      <c r="AA3311" s="1"/>
      <c r="AB3311" s="1"/>
      <c r="AC3311" s="1"/>
      <c r="AD3311" s="1"/>
    </row>
    <row r="3312" spans="17:30">
      <c r="Q3312" s="6">
        <v>3282</v>
      </c>
      <c r="R3312" s="7">
        <v>45949</v>
      </c>
      <c r="S3312" s="210">
        <v>4.5</v>
      </c>
      <c r="T3312" s="8">
        <v>1.0001249999999999</v>
      </c>
      <c r="U3312" s="98">
        <v>4.5088258762738587</v>
      </c>
      <c r="V3312" s="106">
        <v>34991.535377046748</v>
      </c>
      <c r="W3312" s="10">
        <v>1.2206851441578292</v>
      </c>
      <c r="X3312" s="420"/>
      <c r="Y3312" s="420"/>
      <c r="Z3312" s="1"/>
      <c r="AA3312" s="1"/>
      <c r="AB3312" s="1"/>
      <c r="AC3312" s="1"/>
      <c r="AD3312" s="1"/>
    </row>
    <row r="3313" spans="17:30">
      <c r="Q3313" s="6">
        <v>3283</v>
      </c>
      <c r="R3313" s="7">
        <v>45950</v>
      </c>
      <c r="S3313" s="210">
        <v>4.5</v>
      </c>
      <c r="T3313" s="8">
        <v>1.0001249999999999</v>
      </c>
      <c r="U3313" s="98">
        <v>4.5088742886912225</v>
      </c>
      <c r="V3313" s="106">
        <v>34994.544781131786</v>
      </c>
      <c r="W3313" s="10">
        <v>1.2207498653721949</v>
      </c>
      <c r="X3313" s="420"/>
      <c r="Y3313" s="420"/>
      <c r="Z3313" s="1"/>
      <c r="AA3313" s="1"/>
      <c r="AB3313" s="1"/>
      <c r="AC3313" s="1"/>
      <c r="AD3313" s="1"/>
    </row>
    <row r="3314" spans="17:30">
      <c r="Q3314" s="6">
        <v>3284</v>
      </c>
      <c r="R3314" s="7">
        <v>45951</v>
      </c>
      <c r="S3314" s="210">
        <v>4.5</v>
      </c>
      <c r="T3314" s="8">
        <v>1.0001249999999999</v>
      </c>
      <c r="U3314" s="98">
        <v>4.5089226716471753</v>
      </c>
      <c r="V3314" s="106">
        <v>34997.554444036934</v>
      </c>
      <c r="W3314" s="10">
        <v>1.2208145472117904</v>
      </c>
      <c r="X3314" s="420"/>
      <c r="Y3314" s="420"/>
      <c r="Z3314" s="1"/>
      <c r="AA3314" s="1"/>
      <c r="AB3314" s="1"/>
      <c r="AC3314" s="1"/>
      <c r="AD3314" s="1"/>
    </row>
    <row r="3315" spans="17:30">
      <c r="Q3315" s="6">
        <v>3285</v>
      </c>
      <c r="R3315" s="7">
        <v>45952</v>
      </c>
      <c r="S3315" s="210">
        <v>4.5</v>
      </c>
      <c r="T3315" s="8">
        <v>1.0001249999999999</v>
      </c>
      <c r="U3315" s="98">
        <v>4.5089710251686066</v>
      </c>
      <c r="V3315" s="106">
        <v>35000.564365784441</v>
      </c>
      <c r="W3315" s="10">
        <v>1.220879189712587</v>
      </c>
      <c r="X3315" s="420"/>
      <c r="Y3315" s="420"/>
      <c r="Z3315" s="1"/>
      <c r="AA3315" s="1"/>
      <c r="AB3315" s="1"/>
      <c r="AC3315" s="1"/>
      <c r="AD3315" s="1"/>
    </row>
    <row r="3316" spans="17:30">
      <c r="Q3316" s="6">
        <v>3286</v>
      </c>
      <c r="R3316" s="7">
        <v>45953</v>
      </c>
      <c r="S3316" s="210">
        <v>4.5</v>
      </c>
      <c r="T3316" s="8">
        <v>1.0001249999999999</v>
      </c>
      <c r="U3316" s="98">
        <v>4.5090193492823616</v>
      </c>
      <c r="V3316" s="106">
        <v>35003.574546396587</v>
      </c>
      <c r="W3316" s="10">
        <v>1.2209437929104006</v>
      </c>
      <c r="X3316" s="420"/>
      <c r="Y3316" s="420"/>
      <c r="Z3316" s="1"/>
      <c r="AA3316" s="1"/>
      <c r="AB3316" s="1"/>
      <c r="AC3316" s="1"/>
      <c r="AD3316" s="1"/>
    </row>
    <row r="3317" spans="17:30">
      <c r="Q3317" s="6">
        <v>3287</v>
      </c>
      <c r="R3317" s="7">
        <v>45954</v>
      </c>
      <c r="S3317" s="210">
        <v>4.5</v>
      </c>
      <c r="T3317" s="8">
        <v>1.0001249999999999</v>
      </c>
      <c r="U3317" s="98">
        <v>4.5090676440152855</v>
      </c>
      <c r="V3317" s="106">
        <v>35006.584985895628</v>
      </c>
      <c r="W3317" s="10">
        <v>1.2210083568411356</v>
      </c>
      <c r="X3317" s="420"/>
      <c r="Y3317" s="420"/>
      <c r="Z3317" s="1"/>
      <c r="AA3317" s="1"/>
      <c r="AB3317" s="1"/>
      <c r="AC3317" s="1"/>
      <c r="AD3317" s="1"/>
    </row>
    <row r="3318" spans="17:30">
      <c r="Q3318" s="6">
        <v>3288</v>
      </c>
      <c r="R3318" s="7">
        <v>45955</v>
      </c>
      <c r="S3318" s="210">
        <v>4.5</v>
      </c>
      <c r="T3318" s="8">
        <v>1.0001249999999999</v>
      </c>
      <c r="U3318" s="98">
        <v>4.5091159093941346</v>
      </c>
      <c r="V3318" s="106">
        <v>35009.595684303815</v>
      </c>
      <c r="W3318" s="10">
        <v>1.2210728815405414</v>
      </c>
      <c r="X3318" s="420"/>
      <c r="Y3318" s="420"/>
      <c r="Z3318" s="1"/>
      <c r="AA3318" s="1"/>
      <c r="AB3318" s="1"/>
      <c r="AC3318" s="1"/>
      <c r="AD3318" s="1"/>
    </row>
    <row r="3319" spans="17:30">
      <c r="Q3319" s="6">
        <v>3289</v>
      </c>
      <c r="R3319" s="7">
        <v>45956</v>
      </c>
      <c r="S3319" s="210">
        <v>4.5</v>
      </c>
      <c r="T3319" s="8">
        <v>1.0001249999999999</v>
      </c>
      <c r="U3319" s="98">
        <v>4.5091641454456877</v>
      </c>
      <c r="V3319" s="106">
        <v>35012.606641643433</v>
      </c>
      <c r="W3319" s="10">
        <v>1.2211373670443892</v>
      </c>
      <c r="X3319" s="420"/>
      <c r="Y3319" s="420"/>
      <c r="Z3319" s="1"/>
      <c r="AA3319" s="1"/>
      <c r="AB3319" s="1"/>
      <c r="AC3319" s="1"/>
      <c r="AD3319" s="1"/>
    </row>
    <row r="3320" spans="17:30">
      <c r="Q3320" s="6">
        <v>3290</v>
      </c>
      <c r="R3320" s="7">
        <v>45957</v>
      </c>
      <c r="S3320" s="210">
        <v>4.5</v>
      </c>
      <c r="T3320" s="8">
        <v>1.0001249999999999</v>
      </c>
      <c r="U3320" s="98">
        <v>4.5092123521966565</v>
      </c>
      <c r="V3320" s="106">
        <v>35015.617857936741</v>
      </c>
      <c r="W3320" s="10">
        <v>1.2212018133883618</v>
      </c>
      <c r="X3320" s="420"/>
      <c r="Y3320" s="420"/>
      <c r="Z3320" s="1"/>
      <c r="AA3320" s="1"/>
      <c r="AB3320" s="1"/>
      <c r="AC3320" s="1"/>
      <c r="AD3320" s="1"/>
    </row>
    <row r="3321" spans="17:30">
      <c r="Q3321" s="6">
        <v>3291</v>
      </c>
      <c r="R3321" s="7">
        <v>45958</v>
      </c>
      <c r="S3321" s="210">
        <v>4.5</v>
      </c>
      <c r="T3321" s="8">
        <v>1.0001249999999999</v>
      </c>
      <c r="U3321" s="98">
        <v>4.5092605296737309</v>
      </c>
      <c r="V3321" s="106">
        <v>35018.629333206009</v>
      </c>
      <c r="W3321" s="10">
        <v>1.2212662206081415</v>
      </c>
      <c r="X3321" s="420"/>
      <c r="Y3321" s="420"/>
      <c r="Z3321" s="1"/>
      <c r="AA3321" s="1"/>
      <c r="AB3321" s="1"/>
      <c r="AC3321" s="1"/>
      <c r="AD3321" s="1"/>
    </row>
    <row r="3322" spans="17:30">
      <c r="Q3322" s="6">
        <v>3292</v>
      </c>
      <c r="R3322" s="7">
        <v>45959</v>
      </c>
      <c r="S3322" s="210">
        <v>4.5</v>
      </c>
      <c r="T3322" s="8">
        <v>1.0001249999999999</v>
      </c>
      <c r="U3322" s="98">
        <v>4.5093086779035563</v>
      </c>
      <c r="V3322" s="106">
        <v>35021.641067473523</v>
      </c>
      <c r="W3322" s="10">
        <v>1.2213305887392778</v>
      </c>
      <c r="X3322" s="420"/>
      <c r="Y3322" s="420"/>
      <c r="Z3322" s="1"/>
      <c r="AA3322" s="1"/>
      <c r="AB3322" s="1"/>
      <c r="AC3322" s="1"/>
      <c r="AD3322" s="1"/>
    </row>
    <row r="3323" spans="17:30">
      <c r="Q3323" s="6">
        <v>3293</v>
      </c>
      <c r="R3323" s="7">
        <v>45960</v>
      </c>
      <c r="S3323" s="210">
        <v>4.5</v>
      </c>
      <c r="T3323" s="8">
        <v>1.0001249999999999</v>
      </c>
      <c r="U3323" s="98">
        <v>4.5093567969127779</v>
      </c>
      <c r="V3323" s="106">
        <v>35024.65306076155</v>
      </c>
      <c r="W3323" s="10">
        <v>1.221394917817431</v>
      </c>
      <c r="X3323" s="420"/>
      <c r="Y3323" s="420"/>
      <c r="Z3323" s="1"/>
      <c r="AA3323" s="1"/>
      <c r="AB3323" s="1"/>
      <c r="AC3323" s="1"/>
      <c r="AD3323" s="1"/>
    </row>
    <row r="3324" spans="17:30">
      <c r="Q3324" s="6">
        <v>3294</v>
      </c>
      <c r="R3324" s="7">
        <v>45961</v>
      </c>
      <c r="S3324" s="210">
        <v>4.5</v>
      </c>
      <c r="T3324" s="8">
        <v>1.0001249999999999</v>
      </c>
      <c r="U3324" s="98">
        <v>4.5094048867279746</v>
      </c>
      <c r="V3324" s="106">
        <v>35027.665313092359</v>
      </c>
      <c r="W3324" s="10">
        <v>1.2214592078781061</v>
      </c>
      <c r="X3324" s="420"/>
      <c r="Y3324" s="420"/>
      <c r="Z3324" s="1"/>
      <c r="AA3324" s="1"/>
      <c r="AB3324" s="1"/>
      <c r="AC3324" s="1"/>
      <c r="AD3324" s="1"/>
    </row>
    <row r="3325" spans="17:30">
      <c r="Q3325" s="6">
        <v>3295</v>
      </c>
      <c r="R3325" s="7">
        <v>45962</v>
      </c>
      <c r="S3325" s="210">
        <v>4.5</v>
      </c>
      <c r="T3325" s="8">
        <v>1.0001249999999999</v>
      </c>
      <c r="U3325" s="98">
        <v>4.5094529473757028</v>
      </c>
      <c r="V3325" s="106">
        <v>35030.677824488237</v>
      </c>
      <c r="W3325" s="10">
        <v>1.2215234589567414</v>
      </c>
      <c r="X3325" s="420"/>
      <c r="Y3325" s="420"/>
      <c r="Z3325" s="1"/>
      <c r="AA3325" s="1"/>
      <c r="AB3325" s="1"/>
      <c r="AC3325" s="1"/>
      <c r="AD3325" s="1"/>
    </row>
    <row r="3326" spans="17:30">
      <c r="Q3326" s="6">
        <v>3296</v>
      </c>
      <c r="R3326" s="7">
        <v>45963</v>
      </c>
      <c r="S3326" s="210">
        <v>4.5</v>
      </c>
      <c r="T3326" s="8">
        <v>1.0001249999999999</v>
      </c>
      <c r="U3326" s="98">
        <v>4.5095009788824969</v>
      </c>
      <c r="V3326" s="106">
        <v>35033.690594971464</v>
      </c>
      <c r="W3326" s="10">
        <v>1.2215876710888196</v>
      </c>
      <c r="X3326" s="420"/>
      <c r="Y3326" s="420"/>
      <c r="Z3326" s="1"/>
      <c r="AA3326" s="1"/>
      <c r="AB3326" s="1"/>
      <c r="AC3326" s="1"/>
      <c r="AD3326" s="1"/>
    </row>
    <row r="3327" spans="17:30">
      <c r="Q3327" s="6">
        <v>3297</v>
      </c>
      <c r="R3327" s="7">
        <v>45964</v>
      </c>
      <c r="S3327" s="210">
        <v>4.5</v>
      </c>
      <c r="T3327" s="8">
        <v>1.0001249999999999</v>
      </c>
      <c r="U3327" s="98">
        <v>4.509548981274869</v>
      </c>
      <c r="V3327" s="106">
        <v>35036.703624564325</v>
      </c>
      <c r="W3327" s="10">
        <v>1.221651844309779</v>
      </c>
      <c r="X3327" s="420"/>
      <c r="Y3327" s="420"/>
      <c r="Z3327" s="1"/>
      <c r="AA3327" s="1"/>
      <c r="AB3327" s="1"/>
      <c r="AC3327" s="1"/>
      <c r="AD3327" s="1"/>
    </row>
    <row r="3328" spans="17:30">
      <c r="Q3328" s="6">
        <v>3298</v>
      </c>
      <c r="R3328" s="7">
        <v>45965</v>
      </c>
      <c r="S3328" s="210">
        <v>4.5</v>
      </c>
      <c r="T3328" s="8">
        <v>1.0001249999999999</v>
      </c>
      <c r="U3328" s="98">
        <v>4.5095969545792647</v>
      </c>
      <c r="V3328" s="106">
        <v>35039.716913289092</v>
      </c>
      <c r="W3328" s="10">
        <v>1.2217159786549248</v>
      </c>
      <c r="X3328" s="420"/>
      <c r="Y3328" s="420"/>
      <c r="Z3328" s="1"/>
      <c r="AA3328" s="1"/>
      <c r="AB3328" s="1"/>
      <c r="AC3328" s="1"/>
      <c r="AD3328" s="1"/>
    </row>
    <row r="3329" spans="17:30">
      <c r="Q3329" s="6">
        <v>3299</v>
      </c>
      <c r="R3329" s="7">
        <v>45966</v>
      </c>
      <c r="S3329" s="210">
        <v>4.5</v>
      </c>
      <c r="T3329" s="8">
        <v>1.0001249999999999</v>
      </c>
      <c r="U3329" s="98">
        <v>4.5096448988221072</v>
      </c>
      <c r="V3329" s="106">
        <v>35042.730461168067</v>
      </c>
      <c r="W3329" s="10">
        <v>1.2217800741595619</v>
      </c>
      <c r="X3329" s="420"/>
      <c r="Y3329" s="420"/>
      <c r="Z3329" s="1"/>
      <c r="AA3329" s="1"/>
      <c r="AB3329" s="1"/>
      <c r="AC3329" s="1"/>
      <c r="AD3329" s="1"/>
    </row>
    <row r="3330" spans="17:30">
      <c r="Q3330" s="6">
        <v>3300</v>
      </c>
      <c r="R3330" s="7">
        <v>45967</v>
      </c>
      <c r="S3330" s="210">
        <v>4.5</v>
      </c>
      <c r="T3330" s="8">
        <v>1.0001249999999999</v>
      </c>
      <c r="U3330" s="98">
        <v>4.5096928140298198</v>
      </c>
      <c r="V3330" s="106">
        <v>35045.744268223527</v>
      </c>
      <c r="W3330" s="10">
        <v>1.2218441308590178</v>
      </c>
      <c r="X3330" s="420"/>
      <c r="Y3330" s="420"/>
      <c r="Z3330" s="1"/>
      <c r="AA3330" s="1"/>
      <c r="AB3330" s="1"/>
      <c r="AC3330" s="1"/>
      <c r="AD3330" s="1"/>
    </row>
    <row r="3331" spans="17:30">
      <c r="Q3331" s="6">
        <v>3301</v>
      </c>
      <c r="R3331" s="7">
        <v>45968</v>
      </c>
      <c r="S3331" s="210">
        <v>4.5</v>
      </c>
      <c r="T3331" s="8">
        <v>1.0001249999999999</v>
      </c>
      <c r="U3331" s="98">
        <v>4.5097407002287593</v>
      </c>
      <c r="V3331" s="106">
        <v>35048.758334477767</v>
      </c>
      <c r="W3331" s="10">
        <v>1.2219081487884864</v>
      </c>
      <c r="X3331" s="420"/>
      <c r="Y3331" s="420"/>
      <c r="Z3331" s="1"/>
      <c r="AA3331" s="1"/>
      <c r="AB3331" s="1"/>
      <c r="AC3331" s="1"/>
      <c r="AD3331" s="1"/>
    </row>
    <row r="3332" spans="17:30">
      <c r="Q3332" s="6">
        <v>3302</v>
      </c>
      <c r="R3332" s="7">
        <v>45969</v>
      </c>
      <c r="S3332" s="210">
        <v>4.5</v>
      </c>
      <c r="T3332" s="8">
        <v>1.0001249999999999</v>
      </c>
      <c r="U3332" s="98">
        <v>4.5097885574452601</v>
      </c>
      <c r="V3332" s="106">
        <v>35051.77265995308</v>
      </c>
      <c r="W3332" s="10">
        <v>1.2219721279831619</v>
      </c>
      <c r="X3332" s="420"/>
      <c r="Y3332" s="420"/>
      <c r="Z3332" s="1"/>
      <c r="AA3332" s="1"/>
      <c r="AB3332" s="1"/>
      <c r="AC3332" s="1"/>
      <c r="AD3332" s="1"/>
    </row>
    <row r="3333" spans="17:30">
      <c r="Q3333" s="6">
        <v>3303</v>
      </c>
      <c r="R3333" s="7">
        <v>45970</v>
      </c>
      <c r="S3333" s="210">
        <v>4.5</v>
      </c>
      <c r="T3333" s="8">
        <v>1.0001249999999999</v>
      </c>
      <c r="U3333" s="98">
        <v>4.5098363857056123</v>
      </c>
      <c r="V3333" s="106">
        <v>35054.787244671759</v>
      </c>
      <c r="W3333" s="10">
        <v>1.2220360684781939</v>
      </c>
      <c r="X3333" s="420"/>
      <c r="Y3333" s="420"/>
      <c r="Z3333" s="1"/>
      <c r="AA3333" s="1"/>
      <c r="AB3333" s="1"/>
      <c r="AC3333" s="1"/>
      <c r="AD3333" s="1"/>
    </row>
    <row r="3334" spans="17:30">
      <c r="Q3334" s="6">
        <v>3304</v>
      </c>
      <c r="R3334" s="7">
        <v>45971</v>
      </c>
      <c r="S3334" s="210">
        <v>4.5</v>
      </c>
      <c r="T3334" s="8">
        <v>1.0001249999999999</v>
      </c>
      <c r="U3334" s="98">
        <v>4.509884185036106</v>
      </c>
      <c r="V3334" s="106">
        <v>35057.802088656106</v>
      </c>
      <c r="W3334" s="10">
        <v>1.2220999703086655</v>
      </c>
      <c r="X3334" s="420"/>
      <c r="Y3334" s="420"/>
      <c r="Z3334" s="1"/>
      <c r="AA3334" s="1"/>
      <c r="AB3334" s="1"/>
      <c r="AC3334" s="1"/>
      <c r="AD3334" s="1"/>
    </row>
    <row r="3335" spans="17:30">
      <c r="Q3335" s="6">
        <v>3305</v>
      </c>
      <c r="R3335" s="7">
        <v>45972</v>
      </c>
      <c r="S3335" s="210">
        <v>4.5</v>
      </c>
      <c r="T3335" s="8">
        <v>1.0001249999999999</v>
      </c>
      <c r="U3335" s="98">
        <v>4.5099319554629869</v>
      </c>
      <c r="V3335" s="106">
        <v>35060.8171919284</v>
      </c>
      <c r="W3335" s="10">
        <v>1.2221638335096596</v>
      </c>
      <c r="X3335" s="420"/>
      <c r="Y3335" s="420"/>
      <c r="Z3335" s="1"/>
      <c r="AA3335" s="1"/>
      <c r="AB3335" s="1"/>
      <c r="AC3335" s="1"/>
      <c r="AD3335" s="1"/>
    </row>
    <row r="3336" spans="17:30">
      <c r="Q3336" s="6">
        <v>3306</v>
      </c>
      <c r="R3336" s="7">
        <v>45973</v>
      </c>
      <c r="S3336" s="210">
        <v>4.5</v>
      </c>
      <c r="T3336" s="8">
        <v>1.0001249999999999</v>
      </c>
      <c r="U3336" s="98">
        <v>4.5099796970124562</v>
      </c>
      <c r="V3336" s="106">
        <v>35063.832554510962</v>
      </c>
      <c r="W3336" s="10">
        <v>1.2222276581161928</v>
      </c>
      <c r="X3336" s="420"/>
      <c r="Y3336" s="420"/>
      <c r="Z3336" s="1"/>
      <c r="AA3336" s="1"/>
      <c r="AB3336" s="1"/>
      <c r="AC3336" s="1"/>
      <c r="AD3336" s="1"/>
    </row>
    <row r="3337" spans="17:30">
      <c r="Q3337" s="6">
        <v>3307</v>
      </c>
      <c r="R3337" s="7">
        <v>45974</v>
      </c>
      <c r="S3337" s="210">
        <v>4.5</v>
      </c>
      <c r="T3337" s="8">
        <v>1.0001249999999999</v>
      </c>
      <c r="U3337" s="98">
        <v>4.5100274097106707</v>
      </c>
      <c r="V3337" s="106">
        <v>35066.84817642608</v>
      </c>
      <c r="W3337" s="10">
        <v>1.2222914441631927</v>
      </c>
      <c r="X3337" s="420"/>
      <c r="Y3337" s="420"/>
      <c r="Z3337" s="1"/>
      <c r="AA3337" s="1"/>
      <c r="AB3337" s="1"/>
      <c r="AC3337" s="1"/>
      <c r="AD3337" s="1"/>
    </row>
    <row r="3338" spans="17:30">
      <c r="Q3338" s="6">
        <v>3308</v>
      </c>
      <c r="R3338" s="7">
        <v>45975</v>
      </c>
      <c r="S3338" s="210">
        <v>4.5</v>
      </c>
      <c r="T3338" s="8">
        <v>1.0001249999999999</v>
      </c>
      <c r="U3338" s="98">
        <v>4.5100750935838096</v>
      </c>
      <c r="V3338" s="106">
        <v>35069.864057696068</v>
      </c>
      <c r="W3338" s="10">
        <v>1.2223551916856756</v>
      </c>
      <c r="X3338" s="420"/>
      <c r="Y3338" s="420"/>
      <c r="Z3338" s="1"/>
      <c r="AA3338" s="1"/>
      <c r="AB3338" s="1"/>
      <c r="AC3338" s="1"/>
      <c r="AD3338" s="1"/>
    </row>
    <row r="3339" spans="17:30">
      <c r="Q3339" s="6">
        <v>3309</v>
      </c>
      <c r="R3339" s="7">
        <v>45976</v>
      </c>
      <c r="S3339" s="210">
        <v>4.5</v>
      </c>
      <c r="T3339" s="8">
        <v>1.0001249999999999</v>
      </c>
      <c r="U3339" s="98">
        <v>4.5101227486579631</v>
      </c>
      <c r="V3339" s="106">
        <v>35072.88019834322</v>
      </c>
      <c r="W3339" s="10">
        <v>1.2224189007184805</v>
      </c>
      <c r="X3339" s="420"/>
      <c r="Y3339" s="420"/>
      <c r="Z3339" s="1"/>
      <c r="AA3339" s="1"/>
      <c r="AB3339" s="1"/>
      <c r="AC3339" s="1"/>
      <c r="AD3339" s="1"/>
    </row>
    <row r="3340" spans="17:30">
      <c r="Q3340" s="6">
        <v>3310</v>
      </c>
      <c r="R3340" s="7">
        <v>45977</v>
      </c>
      <c r="S3340" s="210">
        <v>4.5</v>
      </c>
      <c r="T3340" s="8">
        <v>1.0001249999999999</v>
      </c>
      <c r="U3340" s="98">
        <v>4.5101703749592215</v>
      </c>
      <c r="V3340" s="106">
        <v>35075.896598389852</v>
      </c>
      <c r="W3340" s="10">
        <v>1.222482571296446</v>
      </c>
      <c r="X3340" s="420"/>
      <c r="Y3340" s="420"/>
      <c r="Z3340" s="1"/>
      <c r="AA3340" s="1"/>
      <c r="AB3340" s="1"/>
      <c r="AC3340" s="1"/>
      <c r="AD3340" s="1"/>
    </row>
    <row r="3341" spans="17:30">
      <c r="Q3341" s="6">
        <v>3311</v>
      </c>
      <c r="R3341" s="7">
        <v>45978</v>
      </c>
      <c r="S3341" s="210">
        <v>4.5</v>
      </c>
      <c r="T3341" s="8">
        <v>1.0001249999999999</v>
      </c>
      <c r="U3341" s="98">
        <v>4.5102179725136304</v>
      </c>
      <c r="V3341" s="106">
        <v>35078.913257858265</v>
      </c>
      <c r="W3341" s="10">
        <v>1.222546203454411</v>
      </c>
      <c r="X3341" s="420"/>
      <c r="Y3341" s="420"/>
      <c r="Z3341" s="1"/>
      <c r="AA3341" s="1"/>
      <c r="AB3341" s="1"/>
      <c r="AC3341" s="1"/>
      <c r="AD3341" s="1"/>
    </row>
    <row r="3342" spans="17:30">
      <c r="Q3342" s="6">
        <v>3312</v>
      </c>
      <c r="R3342" s="7">
        <v>45979</v>
      </c>
      <c r="S3342" s="210">
        <v>4.5</v>
      </c>
      <c r="T3342" s="8">
        <v>1.0001249999999999</v>
      </c>
      <c r="U3342" s="98">
        <v>4.5102655413472137</v>
      </c>
      <c r="V3342" s="106">
        <v>35081.93017677078</v>
      </c>
      <c r="W3342" s="10">
        <v>1.2226097972271033</v>
      </c>
      <c r="X3342" s="420"/>
      <c r="Y3342" s="420"/>
      <c r="Z3342" s="1"/>
      <c r="AA3342" s="1"/>
      <c r="AB3342" s="1"/>
      <c r="AC3342" s="1"/>
      <c r="AD3342" s="1"/>
    </row>
    <row r="3343" spans="17:30">
      <c r="Q3343" s="6">
        <v>3313</v>
      </c>
      <c r="R3343" s="7">
        <v>45980</v>
      </c>
      <c r="S3343" s="210">
        <v>4.5</v>
      </c>
      <c r="T3343" s="8">
        <v>1.0001249999999999</v>
      </c>
      <c r="U3343" s="98">
        <v>4.5103130814859504</v>
      </c>
      <c r="V3343" s="106">
        <v>35084.947355149707</v>
      </c>
      <c r="W3343" s="10">
        <v>1.222673352649295</v>
      </c>
      <c r="X3343" s="420"/>
      <c r="Y3343" s="420"/>
      <c r="Z3343" s="1"/>
      <c r="AA3343" s="1"/>
      <c r="AB3343" s="1"/>
      <c r="AC3343" s="1"/>
      <c r="AD3343" s="1"/>
    </row>
    <row r="3344" spans="17:30">
      <c r="Q3344" s="6">
        <v>3314</v>
      </c>
      <c r="R3344" s="7">
        <v>45981</v>
      </c>
      <c r="S3344" s="210">
        <v>4.5</v>
      </c>
      <c r="T3344" s="8">
        <v>1.0001249999999999</v>
      </c>
      <c r="U3344" s="98">
        <v>4.5103605929558199</v>
      </c>
      <c r="V3344" s="106">
        <v>35087.96479301736</v>
      </c>
      <c r="W3344" s="10">
        <v>1.2227368697556251</v>
      </c>
      <c r="X3344" s="420"/>
      <c r="Y3344" s="420"/>
      <c r="Z3344" s="1"/>
      <c r="AA3344" s="1"/>
      <c r="AB3344" s="1"/>
      <c r="AC3344" s="1"/>
      <c r="AD3344" s="1"/>
    </row>
    <row r="3345" spans="17:30">
      <c r="Q3345" s="6">
        <v>3315</v>
      </c>
      <c r="R3345" s="7">
        <v>45982</v>
      </c>
      <c r="S3345" s="210">
        <v>4.5</v>
      </c>
      <c r="T3345" s="8">
        <v>1.0001249999999999</v>
      </c>
      <c r="U3345" s="98">
        <v>4.5104080757827347</v>
      </c>
      <c r="V3345" s="106">
        <v>35090.982490396054</v>
      </c>
      <c r="W3345" s="10">
        <v>1.2228003485807548</v>
      </c>
      <c r="X3345" s="420"/>
      <c r="Y3345" s="420"/>
      <c r="Z3345" s="1"/>
      <c r="AA3345" s="1"/>
      <c r="AB3345" s="1"/>
      <c r="AC3345" s="1"/>
      <c r="AD3345" s="1"/>
    </row>
    <row r="3346" spans="17:30">
      <c r="Q3346" s="6">
        <v>3316</v>
      </c>
      <c r="R3346" s="7">
        <v>45983</v>
      </c>
      <c r="S3346" s="210">
        <v>4.5</v>
      </c>
      <c r="T3346" s="8">
        <v>1.0001249999999999</v>
      </c>
      <c r="U3346" s="98">
        <v>4.5104555299925853</v>
      </c>
      <c r="V3346" s="106">
        <v>35094.000447308114</v>
      </c>
      <c r="W3346" s="10">
        <v>1.2228637891592786</v>
      </c>
      <c r="X3346" s="420"/>
      <c r="Y3346" s="420"/>
      <c r="Z3346" s="1"/>
      <c r="AA3346" s="1"/>
      <c r="AB3346" s="1"/>
      <c r="AC3346" s="1"/>
      <c r="AD3346" s="1"/>
    </row>
    <row r="3347" spans="17:30">
      <c r="Q3347" s="6">
        <v>3317</v>
      </c>
      <c r="R3347" s="7">
        <v>45984</v>
      </c>
      <c r="S3347" s="210">
        <v>4.5</v>
      </c>
      <c r="T3347" s="8">
        <v>1.0001249999999999</v>
      </c>
      <c r="U3347" s="98">
        <v>4.5105029556112175</v>
      </c>
      <c r="V3347" s="106">
        <v>35097.01866377586</v>
      </c>
      <c r="W3347" s="10">
        <v>1.2229271915257245</v>
      </c>
      <c r="X3347" s="420"/>
      <c r="Y3347" s="420"/>
      <c r="Z3347" s="1"/>
      <c r="AA3347" s="1"/>
      <c r="AB3347" s="1"/>
      <c r="AC3347" s="1"/>
      <c r="AD3347" s="1"/>
    </row>
    <row r="3348" spans="17:30">
      <c r="Q3348" s="6">
        <v>3318</v>
      </c>
      <c r="R3348" s="7">
        <v>45985</v>
      </c>
      <c r="S3348" s="210">
        <v>4.5</v>
      </c>
      <c r="T3348" s="8">
        <v>1.0001249999999999</v>
      </c>
      <c r="U3348" s="98">
        <v>4.5105503526644997</v>
      </c>
      <c r="V3348" s="106">
        <v>35100.037139821601</v>
      </c>
      <c r="W3348" s="10">
        <v>1.2229905557146425</v>
      </c>
      <c r="X3348" s="420"/>
      <c r="Y3348" s="420"/>
      <c r="Z3348" s="1"/>
      <c r="AA3348" s="1"/>
      <c r="AB3348" s="1"/>
      <c r="AC3348" s="1"/>
      <c r="AD3348" s="1"/>
    </row>
    <row r="3349" spans="17:30">
      <c r="Q3349" s="6">
        <v>3319</v>
      </c>
      <c r="R3349" s="7">
        <v>45986</v>
      </c>
      <c r="S3349" s="210">
        <v>4.5</v>
      </c>
      <c r="T3349" s="8">
        <v>1.0001249999999999</v>
      </c>
      <c r="U3349" s="98">
        <v>4.5105977211782111</v>
      </c>
      <c r="V3349" s="106">
        <v>35103.055875467682</v>
      </c>
      <c r="W3349" s="10">
        <v>1.2230538817604941</v>
      </c>
      <c r="X3349" s="420"/>
      <c r="Y3349" s="420"/>
      <c r="Z3349" s="1"/>
      <c r="AA3349" s="1"/>
      <c r="AB3349" s="1"/>
      <c r="AC3349" s="1"/>
      <c r="AD3349" s="1"/>
    </row>
    <row r="3350" spans="17:30">
      <c r="Q3350" s="6">
        <v>3320</v>
      </c>
      <c r="R3350" s="7">
        <v>45987</v>
      </c>
      <c r="S3350" s="210">
        <v>4.5</v>
      </c>
      <c r="T3350" s="8">
        <v>1.0001249999999999</v>
      </c>
      <c r="U3350" s="98">
        <v>4.510645061178109</v>
      </c>
      <c r="V3350" s="106">
        <v>35106.074870736418</v>
      </c>
      <c r="W3350" s="10">
        <v>1.2231171696976961</v>
      </c>
      <c r="X3350" s="420"/>
      <c r="Y3350" s="420"/>
      <c r="Z3350" s="1"/>
      <c r="AA3350" s="1"/>
      <c r="AB3350" s="1"/>
      <c r="AC3350" s="1"/>
      <c r="AD3350" s="1"/>
    </row>
    <row r="3351" spans="17:30">
      <c r="Q3351" s="6">
        <v>3321</v>
      </c>
      <c r="R3351" s="7">
        <v>45988</v>
      </c>
      <c r="S3351" s="210">
        <v>4.5</v>
      </c>
      <c r="T3351" s="8">
        <v>1.0001249999999999</v>
      </c>
      <c r="U3351" s="98">
        <v>4.5106923726899506</v>
      </c>
      <c r="V3351" s="106">
        <v>35109.094125650132</v>
      </c>
      <c r="W3351" s="10">
        <v>1.2231804195606433</v>
      </c>
      <c r="X3351" s="420"/>
      <c r="Y3351" s="420"/>
      <c r="Z3351" s="1"/>
      <c r="AA3351" s="1"/>
      <c r="AB3351" s="1"/>
      <c r="AC3351" s="1"/>
      <c r="AD3351" s="1"/>
    </row>
    <row r="3352" spans="17:30">
      <c r="Q3352" s="6">
        <v>3322</v>
      </c>
      <c r="R3352" s="7">
        <v>45989</v>
      </c>
      <c r="S3352" s="210">
        <v>4.5</v>
      </c>
      <c r="T3352" s="8">
        <v>1.0001249999999999</v>
      </c>
      <c r="U3352" s="98">
        <v>4.5107396557394486</v>
      </c>
      <c r="V3352" s="106">
        <v>35112.113640231168</v>
      </c>
      <c r="W3352" s="10">
        <v>1.2232436313837081</v>
      </c>
      <c r="X3352" s="420"/>
      <c r="Y3352" s="420"/>
      <c r="Z3352" s="1"/>
      <c r="AA3352" s="1"/>
      <c r="AB3352" s="1"/>
      <c r="AC3352" s="1"/>
      <c r="AD3352" s="1"/>
    </row>
    <row r="3353" spans="17:30">
      <c r="Q3353" s="6">
        <v>3323</v>
      </c>
      <c r="R3353" s="7">
        <v>45990</v>
      </c>
      <c r="S3353" s="210">
        <v>4.5</v>
      </c>
      <c r="T3353" s="8">
        <v>1.0001249999999999</v>
      </c>
      <c r="U3353" s="98">
        <v>4.5107869103522713</v>
      </c>
      <c r="V3353" s="106">
        <v>35115.133414501848</v>
      </c>
      <c r="W3353" s="10">
        <v>1.2233068052011742</v>
      </c>
      <c r="X3353" s="420"/>
      <c r="Y3353" s="420"/>
      <c r="Z3353" s="1"/>
      <c r="AA3353" s="1"/>
      <c r="AB3353" s="1"/>
      <c r="AC3353" s="1"/>
      <c r="AD3353" s="1"/>
    </row>
    <row r="3354" spans="17:30">
      <c r="Q3354" s="6">
        <v>3324</v>
      </c>
      <c r="R3354" s="7">
        <v>45991</v>
      </c>
      <c r="S3354" s="210">
        <v>4.5</v>
      </c>
      <c r="T3354" s="8">
        <v>1.0001249999999999</v>
      </c>
      <c r="U3354" s="98">
        <v>4.510834136554065</v>
      </c>
      <c r="V3354" s="106">
        <v>35118.153448484518</v>
      </c>
      <c r="W3354" s="10">
        <v>1.2233699410473253</v>
      </c>
      <c r="X3354" s="420"/>
      <c r="Y3354" s="420"/>
      <c r="Z3354" s="1"/>
      <c r="AA3354" s="1"/>
      <c r="AB3354" s="1"/>
      <c r="AC3354" s="1"/>
      <c r="AD3354" s="1"/>
    </row>
    <row r="3355" spans="17:30">
      <c r="Q3355" s="6">
        <v>3325</v>
      </c>
      <c r="R3355" s="7">
        <v>45992</v>
      </c>
      <c r="S3355" s="210">
        <v>4.5</v>
      </c>
      <c r="T3355" s="8">
        <v>1.0001249999999999</v>
      </c>
      <c r="U3355" s="98">
        <v>4.5108813343704313</v>
      </c>
      <c r="V3355" s="106">
        <v>35121.173742201499</v>
      </c>
      <c r="W3355" s="10">
        <v>1.2234330389563342</v>
      </c>
      <c r="X3355" s="420"/>
      <c r="Y3355" s="420"/>
      <c r="Z3355" s="1"/>
      <c r="AA3355" s="1"/>
      <c r="AB3355" s="1"/>
      <c r="AC3355" s="1"/>
      <c r="AD3355" s="1"/>
    </row>
    <row r="3356" spans="17:30">
      <c r="Q3356" s="6">
        <v>3326</v>
      </c>
      <c r="R3356" s="7">
        <v>45993</v>
      </c>
      <c r="S3356" s="210">
        <v>4.5</v>
      </c>
      <c r="T3356" s="8">
        <v>1.0001249999999999</v>
      </c>
      <c r="U3356" s="98">
        <v>4.510928503826972</v>
      </c>
      <c r="V3356" s="106">
        <v>35124.194295675145</v>
      </c>
      <c r="W3356" s="10">
        <v>1.2234960989624621</v>
      </c>
      <c r="X3356" s="420"/>
      <c r="Y3356" s="420"/>
      <c r="Z3356" s="1"/>
      <c r="AA3356" s="1"/>
      <c r="AB3356" s="1"/>
      <c r="AC3356" s="1"/>
      <c r="AD3356" s="1"/>
    </row>
    <row r="3357" spans="17:30">
      <c r="Q3357" s="6">
        <v>3327</v>
      </c>
      <c r="R3357" s="7">
        <v>45994</v>
      </c>
      <c r="S3357" s="210">
        <v>4.5</v>
      </c>
      <c r="T3357" s="8">
        <v>1.0001249999999999</v>
      </c>
      <c r="U3357" s="98">
        <v>4.5109756449492222</v>
      </c>
      <c r="V3357" s="106">
        <v>35127.215108927776</v>
      </c>
      <c r="W3357" s="10">
        <v>1.2235591210997931</v>
      </c>
      <c r="X3357" s="420"/>
      <c r="Y3357" s="420"/>
      <c r="Z3357" s="1"/>
      <c r="AA3357" s="1"/>
      <c r="AB3357" s="1"/>
      <c r="AC3357" s="1"/>
      <c r="AD3357" s="1"/>
    </row>
    <row r="3358" spans="17:30">
      <c r="Q3358" s="6">
        <v>3328</v>
      </c>
      <c r="R3358" s="7">
        <v>45995</v>
      </c>
      <c r="S3358" s="210">
        <v>4.5</v>
      </c>
      <c r="T3358" s="8">
        <v>1.0001249999999999</v>
      </c>
      <c r="U3358" s="98">
        <v>4.5110227577627171</v>
      </c>
      <c r="V3358" s="106">
        <v>35130.23618198176</v>
      </c>
      <c r="W3358" s="10">
        <v>1.2236221054024332</v>
      </c>
      <c r="X3358" s="420"/>
      <c r="Y3358" s="420"/>
      <c r="Z3358" s="1"/>
      <c r="AA3358" s="1"/>
      <c r="AB3358" s="1"/>
      <c r="AC3358" s="1"/>
      <c r="AD3358" s="1"/>
    </row>
    <row r="3359" spans="17:30">
      <c r="Q3359" s="6">
        <v>3329</v>
      </c>
      <c r="R3359" s="7">
        <v>45996</v>
      </c>
      <c r="S3359" s="210">
        <v>4.5</v>
      </c>
      <c r="T3359" s="8">
        <v>1.0001249999999999</v>
      </c>
      <c r="U3359" s="98">
        <v>4.5110698422929474</v>
      </c>
      <c r="V3359" s="106">
        <v>35133.257514859411</v>
      </c>
      <c r="W3359" s="10">
        <v>1.2236850519044662</v>
      </c>
      <c r="X3359" s="420"/>
      <c r="Y3359" s="420"/>
      <c r="Z3359" s="1"/>
      <c r="AA3359" s="1"/>
      <c r="AB3359" s="1"/>
      <c r="AC3359" s="1"/>
      <c r="AD3359" s="1"/>
    </row>
    <row r="3360" spans="17:30">
      <c r="Q3360" s="6">
        <v>3330</v>
      </c>
      <c r="R3360" s="7">
        <v>45997</v>
      </c>
      <c r="S3360" s="210">
        <v>4.5</v>
      </c>
      <c r="T3360" s="8">
        <v>1.0001249999999999</v>
      </c>
      <c r="U3360" s="98">
        <v>4.5111168985653816</v>
      </c>
      <c r="V3360" s="106">
        <v>35136.279107583105</v>
      </c>
      <c r="W3360" s="10">
        <v>1.2237479606398871</v>
      </c>
      <c r="X3360" s="420"/>
      <c r="Y3360" s="420"/>
      <c r="Z3360" s="1"/>
      <c r="AA3360" s="1"/>
      <c r="AB3360" s="1"/>
      <c r="AC3360" s="1"/>
      <c r="AD3360" s="1"/>
    </row>
    <row r="3361" spans="17:30">
      <c r="Q3361" s="6">
        <v>3331</v>
      </c>
      <c r="R3361" s="7">
        <v>45998</v>
      </c>
      <c r="S3361" s="210">
        <v>4.5</v>
      </c>
      <c r="T3361" s="8">
        <v>1.0001249999999999</v>
      </c>
      <c r="U3361" s="98">
        <v>4.5111639266054437</v>
      </c>
      <c r="V3361" s="106">
        <v>35139.300960175176</v>
      </c>
      <c r="W3361" s="10">
        <v>1.2238108316427132</v>
      </c>
      <c r="X3361" s="420"/>
      <c r="Y3361" s="420"/>
      <c r="Z3361" s="1"/>
      <c r="AA3361" s="1"/>
      <c r="AB3361" s="1"/>
      <c r="AC3361" s="1"/>
      <c r="AD3361" s="1"/>
    </row>
    <row r="3362" spans="17:30">
      <c r="Q3362" s="6">
        <v>3332</v>
      </c>
      <c r="R3362" s="7">
        <v>45999</v>
      </c>
      <c r="S3362" s="210">
        <v>4.5</v>
      </c>
      <c r="T3362" s="8">
        <v>1.0001249999999999</v>
      </c>
      <c r="U3362" s="98">
        <v>4.5112109264385358</v>
      </c>
      <c r="V3362" s="106">
        <v>35142.323072657964</v>
      </c>
      <c r="W3362" s="10">
        <v>1.2238736649468507</v>
      </c>
      <c r="X3362" s="420"/>
      <c r="Y3362" s="420"/>
      <c r="Z3362" s="1"/>
      <c r="AA3362" s="1"/>
      <c r="AB3362" s="1"/>
      <c r="AC3362" s="1"/>
      <c r="AD3362" s="1"/>
    </row>
    <row r="3363" spans="17:30">
      <c r="Q3363" s="6">
        <v>3333</v>
      </c>
      <c r="R3363" s="7">
        <v>46000</v>
      </c>
      <c r="S3363" s="210">
        <v>4.5</v>
      </c>
      <c r="T3363" s="8">
        <v>1.0001249999999999</v>
      </c>
      <c r="U3363" s="98">
        <v>4.5112578980900153</v>
      </c>
      <c r="V3363" s="106">
        <v>35145.345445053834</v>
      </c>
      <c r="W3363" s="10">
        <v>1.2239364605861835</v>
      </c>
      <c r="X3363" s="420"/>
      <c r="Y3363" s="420"/>
      <c r="Z3363" s="1"/>
      <c r="AA3363" s="1"/>
      <c r="AB3363" s="1"/>
      <c r="AC3363" s="1"/>
      <c r="AD3363" s="1"/>
    </row>
    <row r="3364" spans="17:30">
      <c r="Q3364" s="6">
        <v>3334</v>
      </c>
      <c r="R3364" s="7">
        <v>46001</v>
      </c>
      <c r="S3364" s="210">
        <v>4.5</v>
      </c>
      <c r="T3364" s="8">
        <v>1.0001249999999999</v>
      </c>
      <c r="U3364" s="98">
        <v>4.5113048415852397</v>
      </c>
      <c r="V3364" s="106">
        <v>35148.36807738513</v>
      </c>
      <c r="W3364" s="10">
        <v>1.223999218594618</v>
      </c>
      <c r="X3364" s="420"/>
      <c r="Y3364" s="420"/>
      <c r="Z3364" s="1"/>
      <c r="AA3364" s="1"/>
      <c r="AB3364" s="1"/>
      <c r="AC3364" s="1"/>
      <c r="AD3364" s="1"/>
    </row>
    <row r="3365" spans="17:30">
      <c r="Q3365" s="6">
        <v>3335</v>
      </c>
      <c r="R3365" s="7">
        <v>46002</v>
      </c>
      <c r="S3365" s="210">
        <v>4.5</v>
      </c>
      <c r="T3365" s="8">
        <v>1.0001249999999999</v>
      </c>
      <c r="U3365" s="98">
        <v>4.5113517569494999</v>
      </c>
      <c r="V3365" s="106">
        <v>35151.390969674219</v>
      </c>
      <c r="W3365" s="10">
        <v>1.2240619390059049</v>
      </c>
      <c r="X3365" s="420"/>
      <c r="Y3365" s="420"/>
      <c r="Z3365" s="1"/>
      <c r="AA3365" s="1"/>
      <c r="AB3365" s="1"/>
      <c r="AC3365" s="1"/>
      <c r="AD3365" s="1"/>
    </row>
    <row r="3366" spans="17:30">
      <c r="Q3366" s="6">
        <v>3336</v>
      </c>
      <c r="R3366" s="7">
        <v>46003</v>
      </c>
      <c r="S3366" s="210">
        <v>4.5</v>
      </c>
      <c r="T3366" s="8">
        <v>1.0001249999999999</v>
      </c>
      <c r="U3366" s="98">
        <v>4.5113986442080867</v>
      </c>
      <c r="V3366" s="106">
        <v>35154.414121943446</v>
      </c>
      <c r="W3366" s="10">
        <v>1.2241246218538837</v>
      </c>
      <c r="X3366" s="420"/>
      <c r="Y3366" s="420"/>
      <c r="Z3366" s="1"/>
      <c r="AA3366" s="1"/>
      <c r="AB3366" s="1"/>
      <c r="AC3366" s="1"/>
      <c r="AD3366" s="1"/>
    </row>
    <row r="3367" spans="17:30">
      <c r="Q3367" s="6">
        <v>3337</v>
      </c>
      <c r="R3367" s="7">
        <v>46004</v>
      </c>
      <c r="S3367" s="210">
        <v>4.5</v>
      </c>
      <c r="T3367" s="8">
        <v>1.0001249999999999</v>
      </c>
      <c r="U3367" s="98">
        <v>4.5114455033862466</v>
      </c>
      <c r="V3367" s="106">
        <v>35157.437534215183</v>
      </c>
      <c r="W3367" s="10">
        <v>1.2241872671722387</v>
      </c>
      <c r="X3367" s="420"/>
      <c r="Y3367" s="420"/>
      <c r="Z3367" s="1"/>
      <c r="AA3367" s="1"/>
      <c r="AB3367" s="1"/>
      <c r="AC3367" s="1"/>
      <c r="AD3367" s="1"/>
    </row>
    <row r="3368" spans="17:30">
      <c r="Q3368" s="6">
        <v>3338</v>
      </c>
      <c r="R3368" s="7">
        <v>46005</v>
      </c>
      <c r="S3368" s="210">
        <v>4.5</v>
      </c>
      <c r="T3368" s="8">
        <v>1.0001249999999999</v>
      </c>
      <c r="U3368" s="98">
        <v>4.5114923345092039</v>
      </c>
      <c r="V3368" s="106">
        <v>35160.461206511776</v>
      </c>
      <c r="W3368" s="10">
        <v>1.2242498749947206</v>
      </c>
      <c r="X3368" s="420"/>
      <c r="Y3368" s="420"/>
      <c r="Z3368" s="1"/>
      <c r="AA3368" s="1"/>
      <c r="AB3368" s="1"/>
      <c r="AC3368" s="1"/>
      <c r="AD3368" s="1"/>
    </row>
    <row r="3369" spans="17:30">
      <c r="Q3369" s="6">
        <v>3339</v>
      </c>
      <c r="R3369" s="7">
        <v>46006</v>
      </c>
      <c r="S3369" s="210">
        <v>4.5</v>
      </c>
      <c r="T3369" s="8">
        <v>1.0001249999999999</v>
      </c>
      <c r="U3369" s="98">
        <v>4.5115391376021385</v>
      </c>
      <c r="V3369" s="106">
        <v>35163.485138855613</v>
      </c>
      <c r="W3369" s="10">
        <v>1.2243124453549248</v>
      </c>
      <c r="X3369" s="420"/>
      <c r="Y3369" s="420"/>
      <c r="Z3369" s="1"/>
      <c r="AA3369" s="1"/>
      <c r="AB3369" s="1"/>
      <c r="AC3369" s="1"/>
      <c r="AD3369" s="1"/>
    </row>
    <row r="3370" spans="17:30">
      <c r="Q3370" s="6">
        <v>3340</v>
      </c>
      <c r="R3370" s="7">
        <v>46007</v>
      </c>
      <c r="S3370" s="210">
        <v>4.5</v>
      </c>
      <c r="T3370" s="8">
        <v>1.0001249999999999</v>
      </c>
      <c r="U3370" s="98">
        <v>4.511585912690208</v>
      </c>
      <c r="V3370" s="106">
        <v>35166.509331269022</v>
      </c>
      <c r="W3370" s="10">
        <v>1.224374978286491</v>
      </c>
      <c r="X3370" s="420"/>
      <c r="Y3370" s="420"/>
      <c r="Z3370" s="1"/>
      <c r="AA3370" s="1"/>
      <c r="AB3370" s="1"/>
      <c r="AC3370" s="1"/>
      <c r="AD3370" s="1"/>
    </row>
    <row r="3371" spans="17:30">
      <c r="Q3371" s="6">
        <v>3341</v>
      </c>
      <c r="R3371" s="7">
        <v>46008</v>
      </c>
      <c r="S3371" s="210">
        <v>4.5</v>
      </c>
      <c r="T3371" s="8">
        <v>1.0001249999999999</v>
      </c>
      <c r="U3371" s="98">
        <v>4.5116326597985479</v>
      </c>
      <c r="V3371" s="106">
        <v>35169.533783774401</v>
      </c>
      <c r="W3371" s="10">
        <v>1.2244374738229924</v>
      </c>
      <c r="X3371" s="420"/>
      <c r="Y3371" s="420"/>
      <c r="Z3371" s="1"/>
      <c r="AA3371" s="1"/>
      <c r="AB3371" s="1"/>
      <c r="AC3371" s="1"/>
      <c r="AD3371" s="1"/>
    </row>
    <row r="3372" spans="17:30">
      <c r="Q3372" s="6">
        <v>3342</v>
      </c>
      <c r="R3372" s="7">
        <v>46009</v>
      </c>
      <c r="S3372" s="210">
        <v>4.5</v>
      </c>
      <c r="T3372" s="8">
        <v>1.0001249999999999</v>
      </c>
      <c r="U3372" s="98">
        <v>4.5116793789522491</v>
      </c>
      <c r="V3372" s="106">
        <v>35172.558496394107</v>
      </c>
      <c r="W3372" s="10">
        <v>1.2244999319979799</v>
      </c>
      <c r="X3372" s="420"/>
      <c r="Y3372" s="420"/>
      <c r="Z3372" s="1"/>
      <c r="AA3372" s="1"/>
      <c r="AB3372" s="1"/>
      <c r="AC3372" s="1"/>
      <c r="AD3372" s="1"/>
    </row>
    <row r="3373" spans="17:30">
      <c r="Q3373" s="6">
        <v>3343</v>
      </c>
      <c r="R3373" s="7">
        <v>46010</v>
      </c>
      <c r="S3373" s="210">
        <v>4.5</v>
      </c>
      <c r="T3373" s="8">
        <v>1.0001249999999999</v>
      </c>
      <c r="U3373" s="98">
        <v>4.5117260701763806</v>
      </c>
      <c r="V3373" s="106">
        <v>35175.583469150515</v>
      </c>
      <c r="W3373" s="10">
        <v>1.2245623528448935</v>
      </c>
      <c r="X3373" s="420"/>
      <c r="Y3373" s="420"/>
      <c r="Z3373" s="1"/>
      <c r="AA3373" s="1"/>
      <c r="AB3373" s="1"/>
      <c r="AC3373" s="1"/>
      <c r="AD3373" s="1"/>
    </row>
    <row r="3374" spans="17:30">
      <c r="Q3374" s="6">
        <v>3344</v>
      </c>
      <c r="R3374" s="7">
        <v>46011</v>
      </c>
      <c r="S3374" s="210">
        <v>4.5</v>
      </c>
      <c r="T3374" s="8">
        <v>1.0001249999999999</v>
      </c>
      <c r="U3374" s="98">
        <v>4.5117727334959667</v>
      </c>
      <c r="V3374" s="106">
        <v>35178.608702065991</v>
      </c>
      <c r="W3374" s="10">
        <v>1.2246247363972396</v>
      </c>
      <c r="X3374" s="420"/>
      <c r="Y3374" s="420"/>
      <c r="Z3374" s="1"/>
      <c r="AA3374" s="1"/>
      <c r="AB3374" s="1"/>
      <c r="AC3374" s="1"/>
      <c r="AD3374" s="1"/>
    </row>
    <row r="3375" spans="17:30">
      <c r="Q3375" s="6">
        <v>3345</v>
      </c>
      <c r="R3375" s="7">
        <v>46012</v>
      </c>
      <c r="S3375" s="210">
        <v>4.5</v>
      </c>
      <c r="T3375" s="8">
        <v>1.0001249999999999</v>
      </c>
      <c r="U3375" s="98">
        <v>4.511819368936032</v>
      </c>
      <c r="V3375" s="106">
        <v>35181.634195162915</v>
      </c>
      <c r="W3375" s="10">
        <v>1.2246870826884138</v>
      </c>
      <c r="X3375" s="420"/>
      <c r="Y3375" s="420"/>
      <c r="Z3375" s="1"/>
      <c r="AA3375" s="1"/>
      <c r="AB3375" s="1"/>
      <c r="AC3375" s="1"/>
      <c r="AD3375" s="1"/>
    </row>
    <row r="3376" spans="17:30">
      <c r="Q3376" s="6">
        <v>3346</v>
      </c>
      <c r="R3376" s="7">
        <v>46013</v>
      </c>
      <c r="S3376" s="210">
        <v>4.5</v>
      </c>
      <c r="T3376" s="8">
        <v>1.0001249999999999</v>
      </c>
      <c r="U3376" s="98">
        <v>4.5118659765215563</v>
      </c>
      <c r="V3376" s="106">
        <v>35184.659948463661</v>
      </c>
      <c r="W3376" s="10">
        <v>1.2247493917517893</v>
      </c>
      <c r="X3376" s="420"/>
      <c r="Y3376" s="420"/>
      <c r="Z3376" s="1"/>
      <c r="AA3376" s="1"/>
      <c r="AB3376" s="1"/>
      <c r="AC3376" s="1"/>
      <c r="AD3376" s="1"/>
    </row>
    <row r="3377" spans="17:30">
      <c r="Q3377" s="6">
        <v>3347</v>
      </c>
      <c r="R3377" s="7">
        <v>46014</v>
      </c>
      <c r="S3377" s="210">
        <v>4.5</v>
      </c>
      <c r="T3377" s="8">
        <v>1.0001249999999999</v>
      </c>
      <c r="U3377" s="98">
        <v>4.5119125562774753</v>
      </c>
      <c r="V3377" s="106">
        <v>35187.685961990617</v>
      </c>
      <c r="W3377" s="10">
        <v>1.2248116636206952</v>
      </c>
      <c r="X3377" s="420"/>
      <c r="Y3377" s="420"/>
      <c r="Z3377" s="1"/>
      <c r="AA3377" s="1"/>
      <c r="AB3377" s="1"/>
      <c r="AC3377" s="1"/>
      <c r="AD3377" s="1"/>
    </row>
    <row r="3378" spans="17:30">
      <c r="Q3378" s="6">
        <v>3348</v>
      </c>
      <c r="R3378" s="7">
        <v>46015</v>
      </c>
      <c r="S3378" s="210">
        <v>4.5</v>
      </c>
      <c r="T3378" s="8">
        <v>1.0001249999999999</v>
      </c>
      <c r="U3378" s="98">
        <v>4.5119591082287247</v>
      </c>
      <c r="V3378" s="106">
        <v>35190.712235766143</v>
      </c>
      <c r="W3378" s="10">
        <v>1.2248738983284602</v>
      </c>
      <c r="X3378" s="420"/>
      <c r="Y3378" s="420"/>
      <c r="Z3378" s="1"/>
      <c r="AA3378" s="1"/>
      <c r="AB3378" s="1"/>
      <c r="AC3378" s="1"/>
      <c r="AD3378" s="1"/>
    </row>
    <row r="3379" spans="17:30">
      <c r="Q3379" s="6">
        <v>3349</v>
      </c>
      <c r="R3379" s="7">
        <v>46016</v>
      </c>
      <c r="S3379" s="210">
        <v>4.5</v>
      </c>
      <c r="T3379" s="8">
        <v>1.0001249999999999</v>
      </c>
      <c r="U3379" s="98">
        <v>4.5120056324001734</v>
      </c>
      <c r="V3379" s="106">
        <v>35193.73876981264</v>
      </c>
      <c r="W3379" s="10">
        <v>1.22493609590828</v>
      </c>
      <c r="X3379" s="420"/>
      <c r="Y3379" s="420"/>
      <c r="Z3379" s="1"/>
      <c r="AA3379" s="1"/>
      <c r="AB3379" s="1"/>
      <c r="AC3379" s="1"/>
      <c r="AD3379" s="1"/>
    </row>
    <row r="3380" spans="17:30">
      <c r="Q3380" s="6">
        <v>3350</v>
      </c>
      <c r="R3380" s="7">
        <v>46017</v>
      </c>
      <c r="S3380" s="210">
        <v>4.5</v>
      </c>
      <c r="T3380" s="8">
        <v>1.0001249999999999</v>
      </c>
      <c r="U3380" s="98">
        <v>4.5120521288166904</v>
      </c>
      <c r="V3380" s="106">
        <v>35196.765564152483</v>
      </c>
      <c r="W3380" s="10">
        <v>1.224998256393417</v>
      </c>
      <c r="X3380" s="420"/>
      <c r="Y3380" s="420"/>
      <c r="Z3380" s="1"/>
      <c r="AA3380" s="1"/>
      <c r="AB3380" s="1"/>
      <c r="AC3380" s="1"/>
      <c r="AD3380" s="1"/>
    </row>
    <row r="3381" spans="17:30">
      <c r="Q3381" s="6">
        <v>3351</v>
      </c>
      <c r="R3381" s="7">
        <v>46018</v>
      </c>
      <c r="S3381" s="210">
        <v>4.5</v>
      </c>
      <c r="T3381" s="8">
        <v>1.0001249999999999</v>
      </c>
      <c r="U3381" s="98">
        <v>4.5120985975031003</v>
      </c>
      <c r="V3381" s="106">
        <v>35199.792618808067</v>
      </c>
      <c r="W3381" s="10">
        <v>1.2250603798170001</v>
      </c>
      <c r="X3381" s="420"/>
      <c r="Y3381" s="420"/>
      <c r="Z3381" s="1"/>
      <c r="AA3381" s="1"/>
      <c r="AB3381" s="1"/>
      <c r="AC3381" s="1"/>
      <c r="AD3381" s="1"/>
    </row>
    <row r="3382" spans="17:30">
      <c r="Q3382" s="6">
        <v>3352</v>
      </c>
      <c r="R3382" s="7">
        <v>46019</v>
      </c>
      <c r="S3382" s="210">
        <v>4.5</v>
      </c>
      <c r="T3382" s="8">
        <v>1.0001249999999999</v>
      </c>
      <c r="U3382" s="98">
        <v>4.5121450384842055</v>
      </c>
      <c r="V3382" s="106">
        <v>35202.819933801766</v>
      </c>
      <c r="W3382" s="10">
        <v>1.2251224662122251</v>
      </c>
      <c r="X3382" s="420"/>
      <c r="Y3382" s="420"/>
      <c r="Z3382" s="1"/>
      <c r="AA3382" s="1"/>
      <c r="AB3382" s="1"/>
      <c r="AC3382" s="1"/>
      <c r="AD3382" s="1"/>
    </row>
    <row r="3383" spans="17:30">
      <c r="Q3383" s="6">
        <v>3353</v>
      </c>
      <c r="R3383" s="7">
        <v>46020</v>
      </c>
      <c r="S3383" s="210">
        <v>4.5</v>
      </c>
      <c r="T3383" s="8">
        <v>1.0001249999999999</v>
      </c>
      <c r="U3383" s="98">
        <v>4.5121914517847861</v>
      </c>
      <c r="V3383" s="106">
        <v>35205.847509155981</v>
      </c>
      <c r="W3383" s="10">
        <v>1.2251845156121544</v>
      </c>
      <c r="X3383" s="420"/>
      <c r="Y3383" s="420"/>
      <c r="Z3383" s="1"/>
      <c r="AA3383" s="1"/>
      <c r="AB3383" s="1"/>
      <c r="AC3383" s="1"/>
      <c r="AD3383" s="1"/>
    </row>
    <row r="3384" spans="17:30">
      <c r="Q3384" s="6">
        <v>3354</v>
      </c>
      <c r="R3384" s="7">
        <v>46021</v>
      </c>
      <c r="S3384" s="210">
        <v>4.5</v>
      </c>
      <c r="T3384" s="8">
        <v>1.0001249999999999</v>
      </c>
      <c r="U3384" s="98">
        <v>4.5122378374295558</v>
      </c>
      <c r="V3384" s="106">
        <v>35208.875344893102</v>
      </c>
      <c r="W3384" s="10">
        <v>1.2252465280498059</v>
      </c>
      <c r="X3384" s="420"/>
      <c r="Y3384" s="420"/>
      <c r="Z3384" s="1"/>
      <c r="AA3384" s="1"/>
      <c r="AB3384" s="1"/>
      <c r="AC3384" s="1"/>
      <c r="AD3384" s="1"/>
    </row>
    <row r="3385" spans="17:30">
      <c r="Q3385" s="6">
        <v>3355</v>
      </c>
      <c r="R3385" s="7">
        <v>46022</v>
      </c>
      <c r="S3385" s="210">
        <v>4.5</v>
      </c>
      <c r="T3385" s="8">
        <v>1.0001249999999999</v>
      </c>
      <c r="U3385" s="98">
        <v>4.5122841954432502</v>
      </c>
      <c r="V3385" s="106">
        <v>35211.903441035523</v>
      </c>
      <c r="W3385" s="10">
        <v>1.2253085035582645</v>
      </c>
      <c r="X3385" s="420"/>
      <c r="Y3385" s="420"/>
      <c r="Z3385" s="1"/>
      <c r="AA3385" s="1"/>
      <c r="AB3385" s="1"/>
      <c r="AC3385" s="1"/>
      <c r="AD3385" s="1"/>
    </row>
    <row r="3386" spans="17:30">
      <c r="Q3386" s="6">
        <v>3356</v>
      </c>
      <c r="R3386" s="7">
        <v>46023</v>
      </c>
      <c r="S3386" s="210">
        <v>4.5</v>
      </c>
      <c r="T3386" s="8">
        <v>1.0001249999999999</v>
      </c>
      <c r="U3386" s="98">
        <v>4.5123305258505386</v>
      </c>
      <c r="V3386" s="106">
        <v>35214.931797605634</v>
      </c>
      <c r="W3386" s="10">
        <v>1.2253704421704814</v>
      </c>
      <c r="X3386" s="420"/>
      <c r="Y3386" s="420"/>
      <c r="Z3386" s="1"/>
      <c r="AA3386" s="1"/>
      <c r="AB3386" s="1"/>
      <c r="AC3386" s="1"/>
      <c r="AD3386" s="1"/>
    </row>
    <row r="3387" spans="17:30">
      <c r="Q3387" s="6">
        <v>3357</v>
      </c>
      <c r="R3387" s="7">
        <v>46024</v>
      </c>
      <c r="S3387" s="210">
        <v>4.5</v>
      </c>
      <c r="T3387" s="8">
        <v>1.0001249999999999</v>
      </c>
      <c r="U3387" s="98">
        <v>4.5123768286760901</v>
      </c>
      <c r="V3387" s="106">
        <v>35217.960414625843</v>
      </c>
      <c r="W3387" s="10">
        <v>1.2254323439193859</v>
      </c>
      <c r="X3387" s="420"/>
      <c r="Y3387" s="420"/>
      <c r="Z3387" s="1"/>
      <c r="AA3387" s="1"/>
      <c r="AB3387" s="1"/>
      <c r="AC3387" s="1"/>
      <c r="AD3387" s="1"/>
    </row>
    <row r="3388" spans="17:30">
      <c r="Q3388" s="6">
        <v>3358</v>
      </c>
      <c r="R3388" s="7">
        <v>46025</v>
      </c>
      <c r="S3388" s="210">
        <v>4.5</v>
      </c>
      <c r="T3388" s="8">
        <v>1.0001249999999999</v>
      </c>
      <c r="U3388" s="98">
        <v>4.5124231039445073</v>
      </c>
      <c r="V3388" s="106">
        <v>35220.989292118546</v>
      </c>
      <c r="W3388" s="10">
        <v>1.2254942088379073</v>
      </c>
      <c r="X3388" s="420"/>
      <c r="Y3388" s="420"/>
      <c r="Z3388" s="1"/>
      <c r="AA3388" s="1"/>
      <c r="AB3388" s="1"/>
      <c r="AC3388" s="1"/>
      <c r="AD3388" s="1"/>
    </row>
    <row r="3389" spans="17:30">
      <c r="Q3389" s="6">
        <v>3359</v>
      </c>
      <c r="R3389" s="7">
        <v>46026</v>
      </c>
      <c r="S3389" s="210">
        <v>4.5</v>
      </c>
      <c r="T3389" s="8">
        <v>1.0001249999999999</v>
      </c>
      <c r="U3389" s="98">
        <v>4.5124693516803926</v>
      </c>
      <c r="V3389" s="106">
        <v>35224.018430106138</v>
      </c>
      <c r="W3389" s="10">
        <v>1.2255560369588636</v>
      </c>
      <c r="X3389" s="420"/>
      <c r="Y3389" s="420"/>
      <c r="Z3389" s="1"/>
      <c r="AA3389" s="1"/>
      <c r="AB3389" s="1"/>
      <c r="AC3389" s="1"/>
      <c r="AD3389" s="1"/>
    </row>
    <row r="3390" spans="17:30">
      <c r="Q3390" s="6">
        <v>3360</v>
      </c>
      <c r="R3390" s="7">
        <v>46027</v>
      </c>
      <c r="S3390" s="210">
        <v>4.5</v>
      </c>
      <c r="T3390" s="8">
        <v>1.0001249999999999</v>
      </c>
      <c r="U3390" s="98">
        <v>4.5125155719083265</v>
      </c>
      <c r="V3390" s="106">
        <v>35227.04782861103</v>
      </c>
      <c r="W3390" s="10">
        <v>1.2256178283151176</v>
      </c>
      <c r="X3390" s="420"/>
      <c r="Y3390" s="420"/>
      <c r="Z3390" s="1"/>
      <c r="AA3390" s="1"/>
      <c r="AB3390" s="1"/>
      <c r="AC3390" s="1"/>
      <c r="AD3390" s="1"/>
    </row>
    <row r="3391" spans="17:30">
      <c r="Q3391" s="6">
        <v>3361</v>
      </c>
      <c r="R3391" s="7">
        <v>46028</v>
      </c>
      <c r="S3391" s="210">
        <v>4.5</v>
      </c>
      <c r="T3391" s="8">
        <v>1.0001249999999999</v>
      </c>
      <c r="U3391" s="98">
        <v>4.5125617646528227</v>
      </c>
      <c r="V3391" s="106">
        <v>35230.077487655632</v>
      </c>
      <c r="W3391" s="10">
        <v>1.2256795829394207</v>
      </c>
      <c r="X3391" s="420"/>
      <c r="Y3391" s="420"/>
      <c r="Z3391" s="1"/>
      <c r="AA3391" s="1"/>
      <c r="AB3391" s="1"/>
      <c r="AC3391" s="1"/>
      <c r="AD3391" s="1"/>
    </row>
    <row r="3392" spans="17:30">
      <c r="Q3392" s="6">
        <v>3362</v>
      </c>
      <c r="R3392" s="7">
        <v>46029</v>
      </c>
      <c r="S3392" s="210">
        <v>4.5</v>
      </c>
      <c r="T3392" s="8">
        <v>1.0001249999999999</v>
      </c>
      <c r="U3392" s="98">
        <v>4.5126079299383948</v>
      </c>
      <c r="V3392" s="106">
        <v>35233.107407262331</v>
      </c>
      <c r="W3392" s="10">
        <v>1.2257413008645246</v>
      </c>
      <c r="X3392" s="420"/>
      <c r="Y3392" s="420"/>
      <c r="Z3392" s="1"/>
      <c r="AA3392" s="1"/>
      <c r="AB3392" s="1"/>
      <c r="AC3392" s="1"/>
      <c r="AD3392" s="1"/>
    </row>
    <row r="3393" spans="17:30">
      <c r="Q3393" s="6">
        <v>3363</v>
      </c>
      <c r="R3393" s="7">
        <v>46030</v>
      </c>
      <c r="S3393" s="210">
        <v>4.5</v>
      </c>
      <c r="T3393" s="8">
        <v>1.0001249999999999</v>
      </c>
      <c r="U3393" s="98">
        <v>4.5126540677895122</v>
      </c>
      <c r="V3393" s="106">
        <v>35236.137587453552</v>
      </c>
      <c r="W3393" s="10">
        <v>1.2258029821231586</v>
      </c>
      <c r="X3393" s="420"/>
      <c r="Y3393" s="420"/>
      <c r="Z3393" s="1"/>
      <c r="AA3393" s="1"/>
      <c r="AB3393" s="1"/>
      <c r="AC3393" s="1"/>
      <c r="AD3393" s="1"/>
    </row>
    <row r="3394" spans="17:30">
      <c r="Q3394" s="6">
        <v>3364</v>
      </c>
      <c r="R3394" s="7">
        <v>46031</v>
      </c>
      <c r="S3394" s="210">
        <v>4.5</v>
      </c>
      <c r="T3394" s="8">
        <v>1.0001249999999999</v>
      </c>
      <c r="U3394" s="98">
        <v>4.512700178230622</v>
      </c>
      <c r="V3394" s="106">
        <v>35239.168028251712</v>
      </c>
      <c r="W3394" s="10">
        <v>1.2258646267479412</v>
      </c>
      <c r="X3394" s="420"/>
      <c r="Y3394" s="420"/>
      <c r="Z3394" s="1"/>
      <c r="AA3394" s="1"/>
      <c r="AB3394" s="1"/>
      <c r="AC3394" s="1"/>
      <c r="AD3394" s="1"/>
    </row>
    <row r="3395" spans="17:30">
      <c r="Q3395" s="6">
        <v>3365</v>
      </c>
      <c r="R3395" s="7">
        <v>46032</v>
      </c>
      <c r="S3395" s="210">
        <v>4.5</v>
      </c>
      <c r="T3395" s="8">
        <v>1.0001249999999999</v>
      </c>
      <c r="U3395" s="98">
        <v>4.5127462612861491</v>
      </c>
      <c r="V3395" s="106">
        <v>35242.198729679214</v>
      </c>
      <c r="W3395" s="10">
        <v>1.2259262347715127</v>
      </c>
      <c r="X3395" s="420"/>
      <c r="Y3395" s="420"/>
      <c r="Z3395" s="1"/>
      <c r="AA3395" s="1"/>
      <c r="AB3395" s="1"/>
      <c r="AC3395" s="1"/>
      <c r="AD3395" s="1"/>
    </row>
    <row r="3396" spans="17:30">
      <c r="Q3396" s="6">
        <v>3366</v>
      </c>
      <c r="R3396" s="7">
        <v>46033</v>
      </c>
      <c r="S3396" s="210">
        <v>4.5</v>
      </c>
      <c r="T3396" s="8">
        <v>1.0001249999999999</v>
      </c>
      <c r="U3396" s="98">
        <v>4.5127923169804962</v>
      </c>
      <c r="V3396" s="106">
        <v>35245.229691758468</v>
      </c>
      <c r="W3396" s="10">
        <v>1.2259878062265139</v>
      </c>
      <c r="X3396" s="420"/>
      <c r="Y3396" s="420"/>
      <c r="Z3396" s="1"/>
      <c r="AA3396" s="1"/>
      <c r="AB3396" s="1"/>
      <c r="AC3396" s="1"/>
      <c r="AD3396" s="1"/>
    </row>
    <row r="3397" spans="17:30">
      <c r="Q3397" s="6">
        <v>3367</v>
      </c>
      <c r="R3397" s="7">
        <v>46034</v>
      </c>
      <c r="S3397" s="210">
        <v>4.5</v>
      </c>
      <c r="T3397" s="8">
        <v>1.0001249999999999</v>
      </c>
      <c r="U3397" s="98">
        <v>4.5128383453379994</v>
      </c>
      <c r="V3397" s="106">
        <v>35248.260914511913</v>
      </c>
      <c r="W3397" s="10">
        <v>1.2260493411454076</v>
      </c>
      <c r="X3397" s="420"/>
      <c r="Y3397" s="420"/>
      <c r="Z3397" s="1"/>
      <c r="AA3397" s="1"/>
      <c r="AB3397" s="1"/>
      <c r="AC3397" s="1"/>
      <c r="AD3397" s="1"/>
    </row>
    <row r="3398" spans="17:30">
      <c r="Q3398" s="6">
        <v>3368</v>
      </c>
      <c r="R3398" s="7">
        <v>46035</v>
      </c>
      <c r="S3398" s="210">
        <v>4.5</v>
      </c>
      <c r="T3398" s="8">
        <v>1.0001249999999999</v>
      </c>
      <c r="U3398" s="98">
        <v>4.5128843463829948</v>
      </c>
      <c r="V3398" s="106">
        <v>35251.292397961937</v>
      </c>
      <c r="W3398" s="10">
        <v>1.2261108395607678</v>
      </c>
      <c r="X3398" s="420"/>
      <c r="Y3398" s="420"/>
      <c r="Z3398" s="1"/>
      <c r="AA3398" s="1"/>
      <c r="AB3398" s="1"/>
      <c r="AC3398" s="1"/>
      <c r="AD3398" s="1"/>
    </row>
    <row r="3399" spans="17:30">
      <c r="Q3399" s="6">
        <v>3369</v>
      </c>
      <c r="R3399" s="7">
        <v>46036</v>
      </c>
      <c r="S3399" s="210">
        <v>4.5</v>
      </c>
      <c r="T3399" s="8">
        <v>1.0001249999999999</v>
      </c>
      <c r="U3399" s="98">
        <v>4.5129303201397963</v>
      </c>
      <c r="V3399" s="106">
        <v>35254.324142130987</v>
      </c>
      <c r="W3399" s="10">
        <v>1.2261723015050352</v>
      </c>
      <c r="X3399" s="420"/>
      <c r="Y3399" s="420"/>
      <c r="Z3399" s="1"/>
      <c r="AA3399" s="1"/>
      <c r="AB3399" s="1"/>
      <c r="AC3399" s="1"/>
      <c r="AD3399" s="1"/>
    </row>
    <row r="3400" spans="17:30">
      <c r="Q3400" s="6">
        <v>3370</v>
      </c>
      <c r="R3400" s="7">
        <v>46037</v>
      </c>
      <c r="S3400" s="210">
        <v>4.5</v>
      </c>
      <c r="T3400" s="8">
        <v>1.0001249999999999</v>
      </c>
      <c r="U3400" s="98">
        <v>4.5129762666326734</v>
      </c>
      <c r="V3400" s="106">
        <v>35257.356147041472</v>
      </c>
      <c r="W3400" s="10">
        <v>1.2262337270106727</v>
      </c>
      <c r="X3400" s="420"/>
      <c r="Y3400" s="420"/>
      <c r="Z3400" s="1"/>
      <c r="AA3400" s="1"/>
      <c r="AB3400" s="1"/>
      <c r="AC3400" s="1"/>
      <c r="AD3400" s="1"/>
    </row>
    <row r="3401" spans="17:30">
      <c r="Q3401" s="6">
        <v>3371</v>
      </c>
      <c r="R3401" s="7">
        <v>46038</v>
      </c>
      <c r="S3401" s="210">
        <v>4.5</v>
      </c>
      <c r="T3401" s="8">
        <v>1.0001249999999999</v>
      </c>
      <c r="U3401" s="98">
        <v>4.5130221858858732</v>
      </c>
      <c r="V3401" s="106">
        <v>35260.388412715824</v>
      </c>
      <c r="W3401" s="10">
        <v>1.2262951161100322</v>
      </c>
      <c r="X3401" s="420"/>
      <c r="Y3401" s="420"/>
      <c r="Z3401" s="1"/>
      <c r="AA3401" s="1"/>
      <c r="AB3401" s="1"/>
      <c r="AC3401" s="1"/>
      <c r="AD3401" s="1"/>
    </row>
    <row r="3402" spans="17:30">
      <c r="Q3402" s="6">
        <v>3372</v>
      </c>
      <c r="R3402" s="7">
        <v>46039</v>
      </c>
      <c r="S3402" s="210">
        <v>4.5</v>
      </c>
      <c r="T3402" s="8">
        <v>1.0001249999999999</v>
      </c>
      <c r="U3402" s="98">
        <v>4.513068077923621</v>
      </c>
      <c r="V3402" s="106">
        <v>35263.42093917646</v>
      </c>
      <c r="W3402" s="10">
        <v>1.2263564688355322</v>
      </c>
      <c r="X3402" s="420"/>
      <c r="Y3402" s="420"/>
      <c r="Z3402" s="1"/>
      <c r="AA3402" s="1"/>
      <c r="AB3402" s="1"/>
      <c r="AC3402" s="1"/>
      <c r="AD3402" s="1"/>
    </row>
    <row r="3403" spans="17:30">
      <c r="Q3403" s="6">
        <v>3373</v>
      </c>
      <c r="R3403" s="7">
        <v>46040</v>
      </c>
      <c r="S3403" s="210">
        <v>4.5</v>
      </c>
      <c r="T3403" s="8">
        <v>1.0001249999999999</v>
      </c>
      <c r="U3403" s="98">
        <v>4.5131139427700973</v>
      </c>
      <c r="V3403" s="106">
        <v>35266.453726445827</v>
      </c>
      <c r="W3403" s="10">
        <v>1.226417785219458</v>
      </c>
      <c r="X3403" s="420"/>
      <c r="Y3403" s="420"/>
      <c r="Z3403" s="1"/>
      <c r="AA3403" s="1"/>
      <c r="AB3403" s="1"/>
      <c r="AC3403" s="1"/>
      <c r="AD3403" s="1"/>
    </row>
    <row r="3404" spans="17:30">
      <c r="Q3404" s="6">
        <v>3374</v>
      </c>
      <c r="R3404" s="7">
        <v>46041</v>
      </c>
      <c r="S3404" s="210">
        <v>4.5</v>
      </c>
      <c r="T3404" s="8">
        <v>1.0001249999999999</v>
      </c>
      <c r="U3404" s="98">
        <v>4.5131597804494605</v>
      </c>
      <c r="V3404" s="106">
        <v>35269.486774546327</v>
      </c>
      <c r="W3404" s="10">
        <v>1.2264790652940727</v>
      </c>
      <c r="X3404" s="420"/>
      <c r="Y3404" s="420"/>
      <c r="Z3404" s="1"/>
      <c r="AA3404" s="1"/>
      <c r="AB3404" s="1"/>
      <c r="AC3404" s="1"/>
      <c r="AD3404" s="1"/>
    </row>
    <row r="3405" spans="17:30">
      <c r="Q3405" s="6">
        <v>3375</v>
      </c>
      <c r="R3405" s="7">
        <v>46042</v>
      </c>
      <c r="S3405" s="210">
        <v>4.5</v>
      </c>
      <c r="T3405" s="8">
        <v>1.0001249999999999</v>
      </c>
      <c r="U3405" s="98">
        <v>4.5132055909858249</v>
      </c>
      <c r="V3405" s="106">
        <v>35272.520083500422</v>
      </c>
      <c r="W3405" s="10">
        <v>1.2265403090916172</v>
      </c>
      <c r="X3405" s="420"/>
      <c r="Y3405" s="420"/>
      <c r="Z3405" s="1"/>
      <c r="AA3405" s="1"/>
      <c r="AB3405" s="1"/>
      <c r="AC3405" s="1"/>
      <c r="AD3405" s="1"/>
    </row>
    <row r="3406" spans="17:30">
      <c r="Q3406" s="6">
        <v>3376</v>
      </c>
      <c r="R3406" s="7">
        <v>46043</v>
      </c>
      <c r="S3406" s="210">
        <v>4.5</v>
      </c>
      <c r="T3406" s="8">
        <v>1.0001249999999999</v>
      </c>
      <c r="U3406" s="98">
        <v>4.5132513744033265</v>
      </c>
      <c r="V3406" s="106">
        <v>35275.553653330535</v>
      </c>
      <c r="W3406" s="10">
        <v>1.2266015166443545</v>
      </c>
      <c r="X3406" s="420"/>
      <c r="Y3406" s="420"/>
      <c r="Z3406" s="1"/>
      <c r="AA3406" s="1"/>
      <c r="AB3406" s="1"/>
      <c r="AC3406" s="1"/>
      <c r="AD3406" s="1"/>
    </row>
    <row r="3407" spans="17:30">
      <c r="Q3407" s="6">
        <v>3377</v>
      </c>
      <c r="R3407" s="7">
        <v>46044</v>
      </c>
      <c r="S3407" s="210">
        <v>4.5</v>
      </c>
      <c r="T3407" s="8">
        <v>1.0001249999999999</v>
      </c>
      <c r="U3407" s="98">
        <v>4.5132971307260128</v>
      </c>
      <c r="V3407" s="106">
        <v>35278.587484059091</v>
      </c>
      <c r="W3407" s="10">
        <v>1.2266626879843701</v>
      </c>
      <c r="X3407" s="420"/>
      <c r="Y3407" s="420"/>
      <c r="Z3407" s="1"/>
      <c r="AA3407" s="1"/>
      <c r="AB3407" s="1"/>
      <c r="AC3407" s="1"/>
      <c r="AD3407" s="1"/>
    </row>
    <row r="3408" spans="17:30">
      <c r="Q3408" s="6">
        <v>3378</v>
      </c>
      <c r="R3408" s="7">
        <v>46045</v>
      </c>
      <c r="S3408" s="210">
        <v>4.5</v>
      </c>
      <c r="T3408" s="8">
        <v>1.0001249999999999</v>
      </c>
      <c r="U3408" s="98">
        <v>4.5133428599779313</v>
      </c>
      <c r="V3408" s="106">
        <v>35281.621575708545</v>
      </c>
      <c r="W3408" s="10">
        <v>1.2267238231438382</v>
      </c>
      <c r="X3408" s="420"/>
      <c r="Y3408" s="420"/>
      <c r="Z3408" s="1"/>
      <c r="AA3408" s="1"/>
      <c r="AB3408" s="1"/>
      <c r="AC3408" s="1"/>
      <c r="AD3408" s="1"/>
    </row>
    <row r="3409" spans="17:30">
      <c r="Q3409" s="6">
        <v>3379</v>
      </c>
      <c r="R3409" s="7">
        <v>46046</v>
      </c>
      <c r="S3409" s="210">
        <v>4.5</v>
      </c>
      <c r="T3409" s="8">
        <v>1.0001249999999999</v>
      </c>
      <c r="U3409" s="98">
        <v>4.5133885621831071</v>
      </c>
      <c r="V3409" s="106">
        <v>35284.655928301327</v>
      </c>
      <c r="W3409" s="10">
        <v>1.2267849221548666</v>
      </c>
      <c r="X3409" s="420"/>
      <c r="Y3409" s="420"/>
      <c r="Z3409" s="1"/>
      <c r="AA3409" s="1"/>
      <c r="AB3409" s="1"/>
      <c r="AC3409" s="1"/>
      <c r="AD3409" s="1"/>
    </row>
    <row r="3410" spans="17:30">
      <c r="Q3410" s="6">
        <v>3380</v>
      </c>
      <c r="R3410" s="7">
        <v>46047</v>
      </c>
      <c r="S3410" s="210">
        <v>4.5</v>
      </c>
      <c r="T3410" s="8">
        <v>1.0001249999999999</v>
      </c>
      <c r="U3410" s="98">
        <v>4.5134342373655212</v>
      </c>
      <c r="V3410" s="106">
        <v>35287.690541859884</v>
      </c>
      <c r="W3410" s="10">
        <v>1.2268459850494517</v>
      </c>
      <c r="X3410" s="420"/>
      <c r="Y3410" s="420"/>
      <c r="Z3410" s="1"/>
      <c r="AA3410" s="1"/>
      <c r="AB3410" s="1"/>
      <c r="AC3410" s="1"/>
      <c r="AD3410" s="1"/>
    </row>
    <row r="3411" spans="17:30">
      <c r="Q3411" s="6">
        <v>3381</v>
      </c>
      <c r="R3411" s="7">
        <v>46048</v>
      </c>
      <c r="S3411" s="210">
        <v>4.5</v>
      </c>
      <c r="T3411" s="8">
        <v>1.0001249999999999</v>
      </c>
      <c r="U3411" s="98">
        <v>4.513479885549132</v>
      </c>
      <c r="V3411" s="106">
        <v>35290.725416406654</v>
      </c>
      <c r="W3411" s="10">
        <v>1.2269070118596126</v>
      </c>
      <c r="X3411" s="420"/>
      <c r="Y3411" s="420"/>
      <c r="Z3411" s="1"/>
      <c r="AA3411" s="1"/>
      <c r="AB3411" s="1"/>
      <c r="AC3411" s="1"/>
      <c r="AD3411" s="1"/>
    </row>
    <row r="3412" spans="17:30">
      <c r="Q3412" s="6">
        <v>3382</v>
      </c>
      <c r="R3412" s="7">
        <v>46049</v>
      </c>
      <c r="S3412" s="210">
        <v>4.5</v>
      </c>
      <c r="T3412" s="8">
        <v>1.0001249999999999</v>
      </c>
      <c r="U3412" s="98">
        <v>4.5135255067578983</v>
      </c>
      <c r="V3412" s="106">
        <v>35293.760551964093</v>
      </c>
      <c r="W3412" s="10">
        <v>1.2269680026173901</v>
      </c>
      <c r="X3412" s="420"/>
      <c r="Y3412" s="420"/>
      <c r="Z3412" s="1"/>
      <c r="AA3412" s="1"/>
      <c r="AB3412" s="1"/>
      <c r="AC3412" s="1"/>
      <c r="AD3412" s="1"/>
    </row>
    <row r="3413" spans="17:30">
      <c r="Q3413" s="6">
        <v>3383</v>
      </c>
      <c r="R3413" s="7">
        <v>46050</v>
      </c>
      <c r="S3413" s="210">
        <v>4.5</v>
      </c>
      <c r="T3413" s="8">
        <v>1.0001249999999999</v>
      </c>
      <c r="U3413" s="98">
        <v>4.5135711010156898</v>
      </c>
      <c r="V3413" s="106">
        <v>35296.795948554631</v>
      </c>
      <c r="W3413" s="10">
        <v>1.22702895735467</v>
      </c>
      <c r="X3413" s="420"/>
      <c r="Y3413" s="420"/>
      <c r="Z3413" s="1"/>
      <c r="AA3413" s="1"/>
      <c r="AB3413" s="1"/>
      <c r="AC3413" s="1"/>
      <c r="AD3413" s="1"/>
    </row>
    <row r="3414" spans="17:30">
      <c r="Q3414" s="6">
        <v>3384</v>
      </c>
      <c r="R3414" s="7">
        <v>46051</v>
      </c>
      <c r="S3414" s="210">
        <v>4.5</v>
      </c>
      <c r="T3414" s="8">
        <v>1.0001249999999999</v>
      </c>
      <c r="U3414" s="98">
        <v>4.5136166683463985</v>
      </c>
      <c r="V3414" s="106">
        <v>35299.831606200743</v>
      </c>
      <c r="W3414" s="10">
        <v>1.22708987610336</v>
      </c>
      <c r="X3414" s="420"/>
      <c r="Y3414" s="420"/>
      <c r="Z3414" s="1"/>
      <c r="AA3414" s="1"/>
      <c r="AB3414" s="1"/>
      <c r="AC3414" s="1"/>
      <c r="AD3414" s="1"/>
    </row>
    <row r="3415" spans="17:30">
      <c r="Q3415" s="6">
        <v>3385</v>
      </c>
      <c r="R3415" s="7">
        <v>46052</v>
      </c>
      <c r="S3415" s="210">
        <v>4.5</v>
      </c>
      <c r="T3415" s="8">
        <v>1.0001249999999999</v>
      </c>
      <c r="U3415" s="98">
        <v>4.513662208773872</v>
      </c>
      <c r="V3415" s="106">
        <v>35302.86752492487</v>
      </c>
      <c r="W3415" s="10">
        <v>1.2271507588953456</v>
      </c>
      <c r="X3415" s="420"/>
      <c r="Y3415" s="420"/>
      <c r="Z3415" s="1"/>
      <c r="AA3415" s="1"/>
      <c r="AB3415" s="1"/>
      <c r="AC3415" s="1"/>
      <c r="AD3415" s="1"/>
    </row>
    <row r="3416" spans="17:30">
      <c r="Q3416" s="6">
        <v>3386</v>
      </c>
      <c r="R3416" s="7">
        <v>46053</v>
      </c>
      <c r="S3416" s="210">
        <v>4.5</v>
      </c>
      <c r="T3416" s="8">
        <v>1.0001249999999999</v>
      </c>
      <c r="U3416" s="98">
        <v>4.5137077223219135</v>
      </c>
      <c r="V3416" s="106">
        <v>35305.903704749457</v>
      </c>
      <c r="W3416" s="10">
        <v>1.2272116057624238</v>
      </c>
      <c r="X3416" s="420"/>
      <c r="Y3416" s="420"/>
      <c r="Z3416" s="1"/>
      <c r="AA3416" s="1"/>
      <c r="AB3416" s="1"/>
      <c r="AC3416" s="1"/>
      <c r="AD3416" s="1"/>
    </row>
    <row r="3417" spans="17:30">
      <c r="Q3417" s="6">
        <v>3387</v>
      </c>
      <c r="R3417" s="7">
        <v>46054</v>
      </c>
      <c r="S3417" s="210">
        <v>4.5</v>
      </c>
      <c r="T3417" s="8">
        <v>1.0001249999999999</v>
      </c>
      <c r="U3417" s="98">
        <v>4.5137532090143262</v>
      </c>
      <c r="V3417" s="106">
        <v>35308.940145696964</v>
      </c>
      <c r="W3417" s="10">
        <v>1.2272724167363913</v>
      </c>
      <c r="X3417" s="420"/>
      <c r="Y3417" s="420"/>
      <c r="Z3417" s="1"/>
      <c r="AA3417" s="1"/>
      <c r="AB3417" s="1"/>
      <c r="AC3417" s="1"/>
      <c r="AD3417" s="1"/>
    </row>
    <row r="3418" spans="17:30">
      <c r="Q3418" s="6">
        <v>3388</v>
      </c>
      <c r="R3418" s="7">
        <v>46055</v>
      </c>
      <c r="S3418" s="210">
        <v>4.5</v>
      </c>
      <c r="T3418" s="8">
        <v>1.0001249999999999</v>
      </c>
      <c r="U3418" s="98">
        <v>4.5137986688748688</v>
      </c>
      <c r="V3418" s="106">
        <v>35311.976847789854</v>
      </c>
      <c r="W3418" s="10">
        <v>1.2273331918489783</v>
      </c>
      <c r="X3418" s="420"/>
      <c r="Y3418" s="420"/>
      <c r="Z3418" s="1"/>
      <c r="AA3418" s="1"/>
      <c r="AB3418" s="1"/>
      <c r="AC3418" s="1"/>
      <c r="AD3418" s="1"/>
    </row>
    <row r="3419" spans="17:30">
      <c r="Q3419" s="6">
        <v>3389</v>
      </c>
      <c r="R3419" s="7">
        <v>46056</v>
      </c>
      <c r="S3419" s="210">
        <v>4.5</v>
      </c>
      <c r="T3419" s="8">
        <v>1.0001249999999999</v>
      </c>
      <c r="U3419" s="98">
        <v>4.5138441019272779</v>
      </c>
      <c r="V3419" s="106">
        <v>35315.01381105058</v>
      </c>
      <c r="W3419" s="10">
        <v>1.2273939311319371</v>
      </c>
      <c r="X3419" s="420"/>
      <c r="Y3419" s="420"/>
      <c r="Z3419" s="1"/>
      <c r="AA3419" s="1"/>
      <c r="AB3419" s="1"/>
      <c r="AC3419" s="1"/>
      <c r="AD3419" s="1"/>
    </row>
    <row r="3420" spans="17:30">
      <c r="Q3420" s="6">
        <v>3390</v>
      </c>
      <c r="R3420" s="7">
        <v>46057</v>
      </c>
      <c r="S3420" s="210">
        <v>4.5</v>
      </c>
      <c r="T3420" s="8">
        <v>1.0001249999999999</v>
      </c>
      <c r="U3420" s="98">
        <v>4.5138895081952457</v>
      </c>
      <c r="V3420" s="106">
        <v>35318.051035501616</v>
      </c>
      <c r="W3420" s="10">
        <v>1.2274546346169091</v>
      </c>
      <c r="X3420" s="420"/>
      <c r="Y3420" s="420"/>
      <c r="Z3420" s="1"/>
      <c r="AA3420" s="1"/>
      <c r="AB3420" s="1"/>
      <c r="AC3420" s="1"/>
      <c r="AD3420" s="1"/>
    </row>
    <row r="3421" spans="17:30">
      <c r="Q3421" s="6">
        <v>3391</v>
      </c>
      <c r="R3421" s="7">
        <v>46058</v>
      </c>
      <c r="S3421" s="210">
        <v>4.5</v>
      </c>
      <c r="T3421" s="8">
        <v>1.0001249999999999</v>
      </c>
      <c r="U3421" s="98">
        <v>4.5139348877024643</v>
      </c>
      <c r="V3421" s="106">
        <v>35321.088521165402</v>
      </c>
      <c r="W3421" s="10">
        <v>1.2275153023355356</v>
      </c>
      <c r="X3421" s="420"/>
      <c r="Y3421" s="420"/>
      <c r="Z3421" s="1"/>
      <c r="AA3421" s="1"/>
      <c r="AB3421" s="1"/>
      <c r="AC3421" s="1"/>
      <c r="AD3421" s="1"/>
    </row>
    <row r="3422" spans="17:30">
      <c r="Q3422" s="6">
        <v>3392</v>
      </c>
      <c r="R3422" s="7">
        <v>46059</v>
      </c>
      <c r="S3422" s="210">
        <v>4.5</v>
      </c>
      <c r="T3422" s="8">
        <v>1.0001249999999999</v>
      </c>
      <c r="U3422" s="98">
        <v>4.5139802404725815</v>
      </c>
      <c r="V3422" s="106">
        <v>35324.126268064429</v>
      </c>
      <c r="W3422" s="10">
        <v>1.2275759343194359</v>
      </c>
      <c r="X3422" s="420"/>
      <c r="Y3422" s="420"/>
      <c r="Z3422" s="1"/>
      <c r="AA3422" s="1"/>
      <c r="AB3422" s="1"/>
      <c r="AC3422" s="1"/>
      <c r="AD3422" s="1"/>
    </row>
    <row r="3423" spans="17:30">
      <c r="Q3423" s="6">
        <v>3393</v>
      </c>
      <c r="R3423" s="7">
        <v>46060</v>
      </c>
      <c r="S3423" s="210">
        <v>4.5</v>
      </c>
      <c r="T3423" s="8">
        <v>1.0001249999999999</v>
      </c>
      <c r="U3423" s="98">
        <v>4.514025566529245</v>
      </c>
      <c r="V3423" s="106">
        <v>35327.164276221149</v>
      </c>
      <c r="W3423" s="10">
        <v>1.2276365306001846</v>
      </c>
      <c r="X3423" s="420"/>
      <c r="Y3423" s="420"/>
      <c r="Z3423" s="1"/>
      <c r="AA3423" s="1"/>
      <c r="AB3423" s="1"/>
      <c r="AC3423" s="1"/>
      <c r="AD3423" s="1"/>
    </row>
    <row r="3424" spans="17:30">
      <c r="Q3424" s="6">
        <v>3394</v>
      </c>
      <c r="R3424" s="7">
        <v>46061</v>
      </c>
      <c r="S3424" s="210">
        <v>4.5</v>
      </c>
      <c r="T3424" s="8">
        <v>1.0001249999999999</v>
      </c>
      <c r="U3424" s="98">
        <v>4.5140708658960138</v>
      </c>
      <c r="V3424" s="106">
        <v>35330.20254565803</v>
      </c>
      <c r="W3424" s="10">
        <v>1.2276970912092899</v>
      </c>
      <c r="X3424" s="420"/>
      <c r="Y3424" s="420"/>
      <c r="Z3424" s="1"/>
      <c r="AA3424" s="1"/>
      <c r="AB3424" s="1"/>
      <c r="AC3424" s="1"/>
      <c r="AD3424" s="1"/>
    </row>
    <row r="3425" spans="17:30">
      <c r="Q3425" s="6">
        <v>3395</v>
      </c>
      <c r="R3425" s="7">
        <v>46062</v>
      </c>
      <c r="S3425" s="210">
        <v>4.5</v>
      </c>
      <c r="T3425" s="8">
        <v>1.0001249999999999</v>
      </c>
      <c r="U3425" s="98">
        <v>4.514116138596469</v>
      </c>
      <c r="V3425" s="106">
        <v>35333.241076397549</v>
      </c>
      <c r="W3425" s="10">
        <v>1.2277576161782378</v>
      </c>
      <c r="X3425" s="420"/>
      <c r="Y3425" s="420"/>
      <c r="Z3425" s="1"/>
      <c r="AA3425" s="1"/>
      <c r="AB3425" s="1"/>
      <c r="AC3425" s="1"/>
      <c r="AD3425" s="1"/>
    </row>
    <row r="3426" spans="17:30">
      <c r="Q3426" s="6">
        <v>3396</v>
      </c>
      <c r="R3426" s="7">
        <v>46063</v>
      </c>
      <c r="S3426" s="210">
        <v>4.5</v>
      </c>
      <c r="T3426" s="8">
        <v>1.0001249999999999</v>
      </c>
      <c r="U3426" s="98">
        <v>4.5141613846541473</v>
      </c>
      <c r="V3426" s="106">
        <v>35336.279868462181</v>
      </c>
      <c r="W3426" s="10">
        <v>1.2278181055384696</v>
      </c>
      <c r="X3426" s="420"/>
      <c r="Y3426" s="420"/>
      <c r="Z3426" s="1"/>
      <c r="AA3426" s="1"/>
      <c r="AB3426" s="1"/>
      <c r="AC3426" s="1"/>
      <c r="AD3426" s="1"/>
    </row>
    <row r="3427" spans="17:30">
      <c r="Q3427" s="6">
        <v>3397</v>
      </c>
      <c r="R3427" s="7">
        <v>46064</v>
      </c>
      <c r="S3427" s="210">
        <v>4.5</v>
      </c>
      <c r="T3427" s="8">
        <v>1.0001249999999999</v>
      </c>
      <c r="U3427" s="98">
        <v>4.5142066040925632</v>
      </c>
      <c r="V3427" s="106">
        <v>35339.318921874401</v>
      </c>
      <c r="W3427" s="10">
        <v>1.2278785593214048</v>
      </c>
      <c r="X3427" s="420"/>
      <c r="Y3427" s="420"/>
      <c r="Z3427" s="1"/>
      <c r="AA3427" s="1"/>
      <c r="AB3427" s="1"/>
      <c r="AC3427" s="1"/>
      <c r="AD3427" s="1"/>
    </row>
    <row r="3428" spans="17:30">
      <c r="Q3428" s="6">
        <v>3398</v>
      </c>
      <c r="R3428" s="7">
        <v>46065</v>
      </c>
      <c r="S3428" s="210">
        <v>4.5</v>
      </c>
      <c r="T3428" s="8">
        <v>1.0001249999999999</v>
      </c>
      <c r="U3428" s="98">
        <v>4.5142517969352092</v>
      </c>
      <c r="V3428" s="106">
        <v>35342.35823665667</v>
      </c>
      <c r="W3428" s="10">
        <v>1.2279389775584626</v>
      </c>
      <c r="X3428" s="420"/>
      <c r="Y3428" s="420"/>
      <c r="Z3428" s="1"/>
      <c r="AA3428" s="1"/>
      <c r="AB3428" s="1"/>
      <c r="AC3428" s="1"/>
      <c r="AD3428" s="1"/>
    </row>
    <row r="3429" spans="17:30">
      <c r="Q3429" s="6">
        <v>3399</v>
      </c>
      <c r="R3429" s="7">
        <v>46066</v>
      </c>
      <c r="S3429" s="210">
        <v>4.5</v>
      </c>
      <c r="T3429" s="8">
        <v>1.0001249999999999</v>
      </c>
      <c r="U3429" s="98">
        <v>4.514296963205533</v>
      </c>
      <c r="V3429" s="106">
        <v>35345.397812831492</v>
      </c>
      <c r="W3429" s="10">
        <v>1.2279993602809514</v>
      </c>
      <c r="X3429" s="420"/>
      <c r="Y3429" s="420"/>
      <c r="Z3429" s="1"/>
      <c r="AA3429" s="1"/>
      <c r="AB3429" s="1"/>
      <c r="AC3429" s="1"/>
      <c r="AD3429" s="1"/>
    </row>
    <row r="3430" spans="17:30">
      <c r="Q3430" s="6">
        <v>3400</v>
      </c>
      <c r="R3430" s="7">
        <v>46067</v>
      </c>
      <c r="S3430" s="210">
        <v>4.5</v>
      </c>
      <c r="T3430" s="8">
        <v>1.0001249999999999</v>
      </c>
      <c r="U3430" s="98">
        <v>4.5143421029269604</v>
      </c>
      <c r="V3430" s="106">
        <v>35348.437650421329</v>
      </c>
      <c r="W3430" s="10">
        <v>1.2280597075201571</v>
      </c>
      <c r="X3430" s="420"/>
      <c r="Y3430" s="420"/>
      <c r="Z3430" s="1"/>
      <c r="AA3430" s="1"/>
      <c r="AB3430" s="1"/>
      <c r="AC3430" s="1"/>
      <c r="AD3430" s="1"/>
    </row>
    <row r="3431" spans="17:30">
      <c r="Q3431" s="6">
        <v>3401</v>
      </c>
      <c r="R3431" s="7">
        <v>46068</v>
      </c>
      <c r="S3431" s="210">
        <v>4.5</v>
      </c>
      <c r="T3431" s="8">
        <v>1.0001249999999999</v>
      </c>
      <c r="U3431" s="98">
        <v>4.5143872161228948</v>
      </c>
      <c r="V3431" s="106">
        <v>35351.477749448677</v>
      </c>
      <c r="W3431" s="10">
        <v>1.2281200193073882</v>
      </c>
      <c r="X3431" s="420"/>
      <c r="Y3431" s="420"/>
      <c r="Z3431" s="1"/>
      <c r="AA3431" s="1"/>
      <c r="AB3431" s="1"/>
      <c r="AC3431" s="1"/>
      <c r="AD3431" s="1"/>
    </row>
    <row r="3432" spans="17:30">
      <c r="Q3432" s="6">
        <v>3402</v>
      </c>
      <c r="R3432" s="7">
        <v>46069</v>
      </c>
      <c r="S3432" s="210">
        <v>4.5</v>
      </c>
      <c r="T3432" s="8">
        <v>1.0001249999999999</v>
      </c>
      <c r="U3432" s="98">
        <v>4.5144323028167177</v>
      </c>
      <c r="V3432" s="106">
        <v>35354.518109936005</v>
      </c>
      <c r="W3432" s="10">
        <v>1.2281802956738641</v>
      </c>
      <c r="X3432" s="420"/>
      <c r="Y3432" s="420"/>
      <c r="Z3432" s="1"/>
      <c r="AA3432" s="1"/>
      <c r="AB3432" s="1"/>
      <c r="AC3432" s="1"/>
      <c r="AD3432" s="1"/>
    </row>
    <row r="3433" spans="17:30">
      <c r="Q3433" s="6">
        <v>3403</v>
      </c>
      <c r="R3433" s="7">
        <v>46070</v>
      </c>
      <c r="S3433" s="210">
        <v>4.5</v>
      </c>
      <c r="T3433" s="8">
        <v>1.0001249999999999</v>
      </c>
      <c r="U3433" s="98">
        <v>4.5144773630317658</v>
      </c>
      <c r="V3433" s="106">
        <v>35357.55873190581</v>
      </c>
      <c r="W3433" s="10">
        <v>1.2282405366507376</v>
      </c>
      <c r="X3433" s="420"/>
      <c r="Y3433" s="420"/>
      <c r="Z3433" s="1"/>
      <c r="AA3433" s="1"/>
      <c r="AB3433" s="1"/>
      <c r="AC3433" s="1"/>
      <c r="AD3433" s="1"/>
    </row>
    <row r="3434" spans="17:30">
      <c r="Q3434" s="6">
        <v>3404</v>
      </c>
      <c r="R3434" s="7">
        <v>46071</v>
      </c>
      <c r="S3434" s="210">
        <v>4.5</v>
      </c>
      <c r="T3434" s="8">
        <v>1.0001249999999999</v>
      </c>
      <c r="U3434" s="98">
        <v>4.5145223967913539</v>
      </c>
      <c r="V3434" s="106">
        <v>35360.599615380583</v>
      </c>
      <c r="W3434" s="10">
        <v>1.2283007422692283</v>
      </c>
      <c r="X3434" s="420"/>
      <c r="Y3434" s="420"/>
      <c r="Z3434" s="1"/>
      <c r="AA3434" s="1"/>
      <c r="AB3434" s="1"/>
      <c r="AC3434" s="1"/>
      <c r="AD3434" s="1"/>
    </row>
    <row r="3435" spans="17:30">
      <c r="Q3435" s="6">
        <v>3405</v>
      </c>
      <c r="R3435" s="7">
        <v>46072</v>
      </c>
      <c r="S3435" s="210">
        <v>4.5</v>
      </c>
      <c r="T3435" s="8">
        <v>1.0001249999999999</v>
      </c>
      <c r="U3435" s="98">
        <v>4.5145674041187966</v>
      </c>
      <c r="V3435" s="106">
        <v>35363.640760382797</v>
      </c>
      <c r="W3435" s="10">
        <v>1.2283609125604222</v>
      </c>
      <c r="X3435" s="420"/>
      <c r="Y3435" s="420"/>
      <c r="Z3435" s="1"/>
      <c r="AA3435" s="1"/>
      <c r="AB3435" s="1"/>
      <c r="AC3435" s="1"/>
      <c r="AD3435" s="1"/>
    </row>
    <row r="3436" spans="17:30">
      <c r="Q3436" s="6">
        <v>3406</v>
      </c>
      <c r="R3436" s="7">
        <v>46073</v>
      </c>
      <c r="S3436" s="210">
        <v>4.5</v>
      </c>
      <c r="T3436" s="8">
        <v>1.0001249999999999</v>
      </c>
      <c r="U3436" s="98">
        <v>4.5146123850373421</v>
      </c>
      <c r="V3436" s="106">
        <v>35366.682166934967</v>
      </c>
      <c r="W3436" s="10">
        <v>1.228421047555428</v>
      </c>
      <c r="X3436" s="420"/>
      <c r="Y3436" s="420"/>
      <c r="Z3436" s="1"/>
      <c r="AA3436" s="1"/>
      <c r="AB3436" s="1"/>
      <c r="AC3436" s="1"/>
      <c r="AD3436" s="1"/>
    </row>
    <row r="3437" spans="17:30">
      <c r="Q3437" s="6">
        <v>3407</v>
      </c>
      <c r="R3437" s="7">
        <v>46074</v>
      </c>
      <c r="S3437" s="210">
        <v>4.5</v>
      </c>
      <c r="T3437" s="8">
        <v>1.0001249999999999</v>
      </c>
      <c r="U3437" s="98">
        <v>4.5146573395702161</v>
      </c>
      <c r="V3437" s="106">
        <v>35369.72383505958</v>
      </c>
      <c r="W3437" s="10">
        <v>1.228481147285243</v>
      </c>
      <c r="X3437" s="420"/>
      <c r="Y3437" s="420"/>
      <c r="Z3437" s="1"/>
      <c r="AA3437" s="1"/>
      <c r="AB3437" s="1"/>
      <c r="AC3437" s="1"/>
      <c r="AD3437" s="1"/>
    </row>
    <row r="3438" spans="17:30">
      <c r="Q3438" s="6">
        <v>3408</v>
      </c>
      <c r="R3438" s="7">
        <v>46075</v>
      </c>
      <c r="S3438" s="210">
        <v>4.5</v>
      </c>
      <c r="T3438" s="8">
        <v>1.0001249999999999</v>
      </c>
      <c r="U3438" s="98">
        <v>4.5147022677406445</v>
      </c>
      <c r="V3438" s="106">
        <v>35372.76576477912</v>
      </c>
      <c r="W3438" s="10">
        <v>1.2285412117809313</v>
      </c>
      <c r="X3438" s="420"/>
      <c r="Y3438" s="420"/>
      <c r="Z3438" s="1"/>
      <c r="AA3438" s="1"/>
      <c r="AB3438" s="1"/>
      <c r="AC3438" s="1"/>
      <c r="AD3438" s="1"/>
    </row>
    <row r="3439" spans="17:30">
      <c r="Q3439" s="6">
        <v>3409</v>
      </c>
      <c r="R3439" s="7">
        <v>46076</v>
      </c>
      <c r="S3439" s="210">
        <v>4.5</v>
      </c>
      <c r="T3439" s="8">
        <v>1.0001249999999999</v>
      </c>
      <c r="U3439" s="98">
        <v>4.5147471695718089</v>
      </c>
      <c r="V3439" s="106">
        <v>35375.807956116099</v>
      </c>
      <c r="W3439" s="10">
        <v>1.2286012410734459</v>
      </c>
      <c r="X3439" s="420"/>
      <c r="Y3439" s="420"/>
      <c r="Z3439" s="1"/>
      <c r="AA3439" s="1"/>
      <c r="AB3439" s="1"/>
      <c r="AC3439" s="1"/>
      <c r="AD3439" s="1"/>
    </row>
    <row r="3440" spans="17:30">
      <c r="Q3440" s="6">
        <v>3410</v>
      </c>
      <c r="R3440" s="7">
        <v>46077</v>
      </c>
      <c r="S3440" s="210">
        <v>4.5</v>
      </c>
      <c r="T3440" s="8">
        <v>1.0001249999999999</v>
      </c>
      <c r="U3440" s="98">
        <v>4.5147920450868684</v>
      </c>
      <c r="V3440" s="106">
        <v>35378.850409093022</v>
      </c>
      <c r="W3440" s="10">
        <v>1.2286612351937398</v>
      </c>
      <c r="X3440" s="420"/>
      <c r="Y3440" s="420"/>
      <c r="Z3440" s="1"/>
      <c r="AA3440" s="1"/>
      <c r="AB3440" s="1"/>
      <c r="AC3440" s="1"/>
      <c r="AD3440" s="1"/>
    </row>
    <row r="3441" spans="17:30">
      <c r="Q3441" s="6">
        <v>3411</v>
      </c>
      <c r="R3441" s="7">
        <v>46078</v>
      </c>
      <c r="S3441" s="210">
        <v>4.5</v>
      </c>
      <c r="T3441" s="8">
        <v>1.0001249999999999</v>
      </c>
      <c r="U3441" s="98">
        <v>4.5148368943089379</v>
      </c>
      <c r="V3441" s="106">
        <v>35381.89312373237</v>
      </c>
      <c r="W3441" s="10">
        <v>1.2287211941726994</v>
      </c>
      <c r="X3441" s="420"/>
      <c r="Y3441" s="420"/>
      <c r="Z3441" s="1"/>
      <c r="AA3441" s="1"/>
      <c r="AB3441" s="1"/>
      <c r="AC3441" s="1"/>
      <c r="AD3441" s="1"/>
    </row>
    <row r="3442" spans="17:30">
      <c r="Q3442" s="6">
        <v>3412</v>
      </c>
      <c r="R3442" s="7">
        <v>46079</v>
      </c>
      <c r="S3442" s="210">
        <v>4.5</v>
      </c>
      <c r="T3442" s="8">
        <v>1.0001249999999999</v>
      </c>
      <c r="U3442" s="98">
        <v>4.5148817172611322</v>
      </c>
      <c r="V3442" s="106">
        <v>35384.936100056664</v>
      </c>
      <c r="W3442" s="10">
        <v>1.2287811180412112</v>
      </c>
      <c r="X3442" s="420"/>
      <c r="Y3442" s="420"/>
      <c r="Z3442" s="1"/>
      <c r="AA3442" s="1"/>
      <c r="AB3442" s="1"/>
      <c r="AC3442" s="1"/>
      <c r="AD3442" s="1"/>
    </row>
    <row r="3443" spans="17:30">
      <c r="Q3443" s="6">
        <v>3413</v>
      </c>
      <c r="R3443" s="7">
        <v>46080</v>
      </c>
      <c r="S3443" s="210">
        <v>4.5</v>
      </c>
      <c r="T3443" s="8">
        <v>1.0001249999999999</v>
      </c>
      <c r="U3443" s="98">
        <v>4.5149265139665218</v>
      </c>
      <c r="V3443" s="106">
        <v>35387.979338088408</v>
      </c>
      <c r="W3443" s="10">
        <v>1.2288410068300726</v>
      </c>
      <c r="X3443" s="420"/>
      <c r="Y3443" s="420"/>
      <c r="Z3443" s="1"/>
      <c r="AA3443" s="1"/>
      <c r="AB3443" s="1"/>
      <c r="AC3443" s="1"/>
      <c r="AD3443" s="1"/>
    </row>
    <row r="3444" spans="17:30">
      <c r="Q3444" s="6">
        <v>3414</v>
      </c>
      <c r="R3444" s="7">
        <v>46081</v>
      </c>
      <c r="S3444" s="210">
        <v>4.5</v>
      </c>
      <c r="T3444" s="8">
        <v>1.0001249999999999</v>
      </c>
      <c r="U3444" s="98">
        <v>4.5149712844481549</v>
      </c>
      <c r="V3444" s="106">
        <v>35391.022837850098</v>
      </c>
      <c r="W3444" s="10">
        <v>1.2289008605701257</v>
      </c>
      <c r="X3444" s="420"/>
      <c r="Y3444" s="420"/>
      <c r="Z3444" s="1"/>
      <c r="AA3444" s="1"/>
      <c r="AB3444" s="1"/>
      <c r="AC3444" s="1"/>
      <c r="AD3444" s="1"/>
    </row>
    <row r="3445" spans="17:30">
      <c r="Q3445" s="6">
        <v>3415</v>
      </c>
      <c r="R3445" s="7">
        <v>46082</v>
      </c>
      <c r="S3445" s="210">
        <v>4.5</v>
      </c>
      <c r="T3445" s="8">
        <v>1.0001249999999999</v>
      </c>
      <c r="U3445" s="98">
        <v>4.5150160287290353</v>
      </c>
      <c r="V3445" s="106">
        <v>35394.066599364254</v>
      </c>
      <c r="W3445" s="10">
        <v>1.2289606792921015</v>
      </c>
      <c r="X3445" s="420"/>
      <c r="Y3445" s="420"/>
      <c r="Z3445" s="1"/>
      <c r="AA3445" s="1"/>
      <c r="AB3445" s="1"/>
      <c r="AC3445" s="1"/>
      <c r="AD3445" s="1"/>
    </row>
    <row r="3446" spans="17:30">
      <c r="Q3446" s="6">
        <v>3416</v>
      </c>
      <c r="R3446" s="7">
        <v>46083</v>
      </c>
      <c r="S3446" s="210">
        <v>4.5</v>
      </c>
      <c r="T3446" s="8">
        <v>1.0001249999999999</v>
      </c>
      <c r="U3446" s="98">
        <v>4.5150607468321668</v>
      </c>
      <c r="V3446" s="106">
        <v>35397.110622653388</v>
      </c>
      <c r="W3446" s="10">
        <v>1.2290204630266865</v>
      </c>
      <c r="X3446" s="420"/>
      <c r="Y3446" s="420"/>
      <c r="Z3446" s="1"/>
      <c r="AA3446" s="1"/>
      <c r="AB3446" s="1"/>
      <c r="AC3446" s="1"/>
      <c r="AD3446" s="1"/>
    </row>
    <row r="3447" spans="17:30">
      <c r="Q3447" s="6">
        <v>3417</v>
      </c>
      <c r="R3447" s="7">
        <v>46084</v>
      </c>
      <c r="S3447" s="210">
        <v>4.5</v>
      </c>
      <c r="T3447" s="8">
        <v>1.0001249999999999</v>
      </c>
      <c r="U3447" s="98">
        <v>4.5151054387805312</v>
      </c>
      <c r="V3447" s="106">
        <v>35400.15490774002</v>
      </c>
      <c r="W3447" s="10">
        <v>1.229080211804634</v>
      </c>
      <c r="X3447" s="420"/>
      <c r="Y3447" s="420"/>
      <c r="Z3447" s="1"/>
      <c r="AA3447" s="1"/>
      <c r="AB3447" s="1"/>
      <c r="AC3447" s="1"/>
      <c r="AD3447" s="1"/>
    </row>
    <row r="3448" spans="17:30">
      <c r="Q3448" s="6">
        <v>3418</v>
      </c>
      <c r="R3448" s="7">
        <v>46085</v>
      </c>
      <c r="S3448" s="210">
        <v>4.5</v>
      </c>
      <c r="T3448" s="8">
        <v>1.0001249999999999</v>
      </c>
      <c r="U3448" s="98">
        <v>4.5151501045970432</v>
      </c>
      <c r="V3448" s="106">
        <v>35403.199454646645</v>
      </c>
      <c r="W3448" s="10">
        <v>1.2291399256565638</v>
      </c>
      <c r="X3448" s="420"/>
      <c r="Y3448" s="420"/>
      <c r="Z3448" s="1"/>
      <c r="AA3448" s="1"/>
      <c r="AB3448" s="1"/>
      <c r="AC3448" s="1"/>
      <c r="AD3448" s="1"/>
    </row>
    <row r="3449" spans="17:30">
      <c r="Q3449" s="6">
        <v>3419</v>
      </c>
      <c r="R3449" s="7">
        <v>46086</v>
      </c>
      <c r="S3449" s="210">
        <v>4.5</v>
      </c>
      <c r="T3449" s="8">
        <v>1.0001249999999999</v>
      </c>
      <c r="U3449" s="98">
        <v>4.5151947443046403</v>
      </c>
      <c r="V3449" s="106">
        <v>35406.244263395798</v>
      </c>
      <c r="W3449" s="10">
        <v>1.229199604613096</v>
      </c>
      <c r="X3449" s="420"/>
      <c r="Y3449" s="420"/>
      <c r="Z3449" s="1"/>
      <c r="AA3449" s="1"/>
      <c r="AB3449" s="1"/>
      <c r="AC3449" s="1"/>
      <c r="AD3449" s="1"/>
    </row>
    <row r="3450" spans="17:30">
      <c r="Q3450" s="6">
        <v>3420</v>
      </c>
      <c r="R3450" s="7">
        <v>46087</v>
      </c>
      <c r="S3450" s="210">
        <v>4.5</v>
      </c>
      <c r="T3450" s="8">
        <v>1.0001249999999999</v>
      </c>
      <c r="U3450" s="98">
        <v>4.5152393579261929</v>
      </c>
      <c r="V3450" s="106">
        <v>35409.289334009991</v>
      </c>
      <c r="W3450" s="10">
        <v>1.2292592487048282</v>
      </c>
      <c r="X3450" s="420"/>
      <c r="Y3450" s="420"/>
      <c r="Z3450" s="1"/>
      <c r="AA3450" s="1"/>
      <c r="AB3450" s="1"/>
      <c r="AC3450" s="1"/>
      <c r="AD3450" s="1"/>
    </row>
    <row r="3451" spans="17:30">
      <c r="Q3451" s="6">
        <v>3421</v>
      </c>
      <c r="R3451" s="7">
        <v>46088</v>
      </c>
      <c r="S3451" s="210">
        <v>4.5</v>
      </c>
      <c r="T3451" s="8">
        <v>1.0001249999999999</v>
      </c>
      <c r="U3451" s="98">
        <v>4.5152839454845495</v>
      </c>
      <c r="V3451" s="106">
        <v>35412.33466651175</v>
      </c>
      <c r="W3451" s="10">
        <v>1.2293188579622472</v>
      </c>
      <c r="X3451" s="420"/>
      <c r="Y3451" s="420"/>
      <c r="Z3451" s="1"/>
      <c r="AA3451" s="1"/>
      <c r="AB3451" s="1"/>
      <c r="AC3451" s="1"/>
      <c r="AD3451" s="1"/>
    </row>
    <row r="3452" spans="17:30">
      <c r="Q3452" s="6">
        <v>3422</v>
      </c>
      <c r="R3452" s="7">
        <v>46089</v>
      </c>
      <c r="S3452" s="210">
        <v>4.5</v>
      </c>
      <c r="T3452" s="8">
        <v>1.0001249999999999</v>
      </c>
      <c r="U3452" s="98">
        <v>4.5153285070025584</v>
      </c>
      <c r="V3452" s="106">
        <v>35415.380260923594</v>
      </c>
      <c r="W3452" s="10">
        <v>1.2293784324158841</v>
      </c>
      <c r="X3452" s="420"/>
      <c r="Y3452" s="420"/>
      <c r="Z3452" s="1"/>
      <c r="AA3452" s="1"/>
      <c r="AB3452" s="1"/>
      <c r="AC3452" s="1"/>
      <c r="AD3452" s="1"/>
    </row>
    <row r="3453" spans="17:30">
      <c r="Q3453" s="6">
        <v>3423</v>
      </c>
      <c r="R3453" s="7">
        <v>46090</v>
      </c>
      <c r="S3453" s="210">
        <v>4.5</v>
      </c>
      <c r="T3453" s="8">
        <v>1.0001249999999999</v>
      </c>
      <c r="U3453" s="98">
        <v>4.5153730425030236</v>
      </c>
      <c r="V3453" s="106">
        <v>35418.426117268049</v>
      </c>
      <c r="W3453" s="10">
        <v>1.2294379720962478</v>
      </c>
      <c r="X3453" s="420"/>
      <c r="Y3453" s="420"/>
      <c r="Z3453" s="1"/>
      <c r="AA3453" s="1"/>
      <c r="AB3453" s="1"/>
      <c r="AC3453" s="1"/>
      <c r="AD3453" s="1"/>
    </row>
    <row r="3454" spans="17:30">
      <c r="Q3454" s="6">
        <v>3424</v>
      </c>
      <c r="R3454" s="7">
        <v>46091</v>
      </c>
      <c r="S3454" s="210">
        <v>4.5</v>
      </c>
      <c r="T3454" s="8">
        <v>1.0001249999999999</v>
      </c>
      <c r="U3454" s="98">
        <v>4.515417552008727</v>
      </c>
      <c r="V3454" s="106">
        <v>35421.472235567649</v>
      </c>
      <c r="W3454" s="10">
        <v>1.2294974770337586</v>
      </c>
      <c r="X3454" s="420"/>
      <c r="Y3454" s="420"/>
      <c r="Z3454" s="1"/>
      <c r="AA3454" s="1"/>
      <c r="AB3454" s="1"/>
      <c r="AC3454" s="1"/>
      <c r="AD3454" s="1"/>
    </row>
    <row r="3455" spans="17:30">
      <c r="Q3455" s="6">
        <v>3425</v>
      </c>
      <c r="R3455" s="7">
        <v>46092</v>
      </c>
      <c r="S3455" s="210">
        <v>4.5</v>
      </c>
      <c r="T3455" s="8">
        <v>1.0001249999999999</v>
      </c>
      <c r="U3455" s="98">
        <v>4.5154620355424058</v>
      </c>
      <c r="V3455" s="106">
        <v>35424.518615844914</v>
      </c>
      <c r="W3455" s="10">
        <v>1.2295569472587697</v>
      </c>
      <c r="X3455" s="420"/>
      <c r="Y3455" s="420"/>
      <c r="Z3455" s="1"/>
      <c r="AA3455" s="1"/>
      <c r="AB3455" s="1"/>
      <c r="AC3455" s="1"/>
      <c r="AD3455" s="1"/>
    </row>
    <row r="3456" spans="17:30">
      <c r="Q3456" s="6">
        <v>3426</v>
      </c>
      <c r="R3456" s="7">
        <v>46093</v>
      </c>
      <c r="S3456" s="210">
        <v>4.5</v>
      </c>
      <c r="T3456" s="8">
        <v>1.0001249999999999</v>
      </c>
      <c r="U3456" s="98">
        <v>4.5155064931267974</v>
      </c>
      <c r="V3456" s="106">
        <v>35427.565258122377</v>
      </c>
      <c r="W3456" s="10">
        <v>1.2296163828017015</v>
      </c>
      <c r="X3456" s="420"/>
      <c r="Y3456" s="420"/>
      <c r="Z3456" s="1"/>
      <c r="AA3456" s="1"/>
      <c r="AB3456" s="1"/>
      <c r="AC3456" s="1"/>
      <c r="AD3456" s="1"/>
    </row>
    <row r="3457" spans="17:30">
      <c r="Q3457" s="6">
        <v>3427</v>
      </c>
      <c r="R3457" s="7">
        <v>46094</v>
      </c>
      <c r="S3457" s="210">
        <v>4.5</v>
      </c>
      <c r="T3457" s="8">
        <v>1.0001249999999999</v>
      </c>
      <c r="U3457" s="98">
        <v>4.5155509247845949</v>
      </c>
      <c r="V3457" s="106">
        <v>35430.612162422571</v>
      </c>
      <c r="W3457" s="10">
        <v>1.2296757836928629</v>
      </c>
      <c r="X3457" s="420"/>
      <c r="Y3457" s="420"/>
      <c r="Z3457" s="1"/>
      <c r="AA3457" s="1"/>
      <c r="AB3457" s="1"/>
      <c r="AC3457" s="1"/>
      <c r="AD3457" s="1"/>
    </row>
    <row r="3458" spans="17:30">
      <c r="Q3458" s="6">
        <v>3428</v>
      </c>
      <c r="R3458" s="7">
        <v>46095</v>
      </c>
      <c r="S3458" s="210">
        <v>4.5</v>
      </c>
      <c r="T3458" s="8">
        <v>1.0001249999999999</v>
      </c>
      <c r="U3458" s="98">
        <v>4.515595330538491</v>
      </c>
      <c r="V3458" s="106">
        <v>35433.659328768044</v>
      </c>
      <c r="W3458" s="10">
        <v>1.2297351499625631</v>
      </c>
      <c r="X3458" s="420"/>
      <c r="Y3458" s="420"/>
      <c r="Z3458" s="1"/>
      <c r="AA3458" s="1"/>
      <c r="AB3458" s="1"/>
      <c r="AC3458" s="1"/>
      <c r="AD3458" s="1"/>
    </row>
    <row r="3459" spans="17:30">
      <c r="Q3459" s="6">
        <v>3429</v>
      </c>
      <c r="R3459" s="7">
        <v>46096</v>
      </c>
      <c r="S3459" s="210">
        <v>4.5</v>
      </c>
      <c r="T3459" s="8">
        <v>1.0001249999999999</v>
      </c>
      <c r="U3459" s="98">
        <v>4.5156397104111123</v>
      </c>
      <c r="V3459" s="106">
        <v>35436.70675718131</v>
      </c>
      <c r="W3459" s="10">
        <v>1.2297944816410666</v>
      </c>
      <c r="X3459" s="420"/>
      <c r="Y3459" s="420"/>
      <c r="Z3459" s="1"/>
      <c r="AA3459" s="1"/>
      <c r="AB3459" s="1"/>
      <c r="AC3459" s="1"/>
      <c r="AD3459" s="1"/>
    </row>
    <row r="3460" spans="17:30">
      <c r="Q3460" s="6">
        <v>3430</v>
      </c>
      <c r="R3460" s="7">
        <v>46097</v>
      </c>
      <c r="S3460" s="210">
        <v>4.5</v>
      </c>
      <c r="T3460" s="8">
        <v>1.0001249999999999</v>
      </c>
      <c r="U3460" s="98">
        <v>4.5156840644250851</v>
      </c>
      <c r="V3460" s="106">
        <v>35439.754447684922</v>
      </c>
      <c r="W3460" s="10">
        <v>1.2298537787585717</v>
      </c>
      <c r="X3460" s="420"/>
      <c r="Y3460" s="420"/>
      <c r="Z3460" s="1"/>
      <c r="AA3460" s="1"/>
      <c r="AB3460" s="1"/>
      <c r="AC3460" s="1"/>
      <c r="AD3460" s="1"/>
    </row>
    <row r="3461" spans="17:30">
      <c r="Q3461" s="6">
        <v>3431</v>
      </c>
      <c r="R3461" s="7">
        <v>46098</v>
      </c>
      <c r="S3461" s="210">
        <v>4.5</v>
      </c>
      <c r="T3461" s="8">
        <v>1.0001249999999999</v>
      </c>
      <c r="U3461" s="98">
        <v>4.5157283926030134</v>
      </c>
      <c r="V3461" s="106">
        <v>35442.802400301414</v>
      </c>
      <c r="W3461" s="10">
        <v>1.2299130413452763</v>
      </c>
      <c r="X3461" s="420"/>
      <c r="Y3461" s="420"/>
      <c r="Z3461" s="1"/>
      <c r="AA3461" s="1"/>
      <c r="AB3461" s="1"/>
      <c r="AC3461" s="1"/>
      <c r="AD3461" s="1"/>
    </row>
    <row r="3462" spans="17:30">
      <c r="Q3462" s="6">
        <v>3432</v>
      </c>
      <c r="R3462" s="7">
        <v>46099</v>
      </c>
      <c r="S3462" s="210">
        <v>4.5</v>
      </c>
      <c r="T3462" s="8">
        <v>1.0001249999999999</v>
      </c>
      <c r="U3462" s="98">
        <v>4.515772694967457</v>
      </c>
      <c r="V3462" s="106">
        <v>35445.850615053336</v>
      </c>
      <c r="W3462" s="10">
        <v>1.2299722694313564</v>
      </c>
      <c r="X3462" s="420"/>
      <c r="Y3462" s="420"/>
      <c r="Z3462" s="1"/>
      <c r="AA3462" s="1"/>
      <c r="AB3462" s="1"/>
      <c r="AC3462" s="1"/>
      <c r="AD3462" s="1"/>
    </row>
    <row r="3463" spans="17:30">
      <c r="Q3463" s="6">
        <v>3433</v>
      </c>
      <c r="R3463" s="7">
        <v>46100</v>
      </c>
      <c r="S3463" s="210">
        <v>4.5</v>
      </c>
      <c r="T3463" s="8">
        <v>1.0001249999999999</v>
      </c>
      <c r="U3463" s="98">
        <v>4.5158169715409535</v>
      </c>
      <c r="V3463" s="106">
        <v>35448.899091963234</v>
      </c>
      <c r="W3463" s="10">
        <v>1.2300314630468989</v>
      </c>
      <c r="X3463" s="420"/>
      <c r="Y3463" s="420"/>
      <c r="Z3463" s="1"/>
      <c r="AA3463" s="1"/>
      <c r="AB3463" s="1"/>
      <c r="AC3463" s="1"/>
      <c r="AD3463" s="1"/>
    </row>
    <row r="3464" spans="17:30">
      <c r="Q3464" s="6">
        <v>3434</v>
      </c>
      <c r="R3464" s="7">
        <v>46101</v>
      </c>
      <c r="S3464" s="210">
        <v>4.5</v>
      </c>
      <c r="T3464" s="8">
        <v>1.0001249999999999</v>
      </c>
      <c r="U3464" s="98">
        <v>4.5158612223460182</v>
      </c>
      <c r="V3464" s="106">
        <v>35451.947831053643</v>
      </c>
      <c r="W3464" s="10">
        <v>1.2300906222220132</v>
      </c>
      <c r="X3464" s="420"/>
      <c r="Y3464" s="420"/>
      <c r="Z3464" s="1"/>
      <c r="AA3464" s="1"/>
      <c r="AB3464" s="1"/>
      <c r="AC3464" s="1"/>
      <c r="AD3464" s="1"/>
    </row>
    <row r="3465" spans="17:30">
      <c r="Q3465" s="6">
        <v>3435</v>
      </c>
      <c r="R3465" s="7">
        <v>46102</v>
      </c>
      <c r="S3465" s="210">
        <v>4.5</v>
      </c>
      <c r="T3465" s="8">
        <v>1.0001249999999999</v>
      </c>
      <c r="U3465" s="98">
        <v>4.5159054474051441</v>
      </c>
      <c r="V3465" s="106">
        <v>35454.996832347118</v>
      </c>
      <c r="W3465" s="10">
        <v>1.2301497469867195</v>
      </c>
      <c r="X3465" s="420"/>
      <c r="Y3465" s="420"/>
      <c r="Z3465" s="1"/>
      <c r="AA3465" s="1"/>
      <c r="AB3465" s="1"/>
      <c r="AC3465" s="1"/>
      <c r="AD3465" s="1"/>
    </row>
    <row r="3466" spans="17:30">
      <c r="Q3466" s="6">
        <v>3436</v>
      </c>
      <c r="R3466" s="7">
        <v>46103</v>
      </c>
      <c r="S3466" s="210">
        <v>4.5</v>
      </c>
      <c r="T3466" s="8">
        <v>1.0001249999999999</v>
      </c>
      <c r="U3466" s="98">
        <v>4.51594964674078</v>
      </c>
      <c r="V3466" s="106">
        <v>35458.046095866222</v>
      </c>
      <c r="W3466" s="10">
        <v>1.2302088373710385</v>
      </c>
      <c r="X3466" s="420"/>
      <c r="Y3466" s="420"/>
      <c r="Z3466" s="1"/>
      <c r="AA3466" s="1"/>
      <c r="AB3466" s="1"/>
      <c r="AC3466" s="1"/>
      <c r="AD3466" s="1"/>
    </row>
    <row r="3467" spans="17:30">
      <c r="Q3467" s="6">
        <v>3437</v>
      </c>
      <c r="R3467" s="7">
        <v>46104</v>
      </c>
      <c r="S3467" s="210">
        <v>4.5</v>
      </c>
      <c r="T3467" s="8">
        <v>1.0001249999999999</v>
      </c>
      <c r="U3467" s="98">
        <v>4.5159938203753747</v>
      </c>
      <c r="V3467" s="106">
        <v>35461.095621633482</v>
      </c>
      <c r="W3467" s="10">
        <v>1.2302678934049682</v>
      </c>
      <c r="X3467" s="420"/>
      <c r="Y3467" s="420"/>
      <c r="Z3467" s="1"/>
      <c r="AA3467" s="1"/>
      <c r="AB3467" s="1"/>
      <c r="AC3467" s="1"/>
      <c r="AD3467" s="1"/>
    </row>
    <row r="3468" spans="17:30">
      <c r="Q3468" s="6">
        <v>3438</v>
      </c>
      <c r="R3468" s="7">
        <v>46105</v>
      </c>
      <c r="S3468" s="210">
        <v>4.5</v>
      </c>
      <c r="T3468" s="8">
        <v>1.0001249999999999</v>
      </c>
      <c r="U3468" s="98">
        <v>4.5160379683313323</v>
      </c>
      <c r="V3468" s="106">
        <v>35464.145409671473</v>
      </c>
      <c r="W3468" s="10">
        <v>1.2303269151184404</v>
      </c>
      <c r="X3468" s="420"/>
      <c r="Y3468" s="420"/>
      <c r="Z3468" s="1"/>
      <c r="AA3468" s="1"/>
      <c r="AB3468" s="1"/>
      <c r="AC3468" s="1"/>
      <c r="AD3468" s="1"/>
    </row>
    <row r="3469" spans="17:30">
      <c r="Q3469" s="6">
        <v>3439</v>
      </c>
      <c r="R3469" s="7">
        <v>46106</v>
      </c>
      <c r="S3469" s="210">
        <v>4.5</v>
      </c>
      <c r="T3469" s="8">
        <v>1.0001249999999999</v>
      </c>
      <c r="U3469" s="98">
        <v>4.5160820906310351</v>
      </c>
      <c r="V3469" s="106">
        <v>35467.195460002738</v>
      </c>
      <c r="W3469" s="10">
        <v>1.2303859025413644</v>
      </c>
      <c r="X3469" s="420"/>
      <c r="Y3469" s="420"/>
      <c r="Z3469" s="1"/>
      <c r="AA3469" s="1"/>
      <c r="AB3469" s="1"/>
      <c r="AC3469" s="1"/>
      <c r="AD3469" s="1"/>
    </row>
    <row r="3470" spans="17:30">
      <c r="Q3470" s="6">
        <v>3440</v>
      </c>
      <c r="R3470" s="7">
        <v>46107</v>
      </c>
      <c r="S3470" s="210">
        <v>4.5</v>
      </c>
      <c r="T3470" s="8">
        <v>1.0001249999999999</v>
      </c>
      <c r="U3470" s="98">
        <v>4.516126187296865</v>
      </c>
      <c r="V3470" s="106">
        <v>35470.245772649847</v>
      </c>
      <c r="W3470" s="10">
        <v>1.2304448557036274</v>
      </c>
      <c r="X3470" s="420"/>
      <c r="Y3470" s="420"/>
      <c r="Z3470" s="1"/>
      <c r="AA3470" s="1"/>
      <c r="AB3470" s="1"/>
      <c r="AC3470" s="1"/>
      <c r="AD3470" s="1"/>
    </row>
    <row r="3471" spans="17:30">
      <c r="Q3471" s="6">
        <v>3441</v>
      </c>
      <c r="R3471" s="7">
        <v>46108</v>
      </c>
      <c r="S3471" s="210">
        <v>4.5</v>
      </c>
      <c r="T3471" s="8">
        <v>1.0001249999999999</v>
      </c>
      <c r="U3471" s="98">
        <v>4.5161702583511376</v>
      </c>
      <c r="V3471" s="106">
        <v>35473.296347635347</v>
      </c>
      <c r="W3471" s="10">
        <v>1.2305037746350722</v>
      </c>
      <c r="X3471" s="420"/>
      <c r="Y3471" s="420"/>
      <c r="Z3471" s="1"/>
      <c r="AA3471" s="1"/>
      <c r="AB3471" s="1"/>
      <c r="AC3471" s="1"/>
      <c r="AD3471" s="1"/>
    </row>
    <row r="3472" spans="17:30">
      <c r="Q3472" s="6">
        <v>3442</v>
      </c>
      <c r="R3472" s="7">
        <v>46109</v>
      </c>
      <c r="S3472" s="210">
        <v>4.5</v>
      </c>
      <c r="T3472" s="8">
        <v>1.0001249999999999</v>
      </c>
      <c r="U3472" s="98">
        <v>4.5162143038161462</v>
      </c>
      <c r="V3472" s="106">
        <v>35476.347184981809</v>
      </c>
      <c r="W3472" s="10">
        <v>1.2305626593654528</v>
      </c>
      <c r="X3472" s="420"/>
      <c r="Y3472" s="420"/>
      <c r="Z3472" s="1"/>
      <c r="AA3472" s="1"/>
      <c r="AB3472" s="1"/>
      <c r="AC3472" s="1"/>
      <c r="AD3472" s="1"/>
    </row>
    <row r="3473" spans="17:30">
      <c r="Q3473" s="6">
        <v>3443</v>
      </c>
      <c r="R3473" s="7">
        <v>46110</v>
      </c>
      <c r="S3473" s="210">
        <v>4.5</v>
      </c>
      <c r="T3473" s="8">
        <v>1.0001249999999999</v>
      </c>
      <c r="U3473" s="98">
        <v>4.516258323714184</v>
      </c>
      <c r="V3473" s="106">
        <v>35479.398284711802</v>
      </c>
      <c r="W3473" s="10">
        <v>1.2306215099245899</v>
      </c>
      <c r="X3473" s="420"/>
      <c r="Y3473" s="420"/>
      <c r="Z3473" s="1"/>
      <c r="AA3473" s="1"/>
      <c r="AB3473" s="1"/>
      <c r="AC3473" s="1"/>
      <c r="AD3473" s="1"/>
    </row>
    <row r="3474" spans="17:30">
      <c r="Q3474" s="6">
        <v>3444</v>
      </c>
      <c r="R3474" s="7">
        <v>46111</v>
      </c>
      <c r="S3474" s="210">
        <v>4.5</v>
      </c>
      <c r="T3474" s="8">
        <v>1.0001249999999999</v>
      </c>
      <c r="U3474" s="98">
        <v>4.5163023180675221</v>
      </c>
      <c r="V3474" s="106">
        <v>35482.449646847883</v>
      </c>
      <c r="W3474" s="10">
        <v>1.2306803263422372</v>
      </c>
      <c r="X3474" s="420"/>
      <c r="Y3474" s="420"/>
      <c r="Z3474" s="1"/>
      <c r="AA3474" s="1"/>
      <c r="AB3474" s="1"/>
      <c r="AC3474" s="1"/>
      <c r="AD3474" s="1"/>
    </row>
    <row r="3475" spans="17:30">
      <c r="Q3475" s="6">
        <v>3445</v>
      </c>
      <c r="R3475" s="7">
        <v>46112</v>
      </c>
      <c r="S3475" s="210">
        <v>4.5</v>
      </c>
      <c r="T3475" s="8">
        <v>1.0001249999999999</v>
      </c>
      <c r="U3475" s="98">
        <v>4.516346286898365</v>
      </c>
      <c r="V3475" s="106">
        <v>35485.501271412613</v>
      </c>
      <c r="W3475" s="10">
        <v>1.2307391086480379</v>
      </c>
      <c r="X3475" s="420"/>
      <c r="Y3475" s="420"/>
      <c r="Z3475" s="1"/>
      <c r="AA3475" s="1"/>
      <c r="AB3475" s="1"/>
      <c r="AC3475" s="1"/>
      <c r="AD3475" s="1"/>
    </row>
    <row r="3476" spans="17:30">
      <c r="Q3476" s="6">
        <v>3446</v>
      </c>
      <c r="R3476" s="7">
        <v>46113</v>
      </c>
      <c r="S3476" s="210">
        <v>4.5</v>
      </c>
      <c r="T3476" s="8">
        <v>1.0001249999999999</v>
      </c>
      <c r="U3476" s="98">
        <v>4.5163902302289172</v>
      </c>
      <c r="V3476" s="106">
        <v>35488.553158428578</v>
      </c>
      <c r="W3476" s="10">
        <v>1.2307978568716793</v>
      </c>
      <c r="X3476" s="420"/>
      <c r="Y3476" s="420"/>
      <c r="Z3476" s="1"/>
      <c r="AA3476" s="1"/>
      <c r="AB3476" s="1"/>
      <c r="AC3476" s="1"/>
      <c r="AD3476" s="1"/>
    </row>
    <row r="3477" spans="17:30">
      <c r="Q3477" s="6">
        <v>3447</v>
      </c>
      <c r="R3477" s="7">
        <v>46114</v>
      </c>
      <c r="S3477" s="210">
        <v>4.5</v>
      </c>
      <c r="T3477" s="8">
        <v>1.0001249999999999</v>
      </c>
      <c r="U3477" s="98">
        <v>4.516434148081383</v>
      </c>
      <c r="V3477" s="106">
        <v>35491.605307918348</v>
      </c>
      <c r="W3477" s="10">
        <v>1.2308565710428265</v>
      </c>
      <c r="X3477" s="420"/>
      <c r="Y3477" s="420"/>
      <c r="Z3477" s="1"/>
      <c r="AA3477" s="1"/>
      <c r="AB3477" s="1"/>
      <c r="AC3477" s="1"/>
      <c r="AD3477" s="1"/>
    </row>
    <row r="3478" spans="17:30">
      <c r="Q3478" s="6">
        <v>3448</v>
      </c>
      <c r="R3478" s="7">
        <v>46115</v>
      </c>
      <c r="S3478" s="210">
        <v>4.5</v>
      </c>
      <c r="T3478" s="8">
        <v>1.0001249999999999</v>
      </c>
      <c r="U3478" s="98">
        <v>4.5164780404778782</v>
      </c>
      <c r="V3478" s="106">
        <v>35494.657719904484</v>
      </c>
      <c r="W3478" s="10">
        <v>1.2309152511910559</v>
      </c>
      <c r="X3478" s="420"/>
      <c r="Y3478" s="420"/>
      <c r="Z3478" s="1"/>
      <c r="AA3478" s="1"/>
      <c r="AB3478" s="1"/>
      <c r="AC3478" s="1"/>
      <c r="AD3478" s="1"/>
    </row>
    <row r="3479" spans="17:30">
      <c r="Q3479" s="6">
        <v>3449</v>
      </c>
      <c r="R3479" s="7">
        <v>46116</v>
      </c>
      <c r="S3479" s="210">
        <v>4.5</v>
      </c>
      <c r="T3479" s="8">
        <v>1.0001249999999999</v>
      </c>
      <c r="U3479" s="98">
        <v>4.5165219074405405</v>
      </c>
      <c r="V3479" s="106">
        <v>35497.710394409572</v>
      </c>
      <c r="W3479" s="10">
        <v>1.2309738973458995</v>
      </c>
      <c r="X3479" s="420"/>
      <c r="Y3479" s="420"/>
      <c r="Z3479" s="1"/>
      <c r="AA3479" s="1"/>
      <c r="AB3479" s="1"/>
      <c r="AC3479" s="1"/>
      <c r="AD3479" s="1"/>
    </row>
    <row r="3480" spans="17:30">
      <c r="Q3480" s="6">
        <v>3450</v>
      </c>
      <c r="R3480" s="7">
        <v>46117</v>
      </c>
      <c r="S3480" s="210">
        <v>4.5</v>
      </c>
      <c r="T3480" s="8">
        <v>1.0001249999999999</v>
      </c>
      <c r="U3480" s="98">
        <v>4.5165657489914857</v>
      </c>
      <c r="V3480" s="106">
        <v>35500.763331456183</v>
      </c>
      <c r="W3480" s="10">
        <v>1.2310325095369556</v>
      </c>
      <c r="X3480" s="420"/>
      <c r="Y3480" s="420"/>
      <c r="Z3480" s="1"/>
      <c r="AA3480" s="1"/>
      <c r="AB3480" s="1"/>
      <c r="AC3480" s="1"/>
      <c r="AD3480" s="1"/>
    </row>
    <row r="3481" spans="17:30">
      <c r="Q3481" s="6">
        <v>3451</v>
      </c>
      <c r="R3481" s="7">
        <v>46118</v>
      </c>
      <c r="S3481" s="210">
        <v>4.5</v>
      </c>
      <c r="T3481" s="8">
        <v>1.0001249999999999</v>
      </c>
      <c r="U3481" s="98">
        <v>4.5166095651527849</v>
      </c>
      <c r="V3481" s="106">
        <v>35503.816531066906</v>
      </c>
      <c r="W3481" s="10">
        <v>1.2310910877936676</v>
      </c>
      <c r="X3481" s="420"/>
      <c r="Y3481" s="420"/>
      <c r="Z3481" s="1"/>
      <c r="AA3481" s="1"/>
      <c r="AB3481" s="1"/>
      <c r="AC3481" s="1"/>
      <c r="AD3481" s="1"/>
    </row>
    <row r="3482" spans="17:30">
      <c r="Q3482" s="6">
        <v>3452</v>
      </c>
      <c r="R3482" s="7">
        <v>46119</v>
      </c>
      <c r="S3482" s="210">
        <v>4.5</v>
      </c>
      <c r="T3482" s="8">
        <v>1.0001249999999999</v>
      </c>
      <c r="U3482" s="98">
        <v>4.516653355946465</v>
      </c>
      <c r="V3482" s="106">
        <v>35506.869993264321</v>
      </c>
      <c r="W3482" s="10">
        <v>1.2311496321455007</v>
      </c>
      <c r="X3482" s="420"/>
      <c r="Y3482" s="420"/>
      <c r="Z3482" s="1"/>
      <c r="AA3482" s="1"/>
      <c r="AB3482" s="1"/>
      <c r="AC3482" s="1"/>
      <c r="AD3482" s="1"/>
    </row>
    <row r="3483" spans="17:30">
      <c r="Q3483" s="6">
        <v>3453</v>
      </c>
      <c r="R3483" s="7">
        <v>46120</v>
      </c>
      <c r="S3483" s="210">
        <v>4.5</v>
      </c>
      <c r="T3483" s="8">
        <v>1.0001249999999999</v>
      </c>
      <c r="U3483" s="98">
        <v>4.516697121394575</v>
      </c>
      <c r="V3483" s="106">
        <v>35509.923718070997</v>
      </c>
      <c r="W3483" s="10">
        <v>1.2312081426219201</v>
      </c>
      <c r="X3483" s="420"/>
      <c r="Y3483" s="420"/>
      <c r="Z3483" s="1"/>
      <c r="AA3483" s="1"/>
      <c r="AB3483" s="1"/>
      <c r="AC3483" s="1"/>
      <c r="AD3483" s="1"/>
    </row>
    <row r="3484" spans="17:30">
      <c r="Q3484" s="6">
        <v>3454</v>
      </c>
      <c r="R3484" s="7">
        <v>46121</v>
      </c>
      <c r="S3484" s="210">
        <v>4.5</v>
      </c>
      <c r="T3484" s="8">
        <v>1.0001249999999999</v>
      </c>
      <c r="U3484" s="98">
        <v>4.5167408615190974</v>
      </c>
      <c r="V3484" s="106">
        <v>35512.977705509533</v>
      </c>
      <c r="W3484" s="10">
        <v>1.2312666192522581</v>
      </c>
      <c r="X3484" s="420"/>
      <c r="Y3484" s="420"/>
      <c r="Z3484" s="1"/>
      <c r="AA3484" s="1"/>
      <c r="AB3484" s="1"/>
      <c r="AC3484" s="1"/>
      <c r="AD3484" s="1"/>
    </row>
    <row r="3485" spans="17:30">
      <c r="Q3485" s="6">
        <v>3455</v>
      </c>
      <c r="R3485" s="7">
        <v>46122</v>
      </c>
      <c r="S3485" s="210">
        <v>4.5</v>
      </c>
      <c r="T3485" s="8">
        <v>1.0001249999999999</v>
      </c>
      <c r="U3485" s="98">
        <v>4.5167845763420145</v>
      </c>
      <c r="V3485" s="106">
        <v>35516.031955602513</v>
      </c>
      <c r="W3485" s="10">
        <v>1.2313250620659355</v>
      </c>
      <c r="X3485" s="420"/>
      <c r="Y3485" s="420"/>
      <c r="Z3485" s="1"/>
      <c r="AA3485" s="1"/>
      <c r="AB3485" s="1"/>
      <c r="AC3485" s="1"/>
      <c r="AD3485" s="1"/>
    </row>
    <row r="3486" spans="17:30">
      <c r="Q3486" s="6">
        <v>3456</v>
      </c>
      <c r="R3486" s="7">
        <v>46123</v>
      </c>
      <c r="S3486" s="210">
        <v>4.5</v>
      </c>
      <c r="T3486" s="8">
        <v>1.0001249999999999</v>
      </c>
      <c r="U3486" s="98">
        <v>4.5168282658852643</v>
      </c>
      <c r="V3486" s="106">
        <v>35519.08646837253</v>
      </c>
      <c r="W3486" s="10">
        <v>1.23138347109224</v>
      </c>
      <c r="X3486" s="420"/>
      <c r="Y3486" s="420"/>
      <c r="Z3486" s="1"/>
      <c r="AA3486" s="1"/>
      <c r="AB3486" s="1"/>
      <c r="AC3486" s="1"/>
      <c r="AD3486" s="1"/>
    </row>
    <row r="3487" spans="17:30">
      <c r="Q3487" s="6">
        <v>3457</v>
      </c>
      <c r="R3487" s="7">
        <v>46124</v>
      </c>
      <c r="S3487" s="210">
        <v>4.5</v>
      </c>
      <c r="T3487" s="8">
        <v>1.0001249999999999</v>
      </c>
      <c r="U3487" s="98">
        <v>4.5168719301707849</v>
      </c>
      <c r="V3487" s="106">
        <v>35522.141243842168</v>
      </c>
      <c r="W3487" s="10">
        <v>1.2314418463604815</v>
      </c>
      <c r="X3487" s="420"/>
      <c r="Y3487" s="420"/>
      <c r="Z3487" s="1"/>
      <c r="AA3487" s="1"/>
      <c r="AB3487" s="1"/>
      <c r="AC3487" s="1"/>
      <c r="AD3487" s="1"/>
    </row>
    <row r="3488" spans="17:30">
      <c r="Q3488" s="6">
        <v>3458</v>
      </c>
      <c r="R3488" s="7">
        <v>46125</v>
      </c>
      <c r="S3488" s="210">
        <v>4.5</v>
      </c>
      <c r="T3488" s="8">
        <v>1.0001249999999999</v>
      </c>
      <c r="U3488" s="98">
        <v>4.5169155692204477</v>
      </c>
      <c r="V3488" s="106">
        <v>35525.196282034027</v>
      </c>
      <c r="W3488" s="10">
        <v>1.2315001878999032</v>
      </c>
      <c r="X3488" s="420"/>
      <c r="Y3488" s="420"/>
      <c r="Z3488" s="1"/>
      <c r="AA3488" s="1"/>
      <c r="AB3488" s="1"/>
      <c r="AC3488" s="1"/>
      <c r="AD3488" s="1"/>
    </row>
    <row r="3489" spans="17:30">
      <c r="Q3489" s="6">
        <v>3459</v>
      </c>
      <c r="R3489" s="7">
        <v>46126</v>
      </c>
      <c r="S3489" s="210">
        <v>4.5</v>
      </c>
      <c r="T3489" s="8">
        <v>1.0001249999999999</v>
      </c>
      <c r="U3489" s="98">
        <v>4.5169591830561462</v>
      </c>
      <c r="V3489" s="106">
        <v>35528.251582970697</v>
      </c>
      <c r="W3489" s="10">
        <v>1.2315584957397263</v>
      </c>
      <c r="X3489" s="420"/>
      <c r="Y3489" s="420"/>
      <c r="Z3489" s="1"/>
      <c r="AA3489" s="1"/>
      <c r="AB3489" s="1"/>
      <c r="AC3489" s="1"/>
      <c r="AD3489" s="1"/>
    </row>
    <row r="3490" spans="17:30">
      <c r="Q3490" s="6">
        <v>3460</v>
      </c>
      <c r="R3490" s="7">
        <v>46127</v>
      </c>
      <c r="S3490" s="210">
        <v>4.5</v>
      </c>
      <c r="T3490" s="8">
        <v>1.0001249999999999</v>
      </c>
      <c r="U3490" s="98">
        <v>4.5170027716997296</v>
      </c>
      <c r="V3490" s="106">
        <v>35531.307146674772</v>
      </c>
      <c r="W3490" s="10">
        <v>1.2316167699091718</v>
      </c>
      <c r="X3490" s="420"/>
      <c r="Y3490" s="420"/>
      <c r="Z3490" s="1"/>
      <c r="AA3490" s="1"/>
      <c r="AB3490" s="1"/>
      <c r="AC3490" s="1"/>
      <c r="AD3490" s="1"/>
    </row>
    <row r="3491" spans="17:30">
      <c r="Q3491" s="6">
        <v>3461</v>
      </c>
      <c r="R3491" s="7">
        <v>46128</v>
      </c>
      <c r="S3491" s="210">
        <v>4.5</v>
      </c>
      <c r="T3491" s="8">
        <v>1.0001249999999999</v>
      </c>
      <c r="U3491" s="98">
        <v>4.5170463351730028</v>
      </c>
      <c r="V3491" s="106">
        <v>35534.362973168863</v>
      </c>
      <c r="W3491" s="10">
        <v>1.2316750104373719</v>
      </c>
      <c r="X3491" s="420"/>
      <c r="Y3491" s="420"/>
      <c r="Z3491" s="1"/>
      <c r="AA3491" s="1"/>
      <c r="AB3491" s="1"/>
      <c r="AC3491" s="1"/>
      <c r="AD3491" s="1"/>
    </row>
    <row r="3492" spans="17:30">
      <c r="Q3492" s="6">
        <v>3462</v>
      </c>
      <c r="R3492" s="7">
        <v>46129</v>
      </c>
      <c r="S3492" s="210">
        <v>4.5</v>
      </c>
      <c r="T3492" s="8">
        <v>1.0001249999999999</v>
      </c>
      <c r="U3492" s="98">
        <v>4.5170898734977705</v>
      </c>
      <c r="V3492" s="106">
        <v>35537.419062475565</v>
      </c>
      <c r="W3492" s="10">
        <v>1.231733217353459</v>
      </c>
      <c r="X3492" s="420"/>
      <c r="Y3492" s="420"/>
      <c r="Z3492" s="1"/>
      <c r="AA3492" s="1"/>
      <c r="AB3492" s="1"/>
      <c r="AC3492" s="1"/>
      <c r="AD3492" s="1"/>
    </row>
    <row r="3493" spans="17:30">
      <c r="Q3493" s="6">
        <v>3463</v>
      </c>
      <c r="R3493" s="7">
        <v>46130</v>
      </c>
      <c r="S3493" s="210">
        <v>4.5</v>
      </c>
      <c r="T3493" s="8">
        <v>1.0001249999999999</v>
      </c>
      <c r="U3493" s="98">
        <v>4.517133386695793</v>
      </c>
      <c r="V3493" s="106">
        <v>35540.475414617475</v>
      </c>
      <c r="W3493" s="10">
        <v>1.2317913906865208</v>
      </c>
      <c r="X3493" s="420"/>
      <c r="Y3493" s="420"/>
      <c r="Z3493" s="1"/>
      <c r="AA3493" s="1"/>
      <c r="AB3493" s="1"/>
      <c r="AC3493" s="1"/>
      <c r="AD3493" s="1"/>
    </row>
    <row r="3494" spans="17:30">
      <c r="Q3494" s="6">
        <v>3464</v>
      </c>
      <c r="R3494" s="7">
        <v>46131</v>
      </c>
      <c r="S3494" s="210">
        <v>4.5</v>
      </c>
      <c r="T3494" s="8">
        <v>1.0001249999999999</v>
      </c>
      <c r="U3494" s="98">
        <v>4.5171768747888308</v>
      </c>
      <c r="V3494" s="106">
        <v>35543.532029617199</v>
      </c>
      <c r="W3494" s="10">
        <v>1.2318495304656008</v>
      </c>
      <c r="X3494" s="420"/>
      <c r="Y3494" s="420"/>
      <c r="Z3494" s="1"/>
      <c r="AA3494" s="1"/>
      <c r="AB3494" s="1"/>
      <c r="AC3494" s="1"/>
      <c r="AD3494" s="1"/>
    </row>
    <row r="3495" spans="17:30">
      <c r="Q3495" s="6">
        <v>3465</v>
      </c>
      <c r="R3495" s="7">
        <v>46132</v>
      </c>
      <c r="S3495" s="210">
        <v>4.5</v>
      </c>
      <c r="T3495" s="8">
        <v>1.0001249999999999</v>
      </c>
      <c r="U3495" s="98">
        <v>4.5172203377985776</v>
      </c>
      <c r="V3495" s="106">
        <v>35546.58890749736</v>
      </c>
      <c r="W3495" s="10">
        <v>1.2319076367197201</v>
      </c>
      <c r="X3495" s="420"/>
      <c r="Y3495" s="420"/>
      <c r="Z3495" s="1"/>
      <c r="AA3495" s="1"/>
      <c r="AB3495" s="1"/>
      <c r="AC3495" s="1"/>
      <c r="AD3495" s="1"/>
    </row>
    <row r="3496" spans="17:30">
      <c r="Q3496" s="6">
        <v>3466</v>
      </c>
      <c r="R3496" s="7">
        <v>46133</v>
      </c>
      <c r="S3496" s="210">
        <v>4.5</v>
      </c>
      <c r="T3496" s="8">
        <v>1.0001249999999999</v>
      </c>
      <c r="U3496" s="98">
        <v>4.5172637757467493</v>
      </c>
      <c r="V3496" s="106">
        <v>35549.646048280541</v>
      </c>
      <c r="W3496" s="10">
        <v>1.231965709477878</v>
      </c>
      <c r="X3496" s="420"/>
      <c r="Y3496" s="420"/>
      <c r="Z3496" s="1"/>
      <c r="AA3496" s="1"/>
      <c r="AB3496" s="1"/>
      <c r="AC3496" s="1"/>
      <c r="AD3496" s="1"/>
    </row>
    <row r="3497" spans="17:30">
      <c r="Q3497" s="6">
        <v>3467</v>
      </c>
      <c r="R3497" s="7">
        <v>46134</v>
      </c>
      <c r="S3497" s="210">
        <v>4.5</v>
      </c>
      <c r="T3497" s="8">
        <v>1.0001249999999999</v>
      </c>
      <c r="U3497" s="98">
        <v>4.5173071886550176</v>
      </c>
      <c r="V3497" s="106">
        <v>35552.703451989371</v>
      </c>
      <c r="W3497" s="10">
        <v>1.2320237487690289</v>
      </c>
      <c r="X3497" s="420"/>
      <c r="Y3497" s="420"/>
      <c r="Z3497" s="1"/>
      <c r="AA3497" s="1"/>
      <c r="AB3497" s="1"/>
      <c r="AC3497" s="1"/>
      <c r="AD3497" s="1"/>
    </row>
    <row r="3498" spans="17:30">
      <c r="Q3498" s="6">
        <v>3468</v>
      </c>
      <c r="R3498" s="7">
        <v>46135</v>
      </c>
      <c r="S3498" s="210">
        <v>4.5</v>
      </c>
      <c r="T3498" s="8">
        <v>1.0001249999999999</v>
      </c>
      <c r="U3498" s="98">
        <v>4.5173505765450317</v>
      </c>
      <c r="V3498" s="106">
        <v>35555.761118646456</v>
      </c>
      <c r="W3498" s="10">
        <v>1.232081754622083</v>
      </c>
      <c r="X3498" s="420"/>
      <c r="Y3498" s="420"/>
      <c r="Z3498" s="1"/>
      <c r="AA3498" s="1"/>
      <c r="AB3498" s="1"/>
      <c r="AC3498" s="1"/>
      <c r="AD3498" s="1"/>
    </row>
    <row r="3499" spans="17:30">
      <c r="Q3499" s="6">
        <v>3469</v>
      </c>
      <c r="R3499" s="7">
        <v>46136</v>
      </c>
      <c r="S3499" s="210">
        <v>4.5</v>
      </c>
      <c r="T3499" s="8">
        <v>1.0001249999999999</v>
      </c>
      <c r="U3499" s="98">
        <v>4.5173939394383966</v>
      </c>
      <c r="V3499" s="106">
        <v>35558.819048274418</v>
      </c>
      <c r="W3499" s="10">
        <v>1.2321397270659507</v>
      </c>
      <c r="X3499" s="420"/>
      <c r="Y3499" s="420"/>
      <c r="Z3499" s="1"/>
      <c r="AA3499" s="1"/>
      <c r="AB3499" s="1"/>
      <c r="AC3499" s="1"/>
      <c r="AD3499" s="1"/>
    </row>
    <row r="3500" spans="17:30">
      <c r="Q3500" s="6">
        <v>3470</v>
      </c>
      <c r="R3500" s="7">
        <v>46137</v>
      </c>
      <c r="S3500" s="210">
        <v>4.5</v>
      </c>
      <c r="T3500" s="8">
        <v>1.0001249999999999</v>
      </c>
      <c r="U3500" s="98">
        <v>4.5174372773567173</v>
      </c>
      <c r="V3500" s="106">
        <v>35561.877240895854</v>
      </c>
      <c r="W3500" s="10">
        <v>1.2321976661294975</v>
      </c>
      <c r="X3500" s="420"/>
      <c r="Y3500" s="420"/>
      <c r="Z3500" s="1"/>
      <c r="AA3500" s="1"/>
      <c r="AB3500" s="1"/>
      <c r="AC3500" s="1"/>
      <c r="AD3500" s="1"/>
    </row>
    <row r="3501" spans="17:30">
      <c r="Q3501" s="6">
        <v>3471</v>
      </c>
      <c r="R3501" s="7">
        <v>46138</v>
      </c>
      <c r="S3501" s="210">
        <v>4.5</v>
      </c>
      <c r="T3501" s="8">
        <v>1.0001249999999999</v>
      </c>
      <c r="U3501" s="98">
        <v>4.5174805903215542</v>
      </c>
      <c r="V3501" s="106">
        <v>35564.935696533408</v>
      </c>
      <c r="W3501" s="10">
        <v>1.2322555718415007</v>
      </c>
      <c r="X3501" s="420"/>
      <c r="Y3501" s="420"/>
      <c r="Z3501" s="1"/>
      <c r="AA3501" s="1"/>
      <c r="AB3501" s="1"/>
      <c r="AC3501" s="1"/>
      <c r="AD3501" s="1"/>
    </row>
    <row r="3502" spans="17:30">
      <c r="Q3502" s="6">
        <v>3472</v>
      </c>
      <c r="R3502" s="7">
        <v>46139</v>
      </c>
      <c r="S3502" s="210">
        <v>4.5</v>
      </c>
      <c r="T3502" s="8">
        <v>1.0001249999999999</v>
      </c>
      <c r="U3502" s="98">
        <v>4.517523878354468</v>
      </c>
      <c r="V3502" s="106">
        <v>35567.994415209687</v>
      </c>
      <c r="W3502" s="10">
        <v>1.2323134442307593</v>
      </c>
      <c r="X3502" s="420"/>
      <c r="Y3502" s="420"/>
      <c r="Z3502" s="1"/>
      <c r="AA3502" s="1"/>
      <c r="AB3502" s="1"/>
      <c r="AC3502" s="1"/>
      <c r="AD3502" s="1"/>
    </row>
    <row r="3503" spans="17:30">
      <c r="Q3503" s="6">
        <v>3473</v>
      </c>
      <c r="R3503" s="7">
        <v>46140</v>
      </c>
      <c r="S3503" s="210">
        <v>4.5</v>
      </c>
      <c r="T3503" s="8">
        <v>1.0001249999999999</v>
      </c>
      <c r="U3503" s="98">
        <v>4.5175671414769747</v>
      </c>
      <c r="V3503" s="106">
        <v>35571.053396947311</v>
      </c>
      <c r="W3503" s="10">
        <v>1.2323712833260725</v>
      </c>
      <c r="X3503" s="420"/>
      <c r="Y3503" s="420"/>
      <c r="Z3503" s="1"/>
      <c r="AA3503" s="1"/>
      <c r="AB3503" s="1"/>
      <c r="AC3503" s="1"/>
      <c r="AD3503" s="1"/>
    </row>
    <row r="3504" spans="17:30">
      <c r="Q3504" s="6">
        <v>3474</v>
      </c>
      <c r="R3504" s="7">
        <v>46141</v>
      </c>
      <c r="S3504" s="210">
        <v>4.5</v>
      </c>
      <c r="T3504" s="8">
        <v>1.0001249999999999</v>
      </c>
      <c r="U3504" s="98">
        <v>4.5176103797105682</v>
      </c>
      <c r="V3504" s="106">
        <v>35574.112641768908</v>
      </c>
      <c r="W3504" s="10">
        <v>1.2324290891561285</v>
      </c>
      <c r="X3504" s="420"/>
      <c r="Y3504" s="420"/>
      <c r="Z3504" s="1"/>
      <c r="AA3504" s="1"/>
      <c r="AB3504" s="1"/>
      <c r="AC3504" s="1"/>
      <c r="AD3504" s="1"/>
    </row>
    <row r="3505" spans="17:30">
      <c r="Q3505" s="6">
        <v>3475</v>
      </c>
      <c r="R3505" s="7">
        <v>46142</v>
      </c>
      <c r="S3505" s="210">
        <v>4.5</v>
      </c>
      <c r="T3505" s="8">
        <v>1.0001249999999999</v>
      </c>
      <c r="U3505" s="98">
        <v>4.5176535930767203</v>
      </c>
      <c r="V3505" s="106">
        <v>35577.1721496971</v>
      </c>
      <c r="W3505" s="10">
        <v>1.2324868617496376</v>
      </c>
      <c r="X3505" s="420"/>
      <c r="Y3505" s="420"/>
      <c r="Z3505" s="1"/>
      <c r="AA3505" s="1"/>
      <c r="AB3505" s="1"/>
      <c r="AC3505" s="1"/>
      <c r="AD3505" s="1"/>
    </row>
    <row r="3506" spans="17:30">
      <c r="Q3506" s="6">
        <v>3476</v>
      </c>
      <c r="R3506" s="7">
        <v>46143</v>
      </c>
      <c r="S3506" s="210">
        <v>4.5</v>
      </c>
      <c r="T3506" s="8">
        <v>1.0001249999999999</v>
      </c>
      <c r="U3506" s="98">
        <v>4.5176967815968583</v>
      </c>
      <c r="V3506" s="106">
        <v>35580.231920754522</v>
      </c>
      <c r="W3506" s="10">
        <v>1.2325446011351993</v>
      </c>
      <c r="X3506" s="420"/>
      <c r="Y3506" s="420"/>
      <c r="Z3506" s="1"/>
      <c r="AA3506" s="1"/>
      <c r="AB3506" s="1"/>
      <c r="AC3506" s="1"/>
      <c r="AD3506" s="1"/>
    </row>
    <row r="3507" spans="17:30">
      <c r="Q3507" s="6">
        <v>3477</v>
      </c>
      <c r="R3507" s="7">
        <v>46144</v>
      </c>
      <c r="S3507" s="210">
        <v>4.5</v>
      </c>
      <c r="T3507" s="8">
        <v>1.0001249999999999</v>
      </c>
      <c r="U3507" s="98">
        <v>4.5177399452924316</v>
      </c>
      <c r="V3507" s="106">
        <v>35583.291954963803</v>
      </c>
      <c r="W3507" s="10">
        <v>1.2326023073415016</v>
      </c>
      <c r="X3507" s="420"/>
      <c r="Y3507" s="420"/>
      <c r="Z3507" s="1"/>
      <c r="AA3507" s="1"/>
      <c r="AB3507" s="1"/>
      <c r="AC3507" s="1"/>
      <c r="AD3507" s="1"/>
    </row>
    <row r="3508" spans="17:30">
      <c r="Q3508" s="6">
        <v>3478</v>
      </c>
      <c r="R3508" s="7">
        <v>46145</v>
      </c>
      <c r="S3508" s="210">
        <v>4.5</v>
      </c>
      <c r="T3508" s="8">
        <v>1.0001249999999999</v>
      </c>
      <c r="U3508" s="98">
        <v>4.5177830841848232</v>
      </c>
      <c r="V3508" s="106">
        <v>35586.352252347577</v>
      </c>
      <c r="W3508" s="10">
        <v>1.2326599803970995</v>
      </c>
      <c r="X3508" s="420"/>
      <c r="Y3508" s="420"/>
      <c r="Z3508" s="1"/>
      <c r="AA3508" s="1"/>
      <c r="AB3508" s="1"/>
      <c r="AC3508" s="1"/>
      <c r="AD3508" s="1"/>
    </row>
    <row r="3509" spans="17:30">
      <c r="Q3509" s="6">
        <v>3479</v>
      </c>
      <c r="R3509" s="7">
        <v>46146</v>
      </c>
      <c r="S3509" s="210">
        <v>4.5</v>
      </c>
      <c r="T3509" s="8">
        <v>1.0001249999999999</v>
      </c>
      <c r="U3509" s="98">
        <v>4.517826198295416</v>
      </c>
      <c r="V3509" s="106">
        <v>35589.412812928465</v>
      </c>
      <c r="W3509" s="10">
        <v>1.2327176203305701</v>
      </c>
      <c r="X3509" s="420"/>
      <c r="Y3509" s="420"/>
      <c r="Z3509" s="1"/>
      <c r="AA3509" s="1"/>
      <c r="AB3509" s="1"/>
      <c r="AC3509" s="1"/>
      <c r="AD3509" s="1"/>
    </row>
    <row r="3510" spans="17:30">
      <c r="Q3510" s="6">
        <v>3480</v>
      </c>
      <c r="R3510" s="7">
        <v>46147</v>
      </c>
      <c r="S3510" s="210">
        <v>4.5</v>
      </c>
      <c r="T3510" s="8">
        <v>1.0001249999999999</v>
      </c>
      <c r="U3510" s="98">
        <v>4.5178692876455484</v>
      </c>
      <c r="V3510" s="106">
        <v>35592.473636729119</v>
      </c>
      <c r="W3510" s="10">
        <v>1.232775227170424</v>
      </c>
      <c r="X3510" s="420"/>
      <c r="Y3510" s="420"/>
      <c r="Z3510" s="1"/>
      <c r="AA3510" s="1"/>
      <c r="AB3510" s="1"/>
      <c r="AC3510" s="1"/>
      <c r="AD3510" s="1"/>
    </row>
    <row r="3511" spans="17:30">
      <c r="Q3511" s="6">
        <v>3481</v>
      </c>
      <c r="R3511" s="7">
        <v>46148</v>
      </c>
      <c r="S3511" s="210">
        <v>4.5</v>
      </c>
      <c r="T3511" s="8">
        <v>1.0001249999999999</v>
      </c>
      <c r="U3511" s="98">
        <v>4.517912352256559</v>
      </c>
      <c r="V3511" s="106">
        <v>35595.534723772165</v>
      </c>
      <c r="W3511" s="10">
        <v>1.2328328009451717</v>
      </c>
      <c r="X3511" s="420"/>
      <c r="Y3511" s="420"/>
      <c r="Z3511" s="1"/>
      <c r="AA3511" s="1"/>
      <c r="AB3511" s="1"/>
      <c r="AC3511" s="1"/>
      <c r="AD3511" s="1"/>
    </row>
    <row r="3512" spans="17:30">
      <c r="Q3512" s="6">
        <v>3482</v>
      </c>
      <c r="R3512" s="7">
        <v>46149</v>
      </c>
      <c r="S3512" s="210">
        <v>4.5</v>
      </c>
      <c r="T3512" s="8">
        <v>1.0001249999999999</v>
      </c>
      <c r="U3512" s="98">
        <v>4.5179553921497417</v>
      </c>
      <c r="V3512" s="106">
        <v>35598.596074080255</v>
      </c>
      <c r="W3512" s="10">
        <v>1.2328903416832793</v>
      </c>
      <c r="X3512" s="420"/>
      <c r="Y3512" s="420"/>
      <c r="Z3512" s="1"/>
      <c r="AA3512" s="1"/>
      <c r="AB3512" s="1"/>
      <c r="AC3512" s="1"/>
      <c r="AD3512" s="1"/>
    </row>
    <row r="3513" spans="17:30">
      <c r="Q3513" s="6">
        <v>3483</v>
      </c>
      <c r="R3513" s="7">
        <v>46150</v>
      </c>
      <c r="S3513" s="210">
        <v>4.5</v>
      </c>
      <c r="T3513" s="8">
        <v>1.0001249999999999</v>
      </c>
      <c r="U3513" s="98">
        <v>4.5179984073463686</v>
      </c>
      <c r="V3513" s="106">
        <v>35601.657687676015</v>
      </c>
      <c r="W3513" s="10">
        <v>1.2329478494131463</v>
      </c>
      <c r="X3513" s="420"/>
      <c r="Y3513" s="420"/>
      <c r="Z3513" s="1"/>
      <c r="AA3513" s="1"/>
      <c r="AB3513" s="1"/>
      <c r="AC3513" s="1"/>
      <c r="AD3513" s="1"/>
    </row>
    <row r="3514" spans="17:30">
      <c r="Q3514" s="6">
        <v>3484</v>
      </c>
      <c r="R3514" s="7">
        <v>46151</v>
      </c>
      <c r="S3514" s="210">
        <v>4.5</v>
      </c>
      <c r="T3514" s="8">
        <v>1.0001249999999999</v>
      </c>
      <c r="U3514" s="98">
        <v>4.5180413978676892</v>
      </c>
      <c r="V3514" s="106">
        <v>35604.719564582105</v>
      </c>
      <c r="W3514" s="10">
        <v>1.2330053241631944</v>
      </c>
      <c r="X3514" s="420"/>
      <c r="Y3514" s="420"/>
      <c r="Z3514" s="1"/>
      <c r="AA3514" s="1"/>
      <c r="AB3514" s="1"/>
      <c r="AC3514" s="1"/>
      <c r="AD3514" s="1"/>
    </row>
    <row r="3515" spans="17:30">
      <c r="Q3515" s="6">
        <v>3485</v>
      </c>
      <c r="R3515" s="7">
        <v>46152</v>
      </c>
      <c r="S3515" s="210">
        <v>4.5</v>
      </c>
      <c r="T3515" s="8">
        <v>1.0001249999999999</v>
      </c>
      <c r="U3515" s="98">
        <v>4.5180843637349311</v>
      </c>
      <c r="V3515" s="106">
        <v>35607.781704821158</v>
      </c>
      <c r="W3515" s="10">
        <v>1.2330627659617566</v>
      </c>
      <c r="X3515" s="420"/>
      <c r="Y3515" s="420"/>
      <c r="Z3515" s="1"/>
      <c r="AA3515" s="1"/>
      <c r="AB3515" s="1"/>
      <c r="AC3515" s="1"/>
      <c r="AD3515" s="1"/>
    </row>
    <row r="3516" spans="17:30">
      <c r="Q3516" s="6">
        <v>3486</v>
      </c>
      <c r="R3516" s="7">
        <v>46153</v>
      </c>
      <c r="S3516" s="210">
        <v>4.5</v>
      </c>
      <c r="T3516" s="8">
        <v>1.0001249999999999</v>
      </c>
      <c r="U3516" s="98">
        <v>4.5181273049692772</v>
      </c>
      <c r="V3516" s="106">
        <v>35610.844108415826</v>
      </c>
      <c r="W3516" s="10">
        <v>1.2331201748371656</v>
      </c>
      <c r="X3516" s="420"/>
      <c r="Y3516" s="420"/>
      <c r="Z3516" s="1"/>
      <c r="AA3516" s="1"/>
      <c r="AB3516" s="1"/>
      <c r="AC3516" s="1"/>
      <c r="AD3516" s="1"/>
    </row>
    <row r="3517" spans="17:30">
      <c r="Q3517" s="6">
        <v>3487</v>
      </c>
      <c r="R3517" s="7">
        <v>46154</v>
      </c>
      <c r="S3517" s="210">
        <v>4.5</v>
      </c>
      <c r="T3517" s="8">
        <v>1.0001249999999999</v>
      </c>
      <c r="U3517" s="98">
        <v>4.5181702215919328</v>
      </c>
      <c r="V3517" s="106">
        <v>35613.906775388765</v>
      </c>
      <c r="W3517" s="10">
        <v>1.2331775508177545</v>
      </c>
      <c r="X3517" s="420"/>
      <c r="Y3517" s="420"/>
      <c r="Z3517" s="1"/>
      <c r="AA3517" s="1"/>
      <c r="AB3517" s="1"/>
      <c r="AC3517" s="1"/>
      <c r="AD3517" s="1"/>
    </row>
    <row r="3518" spans="17:30">
      <c r="Q3518" s="6">
        <v>3488</v>
      </c>
      <c r="R3518" s="7">
        <v>46155</v>
      </c>
      <c r="S3518" s="210">
        <v>4.5</v>
      </c>
      <c r="T3518" s="8">
        <v>1.0001249999999999</v>
      </c>
      <c r="U3518" s="98">
        <v>4.5182131136240367</v>
      </c>
      <c r="V3518" s="106">
        <v>35616.969705762618</v>
      </c>
      <c r="W3518" s="10">
        <v>1.233234893931745</v>
      </c>
      <c r="X3518" s="420"/>
      <c r="Y3518" s="420"/>
      <c r="Z3518" s="1"/>
      <c r="AA3518" s="1"/>
      <c r="AB3518" s="1"/>
      <c r="AC3518" s="1"/>
      <c r="AD3518" s="1"/>
    </row>
    <row r="3519" spans="17:30">
      <c r="Q3519" s="6">
        <v>3489</v>
      </c>
      <c r="R3519" s="7">
        <v>46156</v>
      </c>
      <c r="S3519" s="210">
        <v>4.5</v>
      </c>
      <c r="T3519" s="8">
        <v>1.0001249999999999</v>
      </c>
      <c r="U3519" s="98">
        <v>4.5182559810867273</v>
      </c>
      <c r="V3519" s="106">
        <v>35620.032899560036</v>
      </c>
      <c r="W3519" s="10">
        <v>1.2332922042074035</v>
      </c>
      <c r="X3519" s="420"/>
      <c r="Y3519" s="420"/>
      <c r="Z3519" s="1"/>
      <c r="AA3519" s="1"/>
      <c r="AB3519" s="1"/>
      <c r="AC3519" s="1"/>
      <c r="AD3519" s="1"/>
    </row>
    <row r="3520" spans="17:30">
      <c r="Q3520" s="6">
        <v>3490</v>
      </c>
      <c r="R3520" s="7">
        <v>46157</v>
      </c>
      <c r="S3520" s="210">
        <v>4.5</v>
      </c>
      <c r="T3520" s="8">
        <v>1.0001249999999999</v>
      </c>
      <c r="U3520" s="98">
        <v>4.5182988240010991</v>
      </c>
      <c r="V3520" s="106">
        <v>35623.09635680369</v>
      </c>
      <c r="W3520" s="10">
        <v>1.2333494816728852</v>
      </c>
      <c r="X3520" s="420"/>
      <c r="Y3520" s="420"/>
      <c r="Z3520" s="1"/>
      <c r="AA3520" s="1"/>
      <c r="AB3520" s="1"/>
      <c r="AC3520" s="1"/>
      <c r="AD3520" s="1"/>
    </row>
    <row r="3521" spans="17:30">
      <c r="Q3521" s="6">
        <v>3491</v>
      </c>
      <c r="R3521" s="7">
        <v>46158</v>
      </c>
      <c r="S3521" s="210">
        <v>4.5</v>
      </c>
      <c r="T3521" s="8">
        <v>1.0001249999999999</v>
      </c>
      <c r="U3521" s="98">
        <v>4.5183416423882461</v>
      </c>
      <c r="V3521" s="106">
        <v>35626.160077516222</v>
      </c>
      <c r="W3521" s="10">
        <v>1.2334067263564119</v>
      </c>
      <c r="X3521" s="420"/>
      <c r="Y3521" s="420"/>
      <c r="Z3521" s="1"/>
      <c r="AA3521" s="1"/>
      <c r="AB3521" s="1"/>
      <c r="AC3521" s="1"/>
      <c r="AD3521" s="1"/>
    </row>
    <row r="3522" spans="17:30">
      <c r="Q3522" s="6">
        <v>3492</v>
      </c>
      <c r="R3522" s="7">
        <v>46159</v>
      </c>
      <c r="S3522" s="210">
        <v>4.5</v>
      </c>
      <c r="T3522" s="8">
        <v>1.0001249999999999</v>
      </c>
      <c r="U3522" s="98">
        <v>4.5183844362691961</v>
      </c>
      <c r="V3522" s="106">
        <v>35629.224061720292</v>
      </c>
      <c r="W3522" s="10">
        <v>1.2334639382860724</v>
      </c>
      <c r="X3522" s="420"/>
      <c r="Y3522" s="420"/>
      <c r="Z3522" s="1"/>
      <c r="AA3522" s="1"/>
      <c r="AB3522" s="1"/>
      <c r="AC3522" s="1"/>
      <c r="AD3522" s="1"/>
    </row>
    <row r="3523" spans="17:30">
      <c r="Q3523" s="6">
        <v>3493</v>
      </c>
      <c r="R3523" s="7">
        <v>46160</v>
      </c>
      <c r="S3523" s="210">
        <v>4.5</v>
      </c>
      <c r="T3523" s="8">
        <v>1.0001249999999999</v>
      </c>
      <c r="U3523" s="98">
        <v>4.518427205665021</v>
      </c>
      <c r="V3523" s="106">
        <v>35632.288309438569</v>
      </c>
      <c r="W3523" s="10">
        <v>1.2335211174900218</v>
      </c>
      <c r="X3523" s="420"/>
      <c r="Y3523" s="420"/>
      <c r="Z3523" s="1"/>
      <c r="AA3523" s="1"/>
      <c r="AB3523" s="1"/>
      <c r="AC3523" s="1"/>
      <c r="AD3523" s="1"/>
    </row>
    <row r="3524" spans="17:30">
      <c r="Q3524" s="6">
        <v>3494</v>
      </c>
      <c r="R3524" s="7">
        <v>46161</v>
      </c>
      <c r="S3524" s="210">
        <v>4.5</v>
      </c>
      <c r="T3524" s="8">
        <v>1.0001249999999999</v>
      </c>
      <c r="U3524" s="98">
        <v>4.5184699505967041</v>
      </c>
      <c r="V3524" s="106">
        <v>35635.352820693719</v>
      </c>
      <c r="W3524" s="10">
        <v>1.2335782639962822</v>
      </c>
      <c r="X3524" s="420"/>
      <c r="Y3524" s="420"/>
      <c r="Z3524" s="1"/>
      <c r="AA3524" s="1"/>
      <c r="AB3524" s="1"/>
      <c r="AC3524" s="1"/>
      <c r="AD3524" s="1"/>
    </row>
    <row r="3525" spans="17:30">
      <c r="Q3525" s="6">
        <v>3495</v>
      </c>
      <c r="R3525" s="7">
        <v>46162</v>
      </c>
      <c r="S3525" s="210">
        <v>4.5</v>
      </c>
      <c r="T3525" s="8">
        <v>1.0001249999999999</v>
      </c>
      <c r="U3525" s="98">
        <v>4.5185126710852286</v>
      </c>
      <c r="V3525" s="106">
        <v>35638.417595508385</v>
      </c>
      <c r="W3525" s="10">
        <v>1.2336353778329201</v>
      </c>
      <c r="X3525" s="420"/>
      <c r="Y3525" s="420"/>
      <c r="Z3525" s="1"/>
      <c r="AA3525" s="1"/>
      <c r="AB3525" s="1"/>
      <c r="AC3525" s="1"/>
      <c r="AD3525" s="1"/>
    </row>
    <row r="3526" spans="17:30">
      <c r="Q3526" s="6">
        <v>3496</v>
      </c>
      <c r="R3526" s="7">
        <v>46163</v>
      </c>
      <c r="S3526" s="210">
        <v>4.5</v>
      </c>
      <c r="T3526" s="8">
        <v>1.0001249999999999</v>
      </c>
      <c r="U3526" s="98">
        <v>4.5185553671515555</v>
      </c>
      <c r="V3526" s="106">
        <v>35641.482633905267</v>
      </c>
      <c r="W3526" s="10">
        <v>1.233692459027913</v>
      </c>
      <c r="X3526" s="420"/>
      <c r="Y3526" s="420"/>
      <c r="Z3526" s="1"/>
      <c r="AA3526" s="1"/>
      <c r="AB3526" s="1"/>
      <c r="AC3526" s="1"/>
      <c r="AD3526" s="1"/>
    </row>
    <row r="3527" spans="17:30">
      <c r="Q3527" s="6">
        <v>3497</v>
      </c>
      <c r="R3527" s="7">
        <v>46164</v>
      </c>
      <c r="S3527" s="210">
        <v>4.5</v>
      </c>
      <c r="T3527" s="8">
        <v>1.0001249999999999</v>
      </c>
      <c r="U3527" s="98">
        <v>4.5185980388166236</v>
      </c>
      <c r="V3527" s="106">
        <v>35644.547935907009</v>
      </c>
      <c r="W3527" s="10">
        <v>1.2337495076092608</v>
      </c>
      <c r="X3527" s="420"/>
      <c r="Y3527" s="420"/>
      <c r="Z3527" s="1"/>
      <c r="AA3527" s="1"/>
      <c r="AB3527" s="1"/>
      <c r="AC3527" s="1"/>
      <c r="AD3527" s="1"/>
    </row>
    <row r="3528" spans="17:30">
      <c r="Q3528" s="6">
        <v>3498</v>
      </c>
      <c r="R3528" s="7">
        <v>46165</v>
      </c>
      <c r="S3528" s="210">
        <v>4.5</v>
      </c>
      <c r="T3528" s="8">
        <v>1.0001249999999999</v>
      </c>
      <c r="U3528" s="98">
        <v>4.5186406861013495</v>
      </c>
      <c r="V3528" s="106">
        <v>35647.613501536296</v>
      </c>
      <c r="W3528" s="10">
        <v>1.2338065236048967</v>
      </c>
      <c r="X3528" s="420"/>
      <c r="Y3528" s="420"/>
      <c r="Z3528" s="1"/>
      <c r="AA3528" s="1"/>
      <c r="AB3528" s="1"/>
      <c r="AC3528" s="1"/>
      <c r="AD3528" s="1"/>
    </row>
    <row r="3529" spans="17:30">
      <c r="Q3529" s="6">
        <v>3499</v>
      </c>
      <c r="R3529" s="7">
        <v>46166</v>
      </c>
      <c r="S3529" s="210">
        <v>4.5</v>
      </c>
      <c r="T3529" s="8">
        <v>1.0001249999999999</v>
      </c>
      <c r="U3529" s="98">
        <v>4.5186833090266276</v>
      </c>
      <c r="V3529" s="106">
        <v>35650.679330815794</v>
      </c>
      <c r="W3529" s="10">
        <v>1.2338635070427539</v>
      </c>
      <c r="X3529" s="420"/>
      <c r="Y3529" s="420"/>
      <c r="Z3529" s="1"/>
      <c r="AA3529" s="1"/>
      <c r="AB3529" s="1"/>
      <c r="AC3529" s="1"/>
      <c r="AD3529" s="1"/>
    </row>
    <row r="3530" spans="17:30">
      <c r="Q3530" s="6">
        <v>3500</v>
      </c>
      <c r="R3530" s="7">
        <v>46167</v>
      </c>
      <c r="S3530" s="210">
        <v>4.5</v>
      </c>
      <c r="T3530" s="8">
        <v>1.0001249999999999</v>
      </c>
      <c r="U3530" s="98">
        <v>4.5187259076133079</v>
      </c>
      <c r="V3530" s="106">
        <v>35653.745423768174</v>
      </c>
      <c r="W3530" s="10">
        <v>1.2339204579506768</v>
      </c>
      <c r="X3530" s="420"/>
      <c r="Y3530" s="420"/>
      <c r="Z3530" s="1"/>
      <c r="AA3530" s="1"/>
      <c r="AB3530" s="1"/>
      <c r="AC3530" s="1"/>
      <c r="AD3530" s="1"/>
    </row>
    <row r="3531" spans="17:30">
      <c r="Q3531" s="6">
        <v>3501</v>
      </c>
      <c r="R3531" s="7">
        <v>46168</v>
      </c>
      <c r="S3531" s="210">
        <v>4.5</v>
      </c>
      <c r="T3531" s="8">
        <v>1.0001249999999999</v>
      </c>
      <c r="U3531" s="98">
        <v>4.5187684818822405</v>
      </c>
      <c r="V3531" s="106">
        <v>35656.811780416123</v>
      </c>
      <c r="W3531" s="10">
        <v>1.233977376356532</v>
      </c>
      <c r="X3531" s="420"/>
      <c r="Y3531" s="420"/>
      <c r="Z3531" s="1"/>
      <c r="AA3531" s="1"/>
      <c r="AB3531" s="1"/>
      <c r="AC3531" s="1"/>
      <c r="AD3531" s="1"/>
    </row>
    <row r="3532" spans="17:30">
      <c r="Q3532" s="6">
        <v>3502</v>
      </c>
      <c r="R3532" s="7">
        <v>46169</v>
      </c>
      <c r="S3532" s="210">
        <v>4.5</v>
      </c>
      <c r="T3532" s="8">
        <v>1.0001249999999999</v>
      </c>
      <c r="U3532" s="98">
        <v>4.5188110318542529</v>
      </c>
      <c r="V3532" s="106">
        <v>35659.878400782312</v>
      </c>
      <c r="W3532" s="10">
        <v>1.2340342622881639</v>
      </c>
      <c r="X3532" s="420"/>
      <c r="Y3532" s="420"/>
      <c r="Z3532" s="1"/>
      <c r="AA3532" s="1"/>
      <c r="AB3532" s="1"/>
      <c r="AC3532" s="1"/>
      <c r="AD3532" s="1"/>
    </row>
    <row r="3533" spans="17:30">
      <c r="Q3533" s="6">
        <v>3503</v>
      </c>
      <c r="R3533" s="7">
        <v>46170</v>
      </c>
      <c r="S3533" s="210">
        <v>4.5</v>
      </c>
      <c r="T3533" s="8">
        <v>1.0001249999999999</v>
      </c>
      <c r="U3533" s="98">
        <v>4.5188535575501287</v>
      </c>
      <c r="V3533" s="106">
        <v>35662.945284889429</v>
      </c>
      <c r="W3533" s="10">
        <v>1.2340911157733059</v>
      </c>
      <c r="X3533" s="420"/>
      <c r="Y3533" s="420"/>
      <c r="Z3533" s="1"/>
      <c r="AA3533" s="1"/>
      <c r="AB3533" s="1"/>
      <c r="AC3533" s="1"/>
      <c r="AD3533" s="1"/>
    </row>
    <row r="3534" spans="17:30">
      <c r="Q3534" s="6">
        <v>3504</v>
      </c>
      <c r="R3534" s="7">
        <v>46171</v>
      </c>
      <c r="S3534" s="210">
        <v>4.5</v>
      </c>
      <c r="T3534" s="8">
        <v>1.0001249999999999</v>
      </c>
      <c r="U3534" s="98">
        <v>4.5188960589906291</v>
      </c>
      <c r="V3534" s="106">
        <v>35666.012432760144</v>
      </c>
      <c r="W3534" s="10">
        <v>1.2341479368397357</v>
      </c>
      <c r="X3534" s="420"/>
      <c r="Y3534" s="420"/>
      <c r="Z3534" s="1"/>
      <c r="AA3534" s="1"/>
      <c r="AB3534" s="1"/>
      <c r="AC3534" s="1"/>
      <c r="AD3534" s="1"/>
    </row>
    <row r="3535" spans="17:30">
      <c r="Q3535" s="6">
        <v>3505</v>
      </c>
      <c r="R3535" s="7">
        <v>46172</v>
      </c>
      <c r="S3535" s="210">
        <v>4.5</v>
      </c>
      <c r="T3535" s="8">
        <v>1.0001249999999999</v>
      </c>
      <c r="U3535" s="98">
        <v>4.5189385361964929</v>
      </c>
      <c r="V3535" s="106">
        <v>35669.079844417152</v>
      </c>
      <c r="W3535" s="10">
        <v>1.2342047255151645</v>
      </c>
      <c r="X3535" s="420"/>
      <c r="Y3535" s="420"/>
      <c r="Z3535" s="1"/>
      <c r="AA3535" s="1"/>
      <c r="AB3535" s="1"/>
      <c r="AC3535" s="1"/>
      <c r="AD3535" s="1"/>
    </row>
    <row r="3536" spans="17:30">
      <c r="Q3536" s="6">
        <v>3506</v>
      </c>
      <c r="R3536" s="7">
        <v>46173</v>
      </c>
      <c r="S3536" s="210">
        <v>4.5</v>
      </c>
      <c r="T3536" s="8">
        <v>1.0001249999999999</v>
      </c>
      <c r="U3536" s="98">
        <v>4.5189809891884591</v>
      </c>
      <c r="V3536" s="106">
        <v>35672.147519883139</v>
      </c>
      <c r="W3536" s="10">
        <v>1.234261481827259</v>
      </c>
      <c r="X3536" s="420"/>
      <c r="Y3536" s="420"/>
      <c r="Z3536" s="1"/>
      <c r="AA3536" s="1"/>
      <c r="AB3536" s="1"/>
      <c r="AC3536" s="1"/>
      <c r="AD3536" s="1"/>
    </row>
    <row r="3537" spans="17:30">
      <c r="Q3537" s="6">
        <v>3507</v>
      </c>
      <c r="R3537" s="7">
        <v>46174</v>
      </c>
      <c r="S3537" s="210">
        <v>4.5</v>
      </c>
      <c r="T3537" s="8">
        <v>1.0001249999999999</v>
      </c>
      <c r="U3537" s="98">
        <v>4.5190234179872224</v>
      </c>
      <c r="V3537" s="106">
        <v>35675.215459180799</v>
      </c>
      <c r="W3537" s="10">
        <v>1.2343182058037305</v>
      </c>
      <c r="X3537" s="420"/>
      <c r="Y3537" s="420"/>
      <c r="Z3537" s="1"/>
      <c r="AA3537" s="1"/>
      <c r="AB3537" s="1"/>
      <c r="AC3537" s="1"/>
      <c r="AD3537" s="1"/>
    </row>
    <row r="3538" spans="17:30">
      <c r="Q3538" s="6">
        <v>3508</v>
      </c>
      <c r="R3538" s="7">
        <v>46175</v>
      </c>
      <c r="S3538" s="210">
        <v>4.5</v>
      </c>
      <c r="T3538" s="8">
        <v>1.0001249999999999</v>
      </c>
      <c r="U3538" s="98">
        <v>4.519065822613455</v>
      </c>
      <c r="V3538" s="106">
        <v>35678.283662332804</v>
      </c>
      <c r="W3538" s="10">
        <v>1.2343748974721791</v>
      </c>
      <c r="X3538" s="420"/>
      <c r="Y3538" s="420"/>
      <c r="Z3538" s="1"/>
      <c r="AA3538" s="1"/>
      <c r="AB3538" s="1"/>
      <c r="AC3538" s="1"/>
      <c r="AD3538" s="1"/>
    </row>
    <row r="3539" spans="17:30">
      <c r="Q3539" s="6">
        <v>3509</v>
      </c>
      <c r="R3539" s="7">
        <v>46176</v>
      </c>
      <c r="S3539" s="210">
        <v>4.5</v>
      </c>
      <c r="T3539" s="8">
        <v>1.0001249999999999</v>
      </c>
      <c r="U3539" s="98">
        <v>4.5191082030878071</v>
      </c>
      <c r="V3539" s="106">
        <v>35681.352129361861</v>
      </c>
      <c r="W3539" s="10">
        <v>1.2344315568601827</v>
      </c>
      <c r="X3539" s="420"/>
      <c r="Y3539" s="420"/>
      <c r="Z3539" s="1"/>
      <c r="AA3539" s="1"/>
      <c r="AB3539" s="1"/>
      <c r="AC3539" s="1"/>
      <c r="AD3539" s="1"/>
    </row>
    <row r="3540" spans="17:30">
      <c r="Q3540" s="6">
        <v>3510</v>
      </c>
      <c r="R3540" s="7">
        <v>46177</v>
      </c>
      <c r="S3540" s="210">
        <v>4.5</v>
      </c>
      <c r="T3540" s="8">
        <v>1.0001249999999999</v>
      </c>
      <c r="U3540" s="98">
        <v>4.5191505594309289</v>
      </c>
      <c r="V3540" s="106">
        <v>35684.420860290666</v>
      </c>
      <c r="W3540" s="10">
        <v>1.2344881839953192</v>
      </c>
      <c r="X3540" s="420"/>
      <c r="Y3540" s="420"/>
      <c r="Z3540" s="1"/>
      <c r="AA3540" s="1"/>
      <c r="AB3540" s="1"/>
      <c r="AC3540" s="1"/>
      <c r="AD3540" s="1"/>
    </row>
    <row r="3541" spans="17:30">
      <c r="Q3541" s="6">
        <v>3511</v>
      </c>
      <c r="R3541" s="7">
        <v>46178</v>
      </c>
      <c r="S3541" s="210">
        <v>4.5</v>
      </c>
      <c r="T3541" s="8">
        <v>1.0001249999999999</v>
      </c>
      <c r="U3541" s="98">
        <v>4.5191928916634039</v>
      </c>
      <c r="V3541" s="106">
        <v>35687.48985514191</v>
      </c>
      <c r="W3541" s="10">
        <v>1.2345447789051445</v>
      </c>
      <c r="X3541" s="420"/>
      <c r="Y3541" s="420"/>
      <c r="Z3541" s="1"/>
      <c r="AA3541" s="1"/>
      <c r="AB3541" s="1"/>
      <c r="AC3541" s="1"/>
      <c r="AD3541" s="1"/>
    </row>
    <row r="3542" spans="17:30">
      <c r="Q3542" s="6">
        <v>3512</v>
      </c>
      <c r="R3542" s="7">
        <v>46179</v>
      </c>
      <c r="S3542" s="210">
        <v>4.5</v>
      </c>
      <c r="T3542" s="8">
        <v>1.0001249999999999</v>
      </c>
      <c r="U3542" s="98">
        <v>4.5192351998058156</v>
      </c>
      <c r="V3542" s="106">
        <v>35690.559113938289</v>
      </c>
      <c r="W3542" s="10">
        <v>1.2346013416171253</v>
      </c>
      <c r="X3542" s="420"/>
      <c r="Y3542" s="420"/>
      <c r="Z3542" s="1"/>
      <c r="AA3542" s="1"/>
      <c r="AB3542" s="1"/>
      <c r="AC3542" s="1"/>
      <c r="AD3542" s="1"/>
    </row>
    <row r="3543" spans="17:30">
      <c r="Q3543" s="6">
        <v>3513</v>
      </c>
      <c r="R3543" s="7">
        <v>46180</v>
      </c>
      <c r="S3543" s="210">
        <v>4.5</v>
      </c>
      <c r="T3543" s="8">
        <v>1.0001249999999999</v>
      </c>
      <c r="U3543" s="98">
        <v>4.5192774838787253</v>
      </c>
      <c r="V3543" s="106">
        <v>35693.628636702517</v>
      </c>
      <c r="W3543" s="10">
        <v>1.2346578721587509</v>
      </c>
      <c r="X3543" s="420"/>
      <c r="Y3543" s="420"/>
      <c r="Z3543" s="1"/>
      <c r="AA3543" s="1"/>
      <c r="AB3543" s="1"/>
      <c r="AC3543" s="1"/>
      <c r="AD3543" s="1"/>
    </row>
    <row r="3544" spans="17:30">
      <c r="Q3544" s="6">
        <v>3514</v>
      </c>
      <c r="R3544" s="7">
        <v>46181</v>
      </c>
      <c r="S3544" s="210">
        <v>4.5</v>
      </c>
      <c r="T3544" s="8">
        <v>1.0001249999999999</v>
      </c>
      <c r="U3544" s="98">
        <v>4.51931974390265</v>
      </c>
      <c r="V3544" s="106">
        <v>35696.698423457274</v>
      </c>
      <c r="W3544" s="10">
        <v>1.2347143705574215</v>
      </c>
      <c r="X3544" s="420"/>
      <c r="Y3544" s="420"/>
      <c r="Z3544" s="1"/>
      <c r="AA3544" s="1"/>
      <c r="AB3544" s="1"/>
      <c r="AC3544" s="1"/>
      <c r="AD3544" s="1"/>
    </row>
    <row r="3545" spans="17:30">
      <c r="Q3545" s="6">
        <v>3515</v>
      </c>
      <c r="R3545" s="7">
        <v>46182</v>
      </c>
      <c r="S3545" s="210">
        <v>4.5</v>
      </c>
      <c r="T3545" s="8">
        <v>1.0001249999999999</v>
      </c>
      <c r="U3545" s="98">
        <v>4.5193619798981288</v>
      </c>
      <c r="V3545" s="106">
        <v>35699.768474225282</v>
      </c>
      <c r="W3545" s="10">
        <v>1.2347708368405819</v>
      </c>
      <c r="X3545" s="420"/>
      <c r="Y3545" s="420"/>
      <c r="Z3545" s="1"/>
      <c r="AA3545" s="1"/>
      <c r="AB3545" s="1"/>
      <c r="AC3545" s="1"/>
      <c r="AD3545" s="1"/>
    </row>
    <row r="3546" spans="17:30">
      <c r="Q3546" s="6">
        <v>3516</v>
      </c>
      <c r="R3546" s="7">
        <v>46183</v>
      </c>
      <c r="S3546" s="210">
        <v>4.5</v>
      </c>
      <c r="T3546" s="8">
        <v>1.0001249999999999</v>
      </c>
      <c r="U3546" s="98">
        <v>4.5194041918856342</v>
      </c>
      <c r="V3546" s="106">
        <v>35702.838789029236</v>
      </c>
      <c r="W3546" s="10">
        <v>1.2348272710356101</v>
      </c>
      <c r="X3546" s="420"/>
      <c r="Y3546" s="420"/>
      <c r="Z3546" s="1"/>
      <c r="AA3546" s="1"/>
      <c r="AB3546" s="1"/>
      <c r="AC3546" s="1"/>
      <c r="AD3546" s="1"/>
    </row>
    <row r="3547" spans="17:30">
      <c r="Q3547" s="6">
        <v>3517</v>
      </c>
      <c r="R3547" s="7">
        <v>46184</v>
      </c>
      <c r="S3547" s="210">
        <v>4.5</v>
      </c>
      <c r="T3547" s="8">
        <v>1.0001249999999999</v>
      </c>
      <c r="U3547" s="98">
        <v>4.5194463798856166</v>
      </c>
      <c r="V3547" s="106">
        <v>35705.909367891858</v>
      </c>
      <c r="W3547" s="10">
        <v>1.2348836731698176</v>
      </c>
      <c r="X3547" s="420"/>
      <c r="Y3547" s="420"/>
      <c r="Z3547" s="1"/>
      <c r="AA3547" s="1"/>
      <c r="AB3547" s="1"/>
      <c r="AC3547" s="1"/>
      <c r="AD3547" s="1"/>
    </row>
    <row r="3548" spans="17:30">
      <c r="Q3548" s="6">
        <v>3518</v>
      </c>
      <c r="R3548" s="7">
        <v>46185</v>
      </c>
      <c r="S3548" s="210">
        <v>4.5</v>
      </c>
      <c r="T3548" s="8">
        <v>1.0001249999999999</v>
      </c>
      <c r="U3548" s="98">
        <v>4.5194885439185262</v>
      </c>
      <c r="V3548" s="106">
        <v>35708.980210835834</v>
      </c>
      <c r="W3548" s="10">
        <v>1.234940043270516</v>
      </c>
      <c r="X3548" s="420"/>
      <c r="Y3548" s="420"/>
      <c r="Z3548" s="1"/>
      <c r="AA3548" s="1"/>
      <c r="AB3548" s="1"/>
      <c r="AC3548" s="1"/>
      <c r="AD3548" s="1"/>
    </row>
    <row r="3549" spans="17:30">
      <c r="Q3549" s="6">
        <v>3519</v>
      </c>
      <c r="R3549" s="7">
        <v>46186</v>
      </c>
      <c r="S3549" s="210">
        <v>4.5</v>
      </c>
      <c r="T3549" s="8">
        <v>1.0001249999999999</v>
      </c>
      <c r="U3549" s="98">
        <v>4.5195306840047911</v>
      </c>
      <c r="V3549" s="106">
        <v>35712.051317883903</v>
      </c>
      <c r="W3549" s="10">
        <v>1.2349963813650389</v>
      </c>
      <c r="X3549" s="420"/>
      <c r="Y3549" s="420"/>
      <c r="Z3549" s="1"/>
      <c r="AA3549" s="1"/>
      <c r="AB3549" s="1"/>
      <c r="AC3549" s="1"/>
      <c r="AD3549" s="1"/>
    </row>
    <row r="3550" spans="17:30">
      <c r="Q3550" s="6">
        <v>3520</v>
      </c>
      <c r="R3550" s="7">
        <v>46187</v>
      </c>
      <c r="S3550" s="210">
        <v>4.5</v>
      </c>
      <c r="T3550" s="8">
        <v>1.0001249999999999</v>
      </c>
      <c r="U3550" s="98">
        <v>4.519572800164795</v>
      </c>
      <c r="V3550" s="106">
        <v>35715.122689058764</v>
      </c>
      <c r="W3550" s="10">
        <v>1.2350526874805867</v>
      </c>
      <c r="X3550" s="420"/>
      <c r="Y3550" s="420"/>
      <c r="Z3550" s="1"/>
      <c r="AA3550" s="1"/>
      <c r="AB3550" s="1"/>
      <c r="AC3550" s="1"/>
      <c r="AD3550" s="1"/>
    </row>
    <row r="3551" spans="17:30">
      <c r="Q3551" s="6">
        <v>3521</v>
      </c>
      <c r="R3551" s="7">
        <v>46188</v>
      </c>
      <c r="S3551" s="210">
        <v>4.5</v>
      </c>
      <c r="T3551" s="8">
        <v>1.0001249999999999</v>
      </c>
      <c r="U3551" s="98">
        <v>4.5196148924189217</v>
      </c>
      <c r="V3551" s="106">
        <v>35718.194324383141</v>
      </c>
      <c r="W3551" s="10">
        <v>1.2351089616444044</v>
      </c>
      <c r="X3551" s="420"/>
      <c r="Y3551" s="420"/>
      <c r="Z3551" s="1"/>
      <c r="AA3551" s="1"/>
      <c r="AB3551" s="1"/>
      <c r="AC3551" s="1"/>
      <c r="AD3551" s="1"/>
    </row>
    <row r="3552" spans="17:30">
      <c r="Q3552" s="6">
        <v>3522</v>
      </c>
      <c r="R3552" s="7">
        <v>46189</v>
      </c>
      <c r="S3552" s="210">
        <v>4.5</v>
      </c>
      <c r="T3552" s="8">
        <v>1.0001249999999999</v>
      </c>
      <c r="U3552" s="98">
        <v>4.5196569607875103</v>
      </c>
      <c r="V3552" s="106">
        <v>35721.266223879735</v>
      </c>
      <c r="W3552" s="10">
        <v>1.2351652038836924</v>
      </c>
      <c r="X3552" s="420"/>
      <c r="Y3552" s="420"/>
      <c r="Z3552" s="1"/>
      <c r="AA3552" s="1"/>
      <c r="AB3552" s="1"/>
      <c r="AC3552" s="1"/>
      <c r="AD3552" s="1"/>
    </row>
    <row r="3553" spans="17:30">
      <c r="Q3553" s="6">
        <v>3523</v>
      </c>
      <c r="R3553" s="7">
        <v>46190</v>
      </c>
      <c r="S3553" s="210">
        <v>4.5</v>
      </c>
      <c r="T3553" s="8">
        <v>1.0001249999999999</v>
      </c>
      <c r="U3553" s="98">
        <v>4.5196990052909003</v>
      </c>
      <c r="V3553" s="106">
        <v>35724.33838757129</v>
      </c>
      <c r="W3553" s="10">
        <v>1.2352214142255846</v>
      </c>
      <c r="X3553" s="420"/>
      <c r="Y3553" s="420"/>
      <c r="Z3553" s="1"/>
      <c r="AA3553" s="1"/>
      <c r="AB3553" s="1"/>
      <c r="AC3553" s="1"/>
      <c r="AD3553" s="1"/>
    </row>
    <row r="3554" spans="17:30">
      <c r="Q3554" s="6">
        <v>3524</v>
      </c>
      <c r="R3554" s="7">
        <v>46191</v>
      </c>
      <c r="S3554" s="210">
        <v>4.5</v>
      </c>
      <c r="T3554" s="8">
        <v>1.0001249999999999</v>
      </c>
      <c r="U3554" s="98">
        <v>4.5197410259493864</v>
      </c>
      <c r="V3554" s="106">
        <v>35727.410815480514</v>
      </c>
      <c r="W3554" s="10">
        <v>1.2352775926972148</v>
      </c>
      <c r="X3554" s="420"/>
      <c r="Y3554" s="420"/>
      <c r="Z3554" s="1"/>
      <c r="AA3554" s="1"/>
      <c r="AB3554" s="1"/>
      <c r="AC3554" s="1"/>
      <c r="AD3554" s="1"/>
    </row>
    <row r="3555" spans="17:30">
      <c r="Q3555" s="6">
        <v>3525</v>
      </c>
      <c r="R3555" s="7">
        <v>46192</v>
      </c>
      <c r="S3555" s="210">
        <v>4.5</v>
      </c>
      <c r="T3555" s="8">
        <v>1.0001249999999999</v>
      </c>
      <c r="U3555" s="98">
        <v>4.5197830227832414</v>
      </c>
      <c r="V3555" s="106">
        <v>35730.483507630117</v>
      </c>
      <c r="W3555" s="10">
        <v>1.2353337393257169</v>
      </c>
      <c r="X3555" s="420"/>
      <c r="Y3555" s="420"/>
      <c r="Z3555" s="1"/>
      <c r="AA3555" s="1"/>
      <c r="AB3555" s="1"/>
      <c r="AC3555" s="1"/>
      <c r="AD3555" s="1"/>
    </row>
    <row r="3556" spans="17:30">
      <c r="Q3556" s="6">
        <v>3526</v>
      </c>
      <c r="R3556" s="7">
        <v>46193</v>
      </c>
      <c r="S3556" s="210">
        <v>4.5</v>
      </c>
      <c r="T3556" s="8">
        <v>1.0001249999999999</v>
      </c>
      <c r="U3556" s="98">
        <v>4.5198249958127157</v>
      </c>
      <c r="V3556" s="106">
        <v>35733.556464042857</v>
      </c>
      <c r="W3556" s="10">
        <v>1.2353898541380914</v>
      </c>
      <c r="X3556" s="420"/>
      <c r="Y3556" s="420"/>
      <c r="Z3556" s="1"/>
      <c r="AA3556" s="1"/>
      <c r="AB3556" s="1"/>
      <c r="AC3556" s="1"/>
      <c r="AD3556" s="1"/>
    </row>
    <row r="3557" spans="17:30">
      <c r="Q3557" s="6">
        <v>3527</v>
      </c>
      <c r="R3557" s="7">
        <v>46194</v>
      </c>
      <c r="S3557" s="210">
        <v>4.5</v>
      </c>
      <c r="T3557" s="8">
        <v>1.0001249999999999</v>
      </c>
      <c r="U3557" s="98">
        <v>4.5198669450580597</v>
      </c>
      <c r="V3557" s="106">
        <v>35736.629684741441</v>
      </c>
      <c r="W3557" s="10">
        <v>1.2354459371614057</v>
      </c>
      <c r="X3557" s="420"/>
      <c r="Y3557" s="420"/>
    </row>
    <row r="3558" spans="17:30">
      <c r="Q3558" s="6">
        <v>3528</v>
      </c>
      <c r="R3558" s="7">
        <v>46195</v>
      </c>
      <c r="S3558" s="210">
        <v>4.5</v>
      </c>
      <c r="T3558" s="8">
        <v>1.0001249999999999</v>
      </c>
      <c r="U3558" s="98">
        <v>4.5199088705394574</v>
      </c>
      <c r="V3558" s="106">
        <v>35739.703169748602</v>
      </c>
      <c r="W3558" s="10">
        <v>1.2355019884226603</v>
      </c>
      <c r="X3558" s="420"/>
      <c r="Y3558" s="420"/>
    </row>
    <row r="3559" spans="17:30">
      <c r="Q3559" s="6">
        <v>3529</v>
      </c>
      <c r="R3559" s="7">
        <v>46196</v>
      </c>
      <c r="S3559" s="210">
        <v>4.5</v>
      </c>
      <c r="T3559" s="8">
        <v>1.0001249999999999</v>
      </c>
      <c r="U3559" s="98">
        <v>4.5199507722771148</v>
      </c>
      <c r="V3559" s="106">
        <v>35742.776919087068</v>
      </c>
      <c r="W3559" s="10">
        <v>1.235558007948856</v>
      </c>
      <c r="X3559" s="420"/>
      <c r="Y3559" s="420"/>
    </row>
    <row r="3560" spans="17:30">
      <c r="Q3560" s="6">
        <v>3530</v>
      </c>
      <c r="R3560" s="7">
        <v>46197</v>
      </c>
      <c r="S3560" s="210">
        <v>4.5</v>
      </c>
      <c r="T3560" s="8">
        <v>1.0001249999999999</v>
      </c>
      <c r="U3560" s="98">
        <v>4.5199926502911936</v>
      </c>
      <c r="V3560" s="106">
        <v>35745.850932779576</v>
      </c>
      <c r="W3560" s="10">
        <v>1.2356139957668821</v>
      </c>
      <c r="X3560" s="420"/>
      <c r="Y3560" s="420"/>
    </row>
    <row r="3561" spans="17:30">
      <c r="Q3561" s="6">
        <v>3531</v>
      </c>
      <c r="R3561" s="7">
        <v>46198</v>
      </c>
      <c r="S3561" s="210">
        <v>4.5</v>
      </c>
      <c r="T3561" s="8">
        <v>1.0001249999999999</v>
      </c>
      <c r="U3561" s="98">
        <v>4.5200345046018553</v>
      </c>
      <c r="V3561" s="106">
        <v>35748.925210848865</v>
      </c>
      <c r="W3561" s="10">
        <v>1.2356699519037173</v>
      </c>
      <c r="X3561" s="420"/>
      <c r="Y3561" s="420"/>
    </row>
    <row r="3562" spans="17:30">
      <c r="Q3562" s="6">
        <v>3532</v>
      </c>
      <c r="R3562" s="7">
        <v>46199</v>
      </c>
      <c r="S3562" s="210">
        <v>4.5</v>
      </c>
      <c r="T3562" s="8">
        <v>1.0001249999999999</v>
      </c>
      <c r="U3562" s="98">
        <v>4.5200763352291951</v>
      </c>
      <c r="V3562" s="106">
        <v>35751.999753317665</v>
      </c>
      <c r="W3562" s="10">
        <v>1.2357258763862289</v>
      </c>
      <c r="X3562" s="420"/>
      <c r="Y3562" s="420"/>
    </row>
    <row r="3563" spans="17:30">
      <c r="Q3563" s="6">
        <v>3533</v>
      </c>
      <c r="R3563" s="7">
        <v>46200</v>
      </c>
      <c r="S3563" s="210">
        <v>4.5</v>
      </c>
      <c r="T3563" s="8">
        <v>1.0001249999999999</v>
      </c>
      <c r="U3563" s="98">
        <v>4.5201181421933079</v>
      </c>
      <c r="V3563" s="106">
        <v>35755.074560208719</v>
      </c>
      <c r="W3563" s="10">
        <v>1.2357817692412176</v>
      </c>
      <c r="X3563" s="420"/>
      <c r="Y3563" s="420"/>
    </row>
    <row r="3564" spans="17:30">
      <c r="Q3564" s="6">
        <v>3534</v>
      </c>
      <c r="R3564" s="7">
        <v>46201</v>
      </c>
      <c r="S3564" s="210">
        <v>4.5</v>
      </c>
      <c r="T3564" s="8">
        <v>1.0001249999999999</v>
      </c>
      <c r="U3564" s="98">
        <v>4.5201599255142666</v>
      </c>
      <c r="V3564" s="106">
        <v>35758.149631544773</v>
      </c>
      <c r="W3564" s="10">
        <v>1.235837630495551</v>
      </c>
      <c r="X3564" s="420"/>
      <c r="Y3564" s="420"/>
    </row>
    <row r="3565" spans="17:30">
      <c r="Q3565" s="6">
        <v>3535</v>
      </c>
      <c r="R3565" s="7">
        <v>46202</v>
      </c>
      <c r="S3565" s="210">
        <v>4.5</v>
      </c>
      <c r="T3565" s="8">
        <v>1.0001249999999999</v>
      </c>
      <c r="U3565" s="98">
        <v>4.520201685212144</v>
      </c>
      <c r="V3565" s="106">
        <v>35761.224967348564</v>
      </c>
      <c r="W3565" s="10">
        <v>1.2358934601760074</v>
      </c>
      <c r="X3565" s="420"/>
      <c r="Y3565" s="420"/>
    </row>
    <row r="3566" spans="17:30">
      <c r="Q3566" s="6">
        <v>3536</v>
      </c>
      <c r="R3566" s="7">
        <v>46203</v>
      </c>
      <c r="S3566" s="210">
        <v>4.5</v>
      </c>
      <c r="T3566" s="8">
        <v>1.0001249999999999</v>
      </c>
      <c r="U3566" s="98">
        <v>4.5202434213069465</v>
      </c>
      <c r="V3566" s="106">
        <v>35764.300567642837</v>
      </c>
      <c r="W3566" s="10">
        <v>1.2359492583093656</v>
      </c>
      <c r="X3566" s="420"/>
      <c r="Y3566" s="420"/>
    </row>
    <row r="3567" spans="17:30">
      <c r="Q3567" s="6">
        <v>3537</v>
      </c>
      <c r="R3567" s="7">
        <v>46204</v>
      </c>
      <c r="S3567" s="210">
        <v>4.5</v>
      </c>
      <c r="T3567" s="8">
        <v>1.0001249999999999</v>
      </c>
      <c r="U3567" s="98">
        <v>4.52028513381868</v>
      </c>
      <c r="V3567" s="106">
        <v>35767.376432450343</v>
      </c>
      <c r="W3567" s="10">
        <v>1.2360050249223375</v>
      </c>
      <c r="X3567" s="420"/>
      <c r="Y3567" s="420"/>
    </row>
    <row r="3568" spans="17:30">
      <c r="Q3568" s="6">
        <v>3538</v>
      </c>
      <c r="R3568" s="7">
        <v>46205</v>
      </c>
      <c r="S3568" s="210">
        <v>4.5</v>
      </c>
      <c r="T3568" s="8">
        <v>1.0001249999999999</v>
      </c>
      <c r="U3568" s="98">
        <v>4.520326822767351</v>
      </c>
      <c r="V3568" s="106">
        <v>35770.452561793834</v>
      </c>
      <c r="W3568" s="10">
        <v>1.2360607600416351</v>
      </c>
      <c r="X3568" s="420"/>
      <c r="Y3568" s="420"/>
    </row>
    <row r="3569" spans="17:25">
      <c r="Q3569" s="6">
        <v>3539</v>
      </c>
      <c r="R3569" s="7">
        <v>46206</v>
      </c>
      <c r="S3569" s="210">
        <v>4.5</v>
      </c>
      <c r="T3569" s="8">
        <v>1.0001249999999999</v>
      </c>
      <c r="U3569" s="98">
        <v>4.5203684881728989</v>
      </c>
      <c r="V3569" s="106">
        <v>35773.528955696049</v>
      </c>
      <c r="W3569" s="10">
        <v>1.2361164636939481</v>
      </c>
      <c r="X3569" s="420"/>
      <c r="Y3569" s="420"/>
    </row>
    <row r="3570" spans="17:25">
      <c r="Q3570" s="6">
        <v>3540</v>
      </c>
      <c r="R3570" s="7">
        <v>46207</v>
      </c>
      <c r="S3570" s="210">
        <v>4.5</v>
      </c>
      <c r="T3570" s="8">
        <v>1.0001249999999999</v>
      </c>
      <c r="U3570" s="98">
        <v>4.5204101300552635</v>
      </c>
      <c r="V3570" s="106">
        <v>35776.60561417976</v>
      </c>
      <c r="W3570" s="10">
        <v>1.2361721359058775</v>
      </c>
      <c r="X3570" s="420"/>
      <c r="Y3570" s="420"/>
    </row>
    <row r="3571" spans="17:25">
      <c r="Q3571" s="6">
        <v>3541</v>
      </c>
      <c r="R3571" s="7">
        <v>46208</v>
      </c>
      <c r="S3571" s="210">
        <v>4.5</v>
      </c>
      <c r="T3571" s="8">
        <v>1.0001249999999999</v>
      </c>
      <c r="U3571" s="98">
        <v>4.520451748434362</v>
      </c>
      <c r="V3571" s="106">
        <v>35779.682537267698</v>
      </c>
      <c r="W3571" s="10">
        <v>1.2362277767040464</v>
      </c>
      <c r="X3571" s="420"/>
      <c r="Y3571" s="420"/>
    </row>
    <row r="3572" spans="17:25">
      <c r="Q3572" s="6">
        <v>3542</v>
      </c>
      <c r="R3572" s="7">
        <v>46209</v>
      </c>
      <c r="S3572" s="210">
        <v>4.5</v>
      </c>
      <c r="T3572" s="8">
        <v>1.0001249999999999</v>
      </c>
      <c r="U3572" s="98">
        <v>4.5204933433300898</v>
      </c>
      <c r="V3572" s="106">
        <v>35782.759724982636</v>
      </c>
      <c r="W3572" s="10">
        <v>1.2362833861150557</v>
      </c>
      <c r="X3572" s="420"/>
      <c r="Y3572" s="420"/>
    </row>
    <row r="3573" spans="17:25">
      <c r="Q3573" s="6">
        <v>3543</v>
      </c>
      <c r="R3573" s="7">
        <v>46210</v>
      </c>
      <c r="S3573" s="210">
        <v>4.5</v>
      </c>
      <c r="T3573" s="8">
        <v>1.0001249999999999</v>
      </c>
      <c r="U3573" s="98">
        <v>4.5205349147622975</v>
      </c>
      <c r="V3573" s="106">
        <v>35785.837177347326</v>
      </c>
      <c r="W3573" s="10">
        <v>1.2363389641654177</v>
      </c>
      <c r="X3573" s="420"/>
      <c r="Y3573" s="420"/>
    </row>
    <row r="3574" spans="17:25">
      <c r="Q3574" s="6">
        <v>3544</v>
      </c>
      <c r="R3574" s="7">
        <v>46211</v>
      </c>
      <c r="S3574" s="210">
        <v>4.5</v>
      </c>
      <c r="T3574" s="8">
        <v>1.0001249999999999</v>
      </c>
      <c r="U3574" s="98">
        <v>4.5205764627508582</v>
      </c>
      <c r="V3574" s="106">
        <v>35788.914894384543</v>
      </c>
      <c r="W3574" s="10">
        <v>1.2363945108816887</v>
      </c>
      <c r="X3574" s="420"/>
      <c r="Y3574" s="420"/>
    </row>
    <row r="3575" spans="17:25">
      <c r="Q3575" s="6">
        <v>3545</v>
      </c>
      <c r="R3575" s="7">
        <v>46212</v>
      </c>
      <c r="S3575" s="210">
        <v>4.5</v>
      </c>
      <c r="T3575" s="8">
        <v>1.0001249999999999</v>
      </c>
      <c r="U3575" s="98">
        <v>4.5206179873155783</v>
      </c>
      <c r="V3575" s="106">
        <v>35791.99287611703</v>
      </c>
      <c r="W3575" s="10">
        <v>1.2364500262903366</v>
      </c>
      <c r="X3575" s="420"/>
      <c r="Y3575" s="420"/>
    </row>
    <row r="3576" spans="17:25">
      <c r="Q3576" s="6">
        <v>3546</v>
      </c>
      <c r="R3576" s="7">
        <v>46213</v>
      </c>
      <c r="S3576" s="210">
        <v>4.5</v>
      </c>
      <c r="T3576" s="8">
        <v>1.0001249999999999</v>
      </c>
      <c r="U3576" s="98">
        <v>4.5206594884762863</v>
      </c>
      <c r="V3576" s="106">
        <v>35795.071122567562</v>
      </c>
      <c r="W3576" s="10">
        <v>1.2365055104178513</v>
      </c>
      <c r="X3576" s="420"/>
      <c r="Y3576" s="420"/>
    </row>
    <row r="3577" spans="17:25">
      <c r="Q3577" s="6">
        <v>3547</v>
      </c>
      <c r="R3577" s="7">
        <v>46214</v>
      </c>
      <c r="S3577" s="210">
        <v>4.5</v>
      </c>
      <c r="T3577" s="8">
        <v>1.0001249999999999</v>
      </c>
      <c r="U3577" s="98">
        <v>4.5207009662527442</v>
      </c>
      <c r="V3577" s="106">
        <v>35798.149633758912</v>
      </c>
      <c r="W3577" s="10">
        <v>1.236560963290656</v>
      </c>
      <c r="X3577" s="420"/>
      <c r="Y3577" s="420"/>
    </row>
    <row r="3578" spans="17:25">
      <c r="Q3578" s="6">
        <v>3548</v>
      </c>
      <c r="R3578" s="7">
        <v>46215</v>
      </c>
      <c r="S3578" s="210">
        <v>4.5</v>
      </c>
      <c r="T3578" s="8">
        <v>1.0001249999999999</v>
      </c>
      <c r="U3578" s="98">
        <v>4.520742420664714</v>
      </c>
      <c r="V3578" s="106">
        <v>35801.228409713833</v>
      </c>
      <c r="W3578" s="10">
        <v>1.2366163849351297</v>
      </c>
      <c r="X3578" s="420"/>
      <c r="Y3578" s="420"/>
    </row>
    <row r="3579" spans="17:25">
      <c r="Q3579" s="6">
        <v>3549</v>
      </c>
      <c r="R3579" s="7">
        <v>46216</v>
      </c>
      <c r="S3579" s="210">
        <v>4.5</v>
      </c>
      <c r="T3579" s="8">
        <v>1.0001249999999999</v>
      </c>
      <c r="U3579" s="98">
        <v>4.5207838517319354</v>
      </c>
      <c r="V3579" s="106">
        <v>35804.307450455111</v>
      </c>
      <c r="W3579" s="10">
        <v>1.2366717753776513</v>
      </c>
      <c r="X3579" s="420"/>
      <c r="Y3579" s="420"/>
    </row>
    <row r="3580" spans="17:25">
      <c r="Q3580" s="6">
        <v>3550</v>
      </c>
      <c r="R3580" s="7">
        <v>46217</v>
      </c>
      <c r="S3580" s="210">
        <v>4.5</v>
      </c>
      <c r="T3580" s="8">
        <v>1.0001249999999999</v>
      </c>
      <c r="U3580" s="98">
        <v>4.5208252594741039</v>
      </c>
      <c r="V3580" s="106">
        <v>35807.386756005501</v>
      </c>
      <c r="W3580" s="10">
        <v>1.2367271346445774</v>
      </c>
      <c r="X3580" s="420"/>
      <c r="Y3580" s="420"/>
    </row>
    <row r="3581" spans="17:25">
      <c r="Q3581" s="6">
        <v>3551</v>
      </c>
      <c r="R3581" s="7">
        <v>46218</v>
      </c>
      <c r="S3581" s="210">
        <v>4.5</v>
      </c>
      <c r="T3581" s="8">
        <v>1.0001249999999999</v>
      </c>
      <c r="U3581" s="98">
        <v>4.5208666439109368</v>
      </c>
      <c r="V3581" s="106">
        <v>35810.466326387796</v>
      </c>
      <c r="W3581" s="10">
        <v>1.2367824627622204</v>
      </c>
      <c r="X3581" s="420"/>
      <c r="Y3581" s="420"/>
    </row>
    <row r="3582" spans="17:25">
      <c r="Q3582" s="6">
        <v>3552</v>
      </c>
      <c r="R3582" s="7">
        <v>46219</v>
      </c>
      <c r="S3582" s="210">
        <v>4.5</v>
      </c>
      <c r="T3582" s="8">
        <v>1.0001249999999999</v>
      </c>
      <c r="U3582" s="98">
        <v>4.5209080050620853</v>
      </c>
      <c r="V3582" s="106">
        <v>35813.546161624763</v>
      </c>
      <c r="W3582" s="10">
        <v>1.2368377597568481</v>
      </c>
      <c r="X3582" s="420"/>
      <c r="Y3582" s="420"/>
    </row>
    <row r="3583" spans="17:25">
      <c r="Q3583" s="6">
        <v>3553</v>
      </c>
      <c r="R3583" s="7">
        <v>46220</v>
      </c>
      <c r="S3583" s="210">
        <v>4.5</v>
      </c>
      <c r="T3583" s="8">
        <v>1.0001249999999999</v>
      </c>
      <c r="U3583" s="98">
        <v>4.5209493429472225</v>
      </c>
      <c r="V3583" s="106">
        <v>35816.626261739184</v>
      </c>
      <c r="W3583" s="10">
        <v>1.2368930256547284</v>
      </c>
      <c r="X3583" s="420"/>
      <c r="Y3583" s="420"/>
    </row>
    <row r="3584" spans="17:25">
      <c r="Q3584" s="6">
        <v>3554</v>
      </c>
      <c r="R3584" s="7">
        <v>46221</v>
      </c>
      <c r="S3584" s="210">
        <v>4.5</v>
      </c>
      <c r="T3584" s="8">
        <v>1.0001249999999999</v>
      </c>
      <c r="U3584" s="98">
        <v>4.5209906575859549</v>
      </c>
      <c r="V3584" s="106">
        <v>35819.706626753839</v>
      </c>
      <c r="W3584" s="10">
        <v>1.2369482604820847</v>
      </c>
      <c r="X3584" s="420"/>
      <c r="Y3584" s="420"/>
    </row>
    <row r="3585" spans="17:25">
      <c r="Q3585" s="6">
        <v>3555</v>
      </c>
      <c r="R3585" s="7">
        <v>46222</v>
      </c>
      <c r="S3585" s="210">
        <v>4.5</v>
      </c>
      <c r="T3585" s="8">
        <v>1.0001249999999999</v>
      </c>
      <c r="U3585" s="98">
        <v>4.521031948997889</v>
      </c>
      <c r="V3585" s="106">
        <v>35822.787256691503</v>
      </c>
      <c r="W3585" s="10">
        <v>1.2370034642650962</v>
      </c>
      <c r="X3585" s="420"/>
      <c r="Y3585" s="420"/>
    </row>
    <row r="3586" spans="17:25">
      <c r="Q3586" s="6">
        <v>3556</v>
      </c>
      <c r="R3586" s="7">
        <v>46223</v>
      </c>
      <c r="S3586" s="210">
        <v>4.5</v>
      </c>
      <c r="T3586" s="8">
        <v>1.0001249999999999</v>
      </c>
      <c r="U3586" s="98">
        <v>4.5210732172026091</v>
      </c>
      <c r="V3586" s="106">
        <v>35825.86815157497</v>
      </c>
      <c r="W3586" s="10">
        <v>1.2370586370299419</v>
      </c>
      <c r="X3586" s="420"/>
      <c r="Y3586" s="420"/>
    </row>
    <row r="3587" spans="17:25">
      <c r="Q3587" s="6">
        <v>3557</v>
      </c>
      <c r="R3587" s="7">
        <v>46224</v>
      </c>
      <c r="S3587" s="210">
        <v>4.5</v>
      </c>
      <c r="T3587" s="8">
        <v>1.0001249999999999</v>
      </c>
      <c r="U3587" s="98">
        <v>4.5211144622196553</v>
      </c>
      <c r="V3587" s="106">
        <v>35828.949311427023</v>
      </c>
      <c r="W3587" s="10">
        <v>1.2371137788027564</v>
      </c>
      <c r="X3587" s="420"/>
      <c r="Y3587" s="420"/>
    </row>
    <row r="3588" spans="17:25">
      <c r="Q3588" s="6">
        <v>3558</v>
      </c>
      <c r="R3588" s="7">
        <v>46225</v>
      </c>
      <c r="S3588" s="210">
        <v>4.5</v>
      </c>
      <c r="T3588" s="8">
        <v>1.0001249999999999</v>
      </c>
      <c r="U3588" s="98">
        <v>4.5211556840685896</v>
      </c>
      <c r="V3588" s="106">
        <v>35832.030736270448</v>
      </c>
      <c r="W3588" s="10">
        <v>1.23716888960963</v>
      </c>
      <c r="X3588" s="420"/>
      <c r="Y3588" s="420"/>
    </row>
    <row r="3589" spans="17:25">
      <c r="Q3589" s="6">
        <v>3559</v>
      </c>
      <c r="R3589" s="7">
        <v>46226</v>
      </c>
      <c r="S3589" s="210">
        <v>4.5</v>
      </c>
      <c r="T3589" s="8">
        <v>1.0001249999999999</v>
      </c>
      <c r="U3589" s="98">
        <v>4.5211968827689075</v>
      </c>
      <c r="V3589" s="106">
        <v>35835.112426128042</v>
      </c>
      <c r="W3589" s="10">
        <v>1.2372239694766529</v>
      </c>
      <c r="X3589" s="420"/>
      <c r="Y3589" s="420"/>
    </row>
    <row r="3590" spans="17:25">
      <c r="Q3590" s="6">
        <v>3560</v>
      </c>
      <c r="R3590" s="7">
        <v>46227</v>
      </c>
      <c r="S3590" s="210">
        <v>4.5</v>
      </c>
      <c r="T3590" s="8">
        <v>1.0001249999999999</v>
      </c>
      <c r="U3590" s="98">
        <v>4.5212380583401268</v>
      </c>
      <c r="V3590" s="106">
        <v>35838.194381022593</v>
      </c>
      <c r="W3590" s="10">
        <v>1.2372790184298932</v>
      </c>
      <c r="X3590" s="420"/>
      <c r="Y3590" s="420"/>
    </row>
    <row r="3591" spans="17:25">
      <c r="Q3591" s="6">
        <v>3561</v>
      </c>
      <c r="R3591" s="7">
        <v>46228</v>
      </c>
      <c r="S3591" s="210">
        <v>4.5</v>
      </c>
      <c r="T3591" s="8">
        <v>1.0001249999999999</v>
      </c>
      <c r="U3591" s="98">
        <v>4.5212792108016986</v>
      </c>
      <c r="V3591" s="106">
        <v>35841.276600976889</v>
      </c>
      <c r="W3591" s="10">
        <v>1.23733403649533</v>
      </c>
      <c r="X3591" s="420"/>
      <c r="Y3591" s="420"/>
    </row>
    <row r="3592" spans="17:25">
      <c r="Q3592" s="6">
        <v>3562</v>
      </c>
      <c r="R3592" s="7">
        <v>46229</v>
      </c>
      <c r="S3592" s="210">
        <v>4.5</v>
      </c>
      <c r="T3592" s="8">
        <v>1.0001249999999999</v>
      </c>
      <c r="U3592" s="98">
        <v>4.5213203401730739</v>
      </c>
      <c r="V3592" s="106">
        <v>35844.359086013741</v>
      </c>
      <c r="W3592" s="10">
        <v>1.2373890236989649</v>
      </c>
      <c r="X3592" s="420"/>
      <c r="Y3592" s="420"/>
    </row>
    <row r="3593" spans="17:25">
      <c r="Q3593" s="6">
        <v>3563</v>
      </c>
      <c r="R3593" s="7">
        <v>46230</v>
      </c>
      <c r="S3593" s="210">
        <v>4.5</v>
      </c>
      <c r="T3593" s="8">
        <v>1.0001249999999999</v>
      </c>
      <c r="U3593" s="98">
        <v>4.521361446473704</v>
      </c>
      <c r="V3593" s="106">
        <v>35847.441836155929</v>
      </c>
      <c r="W3593" s="10">
        <v>1.2374439800667769</v>
      </c>
      <c r="X3593" s="420"/>
      <c r="Y3593" s="420"/>
    </row>
    <row r="3594" spans="17:25">
      <c r="Q3594" s="6">
        <v>3564</v>
      </c>
      <c r="R3594" s="7">
        <v>46231</v>
      </c>
      <c r="S3594" s="210">
        <v>4.5</v>
      </c>
      <c r="T3594" s="8">
        <v>1.0001249999999999</v>
      </c>
      <c r="U3594" s="98">
        <v>4.5214025297229732</v>
      </c>
      <c r="V3594" s="106">
        <v>35850.524851426271</v>
      </c>
      <c r="W3594" s="10">
        <v>1.2374989056246788</v>
      </c>
      <c r="X3594" s="420"/>
      <c r="Y3594" s="420"/>
    </row>
    <row r="3595" spans="17:25">
      <c r="Q3595" s="6">
        <v>3565</v>
      </c>
      <c r="R3595" s="7">
        <v>46232</v>
      </c>
      <c r="S3595" s="210">
        <v>4.5</v>
      </c>
      <c r="T3595" s="8">
        <v>1.0001249999999999</v>
      </c>
      <c r="U3595" s="98">
        <v>4.5214435899402661</v>
      </c>
      <c r="V3595" s="106">
        <v>35853.608131847548</v>
      </c>
      <c r="W3595" s="10">
        <v>1.2375538003985831</v>
      </c>
      <c r="X3595" s="420"/>
      <c r="Y3595" s="420"/>
    </row>
    <row r="3596" spans="17:25">
      <c r="Q3596" s="6">
        <v>3566</v>
      </c>
      <c r="R3596" s="7">
        <v>46233</v>
      </c>
      <c r="S3596" s="210">
        <v>4.5</v>
      </c>
      <c r="T3596" s="8">
        <v>1.0001249999999999</v>
      </c>
      <c r="U3596" s="98">
        <v>4.5214846271449449</v>
      </c>
      <c r="V3596" s="106">
        <v>35856.691677442584</v>
      </c>
      <c r="W3596" s="10">
        <v>1.2376086644143358</v>
      </c>
      <c r="X3596" s="420"/>
      <c r="Y3596" s="420"/>
    </row>
    <row r="3597" spans="17:25">
      <c r="Q3597" s="6">
        <v>3567</v>
      </c>
      <c r="R3597" s="7">
        <v>46234</v>
      </c>
      <c r="S3597" s="210">
        <v>4.5</v>
      </c>
      <c r="T3597" s="8">
        <v>1.0001249999999999</v>
      </c>
      <c r="U3597" s="98">
        <v>4.521525641356372</v>
      </c>
      <c r="V3597" s="106">
        <v>35859.775488234183</v>
      </c>
      <c r="W3597" s="10">
        <v>1.2376634976978274</v>
      </c>
      <c r="X3597" s="420"/>
      <c r="Y3597" s="420"/>
    </row>
    <row r="3598" spans="17:25">
      <c r="Q3598" s="6">
        <v>3568</v>
      </c>
      <c r="R3598" s="7">
        <v>46235</v>
      </c>
      <c r="S3598" s="210">
        <v>4.5</v>
      </c>
      <c r="T3598" s="8">
        <v>1.0001249999999999</v>
      </c>
      <c r="U3598" s="98">
        <v>4.5215666325938431</v>
      </c>
      <c r="V3598" s="106">
        <v>35862.859564245133</v>
      </c>
      <c r="W3598" s="10">
        <v>1.2377183002748593</v>
      </c>
      <c r="X3598" s="420"/>
      <c r="Y3598" s="420"/>
    </row>
    <row r="3599" spans="17:25">
      <c r="Q3599" s="6">
        <v>3569</v>
      </c>
      <c r="R3599" s="7">
        <v>46236</v>
      </c>
      <c r="S3599" s="210">
        <v>4.5</v>
      </c>
      <c r="T3599" s="8">
        <v>1.0001249999999999</v>
      </c>
      <c r="U3599" s="98">
        <v>4.5216076008766537</v>
      </c>
      <c r="V3599" s="106">
        <v>35865.943905498272</v>
      </c>
      <c r="W3599" s="10">
        <v>1.2377730721711666</v>
      </c>
      <c r="X3599" s="420"/>
      <c r="Y3599" s="420"/>
    </row>
    <row r="3600" spans="17:25">
      <c r="Q3600" s="6">
        <v>3570</v>
      </c>
      <c r="R3600" s="7">
        <v>46237</v>
      </c>
      <c r="S3600" s="210">
        <v>4.5</v>
      </c>
      <c r="T3600" s="8">
        <v>1.0001249999999999</v>
      </c>
      <c r="U3600" s="98">
        <v>4.5216485462240996</v>
      </c>
      <c r="V3600" s="106">
        <v>35869.02851201639</v>
      </c>
      <c r="W3600" s="10">
        <v>1.2378278134125731</v>
      </c>
      <c r="X3600" s="420"/>
      <c r="Y3600" s="420"/>
    </row>
    <row r="3601" spans="17:25">
      <c r="Q3601" s="6">
        <v>3571</v>
      </c>
      <c r="R3601" s="7">
        <v>46238</v>
      </c>
      <c r="S3601" s="210">
        <v>4.5</v>
      </c>
      <c r="T3601" s="8">
        <v>1.0001249999999999</v>
      </c>
      <c r="U3601" s="98">
        <v>4.5216894686554321</v>
      </c>
      <c r="V3601" s="106">
        <v>35872.113383822303</v>
      </c>
      <c r="W3601" s="10">
        <v>1.2378825240247915</v>
      </c>
      <c r="X3601" s="420"/>
      <c r="Y3601" s="420"/>
    </row>
    <row r="3602" spans="17:25">
      <c r="Q3602" s="6">
        <v>3572</v>
      </c>
      <c r="R3602" s="7">
        <v>46239</v>
      </c>
      <c r="S3602" s="210">
        <v>4.5</v>
      </c>
      <c r="T3602" s="8">
        <v>1.0001249999999999</v>
      </c>
      <c r="U3602" s="98">
        <v>4.521730368189858</v>
      </c>
      <c r="V3602" s="106">
        <v>35875.198520938844</v>
      </c>
      <c r="W3602" s="10">
        <v>1.237937204033468</v>
      </c>
      <c r="X3602" s="420"/>
      <c r="Y3602" s="420"/>
    </row>
    <row r="3603" spans="17:25">
      <c r="Q3603" s="6">
        <v>3573</v>
      </c>
      <c r="R3603" s="7">
        <v>46240</v>
      </c>
      <c r="S3603" s="210">
        <v>4.5</v>
      </c>
      <c r="T3603" s="8">
        <v>1.0001249999999999</v>
      </c>
      <c r="U3603" s="98">
        <v>4.5217712448466285</v>
      </c>
      <c r="V3603" s="106">
        <v>35878.283923388808</v>
      </c>
      <c r="W3603" s="10">
        <v>1.2379918534643597</v>
      </c>
      <c r="X3603" s="420"/>
      <c r="Y3603" s="420"/>
    </row>
    <row r="3604" spans="17:25">
      <c r="Q3604" s="6">
        <v>3574</v>
      </c>
      <c r="R3604" s="7">
        <v>46241</v>
      </c>
      <c r="S3604" s="210">
        <v>4.5</v>
      </c>
      <c r="T3604" s="8">
        <v>1.0001249999999999</v>
      </c>
      <c r="U3604" s="98">
        <v>4.5218120986449062</v>
      </c>
      <c r="V3604" s="106">
        <v>35881.369591195034</v>
      </c>
      <c r="W3604" s="10">
        <v>1.2380464723430462</v>
      </c>
      <c r="X3604" s="420"/>
      <c r="Y3604" s="420"/>
    </row>
    <row r="3605" spans="17:25">
      <c r="Q3605" s="6">
        <v>3575</v>
      </c>
      <c r="R3605" s="7">
        <v>46242</v>
      </c>
      <c r="S3605" s="210">
        <v>4.5</v>
      </c>
      <c r="T3605" s="8">
        <v>1.0001249999999999</v>
      </c>
      <c r="U3605" s="98">
        <v>4.5218529296038756</v>
      </c>
      <c r="V3605" s="106">
        <v>35884.455524380333</v>
      </c>
      <c r="W3605" s="10">
        <v>1.2381010606951737</v>
      </c>
      <c r="X3605" s="420"/>
      <c r="Y3605" s="420"/>
    </row>
    <row r="3606" spans="17:25">
      <c r="Q3606" s="6">
        <v>3576</v>
      </c>
      <c r="R3606" s="7">
        <v>46243</v>
      </c>
      <c r="S3606" s="210">
        <v>4.5</v>
      </c>
      <c r="T3606" s="8">
        <v>1.0001249999999999</v>
      </c>
      <c r="U3606" s="98">
        <v>4.5218937377426549</v>
      </c>
      <c r="V3606" s="106">
        <v>35887.541722967529</v>
      </c>
      <c r="W3606" s="10">
        <v>1.2381556185462772</v>
      </c>
      <c r="X3606" s="420"/>
      <c r="Y3606" s="420"/>
    </row>
    <row r="3607" spans="17:25">
      <c r="Q3607" s="6">
        <v>3577</v>
      </c>
      <c r="R3607" s="7">
        <v>46244</v>
      </c>
      <c r="S3607" s="210">
        <v>4.5</v>
      </c>
      <c r="T3607" s="8">
        <v>1.0001249999999999</v>
      </c>
      <c r="U3607" s="98">
        <v>4.5219345230804064</v>
      </c>
      <c r="V3607" s="106">
        <v>35890.628186979455</v>
      </c>
      <c r="W3607" s="10">
        <v>1.2382101459219808</v>
      </c>
      <c r="X3607" s="420"/>
      <c r="Y3607" s="420"/>
    </row>
    <row r="3608" spans="17:25">
      <c r="Q3608" s="6">
        <v>3578</v>
      </c>
      <c r="R3608" s="7">
        <v>46245</v>
      </c>
      <c r="S3608" s="210">
        <v>4.5</v>
      </c>
      <c r="T3608" s="8">
        <v>1.0001249999999999</v>
      </c>
      <c r="U3608" s="98">
        <v>4.5219752856362039</v>
      </c>
      <c r="V3608" s="106">
        <v>35893.714916438927</v>
      </c>
      <c r="W3608" s="10">
        <v>1.2382646428477528</v>
      </c>
      <c r="X3608" s="420"/>
      <c r="Y3608" s="420"/>
    </row>
    <row r="3609" spans="17:25">
      <c r="Q3609" s="6">
        <v>3579</v>
      </c>
      <c r="R3609" s="7">
        <v>46246</v>
      </c>
      <c r="S3609" s="210">
        <v>4.5</v>
      </c>
      <c r="T3609" s="8">
        <v>1.0001249999999999</v>
      </c>
      <c r="U3609" s="98">
        <v>4.5220160254291653</v>
      </c>
      <c r="V3609" s="106">
        <v>35896.801911368777</v>
      </c>
      <c r="W3609" s="10">
        <v>1.2383191093491508</v>
      </c>
      <c r="X3609" s="420"/>
      <c r="Y3609" s="420"/>
    </row>
    <row r="3610" spans="17:25">
      <c r="Q3610" s="6">
        <v>3580</v>
      </c>
      <c r="R3610" s="7">
        <v>46247</v>
      </c>
      <c r="S3610" s="210">
        <v>4.5</v>
      </c>
      <c r="T3610" s="8">
        <v>1.0001249999999999</v>
      </c>
      <c r="U3610" s="98">
        <v>4.5220567424783198</v>
      </c>
      <c r="V3610" s="106">
        <v>35899.889171791852</v>
      </c>
      <c r="W3610" s="10">
        <v>1.2383735454515987</v>
      </c>
      <c r="X3610" s="420"/>
      <c r="Y3610" s="420"/>
    </row>
    <row r="3611" spans="17:25">
      <c r="Q3611" s="6">
        <v>3581</v>
      </c>
      <c r="R3611" s="7">
        <v>46248</v>
      </c>
      <c r="S3611" s="210">
        <v>4.5</v>
      </c>
      <c r="T3611" s="8">
        <v>1.0001249999999999</v>
      </c>
      <c r="U3611" s="98">
        <v>4.5220974368027189</v>
      </c>
      <c r="V3611" s="106">
        <v>35902.976697730963</v>
      </c>
      <c r="W3611" s="10">
        <v>1.2384279511805429</v>
      </c>
      <c r="X3611" s="420"/>
      <c r="Y3611" s="420"/>
    </row>
    <row r="3612" spans="17:25">
      <c r="Q3612" s="6">
        <v>3582</v>
      </c>
      <c r="R3612" s="7">
        <v>46249</v>
      </c>
      <c r="S3612" s="210">
        <v>4.5</v>
      </c>
      <c r="T3612" s="8">
        <v>1.0001249999999999</v>
      </c>
      <c r="U3612" s="98">
        <v>4.5221381084213919</v>
      </c>
      <c r="V3612" s="106">
        <v>35906.064489208962</v>
      </c>
      <c r="W3612" s="10">
        <v>1.2384823265614298</v>
      </c>
      <c r="X3612" s="420"/>
      <c r="Y3612" s="420"/>
    </row>
    <row r="3613" spans="17:25">
      <c r="Q3613" s="6">
        <v>3583</v>
      </c>
      <c r="R3613" s="7">
        <v>46250</v>
      </c>
      <c r="S3613" s="210">
        <v>4.5</v>
      </c>
      <c r="T3613" s="8">
        <v>1.0001249999999999</v>
      </c>
      <c r="U3613" s="98">
        <v>4.5221787573533234</v>
      </c>
      <c r="V3613" s="106">
        <v>35909.152546248675</v>
      </c>
      <c r="W3613" s="10">
        <v>1.2385366716196167</v>
      </c>
      <c r="X3613" s="420"/>
      <c r="Y3613" s="420"/>
    </row>
    <row r="3614" spans="17:25">
      <c r="Q3614" s="6">
        <v>3584</v>
      </c>
      <c r="R3614" s="7">
        <v>46251</v>
      </c>
      <c r="S3614" s="210">
        <v>4.5</v>
      </c>
      <c r="T3614" s="8">
        <v>1.0001249999999999</v>
      </c>
      <c r="U3614" s="98">
        <v>4.5222193836174984</v>
      </c>
      <c r="V3614" s="106">
        <v>35912.240868872948</v>
      </c>
      <c r="W3614" s="10">
        <v>1.2385909863804834</v>
      </c>
      <c r="X3614" s="420"/>
      <c r="Y3614" s="420"/>
    </row>
    <row r="3615" spans="17:25">
      <c r="Q3615" s="6">
        <v>3585</v>
      </c>
      <c r="R3615" s="7">
        <v>46252</v>
      </c>
      <c r="S3615" s="210">
        <v>4.5</v>
      </c>
      <c r="T3615" s="8">
        <v>1.0001249999999999</v>
      </c>
      <c r="U3615" s="98">
        <v>4.5222599872328573</v>
      </c>
      <c r="V3615" s="106">
        <v>35915.329457104628</v>
      </c>
      <c r="W3615" s="10">
        <v>1.2386452708693207</v>
      </c>
      <c r="X3615" s="420"/>
      <c r="Y3615" s="420"/>
    </row>
    <row r="3616" spans="17:25">
      <c r="Q3616" s="6">
        <v>3586</v>
      </c>
      <c r="R3616" s="7">
        <v>46253</v>
      </c>
      <c r="S3616" s="210">
        <v>4.5</v>
      </c>
      <c r="T3616" s="8">
        <v>1.0001249999999999</v>
      </c>
      <c r="U3616" s="98">
        <v>4.5223005682183404</v>
      </c>
      <c r="V3616" s="106">
        <v>35918.418310966539</v>
      </c>
      <c r="W3616" s="10">
        <v>1.2386995251114641</v>
      </c>
      <c r="X3616" s="420"/>
      <c r="Y3616" s="420"/>
    </row>
    <row r="3617" spans="17:25">
      <c r="Q3617" s="6">
        <v>3587</v>
      </c>
      <c r="R3617" s="7">
        <v>46254</v>
      </c>
      <c r="S3617" s="210">
        <v>4.5</v>
      </c>
      <c r="T3617" s="8">
        <v>1.0001249999999999</v>
      </c>
      <c r="U3617" s="98">
        <v>4.5223411265928659</v>
      </c>
      <c r="V3617" s="106">
        <v>35921.50743048155</v>
      </c>
      <c r="W3617" s="10">
        <v>1.2387537491321599</v>
      </c>
      <c r="X3617" s="420"/>
      <c r="Y3617" s="420"/>
    </row>
    <row r="3618" spans="17:25">
      <c r="Q3618" s="6">
        <v>3588</v>
      </c>
      <c r="R3618" s="7">
        <v>46255</v>
      </c>
      <c r="S3618" s="210">
        <v>4.5</v>
      </c>
      <c r="T3618" s="8">
        <v>1.0001249999999999</v>
      </c>
      <c r="U3618" s="98">
        <v>4.5223816623753299</v>
      </c>
      <c r="V3618" s="106">
        <v>35924.596815672485</v>
      </c>
      <c r="W3618" s="10">
        <v>1.2388079429566545</v>
      </c>
      <c r="X3618" s="420"/>
      <c r="Y3618" s="420"/>
    </row>
    <row r="3619" spans="17:25">
      <c r="Q3619" s="6">
        <v>3589</v>
      </c>
      <c r="R3619" s="7">
        <v>46256</v>
      </c>
      <c r="S3619" s="210">
        <v>4.5</v>
      </c>
      <c r="T3619" s="8">
        <v>1.0001249999999999</v>
      </c>
      <c r="U3619" s="98">
        <v>4.5224221755846061</v>
      </c>
      <c r="V3619" s="106">
        <v>35927.686466562212</v>
      </c>
      <c r="W3619" s="10">
        <v>1.2388621066102168</v>
      </c>
      <c r="X3619" s="420"/>
      <c r="Y3619" s="420"/>
    </row>
    <row r="3620" spans="17:25">
      <c r="Q3620" s="6">
        <v>3590</v>
      </c>
      <c r="R3620" s="7">
        <v>46257</v>
      </c>
      <c r="S3620" s="210">
        <v>4.5</v>
      </c>
      <c r="T3620" s="8">
        <v>1.0001249999999999</v>
      </c>
      <c r="U3620" s="98">
        <v>4.5224626662395462</v>
      </c>
      <c r="V3620" s="106">
        <v>35930.776383173572</v>
      </c>
      <c r="W3620" s="10">
        <v>1.2389162401179821</v>
      </c>
      <c r="X3620" s="420"/>
      <c r="Y3620" s="420"/>
    </row>
    <row r="3621" spans="17:25">
      <c r="Q3621" s="6">
        <v>3591</v>
      </c>
      <c r="R3621" s="7">
        <v>46258</v>
      </c>
      <c r="S3621" s="210">
        <v>4.5</v>
      </c>
      <c r="T3621" s="8">
        <v>1.0001249999999999</v>
      </c>
      <c r="U3621" s="98">
        <v>4.5225031343589572</v>
      </c>
      <c r="V3621" s="106">
        <v>35933.866565529417</v>
      </c>
      <c r="W3621" s="10">
        <v>1.238970343505108</v>
      </c>
      <c r="X3621" s="420"/>
      <c r="Y3621" s="420"/>
    </row>
    <row r="3622" spans="17:25">
      <c r="Q3622" s="6">
        <v>3592</v>
      </c>
      <c r="R3622" s="7">
        <v>46259</v>
      </c>
      <c r="S3622" s="210">
        <v>4.5</v>
      </c>
      <c r="T3622" s="8">
        <v>1.0001249999999999</v>
      </c>
      <c r="U3622" s="98">
        <v>4.5225435799616687</v>
      </c>
      <c r="V3622" s="106">
        <v>35936.957013652609</v>
      </c>
      <c r="W3622" s="10">
        <v>1.2390244167967523</v>
      </c>
      <c r="X3622" s="420"/>
      <c r="Y3622" s="420"/>
    </row>
    <row r="3623" spans="17:25">
      <c r="Q3623" s="6">
        <v>3593</v>
      </c>
      <c r="R3623" s="7">
        <v>46260</v>
      </c>
      <c r="S3623" s="210">
        <v>4.5</v>
      </c>
      <c r="T3623" s="8">
        <v>1.0001249999999999</v>
      </c>
      <c r="U3623" s="98">
        <v>4.5225840030664655</v>
      </c>
      <c r="V3623" s="106">
        <v>35940.047727566001</v>
      </c>
      <c r="W3623" s="10">
        <v>1.239078460018006</v>
      </c>
      <c r="X3623" s="420"/>
      <c r="Y3623" s="420"/>
    </row>
    <row r="3624" spans="17:25">
      <c r="Q3624" s="6">
        <v>3594</v>
      </c>
      <c r="R3624" s="7">
        <v>46261</v>
      </c>
      <c r="S3624" s="210">
        <v>4.5</v>
      </c>
      <c r="T3624" s="8">
        <v>1.0001249999999999</v>
      </c>
      <c r="U3624" s="98">
        <v>4.5226244036921104</v>
      </c>
      <c r="V3624" s="106">
        <v>35943.138707292455</v>
      </c>
      <c r="W3624" s="10">
        <v>1.2391324731939601</v>
      </c>
      <c r="X3624" s="420"/>
      <c r="Y3624" s="420"/>
    </row>
    <row r="3625" spans="17:25">
      <c r="Q3625" s="6">
        <v>3595</v>
      </c>
      <c r="R3625" s="7">
        <v>46262</v>
      </c>
      <c r="S3625" s="210">
        <v>4.5</v>
      </c>
      <c r="T3625" s="8">
        <v>1.0001249999999999</v>
      </c>
      <c r="U3625" s="98">
        <v>4.522664781857344</v>
      </c>
      <c r="V3625" s="106">
        <v>35946.229952854825</v>
      </c>
      <c r="W3625" s="10">
        <v>1.2391864563496391</v>
      </c>
      <c r="X3625" s="420"/>
      <c r="Y3625" s="420"/>
    </row>
    <row r="3626" spans="17:25">
      <c r="Q3626" s="6">
        <v>3596</v>
      </c>
      <c r="R3626" s="7">
        <v>46263</v>
      </c>
      <c r="S3626" s="210">
        <v>4.5</v>
      </c>
      <c r="T3626" s="8">
        <v>1.0001249999999999</v>
      </c>
      <c r="U3626" s="98">
        <v>4.5227051375809069</v>
      </c>
      <c r="V3626" s="106">
        <v>35949.321464275978</v>
      </c>
      <c r="W3626" s="10">
        <v>1.2392404095100895</v>
      </c>
      <c r="X3626" s="420"/>
      <c r="Y3626" s="420"/>
    </row>
    <row r="3627" spans="17:25">
      <c r="Q3627" s="6">
        <v>3597</v>
      </c>
      <c r="R3627" s="7">
        <v>46264</v>
      </c>
      <c r="S3627" s="210">
        <v>4.5</v>
      </c>
      <c r="T3627" s="8">
        <v>1.0001249999999999</v>
      </c>
      <c r="U3627" s="98">
        <v>4.5227454708814951</v>
      </c>
      <c r="V3627" s="106">
        <v>35952.413241578783</v>
      </c>
      <c r="W3627" s="10">
        <v>1.2392943327003136</v>
      </c>
      <c r="X3627" s="420"/>
      <c r="Y3627" s="420"/>
    </row>
    <row r="3628" spans="17:25">
      <c r="Q3628" s="6">
        <v>3598</v>
      </c>
      <c r="R3628" s="7">
        <v>46265</v>
      </c>
      <c r="S3628" s="210">
        <v>4.5</v>
      </c>
      <c r="T3628" s="8">
        <v>1.0001249999999999</v>
      </c>
      <c r="U3628" s="98">
        <v>4.5227857817777828</v>
      </c>
      <c r="V3628" s="106">
        <v>35955.505284786101</v>
      </c>
      <c r="W3628" s="10">
        <v>1.2393482259452249</v>
      </c>
      <c r="X3628" s="420"/>
      <c r="Y3628" s="420"/>
    </row>
    <row r="3629" spans="17:25">
      <c r="Q3629" s="6">
        <v>3599</v>
      </c>
      <c r="R3629" s="7">
        <v>46266</v>
      </c>
      <c r="S3629" s="210">
        <v>4.5</v>
      </c>
      <c r="T3629" s="8">
        <v>1.0001249999999999</v>
      </c>
      <c r="U3629" s="98">
        <v>4.5228260702884437</v>
      </c>
      <c r="V3629" s="106">
        <v>35958.597593920807</v>
      </c>
      <c r="W3629" s="10">
        <v>1.2394020892698032</v>
      </c>
      <c r="X3629" s="420"/>
      <c r="Y3629" s="420"/>
    </row>
    <row r="3630" spans="17:25">
      <c r="Q3630" s="6">
        <v>3600</v>
      </c>
      <c r="R3630" s="7">
        <v>46267</v>
      </c>
      <c r="S3630" s="210">
        <v>4.5</v>
      </c>
      <c r="T3630" s="8">
        <v>1.0001249999999999</v>
      </c>
      <c r="U3630" s="98">
        <v>4.5228663364321076</v>
      </c>
      <c r="V3630" s="106">
        <v>35961.690169005764</v>
      </c>
      <c r="W3630" s="10">
        <v>1.2394559226989399</v>
      </c>
      <c r="X3630" s="420"/>
      <c r="Y3630" s="420"/>
    </row>
    <row r="3631" spans="17:25">
      <c r="Q3631" s="6">
        <v>3601</v>
      </c>
      <c r="R3631" s="7">
        <v>46268</v>
      </c>
      <c r="S3631" s="210">
        <v>4.5</v>
      </c>
      <c r="T3631" s="8">
        <v>1.0001249999999999</v>
      </c>
      <c r="U3631" s="98">
        <v>4.5229065802274038</v>
      </c>
      <c r="V3631" s="106">
        <v>35964.783010063853</v>
      </c>
      <c r="W3631" s="10">
        <v>1.2395097262575261</v>
      </c>
      <c r="X3631" s="420"/>
      <c r="Y3631" s="420"/>
    </row>
    <row r="3632" spans="17:25">
      <c r="Q3632" s="6">
        <v>3602</v>
      </c>
      <c r="R3632" s="7">
        <v>46269</v>
      </c>
      <c r="S3632" s="210">
        <v>4.5</v>
      </c>
      <c r="T3632" s="8">
        <v>1.0001249999999999</v>
      </c>
      <c r="U3632" s="98">
        <v>4.5229468016929397</v>
      </c>
      <c r="V3632" s="106">
        <v>35967.876117117936</v>
      </c>
      <c r="W3632" s="10">
        <v>1.2395634999704086</v>
      </c>
      <c r="X3632" s="420"/>
      <c r="Y3632" s="420"/>
    </row>
    <row r="3633" spans="17:25">
      <c r="Q3633" s="6">
        <v>3603</v>
      </c>
      <c r="R3633" s="7">
        <v>46270</v>
      </c>
      <c r="S3633" s="210">
        <v>4.5</v>
      </c>
      <c r="T3633" s="8">
        <v>1.0001249999999999</v>
      </c>
      <c r="U3633" s="98">
        <v>4.5229870008472783</v>
      </c>
      <c r="V3633" s="106">
        <v>35970.969490190902</v>
      </c>
      <c r="W3633" s="10">
        <v>1.239617243862412</v>
      </c>
      <c r="X3633" s="420"/>
      <c r="Y3633" s="420"/>
    </row>
    <row r="3634" spans="17:25">
      <c r="Q3634" s="6">
        <v>3604</v>
      </c>
      <c r="R3634" s="7">
        <v>46271</v>
      </c>
      <c r="S3634" s="210">
        <v>4.5</v>
      </c>
      <c r="T3634" s="8">
        <v>1.0001249999999999</v>
      </c>
      <c r="U3634" s="98">
        <v>4.5230271777089825</v>
      </c>
      <c r="V3634" s="106">
        <v>35974.063129305621</v>
      </c>
      <c r="W3634" s="10">
        <v>1.2396709579583387</v>
      </c>
      <c r="X3634" s="420"/>
      <c r="Y3634" s="420"/>
    </row>
    <row r="3635" spans="17:25">
      <c r="Q3635" s="6">
        <v>3605</v>
      </c>
      <c r="R3635" s="7">
        <v>46272</v>
      </c>
      <c r="S3635" s="210">
        <v>4.5</v>
      </c>
      <c r="T3635" s="8">
        <v>1.0001249999999999</v>
      </c>
      <c r="U3635" s="98">
        <v>4.5230673322965931</v>
      </c>
      <c r="V3635" s="106">
        <v>35977.15703448499</v>
      </c>
      <c r="W3635" s="10">
        <v>1.2397246422829689</v>
      </c>
      <c r="X3635" s="420"/>
      <c r="Y3635" s="420"/>
    </row>
    <row r="3636" spans="17:25">
      <c r="Q3636" s="6">
        <v>3606</v>
      </c>
      <c r="R3636" s="7">
        <v>46273</v>
      </c>
      <c r="S3636" s="210">
        <v>4.5</v>
      </c>
      <c r="T3636" s="8">
        <v>1.0001249999999999</v>
      </c>
      <c r="U3636" s="98">
        <v>4.5231074646286507</v>
      </c>
      <c r="V3636" s="106">
        <v>35980.251205751869</v>
      </c>
      <c r="W3636" s="10">
        <v>1.2397782968610604</v>
      </c>
      <c r="X3636" s="420"/>
      <c r="Y3636" s="420"/>
    </row>
    <row r="3637" spans="17:25">
      <c r="Q3637" s="6">
        <v>3607</v>
      </c>
      <c r="R3637" s="7">
        <v>46274</v>
      </c>
      <c r="S3637" s="210">
        <v>4.5</v>
      </c>
      <c r="T3637" s="8">
        <v>1.0001249999999999</v>
      </c>
      <c r="U3637" s="98">
        <v>4.5231475747236294</v>
      </c>
      <c r="V3637" s="106">
        <v>35983.345643129149</v>
      </c>
      <c r="W3637" s="10">
        <v>1.2398319217173048</v>
      </c>
      <c r="X3637" s="420"/>
      <c r="Y3637" s="420"/>
    </row>
    <row r="3638" spans="17:25">
      <c r="Q3638" s="6">
        <v>3608</v>
      </c>
      <c r="R3638" s="7">
        <v>46275</v>
      </c>
      <c r="S3638" s="210">
        <v>4.5</v>
      </c>
      <c r="T3638" s="8">
        <v>1.0001249999999999</v>
      </c>
      <c r="U3638" s="98">
        <v>4.5231876626000034</v>
      </c>
      <c r="V3638" s="106">
        <v>35986.440346639734</v>
      </c>
      <c r="W3638" s="10">
        <v>1.2398855168763934</v>
      </c>
      <c r="X3638" s="420"/>
      <c r="Y3638" s="420"/>
    </row>
    <row r="3639" spans="17:25">
      <c r="Q3639" s="6">
        <v>3609</v>
      </c>
      <c r="R3639" s="7">
        <v>46276</v>
      </c>
      <c r="S3639" s="210">
        <v>4.5</v>
      </c>
      <c r="T3639" s="8">
        <v>1.0001249999999999</v>
      </c>
      <c r="U3639" s="98">
        <v>4.5232277282762468</v>
      </c>
      <c r="V3639" s="106">
        <v>35989.535316306486</v>
      </c>
      <c r="W3639" s="10">
        <v>1.2399390823630174</v>
      </c>
      <c r="X3639" s="420"/>
      <c r="Y3639" s="420"/>
    </row>
    <row r="3640" spans="17:25">
      <c r="Q3640" s="6">
        <v>3610</v>
      </c>
      <c r="R3640" s="7">
        <v>46277</v>
      </c>
      <c r="S3640" s="210">
        <v>4.5</v>
      </c>
      <c r="T3640" s="8">
        <v>1.0001249999999999</v>
      </c>
      <c r="U3640" s="98">
        <v>4.523267771770767</v>
      </c>
      <c r="V3640" s="106">
        <v>35992.63055215231</v>
      </c>
      <c r="W3640" s="10">
        <v>1.2399926182017573</v>
      </c>
      <c r="X3640" s="420"/>
      <c r="Y3640" s="420"/>
    </row>
    <row r="3641" spans="17:25">
      <c r="Q3641" s="6">
        <v>3611</v>
      </c>
      <c r="R3641" s="7">
        <v>46278</v>
      </c>
      <c r="S3641" s="210">
        <v>4.5</v>
      </c>
      <c r="T3641" s="8">
        <v>1.0001249999999999</v>
      </c>
      <c r="U3641" s="98">
        <v>4.523307793102016</v>
      </c>
      <c r="V3641" s="106">
        <v>35995.726054200102</v>
      </c>
      <c r="W3641" s="10">
        <v>1.2400461244172822</v>
      </c>
      <c r="X3641" s="420"/>
      <c r="Y3641" s="420"/>
    </row>
    <row r="3642" spans="17:25">
      <c r="Q3642" s="6">
        <v>3612</v>
      </c>
      <c r="R3642" s="7">
        <v>46279</v>
      </c>
      <c r="S3642" s="210">
        <v>4.5</v>
      </c>
      <c r="T3642" s="8">
        <v>1.0001249999999999</v>
      </c>
      <c r="U3642" s="98">
        <v>4.5233477922883569</v>
      </c>
      <c r="V3642" s="106">
        <v>35998.821822472753</v>
      </c>
      <c r="W3642" s="10">
        <v>1.2400996010341281</v>
      </c>
      <c r="X3642" s="420"/>
      <c r="Y3642" s="420"/>
    </row>
    <row r="3643" spans="17:25">
      <c r="Q3643" s="6">
        <v>3613</v>
      </c>
      <c r="R3643" s="7">
        <v>46280</v>
      </c>
      <c r="S3643" s="210">
        <v>4.5</v>
      </c>
      <c r="T3643" s="8">
        <v>1.0001249999999999</v>
      </c>
      <c r="U3643" s="98">
        <v>4.523387769348175</v>
      </c>
      <c r="V3643" s="106">
        <v>36001.917856993161</v>
      </c>
      <c r="W3643" s="10">
        <v>1.240153048076853</v>
      </c>
      <c r="X3643" s="420"/>
      <c r="Y3643" s="420"/>
    </row>
    <row r="3644" spans="17:25">
      <c r="Q3644" s="6">
        <v>3614</v>
      </c>
      <c r="R3644" s="7">
        <v>46281</v>
      </c>
      <c r="S3644" s="210">
        <v>4.5</v>
      </c>
      <c r="T3644" s="8">
        <v>1.0001249999999999</v>
      </c>
      <c r="U3644" s="98">
        <v>4.5234277242998333</v>
      </c>
      <c r="V3644" s="106">
        <v>36005.014157784208</v>
      </c>
      <c r="W3644" s="10">
        <v>1.2402064655699929</v>
      </c>
      <c r="X3644" s="420"/>
      <c r="Y3644" s="420"/>
    </row>
    <row r="3645" spans="17:25">
      <c r="Q3645" s="6">
        <v>3615</v>
      </c>
      <c r="R3645" s="7">
        <v>46282</v>
      </c>
      <c r="S3645" s="210">
        <v>4.5</v>
      </c>
      <c r="T3645" s="8">
        <v>1.0001249999999999</v>
      </c>
      <c r="U3645" s="98">
        <v>4.5234676571616728</v>
      </c>
      <c r="V3645" s="106">
        <v>36008.110724868813</v>
      </c>
      <c r="W3645" s="10">
        <v>1.2402598535380838</v>
      </c>
      <c r="X3645" s="420"/>
      <c r="Y3645" s="420"/>
    </row>
    <row r="3646" spans="17:25">
      <c r="Q3646" s="6">
        <v>3616</v>
      </c>
      <c r="R3646" s="7">
        <v>46283</v>
      </c>
      <c r="S3646" s="210">
        <v>4.5</v>
      </c>
      <c r="T3646" s="8">
        <v>1.0001249999999999</v>
      </c>
      <c r="U3646" s="98">
        <v>4.5235075679519898</v>
      </c>
      <c r="V3646" s="106">
        <v>36011.207558269874</v>
      </c>
      <c r="W3646" s="10">
        <v>1.2403132120055282</v>
      </c>
      <c r="X3646" s="420"/>
      <c r="Y3646" s="420"/>
    </row>
    <row r="3647" spans="17:25">
      <c r="Q3647" s="6">
        <v>3617</v>
      </c>
      <c r="R3647" s="7">
        <v>46284</v>
      </c>
      <c r="S3647" s="210">
        <v>4.5</v>
      </c>
      <c r="T3647" s="8">
        <v>1.0001249999999999</v>
      </c>
      <c r="U3647" s="98">
        <v>4.523547456689081</v>
      </c>
      <c r="V3647" s="106">
        <v>36014.304658010296</v>
      </c>
      <c r="W3647" s="10">
        <v>1.2403665409968179</v>
      </c>
      <c r="X3647" s="420"/>
      <c r="Y3647" s="420"/>
    </row>
    <row r="3648" spans="17:25">
      <c r="Q3648" s="6">
        <v>3618</v>
      </c>
      <c r="R3648" s="7">
        <v>46285</v>
      </c>
      <c r="S3648" s="210">
        <v>4.5</v>
      </c>
      <c r="T3648" s="8">
        <v>1.0001249999999999</v>
      </c>
      <c r="U3648" s="98">
        <v>4.5235873233912205</v>
      </c>
      <c r="V3648" s="106">
        <v>36017.402024112969</v>
      </c>
      <c r="W3648" s="10">
        <v>1.2404198405363331</v>
      </c>
      <c r="X3648" s="420"/>
      <c r="Y3648" s="420"/>
    </row>
    <row r="3649" spans="17:25">
      <c r="Q3649" s="6">
        <v>3619</v>
      </c>
      <c r="R3649" s="7">
        <v>46286</v>
      </c>
      <c r="S3649" s="210">
        <v>4.5</v>
      </c>
      <c r="T3649" s="8">
        <v>1.0001249999999999</v>
      </c>
      <c r="U3649" s="98">
        <v>4.5236271680766604</v>
      </c>
      <c r="V3649" s="106">
        <v>36020.499656600834</v>
      </c>
      <c r="W3649" s="10">
        <v>1.240473110648499</v>
      </c>
      <c r="X3649" s="420"/>
      <c r="Y3649" s="420"/>
    </row>
    <row r="3650" spans="17:25">
      <c r="Q3650" s="6">
        <v>3620</v>
      </c>
      <c r="R3650" s="7">
        <v>46287</v>
      </c>
      <c r="S3650" s="210">
        <v>4.5</v>
      </c>
      <c r="T3650" s="8">
        <v>1.0001249999999999</v>
      </c>
      <c r="U3650" s="98">
        <v>4.5236669907636529</v>
      </c>
      <c r="V3650" s="106">
        <v>36023.597555496774</v>
      </c>
      <c r="W3650" s="10">
        <v>1.2405263513576958</v>
      </c>
      <c r="X3650" s="420"/>
      <c r="Y3650" s="420"/>
    </row>
    <row r="3651" spans="17:25">
      <c r="Q3651" s="6">
        <v>3621</v>
      </c>
      <c r="R3651" s="7">
        <v>46288</v>
      </c>
      <c r="S3651" s="210">
        <v>4.5</v>
      </c>
      <c r="T3651" s="8">
        <v>1.0001249999999999</v>
      </c>
      <c r="U3651" s="98">
        <v>4.5237067914703832</v>
      </c>
      <c r="V3651" s="106">
        <v>36026.6957208237</v>
      </c>
      <c r="W3651" s="10">
        <v>1.2405795626882155</v>
      </c>
      <c r="X3651" s="420"/>
      <c r="Y3651" s="420"/>
    </row>
    <row r="3652" spans="17:25">
      <c r="Q3652" s="6">
        <v>3622</v>
      </c>
      <c r="R3652" s="7">
        <v>46289</v>
      </c>
      <c r="S3652" s="210">
        <v>4.5</v>
      </c>
      <c r="T3652" s="8">
        <v>1.0001249999999999</v>
      </c>
      <c r="U3652" s="98">
        <v>4.5237465702150592</v>
      </c>
      <c r="V3652" s="106">
        <v>36029.794152604547</v>
      </c>
      <c r="W3652" s="10">
        <v>1.2406327446643717</v>
      </c>
      <c r="X3652" s="420"/>
      <c r="Y3652" s="420"/>
    </row>
    <row r="3653" spans="17:25">
      <c r="Q3653" s="6">
        <v>3623</v>
      </c>
      <c r="R3653" s="7">
        <v>46290</v>
      </c>
      <c r="S3653" s="210">
        <v>4.5</v>
      </c>
      <c r="T3653" s="8">
        <v>1.0001249999999999</v>
      </c>
      <c r="U3653" s="98">
        <v>4.5237863270158662</v>
      </c>
      <c r="V3653" s="106">
        <v>36032.892850862219</v>
      </c>
      <c r="W3653" s="10">
        <v>1.2406858973105006</v>
      </c>
      <c r="X3653" s="420"/>
      <c r="Y3653" s="420"/>
    </row>
    <row r="3654" spans="17:25">
      <c r="Q3654" s="6">
        <v>3624</v>
      </c>
      <c r="R3654" s="7">
        <v>46291</v>
      </c>
      <c r="S3654" s="210">
        <v>4.5</v>
      </c>
      <c r="T3654" s="8">
        <v>1.0001249999999999</v>
      </c>
      <c r="U3654" s="98">
        <v>4.5238260618909232</v>
      </c>
      <c r="V3654" s="106">
        <v>36035.991815619629</v>
      </c>
      <c r="W3654" s="10">
        <v>1.2407390206507829</v>
      </c>
      <c r="X3654" s="420"/>
      <c r="Y3654" s="420"/>
    </row>
    <row r="3655" spans="17:25">
      <c r="Q3655" s="6">
        <v>3625</v>
      </c>
      <c r="R3655" s="7">
        <v>46292</v>
      </c>
      <c r="S3655" s="210">
        <v>4.5</v>
      </c>
      <c r="T3655" s="8">
        <v>1.0001249999999999</v>
      </c>
      <c r="U3655" s="98">
        <v>4.5238657748583933</v>
      </c>
      <c r="V3655" s="106">
        <v>36039.091046899703</v>
      </c>
      <c r="W3655" s="10">
        <v>1.2407921147095102</v>
      </c>
      <c r="X3655" s="420"/>
      <c r="Y3655" s="420"/>
    </row>
    <row r="3656" spans="17:25">
      <c r="Q3656" s="6">
        <v>3626</v>
      </c>
      <c r="R3656" s="7">
        <v>46293</v>
      </c>
      <c r="S3656" s="210">
        <v>4.5</v>
      </c>
      <c r="T3656" s="8">
        <v>1.0001249999999999</v>
      </c>
      <c r="U3656" s="98">
        <v>4.5239054659363731</v>
      </c>
      <c r="V3656" s="106">
        <v>36042.190544725359</v>
      </c>
      <c r="W3656" s="10">
        <v>1.2408451795108633</v>
      </c>
      <c r="X3656" s="420"/>
      <c r="Y3656" s="420"/>
    </row>
    <row r="3657" spans="17:25">
      <c r="Q3657" s="6">
        <v>3627</v>
      </c>
      <c r="R3657" s="7">
        <v>46294</v>
      </c>
      <c r="S3657" s="210">
        <v>4.5</v>
      </c>
      <c r="T3657" s="8">
        <v>1.0001249999999999</v>
      </c>
      <c r="U3657" s="98">
        <v>4.5239451351429594</v>
      </c>
      <c r="V3657" s="106">
        <v>36045.290309119533</v>
      </c>
      <c r="W3657" s="10">
        <v>1.2408982150790004</v>
      </c>
      <c r="X3657" s="420"/>
      <c r="Y3657" s="420"/>
    </row>
    <row r="3658" spans="17:25">
      <c r="Q3658" s="6">
        <v>3628</v>
      </c>
      <c r="R3658" s="7">
        <v>46295</v>
      </c>
      <c r="S3658" s="210">
        <v>4.5</v>
      </c>
      <c r="T3658" s="8">
        <v>1.0001249999999999</v>
      </c>
      <c r="U3658" s="98">
        <v>4.5239847824962487</v>
      </c>
      <c r="V3658" s="106">
        <v>36048.390340105136</v>
      </c>
      <c r="W3658" s="10">
        <v>1.2409512214381246</v>
      </c>
      <c r="X3658" s="420"/>
      <c r="Y3658" s="420"/>
    </row>
    <row r="3659" spans="17:25">
      <c r="Q3659" s="6">
        <v>3629</v>
      </c>
      <c r="R3659" s="7">
        <v>46296</v>
      </c>
      <c r="S3659" s="210">
        <v>4.5</v>
      </c>
      <c r="T3659" s="8">
        <v>1.0001249999999999</v>
      </c>
      <c r="U3659" s="98">
        <v>4.5240244080142711</v>
      </c>
      <c r="V3659" s="106">
        <v>36051.490637705101</v>
      </c>
      <c r="W3659" s="10">
        <v>1.2410041986123277</v>
      </c>
      <c r="X3659" s="420"/>
      <c r="Y3659" s="420"/>
    </row>
    <row r="3660" spans="17:25">
      <c r="Q3660" s="6">
        <v>3630</v>
      </c>
      <c r="R3660" s="7">
        <v>46297</v>
      </c>
      <c r="S3660" s="210">
        <v>4.5</v>
      </c>
      <c r="T3660" s="8">
        <v>1.0001249999999999</v>
      </c>
      <c r="U3660" s="98">
        <v>4.5240640117150566</v>
      </c>
      <c r="V3660" s="106">
        <v>36054.591201942363</v>
      </c>
      <c r="W3660" s="10">
        <v>1.2410571466256792</v>
      </c>
      <c r="X3660" s="420"/>
      <c r="Y3660" s="420"/>
    </row>
    <row r="3661" spans="17:25">
      <c r="Q3661" s="6">
        <v>3631</v>
      </c>
      <c r="R3661" s="7">
        <v>46298</v>
      </c>
      <c r="S3661" s="210">
        <v>4.5</v>
      </c>
      <c r="T3661" s="8">
        <v>1.0001249999999999</v>
      </c>
      <c r="U3661" s="98">
        <v>4.524103593616613</v>
      </c>
      <c r="V3661" s="106">
        <v>36057.692032839856</v>
      </c>
      <c r="W3661" s="10">
        <v>1.2411100655022711</v>
      </c>
      <c r="X3661" s="420"/>
      <c r="Y3661" s="420"/>
    </row>
    <row r="3662" spans="17:25">
      <c r="Q3662" s="6">
        <v>3632</v>
      </c>
      <c r="R3662" s="7">
        <v>46299</v>
      </c>
      <c r="S3662" s="210">
        <v>4.5</v>
      </c>
      <c r="T3662" s="8">
        <v>1.0001249999999999</v>
      </c>
      <c r="U3662" s="98">
        <v>4.5241431537369481</v>
      </c>
      <c r="V3662" s="106">
        <v>36060.79313042049</v>
      </c>
      <c r="W3662" s="10">
        <v>1.2411629552661507</v>
      </c>
      <c r="X3662" s="420"/>
      <c r="Y3662" s="420"/>
    </row>
    <row r="3663" spans="17:25">
      <c r="Q3663" s="6">
        <v>3633</v>
      </c>
      <c r="R3663" s="7">
        <v>46300</v>
      </c>
      <c r="S3663" s="210">
        <v>4.5</v>
      </c>
      <c r="T3663" s="8">
        <v>1.0001249999999999</v>
      </c>
      <c r="U3663" s="98">
        <v>4.5241826920940253</v>
      </c>
      <c r="V3663" s="106">
        <v>36063.89449470723</v>
      </c>
      <c r="W3663" s="10">
        <v>1.2412158159413433</v>
      </c>
      <c r="X3663" s="420"/>
      <c r="Y3663" s="420"/>
    </row>
    <row r="3664" spans="17:25">
      <c r="Q3664" s="6">
        <v>3634</v>
      </c>
      <c r="R3664" s="7">
        <v>46301</v>
      </c>
      <c r="S3664" s="210">
        <v>4.5</v>
      </c>
      <c r="T3664" s="8">
        <v>1.0001249999999999</v>
      </c>
      <c r="U3664" s="98">
        <v>4.5242222087058082</v>
      </c>
      <c r="V3664" s="106">
        <v>36066.996125723002</v>
      </c>
      <c r="W3664" s="10">
        <v>1.2412686475518075</v>
      </c>
      <c r="X3664" s="420"/>
      <c r="Y3664" s="420"/>
    </row>
    <row r="3665" spans="17:25">
      <c r="Q3665" s="6">
        <v>3635</v>
      </c>
      <c r="R3665" s="7">
        <v>46302</v>
      </c>
      <c r="S3665" s="210">
        <v>4.5</v>
      </c>
      <c r="T3665" s="8">
        <v>1.0001249999999999</v>
      </c>
      <c r="U3665" s="98">
        <v>4.5242617035902377</v>
      </c>
      <c r="V3665" s="106">
        <v>36070.09802349074</v>
      </c>
      <c r="W3665" s="10">
        <v>1.2413214501215686</v>
      </c>
      <c r="X3665" s="420"/>
      <c r="Y3665" s="420"/>
    </row>
    <row r="3666" spans="17:25">
      <c r="Q3666" s="6">
        <v>3636</v>
      </c>
      <c r="R3666" s="7">
        <v>46303</v>
      </c>
      <c r="S3666" s="210">
        <v>4.5</v>
      </c>
      <c r="T3666" s="8">
        <v>1.0001249999999999</v>
      </c>
      <c r="U3666" s="98">
        <v>4.5243011767652108</v>
      </c>
      <c r="V3666" s="106">
        <v>36073.200188033392</v>
      </c>
      <c r="W3666" s="10">
        <v>1.2413742236745184</v>
      </c>
      <c r="X3666" s="420"/>
      <c r="Y3666" s="420"/>
    </row>
    <row r="3667" spans="17:25">
      <c r="Q3667" s="6">
        <v>3637</v>
      </c>
      <c r="R3667" s="7">
        <v>46304</v>
      </c>
      <c r="S3667" s="210">
        <v>4.5</v>
      </c>
      <c r="T3667" s="8">
        <v>1.0001249999999999</v>
      </c>
      <c r="U3667" s="98">
        <v>4.5243406282486465</v>
      </c>
      <c r="V3667" s="106">
        <v>36076.302619373906</v>
      </c>
      <c r="W3667" s="10">
        <v>1.2414269682345713</v>
      </c>
      <c r="X3667" s="420"/>
      <c r="Y3667" s="420"/>
    </row>
    <row r="3668" spans="17:25">
      <c r="Q3668" s="6">
        <v>3638</v>
      </c>
      <c r="R3668" s="7">
        <v>46305</v>
      </c>
      <c r="S3668" s="210">
        <v>4.5</v>
      </c>
      <c r="T3668" s="8">
        <v>1.0001249999999999</v>
      </c>
      <c r="U3668" s="98">
        <v>4.524380058058397</v>
      </c>
      <c r="V3668" s="106">
        <v>36079.405317535216</v>
      </c>
      <c r="W3668" s="10">
        <v>1.2414796838256192</v>
      </c>
      <c r="X3668" s="420"/>
      <c r="Y3668" s="420"/>
    </row>
    <row r="3669" spans="17:25">
      <c r="Q3669" s="6">
        <v>3639</v>
      </c>
      <c r="R3669" s="7">
        <v>46306</v>
      </c>
      <c r="S3669" s="210">
        <v>4.5</v>
      </c>
      <c r="T3669" s="8">
        <v>1.0001249999999999</v>
      </c>
      <c r="U3669" s="98">
        <v>4.5244194662123149</v>
      </c>
      <c r="V3669" s="106">
        <v>36082.508282540279</v>
      </c>
      <c r="W3669" s="10">
        <v>1.241532370471532</v>
      </c>
      <c r="X3669" s="420"/>
      <c r="Y3669" s="420"/>
    </row>
    <row r="3670" spans="17:25">
      <c r="Q3670" s="6">
        <v>3640</v>
      </c>
      <c r="R3670" s="7">
        <v>46307</v>
      </c>
      <c r="S3670" s="210">
        <v>4.5</v>
      </c>
      <c r="T3670" s="8">
        <v>1.0001249999999999</v>
      </c>
      <c r="U3670" s="98">
        <v>4.5244588527282525</v>
      </c>
      <c r="V3670" s="106">
        <v>36085.611514412041</v>
      </c>
      <c r="W3670" s="10">
        <v>1.2415850281961349</v>
      </c>
      <c r="X3670" s="420"/>
      <c r="Y3670" s="420"/>
    </row>
    <row r="3671" spans="17:25">
      <c r="Q3671" s="6">
        <v>3641</v>
      </c>
      <c r="R3671" s="7">
        <v>46308</v>
      </c>
      <c r="S3671" s="210">
        <v>4.5</v>
      </c>
      <c r="T3671" s="8">
        <v>1.0001249999999999</v>
      </c>
      <c r="U3671" s="98">
        <v>4.5244982176240178</v>
      </c>
      <c r="V3671" s="106">
        <v>36088.71501317346</v>
      </c>
      <c r="W3671" s="10">
        <v>1.2416376570232091</v>
      </c>
      <c r="X3671" s="420"/>
      <c r="Y3671" s="420"/>
    </row>
    <row r="3672" spans="17:25">
      <c r="Q3672" s="6">
        <v>3642</v>
      </c>
      <c r="R3672" s="7">
        <v>46309</v>
      </c>
      <c r="S3672" s="210">
        <v>4.5</v>
      </c>
      <c r="T3672" s="8">
        <v>1.0001249999999999</v>
      </c>
      <c r="U3672" s="98">
        <v>4.5245375609174188</v>
      </c>
      <c r="V3672" s="106">
        <v>36091.818778847482</v>
      </c>
      <c r="W3672" s="10">
        <v>1.2416902569765798</v>
      </c>
      <c r="X3672" s="420"/>
      <c r="Y3672" s="420"/>
    </row>
    <row r="3673" spans="17:25">
      <c r="Q3673" s="6">
        <v>3643</v>
      </c>
      <c r="R3673" s="7">
        <v>46310</v>
      </c>
      <c r="S3673" s="210">
        <v>4.5</v>
      </c>
      <c r="T3673" s="8">
        <v>1.0001249999999999</v>
      </c>
      <c r="U3673" s="98">
        <v>4.5245768826262189</v>
      </c>
      <c r="V3673" s="106">
        <v>36094.922811457058</v>
      </c>
      <c r="W3673" s="10">
        <v>1.2417428280799836</v>
      </c>
      <c r="X3673" s="420"/>
      <c r="Y3673" s="420"/>
    </row>
    <row r="3674" spans="17:25">
      <c r="Q3674" s="6">
        <v>3644</v>
      </c>
      <c r="R3674" s="7">
        <v>46311</v>
      </c>
      <c r="S3674" s="210">
        <v>4.5</v>
      </c>
      <c r="T3674" s="8">
        <v>1.0001249999999999</v>
      </c>
      <c r="U3674" s="98">
        <v>4.5246161827681819</v>
      </c>
      <c r="V3674" s="106">
        <v>36098.027111025149</v>
      </c>
      <c r="W3674" s="10">
        <v>1.2417953703571571</v>
      </c>
      <c r="X3674" s="420"/>
      <c r="Y3674" s="420"/>
    </row>
    <row r="3675" spans="17:25">
      <c r="Q3675" s="6">
        <v>3645</v>
      </c>
      <c r="R3675" s="7">
        <v>46312</v>
      </c>
      <c r="S3675" s="210">
        <v>4.5</v>
      </c>
      <c r="T3675" s="8">
        <v>1.0001249999999999</v>
      </c>
      <c r="U3675" s="98">
        <v>4.524655461361049</v>
      </c>
      <c r="V3675" s="106">
        <v>36101.131677574725</v>
      </c>
      <c r="W3675" s="10">
        <v>1.2418478838317926</v>
      </c>
      <c r="X3675" s="420"/>
      <c r="Y3675" s="420"/>
    </row>
    <row r="3676" spans="17:25">
      <c r="Q3676" s="6">
        <v>3646</v>
      </c>
      <c r="R3676" s="7">
        <v>46313</v>
      </c>
      <c r="S3676" s="210">
        <v>4.5</v>
      </c>
      <c r="T3676" s="8">
        <v>1.0001249999999999</v>
      </c>
      <c r="U3676" s="98">
        <v>4.5246947184225395</v>
      </c>
      <c r="V3676" s="106">
        <v>36104.236511128736</v>
      </c>
      <c r="W3676" s="10">
        <v>1.241900368527582</v>
      </c>
      <c r="X3676" s="420"/>
      <c r="Y3676" s="420"/>
    </row>
    <row r="3677" spans="17:25">
      <c r="Q3677" s="6">
        <v>3647</v>
      </c>
      <c r="R3677" s="7">
        <v>46314</v>
      </c>
      <c r="S3677" s="210">
        <v>4.5</v>
      </c>
      <c r="T3677" s="8">
        <v>1.0001249999999999</v>
      </c>
      <c r="U3677" s="98">
        <v>4.5247339539703502</v>
      </c>
      <c r="V3677" s="106">
        <v>36107.341611710151</v>
      </c>
      <c r="W3677" s="10">
        <v>1.241952824468151</v>
      </c>
      <c r="X3677" s="420"/>
      <c r="Y3677" s="420"/>
    </row>
    <row r="3678" spans="17:25">
      <c r="Q3678" s="6">
        <v>3648</v>
      </c>
      <c r="R3678" s="7">
        <v>46315</v>
      </c>
      <c r="S3678" s="210">
        <v>4.5</v>
      </c>
      <c r="T3678" s="8">
        <v>1.0001249999999999</v>
      </c>
      <c r="U3678" s="98">
        <v>4.5247731680221559</v>
      </c>
      <c r="V3678" s="106">
        <v>36110.446979341934</v>
      </c>
      <c r="W3678" s="10">
        <v>1.2420052516771252</v>
      </c>
      <c r="X3678" s="420"/>
      <c r="Y3678" s="420"/>
    </row>
    <row r="3679" spans="17:25">
      <c r="Q3679" s="6">
        <v>3649</v>
      </c>
      <c r="R3679" s="7">
        <v>46316</v>
      </c>
      <c r="S3679" s="210">
        <v>4.5</v>
      </c>
      <c r="T3679" s="8">
        <v>1.0001249999999999</v>
      </c>
      <c r="U3679" s="98">
        <v>4.5248123605956092</v>
      </c>
      <c r="V3679" s="106">
        <v>36113.552614047054</v>
      </c>
      <c r="W3679" s="10">
        <v>1.24205765017813</v>
      </c>
      <c r="X3679" s="420"/>
      <c r="Y3679" s="420"/>
    </row>
    <row r="3680" spans="17:25">
      <c r="Q3680" s="6">
        <v>3650</v>
      </c>
      <c r="R3680" s="7">
        <v>46317</v>
      </c>
      <c r="S3680" s="210">
        <v>4.5</v>
      </c>
      <c r="T3680" s="8">
        <v>1.0001249999999999</v>
      </c>
      <c r="U3680" s="98">
        <v>4.5248515317083626</v>
      </c>
      <c r="V3680" s="106">
        <v>36116.658515848474</v>
      </c>
      <c r="W3680" s="10">
        <v>1.2421100199947022</v>
      </c>
      <c r="X3680" s="420"/>
      <c r="Y3680" s="420"/>
    </row>
    <row r="3681" spans="17:25">
      <c r="Q3681" s="6">
        <v>3651</v>
      </c>
      <c r="R3681" s="7">
        <v>46318</v>
      </c>
      <c r="S3681" s="210">
        <v>4.5</v>
      </c>
      <c r="T3681" s="8">
        <v>1.0001249999999999</v>
      </c>
      <c r="U3681" s="98">
        <v>4.5248906813780465</v>
      </c>
      <c r="V3681" s="106">
        <v>36119.764684769165</v>
      </c>
      <c r="W3681" s="10">
        <v>1.2421623611504229</v>
      </c>
      <c r="X3681" s="420"/>
      <c r="Y3681" s="420"/>
    </row>
    <row r="3682" spans="17:25">
      <c r="Q3682" s="6">
        <v>3652</v>
      </c>
      <c r="R3682" s="7">
        <v>46319</v>
      </c>
      <c r="S3682" s="210">
        <v>4.5</v>
      </c>
      <c r="T3682" s="8">
        <v>1.0001249999999999</v>
      </c>
      <c r="U3682" s="98">
        <v>4.5249298096222468</v>
      </c>
      <c r="V3682" s="106">
        <v>36122.871120832111</v>
      </c>
      <c r="W3682" s="10">
        <v>1.2422146736687845</v>
      </c>
      <c r="X3682" s="420"/>
      <c r="Y3682" s="420"/>
    </row>
    <row r="3683" spans="17:25">
      <c r="Q3683" s="6">
        <v>3653</v>
      </c>
      <c r="R3683" s="7">
        <v>46320</v>
      </c>
      <c r="S3683" s="210">
        <v>4.5</v>
      </c>
      <c r="T3683" s="8">
        <v>1.0001249999999999</v>
      </c>
      <c r="U3683" s="98">
        <v>4.5249689164585716</v>
      </c>
      <c r="V3683" s="106">
        <v>36125.977824060275</v>
      </c>
      <c r="W3683" s="10">
        <v>1.2422669575733458</v>
      </c>
      <c r="X3683" s="420"/>
      <c r="Y3683" s="420"/>
    </row>
    <row r="3684" spans="17:25">
      <c r="Q3684" s="6">
        <v>3654</v>
      </c>
      <c r="R3684" s="7">
        <v>46321</v>
      </c>
      <c r="S3684" s="210">
        <v>4.5</v>
      </c>
      <c r="T3684" s="8">
        <v>1.0001249999999999</v>
      </c>
      <c r="U3684" s="98">
        <v>4.5250080019045624</v>
      </c>
      <c r="V3684" s="106">
        <v>36129.084794476643</v>
      </c>
      <c r="W3684" s="10">
        <v>1.2423192128875105</v>
      </c>
      <c r="X3684" s="420"/>
      <c r="Y3684" s="420"/>
    </row>
    <row r="3685" spans="17:25">
      <c r="Q3685" s="6">
        <v>3655</v>
      </c>
      <c r="R3685" s="7">
        <v>46322</v>
      </c>
      <c r="S3685" s="210">
        <v>4.5</v>
      </c>
      <c r="T3685" s="8">
        <v>1.0001249999999999</v>
      </c>
      <c r="U3685" s="98">
        <v>4.5250470659777831</v>
      </c>
      <c r="V3685" s="106">
        <v>36132.192032104198</v>
      </c>
      <c r="W3685" s="10">
        <v>1.2423714396347485</v>
      </c>
      <c r="X3685" s="420"/>
      <c r="Y3685" s="420"/>
    </row>
    <row r="3686" spans="17:25">
      <c r="Q3686" s="6">
        <v>3656</v>
      </c>
      <c r="R3686" s="7">
        <v>46323</v>
      </c>
      <c r="S3686" s="210">
        <v>4.5</v>
      </c>
      <c r="T3686" s="8">
        <v>1.0001249999999999</v>
      </c>
      <c r="U3686" s="98">
        <v>4.5250861086957306</v>
      </c>
      <c r="V3686" s="106">
        <v>36135.299536965904</v>
      </c>
      <c r="W3686" s="10">
        <v>1.2424236378384634</v>
      </c>
      <c r="X3686" s="420"/>
      <c r="Y3686" s="420"/>
    </row>
    <row r="3687" spans="17:25">
      <c r="Q3687" s="6">
        <v>3657</v>
      </c>
      <c r="R3687" s="7">
        <v>46324</v>
      </c>
      <c r="S3687" s="210">
        <v>4.5</v>
      </c>
      <c r="T3687" s="8">
        <v>1.0001249999999999</v>
      </c>
      <c r="U3687" s="98">
        <v>4.5251251300759465</v>
      </c>
      <c r="V3687" s="106">
        <v>36138.40730908476</v>
      </c>
      <c r="W3687" s="10">
        <v>1.2424758075220588</v>
      </c>
      <c r="X3687" s="420"/>
      <c r="Y3687" s="420"/>
    </row>
    <row r="3688" spans="17:25">
      <c r="Q3688" s="6">
        <v>3658</v>
      </c>
      <c r="R3688" s="7">
        <v>46325</v>
      </c>
      <c r="S3688" s="210">
        <v>4.5</v>
      </c>
      <c r="T3688" s="8">
        <v>1.0001249999999999</v>
      </c>
      <c r="U3688" s="98">
        <v>4.5251641301358836</v>
      </c>
      <c r="V3688" s="106">
        <v>36141.51534848375</v>
      </c>
      <c r="W3688" s="10">
        <v>1.2425279487089158</v>
      </c>
      <c r="X3688" s="420"/>
      <c r="Y3688" s="420"/>
    </row>
    <row r="3689" spans="17:25">
      <c r="Q3689" s="6">
        <v>3659</v>
      </c>
      <c r="R3689" s="7">
        <v>46326</v>
      </c>
      <c r="S3689" s="210">
        <v>4.5</v>
      </c>
      <c r="T3689" s="8">
        <v>1.0001249999999999</v>
      </c>
      <c r="U3689" s="98">
        <v>4.5252031088930389</v>
      </c>
      <c r="V3689" s="106">
        <v>36144.623655185846</v>
      </c>
      <c r="W3689" s="10">
        <v>1.2425800614223714</v>
      </c>
      <c r="X3689" s="420"/>
      <c r="Y3689" s="420"/>
    </row>
    <row r="3690" spans="17:25">
      <c r="Q3690" s="6">
        <v>3660</v>
      </c>
      <c r="R3690" s="7">
        <v>46327</v>
      </c>
      <c r="S3690" s="210">
        <v>4.5</v>
      </c>
      <c r="T3690" s="8">
        <v>1.0001249999999999</v>
      </c>
      <c r="U3690" s="98">
        <v>4.5252420663648429</v>
      </c>
      <c r="V3690" s="106">
        <v>36147.732229214052</v>
      </c>
      <c r="W3690" s="10">
        <v>1.2426321456857181</v>
      </c>
      <c r="X3690" s="420"/>
      <c r="Y3690" s="420"/>
    </row>
    <row r="3691" spans="17:25">
      <c r="Q3691" s="6">
        <v>3661</v>
      </c>
      <c r="R3691" s="7">
        <v>46328</v>
      </c>
      <c r="S3691" s="210">
        <v>4.5</v>
      </c>
      <c r="T3691" s="8">
        <v>1.0001249999999999</v>
      </c>
      <c r="U3691" s="98">
        <v>4.5252810025687484</v>
      </c>
      <c r="V3691" s="106">
        <v>36150.841070591356</v>
      </c>
      <c r="W3691" s="10">
        <v>1.2426842015222705</v>
      </c>
      <c r="X3691" s="420"/>
      <c r="Y3691" s="420"/>
    </row>
    <row r="3692" spans="17:25">
      <c r="Q3692" s="6">
        <v>3662</v>
      </c>
      <c r="R3692" s="7">
        <v>46329</v>
      </c>
      <c r="S3692" s="210">
        <v>4.5</v>
      </c>
      <c r="T3692" s="8">
        <v>1.0001249999999999</v>
      </c>
      <c r="U3692" s="98">
        <v>4.5253199175221415</v>
      </c>
      <c r="V3692" s="106">
        <v>36153.950179340747</v>
      </c>
      <c r="W3692" s="10">
        <v>1.242736228955299</v>
      </c>
      <c r="X3692" s="420"/>
      <c r="Y3692" s="420"/>
    </row>
    <row r="3693" spans="17:25">
      <c r="Q3693" s="6">
        <v>3663</v>
      </c>
      <c r="R3693" s="7">
        <v>46330</v>
      </c>
      <c r="S3693" s="210">
        <v>4.5</v>
      </c>
      <c r="T3693" s="8">
        <v>1.0001249999999999</v>
      </c>
      <c r="U3693" s="98">
        <v>4.5253588112424303</v>
      </c>
      <c r="V3693" s="106">
        <v>36157.059555485226</v>
      </c>
      <c r="W3693" s="10">
        <v>1.2427882280080293</v>
      </c>
      <c r="X3693" s="420"/>
      <c r="Y3693" s="420"/>
    </row>
    <row r="3694" spans="17:25">
      <c r="Q3694" s="6">
        <v>3664</v>
      </c>
      <c r="R3694" s="7">
        <v>46331</v>
      </c>
      <c r="S3694" s="210">
        <v>4.5</v>
      </c>
      <c r="T3694" s="8">
        <v>1.0001249999999999</v>
      </c>
      <c r="U3694" s="98">
        <v>4.5253976837469789</v>
      </c>
      <c r="V3694" s="106">
        <v>36160.169199047785</v>
      </c>
      <c r="W3694" s="10">
        <v>1.2428401987036874</v>
      </c>
      <c r="X3694" s="420"/>
      <c r="Y3694" s="420"/>
    </row>
    <row r="3695" spans="17:25">
      <c r="Q3695" s="6">
        <v>3665</v>
      </c>
      <c r="R3695" s="7">
        <v>46332</v>
      </c>
      <c r="S3695" s="210">
        <v>4.5</v>
      </c>
      <c r="T3695" s="8">
        <v>1.0001249999999999</v>
      </c>
      <c r="U3695" s="98">
        <v>4.5254365350531511</v>
      </c>
      <c r="V3695" s="106">
        <v>36163.279110051422</v>
      </c>
      <c r="W3695" s="10">
        <v>1.242892141065477</v>
      </c>
      <c r="X3695" s="420"/>
      <c r="Y3695" s="420"/>
    </row>
    <row r="3696" spans="17:25">
      <c r="Q3696" s="6">
        <v>3666</v>
      </c>
      <c r="R3696" s="7">
        <v>46333</v>
      </c>
      <c r="S3696" s="210">
        <v>4.5</v>
      </c>
      <c r="T3696" s="8">
        <v>1.0001249999999999</v>
      </c>
      <c r="U3696" s="98">
        <v>4.5254753651782664</v>
      </c>
      <c r="V3696" s="106">
        <v>36166.389288519145</v>
      </c>
      <c r="W3696" s="10">
        <v>1.2429440551165127</v>
      </c>
      <c r="X3696" s="420"/>
      <c r="Y3696" s="420"/>
    </row>
    <row r="3697" spans="17:25">
      <c r="Q3697" s="6">
        <v>3667</v>
      </c>
      <c r="R3697" s="7">
        <v>46334</v>
      </c>
      <c r="S3697" s="210">
        <v>4.5</v>
      </c>
      <c r="T3697" s="8">
        <v>1.0001249999999999</v>
      </c>
      <c r="U3697" s="98">
        <v>4.5255141741396665</v>
      </c>
      <c r="V3697" s="106">
        <v>36169.499734473953</v>
      </c>
      <c r="W3697" s="10">
        <v>1.2429959408799762</v>
      </c>
      <c r="X3697" s="420"/>
      <c r="Y3697" s="420"/>
    </row>
    <row r="3698" spans="17:25">
      <c r="Q3698" s="6">
        <v>3668</v>
      </c>
      <c r="R3698" s="7">
        <v>46335</v>
      </c>
      <c r="S3698" s="210">
        <v>4.5</v>
      </c>
      <c r="T3698" s="8">
        <v>1.0001249999999999</v>
      </c>
      <c r="U3698" s="98">
        <v>4.5255529619546264</v>
      </c>
      <c r="V3698" s="106">
        <v>36172.610447938852</v>
      </c>
      <c r="W3698" s="10">
        <v>1.2430477983789823</v>
      </c>
      <c r="X3698" s="420"/>
      <c r="Y3698" s="420"/>
    </row>
    <row r="3699" spans="17:25">
      <c r="Q3699" s="6">
        <v>3669</v>
      </c>
      <c r="R3699" s="7">
        <v>46336</v>
      </c>
      <c r="S3699" s="210">
        <v>4.5</v>
      </c>
      <c r="T3699" s="8">
        <v>1.0001249999999999</v>
      </c>
      <c r="U3699" s="98">
        <v>4.5255917286404213</v>
      </c>
      <c r="V3699" s="106">
        <v>36175.721428936849</v>
      </c>
      <c r="W3699" s="10">
        <v>1.2430996276365791</v>
      </c>
      <c r="X3699" s="420"/>
      <c r="Y3699" s="420"/>
    </row>
    <row r="3700" spans="17:25">
      <c r="Q3700" s="6">
        <v>3670</v>
      </c>
      <c r="R3700" s="7">
        <v>46337</v>
      </c>
      <c r="S3700" s="210">
        <v>4.5</v>
      </c>
      <c r="T3700" s="8">
        <v>1.0001249999999999</v>
      </c>
      <c r="U3700" s="98">
        <v>4.5256304742143261</v>
      </c>
      <c r="V3700" s="106">
        <v>36178.832677490944</v>
      </c>
      <c r="W3700" s="10">
        <v>1.2431514286758816</v>
      </c>
      <c r="X3700" s="420"/>
      <c r="Y3700" s="420"/>
    </row>
    <row r="3701" spans="17:25">
      <c r="Q3701" s="6">
        <v>3671</v>
      </c>
      <c r="R3701" s="7">
        <v>46338</v>
      </c>
      <c r="S3701" s="210">
        <v>4.5</v>
      </c>
      <c r="T3701" s="8">
        <v>1.0001249999999999</v>
      </c>
      <c r="U3701" s="98">
        <v>4.5256691986935937</v>
      </c>
      <c r="V3701" s="106">
        <v>36181.944193624156</v>
      </c>
      <c r="W3701" s="10">
        <v>1.2432032015198935</v>
      </c>
      <c r="X3701" s="420"/>
      <c r="Y3701" s="420"/>
    </row>
    <row r="3702" spans="17:25">
      <c r="Q3702" s="6">
        <v>3672</v>
      </c>
      <c r="R3702" s="7">
        <v>46339</v>
      </c>
      <c r="S3702" s="210">
        <v>4.5</v>
      </c>
      <c r="T3702" s="8">
        <v>1.0001249999999999</v>
      </c>
      <c r="U3702" s="98">
        <v>4.5257079020954327</v>
      </c>
      <c r="V3702" s="106">
        <v>36185.055977359501</v>
      </c>
      <c r="W3702" s="10">
        <v>1.2432549461916631</v>
      </c>
      <c r="X3702" s="420"/>
      <c r="Y3702" s="420"/>
    </row>
    <row r="3703" spans="17:25">
      <c r="Q3703" s="6">
        <v>3673</v>
      </c>
      <c r="R3703" s="7">
        <v>46340</v>
      </c>
      <c r="S3703" s="210">
        <v>4.5</v>
      </c>
      <c r="T3703" s="8">
        <v>1.0001249999999999</v>
      </c>
      <c r="U3703" s="98">
        <v>4.5257465844370293</v>
      </c>
      <c r="V3703" s="106">
        <v>36188.168028719992</v>
      </c>
      <c r="W3703" s="10">
        <v>1.2433066627141276</v>
      </c>
      <c r="X3703" s="420"/>
      <c r="Y3703" s="420"/>
    </row>
    <row r="3704" spans="17:25">
      <c r="Q3704" s="6">
        <v>3674</v>
      </c>
      <c r="R3704" s="7">
        <v>46341</v>
      </c>
      <c r="S3704" s="210">
        <v>4.5</v>
      </c>
      <c r="T3704" s="8">
        <v>1.0001249999999999</v>
      </c>
      <c r="U3704" s="98">
        <v>4.5257852457355918</v>
      </c>
      <c r="V3704" s="106">
        <v>36191.280347728636</v>
      </c>
      <c r="W3704" s="10">
        <v>1.243358351110313</v>
      </c>
      <c r="X3704" s="420"/>
      <c r="Y3704" s="420"/>
    </row>
    <row r="3705" spans="17:25">
      <c r="Q3705" s="6">
        <v>3675</v>
      </c>
      <c r="R3705" s="7">
        <v>46342</v>
      </c>
      <c r="S3705" s="210">
        <v>4.5</v>
      </c>
      <c r="T3705" s="8">
        <v>1.0001249999999999</v>
      </c>
      <c r="U3705" s="98">
        <v>4.5258238860082844</v>
      </c>
      <c r="V3705" s="106">
        <v>36194.392934408461</v>
      </c>
      <c r="W3705" s="10">
        <v>1.2434100114031121</v>
      </c>
      <c r="X3705" s="420"/>
      <c r="Y3705" s="420"/>
    </row>
    <row r="3706" spans="17:25">
      <c r="Q3706" s="6">
        <v>3676</v>
      </c>
      <c r="R3706" s="7">
        <v>46343</v>
      </c>
      <c r="S3706" s="210">
        <v>4.5</v>
      </c>
      <c r="T3706" s="8">
        <v>1.0001249999999999</v>
      </c>
      <c r="U3706" s="98">
        <v>4.525862505272249</v>
      </c>
      <c r="V3706" s="106">
        <v>36197.505788782488</v>
      </c>
      <c r="W3706" s="10">
        <v>1.2434616436154622</v>
      </c>
      <c r="X3706" s="420"/>
      <c r="Y3706" s="420"/>
    </row>
    <row r="3707" spans="17:25">
      <c r="Q3707" s="6">
        <v>3677</v>
      </c>
      <c r="R3707" s="7">
        <v>46344</v>
      </c>
      <c r="S3707" s="210">
        <v>4.5</v>
      </c>
      <c r="T3707" s="8">
        <v>1.0001249999999999</v>
      </c>
      <c r="U3707" s="98">
        <v>4.5259011035446051</v>
      </c>
      <c r="V3707" s="106">
        <v>36200.618910873738</v>
      </c>
      <c r="W3707" s="10">
        <v>1.2435132477702115</v>
      </c>
      <c r="X3707" s="420"/>
      <c r="Y3707" s="420"/>
    </row>
    <row r="3708" spans="17:25">
      <c r="Q3708" s="6">
        <v>3678</v>
      </c>
      <c r="R3708" s="7">
        <v>46345</v>
      </c>
      <c r="S3708" s="210">
        <v>4.5</v>
      </c>
      <c r="T3708" s="8">
        <v>1.0001249999999999</v>
      </c>
      <c r="U3708" s="98">
        <v>4.5259396808424945</v>
      </c>
      <c r="V3708" s="106">
        <v>36203.73230070524</v>
      </c>
      <c r="W3708" s="10">
        <v>1.2435648238902974</v>
      </c>
      <c r="X3708" s="420"/>
      <c r="Y3708" s="420"/>
    </row>
    <row r="3709" spans="17:25">
      <c r="Q3709" s="6">
        <v>3679</v>
      </c>
      <c r="R3709" s="7">
        <v>46346</v>
      </c>
      <c r="S3709" s="210">
        <v>4.5</v>
      </c>
      <c r="T3709" s="8">
        <v>1.0001249999999999</v>
      </c>
      <c r="U3709" s="98">
        <v>4.5259782371829704</v>
      </c>
      <c r="V3709" s="106">
        <v>36206.845958300008</v>
      </c>
      <c r="W3709" s="10">
        <v>1.2436163719984794</v>
      </c>
      <c r="X3709" s="420"/>
      <c r="Y3709" s="420"/>
    </row>
    <row r="3710" spans="17:25">
      <c r="Q3710" s="6">
        <v>3680</v>
      </c>
      <c r="R3710" s="7">
        <v>46347</v>
      </c>
      <c r="S3710" s="210">
        <v>4.5</v>
      </c>
      <c r="T3710" s="8">
        <v>1.0001249999999999</v>
      </c>
      <c r="U3710" s="98">
        <v>4.5260167725831302</v>
      </c>
      <c r="V3710" s="106">
        <v>36209.959883681084</v>
      </c>
      <c r="W3710" s="10">
        <v>1.2436678921176281</v>
      </c>
      <c r="X3710" s="420"/>
      <c r="Y3710" s="420"/>
    </row>
    <row r="3711" spans="17:25">
      <c r="Q3711" s="6">
        <v>3681</v>
      </c>
      <c r="R3711" s="7">
        <v>46348</v>
      </c>
      <c r="S3711" s="210">
        <v>4.5</v>
      </c>
      <c r="T3711" s="8">
        <v>1.0001249999999999</v>
      </c>
      <c r="U3711" s="98">
        <v>4.5260552870600268</v>
      </c>
      <c r="V3711" s="106">
        <v>36213.07407687149</v>
      </c>
      <c r="W3711" s="10">
        <v>1.2437193842705252</v>
      </c>
      <c r="X3711" s="420"/>
      <c r="Y3711" s="420"/>
    </row>
    <row r="3712" spans="17:25">
      <c r="Q3712" s="6">
        <v>3682</v>
      </c>
      <c r="R3712" s="7">
        <v>46349</v>
      </c>
      <c r="S3712" s="210">
        <v>4.5</v>
      </c>
      <c r="T3712" s="8">
        <v>1.0001249999999999</v>
      </c>
      <c r="U3712" s="98">
        <v>4.5260937806306911</v>
      </c>
      <c r="V3712" s="106">
        <v>36216.188537894261</v>
      </c>
      <c r="W3712" s="10">
        <v>1.2437708484799082</v>
      </c>
      <c r="X3712" s="420"/>
      <c r="Y3712" s="420"/>
    </row>
    <row r="3713" spans="17:25">
      <c r="Q3713" s="6">
        <v>3683</v>
      </c>
      <c r="R3713" s="7">
        <v>46350</v>
      </c>
      <c r="S3713" s="210">
        <v>4.5</v>
      </c>
      <c r="T3713" s="8">
        <v>1.0001249999999999</v>
      </c>
      <c r="U3713" s="98">
        <v>4.5261322533121318</v>
      </c>
      <c r="V3713" s="106">
        <v>36219.303266772433</v>
      </c>
      <c r="W3713" s="10">
        <v>1.2438222847685365</v>
      </c>
      <c r="X3713" s="420"/>
      <c r="Y3713" s="420"/>
    </row>
    <row r="3714" spans="17:25">
      <c r="Q3714" s="6">
        <v>3684</v>
      </c>
      <c r="R3714" s="7">
        <v>46351</v>
      </c>
      <c r="S3714" s="210">
        <v>4.5</v>
      </c>
      <c r="T3714" s="8">
        <v>1.0001249999999999</v>
      </c>
      <c r="U3714" s="98">
        <v>4.5261707051213573</v>
      </c>
      <c r="V3714" s="106">
        <v>36222.418263529049</v>
      </c>
      <c r="W3714" s="10">
        <v>1.2438736931591254</v>
      </c>
      <c r="X3714" s="420"/>
      <c r="Y3714" s="420"/>
    </row>
    <row r="3715" spans="17:25">
      <c r="Q3715" s="6">
        <v>3685</v>
      </c>
      <c r="R3715" s="7">
        <v>46352</v>
      </c>
      <c r="S3715" s="210">
        <v>4.5</v>
      </c>
      <c r="T3715" s="8">
        <v>1.0001249999999999</v>
      </c>
      <c r="U3715" s="98">
        <v>4.5262091360753542</v>
      </c>
      <c r="V3715" s="106">
        <v>36225.53352818713</v>
      </c>
      <c r="W3715" s="10">
        <v>1.2439250736743679</v>
      </c>
      <c r="X3715" s="420"/>
      <c r="Y3715" s="420"/>
    </row>
    <row r="3716" spans="17:25">
      <c r="Q3716" s="6">
        <v>3686</v>
      </c>
      <c r="R3716" s="7">
        <v>46353</v>
      </c>
      <c r="S3716" s="210">
        <v>4.5</v>
      </c>
      <c r="T3716" s="8">
        <v>1.0001249999999999</v>
      </c>
      <c r="U3716" s="98">
        <v>4.5262475461910867</v>
      </c>
      <c r="V3716" s="106">
        <v>36228.649060769734</v>
      </c>
      <c r="W3716" s="10">
        <v>1.2439764263369124</v>
      </c>
      <c r="X3716" s="420"/>
      <c r="Y3716" s="420"/>
    </row>
    <row r="3717" spans="17:25">
      <c r="Q3717" s="6">
        <v>3687</v>
      </c>
      <c r="R3717" s="7">
        <v>46354</v>
      </c>
      <c r="S3717" s="210">
        <v>4.5</v>
      </c>
      <c r="T3717" s="8">
        <v>1.0001249999999999</v>
      </c>
      <c r="U3717" s="98">
        <v>4.5262859354854967</v>
      </c>
      <c r="V3717" s="106">
        <v>36231.764861299896</v>
      </c>
      <c r="W3717" s="10">
        <v>1.2440277511694298</v>
      </c>
      <c r="X3717" s="420"/>
      <c r="Y3717" s="420"/>
    </row>
    <row r="3718" spans="17:25">
      <c r="Q3718" s="6">
        <v>3688</v>
      </c>
      <c r="R3718" s="7">
        <v>46355</v>
      </c>
      <c r="S3718" s="210">
        <v>4.5</v>
      </c>
      <c r="T3718" s="8">
        <v>1.0001249999999999</v>
      </c>
      <c r="U3718" s="98">
        <v>4.5263243039755041</v>
      </c>
      <c r="V3718" s="106">
        <v>36234.88092980066</v>
      </c>
      <c r="W3718" s="10">
        <v>1.2440790481945241</v>
      </c>
      <c r="X3718" s="420"/>
      <c r="Y3718" s="420"/>
    </row>
    <row r="3719" spans="17:25">
      <c r="Q3719" s="6">
        <v>3689</v>
      </c>
      <c r="R3719" s="7">
        <v>46356</v>
      </c>
      <c r="S3719" s="210">
        <v>4.5</v>
      </c>
      <c r="T3719" s="8">
        <v>1.0001249999999999</v>
      </c>
      <c r="U3719" s="98">
        <v>4.5263626516780064</v>
      </c>
      <c r="V3719" s="106">
        <v>36237.997266295082</v>
      </c>
      <c r="W3719" s="10">
        <v>1.2441303174347773</v>
      </c>
      <c r="X3719" s="420"/>
      <c r="Y3719" s="420"/>
    </row>
    <row r="3720" spans="17:25">
      <c r="Q3720" s="6">
        <v>3690</v>
      </c>
      <c r="R3720" s="7">
        <v>46357</v>
      </c>
      <c r="S3720" s="210">
        <v>4.5</v>
      </c>
      <c r="T3720" s="8">
        <v>1.0001249999999999</v>
      </c>
      <c r="U3720" s="98">
        <v>4.5264009786099013</v>
      </c>
      <c r="V3720" s="106">
        <v>36241.113870806192</v>
      </c>
      <c r="W3720" s="10">
        <v>1.2441815589127714</v>
      </c>
      <c r="X3720" s="420"/>
      <c r="Y3720" s="420"/>
    </row>
    <row r="3721" spans="17:25">
      <c r="Q3721" s="6">
        <v>3691</v>
      </c>
      <c r="R3721" s="7">
        <v>46358</v>
      </c>
      <c r="S3721" s="210">
        <v>4.5</v>
      </c>
      <c r="T3721" s="8">
        <v>1.0001249999999999</v>
      </c>
      <c r="U3721" s="98">
        <v>4.5264392847880641</v>
      </c>
      <c r="V3721" s="106">
        <v>36244.230743357053</v>
      </c>
      <c r="W3721" s="10">
        <v>1.2442327726510216</v>
      </c>
      <c r="X3721" s="420"/>
      <c r="Y3721" s="420"/>
    </row>
    <row r="3722" spans="17:25">
      <c r="Q3722" s="6">
        <v>3692</v>
      </c>
      <c r="R3722" s="7">
        <v>46359</v>
      </c>
      <c r="S3722" s="210">
        <v>4.5</v>
      </c>
      <c r="T3722" s="8">
        <v>1.0001249999999999</v>
      </c>
      <c r="U3722" s="98">
        <v>4.526477570229348</v>
      </c>
      <c r="V3722" s="106">
        <v>36247.347883970717</v>
      </c>
      <c r="W3722" s="10">
        <v>1.2442839586720877</v>
      </c>
      <c r="X3722" s="420"/>
      <c r="Y3722" s="420"/>
    </row>
    <row r="3723" spans="17:25">
      <c r="Q3723" s="6">
        <v>3693</v>
      </c>
      <c r="R3723" s="7">
        <v>46360</v>
      </c>
      <c r="S3723" s="210">
        <v>4.5</v>
      </c>
      <c r="T3723" s="8">
        <v>1.0001249999999999</v>
      </c>
      <c r="U3723" s="98">
        <v>4.5265158349505841</v>
      </c>
      <c r="V3723" s="106">
        <v>36250.465292670226</v>
      </c>
      <c r="W3723" s="10">
        <v>1.2443351169984629</v>
      </c>
      <c r="X3723" s="420"/>
      <c r="Y3723" s="420"/>
    </row>
    <row r="3724" spans="17:25">
      <c r="Q3724" s="6">
        <v>3694</v>
      </c>
      <c r="R3724" s="7">
        <v>46361</v>
      </c>
      <c r="S3724" s="210">
        <v>4.5</v>
      </c>
      <c r="T3724" s="8">
        <v>1.0001249999999999</v>
      </c>
      <c r="U3724" s="98">
        <v>4.526554078968581</v>
      </c>
      <c r="V3724" s="106">
        <v>36253.582969478659</v>
      </c>
      <c r="W3724" s="10">
        <v>1.2443862476525736</v>
      </c>
      <c r="X3724" s="420"/>
      <c r="Y3724" s="420"/>
    </row>
    <row r="3725" spans="17:25">
      <c r="Q3725" s="6">
        <v>3695</v>
      </c>
      <c r="R3725" s="7">
        <v>46362</v>
      </c>
      <c r="S3725" s="210">
        <v>4.5</v>
      </c>
      <c r="T3725" s="8">
        <v>1.0001249999999999</v>
      </c>
      <c r="U3725" s="98">
        <v>4.5265923023001475</v>
      </c>
      <c r="V3725" s="106">
        <v>36256.700914419067</v>
      </c>
      <c r="W3725" s="10">
        <v>1.2444373506568907</v>
      </c>
      <c r="X3725" s="420"/>
      <c r="Y3725" s="420"/>
    </row>
    <row r="3726" spans="17:25">
      <c r="Q3726" s="6">
        <v>3696</v>
      </c>
      <c r="R3726" s="7">
        <v>46363</v>
      </c>
      <c r="S3726" s="210">
        <v>4.5</v>
      </c>
      <c r="T3726" s="8">
        <v>1.0001249999999999</v>
      </c>
      <c r="U3726" s="98">
        <v>4.5266305049620703</v>
      </c>
      <c r="V3726" s="106">
        <v>36259.819127514493</v>
      </c>
      <c r="W3726" s="10">
        <v>1.2444884260338629</v>
      </c>
      <c r="X3726" s="420"/>
      <c r="Y3726" s="420"/>
    </row>
    <row r="3727" spans="17:25">
      <c r="Q3727" s="6">
        <v>3697</v>
      </c>
      <c r="R3727" s="7">
        <v>46364</v>
      </c>
      <c r="S3727" s="210">
        <v>4.5</v>
      </c>
      <c r="T3727" s="8">
        <v>1.0001249999999999</v>
      </c>
      <c r="U3727" s="98">
        <v>4.5266686869710915</v>
      </c>
      <c r="V3727" s="106">
        <v>36262.937608788015</v>
      </c>
      <c r="W3727" s="10">
        <v>1.2445394738058724</v>
      </c>
      <c r="X3727" s="420"/>
      <c r="Y3727" s="420"/>
    </row>
    <row r="3728" spans="17:25">
      <c r="Q3728" s="6">
        <v>3698</v>
      </c>
      <c r="R3728" s="7">
        <v>46365</v>
      </c>
      <c r="S3728" s="210">
        <v>4.5</v>
      </c>
      <c r="T3728" s="8">
        <v>1.0001249999999999</v>
      </c>
      <c r="U3728" s="98">
        <v>4.5267068483439532</v>
      </c>
      <c r="V3728" s="106">
        <v>36266.0563582627</v>
      </c>
      <c r="W3728" s="10">
        <v>1.2445904939952568</v>
      </c>
      <c r="X3728" s="420"/>
      <c r="Y3728" s="420"/>
    </row>
    <row r="3729" spans="17:25">
      <c r="Q3729" s="6">
        <v>3699</v>
      </c>
      <c r="R3729" s="7">
        <v>46366</v>
      </c>
      <c r="S3729" s="210">
        <v>4.5</v>
      </c>
      <c r="T3729" s="8">
        <v>1.0001249999999999</v>
      </c>
      <c r="U3729" s="98">
        <v>4.5267449890973976</v>
      </c>
      <c r="V3729" s="106">
        <v>36269.175375961597</v>
      </c>
      <c r="W3729" s="10">
        <v>1.2446414866244204</v>
      </c>
      <c r="X3729" s="420"/>
      <c r="Y3729" s="420"/>
    </row>
    <row r="3730" spans="17:25">
      <c r="Q3730" s="6">
        <v>3700</v>
      </c>
      <c r="R3730" s="7">
        <v>46367</v>
      </c>
      <c r="S3730" s="210">
        <v>4.5</v>
      </c>
      <c r="T3730" s="8">
        <v>1.0001249999999999</v>
      </c>
      <c r="U3730" s="98">
        <v>4.5267831092481225</v>
      </c>
      <c r="V3730" s="106">
        <v>36272.294661907792</v>
      </c>
      <c r="W3730" s="10">
        <v>1.2446924517156344</v>
      </c>
      <c r="X3730" s="420"/>
      <c r="Y3730" s="420"/>
    </row>
    <row r="3731" spans="17:25">
      <c r="Q3731" s="6">
        <v>3701</v>
      </c>
      <c r="R3731" s="7">
        <v>46368</v>
      </c>
      <c r="S3731" s="210">
        <v>4.5</v>
      </c>
      <c r="T3731" s="8">
        <v>1.0001249999999999</v>
      </c>
      <c r="U3731" s="98">
        <v>4.5268212088128257</v>
      </c>
      <c r="V3731" s="106">
        <v>36275.414216124351</v>
      </c>
      <c r="W3731" s="10">
        <v>1.2447433892912585</v>
      </c>
      <c r="X3731" s="420"/>
      <c r="Y3731" s="420"/>
    </row>
    <row r="3732" spans="17:25">
      <c r="Q3732" s="6">
        <v>3702</v>
      </c>
      <c r="R3732" s="7">
        <v>46369</v>
      </c>
      <c r="S3732" s="210">
        <v>4.5</v>
      </c>
      <c r="T3732" s="8">
        <v>1.0001249999999999</v>
      </c>
      <c r="U3732" s="98">
        <v>4.5268592878081604</v>
      </c>
      <c r="V3732" s="106">
        <v>36278.534038634345</v>
      </c>
      <c r="W3732" s="10">
        <v>1.2447942993735195</v>
      </c>
      <c r="X3732" s="420"/>
      <c r="Y3732" s="420"/>
    </row>
    <row r="3733" spans="17:25">
      <c r="Q3733" s="6">
        <v>3703</v>
      </c>
      <c r="R3733" s="7">
        <v>46370</v>
      </c>
      <c r="S3733" s="210">
        <v>4.5</v>
      </c>
      <c r="T3733" s="8">
        <v>1.0001249999999999</v>
      </c>
      <c r="U3733" s="98">
        <v>4.5268973462508022</v>
      </c>
      <c r="V3733" s="106">
        <v>36281.654129460847</v>
      </c>
      <c r="W3733" s="10">
        <v>1.2448451819846884</v>
      </c>
      <c r="X3733" s="420"/>
      <c r="Y3733" s="420"/>
    </row>
    <row r="3734" spans="17:25">
      <c r="Q3734" s="6">
        <v>3704</v>
      </c>
      <c r="R3734" s="7">
        <v>46371</v>
      </c>
      <c r="S3734" s="210">
        <v>4.5</v>
      </c>
      <c r="T3734" s="8">
        <v>1.0001249999999999</v>
      </c>
      <c r="U3734" s="98">
        <v>4.5269353841573601</v>
      </c>
      <c r="V3734" s="106">
        <v>36284.774488626936</v>
      </c>
      <c r="W3734" s="10">
        <v>1.2448960371470141</v>
      </c>
      <c r="X3734" s="420"/>
      <c r="Y3734" s="420"/>
    </row>
    <row r="3735" spans="17:25">
      <c r="Q3735" s="6">
        <v>3705</v>
      </c>
      <c r="R3735" s="7">
        <v>46372</v>
      </c>
      <c r="S3735" s="210">
        <v>4.5</v>
      </c>
      <c r="T3735" s="8">
        <v>1.0001249999999999</v>
      </c>
      <c r="U3735" s="98">
        <v>4.5269734015444874</v>
      </c>
      <c r="V3735" s="106">
        <v>36287.895116155691</v>
      </c>
      <c r="W3735" s="10">
        <v>1.2449468648826789</v>
      </c>
      <c r="X3735" s="420"/>
      <c r="Y3735" s="420"/>
    </row>
    <row r="3736" spans="17:25">
      <c r="Q3736" s="6">
        <v>3706</v>
      </c>
      <c r="R3736" s="7">
        <v>46373</v>
      </c>
      <c r="S3736" s="210">
        <v>4.5</v>
      </c>
      <c r="T3736" s="8">
        <v>1.0001249999999999</v>
      </c>
      <c r="U3736" s="98">
        <v>4.5270113984287486</v>
      </c>
      <c r="V3736" s="106">
        <v>36291.016012070177</v>
      </c>
      <c r="W3736" s="10">
        <v>1.244997665213865</v>
      </c>
      <c r="X3736" s="420"/>
      <c r="Y3736" s="420"/>
    </row>
    <row r="3737" spans="17:25">
      <c r="Q3737" s="6">
        <v>3707</v>
      </c>
      <c r="R3737" s="7">
        <v>46374</v>
      </c>
      <c r="S3737" s="210">
        <v>4.5</v>
      </c>
      <c r="T3737" s="8">
        <v>1.0001249999999999</v>
      </c>
      <c r="U3737" s="98">
        <v>4.5270493748267526</v>
      </c>
      <c r="V3737" s="106">
        <v>36294.137176393495</v>
      </c>
      <c r="W3737" s="10">
        <v>1.2450484381627325</v>
      </c>
      <c r="X3737" s="420"/>
      <c r="Y3737" s="420"/>
    </row>
    <row r="3738" spans="17:25">
      <c r="Q3738" s="6">
        <v>3708</v>
      </c>
      <c r="R3738" s="7">
        <v>46375</v>
      </c>
      <c r="S3738" s="210">
        <v>4.5</v>
      </c>
      <c r="T3738" s="8">
        <v>1.0001249999999999</v>
      </c>
      <c r="U3738" s="98">
        <v>4.5270873307550419</v>
      </c>
      <c r="V3738" s="106">
        <v>36297.258609148725</v>
      </c>
      <c r="W3738" s="10">
        <v>1.2450991837514414</v>
      </c>
      <c r="X3738" s="420"/>
      <c r="Y3738" s="420"/>
    </row>
    <row r="3739" spans="17:25">
      <c r="Q3739" s="6">
        <v>3709</v>
      </c>
      <c r="R3739" s="7">
        <v>46376</v>
      </c>
      <c r="S3739" s="210">
        <v>4.5</v>
      </c>
      <c r="T3739" s="8">
        <v>1.0001249999999999</v>
      </c>
      <c r="U3739" s="98">
        <v>4.5271252662301587</v>
      </c>
      <c r="V3739" s="106">
        <v>36300.380310358945</v>
      </c>
      <c r="W3739" s="10">
        <v>1.2451499020020407</v>
      </c>
      <c r="X3739" s="420"/>
      <c r="Y3739" s="420"/>
    </row>
    <row r="3740" spans="17:25">
      <c r="Q3740" s="6">
        <v>3710</v>
      </c>
      <c r="R3740" s="7">
        <v>46377</v>
      </c>
      <c r="S3740" s="210">
        <v>4.5</v>
      </c>
      <c r="T3740" s="8">
        <v>1.0001249999999999</v>
      </c>
      <c r="U3740" s="98">
        <v>4.5271631812686453</v>
      </c>
      <c r="V3740" s="106">
        <v>36303.502280047258</v>
      </c>
      <c r="W3740" s="10">
        <v>1.2452005929366683</v>
      </c>
      <c r="X3740" s="420"/>
      <c r="Y3740" s="420"/>
    </row>
    <row r="3741" spans="17:25">
      <c r="Q3741" s="6">
        <v>3711</v>
      </c>
      <c r="R3741" s="7">
        <v>46378</v>
      </c>
      <c r="S3741" s="210">
        <v>4.5</v>
      </c>
      <c r="T3741" s="8">
        <v>1.0001249999999999</v>
      </c>
      <c r="U3741" s="98">
        <v>4.5272010758869996</v>
      </c>
      <c r="V3741" s="106">
        <v>36306.624518236742</v>
      </c>
      <c r="W3741" s="10">
        <v>1.245251256577351</v>
      </c>
      <c r="X3741" s="420"/>
      <c r="Y3741" s="420"/>
    </row>
    <row r="3742" spans="17:25">
      <c r="Q3742" s="6">
        <v>3712</v>
      </c>
      <c r="R3742" s="7">
        <v>46379</v>
      </c>
      <c r="S3742" s="210">
        <v>4.5</v>
      </c>
      <c r="T3742" s="8">
        <v>1.0001249999999999</v>
      </c>
      <c r="U3742" s="98">
        <v>4.5272389501017418</v>
      </c>
      <c r="V3742" s="106">
        <v>36309.747024950491</v>
      </c>
      <c r="W3742" s="10">
        <v>1.2453018929461601</v>
      </c>
      <c r="X3742" s="420"/>
      <c r="Y3742" s="420"/>
    </row>
    <row r="3743" spans="17:25">
      <c r="Q3743" s="6">
        <v>3713</v>
      </c>
      <c r="R3743" s="7">
        <v>46380</v>
      </c>
      <c r="S3743" s="210">
        <v>4.5</v>
      </c>
      <c r="T3743" s="8">
        <v>1.0001249999999999</v>
      </c>
      <c r="U3743" s="98">
        <v>4.5272768039293254</v>
      </c>
      <c r="V3743" s="106">
        <v>36312.8698002116</v>
      </c>
      <c r="W3743" s="10">
        <v>1.2453525020651224</v>
      </c>
      <c r="X3743" s="420"/>
      <c r="Y3743" s="420"/>
    </row>
    <row r="3744" spans="17:25">
      <c r="Q3744" s="6">
        <v>3714</v>
      </c>
      <c r="R3744" s="7">
        <v>46381</v>
      </c>
      <c r="S3744" s="210">
        <v>4.5</v>
      </c>
      <c r="T3744" s="8">
        <v>1.0001249999999999</v>
      </c>
      <c r="U3744" s="98">
        <v>4.5273146373862039</v>
      </c>
      <c r="V3744" s="106">
        <v>36315.992844043169</v>
      </c>
      <c r="W3744" s="10">
        <v>1.2454030839561758</v>
      </c>
      <c r="X3744" s="420"/>
      <c r="Y3744" s="420"/>
    </row>
    <row r="3745" spans="17:25">
      <c r="Q3745" s="6">
        <v>3715</v>
      </c>
      <c r="R3745" s="7">
        <v>46382</v>
      </c>
      <c r="S3745" s="210">
        <v>4.5</v>
      </c>
      <c r="T3745" s="8">
        <v>1.0001249999999999</v>
      </c>
      <c r="U3745" s="98">
        <v>4.5273524504888085</v>
      </c>
      <c r="V3745" s="106">
        <v>36319.116156468284</v>
      </c>
      <c r="W3745" s="10">
        <v>1.2454536386413029</v>
      </c>
      <c r="X3745" s="420"/>
      <c r="Y3745" s="420"/>
    </row>
    <row r="3746" spans="17:25">
      <c r="Q3746" s="6">
        <v>3716</v>
      </c>
      <c r="R3746" s="7">
        <v>46383</v>
      </c>
      <c r="S3746" s="210">
        <v>4.5</v>
      </c>
      <c r="T3746" s="8">
        <v>1.0001249999999999</v>
      </c>
      <c r="U3746" s="98">
        <v>4.5273902432535706</v>
      </c>
      <c r="V3746" s="106">
        <v>36322.239737510055</v>
      </c>
      <c r="W3746" s="10">
        <v>1.2455041661424637</v>
      </c>
      <c r="X3746" s="420"/>
      <c r="Y3746" s="420"/>
    </row>
    <row r="3747" spans="17:25">
      <c r="Q3747" s="6">
        <v>3717</v>
      </c>
      <c r="R3747" s="7">
        <v>46384</v>
      </c>
      <c r="S3747" s="210">
        <v>4.5</v>
      </c>
      <c r="T3747" s="8">
        <v>1.0001249999999999</v>
      </c>
      <c r="U3747" s="98">
        <v>4.5274280156968993</v>
      </c>
      <c r="V3747" s="106">
        <v>36325.36358719159</v>
      </c>
      <c r="W3747" s="10">
        <v>1.245554666481552</v>
      </c>
      <c r="X3747" s="420"/>
      <c r="Y3747" s="420"/>
    </row>
    <row r="3748" spans="17:25">
      <c r="Q3748" s="6">
        <v>3718</v>
      </c>
      <c r="R3748" s="7">
        <v>46385</v>
      </c>
      <c r="S3748" s="210">
        <v>4.5</v>
      </c>
      <c r="T3748" s="8">
        <v>1.0001249999999999</v>
      </c>
      <c r="U3748" s="98">
        <v>4.5274657678351815</v>
      </c>
      <c r="V3748" s="106">
        <v>36328.487705535983</v>
      </c>
      <c r="W3748" s="10">
        <v>1.2456051396805057</v>
      </c>
      <c r="X3748" s="420"/>
      <c r="Y3748" s="420"/>
    </row>
    <row r="3749" spans="17:25">
      <c r="Q3749" s="6">
        <v>3719</v>
      </c>
      <c r="R3749" s="7">
        <v>46386</v>
      </c>
      <c r="S3749" s="210">
        <v>4.5</v>
      </c>
      <c r="T3749" s="8">
        <v>1.0001249999999999</v>
      </c>
      <c r="U3749" s="98">
        <v>4.5275034996847818</v>
      </c>
      <c r="V3749" s="106">
        <v>36331.612092566334</v>
      </c>
      <c r="W3749" s="10">
        <v>1.245655585761174</v>
      </c>
      <c r="X3749" s="420"/>
      <c r="Y3749" s="420"/>
    </row>
    <row r="3750" spans="17:25">
      <c r="Q3750" s="6">
        <v>3720</v>
      </c>
      <c r="R3750" s="7">
        <v>46387</v>
      </c>
      <c r="S3750" s="210">
        <v>4.5</v>
      </c>
      <c r="T3750" s="8">
        <v>1.0001249999999999</v>
      </c>
      <c r="U3750" s="98">
        <v>4.5275412112620428</v>
      </c>
      <c r="V3750" s="106">
        <v>36334.736748305775</v>
      </c>
      <c r="W3750" s="10">
        <v>1.245706004745406</v>
      </c>
      <c r="X3750" s="420"/>
      <c r="Y3750" s="420"/>
    </row>
    <row r="3751" spans="17:25">
      <c r="Q3751" s="6">
        <v>3721</v>
      </c>
      <c r="R3751" s="7">
        <v>46388</v>
      </c>
      <c r="S3751" s="210">
        <v>4.5</v>
      </c>
      <c r="T3751" s="8">
        <v>1.0001249999999999</v>
      </c>
      <c r="U3751" s="98">
        <v>4.5275789025833069</v>
      </c>
      <c r="V3751" s="106">
        <v>36337.861672777392</v>
      </c>
      <c r="W3751" s="10">
        <v>1.2457563966550289</v>
      </c>
      <c r="X3751" s="420"/>
      <c r="Y3751" s="420"/>
    </row>
    <row r="3752" spans="17:25">
      <c r="Q3752" s="6">
        <v>3722</v>
      </c>
      <c r="R3752" s="7">
        <v>46389</v>
      </c>
      <c r="S3752" s="210">
        <v>4.5</v>
      </c>
      <c r="T3752" s="8">
        <v>1.0001249999999999</v>
      </c>
      <c r="U3752" s="98">
        <v>4.5276165736648943</v>
      </c>
      <c r="V3752" s="106">
        <v>36340.986866004307</v>
      </c>
      <c r="W3752" s="10">
        <v>1.2458067615118473</v>
      </c>
      <c r="X3752" s="420"/>
      <c r="Y3752" s="420"/>
    </row>
    <row r="3753" spans="17:25">
      <c r="Q3753" s="6">
        <v>3723</v>
      </c>
      <c r="R3753" s="7">
        <v>46390</v>
      </c>
      <c r="S3753" s="210">
        <v>4.5</v>
      </c>
      <c r="T3753" s="8">
        <v>1.0001249999999999</v>
      </c>
      <c r="U3753" s="98">
        <v>4.5276542245231033</v>
      </c>
      <c r="V3753" s="106">
        <v>36344.112328009636</v>
      </c>
      <c r="W3753" s="10">
        <v>1.2458570993376439</v>
      </c>
      <c r="X3753" s="420"/>
      <c r="Y3753" s="420"/>
    </row>
    <row r="3754" spans="17:25">
      <c r="Q3754" s="6">
        <v>3724</v>
      </c>
      <c r="R3754" s="7">
        <v>46391</v>
      </c>
      <c r="S3754" s="210">
        <v>4.5</v>
      </c>
      <c r="T3754" s="8">
        <v>1.0001249999999999</v>
      </c>
      <c r="U3754" s="98">
        <v>4.5276918551742096</v>
      </c>
      <c r="V3754" s="106">
        <v>36347.238058816481</v>
      </c>
      <c r="W3754" s="10">
        <v>1.2459074101541789</v>
      </c>
      <c r="X3754" s="420"/>
      <c r="Y3754" s="420"/>
    </row>
    <row r="3755" spans="17:25">
      <c r="Q3755" s="6">
        <v>3725</v>
      </c>
      <c r="R3755" s="7">
        <v>46392</v>
      </c>
      <c r="S3755" s="210">
        <v>4.5</v>
      </c>
      <c r="T3755" s="8">
        <v>1.0001249999999999</v>
      </c>
      <c r="U3755" s="98">
        <v>4.5277294656344669</v>
      </c>
      <c r="V3755" s="106">
        <v>36350.36405844798</v>
      </c>
      <c r="W3755" s="10">
        <v>1.2459576939831685</v>
      </c>
      <c r="X3755" s="420"/>
      <c r="Y3755" s="420"/>
    </row>
    <row r="3756" spans="17:25">
      <c r="Q3756" s="6">
        <v>3726</v>
      </c>
      <c r="R3756" s="7">
        <v>46393</v>
      </c>
      <c r="S3756" s="210">
        <v>4.5</v>
      </c>
      <c r="T3756" s="8">
        <v>1.0001249999999999</v>
      </c>
      <c r="U3756" s="98">
        <v>4.5277670559201288</v>
      </c>
      <c r="V3756" s="106">
        <v>36353.49032692724</v>
      </c>
      <c r="W3756" s="10">
        <v>1.2460079508463062</v>
      </c>
      <c r="X3756" s="420"/>
      <c r="Y3756" s="420"/>
    </row>
    <row r="3757" spans="17:25">
      <c r="Q3757" s="6">
        <v>3727</v>
      </c>
      <c r="R3757" s="7">
        <v>46394</v>
      </c>
      <c r="S3757" s="210">
        <v>4.5</v>
      </c>
      <c r="T3757" s="8">
        <v>1.0001249999999999</v>
      </c>
      <c r="U3757" s="98">
        <v>4.527804626047427</v>
      </c>
      <c r="V3757" s="106">
        <v>36356.616864277385</v>
      </c>
      <c r="W3757" s="10">
        <v>1.2460581807653304</v>
      </c>
      <c r="X3757" s="420"/>
      <c r="Y3757" s="420"/>
    </row>
    <row r="3758" spans="17:25">
      <c r="Q3758" s="6">
        <v>3728</v>
      </c>
      <c r="R3758" s="7">
        <v>46395</v>
      </c>
      <c r="S3758" s="210">
        <v>4.5</v>
      </c>
      <c r="T3758" s="8">
        <v>1.0001249999999999</v>
      </c>
      <c r="U3758" s="98">
        <v>4.5278421760325704</v>
      </c>
      <c r="V3758" s="106">
        <v>36359.743670521544</v>
      </c>
      <c r="W3758" s="10">
        <v>1.2461083837618459</v>
      </c>
      <c r="X3758" s="420"/>
      <c r="Y3758" s="420"/>
    </row>
    <row r="3759" spans="17:25">
      <c r="Q3759" s="6">
        <v>3729</v>
      </c>
      <c r="R3759" s="7">
        <v>46396</v>
      </c>
      <c r="S3759" s="210">
        <v>4.5</v>
      </c>
      <c r="T3759" s="8">
        <v>1.0001249999999999</v>
      </c>
      <c r="U3759" s="98">
        <v>4.5278797058917686</v>
      </c>
      <c r="V3759" s="106">
        <v>36362.870745682834</v>
      </c>
      <c r="W3759" s="10">
        <v>1.2461585598575464</v>
      </c>
      <c r="X3759" s="420"/>
      <c r="Y3759" s="420"/>
    </row>
    <row r="3760" spans="17:25">
      <c r="Q3760" s="6">
        <v>3730</v>
      </c>
      <c r="R3760" s="7">
        <v>46397</v>
      </c>
      <c r="S3760" s="210">
        <v>4.5</v>
      </c>
      <c r="T3760" s="8">
        <v>1.0001249999999999</v>
      </c>
      <c r="U3760" s="98">
        <v>4.527917215641164</v>
      </c>
      <c r="V3760" s="106">
        <v>36365.998089784393</v>
      </c>
      <c r="W3760" s="10">
        <v>1.2462087090740148</v>
      </c>
      <c r="X3760" s="420"/>
      <c r="Y3760" s="420"/>
    </row>
    <row r="3761" spans="14:25">
      <c r="Q3761" s="6">
        <v>3731</v>
      </c>
      <c r="R3761" s="7">
        <v>46398</v>
      </c>
      <c r="S3761" s="210">
        <v>4.5</v>
      </c>
      <c r="T3761" s="8">
        <v>1.0001249999999999</v>
      </c>
      <c r="U3761" s="98">
        <v>4.5279547052969438</v>
      </c>
      <c r="V3761" s="106">
        <v>36369.125702849342</v>
      </c>
      <c r="W3761" s="10">
        <v>1.2462588314328338</v>
      </c>
      <c r="X3761" s="420"/>
      <c r="Y3761" s="420"/>
    </row>
    <row r="3762" spans="14:25">
      <c r="Q3762" s="6">
        <v>3732</v>
      </c>
      <c r="R3762" s="7">
        <v>46399</v>
      </c>
      <c r="S3762" s="210">
        <v>4.5</v>
      </c>
      <c r="T3762" s="8">
        <v>1.0001249999999999</v>
      </c>
      <c r="U3762" s="98">
        <v>4.5279921748752283</v>
      </c>
      <c r="V3762" s="106">
        <v>36372.253584900827</v>
      </c>
      <c r="W3762" s="10">
        <v>1.2463089269556082</v>
      </c>
      <c r="X3762" s="420"/>
      <c r="Y3762" s="420"/>
    </row>
    <row r="3763" spans="14:25">
      <c r="Q3763" s="6">
        <v>3733</v>
      </c>
      <c r="R3763" s="7">
        <v>46400</v>
      </c>
      <c r="S3763" s="210">
        <v>4.5</v>
      </c>
      <c r="T3763" s="8">
        <v>1.0001249999999999</v>
      </c>
      <c r="U3763" s="98">
        <v>4.5280296243921603</v>
      </c>
      <c r="V3763" s="106">
        <v>36375.381735961964</v>
      </c>
      <c r="W3763" s="10">
        <v>1.2463589956638543</v>
      </c>
      <c r="X3763" s="420"/>
      <c r="Y3763" s="420"/>
    </row>
    <row r="3764" spans="14:25">
      <c r="Q3764" s="6">
        <v>3734</v>
      </c>
      <c r="R3764" s="7">
        <v>46401</v>
      </c>
      <c r="S3764" s="210">
        <v>4.5</v>
      </c>
      <c r="T3764" s="8">
        <v>1.0001249999999999</v>
      </c>
      <c r="U3764" s="98">
        <v>4.5280670538638379</v>
      </c>
      <c r="V3764" s="106">
        <v>36378.510156055891</v>
      </c>
      <c r="W3764" s="10">
        <v>1.2464090375791104</v>
      </c>
      <c r="X3764" s="420"/>
      <c r="Y3764" s="420"/>
    </row>
    <row r="3765" spans="14:25">
      <c r="Q3765" s="6">
        <v>3735</v>
      </c>
      <c r="R3765" s="7">
        <v>46402</v>
      </c>
      <c r="S3765" s="210">
        <v>4.5</v>
      </c>
      <c r="T3765" s="8">
        <v>1.0001249999999999</v>
      </c>
      <c r="U3765" s="98">
        <v>4.5281044633063594</v>
      </c>
      <c r="V3765" s="106">
        <v>36381.638845205758</v>
      </c>
      <c r="W3765" s="10">
        <v>1.2464590527228703</v>
      </c>
      <c r="X3765" s="420"/>
      <c r="Y3765" s="420"/>
    </row>
    <row r="3766" spans="14:25">
      <c r="Q3766" s="6">
        <v>3736</v>
      </c>
      <c r="R3766" s="7">
        <v>46403</v>
      </c>
      <c r="S3766" s="210">
        <v>4.5</v>
      </c>
      <c r="T3766" s="8">
        <v>1.0001249999999999</v>
      </c>
      <c r="U3766" s="98">
        <v>4.5281418527357786</v>
      </c>
      <c r="V3766" s="106">
        <v>36384.767803434697</v>
      </c>
      <c r="W3766" s="10">
        <v>1.246509041116628</v>
      </c>
      <c r="X3766" s="420"/>
      <c r="Y3766" s="420"/>
    </row>
    <row r="3767" spans="14:25">
      <c r="N3767" s="23">
        <v>10950</v>
      </c>
      <c r="Q3767" s="6">
        <v>3737</v>
      </c>
      <c r="R3767" s="7">
        <v>46404</v>
      </c>
      <c r="S3767" s="210">
        <v>4.5</v>
      </c>
      <c r="T3767" s="8">
        <v>1.0001249999999999</v>
      </c>
      <c r="U3767" s="98">
        <v>4.5281792221681716</v>
      </c>
      <c r="V3767" s="106">
        <v>36387.897030765853</v>
      </c>
      <c r="W3767" s="10">
        <v>1.2465590027818108</v>
      </c>
      <c r="X3767" s="420"/>
      <c r="Y3767" s="420"/>
    </row>
    <row r="3768" spans="14:25">
      <c r="Q3768" s="6">
        <v>3738</v>
      </c>
      <c r="R3768" s="7">
        <v>46405</v>
      </c>
      <c r="S3768" s="210">
        <v>4.5</v>
      </c>
      <c r="T3768" s="8">
        <v>1.0001249999999999</v>
      </c>
      <c r="U3768" s="98">
        <v>4.5282165716195699</v>
      </c>
      <c r="V3768" s="106">
        <v>36391.026527222362</v>
      </c>
      <c r="W3768" s="10">
        <v>1.2466089377398681</v>
      </c>
      <c r="X3768" s="420"/>
      <c r="Y3768" s="420"/>
    </row>
    <row r="3769" spans="14:25">
      <c r="Q3769" s="6">
        <v>3739</v>
      </c>
      <c r="R3769" s="7">
        <v>46406</v>
      </c>
      <c r="S3769" s="210">
        <v>4.5</v>
      </c>
      <c r="T3769" s="8">
        <v>1.0001249999999999</v>
      </c>
      <c r="U3769" s="98">
        <v>4.528253901105983</v>
      </c>
      <c r="V3769" s="106">
        <v>36394.156292827378</v>
      </c>
      <c r="W3769" s="10">
        <v>1.2466588460122274</v>
      </c>
      <c r="X3769" s="420"/>
      <c r="Y3769" s="420"/>
    </row>
    <row r="3770" spans="14:25">
      <c r="Q3770" s="6">
        <v>3740</v>
      </c>
      <c r="R3770" s="7">
        <v>46407</v>
      </c>
      <c r="S3770" s="210">
        <v>4.5</v>
      </c>
      <c r="T3770" s="8">
        <v>1.0001249999999999</v>
      </c>
      <c r="U3770" s="98">
        <v>4.5282912106434203</v>
      </c>
      <c r="V3770" s="106">
        <v>36397.286327604052</v>
      </c>
      <c r="W3770" s="10">
        <v>1.2467087276202049</v>
      </c>
      <c r="X3770" s="420"/>
      <c r="Y3770" s="420"/>
    </row>
    <row r="3771" spans="14:25">
      <c r="Q3771" s="6">
        <v>3741</v>
      </c>
      <c r="R3771" s="7">
        <v>46408</v>
      </c>
      <c r="S3771" s="210">
        <v>4.5</v>
      </c>
      <c r="T3771" s="8">
        <v>1.0001249999999999</v>
      </c>
      <c r="U3771" s="98">
        <v>4.5283285002478912</v>
      </c>
      <c r="V3771" s="106">
        <v>36400.416631575521</v>
      </c>
      <c r="W3771" s="10">
        <v>1.2467585825852501</v>
      </c>
      <c r="X3771" s="420"/>
      <c r="Y3771" s="420"/>
    </row>
    <row r="3772" spans="14:25">
      <c r="Q3772" s="6">
        <v>3742</v>
      </c>
      <c r="R3772" s="7">
        <v>46409</v>
      </c>
      <c r="S3772" s="210">
        <v>4.5</v>
      </c>
      <c r="T3772" s="8">
        <v>1.0001249999999999</v>
      </c>
      <c r="U3772" s="98">
        <v>4.5283657699353386</v>
      </c>
      <c r="V3772" s="106">
        <v>36403.547204764945</v>
      </c>
      <c r="W3772" s="10">
        <v>1.246808410928657</v>
      </c>
      <c r="X3772" s="420"/>
      <c r="Y3772" s="420"/>
    </row>
    <row r="3773" spans="14:25">
      <c r="Q3773" s="6">
        <v>3743</v>
      </c>
      <c r="R3773" s="7">
        <v>46410</v>
      </c>
      <c r="S3773" s="210">
        <v>4.5</v>
      </c>
      <c r="T3773" s="8">
        <v>1.0001249999999999</v>
      </c>
      <c r="U3773" s="98">
        <v>4.5284030197217273</v>
      </c>
      <c r="V3773" s="106">
        <v>36406.678047195484</v>
      </c>
      <c r="W3773" s="10">
        <v>1.2468582126717642</v>
      </c>
      <c r="X3773" s="420"/>
      <c r="Y3773" s="420"/>
    </row>
    <row r="3774" spans="14:25">
      <c r="Q3774" s="6">
        <v>3744</v>
      </c>
      <c r="R3774" s="7">
        <v>46411</v>
      </c>
      <c r="S3774" s="210">
        <v>4.5</v>
      </c>
      <c r="T3774" s="8">
        <v>1.0001249999999999</v>
      </c>
      <c r="U3774" s="98">
        <v>4.5284402496229781</v>
      </c>
      <c r="V3774" s="106">
        <v>36409.809158890283</v>
      </c>
      <c r="W3774" s="10">
        <v>1.2469079878358436</v>
      </c>
      <c r="X3774" s="420"/>
      <c r="Y3774" s="420"/>
    </row>
    <row r="3775" spans="14:25">
      <c r="Q3775" s="6">
        <v>3745</v>
      </c>
      <c r="R3775" s="7">
        <v>46412</v>
      </c>
      <c r="S3775" s="210">
        <v>4.5</v>
      </c>
      <c r="T3775" s="8">
        <v>1.0001249999999999</v>
      </c>
      <c r="U3775" s="98">
        <v>4.5284774596550337</v>
      </c>
      <c r="V3775" s="106">
        <v>36412.940539872492</v>
      </c>
      <c r="W3775" s="10">
        <v>1.2469577364421669</v>
      </c>
      <c r="X3775" s="420"/>
      <c r="Y3775" s="420"/>
    </row>
    <row r="3776" spans="14:25">
      <c r="Q3776" s="6">
        <v>3746</v>
      </c>
      <c r="R3776" s="7">
        <v>46413</v>
      </c>
      <c r="S3776" s="210">
        <v>4.5</v>
      </c>
      <c r="T3776" s="8">
        <v>1.0001249999999999</v>
      </c>
      <c r="U3776" s="98">
        <v>4.5285146498337703</v>
      </c>
      <c r="V3776" s="106">
        <v>36416.072190165294</v>
      </c>
      <c r="W3776" s="10">
        <v>1.2470074585120061</v>
      </c>
      <c r="X3776" s="420"/>
      <c r="Y3776" s="420"/>
    </row>
    <row r="3777" spans="17:25">
      <c r="Q3777" s="6">
        <v>3747</v>
      </c>
      <c r="R3777" s="7">
        <v>46414</v>
      </c>
      <c r="S3777" s="210">
        <v>4.5</v>
      </c>
      <c r="T3777" s="8">
        <v>1.0001249999999999</v>
      </c>
      <c r="U3777" s="98">
        <v>4.5285518201750863</v>
      </c>
      <c r="V3777" s="106">
        <v>36419.204109791841</v>
      </c>
      <c r="W3777" s="10">
        <v>1.2470571540665443</v>
      </c>
      <c r="X3777" s="420"/>
      <c r="Y3777" s="420"/>
    </row>
    <row r="3778" spans="17:25">
      <c r="Q3778" s="6">
        <v>3748</v>
      </c>
      <c r="R3778" s="7">
        <v>46415</v>
      </c>
      <c r="S3778" s="210">
        <v>4.5</v>
      </c>
      <c r="T3778" s="8">
        <v>1.0001249999999999</v>
      </c>
      <c r="U3778" s="98">
        <v>4.5285889706948579</v>
      </c>
      <c r="V3778" s="106">
        <v>36422.336298775292</v>
      </c>
      <c r="W3778" s="10">
        <v>1.2471068231270532</v>
      </c>
      <c r="X3778" s="420"/>
      <c r="Y3778" s="420"/>
    </row>
    <row r="3779" spans="17:25">
      <c r="Q3779" s="6">
        <v>3749</v>
      </c>
      <c r="R3779" s="7">
        <v>46416</v>
      </c>
      <c r="S3779" s="210">
        <v>4.5</v>
      </c>
      <c r="T3779" s="8">
        <v>1.0001249999999999</v>
      </c>
      <c r="U3779" s="98">
        <v>4.5286261014089169</v>
      </c>
      <c r="V3779" s="106">
        <v>36425.468757138806</v>
      </c>
      <c r="W3779" s="10">
        <v>1.2471564657146494</v>
      </c>
      <c r="X3779" s="420"/>
      <c r="Y3779" s="420"/>
    </row>
    <row r="3780" spans="17:25">
      <c r="Q3780" s="6">
        <v>3750</v>
      </c>
      <c r="R3780" s="7">
        <v>46417</v>
      </c>
      <c r="S3780" s="210">
        <v>4.5</v>
      </c>
      <c r="T3780" s="8">
        <v>1.0001249999999999</v>
      </c>
      <c r="U3780" s="98">
        <v>4.5286632123331172</v>
      </c>
      <c r="V3780" s="106">
        <v>36428.601484905565</v>
      </c>
      <c r="W3780" s="10">
        <v>1.2472060818505382</v>
      </c>
      <c r="X3780" s="420"/>
      <c r="Y3780" s="420"/>
    </row>
    <row r="3781" spans="17:25">
      <c r="Q3781" s="6">
        <v>3751</v>
      </c>
      <c r="R3781" s="7">
        <v>46418</v>
      </c>
      <c r="S3781" s="210">
        <v>4.5</v>
      </c>
      <c r="T3781" s="8">
        <v>1.0001249999999999</v>
      </c>
      <c r="U3781" s="98">
        <v>4.5287003034832685</v>
      </c>
      <c r="V3781" s="106">
        <v>36431.734482098735</v>
      </c>
      <c r="W3781" s="10">
        <v>1.2472556715558358</v>
      </c>
      <c r="X3781" s="420"/>
      <c r="Y3781" s="420"/>
    </row>
    <row r="3782" spans="17:25">
      <c r="Q3782" s="6">
        <v>3752</v>
      </c>
      <c r="R3782" s="7">
        <v>46419</v>
      </c>
      <c r="S3782" s="210">
        <v>4.5</v>
      </c>
      <c r="T3782" s="8">
        <v>1.0001249999999999</v>
      </c>
      <c r="U3782" s="98">
        <v>4.528737374875158</v>
      </c>
      <c r="V3782" s="106">
        <v>36434.86774874149</v>
      </c>
      <c r="W3782" s="10">
        <v>1.2473052348516589</v>
      </c>
      <c r="X3782" s="420"/>
      <c r="Y3782" s="420"/>
    </row>
    <row r="3783" spans="17:25">
      <c r="Q3783" s="6">
        <v>3753</v>
      </c>
      <c r="R3783" s="7">
        <v>46420</v>
      </c>
      <c r="S3783" s="210">
        <v>4.5</v>
      </c>
      <c r="T3783" s="8">
        <v>1.0001249999999999</v>
      </c>
      <c r="U3783" s="98">
        <v>4.5287744265245955</v>
      </c>
      <c r="V3783" s="106">
        <v>36438.00128485699</v>
      </c>
      <c r="W3783" s="10">
        <v>1.2473547717591016</v>
      </c>
      <c r="X3783" s="420"/>
      <c r="Y3783" s="420"/>
    </row>
    <row r="3784" spans="17:25">
      <c r="Q3784" s="6">
        <v>3754</v>
      </c>
      <c r="R3784" s="7">
        <v>46421</v>
      </c>
      <c r="S3784" s="210">
        <v>4.5</v>
      </c>
      <c r="T3784" s="8">
        <v>1.0001249999999999</v>
      </c>
      <c r="U3784" s="98">
        <v>4.5288114584473238</v>
      </c>
      <c r="V3784" s="106">
        <v>36441.135090468422</v>
      </c>
      <c r="W3784" s="10">
        <v>1.2474042822992137</v>
      </c>
      <c r="X3784" s="420"/>
      <c r="Y3784" s="420"/>
    </row>
    <row r="3785" spans="17:25">
      <c r="Q3785" s="6">
        <v>3755</v>
      </c>
      <c r="R3785" s="7">
        <v>46422</v>
      </c>
      <c r="S3785" s="210">
        <v>4.5</v>
      </c>
      <c r="T3785" s="8">
        <v>1.0001249999999999</v>
      </c>
      <c r="U3785" s="98">
        <v>4.5288484706591081</v>
      </c>
      <c r="V3785" s="106">
        <v>36444.269165598969</v>
      </c>
      <c r="W3785" s="10">
        <v>1.2474537664930674</v>
      </c>
      <c r="X3785" s="420"/>
      <c r="Y3785" s="420"/>
    </row>
    <row r="3786" spans="17:25">
      <c r="Q3786" s="6">
        <v>3756</v>
      </c>
      <c r="R3786" s="7">
        <v>46423</v>
      </c>
      <c r="S3786" s="210">
        <v>4.5</v>
      </c>
      <c r="T3786" s="8">
        <v>1.0001249999999999</v>
      </c>
      <c r="U3786" s="98">
        <v>4.5288854631756692</v>
      </c>
      <c r="V3786" s="106">
        <v>36447.403510271804</v>
      </c>
      <c r="W3786" s="10">
        <v>1.2475032243616901</v>
      </c>
      <c r="X3786" s="420"/>
      <c r="Y3786" s="420"/>
    </row>
    <row r="3787" spans="17:25">
      <c r="Q3787" s="6">
        <v>3757</v>
      </c>
      <c r="R3787" s="7">
        <v>46424</v>
      </c>
      <c r="S3787" s="210">
        <v>4.5</v>
      </c>
      <c r="T3787" s="8">
        <v>1.0001249999999999</v>
      </c>
      <c r="U3787" s="98">
        <v>4.5289224360127278</v>
      </c>
      <c r="V3787" s="106">
        <v>36450.538124510109</v>
      </c>
      <c r="W3787" s="10">
        <v>1.247552655926043</v>
      </c>
      <c r="X3787" s="420"/>
      <c r="Y3787" s="420"/>
    </row>
    <row r="3788" spans="17:25">
      <c r="Q3788" s="6">
        <v>3758</v>
      </c>
      <c r="R3788" s="7">
        <v>46425</v>
      </c>
      <c r="S3788" s="210">
        <v>4.5</v>
      </c>
      <c r="T3788" s="8">
        <v>1.0001249999999999</v>
      </c>
      <c r="U3788" s="98">
        <v>4.5289593891859825</v>
      </c>
      <c r="V3788" s="106">
        <v>36453.673008337064</v>
      </c>
      <c r="W3788" s="10">
        <v>1.2476020612071537</v>
      </c>
      <c r="X3788" s="420"/>
      <c r="Y3788" s="420"/>
    </row>
    <row r="3789" spans="17:25">
      <c r="Q3789" s="6">
        <v>3759</v>
      </c>
      <c r="R3789" s="7">
        <v>46426</v>
      </c>
      <c r="S3789" s="210">
        <v>4.5</v>
      </c>
      <c r="T3789" s="8">
        <v>1.0001249999999999</v>
      </c>
      <c r="U3789" s="98">
        <v>4.5289963227111096</v>
      </c>
      <c r="V3789" s="106">
        <v>36456.808161775851</v>
      </c>
      <c r="W3789" s="10">
        <v>1.2476514402259165</v>
      </c>
      <c r="X3789" s="420"/>
      <c r="Y3789" s="420"/>
    </row>
    <row r="3790" spans="17:25">
      <c r="Q3790" s="6">
        <v>3760</v>
      </c>
      <c r="R3790" s="7">
        <v>46427</v>
      </c>
      <c r="S3790" s="210">
        <v>4.5</v>
      </c>
      <c r="T3790" s="8">
        <v>1.0001249999999999</v>
      </c>
      <c r="U3790" s="98">
        <v>4.5290332366037855</v>
      </c>
      <c r="V3790" s="106">
        <v>36459.943584849672</v>
      </c>
      <c r="W3790" s="10">
        <v>1.2477007930033368</v>
      </c>
      <c r="X3790" s="420"/>
      <c r="Y3790" s="420"/>
    </row>
    <row r="3791" spans="17:25">
      <c r="Q3791" s="6">
        <v>3761</v>
      </c>
      <c r="R3791" s="7">
        <v>46428</v>
      </c>
      <c r="S3791" s="210">
        <v>4.5</v>
      </c>
      <c r="T3791" s="8">
        <v>1.0001249999999999</v>
      </c>
      <c r="U3791" s="98">
        <v>4.5290701308796644</v>
      </c>
      <c r="V3791" s="106">
        <v>36463.07927758171</v>
      </c>
      <c r="W3791" s="10">
        <v>1.2477501195602869</v>
      </c>
      <c r="X3791" s="420"/>
      <c r="Y3791" s="420"/>
    </row>
    <row r="3792" spans="17:25">
      <c r="Q3792" s="6">
        <v>3762</v>
      </c>
      <c r="R3792" s="7">
        <v>46429</v>
      </c>
      <c r="S3792" s="210">
        <v>4.5</v>
      </c>
      <c r="T3792" s="8">
        <v>1.0001249999999999</v>
      </c>
      <c r="U3792" s="98">
        <v>4.5291070055543781</v>
      </c>
      <c r="V3792" s="106">
        <v>36466.215239995152</v>
      </c>
      <c r="W3792" s="10">
        <v>1.2477994199176834</v>
      </c>
      <c r="X3792" s="420"/>
      <c r="Y3792" s="420"/>
    </row>
    <row r="3793" spans="17:25">
      <c r="Q3793" s="6">
        <v>3763</v>
      </c>
      <c r="R3793" s="7">
        <v>46430</v>
      </c>
      <c r="S3793" s="210">
        <v>4.5</v>
      </c>
      <c r="T3793" s="8">
        <v>1.0001249999999999</v>
      </c>
      <c r="U3793" s="98">
        <v>4.5291438606435364</v>
      </c>
      <c r="V3793" s="106">
        <v>36469.351472113194</v>
      </c>
      <c r="W3793" s="10">
        <v>1.2478486940963762</v>
      </c>
      <c r="X3793" s="420"/>
      <c r="Y3793" s="420"/>
    </row>
    <row r="3794" spans="17:25">
      <c r="Q3794" s="6">
        <v>3764</v>
      </c>
      <c r="R3794" s="7">
        <v>46431</v>
      </c>
      <c r="S3794" s="210">
        <v>4.5</v>
      </c>
      <c r="T3794" s="8">
        <v>1.0001249999999999</v>
      </c>
      <c r="U3794" s="98">
        <v>4.529180696162749</v>
      </c>
      <c r="V3794" s="106">
        <v>36472.487973959032</v>
      </c>
      <c r="W3794" s="10">
        <v>1.2478979421172154</v>
      </c>
      <c r="X3794" s="420"/>
      <c r="Y3794" s="420"/>
    </row>
    <row r="3795" spans="17:25">
      <c r="Q3795" s="6">
        <v>3765</v>
      </c>
      <c r="R3795" s="7">
        <v>46432</v>
      </c>
      <c r="S3795" s="210">
        <v>4.5</v>
      </c>
      <c r="T3795" s="8">
        <v>1.0001249999999999</v>
      </c>
      <c r="U3795" s="98">
        <v>4.5292175121275813</v>
      </c>
      <c r="V3795" s="106">
        <v>36475.62474555587</v>
      </c>
      <c r="W3795" s="10">
        <v>1.2479471640010287</v>
      </c>
      <c r="X3795" s="420"/>
      <c r="Y3795" s="420"/>
    </row>
    <row r="3796" spans="17:25">
      <c r="Q3796" s="6">
        <v>3766</v>
      </c>
      <c r="R3796" s="7">
        <v>46433</v>
      </c>
      <c r="S3796" s="210">
        <v>4.5</v>
      </c>
      <c r="T3796" s="8">
        <v>1.0001249999999999</v>
      </c>
      <c r="U3796" s="98">
        <v>4.5292543085536208</v>
      </c>
      <c r="V3796" s="106">
        <v>36478.761786926909</v>
      </c>
      <c r="W3796" s="10">
        <v>1.2479963597685995</v>
      </c>
      <c r="X3796" s="420"/>
      <c r="Y3796" s="420"/>
    </row>
    <row r="3797" spans="17:25">
      <c r="Q3797" s="6">
        <v>3767</v>
      </c>
      <c r="R3797" s="7">
        <v>46434</v>
      </c>
      <c r="S3797" s="210">
        <v>4.5</v>
      </c>
      <c r="T3797" s="8">
        <v>1.0001249999999999</v>
      </c>
      <c r="U3797" s="98">
        <v>4.5292910854563884</v>
      </c>
      <c r="V3797" s="106">
        <v>36481.899098095331</v>
      </c>
      <c r="W3797" s="10">
        <v>1.2480455294407111</v>
      </c>
      <c r="X3797" s="420"/>
      <c r="Y3797" s="420"/>
    </row>
    <row r="3798" spans="17:25">
      <c r="Q3798" s="6">
        <v>3768</v>
      </c>
      <c r="R3798" s="7">
        <v>46435</v>
      </c>
      <c r="S3798" s="210">
        <v>4.5</v>
      </c>
      <c r="T3798" s="8">
        <v>1.0001249999999999</v>
      </c>
      <c r="U3798" s="98">
        <v>4.5293278428514494</v>
      </c>
      <c r="V3798" s="106">
        <v>36485.036679084355</v>
      </c>
      <c r="W3798" s="10">
        <v>1.248094673038147</v>
      </c>
      <c r="X3798" s="420"/>
      <c r="Y3798" s="420"/>
    </row>
    <row r="3799" spans="17:25">
      <c r="Q3799" s="6">
        <v>3769</v>
      </c>
      <c r="R3799" s="7">
        <v>46436</v>
      </c>
      <c r="S3799" s="210">
        <v>4.5</v>
      </c>
      <c r="T3799" s="8">
        <v>1.0001249999999999</v>
      </c>
      <c r="U3799" s="98">
        <v>4.5293645807543026</v>
      </c>
      <c r="V3799" s="106">
        <v>36488.174529917189</v>
      </c>
      <c r="W3799" s="10">
        <v>1.2481437905816239</v>
      </c>
      <c r="X3799" s="420"/>
      <c r="Y3799" s="420"/>
    </row>
    <row r="3800" spans="17:25">
      <c r="Q3800" s="6">
        <v>3770</v>
      </c>
      <c r="R3800" s="7">
        <v>46437</v>
      </c>
      <c r="S3800" s="210">
        <v>4.5</v>
      </c>
      <c r="T3800" s="8">
        <v>1.0001249999999999</v>
      </c>
      <c r="U3800" s="98">
        <v>4.5294012991804466</v>
      </c>
      <c r="V3800" s="106">
        <v>36491.31265061703</v>
      </c>
      <c r="W3800" s="10">
        <v>1.2481928820918364</v>
      </c>
      <c r="X3800" s="420"/>
      <c r="Y3800" s="420"/>
    </row>
    <row r="3801" spans="17:25">
      <c r="Q3801" s="6">
        <v>3771</v>
      </c>
      <c r="R3801" s="7">
        <v>46438</v>
      </c>
      <c r="S3801" s="210">
        <v>4.5</v>
      </c>
      <c r="T3801" s="8">
        <v>1.0001249999999999</v>
      </c>
      <c r="U3801" s="98">
        <v>4.5294379981453803</v>
      </c>
      <c r="V3801" s="106">
        <v>36494.451041207096</v>
      </c>
      <c r="W3801" s="10">
        <v>1.2482419475895234</v>
      </c>
      <c r="X3801" s="420"/>
      <c r="Y3801" s="420"/>
    </row>
    <row r="3802" spans="17:25">
      <c r="Q3802" s="6">
        <v>3772</v>
      </c>
      <c r="R3802" s="7">
        <v>46439</v>
      </c>
      <c r="S3802" s="210">
        <v>4.5</v>
      </c>
      <c r="T3802" s="8">
        <v>1.0001249999999999</v>
      </c>
      <c r="U3802" s="98">
        <v>4.5294746776645578</v>
      </c>
      <c r="V3802" s="106">
        <v>36497.589701710589</v>
      </c>
      <c r="W3802" s="10">
        <v>1.2482909870953129</v>
      </c>
      <c r="X3802" s="420"/>
      <c r="Y3802" s="420"/>
    </row>
    <row r="3803" spans="17:25">
      <c r="Q3803" s="6">
        <v>3773</v>
      </c>
      <c r="R3803" s="7">
        <v>46440</v>
      </c>
      <c r="S3803" s="210">
        <v>4.5</v>
      </c>
      <c r="T3803" s="8">
        <v>1.0001249999999999</v>
      </c>
      <c r="U3803" s="98">
        <v>4.5295113377534335</v>
      </c>
      <c r="V3803" s="106">
        <v>36500.728632150734</v>
      </c>
      <c r="W3803" s="10">
        <v>1.2483400006298773</v>
      </c>
      <c r="X3803" s="420"/>
      <c r="Y3803" s="420"/>
    </row>
    <row r="3804" spans="17:25">
      <c r="Q3804" s="6">
        <v>3774</v>
      </c>
      <c r="R3804" s="7">
        <v>46441</v>
      </c>
      <c r="S3804" s="210">
        <v>4.5</v>
      </c>
      <c r="T3804" s="8">
        <v>1.0001249999999999</v>
      </c>
      <c r="U3804" s="98">
        <v>4.5295479784274617</v>
      </c>
      <c r="V3804" s="106">
        <v>36503.86783255075</v>
      </c>
      <c r="W3804" s="10">
        <v>1.2483889882138222</v>
      </c>
      <c r="X3804" s="420"/>
      <c r="Y3804" s="420"/>
    </row>
    <row r="3805" spans="17:25">
      <c r="Q3805" s="6">
        <v>3775</v>
      </c>
      <c r="R3805" s="7">
        <v>46442</v>
      </c>
      <c r="S3805" s="210">
        <v>4.5</v>
      </c>
      <c r="T3805" s="8">
        <v>1.0001249999999999</v>
      </c>
      <c r="U3805" s="98">
        <v>4.5295845997020301</v>
      </c>
      <c r="V3805" s="106">
        <v>36507.007302933838</v>
      </c>
      <c r="W3805" s="10">
        <v>1.2484379498677756</v>
      </c>
      <c r="X3805" s="420"/>
      <c r="Y3805" s="420"/>
    </row>
    <row r="3806" spans="17:25">
      <c r="Q3806" s="6">
        <v>3776</v>
      </c>
      <c r="R3806" s="7">
        <v>46443</v>
      </c>
      <c r="S3806" s="210">
        <v>4.5</v>
      </c>
      <c r="T3806" s="8">
        <v>1.0001249999999999</v>
      </c>
      <c r="U3806" s="98">
        <v>4.5296212015925708</v>
      </c>
      <c r="V3806" s="106">
        <v>36510.147043323224</v>
      </c>
      <c r="W3806" s="10">
        <v>1.2484868856122988</v>
      </c>
      <c r="X3806" s="420"/>
      <c r="Y3806" s="420"/>
    </row>
    <row r="3807" spans="17:25">
      <c r="Q3807" s="6">
        <v>3777</v>
      </c>
      <c r="R3807" s="7">
        <v>46444</v>
      </c>
      <c r="S3807" s="210">
        <v>4.5</v>
      </c>
      <c r="T3807" s="8">
        <v>1.0001249999999999</v>
      </c>
      <c r="U3807" s="98">
        <v>4.5296577841144492</v>
      </c>
      <c r="V3807" s="106">
        <v>36513.287053742133</v>
      </c>
      <c r="W3807" s="10">
        <v>1.2485357954679532</v>
      </c>
      <c r="X3807" s="420"/>
      <c r="Y3807" s="420"/>
    </row>
    <row r="3808" spans="17:25">
      <c r="Q3808" s="6">
        <v>3778</v>
      </c>
      <c r="R3808" s="7">
        <v>46445</v>
      </c>
      <c r="S3808" s="210">
        <v>4.5</v>
      </c>
      <c r="T3808" s="8">
        <v>1.0001249999999999</v>
      </c>
      <c r="U3808" s="98">
        <v>4.5296943472830531</v>
      </c>
      <c r="V3808" s="106">
        <v>36516.427334213789</v>
      </c>
      <c r="W3808" s="10">
        <v>1.2485846794553224</v>
      </c>
      <c r="X3808" s="420"/>
      <c r="Y3808" s="420"/>
    </row>
    <row r="3809" spans="17:25">
      <c r="Q3809" s="6">
        <v>3779</v>
      </c>
      <c r="R3809" s="7">
        <v>46446</v>
      </c>
      <c r="S3809" s="210">
        <v>4.5</v>
      </c>
      <c r="T3809" s="8">
        <v>1.0001249999999999</v>
      </c>
      <c r="U3809" s="98">
        <v>4.5297308911137257</v>
      </c>
      <c r="V3809" s="106">
        <v>36519.567884761418</v>
      </c>
      <c r="W3809" s="10">
        <v>1.2486335375948565</v>
      </c>
      <c r="X3809" s="420"/>
      <c r="Y3809" s="420"/>
    </row>
    <row r="3810" spans="17:25">
      <c r="Q3810" s="6">
        <v>3780</v>
      </c>
      <c r="R3810" s="7">
        <v>46447</v>
      </c>
      <c r="S3810" s="210">
        <v>4.5</v>
      </c>
      <c r="T3810" s="8">
        <v>1.0001249999999999</v>
      </c>
      <c r="U3810" s="98">
        <v>4.5297674156217882</v>
      </c>
      <c r="V3810" s="106">
        <v>36522.708705408237</v>
      </c>
      <c r="W3810" s="10">
        <v>1.2486823699070948</v>
      </c>
      <c r="X3810" s="420"/>
      <c r="Y3810" s="420"/>
    </row>
    <row r="3811" spans="17:25">
      <c r="Q3811" s="6">
        <v>3781</v>
      </c>
      <c r="R3811" s="7">
        <v>46448</v>
      </c>
      <c r="S3811" s="210">
        <v>4.5</v>
      </c>
      <c r="T3811" s="8">
        <v>1.0001249999999999</v>
      </c>
      <c r="U3811" s="98">
        <v>4.5298039208225838</v>
      </c>
      <c r="V3811" s="106">
        <v>36525.849796177492</v>
      </c>
      <c r="W3811" s="10">
        <v>1.2487311764124875</v>
      </c>
      <c r="X3811" s="420"/>
      <c r="Y3811" s="420"/>
    </row>
    <row r="3812" spans="17:25">
      <c r="Q3812" s="6">
        <v>3782</v>
      </c>
      <c r="R3812" s="7">
        <v>46449</v>
      </c>
      <c r="S3812" s="210">
        <v>4.5</v>
      </c>
      <c r="T3812" s="8">
        <v>1.0001249999999999</v>
      </c>
      <c r="U3812" s="98">
        <v>4.5298404067314113</v>
      </c>
      <c r="V3812" s="106">
        <v>36528.991157092409</v>
      </c>
      <c r="W3812" s="10">
        <v>1.2487799571315072</v>
      </c>
      <c r="X3812" s="420"/>
      <c r="Y3812" s="420"/>
    </row>
    <row r="3813" spans="17:25">
      <c r="Q3813" s="6">
        <v>3783</v>
      </c>
      <c r="R3813" s="7">
        <v>46450</v>
      </c>
      <c r="S3813" s="210">
        <v>4.5</v>
      </c>
      <c r="T3813" s="8">
        <v>1.0001249999999999</v>
      </c>
      <c r="U3813" s="98">
        <v>4.5298768733635697</v>
      </c>
      <c r="V3813" s="106">
        <v>36532.132788176204</v>
      </c>
      <c r="W3813" s="10">
        <v>1.248828712084582</v>
      </c>
      <c r="X3813" s="420"/>
      <c r="Y3813" s="420"/>
    </row>
    <row r="3814" spans="17:25">
      <c r="Q3814" s="6">
        <v>3784</v>
      </c>
      <c r="R3814" s="7">
        <v>46451</v>
      </c>
      <c r="S3814" s="210">
        <v>4.5</v>
      </c>
      <c r="T3814" s="8">
        <v>1.0001249999999999</v>
      </c>
      <c r="U3814" s="98">
        <v>4.5299133207343134</v>
      </c>
      <c r="V3814" s="106">
        <v>36535.274689452133</v>
      </c>
      <c r="W3814" s="10">
        <v>1.2488774412920955</v>
      </c>
      <c r="X3814" s="420"/>
      <c r="Y3814" s="420"/>
    </row>
    <row r="3815" spans="17:25">
      <c r="Q3815" s="6">
        <v>3785</v>
      </c>
      <c r="R3815" s="7">
        <v>46452</v>
      </c>
      <c r="S3815" s="210">
        <v>4.5</v>
      </c>
      <c r="T3815" s="8">
        <v>1.0001249999999999</v>
      </c>
      <c r="U3815" s="98">
        <v>4.5299497488588969</v>
      </c>
      <c r="V3815" s="106">
        <v>36538.416860943435</v>
      </c>
      <c r="W3815" s="10">
        <v>1.2489261447744315</v>
      </c>
      <c r="X3815" s="420"/>
      <c r="Y3815" s="420"/>
    </row>
    <row r="3816" spans="17:25">
      <c r="Q3816" s="6">
        <v>3786</v>
      </c>
      <c r="R3816" s="7">
        <v>46453</v>
      </c>
      <c r="S3816" s="210">
        <v>4.5</v>
      </c>
      <c r="T3816" s="8">
        <v>1.0001249999999999</v>
      </c>
      <c r="U3816" s="98">
        <v>4.5299861577525746</v>
      </c>
      <c r="V3816" s="106">
        <v>36541.55930267334</v>
      </c>
      <c r="W3816" s="10">
        <v>1.2489748225519959</v>
      </c>
      <c r="X3816" s="420"/>
      <c r="Y3816" s="420"/>
    </row>
    <row r="3817" spans="17:25">
      <c r="Q3817" s="6">
        <v>3787</v>
      </c>
      <c r="R3817" s="7">
        <v>46454</v>
      </c>
      <c r="S3817" s="210">
        <v>4.5</v>
      </c>
      <c r="T3817" s="8">
        <v>1.0001249999999999</v>
      </c>
      <c r="U3817" s="98">
        <v>4.5300225474305789</v>
      </c>
      <c r="V3817" s="106">
        <v>36544.70201466509</v>
      </c>
      <c r="W3817" s="10">
        <v>1.2490234746451279</v>
      </c>
      <c r="X3817" s="420"/>
      <c r="Y3817" s="420"/>
    </row>
    <row r="3818" spans="17:25">
      <c r="Q3818" s="6">
        <v>3788</v>
      </c>
      <c r="R3818" s="7">
        <v>46455</v>
      </c>
      <c r="S3818" s="210">
        <v>4.5</v>
      </c>
      <c r="T3818" s="8">
        <v>1.0001249999999999</v>
      </c>
      <c r="U3818" s="98">
        <v>4.5300589179080974</v>
      </c>
      <c r="V3818" s="106">
        <v>36547.844996941931</v>
      </c>
      <c r="W3818" s="10">
        <v>1.2490721010741446</v>
      </c>
      <c r="X3818" s="420"/>
      <c r="Y3818" s="420"/>
    </row>
    <row r="3819" spans="17:25">
      <c r="Q3819" s="6">
        <v>3789</v>
      </c>
      <c r="R3819" s="7">
        <v>46456</v>
      </c>
      <c r="S3819" s="210">
        <v>4.5</v>
      </c>
      <c r="T3819" s="8">
        <v>1.0001249999999999</v>
      </c>
      <c r="U3819" s="98">
        <v>4.5300952692003404</v>
      </c>
      <c r="V3819" s="106">
        <v>36550.988249527109</v>
      </c>
      <c r="W3819" s="10">
        <v>1.2491207018593187</v>
      </c>
      <c r="X3819" s="420"/>
      <c r="Y3819" s="420"/>
    </row>
    <row r="3820" spans="17:25">
      <c r="Q3820" s="6">
        <v>3790</v>
      </c>
      <c r="R3820" s="7">
        <v>46457</v>
      </c>
      <c r="S3820" s="210">
        <v>4.5</v>
      </c>
      <c r="T3820" s="8">
        <v>1.0001249999999999</v>
      </c>
      <c r="U3820" s="98">
        <v>4.5301316013224735</v>
      </c>
      <c r="V3820" s="106">
        <v>36554.131772443863</v>
      </c>
      <c r="W3820" s="10">
        <v>1.2491692770209673</v>
      </c>
      <c r="X3820" s="420"/>
      <c r="Y3820" s="420"/>
    </row>
    <row r="3821" spans="17:25">
      <c r="Q3821" s="6">
        <v>3791</v>
      </c>
      <c r="R3821" s="7">
        <v>46458</v>
      </c>
      <c r="S3821" s="210">
        <v>4.5</v>
      </c>
      <c r="T3821" s="8">
        <v>1.0001249999999999</v>
      </c>
      <c r="U3821" s="98">
        <v>4.5301679142896401</v>
      </c>
      <c r="V3821" s="106">
        <v>36557.275565715463</v>
      </c>
      <c r="W3821" s="10">
        <v>1.2492178265792964</v>
      </c>
      <c r="X3821" s="420"/>
      <c r="Y3821" s="420"/>
    </row>
    <row r="3822" spans="17:25">
      <c r="Q3822" s="6">
        <v>3792</v>
      </c>
      <c r="R3822" s="7">
        <v>46459</v>
      </c>
      <c r="S3822" s="210">
        <v>4.5</v>
      </c>
      <c r="T3822" s="8">
        <v>1.0001249999999999</v>
      </c>
      <c r="U3822" s="98">
        <v>4.5302042081170057</v>
      </c>
      <c r="V3822" s="106">
        <v>36560.41962936514</v>
      </c>
      <c r="W3822" s="10">
        <v>1.2492663505546009</v>
      </c>
      <c r="X3822" s="420"/>
      <c r="Y3822" s="420"/>
    </row>
    <row r="3823" spans="17:25">
      <c r="Q3823" s="6">
        <v>3793</v>
      </c>
      <c r="R3823" s="7">
        <v>46460</v>
      </c>
      <c r="S3823" s="210">
        <v>4.5</v>
      </c>
      <c r="T3823" s="8">
        <v>1.0001249999999999</v>
      </c>
      <c r="U3823" s="98">
        <v>4.530240482819714</v>
      </c>
      <c r="V3823" s="106">
        <v>36563.563963416156</v>
      </c>
      <c r="W3823" s="10">
        <v>1.2493148489670869</v>
      </c>
      <c r="X3823" s="420"/>
      <c r="Y3823" s="420"/>
    </row>
    <row r="3824" spans="17:25">
      <c r="Q3824" s="6">
        <v>3794</v>
      </c>
      <c r="R3824" s="7">
        <v>46461</v>
      </c>
      <c r="S3824" s="210">
        <v>4.5</v>
      </c>
      <c r="T3824" s="8">
        <v>1.0001249999999999</v>
      </c>
      <c r="U3824" s="98">
        <v>4.5302767384128417</v>
      </c>
      <c r="V3824" s="106">
        <v>36566.708567891772</v>
      </c>
      <c r="W3824" s="10">
        <v>1.249363321836916</v>
      </c>
      <c r="X3824" s="420"/>
      <c r="Y3824" s="420"/>
    </row>
    <row r="3825" spans="17:25">
      <c r="Q3825" s="6">
        <v>3795</v>
      </c>
      <c r="R3825" s="7">
        <v>46462</v>
      </c>
      <c r="S3825" s="210">
        <v>4.5</v>
      </c>
      <c r="T3825" s="8">
        <v>1.0001249999999999</v>
      </c>
      <c r="U3825" s="98">
        <v>4.5303129749115101</v>
      </c>
      <c r="V3825" s="106">
        <v>36569.853442815227</v>
      </c>
      <c r="W3825" s="10">
        <v>1.2494117691842943</v>
      </c>
      <c r="X3825" s="420"/>
      <c r="Y3825" s="420"/>
    </row>
    <row r="3826" spans="17:25">
      <c r="Q3826" s="6">
        <v>3796</v>
      </c>
      <c r="R3826" s="7">
        <v>46463</v>
      </c>
      <c r="S3826" s="210">
        <v>4.5</v>
      </c>
      <c r="T3826" s="8">
        <v>1.0001249999999999</v>
      </c>
      <c r="U3826" s="98">
        <v>4.5303491923307959</v>
      </c>
      <c r="V3826" s="106">
        <v>36572.998588209797</v>
      </c>
      <c r="W3826" s="10">
        <v>1.2494601910293834</v>
      </c>
      <c r="X3826" s="420"/>
      <c r="Y3826" s="420"/>
    </row>
    <row r="3827" spans="17:25">
      <c r="Q3827" s="6">
        <v>3797</v>
      </c>
      <c r="R3827" s="7">
        <v>46464</v>
      </c>
      <c r="S3827" s="210">
        <v>4.5</v>
      </c>
      <c r="T3827" s="8">
        <v>1.0001249999999999</v>
      </c>
      <c r="U3827" s="98">
        <v>4.5303853906857539</v>
      </c>
      <c r="V3827" s="106">
        <v>36576.144004098744</v>
      </c>
      <c r="W3827" s="10">
        <v>1.2495085873922562</v>
      </c>
      <c r="X3827" s="420"/>
      <c r="Y3827" s="420"/>
    </row>
    <row r="3828" spans="17:25">
      <c r="Q3828" s="6">
        <v>3798</v>
      </c>
      <c r="R3828" s="7">
        <v>46465</v>
      </c>
      <c r="S3828" s="210">
        <v>4.5</v>
      </c>
      <c r="T3828" s="8">
        <v>1.0001249999999999</v>
      </c>
      <c r="U3828" s="98">
        <v>4.5304215699914385</v>
      </c>
      <c r="V3828" s="106">
        <v>36579.289690505328</v>
      </c>
      <c r="W3828" s="10">
        <v>1.2495569582930743</v>
      </c>
      <c r="X3828" s="420"/>
      <c r="Y3828" s="420"/>
    </row>
    <row r="3829" spans="17:25">
      <c r="Q3829" s="6">
        <v>3799</v>
      </c>
      <c r="R3829" s="7">
        <v>46466</v>
      </c>
      <c r="S3829" s="210">
        <v>4.5</v>
      </c>
      <c r="T3829" s="8">
        <v>1.0001249999999999</v>
      </c>
      <c r="U3829" s="98">
        <v>4.5304577302628823</v>
      </c>
      <c r="V3829" s="106">
        <v>36582.43564745281</v>
      </c>
      <c r="W3829" s="10">
        <v>1.2496053037519328</v>
      </c>
      <c r="X3829" s="420"/>
      <c r="Y3829" s="420"/>
    </row>
    <row r="3830" spans="17:25">
      <c r="Q3830" s="6">
        <v>3800</v>
      </c>
      <c r="R3830" s="7">
        <v>46467</v>
      </c>
      <c r="S3830" s="210">
        <v>4.5</v>
      </c>
      <c r="T3830" s="8">
        <v>1.0001249999999999</v>
      </c>
      <c r="U3830" s="98">
        <v>4.5304938715150955</v>
      </c>
      <c r="V3830" s="106">
        <v>36585.58187496446</v>
      </c>
      <c r="W3830" s="10">
        <v>1.2496536237888378</v>
      </c>
      <c r="X3830" s="420"/>
      <c r="Y3830" s="420"/>
    </row>
    <row r="3831" spans="17:25">
      <c r="Q3831" s="6">
        <v>3801</v>
      </c>
      <c r="R3831" s="7">
        <v>46468</v>
      </c>
      <c r="S3831" s="210">
        <v>4.5</v>
      </c>
      <c r="T3831" s="8">
        <v>1.0001249999999999</v>
      </c>
      <c r="U3831" s="98">
        <v>4.5305299937630883</v>
      </c>
      <c r="V3831" s="106">
        <v>36588.728373063546</v>
      </c>
      <c r="W3831" s="10">
        <v>1.2497019184239067</v>
      </c>
      <c r="X3831" s="420"/>
      <c r="Y3831" s="420"/>
    </row>
    <row r="3832" spans="17:25">
      <c r="Q3832" s="6">
        <v>3802</v>
      </c>
      <c r="R3832" s="7">
        <v>46469</v>
      </c>
      <c r="S3832" s="210">
        <v>4.5</v>
      </c>
      <c r="T3832" s="8">
        <v>1.0001249999999999</v>
      </c>
      <c r="U3832" s="98">
        <v>4.5305660970218486</v>
      </c>
      <c r="V3832" s="106">
        <v>36591.875141773344</v>
      </c>
      <c r="W3832" s="10">
        <v>1.2497501876771233</v>
      </c>
      <c r="X3832" s="420"/>
      <c r="Y3832" s="420"/>
    </row>
    <row r="3833" spans="17:25">
      <c r="Q3833" s="6">
        <v>3803</v>
      </c>
      <c r="R3833" s="7">
        <v>46470</v>
      </c>
      <c r="S3833" s="210">
        <v>4.5</v>
      </c>
      <c r="T3833" s="8">
        <v>1.0001249999999999</v>
      </c>
      <c r="U3833" s="98">
        <v>4.5306021813063424</v>
      </c>
      <c r="V3833" s="106">
        <v>36595.022181117129</v>
      </c>
      <c r="W3833" s="10">
        <v>1.249798431568494</v>
      </c>
      <c r="X3833" s="420"/>
      <c r="Y3833" s="420"/>
    </row>
    <row r="3834" spans="17:25">
      <c r="Q3834" s="6">
        <v>3804</v>
      </c>
      <c r="R3834" s="7">
        <v>46471</v>
      </c>
      <c r="S3834" s="210">
        <v>4.5</v>
      </c>
      <c r="T3834" s="8">
        <v>1.0001249999999999</v>
      </c>
      <c r="U3834" s="98">
        <v>4.5306382466315354</v>
      </c>
      <c r="V3834" s="106">
        <v>36598.169491118169</v>
      </c>
      <c r="W3834" s="10">
        <v>1.2498466501180472</v>
      </c>
      <c r="X3834" s="420"/>
      <c r="Y3834" s="420"/>
    </row>
    <row r="3835" spans="17:25">
      <c r="Q3835" s="6">
        <v>3805</v>
      </c>
      <c r="R3835" s="7">
        <v>46472</v>
      </c>
      <c r="S3835" s="210">
        <v>4.5</v>
      </c>
      <c r="T3835" s="8">
        <v>1.0001249999999999</v>
      </c>
      <c r="U3835" s="98">
        <v>4.5306742930123489</v>
      </c>
      <c r="V3835" s="106">
        <v>36601.317071799749</v>
      </c>
      <c r="W3835" s="10">
        <v>1.249894843345678</v>
      </c>
      <c r="X3835" s="420"/>
      <c r="Y3835" s="420"/>
    </row>
    <row r="3836" spans="17:25">
      <c r="Q3836" s="6">
        <v>3806</v>
      </c>
      <c r="R3836" s="7">
        <v>46473</v>
      </c>
      <c r="S3836" s="210">
        <v>4.5</v>
      </c>
      <c r="T3836" s="8">
        <v>1.0001249999999999</v>
      </c>
      <c r="U3836" s="98">
        <v>4.5307103204637045</v>
      </c>
      <c r="V3836" s="106">
        <v>36604.464923185144</v>
      </c>
      <c r="W3836" s="10">
        <v>1.2499430112713705</v>
      </c>
      <c r="X3836" s="420"/>
      <c r="Y3836" s="420"/>
    </row>
    <row r="3837" spans="17:25">
      <c r="Q3837" s="6">
        <v>3807</v>
      </c>
      <c r="R3837" s="7">
        <v>46474</v>
      </c>
      <c r="S3837" s="210">
        <v>4.5</v>
      </c>
      <c r="T3837" s="8">
        <v>1.0001249999999999</v>
      </c>
      <c r="U3837" s="98">
        <v>4.5307463290005234</v>
      </c>
      <c r="V3837" s="106">
        <v>36607.613045297636</v>
      </c>
      <c r="W3837" s="10">
        <v>1.2499911539150421</v>
      </c>
      <c r="X3837" s="420"/>
      <c r="Y3837" s="420"/>
    </row>
    <row r="3838" spans="17:25">
      <c r="Q3838" s="6">
        <v>3808</v>
      </c>
      <c r="R3838" s="7">
        <v>46475</v>
      </c>
      <c r="S3838" s="210">
        <v>4.5</v>
      </c>
      <c r="T3838" s="8">
        <v>1.0001249999999999</v>
      </c>
      <c r="U3838" s="98">
        <v>4.5307823186376828</v>
      </c>
      <c r="V3838" s="106">
        <v>36610.761438160516</v>
      </c>
      <c r="W3838" s="10">
        <v>1.2500392712965658</v>
      </c>
      <c r="X3838" s="420"/>
      <c r="Y3838" s="420"/>
    </row>
    <row r="3839" spans="17:25">
      <c r="Q3839" s="6">
        <v>3809</v>
      </c>
      <c r="R3839" s="7">
        <v>46476</v>
      </c>
      <c r="S3839" s="210">
        <v>4.5</v>
      </c>
      <c r="T3839" s="8">
        <v>1.0001249999999999</v>
      </c>
      <c r="U3839" s="98">
        <v>4.5308182893900817</v>
      </c>
      <c r="V3839" s="106">
        <v>36613.910101797046</v>
      </c>
      <c r="W3839" s="10">
        <v>1.2500873634358811</v>
      </c>
      <c r="X3839" s="420"/>
      <c r="Y3839" s="420"/>
    </row>
    <row r="3840" spans="17:25">
      <c r="Q3840" s="6">
        <v>3810</v>
      </c>
      <c r="R3840" s="7">
        <v>46477</v>
      </c>
      <c r="S3840" s="210">
        <v>4.5</v>
      </c>
      <c r="T3840" s="8">
        <v>1.0001249999999999</v>
      </c>
      <c r="U3840" s="98">
        <v>4.5308542412725528</v>
      </c>
      <c r="V3840" s="106">
        <v>36617.059036230545</v>
      </c>
      <c r="W3840" s="10">
        <v>1.2501354303527723</v>
      </c>
      <c r="X3840" s="420"/>
      <c r="Y3840" s="420"/>
    </row>
    <row r="3841" spans="17:25">
      <c r="Q3841" s="6">
        <v>3811</v>
      </c>
      <c r="R3841" s="7">
        <v>46478</v>
      </c>
      <c r="S3841" s="210">
        <v>4.5</v>
      </c>
      <c r="T3841" s="8">
        <v>1.0001249999999999</v>
      </c>
      <c r="U3841" s="98">
        <v>4.5308901742999508</v>
      </c>
      <c r="V3841" s="106">
        <v>36620.208241484281</v>
      </c>
      <c r="W3841" s="10">
        <v>1.2501834720670901</v>
      </c>
      <c r="X3841" s="420"/>
      <c r="Y3841" s="420"/>
    </row>
    <row r="3842" spans="17:25">
      <c r="Q3842" s="6">
        <v>3812</v>
      </c>
      <c r="R3842" s="7">
        <v>46479</v>
      </c>
      <c r="S3842" s="210">
        <v>4.5</v>
      </c>
      <c r="T3842" s="8">
        <v>1.0001249999999999</v>
      </c>
      <c r="U3842" s="98">
        <v>4.5309260884871083</v>
      </c>
      <c r="V3842" s="106">
        <v>36623.357717581559</v>
      </c>
      <c r="W3842" s="10">
        <v>1.2502314885986854</v>
      </c>
      <c r="X3842" s="420"/>
      <c r="Y3842" s="420"/>
    </row>
    <row r="3843" spans="17:25">
      <c r="Q3843" s="6">
        <v>3813</v>
      </c>
      <c r="R3843" s="7">
        <v>46480</v>
      </c>
      <c r="S3843" s="210">
        <v>4.5</v>
      </c>
      <c r="T3843" s="8">
        <v>1.0001249999999999</v>
      </c>
      <c r="U3843" s="98">
        <v>4.5309619838488358</v>
      </c>
      <c r="V3843" s="106">
        <v>36626.507464545663</v>
      </c>
      <c r="W3843" s="10">
        <v>1.2502794799673422</v>
      </c>
      <c r="X3843" s="420"/>
      <c r="Y3843" s="420"/>
    </row>
    <row r="3844" spans="17:25">
      <c r="Q3844" s="6">
        <v>3814</v>
      </c>
      <c r="R3844" s="7">
        <v>46481</v>
      </c>
      <c r="S3844" s="210">
        <v>4.5</v>
      </c>
      <c r="T3844" s="8">
        <v>1.0001249999999999</v>
      </c>
      <c r="U3844" s="98">
        <v>4.5309978603999435</v>
      </c>
      <c r="V3844" s="106">
        <v>36629.657482399896</v>
      </c>
      <c r="W3844" s="10">
        <v>1.2503274461928449</v>
      </c>
      <c r="X3844" s="420"/>
      <c r="Y3844" s="420"/>
    </row>
    <row r="3845" spans="17:25">
      <c r="Q3845" s="6">
        <v>3815</v>
      </c>
      <c r="R3845" s="7">
        <v>46482</v>
      </c>
      <c r="S3845" s="210">
        <v>4.5</v>
      </c>
      <c r="T3845" s="8">
        <v>1.0001249999999999</v>
      </c>
      <c r="U3845" s="98">
        <v>4.5310337181551974</v>
      </c>
      <c r="V3845" s="106">
        <v>36632.807771167536</v>
      </c>
      <c r="W3845" s="10">
        <v>1.250375387294933</v>
      </c>
      <c r="X3845" s="420"/>
      <c r="Y3845" s="420"/>
    </row>
    <row r="3846" spans="17:25">
      <c r="Q3846" s="6">
        <v>3816</v>
      </c>
      <c r="R3846" s="7">
        <v>46483</v>
      </c>
      <c r="S3846" s="210">
        <v>4.5</v>
      </c>
      <c r="T3846" s="8">
        <v>1.0001249999999999</v>
      </c>
      <c r="U3846" s="98">
        <v>4.5310695571293635</v>
      </c>
      <c r="V3846" s="106">
        <v>36635.958330871916</v>
      </c>
      <c r="W3846" s="10">
        <v>1.2504233032933021</v>
      </c>
      <c r="X3846" s="420"/>
      <c r="Y3846" s="420"/>
    </row>
    <row r="3847" spans="17:25">
      <c r="Q3847" s="6">
        <v>3817</v>
      </c>
      <c r="R3847" s="7">
        <v>46484</v>
      </c>
      <c r="S3847" s="210">
        <v>4.5</v>
      </c>
      <c r="T3847" s="8">
        <v>1.0001249999999999</v>
      </c>
      <c r="U3847" s="98">
        <v>4.5311053773372079</v>
      </c>
      <c r="V3847" s="106">
        <v>36639.109161536311</v>
      </c>
      <c r="W3847" s="10">
        <v>1.2504711942077362</v>
      </c>
      <c r="X3847" s="420"/>
      <c r="Y3847" s="420"/>
    </row>
    <row r="3848" spans="17:25">
      <c r="Q3848" s="6">
        <v>3818</v>
      </c>
      <c r="R3848" s="7">
        <v>46485</v>
      </c>
      <c r="S3848" s="210">
        <v>4.5</v>
      </c>
      <c r="T3848" s="8">
        <v>1.0001249999999999</v>
      </c>
      <c r="U3848" s="98">
        <v>4.5311411787934519</v>
      </c>
      <c r="V3848" s="106">
        <v>36642.260263184035</v>
      </c>
      <c r="W3848" s="10">
        <v>1.2505190600578864</v>
      </c>
      <c r="X3848" s="420"/>
      <c r="Y3848" s="420"/>
    </row>
    <row r="3849" spans="17:25">
      <c r="Q3849" s="6">
        <v>3819</v>
      </c>
      <c r="R3849" s="7">
        <v>46486</v>
      </c>
      <c r="S3849" s="210">
        <v>4.5</v>
      </c>
      <c r="T3849" s="8">
        <v>1.0001249999999999</v>
      </c>
      <c r="U3849" s="98">
        <v>4.5311769615128172</v>
      </c>
      <c r="V3849" s="106">
        <v>36645.411635838391</v>
      </c>
      <c r="W3849" s="10">
        <v>1.2505669008634257</v>
      </c>
      <c r="X3849" s="420"/>
      <c r="Y3849" s="420"/>
    </row>
    <row r="3850" spans="17:25">
      <c r="Q3850" s="6">
        <v>3820</v>
      </c>
      <c r="R3850" s="7">
        <v>46487</v>
      </c>
      <c r="S3850" s="210">
        <v>4.5</v>
      </c>
      <c r="T3850" s="8">
        <v>1.0001249999999999</v>
      </c>
      <c r="U3850" s="98">
        <v>4.5312127255100254</v>
      </c>
      <c r="V3850" s="106">
        <v>36648.563279522685</v>
      </c>
      <c r="W3850" s="10">
        <v>1.2506147166440051</v>
      </c>
      <c r="X3850" s="420"/>
      <c r="Y3850" s="420"/>
    </row>
    <row r="3851" spans="17:25">
      <c r="Q3851" s="6">
        <v>3821</v>
      </c>
      <c r="R3851" s="7">
        <v>46488</v>
      </c>
      <c r="S3851" s="210">
        <v>4.5</v>
      </c>
      <c r="T3851" s="8">
        <v>1.0001249999999999</v>
      </c>
      <c r="U3851" s="98">
        <v>4.5312484707997536</v>
      </c>
      <c r="V3851" s="106">
        <v>36651.715194260229</v>
      </c>
      <c r="W3851" s="10">
        <v>1.2506625074192756</v>
      </c>
      <c r="X3851" s="420"/>
      <c r="Y3851" s="420"/>
    </row>
    <row r="3852" spans="17:25">
      <c r="Q3852" s="6">
        <v>3822</v>
      </c>
      <c r="R3852" s="7">
        <v>46489</v>
      </c>
      <c r="S3852" s="210">
        <v>4.5</v>
      </c>
      <c r="T3852" s="8">
        <v>1.0001249999999999</v>
      </c>
      <c r="U3852" s="98">
        <v>4.5312841973966789</v>
      </c>
      <c r="V3852" s="106">
        <v>36654.867380074335</v>
      </c>
      <c r="W3852" s="10">
        <v>1.2507102732088216</v>
      </c>
      <c r="X3852" s="420"/>
      <c r="Y3852" s="420"/>
    </row>
    <row r="3853" spans="17:25">
      <c r="Q3853" s="6">
        <v>3823</v>
      </c>
      <c r="R3853" s="7">
        <v>46490</v>
      </c>
      <c r="S3853" s="210">
        <v>4.5</v>
      </c>
      <c r="T3853" s="8">
        <v>1.0001249999999999</v>
      </c>
      <c r="U3853" s="98">
        <v>4.5313199053154563</v>
      </c>
      <c r="V3853" s="106">
        <v>36658.019836988315</v>
      </c>
      <c r="W3853" s="10">
        <v>1.2507580140322494</v>
      </c>
      <c r="X3853" s="420"/>
      <c r="Y3853" s="420"/>
    </row>
    <row r="3854" spans="17:25">
      <c r="Q3854" s="6">
        <v>3824</v>
      </c>
      <c r="R3854" s="7">
        <v>46491</v>
      </c>
      <c r="S3854" s="210">
        <v>4.5</v>
      </c>
      <c r="T3854" s="8">
        <v>1.0001249999999999</v>
      </c>
      <c r="U3854" s="98">
        <v>4.5313555945707185</v>
      </c>
      <c r="V3854" s="106">
        <v>36661.172565025488</v>
      </c>
      <c r="W3854" s="10">
        <v>1.2508057299090991</v>
      </c>
      <c r="X3854" s="420"/>
      <c r="Y3854" s="420"/>
    </row>
    <row r="3855" spans="17:25">
      <c r="Q3855" s="6">
        <v>3825</v>
      </c>
      <c r="R3855" s="7">
        <v>46492</v>
      </c>
      <c r="S3855" s="210">
        <v>4.5</v>
      </c>
      <c r="T3855" s="8">
        <v>1.0001249999999999</v>
      </c>
      <c r="U3855" s="98">
        <v>4.5313912651771204</v>
      </c>
      <c r="V3855" s="106">
        <v>36664.325564209175</v>
      </c>
      <c r="W3855" s="10">
        <v>1.250853420858955</v>
      </c>
      <c r="X3855" s="420"/>
      <c r="Y3855" s="420"/>
    </row>
    <row r="3856" spans="17:25">
      <c r="Q3856" s="6">
        <v>3826</v>
      </c>
      <c r="R3856" s="7">
        <v>46493</v>
      </c>
      <c r="S3856" s="210">
        <v>4.5</v>
      </c>
      <c r="T3856" s="8">
        <v>1.0001249999999999</v>
      </c>
      <c r="U3856" s="98">
        <v>4.5314269171492505</v>
      </c>
      <c r="V3856" s="106">
        <v>36667.478834562673</v>
      </c>
      <c r="W3856" s="10">
        <v>1.2509010869013126</v>
      </c>
      <c r="X3856" s="420"/>
      <c r="Y3856" s="420"/>
    </row>
    <row r="3857" spans="17:25">
      <c r="Q3857" s="6">
        <v>3827</v>
      </c>
      <c r="R3857" s="7">
        <v>46494</v>
      </c>
      <c r="S3857" s="210">
        <v>4.5</v>
      </c>
      <c r="T3857" s="8">
        <v>1.0001249999999999</v>
      </c>
      <c r="U3857" s="98">
        <v>4.5314625505017192</v>
      </c>
      <c r="V3857" s="106">
        <v>36670.632376109337</v>
      </c>
      <c r="W3857" s="10">
        <v>1.2509487280556897</v>
      </c>
      <c r="X3857" s="420"/>
      <c r="Y3857" s="420"/>
    </row>
    <row r="3858" spans="17:25">
      <c r="Q3858" s="6">
        <v>3828</v>
      </c>
      <c r="R3858" s="7">
        <v>46495</v>
      </c>
      <c r="S3858" s="210">
        <v>4.5</v>
      </c>
      <c r="T3858" s="8">
        <v>1.0001249999999999</v>
      </c>
      <c r="U3858" s="98">
        <v>4.5314981652491149</v>
      </c>
      <c r="V3858" s="106">
        <v>36673.786188872466</v>
      </c>
      <c r="W3858" s="10">
        <v>1.2509963443416039</v>
      </c>
      <c r="X3858" s="420"/>
      <c r="Y3858" s="420"/>
    </row>
    <row r="3859" spans="17:25">
      <c r="Q3859" s="6">
        <v>3829</v>
      </c>
      <c r="R3859" s="7">
        <v>46496</v>
      </c>
      <c r="S3859" s="210">
        <v>4.5</v>
      </c>
      <c r="T3859" s="8">
        <v>1.0001249999999999</v>
      </c>
      <c r="U3859" s="98">
        <v>4.5315337614060036</v>
      </c>
      <c r="V3859" s="106">
        <v>36676.940272875392</v>
      </c>
      <c r="W3859" s="10">
        <v>1.2510439357785064</v>
      </c>
      <c r="X3859" s="420"/>
      <c r="Y3859" s="420"/>
    </row>
    <row r="3860" spans="17:25">
      <c r="Q3860" s="6">
        <v>3830</v>
      </c>
      <c r="R3860" s="7">
        <v>46497</v>
      </c>
      <c r="S3860" s="210">
        <v>4.5</v>
      </c>
      <c r="T3860" s="8">
        <v>1.0001249999999999</v>
      </c>
      <c r="U3860" s="98">
        <v>4.5315693389869294</v>
      </c>
      <c r="V3860" s="106">
        <v>36680.094628141451</v>
      </c>
      <c r="W3860" s="10">
        <v>1.251091502385826</v>
      </c>
      <c r="X3860" s="420"/>
      <c r="Y3860" s="420"/>
    </row>
    <row r="3861" spans="17:25">
      <c r="Q3861" s="6">
        <v>3831</v>
      </c>
      <c r="R3861" s="7">
        <v>46498</v>
      </c>
      <c r="S3861" s="210">
        <v>4.5</v>
      </c>
      <c r="T3861" s="8">
        <v>1.0001249999999999</v>
      </c>
      <c r="U3861" s="98">
        <v>4.5316048980064361</v>
      </c>
      <c r="V3861" s="106">
        <v>36683.249254693968</v>
      </c>
      <c r="W3861" s="10">
        <v>1.2511390441829917</v>
      </c>
      <c r="X3861" s="420"/>
      <c r="Y3861" s="420"/>
    </row>
    <row r="3862" spans="17:25">
      <c r="Q3862" s="6">
        <v>3832</v>
      </c>
      <c r="R3862" s="7">
        <v>46499</v>
      </c>
      <c r="S3862" s="210">
        <v>4.5</v>
      </c>
      <c r="T3862" s="8">
        <v>1.0001249999999999</v>
      </c>
      <c r="U3862" s="98">
        <v>4.5316404384790454</v>
      </c>
      <c r="V3862" s="106">
        <v>36686.404152556264</v>
      </c>
      <c r="W3862" s="10">
        <v>1.2511865611894324</v>
      </c>
      <c r="X3862" s="420"/>
      <c r="Y3862" s="420"/>
    </row>
    <row r="3863" spans="17:25">
      <c r="Q3863" s="6">
        <v>3833</v>
      </c>
      <c r="R3863" s="7">
        <v>46500</v>
      </c>
      <c r="S3863" s="210">
        <v>4.5</v>
      </c>
      <c r="T3863" s="8">
        <v>1.0001249999999999</v>
      </c>
      <c r="U3863" s="98">
        <v>4.5316759604192569</v>
      </c>
      <c r="V3863" s="106">
        <v>36689.55932175168</v>
      </c>
      <c r="W3863" s="10">
        <v>1.2512340534244881</v>
      </c>
      <c r="X3863" s="420"/>
      <c r="Y3863" s="420"/>
    </row>
    <row r="3864" spans="17:25">
      <c r="Q3864" s="6">
        <v>3834</v>
      </c>
      <c r="R3864" s="7">
        <v>46501</v>
      </c>
      <c r="S3864" s="210">
        <v>4.5</v>
      </c>
      <c r="T3864" s="8">
        <v>1.0001249999999999</v>
      </c>
      <c r="U3864" s="98">
        <v>4.5317114638415701</v>
      </c>
      <c r="V3864" s="106">
        <v>36692.714762303563</v>
      </c>
      <c r="W3864" s="10">
        <v>1.2512815209075878</v>
      </c>
      <c r="X3864" s="420"/>
      <c r="Y3864" s="420"/>
    </row>
    <row r="3865" spans="17:25">
      <c r="Q3865" s="6">
        <v>3835</v>
      </c>
      <c r="R3865" s="7">
        <v>46502</v>
      </c>
      <c r="S3865" s="210">
        <v>4.5</v>
      </c>
      <c r="T3865" s="8">
        <v>1.0001249999999999</v>
      </c>
      <c r="U3865" s="98">
        <v>4.5317469487604622</v>
      </c>
      <c r="V3865" s="106">
        <v>36695.870474235235</v>
      </c>
      <c r="W3865" s="10">
        <v>1.2513289636580271</v>
      </c>
      <c r="X3865" s="420"/>
      <c r="Y3865" s="420"/>
    </row>
    <row r="3866" spans="17:25">
      <c r="Q3866" s="6">
        <v>3836</v>
      </c>
      <c r="R3866" s="7">
        <v>46503</v>
      </c>
      <c r="S3866" s="210">
        <v>4.5</v>
      </c>
      <c r="T3866" s="8">
        <v>1.0001249999999999</v>
      </c>
      <c r="U3866" s="98">
        <v>4.5317824151903885</v>
      </c>
      <c r="V3866" s="106">
        <v>36699.026457570042</v>
      </c>
      <c r="W3866" s="10">
        <v>1.2513763816951684</v>
      </c>
      <c r="X3866" s="420"/>
      <c r="Y3866" s="420"/>
    </row>
    <row r="3867" spans="17:25">
      <c r="Q3867" s="6">
        <v>3837</v>
      </c>
      <c r="R3867" s="7">
        <v>46504</v>
      </c>
      <c r="S3867" s="210">
        <v>4.5</v>
      </c>
      <c r="T3867" s="8">
        <v>1.0001249999999999</v>
      </c>
      <c r="U3867" s="98">
        <v>4.5318178631457817</v>
      </c>
      <c r="V3867" s="106">
        <v>36702.182712331327</v>
      </c>
      <c r="W3867" s="10">
        <v>1.2514237750382629</v>
      </c>
      <c r="X3867" s="420"/>
      <c r="Y3867" s="420"/>
    </row>
    <row r="3868" spans="17:25">
      <c r="Q3868" s="6">
        <v>3838</v>
      </c>
      <c r="R3868" s="7">
        <v>46505</v>
      </c>
      <c r="S3868" s="210">
        <v>4.5</v>
      </c>
      <c r="T3868" s="8">
        <v>1.0001249999999999</v>
      </c>
      <c r="U3868" s="98">
        <v>4.531853292641097</v>
      </c>
      <c r="V3868" s="106">
        <v>36705.33923854243</v>
      </c>
      <c r="W3868" s="10">
        <v>1.2514711437066284</v>
      </c>
      <c r="X3868" s="420"/>
      <c r="Y3868" s="420"/>
    </row>
    <row r="3869" spans="17:25">
      <c r="Q3869" s="6">
        <v>3839</v>
      </c>
      <c r="R3869" s="7">
        <v>46506</v>
      </c>
      <c r="S3869" s="210">
        <v>4.5</v>
      </c>
      <c r="T3869" s="8">
        <v>1.0001249999999999</v>
      </c>
      <c r="U3869" s="98">
        <v>4.5318887036907451</v>
      </c>
      <c r="V3869" s="106">
        <v>36708.496036226694</v>
      </c>
      <c r="W3869" s="10">
        <v>1.2515184877195384</v>
      </c>
      <c r="X3869" s="420"/>
      <c r="Y3869" s="420"/>
    </row>
    <row r="3870" spans="17:25">
      <c r="Q3870" s="6">
        <v>3840</v>
      </c>
      <c r="R3870" s="7">
        <v>46507</v>
      </c>
      <c r="S3870" s="210">
        <v>4.5</v>
      </c>
      <c r="T3870" s="8">
        <v>1.0001249999999999</v>
      </c>
      <c r="U3870" s="98">
        <v>4.5319240963091145</v>
      </c>
      <c r="V3870" s="106">
        <v>36711.65310540748</v>
      </c>
      <c r="W3870" s="10">
        <v>1.2515658070962221</v>
      </c>
      <c r="X3870" s="420"/>
      <c r="Y3870" s="420"/>
    </row>
    <row r="3871" spans="17:25">
      <c r="Q3871" s="6">
        <v>3841</v>
      </c>
      <c r="R3871" s="7">
        <v>46508</v>
      </c>
      <c r="S3871" s="210">
        <v>4.5</v>
      </c>
      <c r="T3871" s="8">
        <v>1.0001249999999999</v>
      </c>
      <c r="U3871" s="98">
        <v>4.5319594705106159</v>
      </c>
      <c r="V3871" s="106">
        <v>36714.810446108124</v>
      </c>
      <c r="W3871" s="10">
        <v>1.2516131018559307</v>
      </c>
      <c r="X3871" s="420"/>
      <c r="Y3871" s="420"/>
    </row>
    <row r="3872" spans="17:25">
      <c r="Q3872" s="6">
        <v>3842</v>
      </c>
      <c r="R3872" s="7">
        <v>46509</v>
      </c>
      <c r="S3872" s="210">
        <v>4.5</v>
      </c>
      <c r="T3872" s="8">
        <v>1.0001249999999999</v>
      </c>
      <c r="U3872" s="98">
        <v>4.5319948263095933</v>
      </c>
      <c r="V3872" s="106">
        <v>36717.96805835198</v>
      </c>
      <c r="W3872" s="10">
        <v>1.2516603720178265</v>
      </c>
      <c r="X3872" s="420"/>
      <c r="Y3872" s="420"/>
    </row>
    <row r="3873" spans="17:25">
      <c r="Q3873" s="6">
        <v>3843</v>
      </c>
      <c r="R3873" s="7">
        <v>46510</v>
      </c>
      <c r="S3873" s="210">
        <v>4.5</v>
      </c>
      <c r="T3873" s="8">
        <v>1.0001249999999999</v>
      </c>
      <c r="U3873" s="98">
        <v>4.532030163720413</v>
      </c>
      <c r="V3873" s="106">
        <v>36721.125942162405</v>
      </c>
      <c r="W3873" s="10">
        <v>1.2517076176011388</v>
      </c>
      <c r="X3873" s="420"/>
      <c r="Y3873" s="420"/>
    </row>
    <row r="3874" spans="17:25">
      <c r="Q3874" s="6">
        <v>3844</v>
      </c>
      <c r="R3874" s="7">
        <v>46511</v>
      </c>
      <c r="S3874" s="210">
        <v>4.5</v>
      </c>
      <c r="T3874" s="8">
        <v>1.0001249999999999</v>
      </c>
      <c r="U3874" s="98">
        <v>4.5320654827574414</v>
      </c>
      <c r="V3874" s="106">
        <v>36724.284097562762</v>
      </c>
      <c r="W3874" s="10">
        <v>1.2517548386250077</v>
      </c>
      <c r="X3874" s="420"/>
      <c r="Y3874" s="420"/>
    </row>
    <row r="3875" spans="17:25">
      <c r="Q3875" s="6">
        <v>3845</v>
      </c>
      <c r="R3875" s="7">
        <v>46512</v>
      </c>
      <c r="S3875" s="210">
        <v>4.5</v>
      </c>
      <c r="T3875" s="8">
        <v>1.0001249999999999</v>
      </c>
      <c r="U3875" s="98">
        <v>4.532100783434978</v>
      </c>
      <c r="V3875" s="106">
        <v>36727.442524576392</v>
      </c>
      <c r="W3875" s="10">
        <v>1.2518020351085735</v>
      </c>
      <c r="X3875" s="420"/>
      <c r="Y3875" s="420"/>
    </row>
    <row r="3876" spans="17:25">
      <c r="Q3876" s="6">
        <v>3846</v>
      </c>
      <c r="R3876" s="7">
        <v>46513</v>
      </c>
      <c r="S3876" s="210">
        <v>4.5</v>
      </c>
      <c r="T3876" s="8">
        <v>1.0001249999999999</v>
      </c>
      <c r="U3876" s="98">
        <v>4.5321360657673226</v>
      </c>
      <c r="V3876" s="106">
        <v>36730.601223226666</v>
      </c>
      <c r="W3876" s="10">
        <v>1.2518492070709542</v>
      </c>
      <c r="X3876" s="420"/>
      <c r="Y3876" s="420"/>
    </row>
    <row r="3877" spans="17:25">
      <c r="Q3877" s="6">
        <v>3847</v>
      </c>
      <c r="R3877" s="7">
        <v>46514</v>
      </c>
      <c r="S3877" s="210">
        <v>4.5</v>
      </c>
      <c r="T3877" s="8">
        <v>1.0001249999999999</v>
      </c>
      <c r="U3877" s="98">
        <v>4.5321713297687971</v>
      </c>
      <c r="V3877" s="106">
        <v>36733.760193536953</v>
      </c>
      <c r="W3877" s="10">
        <v>1.2518963545312678</v>
      </c>
      <c r="X3877" s="420"/>
      <c r="Y3877" s="420"/>
    </row>
    <row r="3878" spans="17:25">
      <c r="Q3878" s="6">
        <v>3848</v>
      </c>
      <c r="R3878" s="7">
        <v>46515</v>
      </c>
      <c r="S3878" s="210">
        <v>4.5</v>
      </c>
      <c r="T3878" s="8">
        <v>1.0001249999999999</v>
      </c>
      <c r="U3878" s="98">
        <v>4.5322065754536789</v>
      </c>
      <c r="V3878" s="106">
        <v>36736.919435530595</v>
      </c>
      <c r="W3878" s="10">
        <v>1.2519434775086324</v>
      </c>
      <c r="X3878" s="420"/>
      <c r="Y3878" s="420"/>
    </row>
    <row r="3879" spans="17:25">
      <c r="Q3879" s="6">
        <v>3849</v>
      </c>
      <c r="R3879" s="7">
        <v>46516</v>
      </c>
      <c r="S3879" s="210">
        <v>4.5</v>
      </c>
      <c r="T3879" s="8">
        <v>1.0001249999999999</v>
      </c>
      <c r="U3879" s="98">
        <v>4.5322418028362232</v>
      </c>
      <c r="V3879" s="106">
        <v>36740.07894923097</v>
      </c>
      <c r="W3879" s="10">
        <v>1.2519905760220551</v>
      </c>
      <c r="X3879" s="420"/>
      <c r="Y3879" s="420"/>
    </row>
    <row r="3880" spans="17:25">
      <c r="Q3880" s="6">
        <v>3850</v>
      </c>
      <c r="R3880" s="7">
        <v>46517</v>
      </c>
      <c r="S3880" s="210">
        <v>4.5</v>
      </c>
      <c r="T3880" s="8">
        <v>1.0001249999999999</v>
      </c>
      <c r="U3880" s="98">
        <v>4.5322770119307076</v>
      </c>
      <c r="V3880" s="106">
        <v>36743.238734661449</v>
      </c>
      <c r="W3880" s="10">
        <v>1.2520376500906316</v>
      </c>
      <c r="X3880" s="420"/>
      <c r="Y3880" s="420"/>
    </row>
    <row r="3881" spans="17:25">
      <c r="Q3881" s="6">
        <v>3851</v>
      </c>
      <c r="R3881" s="7">
        <v>46518</v>
      </c>
      <c r="S3881" s="210">
        <v>4.5</v>
      </c>
      <c r="T3881" s="8">
        <v>1.0001249999999999</v>
      </c>
      <c r="U3881" s="98">
        <v>4.5323122027513429</v>
      </c>
      <c r="V3881" s="106">
        <v>36746.3987918454</v>
      </c>
      <c r="W3881" s="10">
        <v>1.2520846997333468</v>
      </c>
      <c r="X3881" s="420"/>
      <c r="Y3881" s="420"/>
    </row>
    <row r="3882" spans="17:25">
      <c r="Q3882" s="6">
        <v>3852</v>
      </c>
      <c r="R3882" s="7">
        <v>46519</v>
      </c>
      <c r="S3882" s="210">
        <v>4.5</v>
      </c>
      <c r="T3882" s="8">
        <v>1.0001249999999999</v>
      </c>
      <c r="U3882" s="98">
        <v>4.5323473753123622</v>
      </c>
      <c r="V3882" s="106">
        <v>36749.559120806196</v>
      </c>
      <c r="W3882" s="10">
        <v>1.2521317249692299</v>
      </c>
      <c r="X3882" s="420"/>
      <c r="Y3882" s="420"/>
    </row>
    <row r="3883" spans="17:25">
      <c r="Q3883" s="6">
        <v>3853</v>
      </c>
      <c r="R3883" s="7">
        <v>46520</v>
      </c>
      <c r="S3883" s="210">
        <v>4.5</v>
      </c>
      <c r="T3883" s="8">
        <v>1.0001249999999999</v>
      </c>
      <c r="U3883" s="98">
        <v>4.5323825296279763</v>
      </c>
      <c r="V3883" s="106">
        <v>36752.719721567199</v>
      </c>
      <c r="W3883" s="10">
        <v>1.2521787258172656</v>
      </c>
      <c r="X3883" s="420"/>
      <c r="Y3883" s="420"/>
    </row>
    <row r="3884" spans="17:25">
      <c r="Q3884" s="6">
        <v>3854</v>
      </c>
      <c r="R3884" s="7">
        <v>46521</v>
      </c>
      <c r="S3884" s="210">
        <v>4.5</v>
      </c>
      <c r="T3884" s="8">
        <v>1.0001249999999999</v>
      </c>
      <c r="U3884" s="98">
        <v>4.5324176657123738</v>
      </c>
      <c r="V3884" s="106">
        <v>36755.880594151808</v>
      </c>
      <c r="W3884" s="10">
        <v>1.2522257022964167</v>
      </c>
      <c r="X3884" s="420"/>
      <c r="Y3884" s="420"/>
    </row>
    <row r="3885" spans="17:25">
      <c r="Q3885" s="6">
        <v>3855</v>
      </c>
      <c r="R3885" s="7">
        <v>46522</v>
      </c>
      <c r="S3885" s="210">
        <v>4.5</v>
      </c>
      <c r="T3885" s="8">
        <v>1.0001249999999999</v>
      </c>
      <c r="U3885" s="98">
        <v>4.5324527835797435</v>
      </c>
      <c r="V3885" s="106">
        <v>36759.041738583379</v>
      </c>
      <c r="W3885" s="10">
        <v>1.2522726544256457</v>
      </c>
      <c r="X3885" s="420"/>
      <c r="Y3885" s="420"/>
    </row>
    <row r="3886" spans="17:25">
      <c r="Q3886" s="6">
        <v>3856</v>
      </c>
      <c r="R3886" s="7">
        <v>46523</v>
      </c>
      <c r="S3886" s="210">
        <v>4.5</v>
      </c>
      <c r="T3886" s="8">
        <v>1.0001249999999999</v>
      </c>
      <c r="U3886" s="98">
        <v>4.5324878832442295</v>
      </c>
      <c r="V3886" s="106">
        <v>36762.203154885297</v>
      </c>
      <c r="W3886" s="10">
        <v>1.2523195822238486</v>
      </c>
      <c r="X3886" s="420"/>
      <c r="Y3886" s="420"/>
    </row>
    <row r="3887" spans="17:25">
      <c r="Q3887" s="6">
        <v>3857</v>
      </c>
      <c r="R3887" s="7">
        <v>46524</v>
      </c>
      <c r="S3887" s="210">
        <v>4.5</v>
      </c>
      <c r="T3887" s="8">
        <v>1.0001249999999999</v>
      </c>
      <c r="U3887" s="98">
        <v>4.5325229647199983</v>
      </c>
      <c r="V3887" s="106">
        <v>36765.364843080955</v>
      </c>
      <c r="W3887" s="10">
        <v>1.2523664857099659</v>
      </c>
      <c r="X3887" s="420"/>
      <c r="Y3887" s="420"/>
    </row>
    <row r="3888" spans="17:25">
      <c r="Q3888" s="6">
        <v>3858</v>
      </c>
      <c r="R3888" s="7">
        <v>46525</v>
      </c>
      <c r="S3888" s="210">
        <v>4.5</v>
      </c>
      <c r="T3888" s="8">
        <v>1.0001249999999999</v>
      </c>
      <c r="U3888" s="98">
        <v>4.5325580280211719</v>
      </c>
      <c r="V3888" s="106">
        <v>36768.526803193723</v>
      </c>
      <c r="W3888" s="10">
        <v>1.2524133649028713</v>
      </c>
      <c r="X3888" s="420"/>
      <c r="Y3888" s="420"/>
    </row>
    <row r="3889" spans="17:25">
      <c r="Q3889" s="6">
        <v>3859</v>
      </c>
      <c r="R3889" s="7">
        <v>46526</v>
      </c>
      <c r="S3889" s="210">
        <v>4.5</v>
      </c>
      <c r="T3889" s="8">
        <v>1.0001249999999999</v>
      </c>
      <c r="U3889" s="98">
        <v>4.5325930731618724</v>
      </c>
      <c r="V3889" s="106">
        <v>36771.689035246993</v>
      </c>
      <c r="W3889" s="10">
        <v>1.2524602198213941</v>
      </c>
      <c r="X3889" s="420"/>
      <c r="Y3889" s="420"/>
    </row>
    <row r="3890" spans="17:25">
      <c r="Q3890" s="6">
        <v>3860</v>
      </c>
      <c r="R3890" s="7">
        <v>46527</v>
      </c>
      <c r="S3890" s="210">
        <v>4.5</v>
      </c>
      <c r="T3890" s="8">
        <v>1.0001249999999999</v>
      </c>
      <c r="U3890" s="98">
        <v>4.5326281001562219</v>
      </c>
      <c r="V3890" s="106">
        <v>36774.851539264157</v>
      </c>
      <c r="W3890" s="10">
        <v>1.2525070504844749</v>
      </c>
      <c r="X3890" s="420"/>
      <c r="Y3890" s="420"/>
    </row>
    <row r="3891" spans="17:25">
      <c r="Q3891" s="6">
        <v>3861</v>
      </c>
      <c r="R3891" s="7">
        <v>46528</v>
      </c>
      <c r="S3891" s="210">
        <v>4.5</v>
      </c>
      <c r="T3891" s="8">
        <v>1.0001249999999999</v>
      </c>
      <c r="U3891" s="98">
        <v>4.5326631090182978</v>
      </c>
      <c r="V3891" s="106">
        <v>36778.014315268592</v>
      </c>
      <c r="W3891" s="10">
        <v>1.2525538569108763</v>
      </c>
      <c r="X3891" s="420"/>
      <c r="Y3891" s="420"/>
    </row>
    <row r="3892" spans="17:25">
      <c r="Q3892" s="6">
        <v>3862</v>
      </c>
      <c r="R3892" s="7">
        <v>46529</v>
      </c>
      <c r="S3892" s="210">
        <v>4.5</v>
      </c>
      <c r="T3892" s="8">
        <v>1.0001249999999999</v>
      </c>
      <c r="U3892" s="98">
        <v>4.532698099762178</v>
      </c>
      <c r="V3892" s="106">
        <v>36781.177363283707</v>
      </c>
      <c r="W3892" s="10">
        <v>1.2526006391194056</v>
      </c>
      <c r="X3892" s="420"/>
      <c r="Y3892" s="420"/>
    </row>
    <row r="3893" spans="17:25">
      <c r="Q3893" s="6">
        <v>3863</v>
      </c>
      <c r="R3893" s="7">
        <v>46530</v>
      </c>
      <c r="S3893" s="210">
        <v>4.5</v>
      </c>
      <c r="T3893" s="8">
        <v>1.0001249999999999</v>
      </c>
      <c r="U3893" s="98">
        <v>4.5327330724019177</v>
      </c>
      <c r="V3893" s="106">
        <v>36784.340683332877</v>
      </c>
      <c r="W3893" s="10">
        <v>1.2526473971288921</v>
      </c>
      <c r="X3893" s="420"/>
      <c r="Y3893" s="420"/>
    </row>
    <row r="3894" spans="17:25">
      <c r="Q3894" s="6">
        <v>3864</v>
      </c>
      <c r="R3894" s="7">
        <v>46531</v>
      </c>
      <c r="S3894" s="210">
        <v>4.5</v>
      </c>
      <c r="T3894" s="8">
        <v>1.0001249999999999</v>
      </c>
      <c r="U3894" s="98">
        <v>4.5327680269515724</v>
      </c>
      <c r="V3894" s="106">
        <v>36787.504275439511</v>
      </c>
      <c r="W3894" s="10">
        <v>1.2526941309580764</v>
      </c>
      <c r="X3894" s="420"/>
      <c r="Y3894" s="420"/>
    </row>
    <row r="3895" spans="17:25">
      <c r="Q3895" s="6">
        <v>3865</v>
      </c>
      <c r="R3895" s="7">
        <v>46532</v>
      </c>
      <c r="S3895" s="210">
        <v>4.5</v>
      </c>
      <c r="T3895" s="8">
        <v>1.0001249999999999</v>
      </c>
      <c r="U3895" s="98">
        <v>4.5328029634251532</v>
      </c>
      <c r="V3895" s="106">
        <v>36790.668139627007</v>
      </c>
      <c r="W3895" s="10">
        <v>1.2527408406257212</v>
      </c>
      <c r="X3895" s="420"/>
      <c r="Y3895" s="420"/>
    </row>
    <row r="3896" spans="17:25">
      <c r="Q3896" s="6">
        <v>3866</v>
      </c>
      <c r="R3896" s="7">
        <v>46533</v>
      </c>
      <c r="S3896" s="210">
        <v>4.5</v>
      </c>
      <c r="T3896" s="8">
        <v>1.0001249999999999</v>
      </c>
      <c r="U3896" s="98">
        <v>4.5328378818366932</v>
      </c>
      <c r="V3896" s="106">
        <v>36793.832275918765</v>
      </c>
      <c r="W3896" s="10">
        <v>1.252787526150545</v>
      </c>
      <c r="X3896" s="420"/>
      <c r="Y3896" s="420"/>
    </row>
    <row r="3897" spans="17:25">
      <c r="Q3897" s="6">
        <v>3867</v>
      </c>
      <c r="R3897" s="7">
        <v>46534</v>
      </c>
      <c r="S3897" s="210">
        <v>4.5</v>
      </c>
      <c r="T3897" s="8">
        <v>1.0001249999999999</v>
      </c>
      <c r="U3897" s="98">
        <v>4.5328727822002035</v>
      </c>
      <c r="V3897" s="106">
        <v>36796.996684338177</v>
      </c>
      <c r="W3897" s="10">
        <v>1.2528341875512661</v>
      </c>
      <c r="X3897" s="420"/>
      <c r="Y3897" s="420"/>
    </row>
    <row r="3898" spans="17:25">
      <c r="Q3898" s="6">
        <v>3868</v>
      </c>
      <c r="R3898" s="7">
        <v>46535</v>
      </c>
      <c r="S3898" s="210">
        <v>4.5</v>
      </c>
      <c r="T3898" s="8">
        <v>1.0001249999999999</v>
      </c>
      <c r="U3898" s="98">
        <v>4.5329076645296729</v>
      </c>
      <c r="V3898" s="106">
        <v>36800.161364908665</v>
      </c>
      <c r="W3898" s="10">
        <v>1.2528808248466028</v>
      </c>
      <c r="X3898" s="420"/>
      <c r="Y3898" s="420"/>
    </row>
    <row r="3899" spans="17:25">
      <c r="Q3899" s="6">
        <v>3869</v>
      </c>
      <c r="R3899" s="7">
        <v>46536</v>
      </c>
      <c r="S3899" s="210">
        <v>4.5</v>
      </c>
      <c r="T3899" s="8">
        <v>1.0001249999999999</v>
      </c>
      <c r="U3899" s="98">
        <v>4.5329425288390679</v>
      </c>
      <c r="V3899" s="106">
        <v>36803.326317653613</v>
      </c>
      <c r="W3899" s="10">
        <v>1.2529274380552069</v>
      </c>
      <c r="X3899" s="420"/>
      <c r="Y3899" s="420"/>
    </row>
    <row r="3900" spans="17:25">
      <c r="Q3900" s="6">
        <v>3870</v>
      </c>
      <c r="R3900" s="7">
        <v>46537</v>
      </c>
      <c r="S3900" s="210">
        <v>4.5</v>
      </c>
      <c r="T3900" s="8">
        <v>1.0001249999999999</v>
      </c>
      <c r="U3900" s="98">
        <v>4.5329773751423552</v>
      </c>
      <c r="V3900" s="106">
        <v>36806.49154259645</v>
      </c>
      <c r="W3900" s="10">
        <v>1.2529740271957523</v>
      </c>
      <c r="X3900" s="420"/>
      <c r="Y3900" s="420"/>
    </row>
    <row r="3901" spans="17:25">
      <c r="Q3901" s="6">
        <v>3871</v>
      </c>
      <c r="R3901" s="7">
        <v>46538</v>
      </c>
      <c r="S3901" s="210">
        <v>4.5</v>
      </c>
      <c r="T3901" s="8">
        <v>1.0001249999999999</v>
      </c>
      <c r="U3901" s="98">
        <v>4.5330122034534792</v>
      </c>
      <c r="V3901" s="106">
        <v>36809.657039760568</v>
      </c>
      <c r="W3901" s="10">
        <v>1.2530205922868687</v>
      </c>
      <c r="X3901" s="420"/>
      <c r="Y3901" s="420"/>
    </row>
    <row r="3902" spans="17:25">
      <c r="Q3902" s="6">
        <v>3872</v>
      </c>
      <c r="R3902" s="7">
        <v>46539</v>
      </c>
      <c r="S3902" s="210">
        <v>4.5</v>
      </c>
      <c r="T3902" s="8">
        <v>1.0001249999999999</v>
      </c>
      <c r="U3902" s="98">
        <v>4.5330470137863621</v>
      </c>
      <c r="V3902" s="106">
        <v>36812.822809169389</v>
      </c>
      <c r="W3902" s="10">
        <v>1.253067133347141</v>
      </c>
      <c r="X3902" s="420"/>
      <c r="Y3902" s="420"/>
    </row>
    <row r="3903" spans="17:25">
      <c r="Q3903" s="6">
        <v>3873</v>
      </c>
      <c r="R3903" s="7">
        <v>46540</v>
      </c>
      <c r="S3903" s="210">
        <v>4.5</v>
      </c>
      <c r="T3903" s="8">
        <v>1.0001249999999999</v>
      </c>
      <c r="U3903" s="98">
        <v>4.5330818061549261</v>
      </c>
      <c r="V3903" s="106">
        <v>36815.988850846326</v>
      </c>
      <c r="W3903" s="10">
        <v>1.2531136503952212</v>
      </c>
      <c r="X3903" s="420"/>
      <c r="Y3903" s="420"/>
    </row>
    <row r="3904" spans="17:25">
      <c r="Q3904" s="6">
        <v>3874</v>
      </c>
      <c r="R3904" s="7">
        <v>46541</v>
      </c>
      <c r="S3904" s="210">
        <v>4.5</v>
      </c>
      <c r="T3904" s="8">
        <v>1.0001249999999999</v>
      </c>
      <c r="U3904" s="98">
        <v>4.5331165805730711</v>
      </c>
      <c r="V3904" s="106">
        <v>36819.155164814802</v>
      </c>
      <c r="W3904" s="10">
        <v>1.2531601434496276</v>
      </c>
      <c r="X3904" s="420"/>
      <c r="Y3904" s="420"/>
    </row>
    <row r="3905" spans="17:25">
      <c r="Q3905" s="6">
        <v>3875</v>
      </c>
      <c r="R3905" s="7">
        <v>46542</v>
      </c>
      <c r="S3905" s="210">
        <v>4.5</v>
      </c>
      <c r="T3905" s="8">
        <v>1.0001249999999999</v>
      </c>
      <c r="U3905" s="98">
        <v>4.5331513370546972</v>
      </c>
      <c r="V3905" s="106">
        <v>36822.321751098214</v>
      </c>
      <c r="W3905" s="10">
        <v>1.2532066125289676</v>
      </c>
      <c r="X3905" s="420"/>
      <c r="Y3905" s="420"/>
    </row>
    <row r="3906" spans="17:25">
      <c r="Q3906" s="6">
        <v>3876</v>
      </c>
      <c r="R3906" s="7">
        <v>46543</v>
      </c>
      <c r="S3906" s="210">
        <v>4.5</v>
      </c>
      <c r="T3906" s="8">
        <v>1.0001249999999999</v>
      </c>
      <c r="U3906" s="98">
        <v>4.5331860756136599</v>
      </c>
      <c r="V3906" s="106">
        <v>36825.488609720007</v>
      </c>
      <c r="W3906" s="10">
        <v>1.2532530576517598</v>
      </c>
      <c r="X3906" s="420"/>
      <c r="Y3906" s="420"/>
    </row>
    <row r="3907" spans="17:25">
      <c r="Q3907" s="6">
        <v>3877</v>
      </c>
      <c r="R3907" s="7">
        <v>46544</v>
      </c>
      <c r="S3907" s="210">
        <v>4.5</v>
      </c>
      <c r="T3907" s="8">
        <v>1.0001249999999999</v>
      </c>
      <c r="U3907" s="98">
        <v>4.5332207962638371</v>
      </c>
      <c r="V3907" s="106">
        <v>36828.65574070358</v>
      </c>
      <c r="W3907" s="10">
        <v>1.2532994788365448</v>
      </c>
      <c r="X3907" s="420"/>
      <c r="Y3907" s="420"/>
    </row>
    <row r="3908" spans="17:25">
      <c r="Q3908" s="6">
        <v>3878</v>
      </c>
      <c r="R3908" s="7">
        <v>46545</v>
      </c>
      <c r="S3908" s="210">
        <v>4.5</v>
      </c>
      <c r="T3908" s="8">
        <v>1.0001249999999999</v>
      </c>
      <c r="U3908" s="98">
        <v>4.5332554990190621</v>
      </c>
      <c r="V3908" s="106">
        <v>36831.823144072383</v>
      </c>
      <c r="W3908" s="10">
        <v>1.2533458761017968</v>
      </c>
      <c r="X3908" s="420"/>
      <c r="Y3908" s="420"/>
    </row>
    <row r="3909" spans="17:25">
      <c r="Q3909" s="6">
        <v>3879</v>
      </c>
      <c r="R3909" s="7">
        <v>46546</v>
      </c>
      <c r="S3909" s="210">
        <v>4.5</v>
      </c>
      <c r="T3909" s="8">
        <v>1.0001249999999999</v>
      </c>
      <c r="U3909" s="98">
        <v>4.5332901838931683</v>
      </c>
      <c r="V3909" s="106">
        <v>36834.990819849823</v>
      </c>
      <c r="W3909" s="10">
        <v>1.2533922494660121</v>
      </c>
      <c r="X3909" s="420"/>
      <c r="Y3909" s="420"/>
    </row>
    <row r="3910" spans="17:25">
      <c r="Q3910" s="6">
        <v>3880</v>
      </c>
      <c r="R3910" s="7">
        <v>46547</v>
      </c>
      <c r="S3910" s="210">
        <v>4.5</v>
      </c>
      <c r="T3910" s="8">
        <v>1.0001249999999999</v>
      </c>
      <c r="U3910" s="98">
        <v>4.5333248508999668</v>
      </c>
      <c r="V3910" s="106">
        <v>36838.158768059329</v>
      </c>
      <c r="W3910" s="10">
        <v>1.2534385989476426</v>
      </c>
      <c r="X3910" s="420"/>
      <c r="Y3910" s="420"/>
    </row>
    <row r="3911" spans="17:25">
      <c r="Q3911" s="6">
        <v>3881</v>
      </c>
      <c r="R3911" s="7">
        <v>46548</v>
      </c>
      <c r="S3911" s="210">
        <v>4.5</v>
      </c>
      <c r="T3911" s="8">
        <v>1.0001249999999999</v>
      </c>
      <c r="U3911" s="98">
        <v>4.5333595000532689</v>
      </c>
      <c r="V3911" s="106">
        <v>36841.326988724337</v>
      </c>
      <c r="W3911" s="10">
        <v>1.2534849245651625</v>
      </c>
      <c r="X3911" s="420"/>
      <c r="Y3911" s="420"/>
    </row>
    <row r="3912" spans="17:25">
      <c r="Q3912" s="6">
        <v>3882</v>
      </c>
      <c r="R3912" s="7">
        <v>46549</v>
      </c>
      <c r="S3912" s="210">
        <v>4.5</v>
      </c>
      <c r="T3912" s="8">
        <v>1.0001249999999999</v>
      </c>
      <c r="U3912" s="98">
        <v>4.5333941313668635</v>
      </c>
      <c r="V3912" s="106">
        <v>36844.495481868282</v>
      </c>
      <c r="W3912" s="10">
        <v>1.2535312263369569</v>
      </c>
      <c r="X3912" s="420"/>
      <c r="Y3912" s="420"/>
    </row>
    <row r="3913" spans="17:25">
      <c r="Q3913" s="6">
        <v>3883</v>
      </c>
      <c r="R3913" s="7">
        <v>46550</v>
      </c>
      <c r="S3913" s="210">
        <v>4.5</v>
      </c>
      <c r="T3913" s="8">
        <v>1.0001249999999999</v>
      </c>
      <c r="U3913" s="98">
        <v>4.5334287448545174</v>
      </c>
      <c r="V3913" s="106">
        <v>36847.664247514593</v>
      </c>
      <c r="W3913" s="10">
        <v>1.2535775042814779</v>
      </c>
      <c r="X3913" s="420"/>
      <c r="Y3913" s="420"/>
    </row>
    <row r="3914" spans="17:25">
      <c r="Q3914" s="6">
        <v>3884</v>
      </c>
      <c r="R3914" s="7">
        <v>46551</v>
      </c>
      <c r="S3914" s="210">
        <v>4.5</v>
      </c>
      <c r="T3914" s="8">
        <v>1.0001249999999999</v>
      </c>
      <c r="U3914" s="98">
        <v>4.5334633405299973</v>
      </c>
      <c r="V3914" s="106">
        <v>36850.833285686705</v>
      </c>
      <c r="W3914" s="10">
        <v>1.2536237584170662</v>
      </c>
      <c r="X3914" s="420"/>
      <c r="Y3914" s="420"/>
    </row>
    <row r="3915" spans="17:25">
      <c r="Q3915" s="6">
        <v>3885</v>
      </c>
      <c r="R3915" s="7">
        <v>46552</v>
      </c>
      <c r="S3915" s="210">
        <v>4.5</v>
      </c>
      <c r="T3915" s="8">
        <v>1.0001249999999999</v>
      </c>
      <c r="U3915" s="98">
        <v>4.5334979184070479</v>
      </c>
      <c r="V3915" s="106">
        <v>36854.002596408056</v>
      </c>
      <c r="W3915" s="10">
        <v>1.2536699887621294</v>
      </c>
      <c r="X3915" s="420"/>
      <c r="Y3915" s="420"/>
    </row>
    <row r="3916" spans="17:25">
      <c r="Q3916" s="6">
        <v>3886</v>
      </c>
      <c r="R3916" s="7">
        <v>46553</v>
      </c>
      <c r="S3916" s="210">
        <v>4.5</v>
      </c>
      <c r="T3916" s="8">
        <v>1.0001249999999999</v>
      </c>
      <c r="U3916" s="98">
        <v>4.5335324784993913</v>
      </c>
      <c r="V3916" s="106">
        <v>36857.172179702087</v>
      </c>
      <c r="W3916" s="10">
        <v>1.2537161953350084</v>
      </c>
      <c r="X3916" s="420"/>
      <c r="Y3916" s="420"/>
    </row>
    <row r="3917" spans="17:25">
      <c r="Q3917" s="6">
        <v>3887</v>
      </c>
      <c r="R3917" s="7">
        <v>46554</v>
      </c>
      <c r="S3917" s="210">
        <v>4.5</v>
      </c>
      <c r="T3917" s="8">
        <v>1.0001249999999999</v>
      </c>
      <c r="U3917" s="98">
        <v>4.5335670208207723</v>
      </c>
      <c r="V3917" s="106">
        <v>36860.34203559225</v>
      </c>
      <c r="W3917" s="10">
        <v>1.2537623781540219</v>
      </c>
      <c r="X3917" s="420"/>
      <c r="Y3917" s="420"/>
    </row>
    <row r="3918" spans="17:25">
      <c r="Q3918" s="6">
        <v>3888</v>
      </c>
      <c r="R3918" s="7">
        <v>46555</v>
      </c>
      <c r="S3918" s="210">
        <v>4.5</v>
      </c>
      <c r="T3918" s="8">
        <v>1.0001249999999999</v>
      </c>
      <c r="U3918" s="98">
        <v>4.5336015453848688</v>
      </c>
      <c r="V3918" s="106">
        <v>36863.512164101972</v>
      </c>
      <c r="W3918" s="10">
        <v>1.2538085372375107</v>
      </c>
      <c r="X3918" s="420"/>
      <c r="Y3918" s="420"/>
    </row>
    <row r="3919" spans="17:25">
      <c r="Q3919" s="6">
        <v>3889</v>
      </c>
      <c r="R3919" s="7">
        <v>46556</v>
      </c>
      <c r="S3919" s="210">
        <v>4.5</v>
      </c>
      <c r="T3919" s="8">
        <v>1.0001249999999999</v>
      </c>
      <c r="U3919" s="98">
        <v>4.5336360522053809</v>
      </c>
      <c r="V3919" s="106">
        <v>36866.682565254712</v>
      </c>
      <c r="W3919" s="10">
        <v>1.253854672603727</v>
      </c>
      <c r="X3919" s="420"/>
      <c r="Y3919" s="420"/>
    </row>
    <row r="3920" spans="17:25">
      <c r="Q3920" s="6">
        <v>3890</v>
      </c>
      <c r="R3920" s="7">
        <v>46557</v>
      </c>
      <c r="S3920" s="210">
        <v>4.5</v>
      </c>
      <c r="T3920" s="8">
        <v>1.0001249999999999</v>
      </c>
      <c r="U3920" s="98">
        <v>4.5336705412959644</v>
      </c>
      <c r="V3920" s="106">
        <v>36869.85323907392</v>
      </c>
      <c r="W3920" s="10">
        <v>1.2539007842709671</v>
      </c>
      <c r="X3920" s="420"/>
      <c r="Y3920" s="420"/>
    </row>
    <row r="3921" spans="17:25">
      <c r="Q3921" s="6">
        <v>3891</v>
      </c>
      <c r="R3921" s="7">
        <v>46558</v>
      </c>
      <c r="S3921" s="210">
        <v>4.5</v>
      </c>
      <c r="T3921" s="8">
        <v>1.0001249999999999</v>
      </c>
      <c r="U3921" s="98">
        <v>4.5337050126702971</v>
      </c>
      <c r="V3921" s="106">
        <v>36873.024185583039</v>
      </c>
      <c r="W3921" s="10">
        <v>1.2539468722574831</v>
      </c>
      <c r="X3921" s="420"/>
      <c r="Y3921" s="420"/>
    </row>
    <row r="3922" spans="17:25">
      <c r="Q3922" s="6">
        <v>3892</v>
      </c>
      <c r="R3922" s="7">
        <v>46559</v>
      </c>
      <c r="S3922" s="210">
        <v>4.5</v>
      </c>
      <c r="T3922" s="8">
        <v>1.0001249999999999</v>
      </c>
      <c r="U3922" s="98">
        <v>4.533739466342035</v>
      </c>
      <c r="V3922" s="106">
        <v>36876.19540480552</v>
      </c>
      <c r="W3922" s="10">
        <v>1.2539929365815272</v>
      </c>
      <c r="X3922" s="420"/>
      <c r="Y3922" s="420"/>
    </row>
    <row r="3923" spans="17:25">
      <c r="Q3923" s="6">
        <v>3893</v>
      </c>
      <c r="R3923" s="7">
        <v>46560</v>
      </c>
      <c r="S3923" s="210">
        <v>4.5</v>
      </c>
      <c r="T3923" s="8">
        <v>1.0001249999999999</v>
      </c>
      <c r="U3923" s="98">
        <v>4.5337739023247892</v>
      </c>
      <c r="V3923" s="106">
        <v>36879.366896764826</v>
      </c>
      <c r="W3923" s="10">
        <v>1.2540389772612848</v>
      </c>
      <c r="X3923" s="420"/>
      <c r="Y3923" s="420"/>
    </row>
    <row r="3924" spans="17:25">
      <c r="Q3924" s="6">
        <v>3894</v>
      </c>
      <c r="R3924" s="7">
        <v>46561</v>
      </c>
      <c r="S3924" s="210">
        <v>4.5</v>
      </c>
      <c r="T3924" s="8">
        <v>1.0001249999999999</v>
      </c>
      <c r="U3924" s="98">
        <v>4.5338083206321933</v>
      </c>
      <c r="V3924" s="106">
        <v>36882.538661484403</v>
      </c>
      <c r="W3924" s="10">
        <v>1.2540849943149857</v>
      </c>
      <c r="X3924" s="420"/>
      <c r="Y3924" s="420"/>
    </row>
    <row r="3925" spans="17:25">
      <c r="Q3925" s="6">
        <v>3895</v>
      </c>
      <c r="R3925" s="7">
        <v>46562</v>
      </c>
      <c r="S3925" s="210">
        <v>4.5</v>
      </c>
      <c r="T3925" s="8">
        <v>1.0001249999999999</v>
      </c>
      <c r="U3925" s="98">
        <v>4.5338427212778587</v>
      </c>
      <c r="V3925" s="106">
        <v>36885.710698987714</v>
      </c>
      <c r="W3925" s="10">
        <v>1.2541309877608153</v>
      </c>
      <c r="X3925" s="420"/>
      <c r="Y3925" s="420"/>
    </row>
    <row r="3926" spans="17:25">
      <c r="Q3926" s="6">
        <v>3896</v>
      </c>
      <c r="R3926" s="7">
        <v>46563</v>
      </c>
      <c r="S3926" s="210">
        <v>4.5</v>
      </c>
      <c r="T3926" s="8">
        <v>1.0001249999999999</v>
      </c>
      <c r="U3926" s="98">
        <v>4.5338771042753523</v>
      </c>
      <c r="V3926" s="106">
        <v>36888.883009298224</v>
      </c>
      <c r="W3926" s="10">
        <v>1.2541769576169148</v>
      </c>
      <c r="X3926" s="420"/>
      <c r="Y3926" s="420"/>
    </row>
    <row r="3927" spans="17:25">
      <c r="Q3927" s="6">
        <v>3897</v>
      </c>
      <c r="R3927" s="7">
        <v>46564</v>
      </c>
      <c r="S3927" s="210">
        <v>4.5</v>
      </c>
      <c r="T3927" s="8">
        <v>1.0001249999999999</v>
      </c>
      <c r="U3927" s="98">
        <v>4.5339114696382632</v>
      </c>
      <c r="V3927" s="106">
        <v>36892.055592439392</v>
      </c>
      <c r="W3927" s="10">
        <v>1.254222903901403</v>
      </c>
      <c r="X3927" s="420"/>
      <c r="Y3927" s="420"/>
    </row>
    <row r="3928" spans="17:25">
      <c r="Q3928" s="6">
        <v>3898</v>
      </c>
      <c r="R3928" s="7">
        <v>46565</v>
      </c>
      <c r="S3928" s="210">
        <v>4.5</v>
      </c>
      <c r="T3928" s="8">
        <v>1.0001249999999999</v>
      </c>
      <c r="U3928" s="98">
        <v>4.5339458173801805</v>
      </c>
      <c r="V3928" s="106">
        <v>36895.228448434682</v>
      </c>
      <c r="W3928" s="10">
        <v>1.2542688266324875</v>
      </c>
      <c r="X3928" s="420"/>
      <c r="Y3928" s="420"/>
    </row>
    <row r="3929" spans="17:25">
      <c r="Q3929" s="6">
        <v>3899</v>
      </c>
      <c r="R3929" s="7">
        <v>46566</v>
      </c>
      <c r="S3929" s="210">
        <v>4.5</v>
      </c>
      <c r="T3929" s="8">
        <v>1.0001249999999999</v>
      </c>
      <c r="U3929" s="98">
        <v>4.5339801475146269</v>
      </c>
      <c r="V3929" s="106">
        <v>36898.401577307559</v>
      </c>
      <c r="W3929" s="10">
        <v>1.2543147258282206</v>
      </c>
      <c r="X3929" s="420"/>
      <c r="Y3929" s="420"/>
    </row>
    <row r="3930" spans="17:25">
      <c r="Q3930" s="6">
        <v>3900</v>
      </c>
      <c r="R3930" s="7">
        <v>46567</v>
      </c>
      <c r="S3930" s="210">
        <v>4.5</v>
      </c>
      <c r="T3930" s="8">
        <v>1.0001249999999999</v>
      </c>
      <c r="U3930" s="98">
        <v>4.5340144600551247</v>
      </c>
      <c r="V3930" s="106">
        <v>36901.574979081488</v>
      </c>
      <c r="W3930" s="10">
        <v>1.2543606015066544</v>
      </c>
      <c r="X3930" s="420"/>
      <c r="Y3930" s="420"/>
    </row>
    <row r="3931" spans="17:25">
      <c r="Q3931" s="6">
        <v>3901</v>
      </c>
      <c r="R3931" s="7">
        <v>46568</v>
      </c>
      <c r="S3931" s="210">
        <v>4.5</v>
      </c>
      <c r="T3931" s="8">
        <v>1.0001249999999999</v>
      </c>
      <c r="U3931" s="98">
        <v>4.5340487550152186</v>
      </c>
      <c r="V3931" s="106">
        <v>36904.748653779949</v>
      </c>
      <c r="W3931" s="10">
        <v>1.2544064536859301</v>
      </c>
      <c r="X3931" s="420"/>
      <c r="Y3931" s="420"/>
    </row>
    <row r="3932" spans="17:25">
      <c r="Q3932" s="6">
        <v>3902</v>
      </c>
      <c r="R3932" s="7">
        <v>46569</v>
      </c>
      <c r="S3932" s="210">
        <v>4.5</v>
      </c>
      <c r="T3932" s="8">
        <v>1.0001249999999999</v>
      </c>
      <c r="U3932" s="98">
        <v>4.5340830324084092</v>
      </c>
      <c r="V3932" s="106">
        <v>36907.922601426413</v>
      </c>
      <c r="W3932" s="10">
        <v>1.2544522823840554</v>
      </c>
      <c r="X3932" s="420"/>
      <c r="Y3932" s="420"/>
    </row>
    <row r="3933" spans="17:25">
      <c r="Q3933" s="6">
        <v>3903</v>
      </c>
      <c r="R3933" s="7">
        <v>46570</v>
      </c>
      <c r="S3933" s="210">
        <v>4.5</v>
      </c>
      <c r="T3933" s="8">
        <v>1.0001249999999999</v>
      </c>
      <c r="U3933" s="98">
        <v>4.5341172922481965</v>
      </c>
      <c r="V3933" s="106">
        <v>36911.096822044346</v>
      </c>
      <c r="W3933" s="10">
        <v>1.2544980876190825</v>
      </c>
      <c r="X3933" s="420"/>
      <c r="Y3933" s="420"/>
    </row>
    <row r="3934" spans="17:25">
      <c r="Q3934" s="6">
        <v>3904</v>
      </c>
      <c r="R3934" s="7">
        <v>46571</v>
      </c>
      <c r="S3934" s="210">
        <v>4.5</v>
      </c>
      <c r="T3934" s="8">
        <v>1.0001249999999999</v>
      </c>
      <c r="U3934" s="98">
        <v>4.5341515345480587</v>
      </c>
      <c r="V3934" s="106">
        <v>36914.271315657243</v>
      </c>
      <c r="W3934" s="10">
        <v>1.2545438694090194</v>
      </c>
      <c r="X3934" s="420"/>
      <c r="Y3934" s="420"/>
    </row>
    <row r="3935" spans="17:25">
      <c r="Q3935" s="6">
        <v>3905</v>
      </c>
      <c r="R3935" s="7">
        <v>46572</v>
      </c>
      <c r="S3935" s="210">
        <v>4.5</v>
      </c>
      <c r="T3935" s="8">
        <v>1.0001249999999999</v>
      </c>
      <c r="U3935" s="98">
        <v>4.5341857593214518</v>
      </c>
      <c r="V3935" s="106">
        <v>36917.446082288559</v>
      </c>
      <c r="W3935" s="10">
        <v>1.2545896277718516</v>
      </c>
      <c r="X3935" s="420"/>
      <c r="Y3935" s="420"/>
    </row>
    <row r="3936" spans="17:25">
      <c r="Q3936" s="6">
        <v>3906</v>
      </c>
      <c r="R3936" s="7">
        <v>46573</v>
      </c>
      <c r="S3936" s="210">
        <v>4.5</v>
      </c>
      <c r="T3936" s="8">
        <v>1.0001249999999999</v>
      </c>
      <c r="U3936" s="98">
        <v>4.5342199665818317</v>
      </c>
      <c r="V3936" s="106">
        <v>36920.621121961784</v>
      </c>
      <c r="W3936" s="10">
        <v>1.2546353627255646</v>
      </c>
      <c r="X3936" s="420"/>
      <c r="Y3936" s="420"/>
    </row>
    <row r="3937" spans="17:25">
      <c r="Q3937" s="6">
        <v>3907</v>
      </c>
      <c r="R3937" s="7">
        <v>46574</v>
      </c>
      <c r="S3937" s="210">
        <v>4.5</v>
      </c>
      <c r="T3937" s="8">
        <v>1.0001249999999999</v>
      </c>
      <c r="U3937" s="98">
        <v>4.5342541563426542</v>
      </c>
      <c r="V3937" s="106">
        <v>36923.796434700402</v>
      </c>
      <c r="W3937" s="10">
        <v>1.254681074288122</v>
      </c>
      <c r="X3937" s="420"/>
      <c r="Y3937" s="420"/>
    </row>
    <row r="3938" spans="17:25">
      <c r="Q3938" s="6">
        <v>3908</v>
      </c>
      <c r="R3938" s="7">
        <v>46575</v>
      </c>
      <c r="S3938" s="210">
        <v>4.5</v>
      </c>
      <c r="T3938" s="8">
        <v>1.0001249999999999</v>
      </c>
      <c r="U3938" s="98">
        <v>4.5342883286173308</v>
      </c>
      <c r="V3938" s="106">
        <v>36926.972020527901</v>
      </c>
      <c r="W3938" s="10">
        <v>1.2547267624774872</v>
      </c>
      <c r="X3938" s="420"/>
      <c r="Y3938" s="420"/>
    </row>
    <row r="3939" spans="17:25">
      <c r="Q3939" s="6">
        <v>3909</v>
      </c>
      <c r="R3939" s="7">
        <v>46576</v>
      </c>
      <c r="S3939" s="210">
        <v>4.5</v>
      </c>
      <c r="T3939" s="8">
        <v>1.0001249999999999</v>
      </c>
      <c r="U3939" s="98">
        <v>4.534322483419273</v>
      </c>
      <c r="V3939" s="106">
        <v>36930.147879467768</v>
      </c>
      <c r="W3939" s="10">
        <v>1.2547724273115124</v>
      </c>
      <c r="X3939" s="420"/>
      <c r="Y3939" s="420"/>
    </row>
    <row r="3940" spans="17:25">
      <c r="Q3940" s="6">
        <v>3910</v>
      </c>
      <c r="R3940" s="7">
        <v>46577</v>
      </c>
      <c r="S3940" s="210">
        <v>4.5</v>
      </c>
      <c r="T3940" s="8">
        <v>1.0001249999999999</v>
      </c>
      <c r="U3940" s="98">
        <v>4.5343566207618702</v>
      </c>
      <c r="V3940" s="106">
        <v>36933.324011543482</v>
      </c>
      <c r="W3940" s="10">
        <v>1.2548180688081612</v>
      </c>
      <c r="X3940" s="420"/>
      <c r="Y3940" s="420"/>
    </row>
    <row r="3941" spans="17:25">
      <c r="Q3941" s="6">
        <v>3911</v>
      </c>
      <c r="R3941" s="7">
        <v>46578</v>
      </c>
      <c r="S3941" s="210">
        <v>4.5</v>
      </c>
      <c r="T3941" s="8">
        <v>1.0001249999999999</v>
      </c>
      <c r="U3941" s="98">
        <v>4.5343907406585116</v>
      </c>
      <c r="V3941" s="106">
        <v>36936.500416778545</v>
      </c>
      <c r="W3941" s="10">
        <v>1.254863686985308</v>
      </c>
      <c r="X3941" s="420"/>
      <c r="Y3941" s="420"/>
    </row>
    <row r="3942" spans="17:25">
      <c r="Q3942" s="6">
        <v>3912</v>
      </c>
      <c r="R3942" s="7">
        <v>46579</v>
      </c>
      <c r="S3942" s="210">
        <v>4.5</v>
      </c>
      <c r="T3942" s="8">
        <v>1.0001249999999999</v>
      </c>
      <c r="U3942" s="98">
        <v>4.5344248431225864</v>
      </c>
      <c r="V3942" s="106">
        <v>36939.677095196443</v>
      </c>
      <c r="W3942" s="10">
        <v>1.2549092818608054</v>
      </c>
      <c r="X3942" s="420"/>
      <c r="Y3942" s="420"/>
    </row>
    <row r="3943" spans="17:25">
      <c r="Q3943" s="6">
        <v>3913</v>
      </c>
      <c r="R3943" s="7">
        <v>46580</v>
      </c>
      <c r="S3943" s="210">
        <v>4.5</v>
      </c>
      <c r="T3943" s="8">
        <v>1.0001249999999999</v>
      </c>
      <c r="U3943" s="98">
        <v>4.5344589281674397</v>
      </c>
      <c r="V3943" s="106">
        <v>36942.85404682067</v>
      </c>
      <c r="W3943" s="10">
        <v>1.2549548534525279</v>
      </c>
      <c r="X3943" s="420"/>
      <c r="Y3943" s="420"/>
    </row>
    <row r="3944" spans="17:25">
      <c r="Q3944" s="6">
        <v>3914</v>
      </c>
      <c r="R3944" s="7">
        <v>46581</v>
      </c>
      <c r="S3944" s="210">
        <v>4.5</v>
      </c>
      <c r="T3944" s="8">
        <v>1.0001249999999999</v>
      </c>
      <c r="U3944" s="98">
        <v>4.534492995806394</v>
      </c>
      <c r="V3944" s="106">
        <v>36946.031271674728</v>
      </c>
      <c r="W3944" s="10">
        <v>1.2550004017782834</v>
      </c>
      <c r="X3944" s="420"/>
      <c r="Y3944" s="420"/>
    </row>
    <row r="3945" spans="17:25">
      <c r="Q3945" s="6">
        <v>3915</v>
      </c>
      <c r="R3945" s="7">
        <v>46582</v>
      </c>
      <c r="S3945" s="210">
        <v>4.5</v>
      </c>
      <c r="T3945" s="8">
        <v>1.0001249999999999</v>
      </c>
      <c r="U3945" s="98">
        <v>4.5345270460528164</v>
      </c>
      <c r="V3945" s="106">
        <v>36949.208769782112</v>
      </c>
      <c r="W3945" s="10">
        <v>1.2550459268559022</v>
      </c>
      <c r="X3945" s="420"/>
      <c r="Y3945" s="420"/>
    </row>
    <row r="3946" spans="17:25">
      <c r="Q3946" s="6">
        <v>3916</v>
      </c>
      <c r="R3946" s="7">
        <v>46583</v>
      </c>
      <c r="S3946" s="210">
        <v>4.5</v>
      </c>
      <c r="T3946" s="8">
        <v>1.0001249999999999</v>
      </c>
      <c r="U3946" s="98">
        <v>4.5345610789199853</v>
      </c>
      <c r="V3946" s="106">
        <v>36952.386541166321</v>
      </c>
      <c r="W3946" s="10">
        <v>1.2550914287031478</v>
      </c>
      <c r="X3946" s="420"/>
      <c r="Y3946" s="420"/>
    </row>
    <row r="3947" spans="17:25">
      <c r="Q3947" s="6">
        <v>3917</v>
      </c>
      <c r="R3947" s="7">
        <v>46584</v>
      </c>
      <c r="S3947" s="210">
        <v>4.5</v>
      </c>
      <c r="T3947" s="8">
        <v>1.0001249999999999</v>
      </c>
      <c r="U3947" s="98">
        <v>4.5345950944212232</v>
      </c>
      <c r="V3947" s="106">
        <v>36955.564585850858</v>
      </c>
      <c r="W3947" s="10">
        <v>1.2551369073378282</v>
      </c>
      <c r="X3947" s="420"/>
      <c r="Y3947" s="420"/>
    </row>
    <row r="3948" spans="17:25">
      <c r="Q3948" s="6">
        <v>3918</v>
      </c>
      <c r="R3948" s="7">
        <v>46585</v>
      </c>
      <c r="S3948" s="210">
        <v>4.5</v>
      </c>
      <c r="T3948" s="8">
        <v>1.0001249999999999</v>
      </c>
      <c r="U3948" s="98">
        <v>4.5346290925698085</v>
      </c>
      <c r="V3948" s="106">
        <v>36958.742903859245</v>
      </c>
      <c r="W3948" s="10">
        <v>1.2551823627776848</v>
      </c>
      <c r="X3948" s="420"/>
      <c r="Y3948" s="420"/>
    </row>
    <row r="3949" spans="17:25">
      <c r="Q3949" s="6">
        <v>3919</v>
      </c>
      <c r="R3949" s="7">
        <v>46586</v>
      </c>
      <c r="S3949" s="210">
        <v>4.5</v>
      </c>
      <c r="T3949" s="8">
        <v>1.0001249999999999</v>
      </c>
      <c r="U3949" s="98">
        <v>4.5346630733790194</v>
      </c>
      <c r="V3949" s="106">
        <v>36961.921495214956</v>
      </c>
      <c r="W3949" s="10">
        <v>1.2552277950404589</v>
      </c>
      <c r="X3949" s="420"/>
      <c r="Y3949" s="420"/>
    </row>
    <row r="3950" spans="17:25">
      <c r="Q3950" s="6">
        <v>3920</v>
      </c>
      <c r="R3950" s="7">
        <v>46587</v>
      </c>
      <c r="S3950" s="210">
        <v>4.5</v>
      </c>
      <c r="T3950" s="8">
        <v>1.0001249999999999</v>
      </c>
      <c r="U3950" s="98">
        <v>4.5346970368621342</v>
      </c>
      <c r="V3950" s="106">
        <v>36965.100359941527</v>
      </c>
      <c r="W3950" s="10">
        <v>1.2552732041438697</v>
      </c>
      <c r="X3950" s="420"/>
      <c r="Y3950" s="420"/>
    </row>
    <row r="3951" spans="17:25">
      <c r="Q3951" s="6">
        <v>3921</v>
      </c>
      <c r="R3951" s="7">
        <v>46588</v>
      </c>
      <c r="S3951" s="210">
        <v>4.5</v>
      </c>
      <c r="T3951" s="8">
        <v>1.0001249999999999</v>
      </c>
      <c r="U3951" s="98">
        <v>4.5347309830323868</v>
      </c>
      <c r="V3951" s="106">
        <v>36968.27949806246</v>
      </c>
      <c r="W3951" s="10">
        <v>1.2553185901056585</v>
      </c>
      <c r="X3951" s="420"/>
      <c r="Y3951" s="420"/>
    </row>
    <row r="3952" spans="17:25">
      <c r="Q3952" s="6">
        <v>3922</v>
      </c>
      <c r="R3952" s="7">
        <v>46589</v>
      </c>
      <c r="S3952" s="210">
        <v>4.5</v>
      </c>
      <c r="T3952" s="8">
        <v>1.0001249999999999</v>
      </c>
      <c r="U3952" s="98">
        <v>4.5347649119030109</v>
      </c>
      <c r="V3952" s="106">
        <v>36971.458909601271</v>
      </c>
      <c r="W3952" s="10">
        <v>1.2553639529434557</v>
      </c>
      <c r="X3952" s="420"/>
      <c r="Y3952" s="420"/>
    </row>
    <row r="3953" spans="17:25">
      <c r="Q3953" s="6">
        <v>3923</v>
      </c>
      <c r="R3953" s="7">
        <v>46590</v>
      </c>
      <c r="S3953" s="210">
        <v>4.5</v>
      </c>
      <c r="T3953" s="8">
        <v>1.0001249999999999</v>
      </c>
      <c r="U3953" s="98">
        <v>4.5347988234872183</v>
      </c>
      <c r="V3953" s="106">
        <v>36974.638594581469</v>
      </c>
      <c r="W3953" s="10">
        <v>1.2554092926749583</v>
      </c>
      <c r="X3953" s="420"/>
      <c r="Y3953" s="420"/>
    </row>
    <row r="3954" spans="17:25">
      <c r="Q3954" s="6">
        <v>3924</v>
      </c>
      <c r="R3954" s="7">
        <v>46591</v>
      </c>
      <c r="S3954" s="210">
        <v>4.5</v>
      </c>
      <c r="T3954" s="8">
        <v>1.0001249999999999</v>
      </c>
      <c r="U3954" s="98">
        <v>4.5348327177982428</v>
      </c>
      <c r="V3954" s="106">
        <v>36977.818553026569</v>
      </c>
      <c r="W3954" s="10">
        <v>1.2554546093178187</v>
      </c>
      <c r="X3954" s="420"/>
      <c r="Y3954" s="420"/>
    </row>
    <row r="3955" spans="17:25">
      <c r="Q3955" s="6">
        <v>3925</v>
      </c>
      <c r="R3955" s="7">
        <v>46592</v>
      </c>
      <c r="S3955" s="210">
        <v>4.5</v>
      </c>
      <c r="T3955" s="8">
        <v>1.0001249999999999</v>
      </c>
      <c r="U3955" s="98">
        <v>4.5348665948492517</v>
      </c>
      <c r="V3955" s="106">
        <v>36980.998784960102</v>
      </c>
      <c r="W3955" s="10">
        <v>1.2554999028896674</v>
      </c>
      <c r="X3955" s="420"/>
      <c r="Y3955" s="420"/>
    </row>
    <row r="3956" spans="17:25">
      <c r="Q3956" s="6">
        <v>3926</v>
      </c>
      <c r="R3956" s="7">
        <v>46593</v>
      </c>
      <c r="S3956" s="210">
        <v>4.5</v>
      </c>
      <c r="T3956" s="8">
        <v>1.0001249999999999</v>
      </c>
      <c r="U3956" s="98">
        <v>4.5349004546534344</v>
      </c>
      <c r="V3956" s="106">
        <v>36984.179290405576</v>
      </c>
      <c r="W3956" s="10">
        <v>1.2555451734081124</v>
      </c>
      <c r="X3956" s="420"/>
      <c r="Y3956" s="420"/>
    </row>
    <row r="3957" spans="17:25">
      <c r="Q3957" s="6">
        <v>3927</v>
      </c>
      <c r="R3957" s="7">
        <v>46594</v>
      </c>
      <c r="S3957" s="210">
        <v>4.5</v>
      </c>
      <c r="T3957" s="8">
        <v>1.0001249999999999</v>
      </c>
      <c r="U3957" s="98">
        <v>4.5349342972239581</v>
      </c>
      <c r="V3957" s="106">
        <v>36987.36006938653</v>
      </c>
      <c r="W3957" s="10">
        <v>1.2555904208907176</v>
      </c>
      <c r="X3957" s="420"/>
      <c r="Y3957" s="420"/>
    </row>
    <row r="3958" spans="17:25">
      <c r="Q3958" s="6">
        <v>3928</v>
      </c>
      <c r="R3958" s="7">
        <v>46595</v>
      </c>
      <c r="S3958" s="210">
        <v>4.5</v>
      </c>
      <c r="T3958" s="8">
        <v>1.0001249999999999</v>
      </c>
      <c r="U3958" s="98">
        <v>4.5349681225739902</v>
      </c>
      <c r="V3958" s="106">
        <v>36990.541121926472</v>
      </c>
      <c r="W3958" s="10">
        <v>1.2556356453551354</v>
      </c>
      <c r="X3958" s="420"/>
      <c r="Y3958" s="420"/>
    </row>
    <row r="3959" spans="17:25">
      <c r="Q3959" s="6">
        <v>3929</v>
      </c>
      <c r="R3959" s="7">
        <v>46596</v>
      </c>
      <c r="S3959" s="210">
        <v>4.5</v>
      </c>
      <c r="T3959" s="8">
        <v>1.0001249999999999</v>
      </c>
      <c r="U3959" s="98">
        <v>4.5350019307166534</v>
      </c>
      <c r="V3959" s="106">
        <v>36993.722448048939</v>
      </c>
      <c r="W3959" s="10">
        <v>1.2556808468188629</v>
      </c>
      <c r="X3959" s="420"/>
      <c r="Y3959" s="420"/>
    </row>
    <row r="3960" spans="17:25">
      <c r="Q3960" s="6">
        <v>3930</v>
      </c>
      <c r="R3960" s="7">
        <v>46597</v>
      </c>
      <c r="S3960" s="210">
        <v>4.5</v>
      </c>
      <c r="T3960" s="8">
        <v>1.0001249999999999</v>
      </c>
      <c r="U3960" s="98">
        <v>4.5350357216650705</v>
      </c>
      <c r="V3960" s="106">
        <v>36996.904047777447</v>
      </c>
      <c r="W3960" s="10">
        <v>1.255726025299464</v>
      </c>
      <c r="X3960" s="420"/>
      <c r="Y3960" s="420"/>
    </row>
    <row r="3961" spans="17:25">
      <c r="Q3961" s="6">
        <v>3931</v>
      </c>
      <c r="R3961" s="7">
        <v>46598</v>
      </c>
      <c r="S3961" s="210">
        <v>4.5</v>
      </c>
      <c r="T3961" s="8">
        <v>1.0001249999999999</v>
      </c>
      <c r="U3961" s="98">
        <v>4.5350694954323645</v>
      </c>
      <c r="V3961" s="106">
        <v>37000.085921135556</v>
      </c>
      <c r="W3961" s="10">
        <v>1.2557711808144578</v>
      </c>
      <c r="X3961" s="420"/>
      <c r="Y3961" s="420"/>
    </row>
    <row r="3962" spans="17:25">
      <c r="Q3962" s="6">
        <v>3932</v>
      </c>
      <c r="R3962" s="7">
        <v>46599</v>
      </c>
      <c r="S3962" s="210">
        <v>4.5</v>
      </c>
      <c r="T3962" s="8">
        <v>1.0001249999999999</v>
      </c>
      <c r="U3962" s="98">
        <v>4.5351032520316581</v>
      </c>
      <c r="V3962" s="106">
        <v>37003.268068146768</v>
      </c>
      <c r="W3962" s="10">
        <v>1.255816313381386</v>
      </c>
      <c r="X3962" s="420"/>
      <c r="Y3962" s="420"/>
    </row>
    <row r="3963" spans="17:25">
      <c r="Q3963" s="6">
        <v>3933</v>
      </c>
      <c r="R3963" s="7">
        <v>46600</v>
      </c>
      <c r="S3963" s="210">
        <v>4.5</v>
      </c>
      <c r="T3963" s="8">
        <v>1.0001249999999999</v>
      </c>
      <c r="U3963" s="98">
        <v>4.5351369914760076</v>
      </c>
      <c r="V3963" s="106">
        <v>37006.450488834635</v>
      </c>
      <c r="W3963" s="10">
        <v>1.255861423017679</v>
      </c>
      <c r="X3963" s="420"/>
      <c r="Y3963" s="420"/>
    </row>
    <row r="3964" spans="17:25">
      <c r="Q3964" s="6">
        <v>3934</v>
      </c>
      <c r="R3964" s="7">
        <v>46601</v>
      </c>
      <c r="S3964" s="210">
        <v>4.5</v>
      </c>
      <c r="T3964" s="8">
        <v>1.0001249999999999</v>
      </c>
      <c r="U3964" s="98">
        <v>4.5351707137784913</v>
      </c>
      <c r="V3964" s="106">
        <v>37009.633183222686</v>
      </c>
      <c r="W3964" s="10">
        <v>1.2559065097408562</v>
      </c>
      <c r="X3964" s="420"/>
      <c r="Y3964" s="420"/>
    </row>
    <row r="3965" spans="17:25">
      <c r="Q3965" s="6">
        <v>3935</v>
      </c>
      <c r="R3965" s="7">
        <v>46602</v>
      </c>
      <c r="S3965" s="210">
        <v>4.5</v>
      </c>
      <c r="T3965" s="8">
        <v>1.0001249999999999</v>
      </c>
      <c r="U3965" s="98">
        <v>4.5352044189521878</v>
      </c>
      <c r="V3965" s="106">
        <v>37012.816151334475</v>
      </c>
      <c r="W3965" s="10">
        <v>1.255951573568348</v>
      </c>
      <c r="X3965" s="420"/>
      <c r="Y3965" s="420"/>
    </row>
    <row r="3966" spans="17:25">
      <c r="Q3966" s="6">
        <v>3936</v>
      </c>
      <c r="R3966" s="7">
        <v>46603</v>
      </c>
      <c r="S3966" s="210">
        <v>4.5</v>
      </c>
      <c r="T3966" s="8">
        <v>1.0001249999999999</v>
      </c>
      <c r="U3966" s="98">
        <v>4.5352381070101311</v>
      </c>
      <c r="V3966" s="106">
        <v>37015.999393193517</v>
      </c>
      <c r="W3966" s="10">
        <v>1.2559966145175849</v>
      </c>
      <c r="X3966" s="420"/>
      <c r="Y3966" s="420"/>
    </row>
    <row r="3967" spans="17:25">
      <c r="Q3967" s="6">
        <v>3937</v>
      </c>
      <c r="R3967" s="7">
        <v>46604</v>
      </c>
      <c r="S3967" s="210">
        <v>4.5</v>
      </c>
      <c r="T3967" s="8">
        <v>1.0001249999999999</v>
      </c>
      <c r="U3967" s="98">
        <v>4.5352717779653551</v>
      </c>
      <c r="V3967" s="106">
        <v>37019.182908823379</v>
      </c>
      <c r="W3967" s="10">
        <v>1.2560416326060198</v>
      </c>
      <c r="X3967" s="420"/>
      <c r="Y3967" s="420"/>
    </row>
    <row r="3968" spans="17:25">
      <c r="Q3968" s="6">
        <v>3938</v>
      </c>
      <c r="R3968" s="7">
        <v>46605</v>
      </c>
      <c r="S3968" s="210">
        <v>4.5</v>
      </c>
      <c r="T3968" s="8">
        <v>1.0001249999999999</v>
      </c>
      <c r="U3968" s="98">
        <v>4.5353054318308716</v>
      </c>
      <c r="V3968" s="106">
        <v>37022.366698247606</v>
      </c>
      <c r="W3968" s="10">
        <v>1.2560866278509941</v>
      </c>
      <c r="X3968" s="420"/>
      <c r="Y3968" s="420"/>
    </row>
    <row r="3969" spans="17:25">
      <c r="Q3969" s="6">
        <v>3939</v>
      </c>
      <c r="R3969" s="7">
        <v>46606</v>
      </c>
      <c r="S3969" s="210">
        <v>4.5</v>
      </c>
      <c r="T3969" s="8">
        <v>1.0001249999999999</v>
      </c>
      <c r="U3969" s="98">
        <v>4.5353390686196926</v>
      </c>
      <c r="V3969" s="106">
        <v>37025.550761489729</v>
      </c>
      <c r="W3969" s="10">
        <v>1.2561316002699385</v>
      </c>
      <c r="X3969" s="420"/>
      <c r="Y3969" s="420"/>
    </row>
    <row r="3970" spans="17:25">
      <c r="Q3970" s="6">
        <v>3940</v>
      </c>
      <c r="R3970" s="7">
        <v>46607</v>
      </c>
      <c r="S3970" s="210">
        <v>4.5</v>
      </c>
      <c r="T3970" s="8">
        <v>1.0001249999999999</v>
      </c>
      <c r="U3970" s="98">
        <v>4.5353726883448076</v>
      </c>
      <c r="V3970" s="106">
        <v>37028.735098573306</v>
      </c>
      <c r="W3970" s="10">
        <v>1.2561765498801725</v>
      </c>
      <c r="X3970" s="420"/>
      <c r="Y3970" s="420"/>
    </row>
    <row r="3971" spans="17:25">
      <c r="Q3971" s="6">
        <v>3941</v>
      </c>
      <c r="R3971" s="7">
        <v>46608</v>
      </c>
      <c r="S3971" s="210">
        <v>4.5</v>
      </c>
      <c r="T3971" s="8">
        <v>1.0001249999999999</v>
      </c>
      <c r="U3971" s="98">
        <v>4.5354062910192283</v>
      </c>
      <c r="V3971" s="106">
        <v>37031.919709521891</v>
      </c>
      <c r="W3971" s="10">
        <v>1.2562214766991264</v>
      </c>
      <c r="X3971" s="420"/>
      <c r="Y3971" s="420"/>
    </row>
    <row r="3972" spans="17:25">
      <c r="Q3972" s="6">
        <v>3942</v>
      </c>
      <c r="R3972" s="7">
        <v>46609</v>
      </c>
      <c r="S3972" s="210">
        <v>4.5</v>
      </c>
      <c r="T3972" s="8">
        <v>1.0001249999999999</v>
      </c>
      <c r="U3972" s="98">
        <v>4.5354398766559001</v>
      </c>
      <c r="V3972" s="106">
        <v>37035.104594359036</v>
      </c>
      <c r="W3972" s="10">
        <v>1.2562663807440533</v>
      </c>
      <c r="X3972" s="420"/>
      <c r="Y3972" s="420"/>
    </row>
    <row r="3973" spans="17:25">
      <c r="Q3973" s="6">
        <v>3943</v>
      </c>
      <c r="R3973" s="7">
        <v>46610</v>
      </c>
      <c r="S3973" s="210">
        <v>4.5</v>
      </c>
      <c r="T3973" s="8">
        <v>1.0001249999999999</v>
      </c>
      <c r="U3973" s="98">
        <v>4.5354734452677681</v>
      </c>
      <c r="V3973" s="106">
        <v>37038.289753108293</v>
      </c>
      <c r="W3973" s="10">
        <v>1.2563112620322725</v>
      </c>
      <c r="X3973" s="420"/>
      <c r="Y3973" s="420"/>
    </row>
    <row r="3974" spans="17:25">
      <c r="Q3974" s="6">
        <v>3944</v>
      </c>
      <c r="R3974" s="7">
        <v>46611</v>
      </c>
      <c r="S3974" s="210">
        <v>4.5</v>
      </c>
      <c r="T3974" s="8">
        <v>1.0001249999999999</v>
      </c>
      <c r="U3974" s="98">
        <v>4.5355069968677775</v>
      </c>
      <c r="V3974" s="106">
        <v>37041.475185793221</v>
      </c>
      <c r="W3974" s="10">
        <v>1.2563561205811036</v>
      </c>
      <c r="X3974" s="420"/>
      <c r="Y3974" s="420"/>
    </row>
    <row r="3975" spans="17:25">
      <c r="Q3975" s="6">
        <v>3945</v>
      </c>
      <c r="R3975" s="7">
        <v>46612</v>
      </c>
      <c r="S3975" s="210">
        <v>4.5</v>
      </c>
      <c r="T3975" s="8">
        <v>1.0001249999999999</v>
      </c>
      <c r="U3975" s="98">
        <v>4.5355405314688735</v>
      </c>
      <c r="V3975" s="106">
        <v>37044.660892437387</v>
      </c>
      <c r="W3975" s="10">
        <v>1.2564009564078216</v>
      </c>
      <c r="X3975" s="420"/>
      <c r="Y3975" s="420"/>
    </row>
    <row r="3976" spans="17:25">
      <c r="Q3976" s="6">
        <v>3946</v>
      </c>
      <c r="R3976" s="7">
        <v>46613</v>
      </c>
      <c r="S3976" s="210">
        <v>4.5</v>
      </c>
      <c r="T3976" s="8">
        <v>1.0001249999999999</v>
      </c>
      <c r="U3976" s="98">
        <v>4.5355740490839569</v>
      </c>
      <c r="V3976" s="106">
        <v>37047.846873064336</v>
      </c>
      <c r="W3976" s="10">
        <v>1.2564457695296793</v>
      </c>
      <c r="X3976" s="420"/>
      <c r="Y3976" s="420"/>
    </row>
    <row r="3977" spans="17:25">
      <c r="Q3977" s="6">
        <v>3947</v>
      </c>
      <c r="R3977" s="7">
        <v>46614</v>
      </c>
      <c r="S3977" s="210">
        <v>4.5</v>
      </c>
      <c r="T3977" s="8">
        <v>1.0001249999999999</v>
      </c>
      <c r="U3977" s="98">
        <v>4.5356075497259507</v>
      </c>
      <c r="V3977" s="106">
        <v>37051.033127697643</v>
      </c>
      <c r="W3977" s="10">
        <v>1.2564905599639298</v>
      </c>
      <c r="X3977" s="420"/>
      <c r="Y3977" s="420"/>
    </row>
    <row r="3978" spans="17:25">
      <c r="Q3978" s="6">
        <v>3948</v>
      </c>
      <c r="R3978" s="7">
        <v>46615</v>
      </c>
      <c r="S3978" s="210">
        <v>4.5</v>
      </c>
      <c r="T3978" s="8">
        <v>1.0001249999999999</v>
      </c>
      <c r="U3978" s="98">
        <v>4.5356410334077113</v>
      </c>
      <c r="V3978" s="106">
        <v>37054.219656360874</v>
      </c>
      <c r="W3978" s="10">
        <v>1.2565353277277813</v>
      </c>
      <c r="X3978" s="420"/>
      <c r="Y3978" s="420"/>
    </row>
    <row r="3979" spans="17:25">
      <c r="Q3979" s="6">
        <v>3949</v>
      </c>
      <c r="R3979" s="7">
        <v>46616</v>
      </c>
      <c r="S3979" s="210">
        <v>4.5</v>
      </c>
      <c r="T3979" s="8">
        <v>1.0001249999999999</v>
      </c>
      <c r="U3979" s="98">
        <v>4.5356745001421395</v>
      </c>
      <c r="V3979" s="106">
        <v>37057.406459077596</v>
      </c>
      <c r="W3979" s="10">
        <v>1.2565800728384424</v>
      </c>
      <c r="X3979" s="420"/>
      <c r="Y3979" s="420"/>
    </row>
    <row r="3980" spans="17:25">
      <c r="Q3980" s="6">
        <v>3950</v>
      </c>
      <c r="R3980" s="7">
        <v>46617</v>
      </c>
      <c r="S3980" s="210">
        <v>4.5</v>
      </c>
      <c r="T3980" s="8">
        <v>1.0001249999999999</v>
      </c>
      <c r="U3980" s="98">
        <v>4.5357079499420916</v>
      </c>
      <c r="V3980" s="106">
        <v>37060.593535871383</v>
      </c>
      <c r="W3980" s="10">
        <v>1.2566247953131215</v>
      </c>
      <c r="X3980" s="420"/>
      <c r="Y3980" s="420"/>
    </row>
    <row r="3981" spans="17:25">
      <c r="Q3981" s="6">
        <v>3951</v>
      </c>
      <c r="R3981" s="7">
        <v>46618</v>
      </c>
      <c r="S3981" s="210">
        <v>4.5</v>
      </c>
      <c r="T3981" s="8">
        <v>1.0001249999999999</v>
      </c>
      <c r="U3981" s="98">
        <v>4.5357413828204241</v>
      </c>
      <c r="V3981" s="106">
        <v>37063.780886765795</v>
      </c>
      <c r="W3981" s="10">
        <v>1.2566694951689827</v>
      </c>
      <c r="X3981" s="420"/>
      <c r="Y3981" s="420"/>
    </row>
    <row r="3982" spans="17:25">
      <c r="Q3982" s="6">
        <v>3952</v>
      </c>
      <c r="R3982" s="7">
        <v>46619</v>
      </c>
      <c r="S3982" s="210">
        <v>4.5</v>
      </c>
      <c r="T3982" s="8">
        <v>1.0001249999999999</v>
      </c>
      <c r="U3982" s="98">
        <v>4.535774798789971</v>
      </c>
      <c r="V3982" s="106">
        <v>37066.968511784406</v>
      </c>
      <c r="W3982" s="10">
        <v>1.2567141724231679</v>
      </c>
      <c r="X3982" s="420"/>
      <c r="Y3982" s="420"/>
    </row>
    <row r="3983" spans="17:25">
      <c r="Q3983" s="6">
        <v>3953</v>
      </c>
      <c r="R3983" s="7">
        <v>46620</v>
      </c>
      <c r="S3983" s="210">
        <v>4.5</v>
      </c>
      <c r="T3983" s="8">
        <v>1.0001249999999999</v>
      </c>
      <c r="U3983" s="98">
        <v>4.5358081978635445</v>
      </c>
      <c r="V3983" s="106">
        <v>37070.156410950804</v>
      </c>
      <c r="W3983" s="10">
        <v>1.2567588270928187</v>
      </c>
      <c r="X3983" s="420"/>
      <c r="Y3983" s="420"/>
    </row>
    <row r="3984" spans="17:25">
      <c r="Q3984" s="6">
        <v>3954</v>
      </c>
      <c r="R3984" s="7">
        <v>46621</v>
      </c>
      <c r="S3984" s="210">
        <v>4.5</v>
      </c>
      <c r="T3984" s="8">
        <v>1.0001249999999999</v>
      </c>
      <c r="U3984" s="98">
        <v>4.5358415800539786</v>
      </c>
      <c r="V3984" s="106">
        <v>37073.344584288556</v>
      </c>
      <c r="W3984" s="10">
        <v>1.2568034591950772</v>
      </c>
      <c r="X3984" s="420"/>
      <c r="Y3984" s="420"/>
    </row>
    <row r="3985" spans="17:25">
      <c r="Q3985" s="6">
        <v>3955</v>
      </c>
      <c r="R3985" s="7">
        <v>46622</v>
      </c>
      <c r="S3985" s="210">
        <v>4.5</v>
      </c>
      <c r="T3985" s="8">
        <v>1.0001249999999999</v>
      </c>
      <c r="U3985" s="98">
        <v>4.535874945374041</v>
      </c>
      <c r="V3985" s="106">
        <v>37076.533031821251</v>
      </c>
      <c r="W3985" s="10">
        <v>1.2568480687470185</v>
      </c>
      <c r="X3985" s="420"/>
      <c r="Y3985" s="420"/>
    </row>
    <row r="3986" spans="17:25">
      <c r="Q3986" s="6">
        <v>3956</v>
      </c>
      <c r="R3986" s="7">
        <v>46623</v>
      </c>
      <c r="S3986" s="210">
        <v>4.5</v>
      </c>
      <c r="T3986" s="8">
        <v>1.0001249999999999</v>
      </c>
      <c r="U3986" s="98">
        <v>4.5359082938365436</v>
      </c>
      <c r="V3986" s="106">
        <v>37079.721753572463</v>
      </c>
      <c r="W3986" s="10">
        <v>1.2568926557657401</v>
      </c>
      <c r="X3986" s="420"/>
      <c r="Y3986" s="420"/>
    </row>
    <row r="3987" spans="17:25">
      <c r="Q3987" s="6">
        <v>3957</v>
      </c>
      <c r="R3987" s="7">
        <v>46624</v>
      </c>
      <c r="S3987" s="210">
        <v>4.5</v>
      </c>
      <c r="T3987" s="8">
        <v>1.0001249999999999</v>
      </c>
      <c r="U3987" s="98">
        <v>4.5359416254542539</v>
      </c>
      <c r="V3987" s="106">
        <v>37082.910749565774</v>
      </c>
      <c r="W3987" s="10">
        <v>1.2569372202683171</v>
      </c>
      <c r="X3987" s="420"/>
      <c r="Y3987" s="420"/>
    </row>
    <row r="3988" spans="17:25">
      <c r="Q3988" s="6">
        <v>3958</v>
      </c>
      <c r="R3988" s="7">
        <v>46625</v>
      </c>
      <c r="S3988" s="210">
        <v>4.5</v>
      </c>
      <c r="T3988" s="8">
        <v>1.0001249999999999</v>
      </c>
      <c r="U3988" s="98">
        <v>4.5359749402399174</v>
      </c>
      <c r="V3988" s="106">
        <v>37086.100019824778</v>
      </c>
      <c r="W3988" s="10">
        <v>1.2569817622718027</v>
      </c>
      <c r="X3988" s="420"/>
      <c r="Y3988" s="420"/>
    </row>
    <row r="3989" spans="17:25">
      <c r="Q3989" s="6">
        <v>3959</v>
      </c>
      <c r="R3989" s="7">
        <v>46626</v>
      </c>
      <c r="S3989" s="210">
        <v>4.5</v>
      </c>
      <c r="T3989" s="8">
        <v>1.0001249999999999</v>
      </c>
      <c r="U3989" s="98">
        <v>4.5360082382063016</v>
      </c>
      <c r="V3989" s="106">
        <v>37089.289564373066</v>
      </c>
      <c r="W3989" s="10">
        <v>1.2570262817932054</v>
      </c>
      <c r="X3989" s="420"/>
      <c r="Y3989" s="420"/>
    </row>
    <row r="3990" spans="17:25">
      <c r="Q3990" s="6">
        <v>3960</v>
      </c>
      <c r="R3990" s="7">
        <v>46627</v>
      </c>
      <c r="S3990" s="210">
        <v>4.5</v>
      </c>
      <c r="T3990" s="8">
        <v>1.0001249999999999</v>
      </c>
      <c r="U3990" s="98">
        <v>4.5360415193661296</v>
      </c>
      <c r="V3990" s="106">
        <v>37092.479383234211</v>
      </c>
      <c r="W3990" s="10">
        <v>1.2570707788495783</v>
      </c>
      <c r="X3990" s="420"/>
      <c r="Y3990" s="420"/>
    </row>
    <row r="3991" spans="17:25">
      <c r="Q3991" s="6">
        <v>3961</v>
      </c>
      <c r="R3991" s="7">
        <v>46628</v>
      </c>
      <c r="S3991" s="210">
        <v>4.5</v>
      </c>
      <c r="T3991" s="8">
        <v>1.0001249999999999</v>
      </c>
      <c r="U3991" s="98">
        <v>4.5360747837321247</v>
      </c>
      <c r="V3991" s="106">
        <v>37095.669476431824</v>
      </c>
      <c r="W3991" s="10">
        <v>1.2571152534579078</v>
      </c>
      <c r="X3991" s="420"/>
      <c r="Y3991" s="420"/>
    </row>
    <row r="3992" spans="17:25">
      <c r="Q3992" s="6">
        <v>3962</v>
      </c>
      <c r="R3992" s="7">
        <v>46629</v>
      </c>
      <c r="S3992" s="210">
        <v>4.5</v>
      </c>
      <c r="T3992" s="8">
        <v>1.0001249999999999</v>
      </c>
      <c r="U3992" s="98">
        <v>4.5361080313169877</v>
      </c>
      <c r="V3992" s="106">
        <v>37098.859843989478</v>
      </c>
      <c r="W3992" s="10">
        <v>1.257159705635158</v>
      </c>
      <c r="X3992" s="420"/>
      <c r="Y3992" s="420"/>
    </row>
    <row r="3993" spans="17:25">
      <c r="Q3993" s="6">
        <v>3963</v>
      </c>
      <c r="R3993" s="7">
        <v>46630</v>
      </c>
      <c r="S3993" s="210">
        <v>4.5</v>
      </c>
      <c r="T3993" s="8">
        <v>1.0001249999999999</v>
      </c>
      <c r="U3993" s="98">
        <v>4.5361412621334196</v>
      </c>
      <c r="V3993" s="106">
        <v>37102.050485930791</v>
      </c>
      <c r="W3993" s="10">
        <v>1.2572041353983154</v>
      </c>
      <c r="X3993" s="420"/>
      <c r="Y3993" s="420"/>
    </row>
    <row r="3994" spans="17:25">
      <c r="Q3994" s="6">
        <v>3964</v>
      </c>
      <c r="R3994" s="7">
        <v>46631</v>
      </c>
      <c r="S3994" s="210">
        <v>4.5</v>
      </c>
      <c r="T3994" s="8">
        <v>1.0001249999999999</v>
      </c>
      <c r="U3994" s="98">
        <v>4.5361744761940992</v>
      </c>
      <c r="V3994" s="106">
        <v>37105.241402279345</v>
      </c>
      <c r="W3994" s="10">
        <v>1.2572485427643221</v>
      </c>
      <c r="X3994" s="420"/>
      <c r="Y3994" s="420"/>
    </row>
    <row r="3995" spans="17:25">
      <c r="Q3995" s="6">
        <v>3965</v>
      </c>
      <c r="R3995" s="7">
        <v>46632</v>
      </c>
      <c r="S3995" s="210">
        <v>4.5</v>
      </c>
      <c r="T3995" s="8">
        <v>1.0001249999999999</v>
      </c>
      <c r="U3995" s="98">
        <v>4.5362076735117052</v>
      </c>
      <c r="V3995" s="106">
        <v>37108.432593058751</v>
      </c>
      <c r="W3995" s="10">
        <v>1.2572929277500977</v>
      </c>
      <c r="X3995" s="420"/>
      <c r="Y3995" s="420"/>
    </row>
    <row r="3996" spans="17:25">
      <c r="Q3996" s="6">
        <v>3966</v>
      </c>
      <c r="R3996" s="7">
        <v>46633</v>
      </c>
      <c r="S3996" s="210">
        <v>4.5</v>
      </c>
      <c r="T3996" s="8">
        <v>1.0001249999999999</v>
      </c>
      <c r="U3996" s="98">
        <v>4.5362408540988719</v>
      </c>
      <c r="V3996" s="106">
        <v>37111.624058292611</v>
      </c>
      <c r="W3996" s="10">
        <v>1.2573372903725621</v>
      </c>
      <c r="X3996" s="420"/>
      <c r="Y3996" s="420"/>
    </row>
    <row r="3997" spans="17:25">
      <c r="Q3997" s="6">
        <v>3967</v>
      </c>
      <c r="R3997" s="7">
        <v>46634</v>
      </c>
      <c r="S3997" s="210">
        <v>4.5</v>
      </c>
      <c r="T3997" s="8">
        <v>1.0001249999999999</v>
      </c>
      <c r="U3997" s="98">
        <v>4.5362740179682781</v>
      </c>
      <c r="V3997" s="106">
        <v>37114.815798004514</v>
      </c>
      <c r="W3997" s="10">
        <v>1.2573816306486352</v>
      </c>
      <c r="X3997" s="420"/>
      <c r="Y3997" s="420"/>
    </row>
    <row r="3998" spans="17:25">
      <c r="Q3998" s="6">
        <v>3968</v>
      </c>
      <c r="R3998" s="7">
        <v>46635</v>
      </c>
      <c r="S3998" s="210">
        <v>4.5</v>
      </c>
      <c r="T3998" s="8">
        <v>1.0001249999999999</v>
      </c>
      <c r="U3998" s="98">
        <v>4.536307165132536</v>
      </c>
      <c r="V3998" s="106">
        <v>37118.007812218078</v>
      </c>
      <c r="W3998" s="10">
        <v>1.2574259485951922</v>
      </c>
      <c r="X3998" s="420"/>
      <c r="Y3998" s="420"/>
    </row>
    <row r="3999" spans="17:25">
      <c r="Q3999" s="6">
        <v>3969</v>
      </c>
      <c r="R3999" s="7">
        <v>46636</v>
      </c>
      <c r="S3999" s="210">
        <v>4.5</v>
      </c>
      <c r="T3999" s="8">
        <v>1.0001249999999999</v>
      </c>
      <c r="U3999" s="98">
        <v>4.5363402956042576</v>
      </c>
      <c r="V3999" s="106">
        <v>37121.200100956907</v>
      </c>
      <c r="W3999" s="10">
        <v>1.2574702442290642</v>
      </c>
      <c r="X3999" s="420"/>
      <c r="Y3999" s="420"/>
    </row>
    <row r="4000" spans="17:25">
      <c r="Q4000" s="6">
        <v>3970</v>
      </c>
      <c r="R4000" s="7">
        <v>46637</v>
      </c>
      <c r="S4000" s="210">
        <v>4.5</v>
      </c>
      <c r="T4000" s="8">
        <v>1.0001249999999999</v>
      </c>
      <c r="U4000" s="98">
        <v>4.536373409396055</v>
      </c>
      <c r="V4000" s="106">
        <v>37124.392664244624</v>
      </c>
      <c r="W4000" s="10">
        <v>1.2575145175671043</v>
      </c>
      <c r="X4000" s="420"/>
      <c r="Y4000" s="420"/>
    </row>
    <row r="4001" spans="17:25">
      <c r="Q4001" s="6">
        <v>3971</v>
      </c>
      <c r="R4001" s="7">
        <v>46638</v>
      </c>
      <c r="S4001" s="210">
        <v>4.5</v>
      </c>
      <c r="T4001" s="8">
        <v>1.0001249999999999</v>
      </c>
      <c r="U4001" s="98">
        <v>4.5364065065205184</v>
      </c>
      <c r="V4001" s="106">
        <v>37127.585502104819</v>
      </c>
      <c r="W4001" s="10">
        <v>1.2575587686261658</v>
      </c>
      <c r="X4001" s="420"/>
      <c r="Y4001" s="420"/>
    </row>
    <row r="4002" spans="17:25">
      <c r="Q4002" s="6">
        <v>3972</v>
      </c>
      <c r="R4002" s="7">
        <v>46639</v>
      </c>
      <c r="S4002" s="210">
        <v>4.5</v>
      </c>
      <c r="T4002" s="8">
        <v>1.0001249999999999</v>
      </c>
      <c r="U4002" s="98">
        <v>4.5364395869902374</v>
      </c>
      <c r="V4002" s="106">
        <v>37130.778614561132</v>
      </c>
      <c r="W4002" s="10">
        <v>1.2576029974230574</v>
      </c>
      <c r="X4002" s="420"/>
      <c r="Y4002" s="420"/>
    </row>
    <row r="4003" spans="17:25">
      <c r="Q4003" s="6">
        <v>3973</v>
      </c>
      <c r="R4003" s="7">
        <v>46640</v>
      </c>
      <c r="S4003" s="210">
        <v>4.5</v>
      </c>
      <c r="T4003" s="8">
        <v>1.0001249999999999</v>
      </c>
      <c r="U4003" s="98">
        <v>4.53647265081778</v>
      </c>
      <c r="V4003" s="106">
        <v>37133.972001637158</v>
      </c>
      <c r="W4003" s="10">
        <v>1.2576472039745656</v>
      </c>
      <c r="X4003" s="420"/>
      <c r="Y4003" s="420"/>
    </row>
    <row r="4004" spans="17:25">
      <c r="Q4004" s="6">
        <v>3974</v>
      </c>
      <c r="R4004" s="7">
        <v>46641</v>
      </c>
      <c r="S4004" s="210">
        <v>4.5</v>
      </c>
      <c r="T4004" s="8">
        <v>1.0001249999999999</v>
      </c>
      <c r="U4004" s="98">
        <v>4.5365056980156915</v>
      </c>
      <c r="V4004" s="106">
        <v>37137.165663356522</v>
      </c>
      <c r="W4004" s="10">
        <v>1.257691388297455</v>
      </c>
      <c r="X4004" s="420"/>
      <c r="Y4004" s="420"/>
    </row>
    <row r="4005" spans="17:25">
      <c r="Q4005" s="6">
        <v>3975</v>
      </c>
      <c r="R4005" s="7">
        <v>46642</v>
      </c>
      <c r="S4005" s="210">
        <v>4.5</v>
      </c>
      <c r="T4005" s="8">
        <v>1.0001249999999999</v>
      </c>
      <c r="U4005" s="98">
        <v>4.5365387285965175</v>
      </c>
      <c r="V4005" s="106">
        <v>37140.359599742842</v>
      </c>
      <c r="W4005" s="10">
        <v>1.2577355504085119</v>
      </c>
      <c r="X4005" s="420"/>
      <c r="Y4005" s="420"/>
    </row>
    <row r="4006" spans="17:25">
      <c r="Q4006" s="6">
        <v>3976</v>
      </c>
      <c r="R4006" s="7">
        <v>46643</v>
      </c>
      <c r="S4006" s="210">
        <v>4.5</v>
      </c>
      <c r="T4006" s="8">
        <v>1.0001249999999999</v>
      </c>
      <c r="U4006" s="98">
        <v>4.5365717425728036</v>
      </c>
      <c r="V4006" s="106">
        <v>37143.553810819751</v>
      </c>
      <c r="W4006" s="10">
        <v>1.2577796903244787</v>
      </c>
      <c r="X4006" s="420"/>
      <c r="Y4006" s="420"/>
    </row>
    <row r="4007" spans="17:25">
      <c r="Q4007" s="6">
        <v>3977</v>
      </c>
      <c r="R4007" s="7">
        <v>46644</v>
      </c>
      <c r="S4007" s="210">
        <v>4.5</v>
      </c>
      <c r="T4007" s="8">
        <v>1.0001249999999999</v>
      </c>
      <c r="U4007" s="98">
        <v>4.5366047399570508</v>
      </c>
      <c r="V4007" s="106">
        <v>37146.748296610866</v>
      </c>
      <c r="W4007" s="10">
        <v>1.2578238080620974</v>
      </c>
      <c r="X4007" s="420"/>
      <c r="Y4007" s="420"/>
    </row>
    <row r="4008" spans="17:25">
      <c r="Q4008" s="6">
        <v>3978</v>
      </c>
      <c r="R4008" s="7">
        <v>46645</v>
      </c>
      <c r="S4008" s="210">
        <v>4.5</v>
      </c>
      <c r="T4008" s="8">
        <v>1.0001249999999999</v>
      </c>
      <c r="U4008" s="98">
        <v>4.5366377207617825</v>
      </c>
      <c r="V4008" s="106">
        <v>37149.943057139804</v>
      </c>
      <c r="W4008" s="10">
        <v>1.2578679036380436</v>
      </c>
      <c r="X4008" s="420"/>
      <c r="Y4008" s="420"/>
    </row>
    <row r="4009" spans="17:25">
      <c r="Q4009" s="6">
        <v>3979</v>
      </c>
      <c r="R4009" s="7">
        <v>46646</v>
      </c>
      <c r="S4009" s="210">
        <v>4.5</v>
      </c>
      <c r="T4009" s="8">
        <v>1.0001249999999999</v>
      </c>
      <c r="U4009" s="98">
        <v>4.5366706849994776</v>
      </c>
      <c r="V4009" s="106">
        <v>37153.138092430221</v>
      </c>
      <c r="W4009" s="10">
        <v>1.2579119770690372</v>
      </c>
      <c r="X4009" s="420"/>
      <c r="Y4009" s="420"/>
    </row>
    <row r="4010" spans="17:25">
      <c r="Q4010" s="6">
        <v>3980</v>
      </c>
      <c r="R4010" s="7">
        <v>46647</v>
      </c>
      <c r="S4010" s="210">
        <v>4.5</v>
      </c>
      <c r="T4010" s="8">
        <v>1.0001249999999999</v>
      </c>
      <c r="U4010" s="98">
        <v>4.5367036326826149</v>
      </c>
      <c r="V4010" s="106">
        <v>37156.333402505719</v>
      </c>
      <c r="W4010" s="10">
        <v>1.2579560283717539</v>
      </c>
      <c r="X4010" s="420"/>
      <c r="Y4010" s="420"/>
    </row>
    <row r="4011" spans="17:25">
      <c r="Q4011" s="6">
        <v>3981</v>
      </c>
      <c r="R4011" s="7">
        <v>46648</v>
      </c>
      <c r="S4011" s="210">
        <v>4.5</v>
      </c>
      <c r="T4011" s="8">
        <v>1.0001249999999999</v>
      </c>
      <c r="U4011" s="98">
        <v>4.5367365638236512</v>
      </c>
      <c r="V4011" s="106">
        <v>37159.528987389938</v>
      </c>
      <c r="W4011" s="10">
        <v>1.2580000575628247</v>
      </c>
      <c r="X4011" s="420"/>
      <c r="Y4011" s="420"/>
    </row>
    <row r="4012" spans="17:25">
      <c r="Q4012" s="6">
        <v>3982</v>
      </c>
      <c r="R4012" s="7">
        <v>46649</v>
      </c>
      <c r="S4012" s="210">
        <v>4.5</v>
      </c>
      <c r="T4012" s="8">
        <v>1.0001249999999999</v>
      </c>
      <c r="U4012" s="98">
        <v>4.5367694784350654</v>
      </c>
      <c r="V4012" s="106">
        <v>37162.724847106518</v>
      </c>
      <c r="W4012" s="10">
        <v>1.2580440646589253</v>
      </c>
      <c r="X4012" s="420"/>
      <c r="Y4012" s="420"/>
    </row>
    <row r="4013" spans="17:25">
      <c r="Q4013" s="6">
        <v>3983</v>
      </c>
      <c r="R4013" s="7">
        <v>46650</v>
      </c>
      <c r="S4013" s="210">
        <v>4.5</v>
      </c>
      <c r="T4013" s="8">
        <v>1.0001249999999999</v>
      </c>
      <c r="U4013" s="98">
        <v>4.5368023765292698</v>
      </c>
      <c r="V4013" s="106">
        <v>37165.920981679097</v>
      </c>
      <c r="W4013" s="10">
        <v>1.2580880496766644</v>
      </c>
      <c r="X4013" s="420"/>
      <c r="Y4013" s="420"/>
    </row>
    <row r="4014" spans="17:25">
      <c r="Q4014" s="6">
        <v>3984</v>
      </c>
      <c r="R4014" s="7">
        <v>46651</v>
      </c>
      <c r="S4014" s="210">
        <v>4.5</v>
      </c>
      <c r="T4014" s="8">
        <v>1.0001249999999999</v>
      </c>
      <c r="U4014" s="98">
        <v>4.536835258118721</v>
      </c>
      <c r="V4014" s="106">
        <v>37169.117391131309</v>
      </c>
      <c r="W4014" s="10">
        <v>1.2581320126326734</v>
      </c>
      <c r="X4014" s="420"/>
      <c r="Y4014" s="420"/>
    </row>
    <row r="4015" spans="17:25">
      <c r="Q4015" s="6">
        <v>3985</v>
      </c>
      <c r="R4015" s="7">
        <v>46652</v>
      </c>
      <c r="S4015" s="210">
        <v>4.5</v>
      </c>
      <c r="T4015" s="8">
        <v>1.0001249999999999</v>
      </c>
      <c r="U4015" s="98">
        <v>4.5368681232158314</v>
      </c>
      <c r="V4015" s="106">
        <v>37172.314075486793</v>
      </c>
      <c r="W4015" s="10">
        <v>1.2581759535435388</v>
      </c>
      <c r="X4015" s="420"/>
      <c r="Y4015" s="420"/>
    </row>
    <row r="4016" spans="17:25">
      <c r="Q4016" s="6">
        <v>3986</v>
      </c>
      <c r="R4016" s="7">
        <v>46653</v>
      </c>
      <c r="S4016" s="210">
        <v>4.5</v>
      </c>
      <c r="T4016" s="8">
        <v>1.0001249999999999</v>
      </c>
      <c r="U4016" s="98">
        <v>4.5369009718329911</v>
      </c>
      <c r="V4016" s="106">
        <v>37175.511034769188</v>
      </c>
      <c r="W4016" s="10">
        <v>1.2582198724258475</v>
      </c>
      <c r="X4016" s="420"/>
      <c r="Y4016" s="420"/>
    </row>
    <row r="4017" spans="17:25">
      <c r="Q4017" s="6">
        <v>3987</v>
      </c>
      <c r="R4017" s="7">
        <v>46654</v>
      </c>
      <c r="S4017" s="210">
        <v>4.5</v>
      </c>
      <c r="T4017" s="8">
        <v>1.0001249999999999</v>
      </c>
      <c r="U4017" s="98">
        <v>4.5369338039826124</v>
      </c>
      <c r="V4017" s="106">
        <v>37178.708269002156</v>
      </c>
      <c r="W4017" s="10">
        <v>1.2582637692961196</v>
      </c>
      <c r="X4017" s="420"/>
      <c r="Y4017" s="420"/>
    </row>
    <row r="4018" spans="17:25">
      <c r="Q4018" s="6">
        <v>3988</v>
      </c>
      <c r="R4018" s="7">
        <v>46655</v>
      </c>
      <c r="S4018" s="210">
        <v>4.5</v>
      </c>
      <c r="T4018" s="8">
        <v>1.0001249999999999</v>
      </c>
      <c r="U4018" s="98">
        <v>4.5369666196770631</v>
      </c>
      <c r="V4018" s="106">
        <v>37181.90577820933</v>
      </c>
      <c r="W4018" s="10">
        <v>1.2583076441709418</v>
      </c>
      <c r="X4018" s="420"/>
      <c r="Y4018" s="420"/>
    </row>
    <row r="4019" spans="17:25">
      <c r="Q4019" s="6">
        <v>3989</v>
      </c>
      <c r="R4019" s="7">
        <v>46656</v>
      </c>
      <c r="S4019" s="210">
        <v>4.5</v>
      </c>
      <c r="T4019" s="8">
        <v>1.0001249999999999</v>
      </c>
      <c r="U4019" s="98">
        <v>4.5369994189287111</v>
      </c>
      <c r="V4019" s="106">
        <v>37185.103562414362</v>
      </c>
      <c r="W4019" s="10">
        <v>1.2583514970668341</v>
      </c>
      <c r="X4019" s="420"/>
      <c r="Y4019" s="420"/>
    </row>
    <row r="4020" spans="17:25">
      <c r="Q4020" s="6">
        <v>3990</v>
      </c>
      <c r="R4020" s="7">
        <v>46657</v>
      </c>
      <c r="S4020" s="210">
        <v>4.5</v>
      </c>
      <c r="T4020" s="8">
        <v>1.0001249999999999</v>
      </c>
      <c r="U4020" s="98">
        <v>4.5370322017499243</v>
      </c>
      <c r="V4020" s="106">
        <v>37188.301621640901</v>
      </c>
      <c r="W4020" s="10">
        <v>1.2583953280002946</v>
      </c>
      <c r="X4020" s="420"/>
      <c r="Y4020" s="420"/>
    </row>
    <row r="4021" spans="17:25">
      <c r="Q4021" s="6">
        <v>3991</v>
      </c>
      <c r="R4021" s="7">
        <v>46658</v>
      </c>
      <c r="S4021" s="210">
        <v>4.5</v>
      </c>
      <c r="T4021" s="8">
        <v>1.0001249999999999</v>
      </c>
      <c r="U4021" s="98">
        <v>4.5370649681530262</v>
      </c>
      <c r="V4021" s="106">
        <v>37191.499955912608</v>
      </c>
      <c r="W4021" s="10">
        <v>1.2584391369878212</v>
      </c>
      <c r="X4021" s="420"/>
      <c r="Y4021" s="420"/>
    </row>
    <row r="4022" spans="17:25">
      <c r="Q4022" s="6">
        <v>3992</v>
      </c>
      <c r="R4022" s="7">
        <v>46659</v>
      </c>
      <c r="S4022" s="210">
        <v>4.5</v>
      </c>
      <c r="T4022" s="8">
        <v>1.0001249999999999</v>
      </c>
      <c r="U4022" s="98">
        <v>4.5370977181503624</v>
      </c>
      <c r="V4022" s="106">
        <v>37194.698565253122</v>
      </c>
      <c r="W4022" s="10">
        <v>1.2584829240459117</v>
      </c>
      <c r="X4022" s="420"/>
      <c r="Y4022" s="420"/>
    </row>
    <row r="4023" spans="17:25">
      <c r="Q4023" s="6">
        <v>3993</v>
      </c>
      <c r="R4023" s="7">
        <v>46660</v>
      </c>
      <c r="S4023" s="210">
        <v>4.5</v>
      </c>
      <c r="T4023" s="8">
        <v>1.0001249999999999</v>
      </c>
      <c r="U4023" s="98">
        <v>4.5371304517542566</v>
      </c>
      <c r="V4023" s="106">
        <v>37197.897449686112</v>
      </c>
      <c r="W4023" s="10">
        <v>1.2585266891910196</v>
      </c>
      <c r="X4023" s="420"/>
      <c r="Y4023" s="420"/>
    </row>
    <row r="4024" spans="17:25">
      <c r="Q4024" s="6">
        <v>3994</v>
      </c>
      <c r="R4024" s="7">
        <v>46661</v>
      </c>
      <c r="S4024" s="210">
        <v>4.5</v>
      </c>
      <c r="T4024" s="8">
        <v>1.0001249999999999</v>
      </c>
      <c r="U4024" s="98">
        <v>4.5371631689769876</v>
      </c>
      <c r="V4024" s="106">
        <v>37201.096609235239</v>
      </c>
      <c r="W4024" s="10">
        <v>1.2585704324395763</v>
      </c>
      <c r="X4024" s="420"/>
      <c r="Y4024" s="420"/>
    </row>
    <row r="4025" spans="17:25">
      <c r="Q4025" s="6">
        <v>3995</v>
      </c>
      <c r="R4025" s="7">
        <v>46662</v>
      </c>
      <c r="S4025" s="210">
        <v>4.5</v>
      </c>
      <c r="T4025" s="8">
        <v>1.0001249999999999</v>
      </c>
      <c r="U4025" s="98">
        <v>4.537195869830879</v>
      </c>
      <c r="V4025" s="106">
        <v>37204.296043924158</v>
      </c>
      <c r="W4025" s="10">
        <v>1.2586141538080131</v>
      </c>
      <c r="X4025" s="420"/>
      <c r="Y4025" s="420"/>
    </row>
    <row r="4026" spans="17:25">
      <c r="Q4026" s="6">
        <v>3996</v>
      </c>
      <c r="R4026" s="7">
        <v>46663</v>
      </c>
      <c r="S4026" s="210">
        <v>4.5</v>
      </c>
      <c r="T4026" s="8">
        <v>1.0001249999999999</v>
      </c>
      <c r="U4026" s="98">
        <v>4.5372285543281876</v>
      </c>
      <c r="V4026" s="106">
        <v>37207.495753776529</v>
      </c>
      <c r="W4026" s="10">
        <v>1.2586578533127391</v>
      </c>
      <c r="X4026" s="420"/>
      <c r="Y4026" s="420"/>
    </row>
    <row r="4027" spans="17:25">
      <c r="Q4027" s="6">
        <v>3997</v>
      </c>
      <c r="R4027" s="7">
        <v>46664</v>
      </c>
      <c r="S4027" s="210">
        <v>4.5</v>
      </c>
      <c r="T4027" s="8">
        <v>1.0001249999999999</v>
      </c>
      <c r="U4027" s="98">
        <v>4.5372612224811926</v>
      </c>
      <c r="V4027" s="106">
        <v>37210.695738816023</v>
      </c>
      <c r="W4027" s="10">
        <v>1.2587015309701854</v>
      </c>
      <c r="X4027" s="420"/>
      <c r="Y4027" s="420"/>
    </row>
    <row r="4028" spans="17:25">
      <c r="Q4028" s="6">
        <v>3998</v>
      </c>
      <c r="R4028" s="7">
        <v>46665</v>
      </c>
      <c r="S4028" s="210">
        <v>4.5</v>
      </c>
      <c r="T4028" s="8">
        <v>1.0001249999999999</v>
      </c>
      <c r="U4028" s="98">
        <v>4.5372938743021507</v>
      </c>
      <c r="V4028" s="106">
        <v>37213.895999066313</v>
      </c>
      <c r="W4028" s="10">
        <v>1.2587451867966726</v>
      </c>
      <c r="X4028" s="420"/>
      <c r="Y4028" s="420"/>
    </row>
    <row r="4029" spans="17:25">
      <c r="Q4029" s="6">
        <v>3999</v>
      </c>
      <c r="R4029" s="7">
        <v>46666</v>
      </c>
      <c r="S4029" s="210">
        <v>4.5</v>
      </c>
      <c r="T4029" s="8">
        <v>1.0001249999999999</v>
      </c>
      <c r="U4029" s="98">
        <v>4.5373265098033189</v>
      </c>
      <c r="V4029" s="106">
        <v>37217.096534551049</v>
      </c>
      <c r="W4029" s="10">
        <v>1.2587888208086095</v>
      </c>
      <c r="X4029" s="420"/>
      <c r="Y4029" s="420"/>
    </row>
    <row r="4030" spans="17:25">
      <c r="Q4030" s="6">
        <v>4000</v>
      </c>
      <c r="R4030" s="7">
        <v>46667</v>
      </c>
      <c r="S4030" s="210">
        <v>4.5</v>
      </c>
      <c r="T4030" s="8">
        <v>1.0001249999999999</v>
      </c>
      <c r="U4030" s="98">
        <v>4.5373591289969095</v>
      </c>
      <c r="V4030" s="106">
        <v>37220.297345293926</v>
      </c>
      <c r="W4030" s="10">
        <v>1.2588324330223388</v>
      </c>
      <c r="X4030" s="420"/>
      <c r="Y4030" s="420"/>
    </row>
    <row r="4031" spans="17:25">
      <c r="Q4031" s="6">
        <v>4001</v>
      </c>
      <c r="R4031" s="7">
        <v>46668</v>
      </c>
      <c r="S4031" s="210">
        <v>4.5</v>
      </c>
      <c r="T4031" s="8">
        <v>1.0001249999999999</v>
      </c>
      <c r="U4031" s="98">
        <v>4.5373917318951573</v>
      </c>
      <c r="V4031" s="106">
        <v>37223.4984313186</v>
      </c>
      <c r="W4031" s="10">
        <v>1.2588760234541585</v>
      </c>
      <c r="X4031" s="420"/>
      <c r="Y4031" s="420"/>
    </row>
    <row r="4032" spans="17:25">
      <c r="Q4032" s="6">
        <v>4002</v>
      </c>
      <c r="R4032" s="7">
        <v>46669</v>
      </c>
      <c r="S4032" s="210">
        <v>4.5</v>
      </c>
      <c r="T4032" s="8">
        <v>1.0001249999999999</v>
      </c>
      <c r="U4032" s="98">
        <v>4.5374243185102525</v>
      </c>
      <c r="V4032" s="106">
        <v>37226.699792648753</v>
      </c>
      <c r="W4032" s="10">
        <v>1.258919592120411</v>
      </c>
      <c r="X4032" s="420"/>
      <c r="Y4032" s="420"/>
    </row>
    <row r="4033" spans="17:25">
      <c r="Q4033" s="6">
        <v>4003</v>
      </c>
      <c r="R4033" s="7">
        <v>46670</v>
      </c>
      <c r="S4033" s="210">
        <v>4.5</v>
      </c>
      <c r="T4033" s="8">
        <v>1.0001249999999999</v>
      </c>
      <c r="U4033" s="98">
        <v>4.5374568888544076</v>
      </c>
      <c r="V4033" s="106">
        <v>37229.901429308055</v>
      </c>
      <c r="W4033" s="10">
        <v>1.2589631390374167</v>
      </c>
      <c r="X4033" s="420"/>
      <c r="Y4033" s="420"/>
    </row>
    <row r="4034" spans="17:25">
      <c r="Q4034" s="6">
        <v>4004</v>
      </c>
      <c r="R4034" s="7">
        <v>46671</v>
      </c>
      <c r="S4034" s="210">
        <v>4.5</v>
      </c>
      <c r="T4034" s="8">
        <v>1.0001249999999999</v>
      </c>
      <c r="U4034" s="98">
        <v>4.5374894429397905</v>
      </c>
      <c r="V4034" s="106">
        <v>37233.103341320195</v>
      </c>
      <c r="W4034" s="10">
        <v>1.2590066642213849</v>
      </c>
      <c r="X4034" s="420"/>
      <c r="Y4034" s="420"/>
    </row>
    <row r="4035" spans="17:25">
      <c r="Q4035" s="6">
        <v>4005</v>
      </c>
      <c r="R4035" s="7">
        <v>46672</v>
      </c>
      <c r="S4035" s="210">
        <v>4.5</v>
      </c>
      <c r="T4035" s="8">
        <v>1.0001249999999999</v>
      </c>
      <c r="U4035" s="98">
        <v>4.5375219807785916</v>
      </c>
      <c r="V4035" s="106">
        <v>37236.30552870885</v>
      </c>
      <c r="W4035" s="10">
        <v>1.2590501676886579</v>
      </c>
      <c r="X4035" s="420"/>
      <c r="Y4035" s="420"/>
    </row>
    <row r="4036" spans="17:25">
      <c r="Q4036" s="6">
        <v>4006</v>
      </c>
      <c r="R4036" s="7">
        <v>46673</v>
      </c>
      <c r="S4036" s="210">
        <v>4.5</v>
      </c>
      <c r="T4036" s="8">
        <v>1.0001249999999999</v>
      </c>
      <c r="U4036" s="98">
        <v>4.5375545023829567</v>
      </c>
      <c r="V4036" s="106">
        <v>37239.50799149771</v>
      </c>
      <c r="W4036" s="10">
        <v>1.259093649455445</v>
      </c>
      <c r="X4036" s="420"/>
      <c r="Y4036" s="420"/>
    </row>
    <row r="4037" spans="17:25">
      <c r="Q4037" s="6">
        <v>4007</v>
      </c>
      <c r="R4037" s="7">
        <v>46674</v>
      </c>
      <c r="S4037" s="210">
        <v>4.5</v>
      </c>
      <c r="T4037" s="8">
        <v>1.0001249999999999</v>
      </c>
      <c r="U4037" s="98">
        <v>4.5375870077650315</v>
      </c>
      <c r="V4037" s="106">
        <v>37242.710729710445</v>
      </c>
      <c r="W4037" s="10">
        <v>1.2591371095379778</v>
      </c>
      <c r="X4037" s="420"/>
      <c r="Y4037" s="420"/>
    </row>
    <row r="4038" spans="17:25">
      <c r="Q4038" s="6">
        <v>4008</v>
      </c>
      <c r="R4038" s="7">
        <v>46675</v>
      </c>
      <c r="S4038" s="210">
        <v>4.5</v>
      </c>
      <c r="T4038" s="8">
        <v>1.0001249999999999</v>
      </c>
      <c r="U4038" s="98">
        <v>4.5376194969369621</v>
      </c>
      <c r="V4038" s="106">
        <v>37245.913743370758</v>
      </c>
      <c r="W4038" s="10">
        <v>1.2591805479524876</v>
      </c>
      <c r="X4038" s="420"/>
      <c r="Y4038" s="420"/>
    </row>
    <row r="4039" spans="17:25">
      <c r="Q4039" s="6">
        <v>4009</v>
      </c>
      <c r="R4039" s="7">
        <v>46676</v>
      </c>
      <c r="S4039" s="210">
        <v>4.5</v>
      </c>
      <c r="T4039" s="8">
        <v>1.0001249999999999</v>
      </c>
      <c r="U4039" s="98">
        <v>4.5376519699108719</v>
      </c>
      <c r="V4039" s="106">
        <v>37249.117032502327</v>
      </c>
      <c r="W4039" s="10">
        <v>1.2592239647151837</v>
      </c>
      <c r="X4039" s="420"/>
      <c r="Y4039" s="420"/>
    </row>
    <row r="4040" spans="17:25">
      <c r="Q4040" s="6">
        <v>4010</v>
      </c>
      <c r="R4040" s="7">
        <v>46677</v>
      </c>
      <c r="S4040" s="210">
        <v>4.5</v>
      </c>
      <c r="T4040" s="8">
        <v>1.0001249999999999</v>
      </c>
      <c r="U4040" s="98">
        <v>4.5376844266988625</v>
      </c>
      <c r="V4040" s="106">
        <v>37252.320597128855</v>
      </c>
      <c r="W4040" s="10">
        <v>1.2592673598422088</v>
      </c>
      <c r="X4040" s="420"/>
      <c r="Y4040" s="420"/>
    </row>
    <row r="4041" spans="17:25">
      <c r="Q4041" s="6">
        <v>4011</v>
      </c>
      <c r="R4041" s="7">
        <v>46678</v>
      </c>
      <c r="S4041" s="210">
        <v>4.5</v>
      </c>
      <c r="T4041" s="8">
        <v>1.0001249999999999</v>
      </c>
      <c r="U4041" s="98">
        <v>4.5377168673130353</v>
      </c>
      <c r="V4041" s="106">
        <v>37255.524437274034</v>
      </c>
      <c r="W4041" s="10">
        <v>1.2593107333497944</v>
      </c>
      <c r="X4041" s="420"/>
      <c r="Y4041" s="420"/>
    </row>
    <row r="4042" spans="17:25">
      <c r="Q4042" s="6">
        <v>4012</v>
      </c>
      <c r="R4042" s="7">
        <v>46679</v>
      </c>
      <c r="S4042" s="210">
        <v>4.5</v>
      </c>
      <c r="T4042" s="8">
        <v>1.0001249999999999</v>
      </c>
      <c r="U4042" s="98">
        <v>4.5377492917654694</v>
      </c>
      <c r="V4042" s="106">
        <v>37258.72855296154</v>
      </c>
      <c r="W4042" s="10">
        <v>1.2593540852540164</v>
      </c>
      <c r="X4042" s="420"/>
      <c r="Y4042" s="420"/>
    </row>
    <row r="4043" spans="17:25">
      <c r="Q4043" s="6">
        <v>4013</v>
      </c>
      <c r="R4043" s="7">
        <v>46680</v>
      </c>
      <c r="S4043" s="210">
        <v>4.5</v>
      </c>
      <c r="T4043" s="8">
        <v>1.0001249999999999</v>
      </c>
      <c r="U4043" s="98">
        <v>4.5377817000682441</v>
      </c>
      <c r="V4043" s="106">
        <v>37261.932944215107</v>
      </c>
      <c r="W4043" s="10">
        <v>1.2593974155710841</v>
      </c>
      <c r="X4043" s="420"/>
      <c r="Y4043" s="420"/>
    </row>
    <row r="4044" spans="17:25">
      <c r="Q4044" s="6">
        <v>4014</v>
      </c>
      <c r="R4044" s="7">
        <v>46681</v>
      </c>
      <c r="S4044" s="210">
        <v>4.5</v>
      </c>
      <c r="T4044" s="8">
        <v>1.0001249999999999</v>
      </c>
      <c r="U4044" s="98">
        <v>4.5378140922334165</v>
      </c>
      <c r="V4044" s="106">
        <v>37265.137611058395</v>
      </c>
      <c r="W4044" s="10">
        <v>1.2594407243170513</v>
      </c>
      <c r="X4044" s="420"/>
      <c r="Y4044" s="420"/>
    </row>
    <row r="4045" spans="17:25">
      <c r="Q4045" s="6">
        <v>4015</v>
      </c>
      <c r="R4045" s="7">
        <v>46682</v>
      </c>
      <c r="S4045" s="210">
        <v>4.5</v>
      </c>
      <c r="T4045" s="8">
        <v>1.0001249999999999</v>
      </c>
      <c r="U4045" s="98">
        <v>4.5378464682730435</v>
      </c>
      <c r="V4045" s="106">
        <v>37268.342553515133</v>
      </c>
      <c r="W4045" s="10">
        <v>1.2594840115080608</v>
      </c>
      <c r="X4045" s="420"/>
      <c r="Y4045" s="420"/>
    </row>
    <row r="4046" spans="17:25">
      <c r="Q4046" s="6">
        <v>4016</v>
      </c>
      <c r="R4046" s="7">
        <v>46683</v>
      </c>
      <c r="S4046" s="210">
        <v>4.5</v>
      </c>
      <c r="T4046" s="8">
        <v>1.0001249999999999</v>
      </c>
      <c r="U4046" s="98">
        <v>4.5378788281991822</v>
      </c>
      <c r="V4046" s="106">
        <v>37271.547771609017</v>
      </c>
      <c r="W4046" s="10">
        <v>1.2595272771602106</v>
      </c>
      <c r="X4046" s="420"/>
      <c r="Y4046" s="420"/>
    </row>
    <row r="4047" spans="17:25">
      <c r="Q4047" s="6">
        <v>4017</v>
      </c>
      <c r="R4047" s="7">
        <v>46684</v>
      </c>
      <c r="S4047" s="210">
        <v>4.5</v>
      </c>
      <c r="T4047" s="8">
        <v>1.0001249999999999</v>
      </c>
      <c r="U4047" s="98">
        <v>4.537911172023823</v>
      </c>
      <c r="V4047" s="106">
        <v>37274.753265363754</v>
      </c>
      <c r="W4047" s="10">
        <v>1.2595705212895547</v>
      </c>
      <c r="X4047" s="420"/>
      <c r="Y4047" s="420"/>
    </row>
    <row r="4048" spans="17:25">
      <c r="Q4048" s="6">
        <v>4018</v>
      </c>
      <c r="R4048" s="7">
        <v>46685</v>
      </c>
      <c r="S4048" s="210">
        <v>4.5</v>
      </c>
      <c r="T4048" s="8">
        <v>1.0001249999999999</v>
      </c>
      <c r="U4048" s="98">
        <v>4.5379434997590007</v>
      </c>
      <c r="V4048" s="106">
        <v>37277.95903480304</v>
      </c>
      <c r="W4048" s="10">
        <v>1.2596137439121469</v>
      </c>
      <c r="X4048" s="420"/>
      <c r="Y4048" s="420"/>
    </row>
    <row r="4049" spans="17:25">
      <c r="Q4049" s="6">
        <v>4019</v>
      </c>
      <c r="R4049" s="7">
        <v>46686</v>
      </c>
      <c r="S4049" s="210">
        <v>4.5</v>
      </c>
      <c r="T4049" s="8">
        <v>1.0001249999999999</v>
      </c>
      <c r="U4049" s="98">
        <v>4.5379758114167279</v>
      </c>
      <c r="V4049" s="106">
        <v>37281.165079950602</v>
      </c>
      <c r="W4049" s="10">
        <v>1.2596569450440409</v>
      </c>
      <c r="X4049" s="420"/>
      <c r="Y4049" s="420"/>
    </row>
    <row r="4050" spans="17:25">
      <c r="Q4050" s="6">
        <v>4020</v>
      </c>
      <c r="R4050" s="7">
        <v>46687</v>
      </c>
      <c r="S4050" s="210">
        <v>4.5</v>
      </c>
      <c r="T4050" s="8">
        <v>1.0001249999999999</v>
      </c>
      <c r="U4050" s="98">
        <v>4.5380081070089728</v>
      </c>
      <c r="V4050" s="106">
        <v>37284.371400830139</v>
      </c>
      <c r="W4050" s="10">
        <v>1.2597001247012241</v>
      </c>
      <c r="X4050" s="420"/>
      <c r="Y4050" s="420"/>
    </row>
    <row r="4051" spans="17:25">
      <c r="Q4051" s="6">
        <v>4021</v>
      </c>
      <c r="R4051" s="7">
        <v>46688</v>
      </c>
      <c r="S4051" s="210">
        <v>4.5</v>
      </c>
      <c r="T4051" s="8">
        <v>1.0001249999999999</v>
      </c>
      <c r="U4051" s="98">
        <v>4.5380403865477259</v>
      </c>
      <c r="V4051" s="106">
        <v>37287.577997465378</v>
      </c>
      <c r="W4051" s="10">
        <v>1.2597432828997501</v>
      </c>
      <c r="X4051" s="420"/>
      <c r="Y4051" s="420"/>
    </row>
    <row r="4052" spans="17:25">
      <c r="Q4052" s="6">
        <v>4022</v>
      </c>
      <c r="R4052" s="7">
        <v>46689</v>
      </c>
      <c r="S4052" s="210">
        <v>4.5</v>
      </c>
      <c r="T4052" s="8">
        <v>1.0001249999999999</v>
      </c>
      <c r="U4052" s="98">
        <v>4.5380726500449553</v>
      </c>
      <c r="V4052" s="106">
        <v>37290.78486988003</v>
      </c>
      <c r="W4052" s="10">
        <v>1.2597864196556063</v>
      </c>
      <c r="X4052" s="420"/>
      <c r="Y4052" s="420"/>
    </row>
    <row r="4053" spans="17:25">
      <c r="Q4053" s="6">
        <v>4023</v>
      </c>
      <c r="R4053" s="7">
        <v>46690</v>
      </c>
      <c r="S4053" s="210">
        <v>4.5</v>
      </c>
      <c r="T4053" s="8">
        <v>1.0001249999999999</v>
      </c>
      <c r="U4053" s="98">
        <v>4.538104897512607</v>
      </c>
      <c r="V4053" s="106">
        <v>37293.992018097808</v>
      </c>
      <c r="W4053" s="10">
        <v>1.2598295349847355</v>
      </c>
      <c r="X4053" s="420"/>
      <c r="Y4053" s="420"/>
    </row>
    <row r="4054" spans="17:25">
      <c r="Q4054" s="6">
        <v>4024</v>
      </c>
      <c r="R4054" s="7">
        <v>46691</v>
      </c>
      <c r="S4054" s="210">
        <v>4.5</v>
      </c>
      <c r="T4054" s="8">
        <v>1.0001249999999999</v>
      </c>
      <c r="U4054" s="98">
        <v>4.5381371289626493</v>
      </c>
      <c r="V4054" s="106">
        <v>37297.199442142439</v>
      </c>
      <c r="W4054" s="10">
        <v>1.259872628903147</v>
      </c>
      <c r="X4054" s="420"/>
      <c r="Y4054" s="420"/>
    </row>
    <row r="4055" spans="17:25">
      <c r="Q4055" s="6">
        <v>4025</v>
      </c>
      <c r="R4055" s="7">
        <v>46692</v>
      </c>
      <c r="S4055" s="210">
        <v>4.5</v>
      </c>
      <c r="T4055" s="8">
        <v>1.0001249999999999</v>
      </c>
      <c r="U4055" s="98">
        <v>4.5381693444069837</v>
      </c>
      <c r="V4055" s="106">
        <v>37300.407142037635</v>
      </c>
      <c r="W4055" s="10">
        <v>1.2599157014267393</v>
      </c>
      <c r="X4055" s="420"/>
      <c r="Y4055" s="420"/>
    </row>
    <row r="4056" spans="17:25">
      <c r="Q4056" s="6">
        <v>4026</v>
      </c>
      <c r="R4056" s="7">
        <v>46693</v>
      </c>
      <c r="S4056" s="210">
        <v>4.5</v>
      </c>
      <c r="T4056" s="8">
        <v>1.0001249999999999</v>
      </c>
      <c r="U4056" s="98">
        <v>4.538201543857534</v>
      </c>
      <c r="V4056" s="106">
        <v>37303.615117807123</v>
      </c>
      <c r="W4056" s="10">
        <v>1.2599587525714551</v>
      </c>
      <c r="X4056" s="420"/>
      <c r="Y4056" s="420"/>
    </row>
    <row r="4057" spans="17:25">
      <c r="Q4057" s="6">
        <v>4027</v>
      </c>
      <c r="R4057" s="7">
        <v>46694</v>
      </c>
      <c r="S4057" s="210">
        <v>4.5</v>
      </c>
      <c r="T4057" s="8">
        <v>1.0001249999999999</v>
      </c>
      <c r="U4057" s="98">
        <v>4.5382337273262241</v>
      </c>
      <c r="V4057" s="106">
        <v>37306.823369474638</v>
      </c>
      <c r="W4057" s="10">
        <v>1.260001782353215</v>
      </c>
      <c r="X4057" s="420"/>
      <c r="Y4057" s="420"/>
    </row>
    <row r="4058" spans="17:25">
      <c r="Q4058" s="6">
        <v>4028</v>
      </c>
      <c r="R4058" s="7">
        <v>46695</v>
      </c>
      <c r="S4058" s="210">
        <v>4.5</v>
      </c>
      <c r="T4058" s="8">
        <v>1.0001249999999999</v>
      </c>
      <c r="U4058" s="98">
        <v>4.5382658948249333</v>
      </c>
      <c r="V4058" s="106">
        <v>37310.031897063898</v>
      </c>
      <c r="W4058" s="10">
        <v>1.2600447907879175</v>
      </c>
      <c r="X4058" s="420"/>
      <c r="Y4058" s="420"/>
    </row>
    <row r="4059" spans="17:25">
      <c r="Q4059" s="6">
        <v>4029</v>
      </c>
      <c r="R4059" s="7">
        <v>46696</v>
      </c>
      <c r="S4059" s="210">
        <v>4.5</v>
      </c>
      <c r="T4059" s="8">
        <v>1.0001249999999999</v>
      </c>
      <c r="U4059" s="98">
        <v>4.5382980463655631</v>
      </c>
      <c r="V4059" s="106">
        <v>37313.240700598646</v>
      </c>
      <c r="W4059" s="10">
        <v>1.2600877778914388</v>
      </c>
      <c r="X4059" s="420"/>
      <c r="Y4059" s="420"/>
    </row>
    <row r="4060" spans="17:25">
      <c r="Q4060" s="6">
        <v>4030</v>
      </c>
      <c r="R4060" s="7">
        <v>46697</v>
      </c>
      <c r="S4060" s="210">
        <v>4.5</v>
      </c>
      <c r="T4060" s="8">
        <v>1.0001249999999999</v>
      </c>
      <c r="U4060" s="98">
        <v>4.5383301819599708</v>
      </c>
      <c r="V4060" s="106">
        <v>37316.449780102601</v>
      </c>
      <c r="W4060" s="10">
        <v>1.2601307436796549</v>
      </c>
      <c r="X4060" s="420"/>
      <c r="Y4060" s="420"/>
    </row>
    <row r="4061" spans="17:25">
      <c r="Q4061" s="6">
        <v>4031</v>
      </c>
      <c r="R4061" s="7">
        <v>46698</v>
      </c>
      <c r="S4061" s="210">
        <v>4.5</v>
      </c>
      <c r="T4061" s="8">
        <v>1.0001249999999999</v>
      </c>
      <c r="U4061" s="98">
        <v>4.5383623016200136</v>
      </c>
      <c r="V4061" s="106">
        <v>37319.659135599504</v>
      </c>
      <c r="W4061" s="10">
        <v>1.2601736881683978</v>
      </c>
      <c r="X4061" s="420"/>
      <c r="Y4061" s="420"/>
    </row>
    <row r="4062" spans="17:25">
      <c r="Q4062" s="6">
        <v>4032</v>
      </c>
      <c r="R4062" s="7">
        <v>46699</v>
      </c>
      <c r="S4062" s="210">
        <v>4.5</v>
      </c>
      <c r="T4062" s="8">
        <v>1.0001249999999999</v>
      </c>
      <c r="U4062" s="98">
        <v>4.5383944053575487</v>
      </c>
      <c r="V4062" s="106">
        <v>37322.86876711309</v>
      </c>
      <c r="W4062" s="10">
        <v>1.2602166113735214</v>
      </c>
      <c r="X4062" s="420"/>
      <c r="Y4062" s="420"/>
    </row>
    <row r="4063" spans="17:25">
      <c r="Q4063" s="6">
        <v>4033</v>
      </c>
      <c r="R4063" s="7">
        <v>46700</v>
      </c>
      <c r="S4063" s="210">
        <v>4.5</v>
      </c>
      <c r="T4063" s="8">
        <v>1.0001249999999999</v>
      </c>
      <c r="U4063" s="98">
        <v>4.5384264931844109</v>
      </c>
      <c r="V4063" s="106">
        <v>37326.0786746671</v>
      </c>
      <c r="W4063" s="10">
        <v>1.260259513310813</v>
      </c>
      <c r="X4063" s="420"/>
      <c r="Y4063" s="420"/>
    </row>
    <row r="4064" spans="17:25">
      <c r="Q4064" s="6">
        <v>4034</v>
      </c>
      <c r="R4064" s="7">
        <v>46701</v>
      </c>
      <c r="S4064" s="210">
        <v>4.5</v>
      </c>
      <c r="T4064" s="8">
        <v>1.0001249999999999</v>
      </c>
      <c r="U4064" s="98">
        <v>4.5384585651124354</v>
      </c>
      <c r="V4064" s="106">
        <v>37329.288858285276</v>
      </c>
      <c r="W4064" s="10">
        <v>1.2603023939961044</v>
      </c>
      <c r="X4064" s="420"/>
      <c r="Y4064" s="420"/>
    </row>
    <row r="4065" spans="17:25">
      <c r="Q4065" s="6">
        <v>4035</v>
      </c>
      <c r="R4065" s="7">
        <v>46702</v>
      </c>
      <c r="S4065" s="210">
        <v>4.5</v>
      </c>
      <c r="T4065" s="8">
        <v>1.0001249999999999</v>
      </c>
      <c r="U4065" s="98">
        <v>4.5384906211534126</v>
      </c>
      <c r="V4065" s="106">
        <v>37332.499317991351</v>
      </c>
      <c r="W4065" s="10">
        <v>1.2603452534451831</v>
      </c>
      <c r="X4065" s="420"/>
      <c r="Y4065" s="420"/>
    </row>
    <row r="4066" spans="17:25">
      <c r="Q4066" s="6">
        <v>4036</v>
      </c>
      <c r="R4066" s="7">
        <v>46703</v>
      </c>
      <c r="S4066" s="210">
        <v>4.5</v>
      </c>
      <c r="T4066" s="8">
        <v>1.0001249999999999</v>
      </c>
      <c r="U4066" s="98">
        <v>4.5385226613191554</v>
      </c>
      <c r="V4066" s="106">
        <v>37335.710053809074</v>
      </c>
      <c r="W4066" s="10">
        <v>1.260388091673792</v>
      </c>
      <c r="X4066" s="420"/>
      <c r="Y4066" s="420"/>
    </row>
    <row r="4067" spans="17:25">
      <c r="Q4067" s="6">
        <v>4037</v>
      </c>
      <c r="R4067" s="7">
        <v>46704</v>
      </c>
      <c r="S4067" s="210">
        <v>4.5</v>
      </c>
      <c r="T4067" s="8">
        <v>1.0001249999999999</v>
      </c>
      <c r="U4067" s="98">
        <v>4.5385546856214543</v>
      </c>
      <c r="V4067" s="106">
        <v>37338.921065762195</v>
      </c>
      <c r="W4067" s="10">
        <v>1.2604309086977183</v>
      </c>
      <c r="X4067" s="420"/>
      <c r="Y4067" s="420"/>
    </row>
    <row r="4068" spans="17:25">
      <c r="Q4068" s="6">
        <v>4038</v>
      </c>
      <c r="R4068" s="7">
        <v>46705</v>
      </c>
      <c r="S4068" s="210">
        <v>4.5</v>
      </c>
      <c r="T4068" s="8">
        <v>1.0001249999999999</v>
      </c>
      <c r="U4068" s="98">
        <v>4.5385866940720998</v>
      </c>
      <c r="V4068" s="106">
        <v>37342.132353874462</v>
      </c>
      <c r="W4068" s="10">
        <v>1.260473704532683</v>
      </c>
      <c r="X4068" s="420"/>
      <c r="Y4068" s="420"/>
    </row>
    <row r="4069" spans="17:25">
      <c r="Q4069" s="6">
        <v>4039</v>
      </c>
      <c r="R4069" s="7">
        <v>46706</v>
      </c>
      <c r="S4069" s="210">
        <v>4.5</v>
      </c>
      <c r="T4069" s="8">
        <v>1.0001249999999999</v>
      </c>
      <c r="U4069" s="98">
        <v>4.5386186866828382</v>
      </c>
      <c r="V4069" s="106">
        <v>37345.34391816963</v>
      </c>
      <c r="W4069" s="10">
        <v>1.2605164791944068</v>
      </c>
      <c r="X4069" s="420"/>
      <c r="Y4069" s="420"/>
    </row>
    <row r="4070" spans="17:25">
      <c r="Q4070" s="6">
        <v>4040</v>
      </c>
      <c r="R4070" s="7">
        <v>46707</v>
      </c>
      <c r="S4070" s="210">
        <v>4.5</v>
      </c>
      <c r="T4070" s="8">
        <v>1.0001249999999999</v>
      </c>
      <c r="U4070" s="98">
        <v>4.5386506634654378</v>
      </c>
      <c r="V4070" s="106">
        <v>37348.555758671442</v>
      </c>
      <c r="W4070" s="10">
        <v>1.2605592326986326</v>
      </c>
      <c r="X4070" s="420"/>
      <c r="Y4070" s="420"/>
    </row>
    <row r="4071" spans="17:25">
      <c r="Q4071" s="6">
        <v>4041</v>
      </c>
      <c r="R4071" s="7">
        <v>46708</v>
      </c>
      <c r="S4071" s="210">
        <v>4.5</v>
      </c>
      <c r="T4071" s="8">
        <v>1.0001249999999999</v>
      </c>
      <c r="U4071" s="98">
        <v>4.5386826244316447</v>
      </c>
      <c r="V4071" s="106">
        <v>37351.767875403661</v>
      </c>
      <c r="W4071" s="10">
        <v>1.2606019650610367</v>
      </c>
      <c r="X4071" s="420"/>
      <c r="Y4071" s="420"/>
    </row>
    <row r="4072" spans="17:25">
      <c r="Q4072" s="6">
        <v>4042</v>
      </c>
      <c r="R4072" s="7">
        <v>46709</v>
      </c>
      <c r="S4072" s="210">
        <v>4.5</v>
      </c>
      <c r="T4072" s="8">
        <v>1.0001249999999999</v>
      </c>
      <c r="U4072" s="98">
        <v>4.538714569593183</v>
      </c>
      <c r="V4072" s="106">
        <v>37354.980268390034</v>
      </c>
      <c r="W4072" s="10">
        <v>1.2606446762972956</v>
      </c>
      <c r="X4072" s="420"/>
      <c r="Y4072" s="420"/>
    </row>
    <row r="4073" spans="17:25">
      <c r="Q4073" s="6">
        <v>4043</v>
      </c>
      <c r="R4073" s="7">
        <v>46710</v>
      </c>
      <c r="S4073" s="210">
        <v>4.5</v>
      </c>
      <c r="T4073" s="8">
        <v>1.0001249999999999</v>
      </c>
      <c r="U4073" s="98">
        <v>4.5387464989617765</v>
      </c>
      <c r="V4073" s="106">
        <v>37358.192937654327</v>
      </c>
      <c r="W4073" s="10">
        <v>1.2606873664230633</v>
      </c>
      <c r="X4073" s="420"/>
      <c r="Y4073" s="420"/>
    </row>
    <row r="4074" spans="17:25">
      <c r="Q4074" s="6">
        <v>4044</v>
      </c>
      <c r="R4074" s="7">
        <v>46711</v>
      </c>
      <c r="S4074" s="210">
        <v>4.5</v>
      </c>
      <c r="T4074" s="8">
        <v>1.0001249999999999</v>
      </c>
      <c r="U4074" s="98">
        <v>4.5387784125491271</v>
      </c>
      <c r="V4074" s="106">
        <v>37361.405883220294</v>
      </c>
      <c r="W4074" s="10">
        <v>1.2607300354539941</v>
      </c>
      <c r="X4074" s="420"/>
      <c r="Y4074" s="420"/>
    </row>
    <row r="4075" spans="17:25">
      <c r="Q4075" s="6">
        <v>4045</v>
      </c>
      <c r="R4075" s="7">
        <v>46712</v>
      </c>
      <c r="S4075" s="210">
        <v>4.5</v>
      </c>
      <c r="T4075" s="8">
        <v>1.0001249999999999</v>
      </c>
      <c r="U4075" s="98">
        <v>4.5388103103669364</v>
      </c>
      <c r="V4075" s="106">
        <v>37364.619105111713</v>
      </c>
      <c r="W4075" s="10">
        <v>1.2607726834056976</v>
      </c>
      <c r="X4075" s="420"/>
      <c r="Y4075" s="420"/>
    </row>
    <row r="4076" spans="17:25">
      <c r="Q4076" s="6">
        <v>4046</v>
      </c>
      <c r="R4076" s="7">
        <v>46713</v>
      </c>
      <c r="S4076" s="210">
        <v>4.5</v>
      </c>
      <c r="T4076" s="8">
        <v>1.0001249999999999</v>
      </c>
      <c r="U4076" s="98">
        <v>4.538842192426884</v>
      </c>
      <c r="V4076" s="106">
        <v>37367.832603352341</v>
      </c>
      <c r="W4076" s="10">
        <v>1.260815310293828</v>
      </c>
      <c r="X4076" s="420"/>
      <c r="Y4076" s="420"/>
    </row>
    <row r="4077" spans="17:25">
      <c r="Q4077" s="6">
        <v>4047</v>
      </c>
      <c r="R4077" s="7">
        <v>46714</v>
      </c>
      <c r="S4077" s="210">
        <v>4.5</v>
      </c>
      <c r="T4077" s="8">
        <v>1.0001249999999999</v>
      </c>
      <c r="U4077" s="98">
        <v>4.5388740587406495</v>
      </c>
      <c r="V4077" s="106">
        <v>37371.04637796594</v>
      </c>
      <c r="W4077" s="10">
        <v>1.2608579161339728</v>
      </c>
      <c r="X4077" s="420"/>
      <c r="Y4077" s="420"/>
    </row>
    <row r="4078" spans="17:25">
      <c r="Q4078" s="6">
        <v>4048</v>
      </c>
      <c r="R4078" s="7">
        <v>46715</v>
      </c>
      <c r="S4078" s="210">
        <v>4.5</v>
      </c>
      <c r="T4078" s="8">
        <v>1.0001249999999999</v>
      </c>
      <c r="U4078" s="98">
        <v>4.5389059093198902</v>
      </c>
      <c r="V4078" s="106">
        <v>37374.260428976282</v>
      </c>
      <c r="W4078" s="10">
        <v>1.2609005009416974</v>
      </c>
      <c r="X4078" s="420"/>
      <c r="Y4078" s="420"/>
    </row>
    <row r="4079" spans="17:25">
      <c r="Q4079" s="6">
        <v>4049</v>
      </c>
      <c r="R4079" s="7">
        <v>46716</v>
      </c>
      <c r="S4079" s="210">
        <v>4.5</v>
      </c>
      <c r="T4079" s="8">
        <v>1.0001249999999999</v>
      </c>
      <c r="U4079" s="98">
        <v>4.5389377441762635</v>
      </c>
      <c r="V4079" s="106">
        <v>37377.474756407137</v>
      </c>
      <c r="W4079" s="10">
        <v>1.2609430647325892</v>
      </c>
      <c r="X4079" s="420"/>
      <c r="Y4079" s="420"/>
    </row>
    <row r="4080" spans="17:25">
      <c r="Q4080" s="6">
        <v>4050</v>
      </c>
      <c r="R4080" s="7">
        <v>46717</v>
      </c>
      <c r="S4080" s="210">
        <v>4.5</v>
      </c>
      <c r="T4080" s="8">
        <v>1.0001249999999999</v>
      </c>
      <c r="U4080" s="98">
        <v>4.5389695633214044</v>
      </c>
      <c r="V4080" s="106">
        <v>37380.689360282289</v>
      </c>
      <c r="W4080" s="10">
        <v>1.2609856075222137</v>
      </c>
      <c r="X4080" s="420"/>
      <c r="Y4080" s="420"/>
    </row>
    <row r="4081" spans="17:25">
      <c r="Q4081" s="6">
        <v>4051</v>
      </c>
      <c r="R4081" s="7">
        <v>46718</v>
      </c>
      <c r="S4081" s="210">
        <v>4.5</v>
      </c>
      <c r="T4081" s="8">
        <v>1.0001249999999999</v>
      </c>
      <c r="U4081" s="98">
        <v>4.5390013667669482</v>
      </c>
      <c r="V4081" s="106">
        <v>37383.904240625503</v>
      </c>
      <c r="W4081" s="10">
        <v>1.2610281293260917</v>
      </c>
      <c r="X4081" s="420"/>
      <c r="Y4081" s="420"/>
    </row>
    <row r="4082" spans="17:25">
      <c r="Q4082" s="6">
        <v>4052</v>
      </c>
      <c r="R4082" s="7">
        <v>46719</v>
      </c>
      <c r="S4082" s="210">
        <v>4.5</v>
      </c>
      <c r="T4082" s="8">
        <v>1.0001249999999999</v>
      </c>
      <c r="U4082" s="98">
        <v>4.5390331545245077</v>
      </c>
      <c r="V4082" s="106">
        <v>37387.119397460556</v>
      </c>
      <c r="W4082" s="10">
        <v>1.2610706301597663</v>
      </c>
      <c r="X4082" s="420"/>
      <c r="Y4082" s="420"/>
    </row>
    <row r="4083" spans="17:25">
      <c r="Q4083" s="6">
        <v>4053</v>
      </c>
      <c r="R4083" s="7">
        <v>46720</v>
      </c>
      <c r="S4083" s="210">
        <v>4.5</v>
      </c>
      <c r="T4083" s="8">
        <v>1.0001249999999999</v>
      </c>
      <c r="U4083" s="98">
        <v>4.5390649266056959</v>
      </c>
      <c r="V4083" s="106">
        <v>37390.334830811225</v>
      </c>
      <c r="W4083" s="10">
        <v>1.2611131100387363</v>
      </c>
      <c r="X4083" s="420"/>
      <c r="Y4083" s="420"/>
    </row>
    <row r="4084" spans="17:25">
      <c r="Q4084" s="6">
        <v>4054</v>
      </c>
      <c r="R4084" s="7">
        <v>46721</v>
      </c>
      <c r="S4084" s="210">
        <v>4.5</v>
      </c>
      <c r="T4084" s="8">
        <v>1.0001249999999999</v>
      </c>
      <c r="U4084" s="98">
        <v>4.5390966830221036</v>
      </c>
      <c r="V4084" s="106">
        <v>37393.550540701304</v>
      </c>
      <c r="W4084" s="10">
        <v>1.2611555689785003</v>
      </c>
      <c r="X4084" s="420"/>
      <c r="Y4084" s="420"/>
    </row>
    <row r="4085" spans="17:25">
      <c r="Q4085" s="6">
        <v>4055</v>
      </c>
      <c r="R4085" s="7">
        <v>46722</v>
      </c>
      <c r="S4085" s="210">
        <v>4.5</v>
      </c>
      <c r="T4085" s="8">
        <v>1.0001249999999999</v>
      </c>
      <c r="U4085" s="98">
        <v>4.5391284237852991</v>
      </c>
      <c r="V4085" s="106">
        <v>37396.766527154563</v>
      </c>
      <c r="W4085" s="10">
        <v>1.261198006994535</v>
      </c>
      <c r="X4085" s="420"/>
      <c r="Y4085" s="420"/>
    </row>
    <row r="4086" spans="17:25">
      <c r="Q4086" s="6">
        <v>4056</v>
      </c>
      <c r="R4086" s="7">
        <v>46723</v>
      </c>
      <c r="S4086" s="210">
        <v>4.5</v>
      </c>
      <c r="T4086" s="8">
        <v>1.0001249999999999</v>
      </c>
      <c r="U4086" s="98">
        <v>4.5391601489068512</v>
      </c>
      <c r="V4086" s="106">
        <v>37399.982790194794</v>
      </c>
      <c r="W4086" s="10">
        <v>1.2612404241022723</v>
      </c>
      <c r="X4086" s="420"/>
      <c r="Y4086" s="420"/>
    </row>
    <row r="4087" spans="17:25">
      <c r="Q4087" s="6">
        <v>4057</v>
      </c>
      <c r="R4087" s="7">
        <v>46724</v>
      </c>
      <c r="S4087" s="210">
        <v>4.5</v>
      </c>
      <c r="T4087" s="8">
        <v>1.0001249999999999</v>
      </c>
      <c r="U4087" s="98">
        <v>4.5391918583983282</v>
      </c>
      <c r="V4087" s="106">
        <v>37403.199329845775</v>
      </c>
      <c r="W4087" s="10">
        <v>1.2612828203171889</v>
      </c>
      <c r="X4087" s="420"/>
      <c r="Y4087" s="420"/>
    </row>
    <row r="4088" spans="17:25">
      <c r="Q4088" s="6">
        <v>4058</v>
      </c>
      <c r="R4088" s="7">
        <v>46725</v>
      </c>
      <c r="S4088" s="210">
        <v>4.5</v>
      </c>
      <c r="T4088" s="8">
        <v>1.0001249999999999</v>
      </c>
      <c r="U4088" s="98">
        <v>4.5392235522712987</v>
      </c>
      <c r="V4088" s="106">
        <v>37406.41614613132</v>
      </c>
      <c r="W4088" s="10">
        <v>1.2613251956547389</v>
      </c>
      <c r="X4088" s="420"/>
      <c r="Y4088" s="420"/>
    </row>
    <row r="4089" spans="17:25">
      <c r="Q4089" s="6">
        <v>4059</v>
      </c>
      <c r="R4089" s="7">
        <v>46726</v>
      </c>
      <c r="S4089" s="210">
        <v>4.5</v>
      </c>
      <c r="T4089" s="8">
        <v>1.0001249999999999</v>
      </c>
      <c r="U4089" s="98">
        <v>4.5392552305372647</v>
      </c>
      <c r="V4089" s="106">
        <v>37409.633239075192</v>
      </c>
      <c r="W4089" s="10">
        <v>1.2613675501303101</v>
      </c>
      <c r="X4089" s="420"/>
      <c r="Y4089" s="420"/>
    </row>
    <row r="4090" spans="17:25">
      <c r="Q4090" s="6">
        <v>4060</v>
      </c>
      <c r="R4090" s="7">
        <v>46727</v>
      </c>
      <c r="S4090" s="210">
        <v>4.5</v>
      </c>
      <c r="T4090" s="8">
        <v>1.0001249999999999</v>
      </c>
      <c r="U4090" s="98">
        <v>4.5392868932077723</v>
      </c>
      <c r="V4090" s="106">
        <v>37412.850608701199</v>
      </c>
      <c r="W4090" s="10">
        <v>1.2614098837592902</v>
      </c>
      <c r="X4090" s="420"/>
      <c r="Y4090" s="420"/>
    </row>
    <row r="4091" spans="17:25">
      <c r="Q4091" s="6">
        <v>4061</v>
      </c>
      <c r="R4091" s="7">
        <v>46728</v>
      </c>
      <c r="S4091" s="210">
        <v>4.5</v>
      </c>
      <c r="T4091" s="8">
        <v>1.0001249999999999</v>
      </c>
      <c r="U4091" s="98">
        <v>4.5393185402943237</v>
      </c>
      <c r="V4091" s="106">
        <v>37416.068255033133</v>
      </c>
      <c r="W4091" s="10">
        <v>1.2614521965571113</v>
      </c>
      <c r="X4091" s="420"/>
      <c r="Y4091" s="420"/>
    </row>
    <row r="4092" spans="17:25">
      <c r="Q4092" s="6">
        <v>4062</v>
      </c>
      <c r="R4092" s="7">
        <v>46729</v>
      </c>
      <c r="S4092" s="210">
        <v>4.5</v>
      </c>
      <c r="T4092" s="8">
        <v>1.0001249999999999</v>
      </c>
      <c r="U4092" s="98">
        <v>4.5393501718084206</v>
      </c>
      <c r="V4092" s="106">
        <v>37419.286178094801</v>
      </c>
      <c r="W4092" s="10">
        <v>1.2614944885390944</v>
      </c>
      <c r="X4092" s="420"/>
      <c r="Y4092" s="420"/>
    </row>
    <row r="4093" spans="17:25">
      <c r="Q4093" s="6">
        <v>4063</v>
      </c>
      <c r="R4093" s="7">
        <v>46730</v>
      </c>
      <c r="S4093" s="210">
        <v>4.5</v>
      </c>
      <c r="T4093" s="8">
        <v>1.0001249999999999</v>
      </c>
      <c r="U4093" s="98">
        <v>4.539381787761565</v>
      </c>
      <c r="V4093" s="106">
        <v>37422.504377909994</v>
      </c>
      <c r="W4093" s="10">
        <v>1.2615367597206273</v>
      </c>
      <c r="X4093" s="420"/>
      <c r="Y4093" s="420"/>
    </row>
    <row r="4094" spans="17:25">
      <c r="Q4094" s="6">
        <v>4064</v>
      </c>
      <c r="R4094" s="7">
        <v>46731</v>
      </c>
      <c r="S4094" s="210">
        <v>4.5</v>
      </c>
      <c r="T4094" s="8">
        <v>1.0001249999999999</v>
      </c>
      <c r="U4094" s="98">
        <v>4.5394133881652365</v>
      </c>
      <c r="V4094" s="106">
        <v>37425.722854502514</v>
      </c>
      <c r="W4094" s="10">
        <v>1.2615790101170532</v>
      </c>
      <c r="X4094" s="420"/>
      <c r="Y4094" s="420"/>
    </row>
    <row r="4095" spans="17:25">
      <c r="Q4095" s="6">
        <v>4065</v>
      </c>
      <c r="R4095" s="7">
        <v>46732</v>
      </c>
      <c r="S4095" s="210">
        <v>4.5</v>
      </c>
      <c r="T4095" s="8">
        <v>1.0001249999999999</v>
      </c>
      <c r="U4095" s="98">
        <v>4.5394449730308928</v>
      </c>
      <c r="V4095" s="106">
        <v>37428.941607896166</v>
      </c>
      <c r="W4095" s="10">
        <v>1.2616212397436932</v>
      </c>
      <c r="X4095" s="420"/>
      <c r="Y4095" s="420"/>
    </row>
    <row r="4096" spans="17:25">
      <c r="Q4096" s="6">
        <v>4066</v>
      </c>
      <c r="R4096" s="7">
        <v>46733</v>
      </c>
      <c r="S4096" s="210">
        <v>4.5</v>
      </c>
      <c r="T4096" s="8">
        <v>1.0001249999999999</v>
      </c>
      <c r="U4096" s="98">
        <v>4.5394765423699912</v>
      </c>
      <c r="V4096" s="106">
        <v>37432.16063811475</v>
      </c>
      <c r="W4096" s="10">
        <v>1.2616634486158462</v>
      </c>
      <c r="X4096" s="420"/>
      <c r="Y4096" s="420"/>
    </row>
    <row r="4097" spans="17:25">
      <c r="Q4097" s="6">
        <v>4067</v>
      </c>
      <c r="R4097" s="7">
        <v>46734</v>
      </c>
      <c r="S4097" s="210">
        <v>4.5</v>
      </c>
      <c r="T4097" s="8">
        <v>1.0001249999999999</v>
      </c>
      <c r="U4097" s="98">
        <v>4.5395080961939893</v>
      </c>
      <c r="V4097" s="106">
        <v>37435.379945182089</v>
      </c>
      <c r="W4097" s="10">
        <v>1.2617056367488333</v>
      </c>
      <c r="X4097" s="420"/>
      <c r="Y4097" s="420"/>
    </row>
    <row r="4098" spans="17:25">
      <c r="Q4098" s="6">
        <v>4068</v>
      </c>
      <c r="R4098" s="7">
        <v>46735</v>
      </c>
      <c r="S4098" s="210">
        <v>4.5</v>
      </c>
      <c r="T4098" s="8">
        <v>1.0001249999999999</v>
      </c>
      <c r="U4098" s="98">
        <v>4.5395396345143224</v>
      </c>
      <c r="V4098" s="106">
        <v>37438.599529121973</v>
      </c>
      <c r="W4098" s="10">
        <v>1.2617478041579089</v>
      </c>
      <c r="X4098" s="420"/>
      <c r="Y4098" s="420"/>
    </row>
    <row r="4099" spans="17:25">
      <c r="Q4099" s="6">
        <v>4069</v>
      </c>
      <c r="R4099" s="7">
        <v>46736</v>
      </c>
      <c r="S4099" s="210">
        <v>4.5</v>
      </c>
      <c r="T4099" s="8">
        <v>1.0001249999999999</v>
      </c>
      <c r="U4099" s="98">
        <v>4.5395711573424036</v>
      </c>
      <c r="V4099" s="106">
        <v>37441.819389958233</v>
      </c>
      <c r="W4099" s="10">
        <v>1.2617899508583497</v>
      </c>
      <c r="X4099" s="420"/>
      <c r="Y4099" s="420"/>
    </row>
    <row r="4100" spans="17:25">
      <c r="Q4100" s="6">
        <v>4070</v>
      </c>
      <c r="R4100" s="7">
        <v>46737</v>
      </c>
      <c r="S4100" s="210">
        <v>4.5</v>
      </c>
      <c r="T4100" s="8">
        <v>1.0001249999999999</v>
      </c>
      <c r="U4100" s="98">
        <v>4.5396026646896459</v>
      </c>
      <c r="V4100" s="106">
        <v>37445.039527714682</v>
      </c>
      <c r="W4100" s="10">
        <v>1.2618320768654323</v>
      </c>
      <c r="X4100" s="420"/>
      <c r="Y4100" s="420"/>
    </row>
    <row r="4101" spans="17:25">
      <c r="Q4101" s="6">
        <v>4071</v>
      </c>
      <c r="R4101" s="7">
        <v>46738</v>
      </c>
      <c r="S4101" s="210">
        <v>4.5</v>
      </c>
      <c r="T4101" s="8">
        <v>1.0001249999999999</v>
      </c>
      <c r="U4101" s="98">
        <v>4.5396341565674625</v>
      </c>
      <c r="V4101" s="106">
        <v>37448.259942415119</v>
      </c>
      <c r="W4101" s="10">
        <v>1.2618741821943447</v>
      </c>
      <c r="X4101" s="420"/>
      <c r="Y4101" s="420"/>
    </row>
    <row r="4102" spans="17:25">
      <c r="Q4102" s="6">
        <v>4072</v>
      </c>
      <c r="R4102" s="7">
        <v>46739</v>
      </c>
      <c r="S4102" s="210">
        <v>4.5</v>
      </c>
      <c r="T4102" s="8">
        <v>1.0001249999999999</v>
      </c>
      <c r="U4102" s="98">
        <v>4.5396656329872442</v>
      </c>
      <c r="V4102" s="106">
        <v>37451.480634083367</v>
      </c>
      <c r="W4102" s="10">
        <v>1.2619162668603634</v>
      </c>
      <c r="X4102" s="420"/>
      <c r="Y4102" s="420"/>
    </row>
    <row r="4103" spans="17:25">
      <c r="Q4103" s="6">
        <v>4073</v>
      </c>
      <c r="R4103" s="7">
        <v>46740</v>
      </c>
      <c r="S4103" s="210">
        <v>4.5</v>
      </c>
      <c r="T4103" s="8">
        <v>1.0001249999999999</v>
      </c>
      <c r="U4103" s="98">
        <v>4.5396970939603598</v>
      </c>
      <c r="V4103" s="106">
        <v>37454.701602743269</v>
      </c>
      <c r="W4103" s="10">
        <v>1.2619583308786764</v>
      </c>
      <c r="X4103" s="420"/>
      <c r="Y4103" s="420"/>
    </row>
    <row r="4104" spans="17:25">
      <c r="Q4104" s="6">
        <v>4074</v>
      </c>
      <c r="R4104" s="7">
        <v>46741</v>
      </c>
      <c r="S4104" s="210">
        <v>4.5</v>
      </c>
      <c r="T4104" s="8">
        <v>1.0001249999999999</v>
      </c>
      <c r="U4104" s="98">
        <v>4.5397285394981779</v>
      </c>
      <c r="V4104" s="106">
        <v>37457.922848418617</v>
      </c>
      <c r="W4104" s="10">
        <v>1.2620003742644492</v>
      </c>
      <c r="X4104" s="420"/>
      <c r="Y4104" s="420"/>
    </row>
    <row r="4105" spans="17:25">
      <c r="Q4105" s="6">
        <v>4075</v>
      </c>
      <c r="R4105" s="7">
        <v>46742</v>
      </c>
      <c r="S4105" s="210">
        <v>4.5</v>
      </c>
      <c r="T4105" s="8">
        <v>1.0001249999999999</v>
      </c>
      <c r="U4105" s="98">
        <v>4.539759969612045</v>
      </c>
      <c r="V4105" s="106">
        <v>37461.144371133261</v>
      </c>
      <c r="W4105" s="10">
        <v>1.2620423970328698</v>
      </c>
      <c r="X4105" s="420"/>
      <c r="Y4105" s="420"/>
    </row>
    <row r="4106" spans="17:25">
      <c r="Q4106" s="6">
        <v>4076</v>
      </c>
      <c r="R4106" s="7">
        <v>46743</v>
      </c>
      <c r="S4106" s="210">
        <v>4.5</v>
      </c>
      <c r="T4106" s="8">
        <v>1.0001249999999999</v>
      </c>
      <c r="U4106" s="98">
        <v>4.5397913843133297</v>
      </c>
      <c r="V4106" s="106">
        <v>37464.366170911002</v>
      </c>
      <c r="W4106" s="10">
        <v>1.2620843991991038</v>
      </c>
      <c r="X4106" s="420"/>
      <c r="Y4106" s="420"/>
    </row>
    <row r="4107" spans="17:25">
      <c r="Q4107" s="6">
        <v>4077</v>
      </c>
      <c r="R4107" s="7">
        <v>46744</v>
      </c>
      <c r="S4107" s="210">
        <v>4.5</v>
      </c>
      <c r="T4107" s="8">
        <v>1.0001249999999999</v>
      </c>
      <c r="U4107" s="98">
        <v>4.5398227836133342</v>
      </c>
      <c r="V4107" s="106">
        <v>37467.58824777569</v>
      </c>
      <c r="W4107" s="10">
        <v>1.2621263807782945</v>
      </c>
      <c r="X4107" s="420"/>
      <c r="Y4107" s="420"/>
    </row>
    <row r="4108" spans="17:25">
      <c r="Q4108" s="6">
        <v>4078</v>
      </c>
      <c r="R4108" s="7">
        <v>46745</v>
      </c>
      <c r="S4108" s="210">
        <v>4.5</v>
      </c>
      <c r="T4108" s="8">
        <v>1.0001249999999999</v>
      </c>
      <c r="U4108" s="98">
        <v>4.539854167523405</v>
      </c>
      <c r="V4108" s="106">
        <v>37470.810601751138</v>
      </c>
      <c r="W4108" s="10">
        <v>1.2621683417855856</v>
      </c>
      <c r="X4108" s="420"/>
      <c r="Y4108" s="420"/>
    </row>
    <row r="4109" spans="17:25">
      <c r="Q4109" s="6">
        <v>4079</v>
      </c>
      <c r="R4109" s="7">
        <v>46746</v>
      </c>
      <c r="S4109" s="210">
        <v>4.5</v>
      </c>
      <c r="T4109" s="8">
        <v>1.0001249999999999</v>
      </c>
      <c r="U4109" s="98">
        <v>4.539885536054844</v>
      </c>
      <c r="V4109" s="106">
        <v>37474.033232861198</v>
      </c>
      <c r="W4109" s="10">
        <v>1.2622102822360759</v>
      </c>
      <c r="X4109" s="420"/>
      <c r="Y4109" s="420"/>
    </row>
    <row r="4110" spans="17:25">
      <c r="Q4110" s="6">
        <v>4080</v>
      </c>
      <c r="R4110" s="7">
        <v>46747</v>
      </c>
      <c r="S4110" s="210">
        <v>4.5</v>
      </c>
      <c r="T4110" s="8">
        <v>1.0001249999999999</v>
      </c>
      <c r="U4110" s="98">
        <v>4.5399168892189756</v>
      </c>
      <c r="V4110" s="106">
        <v>37477.256141129685</v>
      </c>
      <c r="W4110" s="10">
        <v>1.262252202144909</v>
      </c>
      <c r="X4110" s="420"/>
      <c r="Y4110" s="420"/>
    </row>
    <row r="4111" spans="17:25">
      <c r="Q4111" s="6">
        <v>4081</v>
      </c>
      <c r="R4111" s="7">
        <v>46748</v>
      </c>
      <c r="S4111" s="210">
        <v>4.5</v>
      </c>
      <c r="T4111" s="8">
        <v>1.0001249999999999</v>
      </c>
      <c r="U4111" s="98">
        <v>4.5399482270270575</v>
      </c>
      <c r="V4111" s="106">
        <v>37480.479326580455</v>
      </c>
      <c r="W4111" s="10">
        <v>1.2622941015271172</v>
      </c>
      <c r="X4111" s="420"/>
      <c r="Y4111" s="420"/>
    </row>
    <row r="4112" spans="17:25">
      <c r="Q4112" s="6">
        <v>4082</v>
      </c>
      <c r="R4112" s="7">
        <v>46749</v>
      </c>
      <c r="S4112" s="210">
        <v>4.5</v>
      </c>
      <c r="T4112" s="8">
        <v>1.0001249999999999</v>
      </c>
      <c r="U4112" s="98">
        <v>4.5399795494903916</v>
      </c>
      <c r="V4112" s="106">
        <v>37483.70278923733</v>
      </c>
      <c r="W4112" s="10">
        <v>1.2623359803978218</v>
      </c>
      <c r="X4112" s="420"/>
      <c r="Y4112" s="420"/>
    </row>
    <row r="4113" spans="17:25">
      <c r="Q4113" s="6">
        <v>4083</v>
      </c>
      <c r="R4113" s="7">
        <v>46750</v>
      </c>
      <c r="S4113" s="210">
        <v>4.5</v>
      </c>
      <c r="T4113" s="8">
        <v>1.0001249999999999</v>
      </c>
      <c r="U4113" s="98">
        <v>4.5400108566202357</v>
      </c>
      <c r="V4113" s="106">
        <v>37486.926529124154</v>
      </c>
      <c r="W4113" s="10">
        <v>1.262377838772033</v>
      </c>
      <c r="X4113" s="420"/>
      <c r="Y4113" s="420"/>
    </row>
    <row r="4114" spans="17:25">
      <c r="Q4114" s="6">
        <v>4084</v>
      </c>
      <c r="R4114" s="7">
        <v>46751</v>
      </c>
      <c r="S4114" s="210">
        <v>4.5</v>
      </c>
      <c r="T4114" s="8">
        <v>1.0001249999999999</v>
      </c>
      <c r="U4114" s="98">
        <v>4.5400421484278475</v>
      </c>
      <c r="V4114" s="106">
        <v>37490.150546264776</v>
      </c>
      <c r="W4114" s="10">
        <v>1.2624196766648499</v>
      </c>
      <c r="X4114" s="420"/>
      <c r="Y4114" s="420"/>
    </row>
    <row r="4115" spans="17:25">
      <c r="Q4115" s="6">
        <v>4085</v>
      </c>
      <c r="R4115" s="7">
        <v>46752</v>
      </c>
      <c r="S4115" s="210">
        <v>4.5</v>
      </c>
      <c r="T4115" s="8">
        <v>1.0001249999999999</v>
      </c>
      <c r="U4115" s="98">
        <v>4.5400734249244623</v>
      </c>
      <c r="V4115" s="106">
        <v>37493.374840683042</v>
      </c>
      <c r="W4115" s="10">
        <v>1.2624614940912382</v>
      </c>
      <c r="X4115" s="420"/>
      <c r="Y4115" s="420"/>
    </row>
    <row r="4116" spans="17:25">
      <c r="Q4116" s="6">
        <v>4086</v>
      </c>
      <c r="R4116" s="7">
        <v>46753</v>
      </c>
      <c r="S4116" s="210">
        <v>4.5</v>
      </c>
      <c r="T4116" s="8">
        <v>1.0001249999999999</v>
      </c>
      <c r="U4116" s="98">
        <v>4.5401046861213379</v>
      </c>
      <c r="V4116" s="106">
        <v>37496.5994124028</v>
      </c>
      <c r="W4116" s="10">
        <v>1.2625032910662748</v>
      </c>
      <c r="X4116" s="420"/>
      <c r="Y4116" s="420"/>
    </row>
    <row r="4117" spans="17:25">
      <c r="Q4117" s="6">
        <v>4087</v>
      </c>
      <c r="R4117" s="7">
        <v>46754</v>
      </c>
      <c r="S4117" s="210">
        <v>4.5</v>
      </c>
      <c r="T4117" s="8">
        <v>1.0001249999999999</v>
      </c>
      <c r="U4117" s="98">
        <v>4.5401359320296875</v>
      </c>
      <c r="V4117" s="106">
        <v>37499.824261447888</v>
      </c>
      <c r="W4117" s="10">
        <v>1.2625450676049255</v>
      </c>
      <c r="X4117" s="420"/>
      <c r="Y4117" s="420"/>
    </row>
    <row r="4118" spans="17:25">
      <c r="Q4118" s="6">
        <v>4088</v>
      </c>
      <c r="R4118" s="7">
        <v>46755</v>
      </c>
      <c r="S4118" s="210">
        <v>4.5</v>
      </c>
      <c r="T4118" s="8">
        <v>1.0001249999999999</v>
      </c>
      <c r="U4118" s="98">
        <v>4.5401671626607243</v>
      </c>
      <c r="V4118" s="106">
        <v>37503.049387842162</v>
      </c>
      <c r="W4118" s="10">
        <v>1.2625868237221782</v>
      </c>
      <c r="X4118" s="420"/>
      <c r="Y4118" s="420"/>
    </row>
    <row r="4119" spans="17:25">
      <c r="Q4119" s="6">
        <v>4089</v>
      </c>
      <c r="R4119" s="7">
        <v>46756</v>
      </c>
      <c r="S4119" s="210">
        <v>4.5</v>
      </c>
      <c r="T4119" s="8">
        <v>1.0001249999999999</v>
      </c>
      <c r="U4119" s="98">
        <v>4.5401983780256394</v>
      </c>
      <c r="V4119" s="106">
        <v>37506.274791609474</v>
      </c>
      <c r="W4119" s="10">
        <v>1.2626285594329989</v>
      </c>
      <c r="X4119" s="420"/>
      <c r="Y4119" s="420"/>
    </row>
    <row r="4120" spans="17:25">
      <c r="Q4120" s="6">
        <v>4090</v>
      </c>
      <c r="R4120" s="7">
        <v>46757</v>
      </c>
      <c r="S4120" s="210">
        <v>4.5</v>
      </c>
      <c r="T4120" s="8">
        <v>1.0001249999999999</v>
      </c>
      <c r="U4120" s="98">
        <v>4.5402295781356239</v>
      </c>
      <c r="V4120" s="106">
        <v>37509.500472773681</v>
      </c>
      <c r="W4120" s="10">
        <v>1.2626702747523311</v>
      </c>
      <c r="X4120" s="420"/>
      <c r="Y4120" s="420"/>
    </row>
    <row r="4121" spans="17:25">
      <c r="Q4121" s="6">
        <v>4091</v>
      </c>
      <c r="R4121" s="7">
        <v>46758</v>
      </c>
      <c r="S4121" s="210">
        <v>4.5</v>
      </c>
      <c r="T4121" s="8">
        <v>1.0001249999999999</v>
      </c>
      <c r="U4121" s="98">
        <v>4.5402607630018688</v>
      </c>
      <c r="V4121" s="106">
        <v>37512.726431358642</v>
      </c>
      <c r="W4121" s="10">
        <v>1.2627119696951628</v>
      </c>
      <c r="X4121" s="420"/>
      <c r="Y4121" s="420"/>
    </row>
    <row r="4122" spans="17:25">
      <c r="Q4122" s="6">
        <v>4092</v>
      </c>
      <c r="R4122" s="7">
        <v>46759</v>
      </c>
      <c r="S4122" s="210">
        <v>4.5</v>
      </c>
      <c r="T4122" s="8">
        <v>1.0001249999999999</v>
      </c>
      <c r="U4122" s="98">
        <v>4.5402919326355429</v>
      </c>
      <c r="V4122" s="106">
        <v>37515.952667388221</v>
      </c>
      <c r="W4122" s="10">
        <v>1.2627536442763709</v>
      </c>
      <c r="X4122" s="420"/>
      <c r="Y4122" s="420"/>
    </row>
    <row r="4123" spans="17:25">
      <c r="Q4123" s="6">
        <v>4093</v>
      </c>
      <c r="R4123" s="7">
        <v>46760</v>
      </c>
      <c r="S4123" s="210">
        <v>4.5</v>
      </c>
      <c r="T4123" s="8">
        <v>1.0001249999999999</v>
      </c>
      <c r="U4123" s="98">
        <v>4.5403230870477929</v>
      </c>
      <c r="V4123" s="106">
        <v>37519.179180886262</v>
      </c>
      <c r="W4123" s="10">
        <v>1.262795298510877</v>
      </c>
      <c r="X4123" s="420"/>
      <c r="Y4123" s="420"/>
    </row>
    <row r="4124" spans="17:25">
      <c r="Q4124" s="6">
        <v>4094</v>
      </c>
      <c r="R4124" s="7">
        <v>46761</v>
      </c>
      <c r="S4124" s="210">
        <v>4.5</v>
      </c>
      <c r="T4124" s="8">
        <v>1.0001249999999999</v>
      </c>
      <c r="U4124" s="98">
        <v>4.5403542262497876</v>
      </c>
      <c r="V4124" s="106">
        <v>37522.405971876644</v>
      </c>
      <c r="W4124" s="10">
        <v>1.2628369324136024</v>
      </c>
      <c r="X4124" s="420"/>
      <c r="Y4124" s="420"/>
    </row>
    <row r="4125" spans="17:25">
      <c r="Q4125" s="6">
        <v>4095</v>
      </c>
      <c r="R4125" s="7">
        <v>46762</v>
      </c>
      <c r="S4125" s="210">
        <v>4.5</v>
      </c>
      <c r="T4125" s="8">
        <v>1.0001249999999999</v>
      </c>
      <c r="U4125" s="98">
        <v>4.5403853502526514</v>
      </c>
      <c r="V4125" s="106">
        <v>37525.633040383233</v>
      </c>
      <c r="W4125" s="10">
        <v>1.2628785459994241</v>
      </c>
      <c r="X4125" s="420"/>
      <c r="Y4125" s="420"/>
    </row>
    <row r="4126" spans="17:25">
      <c r="Q4126" s="6">
        <v>4096</v>
      </c>
      <c r="R4126" s="7">
        <v>46763</v>
      </c>
      <c r="S4126" s="210">
        <v>4.5</v>
      </c>
      <c r="T4126" s="8">
        <v>1.0001249999999999</v>
      </c>
      <c r="U4126" s="98">
        <v>4.5404164590674867</v>
      </c>
      <c r="V4126" s="106">
        <v>37528.860386429886</v>
      </c>
      <c r="W4126" s="10">
        <v>1.2629201392831746</v>
      </c>
      <c r="X4126" s="420"/>
      <c r="Y4126" s="420"/>
    </row>
    <row r="4127" spans="17:25">
      <c r="Q4127" s="6">
        <v>4097</v>
      </c>
      <c r="R4127" s="7">
        <v>46764</v>
      </c>
      <c r="S4127" s="210">
        <v>4.5</v>
      </c>
      <c r="T4127" s="8">
        <v>1.0001249999999999</v>
      </c>
      <c r="U4127" s="98">
        <v>4.54044755270544</v>
      </c>
      <c r="V4127" s="106">
        <v>37532.088010040476</v>
      </c>
      <c r="W4127" s="10">
        <v>1.2629617122797532</v>
      </c>
      <c r="X4127" s="420"/>
      <c r="Y4127" s="420"/>
    </row>
    <row r="4128" spans="17:25">
      <c r="Q4128" s="6">
        <v>4098</v>
      </c>
      <c r="R4128" s="7">
        <v>46765</v>
      </c>
      <c r="S4128" s="210">
        <v>4.5</v>
      </c>
      <c r="T4128" s="8">
        <v>1.0001249999999999</v>
      </c>
      <c r="U4128" s="98">
        <v>4.5404786311776135</v>
      </c>
      <c r="V4128" s="106">
        <v>37535.315911238875</v>
      </c>
      <c r="W4128" s="10">
        <v>1.2630032650039924</v>
      </c>
      <c r="X4128" s="420"/>
      <c r="Y4128" s="420"/>
    </row>
    <row r="4129" spans="17:25">
      <c r="Q4129" s="6">
        <v>4099</v>
      </c>
      <c r="R4129" s="7">
        <v>46766</v>
      </c>
      <c r="S4129" s="210">
        <v>4.5</v>
      </c>
      <c r="T4129" s="8">
        <v>1.0001249999999999</v>
      </c>
      <c r="U4129" s="98">
        <v>4.5405096944950873</v>
      </c>
      <c r="V4129" s="106">
        <v>37538.544090048963</v>
      </c>
      <c r="W4129" s="10">
        <v>1.2630447974706804</v>
      </c>
      <c r="X4129" s="420"/>
      <c r="Y4129" s="420"/>
    </row>
    <row r="4130" spans="17:25">
      <c r="Q4130" s="6">
        <v>4100</v>
      </c>
      <c r="R4130" s="7">
        <v>46767</v>
      </c>
      <c r="S4130" s="210">
        <v>4.5</v>
      </c>
      <c r="T4130" s="8">
        <v>1.0001249999999999</v>
      </c>
      <c r="U4130" s="98">
        <v>4.5405407426689415</v>
      </c>
      <c r="V4130" s="106">
        <v>37541.772546494612</v>
      </c>
      <c r="W4130" s="10">
        <v>1.2630863096946499</v>
      </c>
      <c r="X4130" s="420"/>
      <c r="Y4130" s="420"/>
    </row>
    <row r="4131" spans="17:25">
      <c r="Q4131" s="6">
        <v>4101</v>
      </c>
      <c r="R4131" s="7">
        <v>46768</v>
      </c>
      <c r="S4131" s="210">
        <v>4.5</v>
      </c>
      <c r="T4131" s="8">
        <v>1.0001249999999999</v>
      </c>
      <c r="U4131" s="98">
        <v>4.5405717757102559</v>
      </c>
      <c r="V4131" s="106">
        <v>37545.001280599688</v>
      </c>
      <c r="W4131" s="10">
        <v>1.263127801690711</v>
      </c>
      <c r="X4131" s="420"/>
      <c r="Y4131" s="420"/>
    </row>
    <row r="4132" spans="17:25">
      <c r="Q4132" s="6">
        <v>4102</v>
      </c>
      <c r="R4132" s="7">
        <v>46769</v>
      </c>
      <c r="S4132" s="210">
        <v>4.5</v>
      </c>
      <c r="T4132" s="8">
        <v>1.0001249999999999</v>
      </c>
      <c r="U4132" s="98">
        <v>4.5406027936300886</v>
      </c>
      <c r="V4132" s="106">
        <v>37548.230292388092</v>
      </c>
      <c r="W4132" s="10">
        <v>1.2631692734736299</v>
      </c>
      <c r="X4132" s="420"/>
      <c r="Y4132" s="420"/>
    </row>
    <row r="4133" spans="17:25">
      <c r="Q4133" s="6">
        <v>4103</v>
      </c>
      <c r="R4133" s="7">
        <v>46770</v>
      </c>
      <c r="S4133" s="210">
        <v>4.5</v>
      </c>
      <c r="T4133" s="8">
        <v>1.0001249999999999</v>
      </c>
      <c r="U4133" s="98">
        <v>4.540633796439475</v>
      </c>
      <c r="V4133" s="106">
        <v>37551.45958188369</v>
      </c>
      <c r="W4133" s="10">
        <v>1.2632107250581504</v>
      </c>
      <c r="X4133" s="420"/>
      <c r="Y4133" s="420"/>
    </row>
    <row r="4134" spans="17:25">
      <c r="Q4134" s="6">
        <v>4104</v>
      </c>
      <c r="R4134" s="7">
        <v>46771</v>
      </c>
      <c r="S4134" s="210">
        <v>4.5</v>
      </c>
      <c r="T4134" s="8">
        <v>1.0001249999999999</v>
      </c>
      <c r="U4134" s="98">
        <v>4.5406647841494729</v>
      </c>
      <c r="V4134" s="106">
        <v>37554.689149110367</v>
      </c>
      <c r="W4134" s="10">
        <v>1.2632521564590604</v>
      </c>
      <c r="X4134" s="420"/>
      <c r="Y4134" s="420"/>
    </row>
    <row r="4135" spans="17:25">
      <c r="Q4135" s="6">
        <v>4105</v>
      </c>
      <c r="R4135" s="7">
        <v>46772</v>
      </c>
      <c r="S4135" s="210">
        <v>4.5</v>
      </c>
      <c r="T4135" s="8">
        <v>1.0001249999999999</v>
      </c>
      <c r="U4135" s="98">
        <v>4.5406957567711181</v>
      </c>
      <c r="V4135" s="106">
        <v>37557.918994092019</v>
      </c>
      <c r="W4135" s="10">
        <v>1.2632935676911039</v>
      </c>
      <c r="X4135" s="420"/>
      <c r="Y4135" s="420"/>
    </row>
    <row r="4136" spans="17:25">
      <c r="Q4136" s="6">
        <v>4106</v>
      </c>
      <c r="R4136" s="7">
        <v>46773</v>
      </c>
      <c r="S4136" s="210">
        <v>4.5</v>
      </c>
      <c r="T4136" s="8">
        <v>1.0001249999999999</v>
      </c>
      <c r="U4136" s="98">
        <v>4.5407267143154018</v>
      </c>
      <c r="V4136" s="106">
        <v>37561.149116852524</v>
      </c>
      <c r="W4136" s="10">
        <v>1.2633349587689802</v>
      </c>
      <c r="X4136" s="420"/>
      <c r="Y4136" s="420"/>
    </row>
    <row r="4137" spans="17:25">
      <c r="Q4137" s="6">
        <v>4107</v>
      </c>
      <c r="R4137" s="7">
        <v>46774</v>
      </c>
      <c r="S4137" s="210">
        <v>4.5</v>
      </c>
      <c r="T4137" s="8">
        <v>1.0001249999999999</v>
      </c>
      <c r="U4137" s="98">
        <v>4.5407576567933372</v>
      </c>
      <c r="V4137" s="106">
        <v>37564.379517415779</v>
      </c>
      <c r="W4137" s="10">
        <v>1.2633763297073886</v>
      </c>
      <c r="X4137" s="420"/>
      <c r="Y4137" s="420"/>
    </row>
    <row r="4138" spans="17:25">
      <c r="Q4138" s="6">
        <v>4108</v>
      </c>
      <c r="R4138" s="7">
        <v>46775</v>
      </c>
      <c r="S4138" s="210">
        <v>4.5</v>
      </c>
      <c r="T4138" s="8">
        <v>1.0001249999999999</v>
      </c>
      <c r="U4138" s="98">
        <v>4.5407885842159379</v>
      </c>
      <c r="V4138" s="106">
        <v>37567.610195805668</v>
      </c>
      <c r="W4138" s="10">
        <v>1.2634176805210506</v>
      </c>
      <c r="X4138" s="420"/>
      <c r="Y4138" s="420"/>
    </row>
    <row r="4139" spans="17:25">
      <c r="Q4139" s="6">
        <v>4109</v>
      </c>
      <c r="R4139" s="7">
        <v>46776</v>
      </c>
      <c r="S4139" s="210">
        <v>4.5</v>
      </c>
      <c r="T4139" s="8">
        <v>1.0001249999999999</v>
      </c>
      <c r="U4139" s="98">
        <v>4.5408194965941728</v>
      </c>
      <c r="V4139" s="106">
        <v>37570.841152046094</v>
      </c>
      <c r="W4139" s="10">
        <v>1.2634590112246435</v>
      </c>
      <c r="X4139" s="420"/>
      <c r="Y4139" s="420"/>
    </row>
    <row r="4140" spans="17:25">
      <c r="Q4140" s="6">
        <v>4110</v>
      </c>
      <c r="R4140" s="7">
        <v>46777</v>
      </c>
      <c r="S4140" s="210">
        <v>4.5</v>
      </c>
      <c r="T4140" s="8">
        <v>1.0001249999999999</v>
      </c>
      <c r="U4140" s="98">
        <v>4.5408503939390332</v>
      </c>
      <c r="V4140" s="106">
        <v>37574.072386160937</v>
      </c>
      <c r="W4140" s="10">
        <v>1.2635003218328444</v>
      </c>
      <c r="X4140" s="420"/>
      <c r="Y4140" s="420"/>
    </row>
    <row r="4141" spans="17:25">
      <c r="Q4141" s="6">
        <v>4111</v>
      </c>
      <c r="R4141" s="7">
        <v>46778</v>
      </c>
      <c r="S4141" s="210">
        <v>4.5</v>
      </c>
      <c r="T4141" s="8">
        <v>1.0001249999999999</v>
      </c>
      <c r="U4141" s="98">
        <v>4.5408812762614659</v>
      </c>
      <c r="V4141" s="106">
        <v>37577.303898174119</v>
      </c>
      <c r="W4141" s="10">
        <v>1.2635416123602639</v>
      </c>
      <c r="X4141" s="420"/>
      <c r="Y4141" s="420"/>
    </row>
    <row r="4142" spans="17:25">
      <c r="Q4142" s="6">
        <v>4112</v>
      </c>
      <c r="R4142" s="7">
        <v>46779</v>
      </c>
      <c r="S4142" s="210">
        <v>4.5</v>
      </c>
      <c r="T4142" s="8">
        <v>1.0001249999999999</v>
      </c>
      <c r="U4142" s="98">
        <v>4.5409121435724398</v>
      </c>
      <c r="V4142" s="106">
        <v>37580.535688109529</v>
      </c>
      <c r="W4142" s="10">
        <v>1.2635828828216011</v>
      </c>
      <c r="X4142" s="420"/>
      <c r="Y4142" s="420"/>
    </row>
    <row r="4143" spans="17:25">
      <c r="Q4143" s="6">
        <v>4113</v>
      </c>
      <c r="R4143" s="7">
        <v>46780</v>
      </c>
      <c r="S4143" s="210">
        <v>4.5</v>
      </c>
      <c r="T4143" s="8">
        <v>1.0001249999999999</v>
      </c>
      <c r="U4143" s="98">
        <v>4.5409429958828795</v>
      </c>
      <c r="V4143" s="106">
        <v>37583.767755991066</v>
      </c>
      <c r="W4143" s="10">
        <v>1.2636241332314224</v>
      </c>
      <c r="X4143" s="420"/>
      <c r="Y4143" s="420"/>
    </row>
    <row r="4144" spans="17:25">
      <c r="Q4144" s="6">
        <v>4114</v>
      </c>
      <c r="R4144" s="7">
        <v>46781</v>
      </c>
      <c r="S4144" s="210">
        <v>4.5</v>
      </c>
      <c r="T4144" s="8">
        <v>1.0001249999999999</v>
      </c>
      <c r="U4144" s="98">
        <v>4.5409738332037097</v>
      </c>
      <c r="V4144" s="106">
        <v>37587.000101842634</v>
      </c>
      <c r="W4144" s="10">
        <v>1.2636653636043382</v>
      </c>
      <c r="X4144" s="420"/>
      <c r="Y4144" s="420"/>
    </row>
    <row r="4145" spans="17:25">
      <c r="Q4145" s="6">
        <v>4115</v>
      </c>
      <c r="R4145" s="7">
        <v>46782</v>
      </c>
      <c r="S4145" s="210">
        <v>4.5</v>
      </c>
      <c r="T4145" s="8">
        <v>1.0001249999999999</v>
      </c>
      <c r="U4145" s="98">
        <v>4.5410046555458772</v>
      </c>
      <c r="V4145" s="106">
        <v>37590.232725688147</v>
      </c>
      <c r="W4145" s="10">
        <v>1.2637065739549813</v>
      </c>
      <c r="X4145" s="420"/>
      <c r="Y4145" s="420"/>
    </row>
    <row r="4146" spans="17:25">
      <c r="Q4146" s="6">
        <v>4116</v>
      </c>
      <c r="R4146" s="7">
        <v>46783</v>
      </c>
      <c r="S4146" s="210">
        <v>4.5</v>
      </c>
      <c r="T4146" s="8">
        <v>1.0001249999999999</v>
      </c>
      <c r="U4146" s="98">
        <v>4.5410354629202843</v>
      </c>
      <c r="V4146" s="106">
        <v>37593.465627551508</v>
      </c>
      <c r="W4146" s="10">
        <v>1.2637477642979178</v>
      </c>
      <c r="X4146" s="420"/>
      <c r="Y4146" s="420"/>
    </row>
    <row r="4147" spans="17:25">
      <c r="Q4147" s="6">
        <v>4117</v>
      </c>
      <c r="R4147" s="7">
        <v>46784</v>
      </c>
      <c r="S4147" s="210">
        <v>4.5</v>
      </c>
      <c r="T4147" s="8">
        <v>1.0001249999999999</v>
      </c>
      <c r="U4147" s="98">
        <v>4.5410662553378334</v>
      </c>
      <c r="V4147" s="106">
        <v>37596.698807456625</v>
      </c>
      <c r="W4147" s="10">
        <v>1.2637889346477138</v>
      </c>
      <c r="X4147" s="420"/>
      <c r="Y4147" s="420"/>
    </row>
    <row r="4148" spans="17:25">
      <c r="Q4148" s="6">
        <v>4118</v>
      </c>
      <c r="R4148" s="7">
        <v>46785</v>
      </c>
      <c r="S4148" s="210">
        <v>4.5</v>
      </c>
      <c r="T4148" s="8">
        <v>1.0001249999999999</v>
      </c>
      <c r="U4148" s="98">
        <v>4.5410970328094047</v>
      </c>
      <c r="V4148" s="106">
        <v>37599.932265427415</v>
      </c>
      <c r="W4148" s="10">
        <v>1.2638300850189355</v>
      </c>
      <c r="X4148" s="420"/>
      <c r="Y4148" s="420"/>
    </row>
    <row r="4149" spans="17:25">
      <c r="Q4149" s="6">
        <v>4119</v>
      </c>
      <c r="R4149" s="7">
        <v>46786</v>
      </c>
      <c r="S4149" s="210">
        <v>4.5</v>
      </c>
      <c r="T4149" s="8">
        <v>1.0001249999999999</v>
      </c>
      <c r="U4149" s="98">
        <v>4.5411277953458784</v>
      </c>
      <c r="V4149" s="106">
        <v>37603.1660014878</v>
      </c>
      <c r="W4149" s="10">
        <v>1.2638712154260823</v>
      </c>
      <c r="X4149" s="420"/>
      <c r="Y4149" s="420"/>
    </row>
    <row r="4150" spans="17:25">
      <c r="Q4150" s="6">
        <v>4120</v>
      </c>
      <c r="R4150" s="7">
        <v>46787</v>
      </c>
      <c r="S4150" s="210">
        <v>4.5</v>
      </c>
      <c r="T4150" s="8">
        <v>1.0001249999999999</v>
      </c>
      <c r="U4150" s="98">
        <v>4.5411585429581347</v>
      </c>
      <c r="V4150" s="106">
        <v>37606.400015661682</v>
      </c>
      <c r="W4150" s="10">
        <v>1.2639123258837204</v>
      </c>
      <c r="X4150" s="420"/>
      <c r="Y4150" s="420"/>
    </row>
    <row r="4151" spans="17:25">
      <c r="Q4151" s="6">
        <v>4121</v>
      </c>
      <c r="R4151" s="7">
        <v>46788</v>
      </c>
      <c r="S4151" s="210">
        <v>4.5</v>
      </c>
      <c r="T4151" s="8">
        <v>1.0001249999999999</v>
      </c>
      <c r="U4151" s="98">
        <v>4.5411892756570316</v>
      </c>
      <c r="V4151" s="106">
        <v>37609.634307972992</v>
      </c>
      <c r="W4151" s="10">
        <v>1.2639534164063493</v>
      </c>
      <c r="X4151" s="420"/>
      <c r="Y4151" s="420"/>
    </row>
    <row r="4152" spans="17:25">
      <c r="Q4152" s="6">
        <v>4122</v>
      </c>
      <c r="R4152" s="7">
        <v>46789</v>
      </c>
      <c r="S4152" s="210">
        <v>4.5</v>
      </c>
      <c r="T4152" s="8">
        <v>1.0001249999999999</v>
      </c>
      <c r="U4152" s="98">
        <v>4.5412199934534048</v>
      </c>
      <c r="V4152" s="106">
        <v>37612.868878445639</v>
      </c>
      <c r="W4152" s="10">
        <v>1.2639944870084685</v>
      </c>
      <c r="X4152" s="420"/>
      <c r="Y4152" s="420"/>
    </row>
    <row r="4153" spans="17:25">
      <c r="Q4153" s="6">
        <v>4123</v>
      </c>
      <c r="R4153" s="7">
        <v>46790</v>
      </c>
      <c r="S4153" s="210">
        <v>4.5</v>
      </c>
      <c r="T4153" s="8">
        <v>1.0001249999999999</v>
      </c>
      <c r="U4153" s="98">
        <v>4.5412506963580901</v>
      </c>
      <c r="V4153" s="106">
        <v>37616.103727103553</v>
      </c>
      <c r="W4153" s="10">
        <v>1.2640355377045553</v>
      </c>
      <c r="X4153" s="420"/>
      <c r="Y4153" s="420"/>
    </row>
    <row r="4154" spans="17:25">
      <c r="Q4154" s="6">
        <v>4124</v>
      </c>
      <c r="R4154" s="7">
        <v>46791</v>
      </c>
      <c r="S4154" s="210">
        <v>4.5</v>
      </c>
      <c r="T4154" s="8">
        <v>1.0001249999999999</v>
      </c>
      <c r="U4154" s="98">
        <v>4.5412813843819233</v>
      </c>
      <c r="V4154" s="106">
        <v>37619.338853970658</v>
      </c>
      <c r="W4154" s="10">
        <v>1.2640765685090649</v>
      </c>
      <c r="X4154" s="420"/>
      <c r="Y4154" s="420"/>
    </row>
    <row r="4155" spans="17:25">
      <c r="Q4155" s="6">
        <v>4125</v>
      </c>
      <c r="R4155" s="7">
        <v>46792</v>
      </c>
      <c r="S4155" s="210">
        <v>4.5</v>
      </c>
      <c r="T4155" s="8">
        <v>1.0001249999999999</v>
      </c>
      <c r="U4155" s="98">
        <v>4.541312057535718</v>
      </c>
      <c r="V4155" s="106">
        <v>37622.574259070891</v>
      </c>
      <c r="W4155" s="10">
        <v>1.2641175794364745</v>
      </c>
      <c r="X4155" s="420"/>
      <c r="Y4155" s="420"/>
    </row>
    <row r="4156" spans="17:25">
      <c r="Q4156" s="6">
        <v>4126</v>
      </c>
      <c r="R4156" s="7">
        <v>46793</v>
      </c>
      <c r="S4156" s="210">
        <v>4.5</v>
      </c>
      <c r="T4156" s="8">
        <v>1.0001249999999999</v>
      </c>
      <c r="U4156" s="98">
        <v>4.5413427158302655</v>
      </c>
      <c r="V4156" s="106">
        <v>37625.809942428161</v>
      </c>
      <c r="W4156" s="10">
        <v>1.2641585705011948</v>
      </c>
      <c r="X4156" s="420"/>
      <c r="Y4156" s="420"/>
    </row>
    <row r="4157" spans="17:25">
      <c r="Q4157" s="6">
        <v>4127</v>
      </c>
      <c r="R4157" s="7">
        <v>46794</v>
      </c>
      <c r="S4157" s="210">
        <v>4.5</v>
      </c>
      <c r="T4157" s="8">
        <v>1.0001249999999999</v>
      </c>
      <c r="U4157" s="98">
        <v>4.5413733592763794</v>
      </c>
      <c r="V4157" s="106">
        <v>37629.045904066414</v>
      </c>
      <c r="W4157" s="10">
        <v>1.264199541717681</v>
      </c>
      <c r="X4157" s="420"/>
      <c r="Y4157" s="420"/>
    </row>
    <row r="4158" spans="17:25">
      <c r="Q4158" s="6">
        <v>4128</v>
      </c>
      <c r="R4158" s="7">
        <v>46795</v>
      </c>
      <c r="S4158" s="210">
        <v>4.5</v>
      </c>
      <c r="T4158" s="8">
        <v>1.0001249999999999</v>
      </c>
      <c r="U4158" s="98">
        <v>4.5414039878848511</v>
      </c>
      <c r="V4158" s="106">
        <v>37632.282144009579</v>
      </c>
      <c r="W4158" s="10">
        <v>1.2642404931003437</v>
      </c>
      <c r="X4158" s="420"/>
      <c r="Y4158" s="420"/>
    </row>
    <row r="4159" spans="17:25">
      <c r="Q4159" s="6">
        <v>4129</v>
      </c>
      <c r="R4159" s="7">
        <v>46796</v>
      </c>
      <c r="S4159" s="210">
        <v>4.5</v>
      </c>
      <c r="T4159" s="8">
        <v>1.0001249999999999</v>
      </c>
      <c r="U4159" s="98">
        <v>4.5414346016664275</v>
      </c>
      <c r="V4159" s="106">
        <v>37635.518662281596</v>
      </c>
      <c r="W4159" s="10">
        <v>1.2642814246635714</v>
      </c>
      <c r="X4159" s="420"/>
      <c r="Y4159" s="420"/>
    </row>
    <row r="4160" spans="17:25">
      <c r="Q4160" s="6">
        <v>4130</v>
      </c>
      <c r="R4160" s="7">
        <v>46797</v>
      </c>
      <c r="S4160" s="210">
        <v>4.5</v>
      </c>
      <c r="T4160" s="8">
        <v>1.0001249999999999</v>
      </c>
      <c r="U4160" s="98">
        <v>4.5414652006319001</v>
      </c>
      <c r="V4160" s="106">
        <v>37638.755458906395</v>
      </c>
      <c r="W4160" s="10">
        <v>1.2643223364217526</v>
      </c>
      <c r="X4160" s="420"/>
      <c r="Y4160" s="420"/>
    </row>
    <row r="4161" spans="17:25">
      <c r="Q4161" s="6">
        <v>4131</v>
      </c>
      <c r="R4161" s="7">
        <v>46798</v>
      </c>
      <c r="S4161" s="210">
        <v>4.5</v>
      </c>
      <c r="T4161" s="8">
        <v>1.0001249999999999</v>
      </c>
      <c r="U4161" s="98">
        <v>4.5414957847919935</v>
      </c>
      <c r="V4161" s="106">
        <v>37641.992533907913</v>
      </c>
      <c r="W4161" s="10">
        <v>1.2643632283892314</v>
      </c>
      <c r="X4161" s="420"/>
      <c r="Y4161" s="420"/>
    </row>
    <row r="4162" spans="17:25">
      <c r="Q4162" s="6">
        <v>4132</v>
      </c>
      <c r="R4162" s="7">
        <v>46799</v>
      </c>
      <c r="S4162" s="210">
        <v>4.5</v>
      </c>
      <c r="T4162" s="8">
        <v>1.0001249999999999</v>
      </c>
      <c r="U4162" s="98">
        <v>4.5415263541574769</v>
      </c>
      <c r="V4162" s="106">
        <v>37645.229887310095</v>
      </c>
      <c r="W4162" s="10">
        <v>1.2644041005804407</v>
      </c>
      <c r="X4162" s="420"/>
      <c r="Y4162" s="420"/>
    </row>
    <row r="4163" spans="17:25">
      <c r="Q4163" s="6">
        <v>4133</v>
      </c>
      <c r="R4163" s="7">
        <v>46800</v>
      </c>
      <c r="S4163" s="210">
        <v>4.5</v>
      </c>
      <c r="T4163" s="8">
        <v>1.0001249999999999</v>
      </c>
      <c r="U4163" s="98">
        <v>4.541556908739075</v>
      </c>
      <c r="V4163" s="106">
        <v>37648.467519136895</v>
      </c>
      <c r="W4163" s="10">
        <v>1.2644449530096358</v>
      </c>
      <c r="X4163" s="420"/>
      <c r="Y4163" s="420"/>
    </row>
    <row r="4164" spans="17:25">
      <c r="Q4164" s="6">
        <v>4134</v>
      </c>
      <c r="R4164" s="7">
        <v>46801</v>
      </c>
      <c r="S4164" s="210">
        <v>4.5</v>
      </c>
      <c r="T4164" s="8">
        <v>1.0001249999999999</v>
      </c>
      <c r="U4164" s="98">
        <v>4.5415874485474905</v>
      </c>
      <c r="V4164" s="106">
        <v>37651.705429412243</v>
      </c>
      <c r="W4164" s="10">
        <v>1.2644857856911829</v>
      </c>
      <c r="X4164" s="420"/>
      <c r="Y4164" s="420"/>
    </row>
    <row r="4165" spans="17:25">
      <c r="Q4165" s="6">
        <v>4135</v>
      </c>
      <c r="R4165" s="7">
        <v>46802</v>
      </c>
      <c r="S4165" s="210">
        <v>4.5</v>
      </c>
      <c r="T4165" s="8">
        <v>1.0001249999999999</v>
      </c>
      <c r="U4165" s="98">
        <v>4.5416179735934481</v>
      </c>
      <c r="V4165" s="106">
        <v>37654.94361816009</v>
      </c>
      <c r="W4165" s="10">
        <v>1.2645265986394039</v>
      </c>
      <c r="X4165" s="420"/>
      <c r="Y4165" s="420"/>
    </row>
    <row r="4166" spans="17:25">
      <c r="Q4166" s="6">
        <v>4136</v>
      </c>
      <c r="R4166" s="7">
        <v>46803</v>
      </c>
      <c r="S4166" s="210">
        <v>4.5</v>
      </c>
      <c r="T4166" s="8">
        <v>1.0001249999999999</v>
      </c>
      <c r="U4166" s="98">
        <v>4.5416484838876725</v>
      </c>
      <c r="V4166" s="106">
        <v>37658.182085404398</v>
      </c>
      <c r="W4166" s="10">
        <v>1.2645673918686207</v>
      </c>
      <c r="X4166" s="420"/>
      <c r="Y4166" s="420"/>
    </row>
    <row r="4167" spans="17:25">
      <c r="Q4167" s="6">
        <v>4137</v>
      </c>
      <c r="R4167" s="7">
        <v>46804</v>
      </c>
      <c r="S4167" s="210">
        <v>4.5</v>
      </c>
      <c r="T4167" s="8">
        <v>1.0001249999999999</v>
      </c>
      <c r="U4167" s="98">
        <v>4.5416789794408219</v>
      </c>
      <c r="V4167" s="106">
        <v>37661.420831169104</v>
      </c>
      <c r="W4167" s="10">
        <v>1.2646081653930663</v>
      </c>
      <c r="X4167" s="420"/>
      <c r="Y4167" s="420"/>
    </row>
    <row r="4168" spans="17:25">
      <c r="Q4168" s="6">
        <v>4138</v>
      </c>
      <c r="R4168" s="7">
        <v>46805</v>
      </c>
      <c r="S4168" s="210">
        <v>4.5</v>
      </c>
      <c r="T4168" s="8">
        <v>1.0001249999999999</v>
      </c>
      <c r="U4168" s="98">
        <v>4.5417094602635988</v>
      </c>
      <c r="V4168" s="106">
        <v>37664.659855478167</v>
      </c>
      <c r="W4168" s="10">
        <v>1.2646489192270405</v>
      </c>
      <c r="X4168" s="420"/>
      <c r="Y4168" s="420"/>
    </row>
    <row r="4169" spans="17:25">
      <c r="Q4169" s="6">
        <v>4139</v>
      </c>
      <c r="R4169" s="7">
        <v>46806</v>
      </c>
      <c r="S4169" s="210">
        <v>4.5</v>
      </c>
      <c r="T4169" s="8">
        <v>1.0001249999999999</v>
      </c>
      <c r="U4169" s="98">
        <v>4.5417399263666614</v>
      </c>
      <c r="V4169" s="106">
        <v>37667.899158355547</v>
      </c>
      <c r="W4169" s="10">
        <v>1.2646896533848206</v>
      </c>
      <c r="X4169" s="420"/>
      <c r="Y4169" s="420"/>
    </row>
    <row r="4170" spans="17:25">
      <c r="Q4170" s="6">
        <v>4140</v>
      </c>
      <c r="R4170" s="7">
        <v>46807</v>
      </c>
      <c r="S4170" s="210">
        <v>4.5</v>
      </c>
      <c r="T4170" s="8">
        <v>1.0001249999999999</v>
      </c>
      <c r="U4170" s="98">
        <v>4.5417703777606677</v>
      </c>
      <c r="V4170" s="106">
        <v>37671.13873982519</v>
      </c>
      <c r="W4170" s="10">
        <v>1.2647303678806399</v>
      </c>
      <c r="X4170" s="420"/>
      <c r="Y4170" s="420"/>
    </row>
    <row r="4171" spans="17:25">
      <c r="Q4171" s="6">
        <v>4141</v>
      </c>
      <c r="R4171" s="7">
        <v>46808</v>
      </c>
      <c r="S4171" s="210">
        <v>4.5</v>
      </c>
      <c r="T4171" s="8">
        <v>1.0001249999999999</v>
      </c>
      <c r="U4171" s="98">
        <v>4.541800814456276</v>
      </c>
      <c r="V4171" s="106">
        <v>37674.37859991107</v>
      </c>
      <c r="W4171" s="10">
        <v>1.264771062728709</v>
      </c>
      <c r="X4171" s="420"/>
      <c r="Y4171" s="420"/>
    </row>
    <row r="4172" spans="17:25">
      <c r="Q4172" s="6">
        <v>4142</v>
      </c>
      <c r="R4172" s="7">
        <v>46809</v>
      </c>
      <c r="S4172" s="210">
        <v>4.5</v>
      </c>
      <c r="T4172" s="8">
        <v>1.0001249999999999</v>
      </c>
      <c r="U4172" s="98">
        <v>4.5418312364641222</v>
      </c>
      <c r="V4172" s="106">
        <v>37677.618738637146</v>
      </c>
      <c r="W4172" s="10">
        <v>1.2648117379432833</v>
      </c>
      <c r="X4172" s="420"/>
      <c r="Y4172" s="420"/>
    </row>
    <row r="4173" spans="17:25">
      <c r="Q4173" s="6">
        <v>4143</v>
      </c>
      <c r="R4173" s="7">
        <v>46810</v>
      </c>
      <c r="S4173" s="210">
        <v>4.5</v>
      </c>
      <c r="T4173" s="8">
        <v>1.0001249999999999</v>
      </c>
      <c r="U4173" s="98">
        <v>4.54186164379482</v>
      </c>
      <c r="V4173" s="106">
        <v>37680.859156027378</v>
      </c>
      <c r="W4173" s="10">
        <v>1.2648523935385292</v>
      </c>
      <c r="X4173" s="420"/>
      <c r="Y4173" s="420"/>
    </row>
    <row r="4174" spans="17:25">
      <c r="Q4174" s="6">
        <v>4144</v>
      </c>
      <c r="R4174" s="7">
        <v>46811</v>
      </c>
      <c r="S4174" s="210">
        <v>4.5</v>
      </c>
      <c r="T4174" s="8">
        <v>1.0001249999999999</v>
      </c>
      <c r="U4174" s="98">
        <v>4.5418920364590054</v>
      </c>
      <c r="V4174" s="106">
        <v>37684.099852105726</v>
      </c>
      <c r="W4174" s="10">
        <v>1.2648930295286798</v>
      </c>
      <c r="X4174" s="420"/>
      <c r="Y4174" s="420"/>
    </row>
    <row r="4175" spans="17:25">
      <c r="Q4175" s="6">
        <v>4145</v>
      </c>
      <c r="R4175" s="7">
        <v>46812</v>
      </c>
      <c r="S4175" s="210">
        <v>4.5</v>
      </c>
      <c r="T4175" s="8">
        <v>1.0001249999999999</v>
      </c>
      <c r="U4175" s="98">
        <v>4.5419224144672921</v>
      </c>
      <c r="V4175" s="106">
        <v>37687.340826896179</v>
      </c>
      <c r="W4175" s="10">
        <v>1.2649336459278793</v>
      </c>
      <c r="X4175" s="420"/>
      <c r="Y4175" s="420"/>
    </row>
    <row r="4176" spans="17:25">
      <c r="Q4176" s="6">
        <v>4146</v>
      </c>
      <c r="R4176" s="7">
        <v>46813</v>
      </c>
      <c r="S4176" s="210">
        <v>4.5</v>
      </c>
      <c r="T4176" s="8">
        <v>1.0001249999999999</v>
      </c>
      <c r="U4176" s="98">
        <v>4.5419527778302715</v>
      </c>
      <c r="V4176" s="106">
        <v>37690.582080422682</v>
      </c>
      <c r="W4176" s="10">
        <v>1.2649742427503163</v>
      </c>
      <c r="X4176" s="420"/>
      <c r="Y4176" s="420"/>
    </row>
    <row r="4177" spans="17:25">
      <c r="Q4177" s="6">
        <v>4147</v>
      </c>
      <c r="R4177" s="7">
        <v>46814</v>
      </c>
      <c r="S4177" s="210">
        <v>4.5</v>
      </c>
      <c r="T4177" s="8">
        <v>1.0001249999999999</v>
      </c>
      <c r="U4177" s="98">
        <v>4.5419831265585353</v>
      </c>
      <c r="V4177" s="106">
        <v>37693.823612709224</v>
      </c>
      <c r="W4177" s="10">
        <v>1.265014820010113</v>
      </c>
      <c r="X4177" s="420"/>
      <c r="Y4177" s="420"/>
    </row>
    <row r="4178" spans="17:25">
      <c r="Q4178" s="6">
        <v>4148</v>
      </c>
      <c r="R4178" s="7">
        <v>46815</v>
      </c>
      <c r="S4178" s="210">
        <v>4.5</v>
      </c>
      <c r="T4178" s="8">
        <v>1.0001249999999999</v>
      </c>
      <c r="U4178" s="98">
        <v>4.5420134606626528</v>
      </c>
      <c r="V4178" s="106">
        <v>37697.065423779779</v>
      </c>
      <c r="W4178" s="10">
        <v>1.2650553777214357</v>
      </c>
      <c r="X4178" s="420"/>
      <c r="Y4178" s="420"/>
    </row>
    <row r="4179" spans="17:25">
      <c r="Q4179" s="6">
        <v>4149</v>
      </c>
      <c r="R4179" s="7">
        <v>46816</v>
      </c>
      <c r="S4179" s="210">
        <v>4.5</v>
      </c>
      <c r="T4179" s="8">
        <v>1.0001249999999999</v>
      </c>
      <c r="U4179" s="98">
        <v>4.5420437801531932</v>
      </c>
      <c r="V4179" s="106">
        <v>37700.307513658314</v>
      </c>
      <c r="W4179" s="10">
        <v>1.2650959158983843</v>
      </c>
      <c r="X4179" s="420"/>
      <c r="Y4179" s="420"/>
    </row>
    <row r="4180" spans="17:25">
      <c r="Q4180" s="6">
        <v>4150</v>
      </c>
      <c r="R4180" s="7">
        <v>46817</v>
      </c>
      <c r="S4180" s="210">
        <v>4.5</v>
      </c>
      <c r="T4180" s="8">
        <v>1.0001249999999999</v>
      </c>
      <c r="U4180" s="98">
        <v>4.542074085040726</v>
      </c>
      <c r="V4180" s="106">
        <v>37703.54988236881</v>
      </c>
      <c r="W4180" s="10">
        <v>1.2651364345551031</v>
      </c>
      <c r="X4180" s="420"/>
      <c r="Y4180" s="420"/>
    </row>
    <row r="4181" spans="17:25">
      <c r="Q4181" s="6">
        <v>4151</v>
      </c>
      <c r="R4181" s="7">
        <v>46818</v>
      </c>
      <c r="S4181" s="210">
        <v>4.5</v>
      </c>
      <c r="T4181" s="8">
        <v>1.0001249999999999</v>
      </c>
      <c r="U4181" s="98">
        <v>4.5421043753357981</v>
      </c>
      <c r="V4181" s="106">
        <v>37706.79252993525</v>
      </c>
      <c r="W4181" s="10">
        <v>1.2651769337056473</v>
      </c>
      <c r="X4181" s="420"/>
      <c r="Y4181" s="420"/>
    </row>
    <row r="4182" spans="17:25">
      <c r="Q4182" s="6">
        <v>4152</v>
      </c>
      <c r="R4182" s="7">
        <v>46819</v>
      </c>
      <c r="S4182" s="210">
        <v>4.5</v>
      </c>
      <c r="T4182" s="8">
        <v>1.0001249999999999</v>
      </c>
      <c r="U4182" s="98">
        <v>4.5421346510489347</v>
      </c>
      <c r="V4182" s="106">
        <v>37710.035456381629</v>
      </c>
      <c r="W4182" s="10">
        <v>1.265217413364117</v>
      </c>
      <c r="X4182" s="420"/>
      <c r="Y4182" s="420"/>
    </row>
    <row r="4183" spans="17:25">
      <c r="Q4183" s="6">
        <v>4153</v>
      </c>
      <c r="R4183" s="7">
        <v>46820</v>
      </c>
      <c r="S4183" s="210">
        <v>4.5</v>
      </c>
      <c r="T4183" s="8">
        <v>1.0001249999999999</v>
      </c>
      <c r="U4183" s="98">
        <v>4.5421649121906604</v>
      </c>
      <c r="V4183" s="106">
        <v>37713.2786617319</v>
      </c>
      <c r="W4183" s="10">
        <v>1.2652578735445896</v>
      </c>
      <c r="X4183" s="420"/>
      <c r="Y4183" s="420"/>
    </row>
    <row r="4184" spans="17:25">
      <c r="Q4184" s="6">
        <v>4154</v>
      </c>
      <c r="R4184" s="7">
        <v>46821</v>
      </c>
      <c r="S4184" s="210">
        <v>4.5</v>
      </c>
      <c r="T4184" s="8">
        <v>1.0001249999999999</v>
      </c>
      <c r="U4184" s="98">
        <v>4.5421951587715004</v>
      </c>
      <c r="V4184" s="106">
        <v>37716.522146010087</v>
      </c>
      <c r="W4184" s="10">
        <v>1.2652983142610985</v>
      </c>
      <c r="X4184" s="420"/>
      <c r="Y4184" s="420"/>
    </row>
    <row r="4185" spans="17:25">
      <c r="Q4185" s="6">
        <v>4155</v>
      </c>
      <c r="R4185" s="7">
        <v>46822</v>
      </c>
      <c r="S4185" s="210">
        <v>4.5</v>
      </c>
      <c r="T4185" s="8">
        <v>1.0001249999999999</v>
      </c>
      <c r="U4185" s="98">
        <v>4.5422253908019572</v>
      </c>
      <c r="V4185" s="106">
        <v>37719.765909240159</v>
      </c>
      <c r="W4185" s="10">
        <v>1.2653387355276768</v>
      </c>
      <c r="X4185" s="420"/>
      <c r="Y4185" s="420"/>
    </row>
    <row r="4186" spans="17:25">
      <c r="Q4186" s="6">
        <v>4156</v>
      </c>
      <c r="R4186" s="7">
        <v>46823</v>
      </c>
      <c r="S4186" s="210">
        <v>4.5</v>
      </c>
      <c r="T4186" s="8">
        <v>1.0001249999999999</v>
      </c>
      <c r="U4186" s="98">
        <v>4.5422556082925336</v>
      </c>
      <c r="V4186" s="106">
        <v>37723.009951446104</v>
      </c>
      <c r="W4186" s="10">
        <v>1.2653791373584022</v>
      </c>
      <c r="X4186" s="420"/>
      <c r="Y4186" s="420"/>
    </row>
    <row r="4187" spans="17:25">
      <c r="Q4187" s="6">
        <v>4157</v>
      </c>
      <c r="R4187" s="7">
        <v>46824</v>
      </c>
      <c r="S4187" s="210">
        <v>4.5</v>
      </c>
      <c r="T4187" s="8">
        <v>1.0001249999999999</v>
      </c>
      <c r="U4187" s="98">
        <v>4.5422858112537101</v>
      </c>
      <c r="V4187" s="106">
        <v>37726.254272651924</v>
      </c>
      <c r="W4187" s="10">
        <v>1.2654195197672413</v>
      </c>
      <c r="X4187" s="420"/>
      <c r="Y4187" s="420"/>
    </row>
    <row r="4188" spans="17:25">
      <c r="Q4188" s="6">
        <v>4158</v>
      </c>
      <c r="R4188" s="7">
        <v>46825</v>
      </c>
      <c r="S4188" s="210">
        <v>4.5</v>
      </c>
      <c r="T4188" s="8">
        <v>1.0001249999999999</v>
      </c>
      <c r="U4188" s="98">
        <v>4.5423159996959672</v>
      </c>
      <c r="V4188" s="106">
        <v>37729.49887288161</v>
      </c>
      <c r="W4188" s="10">
        <v>1.2654598827682273</v>
      </c>
      <c r="X4188" s="420"/>
      <c r="Y4188" s="420"/>
    </row>
    <row r="4189" spans="17:25">
      <c r="Q4189" s="6">
        <v>4159</v>
      </c>
      <c r="R4189" s="7">
        <v>46826</v>
      </c>
      <c r="S4189" s="210">
        <v>4.5</v>
      </c>
      <c r="T4189" s="8">
        <v>1.0001249999999999</v>
      </c>
      <c r="U4189" s="98">
        <v>4.5423461736297854</v>
      </c>
      <c r="V4189" s="106">
        <v>37732.743752159149</v>
      </c>
      <c r="W4189" s="10">
        <v>1.2655002263753268</v>
      </c>
      <c r="X4189" s="420"/>
      <c r="Y4189" s="420"/>
    </row>
    <row r="4190" spans="17:25">
      <c r="Q4190" s="6">
        <v>4160</v>
      </c>
      <c r="R4190" s="7">
        <v>46827</v>
      </c>
      <c r="S4190" s="210">
        <v>4.5</v>
      </c>
      <c r="T4190" s="8">
        <v>1.0001249999999999</v>
      </c>
      <c r="U4190" s="98">
        <v>4.5423763330656008</v>
      </c>
      <c r="V4190" s="106">
        <v>37735.988910508568</v>
      </c>
      <c r="W4190" s="10">
        <v>1.2655405506025286</v>
      </c>
      <c r="X4190" s="420"/>
      <c r="Y4190" s="420"/>
    </row>
    <row r="4191" spans="17:25">
      <c r="Q4191" s="6">
        <v>4161</v>
      </c>
      <c r="R4191" s="7">
        <v>46828</v>
      </c>
      <c r="S4191" s="210">
        <v>4.5</v>
      </c>
      <c r="T4191" s="8">
        <v>1.0001249999999999</v>
      </c>
      <c r="U4191" s="98">
        <v>4.5424064780138718</v>
      </c>
      <c r="V4191" s="106">
        <v>37739.234347953839</v>
      </c>
      <c r="W4191" s="10">
        <v>1.2655808554637993</v>
      </c>
      <c r="X4191" s="420"/>
      <c r="Y4191" s="420"/>
    </row>
    <row r="4192" spans="17:25">
      <c r="Q4192" s="6">
        <v>4162</v>
      </c>
      <c r="R4192" s="7">
        <v>46829</v>
      </c>
      <c r="S4192" s="210">
        <v>4.5</v>
      </c>
      <c r="T4192" s="8">
        <v>1.0001249999999999</v>
      </c>
      <c r="U4192" s="98">
        <v>4.5424366084850121</v>
      </c>
      <c r="V4192" s="106">
        <v>37742.480064518983</v>
      </c>
      <c r="W4192" s="10">
        <v>1.2656211409730389</v>
      </c>
      <c r="X4192" s="420"/>
      <c r="Y4192" s="420"/>
    </row>
    <row r="4193" spans="17:25">
      <c r="Q4193" s="6">
        <v>4163</v>
      </c>
      <c r="R4193" s="7">
        <v>46830</v>
      </c>
      <c r="S4193" s="210">
        <v>4.5</v>
      </c>
      <c r="T4193" s="8">
        <v>1.0001249999999999</v>
      </c>
      <c r="U4193" s="98">
        <v>4.5424667244894801</v>
      </c>
      <c r="V4193" s="106">
        <v>37745.726060228</v>
      </c>
      <c r="W4193" s="10">
        <v>1.2656614071442585</v>
      </c>
      <c r="X4193" s="420"/>
      <c r="Y4193" s="420"/>
    </row>
    <row r="4194" spans="17:25">
      <c r="Q4194" s="6">
        <v>4164</v>
      </c>
      <c r="R4194" s="7">
        <v>46831</v>
      </c>
      <c r="S4194" s="210">
        <v>4.5</v>
      </c>
      <c r="T4194" s="8">
        <v>1.0001249999999999</v>
      </c>
      <c r="U4194" s="98">
        <v>4.5424968260376675</v>
      </c>
      <c r="V4194" s="106">
        <v>37748.972335104889</v>
      </c>
      <c r="W4194" s="10">
        <v>1.2657016539913135</v>
      </c>
      <c r="X4194" s="420"/>
      <c r="Y4194" s="420"/>
    </row>
    <row r="4195" spans="17:25">
      <c r="Q4195" s="6">
        <v>4165</v>
      </c>
      <c r="R4195" s="7">
        <v>46832</v>
      </c>
      <c r="S4195" s="210">
        <v>4.5</v>
      </c>
      <c r="T4195" s="8">
        <v>1.0001249999999999</v>
      </c>
      <c r="U4195" s="98">
        <v>4.5425269131399881</v>
      </c>
      <c r="V4195" s="106">
        <v>37752.218889173673</v>
      </c>
      <c r="W4195" s="10">
        <v>1.2657418815281263</v>
      </c>
      <c r="X4195" s="420"/>
      <c r="Y4195" s="420"/>
    </row>
    <row r="4196" spans="17:25">
      <c r="Q4196" s="6">
        <v>4166</v>
      </c>
      <c r="R4196" s="7">
        <v>46833</v>
      </c>
      <c r="S4196" s="210">
        <v>4.5</v>
      </c>
      <c r="T4196" s="8">
        <v>1.0001249999999999</v>
      </c>
      <c r="U4196" s="98">
        <v>4.542556985806856</v>
      </c>
      <c r="V4196" s="106">
        <v>37755.465722458357</v>
      </c>
      <c r="W4196" s="10">
        <v>1.2657820897686189</v>
      </c>
      <c r="X4196" s="420"/>
      <c r="Y4196" s="420"/>
    </row>
    <row r="4197" spans="17:25">
      <c r="Q4197" s="6">
        <v>4167</v>
      </c>
      <c r="R4197" s="7">
        <v>46834</v>
      </c>
      <c r="S4197" s="210">
        <v>4.5</v>
      </c>
      <c r="T4197" s="8">
        <v>1.0001249999999999</v>
      </c>
      <c r="U4197" s="98">
        <v>4.5425870440486404</v>
      </c>
      <c r="V4197" s="106">
        <v>37758.712834982951</v>
      </c>
      <c r="W4197" s="10">
        <v>1.2658222787266471</v>
      </c>
      <c r="X4197" s="420"/>
      <c r="Y4197" s="420"/>
    </row>
    <row r="4198" spans="17:25">
      <c r="Q4198" s="6">
        <v>4168</v>
      </c>
      <c r="R4198" s="7">
        <v>46835</v>
      </c>
      <c r="S4198" s="210">
        <v>4.5</v>
      </c>
      <c r="T4198" s="8">
        <v>1.0001249999999999</v>
      </c>
      <c r="U4198" s="98">
        <v>4.5426170878757111</v>
      </c>
      <c r="V4198" s="106">
        <v>37761.960226771487</v>
      </c>
      <c r="W4198" s="10">
        <v>1.2658624484160885</v>
      </c>
      <c r="X4198" s="420"/>
      <c r="Y4198" s="420"/>
    </row>
    <row r="4199" spans="17:25">
      <c r="Q4199" s="6">
        <v>4169</v>
      </c>
      <c r="R4199" s="7">
        <v>46836</v>
      </c>
      <c r="S4199" s="210">
        <v>4.5</v>
      </c>
      <c r="T4199" s="8">
        <v>1.0001249999999999</v>
      </c>
      <c r="U4199" s="98">
        <v>4.5426471172984595</v>
      </c>
      <c r="V4199" s="106">
        <v>37765.207897847962</v>
      </c>
      <c r="W4199" s="10">
        <v>1.2659025988507988</v>
      </c>
      <c r="X4199" s="420"/>
      <c r="Y4199" s="420"/>
    </row>
    <row r="4200" spans="17:25">
      <c r="Q4200" s="6">
        <v>4170</v>
      </c>
      <c r="R4200" s="7">
        <v>46837</v>
      </c>
      <c r="S4200" s="210">
        <v>4.5</v>
      </c>
      <c r="T4200" s="8">
        <v>1.0001249999999999</v>
      </c>
      <c r="U4200" s="98">
        <v>4.5426771323272108</v>
      </c>
      <c r="V4200" s="106">
        <v>37768.455848236408</v>
      </c>
      <c r="W4200" s="10">
        <v>1.2659427300445891</v>
      </c>
      <c r="X4200" s="420"/>
      <c r="Y4200" s="420"/>
    </row>
    <row r="4201" spans="17:25">
      <c r="Q4201" s="6">
        <v>4171</v>
      </c>
      <c r="R4201" s="7">
        <v>46838</v>
      </c>
      <c r="S4201" s="210">
        <v>4.5</v>
      </c>
      <c r="T4201" s="8">
        <v>1.0001249999999999</v>
      </c>
      <c r="U4201" s="98">
        <v>4.5427071329723345</v>
      </c>
      <c r="V4201" s="106">
        <v>37771.704077960843</v>
      </c>
      <c r="W4201" s="10">
        <v>1.2659828420113373</v>
      </c>
      <c r="X4201" s="420"/>
      <c r="Y4201" s="420"/>
    </row>
    <row r="4202" spans="17:25">
      <c r="Q4202" s="6">
        <v>4172</v>
      </c>
      <c r="R4202" s="7">
        <v>46839</v>
      </c>
      <c r="S4202" s="210">
        <v>4.5</v>
      </c>
      <c r="T4202" s="8">
        <v>1.0001249999999999</v>
      </c>
      <c r="U4202" s="98">
        <v>4.5427371192441557</v>
      </c>
      <c r="V4202" s="106">
        <v>37774.952587045293</v>
      </c>
      <c r="W4202" s="10">
        <v>1.26602293476481</v>
      </c>
      <c r="X4202" s="420"/>
      <c r="Y4202" s="420"/>
    </row>
    <row r="4203" spans="17:25">
      <c r="Q4203" s="6">
        <v>4173</v>
      </c>
      <c r="R4203" s="7">
        <v>46840</v>
      </c>
      <c r="S4203" s="210">
        <v>4.5</v>
      </c>
      <c r="T4203" s="8">
        <v>1.0001249999999999</v>
      </c>
      <c r="U4203" s="98">
        <v>4.5427670911529994</v>
      </c>
      <c r="V4203" s="106">
        <v>37778.201375513781</v>
      </c>
      <c r="W4203" s="10">
        <v>1.2660630083188407</v>
      </c>
      <c r="X4203" s="420"/>
      <c r="Y4203" s="420"/>
    </row>
    <row r="4204" spans="17:25">
      <c r="Q4204" s="6">
        <v>4174</v>
      </c>
      <c r="R4204" s="7">
        <v>46841</v>
      </c>
      <c r="S4204" s="210">
        <v>4.5</v>
      </c>
      <c r="T4204" s="8">
        <v>1.0001249999999999</v>
      </c>
      <c r="U4204" s="98">
        <v>4.5427970487091907</v>
      </c>
      <c r="V4204" s="106">
        <v>37781.450443390335</v>
      </c>
      <c r="W4204" s="10">
        <v>1.2661030626871961</v>
      </c>
      <c r="X4204" s="420"/>
      <c r="Y4204" s="420"/>
    </row>
    <row r="4205" spans="17:25">
      <c r="Q4205" s="6">
        <v>4175</v>
      </c>
      <c r="R4205" s="7">
        <v>46842</v>
      </c>
      <c r="S4205" s="210">
        <v>4.5</v>
      </c>
      <c r="T4205" s="8">
        <v>1.0001249999999999</v>
      </c>
      <c r="U4205" s="98">
        <v>4.5428269919230324</v>
      </c>
      <c r="V4205" s="106">
        <v>37784.699790698993</v>
      </c>
      <c r="W4205" s="10">
        <v>1.2661430978836652</v>
      </c>
      <c r="X4205" s="420"/>
      <c r="Y4205" s="420"/>
    </row>
    <row r="4206" spans="17:25">
      <c r="Q4206" s="6">
        <v>4176</v>
      </c>
      <c r="R4206" s="7">
        <v>46843</v>
      </c>
      <c r="S4206" s="210">
        <v>4.5</v>
      </c>
      <c r="T4206" s="8">
        <v>1.0001249999999999</v>
      </c>
      <c r="U4206" s="98">
        <v>4.5428569208048275</v>
      </c>
      <c r="V4206" s="106">
        <v>37787.94941746378</v>
      </c>
      <c r="W4206" s="10">
        <v>1.2661831139219926</v>
      </c>
      <c r="X4206" s="420"/>
      <c r="Y4206" s="420"/>
    </row>
    <row r="4207" spans="17:25">
      <c r="Q4207" s="6">
        <v>4177</v>
      </c>
      <c r="R4207" s="7">
        <v>46844</v>
      </c>
      <c r="S4207" s="210">
        <v>4.5</v>
      </c>
      <c r="T4207" s="8">
        <v>1.0001249999999999</v>
      </c>
      <c r="U4207" s="98">
        <v>4.5428868353648788</v>
      </c>
      <c r="V4207" s="106">
        <v>37791.199323708723</v>
      </c>
      <c r="W4207" s="10">
        <v>1.2662231108159894</v>
      </c>
      <c r="X4207" s="420"/>
      <c r="Y4207" s="420"/>
    </row>
    <row r="4208" spans="17:25">
      <c r="Q4208" s="6">
        <v>4178</v>
      </c>
      <c r="R4208" s="7">
        <v>46845</v>
      </c>
      <c r="S4208" s="210">
        <v>4.5</v>
      </c>
      <c r="T4208" s="8">
        <v>1.0001249999999999</v>
      </c>
      <c r="U4208" s="98">
        <v>4.5429167356134448</v>
      </c>
      <c r="V4208" s="106">
        <v>37794.449509457874</v>
      </c>
      <c r="W4208" s="10">
        <v>1.2662630885793114</v>
      </c>
      <c r="X4208" s="420"/>
      <c r="Y4208" s="420"/>
    </row>
    <row r="4209" spans="17:25">
      <c r="Q4209" s="6">
        <v>4179</v>
      </c>
      <c r="R4209" s="7">
        <v>46846</v>
      </c>
      <c r="S4209" s="210">
        <v>4.5</v>
      </c>
      <c r="T4209" s="8">
        <v>1.0001249999999999</v>
      </c>
      <c r="U4209" s="98">
        <v>4.5429466215607839</v>
      </c>
      <c r="V4209" s="106">
        <v>37797.69997473526</v>
      </c>
      <c r="W4209" s="10">
        <v>1.2663030472257031</v>
      </c>
      <c r="X4209" s="420"/>
      <c r="Y4209" s="420"/>
    </row>
    <row r="4210" spans="17:25">
      <c r="Q4210" s="6">
        <v>4180</v>
      </c>
      <c r="R4210" s="7">
        <v>46847</v>
      </c>
      <c r="S4210" s="210">
        <v>4.5</v>
      </c>
      <c r="T4210" s="8">
        <v>1.0001249999999999</v>
      </c>
      <c r="U4210" s="98">
        <v>4.5429764932171768</v>
      </c>
      <c r="V4210" s="106">
        <v>37800.950719564935</v>
      </c>
      <c r="W4210" s="10">
        <v>1.2663429867689091</v>
      </c>
      <c r="X4210" s="420"/>
      <c r="Y4210" s="420"/>
    </row>
    <row r="4211" spans="17:25">
      <c r="Q4211" s="6">
        <v>4181</v>
      </c>
      <c r="R4211" s="7">
        <v>46848</v>
      </c>
      <c r="S4211" s="210">
        <v>4.5</v>
      </c>
      <c r="T4211" s="8">
        <v>1.0001249999999999</v>
      </c>
      <c r="U4211" s="98">
        <v>4.5430063505928375</v>
      </c>
      <c r="V4211" s="106">
        <v>37804.201743970923</v>
      </c>
      <c r="W4211" s="10">
        <v>1.2663829072225852</v>
      </c>
      <c r="X4211" s="420"/>
      <c r="Y4211" s="420"/>
    </row>
    <row r="4212" spans="17:25">
      <c r="Q4212" s="6">
        <v>4182</v>
      </c>
      <c r="R4212" s="7">
        <v>46849</v>
      </c>
      <c r="S4212" s="210">
        <v>4.5</v>
      </c>
      <c r="T4212" s="8">
        <v>1.0001249999999999</v>
      </c>
      <c r="U4212" s="98">
        <v>4.5430361936980468</v>
      </c>
      <c r="V4212" s="106">
        <v>37807.45304797728</v>
      </c>
      <c r="W4212" s="10">
        <v>1.2664228086004092</v>
      </c>
      <c r="X4212" s="420"/>
      <c r="Y4212" s="420"/>
    </row>
    <row r="4213" spans="17:25">
      <c r="Q4213" s="6">
        <v>4183</v>
      </c>
      <c r="R4213" s="7">
        <v>46850</v>
      </c>
      <c r="S4213" s="210">
        <v>4.5</v>
      </c>
      <c r="T4213" s="8">
        <v>1.0001249999999999</v>
      </c>
      <c r="U4213" s="98">
        <v>4.5430660225429964</v>
      </c>
      <c r="V4213" s="106">
        <v>37810.704631608045</v>
      </c>
      <c r="W4213" s="10">
        <v>1.2664626909160814</v>
      </c>
      <c r="X4213" s="420"/>
      <c r="Y4213" s="420"/>
    </row>
    <row r="4214" spans="17:25">
      <c r="Q4214" s="6">
        <v>4184</v>
      </c>
      <c r="R4214" s="7">
        <v>46851</v>
      </c>
      <c r="S4214" s="210">
        <v>4.5</v>
      </c>
      <c r="T4214" s="8">
        <v>1.0001249999999999</v>
      </c>
      <c r="U4214" s="98">
        <v>4.5430958371379226</v>
      </c>
      <c r="V4214" s="106">
        <v>37813.956494887287</v>
      </c>
      <c r="W4214" s="10">
        <v>1.2665025541832353</v>
      </c>
      <c r="X4214" s="420"/>
      <c r="Y4214" s="420"/>
    </row>
    <row r="4215" spans="17:25">
      <c r="Q4215" s="6">
        <v>4185</v>
      </c>
      <c r="R4215" s="7">
        <v>46852</v>
      </c>
      <c r="S4215" s="210">
        <v>4.5</v>
      </c>
      <c r="T4215" s="8">
        <v>1.0001249999999999</v>
      </c>
      <c r="U4215" s="98">
        <v>4.5431256374930395</v>
      </c>
      <c r="V4215" s="106">
        <v>37817.20863783903</v>
      </c>
      <c r="W4215" s="10">
        <v>1.2665423984155488</v>
      </c>
      <c r="X4215" s="420"/>
      <c r="Y4215" s="420"/>
    </row>
    <row r="4216" spans="17:25">
      <c r="Q4216" s="6">
        <v>4186</v>
      </c>
      <c r="R4216" s="7">
        <v>46853</v>
      </c>
      <c r="S4216" s="210">
        <v>4.5</v>
      </c>
      <c r="T4216" s="8">
        <v>1.0001249999999999</v>
      </c>
      <c r="U4216" s="98">
        <v>4.543155423618539</v>
      </c>
      <c r="V4216" s="106">
        <v>37820.461060487345</v>
      </c>
      <c r="W4216" s="10">
        <v>1.2665822236266111</v>
      </c>
      <c r="X4216" s="420"/>
      <c r="Y4216" s="420"/>
    </row>
    <row r="4217" spans="17:25">
      <c r="Q4217" s="6">
        <v>4187</v>
      </c>
      <c r="R4217" s="7">
        <v>46854</v>
      </c>
      <c r="S4217" s="210">
        <v>4.5</v>
      </c>
      <c r="T4217" s="8">
        <v>1.0001249999999999</v>
      </c>
      <c r="U4217" s="98">
        <v>4.5431851955246128</v>
      </c>
      <c r="V4217" s="106">
        <v>37823.71376285627</v>
      </c>
      <c r="W4217" s="10">
        <v>1.2666220298300557</v>
      </c>
      <c r="X4217" s="420"/>
      <c r="Y4217" s="420"/>
    </row>
    <row r="4218" spans="17:25">
      <c r="Q4218" s="6">
        <v>4188</v>
      </c>
      <c r="R4218" s="7">
        <v>46855</v>
      </c>
      <c r="S4218" s="210">
        <v>4.5</v>
      </c>
      <c r="T4218" s="8">
        <v>1.0001249999999999</v>
      </c>
      <c r="U4218" s="98">
        <v>4.5432149532214305</v>
      </c>
      <c r="V4218" s="106">
        <v>37826.96674496989</v>
      </c>
      <c r="W4218" s="10">
        <v>1.2666618170394939</v>
      </c>
      <c r="X4218" s="420"/>
      <c r="Y4218" s="420"/>
    </row>
    <row r="4219" spans="17:25">
      <c r="Q4219" s="6">
        <v>4189</v>
      </c>
      <c r="R4219" s="7">
        <v>46856</v>
      </c>
      <c r="S4219" s="210">
        <v>4.5</v>
      </c>
      <c r="T4219" s="8">
        <v>1.0001249999999999</v>
      </c>
      <c r="U4219" s="98">
        <v>4.5432446967191842</v>
      </c>
      <c r="V4219" s="106">
        <v>37830.220006852236</v>
      </c>
      <c r="W4219" s="10">
        <v>1.2667015852685148</v>
      </c>
      <c r="X4219" s="420"/>
      <c r="Y4219" s="420"/>
    </row>
    <row r="4220" spans="17:25">
      <c r="Q4220" s="6">
        <v>4190</v>
      </c>
      <c r="R4220" s="7">
        <v>46857</v>
      </c>
      <c r="S4220" s="210">
        <v>4.5</v>
      </c>
      <c r="T4220" s="8">
        <v>1.0001249999999999</v>
      </c>
      <c r="U4220" s="98">
        <v>4.5432744260279989</v>
      </c>
      <c r="V4220" s="106">
        <v>37833.473548527378</v>
      </c>
      <c r="W4220" s="10">
        <v>1.2667413345306855</v>
      </c>
      <c r="X4220" s="420"/>
      <c r="Y4220" s="420"/>
    </row>
    <row r="4221" spans="17:25">
      <c r="Q4221" s="6">
        <v>4191</v>
      </c>
      <c r="R4221" s="7">
        <v>46858</v>
      </c>
      <c r="S4221" s="210">
        <v>4.5</v>
      </c>
      <c r="T4221" s="8">
        <v>1.0001249999999999</v>
      </c>
      <c r="U4221" s="98">
        <v>4.5433041411580666</v>
      </c>
      <c r="V4221" s="106">
        <v>37836.727370019384</v>
      </c>
      <c r="W4221" s="10">
        <v>1.2667810648395728</v>
      </c>
      <c r="X4221" s="420"/>
      <c r="Y4221" s="420"/>
    </row>
    <row r="4222" spans="17:25">
      <c r="Q4222" s="6">
        <v>4192</v>
      </c>
      <c r="R4222" s="7">
        <v>46859</v>
      </c>
      <c r="S4222" s="210">
        <v>4.5</v>
      </c>
      <c r="T4222" s="8">
        <v>1.0001249999999999</v>
      </c>
      <c r="U4222" s="98">
        <v>4.5433338421194902</v>
      </c>
      <c r="V4222" s="106">
        <v>37839.981471352323</v>
      </c>
      <c r="W4222" s="10">
        <v>1.2668207762087436</v>
      </c>
      <c r="X4222" s="420"/>
      <c r="Y4222" s="420"/>
    </row>
    <row r="4223" spans="17:25">
      <c r="Q4223" s="6">
        <v>4193</v>
      </c>
      <c r="R4223" s="7">
        <v>46860</v>
      </c>
      <c r="S4223" s="210">
        <v>4.5</v>
      </c>
      <c r="T4223" s="8">
        <v>1.0001249999999999</v>
      </c>
      <c r="U4223" s="98">
        <v>4.5433635289224172</v>
      </c>
      <c r="V4223" s="106">
        <v>37843.23585255025</v>
      </c>
      <c r="W4223" s="10">
        <v>1.2668604686517204</v>
      </c>
      <c r="X4223" s="420"/>
      <c r="Y4223" s="420"/>
    </row>
    <row r="4224" spans="17:25">
      <c r="Q4224" s="6">
        <v>4194</v>
      </c>
      <c r="R4224" s="7">
        <v>46861</v>
      </c>
      <c r="S4224" s="210">
        <v>4.5</v>
      </c>
      <c r="T4224" s="8">
        <v>1.0001249999999999</v>
      </c>
      <c r="U4224" s="98">
        <v>4.5433932015769729</v>
      </c>
      <c r="V4224" s="106">
        <v>37846.490513637247</v>
      </c>
      <c r="W4224" s="10">
        <v>1.2669001421820481</v>
      </c>
      <c r="X4224" s="420"/>
      <c r="Y4224" s="420"/>
    </row>
    <row r="4225" spans="17:25">
      <c r="Q4225" s="6">
        <v>4195</v>
      </c>
      <c r="R4225" s="7">
        <v>46862</v>
      </c>
      <c r="S4225" s="210">
        <v>4.5</v>
      </c>
      <c r="T4225" s="8">
        <v>1.0001249999999999</v>
      </c>
      <c r="U4225" s="98">
        <v>4.5434228600932824</v>
      </c>
      <c r="V4225" s="106">
        <v>37849.74545463737</v>
      </c>
      <c r="W4225" s="10">
        <v>1.2669397968132268</v>
      </c>
      <c r="X4225" s="420"/>
      <c r="Y4225" s="420"/>
    </row>
    <row r="4226" spans="17:25">
      <c r="Q4226" s="6">
        <v>4196</v>
      </c>
      <c r="R4226" s="7">
        <v>46863</v>
      </c>
      <c r="S4226" s="210">
        <v>4.5</v>
      </c>
      <c r="T4226" s="8">
        <v>1.0001249999999999</v>
      </c>
      <c r="U4226" s="98">
        <v>4.5434525044814267</v>
      </c>
      <c r="V4226" s="106">
        <v>37853.000675574709</v>
      </c>
      <c r="W4226" s="10">
        <v>1.2669794325587791</v>
      </c>
      <c r="X4226" s="420"/>
      <c r="Y4226" s="420"/>
    </row>
    <row r="4227" spans="17:25">
      <c r="Q4227" s="6">
        <v>4197</v>
      </c>
      <c r="R4227" s="7">
        <v>46864</v>
      </c>
      <c r="S4227" s="210">
        <v>4.5</v>
      </c>
      <c r="T4227" s="8">
        <v>1.0001249999999999</v>
      </c>
      <c r="U4227" s="98">
        <v>4.5434821347515086</v>
      </c>
      <c r="V4227" s="106">
        <v>37856.256176473333</v>
      </c>
      <c r="W4227" s="10">
        <v>1.2670190494321609</v>
      </c>
      <c r="X4227" s="420"/>
      <c r="Y4227" s="420"/>
    </row>
    <row r="4228" spans="17:25">
      <c r="Q4228" s="6">
        <v>4198</v>
      </c>
      <c r="R4228" s="7">
        <v>46865</v>
      </c>
      <c r="S4228" s="210">
        <v>4.5</v>
      </c>
      <c r="T4228" s="8">
        <v>1.0001249999999999</v>
      </c>
      <c r="U4228" s="98">
        <v>4.5435117509136091</v>
      </c>
      <c r="V4228" s="106">
        <v>37859.51195735731</v>
      </c>
      <c r="W4228" s="10">
        <v>1.2670586474468726</v>
      </c>
      <c r="X4228" s="420"/>
      <c r="Y4228" s="420"/>
    </row>
    <row r="4229" spans="17:25">
      <c r="Q4229" s="6">
        <v>4199</v>
      </c>
      <c r="R4229" s="7">
        <v>46866</v>
      </c>
      <c r="S4229" s="210">
        <v>4.5</v>
      </c>
      <c r="T4229" s="8">
        <v>1.0001249999999999</v>
      </c>
      <c r="U4229" s="98">
        <v>4.543541352977809</v>
      </c>
      <c r="V4229" s="106">
        <v>37862.768018250739</v>
      </c>
      <c r="W4229" s="10">
        <v>1.2670982266163922</v>
      </c>
      <c r="X4229" s="420"/>
      <c r="Y4229" s="420"/>
    </row>
    <row r="4230" spans="17:25">
      <c r="Q4230" s="6">
        <v>4200</v>
      </c>
      <c r="R4230" s="7">
        <v>46867</v>
      </c>
      <c r="S4230" s="210">
        <v>4.5</v>
      </c>
      <c r="T4230" s="8">
        <v>1.0001249999999999</v>
      </c>
      <c r="U4230" s="98">
        <v>4.5435709409541447</v>
      </c>
      <c r="V4230" s="106">
        <v>37866.024359177689</v>
      </c>
      <c r="W4230" s="10">
        <v>1.2671377869541089</v>
      </c>
      <c r="X4230" s="420"/>
      <c r="Y4230" s="420"/>
    </row>
    <row r="4231" spans="17:25">
      <c r="Q4231" s="6">
        <v>4201</v>
      </c>
      <c r="R4231" s="7">
        <v>46868</v>
      </c>
      <c r="S4231" s="210">
        <v>4.5</v>
      </c>
      <c r="T4231" s="8">
        <v>1.0001249999999999</v>
      </c>
      <c r="U4231" s="98">
        <v>4.543600514852697</v>
      </c>
      <c r="V4231" s="106">
        <v>37869.28098016225</v>
      </c>
      <c r="W4231" s="10">
        <v>1.2671773284735233</v>
      </c>
      <c r="X4231" s="420"/>
      <c r="Y4231" s="420"/>
    </row>
    <row r="4232" spans="17:25">
      <c r="Q4232" s="6">
        <v>4202</v>
      </c>
      <c r="R4232" s="7">
        <v>46869</v>
      </c>
      <c r="S4232" s="210">
        <v>4.5</v>
      </c>
      <c r="T4232" s="8">
        <v>1.0001249999999999</v>
      </c>
      <c r="U4232" s="98">
        <v>4.5436300746835023</v>
      </c>
      <c r="V4232" s="106">
        <v>37872.537881228491</v>
      </c>
      <c r="W4232" s="10">
        <v>1.2672168511880244</v>
      </c>
      <c r="X4232" s="420"/>
      <c r="Y4232" s="420"/>
    </row>
    <row r="4233" spans="17:25">
      <c r="Q4233" s="6">
        <v>4203</v>
      </c>
      <c r="R4233" s="7">
        <v>46870</v>
      </c>
      <c r="S4233" s="210">
        <v>4.5</v>
      </c>
      <c r="T4233" s="8">
        <v>1.0001249999999999</v>
      </c>
      <c r="U4233" s="98">
        <v>4.5436596204565971</v>
      </c>
      <c r="V4233" s="106">
        <v>37875.795062400524</v>
      </c>
      <c r="W4233" s="10">
        <v>1.2672563551110239</v>
      </c>
      <c r="X4233" s="420"/>
      <c r="Y4233" s="420"/>
    </row>
    <row r="4234" spans="17:25">
      <c r="Q4234" s="6">
        <v>4204</v>
      </c>
      <c r="R4234" s="7">
        <v>46871</v>
      </c>
      <c r="S4234" s="210">
        <v>4.5</v>
      </c>
      <c r="T4234" s="8">
        <v>1.0001249999999999</v>
      </c>
      <c r="U4234" s="98">
        <v>4.5436891521820177</v>
      </c>
      <c r="V4234" s="106">
        <v>37879.052523702427</v>
      </c>
      <c r="W4234" s="10">
        <v>1.2672958402559331</v>
      </c>
      <c r="X4234" s="420"/>
      <c r="Y4234" s="420"/>
    </row>
    <row r="4235" spans="17:25">
      <c r="Q4235" s="6">
        <v>4205</v>
      </c>
      <c r="R4235" s="7">
        <v>46872</v>
      </c>
      <c r="S4235" s="210">
        <v>4.5</v>
      </c>
      <c r="T4235" s="8">
        <v>1.0001249999999999</v>
      </c>
      <c r="U4235" s="98">
        <v>4.5437186698697563</v>
      </c>
      <c r="V4235" s="106">
        <v>37882.310265158296</v>
      </c>
      <c r="W4235" s="10">
        <v>1.2673353066361415</v>
      </c>
      <c r="X4235" s="420"/>
      <c r="Y4235" s="420"/>
    </row>
    <row r="4236" spans="17:25">
      <c r="Q4236" s="6">
        <v>4206</v>
      </c>
      <c r="R4236" s="7">
        <v>46873</v>
      </c>
      <c r="S4236" s="210">
        <v>4.5</v>
      </c>
      <c r="T4236" s="8">
        <v>1.0001249999999999</v>
      </c>
      <c r="U4236" s="98">
        <v>4.5437481735298269</v>
      </c>
      <c r="V4236" s="106">
        <v>37885.568286792222</v>
      </c>
      <c r="W4236" s="10">
        <v>1.2673747542649938</v>
      </c>
      <c r="X4236" s="420"/>
      <c r="Y4236" s="420"/>
    </row>
    <row r="4237" spans="17:25">
      <c r="Q4237" s="6">
        <v>4207</v>
      </c>
      <c r="R4237" s="7">
        <v>46874</v>
      </c>
      <c r="S4237" s="210">
        <v>4.5</v>
      </c>
      <c r="T4237" s="8">
        <v>1.0001249999999999</v>
      </c>
      <c r="U4237" s="98">
        <v>4.5437776631722437</v>
      </c>
      <c r="V4237" s="106">
        <v>37888.826588628312</v>
      </c>
      <c r="W4237" s="10">
        <v>1.2674141831559016</v>
      </c>
      <c r="X4237" s="420"/>
      <c r="Y4237" s="420"/>
    </row>
    <row r="4238" spans="17:25">
      <c r="Q4238" s="6">
        <v>4208</v>
      </c>
      <c r="R4238" s="7">
        <v>46875</v>
      </c>
      <c r="S4238" s="210">
        <v>4.5</v>
      </c>
      <c r="T4238" s="8">
        <v>1.0001249999999999</v>
      </c>
      <c r="U4238" s="98">
        <v>4.5438071388069767</v>
      </c>
      <c r="V4238" s="106">
        <v>37892.085170690647</v>
      </c>
      <c r="W4238" s="10">
        <v>1.2674535933221653</v>
      </c>
      <c r="X4238" s="420"/>
      <c r="Y4238" s="420"/>
    </row>
    <row r="4239" spans="17:25">
      <c r="Q4239" s="6">
        <v>4209</v>
      </c>
      <c r="R4239" s="7">
        <v>46876</v>
      </c>
      <c r="S4239" s="210">
        <v>4.5</v>
      </c>
      <c r="T4239" s="8">
        <v>1.0001249999999999</v>
      </c>
      <c r="U4239" s="98">
        <v>4.5438366004440178</v>
      </c>
      <c r="V4239" s="106">
        <v>37895.344033003326</v>
      </c>
      <c r="W4239" s="10">
        <v>1.2674929847771521</v>
      </c>
      <c r="X4239" s="420"/>
      <c r="Y4239" s="420"/>
    </row>
    <row r="4240" spans="17:25">
      <c r="Q4240" s="6">
        <v>4210</v>
      </c>
      <c r="R4240" s="7">
        <v>46877</v>
      </c>
      <c r="S4240" s="210">
        <v>4.5</v>
      </c>
      <c r="T4240" s="8">
        <v>1.0001249999999999</v>
      </c>
      <c r="U4240" s="98">
        <v>4.5438660480933368</v>
      </c>
      <c r="V4240" s="106">
        <v>37898.603175590477</v>
      </c>
      <c r="W4240" s="10">
        <v>1.2675323575341624</v>
      </c>
      <c r="X4240" s="420"/>
      <c r="Y4240" s="420"/>
    </row>
    <row r="4241" spans="17:25">
      <c r="Q4241" s="6">
        <v>4211</v>
      </c>
      <c r="R4241" s="7">
        <v>46878</v>
      </c>
      <c r="S4241" s="210">
        <v>4.5</v>
      </c>
      <c r="T4241" s="8">
        <v>1.0001249999999999</v>
      </c>
      <c r="U4241" s="98">
        <v>4.5438954817648813</v>
      </c>
      <c r="V4241" s="106">
        <v>37901.862598476182</v>
      </c>
      <c r="W4241" s="10">
        <v>1.2675717116065188</v>
      </c>
      <c r="X4241" s="420"/>
      <c r="Y4241" s="420"/>
    </row>
    <row r="4242" spans="17:25">
      <c r="Q4242" s="6">
        <v>4212</v>
      </c>
      <c r="R4242" s="7">
        <v>46879</v>
      </c>
      <c r="S4242" s="210">
        <v>4.5</v>
      </c>
      <c r="T4242" s="8">
        <v>1.0001249999999999</v>
      </c>
      <c r="U4242" s="98">
        <v>4.543924901468599</v>
      </c>
      <c r="V4242" s="106">
        <v>37905.122301684554</v>
      </c>
      <c r="W4242" s="10">
        <v>1.2676110470075219</v>
      </c>
      <c r="X4242" s="420"/>
      <c r="Y4242" s="420"/>
    </row>
    <row r="4243" spans="17:25">
      <c r="Q4243" s="6">
        <v>4213</v>
      </c>
      <c r="R4243" s="7">
        <v>46880</v>
      </c>
      <c r="S4243" s="210">
        <v>4.5</v>
      </c>
      <c r="T4243" s="8">
        <v>1.0001249999999999</v>
      </c>
      <c r="U4243" s="98">
        <v>4.5439543072144373</v>
      </c>
      <c r="V4243" s="106">
        <v>37908.382285239706</v>
      </c>
      <c r="W4243" s="10">
        <v>1.2676503637504277</v>
      </c>
      <c r="X4243" s="420"/>
      <c r="Y4243" s="420"/>
    </row>
    <row r="4244" spans="17:25">
      <c r="Q4244" s="6">
        <v>4214</v>
      </c>
      <c r="R4244" s="7">
        <v>46881</v>
      </c>
      <c r="S4244" s="210">
        <v>4.5</v>
      </c>
      <c r="T4244" s="8">
        <v>1.0001249999999999</v>
      </c>
      <c r="U4244" s="98">
        <v>4.5439836990123217</v>
      </c>
      <c r="V4244" s="106">
        <v>37911.642549165743</v>
      </c>
      <c r="W4244" s="10">
        <v>1.2676896618485367</v>
      </c>
      <c r="X4244" s="420"/>
      <c r="Y4244" s="420"/>
    </row>
    <row r="4245" spans="17:25">
      <c r="Q4245" s="6">
        <v>4215</v>
      </c>
      <c r="R4245" s="7">
        <v>46882</v>
      </c>
      <c r="S4245" s="210">
        <v>4.5</v>
      </c>
      <c r="T4245" s="8">
        <v>1.0001249999999999</v>
      </c>
      <c r="U4245" s="98">
        <v>4.5440130768721776</v>
      </c>
      <c r="V4245" s="106">
        <v>37914.903093486784</v>
      </c>
      <c r="W4245" s="10">
        <v>1.2677289413151049</v>
      </c>
      <c r="X4245" s="420"/>
      <c r="Y4245" s="420"/>
    </row>
    <row r="4246" spans="17:25">
      <c r="Q4246" s="6">
        <v>4216</v>
      </c>
      <c r="R4246" s="7">
        <v>46883</v>
      </c>
      <c r="S4246" s="210">
        <v>4.5</v>
      </c>
      <c r="T4246" s="8">
        <v>1.0001249999999999</v>
      </c>
      <c r="U4246" s="98">
        <v>4.5440424408039082</v>
      </c>
      <c r="V4246" s="106">
        <v>37918.163918226935</v>
      </c>
      <c r="W4246" s="10">
        <v>1.2677682021633441</v>
      </c>
      <c r="X4246" s="420"/>
      <c r="Y4246" s="420"/>
    </row>
    <row r="4247" spans="17:25">
      <c r="Q4247" s="6">
        <v>4217</v>
      </c>
      <c r="R4247" s="7">
        <v>46884</v>
      </c>
      <c r="S4247" s="210">
        <v>4.5</v>
      </c>
      <c r="T4247" s="8">
        <v>1.0001249999999999</v>
      </c>
      <c r="U4247" s="98">
        <v>4.5440717908174388</v>
      </c>
      <c r="V4247" s="106">
        <v>37921.425023410324</v>
      </c>
      <c r="W4247" s="10">
        <v>1.2678074444065546</v>
      </c>
      <c r="X4247" s="420"/>
      <c r="Y4247" s="420"/>
    </row>
    <row r="4248" spans="17:25">
      <c r="Q4248" s="6">
        <v>4218</v>
      </c>
      <c r="R4248" s="7">
        <v>46885</v>
      </c>
      <c r="S4248" s="210">
        <v>4.5</v>
      </c>
      <c r="T4248" s="8">
        <v>1.0001249999999999</v>
      </c>
      <c r="U4248" s="98">
        <v>4.5441011269226506</v>
      </c>
      <c r="V4248" s="106">
        <v>37924.686409061062</v>
      </c>
      <c r="W4248" s="10">
        <v>1.2678466680579259</v>
      </c>
      <c r="X4248" s="420"/>
      <c r="Y4248" s="420"/>
    </row>
    <row r="4249" spans="17:25">
      <c r="Q4249" s="6">
        <v>4219</v>
      </c>
      <c r="R4249" s="7">
        <v>46886</v>
      </c>
      <c r="S4249" s="210">
        <v>4.5</v>
      </c>
      <c r="T4249" s="8">
        <v>1.0001249999999999</v>
      </c>
      <c r="U4249" s="98">
        <v>4.5441304491294243</v>
      </c>
      <c r="V4249" s="106">
        <v>37927.948075203269</v>
      </c>
      <c r="W4249" s="10">
        <v>1.2678858731306475</v>
      </c>
      <c r="X4249" s="420"/>
      <c r="Y4249" s="420"/>
    </row>
    <row r="4250" spans="17:25">
      <c r="Q4250" s="6">
        <v>4220</v>
      </c>
      <c r="R4250" s="7">
        <v>46887</v>
      </c>
      <c r="S4250" s="210">
        <v>4.5</v>
      </c>
      <c r="T4250" s="8">
        <v>1.0001249999999999</v>
      </c>
      <c r="U4250" s="98">
        <v>4.5441597574476411</v>
      </c>
      <c r="V4250" s="106">
        <v>37931.210021861079</v>
      </c>
      <c r="W4250" s="10">
        <v>1.2679250596379532</v>
      </c>
      <c r="X4250" s="420"/>
      <c r="Y4250" s="420"/>
    </row>
    <row r="4251" spans="17:25">
      <c r="Q4251" s="6">
        <v>4221</v>
      </c>
      <c r="R4251" s="7">
        <v>46888</v>
      </c>
      <c r="S4251" s="210">
        <v>4.5</v>
      </c>
      <c r="T4251" s="8">
        <v>1.0001249999999999</v>
      </c>
      <c r="U4251" s="98">
        <v>4.5441890518871597</v>
      </c>
      <c r="V4251" s="106">
        <v>37934.472249058614</v>
      </c>
      <c r="W4251" s="10">
        <v>1.2679642275930103</v>
      </c>
      <c r="X4251" s="420"/>
      <c r="Y4251" s="420"/>
    </row>
    <row r="4252" spans="17:25">
      <c r="Q4252" s="6">
        <v>4222</v>
      </c>
      <c r="R4252" s="7">
        <v>46889</v>
      </c>
      <c r="S4252" s="210">
        <v>4.5</v>
      </c>
      <c r="T4252" s="8">
        <v>1.0001249999999999</v>
      </c>
      <c r="U4252" s="98">
        <v>4.5442183324578389</v>
      </c>
      <c r="V4252" s="106">
        <v>37937.734756819991</v>
      </c>
      <c r="W4252" s="10">
        <v>1.2680033770089638</v>
      </c>
      <c r="X4252" s="420"/>
      <c r="Y4252" s="420"/>
    </row>
    <row r="4253" spans="17:25">
      <c r="Q4253" s="6">
        <v>4223</v>
      </c>
      <c r="R4253" s="7">
        <v>46890</v>
      </c>
      <c r="S4253" s="210">
        <v>4.5</v>
      </c>
      <c r="T4253" s="8">
        <v>1.0001249999999999</v>
      </c>
      <c r="U4253" s="98">
        <v>4.5442475991695153</v>
      </c>
      <c r="V4253" s="106">
        <v>37940.997545169346</v>
      </c>
      <c r="W4253" s="10">
        <v>1.2680425078990032</v>
      </c>
      <c r="X4253" s="420"/>
      <c r="Y4253" s="420"/>
    </row>
    <row r="4254" spans="17:25">
      <c r="Q4254" s="6">
        <v>4224</v>
      </c>
      <c r="R4254" s="7">
        <v>46891</v>
      </c>
      <c r="S4254" s="210">
        <v>4.5</v>
      </c>
      <c r="T4254" s="8">
        <v>1.0001249999999999</v>
      </c>
      <c r="U4254" s="98">
        <v>4.5442768520320254</v>
      </c>
      <c r="V4254" s="106">
        <v>37944.260614130813</v>
      </c>
      <c r="W4254" s="10">
        <v>1.2680816202762735</v>
      </c>
      <c r="X4254" s="420"/>
      <c r="Y4254" s="420"/>
    </row>
    <row r="4255" spans="17:25">
      <c r="Q4255" s="6">
        <v>4225</v>
      </c>
      <c r="R4255" s="7">
        <v>46892</v>
      </c>
      <c r="S4255" s="210">
        <v>4.5</v>
      </c>
      <c r="T4255" s="8">
        <v>1.0001249999999999</v>
      </c>
      <c r="U4255" s="98">
        <v>4.5443060910552058</v>
      </c>
      <c r="V4255" s="106">
        <v>37947.523963728519</v>
      </c>
      <c r="W4255" s="10">
        <v>1.2681207141538753</v>
      </c>
      <c r="X4255" s="420"/>
      <c r="Y4255" s="420"/>
    </row>
    <row r="4256" spans="17:25">
      <c r="Q4256" s="6">
        <v>4226</v>
      </c>
      <c r="R4256" s="7">
        <v>46893</v>
      </c>
      <c r="S4256" s="210">
        <v>4.5</v>
      </c>
      <c r="T4256" s="8">
        <v>1.0001249999999999</v>
      </c>
      <c r="U4256" s="98">
        <v>4.5443353162488931</v>
      </c>
      <c r="V4256" s="106">
        <v>37950.787593986614</v>
      </c>
      <c r="W4256" s="10">
        <v>1.2681597895449981</v>
      </c>
      <c r="X4256" s="420"/>
      <c r="Y4256" s="420"/>
    </row>
    <row r="4257" spans="17:25">
      <c r="Q4257" s="6">
        <v>4227</v>
      </c>
      <c r="R4257" s="7">
        <v>46894</v>
      </c>
      <c r="S4257" s="210">
        <v>4.5</v>
      </c>
      <c r="T4257" s="8">
        <v>1.0001249999999999</v>
      </c>
      <c r="U4257" s="98">
        <v>4.5443645276228795</v>
      </c>
      <c r="V4257" s="106">
        <v>37954.051504929223</v>
      </c>
      <c r="W4257" s="10">
        <v>1.2681988464627203</v>
      </c>
      <c r="X4257" s="420"/>
      <c r="Y4257" s="420"/>
    </row>
    <row r="4258" spans="17:25">
      <c r="Q4258" s="6">
        <v>4228</v>
      </c>
      <c r="R4258" s="7">
        <v>46895</v>
      </c>
      <c r="S4258" s="210">
        <v>4.5</v>
      </c>
      <c r="T4258" s="8">
        <v>1.0001249999999999</v>
      </c>
      <c r="U4258" s="98">
        <v>4.5443937251869571</v>
      </c>
      <c r="V4258" s="106">
        <v>37957.315696580488</v>
      </c>
      <c r="W4258" s="10">
        <v>1.2682378849200981</v>
      </c>
      <c r="X4258" s="420"/>
      <c r="Y4258" s="420"/>
    </row>
    <row r="4259" spans="17:25">
      <c r="Q4259" s="6">
        <v>4229</v>
      </c>
      <c r="R4259" s="7">
        <v>46896</v>
      </c>
      <c r="S4259" s="210">
        <v>4.5</v>
      </c>
      <c r="T4259" s="8">
        <v>1.0001249999999999</v>
      </c>
      <c r="U4259" s="98">
        <v>4.544422908950918</v>
      </c>
      <c r="V4259" s="106">
        <v>37960.58016896456</v>
      </c>
      <c r="W4259" s="10">
        <v>1.2682769049302767</v>
      </c>
      <c r="X4259" s="420"/>
      <c r="Y4259" s="420"/>
    </row>
    <row r="4260" spans="17:25">
      <c r="Q4260" s="6">
        <v>4230</v>
      </c>
      <c r="R4260" s="7">
        <v>46897</v>
      </c>
      <c r="S4260" s="210">
        <v>4.5</v>
      </c>
      <c r="T4260" s="8">
        <v>1.0001249999999999</v>
      </c>
      <c r="U4260" s="98">
        <v>4.5444520789245546</v>
      </c>
      <c r="V4260" s="106">
        <v>37963.844922105563</v>
      </c>
      <c r="W4260" s="10">
        <v>1.2683159065062899</v>
      </c>
      <c r="X4260" s="420"/>
      <c r="Y4260" s="420"/>
    </row>
    <row r="4261" spans="17:25">
      <c r="Q4261" s="6">
        <v>4231</v>
      </c>
      <c r="R4261" s="7">
        <v>46898</v>
      </c>
      <c r="S4261" s="210">
        <v>4.5</v>
      </c>
      <c r="T4261" s="8">
        <v>1.0001249999999999</v>
      </c>
      <c r="U4261" s="98">
        <v>4.5444812351176367</v>
      </c>
      <c r="V4261" s="106">
        <v>37967.109956027671</v>
      </c>
      <c r="W4261" s="10">
        <v>1.268354889661194</v>
      </c>
      <c r="X4261" s="420"/>
      <c r="Y4261" s="420"/>
    </row>
    <row r="4262" spans="17:25">
      <c r="Q4262" s="6">
        <v>4232</v>
      </c>
      <c r="R4262" s="7">
        <v>46899</v>
      </c>
      <c r="S4262" s="210">
        <v>4.5</v>
      </c>
      <c r="T4262" s="8">
        <v>1.0001249999999999</v>
      </c>
      <c r="U4262" s="98">
        <v>4.544510377539912</v>
      </c>
      <c r="V4262" s="106">
        <v>37970.375270755001</v>
      </c>
      <c r="W4262" s="10">
        <v>1.2683938544080675</v>
      </c>
      <c r="X4262" s="420"/>
      <c r="Y4262" s="420"/>
    </row>
    <row r="4263" spans="17:25">
      <c r="Q4263" s="6">
        <v>4233</v>
      </c>
      <c r="R4263" s="7">
        <v>46900</v>
      </c>
      <c r="S4263" s="210">
        <v>4.5</v>
      </c>
      <c r="T4263" s="8">
        <v>1.0001249999999999</v>
      </c>
      <c r="U4263" s="98">
        <v>4.5445395062011507</v>
      </c>
      <c r="V4263" s="106">
        <v>37973.640866311733</v>
      </c>
      <c r="W4263" s="10">
        <v>1.2684328007599222</v>
      </c>
      <c r="X4263" s="420"/>
      <c r="Y4263" s="420"/>
    </row>
    <row r="4264" spans="17:25">
      <c r="Q4264" s="6">
        <v>4234</v>
      </c>
      <c r="R4264" s="7">
        <v>46901</v>
      </c>
      <c r="S4264" s="210">
        <v>4.5</v>
      </c>
      <c r="T4264" s="8">
        <v>1.0001249999999999</v>
      </c>
      <c r="U4264" s="98">
        <v>4.5445686211111003</v>
      </c>
      <c r="V4264" s="106">
        <v>37976.906742722</v>
      </c>
      <c r="W4264" s="10">
        <v>1.268471728729792</v>
      </c>
      <c r="X4264" s="420"/>
      <c r="Y4264" s="420"/>
    </row>
    <row r="4265" spans="17:25">
      <c r="Q4265" s="6">
        <v>4235</v>
      </c>
      <c r="R4265" s="7">
        <v>46902</v>
      </c>
      <c r="S4265" s="210">
        <v>4.5</v>
      </c>
      <c r="T4265" s="8">
        <v>1.0001249999999999</v>
      </c>
      <c r="U4265" s="98">
        <v>4.5445977222794864</v>
      </c>
      <c r="V4265" s="106">
        <v>37980.172900009959</v>
      </c>
      <c r="W4265" s="10">
        <v>1.2685106383306888</v>
      </c>
      <c r="X4265" s="420"/>
      <c r="Y4265" s="420"/>
    </row>
    <row r="4266" spans="17:25">
      <c r="Q4266" s="6">
        <v>4236</v>
      </c>
      <c r="R4266" s="7">
        <v>46903</v>
      </c>
      <c r="S4266" s="210">
        <v>4.5</v>
      </c>
      <c r="T4266" s="8">
        <v>1.0001249999999999</v>
      </c>
      <c r="U4266" s="98">
        <v>4.5446268097160347</v>
      </c>
      <c r="V4266" s="106">
        <v>37983.439338199772</v>
      </c>
      <c r="W4266" s="10">
        <v>1.2685495295756022</v>
      </c>
      <c r="X4266" s="420"/>
      <c r="Y4266" s="420"/>
    </row>
    <row r="4267" spans="17:25">
      <c r="Q4267" s="6">
        <v>4237</v>
      </c>
      <c r="R4267" s="7">
        <v>46904</v>
      </c>
      <c r="S4267" s="210">
        <v>4.5</v>
      </c>
      <c r="T4267" s="8">
        <v>1.0001249999999999</v>
      </c>
      <c r="U4267" s="98">
        <v>4.5446558834304707</v>
      </c>
      <c r="V4267" s="106">
        <v>37986.706057315598</v>
      </c>
      <c r="W4267" s="10">
        <v>1.268588402477544</v>
      </c>
      <c r="X4267" s="420"/>
      <c r="Y4267" s="420"/>
    </row>
    <row r="4268" spans="17:25">
      <c r="Q4268" s="6">
        <v>4238</v>
      </c>
      <c r="R4268" s="7">
        <v>46905</v>
      </c>
      <c r="S4268" s="210">
        <v>4.5</v>
      </c>
      <c r="T4268" s="8">
        <v>1.0001249999999999</v>
      </c>
      <c r="U4268" s="98">
        <v>4.5446849434324976</v>
      </c>
      <c r="V4268" s="106">
        <v>37989.973057381598</v>
      </c>
      <c r="W4268" s="10">
        <v>1.2686272570494594</v>
      </c>
      <c r="X4268" s="420"/>
      <c r="Y4268" s="420"/>
    </row>
    <row r="4269" spans="17:25">
      <c r="Q4269" s="6">
        <v>4239</v>
      </c>
      <c r="R4269" s="7">
        <v>46906</v>
      </c>
      <c r="S4269" s="210">
        <v>4.5</v>
      </c>
      <c r="T4269" s="8">
        <v>1.0001249999999999</v>
      </c>
      <c r="U4269" s="98">
        <v>4.5447139897318189</v>
      </c>
      <c r="V4269" s="106">
        <v>37993.240338421921</v>
      </c>
      <c r="W4269" s="10">
        <v>1.2686660933043159</v>
      </c>
      <c r="X4269" s="420"/>
      <c r="Y4269" s="420"/>
    </row>
    <row r="4270" spans="17:25">
      <c r="Q4270" s="6">
        <v>4240</v>
      </c>
      <c r="R4270" s="7">
        <v>46907</v>
      </c>
      <c r="S4270" s="210">
        <v>4.5</v>
      </c>
      <c r="T4270" s="8">
        <v>1.0001249999999999</v>
      </c>
      <c r="U4270" s="98">
        <v>4.5447430223381158</v>
      </c>
      <c r="V4270" s="106">
        <v>37996.507900460754</v>
      </c>
      <c r="W4270" s="10">
        <v>1.2687049112550586</v>
      </c>
      <c r="X4270" s="420"/>
      <c r="Y4270" s="420"/>
    </row>
    <row r="4271" spans="17:25">
      <c r="Q4271" s="6">
        <v>4241</v>
      </c>
      <c r="R4271" s="7">
        <v>46908</v>
      </c>
      <c r="S4271" s="210">
        <v>4.5</v>
      </c>
      <c r="T4271" s="8">
        <v>1.0001249999999999</v>
      </c>
      <c r="U4271" s="98">
        <v>4.5447720412610693</v>
      </c>
      <c r="V4271" s="106">
        <v>37999.775743522245</v>
      </c>
      <c r="W4271" s="10">
        <v>1.2687437109146549</v>
      </c>
      <c r="X4271" s="420"/>
      <c r="Y4271" s="420"/>
    </row>
    <row r="4272" spans="17:25">
      <c r="Q4272" s="6">
        <v>4242</v>
      </c>
      <c r="R4272" s="7">
        <v>46909</v>
      </c>
      <c r="S4272" s="210">
        <v>4.5</v>
      </c>
      <c r="T4272" s="8">
        <v>1.0001249999999999</v>
      </c>
      <c r="U4272" s="98">
        <v>4.5448010465103605</v>
      </c>
      <c r="V4272" s="106">
        <v>38003.043867630578</v>
      </c>
      <c r="W4272" s="10">
        <v>1.2687824922959834</v>
      </c>
      <c r="X4272" s="420"/>
      <c r="Y4272" s="420"/>
    </row>
    <row r="4273" spans="17:25">
      <c r="Q4273" s="6">
        <v>4243</v>
      </c>
      <c r="R4273" s="7">
        <v>46910</v>
      </c>
      <c r="S4273" s="210">
        <v>4.5</v>
      </c>
      <c r="T4273" s="8">
        <v>1.0001249999999999</v>
      </c>
      <c r="U4273" s="98">
        <v>4.5448300380956486</v>
      </c>
      <c r="V4273" s="106">
        <v>38006.312272809912</v>
      </c>
      <c r="W4273" s="10">
        <v>1.2688212554120115</v>
      </c>
      <c r="X4273" s="420"/>
      <c r="Y4273" s="420"/>
    </row>
    <row r="4274" spans="17:25">
      <c r="Q4274" s="6">
        <v>4244</v>
      </c>
      <c r="R4274" s="7">
        <v>46911</v>
      </c>
      <c r="S4274" s="210">
        <v>4.5</v>
      </c>
      <c r="T4274" s="8">
        <v>1.0001249999999999</v>
      </c>
      <c r="U4274" s="98">
        <v>4.5448590160265923</v>
      </c>
      <c r="V4274" s="106">
        <v>38009.580959084422</v>
      </c>
      <c r="W4274" s="10">
        <v>1.2688600002756178</v>
      </c>
      <c r="X4274" s="420"/>
      <c r="Y4274" s="420"/>
    </row>
    <row r="4275" spans="17:25">
      <c r="Q4275" s="6">
        <v>4245</v>
      </c>
      <c r="R4275" s="7">
        <v>46912</v>
      </c>
      <c r="S4275" s="210">
        <v>4.5</v>
      </c>
      <c r="T4275" s="8">
        <v>1.0001249999999999</v>
      </c>
      <c r="U4275" s="98">
        <v>4.5448879803128284</v>
      </c>
      <c r="V4275" s="106">
        <v>38012.849926478295</v>
      </c>
      <c r="W4275" s="10">
        <v>1.268898726899681</v>
      </c>
      <c r="X4275" s="420"/>
      <c r="Y4275" s="420"/>
    </row>
    <row r="4276" spans="17:25">
      <c r="Q4276" s="6">
        <v>4246</v>
      </c>
      <c r="R4276" s="7">
        <v>46913</v>
      </c>
      <c r="S4276" s="210">
        <v>4.5</v>
      </c>
      <c r="T4276" s="8">
        <v>1.0001249999999999</v>
      </c>
      <c r="U4276" s="98">
        <v>4.5449169309639714</v>
      </c>
      <c r="V4276" s="106">
        <v>38016.119175015694</v>
      </c>
      <c r="W4276" s="10">
        <v>1.2689374352970573</v>
      </c>
      <c r="X4276" s="420"/>
      <c r="Y4276" s="420"/>
    </row>
    <row r="4277" spans="17:25">
      <c r="Q4277" s="6">
        <v>4247</v>
      </c>
      <c r="R4277" s="7">
        <v>46914</v>
      </c>
      <c r="S4277" s="210">
        <v>4.5</v>
      </c>
      <c r="T4277" s="8">
        <v>1.0001249999999999</v>
      </c>
      <c r="U4277" s="98">
        <v>4.5449458679896804</v>
      </c>
      <c r="V4277" s="106">
        <v>38019.388704720805</v>
      </c>
      <c r="W4277" s="10">
        <v>1.2689761254806475</v>
      </c>
      <c r="X4277" s="420"/>
      <c r="Y4277" s="420"/>
    </row>
    <row r="4278" spans="17:25">
      <c r="Q4278" s="6">
        <v>4248</v>
      </c>
      <c r="R4278" s="7">
        <v>46915</v>
      </c>
      <c r="S4278" s="210">
        <v>4.5</v>
      </c>
      <c r="T4278" s="8">
        <v>1.0001249999999999</v>
      </c>
      <c r="U4278" s="98">
        <v>4.5449747913995475</v>
      </c>
      <c r="V4278" s="106">
        <v>38022.658515617797</v>
      </c>
      <c r="W4278" s="10">
        <v>1.2690147974632859</v>
      </c>
      <c r="X4278" s="420"/>
      <c r="Y4278" s="420"/>
    </row>
    <row r="4279" spans="17:25">
      <c r="Q4279" s="6">
        <v>4249</v>
      </c>
      <c r="R4279" s="7">
        <v>46916</v>
      </c>
      <c r="S4279" s="210">
        <v>4.5</v>
      </c>
      <c r="T4279" s="8">
        <v>1.0001249999999999</v>
      </c>
      <c r="U4279" s="98">
        <v>4.5450037012031874</v>
      </c>
      <c r="V4279" s="106">
        <v>38025.928607730886</v>
      </c>
      <c r="W4279" s="10">
        <v>1.2690534512578067</v>
      </c>
      <c r="X4279" s="420"/>
      <c r="Y4279" s="420"/>
    </row>
    <row r="4280" spans="17:25">
      <c r="Q4280" s="6">
        <v>4250</v>
      </c>
      <c r="R4280" s="7">
        <v>46917</v>
      </c>
      <c r="S4280" s="210">
        <v>4.5</v>
      </c>
      <c r="T4280" s="8">
        <v>1.0001249999999999</v>
      </c>
      <c r="U4280" s="98">
        <v>4.5450325974102146</v>
      </c>
      <c r="V4280" s="106">
        <v>38029.198981084221</v>
      </c>
      <c r="W4280" s="10">
        <v>1.2690920868770661</v>
      </c>
      <c r="X4280" s="420"/>
      <c r="Y4280" s="420"/>
    </row>
    <row r="4281" spans="17:25">
      <c r="Q4281" s="6">
        <v>4251</v>
      </c>
      <c r="R4281" s="7">
        <v>46918</v>
      </c>
      <c r="S4281" s="210">
        <v>4.5</v>
      </c>
      <c r="T4281" s="8">
        <v>1.0001249999999999</v>
      </c>
      <c r="U4281" s="98">
        <v>4.5450614800301992</v>
      </c>
      <c r="V4281" s="106">
        <v>38032.469635702008</v>
      </c>
      <c r="W4281" s="10">
        <v>1.2691307043338762</v>
      </c>
      <c r="X4281" s="420"/>
      <c r="Y4281" s="420"/>
    </row>
    <row r="4282" spans="17:25">
      <c r="Q4282" s="6">
        <v>4252</v>
      </c>
      <c r="R4282" s="7">
        <v>46919</v>
      </c>
      <c r="S4282" s="210">
        <v>4.5</v>
      </c>
      <c r="T4282" s="8">
        <v>1.0001249999999999</v>
      </c>
      <c r="U4282" s="98">
        <v>4.5450903490727335</v>
      </c>
      <c r="V4282" s="106">
        <v>38035.740571608439</v>
      </c>
      <c r="W4282" s="10">
        <v>1.2691693036410046</v>
      </c>
      <c r="X4282" s="420"/>
      <c r="Y4282" s="420"/>
    </row>
    <row r="4283" spans="17:25">
      <c r="Q4283" s="6">
        <v>4253</v>
      </c>
      <c r="R4283" s="7">
        <v>46920</v>
      </c>
      <c r="S4283" s="210">
        <v>4.5</v>
      </c>
      <c r="T4283" s="8">
        <v>1.0001249999999999</v>
      </c>
      <c r="U4283" s="98">
        <v>4.5451192045473876</v>
      </c>
      <c r="V4283" s="106">
        <v>38039.011788827702</v>
      </c>
      <c r="W4283" s="10">
        <v>1.2692078848112853</v>
      </c>
      <c r="X4283" s="420"/>
      <c r="Y4283" s="420"/>
    </row>
    <row r="4284" spans="17:25">
      <c r="Q4284" s="6">
        <v>4254</v>
      </c>
      <c r="R4284" s="7">
        <v>46921</v>
      </c>
      <c r="S4284" s="210">
        <v>4.5</v>
      </c>
      <c r="T4284" s="8">
        <v>1.0001249999999999</v>
      </c>
      <c r="U4284" s="98">
        <v>4.5451480464637317</v>
      </c>
      <c r="V4284" s="106">
        <v>38042.28328738398</v>
      </c>
      <c r="W4284" s="10">
        <v>1.2692464478574861</v>
      </c>
      <c r="X4284" s="420"/>
      <c r="Y4284" s="420"/>
    </row>
    <row r="4285" spans="17:25">
      <c r="Q4285" s="6">
        <v>4255</v>
      </c>
      <c r="R4285" s="7">
        <v>46922</v>
      </c>
      <c r="S4285" s="210">
        <v>4.5</v>
      </c>
      <c r="T4285" s="8">
        <v>1.0001249999999999</v>
      </c>
      <c r="U4285" s="98">
        <v>4.5451768748312915</v>
      </c>
      <c r="V4285" s="106">
        <v>38045.555067301488</v>
      </c>
      <c r="W4285" s="10">
        <v>1.2692849927923522</v>
      </c>
      <c r="X4285" s="420"/>
      <c r="Y4285" s="420"/>
    </row>
    <row r="4286" spans="17:25">
      <c r="Q4286" s="6">
        <v>4256</v>
      </c>
      <c r="R4286" s="7">
        <v>46923</v>
      </c>
      <c r="S4286" s="210">
        <v>4.5</v>
      </c>
      <c r="T4286" s="8">
        <v>1.0001249999999999</v>
      </c>
      <c r="U4286" s="98">
        <v>4.5452056896596371</v>
      </c>
      <c r="V4286" s="106">
        <v>38048.827128604418</v>
      </c>
      <c r="W4286" s="10">
        <v>1.2693235196286734</v>
      </c>
      <c r="X4286" s="420"/>
      <c r="Y4286" s="420"/>
    </row>
    <row r="4287" spans="17:25">
      <c r="Q4287" s="6">
        <v>4257</v>
      </c>
      <c r="R4287" s="7">
        <v>46924</v>
      </c>
      <c r="S4287" s="210">
        <v>4.5</v>
      </c>
      <c r="T4287" s="8">
        <v>1.0001249999999999</v>
      </c>
      <c r="U4287" s="98">
        <v>4.5452344909582942</v>
      </c>
      <c r="V4287" s="106">
        <v>38052.099471316957</v>
      </c>
      <c r="W4287" s="10">
        <v>1.2693620283791729</v>
      </c>
      <c r="X4287" s="420"/>
      <c r="Y4287" s="420"/>
    </row>
    <row r="4288" spans="17:25">
      <c r="Q4288" s="6">
        <v>4258</v>
      </c>
      <c r="R4288" s="7">
        <v>46925</v>
      </c>
      <c r="S4288" s="210">
        <v>4.5</v>
      </c>
      <c r="T4288" s="8">
        <v>1.0001249999999999</v>
      </c>
      <c r="U4288" s="98">
        <v>4.5452632787367886</v>
      </c>
      <c r="V4288" s="106">
        <v>38055.372095463325</v>
      </c>
      <c r="W4288" s="10">
        <v>1.2694005190565738</v>
      </c>
      <c r="X4288" s="420"/>
      <c r="Y4288" s="420"/>
    </row>
    <row r="4289" spans="17:25">
      <c r="Q4289" s="6">
        <v>4259</v>
      </c>
      <c r="R4289" s="7">
        <v>46926</v>
      </c>
      <c r="S4289" s="210">
        <v>4.5</v>
      </c>
      <c r="T4289" s="8">
        <v>1.0001249999999999</v>
      </c>
      <c r="U4289" s="98">
        <v>4.5452920530046459</v>
      </c>
      <c r="V4289" s="106">
        <v>38058.645001067714</v>
      </c>
      <c r="W4289" s="10">
        <v>1.2694389916736215</v>
      </c>
      <c r="X4289" s="420"/>
      <c r="Y4289" s="420"/>
    </row>
    <row r="4290" spans="17:25">
      <c r="Q4290" s="6">
        <v>4260</v>
      </c>
      <c r="R4290" s="7">
        <v>46927</v>
      </c>
      <c r="S4290" s="210">
        <v>4.5</v>
      </c>
      <c r="T4290" s="8">
        <v>1.0001249999999999</v>
      </c>
      <c r="U4290" s="98">
        <v>4.5453208137713697</v>
      </c>
      <c r="V4290" s="106">
        <v>38061.918188154341</v>
      </c>
      <c r="W4290" s="10">
        <v>1.2694774462430169</v>
      </c>
      <c r="X4290" s="420"/>
      <c r="Y4290" s="420"/>
    </row>
    <row r="4291" spans="17:25">
      <c r="Q4291" s="6">
        <v>4261</v>
      </c>
      <c r="R4291" s="7">
        <v>46928</v>
      </c>
      <c r="S4291" s="210">
        <v>4.5</v>
      </c>
      <c r="T4291" s="8">
        <v>1.0001249999999999</v>
      </c>
      <c r="U4291" s="98">
        <v>4.5453495610464634</v>
      </c>
      <c r="V4291" s="106">
        <v>38065.191656747411</v>
      </c>
      <c r="W4291" s="10">
        <v>1.2695158827774389</v>
      </c>
      <c r="X4291" s="420"/>
      <c r="Y4291" s="420"/>
    </row>
    <row r="4292" spans="17:25">
      <c r="Q4292" s="6">
        <v>4262</v>
      </c>
      <c r="R4292" s="7">
        <v>46929</v>
      </c>
      <c r="S4292" s="210">
        <v>4.5</v>
      </c>
      <c r="T4292" s="8">
        <v>1.0001249999999999</v>
      </c>
      <c r="U4292" s="98">
        <v>4.5453782948394084</v>
      </c>
      <c r="V4292" s="106">
        <v>38068.465406871124</v>
      </c>
      <c r="W4292" s="10">
        <v>1.2695543012895882</v>
      </c>
      <c r="X4292" s="420"/>
      <c r="Y4292" s="420"/>
    </row>
    <row r="4293" spans="17:25">
      <c r="Q4293" s="6">
        <v>4263</v>
      </c>
      <c r="R4293" s="7">
        <v>46930</v>
      </c>
      <c r="S4293" s="210">
        <v>4.5</v>
      </c>
      <c r="T4293" s="8">
        <v>1.0001249999999999</v>
      </c>
      <c r="U4293" s="98">
        <v>4.5454070151597081</v>
      </c>
      <c r="V4293" s="106">
        <v>38071.73943854971</v>
      </c>
      <c r="W4293" s="10">
        <v>1.2695927017921438</v>
      </c>
      <c r="X4293" s="420"/>
      <c r="Y4293" s="420"/>
    </row>
    <row r="4294" spans="17:25">
      <c r="Q4294" s="6">
        <v>4264</v>
      </c>
      <c r="R4294" s="7">
        <v>46931</v>
      </c>
      <c r="S4294" s="210">
        <v>4.5</v>
      </c>
      <c r="T4294" s="8">
        <v>1.0001249999999999</v>
      </c>
      <c r="U4294" s="98">
        <v>4.5454357220168218</v>
      </c>
      <c r="V4294" s="106">
        <v>38075.013751807361</v>
      </c>
      <c r="W4294" s="10">
        <v>1.2696310842977621</v>
      </c>
      <c r="X4294" s="420"/>
      <c r="Y4294" s="420"/>
    </row>
    <row r="4295" spans="17:25">
      <c r="Q4295" s="6">
        <v>4265</v>
      </c>
      <c r="R4295" s="7">
        <v>46932</v>
      </c>
      <c r="S4295" s="210">
        <v>4.5</v>
      </c>
      <c r="T4295" s="8">
        <v>1.0001249999999999</v>
      </c>
      <c r="U4295" s="98">
        <v>4.5454644154202084</v>
      </c>
      <c r="V4295" s="106">
        <v>38078.28834666832</v>
      </c>
      <c r="W4295" s="10">
        <v>1.2696694488190774</v>
      </c>
      <c r="X4295" s="420"/>
      <c r="Y4295" s="420"/>
    </row>
    <row r="4296" spans="17:25">
      <c r="Q4296" s="6">
        <v>4266</v>
      </c>
      <c r="R4296" s="7">
        <v>46933</v>
      </c>
      <c r="S4296" s="210">
        <v>4.5</v>
      </c>
      <c r="T4296" s="8">
        <v>1.0001249999999999</v>
      </c>
      <c r="U4296" s="98">
        <v>4.5454930953793271</v>
      </c>
      <c r="V4296" s="106">
        <v>38081.563223156794</v>
      </c>
      <c r="W4296" s="10">
        <v>1.2697077953687241</v>
      </c>
      <c r="X4296" s="420"/>
      <c r="Y4296" s="420"/>
    </row>
    <row r="4297" spans="17:25">
      <c r="Q4297" s="6">
        <v>4267</v>
      </c>
      <c r="R4297" s="7">
        <v>46934</v>
      </c>
      <c r="S4297" s="210">
        <v>4.5</v>
      </c>
      <c r="T4297" s="8">
        <v>1.0001249999999999</v>
      </c>
      <c r="U4297" s="98">
        <v>4.545521761903637</v>
      </c>
      <c r="V4297" s="106">
        <v>38084.838381296999</v>
      </c>
      <c r="W4297" s="10">
        <v>1.2697461239593588</v>
      </c>
      <c r="X4297" s="420"/>
      <c r="Y4297" s="420"/>
    </row>
    <row r="4298" spans="17:25">
      <c r="Q4298" s="6">
        <v>4268</v>
      </c>
      <c r="R4298" s="7">
        <v>46935</v>
      </c>
      <c r="S4298" s="210">
        <v>4.5</v>
      </c>
      <c r="T4298" s="8">
        <v>1.0001249999999999</v>
      </c>
      <c r="U4298" s="98">
        <v>4.545550415002575</v>
      </c>
      <c r="V4298" s="106">
        <v>38088.113821113162</v>
      </c>
      <c r="W4298" s="10">
        <v>1.2697844346035936</v>
      </c>
      <c r="X4298" s="420"/>
      <c r="Y4298" s="420"/>
    </row>
    <row r="4299" spans="17:25">
      <c r="Q4299" s="6">
        <v>4269</v>
      </c>
      <c r="R4299" s="7">
        <v>46936</v>
      </c>
      <c r="S4299" s="210">
        <v>4.5</v>
      </c>
      <c r="T4299" s="8">
        <v>1.0001249999999999</v>
      </c>
      <c r="U4299" s="98">
        <v>4.5455790546855557</v>
      </c>
      <c r="V4299" s="106">
        <v>38091.38954262952</v>
      </c>
      <c r="W4299" s="10">
        <v>1.2698227273139961</v>
      </c>
      <c r="X4299" s="420"/>
      <c r="Y4299" s="420"/>
    </row>
    <row r="4300" spans="17:25">
      <c r="Q4300" s="6">
        <v>4270</v>
      </c>
      <c r="R4300" s="7">
        <v>46937</v>
      </c>
      <c r="S4300" s="210">
        <v>4.5</v>
      </c>
      <c r="T4300" s="8">
        <v>1.0001249999999999</v>
      </c>
      <c r="U4300" s="98">
        <v>4.5456076809619939</v>
      </c>
      <c r="V4300" s="106">
        <v>38094.665545870281</v>
      </c>
      <c r="W4300" s="10">
        <v>1.2698610021031564</v>
      </c>
      <c r="X4300" s="420"/>
      <c r="Y4300" s="420"/>
    </row>
    <row r="4301" spans="17:25">
      <c r="Q4301" s="6">
        <v>4271</v>
      </c>
      <c r="R4301" s="7">
        <v>46938</v>
      </c>
      <c r="S4301" s="210">
        <v>4.5</v>
      </c>
      <c r="T4301" s="8">
        <v>1.0001249999999999</v>
      </c>
      <c r="U4301" s="98">
        <v>4.5456362938413264</v>
      </c>
      <c r="V4301" s="106">
        <v>38097.94183085968</v>
      </c>
      <c r="W4301" s="10">
        <v>1.2698992589837088</v>
      </c>
      <c r="X4301" s="420"/>
      <c r="Y4301" s="420"/>
    </row>
    <row r="4302" spans="17:25">
      <c r="Q4302" s="6">
        <v>4272</v>
      </c>
      <c r="R4302" s="7">
        <v>46939</v>
      </c>
      <c r="S4302" s="210">
        <v>4.5</v>
      </c>
      <c r="T4302" s="8">
        <v>1.0001249999999999</v>
      </c>
      <c r="U4302" s="98">
        <v>4.5456648933329236</v>
      </c>
      <c r="V4302" s="106">
        <v>38101.218397621953</v>
      </c>
      <c r="W4302" s="10">
        <v>1.2699374979681322</v>
      </c>
      <c r="X4302" s="420"/>
      <c r="Y4302" s="420"/>
    </row>
    <row r="4303" spans="17:25">
      <c r="Q4303" s="6">
        <v>4273</v>
      </c>
      <c r="R4303" s="7">
        <v>46940</v>
      </c>
      <c r="S4303" s="210">
        <v>4.5</v>
      </c>
      <c r="T4303" s="8">
        <v>1.0001249999999999</v>
      </c>
      <c r="U4303" s="98">
        <v>4.5456934794462001</v>
      </c>
      <c r="V4303" s="106">
        <v>38104.495246181337</v>
      </c>
      <c r="W4303" s="10">
        <v>1.2699757190690386</v>
      </c>
      <c r="X4303" s="420"/>
      <c r="Y4303" s="420"/>
    </row>
    <row r="4304" spans="17:25">
      <c r="Q4304" s="6">
        <v>4274</v>
      </c>
      <c r="R4304" s="7">
        <v>46941</v>
      </c>
      <c r="S4304" s="210">
        <v>4.5</v>
      </c>
      <c r="T4304" s="8">
        <v>1.0001249999999999</v>
      </c>
      <c r="U4304" s="98">
        <v>4.5457220521905484</v>
      </c>
      <c r="V4304" s="106">
        <v>38107.772376562061</v>
      </c>
      <c r="W4304" s="10">
        <v>1.2700139222989737</v>
      </c>
      <c r="X4304" s="420"/>
      <c r="Y4304" s="420"/>
    </row>
    <row r="4305" spans="17:25">
      <c r="Q4305" s="6">
        <v>4275</v>
      </c>
      <c r="R4305" s="7">
        <v>46942</v>
      </c>
      <c r="S4305" s="210">
        <v>4.5</v>
      </c>
      <c r="T4305" s="8">
        <v>1.0001249999999999</v>
      </c>
      <c r="U4305" s="98">
        <v>4.5457506115753388</v>
      </c>
      <c r="V4305" s="106">
        <v>38111.049788788361</v>
      </c>
      <c r="W4305" s="10">
        <v>1.2700521076704607</v>
      </c>
      <c r="X4305" s="420"/>
      <c r="Y4305" s="420"/>
    </row>
    <row r="4306" spans="17:25">
      <c r="Q4306" s="6">
        <v>4276</v>
      </c>
      <c r="R4306" s="7">
        <v>46943</v>
      </c>
      <c r="S4306" s="210">
        <v>4.5</v>
      </c>
      <c r="T4306" s="8">
        <v>1.0001249999999999</v>
      </c>
      <c r="U4306" s="98">
        <v>4.5457791576099194</v>
      </c>
      <c r="V4306" s="106">
        <v>38114.327482884488</v>
      </c>
      <c r="W4306" s="10">
        <v>1.2700902751959786</v>
      </c>
      <c r="X4306" s="420"/>
      <c r="Y4306" s="420"/>
    </row>
    <row r="4307" spans="17:25">
      <c r="Q4307" s="6">
        <v>4277</v>
      </c>
      <c r="R4307" s="7">
        <v>46944</v>
      </c>
      <c r="S4307" s="210">
        <v>4.5</v>
      </c>
      <c r="T4307" s="8">
        <v>1.0001249999999999</v>
      </c>
      <c r="U4307" s="98">
        <v>4.5458076903036604</v>
      </c>
      <c r="V4307" s="106">
        <v>38117.605458874663</v>
      </c>
      <c r="W4307" s="10">
        <v>1.2701284248880951</v>
      </c>
      <c r="X4307" s="420"/>
      <c r="Y4307" s="420"/>
    </row>
    <row r="4308" spans="17:25">
      <c r="Q4308" s="6">
        <v>4278</v>
      </c>
      <c r="R4308" s="7">
        <v>46945</v>
      </c>
      <c r="S4308" s="210">
        <v>4.5</v>
      </c>
      <c r="T4308" s="8">
        <v>1.0001249999999999</v>
      </c>
      <c r="U4308" s="98">
        <v>4.5458362096659322</v>
      </c>
      <c r="V4308" s="106">
        <v>38120.883716783144</v>
      </c>
      <c r="W4308" s="10">
        <v>1.2701665567592668</v>
      </c>
      <c r="X4308" s="420"/>
      <c r="Y4308" s="420"/>
    </row>
    <row r="4309" spans="17:25">
      <c r="Q4309" s="6">
        <v>4279</v>
      </c>
      <c r="R4309" s="7">
        <v>46946</v>
      </c>
      <c r="S4309" s="210">
        <v>4.5</v>
      </c>
      <c r="T4309" s="8">
        <v>1.0001249999999999</v>
      </c>
      <c r="U4309" s="98">
        <v>4.5458647157060605</v>
      </c>
      <c r="V4309" s="106">
        <v>38124.16225663419</v>
      </c>
      <c r="W4309" s="10">
        <v>1.2702046708220172</v>
      </c>
      <c r="X4309" s="420"/>
      <c r="Y4309" s="420"/>
    </row>
    <row r="4310" spans="17:25">
      <c r="Q4310" s="6">
        <v>4280</v>
      </c>
      <c r="R4310" s="7">
        <v>46947</v>
      </c>
      <c r="S4310" s="210">
        <v>4.5</v>
      </c>
      <c r="T4310" s="8">
        <v>1.0001249999999999</v>
      </c>
      <c r="U4310" s="98">
        <v>4.5458932084333714</v>
      </c>
      <c r="V4310" s="106">
        <v>38127.441078452022</v>
      </c>
      <c r="W4310" s="10">
        <v>1.2702427670887806</v>
      </c>
      <c r="X4310" s="420"/>
      <c r="Y4310" s="420"/>
    </row>
    <row r="4311" spans="17:25">
      <c r="Q4311" s="6">
        <v>4281</v>
      </c>
      <c r="R4311" s="7">
        <v>46948</v>
      </c>
      <c r="S4311" s="210">
        <v>4.5</v>
      </c>
      <c r="T4311" s="8">
        <v>1.0001249999999999</v>
      </c>
      <c r="U4311" s="98">
        <v>4.5459216878571906</v>
      </c>
      <c r="V4311" s="106">
        <v>38130.720182260913</v>
      </c>
      <c r="W4311" s="10">
        <v>1.2702808455720138</v>
      </c>
      <c r="X4311" s="420"/>
      <c r="Y4311" s="420"/>
    </row>
    <row r="4312" spans="17:25">
      <c r="Q4312" s="6">
        <v>4282</v>
      </c>
      <c r="R4312" s="7">
        <v>46949</v>
      </c>
      <c r="S4312" s="210">
        <v>4.5</v>
      </c>
      <c r="T4312" s="8">
        <v>1.0001249999999999</v>
      </c>
      <c r="U4312" s="98">
        <v>4.5459501539868441</v>
      </c>
      <c r="V4312" s="106">
        <v>38133.999568085099</v>
      </c>
      <c r="W4312" s="10">
        <v>1.2703189062841957</v>
      </c>
      <c r="X4312" s="420"/>
      <c r="Y4312" s="420"/>
    </row>
    <row r="4313" spans="17:25">
      <c r="Q4313" s="6">
        <v>4283</v>
      </c>
      <c r="R4313" s="7">
        <v>46950</v>
      </c>
      <c r="S4313" s="210">
        <v>4.5</v>
      </c>
      <c r="T4313" s="8">
        <v>1.0001249999999999</v>
      </c>
      <c r="U4313" s="98">
        <v>4.5459786068316133</v>
      </c>
      <c r="V4313" s="106">
        <v>38137.279235948838</v>
      </c>
      <c r="W4313" s="10">
        <v>1.2703569492377387</v>
      </c>
      <c r="X4313" s="420"/>
      <c r="Y4313" s="420"/>
    </row>
    <row r="4314" spans="17:25">
      <c r="Q4314" s="6">
        <v>4284</v>
      </c>
      <c r="R4314" s="7">
        <v>46951</v>
      </c>
      <c r="S4314" s="210">
        <v>4.5</v>
      </c>
      <c r="T4314" s="8">
        <v>1.0001249999999999</v>
      </c>
      <c r="U4314" s="98">
        <v>4.546007046400824</v>
      </c>
      <c r="V4314" s="106">
        <v>38140.559185876395</v>
      </c>
      <c r="W4314" s="10">
        <v>1.2703949744450771</v>
      </c>
      <c r="X4314" s="420"/>
      <c r="Y4314" s="420"/>
    </row>
    <row r="4315" spans="17:25">
      <c r="Q4315" s="6">
        <v>4285</v>
      </c>
      <c r="R4315" s="7">
        <v>46952</v>
      </c>
      <c r="S4315" s="210">
        <v>4.5</v>
      </c>
      <c r="T4315" s="8">
        <v>1.0001249999999999</v>
      </c>
      <c r="U4315" s="98">
        <v>4.5460354727037577</v>
      </c>
      <c r="V4315" s="106">
        <v>38143.839417892021</v>
      </c>
      <c r="W4315" s="10">
        <v>1.2704329819186455</v>
      </c>
      <c r="X4315" s="420"/>
      <c r="Y4315" s="420"/>
    </row>
    <row r="4316" spans="17:25">
      <c r="Q4316" s="6">
        <v>4286</v>
      </c>
      <c r="R4316" s="7">
        <v>46953</v>
      </c>
      <c r="S4316" s="210">
        <v>4.5</v>
      </c>
      <c r="T4316" s="8">
        <v>1.0001249999999999</v>
      </c>
      <c r="U4316" s="98">
        <v>4.546063885749696</v>
      </c>
      <c r="V4316" s="106">
        <v>38147.119932019974</v>
      </c>
      <c r="W4316" s="10">
        <v>1.270470971670834</v>
      </c>
      <c r="X4316" s="420"/>
      <c r="Y4316" s="420"/>
    </row>
    <row r="4317" spans="17:25">
      <c r="Q4317" s="6">
        <v>4287</v>
      </c>
      <c r="R4317" s="7">
        <v>46954</v>
      </c>
      <c r="S4317" s="210">
        <v>4.5</v>
      </c>
      <c r="T4317" s="8">
        <v>1.0001249999999999</v>
      </c>
      <c r="U4317" s="98">
        <v>4.546092285547898</v>
      </c>
      <c r="V4317" s="106">
        <v>38150.400728284527</v>
      </c>
      <c r="W4317" s="10">
        <v>1.2705089437140105</v>
      </c>
      <c r="X4317" s="420"/>
      <c r="Y4317" s="420"/>
    </row>
    <row r="4318" spans="17:25">
      <c r="Q4318" s="6">
        <v>4288</v>
      </c>
      <c r="R4318" s="7">
        <v>46955</v>
      </c>
      <c r="S4318" s="210">
        <v>4.5</v>
      </c>
      <c r="T4318" s="8">
        <v>1.0001249999999999</v>
      </c>
      <c r="U4318" s="98">
        <v>4.5461206721076453</v>
      </c>
      <c r="V4318" s="106">
        <v>38153.681806709938</v>
      </c>
      <c r="W4318" s="10">
        <v>1.2705468980606094</v>
      </c>
      <c r="X4318" s="420"/>
      <c r="Y4318" s="420"/>
    </row>
    <row r="4319" spans="17:25">
      <c r="Q4319" s="6">
        <v>4289</v>
      </c>
      <c r="R4319" s="7">
        <v>46956</v>
      </c>
      <c r="S4319" s="210">
        <v>4.5</v>
      </c>
      <c r="T4319" s="8">
        <v>1.0001249999999999</v>
      </c>
      <c r="U4319" s="98">
        <v>4.5461490454381748</v>
      </c>
      <c r="V4319" s="106">
        <v>38156.963167320471</v>
      </c>
      <c r="W4319" s="10">
        <v>1.270584834722932</v>
      </c>
      <c r="X4319" s="420"/>
      <c r="Y4319" s="420"/>
    </row>
    <row r="4320" spans="17:25">
      <c r="Q4320" s="6">
        <v>4290</v>
      </c>
      <c r="R4320" s="7">
        <v>46957</v>
      </c>
      <c r="S4320" s="210">
        <v>4.5</v>
      </c>
      <c r="T4320" s="8">
        <v>1.0001249999999999</v>
      </c>
      <c r="U4320" s="98">
        <v>4.5461774055487458</v>
      </c>
      <c r="V4320" s="106">
        <v>38160.244810140408</v>
      </c>
      <c r="W4320" s="10">
        <v>1.2706227537133907</v>
      </c>
      <c r="X4320" s="420"/>
      <c r="Y4320" s="420"/>
    </row>
    <row r="4321" spans="17:25">
      <c r="Q4321" s="6">
        <v>4291</v>
      </c>
      <c r="R4321" s="7">
        <v>46958</v>
      </c>
      <c r="S4321" s="210">
        <v>4.5</v>
      </c>
      <c r="T4321" s="8">
        <v>1.0001249999999999</v>
      </c>
      <c r="U4321" s="98">
        <v>4.5462057524485733</v>
      </c>
      <c r="V4321" s="106">
        <v>38163.526735194006</v>
      </c>
      <c r="W4321" s="10">
        <v>1.2706606550442645</v>
      </c>
      <c r="X4321" s="420"/>
      <c r="Y4321" s="420"/>
    </row>
    <row r="4322" spans="17:25">
      <c r="Q4322" s="6">
        <v>4292</v>
      </c>
      <c r="R4322" s="7">
        <v>46959</v>
      </c>
      <c r="S4322" s="210">
        <v>4.5</v>
      </c>
      <c r="T4322" s="8">
        <v>1.0001249999999999</v>
      </c>
      <c r="U4322" s="98">
        <v>4.5462340861469164</v>
      </c>
      <c r="V4322" s="106">
        <v>38166.808942505544</v>
      </c>
      <c r="W4322" s="10">
        <v>1.2706985387279657</v>
      </c>
      <c r="X4322" s="420"/>
      <c r="Y4322" s="420"/>
    </row>
    <row r="4323" spans="17:25">
      <c r="Q4323" s="6">
        <v>4293</v>
      </c>
      <c r="R4323" s="7">
        <v>46960</v>
      </c>
      <c r="S4323" s="210">
        <v>4.5</v>
      </c>
      <c r="T4323" s="8">
        <v>1.0001249999999999</v>
      </c>
      <c r="U4323" s="98">
        <v>4.5462624066529678</v>
      </c>
      <c r="V4323" s="106">
        <v>38170.091432099289</v>
      </c>
      <c r="W4323" s="10">
        <v>1.2707364047767511</v>
      </c>
      <c r="X4323" s="420"/>
      <c r="Y4323" s="420"/>
    </row>
    <row r="4324" spans="17:25">
      <c r="Q4324" s="6">
        <v>4294</v>
      </c>
      <c r="R4324" s="7">
        <v>46961</v>
      </c>
      <c r="S4324" s="210">
        <v>4.5</v>
      </c>
      <c r="T4324" s="8">
        <v>1.0001249999999999</v>
      </c>
      <c r="U4324" s="98">
        <v>4.5462907139759645</v>
      </c>
      <c r="V4324" s="106">
        <v>38173.374203999534</v>
      </c>
      <c r="W4324" s="10">
        <v>1.2707742532029886</v>
      </c>
      <c r="X4324" s="420"/>
      <c r="Y4324" s="420"/>
    </row>
    <row r="4325" spans="17:25">
      <c r="Q4325" s="6">
        <v>4295</v>
      </c>
      <c r="R4325" s="7">
        <v>46962</v>
      </c>
      <c r="S4325" s="210">
        <v>4.5</v>
      </c>
      <c r="T4325" s="8">
        <v>1.0001249999999999</v>
      </c>
      <c r="U4325" s="98">
        <v>4.5463190081250771</v>
      </c>
      <c r="V4325" s="106">
        <v>38176.657258230553</v>
      </c>
      <c r="W4325" s="10">
        <v>1.2708120840189352</v>
      </c>
      <c r="X4325" s="420"/>
      <c r="Y4325" s="420"/>
    </row>
    <row r="4326" spans="17:25">
      <c r="Q4326" s="6">
        <v>4296</v>
      </c>
      <c r="R4326" s="7">
        <v>46963</v>
      </c>
      <c r="S4326" s="210">
        <v>4.5</v>
      </c>
      <c r="T4326" s="8">
        <v>1.0001249999999999</v>
      </c>
      <c r="U4326" s="98">
        <v>4.5463472891095202</v>
      </c>
      <c r="V4326" s="106">
        <v>38179.940594816617</v>
      </c>
      <c r="W4326" s="10">
        <v>1.2708498972368698</v>
      </c>
      <c r="X4326" s="420"/>
      <c r="Y4326" s="420"/>
    </row>
    <row r="4327" spans="17:25">
      <c r="Q4327" s="6">
        <v>4297</v>
      </c>
      <c r="R4327" s="7">
        <v>46964</v>
      </c>
      <c r="S4327" s="210">
        <v>4.5</v>
      </c>
      <c r="T4327" s="8">
        <v>1.0001249999999999</v>
      </c>
      <c r="U4327" s="98">
        <v>4.5463755569384867</v>
      </c>
      <c r="V4327" s="106">
        <v>38183.224213782014</v>
      </c>
      <c r="W4327" s="10">
        <v>1.270887692869116</v>
      </c>
      <c r="X4327" s="420"/>
      <c r="Y4327" s="420"/>
    </row>
    <row r="4328" spans="17:25">
      <c r="Q4328" s="6">
        <v>4298</v>
      </c>
      <c r="R4328" s="7">
        <v>46965</v>
      </c>
      <c r="S4328" s="210">
        <v>4.5</v>
      </c>
      <c r="T4328" s="8">
        <v>1.0001249999999999</v>
      </c>
      <c r="U4328" s="98">
        <v>4.5464038116211469</v>
      </c>
      <c r="V4328" s="106">
        <v>38186.508115151046</v>
      </c>
      <c r="W4328" s="10">
        <v>1.2709254709279083</v>
      </c>
      <c r="X4328" s="420"/>
      <c r="Y4328" s="420"/>
    </row>
    <row r="4329" spans="17:25">
      <c r="Q4329" s="6">
        <v>4299</v>
      </c>
      <c r="R4329" s="7">
        <v>46966</v>
      </c>
      <c r="S4329" s="210">
        <v>4.5</v>
      </c>
      <c r="T4329" s="8">
        <v>1.0001249999999999</v>
      </c>
      <c r="U4329" s="98">
        <v>4.5464320531666713</v>
      </c>
      <c r="V4329" s="106">
        <v>38189.792298947978</v>
      </c>
      <c r="W4329" s="10">
        <v>1.2709632314255037</v>
      </c>
      <c r="X4329" s="420"/>
      <c r="Y4329" s="420"/>
    </row>
    <row r="4330" spans="17:25">
      <c r="Q4330" s="6">
        <v>4300</v>
      </c>
      <c r="R4330" s="7">
        <v>46967</v>
      </c>
      <c r="S4330" s="210">
        <v>4.5</v>
      </c>
      <c r="T4330" s="8">
        <v>1.0001249999999999</v>
      </c>
      <c r="U4330" s="98">
        <v>4.5464602815842081</v>
      </c>
      <c r="V4330" s="106">
        <v>38193.076765197118</v>
      </c>
      <c r="W4330" s="10">
        <v>1.271000974374159</v>
      </c>
      <c r="X4330" s="420"/>
      <c r="Y4330" s="420"/>
    </row>
    <row r="4331" spans="17:25">
      <c r="Q4331" s="6">
        <v>4301</v>
      </c>
      <c r="R4331" s="7">
        <v>46968</v>
      </c>
      <c r="S4331" s="210">
        <v>4.5</v>
      </c>
      <c r="T4331" s="8">
        <v>1.0001249999999999</v>
      </c>
      <c r="U4331" s="98">
        <v>4.5464884968829278</v>
      </c>
      <c r="V4331" s="106">
        <v>38196.36151392274</v>
      </c>
      <c r="W4331" s="10">
        <v>1.2710386997860867</v>
      </c>
      <c r="X4331" s="420"/>
      <c r="Y4331" s="420"/>
    </row>
    <row r="4332" spans="17:25">
      <c r="Q4332" s="6">
        <v>4302</v>
      </c>
      <c r="R4332" s="7">
        <v>46969</v>
      </c>
      <c r="S4332" s="210">
        <v>4.5</v>
      </c>
      <c r="T4332" s="8">
        <v>1.0001249999999999</v>
      </c>
      <c r="U4332" s="98">
        <v>4.5465166990719563</v>
      </c>
      <c r="V4332" s="106">
        <v>38199.646545149146</v>
      </c>
      <c r="W4332" s="10">
        <v>1.2710764076735215</v>
      </c>
      <c r="X4332" s="420"/>
      <c r="Y4332" s="420"/>
    </row>
    <row r="4333" spans="17:25">
      <c r="Q4333" s="6">
        <v>4303</v>
      </c>
      <c r="R4333" s="7">
        <v>46970</v>
      </c>
      <c r="S4333" s="210">
        <v>4.5</v>
      </c>
      <c r="T4333" s="8">
        <v>1.0001249999999999</v>
      </c>
      <c r="U4333" s="98">
        <v>4.546544888160442</v>
      </c>
      <c r="V4333" s="106">
        <v>38202.931858900643</v>
      </c>
      <c r="W4333" s="10">
        <v>1.2711140980486535</v>
      </c>
      <c r="X4333" s="420"/>
      <c r="Y4333" s="420"/>
    </row>
    <row r="4334" spans="17:25">
      <c r="Q4334" s="6">
        <v>4304</v>
      </c>
      <c r="R4334" s="7">
        <v>46971</v>
      </c>
      <c r="S4334" s="210">
        <v>4.5</v>
      </c>
      <c r="T4334" s="8">
        <v>1.0001249999999999</v>
      </c>
      <c r="U4334" s="98">
        <v>4.5465730641574886</v>
      </c>
      <c r="V4334" s="106">
        <v>38206.217455201513</v>
      </c>
      <c r="W4334" s="10">
        <v>1.271151770923673</v>
      </c>
      <c r="X4334" s="420"/>
      <c r="Y4334" s="420"/>
    </row>
    <row r="4335" spans="17:25">
      <c r="Q4335" s="6">
        <v>4305</v>
      </c>
      <c r="R4335" s="7">
        <v>46972</v>
      </c>
      <c r="S4335" s="210">
        <v>4.5</v>
      </c>
      <c r="T4335" s="8">
        <v>1.0001249999999999</v>
      </c>
      <c r="U4335" s="98">
        <v>4.5466012270722445</v>
      </c>
      <c r="V4335" s="106">
        <v>38209.503334076064</v>
      </c>
      <c r="W4335" s="10">
        <v>1.2711894263107926</v>
      </c>
      <c r="X4335" s="420"/>
      <c r="Y4335" s="420"/>
    </row>
    <row r="4336" spans="17:25">
      <c r="Q4336" s="6">
        <v>4306</v>
      </c>
      <c r="R4336" s="7">
        <v>46973</v>
      </c>
      <c r="S4336" s="210">
        <v>4.5</v>
      </c>
      <c r="T4336" s="8">
        <v>1.0001249999999999</v>
      </c>
      <c r="U4336" s="98">
        <v>4.5466293769137911</v>
      </c>
      <c r="V4336" s="106">
        <v>38212.789495548604</v>
      </c>
      <c r="W4336" s="10">
        <v>1.2712270642221579</v>
      </c>
      <c r="X4336" s="420"/>
      <c r="Y4336" s="420"/>
    </row>
    <row r="4337" spans="17:25">
      <c r="Q4337" s="6">
        <v>4307</v>
      </c>
      <c r="R4337" s="7">
        <v>46974</v>
      </c>
      <c r="S4337" s="210">
        <v>4.5</v>
      </c>
      <c r="T4337" s="8">
        <v>1.0001249999999999</v>
      </c>
      <c r="U4337" s="98">
        <v>4.5466575136912546</v>
      </c>
      <c r="V4337" s="106">
        <v>38216.075939643422</v>
      </c>
      <c r="W4337" s="10">
        <v>1.2712646846699815</v>
      </c>
      <c r="X4337" s="420"/>
      <c r="Y4337" s="420"/>
    </row>
    <row r="4338" spans="17:25">
      <c r="Q4338" s="6">
        <v>4308</v>
      </c>
      <c r="R4338" s="7">
        <v>46975</v>
      </c>
      <c r="S4338" s="210">
        <v>4.5</v>
      </c>
      <c r="T4338" s="8">
        <v>1.0001249999999999</v>
      </c>
      <c r="U4338" s="98">
        <v>4.5466856374137166</v>
      </c>
      <c r="V4338" s="106">
        <v>38219.362666384841</v>
      </c>
      <c r="W4338" s="10">
        <v>1.2713022876663649</v>
      </c>
      <c r="X4338" s="420"/>
      <c r="Y4338" s="420"/>
    </row>
    <row r="4339" spans="17:25">
      <c r="Q4339" s="6">
        <v>4309</v>
      </c>
      <c r="R4339" s="7">
        <v>46976</v>
      </c>
      <c r="S4339" s="210">
        <v>4.5</v>
      </c>
      <c r="T4339" s="8">
        <v>1.0001249999999999</v>
      </c>
      <c r="U4339" s="98">
        <v>4.5467137480902586</v>
      </c>
      <c r="V4339" s="106">
        <v>38222.649675797162</v>
      </c>
      <c r="W4339" s="10">
        <v>1.271339873223476</v>
      </c>
      <c r="X4339" s="420"/>
      <c r="Y4339" s="420"/>
    </row>
    <row r="4340" spans="17:25">
      <c r="Q4340" s="6">
        <v>4310</v>
      </c>
      <c r="R4340" s="7">
        <v>46977</v>
      </c>
      <c r="S4340" s="210">
        <v>4.5</v>
      </c>
      <c r="T4340" s="8">
        <v>1.0001249999999999</v>
      </c>
      <c r="U4340" s="98">
        <v>4.5467418457299402</v>
      </c>
      <c r="V4340" s="106">
        <v>38225.936967904694</v>
      </c>
      <c r="W4340" s="10">
        <v>1.2713774413534162</v>
      </c>
      <c r="X4340" s="420"/>
      <c r="Y4340" s="420"/>
    </row>
    <row r="4341" spans="17:25">
      <c r="Q4341" s="6">
        <v>4311</v>
      </c>
      <c r="R4341" s="7">
        <v>46978</v>
      </c>
      <c r="S4341" s="210">
        <v>4.5</v>
      </c>
      <c r="T4341" s="8">
        <v>1.0001249999999999</v>
      </c>
      <c r="U4341" s="98">
        <v>4.546769930341843</v>
      </c>
      <c r="V4341" s="106">
        <v>38229.224542731754</v>
      </c>
      <c r="W4341" s="10">
        <v>1.2714149920683093</v>
      </c>
      <c r="X4341" s="420"/>
      <c r="Y4341" s="420"/>
    </row>
    <row r="4342" spans="17:25">
      <c r="Q4342" s="6">
        <v>4312</v>
      </c>
      <c r="R4342" s="7">
        <v>46979</v>
      </c>
      <c r="S4342" s="210">
        <v>4.5</v>
      </c>
      <c r="T4342" s="8">
        <v>1.0001249999999999</v>
      </c>
      <c r="U4342" s="98">
        <v>4.5467980019350485</v>
      </c>
      <c r="V4342" s="106">
        <v>38232.512400302658</v>
      </c>
      <c r="W4342" s="10">
        <v>1.2714525253803011</v>
      </c>
      <c r="X4342" s="420"/>
      <c r="Y4342" s="420"/>
    </row>
    <row r="4343" spans="17:25">
      <c r="Q4343" s="6">
        <v>4313</v>
      </c>
      <c r="R4343" s="7">
        <v>46980</v>
      </c>
      <c r="S4343" s="210">
        <v>4.5</v>
      </c>
      <c r="T4343" s="8">
        <v>1.0001249999999999</v>
      </c>
      <c r="U4343" s="98">
        <v>4.5468260605185717</v>
      </c>
      <c r="V4343" s="106">
        <v>38235.800540641707</v>
      </c>
      <c r="W4343" s="10">
        <v>1.2714900413014485</v>
      </c>
      <c r="X4343" s="420"/>
      <c r="Y4343" s="420"/>
    </row>
    <row r="4344" spans="17:25">
      <c r="Q4344" s="6">
        <v>4314</v>
      </c>
      <c r="R4344" s="7">
        <v>46981</v>
      </c>
      <c r="S4344" s="210">
        <v>4.5</v>
      </c>
      <c r="T4344" s="8">
        <v>1.0001249999999999</v>
      </c>
      <c r="U4344" s="98">
        <v>4.5468541061014722</v>
      </c>
      <c r="V4344" s="106">
        <v>38239.088963773247</v>
      </c>
      <c r="W4344" s="10">
        <v>1.271527539843853</v>
      </c>
      <c r="X4344" s="420"/>
      <c r="Y4344" s="420"/>
    </row>
    <row r="4345" spans="17:25">
      <c r="Q4345" s="6">
        <v>4315</v>
      </c>
      <c r="R4345" s="7">
        <v>46982</v>
      </c>
      <c r="S4345" s="210">
        <v>4.5</v>
      </c>
      <c r="T4345" s="8">
        <v>1.0001249999999999</v>
      </c>
      <c r="U4345" s="98">
        <v>4.5468821386927871</v>
      </c>
      <c r="V4345" s="106">
        <v>38242.377669721573</v>
      </c>
      <c r="W4345" s="10">
        <v>1.2715650210195717</v>
      </c>
      <c r="X4345" s="420"/>
      <c r="Y4345" s="420"/>
    </row>
    <row r="4346" spans="17:25">
      <c r="Q4346" s="6">
        <v>4316</v>
      </c>
      <c r="R4346" s="7">
        <v>46983</v>
      </c>
      <c r="S4346" s="210">
        <v>4.5</v>
      </c>
      <c r="T4346" s="8">
        <v>1.0001249999999999</v>
      </c>
      <c r="U4346" s="98">
        <v>4.5469101583015314</v>
      </c>
      <c r="V4346" s="106">
        <v>38245.666658511029</v>
      </c>
      <c r="W4346" s="10">
        <v>1.2716024848406837</v>
      </c>
      <c r="X4346" s="420"/>
      <c r="Y4346" s="420"/>
    </row>
    <row r="4347" spans="17:25">
      <c r="Q4347" s="6">
        <v>4317</v>
      </c>
      <c r="R4347" s="7">
        <v>46984</v>
      </c>
      <c r="S4347" s="210">
        <v>4.5</v>
      </c>
      <c r="T4347" s="8">
        <v>1.0001249999999999</v>
      </c>
      <c r="U4347" s="98">
        <v>4.5469381649367202</v>
      </c>
      <c r="V4347" s="106">
        <v>38248.955930165932</v>
      </c>
      <c r="W4347" s="10">
        <v>1.2716399313192239</v>
      </c>
      <c r="X4347" s="420"/>
      <c r="Y4347" s="420"/>
    </row>
    <row r="4348" spans="17:25">
      <c r="Q4348" s="6">
        <v>4318</v>
      </c>
      <c r="R4348" s="7">
        <v>46985</v>
      </c>
      <c r="S4348" s="210">
        <v>4.5</v>
      </c>
      <c r="T4348" s="8">
        <v>1.0001249999999999</v>
      </c>
      <c r="U4348" s="98">
        <v>4.5469661586073684</v>
      </c>
      <c r="V4348" s="106">
        <v>38252.245484710606</v>
      </c>
      <c r="W4348" s="10">
        <v>1.2716773604672493</v>
      </c>
      <c r="X4348" s="420"/>
      <c r="Y4348" s="420"/>
    </row>
    <row r="4349" spans="17:25">
      <c r="Q4349" s="6">
        <v>4319</v>
      </c>
      <c r="R4349" s="7">
        <v>46986</v>
      </c>
      <c r="S4349" s="210">
        <v>4.5</v>
      </c>
      <c r="T4349" s="8">
        <v>1.0001249999999999</v>
      </c>
      <c r="U4349" s="98">
        <v>4.5469941393224689</v>
      </c>
      <c r="V4349" s="106">
        <v>38255.535322169395</v>
      </c>
      <c r="W4349" s="10">
        <v>1.2717147722967503</v>
      </c>
      <c r="X4349" s="420"/>
      <c r="Y4349" s="420"/>
    </row>
    <row r="4350" spans="17:25">
      <c r="Q4350" s="6">
        <v>4320</v>
      </c>
      <c r="R4350" s="7">
        <v>46987</v>
      </c>
      <c r="S4350" s="210">
        <v>4.5</v>
      </c>
      <c r="T4350" s="8">
        <v>1.0001249999999999</v>
      </c>
      <c r="U4350" s="98">
        <v>4.5470221070910144</v>
      </c>
      <c r="V4350" s="106">
        <v>38258.825442566602</v>
      </c>
      <c r="W4350" s="10">
        <v>1.271752166819784</v>
      </c>
      <c r="X4350" s="420"/>
      <c r="Y4350" s="420"/>
    </row>
    <row r="4351" spans="17:25">
      <c r="Q4351" s="6">
        <v>4321</v>
      </c>
      <c r="R4351" s="7">
        <v>46988</v>
      </c>
      <c r="S4351" s="210">
        <v>4.5</v>
      </c>
      <c r="T4351" s="8">
        <v>1.0001249999999999</v>
      </c>
      <c r="U4351" s="98">
        <v>4.5470500619219978</v>
      </c>
      <c r="V4351" s="106">
        <v>38262.115845926593</v>
      </c>
      <c r="W4351" s="10">
        <v>1.2717895440483407</v>
      </c>
      <c r="X4351" s="420"/>
      <c r="Y4351" s="420"/>
    </row>
    <row r="4352" spans="17:25">
      <c r="Q4352" s="6">
        <v>4322</v>
      </c>
      <c r="R4352" s="7">
        <v>46989</v>
      </c>
      <c r="S4352" s="210">
        <v>4.5</v>
      </c>
      <c r="T4352" s="8">
        <v>1.0001249999999999</v>
      </c>
      <c r="U4352" s="98">
        <v>4.5470780038243896</v>
      </c>
      <c r="V4352" s="106">
        <v>38265.406532273679</v>
      </c>
      <c r="W4352" s="10">
        <v>1.271826903994433</v>
      </c>
      <c r="X4352" s="420"/>
      <c r="Y4352" s="420"/>
    </row>
    <row r="4353" spans="17:25">
      <c r="Q4353" s="6">
        <v>4323</v>
      </c>
      <c r="R4353" s="7">
        <v>46990</v>
      </c>
      <c r="S4353" s="210">
        <v>4.5</v>
      </c>
      <c r="T4353" s="8">
        <v>1.0001249999999999</v>
      </c>
      <c r="U4353" s="98">
        <v>4.5471059328071606</v>
      </c>
      <c r="V4353" s="106">
        <v>38268.697501632218</v>
      </c>
      <c r="W4353" s="10">
        <v>1.2718642466700292</v>
      </c>
      <c r="X4353" s="420"/>
      <c r="Y4353" s="420"/>
    </row>
    <row r="4354" spans="17:25">
      <c r="Q4354" s="6">
        <v>4324</v>
      </c>
      <c r="R4354" s="7">
        <v>46991</v>
      </c>
      <c r="S4354" s="210">
        <v>4.5</v>
      </c>
      <c r="T4354" s="8">
        <v>1.0001249999999999</v>
      </c>
      <c r="U4354" s="98">
        <v>4.547133848879259</v>
      </c>
      <c r="V4354" s="106">
        <v>38271.988754026534</v>
      </c>
      <c r="W4354" s="10">
        <v>1.2719015720870752</v>
      </c>
      <c r="X4354" s="420"/>
      <c r="Y4354" s="420"/>
    </row>
    <row r="4355" spans="17:25">
      <c r="Q4355" s="6">
        <v>4325</v>
      </c>
      <c r="R4355" s="7">
        <v>46992</v>
      </c>
      <c r="S4355" s="210">
        <v>4.5</v>
      </c>
      <c r="T4355" s="8">
        <v>1.0001249999999999</v>
      </c>
      <c r="U4355" s="98">
        <v>4.5471617520496332</v>
      </c>
      <c r="V4355" s="106">
        <v>38275.280289480979</v>
      </c>
      <c r="W4355" s="10">
        <v>1.2719388802575837</v>
      </c>
      <c r="X4355" s="420"/>
      <c r="Y4355" s="420"/>
    </row>
    <row r="4356" spans="17:25">
      <c r="Q4356" s="6">
        <v>4326</v>
      </c>
      <c r="R4356" s="7">
        <v>46993</v>
      </c>
      <c r="S4356" s="210">
        <v>4.5</v>
      </c>
      <c r="T4356" s="8">
        <v>1.0001249999999999</v>
      </c>
      <c r="U4356" s="98">
        <v>4.5471896423272318</v>
      </c>
      <c r="V4356" s="106">
        <v>38278.572108019893</v>
      </c>
      <c r="W4356" s="10">
        <v>1.2719761711934563</v>
      </c>
      <c r="X4356" s="420"/>
      <c r="Y4356" s="420"/>
    </row>
    <row r="4357" spans="17:25">
      <c r="Q4357" s="6">
        <v>4327</v>
      </c>
      <c r="R4357" s="7">
        <v>46994</v>
      </c>
      <c r="S4357" s="210">
        <v>4.5</v>
      </c>
      <c r="T4357" s="8">
        <v>1.0001249999999999</v>
      </c>
      <c r="U4357" s="98">
        <v>4.547217519721003</v>
      </c>
      <c r="V4357" s="106">
        <v>38281.864209667627</v>
      </c>
      <c r="W4357" s="10">
        <v>1.2720134449067055</v>
      </c>
      <c r="X4357" s="420"/>
      <c r="Y4357" s="420"/>
    </row>
    <row r="4358" spans="17:25">
      <c r="Q4358" s="6">
        <v>4328</v>
      </c>
      <c r="R4358" s="7">
        <v>46995</v>
      </c>
      <c r="S4358" s="210">
        <v>4.5</v>
      </c>
      <c r="T4358" s="8">
        <v>1.0001249999999999</v>
      </c>
      <c r="U4358" s="98">
        <v>4.5472453842398508</v>
      </c>
      <c r="V4358" s="106">
        <v>38285.156594448519</v>
      </c>
      <c r="W4358" s="10">
        <v>1.2720507014091664</v>
      </c>
      <c r="X4358" s="420"/>
      <c r="Y4358" s="420"/>
    </row>
    <row r="4359" spans="17:25">
      <c r="Q4359" s="6">
        <v>4329</v>
      </c>
      <c r="R4359" s="7">
        <v>46996</v>
      </c>
      <c r="S4359" s="210">
        <v>4.5</v>
      </c>
      <c r="T4359" s="8">
        <v>1.0001249999999999</v>
      </c>
      <c r="U4359" s="98">
        <v>4.5472732358927015</v>
      </c>
      <c r="V4359" s="106">
        <v>38288.44926238693</v>
      </c>
      <c r="W4359" s="10">
        <v>1.2720879407128294</v>
      </c>
      <c r="X4359" s="420"/>
      <c r="Y4359" s="420"/>
    </row>
    <row r="4360" spans="17:25">
      <c r="Q4360" s="6">
        <v>4330</v>
      </c>
      <c r="R4360" s="7">
        <v>46997</v>
      </c>
      <c r="S4360" s="210">
        <v>4.5</v>
      </c>
      <c r="T4360" s="8">
        <v>1.0001249999999999</v>
      </c>
      <c r="U4360" s="98">
        <v>4.547301074688459</v>
      </c>
      <c r="V4360" s="106">
        <v>38291.742213507205</v>
      </c>
      <c r="W4360" s="10">
        <v>1.2721251628295738</v>
      </c>
      <c r="X4360" s="420"/>
      <c r="Y4360" s="420"/>
    </row>
    <row r="4361" spans="17:25">
      <c r="Q4361" s="6">
        <v>4331</v>
      </c>
      <c r="R4361" s="7">
        <v>46998</v>
      </c>
      <c r="S4361" s="210">
        <v>4.5</v>
      </c>
      <c r="T4361" s="8">
        <v>1.0001249999999999</v>
      </c>
      <c r="U4361" s="98">
        <v>4.5473289006360273</v>
      </c>
      <c r="V4361" s="106">
        <v>38295.035447833703</v>
      </c>
      <c r="W4361" s="10">
        <v>1.272162367771279</v>
      </c>
      <c r="X4361" s="420"/>
      <c r="Y4361" s="420"/>
    </row>
    <row r="4362" spans="17:25">
      <c r="Q4362" s="6">
        <v>4332</v>
      </c>
      <c r="R4362" s="7">
        <v>46999</v>
      </c>
      <c r="S4362" s="210">
        <v>4.5</v>
      </c>
      <c r="T4362" s="8">
        <v>1.0001249999999999</v>
      </c>
      <c r="U4362" s="98">
        <v>4.5473567137442883</v>
      </c>
      <c r="V4362" s="106">
        <v>38298.328965390785</v>
      </c>
      <c r="W4362" s="10">
        <v>1.2721995555498467</v>
      </c>
      <c r="X4362" s="420"/>
      <c r="Y4362" s="420"/>
    </row>
    <row r="4363" spans="17:25">
      <c r="Q4363" s="6">
        <v>4333</v>
      </c>
      <c r="R4363" s="7">
        <v>47000</v>
      </c>
      <c r="S4363" s="210">
        <v>4.5</v>
      </c>
      <c r="T4363" s="8">
        <v>1.0001249999999999</v>
      </c>
      <c r="U4363" s="98">
        <v>4.5473845140221458</v>
      </c>
      <c r="V4363" s="106">
        <v>38301.622766202803</v>
      </c>
      <c r="W4363" s="10">
        <v>1.2722367261771561</v>
      </c>
      <c r="X4363" s="420"/>
      <c r="Y4363" s="420"/>
    </row>
    <row r="4364" spans="17:25">
      <c r="Q4364" s="6">
        <v>4334</v>
      </c>
      <c r="R4364" s="7">
        <v>47001</v>
      </c>
      <c r="S4364" s="210">
        <v>4.5</v>
      </c>
      <c r="T4364" s="8">
        <v>1.0001249999999999</v>
      </c>
      <c r="U4364" s="98">
        <v>4.5474123014784595</v>
      </c>
      <c r="V4364" s="106">
        <v>38304.916850294117</v>
      </c>
      <c r="W4364" s="10">
        <v>1.2722738796650646</v>
      </c>
      <c r="X4364" s="420"/>
      <c r="Y4364" s="420"/>
    </row>
    <row r="4365" spans="17:25">
      <c r="Q4365" s="6">
        <v>4335</v>
      </c>
      <c r="R4365" s="7">
        <v>47002</v>
      </c>
      <c r="S4365" s="210">
        <v>4.5</v>
      </c>
      <c r="T4365" s="8">
        <v>1.0001249999999999</v>
      </c>
      <c r="U4365" s="98">
        <v>4.5474400761221112</v>
      </c>
      <c r="V4365" s="106">
        <v>38308.211217689102</v>
      </c>
      <c r="W4365" s="10">
        <v>1.2723110160254292</v>
      </c>
      <c r="X4365" s="420"/>
      <c r="Y4365" s="420"/>
    </row>
    <row r="4366" spans="17:25">
      <c r="Q4366" s="6">
        <v>4336</v>
      </c>
      <c r="R4366" s="7">
        <v>47003</v>
      </c>
      <c r="S4366" s="210">
        <v>4.5</v>
      </c>
      <c r="T4366" s="8">
        <v>1.0001249999999999</v>
      </c>
      <c r="U4366" s="98">
        <v>4.5474678379619604</v>
      </c>
      <c r="V4366" s="106">
        <v>38311.505868412103</v>
      </c>
      <c r="W4366" s="10">
        <v>1.2723481352700849</v>
      </c>
      <c r="X4366" s="420"/>
      <c r="Y4366" s="420"/>
    </row>
    <row r="4367" spans="17:25">
      <c r="Q4367" s="6">
        <v>4337</v>
      </c>
      <c r="R4367" s="7">
        <v>47004</v>
      </c>
      <c r="S4367" s="210">
        <v>4.5</v>
      </c>
      <c r="T4367" s="8">
        <v>1.0001249999999999</v>
      </c>
      <c r="U4367" s="98">
        <v>4.5474955870068445</v>
      </c>
      <c r="V4367" s="106">
        <v>38314.800802487509</v>
      </c>
      <c r="W4367" s="10">
        <v>1.2723852374108446</v>
      </c>
      <c r="X4367" s="420"/>
      <c r="Y4367" s="420"/>
    </row>
    <row r="4368" spans="17:25">
      <c r="Q4368" s="6">
        <v>4338</v>
      </c>
      <c r="R4368" s="7">
        <v>47005</v>
      </c>
      <c r="S4368" s="210">
        <v>4.5</v>
      </c>
      <c r="T4368" s="8">
        <v>1.0001249999999999</v>
      </c>
      <c r="U4368" s="98">
        <v>4.5475233232656231</v>
      </c>
      <c r="V4368" s="106">
        <v>38318.096019939672</v>
      </c>
      <c r="W4368" s="10">
        <v>1.2724223224595654</v>
      </c>
      <c r="X4368" s="420"/>
      <c r="Y4368" s="420"/>
    </row>
    <row r="4369" spans="17:25">
      <c r="Q4369" s="6">
        <v>4339</v>
      </c>
      <c r="R4369" s="7">
        <v>47006</v>
      </c>
      <c r="S4369" s="210">
        <v>4.5</v>
      </c>
      <c r="T4369" s="8">
        <v>1.0001249999999999</v>
      </c>
      <c r="U4369" s="98">
        <v>4.5475510467471114</v>
      </c>
      <c r="V4369" s="106">
        <v>38321.391520792975</v>
      </c>
      <c r="W4369" s="10">
        <v>1.2724593904280157</v>
      </c>
      <c r="X4369" s="420"/>
      <c r="Y4369" s="420"/>
    </row>
    <row r="4370" spans="17:25">
      <c r="Q4370" s="6">
        <v>4340</v>
      </c>
      <c r="R4370" s="7">
        <v>47007</v>
      </c>
      <c r="S4370" s="210">
        <v>4.5</v>
      </c>
      <c r="T4370" s="8">
        <v>1.0001249999999999</v>
      </c>
      <c r="U4370" s="98">
        <v>4.5475787574601467</v>
      </c>
      <c r="V4370" s="106">
        <v>38324.687305071784</v>
      </c>
      <c r="W4370" s="10">
        <v>1.2724964413280082</v>
      </c>
      <c r="X4370" s="420"/>
      <c r="Y4370" s="420"/>
    </row>
    <row r="4371" spans="17:25">
      <c r="Q4371" s="6">
        <v>4341</v>
      </c>
      <c r="R4371" s="7">
        <v>47008</v>
      </c>
      <c r="S4371" s="210">
        <v>4.5</v>
      </c>
      <c r="T4371" s="8">
        <v>1.0001249999999999</v>
      </c>
      <c r="U4371" s="98">
        <v>4.5476064554135665</v>
      </c>
      <c r="V4371" s="106">
        <v>38327.983372800481</v>
      </c>
      <c r="W4371" s="10">
        <v>1.2725334751713557</v>
      </c>
      <c r="X4371" s="420"/>
      <c r="Y4371" s="420"/>
    </row>
    <row r="4372" spans="17:25">
      <c r="Q4372" s="6">
        <v>4342</v>
      </c>
      <c r="R4372" s="7">
        <v>47009</v>
      </c>
      <c r="S4372" s="210">
        <v>4.5</v>
      </c>
      <c r="T4372" s="8">
        <v>1.0001249999999999</v>
      </c>
      <c r="U4372" s="98">
        <v>4.5476341406161636</v>
      </c>
      <c r="V4372" s="106">
        <v>38331.279724003434</v>
      </c>
      <c r="W4372" s="10">
        <v>1.2725704919698044</v>
      </c>
      <c r="X4372" s="420"/>
      <c r="Y4372" s="420"/>
    </row>
    <row r="4373" spans="17:25">
      <c r="Q4373" s="6">
        <v>4343</v>
      </c>
      <c r="R4373" s="7">
        <v>47010</v>
      </c>
      <c r="S4373" s="210">
        <v>4.5</v>
      </c>
      <c r="T4373" s="8">
        <v>1.0001249999999999</v>
      </c>
      <c r="U4373" s="98">
        <v>4.547661813076731</v>
      </c>
      <c r="V4373" s="106">
        <v>38334.576358705031</v>
      </c>
      <c r="W4373" s="10">
        <v>1.2726074917351227</v>
      </c>
      <c r="X4373" s="420"/>
      <c r="Y4373" s="420"/>
    </row>
    <row r="4374" spans="17:25">
      <c r="Q4374" s="6">
        <v>4344</v>
      </c>
      <c r="R4374" s="7">
        <v>47011</v>
      </c>
      <c r="S4374" s="210">
        <v>4.5</v>
      </c>
      <c r="T4374" s="8">
        <v>1.0001249999999999</v>
      </c>
      <c r="U4374" s="98">
        <v>4.547689472804084</v>
      </c>
      <c r="V4374" s="106">
        <v>38337.873276929662</v>
      </c>
      <c r="W4374" s="10">
        <v>1.2726444744790566</v>
      </c>
      <c r="X4374" s="420"/>
      <c r="Y4374" s="420"/>
    </row>
    <row r="4375" spans="17:25">
      <c r="Q4375" s="6">
        <v>4345</v>
      </c>
      <c r="R4375" s="7">
        <v>47012</v>
      </c>
      <c r="S4375" s="210">
        <v>4.5</v>
      </c>
      <c r="T4375" s="8">
        <v>1.0001249999999999</v>
      </c>
      <c r="U4375" s="98">
        <v>4.5477171198069932</v>
      </c>
      <c r="V4375" s="106">
        <v>38341.170478701686</v>
      </c>
      <c r="W4375" s="10">
        <v>1.2726814402133746</v>
      </c>
      <c r="X4375" s="420"/>
      <c r="Y4375" s="420"/>
    </row>
    <row r="4376" spans="17:25">
      <c r="Q4376" s="6">
        <v>4346</v>
      </c>
      <c r="R4376" s="7">
        <v>47013</v>
      </c>
      <c r="S4376" s="210">
        <v>4.5</v>
      </c>
      <c r="T4376" s="8">
        <v>1.0001249999999999</v>
      </c>
      <c r="U4376" s="98">
        <v>4.5477447540942517</v>
      </c>
      <c r="V4376" s="106">
        <v>38344.467964045522</v>
      </c>
      <c r="W4376" s="10">
        <v>1.2727183889498006</v>
      </c>
      <c r="X4376" s="420"/>
      <c r="Y4376" s="420"/>
    </row>
    <row r="4377" spans="17:25">
      <c r="Q4377" s="6">
        <v>4347</v>
      </c>
      <c r="R4377" s="7">
        <v>47014</v>
      </c>
      <c r="S4377" s="210">
        <v>4.5</v>
      </c>
      <c r="T4377" s="8">
        <v>1.0001249999999999</v>
      </c>
      <c r="U4377" s="98">
        <v>4.547772375674608</v>
      </c>
      <c r="V4377" s="106">
        <v>38347.765732985528</v>
      </c>
      <c r="W4377" s="10">
        <v>1.2727553207000142</v>
      </c>
      <c r="X4377" s="420"/>
      <c r="Y4377" s="420"/>
    </row>
    <row r="4378" spans="17:25">
      <c r="Q4378" s="6">
        <v>4348</v>
      </c>
      <c r="R4378" s="7">
        <v>47015</v>
      </c>
      <c r="S4378" s="210">
        <v>4.5</v>
      </c>
      <c r="T4378" s="8">
        <v>1.0001249999999999</v>
      </c>
      <c r="U4378" s="98">
        <v>4.5477999845568329</v>
      </c>
      <c r="V4378" s="106">
        <v>38351.06378554611</v>
      </c>
      <c r="W4378" s="10">
        <v>1.2727922354757837</v>
      </c>
      <c r="X4378" s="420"/>
      <c r="Y4378" s="420"/>
    </row>
    <row r="4379" spans="17:25">
      <c r="Q4379" s="6">
        <v>4349</v>
      </c>
      <c r="R4379" s="7">
        <v>47016</v>
      </c>
      <c r="S4379" s="210">
        <v>4.5</v>
      </c>
      <c r="T4379" s="8">
        <v>1.0001249999999999</v>
      </c>
      <c r="U4379" s="98">
        <v>4.5478275807496971</v>
      </c>
      <c r="V4379" s="106">
        <v>38354.362121751663</v>
      </c>
      <c r="W4379" s="10">
        <v>1.2728291332887665</v>
      </c>
      <c r="X4379" s="420"/>
      <c r="Y4379" s="420"/>
    </row>
    <row r="4380" spans="17:25">
      <c r="Q4380" s="6">
        <v>4350</v>
      </c>
      <c r="R4380" s="7">
        <v>47017</v>
      </c>
      <c r="S4380" s="210">
        <v>4.5</v>
      </c>
      <c r="T4380" s="8">
        <v>1.0001249999999999</v>
      </c>
      <c r="U4380" s="98">
        <v>4.5478551642619269</v>
      </c>
      <c r="V4380" s="106">
        <v>38357.660741626569</v>
      </c>
      <c r="W4380" s="10">
        <v>1.2728660141506865</v>
      </c>
      <c r="X4380" s="420"/>
      <c r="Y4380" s="420"/>
    </row>
    <row r="4381" spans="17:25">
      <c r="Q4381" s="6">
        <v>4351</v>
      </c>
      <c r="R4381" s="7">
        <v>47018</v>
      </c>
      <c r="S4381" s="210">
        <v>4.5</v>
      </c>
      <c r="T4381" s="8">
        <v>1.0001249999999999</v>
      </c>
      <c r="U4381" s="98">
        <v>4.547882735102271</v>
      </c>
      <c r="V4381" s="106">
        <v>38360.959645195238</v>
      </c>
      <c r="W4381" s="10">
        <v>1.272902878073201</v>
      </c>
      <c r="X4381" s="420"/>
      <c r="Y4381" s="420"/>
    </row>
    <row r="4382" spans="17:25">
      <c r="Q4382" s="6">
        <v>4352</v>
      </c>
      <c r="R4382" s="7">
        <v>47019</v>
      </c>
      <c r="S4382" s="210">
        <v>4.5</v>
      </c>
      <c r="T4382" s="8">
        <v>1.0001249999999999</v>
      </c>
      <c r="U4382" s="98">
        <v>4.5479102932794557</v>
      </c>
      <c r="V4382" s="106">
        <v>38364.258832482054</v>
      </c>
      <c r="W4382" s="10">
        <v>1.2729397250679897</v>
      </c>
      <c r="X4382" s="420"/>
      <c r="Y4382" s="420"/>
    </row>
    <row r="4383" spans="17:25">
      <c r="Q4383" s="6">
        <v>4353</v>
      </c>
      <c r="R4383" s="7">
        <v>47020</v>
      </c>
      <c r="S4383" s="210">
        <v>4.5</v>
      </c>
      <c r="T4383" s="8">
        <v>1.0001249999999999</v>
      </c>
      <c r="U4383" s="98">
        <v>4.5479378388022074</v>
      </c>
      <c r="V4383" s="106">
        <v>38367.558303511432</v>
      </c>
      <c r="W4383" s="10">
        <v>1.2729765551466876</v>
      </c>
      <c r="X4383" s="420"/>
      <c r="Y4383" s="420"/>
    </row>
    <row r="4384" spans="17:25">
      <c r="Q4384" s="6">
        <v>4354</v>
      </c>
      <c r="R4384" s="7">
        <v>47021</v>
      </c>
      <c r="S4384" s="210">
        <v>4.5</v>
      </c>
      <c r="T4384" s="8">
        <v>1.0001249999999999</v>
      </c>
      <c r="U4384" s="98">
        <v>4.5479653716792523</v>
      </c>
      <c r="V4384" s="106">
        <v>38370.858058307778</v>
      </c>
      <c r="W4384" s="10">
        <v>1.2730133683209965</v>
      </c>
      <c r="X4384" s="420"/>
      <c r="Y4384" s="420"/>
    </row>
    <row r="4385" spans="17:25">
      <c r="Q4385" s="6">
        <v>4355</v>
      </c>
      <c r="R4385" s="7">
        <v>47022</v>
      </c>
      <c r="S4385" s="210">
        <v>4.5</v>
      </c>
      <c r="T4385" s="8">
        <v>1.0001249999999999</v>
      </c>
      <c r="U4385" s="98">
        <v>4.5479928919192725</v>
      </c>
      <c r="V4385" s="106">
        <v>38374.158096895473</v>
      </c>
      <c r="W4385" s="10">
        <v>1.273050164602485</v>
      </c>
      <c r="X4385" s="420"/>
      <c r="Y4385" s="420"/>
    </row>
    <row r="4386" spans="17:25">
      <c r="Q4386" s="6">
        <v>4356</v>
      </c>
      <c r="R4386" s="7">
        <v>47023</v>
      </c>
      <c r="S4386" s="210">
        <v>4.5</v>
      </c>
      <c r="T4386" s="8">
        <v>1.0001249999999999</v>
      </c>
      <c r="U4386" s="98">
        <v>4.548020399530972</v>
      </c>
      <c r="V4386" s="106">
        <v>38377.45841929895</v>
      </c>
      <c r="W4386" s="10">
        <v>1.2730869440028103</v>
      </c>
      <c r="X4386" s="420"/>
      <c r="Y4386" s="420"/>
    </row>
    <row r="4387" spans="17:25">
      <c r="Q4387" s="6">
        <v>4357</v>
      </c>
      <c r="R4387" s="7">
        <v>47024</v>
      </c>
      <c r="S4387" s="210">
        <v>4.5</v>
      </c>
      <c r="T4387" s="8">
        <v>1.0001249999999999</v>
      </c>
      <c r="U4387" s="98">
        <v>4.5480478945230551</v>
      </c>
      <c r="V4387" s="106">
        <v>38380.759025542604</v>
      </c>
      <c r="W4387" s="10">
        <v>1.2731237065335854</v>
      </c>
      <c r="X4387" s="420"/>
      <c r="Y4387" s="420"/>
    </row>
    <row r="4388" spans="17:25">
      <c r="Q4388" s="6">
        <v>4358</v>
      </c>
      <c r="R4388" s="7">
        <v>47025</v>
      </c>
      <c r="S4388" s="210">
        <v>4.5</v>
      </c>
      <c r="T4388" s="8">
        <v>1.0001249999999999</v>
      </c>
      <c r="U4388" s="98">
        <v>4.5480753769041815</v>
      </c>
      <c r="V4388" s="106">
        <v>38384.059915650847</v>
      </c>
      <c r="W4388" s="10">
        <v>1.2731604522064011</v>
      </c>
      <c r="X4388" s="420"/>
      <c r="Y4388" s="420"/>
    </row>
    <row r="4389" spans="17:25">
      <c r="Q4389" s="6">
        <v>4359</v>
      </c>
      <c r="R4389" s="7">
        <v>47026</v>
      </c>
      <c r="S4389" s="210">
        <v>4.5</v>
      </c>
      <c r="T4389" s="8">
        <v>1.0001249999999999</v>
      </c>
      <c r="U4389" s="98">
        <v>4.5481028466830553</v>
      </c>
      <c r="V4389" s="106">
        <v>38387.361089648097</v>
      </c>
      <c r="W4389" s="10">
        <v>1.2731971810328702</v>
      </c>
      <c r="X4389" s="420"/>
      <c r="Y4389" s="420"/>
    </row>
    <row r="4390" spans="17:25">
      <c r="Q4390" s="6">
        <v>4360</v>
      </c>
      <c r="R4390" s="7">
        <v>47027</v>
      </c>
      <c r="S4390" s="210">
        <v>4.5</v>
      </c>
      <c r="T4390" s="8">
        <v>1.0001249999999999</v>
      </c>
      <c r="U4390" s="98">
        <v>4.5481303038683141</v>
      </c>
      <c r="V4390" s="106">
        <v>38390.662547558772</v>
      </c>
      <c r="W4390" s="10">
        <v>1.2732338930245612</v>
      </c>
      <c r="X4390" s="420"/>
      <c r="Y4390" s="420"/>
    </row>
    <row r="4391" spans="17:25">
      <c r="Q4391" s="6">
        <v>4361</v>
      </c>
      <c r="R4391" s="7">
        <v>47028</v>
      </c>
      <c r="S4391" s="210">
        <v>4.5</v>
      </c>
      <c r="T4391" s="8">
        <v>1.0001249999999999</v>
      </c>
      <c r="U4391" s="98">
        <v>4.5481577484686397</v>
      </c>
      <c r="V4391" s="106">
        <v>38393.964289407282</v>
      </c>
      <c r="W4391" s="10">
        <v>1.273270588193065</v>
      </c>
      <c r="X4391" s="420"/>
      <c r="Y4391" s="420"/>
    </row>
    <row r="4392" spans="17:25">
      <c r="Q4392" s="6">
        <v>4362</v>
      </c>
      <c r="R4392" s="7">
        <v>47029</v>
      </c>
      <c r="S4392" s="210">
        <v>4.5</v>
      </c>
      <c r="T4392" s="8">
        <v>1.0001249999999999</v>
      </c>
      <c r="U4392" s="98">
        <v>4.5481851804926698</v>
      </c>
      <c r="V4392" s="106">
        <v>38397.266315218047</v>
      </c>
      <c r="W4392" s="10">
        <v>1.2733072665499279</v>
      </c>
      <c r="X4392" s="420"/>
      <c r="Y4392" s="420"/>
    </row>
    <row r="4393" spans="17:25">
      <c r="Q4393" s="6">
        <v>4363</v>
      </c>
      <c r="R4393" s="7">
        <v>47030</v>
      </c>
      <c r="S4393" s="210">
        <v>4.5</v>
      </c>
      <c r="T4393" s="8">
        <v>1.0001249999999999</v>
      </c>
      <c r="U4393" s="98">
        <v>4.5482125999490419</v>
      </c>
      <c r="V4393" s="106">
        <v>38400.56862501549</v>
      </c>
      <c r="W4393" s="10">
        <v>1.2733439281066739</v>
      </c>
      <c r="X4393" s="420"/>
      <c r="Y4393" s="420"/>
    </row>
    <row r="4394" spans="17:25">
      <c r="Q4394" s="6">
        <v>4364</v>
      </c>
      <c r="R4394" s="7">
        <v>47031</v>
      </c>
      <c r="S4394" s="210">
        <v>4.5</v>
      </c>
      <c r="T4394" s="8">
        <v>1.0001249999999999</v>
      </c>
      <c r="U4394" s="98">
        <v>4.5482400068463935</v>
      </c>
      <c r="V4394" s="106">
        <v>38403.871218824053</v>
      </c>
      <c r="W4394" s="10">
        <v>1.2733805728748937</v>
      </c>
      <c r="X4394" s="420"/>
      <c r="Y4394" s="420"/>
    </row>
    <row r="4395" spans="17:25">
      <c r="Q4395" s="6">
        <v>4365</v>
      </c>
      <c r="R4395" s="7">
        <v>47032</v>
      </c>
      <c r="S4395" s="210">
        <v>4.5</v>
      </c>
      <c r="T4395" s="8">
        <v>1.0001249999999999</v>
      </c>
      <c r="U4395" s="98">
        <v>4.5482674011933621</v>
      </c>
      <c r="V4395" s="106">
        <v>38407.174096668132</v>
      </c>
      <c r="W4395" s="10">
        <v>1.2734172008660893</v>
      </c>
      <c r="X4395" s="420"/>
      <c r="Y4395" s="420"/>
    </row>
    <row r="4396" spans="17:25">
      <c r="Q4396" s="6">
        <v>4366</v>
      </c>
      <c r="R4396" s="7">
        <v>47033</v>
      </c>
      <c r="S4396" s="210">
        <v>4.5</v>
      </c>
      <c r="T4396" s="8">
        <v>1.0001249999999999</v>
      </c>
      <c r="U4396" s="98">
        <v>4.5482947829985632</v>
      </c>
      <c r="V4396" s="106">
        <v>38410.477258572173</v>
      </c>
      <c r="W4396" s="10">
        <v>1.2734538120917627</v>
      </c>
      <c r="X4396" s="420"/>
      <c r="Y4396" s="420"/>
    </row>
    <row r="4397" spans="17:25">
      <c r="Q4397" s="6">
        <v>4367</v>
      </c>
      <c r="R4397" s="7">
        <v>47034</v>
      </c>
      <c r="S4397" s="210">
        <v>4.5</v>
      </c>
      <c r="T4397" s="8">
        <v>1.0001249999999999</v>
      </c>
      <c r="U4397" s="98">
        <v>4.5483221522705897</v>
      </c>
      <c r="V4397" s="106">
        <v>38413.780704560602</v>
      </c>
      <c r="W4397" s="10">
        <v>1.27349040656346</v>
      </c>
      <c r="X4397" s="420"/>
      <c r="Y4397" s="420"/>
    </row>
    <row r="4398" spans="17:25">
      <c r="Q4398" s="6">
        <v>4368</v>
      </c>
      <c r="R4398" s="7">
        <v>47035</v>
      </c>
      <c r="S4398" s="210">
        <v>4.5</v>
      </c>
      <c r="T4398" s="8">
        <v>1.0001249999999999</v>
      </c>
      <c r="U4398" s="98">
        <v>4.548349509018057</v>
      </c>
      <c r="V4398" s="106">
        <v>38417.084434657852</v>
      </c>
      <c r="W4398" s="10">
        <v>1.2735269842926389</v>
      </c>
      <c r="X4398" s="420"/>
      <c r="Y4398" s="420"/>
    </row>
    <row r="4399" spans="17:25">
      <c r="Q4399" s="6">
        <v>4369</v>
      </c>
      <c r="R4399" s="7">
        <v>47036</v>
      </c>
      <c r="S4399" s="210">
        <v>4.5</v>
      </c>
      <c r="T4399" s="8">
        <v>1.0001249999999999</v>
      </c>
      <c r="U4399" s="98">
        <v>4.5483768532495583</v>
      </c>
      <c r="V4399" s="106">
        <v>38420.388448888356</v>
      </c>
      <c r="W4399" s="10">
        <v>1.2735635452908234</v>
      </c>
      <c r="X4399" s="420"/>
      <c r="Y4399" s="420"/>
    </row>
    <row r="4400" spans="17:25">
      <c r="Q4400" s="6">
        <v>4370</v>
      </c>
      <c r="R4400" s="7">
        <v>47037</v>
      </c>
      <c r="S4400" s="210">
        <v>4.5</v>
      </c>
      <c r="T4400" s="8">
        <v>1.0001249999999999</v>
      </c>
      <c r="U4400" s="98">
        <v>4.5484041849736867</v>
      </c>
      <c r="V4400" s="106">
        <v>38423.692747276553</v>
      </c>
      <c r="W4400" s="10">
        <v>1.273600089569471</v>
      </c>
      <c r="X4400" s="420"/>
      <c r="Y4400" s="420"/>
    </row>
    <row r="4401" spans="17:25">
      <c r="Q4401" s="6">
        <v>4371</v>
      </c>
      <c r="R4401" s="7">
        <v>47038</v>
      </c>
      <c r="S4401" s="210">
        <v>4.5</v>
      </c>
      <c r="T4401" s="8">
        <v>1.0001249999999999</v>
      </c>
      <c r="U4401" s="98">
        <v>4.5484315041990353</v>
      </c>
      <c r="V4401" s="106">
        <v>38426.997329846883</v>
      </c>
      <c r="W4401" s="10">
        <v>1.2736366171400615</v>
      </c>
      <c r="X4401" s="420"/>
      <c r="Y4401" s="420"/>
    </row>
    <row r="4402" spans="17:25">
      <c r="Q4402" s="6">
        <v>4372</v>
      </c>
      <c r="R4402" s="7">
        <v>47039</v>
      </c>
      <c r="S4402" s="210">
        <v>4.5</v>
      </c>
      <c r="T4402" s="8">
        <v>1.0001249999999999</v>
      </c>
      <c r="U4402" s="98">
        <v>4.5484588109341528</v>
      </c>
      <c r="V4402" s="106">
        <v>38430.302196623779</v>
      </c>
      <c r="W4402" s="10">
        <v>1.2736731280140523</v>
      </c>
      <c r="X4402" s="420"/>
      <c r="Y4402" s="420"/>
    </row>
    <row r="4403" spans="17:25">
      <c r="Q4403" s="6">
        <v>4373</v>
      </c>
      <c r="R4403" s="7">
        <v>47040</v>
      </c>
      <c r="S4403" s="210">
        <v>4.5</v>
      </c>
      <c r="T4403" s="8">
        <v>1.0001249999999999</v>
      </c>
      <c r="U4403" s="98">
        <v>4.5484861051876102</v>
      </c>
      <c r="V4403" s="106">
        <v>38433.607347631696</v>
      </c>
      <c r="W4403" s="10">
        <v>1.2737096222028788</v>
      </c>
      <c r="X4403" s="420"/>
      <c r="Y4403" s="420"/>
    </row>
    <row r="4404" spans="17:25">
      <c r="Q4404" s="6">
        <v>4374</v>
      </c>
      <c r="R4404" s="7">
        <v>47041</v>
      </c>
      <c r="S4404" s="210">
        <v>4.5</v>
      </c>
      <c r="T4404" s="8">
        <v>1.0001249999999999</v>
      </c>
      <c r="U4404" s="98">
        <v>4.5485133869679562</v>
      </c>
      <c r="V4404" s="106">
        <v>38436.912782895059</v>
      </c>
      <c r="W4404" s="10">
        <v>1.2737460997179539</v>
      </c>
      <c r="X4404" s="420"/>
      <c r="Y4404" s="420"/>
    </row>
    <row r="4405" spans="17:25">
      <c r="Q4405" s="6">
        <v>4375</v>
      </c>
      <c r="R4405" s="7">
        <v>47042</v>
      </c>
      <c r="S4405" s="210">
        <v>4.5</v>
      </c>
      <c r="T4405" s="8">
        <v>1.0001249999999999</v>
      </c>
      <c r="U4405" s="98">
        <v>4.5485406562837394</v>
      </c>
      <c r="V4405" s="106">
        <v>38440.218502438336</v>
      </c>
      <c r="W4405" s="10">
        <v>1.2737825605707132</v>
      </c>
      <c r="X4405" s="420"/>
      <c r="Y4405" s="420"/>
    </row>
    <row r="4406" spans="17:25">
      <c r="Q4406" s="6">
        <v>4376</v>
      </c>
      <c r="R4406" s="7">
        <v>47043</v>
      </c>
      <c r="S4406" s="210">
        <v>4.5</v>
      </c>
      <c r="T4406" s="8">
        <v>1.0001249999999999</v>
      </c>
      <c r="U4406" s="98">
        <v>4.5485679131435086</v>
      </c>
      <c r="V4406" s="106">
        <v>38443.524506285976</v>
      </c>
      <c r="W4406" s="10">
        <v>1.2738190047725917</v>
      </c>
      <c r="X4406" s="420"/>
      <c r="Y4406" s="420"/>
    </row>
    <row r="4407" spans="17:25">
      <c r="Q4407" s="6">
        <v>4377</v>
      </c>
      <c r="R4407" s="7">
        <v>47044</v>
      </c>
      <c r="S4407" s="210">
        <v>4.5</v>
      </c>
      <c r="T4407" s="8">
        <v>1.0001249999999999</v>
      </c>
      <c r="U4407" s="98">
        <v>4.5485951575557904</v>
      </c>
      <c r="V4407" s="106">
        <v>38446.83079446241</v>
      </c>
      <c r="W4407" s="10">
        <v>1.2738554323349804</v>
      </c>
      <c r="X4407" s="420"/>
      <c r="Y4407" s="420"/>
    </row>
    <row r="4408" spans="17:25">
      <c r="Q4408" s="6">
        <v>4378</v>
      </c>
      <c r="R4408" s="7">
        <v>47045</v>
      </c>
      <c r="S4408" s="210">
        <v>4.5</v>
      </c>
      <c r="T4408" s="8">
        <v>1.0001249999999999</v>
      </c>
      <c r="U4408" s="98">
        <v>4.5486223895291111</v>
      </c>
      <c r="V4408" s="106">
        <v>38450.137366992101</v>
      </c>
      <c r="W4408" s="10">
        <v>1.2738918432692703</v>
      </c>
      <c r="X4408" s="420"/>
      <c r="Y4408" s="420"/>
    </row>
    <row r="4409" spans="17:25">
      <c r="Q4409" s="6">
        <v>4379</v>
      </c>
      <c r="R4409" s="7">
        <v>47046</v>
      </c>
      <c r="S4409" s="210">
        <v>4.5</v>
      </c>
      <c r="T4409" s="8">
        <v>1.0001249999999999</v>
      </c>
      <c r="U4409" s="98">
        <v>4.5486496090719974</v>
      </c>
      <c r="V4409" s="106">
        <v>38453.444223899525</v>
      </c>
      <c r="W4409" s="10">
        <v>1.2739282375868521</v>
      </c>
      <c r="X4409" s="420"/>
      <c r="Y4409" s="420"/>
    </row>
    <row r="4410" spans="17:25">
      <c r="Q4410" s="6">
        <v>4380</v>
      </c>
      <c r="R4410" s="7">
        <v>47047</v>
      </c>
      <c r="S4410" s="210">
        <v>4.5</v>
      </c>
      <c r="T4410" s="8">
        <v>1.0001249999999999</v>
      </c>
      <c r="U4410" s="98">
        <v>4.5486768161929536</v>
      </c>
      <c r="V4410" s="106">
        <v>38456.751365209115</v>
      </c>
      <c r="W4410" s="10">
        <v>1.2739646152991169</v>
      </c>
      <c r="X4410" s="420"/>
      <c r="Y4410" s="420"/>
    </row>
    <row r="4411" spans="17:25">
      <c r="Q4411" s="6">
        <v>4381</v>
      </c>
      <c r="R4411" s="7">
        <v>47048</v>
      </c>
      <c r="S4411" s="210">
        <v>4.5</v>
      </c>
      <c r="T4411" s="8">
        <v>1.0001249999999999</v>
      </c>
      <c r="U4411" s="98">
        <v>4.5487040109004839</v>
      </c>
      <c r="V4411" s="106">
        <v>38460.058790945324</v>
      </c>
      <c r="W4411" s="10">
        <v>1.2740009764173887</v>
      </c>
      <c r="X4411" s="420"/>
      <c r="Y4411" s="420"/>
    </row>
    <row r="4412" spans="17:25">
      <c r="Q4412" s="6">
        <v>4382</v>
      </c>
      <c r="R4412" s="7">
        <v>47049</v>
      </c>
      <c r="S4412" s="210">
        <v>4.5</v>
      </c>
      <c r="T4412" s="8">
        <v>1.0001249999999999</v>
      </c>
      <c r="U4412" s="98">
        <v>4.5487311932030705</v>
      </c>
      <c r="V4412" s="106">
        <v>38463.366501132637</v>
      </c>
      <c r="W4412" s="10">
        <v>1.2740373209530365</v>
      </c>
      <c r="X4412" s="420"/>
      <c r="Y4412" s="420"/>
    </row>
    <row r="4413" spans="17:25">
      <c r="Q4413" s="6">
        <v>4383</v>
      </c>
      <c r="R4413" s="7">
        <v>47050</v>
      </c>
      <c r="S4413" s="210">
        <v>4.5</v>
      </c>
      <c r="T4413" s="8">
        <v>1.0001249999999999</v>
      </c>
      <c r="U4413" s="98">
        <v>4.5487583631091955</v>
      </c>
      <c r="V4413" s="106">
        <v>38466.674495795509</v>
      </c>
      <c r="W4413" s="10">
        <v>1.2740736489173843</v>
      </c>
      <c r="X4413" s="420"/>
      <c r="Y4413" s="420"/>
    </row>
    <row r="4414" spans="17:25">
      <c r="Q4414" s="6">
        <v>4384</v>
      </c>
      <c r="R4414" s="7">
        <v>47051</v>
      </c>
      <c r="S4414" s="210">
        <v>4.5</v>
      </c>
      <c r="T4414" s="8">
        <v>1.0001249999999999</v>
      </c>
      <c r="U4414" s="98">
        <v>4.5487855206273631</v>
      </c>
      <c r="V4414" s="106">
        <v>38469.982774958407</v>
      </c>
      <c r="W4414" s="10">
        <v>1.2741099603217787</v>
      </c>
      <c r="X4414" s="420"/>
      <c r="Y4414" s="420"/>
    </row>
    <row r="4415" spans="17:25">
      <c r="Q4415" s="6">
        <v>4385</v>
      </c>
      <c r="R4415" s="7">
        <v>47052</v>
      </c>
      <c r="S4415" s="210">
        <v>4.5</v>
      </c>
      <c r="T4415" s="8">
        <v>1.0001249999999999</v>
      </c>
      <c r="U4415" s="98">
        <v>4.5488126657660111</v>
      </c>
      <c r="V4415" s="106">
        <v>38473.291338645795</v>
      </c>
      <c r="W4415" s="10">
        <v>1.274146255177544</v>
      </c>
      <c r="X4415" s="420"/>
      <c r="Y4415" s="420"/>
    </row>
    <row r="4416" spans="17:25">
      <c r="Q4416" s="6">
        <v>4386</v>
      </c>
      <c r="R4416" s="7">
        <v>47053</v>
      </c>
      <c r="S4416" s="210">
        <v>4.5</v>
      </c>
      <c r="T4416" s="8">
        <v>1.0001249999999999</v>
      </c>
      <c r="U4416" s="98">
        <v>4.5488397985336215</v>
      </c>
      <c r="V4416" s="106">
        <v>38476.60018688214</v>
      </c>
      <c r="W4416" s="10">
        <v>1.2741825334960044</v>
      </c>
      <c r="X4416" s="420"/>
      <c r="Y4416" s="420"/>
    </row>
    <row r="4417" spans="17:25">
      <c r="Q4417" s="6">
        <v>4387</v>
      </c>
      <c r="R4417" s="7">
        <v>47054</v>
      </c>
      <c r="S4417" s="210">
        <v>4.5</v>
      </c>
      <c r="T4417" s="8">
        <v>1.0001249999999999</v>
      </c>
      <c r="U4417" s="98">
        <v>4.5488669189386544</v>
      </c>
      <c r="V4417" s="106">
        <v>38479.90931969192</v>
      </c>
      <c r="W4417" s="10">
        <v>1.2742187952884176</v>
      </c>
      <c r="X4417" s="420"/>
      <c r="Y4417" s="420"/>
    </row>
    <row r="4418" spans="17:25">
      <c r="Q4418" s="6">
        <v>4388</v>
      </c>
      <c r="R4418" s="7">
        <v>47055</v>
      </c>
      <c r="S4418" s="210">
        <v>4.5</v>
      </c>
      <c r="T4418" s="8">
        <v>1.0001249999999999</v>
      </c>
      <c r="U4418" s="98">
        <v>4.5488940269895473</v>
      </c>
      <c r="V4418" s="106">
        <v>38483.218737099611</v>
      </c>
      <c r="W4418" s="10">
        <v>1.2742550405661301</v>
      </c>
      <c r="X4418" s="420"/>
      <c r="Y4418" s="420"/>
    </row>
    <row r="4419" spans="17:25">
      <c r="Q4419" s="6">
        <v>4389</v>
      </c>
      <c r="R4419" s="7">
        <v>47056</v>
      </c>
      <c r="S4419" s="210">
        <v>4.5</v>
      </c>
      <c r="T4419" s="8">
        <v>1.0001249999999999</v>
      </c>
      <c r="U4419" s="98">
        <v>4.5489211226947379</v>
      </c>
      <c r="V4419" s="106">
        <v>38486.528439129695</v>
      </c>
      <c r="W4419" s="10">
        <v>1.2742912693403552</v>
      </c>
      <c r="X4419" s="420"/>
      <c r="Y4419" s="420"/>
    </row>
    <row r="4420" spans="17:25">
      <c r="Q4420" s="6">
        <v>4390</v>
      </c>
      <c r="R4420" s="7">
        <v>47057</v>
      </c>
      <c r="S4420" s="210">
        <v>4.5</v>
      </c>
      <c r="T4420" s="8">
        <v>1.0001249999999999</v>
      </c>
      <c r="U4420" s="98">
        <v>4.548948206062664</v>
      </c>
      <c r="V4420" s="106">
        <v>38489.838425806629</v>
      </c>
      <c r="W4420" s="10">
        <v>1.274327481622417</v>
      </c>
      <c r="X4420" s="420"/>
      <c r="Y4420" s="420"/>
    </row>
    <row r="4421" spans="17:25">
      <c r="Q4421" s="6">
        <v>4391</v>
      </c>
      <c r="R4421" s="7">
        <v>47058</v>
      </c>
      <c r="S4421" s="210">
        <v>4.5</v>
      </c>
      <c r="T4421" s="8">
        <v>1.0001249999999999</v>
      </c>
      <c r="U4421" s="98">
        <v>4.5489752771017411</v>
      </c>
      <c r="V4421" s="106">
        <v>38493.148697154917</v>
      </c>
      <c r="W4421" s="10">
        <v>1.274363677423529</v>
      </c>
      <c r="X4421" s="420"/>
      <c r="Y4421" s="420"/>
    </row>
    <row r="4422" spans="17:25">
      <c r="Q4422" s="6">
        <v>4392</v>
      </c>
      <c r="R4422" s="7">
        <v>47059</v>
      </c>
      <c r="S4422" s="210">
        <v>4.5</v>
      </c>
      <c r="T4422" s="8">
        <v>1.0001249999999999</v>
      </c>
      <c r="U4422" s="98">
        <v>4.5490023358204068</v>
      </c>
      <c r="V4422" s="106">
        <v>38496.459253199027</v>
      </c>
      <c r="W4422" s="10">
        <v>1.274399856754993</v>
      </c>
      <c r="X4422" s="420"/>
      <c r="Y4422" s="420"/>
    </row>
    <row r="4423" spans="17:25">
      <c r="Q4423" s="6">
        <v>4393</v>
      </c>
      <c r="R4423" s="7">
        <v>47060</v>
      </c>
      <c r="S4423" s="210">
        <v>4.5</v>
      </c>
      <c r="T4423" s="8">
        <v>1.0001249999999999</v>
      </c>
      <c r="U4423" s="98">
        <v>4.5490293822270544</v>
      </c>
      <c r="V4423" s="106">
        <v>38499.77009396346</v>
      </c>
      <c r="W4423" s="10">
        <v>1.2744360196280002</v>
      </c>
      <c r="X4423" s="420"/>
      <c r="Y4423" s="420"/>
    </row>
    <row r="4424" spans="17:25">
      <c r="Q4424" s="6">
        <v>4394</v>
      </c>
      <c r="R4424" s="7">
        <v>47061</v>
      </c>
      <c r="S4424" s="210">
        <v>4.5</v>
      </c>
      <c r="T4424" s="8">
        <v>1.0001249999999999</v>
      </c>
      <c r="U4424" s="98">
        <v>4.5490564163300773</v>
      </c>
      <c r="V4424" s="106">
        <v>38503.081219472675</v>
      </c>
      <c r="W4424" s="10">
        <v>1.2744721660538083</v>
      </c>
      <c r="X4424" s="420"/>
      <c r="Y4424" s="420"/>
    </row>
    <row r="4425" spans="17:25">
      <c r="Q4425" s="6">
        <v>4395</v>
      </c>
      <c r="R4425" s="7">
        <v>47062</v>
      </c>
      <c r="S4425" s="210">
        <v>4.5</v>
      </c>
      <c r="T4425" s="8">
        <v>1.0001249999999999</v>
      </c>
      <c r="U4425" s="98">
        <v>4.5490834381378686</v>
      </c>
      <c r="V4425" s="106">
        <v>38506.392629751193</v>
      </c>
      <c r="W4425" s="10">
        <v>1.2745082960436083</v>
      </c>
      <c r="X4425" s="420"/>
      <c r="Y4425" s="420"/>
    </row>
    <row r="4426" spans="17:25">
      <c r="Q4426" s="6">
        <v>4396</v>
      </c>
      <c r="R4426" s="7">
        <v>47063</v>
      </c>
      <c r="S4426" s="210">
        <v>4.5</v>
      </c>
      <c r="T4426" s="8">
        <v>1.0001249999999999</v>
      </c>
      <c r="U4426" s="98">
        <v>4.5491104476588218</v>
      </c>
      <c r="V4426" s="106">
        <v>38509.704324823484</v>
      </c>
      <c r="W4426" s="10">
        <v>1.2745444096086134</v>
      </c>
      <c r="X4426" s="420"/>
      <c r="Y4426" s="420"/>
    </row>
    <row r="4427" spans="17:25">
      <c r="Q4427" s="6">
        <v>4397</v>
      </c>
      <c r="R4427" s="7">
        <v>47064</v>
      </c>
      <c r="S4427" s="210">
        <v>4.5</v>
      </c>
      <c r="T4427" s="8">
        <v>1.0001249999999999</v>
      </c>
      <c r="U4427" s="98">
        <v>4.54913744490133</v>
      </c>
      <c r="V4427" s="106">
        <v>38513.016304714052</v>
      </c>
      <c r="W4427" s="10">
        <v>1.2745805067600591</v>
      </c>
      <c r="X4427" s="420"/>
      <c r="Y4427" s="420"/>
    </row>
    <row r="4428" spans="17:25">
      <c r="Q4428" s="6">
        <v>4398</v>
      </c>
      <c r="R4428" s="7">
        <v>47065</v>
      </c>
      <c r="S4428" s="210">
        <v>4.5</v>
      </c>
      <c r="T4428" s="8">
        <v>1.0001249999999999</v>
      </c>
      <c r="U4428" s="98">
        <v>4.5491644298737421</v>
      </c>
      <c r="V4428" s="106">
        <v>38516.328569447389</v>
      </c>
      <c r="W4428" s="10">
        <v>1.274616587509092</v>
      </c>
      <c r="X4428" s="420"/>
      <c r="Y4428" s="420"/>
    </row>
    <row r="4429" spans="17:25">
      <c r="Q4429" s="6">
        <v>4399</v>
      </c>
      <c r="R4429" s="7">
        <v>47066</v>
      </c>
      <c r="S4429" s="210">
        <v>4.5</v>
      </c>
      <c r="T4429" s="8">
        <v>1.0001249999999999</v>
      </c>
      <c r="U4429" s="98">
        <v>4.5491914025844293</v>
      </c>
      <c r="V4429" s="106">
        <v>38519.641119047985</v>
      </c>
      <c r="W4429" s="10">
        <v>1.2746526518669032</v>
      </c>
      <c r="X4429" s="420"/>
      <c r="Y4429" s="420"/>
    </row>
    <row r="4430" spans="17:25">
      <c r="Q4430" s="6">
        <v>4400</v>
      </c>
      <c r="R4430" s="7">
        <v>47067</v>
      </c>
      <c r="S4430" s="210">
        <v>4.5</v>
      </c>
      <c r="T4430" s="8">
        <v>1.0001249999999999</v>
      </c>
      <c r="U4430" s="98">
        <v>4.5492183630417404</v>
      </c>
      <c r="V4430" s="106">
        <v>38522.953953540353</v>
      </c>
      <c r="W4430" s="10">
        <v>1.2746886998446394</v>
      </c>
      <c r="X4430" s="420"/>
      <c r="Y4430" s="420"/>
    </row>
    <row r="4431" spans="17:25">
      <c r="Q4431" s="6">
        <v>4401</v>
      </c>
      <c r="R4431" s="7">
        <v>47068</v>
      </c>
      <c r="S4431" s="210">
        <v>4.5</v>
      </c>
      <c r="T4431" s="8">
        <v>1.0001249999999999</v>
      </c>
      <c r="U4431" s="98">
        <v>4.5492453112540465</v>
      </c>
      <c r="V4431" s="106">
        <v>38526.267072948984</v>
      </c>
      <c r="W4431" s="10">
        <v>1.2747247314534915</v>
      </c>
      <c r="X4431" s="420"/>
      <c r="Y4431" s="420"/>
    </row>
    <row r="4432" spans="17:25">
      <c r="Q4432" s="6">
        <v>4402</v>
      </c>
      <c r="R4432" s="7">
        <v>47069</v>
      </c>
      <c r="S4432" s="210">
        <v>4.5</v>
      </c>
      <c r="T4432" s="8">
        <v>1.0001249999999999</v>
      </c>
      <c r="U4432" s="98">
        <v>4.5492722472296743</v>
      </c>
      <c r="V4432" s="106">
        <v>38529.58047729839</v>
      </c>
      <c r="W4432" s="10">
        <v>1.2747607467046063</v>
      </c>
      <c r="X4432" s="420"/>
      <c r="Y4432" s="420"/>
    </row>
    <row r="4433" spans="17:25">
      <c r="Q4433" s="6">
        <v>4403</v>
      </c>
      <c r="R4433" s="7">
        <v>47070</v>
      </c>
      <c r="S4433" s="210">
        <v>4.5</v>
      </c>
      <c r="T4433" s="8">
        <v>1.0001249999999999</v>
      </c>
      <c r="U4433" s="98">
        <v>4.5492991709769504</v>
      </c>
      <c r="V4433" s="106">
        <v>38532.89416661307</v>
      </c>
      <c r="W4433" s="10">
        <v>1.2747967456091081</v>
      </c>
      <c r="X4433" s="420"/>
      <c r="Y4433" s="420"/>
    </row>
    <row r="4434" spans="17:25">
      <c r="Q4434" s="6">
        <v>4404</v>
      </c>
      <c r="R4434" s="7">
        <v>47071</v>
      </c>
      <c r="S4434" s="210">
        <v>4.5</v>
      </c>
      <c r="T4434" s="8">
        <v>1.0001249999999999</v>
      </c>
      <c r="U4434" s="98">
        <v>4.5493260825042015</v>
      </c>
      <c r="V4434" s="106">
        <v>38536.208140917544</v>
      </c>
      <c r="W4434" s="10">
        <v>1.2748327281780991</v>
      </c>
      <c r="X4434" s="420"/>
      <c r="Y4434" s="420"/>
    </row>
    <row r="4435" spans="17:25">
      <c r="Q4435" s="6">
        <v>4405</v>
      </c>
      <c r="R4435" s="7">
        <v>47072</v>
      </c>
      <c r="S4435" s="210">
        <v>4.5</v>
      </c>
      <c r="T4435" s="8">
        <v>1.0001249999999999</v>
      </c>
      <c r="U4435" s="98">
        <v>4.5493529818197542</v>
      </c>
      <c r="V4435" s="106">
        <v>38539.522400236303</v>
      </c>
      <c r="W4435" s="10">
        <v>1.2748686944227261</v>
      </c>
      <c r="X4435" s="420"/>
      <c r="Y4435" s="420"/>
    </row>
    <row r="4436" spans="17:25">
      <c r="Q4436" s="6">
        <v>4406</v>
      </c>
      <c r="R4436" s="7">
        <v>47073</v>
      </c>
      <c r="S4436" s="210">
        <v>4.5</v>
      </c>
      <c r="T4436" s="8">
        <v>1.0001249999999999</v>
      </c>
      <c r="U4436" s="98">
        <v>4.5493798689318909</v>
      </c>
      <c r="V4436" s="106">
        <v>38542.836944593881</v>
      </c>
      <c r="W4436" s="10">
        <v>1.274904644354069</v>
      </c>
      <c r="X4436" s="420"/>
      <c r="Y4436" s="420"/>
    </row>
    <row r="4437" spans="17:25">
      <c r="Q4437" s="6">
        <v>4407</v>
      </c>
      <c r="R4437" s="7">
        <v>47074</v>
      </c>
      <c r="S4437" s="210">
        <v>4.5</v>
      </c>
      <c r="T4437" s="8">
        <v>1.0001249999999999</v>
      </c>
      <c r="U4437" s="98">
        <v>4.5494067438489383</v>
      </c>
      <c r="V4437" s="106">
        <v>38546.151774014768</v>
      </c>
      <c r="W4437" s="10">
        <v>1.2749405779832523</v>
      </c>
      <c r="X4437" s="420"/>
      <c r="Y4437" s="420"/>
    </row>
    <row r="4438" spans="17:25">
      <c r="Q4438" s="6">
        <v>4408</v>
      </c>
      <c r="R4438" s="7">
        <v>47075</v>
      </c>
      <c r="S4438" s="210">
        <v>4.5</v>
      </c>
      <c r="T4438" s="8">
        <v>1.0001249999999999</v>
      </c>
      <c r="U4438" s="98">
        <v>4.5494336065792007</v>
      </c>
      <c r="V4438" s="106">
        <v>38549.466888523508</v>
      </c>
      <c r="W4438" s="10">
        <v>1.2749764953213782</v>
      </c>
      <c r="X4438" s="420"/>
      <c r="Y4438" s="420"/>
    </row>
    <row r="4439" spans="17:25">
      <c r="Q4439" s="6">
        <v>4409</v>
      </c>
      <c r="R4439" s="7">
        <v>47076</v>
      </c>
      <c r="S4439" s="210">
        <v>4.5</v>
      </c>
      <c r="T4439" s="8">
        <v>1.0001249999999999</v>
      </c>
      <c r="U4439" s="98">
        <v>4.5494604571309383</v>
      </c>
      <c r="V4439" s="106">
        <v>38552.782288144597</v>
      </c>
      <c r="W4439" s="10">
        <v>1.2750123963794602</v>
      </c>
      <c r="X4439" s="420"/>
      <c r="Y4439" s="420"/>
    </row>
    <row r="4440" spans="17:25">
      <c r="Q4440" s="6">
        <v>4410</v>
      </c>
      <c r="R4440" s="7">
        <v>47077</v>
      </c>
      <c r="S4440" s="210">
        <v>4.5</v>
      </c>
      <c r="T4440" s="8">
        <v>1.0001249999999999</v>
      </c>
      <c r="U4440" s="98">
        <v>4.5494872955124555</v>
      </c>
      <c r="V4440" s="106">
        <v>38556.097972902564</v>
      </c>
      <c r="W4440" s="10">
        <v>1.2750482811686226</v>
      </c>
      <c r="X4440" s="420"/>
      <c r="Y4440" s="420"/>
    </row>
    <row r="4441" spans="17:25">
      <c r="Q4441" s="6">
        <v>4411</v>
      </c>
      <c r="R4441" s="7">
        <v>47078</v>
      </c>
      <c r="S4441" s="210">
        <v>4.5</v>
      </c>
      <c r="T4441" s="8">
        <v>1.0001249999999999</v>
      </c>
      <c r="U4441" s="98">
        <v>4.5495141217320123</v>
      </c>
      <c r="V4441" s="106">
        <v>38559.413942821935</v>
      </c>
      <c r="W4441" s="10">
        <v>1.2750841496998788</v>
      </c>
      <c r="X4441" s="420"/>
      <c r="Y4441" s="420"/>
    </row>
    <row r="4442" spans="17:25">
      <c r="Q4442" s="6">
        <v>4412</v>
      </c>
      <c r="R4442" s="7">
        <v>47079</v>
      </c>
      <c r="S4442" s="210">
        <v>4.5</v>
      </c>
      <c r="T4442" s="8">
        <v>1.0001249999999999</v>
      </c>
      <c r="U4442" s="98">
        <v>4.5495409357978911</v>
      </c>
      <c r="V4442" s="106">
        <v>38562.730197927231</v>
      </c>
      <c r="W4442" s="10">
        <v>1.2751200019843312</v>
      </c>
      <c r="X4442" s="420"/>
      <c r="Y4442" s="420"/>
    </row>
    <row r="4443" spans="17:25">
      <c r="Q4443" s="6">
        <v>4413</v>
      </c>
      <c r="R4443" s="7">
        <v>47080</v>
      </c>
      <c r="S4443" s="210">
        <v>4.5</v>
      </c>
      <c r="T4443" s="8">
        <v>1.0001249999999999</v>
      </c>
      <c r="U4443" s="98">
        <v>4.5495677377183297</v>
      </c>
      <c r="V4443" s="106">
        <v>38566.046738242985</v>
      </c>
      <c r="W4443" s="10">
        <v>1.2751558380329486</v>
      </c>
      <c r="X4443" s="420"/>
      <c r="Y4443" s="420"/>
    </row>
    <row r="4444" spans="17:25">
      <c r="Q4444" s="6">
        <v>4414</v>
      </c>
      <c r="R4444" s="7">
        <v>47081</v>
      </c>
      <c r="S4444" s="210">
        <v>4.5</v>
      </c>
      <c r="T4444" s="8">
        <v>1.0001249999999999</v>
      </c>
      <c r="U4444" s="98">
        <v>4.5495945275015881</v>
      </c>
      <c r="V4444" s="106">
        <v>38569.363563793719</v>
      </c>
      <c r="W4444" s="10">
        <v>1.2751916578568112</v>
      </c>
      <c r="X4444" s="420"/>
      <c r="Y4444" s="420"/>
    </row>
    <row r="4445" spans="17:25">
      <c r="Q4445" s="6">
        <v>4415</v>
      </c>
      <c r="R4445" s="7">
        <v>47082</v>
      </c>
      <c r="S4445" s="210">
        <v>4.5</v>
      </c>
      <c r="T4445" s="8">
        <v>1.0001249999999999</v>
      </c>
      <c r="U4445" s="98">
        <v>4.5496213051559042</v>
      </c>
      <c r="V4445" s="106">
        <v>38572.680674603958</v>
      </c>
      <c r="W4445" s="10">
        <v>1.2752274614669323</v>
      </c>
      <c r="X4445" s="420"/>
      <c r="Y4445" s="420"/>
    </row>
    <row r="4446" spans="17:25">
      <c r="Q4446" s="6">
        <v>4416</v>
      </c>
      <c r="R4446" s="7">
        <v>47083</v>
      </c>
      <c r="S4446" s="210">
        <v>4.5</v>
      </c>
      <c r="T4446" s="8">
        <v>1.0001249999999999</v>
      </c>
      <c r="U4446" s="98">
        <v>4.5496480706894937</v>
      </c>
      <c r="V4446" s="106">
        <v>38575.998070698253</v>
      </c>
      <c r="W4446" s="10">
        <v>1.2752632488742588</v>
      </c>
      <c r="X4446" s="420"/>
      <c r="Y4446" s="420"/>
    </row>
    <row r="4447" spans="17:25">
      <c r="Q4447" s="6">
        <v>4417</v>
      </c>
      <c r="R4447" s="7">
        <v>47084</v>
      </c>
      <c r="S4447" s="210">
        <v>4.5</v>
      </c>
      <c r="T4447" s="8">
        <v>1.0001249999999999</v>
      </c>
      <c r="U4447" s="98">
        <v>4.5496748241106166</v>
      </c>
      <c r="V4447" s="106">
        <v>38579.315752101131</v>
      </c>
      <c r="W4447" s="10">
        <v>1.2752990200898484</v>
      </c>
      <c r="X4447" s="420"/>
      <c r="Y4447" s="420"/>
    </row>
    <row r="4448" spans="17:25">
      <c r="Q4448" s="6">
        <v>4418</v>
      </c>
      <c r="R4448" s="7">
        <v>47085</v>
      </c>
      <c r="S4448" s="210">
        <v>4.5</v>
      </c>
      <c r="T4448" s="8">
        <v>1.0001249999999999</v>
      </c>
      <c r="U4448" s="98">
        <v>4.5497015654274664</v>
      </c>
      <c r="V4448" s="106">
        <v>38582.633718837118</v>
      </c>
      <c r="W4448" s="10">
        <v>1.275334775124648</v>
      </c>
      <c r="X4448" s="420"/>
      <c r="Y4448" s="420"/>
    </row>
    <row r="4449" spans="17:25">
      <c r="Q4449" s="6">
        <v>4419</v>
      </c>
      <c r="R4449" s="7">
        <v>47086</v>
      </c>
      <c r="S4449" s="210">
        <v>4.5</v>
      </c>
      <c r="T4449" s="8">
        <v>1.0001249999999999</v>
      </c>
      <c r="U4449" s="98">
        <v>4.5497282946482809</v>
      </c>
      <c r="V4449" s="106">
        <v>38585.951970930771</v>
      </c>
      <c r="W4449" s="10">
        <v>1.2753705139896487</v>
      </c>
      <c r="X4449" s="420"/>
      <c r="Y4449" s="420"/>
    </row>
    <row r="4450" spans="17:25">
      <c r="Q4450" s="6">
        <v>4420</v>
      </c>
      <c r="R4450" s="7">
        <v>47087</v>
      </c>
      <c r="S4450" s="210">
        <v>4.5</v>
      </c>
      <c r="T4450" s="8">
        <v>1.0001249999999999</v>
      </c>
      <c r="U4450" s="98">
        <v>4.5497550117812535</v>
      </c>
      <c r="V4450" s="106">
        <v>38589.270508406633</v>
      </c>
      <c r="W4450" s="10">
        <v>1.2754062366958419</v>
      </c>
      <c r="X4450" s="420"/>
      <c r="Y4450" s="420"/>
    </row>
    <row r="4451" spans="17:25">
      <c r="Q4451" s="6">
        <v>4421</v>
      </c>
      <c r="R4451" s="7">
        <v>47088</v>
      </c>
      <c r="S4451" s="210">
        <v>4.5</v>
      </c>
      <c r="T4451" s="8">
        <v>1.0001249999999999</v>
      </c>
      <c r="U4451" s="98">
        <v>4.5497817168345778</v>
      </c>
      <c r="V4451" s="106">
        <v>38592.589331289237</v>
      </c>
      <c r="W4451" s="10">
        <v>1.2754419432541519</v>
      </c>
      <c r="X4451" s="420"/>
      <c r="Y4451" s="420"/>
    </row>
    <row r="4452" spans="17:25">
      <c r="Q4452" s="6">
        <v>4422</v>
      </c>
      <c r="R4452" s="7">
        <v>47089</v>
      </c>
      <c r="S4452" s="210">
        <v>4.5</v>
      </c>
      <c r="T4452" s="8">
        <v>1.0001249999999999</v>
      </c>
      <c r="U4452" s="98">
        <v>4.5498084098164471</v>
      </c>
      <c r="V4452" s="106">
        <v>38595.908439603125</v>
      </c>
      <c r="W4452" s="10">
        <v>1.2754776336755258</v>
      </c>
      <c r="X4452" s="420"/>
      <c r="Y4452" s="420"/>
    </row>
    <row r="4453" spans="17:25">
      <c r="Q4453" s="6">
        <v>4423</v>
      </c>
      <c r="R4453" s="7">
        <v>47090</v>
      </c>
      <c r="S4453" s="210">
        <v>4.5</v>
      </c>
      <c r="T4453" s="8">
        <v>1.0001249999999999</v>
      </c>
      <c r="U4453" s="98">
        <v>4.5498350907350549</v>
      </c>
      <c r="V4453" s="106">
        <v>38599.227833372861</v>
      </c>
      <c r="W4453" s="10">
        <v>1.2755133079709324</v>
      </c>
      <c r="X4453" s="420"/>
      <c r="Y4453" s="420"/>
    </row>
    <row r="4454" spans="17:25">
      <c r="Q4454" s="6">
        <v>4424</v>
      </c>
      <c r="R4454" s="7">
        <v>47091</v>
      </c>
      <c r="S4454" s="210">
        <v>4.5</v>
      </c>
      <c r="T4454" s="8">
        <v>1.0001249999999999</v>
      </c>
      <c r="U4454" s="98">
        <v>4.5498617595985724</v>
      </c>
      <c r="V4454" s="106">
        <v>38602.547512622987</v>
      </c>
      <c r="W4454" s="10">
        <v>1.275548966151252</v>
      </c>
      <c r="X4454" s="420"/>
      <c r="Y4454" s="420"/>
    </row>
    <row r="4455" spans="17:25">
      <c r="Q4455" s="6">
        <v>4425</v>
      </c>
      <c r="R4455" s="7">
        <v>47092</v>
      </c>
      <c r="S4455" s="210">
        <v>4.5</v>
      </c>
      <c r="T4455" s="8">
        <v>1.0001249999999999</v>
      </c>
      <c r="U4455" s="98">
        <v>4.5498884164151709</v>
      </c>
      <c r="V4455" s="106">
        <v>38605.867477378051</v>
      </c>
      <c r="W4455" s="10">
        <v>1.2755846082274536</v>
      </c>
      <c r="X4455" s="420"/>
      <c r="Y4455" s="420"/>
    </row>
    <row r="4456" spans="17:25">
      <c r="Q4456" s="6">
        <v>4426</v>
      </c>
      <c r="R4456" s="7">
        <v>47093</v>
      </c>
      <c r="S4456" s="210">
        <v>4.5</v>
      </c>
      <c r="T4456" s="8">
        <v>1.0001249999999999</v>
      </c>
      <c r="U4456" s="98">
        <v>4.5499150611929995</v>
      </c>
      <c r="V4456" s="106">
        <v>38609.187727662611</v>
      </c>
      <c r="W4456" s="10">
        <v>1.2756202342104173</v>
      </c>
      <c r="X4456" s="420"/>
      <c r="Y4456" s="420"/>
    </row>
    <row r="4457" spans="17:25">
      <c r="Q4457" s="6">
        <v>4427</v>
      </c>
      <c r="R4457" s="7">
        <v>47094</v>
      </c>
      <c r="S4457" s="210">
        <v>4.5</v>
      </c>
      <c r="T4457" s="8">
        <v>1.0001249999999999</v>
      </c>
      <c r="U4457" s="98">
        <v>4.5499416939402071</v>
      </c>
      <c r="V4457" s="106">
        <v>38612.50826350123</v>
      </c>
      <c r="W4457" s="10">
        <v>1.2756558441110233</v>
      </c>
      <c r="X4457" s="420"/>
      <c r="Y4457" s="420"/>
    </row>
    <row r="4458" spans="17:25">
      <c r="Q4458" s="6">
        <v>4428</v>
      </c>
      <c r="R4458" s="7">
        <v>47095</v>
      </c>
      <c r="S4458" s="210">
        <v>4.5</v>
      </c>
      <c r="T4458" s="8">
        <v>1.0001249999999999</v>
      </c>
      <c r="U4458" s="98">
        <v>4.549968314664965</v>
      </c>
      <c r="V4458" s="106">
        <v>38615.829084918456</v>
      </c>
      <c r="W4458" s="10">
        <v>1.2756914379401962</v>
      </c>
      <c r="X4458" s="420"/>
      <c r="Y4458" s="420"/>
    </row>
    <row r="4459" spans="17:25">
      <c r="Q4459" s="6">
        <v>4429</v>
      </c>
      <c r="R4459" s="7">
        <v>47096</v>
      </c>
      <c r="S4459" s="210">
        <v>4.5</v>
      </c>
      <c r="T4459" s="8">
        <v>1.0001249999999999</v>
      </c>
      <c r="U4459" s="98">
        <v>4.5499949233753778</v>
      </c>
      <c r="V4459" s="106">
        <v>38619.150191938868</v>
      </c>
      <c r="W4459" s="10">
        <v>1.2757270157087719</v>
      </c>
      <c r="X4459" s="420"/>
      <c r="Y4459" s="420"/>
    </row>
    <row r="4460" spans="17:25">
      <c r="Q4460" s="6">
        <v>4430</v>
      </c>
      <c r="R4460" s="7">
        <v>47097</v>
      </c>
      <c r="S4460" s="210">
        <v>4.5</v>
      </c>
      <c r="T4460" s="8">
        <v>1.0001249999999999</v>
      </c>
      <c r="U4460" s="98">
        <v>4.5500215200796168</v>
      </c>
      <c r="V4460" s="106">
        <v>38622.471584587001</v>
      </c>
      <c r="W4460" s="10">
        <v>1.2757625774276526</v>
      </c>
      <c r="X4460" s="420"/>
      <c r="Y4460" s="420"/>
    </row>
    <row r="4461" spans="17:25">
      <c r="Q4461" s="6">
        <v>4431</v>
      </c>
      <c r="R4461" s="7">
        <v>47098</v>
      </c>
      <c r="S4461" s="210">
        <v>4.5</v>
      </c>
      <c r="T4461" s="8">
        <v>1.0001249999999999</v>
      </c>
      <c r="U4461" s="98">
        <v>4.5500481047857644</v>
      </c>
      <c r="V4461" s="106">
        <v>38625.793262887441</v>
      </c>
      <c r="W4461" s="10">
        <v>1.2757981231076521</v>
      </c>
      <c r="X4461" s="420"/>
      <c r="Y4461" s="420"/>
    </row>
    <row r="4462" spans="17:25">
      <c r="Q4462" s="6">
        <v>4432</v>
      </c>
      <c r="R4462" s="7">
        <v>47099</v>
      </c>
      <c r="S4462" s="210">
        <v>4.5</v>
      </c>
      <c r="T4462" s="8">
        <v>1.0001249999999999</v>
      </c>
      <c r="U4462" s="98">
        <v>4.5500746775019696</v>
      </c>
      <c r="V4462" s="106">
        <v>38629.115226864749</v>
      </c>
      <c r="W4462" s="10">
        <v>1.2758336527596947</v>
      </c>
      <c r="X4462" s="420"/>
      <c r="Y4462" s="420"/>
    </row>
    <row r="4463" spans="17:25">
      <c r="Q4463" s="6">
        <v>4433</v>
      </c>
      <c r="R4463" s="7">
        <v>47100</v>
      </c>
      <c r="S4463" s="210">
        <v>4.5</v>
      </c>
      <c r="T4463" s="8">
        <v>1.0001249999999999</v>
      </c>
      <c r="U4463" s="98">
        <v>4.5501012382363371</v>
      </c>
      <c r="V4463" s="106">
        <v>38632.437476543499</v>
      </c>
      <c r="W4463" s="10">
        <v>1.2758691663945498</v>
      </c>
      <c r="X4463" s="420"/>
      <c r="Y4463" s="420"/>
    </row>
    <row r="4464" spans="17:25">
      <c r="Q4464" s="6">
        <v>4434</v>
      </c>
      <c r="R4464" s="7">
        <v>47101</v>
      </c>
      <c r="S4464" s="210">
        <v>4.5</v>
      </c>
      <c r="T4464" s="8">
        <v>1.0001249999999999</v>
      </c>
      <c r="U4464" s="98">
        <v>4.5501277869969492</v>
      </c>
      <c r="V4464" s="106">
        <v>38635.760011948252</v>
      </c>
      <c r="W4464" s="10">
        <v>1.2759046640230531</v>
      </c>
      <c r="X4464" s="420"/>
      <c r="Y4464" s="420"/>
    </row>
    <row r="4465" spans="17:25">
      <c r="Q4465" s="6">
        <v>4435</v>
      </c>
      <c r="R4465" s="7">
        <v>47102</v>
      </c>
      <c r="S4465" s="210">
        <v>4.5</v>
      </c>
      <c r="T4465" s="8">
        <v>1.0001249999999999</v>
      </c>
      <c r="U4465" s="98">
        <v>4.5501543237919106</v>
      </c>
      <c r="V4465" s="106">
        <v>38639.082833103588</v>
      </c>
      <c r="W4465" s="10">
        <v>1.2759401456560626</v>
      </c>
      <c r="X4465" s="420"/>
      <c r="Y4465" s="420"/>
    </row>
    <row r="4466" spans="17:25">
      <c r="Q4466" s="6">
        <v>4436</v>
      </c>
      <c r="R4466" s="7">
        <v>47103</v>
      </c>
      <c r="S4466" s="210">
        <v>4.5</v>
      </c>
      <c r="T4466" s="8">
        <v>1.0001249999999999</v>
      </c>
      <c r="U4466" s="98">
        <v>4.550180848629326</v>
      </c>
      <c r="V4466" s="106">
        <v>38642.405940034078</v>
      </c>
      <c r="W4466" s="10">
        <v>1.2759756113043697</v>
      </c>
      <c r="X4466" s="420"/>
      <c r="Y4466" s="420"/>
    </row>
    <row r="4467" spans="17:25">
      <c r="Q4467" s="6">
        <v>4437</v>
      </c>
      <c r="R4467" s="7">
        <v>47104</v>
      </c>
      <c r="S4467" s="210">
        <v>4.5</v>
      </c>
      <c r="T4467" s="8">
        <v>1.0001249999999999</v>
      </c>
      <c r="U4467" s="98">
        <v>4.5502073615172556</v>
      </c>
      <c r="V4467" s="106">
        <v>38645.729332764313</v>
      </c>
      <c r="W4467" s="10">
        <v>1.2760110609787434</v>
      </c>
      <c r="X4467" s="420"/>
      <c r="Y4467" s="420"/>
    </row>
    <row r="4468" spans="17:25">
      <c r="Q4468" s="6">
        <v>4438</v>
      </c>
      <c r="R4468" s="7">
        <v>47105</v>
      </c>
      <c r="S4468" s="210">
        <v>4.5</v>
      </c>
      <c r="T4468" s="8">
        <v>1.0001249999999999</v>
      </c>
      <c r="U4468" s="98">
        <v>4.5502338624637817</v>
      </c>
      <c r="V4468" s="106">
        <v>38649.053011318858</v>
      </c>
      <c r="W4468" s="10">
        <v>1.2760464946900196</v>
      </c>
      <c r="X4468" s="420"/>
      <c r="Y4468" s="420"/>
    </row>
    <row r="4469" spans="17:25">
      <c r="Q4469" s="6">
        <v>4439</v>
      </c>
      <c r="R4469" s="7">
        <v>47106</v>
      </c>
      <c r="S4469" s="210">
        <v>4.5</v>
      </c>
      <c r="T4469" s="8">
        <v>1.0001249999999999</v>
      </c>
      <c r="U4469" s="98">
        <v>4.5502603514769646</v>
      </c>
      <c r="V4469" s="106">
        <v>38652.376975722313</v>
      </c>
      <c r="W4469" s="10">
        <v>1.2760819124489453</v>
      </c>
      <c r="X4469" s="420"/>
      <c r="Y4469" s="420"/>
    </row>
    <row r="4470" spans="17:25">
      <c r="Q4470" s="6">
        <v>4440</v>
      </c>
      <c r="R4470" s="7">
        <v>47107</v>
      </c>
      <c r="S4470" s="210">
        <v>4.5</v>
      </c>
      <c r="T4470" s="8">
        <v>1.0001249999999999</v>
      </c>
      <c r="U4470" s="98">
        <v>4.5502868285648645</v>
      </c>
      <c r="V4470" s="106">
        <v>38655.701225999233</v>
      </c>
      <c r="W4470" s="10">
        <v>1.2761173142663118</v>
      </c>
      <c r="X4470" s="420"/>
      <c r="Y4470" s="420"/>
    </row>
    <row r="4471" spans="17:25">
      <c r="Q4471" s="6">
        <v>4441</v>
      </c>
      <c r="R4471" s="7">
        <v>47108</v>
      </c>
      <c r="S4471" s="210">
        <v>4.5</v>
      </c>
      <c r="T4471" s="8">
        <v>1.0001249999999999</v>
      </c>
      <c r="U4471" s="98">
        <v>4.5503132937355417</v>
      </c>
      <c r="V4471" s="106">
        <v>38659.025762174228</v>
      </c>
      <c r="W4471" s="10">
        <v>1.2761527001528661</v>
      </c>
      <c r="X4471" s="420"/>
      <c r="Y4471" s="420"/>
    </row>
    <row r="4472" spans="17:25">
      <c r="Q4472" s="6">
        <v>4442</v>
      </c>
      <c r="R4472" s="7">
        <v>47109</v>
      </c>
      <c r="S4472" s="210">
        <v>4.5</v>
      </c>
      <c r="T4472" s="8">
        <v>1.0001249999999999</v>
      </c>
      <c r="U4472" s="98">
        <v>4.5503397469970341</v>
      </c>
      <c r="V4472" s="106">
        <v>38662.350584271881</v>
      </c>
      <c r="W4472" s="10">
        <v>1.2761880701193773</v>
      </c>
      <c r="X4472" s="420"/>
      <c r="Y4472" s="420"/>
    </row>
    <row r="4473" spans="17:25">
      <c r="Q4473" s="6">
        <v>4443</v>
      </c>
      <c r="R4473" s="7">
        <v>47110</v>
      </c>
      <c r="S4473" s="210">
        <v>4.5</v>
      </c>
      <c r="T4473" s="8">
        <v>1.0001249999999999</v>
      </c>
      <c r="U4473" s="98">
        <v>4.5503661883573798</v>
      </c>
      <c r="V4473" s="106">
        <v>38665.675692316778</v>
      </c>
      <c r="W4473" s="10">
        <v>1.2762234241765702</v>
      </c>
      <c r="X4473" s="420"/>
      <c r="Y4473" s="420"/>
    </row>
    <row r="4474" spans="17:25">
      <c r="Q4474" s="6">
        <v>4444</v>
      </c>
      <c r="R4474" s="7">
        <v>47111</v>
      </c>
      <c r="S4474" s="210">
        <v>4.5</v>
      </c>
      <c r="T4474" s="8">
        <v>1.0001249999999999</v>
      </c>
      <c r="U4474" s="98">
        <v>4.5503926178245946</v>
      </c>
      <c r="V4474" s="106">
        <v>38669.001086333519</v>
      </c>
      <c r="W4474" s="10">
        <v>1.2762587623351695</v>
      </c>
      <c r="X4474" s="420"/>
      <c r="Y4474" s="420"/>
    </row>
    <row r="4475" spans="17:25">
      <c r="Q4475" s="6">
        <v>4445</v>
      </c>
      <c r="R4475" s="7">
        <v>47112</v>
      </c>
      <c r="S4475" s="210">
        <v>4.5</v>
      </c>
      <c r="T4475" s="8">
        <v>1.0001249999999999</v>
      </c>
      <c r="U4475" s="98">
        <v>4.5504190354067164</v>
      </c>
      <c r="V4475" s="106">
        <v>38672.32676634669</v>
      </c>
      <c r="W4475" s="10">
        <v>1.2762940846059001</v>
      </c>
      <c r="X4475" s="420"/>
      <c r="Y4475" s="420"/>
    </row>
    <row r="4476" spans="17:25">
      <c r="Q4476" s="6">
        <v>4446</v>
      </c>
      <c r="R4476" s="7">
        <v>47113</v>
      </c>
      <c r="S4476" s="210">
        <v>4.5</v>
      </c>
      <c r="T4476" s="8">
        <v>1.0001249999999999</v>
      </c>
      <c r="U4476" s="98">
        <v>4.5504454411117612</v>
      </c>
      <c r="V4476" s="106">
        <v>38675.652732380891</v>
      </c>
      <c r="W4476" s="10">
        <v>1.2763293909994866</v>
      </c>
      <c r="X4476" s="420"/>
      <c r="Y4476" s="420"/>
    </row>
    <row r="4477" spans="17:25">
      <c r="Q4477" s="6">
        <v>4447</v>
      </c>
      <c r="R4477" s="7">
        <v>47114</v>
      </c>
      <c r="S4477" s="210">
        <v>4.5</v>
      </c>
      <c r="T4477" s="8">
        <v>1.0001249999999999</v>
      </c>
      <c r="U4477" s="98">
        <v>4.5504718349477224</v>
      </c>
      <c r="V4477" s="106">
        <v>38678.978984460722</v>
      </c>
      <c r="W4477" s="10">
        <v>1.2763646815266316</v>
      </c>
      <c r="X4477" s="420"/>
      <c r="Y4477" s="420"/>
    </row>
    <row r="4478" spans="17:25">
      <c r="Q4478" s="6">
        <v>4448</v>
      </c>
      <c r="R4478" s="7">
        <v>47115</v>
      </c>
      <c r="S4478" s="210">
        <v>4.5</v>
      </c>
      <c r="T4478" s="8">
        <v>1.0001249999999999</v>
      </c>
      <c r="U4478" s="98">
        <v>4.550498216922616</v>
      </c>
      <c r="V4478" s="106">
        <v>38682.30552261079</v>
      </c>
      <c r="W4478" s="10">
        <v>1.2763999561980155</v>
      </c>
      <c r="X4478" s="420"/>
      <c r="Y4478" s="420"/>
    </row>
    <row r="4479" spans="17:25">
      <c r="Q4479" s="6">
        <v>4449</v>
      </c>
      <c r="R4479" s="7">
        <v>47116</v>
      </c>
      <c r="S4479" s="210">
        <v>4.5</v>
      </c>
      <c r="T4479" s="8">
        <v>1.0001249999999999</v>
      </c>
      <c r="U4479" s="98">
        <v>4.5505245870444355</v>
      </c>
      <c r="V4479" s="106">
        <v>38685.63234685568</v>
      </c>
      <c r="W4479" s="10">
        <v>1.276435215024363</v>
      </c>
      <c r="X4479" s="420"/>
      <c r="Y4479" s="420"/>
    </row>
    <row r="4480" spans="17:25">
      <c r="Q4480" s="6">
        <v>4450</v>
      </c>
      <c r="R4480" s="7">
        <v>47117</v>
      </c>
      <c r="S4480" s="210">
        <v>4.5</v>
      </c>
      <c r="T4480" s="8">
        <v>1.0001249999999999</v>
      </c>
      <c r="U4480" s="98">
        <v>4.5505509453211523</v>
      </c>
      <c r="V4480" s="106">
        <v>38688.959457220015</v>
      </c>
      <c r="W4480" s="10">
        <v>1.2764704580162656</v>
      </c>
      <c r="X4480" s="420"/>
      <c r="Y4480" s="420"/>
    </row>
    <row r="4481" spans="17:25">
      <c r="Q4481" s="6">
        <v>4451</v>
      </c>
      <c r="R4481" s="7">
        <v>47118</v>
      </c>
      <c r="S4481" s="210">
        <v>4.5</v>
      </c>
      <c r="T4481" s="8">
        <v>1.0001249999999999</v>
      </c>
      <c r="U4481" s="98">
        <v>4.5505772917607601</v>
      </c>
      <c r="V4481" s="106">
        <v>38692.286853728401</v>
      </c>
      <c r="W4481" s="10">
        <v>1.2765056851844703</v>
      </c>
      <c r="X4481" s="420"/>
      <c r="Y4481" s="420"/>
    </row>
    <row r="4482" spans="17:25">
      <c r="Q4482" s="6">
        <v>4452</v>
      </c>
      <c r="R4482" s="7">
        <v>47119</v>
      </c>
      <c r="S4482" s="210">
        <v>4.5</v>
      </c>
      <c r="T4482" s="8">
        <v>1.0001249999999999</v>
      </c>
      <c r="U4482" s="98">
        <v>4.5506036263712302</v>
      </c>
      <c r="V4482" s="106">
        <v>38695.614536405439</v>
      </c>
      <c r="W4482" s="10">
        <v>1.2765408965395908</v>
      </c>
      <c r="X4482" s="420"/>
      <c r="Y4482" s="420"/>
    </row>
    <row r="4483" spans="17:25">
      <c r="Q4483" s="6">
        <v>4453</v>
      </c>
      <c r="R4483" s="7">
        <v>47120</v>
      </c>
      <c r="S4483" s="210">
        <v>4.5</v>
      </c>
      <c r="T4483" s="8">
        <v>1.0001249999999999</v>
      </c>
      <c r="U4483" s="98">
        <v>4.5506299491605118</v>
      </c>
      <c r="V4483" s="106">
        <v>38698.942505275743</v>
      </c>
      <c r="W4483" s="10">
        <v>1.2765760920922631</v>
      </c>
      <c r="X4483" s="420"/>
      <c r="Y4483" s="420"/>
    </row>
    <row r="4484" spans="17:25">
      <c r="Q4484" s="6">
        <v>4454</v>
      </c>
      <c r="R4484" s="7">
        <v>47121</v>
      </c>
      <c r="S4484" s="210">
        <v>4.5</v>
      </c>
      <c r="T4484" s="8">
        <v>1.0001249999999999</v>
      </c>
      <c r="U4484" s="98">
        <v>4.5506562601365763</v>
      </c>
      <c r="V4484" s="106">
        <v>38702.270760363928</v>
      </c>
      <c r="W4484" s="10">
        <v>1.2766112718531453</v>
      </c>
      <c r="X4484" s="420"/>
      <c r="Y4484" s="420"/>
    </row>
    <row r="4485" spans="17:25">
      <c r="Q4485" s="6">
        <v>4455</v>
      </c>
      <c r="R4485" s="7">
        <v>47122</v>
      </c>
      <c r="S4485" s="210">
        <v>4.5</v>
      </c>
      <c r="T4485" s="8">
        <v>1.0001249999999999</v>
      </c>
      <c r="U4485" s="98">
        <v>4.550682559307373</v>
      </c>
      <c r="V4485" s="106">
        <v>38705.599301694616</v>
      </c>
      <c r="W4485" s="10">
        <v>1.2766464358328511</v>
      </c>
      <c r="X4485" s="420"/>
      <c r="Y4485" s="420"/>
    </row>
    <row r="4486" spans="17:25">
      <c r="Q4486" s="6">
        <v>4456</v>
      </c>
      <c r="R4486" s="7">
        <v>47123</v>
      </c>
      <c r="S4486" s="210">
        <v>4.5</v>
      </c>
      <c r="T4486" s="8">
        <v>1.0001249999999999</v>
      </c>
      <c r="U4486" s="98">
        <v>4.550708846680851</v>
      </c>
      <c r="V4486" s="106">
        <v>38708.928129292413</v>
      </c>
      <c r="W4486" s="10">
        <v>1.2766815840420165</v>
      </c>
      <c r="X4486" s="420"/>
      <c r="Y4486" s="420"/>
    </row>
    <row r="4487" spans="17:25">
      <c r="Q4487" s="6">
        <v>4457</v>
      </c>
      <c r="R4487" s="7">
        <v>47124</v>
      </c>
      <c r="S4487" s="210">
        <v>4.5</v>
      </c>
      <c r="T4487" s="8">
        <v>1.0001249999999999</v>
      </c>
      <c r="U4487" s="98">
        <v>4.5507351222649373</v>
      </c>
      <c r="V4487" s="106">
        <v>38712.257243181943</v>
      </c>
      <c r="W4487" s="10">
        <v>1.276716716491233</v>
      </c>
      <c r="X4487" s="420"/>
      <c r="Y4487" s="420"/>
    </row>
    <row r="4488" spans="17:25">
      <c r="Q4488" s="6">
        <v>4458</v>
      </c>
      <c r="R4488" s="7">
        <v>47125</v>
      </c>
      <c r="S4488" s="210">
        <v>4.5</v>
      </c>
      <c r="T4488" s="8">
        <v>1.0001249999999999</v>
      </c>
      <c r="U4488" s="98">
        <v>4.5507613860675589</v>
      </c>
      <c r="V4488" s="106">
        <v>38715.586643387833</v>
      </c>
      <c r="W4488" s="10">
        <v>1.2767518331910921</v>
      </c>
      <c r="X4488" s="420"/>
      <c r="Y4488" s="420"/>
    </row>
    <row r="4489" spans="17:25">
      <c r="Q4489" s="6">
        <v>4459</v>
      </c>
      <c r="R4489" s="7">
        <v>47126</v>
      </c>
      <c r="S4489" s="210">
        <v>4.5</v>
      </c>
      <c r="T4489" s="8">
        <v>1.0001249999999999</v>
      </c>
      <c r="U4489" s="98">
        <v>4.5507876380966428</v>
      </c>
      <c r="V4489" s="106">
        <v>38718.916329934706</v>
      </c>
      <c r="W4489" s="10">
        <v>1.2767869341521854</v>
      </c>
      <c r="X4489" s="420"/>
      <c r="Y4489" s="420"/>
    </row>
    <row r="4490" spans="17:25">
      <c r="Q4490" s="6">
        <v>4460</v>
      </c>
      <c r="R4490" s="7">
        <v>47127</v>
      </c>
      <c r="S4490" s="210">
        <v>4.5</v>
      </c>
      <c r="T4490" s="8">
        <v>1.0001249999999999</v>
      </c>
      <c r="U4490" s="98">
        <v>4.550813878360116</v>
      </c>
      <c r="V4490" s="106">
        <v>38722.24630284719</v>
      </c>
      <c r="W4490" s="10">
        <v>1.2768220193851043</v>
      </c>
      <c r="X4490" s="420"/>
      <c r="Y4490" s="420"/>
    </row>
    <row r="4491" spans="17:25">
      <c r="Q4491" s="6">
        <v>4461</v>
      </c>
      <c r="R4491" s="7">
        <v>47128</v>
      </c>
      <c r="S4491" s="210">
        <v>4.5</v>
      </c>
      <c r="T4491" s="8">
        <v>1.0001249999999999</v>
      </c>
      <c r="U4491" s="98">
        <v>4.550840106865861</v>
      </c>
      <c r="V4491" s="106">
        <v>38725.576562149901</v>
      </c>
      <c r="W4491" s="10">
        <v>1.2768570889003961</v>
      </c>
      <c r="X4491" s="420"/>
      <c r="Y4491" s="420"/>
    </row>
    <row r="4492" spans="17:25">
      <c r="Q4492" s="6">
        <v>4462</v>
      </c>
      <c r="R4492" s="7">
        <v>47129</v>
      </c>
      <c r="S4492" s="210">
        <v>4.5</v>
      </c>
      <c r="T4492" s="8">
        <v>1.0001249999999999</v>
      </c>
      <c r="U4492" s="98">
        <v>4.550866323621805</v>
      </c>
      <c r="V4492" s="106">
        <v>38728.90710786749</v>
      </c>
      <c r="W4492" s="10">
        <v>1.2768921427086521</v>
      </c>
      <c r="X4492" s="420"/>
      <c r="Y4492" s="420"/>
    </row>
    <row r="4493" spans="17:25">
      <c r="Q4493" s="6">
        <v>4463</v>
      </c>
      <c r="R4493" s="7">
        <v>47130</v>
      </c>
      <c r="S4493" s="210">
        <v>4.5</v>
      </c>
      <c r="T4493" s="8">
        <v>1.0001249999999999</v>
      </c>
      <c r="U4493" s="98">
        <v>4.5508925286358304</v>
      </c>
      <c r="V4493" s="106">
        <v>38732.23794002457</v>
      </c>
      <c r="W4493" s="10">
        <v>1.2769271808203975</v>
      </c>
      <c r="X4493" s="420"/>
      <c r="Y4493" s="420"/>
    </row>
    <row r="4494" spans="17:25">
      <c r="Q4494" s="6">
        <v>4464</v>
      </c>
      <c r="R4494" s="7">
        <v>47131</v>
      </c>
      <c r="S4494" s="210">
        <v>4.5</v>
      </c>
      <c r="T4494" s="8">
        <v>1.0001249999999999</v>
      </c>
      <c r="U4494" s="98">
        <v>4.5509187219158198</v>
      </c>
      <c r="V4494" s="106">
        <v>38735.569058645786</v>
      </c>
      <c r="W4494" s="10">
        <v>1.2769622032462014</v>
      </c>
      <c r="X4494" s="420"/>
      <c r="Y4494" s="420"/>
    </row>
    <row r="4495" spans="17:25">
      <c r="Q4495" s="6">
        <v>4465</v>
      </c>
      <c r="R4495" s="7">
        <v>47132</v>
      </c>
      <c r="S4495" s="210">
        <v>4.5</v>
      </c>
      <c r="T4495" s="8">
        <v>1.0001249999999999</v>
      </c>
      <c r="U4495" s="98">
        <v>4.5509449034696559</v>
      </c>
      <c r="V4495" s="106">
        <v>38738.900463755774</v>
      </c>
      <c r="W4495" s="10">
        <v>1.2769972099965443</v>
      </c>
      <c r="X4495" s="420"/>
      <c r="Y4495" s="420"/>
    </row>
    <row r="4496" spans="17:25">
      <c r="Q4496" s="6">
        <v>4466</v>
      </c>
      <c r="R4496" s="7">
        <v>47133</v>
      </c>
      <c r="S4496" s="210">
        <v>4.5</v>
      </c>
      <c r="T4496" s="8">
        <v>1.0001249999999999</v>
      </c>
      <c r="U4496" s="98">
        <v>4.5509710733051989</v>
      </c>
      <c r="V4496" s="106">
        <v>38742.23215537917</v>
      </c>
      <c r="W4496" s="10">
        <v>1.2770322010819735</v>
      </c>
      <c r="X4496" s="420"/>
      <c r="Y4496" s="420"/>
    </row>
    <row r="4497" spans="17:25">
      <c r="Q4497" s="6">
        <v>4467</v>
      </c>
      <c r="R4497" s="7">
        <v>47134</v>
      </c>
      <c r="S4497" s="210">
        <v>4.5</v>
      </c>
      <c r="T4497" s="8">
        <v>1.0001249999999999</v>
      </c>
      <c r="U4497" s="98">
        <v>4.5509972314303315</v>
      </c>
      <c r="V4497" s="106">
        <v>38745.564133540618</v>
      </c>
      <c r="W4497" s="10">
        <v>1.2770671765130137</v>
      </c>
      <c r="X4497" s="420"/>
      <c r="Y4497" s="420"/>
    </row>
    <row r="4498" spans="17:25">
      <c r="Q4498" s="6">
        <v>4468</v>
      </c>
      <c r="R4498" s="7">
        <v>47135</v>
      </c>
      <c r="S4498" s="210">
        <v>4.5</v>
      </c>
      <c r="T4498" s="8">
        <v>1.0001249999999999</v>
      </c>
      <c r="U4498" s="98">
        <v>4.5510233778529141</v>
      </c>
      <c r="V4498" s="106">
        <v>38748.896398264777</v>
      </c>
      <c r="W4498" s="10">
        <v>1.2771021363001456</v>
      </c>
      <c r="X4498" s="420"/>
      <c r="Y4498" s="420"/>
    </row>
    <row r="4499" spans="17:25">
      <c r="Q4499" s="6">
        <v>4469</v>
      </c>
      <c r="R4499" s="7">
        <v>47136</v>
      </c>
      <c r="S4499" s="210">
        <v>4.5</v>
      </c>
      <c r="T4499" s="8">
        <v>1.0001249999999999</v>
      </c>
      <c r="U4499" s="98">
        <v>4.5510495125807848</v>
      </c>
      <c r="V4499" s="106">
        <v>38752.22894957626</v>
      </c>
      <c r="W4499" s="10">
        <v>1.277137080453894</v>
      </c>
      <c r="X4499" s="420"/>
      <c r="Y4499" s="420"/>
    </row>
    <row r="4500" spans="17:25">
      <c r="Q4500" s="6">
        <v>4470</v>
      </c>
      <c r="R4500" s="7">
        <v>47137</v>
      </c>
      <c r="S4500" s="210">
        <v>4.5</v>
      </c>
      <c r="T4500" s="8">
        <v>1.0001249999999999</v>
      </c>
      <c r="U4500" s="98">
        <v>4.5510756356217819</v>
      </c>
      <c r="V4500" s="106">
        <v>38755.561787499741</v>
      </c>
      <c r="W4500" s="10">
        <v>1.277172008984695</v>
      </c>
      <c r="X4500" s="420"/>
      <c r="Y4500" s="420"/>
    </row>
    <row r="4501" spans="17:25">
      <c r="Q4501" s="6">
        <v>4471</v>
      </c>
      <c r="R4501" s="7">
        <v>47138</v>
      </c>
      <c r="S4501" s="210">
        <v>4.5</v>
      </c>
      <c r="T4501" s="8">
        <v>1.0001249999999999</v>
      </c>
      <c r="U4501" s="98">
        <v>4.5511017469837656</v>
      </c>
      <c r="V4501" s="106">
        <v>38758.894912059848</v>
      </c>
      <c r="W4501" s="10">
        <v>1.2772069219030513</v>
      </c>
      <c r="X4501" s="420"/>
      <c r="Y4501" s="420"/>
    </row>
    <row r="4502" spans="17:25">
      <c r="Q4502" s="6">
        <v>4472</v>
      </c>
      <c r="R4502" s="7">
        <v>47139</v>
      </c>
      <c r="S4502" s="210">
        <v>4.5</v>
      </c>
      <c r="T4502" s="8">
        <v>1.0001249999999999</v>
      </c>
      <c r="U4502" s="98">
        <v>4.5511278466745519</v>
      </c>
      <c r="V4502" s="106">
        <v>38762.228323281248</v>
      </c>
      <c r="W4502" s="10">
        <v>1.2772418192194435</v>
      </c>
      <c r="X4502" s="420"/>
      <c r="Y4502" s="420"/>
    </row>
    <row r="4503" spans="17:25">
      <c r="Q4503" s="6">
        <v>4473</v>
      </c>
      <c r="R4503" s="7">
        <v>47140</v>
      </c>
      <c r="S4503" s="210">
        <v>4.5</v>
      </c>
      <c r="T4503" s="8">
        <v>1.0001249999999999</v>
      </c>
      <c r="U4503" s="98">
        <v>4.5511539347019569</v>
      </c>
      <c r="V4503" s="106">
        <v>38765.562021188605</v>
      </c>
      <c r="W4503" s="10">
        <v>1.2772767009443076</v>
      </c>
      <c r="X4503" s="420"/>
      <c r="Y4503" s="420"/>
    </row>
    <row r="4504" spans="17:25">
      <c r="Q4504" s="6">
        <v>4474</v>
      </c>
      <c r="R4504" s="7">
        <v>47141</v>
      </c>
      <c r="S4504" s="210">
        <v>4.5</v>
      </c>
      <c r="T4504" s="8">
        <v>1.0001249999999999</v>
      </c>
      <c r="U4504" s="98">
        <v>4.5511800110738188</v>
      </c>
      <c r="V4504" s="106">
        <v>38768.89600580655</v>
      </c>
      <c r="W4504" s="10">
        <v>1.2773115670881019</v>
      </c>
      <c r="X4504" s="420"/>
      <c r="Y4504" s="420"/>
    </row>
    <row r="4505" spans="17:25">
      <c r="Q4505" s="6">
        <v>4475</v>
      </c>
      <c r="R4505" s="7">
        <v>47142</v>
      </c>
      <c r="S4505" s="210">
        <v>4.5</v>
      </c>
      <c r="T4505" s="8">
        <v>1.0001249999999999</v>
      </c>
      <c r="U4505" s="98">
        <v>4.5512060757979311</v>
      </c>
      <c r="V4505" s="106">
        <v>38772.230277159753</v>
      </c>
      <c r="W4505" s="10">
        <v>1.2773464176612404</v>
      </c>
      <c r="X4505" s="420"/>
      <c r="Y4505" s="420"/>
    </row>
    <row r="4506" spans="17:25">
      <c r="Q4506" s="6">
        <v>4476</v>
      </c>
      <c r="R4506" s="7">
        <v>47143</v>
      </c>
      <c r="S4506" s="210">
        <v>4.5</v>
      </c>
      <c r="T4506" s="8">
        <v>1.0001249999999999</v>
      </c>
      <c r="U4506" s="98">
        <v>4.55123212888211</v>
      </c>
      <c r="V4506" s="106">
        <v>38775.564835272882</v>
      </c>
      <c r="W4506" s="10">
        <v>1.2773812526741812</v>
      </c>
      <c r="X4506" s="420"/>
      <c r="Y4506" s="420"/>
    </row>
    <row r="4507" spans="17:25">
      <c r="Q4507" s="6">
        <v>4477</v>
      </c>
      <c r="R4507" s="7">
        <v>47144</v>
      </c>
      <c r="S4507" s="210">
        <v>4.5</v>
      </c>
      <c r="T4507" s="8">
        <v>1.0001249999999999</v>
      </c>
      <c r="U4507" s="98">
        <v>4.5512581703341271</v>
      </c>
      <c r="V4507" s="106">
        <v>38778.89968017058</v>
      </c>
      <c r="W4507" s="10">
        <v>1.2774160721373384</v>
      </c>
      <c r="X4507" s="420"/>
      <c r="Y4507" s="420"/>
    </row>
    <row r="4508" spans="17:25">
      <c r="Q4508" s="6">
        <v>4478</v>
      </c>
      <c r="R4508" s="7">
        <v>47145</v>
      </c>
      <c r="S4508" s="210">
        <v>4.5</v>
      </c>
      <c r="T4508" s="8">
        <v>1.0001249999999999</v>
      </c>
      <c r="U4508" s="98">
        <v>4.5512842001617981</v>
      </c>
      <c r="V4508" s="106">
        <v>38782.234811877534</v>
      </c>
      <c r="W4508" s="10">
        <v>1.2774508760611036</v>
      </c>
      <c r="X4508" s="420"/>
      <c r="Y4508" s="420"/>
    </row>
    <row r="4509" spans="17:25">
      <c r="Q4509" s="6">
        <v>4479</v>
      </c>
      <c r="R4509" s="7">
        <v>47146</v>
      </c>
      <c r="S4509" s="210">
        <v>4.5</v>
      </c>
      <c r="T4509" s="8">
        <v>1.0001249999999999</v>
      </c>
      <c r="U4509" s="98">
        <v>4.5513102183728948</v>
      </c>
      <c r="V4509" s="106">
        <v>38785.570230418394</v>
      </c>
      <c r="W4509" s="10">
        <v>1.2774856644558907</v>
      </c>
      <c r="X4509" s="420"/>
      <c r="Y4509" s="420"/>
    </row>
    <row r="4510" spans="17:25">
      <c r="Q4510" s="6">
        <v>4480</v>
      </c>
      <c r="R4510" s="7">
        <v>47147</v>
      </c>
      <c r="S4510" s="210">
        <v>4.5</v>
      </c>
      <c r="T4510" s="8">
        <v>1.0001249999999999</v>
      </c>
      <c r="U4510" s="98">
        <v>4.5513362249751887</v>
      </c>
      <c r="V4510" s="106">
        <v>38788.905935817842</v>
      </c>
      <c r="W4510" s="10">
        <v>1.2775204373320692</v>
      </c>
      <c r="X4510" s="420"/>
      <c r="Y4510" s="420"/>
    </row>
    <row r="4511" spans="17:25">
      <c r="Q4511" s="6">
        <v>4481</v>
      </c>
      <c r="R4511" s="7">
        <v>47148</v>
      </c>
      <c r="S4511" s="210">
        <v>4.5</v>
      </c>
      <c r="T4511" s="8">
        <v>1.0001249999999999</v>
      </c>
      <c r="U4511" s="98">
        <v>4.5513622199764514</v>
      </c>
      <c r="V4511" s="106">
        <v>38792.241928100535</v>
      </c>
      <c r="W4511" s="10">
        <v>1.2775551947000752</v>
      </c>
      <c r="X4511" s="420"/>
      <c r="Y4511" s="420"/>
    </row>
    <row r="4512" spans="17:25">
      <c r="Q4512" s="6">
        <v>4482</v>
      </c>
      <c r="R4512" s="7">
        <v>47149</v>
      </c>
      <c r="S4512" s="210">
        <v>4.5</v>
      </c>
      <c r="T4512" s="8">
        <v>1.0001249999999999</v>
      </c>
      <c r="U4512" s="98">
        <v>4.5513882033844322</v>
      </c>
      <c r="V4512" s="106">
        <v>38795.578207291153</v>
      </c>
      <c r="W4512" s="10">
        <v>1.2775899365702115</v>
      </c>
      <c r="X4512" s="420"/>
      <c r="Y4512" s="420"/>
    </row>
    <row r="4513" spans="17:25">
      <c r="Q4513" s="6">
        <v>4483</v>
      </c>
      <c r="R4513" s="7">
        <v>47150</v>
      </c>
      <c r="S4513" s="210">
        <v>4.5</v>
      </c>
      <c r="T4513" s="8">
        <v>1.0001249999999999</v>
      </c>
      <c r="U4513" s="98">
        <v>4.5514141752068804</v>
      </c>
      <c r="V4513" s="106">
        <v>38798.914773414377</v>
      </c>
      <c r="W4513" s="10">
        <v>1.2776246629528698</v>
      </c>
      <c r="X4513" s="420"/>
      <c r="Y4513" s="420"/>
    </row>
    <row r="4514" spans="17:25">
      <c r="Q4514" s="6">
        <v>4484</v>
      </c>
      <c r="R4514" s="7">
        <v>47151</v>
      </c>
      <c r="S4514" s="210">
        <v>4.5</v>
      </c>
      <c r="T4514" s="8">
        <v>1.0001249999999999</v>
      </c>
      <c r="U4514" s="98">
        <v>4.5514401354515677</v>
      </c>
      <c r="V4514" s="106">
        <v>38802.251626494872</v>
      </c>
      <c r="W4514" s="10">
        <v>1.2776593738584197</v>
      </c>
      <c r="X4514" s="420"/>
      <c r="Y4514" s="420"/>
    </row>
    <row r="4515" spans="17:25">
      <c r="Q4515" s="6">
        <v>4485</v>
      </c>
      <c r="R4515" s="7">
        <v>47152</v>
      </c>
      <c r="S4515" s="210">
        <v>4.5</v>
      </c>
      <c r="T4515" s="8">
        <v>1.0001249999999999</v>
      </c>
      <c r="U4515" s="98">
        <v>4.5514660841262211</v>
      </c>
      <c r="V4515" s="106">
        <v>38805.588766557325</v>
      </c>
      <c r="W4515" s="10">
        <v>1.2776940692971861</v>
      </c>
      <c r="X4515" s="420"/>
      <c r="Y4515" s="420"/>
    </row>
    <row r="4516" spans="17:25">
      <c r="Q4516" s="6">
        <v>4486</v>
      </c>
      <c r="R4516" s="7">
        <v>47153</v>
      </c>
      <c r="S4516" s="210">
        <v>4.5</v>
      </c>
      <c r="T4516" s="8">
        <v>1.0001249999999999</v>
      </c>
      <c r="U4516" s="98">
        <v>4.5514920212385679</v>
      </c>
      <c r="V4516" s="106">
        <v>38808.926193626423</v>
      </c>
      <c r="W4516" s="10">
        <v>1.2777287492795164</v>
      </c>
      <c r="X4516" s="420"/>
      <c r="Y4516" s="420"/>
    </row>
    <row r="4517" spans="17:25">
      <c r="Q4517" s="6">
        <v>4487</v>
      </c>
      <c r="R4517" s="7">
        <v>47154</v>
      </c>
      <c r="S4517" s="210">
        <v>4.5</v>
      </c>
      <c r="T4517" s="8">
        <v>1.0001249999999999</v>
      </c>
      <c r="U4517" s="98">
        <v>4.5515179467963351</v>
      </c>
      <c r="V4517" s="106">
        <v>38812.263907726832</v>
      </c>
      <c r="W4517" s="10">
        <v>1.2777634138157135</v>
      </c>
      <c r="X4517" s="420"/>
      <c r="Y4517" s="420"/>
    </row>
    <row r="4518" spans="17:25">
      <c r="Q4518" s="6">
        <v>4488</v>
      </c>
      <c r="R4518" s="7">
        <v>47155</v>
      </c>
      <c r="S4518" s="210">
        <v>4.5</v>
      </c>
      <c r="T4518" s="8">
        <v>1.0001249999999999</v>
      </c>
      <c r="U4518" s="98">
        <v>4.55154386080725</v>
      </c>
      <c r="V4518" s="106">
        <v>38815.601908883255</v>
      </c>
      <c r="W4518" s="10">
        <v>1.2777980629161245</v>
      </c>
      <c r="X4518" s="420"/>
      <c r="Y4518" s="420"/>
    </row>
    <row r="4519" spans="17:25">
      <c r="Q4519" s="6">
        <v>4489</v>
      </c>
      <c r="R4519" s="7">
        <v>47156</v>
      </c>
      <c r="S4519" s="210">
        <v>4.5</v>
      </c>
      <c r="T4519" s="8">
        <v>1.0001249999999999</v>
      </c>
      <c r="U4519" s="98">
        <v>4.5515697632790397</v>
      </c>
      <c r="V4519" s="106">
        <v>38818.94019712037</v>
      </c>
      <c r="W4519" s="10">
        <v>1.2778326965910525</v>
      </c>
      <c r="X4519" s="420"/>
      <c r="Y4519" s="420"/>
    </row>
    <row r="4520" spans="17:25">
      <c r="Q4520" s="6">
        <v>4490</v>
      </c>
      <c r="R4520" s="7">
        <v>47157</v>
      </c>
      <c r="S4520" s="210">
        <v>4.5</v>
      </c>
      <c r="T4520" s="8">
        <v>1.0001249999999999</v>
      </c>
      <c r="U4520" s="98">
        <v>4.5515956542193869</v>
      </c>
      <c r="V4520" s="106">
        <v>38822.278772462872</v>
      </c>
      <c r="W4520" s="10">
        <v>1.2778673148508002</v>
      </c>
      <c r="X4520" s="420"/>
      <c r="Y4520" s="420"/>
    </row>
    <row r="4521" spans="17:25">
      <c r="Q4521" s="6">
        <v>4491</v>
      </c>
      <c r="R4521" s="7">
        <v>47158</v>
      </c>
      <c r="S4521" s="210">
        <v>4.5</v>
      </c>
      <c r="T4521" s="8">
        <v>1.0001249999999999</v>
      </c>
      <c r="U4521" s="98">
        <v>4.5516215336359966</v>
      </c>
      <c r="V4521" s="106">
        <v>38825.617634935457</v>
      </c>
      <c r="W4521" s="10">
        <v>1.2779019177056261</v>
      </c>
      <c r="X4521" s="420"/>
      <c r="Y4521" s="420"/>
    </row>
    <row r="4522" spans="17:25">
      <c r="Q4522" s="6">
        <v>4492</v>
      </c>
      <c r="R4522" s="7">
        <v>47159</v>
      </c>
      <c r="S4522" s="210">
        <v>4.5</v>
      </c>
      <c r="T4522" s="8">
        <v>1.0001249999999999</v>
      </c>
      <c r="U4522" s="98">
        <v>4.5516474015365516</v>
      </c>
      <c r="V4522" s="106">
        <v>38828.956784562812</v>
      </c>
      <c r="W4522" s="10">
        <v>1.2779365051658331</v>
      </c>
      <c r="X4522" s="420"/>
      <c r="Y4522" s="420"/>
    </row>
    <row r="4523" spans="17:25">
      <c r="Q4523" s="6">
        <v>4493</v>
      </c>
      <c r="R4523" s="7">
        <v>47160</v>
      </c>
      <c r="S4523" s="210">
        <v>4.5</v>
      </c>
      <c r="T4523" s="8">
        <v>1.0001249999999999</v>
      </c>
      <c r="U4523" s="98">
        <v>4.5516732579287567</v>
      </c>
      <c r="V4523" s="106">
        <v>38832.29622136963</v>
      </c>
      <c r="W4523" s="10">
        <v>1.2779710772417019</v>
      </c>
      <c r="X4523" s="420"/>
      <c r="Y4523" s="420"/>
    </row>
    <row r="4524" spans="17:25">
      <c r="Q4524" s="6">
        <v>4494</v>
      </c>
      <c r="R4524" s="7">
        <v>47161</v>
      </c>
      <c r="S4524" s="210">
        <v>4.5</v>
      </c>
      <c r="T4524" s="8">
        <v>1.0001249999999999</v>
      </c>
      <c r="U4524" s="98">
        <v>4.5516991028202725</v>
      </c>
      <c r="V4524" s="106">
        <v>38835.635945380622</v>
      </c>
      <c r="W4524" s="10">
        <v>1.2780056339434687</v>
      </c>
      <c r="X4524" s="420"/>
      <c r="Y4524" s="420"/>
    </row>
    <row r="4525" spans="17:25">
      <c r="Q4525" s="6">
        <v>4495</v>
      </c>
      <c r="R4525" s="7">
        <v>47162</v>
      </c>
      <c r="S4525" s="210">
        <v>4.5</v>
      </c>
      <c r="T4525" s="8">
        <v>1.0001249999999999</v>
      </c>
      <c r="U4525" s="98">
        <v>4.5517249362187817</v>
      </c>
      <c r="V4525" s="106">
        <v>38838.975956620474</v>
      </c>
      <c r="W4525" s="10">
        <v>1.2780401752814141</v>
      </c>
      <c r="X4525" s="420"/>
      <c r="Y4525" s="420"/>
    </row>
    <row r="4526" spans="17:25">
      <c r="Q4526" s="6">
        <v>4496</v>
      </c>
      <c r="R4526" s="7">
        <v>47163</v>
      </c>
      <c r="S4526" s="210">
        <v>4.5</v>
      </c>
      <c r="T4526" s="8">
        <v>1.0001249999999999</v>
      </c>
      <c r="U4526" s="98">
        <v>4.551750758131945</v>
      </c>
      <c r="V4526" s="106">
        <v>38842.316255113903</v>
      </c>
      <c r="W4526" s="10">
        <v>1.2780747012657745</v>
      </c>
      <c r="X4526" s="420"/>
      <c r="Y4526" s="420"/>
    </row>
    <row r="4527" spans="17:25">
      <c r="Q4527" s="6">
        <v>4497</v>
      </c>
      <c r="R4527" s="7">
        <v>47164</v>
      </c>
      <c r="S4527" s="210">
        <v>4.5</v>
      </c>
      <c r="T4527" s="8">
        <v>1.0001249999999999</v>
      </c>
      <c r="U4527" s="98">
        <v>4.5517765685674227</v>
      </c>
      <c r="V4527" s="106">
        <v>38845.656840885604</v>
      </c>
      <c r="W4527" s="10">
        <v>1.2781092119067639</v>
      </c>
      <c r="X4527" s="420"/>
      <c r="Y4527" s="420"/>
    </row>
    <row r="4528" spans="17:25">
      <c r="Q4528" s="6">
        <v>4498</v>
      </c>
      <c r="R4528" s="7">
        <v>47165</v>
      </c>
      <c r="S4528" s="210">
        <v>4.5</v>
      </c>
      <c r="T4528" s="8">
        <v>1.0001249999999999</v>
      </c>
      <c r="U4528" s="98">
        <v>4.5518023675328534</v>
      </c>
      <c r="V4528" s="106">
        <v>38848.997713960285</v>
      </c>
      <c r="W4528" s="10">
        <v>1.2781437072146185</v>
      </c>
      <c r="X4528" s="420"/>
      <c r="Y4528" s="420"/>
    </row>
    <row r="4529" spans="17:25">
      <c r="Q4529" s="6">
        <v>4499</v>
      </c>
      <c r="R4529" s="7">
        <v>47166</v>
      </c>
      <c r="S4529" s="210">
        <v>4.5</v>
      </c>
      <c r="T4529" s="8">
        <v>1.0001249999999999</v>
      </c>
      <c r="U4529" s="98">
        <v>4.5518281550358974</v>
      </c>
      <c r="V4529" s="106">
        <v>38852.338874362664</v>
      </c>
      <c r="W4529" s="10">
        <v>1.2781781871995745</v>
      </c>
      <c r="X4529" s="420"/>
      <c r="Y4529" s="420"/>
    </row>
    <row r="4530" spans="17:25">
      <c r="Q4530" s="6">
        <v>4500</v>
      </c>
      <c r="R4530" s="7">
        <v>47167</v>
      </c>
      <c r="S4530" s="210">
        <v>4.5</v>
      </c>
      <c r="T4530" s="8">
        <v>1.0001249999999999</v>
      </c>
      <c r="U4530" s="98">
        <v>4.5518539310841932</v>
      </c>
      <c r="V4530" s="106">
        <v>38855.680322117441</v>
      </c>
      <c r="W4530" s="10">
        <v>1.278212651871824</v>
      </c>
      <c r="X4530" s="420"/>
      <c r="Y4530" s="420"/>
    </row>
    <row r="4531" spans="17:25">
      <c r="Q4531" s="6">
        <v>4501</v>
      </c>
      <c r="R4531" s="7">
        <v>47168</v>
      </c>
      <c r="S4531" s="210">
        <v>4.5</v>
      </c>
      <c r="T4531" s="8">
        <v>1.0001249999999999</v>
      </c>
      <c r="U4531" s="98">
        <v>4.5518796956853569</v>
      </c>
      <c r="V4531" s="106">
        <v>38859.022057249342</v>
      </c>
      <c r="W4531" s="10">
        <v>1.2782471012415586</v>
      </c>
      <c r="X4531" s="420"/>
      <c r="Y4531" s="420"/>
    </row>
    <row r="4532" spans="17:25">
      <c r="Q4532" s="6">
        <v>4502</v>
      </c>
      <c r="R4532" s="7">
        <v>47169</v>
      </c>
      <c r="S4532" s="210">
        <v>4.5</v>
      </c>
      <c r="T4532" s="8">
        <v>1.0001249999999999</v>
      </c>
      <c r="U4532" s="98">
        <v>4.5519054488470045</v>
      </c>
      <c r="V4532" s="106">
        <v>38862.364079783059</v>
      </c>
      <c r="W4532" s="10">
        <v>1.2782815353189703</v>
      </c>
      <c r="X4532" s="420"/>
      <c r="Y4532" s="420"/>
    </row>
    <row r="4533" spans="17:25">
      <c r="Q4533" s="6">
        <v>4503</v>
      </c>
      <c r="R4533" s="7">
        <v>47170</v>
      </c>
      <c r="S4533" s="210">
        <v>4.5</v>
      </c>
      <c r="T4533" s="8">
        <v>1.0001249999999999</v>
      </c>
      <c r="U4533" s="98">
        <v>4.5519311905767745</v>
      </c>
      <c r="V4533" s="106">
        <v>38865.706389743333</v>
      </c>
      <c r="W4533" s="10">
        <v>1.2783159541142286</v>
      </c>
      <c r="X4533" s="420"/>
      <c r="Y4533" s="420"/>
    </row>
    <row r="4534" spans="17:25">
      <c r="Q4534" s="6">
        <v>4504</v>
      </c>
      <c r="R4534" s="7">
        <v>47171</v>
      </c>
      <c r="S4534" s="210">
        <v>4.5</v>
      </c>
      <c r="T4534" s="8">
        <v>1.0001249999999999</v>
      </c>
      <c r="U4534" s="98">
        <v>4.551956920882283</v>
      </c>
      <c r="V4534" s="106">
        <v>38869.048987154885</v>
      </c>
      <c r="W4534" s="10">
        <v>1.2783503576375477</v>
      </c>
      <c r="X4534" s="420"/>
      <c r="Y4534" s="420"/>
    </row>
    <row r="4535" spans="17:25">
      <c r="Q4535" s="6">
        <v>4505</v>
      </c>
      <c r="R4535" s="7">
        <v>47172</v>
      </c>
      <c r="S4535" s="210">
        <v>4.5</v>
      </c>
      <c r="T4535" s="8">
        <v>1.0001249999999999</v>
      </c>
      <c r="U4535" s="98">
        <v>4.5519826397711016</v>
      </c>
      <c r="V4535" s="106">
        <v>38872.391872042419</v>
      </c>
      <c r="W4535" s="10">
        <v>1.2783847458990527</v>
      </c>
      <c r="X4535" s="420"/>
      <c r="Y4535" s="420"/>
    </row>
    <row r="4536" spans="17:25">
      <c r="Q4536" s="6">
        <v>4506</v>
      </c>
      <c r="R4536" s="7">
        <v>47173</v>
      </c>
      <c r="S4536" s="210">
        <v>4.5</v>
      </c>
      <c r="T4536" s="8">
        <v>1.0001249999999999</v>
      </c>
      <c r="U4536" s="98">
        <v>4.5520083472508466</v>
      </c>
      <c r="V4536" s="106">
        <v>38875.735044430665</v>
      </c>
      <c r="W4536" s="10">
        <v>1.2784191189088911</v>
      </c>
      <c r="X4536" s="420"/>
      <c r="Y4536" s="420"/>
    </row>
    <row r="4537" spans="17:25">
      <c r="Q4537" s="6">
        <v>4507</v>
      </c>
      <c r="R4537" s="7">
        <v>47174</v>
      </c>
      <c r="S4537" s="210">
        <v>4.5</v>
      </c>
      <c r="T4537" s="8">
        <v>1.0001249999999999</v>
      </c>
      <c r="U4537" s="98">
        <v>4.5520340433291118</v>
      </c>
      <c r="V4537" s="106">
        <v>38879.078504344354</v>
      </c>
      <c r="W4537" s="10">
        <v>1.2784534766772326</v>
      </c>
      <c r="X4537" s="420"/>
      <c r="Y4537" s="420"/>
    </row>
    <row r="4538" spans="17:25">
      <c r="Q4538" s="6">
        <v>4508</v>
      </c>
      <c r="R4538" s="7">
        <v>47175</v>
      </c>
      <c r="S4538" s="210">
        <v>4.5</v>
      </c>
      <c r="T4538" s="8">
        <v>1.0001249999999999</v>
      </c>
      <c r="U4538" s="98">
        <v>4.5520597280134689</v>
      </c>
      <c r="V4538" s="106">
        <v>38882.422251808217</v>
      </c>
      <c r="W4538" s="10">
        <v>1.2784878192141802</v>
      </c>
      <c r="X4538" s="420"/>
      <c r="Y4538" s="420"/>
    </row>
    <row r="4539" spans="17:25">
      <c r="Q4539" s="6">
        <v>4509</v>
      </c>
      <c r="R4539" s="7">
        <v>47176</v>
      </c>
      <c r="S4539" s="210">
        <v>4.5</v>
      </c>
      <c r="T4539" s="8">
        <v>1.0001249999999999</v>
      </c>
      <c r="U4539" s="98">
        <v>4.552085401311512</v>
      </c>
      <c r="V4539" s="106">
        <v>38885.766286846978</v>
      </c>
      <c r="W4539" s="10">
        <v>1.2785221465299035</v>
      </c>
      <c r="X4539" s="420"/>
      <c r="Y4539" s="420"/>
    </row>
    <row r="4540" spans="17:25">
      <c r="Q4540" s="6">
        <v>4510</v>
      </c>
      <c r="R4540" s="7">
        <v>47177</v>
      </c>
      <c r="S4540" s="210">
        <v>4.5</v>
      </c>
      <c r="T4540" s="8">
        <v>1.0001249999999999</v>
      </c>
      <c r="U4540" s="98">
        <v>4.5521110632307904</v>
      </c>
      <c r="V4540" s="106">
        <v>38889.110609485375</v>
      </c>
      <c r="W4540" s="10">
        <v>1.2785564586344833</v>
      </c>
      <c r="X4540" s="420"/>
      <c r="Y4540" s="420"/>
    </row>
    <row r="4541" spans="17:25">
      <c r="Q4541" s="6">
        <v>4511</v>
      </c>
      <c r="R4541" s="7">
        <v>47178</v>
      </c>
      <c r="S4541" s="210">
        <v>4.5</v>
      </c>
      <c r="T4541" s="8">
        <v>1.0001249999999999</v>
      </c>
      <c r="U4541" s="98">
        <v>4.5521367137788982</v>
      </c>
      <c r="V4541" s="106">
        <v>38892.455219748132</v>
      </c>
      <c r="W4541" s="10">
        <v>1.2785907555380671</v>
      </c>
      <c r="X4541" s="420"/>
      <c r="Y4541" s="420"/>
    </row>
    <row r="4542" spans="17:25">
      <c r="Q4542" s="6">
        <v>4512</v>
      </c>
      <c r="R4542" s="7">
        <v>47179</v>
      </c>
      <c r="S4542" s="210">
        <v>4.5</v>
      </c>
      <c r="T4542" s="8">
        <v>1.0001249999999999</v>
      </c>
      <c r="U4542" s="98">
        <v>4.5521623529633626</v>
      </c>
      <c r="V4542" s="106">
        <v>38895.800117659986</v>
      </c>
      <c r="W4542" s="10">
        <v>1.2786250372507135</v>
      </c>
      <c r="X4542" s="420"/>
      <c r="Y4542" s="420"/>
    </row>
    <row r="4543" spans="17:25">
      <c r="Q4543" s="6">
        <v>4513</v>
      </c>
      <c r="R4543" s="7">
        <v>47180</v>
      </c>
      <c r="S4543" s="210">
        <v>4.5</v>
      </c>
      <c r="T4543" s="8">
        <v>1.0001249999999999</v>
      </c>
      <c r="U4543" s="98">
        <v>4.5521879807917331</v>
      </c>
      <c r="V4543" s="106">
        <v>38899.145303245692</v>
      </c>
      <c r="W4543" s="10">
        <v>1.2786593037825256</v>
      </c>
      <c r="X4543" s="420"/>
      <c r="Y4543" s="420"/>
    </row>
    <row r="4544" spans="17:25">
      <c r="Q4544" s="6">
        <v>4514</v>
      </c>
      <c r="R4544" s="7">
        <v>47181</v>
      </c>
      <c r="S4544" s="210">
        <v>4.5</v>
      </c>
      <c r="T4544" s="8">
        <v>1.0001249999999999</v>
      </c>
      <c r="U4544" s="98">
        <v>4.5522135972715594</v>
      </c>
      <c r="V4544" s="106">
        <v>38902.490776529987</v>
      </c>
      <c r="W4544" s="10">
        <v>1.2786935551435841</v>
      </c>
      <c r="X4544" s="420"/>
      <c r="Y4544" s="420"/>
    </row>
    <row r="4545" spans="17:25">
      <c r="Q4545" s="6">
        <v>4515</v>
      </c>
      <c r="R4545" s="7">
        <v>47182</v>
      </c>
      <c r="S4545" s="210">
        <v>4.5</v>
      </c>
      <c r="T4545" s="8">
        <v>1.0001249999999999</v>
      </c>
      <c r="U4545" s="98">
        <v>4.5522392024103908</v>
      </c>
      <c r="V4545" s="106">
        <v>38905.836537537602</v>
      </c>
      <c r="W4545" s="10">
        <v>1.2787277913439921</v>
      </c>
      <c r="X4545" s="420"/>
      <c r="Y4545" s="420"/>
    </row>
    <row r="4546" spans="17:25">
      <c r="Q4546" s="6">
        <v>4516</v>
      </c>
      <c r="R4546" s="7">
        <v>47183</v>
      </c>
      <c r="S4546" s="210">
        <v>4.5</v>
      </c>
      <c r="T4546" s="8">
        <v>1.0001249999999999</v>
      </c>
      <c r="U4546" s="98">
        <v>4.5522647962157547</v>
      </c>
      <c r="V4546" s="106">
        <v>38909.182586293289</v>
      </c>
      <c r="W4546" s="10">
        <v>1.2787620123937637</v>
      </c>
      <c r="X4546" s="420"/>
      <c r="Y4546" s="420"/>
    </row>
    <row r="4547" spans="17:25">
      <c r="Q4547" s="6">
        <v>4517</v>
      </c>
      <c r="R4547" s="7">
        <v>47184</v>
      </c>
      <c r="S4547" s="210">
        <v>4.5</v>
      </c>
      <c r="T4547" s="8">
        <v>1.0001249999999999</v>
      </c>
      <c r="U4547" s="98">
        <v>4.5522903786951563</v>
      </c>
      <c r="V4547" s="106">
        <v>38912.528922821795</v>
      </c>
      <c r="W4547" s="10">
        <v>1.2787962183030022</v>
      </c>
      <c r="X4547" s="420"/>
      <c r="Y4547" s="420"/>
    </row>
    <row r="4548" spans="17:25">
      <c r="Q4548" s="6">
        <v>4518</v>
      </c>
      <c r="R4548" s="7">
        <v>47185</v>
      </c>
      <c r="S4548" s="210">
        <v>4.5</v>
      </c>
      <c r="T4548" s="8">
        <v>1.0001249999999999</v>
      </c>
      <c r="U4548" s="98">
        <v>4.5523159498561228</v>
      </c>
      <c r="V4548" s="106">
        <v>38915.875547147873</v>
      </c>
      <c r="W4548" s="10">
        <v>1.2788304090816993</v>
      </c>
      <c r="X4548" s="420"/>
      <c r="Y4548" s="420"/>
    </row>
    <row r="4549" spans="17:25">
      <c r="Q4549" s="6">
        <v>4519</v>
      </c>
      <c r="R4549" s="7">
        <v>47186</v>
      </c>
      <c r="S4549" s="210">
        <v>4.5</v>
      </c>
      <c r="T4549" s="8">
        <v>1.0001249999999999</v>
      </c>
      <c r="U4549" s="98">
        <v>4.5523415097061593</v>
      </c>
      <c r="V4549" s="106">
        <v>38919.222459296267</v>
      </c>
      <c r="W4549" s="10">
        <v>1.278864584739936</v>
      </c>
      <c r="X4549" s="420"/>
      <c r="Y4549" s="420"/>
    </row>
    <row r="4550" spans="17:25">
      <c r="Q4550" s="6">
        <v>4520</v>
      </c>
      <c r="R4550" s="7">
        <v>47187</v>
      </c>
      <c r="S4550" s="210">
        <v>4.5</v>
      </c>
      <c r="T4550" s="8">
        <v>1.0001249999999999</v>
      </c>
      <c r="U4550" s="98">
        <v>4.5523670582527709</v>
      </c>
      <c r="V4550" s="106">
        <v>38922.569659291745</v>
      </c>
      <c r="W4550" s="10">
        <v>1.2788987452877043</v>
      </c>
      <c r="X4550" s="420"/>
      <c r="Y4550" s="420"/>
    </row>
    <row r="4551" spans="17:25">
      <c r="Q4551" s="6">
        <v>4521</v>
      </c>
      <c r="R4551" s="7">
        <v>47188</v>
      </c>
      <c r="S4551" s="210">
        <v>4.5</v>
      </c>
      <c r="T4551" s="8">
        <v>1.0001249999999999</v>
      </c>
      <c r="U4551" s="98">
        <v>4.5523925955034628</v>
      </c>
      <c r="V4551" s="106">
        <v>38925.917147159045</v>
      </c>
      <c r="W4551" s="10">
        <v>1.2789328907350628</v>
      </c>
      <c r="X4551" s="420"/>
      <c r="Y4551" s="420"/>
    </row>
    <row r="4552" spans="17:25">
      <c r="Q4552" s="6">
        <v>4522</v>
      </c>
      <c r="R4552" s="7">
        <v>47189</v>
      </c>
      <c r="S4552" s="210">
        <v>4.5</v>
      </c>
      <c r="T4552" s="8">
        <v>1.0001249999999999</v>
      </c>
      <c r="U4552" s="98">
        <v>4.5524181214657178</v>
      </c>
      <c r="V4552" s="106">
        <v>38929.264922922936</v>
      </c>
      <c r="W4552" s="10">
        <v>1.2789670210920034</v>
      </c>
      <c r="X4552" s="420"/>
      <c r="Y4552" s="420"/>
    </row>
    <row r="4553" spans="17:25">
      <c r="Q4553" s="6">
        <v>4523</v>
      </c>
      <c r="R4553" s="7">
        <v>47190</v>
      </c>
      <c r="S4553" s="210">
        <v>4.5</v>
      </c>
      <c r="T4553" s="8">
        <v>1.0001249999999999</v>
      </c>
      <c r="U4553" s="98">
        <v>4.5524436361470189</v>
      </c>
      <c r="V4553" s="106">
        <v>38932.612986608176</v>
      </c>
      <c r="W4553" s="10">
        <v>1.2790011363685405</v>
      </c>
      <c r="X4553" s="420"/>
      <c r="Y4553" s="420"/>
    </row>
    <row r="4554" spans="17:25">
      <c r="Q4554" s="6">
        <v>4524</v>
      </c>
      <c r="R4554" s="7">
        <v>47191</v>
      </c>
      <c r="S4554" s="210">
        <v>4.5</v>
      </c>
      <c r="T4554" s="8">
        <v>1.0001249999999999</v>
      </c>
      <c r="U4554" s="98">
        <v>4.5524691395548267</v>
      </c>
      <c r="V4554" s="106">
        <v>38935.961338239518</v>
      </c>
      <c r="W4554" s="10">
        <v>1.2790352365746216</v>
      </c>
      <c r="X4554" s="420"/>
      <c r="Y4554" s="420"/>
    </row>
    <row r="4555" spans="17:25">
      <c r="Q4555" s="6">
        <v>4525</v>
      </c>
      <c r="R4555" s="7">
        <v>47192</v>
      </c>
      <c r="S4555" s="210">
        <v>4.5</v>
      </c>
      <c r="T4555" s="8">
        <v>1.0001249999999999</v>
      </c>
      <c r="U4555" s="98">
        <v>4.5524946316966464</v>
      </c>
      <c r="V4555" s="106">
        <v>38939.309977841745</v>
      </c>
      <c r="W4555" s="10">
        <v>1.2790693217202831</v>
      </c>
      <c r="X4555" s="420"/>
      <c r="Y4555" s="420"/>
    </row>
    <row r="4556" spans="17:25">
      <c r="Q4556" s="6">
        <v>4526</v>
      </c>
      <c r="R4556" s="7">
        <v>47193</v>
      </c>
      <c r="S4556" s="210">
        <v>4.5</v>
      </c>
      <c r="T4556" s="8">
        <v>1.0001249999999999</v>
      </c>
      <c r="U4556" s="98">
        <v>4.5525201125799164</v>
      </c>
      <c r="V4556" s="106">
        <v>38942.658905439617</v>
      </c>
      <c r="W4556" s="10">
        <v>1.2791033918154726</v>
      </c>
      <c r="X4556" s="420"/>
      <c r="Y4556" s="420"/>
    </row>
    <row r="4557" spans="17:25">
      <c r="Q4557" s="6">
        <v>4527</v>
      </c>
      <c r="R4557" s="7">
        <v>47194</v>
      </c>
      <c r="S4557" s="210">
        <v>4.5</v>
      </c>
      <c r="T4557" s="8">
        <v>1.0001249999999999</v>
      </c>
      <c r="U4557" s="98">
        <v>4.5525455822120975</v>
      </c>
      <c r="V4557" s="106">
        <v>38946.008121057894</v>
      </c>
      <c r="W4557" s="10">
        <v>1.27913744687016</v>
      </c>
      <c r="X4557" s="420"/>
      <c r="Y4557" s="420"/>
    </row>
    <row r="4558" spans="17:25">
      <c r="Q4558" s="6">
        <v>4528</v>
      </c>
      <c r="R4558" s="7">
        <v>47195</v>
      </c>
      <c r="S4558" s="210">
        <v>4.5</v>
      </c>
      <c r="T4558" s="8">
        <v>1.0001249999999999</v>
      </c>
      <c r="U4558" s="98">
        <v>4.5525710406006281</v>
      </c>
      <c r="V4558" s="106">
        <v>38949.357624721357</v>
      </c>
      <c r="W4558" s="10">
        <v>1.2791714868942927</v>
      </c>
      <c r="X4558" s="420"/>
      <c r="Y4558" s="420"/>
    </row>
    <row r="4559" spans="17:25">
      <c r="Q4559" s="6">
        <v>4529</v>
      </c>
      <c r="R4559" s="7">
        <v>47196</v>
      </c>
      <c r="S4559" s="210">
        <v>4.5</v>
      </c>
      <c r="T4559" s="8">
        <v>1.0001249999999999</v>
      </c>
      <c r="U4559" s="98">
        <v>4.552596487752969</v>
      </c>
      <c r="V4559" s="106">
        <v>38952.707416454774</v>
      </c>
      <c r="W4559" s="10">
        <v>1.2792055118978407</v>
      </c>
      <c r="X4559" s="420"/>
      <c r="Y4559" s="420"/>
    </row>
    <row r="4560" spans="17:25">
      <c r="Q4560" s="6">
        <v>4530</v>
      </c>
      <c r="R4560" s="7">
        <v>47197</v>
      </c>
      <c r="S4560" s="210">
        <v>4.5</v>
      </c>
      <c r="T4560" s="8">
        <v>1.0001249999999999</v>
      </c>
      <c r="U4560" s="98">
        <v>4.5526219236765586</v>
      </c>
      <c r="V4560" s="106">
        <v>38956.057496282912</v>
      </c>
      <c r="W4560" s="10">
        <v>1.2792395218907515</v>
      </c>
      <c r="X4560" s="420"/>
      <c r="Y4560" s="420"/>
    </row>
    <row r="4561" spans="17:25">
      <c r="Q4561" s="6">
        <v>4531</v>
      </c>
      <c r="R4561" s="7">
        <v>47198</v>
      </c>
      <c r="S4561" s="210">
        <v>4.5</v>
      </c>
      <c r="T4561" s="8">
        <v>1.0001249999999999</v>
      </c>
      <c r="U4561" s="98">
        <v>4.5526473483788354</v>
      </c>
      <c r="V4561" s="106">
        <v>38959.407864230561</v>
      </c>
      <c r="W4561" s="10">
        <v>1.2792735168829283</v>
      </c>
      <c r="X4561" s="420"/>
      <c r="Y4561" s="420"/>
    </row>
    <row r="4562" spans="17:25">
      <c r="Q4562" s="6">
        <v>4532</v>
      </c>
      <c r="R4562" s="7">
        <v>47199</v>
      </c>
      <c r="S4562" s="210">
        <v>4.5</v>
      </c>
      <c r="T4562" s="8">
        <v>1.0001249999999999</v>
      </c>
      <c r="U4562" s="98">
        <v>4.5526727618671936</v>
      </c>
      <c r="V4562" s="106">
        <v>38962.758520322503</v>
      </c>
      <c r="W4562" s="10">
        <v>1.2793074968842966</v>
      </c>
      <c r="X4562" s="420"/>
      <c r="Y4562" s="420"/>
    </row>
    <row r="4563" spans="17:25">
      <c r="Q4563" s="6">
        <v>4533</v>
      </c>
      <c r="R4563" s="7">
        <v>47200</v>
      </c>
      <c r="S4563" s="210">
        <v>4.5</v>
      </c>
      <c r="T4563" s="8">
        <v>1.0001249999999999</v>
      </c>
      <c r="U4563" s="98">
        <v>4.5526981641490716</v>
      </c>
      <c r="V4563" s="106">
        <v>38966.109464583511</v>
      </c>
      <c r="W4563" s="10">
        <v>1.2793414619047816</v>
      </c>
      <c r="X4563" s="420"/>
      <c r="Y4563" s="420"/>
    </row>
    <row r="4564" spans="17:25">
      <c r="Q4564" s="6">
        <v>4534</v>
      </c>
      <c r="R4564" s="7">
        <v>47201</v>
      </c>
      <c r="S4564" s="210">
        <v>4.5</v>
      </c>
      <c r="T4564" s="8">
        <v>1.0001249999999999</v>
      </c>
      <c r="U4564" s="98">
        <v>4.5527235552318857</v>
      </c>
      <c r="V4564" s="106">
        <v>38969.460697038368</v>
      </c>
      <c r="W4564" s="10">
        <v>1.2793754119543088</v>
      </c>
      <c r="X4564" s="420"/>
      <c r="Y4564" s="420"/>
    </row>
    <row r="4565" spans="17:25">
      <c r="Q4565" s="6">
        <v>4535</v>
      </c>
      <c r="R4565" s="7">
        <v>47202</v>
      </c>
      <c r="S4565" s="210">
        <v>4.5</v>
      </c>
      <c r="T4565" s="8">
        <v>1.0001249999999999</v>
      </c>
      <c r="U4565" s="98">
        <v>4.5527489351230299</v>
      </c>
      <c r="V4565" s="106">
        <v>38972.812217711864</v>
      </c>
      <c r="W4565" s="10">
        <v>1.279409347042737</v>
      </c>
      <c r="X4565" s="420"/>
      <c r="Y4565" s="420"/>
    </row>
    <row r="4566" spans="17:25">
      <c r="Q4566" s="6">
        <v>4536</v>
      </c>
      <c r="R4566" s="7">
        <v>47203</v>
      </c>
      <c r="S4566" s="210">
        <v>4.5</v>
      </c>
      <c r="T4566" s="8">
        <v>1.0001249999999999</v>
      </c>
      <c r="U4566" s="98">
        <v>4.5527743038298985</v>
      </c>
      <c r="V4566" s="106">
        <v>38976.16402662878</v>
      </c>
      <c r="W4566" s="10">
        <v>1.2794432671799694</v>
      </c>
      <c r="X4566" s="420"/>
      <c r="Y4566" s="420"/>
    </row>
    <row r="4567" spans="17:25">
      <c r="Q4567" s="6">
        <v>4537</v>
      </c>
      <c r="R4567" s="7">
        <v>47204</v>
      </c>
      <c r="S4567" s="210">
        <v>4.5</v>
      </c>
      <c r="T4567" s="8">
        <v>1.0001249999999999</v>
      </c>
      <c r="U4567" s="98">
        <v>4.5527996613598853</v>
      </c>
      <c r="V4567" s="106">
        <v>38979.516123813919</v>
      </c>
      <c r="W4567" s="10">
        <v>1.2794771723758647</v>
      </c>
      <c r="X4567" s="420"/>
      <c r="Y4567" s="420"/>
    </row>
    <row r="4568" spans="17:25">
      <c r="Q4568" s="6">
        <v>4538</v>
      </c>
      <c r="R4568" s="7">
        <v>47205</v>
      </c>
      <c r="S4568" s="210">
        <v>4.5</v>
      </c>
      <c r="T4568" s="8">
        <v>1.0001249999999999</v>
      </c>
      <c r="U4568" s="98">
        <v>4.5528250077203847</v>
      </c>
      <c r="V4568" s="106">
        <v>38982.868509292057</v>
      </c>
      <c r="W4568" s="10">
        <v>1.2795110626403483</v>
      </c>
      <c r="X4568" s="420"/>
      <c r="Y4568" s="420"/>
    </row>
    <row r="4569" spans="17:25">
      <c r="Q4569" s="6">
        <v>4539</v>
      </c>
      <c r="R4569" s="7">
        <v>47206</v>
      </c>
      <c r="S4569" s="210">
        <v>4.5</v>
      </c>
      <c r="T4569" s="8">
        <v>1.0001249999999999</v>
      </c>
      <c r="U4569" s="98">
        <v>4.5528503429187461</v>
      </c>
      <c r="V4569" s="106">
        <v>38986.221183087997</v>
      </c>
      <c r="W4569" s="10">
        <v>1.2795449379831902</v>
      </c>
      <c r="X4569" s="420"/>
      <c r="Y4569" s="420"/>
    </row>
    <row r="4570" spans="17:25">
      <c r="Q4570" s="6">
        <v>4540</v>
      </c>
      <c r="R4570" s="7">
        <v>47207</v>
      </c>
      <c r="S4570" s="210">
        <v>4.5</v>
      </c>
      <c r="T4570" s="8">
        <v>1.0001249999999999</v>
      </c>
      <c r="U4570" s="98">
        <v>4.5528756669623638</v>
      </c>
      <c r="V4570" s="106">
        <v>38989.574145226543</v>
      </c>
      <c r="W4570" s="10">
        <v>1.2795787984143159</v>
      </c>
      <c r="X4570" s="420"/>
      <c r="Y4570" s="420"/>
    </row>
    <row r="4571" spans="17:25">
      <c r="Q4571" s="6">
        <v>4541</v>
      </c>
      <c r="R4571" s="7">
        <v>47208</v>
      </c>
      <c r="S4571" s="210">
        <v>4.5</v>
      </c>
      <c r="T4571" s="8">
        <v>1.0001249999999999</v>
      </c>
      <c r="U4571" s="98">
        <v>4.5529009798586095</v>
      </c>
      <c r="V4571" s="106">
        <v>38992.927395732477</v>
      </c>
      <c r="W4571" s="10">
        <v>1.2796126439435618</v>
      </c>
      <c r="X4571" s="420"/>
      <c r="Y4571" s="420"/>
    </row>
    <row r="4572" spans="17:25">
      <c r="Q4572" s="6">
        <v>4542</v>
      </c>
      <c r="R4572" s="7">
        <v>47209</v>
      </c>
      <c r="S4572" s="210">
        <v>4.5</v>
      </c>
      <c r="T4572" s="8">
        <v>1.0001249999999999</v>
      </c>
      <c r="U4572" s="98">
        <v>4.552926281614833</v>
      </c>
      <c r="V4572" s="106">
        <v>38996.280934630617</v>
      </c>
      <c r="W4572" s="10">
        <v>1.2796464745807423</v>
      </c>
      <c r="X4572" s="420"/>
      <c r="Y4572" s="420"/>
    </row>
    <row r="4573" spans="17:25">
      <c r="Q4573" s="6">
        <v>4543</v>
      </c>
      <c r="R4573" s="7">
        <v>47210</v>
      </c>
      <c r="S4573" s="210">
        <v>4.5</v>
      </c>
      <c r="T4573" s="8">
        <v>1.0001249999999999</v>
      </c>
      <c r="U4573" s="98">
        <v>4.552951572238384</v>
      </c>
      <c r="V4573" s="106">
        <v>38999.634761945745</v>
      </c>
      <c r="W4573" s="10">
        <v>1.2796802903356941</v>
      </c>
      <c r="X4573" s="420"/>
      <c r="Y4573" s="420"/>
    </row>
    <row r="4574" spans="17:25">
      <c r="Q4574" s="6">
        <v>4544</v>
      </c>
      <c r="R4574" s="7">
        <v>47211</v>
      </c>
      <c r="S4574" s="210">
        <v>4.5</v>
      </c>
      <c r="T4574" s="8">
        <v>1.0001249999999999</v>
      </c>
      <c r="U4574" s="98">
        <v>4.552976851736612</v>
      </c>
      <c r="V4574" s="106">
        <v>39002.988877702694</v>
      </c>
      <c r="W4574" s="10">
        <v>1.2797140912182314</v>
      </c>
      <c r="X4574" s="420"/>
      <c r="Y4574" s="420"/>
    </row>
    <row r="4575" spans="17:25">
      <c r="Q4575" s="6">
        <v>4545</v>
      </c>
      <c r="R4575" s="7">
        <v>47212</v>
      </c>
      <c r="S4575" s="210">
        <v>4.5</v>
      </c>
      <c r="T4575" s="8">
        <v>1.0001249999999999</v>
      </c>
      <c r="U4575" s="98">
        <v>4.5530021201168669</v>
      </c>
      <c r="V4575" s="106">
        <v>39006.343281926245</v>
      </c>
      <c r="W4575" s="10">
        <v>1.2797478772381687</v>
      </c>
      <c r="X4575" s="420"/>
      <c r="Y4575" s="420"/>
    </row>
    <row r="4576" spans="17:25">
      <c r="Q4576" s="6">
        <v>4546</v>
      </c>
      <c r="R4576" s="7">
        <v>47213</v>
      </c>
      <c r="S4576" s="210">
        <v>4.5</v>
      </c>
      <c r="T4576" s="8">
        <v>1.0001249999999999</v>
      </c>
      <c r="U4576" s="98">
        <v>4.553027377386476</v>
      </c>
      <c r="V4576" s="106">
        <v>39009.697974641218</v>
      </c>
      <c r="W4576" s="10">
        <v>1.2797816484053204</v>
      </c>
      <c r="X4576" s="420"/>
      <c r="Y4576" s="420"/>
    </row>
    <row r="4577" spans="17:25">
      <c r="Q4577" s="6">
        <v>4547</v>
      </c>
      <c r="R4577" s="7">
        <v>47214</v>
      </c>
      <c r="S4577" s="210">
        <v>4.5</v>
      </c>
      <c r="T4577" s="8">
        <v>1.0001249999999999</v>
      </c>
      <c r="U4577" s="98">
        <v>4.5530526235527446</v>
      </c>
      <c r="V4577" s="106">
        <v>39013.052955872416</v>
      </c>
      <c r="W4577" s="10">
        <v>1.2798154047294341</v>
      </c>
      <c r="X4577" s="420"/>
      <c r="Y4577" s="420"/>
    </row>
    <row r="4578" spans="17:25">
      <c r="Q4578" s="6">
        <v>4548</v>
      </c>
      <c r="R4578" s="7">
        <v>47215</v>
      </c>
      <c r="S4578" s="210">
        <v>4.5</v>
      </c>
      <c r="T4578" s="8">
        <v>1.0001249999999999</v>
      </c>
      <c r="U4578" s="98">
        <v>4.5530778586230225</v>
      </c>
      <c r="V4578" s="106">
        <v>39016.408225644671</v>
      </c>
      <c r="W4578" s="10">
        <v>1.2798491462203465</v>
      </c>
      <c r="X4578" s="420"/>
      <c r="Y4578" s="420"/>
    </row>
    <row r="4579" spans="17:25">
      <c r="Q4579" s="6">
        <v>4549</v>
      </c>
      <c r="R4579" s="7">
        <v>47216</v>
      </c>
      <c r="S4579" s="210">
        <v>4.5</v>
      </c>
      <c r="T4579" s="8">
        <v>1.0001249999999999</v>
      </c>
      <c r="U4579" s="98">
        <v>4.5531030826046148</v>
      </c>
      <c r="V4579" s="106">
        <v>39019.763783982788</v>
      </c>
      <c r="W4579" s="10">
        <v>1.2798828728878053</v>
      </c>
      <c r="X4579" s="420"/>
      <c r="Y4579" s="420"/>
    </row>
    <row r="4580" spans="17:25">
      <c r="Q4580" s="6">
        <v>4550</v>
      </c>
      <c r="R4580" s="7">
        <v>47217</v>
      </c>
      <c r="S4580" s="210">
        <v>4.5</v>
      </c>
      <c r="T4580" s="8">
        <v>1.0001249999999999</v>
      </c>
      <c r="U4580" s="98">
        <v>4.5531282955048047</v>
      </c>
      <c r="V4580" s="106">
        <v>39023.119630911577</v>
      </c>
      <c r="W4580" s="10">
        <v>1.2799165847415583</v>
      </c>
      <c r="X4580" s="420"/>
      <c r="Y4580" s="420"/>
    </row>
    <row r="4581" spans="17:25">
      <c r="Q4581" s="6">
        <v>4551</v>
      </c>
      <c r="R4581" s="7">
        <v>47218</v>
      </c>
      <c r="S4581" s="210">
        <v>4.5</v>
      </c>
      <c r="T4581" s="8">
        <v>1.0001249999999999</v>
      </c>
      <c r="U4581" s="98">
        <v>4.5531534973309196</v>
      </c>
      <c r="V4581" s="106">
        <v>39026.475766455878</v>
      </c>
      <c r="W4581" s="10">
        <v>1.2799502817913977</v>
      </c>
      <c r="X4581" s="420"/>
      <c r="Y4581" s="420"/>
    </row>
    <row r="4582" spans="17:25">
      <c r="Q4582" s="6">
        <v>4552</v>
      </c>
      <c r="R4582" s="7">
        <v>47219</v>
      </c>
      <c r="S4582" s="210">
        <v>4.5</v>
      </c>
      <c r="T4582" s="8">
        <v>1.0001249999999999</v>
      </c>
      <c r="U4582" s="98">
        <v>4.5531786880902425</v>
      </c>
      <c r="V4582" s="106">
        <v>39029.832190640489</v>
      </c>
      <c r="W4582" s="10">
        <v>1.2799839640470489</v>
      </c>
      <c r="X4582" s="420"/>
      <c r="Y4582" s="420"/>
    </row>
    <row r="4583" spans="17:25">
      <c r="Q4583" s="6">
        <v>4553</v>
      </c>
      <c r="R4583" s="7">
        <v>47220</v>
      </c>
      <c r="S4583" s="210">
        <v>4.5</v>
      </c>
      <c r="T4583" s="8">
        <v>1.0001249999999999</v>
      </c>
      <c r="U4583" s="98">
        <v>4.5532038677900788</v>
      </c>
      <c r="V4583" s="106">
        <v>39033.188903490249</v>
      </c>
      <c r="W4583" s="10">
        <v>1.2800176315182821</v>
      </c>
      <c r="X4583" s="420"/>
      <c r="Y4583" s="420"/>
    </row>
    <row r="4584" spans="17:25">
      <c r="Q4584" s="6">
        <v>4554</v>
      </c>
      <c r="R4584" s="7">
        <v>47221</v>
      </c>
      <c r="S4584" s="210">
        <v>4.5</v>
      </c>
      <c r="T4584" s="8">
        <v>1.0001249999999999</v>
      </c>
      <c r="U4584" s="98">
        <v>4.5532290364376893</v>
      </c>
      <c r="V4584" s="106">
        <v>39036.545905029976</v>
      </c>
      <c r="W4584" s="10">
        <v>1.2800512842148004</v>
      </c>
      <c r="X4584" s="420"/>
      <c r="Y4584" s="420"/>
    </row>
    <row r="4585" spans="17:25">
      <c r="Q4585" s="6">
        <v>4555</v>
      </c>
      <c r="R4585" s="7">
        <v>47222</v>
      </c>
      <c r="S4585" s="210">
        <v>4.5</v>
      </c>
      <c r="T4585" s="8">
        <v>1.0001249999999999</v>
      </c>
      <c r="U4585" s="98">
        <v>4.553254194040357</v>
      </c>
      <c r="V4585" s="106">
        <v>39039.903195284511</v>
      </c>
      <c r="W4585" s="10">
        <v>1.2800849221463295</v>
      </c>
      <c r="X4585" s="420"/>
      <c r="Y4585" s="420"/>
    </row>
    <row r="4586" spans="17:25">
      <c r="Q4586" s="6">
        <v>4556</v>
      </c>
      <c r="R4586" s="7">
        <v>47223</v>
      </c>
      <c r="S4586" s="210">
        <v>4.5</v>
      </c>
      <c r="T4586" s="8">
        <v>1.0001249999999999</v>
      </c>
      <c r="U4586" s="98">
        <v>4.5532793406053429</v>
      </c>
      <c r="V4586" s="106">
        <v>39043.260774278671</v>
      </c>
      <c r="W4586" s="10">
        <v>1.2801185453225949</v>
      </c>
      <c r="X4586" s="420"/>
      <c r="Y4586" s="420"/>
    </row>
    <row r="4587" spans="17:25">
      <c r="Q4587" s="6">
        <v>4557</v>
      </c>
      <c r="R4587" s="7">
        <v>47224</v>
      </c>
      <c r="S4587" s="210">
        <v>4.5</v>
      </c>
      <c r="T4587" s="8">
        <v>1.0001249999999999</v>
      </c>
      <c r="U4587" s="98">
        <v>4.5533044761399299</v>
      </c>
      <c r="V4587" s="106">
        <v>39046.618642037298</v>
      </c>
      <c r="W4587" s="10">
        <v>1.2801521537533</v>
      </c>
      <c r="X4587" s="420"/>
      <c r="Y4587" s="420"/>
    </row>
    <row r="4588" spans="17:25">
      <c r="Q4588" s="6">
        <v>4558</v>
      </c>
      <c r="R4588" s="7">
        <v>47225</v>
      </c>
      <c r="S4588" s="210">
        <v>4.5</v>
      </c>
      <c r="T4588" s="8">
        <v>1.0001249999999999</v>
      </c>
      <c r="U4588" s="98">
        <v>4.5533296006513568</v>
      </c>
      <c r="V4588" s="106">
        <v>39049.976798585223</v>
      </c>
      <c r="W4588" s="10">
        <v>1.2801857474481482</v>
      </c>
      <c r="X4588" s="420"/>
      <c r="Y4588" s="420"/>
    </row>
    <row r="4589" spans="17:25">
      <c r="Q4589" s="6">
        <v>4559</v>
      </c>
      <c r="R4589" s="7">
        <v>47226</v>
      </c>
      <c r="S4589" s="210">
        <v>4.5</v>
      </c>
      <c r="T4589" s="8">
        <v>1.0001249999999999</v>
      </c>
      <c r="U4589" s="98">
        <v>4.5533547141468844</v>
      </c>
      <c r="V4589" s="106">
        <v>39053.33524394728</v>
      </c>
      <c r="W4589" s="10">
        <v>1.2802193264168205</v>
      </c>
      <c r="X4589" s="420"/>
      <c r="Y4589" s="420"/>
    </row>
    <row r="4590" spans="17:25">
      <c r="Q4590" s="6">
        <v>4560</v>
      </c>
      <c r="R4590" s="7">
        <v>47227</v>
      </c>
      <c r="S4590" s="210">
        <v>4.5</v>
      </c>
      <c r="T4590" s="8">
        <v>1.0001249999999999</v>
      </c>
      <c r="U4590" s="98">
        <v>4.5533798166337514</v>
      </c>
      <c r="V4590" s="106">
        <v>39056.693978148316</v>
      </c>
      <c r="W4590" s="10">
        <v>1.2802528906690203</v>
      </c>
      <c r="X4590" s="420"/>
      <c r="Y4590" s="420"/>
    </row>
    <row r="4591" spans="17:25">
      <c r="Q4591" s="6">
        <v>4561</v>
      </c>
      <c r="R4591" s="7">
        <v>47228</v>
      </c>
      <c r="S4591" s="210">
        <v>4.5</v>
      </c>
      <c r="T4591" s="8">
        <v>1.0001249999999999</v>
      </c>
      <c r="U4591" s="98">
        <v>4.5534049081191741</v>
      </c>
      <c r="V4591" s="106">
        <v>39060.053001213164</v>
      </c>
      <c r="W4591" s="10">
        <v>1.2802864402143621</v>
      </c>
      <c r="X4591" s="420"/>
      <c r="Y4591" s="420"/>
    </row>
    <row r="4592" spans="17:25">
      <c r="Q4592" s="6">
        <v>4562</v>
      </c>
      <c r="R4592" s="7">
        <v>47229</v>
      </c>
      <c r="S4592" s="210">
        <v>4.5</v>
      </c>
      <c r="T4592" s="8">
        <v>1.0001249999999999</v>
      </c>
      <c r="U4592" s="98">
        <v>4.5534299886104135</v>
      </c>
      <c r="V4592" s="106">
        <v>39063.412313166671</v>
      </c>
      <c r="W4592" s="10">
        <v>1.2803199750625716</v>
      </c>
      <c r="X4592" s="420"/>
      <c r="Y4592" s="420"/>
    </row>
    <row r="4593" spans="17:25">
      <c r="Q4593" s="6">
        <v>4563</v>
      </c>
      <c r="R4593" s="7">
        <v>47230</v>
      </c>
      <c r="S4593" s="210">
        <v>4.5</v>
      </c>
      <c r="T4593" s="8">
        <v>1.0001249999999999</v>
      </c>
      <c r="U4593" s="98">
        <v>4.553455058114686</v>
      </c>
      <c r="V4593" s="106">
        <v>39066.771914033685</v>
      </c>
      <c r="W4593" s="10">
        <v>1.2803534952232853</v>
      </c>
      <c r="X4593" s="420"/>
      <c r="Y4593" s="420"/>
    </row>
    <row r="4594" spans="17:25">
      <c r="Q4594" s="6">
        <v>4564</v>
      </c>
      <c r="R4594" s="7">
        <v>47231</v>
      </c>
      <c r="S4594" s="210">
        <v>4.5</v>
      </c>
      <c r="T4594" s="8">
        <v>1.0001249999999999</v>
      </c>
      <c r="U4594" s="98">
        <v>4.553480116639208</v>
      </c>
      <c r="V4594" s="106">
        <v>39070.131803839045</v>
      </c>
      <c r="W4594" s="10">
        <v>1.2803870007061402</v>
      </c>
      <c r="X4594" s="420"/>
      <c r="Y4594" s="420"/>
    </row>
    <row r="4595" spans="17:25">
      <c r="Q4595" s="6">
        <v>4565</v>
      </c>
      <c r="R4595" s="7">
        <v>47232</v>
      </c>
      <c r="S4595" s="210">
        <v>4.5</v>
      </c>
      <c r="T4595" s="8">
        <v>1.0001249999999999</v>
      </c>
      <c r="U4595" s="98">
        <v>4.5535051641911739</v>
      </c>
      <c r="V4595" s="106">
        <v>39073.491982607615</v>
      </c>
      <c r="W4595" s="10">
        <v>1.2804204915207729</v>
      </c>
      <c r="X4595" s="420"/>
      <c r="Y4595" s="420"/>
    </row>
    <row r="4596" spans="17:25">
      <c r="Q4596" s="6">
        <v>4566</v>
      </c>
      <c r="R4596" s="7">
        <v>47233</v>
      </c>
      <c r="S4596" s="210">
        <v>4.5</v>
      </c>
      <c r="T4596" s="8">
        <v>1.0001249999999999</v>
      </c>
      <c r="U4596" s="98">
        <v>4.5535302007778</v>
      </c>
      <c r="V4596" s="106">
        <v>39076.85245036424</v>
      </c>
      <c r="W4596" s="10">
        <v>1.2804539676768201</v>
      </c>
      <c r="X4596" s="420"/>
      <c r="Y4596" s="420"/>
    </row>
    <row r="4597" spans="17:25">
      <c r="Q4597" s="6">
        <v>4567</v>
      </c>
      <c r="R4597" s="7">
        <v>47234</v>
      </c>
      <c r="S4597" s="210">
        <v>4.5</v>
      </c>
      <c r="T4597" s="8">
        <v>1.0001249999999999</v>
      </c>
      <c r="U4597" s="98">
        <v>4.5535552264063028</v>
      </c>
      <c r="V4597" s="106">
        <v>39080.213207133769</v>
      </c>
      <c r="W4597" s="10">
        <v>1.2804874291838964</v>
      </c>
      <c r="X4597" s="420"/>
      <c r="Y4597" s="420"/>
    </row>
    <row r="4598" spans="17:25">
      <c r="Q4598" s="6">
        <v>4568</v>
      </c>
      <c r="R4598" s="7">
        <v>47235</v>
      </c>
      <c r="S4598" s="210">
        <v>4.5</v>
      </c>
      <c r="T4598" s="8">
        <v>1.0001249999999999</v>
      </c>
      <c r="U4598" s="98">
        <v>4.5535802410838544</v>
      </c>
      <c r="V4598" s="106">
        <v>39083.574252941064</v>
      </c>
      <c r="W4598" s="10">
        <v>1.2805208760516384</v>
      </c>
      <c r="X4598" s="420"/>
      <c r="Y4598" s="420"/>
    </row>
    <row r="4599" spans="17:25">
      <c r="Q4599" s="6">
        <v>4569</v>
      </c>
      <c r="R4599" s="7">
        <v>47236</v>
      </c>
      <c r="S4599" s="210">
        <v>4.5</v>
      </c>
      <c r="T4599" s="8">
        <v>1.0001249999999999</v>
      </c>
      <c r="U4599" s="98">
        <v>4.5536052448176489</v>
      </c>
      <c r="V4599" s="106">
        <v>39086.935587810978</v>
      </c>
      <c r="W4599" s="10">
        <v>1.2805543082896387</v>
      </c>
      <c r="X4599" s="420"/>
      <c r="Y4599" s="420"/>
    </row>
    <row r="4600" spans="17:25">
      <c r="Q4600" s="6">
        <v>4570</v>
      </c>
      <c r="R4600" s="7">
        <v>47237</v>
      </c>
      <c r="S4600" s="210">
        <v>4.5</v>
      </c>
      <c r="T4600" s="8">
        <v>1.0001249999999999</v>
      </c>
      <c r="U4600" s="98">
        <v>4.5536302376148585</v>
      </c>
      <c r="V4600" s="106">
        <v>39090.297211768375</v>
      </c>
      <c r="W4600" s="10">
        <v>1.2805877259074672</v>
      </c>
      <c r="X4600" s="420"/>
      <c r="Y4600" s="420"/>
    </row>
    <row r="4601" spans="17:25">
      <c r="Q4601" s="6">
        <v>4571</v>
      </c>
      <c r="R4601" s="7">
        <v>47238</v>
      </c>
      <c r="S4601" s="210">
        <v>4.5</v>
      </c>
      <c r="T4601" s="8">
        <v>1.0001249999999999</v>
      </c>
      <c r="U4601" s="98">
        <v>4.5536552194826774</v>
      </c>
      <c r="V4601" s="106">
        <v>39093.659124838123</v>
      </c>
      <c r="W4601" s="10">
        <v>1.2806211289147607</v>
      </c>
      <c r="X4601" s="420"/>
      <c r="Y4601" s="420"/>
    </row>
    <row r="4602" spans="17:25">
      <c r="Q4602" s="6">
        <v>4572</v>
      </c>
      <c r="R4602" s="7">
        <v>47239</v>
      </c>
      <c r="S4602" s="210">
        <v>4.5</v>
      </c>
      <c r="T4602" s="8">
        <v>1.0001249999999999</v>
      </c>
      <c r="U4602" s="98">
        <v>4.5536801904282553</v>
      </c>
      <c r="V4602" s="106">
        <v>39097.021327045077</v>
      </c>
      <c r="W4602" s="10">
        <v>1.2806545173210671</v>
      </c>
      <c r="X4602" s="420"/>
      <c r="Y4602" s="420"/>
    </row>
    <row r="4603" spans="17:25">
      <c r="Q4603" s="6">
        <v>4573</v>
      </c>
      <c r="R4603" s="7">
        <v>47240</v>
      </c>
      <c r="S4603" s="210">
        <v>4.5</v>
      </c>
      <c r="T4603" s="8">
        <v>1.0001249999999999</v>
      </c>
      <c r="U4603" s="98">
        <v>4.5537051504587645</v>
      </c>
      <c r="V4603" s="106">
        <v>39100.383818414106</v>
      </c>
      <c r="W4603" s="10">
        <v>1.2806878911359787</v>
      </c>
      <c r="X4603" s="420"/>
      <c r="Y4603" s="420"/>
    </row>
    <row r="4604" spans="17:25">
      <c r="Q4604" s="6">
        <v>4574</v>
      </c>
      <c r="R4604" s="7">
        <v>47241</v>
      </c>
      <c r="S4604" s="210">
        <v>4.5</v>
      </c>
      <c r="T4604" s="8">
        <v>1.0001249999999999</v>
      </c>
      <c r="U4604" s="98">
        <v>4.5537300995813546</v>
      </c>
      <c r="V4604" s="106">
        <v>39103.746598970094</v>
      </c>
      <c r="W4604" s="10">
        <v>1.2807212503690435</v>
      </c>
      <c r="X4604" s="420"/>
      <c r="Y4604" s="420"/>
    </row>
    <row r="4605" spans="17:25">
      <c r="Q4605" s="6">
        <v>4575</v>
      </c>
      <c r="R4605" s="7">
        <v>47242</v>
      </c>
      <c r="S4605" s="210">
        <v>4.5</v>
      </c>
      <c r="T4605" s="8">
        <v>1.0001249999999999</v>
      </c>
      <c r="U4605" s="98">
        <v>4.5537550378031755</v>
      </c>
      <c r="V4605" s="106">
        <v>39107.109668737889</v>
      </c>
      <c r="W4605" s="10">
        <v>1.2807545950298094</v>
      </c>
      <c r="X4605" s="420"/>
      <c r="Y4605" s="420"/>
    </row>
    <row r="4606" spans="17:25">
      <c r="Q4606" s="6">
        <v>4576</v>
      </c>
      <c r="R4606" s="7">
        <v>47243</v>
      </c>
      <c r="S4606" s="210">
        <v>4.5</v>
      </c>
      <c r="T4606" s="8">
        <v>1.0001249999999999</v>
      </c>
      <c r="U4606" s="98">
        <v>4.5537799651313549</v>
      </c>
      <c r="V4606" s="106">
        <v>39110.473027742373</v>
      </c>
      <c r="W4606" s="10">
        <v>1.280787925127802</v>
      </c>
      <c r="X4606" s="420"/>
      <c r="Y4606" s="420"/>
    </row>
    <row r="4607" spans="17:25">
      <c r="Q4607" s="6">
        <v>4577</v>
      </c>
      <c r="R4607" s="7">
        <v>47244</v>
      </c>
      <c r="S4607" s="210">
        <v>4.5</v>
      </c>
      <c r="T4607" s="8">
        <v>1.0001249999999999</v>
      </c>
      <c r="U4607" s="98">
        <v>4.5538048815730425</v>
      </c>
      <c r="V4607" s="106">
        <v>39113.836676008432</v>
      </c>
      <c r="W4607" s="10">
        <v>1.2808212406726138</v>
      </c>
      <c r="X4607" s="420"/>
      <c r="Y4607" s="420"/>
    </row>
    <row r="4608" spans="17:25">
      <c r="Q4608" s="6">
        <v>4578</v>
      </c>
      <c r="R4608" s="7">
        <v>47245</v>
      </c>
      <c r="S4608" s="210">
        <v>4.5</v>
      </c>
      <c r="T4608" s="8">
        <v>1.0001249999999999</v>
      </c>
      <c r="U4608" s="98">
        <v>4.5538297871353661</v>
      </c>
      <c r="V4608" s="106">
        <v>39117.200613560926</v>
      </c>
      <c r="W4608" s="10">
        <v>1.2808545416737482</v>
      </c>
      <c r="X4608" s="420"/>
      <c r="Y4608" s="420"/>
    </row>
    <row r="4609" spans="17:25">
      <c r="Q4609" s="6">
        <v>4579</v>
      </c>
      <c r="R4609" s="7">
        <v>47246</v>
      </c>
      <c r="S4609" s="210">
        <v>4.5</v>
      </c>
      <c r="T4609" s="8">
        <v>1.0001249999999999</v>
      </c>
      <c r="U4609" s="98">
        <v>4.5538546818254533</v>
      </c>
      <c r="V4609" s="106">
        <v>39120.564840424748</v>
      </c>
      <c r="W4609" s="10">
        <v>1.2808878281407088</v>
      </c>
      <c r="X4609" s="420"/>
      <c r="Y4609" s="420"/>
    </row>
    <row r="4610" spans="17:25">
      <c r="Q4610" s="6">
        <v>4580</v>
      </c>
      <c r="R4610" s="7">
        <v>47247</v>
      </c>
      <c r="S4610" s="210">
        <v>4.5</v>
      </c>
      <c r="T4610" s="8">
        <v>1.0001249999999999</v>
      </c>
      <c r="U4610" s="98">
        <v>4.5538795656504316</v>
      </c>
      <c r="V4610" s="106">
        <v>39123.929356624765</v>
      </c>
      <c r="W4610" s="10">
        <v>1.2809211000830656</v>
      </c>
      <c r="X4610" s="420"/>
      <c r="Y4610" s="420"/>
    </row>
    <row r="4611" spans="17:25">
      <c r="Q4611" s="6">
        <v>4581</v>
      </c>
      <c r="R4611" s="7">
        <v>47248</v>
      </c>
      <c r="S4611" s="210">
        <v>4.5</v>
      </c>
      <c r="T4611" s="8">
        <v>1.0001249999999999</v>
      </c>
      <c r="U4611" s="98">
        <v>4.5539044386174066</v>
      </c>
      <c r="V4611" s="106">
        <v>39127.294162185884</v>
      </c>
      <c r="W4611" s="10">
        <v>1.2809543575102555</v>
      </c>
      <c r="X4611" s="420"/>
      <c r="Y4611" s="420"/>
    </row>
    <row r="4612" spans="17:25">
      <c r="Q4612" s="6">
        <v>4582</v>
      </c>
      <c r="R4612" s="7">
        <v>47249</v>
      </c>
      <c r="S4612" s="210">
        <v>4.5</v>
      </c>
      <c r="T4612" s="8">
        <v>1.0001249999999999</v>
      </c>
      <c r="U4612" s="98">
        <v>4.5539293007334614</v>
      </c>
      <c r="V4612" s="106">
        <v>39130.659257132982</v>
      </c>
      <c r="W4612" s="10">
        <v>1.2809876004318044</v>
      </c>
      <c r="X4612" s="420"/>
      <c r="Y4612" s="420"/>
    </row>
    <row r="4613" spans="17:25">
      <c r="Q4613" s="6">
        <v>4583</v>
      </c>
      <c r="R4613" s="7">
        <v>47250</v>
      </c>
      <c r="S4613" s="210">
        <v>4.5</v>
      </c>
      <c r="T4613" s="8">
        <v>1.0001249999999999</v>
      </c>
      <c r="U4613" s="98">
        <v>4.5539541520057236</v>
      </c>
      <c r="V4613" s="106">
        <v>39134.024641490934</v>
      </c>
      <c r="W4613" s="10">
        <v>1.2810208288572156</v>
      </c>
      <c r="X4613" s="420"/>
      <c r="Y4613" s="420"/>
    </row>
    <row r="4614" spans="17:25">
      <c r="Q4614" s="6">
        <v>4584</v>
      </c>
      <c r="R4614" s="7">
        <v>47251</v>
      </c>
      <c r="S4614" s="210">
        <v>4.5</v>
      </c>
      <c r="T4614" s="8">
        <v>1.0001249999999999</v>
      </c>
      <c r="U4614" s="98">
        <v>4.5539789924412766</v>
      </c>
      <c r="V4614" s="106">
        <v>39137.39031528464</v>
      </c>
      <c r="W4614" s="10">
        <v>1.2810540427959483</v>
      </c>
      <c r="X4614" s="420"/>
      <c r="Y4614" s="420"/>
    </row>
    <row r="4615" spans="17:25">
      <c r="Q4615" s="6">
        <v>4585</v>
      </c>
      <c r="R4615" s="7">
        <v>47252</v>
      </c>
      <c r="S4615" s="210">
        <v>4.5</v>
      </c>
      <c r="T4615" s="8">
        <v>1.0001249999999999</v>
      </c>
      <c r="U4615" s="98">
        <v>4.5540038220472034</v>
      </c>
      <c r="V4615" s="106">
        <v>39140.756278538996</v>
      </c>
      <c r="W4615" s="10">
        <v>1.2810872422574837</v>
      </c>
      <c r="X4615" s="420"/>
      <c r="Y4615" s="420"/>
    </row>
    <row r="4616" spans="17:25">
      <c r="Q4616" s="6">
        <v>4586</v>
      </c>
      <c r="R4616" s="7">
        <v>47253</v>
      </c>
      <c r="S4616" s="210">
        <v>4.5</v>
      </c>
      <c r="T4616" s="8">
        <v>1.0001249999999999</v>
      </c>
      <c r="U4616" s="98">
        <v>4.5540286408305874</v>
      </c>
      <c r="V4616" s="106">
        <v>39144.122531278896</v>
      </c>
      <c r="W4616" s="10">
        <v>1.2811204272512811</v>
      </c>
      <c r="X4616" s="420"/>
      <c r="Y4616" s="420"/>
    </row>
    <row r="4617" spans="17:25">
      <c r="Q4617" s="6">
        <v>4587</v>
      </c>
      <c r="R4617" s="7">
        <v>47254</v>
      </c>
      <c r="S4617" s="210">
        <v>4.5</v>
      </c>
      <c r="T4617" s="8">
        <v>1.0001249999999999</v>
      </c>
      <c r="U4617" s="98">
        <v>4.5540534487984896</v>
      </c>
      <c r="V4617" s="106">
        <v>39147.489073529228</v>
      </c>
      <c r="W4617" s="10">
        <v>1.2811535977867772</v>
      </c>
      <c r="X4617" s="420"/>
      <c r="Y4617" s="420"/>
    </row>
    <row r="4618" spans="17:25">
      <c r="Q4618" s="6">
        <v>4588</v>
      </c>
      <c r="R4618" s="7">
        <v>47255</v>
      </c>
      <c r="S4618" s="210">
        <v>4.5</v>
      </c>
      <c r="T4618" s="8">
        <v>1.0001249999999999</v>
      </c>
      <c r="U4618" s="98">
        <v>4.5540782459579932</v>
      </c>
      <c r="V4618" s="106">
        <v>39150.8559053149</v>
      </c>
      <c r="W4618" s="10">
        <v>1.2811867538734534</v>
      </c>
      <c r="X4618" s="420"/>
      <c r="Y4618" s="420"/>
    </row>
    <row r="4619" spans="17:25">
      <c r="Q4619" s="6">
        <v>4589</v>
      </c>
      <c r="R4619" s="7">
        <v>47256</v>
      </c>
      <c r="S4619" s="210">
        <v>4.5</v>
      </c>
      <c r="T4619" s="8">
        <v>1.0001249999999999</v>
      </c>
      <c r="U4619" s="98">
        <v>4.5541030323161591</v>
      </c>
      <c r="V4619" s="106">
        <v>39154.223026660809</v>
      </c>
      <c r="W4619" s="10">
        <v>1.2812198955207244</v>
      </c>
      <c r="X4619" s="420"/>
      <c r="Y4619" s="420"/>
    </row>
    <row r="4620" spans="17:25">
      <c r="Q4620" s="6">
        <v>4590</v>
      </c>
      <c r="R4620" s="7">
        <v>47257</v>
      </c>
      <c r="S4620" s="210">
        <v>4.5</v>
      </c>
      <c r="T4620" s="8">
        <v>1.0001249999999999</v>
      </c>
      <c r="U4620" s="98">
        <v>4.5541278078800485</v>
      </c>
      <c r="V4620" s="106">
        <v>39157.590437591869</v>
      </c>
      <c r="W4620" s="10">
        <v>1.281253022738027</v>
      </c>
      <c r="X4620" s="420"/>
      <c r="Y4620" s="420"/>
    </row>
    <row r="4621" spans="17:25">
      <c r="Q4621" s="6">
        <v>4591</v>
      </c>
      <c r="R4621" s="7">
        <v>47258</v>
      </c>
      <c r="S4621" s="210">
        <v>4.5</v>
      </c>
      <c r="T4621" s="8">
        <v>1.0001249999999999</v>
      </c>
      <c r="U4621" s="98">
        <v>4.5541525726567</v>
      </c>
      <c r="V4621" s="106">
        <v>39160.95813813297</v>
      </c>
      <c r="W4621" s="10">
        <v>1.2812861355347982</v>
      </c>
      <c r="X4621" s="420"/>
      <c r="Y4621" s="420"/>
    </row>
    <row r="4622" spans="17:25">
      <c r="Q4622" s="6">
        <v>4592</v>
      </c>
      <c r="R4622" s="7">
        <v>47259</v>
      </c>
      <c r="S4622" s="210">
        <v>4.5</v>
      </c>
      <c r="T4622" s="8">
        <v>1.0001249999999999</v>
      </c>
      <c r="U4622" s="98">
        <v>4.5541773266531527</v>
      </c>
      <c r="V4622" s="106">
        <v>39164.326128309025</v>
      </c>
      <c r="W4622" s="10">
        <v>1.2813192339204305</v>
      </c>
      <c r="X4622" s="420"/>
      <c r="Y4622" s="420"/>
    </row>
    <row r="4623" spans="17:25">
      <c r="Q4623" s="6">
        <v>4593</v>
      </c>
      <c r="R4623" s="7">
        <v>47260</v>
      </c>
      <c r="S4623" s="210">
        <v>4.5</v>
      </c>
      <c r="T4623" s="8">
        <v>1.0001249999999999</v>
      </c>
      <c r="U4623" s="98">
        <v>4.5542020698764674</v>
      </c>
      <c r="V4623" s="106">
        <v>39167.69440814494</v>
      </c>
      <c r="W4623" s="10">
        <v>1.2813523179043385</v>
      </c>
      <c r="X4623" s="420"/>
      <c r="Y4623" s="420"/>
    </row>
    <row r="4624" spans="17:25">
      <c r="Q4624" s="6">
        <v>4594</v>
      </c>
      <c r="R4624" s="7">
        <v>47261</v>
      </c>
      <c r="S4624" s="210">
        <v>4.5</v>
      </c>
      <c r="T4624" s="8">
        <v>1.0001249999999999</v>
      </c>
      <c r="U4624" s="98">
        <v>4.5542268023336607</v>
      </c>
      <c r="V4624" s="106">
        <v>39171.062977665635</v>
      </c>
      <c r="W4624" s="10">
        <v>1.2813853874959369</v>
      </c>
      <c r="X4624" s="420"/>
      <c r="Y4624" s="420"/>
    </row>
    <row r="4625" spans="17:25">
      <c r="Q4625" s="6">
        <v>4595</v>
      </c>
      <c r="R4625" s="7">
        <v>47262</v>
      </c>
      <c r="S4625" s="210">
        <v>4.5</v>
      </c>
      <c r="T4625" s="8">
        <v>1.0001249999999999</v>
      </c>
      <c r="U4625" s="98">
        <v>4.5542515240317494</v>
      </c>
      <c r="V4625" s="106">
        <v>39174.431836896023</v>
      </c>
      <c r="W4625" s="10">
        <v>1.2814184427045738</v>
      </c>
      <c r="X4625" s="420"/>
      <c r="Y4625" s="420"/>
    </row>
    <row r="4626" spans="17:25">
      <c r="Q4626" s="6">
        <v>4596</v>
      </c>
      <c r="R4626" s="7">
        <v>47263</v>
      </c>
      <c r="S4626" s="210">
        <v>4.5</v>
      </c>
      <c r="T4626" s="8">
        <v>1.0001249999999999</v>
      </c>
      <c r="U4626" s="98">
        <v>4.5542762349777721</v>
      </c>
      <c r="V4626" s="106">
        <v>39177.800985861017</v>
      </c>
      <c r="W4626" s="10">
        <v>1.281451483539664</v>
      </c>
      <c r="X4626" s="420"/>
      <c r="Y4626" s="420"/>
    </row>
    <row r="4627" spans="17:25">
      <c r="Q4627" s="6">
        <v>4597</v>
      </c>
      <c r="R4627" s="7">
        <v>47264</v>
      </c>
      <c r="S4627" s="210">
        <v>4.5</v>
      </c>
      <c r="T4627" s="8">
        <v>1.0001249999999999</v>
      </c>
      <c r="U4627" s="98">
        <v>4.5543009351787234</v>
      </c>
      <c r="V4627" s="106">
        <v>39181.170424585536</v>
      </c>
      <c r="W4627" s="10">
        <v>1.2814845100105776</v>
      </c>
      <c r="X4627" s="420"/>
      <c r="Y4627" s="420"/>
    </row>
    <row r="4628" spans="17:25">
      <c r="Q4628" s="6">
        <v>4598</v>
      </c>
      <c r="R4628" s="7">
        <v>47265</v>
      </c>
      <c r="S4628" s="210">
        <v>4.5</v>
      </c>
      <c r="T4628" s="8">
        <v>1.0001249999999999</v>
      </c>
      <c r="U4628" s="98">
        <v>4.5543256246416197</v>
      </c>
      <c r="V4628" s="106">
        <v>39184.540153094495</v>
      </c>
      <c r="W4628" s="10">
        <v>1.2815175221266628</v>
      </c>
      <c r="X4628" s="420"/>
      <c r="Y4628" s="420"/>
    </row>
    <row r="4629" spans="17:25">
      <c r="Q4629" s="6">
        <v>4599</v>
      </c>
      <c r="R4629" s="7">
        <v>47266</v>
      </c>
      <c r="S4629" s="210">
        <v>4.5</v>
      </c>
      <c r="T4629" s="8">
        <v>1.0001249999999999</v>
      </c>
      <c r="U4629" s="98">
        <v>4.5543503033734556</v>
      </c>
      <c r="V4629" s="106">
        <v>39187.910171412826</v>
      </c>
      <c r="W4629" s="10">
        <v>1.2815505198972899</v>
      </c>
      <c r="X4629" s="420"/>
      <c r="Y4629" s="420"/>
    </row>
    <row r="4630" spans="17:25">
      <c r="Q4630" s="6">
        <v>4600</v>
      </c>
      <c r="R4630" s="7">
        <v>47267</v>
      </c>
      <c r="S4630" s="210">
        <v>4.5</v>
      </c>
      <c r="T4630" s="8">
        <v>1.0001249999999999</v>
      </c>
      <c r="U4630" s="98">
        <v>4.5543749713812254</v>
      </c>
      <c r="V4630" s="106">
        <v>39191.280479565452</v>
      </c>
      <c r="W4630" s="10">
        <v>1.2815835033317846</v>
      </c>
      <c r="X4630" s="420"/>
      <c r="Y4630" s="420"/>
    </row>
    <row r="4631" spans="17:25">
      <c r="Q4631" s="6">
        <v>4601</v>
      </c>
      <c r="R4631" s="7">
        <v>47268</v>
      </c>
      <c r="S4631" s="210">
        <v>4.5</v>
      </c>
      <c r="T4631" s="8">
        <v>1.0001249999999999</v>
      </c>
      <c r="U4631" s="98">
        <v>4.5543996286719235</v>
      </c>
      <c r="V4631" s="106">
        <v>39194.651077577291</v>
      </c>
      <c r="W4631" s="10">
        <v>1.2816164724395174</v>
      </c>
      <c r="X4631" s="420"/>
      <c r="Y4631" s="420"/>
    </row>
    <row r="4632" spans="17:25">
      <c r="Q4632" s="6">
        <v>4602</v>
      </c>
      <c r="R4632" s="7">
        <v>47269</v>
      </c>
      <c r="S4632" s="210">
        <v>4.5</v>
      </c>
      <c r="T4632" s="8">
        <v>1.0001249999999999</v>
      </c>
      <c r="U4632" s="98">
        <v>4.5544242752525221</v>
      </c>
      <c r="V4632" s="106">
        <v>39198.021965473279</v>
      </c>
      <c r="W4632" s="10">
        <v>1.281649427229814</v>
      </c>
      <c r="X4632" s="420"/>
      <c r="Y4632" s="420"/>
    </row>
    <row r="4633" spans="17:25">
      <c r="Q4633" s="6">
        <v>4603</v>
      </c>
      <c r="R4633" s="7">
        <v>47270</v>
      </c>
      <c r="S4633" s="210">
        <v>4.5</v>
      </c>
      <c r="T4633" s="8">
        <v>1.0001249999999999</v>
      </c>
      <c r="U4633" s="98">
        <v>4.5544489111300157</v>
      </c>
      <c r="V4633" s="106">
        <v>39201.39314327835</v>
      </c>
      <c r="W4633" s="10">
        <v>1.2816823677120004</v>
      </c>
      <c r="X4633" s="420"/>
      <c r="Y4633" s="420"/>
    </row>
    <row r="4634" spans="17:25">
      <c r="Q4634" s="6">
        <v>4604</v>
      </c>
      <c r="R4634" s="7">
        <v>47271</v>
      </c>
      <c r="S4634" s="210">
        <v>4.5</v>
      </c>
      <c r="T4634" s="8">
        <v>1.0001249999999999</v>
      </c>
      <c r="U4634" s="98">
        <v>4.5544735363113542</v>
      </c>
      <c r="V4634" s="106">
        <v>39204.764611017432</v>
      </c>
      <c r="W4634" s="10">
        <v>1.281715293895358</v>
      </c>
      <c r="X4634" s="420"/>
      <c r="Y4634" s="420"/>
    </row>
    <row r="4635" spans="17:25">
      <c r="Q4635" s="6">
        <v>4605</v>
      </c>
      <c r="R4635" s="7">
        <v>47272</v>
      </c>
      <c r="S4635" s="210">
        <v>4.5</v>
      </c>
      <c r="T4635" s="8">
        <v>1.0001249999999999</v>
      </c>
      <c r="U4635" s="98">
        <v>4.554498150803532</v>
      </c>
      <c r="V4635" s="106">
        <v>39208.136368715459</v>
      </c>
      <c r="W4635" s="10">
        <v>1.2817482057892571</v>
      </c>
      <c r="X4635" s="420"/>
      <c r="Y4635" s="420"/>
    </row>
    <row r="4636" spans="17:25">
      <c r="Q4636" s="6">
        <v>4606</v>
      </c>
      <c r="R4636" s="7">
        <v>47273</v>
      </c>
      <c r="S4636" s="210">
        <v>4.5</v>
      </c>
      <c r="T4636" s="8">
        <v>1.0001249999999999</v>
      </c>
      <c r="U4636" s="98">
        <v>4.554522754613477</v>
      </c>
      <c r="V4636" s="106">
        <v>39211.508416397373</v>
      </c>
      <c r="W4636" s="10">
        <v>1.2817811034029569</v>
      </c>
      <c r="X4636" s="420"/>
      <c r="Y4636" s="420"/>
    </row>
    <row r="4637" spans="17:25">
      <c r="Q4637" s="6">
        <v>4607</v>
      </c>
      <c r="R4637" s="7">
        <v>47274</v>
      </c>
      <c r="S4637" s="210">
        <v>4.5</v>
      </c>
      <c r="T4637" s="8">
        <v>1.0001249999999999</v>
      </c>
      <c r="U4637" s="98">
        <v>4.5545473477481613</v>
      </c>
      <c r="V4637" s="106">
        <v>39214.880754088117</v>
      </c>
      <c r="W4637" s="10">
        <v>1.2818139867457612</v>
      </c>
      <c r="X4637" s="420"/>
      <c r="Y4637" s="420"/>
    </row>
    <row r="4638" spans="17:25">
      <c r="Q4638" s="6">
        <v>4608</v>
      </c>
      <c r="R4638" s="7">
        <v>47275</v>
      </c>
      <c r="S4638" s="210">
        <v>4.5</v>
      </c>
      <c r="T4638" s="8">
        <v>1.0001249999999999</v>
      </c>
      <c r="U4638" s="98">
        <v>4.5545719302145127</v>
      </c>
      <c r="V4638" s="106">
        <v>39218.253381812625</v>
      </c>
      <c r="W4638" s="10">
        <v>1.2818468558269513</v>
      </c>
      <c r="X4638" s="420"/>
      <c r="Y4638" s="420"/>
    </row>
    <row r="4639" spans="17:25">
      <c r="Q4639" s="6">
        <v>4609</v>
      </c>
      <c r="R4639" s="7">
        <v>47276</v>
      </c>
      <c r="S4639" s="210">
        <v>4.5</v>
      </c>
      <c r="T4639" s="8">
        <v>1.0001249999999999</v>
      </c>
      <c r="U4639" s="98">
        <v>4.5545965020194812</v>
      </c>
      <c r="V4639" s="106">
        <v>39221.626299595846</v>
      </c>
      <c r="W4639" s="10">
        <v>1.2818797106557867</v>
      </c>
      <c r="X4639" s="420"/>
      <c r="Y4639" s="420"/>
    </row>
    <row r="4640" spans="17:25">
      <c r="Q4640" s="6">
        <v>4610</v>
      </c>
      <c r="R4640" s="7">
        <v>47277</v>
      </c>
      <c r="S4640" s="210">
        <v>4.5</v>
      </c>
      <c r="T4640" s="8">
        <v>1.0001249999999999</v>
      </c>
      <c r="U4640" s="98">
        <v>4.5546210631699946</v>
      </c>
      <c r="V4640" s="106">
        <v>39224.999507462715</v>
      </c>
      <c r="W4640" s="10">
        <v>1.2819125512415486</v>
      </c>
      <c r="X4640" s="420"/>
      <c r="Y4640" s="420"/>
    </row>
    <row r="4641" spans="17:25">
      <c r="Q4641" s="6">
        <v>4611</v>
      </c>
      <c r="R4641" s="7">
        <v>47278</v>
      </c>
      <c r="S4641" s="210">
        <v>4.5</v>
      </c>
      <c r="T4641" s="8">
        <v>1.0001249999999999</v>
      </c>
      <c r="U4641" s="98">
        <v>4.5546456136730029</v>
      </c>
      <c r="V4641" s="106">
        <v>39228.373005438203</v>
      </c>
      <c r="W4641" s="10">
        <v>1.2819453775935186</v>
      </c>
      <c r="X4641" s="420"/>
      <c r="Y4641" s="420"/>
    </row>
    <row r="4642" spans="17:25">
      <c r="Q4642" s="6">
        <v>4612</v>
      </c>
      <c r="R4642" s="7">
        <v>47279</v>
      </c>
      <c r="S4642" s="210">
        <v>4.5</v>
      </c>
      <c r="T4642" s="8">
        <v>1.0001249999999999</v>
      </c>
      <c r="U4642" s="98">
        <v>4.5546701535354117</v>
      </c>
      <c r="V4642" s="106">
        <v>39231.746793547238</v>
      </c>
      <c r="W4642" s="10">
        <v>1.2819781897209337</v>
      </c>
      <c r="X4642" s="420"/>
      <c r="Y4642" s="420"/>
    </row>
    <row r="4643" spans="17:25">
      <c r="Q4643" s="6">
        <v>4613</v>
      </c>
      <c r="R4643" s="7">
        <v>47280</v>
      </c>
      <c r="S4643" s="210">
        <v>4.5</v>
      </c>
      <c r="T4643" s="8">
        <v>1.0001249999999999</v>
      </c>
      <c r="U4643" s="98">
        <v>4.5546946827641266</v>
      </c>
      <c r="V4643" s="106">
        <v>39235.12087181479</v>
      </c>
      <c r="W4643" s="10">
        <v>1.2820109876330088</v>
      </c>
      <c r="X4643" s="420"/>
      <c r="Y4643" s="420"/>
    </row>
    <row r="4644" spans="17:25">
      <c r="Q4644" s="6">
        <v>4614</v>
      </c>
      <c r="R4644" s="7">
        <v>47281</v>
      </c>
      <c r="S4644" s="210">
        <v>4.5</v>
      </c>
      <c r="T4644" s="8">
        <v>1.0001249999999999</v>
      </c>
      <c r="U4644" s="98">
        <v>4.5547192013660753</v>
      </c>
      <c r="V4644" s="106">
        <v>39238.495240265795</v>
      </c>
      <c r="W4644" s="10">
        <v>1.2820437713390032</v>
      </c>
      <c r="X4644" s="420"/>
      <c r="Y4644" s="420"/>
    </row>
    <row r="4645" spans="17:25">
      <c r="Q4645" s="6">
        <v>4615</v>
      </c>
      <c r="R4645" s="7">
        <v>47282</v>
      </c>
      <c r="S4645" s="210">
        <v>4.5</v>
      </c>
      <c r="T4645" s="8">
        <v>1.0001249999999999</v>
      </c>
      <c r="U4645" s="98">
        <v>4.5547437093481635</v>
      </c>
      <c r="V4645" s="106">
        <v>39241.869898925223</v>
      </c>
      <c r="W4645" s="10">
        <v>1.2820765408481538</v>
      </c>
      <c r="X4645" s="420"/>
      <c r="Y4645" s="420"/>
    </row>
    <row r="4646" spans="17:25">
      <c r="Q4646" s="6">
        <v>4616</v>
      </c>
      <c r="R4646" s="7">
        <v>47283</v>
      </c>
      <c r="S4646" s="210">
        <v>4.5</v>
      </c>
      <c r="T4646" s="8">
        <v>1.0001249999999999</v>
      </c>
      <c r="U4646" s="98">
        <v>4.5547682067172746</v>
      </c>
      <c r="V4646" s="106">
        <v>39245.24484781803</v>
      </c>
      <c r="W4646" s="10">
        <v>1.2821092961696756</v>
      </c>
      <c r="X4646" s="420"/>
      <c r="Y4646" s="420"/>
    </row>
    <row r="4647" spans="17:25">
      <c r="Q4647" s="6">
        <v>4617</v>
      </c>
      <c r="R4647" s="7">
        <v>47284</v>
      </c>
      <c r="S4647" s="210">
        <v>4.5</v>
      </c>
      <c r="T4647" s="8">
        <v>1.0001249999999999</v>
      </c>
      <c r="U4647" s="98">
        <v>4.554792693480314</v>
      </c>
      <c r="V4647" s="106">
        <v>39248.620086969182</v>
      </c>
      <c r="W4647" s="10">
        <v>1.2821420373127834</v>
      </c>
      <c r="X4647" s="420"/>
      <c r="Y4647" s="420"/>
    </row>
    <row r="4648" spans="17:25">
      <c r="Q4648" s="6">
        <v>4618</v>
      </c>
      <c r="R4648" s="7">
        <v>47285</v>
      </c>
      <c r="S4648" s="210">
        <v>4.5</v>
      </c>
      <c r="T4648" s="8">
        <v>1.0001249999999999</v>
      </c>
      <c r="U4648" s="98">
        <v>4.5548171696441653</v>
      </c>
      <c r="V4648" s="106">
        <v>39251.995616403634</v>
      </c>
      <c r="W4648" s="10">
        <v>1.2821747642866699</v>
      </c>
      <c r="X4648" s="420"/>
      <c r="Y4648" s="420"/>
    </row>
    <row r="4649" spans="17:25">
      <c r="Q4649" s="6">
        <v>4619</v>
      </c>
      <c r="R4649" s="7">
        <v>47286</v>
      </c>
      <c r="S4649" s="210">
        <v>4.5</v>
      </c>
      <c r="T4649" s="8">
        <v>1.0001249999999999</v>
      </c>
      <c r="U4649" s="98">
        <v>4.5548416352157117</v>
      </c>
      <c r="V4649" s="106">
        <v>39255.371436146357</v>
      </c>
      <c r="W4649" s="10">
        <v>1.2822074771005498</v>
      </c>
      <c r="X4649" s="420"/>
      <c r="Y4649" s="420"/>
    </row>
    <row r="4650" spans="17:25">
      <c r="Q4650" s="6">
        <v>4620</v>
      </c>
      <c r="R4650" s="7">
        <v>47287</v>
      </c>
      <c r="S4650" s="210">
        <v>4.5</v>
      </c>
      <c r="T4650" s="8">
        <v>1.0001249999999999</v>
      </c>
      <c r="U4650" s="98">
        <v>4.5548660902018145</v>
      </c>
      <c r="V4650" s="106">
        <v>39258.747546222316</v>
      </c>
      <c r="W4650" s="10">
        <v>1.2822401757635715</v>
      </c>
      <c r="X4650" s="420"/>
      <c r="Y4650" s="420"/>
    </row>
    <row r="4651" spans="17:25">
      <c r="Q4651" s="6">
        <v>4621</v>
      </c>
      <c r="R4651" s="7">
        <v>47288</v>
      </c>
      <c r="S4651" s="210">
        <v>4.5</v>
      </c>
      <c r="T4651" s="8">
        <v>1.0001249999999999</v>
      </c>
      <c r="U4651" s="98">
        <v>4.5548905346093571</v>
      </c>
      <c r="V4651" s="106">
        <v>39262.12394665648</v>
      </c>
      <c r="W4651" s="10">
        <v>1.282272860284972</v>
      </c>
      <c r="X4651" s="420"/>
      <c r="Y4651" s="420"/>
    </row>
    <row r="4652" spans="17:25">
      <c r="Q4652" s="6">
        <v>4622</v>
      </c>
      <c r="R4652" s="7">
        <v>47289</v>
      </c>
      <c r="S4652" s="210">
        <v>4.5</v>
      </c>
      <c r="T4652" s="8">
        <v>1.0001249999999999</v>
      </c>
      <c r="U4652" s="98">
        <v>4.5549149684452006</v>
      </c>
      <c r="V4652" s="106">
        <v>39265.500637473822</v>
      </c>
      <c r="W4652" s="10">
        <v>1.2823055306738773</v>
      </c>
      <c r="X4652" s="420"/>
      <c r="Y4652" s="420"/>
    </row>
    <row r="4653" spans="17:25">
      <c r="Q4653" s="6">
        <v>4623</v>
      </c>
      <c r="R4653" s="7">
        <v>47290</v>
      </c>
      <c r="S4653" s="210">
        <v>4.5</v>
      </c>
      <c r="T4653" s="8">
        <v>1.0001249999999999</v>
      </c>
      <c r="U4653" s="98">
        <v>4.554939391716184</v>
      </c>
      <c r="V4653" s="106">
        <v>39268.877618699313</v>
      </c>
      <c r="W4653" s="10">
        <v>1.2823381869394579</v>
      </c>
      <c r="X4653" s="420"/>
      <c r="Y4653" s="420"/>
    </row>
    <row r="4654" spans="17:25">
      <c r="Q4654" s="6">
        <v>4624</v>
      </c>
      <c r="R4654" s="7">
        <v>47291</v>
      </c>
      <c r="S4654" s="210">
        <v>4.5</v>
      </c>
      <c r="T4654" s="8">
        <v>1.0001249999999999</v>
      </c>
      <c r="U4654" s="98">
        <v>4.5549638044291685</v>
      </c>
      <c r="V4654" s="106">
        <v>39272.254890357945</v>
      </c>
      <c r="W4654" s="10">
        <v>1.2823708290908842</v>
      </c>
      <c r="X4654" s="420"/>
      <c r="Y4654" s="420"/>
    </row>
    <row r="4655" spans="17:25">
      <c r="Q4655" s="6">
        <v>4625</v>
      </c>
      <c r="R4655" s="7">
        <v>47292</v>
      </c>
      <c r="S4655" s="210">
        <v>4.5</v>
      </c>
      <c r="T4655" s="8">
        <v>1.0001249999999999</v>
      </c>
      <c r="U4655" s="98">
        <v>4.5549882065910152</v>
      </c>
      <c r="V4655" s="106">
        <v>39275.632452474674</v>
      </c>
      <c r="W4655" s="10">
        <v>1.2824034571373044</v>
      </c>
      <c r="X4655" s="420"/>
      <c r="Y4655" s="420"/>
    </row>
    <row r="4656" spans="17:25">
      <c r="Q4656" s="6">
        <v>4626</v>
      </c>
      <c r="R4656" s="7">
        <v>47293</v>
      </c>
      <c r="S4656" s="210">
        <v>4.5</v>
      </c>
      <c r="T4656" s="8">
        <v>1.0001249999999999</v>
      </c>
      <c r="U4656" s="98">
        <v>4.555012598208541</v>
      </c>
      <c r="V4656" s="106">
        <v>39279.010305074495</v>
      </c>
      <c r="W4656" s="10">
        <v>1.2824360710878446</v>
      </c>
      <c r="X4656" s="420"/>
      <c r="Y4656" s="420"/>
    </row>
    <row r="4657" spans="17:25">
      <c r="Q4657" s="6">
        <v>4627</v>
      </c>
      <c r="R4657" s="7">
        <v>47294</v>
      </c>
      <c r="S4657" s="210">
        <v>4.5</v>
      </c>
      <c r="T4657" s="8">
        <v>1.0001249999999999</v>
      </c>
      <c r="U4657" s="98">
        <v>4.5550369792885848</v>
      </c>
      <c r="V4657" s="106">
        <v>39282.388448182384</v>
      </c>
      <c r="W4657" s="10">
        <v>1.2824686709516531</v>
      </c>
      <c r="X4657" s="420"/>
      <c r="Y4657" s="420"/>
    </row>
    <row r="4658" spans="17:25">
      <c r="Q4658" s="6">
        <v>4628</v>
      </c>
      <c r="R4658" s="7">
        <v>47295</v>
      </c>
      <c r="S4658" s="210">
        <v>4.5</v>
      </c>
      <c r="T4658" s="8">
        <v>1.0001249999999999</v>
      </c>
      <c r="U4658" s="98">
        <v>4.5550613498379855</v>
      </c>
      <c r="V4658" s="106">
        <v>39285.766881823329</v>
      </c>
      <c r="W4658" s="10">
        <v>1.2825012567378558</v>
      </c>
      <c r="X4658" s="420"/>
      <c r="Y4658" s="420"/>
    </row>
    <row r="4659" spans="17:25">
      <c r="Q4659" s="6">
        <v>4629</v>
      </c>
      <c r="R4659" s="7">
        <v>47296</v>
      </c>
      <c r="S4659" s="210">
        <v>4.5</v>
      </c>
      <c r="T4659" s="8">
        <v>1.0001249999999999</v>
      </c>
      <c r="U4659" s="98">
        <v>4.5550857098635378</v>
      </c>
      <c r="V4659" s="106">
        <v>39289.145606022314</v>
      </c>
      <c r="W4659" s="10">
        <v>1.2825338284555565</v>
      </c>
      <c r="X4659" s="420"/>
      <c r="Y4659" s="420"/>
    </row>
    <row r="4660" spans="17:25">
      <c r="Q4660" s="6">
        <v>4630</v>
      </c>
      <c r="R4660" s="7">
        <v>47297</v>
      </c>
      <c r="S4660" s="210">
        <v>4.5</v>
      </c>
      <c r="T4660" s="8">
        <v>1.0001249999999999</v>
      </c>
      <c r="U4660" s="98">
        <v>4.5551100593720806</v>
      </c>
      <c r="V4660" s="106">
        <v>39292.524620804325</v>
      </c>
      <c r="W4660" s="10">
        <v>1.2825663861138592</v>
      </c>
      <c r="X4660" s="420"/>
      <c r="Y4660" s="420"/>
    </row>
    <row r="4661" spans="17:25">
      <c r="Q4661" s="6">
        <v>4631</v>
      </c>
      <c r="R4661" s="7">
        <v>47298</v>
      </c>
      <c r="S4661" s="210">
        <v>4.5</v>
      </c>
      <c r="T4661" s="8">
        <v>1.0001249999999999</v>
      </c>
      <c r="U4661" s="98">
        <v>4.5551343983704085</v>
      </c>
      <c r="V4661" s="106">
        <v>39295.903926194369</v>
      </c>
      <c r="W4661" s="10">
        <v>1.2825989297218676</v>
      </c>
      <c r="X4661" s="420"/>
      <c r="Y4661" s="420"/>
    </row>
    <row r="4662" spans="17:25">
      <c r="Q4662" s="6">
        <v>4632</v>
      </c>
      <c r="R4662" s="7">
        <v>47299</v>
      </c>
      <c r="S4662" s="210">
        <v>4.5</v>
      </c>
      <c r="T4662" s="8">
        <v>1.0001249999999999</v>
      </c>
      <c r="U4662" s="98">
        <v>4.5551587268653382</v>
      </c>
      <c r="V4662" s="106">
        <v>39299.283522217418</v>
      </c>
      <c r="W4662" s="10">
        <v>1.2826314592887078</v>
      </c>
      <c r="X4662" s="420"/>
      <c r="Y4662" s="420"/>
    </row>
    <row r="4663" spans="17:25">
      <c r="Q4663" s="6">
        <v>4633</v>
      </c>
      <c r="R4663" s="7">
        <v>47300</v>
      </c>
      <c r="S4663" s="210">
        <v>4.5</v>
      </c>
      <c r="T4663" s="8">
        <v>1.0001249999999999</v>
      </c>
      <c r="U4663" s="98">
        <v>4.5551830448636643</v>
      </c>
      <c r="V4663" s="106">
        <v>39302.663408898487</v>
      </c>
      <c r="W4663" s="10">
        <v>1.282663974823417</v>
      </c>
      <c r="X4663" s="420"/>
      <c r="Y4663" s="420"/>
    </row>
    <row r="4664" spans="17:25">
      <c r="Q4664" s="6">
        <v>4634</v>
      </c>
      <c r="R4664" s="7">
        <v>47301</v>
      </c>
      <c r="S4664" s="210">
        <v>4.5</v>
      </c>
      <c r="T4664" s="8">
        <v>1.0001249999999999</v>
      </c>
      <c r="U4664" s="98">
        <v>4.5552073523721814</v>
      </c>
      <c r="V4664" s="106">
        <v>39306.04358626256</v>
      </c>
      <c r="W4664" s="10">
        <v>1.2826964763351212</v>
      </c>
      <c r="X4664" s="420"/>
      <c r="Y4664" s="420"/>
    </row>
    <row r="4665" spans="17:25">
      <c r="Q4665" s="6">
        <v>4635</v>
      </c>
      <c r="R4665" s="7">
        <v>47302</v>
      </c>
      <c r="S4665" s="210">
        <v>4.5</v>
      </c>
      <c r="T4665" s="8">
        <v>1.0001249999999999</v>
      </c>
      <c r="U4665" s="98">
        <v>4.5552316493976619</v>
      </c>
      <c r="V4665" s="106">
        <v>39309.424054334646</v>
      </c>
      <c r="W4665" s="10">
        <v>1.2827289638328354</v>
      </c>
      <c r="X4665" s="420"/>
      <c r="Y4665" s="420"/>
    </row>
    <row r="4666" spans="17:25">
      <c r="Q4666" s="6">
        <v>4636</v>
      </c>
      <c r="R4666" s="7">
        <v>47303</v>
      </c>
      <c r="S4666" s="210">
        <v>4.5</v>
      </c>
      <c r="T4666" s="8">
        <v>1.0001249999999999</v>
      </c>
      <c r="U4666" s="98">
        <v>4.5552559359469003</v>
      </c>
      <c r="V4666" s="106">
        <v>39312.804813139737</v>
      </c>
      <c r="W4666" s="10">
        <v>1.2827614373256635</v>
      </c>
      <c r="X4666" s="420"/>
      <c r="Y4666" s="420"/>
    </row>
    <row r="4667" spans="17:25">
      <c r="Q4667" s="6">
        <v>4637</v>
      </c>
      <c r="R4667" s="7">
        <v>47304</v>
      </c>
      <c r="S4667" s="210">
        <v>4.5</v>
      </c>
      <c r="T4667" s="8">
        <v>1.0001249999999999</v>
      </c>
      <c r="U4667" s="98">
        <v>4.5552802120266467</v>
      </c>
      <c r="V4667" s="106">
        <v>39316.185862702849</v>
      </c>
      <c r="W4667" s="10">
        <v>1.2827938968226427</v>
      </c>
      <c r="X4667" s="420"/>
      <c r="Y4667" s="420"/>
    </row>
    <row r="4668" spans="17:25">
      <c r="Q4668" s="6">
        <v>4638</v>
      </c>
      <c r="R4668" s="7">
        <v>47305</v>
      </c>
      <c r="S4668" s="210">
        <v>4.5</v>
      </c>
      <c r="T4668" s="8">
        <v>1.0001249999999999</v>
      </c>
      <c r="U4668" s="98">
        <v>4.5553044776436957</v>
      </c>
      <c r="V4668" s="106">
        <v>39319.567203048973</v>
      </c>
      <c r="W4668" s="10">
        <v>1.2828263423328323</v>
      </c>
      <c r="X4668" s="420"/>
      <c r="Y4668" s="420"/>
    </row>
    <row r="4669" spans="17:25">
      <c r="Q4669" s="6">
        <v>4639</v>
      </c>
      <c r="R4669" s="7">
        <v>47306</v>
      </c>
      <c r="S4669" s="210">
        <v>4.5</v>
      </c>
      <c r="T4669" s="8">
        <v>1.0001249999999999</v>
      </c>
      <c r="U4669" s="98">
        <v>4.5553287328047976</v>
      </c>
      <c r="V4669" s="106">
        <v>39322.94883420314</v>
      </c>
      <c r="W4669" s="10">
        <v>1.2828587738652475</v>
      </c>
      <c r="X4669" s="420"/>
      <c r="Y4669" s="420"/>
    </row>
    <row r="4670" spans="17:25">
      <c r="Q4670" s="6">
        <v>4640</v>
      </c>
      <c r="R4670" s="7">
        <v>47307</v>
      </c>
      <c r="S4670" s="210">
        <v>4.5</v>
      </c>
      <c r="T4670" s="8">
        <v>1.0001249999999999</v>
      </c>
      <c r="U4670" s="98">
        <v>4.5553529775167023</v>
      </c>
      <c r="V4670" s="106">
        <v>39326.330756190335</v>
      </c>
      <c r="W4670" s="10">
        <v>1.2828911914289254</v>
      </c>
      <c r="X4670" s="420"/>
      <c r="Y4670" s="420"/>
    </row>
    <row r="4671" spans="17:25">
      <c r="Q4671" s="6">
        <v>4641</v>
      </c>
      <c r="R4671" s="7">
        <v>47308</v>
      </c>
      <c r="S4671" s="210">
        <v>4.5</v>
      </c>
      <c r="T4671" s="8">
        <v>1.0001249999999999</v>
      </c>
      <c r="U4671" s="98">
        <v>4.5553772117861824</v>
      </c>
      <c r="V4671" s="106">
        <v>39329.71296903558</v>
      </c>
      <c r="W4671" s="10">
        <v>1.2829235950329032</v>
      </c>
      <c r="X4671" s="420"/>
      <c r="Y4671" s="420"/>
    </row>
    <row r="4672" spans="17:25">
      <c r="Q4672" s="6">
        <v>4642</v>
      </c>
      <c r="R4672" s="7">
        <v>47309</v>
      </c>
      <c r="S4672" s="210">
        <v>4.5</v>
      </c>
      <c r="T4672" s="8">
        <v>1.0001249999999999</v>
      </c>
      <c r="U4672" s="98">
        <v>4.5554014356199657</v>
      </c>
      <c r="V4672" s="106">
        <v>39333.095472763904</v>
      </c>
      <c r="W4672" s="10">
        <v>1.2829559846861738</v>
      </c>
      <c r="X4672" s="420"/>
      <c r="Y4672" s="420"/>
    </row>
    <row r="4673" spans="17:25">
      <c r="Q4673" s="6">
        <v>4643</v>
      </c>
      <c r="R4673" s="7">
        <v>47310</v>
      </c>
      <c r="S4673" s="210">
        <v>4.5</v>
      </c>
      <c r="T4673" s="8">
        <v>1.0001249999999999</v>
      </c>
      <c r="U4673" s="98">
        <v>4.5554256490248024</v>
      </c>
      <c r="V4673" s="106">
        <v>39336.478267400307</v>
      </c>
      <c r="W4673" s="10">
        <v>1.2829883603977743</v>
      </c>
      <c r="X4673" s="420"/>
      <c r="Y4673" s="420"/>
    </row>
    <row r="4674" spans="17:25">
      <c r="Q4674" s="6">
        <v>4644</v>
      </c>
      <c r="R4674" s="7">
        <v>47311</v>
      </c>
      <c r="S4674" s="210">
        <v>4.5</v>
      </c>
      <c r="T4674" s="8">
        <v>1.0001249999999999</v>
      </c>
      <c r="U4674" s="98">
        <v>4.5554498520074205</v>
      </c>
      <c r="V4674" s="106">
        <v>39339.86135296982</v>
      </c>
      <c r="W4674" s="10">
        <v>1.2830207221766976</v>
      </c>
      <c r="X4674" s="420"/>
      <c r="Y4674" s="420"/>
    </row>
    <row r="4675" spans="17:25">
      <c r="Q4675" s="6">
        <v>4645</v>
      </c>
      <c r="R4675" s="7">
        <v>47312</v>
      </c>
      <c r="S4675" s="210">
        <v>4.5</v>
      </c>
      <c r="T4675" s="8">
        <v>1.0001249999999999</v>
      </c>
      <c r="U4675" s="98">
        <v>4.5554740445745479</v>
      </c>
      <c r="V4675" s="106">
        <v>39343.244729497448</v>
      </c>
      <c r="W4675" s="10">
        <v>1.2830530700319365</v>
      </c>
      <c r="X4675" s="420"/>
      <c r="Y4675" s="420"/>
    </row>
    <row r="4676" spans="17:25">
      <c r="Q4676" s="6">
        <v>4646</v>
      </c>
      <c r="R4676" s="7">
        <v>47313</v>
      </c>
      <c r="S4676" s="210">
        <v>4.5</v>
      </c>
      <c r="T4676" s="8">
        <v>1.0001249999999999</v>
      </c>
      <c r="U4676" s="98">
        <v>4.5554982267328903</v>
      </c>
      <c r="V4676" s="106">
        <v>39346.62839700823</v>
      </c>
      <c r="W4676" s="10">
        <v>1.2830854039724171</v>
      </c>
      <c r="X4676" s="420"/>
      <c r="Y4676" s="420"/>
    </row>
    <row r="4677" spans="17:25">
      <c r="Q4677" s="6">
        <v>4647</v>
      </c>
      <c r="R4677" s="7">
        <v>47314</v>
      </c>
      <c r="S4677" s="210">
        <v>4.5</v>
      </c>
      <c r="T4677" s="8">
        <v>1.0001249999999999</v>
      </c>
      <c r="U4677" s="98">
        <v>4.5555223984891979</v>
      </c>
      <c r="V4677" s="106">
        <v>39350.012355527186</v>
      </c>
      <c r="W4677" s="10">
        <v>1.2831177240072211</v>
      </c>
      <c r="X4677" s="420"/>
      <c r="Y4677" s="420"/>
    </row>
    <row r="4678" spans="17:25">
      <c r="Q4678" s="6">
        <v>4648</v>
      </c>
      <c r="R4678" s="7">
        <v>47315</v>
      </c>
      <c r="S4678" s="210">
        <v>4.5</v>
      </c>
      <c r="T4678" s="8">
        <v>1.0001249999999999</v>
      </c>
      <c r="U4678" s="98">
        <v>4.5555465598501543</v>
      </c>
      <c r="V4678" s="106">
        <v>39353.396605079346</v>
      </c>
      <c r="W4678" s="10">
        <v>1.2831500301452303</v>
      </c>
      <c r="X4678" s="420"/>
      <c r="Y4678" s="420"/>
    </row>
    <row r="4679" spans="17:25">
      <c r="Q4679" s="6">
        <v>4649</v>
      </c>
      <c r="R4679" s="7">
        <v>47316</v>
      </c>
      <c r="S4679" s="210">
        <v>4.5</v>
      </c>
      <c r="T4679" s="8">
        <v>1.0001249999999999</v>
      </c>
      <c r="U4679" s="98">
        <v>4.5555707108224652</v>
      </c>
      <c r="V4679" s="106">
        <v>39356.78114568974</v>
      </c>
      <c r="W4679" s="10">
        <v>1.2831823223954153</v>
      </c>
      <c r="X4679" s="420"/>
      <c r="Y4679" s="420"/>
    </row>
    <row r="4680" spans="17:25">
      <c r="Q4680" s="6">
        <v>4650</v>
      </c>
      <c r="R4680" s="7">
        <v>47317</v>
      </c>
      <c r="S4680" s="210">
        <v>4.5</v>
      </c>
      <c r="T4680" s="8">
        <v>1.0001249999999999</v>
      </c>
      <c r="U4680" s="98">
        <v>4.5555948514128364</v>
      </c>
      <c r="V4680" s="106">
        <v>39360.165977383389</v>
      </c>
      <c r="W4680" s="10">
        <v>1.2832146007667689</v>
      </c>
      <c r="X4680" s="420"/>
      <c r="Y4680" s="420"/>
    </row>
    <row r="4681" spans="17:25">
      <c r="Q4681" s="6">
        <v>4651</v>
      </c>
      <c r="R4681" s="7">
        <v>47318</v>
      </c>
      <c r="S4681" s="210">
        <v>4.5</v>
      </c>
      <c r="T4681" s="8">
        <v>1.0001249999999999</v>
      </c>
      <c r="U4681" s="98">
        <v>4.5556189816279735</v>
      </c>
      <c r="V4681" s="106">
        <v>39363.551100185345</v>
      </c>
      <c r="W4681" s="10">
        <v>1.2832468652682394</v>
      </c>
      <c r="X4681" s="420"/>
      <c r="Y4681" s="420"/>
    </row>
    <row r="4682" spans="17:25">
      <c r="Q4682" s="6">
        <v>4652</v>
      </c>
      <c r="R4682" s="7">
        <v>47319</v>
      </c>
      <c r="S4682" s="210">
        <v>4.5</v>
      </c>
      <c r="T4682" s="8">
        <v>1.0001249999999999</v>
      </c>
      <c r="U4682" s="98">
        <v>4.555643101474538</v>
      </c>
      <c r="V4682" s="106">
        <v>39366.936514120636</v>
      </c>
      <c r="W4682" s="10">
        <v>1.2832791159087087</v>
      </c>
      <c r="X4682" s="420"/>
      <c r="Y4682" s="420"/>
    </row>
    <row r="4683" spans="17:25">
      <c r="Q4683" s="6">
        <v>4653</v>
      </c>
      <c r="R4683" s="7">
        <v>47320</v>
      </c>
      <c r="S4683" s="210">
        <v>4.5</v>
      </c>
      <c r="T4683" s="8">
        <v>1.0001249999999999</v>
      </c>
      <c r="U4683" s="98">
        <v>4.5556672109592355</v>
      </c>
      <c r="V4683" s="106">
        <v>39370.322219214293</v>
      </c>
      <c r="W4683" s="10">
        <v>1.2833113526971696</v>
      </c>
      <c r="X4683" s="420"/>
      <c r="Y4683" s="420"/>
    </row>
    <row r="4684" spans="17:25">
      <c r="Q4684" s="6">
        <v>4654</v>
      </c>
      <c r="R4684" s="7">
        <v>47321</v>
      </c>
      <c r="S4684" s="210">
        <v>4.5</v>
      </c>
      <c r="T4684" s="8">
        <v>1.0001249999999999</v>
      </c>
      <c r="U4684" s="98">
        <v>4.5556913100887275</v>
      </c>
      <c r="V4684" s="106">
        <v>39373.708215491366</v>
      </c>
      <c r="W4684" s="10">
        <v>1.2833435756425038</v>
      </c>
      <c r="X4684" s="420"/>
      <c r="Y4684" s="420"/>
    </row>
    <row r="4685" spans="17:25">
      <c r="Q4685" s="6">
        <v>4655</v>
      </c>
      <c r="R4685" s="7">
        <v>47322</v>
      </c>
      <c r="S4685" s="210">
        <v>4.5</v>
      </c>
      <c r="T4685" s="8">
        <v>1.0001249999999999</v>
      </c>
      <c r="U4685" s="98">
        <v>4.5557153988696752</v>
      </c>
      <c r="V4685" s="106">
        <v>39377.094502976906</v>
      </c>
      <c r="W4685" s="10">
        <v>1.2833757847536154</v>
      </c>
      <c r="X4685" s="420"/>
      <c r="Y4685" s="420"/>
    </row>
    <row r="4686" spans="17:25">
      <c r="Q4686" s="6">
        <v>4656</v>
      </c>
      <c r="R4686" s="7">
        <v>47323</v>
      </c>
      <c r="S4686" s="210">
        <v>4.5</v>
      </c>
      <c r="T4686" s="8">
        <v>1.0001249999999999</v>
      </c>
      <c r="U4686" s="98">
        <v>4.5557394773087623</v>
      </c>
      <c r="V4686" s="106">
        <v>39380.481081695936</v>
      </c>
      <c r="W4686" s="10">
        <v>1.2834079800394527</v>
      </c>
      <c r="X4686" s="420"/>
      <c r="Y4686" s="420"/>
    </row>
    <row r="4687" spans="17:25">
      <c r="Q4687" s="6">
        <v>4657</v>
      </c>
      <c r="R4687" s="7">
        <v>47324</v>
      </c>
      <c r="S4687" s="210">
        <v>4.5</v>
      </c>
      <c r="T4687" s="8">
        <v>1.0001249999999999</v>
      </c>
      <c r="U4687" s="98">
        <v>4.5557635454126499</v>
      </c>
      <c r="V4687" s="106">
        <v>39383.867951673521</v>
      </c>
      <c r="W4687" s="10">
        <v>1.2834401615089197</v>
      </c>
      <c r="X4687" s="420"/>
      <c r="Y4687" s="420"/>
    </row>
    <row r="4688" spans="17:25">
      <c r="Q4688" s="6">
        <v>4658</v>
      </c>
      <c r="R4688" s="7">
        <v>47325</v>
      </c>
      <c r="S4688" s="210">
        <v>4.5</v>
      </c>
      <c r="T4688" s="8">
        <v>1.0001249999999999</v>
      </c>
      <c r="U4688" s="98">
        <v>4.5557876031879774</v>
      </c>
      <c r="V4688" s="106">
        <v>39387.255112934705</v>
      </c>
      <c r="W4688" s="10">
        <v>1.2834723291708539</v>
      </c>
      <c r="X4688" s="420"/>
      <c r="Y4688" s="420"/>
    </row>
    <row r="4689" spans="17:25">
      <c r="Q4689" s="6">
        <v>4659</v>
      </c>
      <c r="R4689" s="7">
        <v>47326</v>
      </c>
      <c r="S4689" s="210">
        <v>4.5</v>
      </c>
      <c r="T4689" s="8">
        <v>1.0001249999999999</v>
      </c>
      <c r="U4689" s="98">
        <v>4.5558116506413837</v>
      </c>
      <c r="V4689" s="106">
        <v>39390.642565504539</v>
      </c>
      <c r="W4689" s="10">
        <v>1.2835044830341813</v>
      </c>
      <c r="X4689" s="420"/>
      <c r="Y4689" s="420"/>
    </row>
    <row r="4690" spans="17:25">
      <c r="Q4690" s="6">
        <v>4660</v>
      </c>
      <c r="R4690" s="7">
        <v>47327</v>
      </c>
      <c r="S4690" s="210">
        <v>4.5</v>
      </c>
      <c r="T4690" s="8">
        <v>1.0001249999999999</v>
      </c>
      <c r="U4690" s="98">
        <v>4.5558356877795303</v>
      </c>
      <c r="V4690" s="106">
        <v>39394.030309408074</v>
      </c>
      <c r="W4690" s="10">
        <v>1.2835366231077838</v>
      </c>
      <c r="X4690" s="420"/>
      <c r="Y4690" s="420"/>
    </row>
    <row r="4691" spans="17:25">
      <c r="Q4691" s="6">
        <v>4661</v>
      </c>
      <c r="R4691" s="7">
        <v>47328</v>
      </c>
      <c r="S4691" s="210">
        <v>4.5</v>
      </c>
      <c r="T4691" s="8">
        <v>1.0001249999999999</v>
      </c>
      <c r="U4691" s="98">
        <v>4.5558597146090341</v>
      </c>
      <c r="V4691" s="106">
        <v>39397.418344670368</v>
      </c>
      <c r="W4691" s="10">
        <v>1.2835687494004988</v>
      </c>
      <c r="X4691" s="420"/>
      <c r="Y4691" s="420"/>
    </row>
    <row r="4692" spans="17:25">
      <c r="Q4692" s="6">
        <v>4662</v>
      </c>
      <c r="R4692" s="7">
        <v>47329</v>
      </c>
      <c r="S4692" s="210">
        <v>4.5</v>
      </c>
      <c r="T4692" s="8">
        <v>1.0001249999999999</v>
      </c>
      <c r="U4692" s="98">
        <v>4.5558837311365341</v>
      </c>
      <c r="V4692" s="106">
        <v>39400.806671316488</v>
      </c>
      <c r="W4692" s="10">
        <v>1.2836008619211858</v>
      </c>
      <c r="X4692" s="420"/>
      <c r="Y4692" s="420"/>
    </row>
    <row r="4693" spans="17:25">
      <c r="Q4693" s="6">
        <v>4663</v>
      </c>
      <c r="R4693" s="7">
        <v>47330</v>
      </c>
      <c r="S4693" s="210">
        <v>4.5</v>
      </c>
      <c r="T4693" s="8">
        <v>1.0001249999999999</v>
      </c>
      <c r="U4693" s="98">
        <v>4.5559077373686696</v>
      </c>
      <c r="V4693" s="106">
        <v>39404.195289371477</v>
      </c>
      <c r="W4693" s="10">
        <v>1.2836329606787489</v>
      </c>
      <c r="X4693" s="420"/>
      <c r="Y4693" s="420"/>
    </row>
    <row r="4694" spans="17:25">
      <c r="Q4694" s="6">
        <v>4664</v>
      </c>
      <c r="R4694" s="7">
        <v>47331</v>
      </c>
      <c r="S4694" s="210">
        <v>4.5</v>
      </c>
      <c r="T4694" s="8">
        <v>1.0001249999999999</v>
      </c>
      <c r="U4694" s="98">
        <v>4.5559317333120353</v>
      </c>
      <c r="V4694" s="106">
        <v>39407.584198860408</v>
      </c>
      <c r="W4694" s="10">
        <v>1.2836650456819809</v>
      </c>
      <c r="X4694" s="420"/>
      <c r="Y4694" s="420"/>
    </row>
    <row r="4695" spans="17:25">
      <c r="Q4695" s="6">
        <v>4665</v>
      </c>
      <c r="R4695" s="7">
        <v>47332</v>
      </c>
      <c r="S4695" s="210">
        <v>4.5</v>
      </c>
      <c r="T4695" s="8">
        <v>1.0001249999999999</v>
      </c>
      <c r="U4695" s="98">
        <v>4.5559557189732702</v>
      </c>
      <c r="V4695" s="106">
        <v>39410.973399808339</v>
      </c>
      <c r="W4695" s="10">
        <v>1.2836971169397637</v>
      </c>
      <c r="X4695" s="420"/>
      <c r="Y4695" s="420"/>
    </row>
    <row r="4696" spans="17:25">
      <c r="Q4696" s="6">
        <v>4666</v>
      </c>
      <c r="R4696" s="7">
        <v>47333</v>
      </c>
      <c r="S4696" s="210">
        <v>4.5</v>
      </c>
      <c r="T4696" s="8">
        <v>1.0001249999999999</v>
      </c>
      <c r="U4696" s="98">
        <v>4.555979694358947</v>
      </c>
      <c r="V4696" s="106">
        <v>39414.362892240351</v>
      </c>
      <c r="W4696" s="10">
        <v>1.2837291744608903</v>
      </c>
      <c r="X4696" s="420"/>
      <c r="Y4696" s="420"/>
    </row>
    <row r="4697" spans="17:25">
      <c r="Q4697" s="6">
        <v>4667</v>
      </c>
      <c r="R4697" s="7">
        <v>47334</v>
      </c>
      <c r="S4697" s="210">
        <v>4.5</v>
      </c>
      <c r="T4697" s="8">
        <v>1.0001249999999999</v>
      </c>
      <c r="U4697" s="98">
        <v>4.5560036594757047</v>
      </c>
      <c r="V4697" s="106">
        <v>39417.752676181495</v>
      </c>
      <c r="W4697" s="10">
        <v>1.283761218254198</v>
      </c>
      <c r="X4697" s="420"/>
      <c r="Y4697" s="420"/>
    </row>
    <row r="4698" spans="17:25">
      <c r="Q4698" s="6">
        <v>4668</v>
      </c>
      <c r="R4698" s="7">
        <v>47335</v>
      </c>
      <c r="S4698" s="210">
        <v>4.5</v>
      </c>
      <c r="T4698" s="8">
        <v>1.0001249999999999</v>
      </c>
      <c r="U4698" s="98">
        <v>4.5560276143301159</v>
      </c>
      <c r="V4698" s="106">
        <v>39421.142751656858</v>
      </c>
      <c r="W4698" s="10">
        <v>1.2837932483285242</v>
      </c>
      <c r="X4698" s="420"/>
      <c r="Y4698" s="420"/>
    </row>
    <row r="4699" spans="17:25">
      <c r="Q4699" s="6">
        <v>4669</v>
      </c>
      <c r="R4699" s="7">
        <v>47336</v>
      </c>
      <c r="S4699" s="210">
        <v>4.5</v>
      </c>
      <c r="T4699" s="8">
        <v>1.0001249999999999</v>
      </c>
      <c r="U4699" s="98">
        <v>4.5560515589287753</v>
      </c>
      <c r="V4699" s="106">
        <v>39424.533118691492</v>
      </c>
      <c r="W4699" s="10">
        <v>1.2838252646926396</v>
      </c>
      <c r="X4699" s="420"/>
      <c r="Y4699" s="420"/>
    </row>
    <row r="4700" spans="17:25">
      <c r="Q4700" s="6">
        <v>4670</v>
      </c>
      <c r="R4700" s="7">
        <v>47337</v>
      </c>
      <c r="S4700" s="210">
        <v>4.5</v>
      </c>
      <c r="T4700" s="8">
        <v>1.0001249999999999</v>
      </c>
      <c r="U4700" s="98">
        <v>4.5560754932782777</v>
      </c>
      <c r="V4700" s="106">
        <v>39427.923777310491</v>
      </c>
      <c r="W4700" s="10">
        <v>1.2838572673553816</v>
      </c>
      <c r="X4700" s="420"/>
      <c r="Y4700" s="420"/>
    </row>
    <row r="4701" spans="17:25">
      <c r="Q4701" s="6">
        <v>4671</v>
      </c>
      <c r="R4701" s="7">
        <v>47338</v>
      </c>
      <c r="S4701" s="210">
        <v>4.5</v>
      </c>
      <c r="T4701" s="8">
        <v>1.0001249999999999</v>
      </c>
      <c r="U4701" s="98">
        <v>4.5560994173851732</v>
      </c>
      <c r="V4701" s="106">
        <v>39431.314727538935</v>
      </c>
      <c r="W4701" s="10">
        <v>1.2838892563254989</v>
      </c>
      <c r="X4701" s="420"/>
      <c r="Y4701" s="420"/>
    </row>
    <row r="4702" spans="17:25">
      <c r="Q4702" s="6">
        <v>4672</v>
      </c>
      <c r="R4702" s="7">
        <v>47339</v>
      </c>
      <c r="S4702" s="210">
        <v>4.5</v>
      </c>
      <c r="T4702" s="8">
        <v>1.0001249999999999</v>
      </c>
      <c r="U4702" s="98">
        <v>4.5561233312560567</v>
      </c>
      <c r="V4702" s="106">
        <v>39434.705969401883</v>
      </c>
      <c r="W4702" s="10">
        <v>1.2839212316118287</v>
      </c>
      <c r="X4702" s="420"/>
      <c r="Y4702" s="420"/>
    </row>
    <row r="4703" spans="17:25">
      <c r="Q4703" s="6">
        <v>4673</v>
      </c>
      <c r="R4703" s="7">
        <v>47340</v>
      </c>
      <c r="S4703" s="210">
        <v>4.5</v>
      </c>
      <c r="T4703" s="8">
        <v>1.0001249999999999</v>
      </c>
      <c r="U4703" s="98">
        <v>4.5561472348975007</v>
      </c>
      <c r="V4703" s="106">
        <v>39438.097502924422</v>
      </c>
      <c r="W4703" s="10">
        <v>1.2839531932231196</v>
      </c>
      <c r="X4703" s="420"/>
      <c r="Y4703" s="420"/>
    </row>
    <row r="4704" spans="17:25">
      <c r="Q4704" s="6">
        <v>4674</v>
      </c>
      <c r="R4704" s="7">
        <v>47341</v>
      </c>
      <c r="S4704" s="210">
        <v>4.5</v>
      </c>
      <c r="T4704" s="8">
        <v>1.0001249999999999</v>
      </c>
      <c r="U4704" s="98">
        <v>4.5561711283160555</v>
      </c>
      <c r="V4704" s="106">
        <v>39441.489328131662</v>
      </c>
      <c r="W4704" s="10">
        <v>1.2839851411681202</v>
      </c>
      <c r="X4704" s="420"/>
      <c r="Y4704" s="420"/>
    </row>
    <row r="4705" spans="17:25">
      <c r="Q4705" s="6">
        <v>4675</v>
      </c>
      <c r="R4705" s="7">
        <v>47342</v>
      </c>
      <c r="S4705" s="210">
        <v>4.5</v>
      </c>
      <c r="T4705" s="8">
        <v>1.0001249999999999</v>
      </c>
      <c r="U4705" s="98">
        <v>4.5561950115182936</v>
      </c>
      <c r="V4705" s="106">
        <v>39444.881445048646</v>
      </c>
      <c r="W4705" s="10">
        <v>1.2840170754556679</v>
      </c>
      <c r="X4705" s="420"/>
      <c r="Y4705" s="420"/>
    </row>
    <row r="4706" spans="17:25">
      <c r="Q4706" s="6">
        <v>4676</v>
      </c>
      <c r="R4706" s="7">
        <v>47343</v>
      </c>
      <c r="S4706" s="210">
        <v>4.5</v>
      </c>
      <c r="T4706" s="8">
        <v>1.0001249999999999</v>
      </c>
      <c r="U4706" s="98">
        <v>4.5562188845107432</v>
      </c>
      <c r="V4706" s="106">
        <v>39448.273853700499</v>
      </c>
      <c r="W4706" s="10">
        <v>1.2840489960944446</v>
      </c>
      <c r="X4706" s="420"/>
      <c r="Y4706" s="420"/>
    </row>
    <row r="4707" spans="17:25">
      <c r="Q4707" s="6">
        <v>4677</v>
      </c>
      <c r="R4707" s="7">
        <v>47344</v>
      </c>
      <c r="S4707" s="210">
        <v>4.5</v>
      </c>
      <c r="T4707" s="8">
        <v>1.0001249999999999</v>
      </c>
      <c r="U4707" s="98">
        <v>4.5562427472999767</v>
      </c>
      <c r="V4707" s="106">
        <v>39451.6665541123</v>
      </c>
      <c r="W4707" s="10">
        <v>1.284080903093221</v>
      </c>
      <c r="X4707" s="420"/>
      <c r="Y4707" s="420"/>
    </row>
    <row r="4708" spans="17:25">
      <c r="Q4708" s="6">
        <v>4678</v>
      </c>
      <c r="R4708" s="7">
        <v>47345</v>
      </c>
      <c r="S4708" s="210">
        <v>4.5</v>
      </c>
      <c r="T4708" s="8">
        <v>1.0001249999999999</v>
      </c>
      <c r="U4708" s="98">
        <v>4.5562665998925223</v>
      </c>
      <c r="V4708" s="106">
        <v>39455.059546309138</v>
      </c>
      <c r="W4708" s="10">
        <v>1.2841127964607679</v>
      </c>
      <c r="X4708" s="420"/>
      <c r="Y4708" s="420"/>
    </row>
    <row r="4709" spans="17:25">
      <c r="Q4709" s="6">
        <v>4679</v>
      </c>
      <c r="R4709" s="7">
        <v>47346</v>
      </c>
      <c r="S4709" s="210">
        <v>4.5</v>
      </c>
      <c r="T4709" s="8">
        <v>1.0001249999999999</v>
      </c>
      <c r="U4709" s="98">
        <v>4.556290442294908</v>
      </c>
      <c r="V4709" s="106">
        <v>39458.452830316106</v>
      </c>
      <c r="W4709" s="10">
        <v>1.2841446762057895</v>
      </c>
      <c r="X4709" s="420"/>
      <c r="Y4709" s="420"/>
    </row>
    <row r="4710" spans="17:25">
      <c r="Q4710" s="6">
        <v>4680</v>
      </c>
      <c r="R4710" s="7">
        <v>47347</v>
      </c>
      <c r="S4710" s="210">
        <v>4.5</v>
      </c>
      <c r="T4710" s="8">
        <v>1.0001249999999999</v>
      </c>
      <c r="U4710" s="98">
        <v>4.556314274513662</v>
      </c>
      <c r="V4710" s="106">
        <v>39461.8464061583</v>
      </c>
      <c r="W4710" s="10">
        <v>1.28417654233699</v>
      </c>
      <c r="X4710" s="420"/>
      <c r="Y4710" s="420"/>
    </row>
    <row r="4711" spans="17:25">
      <c r="Q4711" s="6">
        <v>4681</v>
      </c>
      <c r="R4711" s="7">
        <v>47348</v>
      </c>
      <c r="S4711" s="210">
        <v>4.5</v>
      </c>
      <c r="T4711" s="8">
        <v>1.0001249999999999</v>
      </c>
      <c r="U4711" s="98">
        <v>4.5563380965553124</v>
      </c>
      <c r="V4711" s="106">
        <v>39465.240273860822</v>
      </c>
      <c r="W4711" s="10">
        <v>1.28420839486314</v>
      </c>
      <c r="X4711" s="420"/>
      <c r="Y4711" s="420"/>
    </row>
    <row r="4712" spans="17:25">
      <c r="Q4712" s="6">
        <v>4682</v>
      </c>
      <c r="R4712" s="7">
        <v>47349</v>
      </c>
      <c r="S4712" s="210">
        <v>4.5</v>
      </c>
      <c r="T4712" s="8">
        <v>1.0001249999999999</v>
      </c>
      <c r="U4712" s="98">
        <v>4.5563619084263873</v>
      </c>
      <c r="V4712" s="106">
        <v>39468.63443344878</v>
      </c>
      <c r="W4712" s="10">
        <v>1.2842402337929215</v>
      </c>
      <c r="X4712" s="420"/>
      <c r="Y4712" s="420"/>
    </row>
    <row r="4713" spans="17:25">
      <c r="Q4713" s="6">
        <v>4683</v>
      </c>
      <c r="R4713" s="7">
        <v>47350</v>
      </c>
      <c r="S4713" s="210">
        <v>4.5</v>
      </c>
      <c r="T4713" s="8">
        <v>1.0001249999999999</v>
      </c>
      <c r="U4713" s="98">
        <v>4.5563857101333705</v>
      </c>
      <c r="V4713" s="106">
        <v>39472.028884947264</v>
      </c>
      <c r="W4713" s="10">
        <v>1.2842720591350387</v>
      </c>
      <c r="X4713" s="420"/>
      <c r="Y4713" s="420"/>
    </row>
    <row r="4714" spans="17:25">
      <c r="Q4714" s="6">
        <v>4684</v>
      </c>
      <c r="R4714" s="7">
        <v>47351</v>
      </c>
      <c r="S4714" s="210">
        <v>4.5</v>
      </c>
      <c r="T4714" s="8">
        <v>1.0001249999999999</v>
      </c>
      <c r="U4714" s="98">
        <v>4.5564095016827899</v>
      </c>
      <c r="V4714" s="106">
        <v>39475.423628381388</v>
      </c>
      <c r="W4714" s="10">
        <v>1.2843038708981958</v>
      </c>
      <c r="X4714" s="420"/>
      <c r="Y4714" s="420"/>
    </row>
    <row r="4715" spans="17:25">
      <c r="Q4715" s="6">
        <v>4685</v>
      </c>
      <c r="R4715" s="7">
        <v>47352</v>
      </c>
      <c r="S4715" s="210">
        <v>4.5</v>
      </c>
      <c r="T4715" s="8">
        <v>1.0001249999999999</v>
      </c>
      <c r="U4715" s="98">
        <v>4.5564332830811516</v>
      </c>
      <c r="V4715" s="106">
        <v>39478.818663776263</v>
      </c>
      <c r="W4715" s="10">
        <v>1.2843356690910745</v>
      </c>
      <c r="X4715" s="420"/>
      <c r="Y4715" s="420"/>
    </row>
    <row r="4716" spans="17:25">
      <c r="Q4716" s="6">
        <v>4686</v>
      </c>
      <c r="R4716" s="7">
        <v>47353</v>
      </c>
      <c r="S4716" s="210">
        <v>4.5</v>
      </c>
      <c r="T4716" s="8">
        <v>1.0001249999999999</v>
      </c>
      <c r="U4716" s="98">
        <v>4.5564570543349392</v>
      </c>
      <c r="V4716" s="106">
        <v>39482.21399115699</v>
      </c>
      <c r="W4716" s="10">
        <v>1.2843674537223571</v>
      </c>
      <c r="X4716" s="420"/>
      <c r="Y4716" s="420"/>
    </row>
    <row r="4717" spans="17:25">
      <c r="Q4717" s="6">
        <v>4687</v>
      </c>
      <c r="R4717" s="7">
        <v>47354</v>
      </c>
      <c r="S4717" s="210">
        <v>4.5</v>
      </c>
      <c r="T4717" s="8">
        <v>1.0001249999999999</v>
      </c>
      <c r="U4717" s="98">
        <v>4.5564808154506364</v>
      </c>
      <c r="V4717" s="106">
        <v>39485.609610548679</v>
      </c>
      <c r="W4717" s="10">
        <v>1.2843992248007252</v>
      </c>
      <c r="X4717" s="420"/>
      <c r="Y4717" s="420"/>
    </row>
    <row r="4718" spans="17:25">
      <c r="Q4718" s="6">
        <v>4688</v>
      </c>
      <c r="R4718" s="7">
        <v>47355</v>
      </c>
      <c r="S4718" s="210">
        <v>4.5</v>
      </c>
      <c r="T4718" s="8">
        <v>1.0001249999999999</v>
      </c>
      <c r="U4718" s="98">
        <v>4.5565045664347492</v>
      </c>
      <c r="V4718" s="106">
        <v>39489.005521976462</v>
      </c>
      <c r="W4718" s="10">
        <v>1.2844309823348166</v>
      </c>
      <c r="X4718" s="420"/>
      <c r="Y4718" s="420"/>
    </row>
    <row r="4719" spans="17:25">
      <c r="Q4719" s="6">
        <v>4689</v>
      </c>
      <c r="R4719" s="7">
        <v>47356</v>
      </c>
      <c r="S4719" s="210">
        <v>4.5</v>
      </c>
      <c r="T4719" s="8">
        <v>1.0001249999999999</v>
      </c>
      <c r="U4719" s="98">
        <v>4.556528307293739</v>
      </c>
      <c r="V4719" s="106">
        <v>39492.401725465432</v>
      </c>
      <c r="W4719" s="10">
        <v>1.2844627263333352</v>
      </c>
      <c r="X4719" s="420"/>
      <c r="Y4719" s="420"/>
    </row>
    <row r="4720" spans="17:25">
      <c r="Q4720" s="6">
        <v>4690</v>
      </c>
      <c r="R4720" s="7">
        <v>47357</v>
      </c>
      <c r="S4720" s="210">
        <v>4.5</v>
      </c>
      <c r="T4720" s="8">
        <v>1.0001249999999999</v>
      </c>
      <c r="U4720" s="98">
        <v>4.5565520380340674</v>
      </c>
      <c r="V4720" s="106">
        <v>39495.798221040714</v>
      </c>
      <c r="W4720" s="10">
        <v>1.2844944568048966</v>
      </c>
      <c r="X4720" s="420"/>
      <c r="Y4720" s="420"/>
    </row>
    <row r="4721" spans="17:25">
      <c r="Q4721" s="6">
        <v>4691</v>
      </c>
      <c r="R4721" s="7">
        <v>47358</v>
      </c>
      <c r="S4721" s="210">
        <v>4.5</v>
      </c>
      <c r="T4721" s="8">
        <v>1.0001249999999999</v>
      </c>
      <c r="U4721" s="98">
        <v>4.556575758662218</v>
      </c>
      <c r="V4721" s="106">
        <v>39499.195008727438</v>
      </c>
      <c r="W4721" s="10">
        <v>1.2845261737581604</v>
      </c>
      <c r="X4721" s="420"/>
      <c r="Y4721" s="420"/>
    </row>
    <row r="4722" spans="17:25">
      <c r="Q4722" s="6">
        <v>4692</v>
      </c>
      <c r="R4722" s="7">
        <v>47359</v>
      </c>
      <c r="S4722" s="210">
        <v>4.5</v>
      </c>
      <c r="T4722" s="8">
        <v>1.0001249999999999</v>
      </c>
      <c r="U4722" s="98">
        <v>4.5565994691846523</v>
      </c>
      <c r="V4722" s="106">
        <v>39502.592088550722</v>
      </c>
      <c r="W4722" s="10">
        <v>1.2845578772017641</v>
      </c>
      <c r="X4722" s="420"/>
      <c r="Y4722" s="420"/>
    </row>
    <row r="4723" spans="17:25">
      <c r="Q4723" s="6">
        <v>4693</v>
      </c>
      <c r="R4723" s="7">
        <v>47360</v>
      </c>
      <c r="S4723" s="210">
        <v>4.5</v>
      </c>
      <c r="T4723" s="8">
        <v>1.0001249999999999</v>
      </c>
      <c r="U4723" s="98">
        <v>4.5566231696078319</v>
      </c>
      <c r="V4723" s="106">
        <v>39505.989460535689</v>
      </c>
      <c r="W4723" s="10">
        <v>1.284589567144323</v>
      </c>
      <c r="X4723" s="420"/>
      <c r="Y4723" s="420"/>
    </row>
    <row r="4724" spans="17:25">
      <c r="Q4724" s="6">
        <v>4694</v>
      </c>
      <c r="R4724" s="7">
        <v>47361</v>
      </c>
      <c r="S4724" s="210">
        <v>4.5</v>
      </c>
      <c r="T4724" s="8">
        <v>1.0001249999999999</v>
      </c>
      <c r="U4724" s="98">
        <v>4.556646859938196</v>
      </c>
      <c r="V4724" s="106">
        <v>39509.387124707471</v>
      </c>
      <c r="W4724" s="10">
        <v>1.2846212435944748</v>
      </c>
      <c r="X4724" s="420"/>
      <c r="Y4724" s="420"/>
    </row>
    <row r="4725" spans="17:25">
      <c r="Q4725" s="6">
        <v>4695</v>
      </c>
      <c r="R4725" s="7">
        <v>47362</v>
      </c>
      <c r="S4725" s="210">
        <v>4.5</v>
      </c>
      <c r="T4725" s="8">
        <v>1.0001249999999999</v>
      </c>
      <c r="U4725" s="98">
        <v>4.5566705401822061</v>
      </c>
      <c r="V4725" s="106">
        <v>39512.785081091184</v>
      </c>
      <c r="W4725" s="10">
        <v>1.284652906560857</v>
      </c>
      <c r="X4725" s="420"/>
      <c r="Y4725" s="420"/>
    </row>
    <row r="4726" spans="17:25">
      <c r="Q4726" s="6">
        <v>4696</v>
      </c>
      <c r="R4726" s="7">
        <v>47363</v>
      </c>
      <c r="S4726" s="210">
        <v>4.5</v>
      </c>
      <c r="T4726" s="8">
        <v>1.0001249999999999</v>
      </c>
      <c r="U4726" s="98">
        <v>4.5566942103463015</v>
      </c>
      <c r="V4726" s="106">
        <v>39516.183329711974</v>
      </c>
      <c r="W4726" s="10">
        <v>1.2846845560520403</v>
      </c>
      <c r="X4726" s="420"/>
      <c r="Y4726" s="420"/>
    </row>
    <row r="4727" spans="17:25">
      <c r="Q4727" s="6">
        <v>4697</v>
      </c>
      <c r="R4727" s="7">
        <v>47364</v>
      </c>
      <c r="S4727" s="210">
        <v>4.5</v>
      </c>
      <c r="T4727" s="8">
        <v>1.0001249999999999</v>
      </c>
      <c r="U4727" s="98">
        <v>4.5567178704368994</v>
      </c>
      <c r="V4727" s="106">
        <v>39519.581870594964</v>
      </c>
      <c r="W4727" s="10">
        <v>1.2847161920766403</v>
      </c>
      <c r="X4727" s="420"/>
      <c r="Y4727" s="420"/>
    </row>
    <row r="4728" spans="17:25">
      <c r="Q4728" s="6">
        <v>4698</v>
      </c>
      <c r="R4728" s="7">
        <v>47365</v>
      </c>
      <c r="S4728" s="210">
        <v>4.5</v>
      </c>
      <c r="T4728" s="8">
        <v>1.0001249999999999</v>
      </c>
      <c r="U4728" s="98">
        <v>4.5567415204604389</v>
      </c>
      <c r="V4728" s="106">
        <v>39522.980703765308</v>
      </c>
      <c r="W4728" s="10">
        <v>1.2847478146432278</v>
      </c>
      <c r="X4728" s="420"/>
      <c r="Y4728" s="420"/>
    </row>
    <row r="4729" spans="17:25">
      <c r="Q4729" s="6">
        <v>4699</v>
      </c>
      <c r="R4729" s="7">
        <v>47366</v>
      </c>
      <c r="S4729" s="210">
        <v>4.5</v>
      </c>
      <c r="T4729" s="8">
        <v>1.0001249999999999</v>
      </c>
      <c r="U4729" s="98">
        <v>4.5567651604233372</v>
      </c>
      <c r="V4729" s="106">
        <v>39526.379829248115</v>
      </c>
      <c r="W4729" s="10">
        <v>1.2847794237604182</v>
      </c>
      <c r="X4729" s="420"/>
      <c r="Y4729" s="420"/>
    </row>
    <row r="4730" spans="17:25">
      <c r="Q4730" s="6">
        <v>4700</v>
      </c>
      <c r="R4730" s="7">
        <v>47367</v>
      </c>
      <c r="S4730" s="210">
        <v>4.5</v>
      </c>
      <c r="T4730" s="8">
        <v>1.0001249999999999</v>
      </c>
      <c r="U4730" s="98">
        <v>4.5567887903320115</v>
      </c>
      <c r="V4730" s="106">
        <v>39529.779247068545</v>
      </c>
      <c r="W4730" s="10">
        <v>1.2848110194367823</v>
      </c>
      <c r="X4730" s="420"/>
      <c r="Y4730" s="420"/>
    </row>
    <row r="4731" spans="17:25">
      <c r="Q4731" s="6">
        <v>4701</v>
      </c>
      <c r="R4731" s="7">
        <v>47368</v>
      </c>
      <c r="S4731" s="210">
        <v>4.5</v>
      </c>
      <c r="T4731" s="8">
        <v>1.0001249999999999</v>
      </c>
      <c r="U4731" s="98">
        <v>4.5568124101929008</v>
      </c>
      <c r="V4731" s="106">
        <v>39533.178957251737</v>
      </c>
      <c r="W4731" s="10">
        <v>1.2848426016808911</v>
      </c>
      <c r="X4731" s="420"/>
      <c r="Y4731" s="420"/>
    </row>
    <row r="4732" spans="17:25">
      <c r="Q4732" s="6">
        <v>4702</v>
      </c>
      <c r="R4732" s="7">
        <v>47369</v>
      </c>
      <c r="S4732" s="210">
        <v>4.5</v>
      </c>
      <c r="T4732" s="8">
        <v>1.0001249999999999</v>
      </c>
      <c r="U4732" s="98">
        <v>4.5568360200123781</v>
      </c>
      <c r="V4732" s="106">
        <v>39536.578959822837</v>
      </c>
      <c r="W4732" s="10">
        <v>1.2848741705012712</v>
      </c>
      <c r="X4732" s="420"/>
      <c r="Y4732" s="420"/>
    </row>
    <row r="4733" spans="17:25">
      <c r="Q4733" s="6">
        <v>4703</v>
      </c>
      <c r="R4733" s="7">
        <v>47370</v>
      </c>
      <c r="S4733" s="210">
        <v>4.5</v>
      </c>
      <c r="T4733" s="8">
        <v>1.0001249999999999</v>
      </c>
      <c r="U4733" s="98">
        <v>4.5568596197968603</v>
      </c>
      <c r="V4733" s="106">
        <v>39539.979254806989</v>
      </c>
      <c r="W4733" s="10">
        <v>1.2849057259065377</v>
      </c>
      <c r="X4733" s="420"/>
      <c r="Y4733" s="420"/>
    </row>
    <row r="4734" spans="17:25">
      <c r="Q4734" s="6">
        <v>4704</v>
      </c>
      <c r="R4734" s="7">
        <v>47371</v>
      </c>
      <c r="S4734" s="210">
        <v>4.5</v>
      </c>
      <c r="T4734" s="8">
        <v>1.0001249999999999</v>
      </c>
      <c r="U4734" s="98">
        <v>4.5568832095527423</v>
      </c>
      <c r="V4734" s="106">
        <v>39543.379842229333</v>
      </c>
      <c r="W4734" s="10">
        <v>1.2849372679052173</v>
      </c>
      <c r="X4734" s="420"/>
      <c r="Y4734" s="420"/>
    </row>
    <row r="4735" spans="17:25">
      <c r="Q4735" s="6">
        <v>4705</v>
      </c>
      <c r="R4735" s="7">
        <v>47372</v>
      </c>
      <c r="S4735" s="210">
        <v>4.5</v>
      </c>
      <c r="T4735" s="8">
        <v>1.0001249999999999</v>
      </c>
      <c r="U4735" s="98">
        <v>4.556906789286419</v>
      </c>
      <c r="V4735" s="106">
        <v>39546.780722115029</v>
      </c>
      <c r="W4735" s="10">
        <v>1.2849687965058365</v>
      </c>
      <c r="X4735" s="420"/>
      <c r="Y4735" s="420"/>
    </row>
    <row r="4736" spans="17:25">
      <c r="Q4736" s="6">
        <v>4706</v>
      </c>
      <c r="R4736" s="7">
        <v>47373</v>
      </c>
      <c r="S4736" s="210">
        <v>4.5</v>
      </c>
      <c r="T4736" s="8">
        <v>1.0001249999999999</v>
      </c>
      <c r="U4736" s="98">
        <v>4.5569303590042853</v>
      </c>
      <c r="V4736" s="106">
        <v>39550.181894489229</v>
      </c>
      <c r="W4736" s="10">
        <v>1.2850003117169662</v>
      </c>
      <c r="X4736" s="420"/>
      <c r="Y4736" s="420"/>
    </row>
    <row r="4737" spans="17:25">
      <c r="Q4737" s="6">
        <v>4707</v>
      </c>
      <c r="R4737" s="7">
        <v>47374</v>
      </c>
      <c r="S4737" s="210">
        <v>4.5</v>
      </c>
      <c r="T4737" s="8">
        <v>1.0001249999999999</v>
      </c>
      <c r="U4737" s="98">
        <v>4.5569539187126917</v>
      </c>
      <c r="V4737" s="106">
        <v>39553.583359377095</v>
      </c>
      <c r="W4737" s="10">
        <v>1.2850318135470884</v>
      </c>
      <c r="X4737" s="420"/>
      <c r="Y4737" s="420"/>
    </row>
    <row r="4738" spans="17:25">
      <c r="Q4738" s="6">
        <v>4708</v>
      </c>
      <c r="R4738" s="7">
        <v>47375</v>
      </c>
      <c r="S4738" s="210">
        <v>4.5</v>
      </c>
      <c r="T4738" s="8">
        <v>1.0001249999999999</v>
      </c>
      <c r="U4738" s="98">
        <v>4.5569774684180331</v>
      </c>
      <c r="V4738" s="106">
        <v>39556.985116803771</v>
      </c>
      <c r="W4738" s="10">
        <v>1.2850633020047519</v>
      </c>
      <c r="X4738" s="420"/>
      <c r="Y4738" s="420"/>
    </row>
    <row r="4739" spans="17:25">
      <c r="Q4739" s="6">
        <v>4709</v>
      </c>
      <c r="R4739" s="7">
        <v>47376</v>
      </c>
      <c r="S4739" s="210">
        <v>4.5</v>
      </c>
      <c r="T4739" s="8">
        <v>1.0001249999999999</v>
      </c>
      <c r="U4739" s="98">
        <v>4.5570010081266821</v>
      </c>
      <c r="V4739" s="106">
        <v>39560.387166794419</v>
      </c>
      <c r="W4739" s="10">
        <v>1.2850947770984611</v>
      </c>
      <c r="X4739" s="420"/>
      <c r="Y4739" s="420"/>
    </row>
    <row r="4740" spans="17:25">
      <c r="Q4740" s="6">
        <v>4710</v>
      </c>
      <c r="R4740" s="7">
        <v>47377</v>
      </c>
      <c r="S4740" s="210">
        <v>4.5</v>
      </c>
      <c r="T4740" s="8">
        <v>1.0001249999999999</v>
      </c>
      <c r="U4740" s="98">
        <v>4.5570245378450114</v>
      </c>
      <c r="V4740" s="106">
        <v>39563.789509374204</v>
      </c>
      <c r="W4740" s="10">
        <v>1.2851262388367424</v>
      </c>
      <c r="X4740" s="420"/>
      <c r="Y4740" s="420"/>
    </row>
    <row r="4741" spans="17:25">
      <c r="Q4741" s="6">
        <v>4711</v>
      </c>
      <c r="R4741" s="7">
        <v>47378</v>
      </c>
      <c r="S4741" s="210">
        <v>4.5</v>
      </c>
      <c r="T4741" s="8">
        <v>1.0001249999999999</v>
      </c>
      <c r="U4741" s="98">
        <v>4.5570480575793493</v>
      </c>
      <c r="V4741" s="106">
        <v>39567.192144568304</v>
      </c>
      <c r="W4741" s="10">
        <v>1.2851576872280779</v>
      </c>
      <c r="X4741" s="420"/>
      <c r="Y4741" s="420"/>
    </row>
    <row r="4742" spans="17:25">
      <c r="Q4742" s="6">
        <v>4712</v>
      </c>
      <c r="R4742" s="7">
        <v>47379</v>
      </c>
      <c r="S4742" s="210">
        <v>4.5</v>
      </c>
      <c r="T4742" s="8">
        <v>1.0001249999999999</v>
      </c>
      <c r="U4742" s="98">
        <v>4.5570715673360684</v>
      </c>
      <c r="V4742" s="106">
        <v>39570.595072401855</v>
      </c>
      <c r="W4742" s="10">
        <v>1.2851891222809275</v>
      </c>
      <c r="X4742" s="420"/>
      <c r="Y4742" s="420"/>
    </row>
    <row r="4743" spans="17:25">
      <c r="Q4743" s="6">
        <v>4713</v>
      </c>
      <c r="R4743" s="7">
        <v>47380</v>
      </c>
      <c r="S4743" s="210">
        <v>4.5</v>
      </c>
      <c r="T4743" s="8">
        <v>1.0001249999999999</v>
      </c>
      <c r="U4743" s="98">
        <v>4.5570950671215193</v>
      </c>
      <c r="V4743" s="106">
        <v>39573.998292900047</v>
      </c>
      <c r="W4743" s="10">
        <v>1.28522054400384</v>
      </c>
      <c r="X4743" s="420"/>
      <c r="Y4743" s="420"/>
    </row>
    <row r="4744" spans="17:25">
      <c r="Q4744" s="6">
        <v>4714</v>
      </c>
      <c r="R4744" s="7">
        <v>47381</v>
      </c>
      <c r="S4744" s="210">
        <v>4.5</v>
      </c>
      <c r="T4744" s="8">
        <v>1.0001249999999999</v>
      </c>
      <c r="U4744" s="98">
        <v>4.5571185569420303</v>
      </c>
      <c r="V4744" s="106">
        <v>39577.401806088041</v>
      </c>
      <c r="W4744" s="10">
        <v>1.285251952405253</v>
      </c>
      <c r="X4744" s="420"/>
      <c r="Y4744" s="420"/>
    </row>
    <row r="4745" spans="17:25">
      <c r="Q4745" s="6">
        <v>4715</v>
      </c>
      <c r="R4745" s="7">
        <v>47382</v>
      </c>
      <c r="S4745" s="210">
        <v>4.5</v>
      </c>
      <c r="T4745" s="8">
        <v>1.0001249999999999</v>
      </c>
      <c r="U4745" s="98">
        <v>4.5571420368039517</v>
      </c>
      <c r="V4745" s="106">
        <v>39580.805611991018</v>
      </c>
      <c r="W4745" s="10">
        <v>1.2852833474936265</v>
      </c>
      <c r="X4745" s="420"/>
      <c r="Y4745" s="420"/>
    </row>
    <row r="4746" spans="17:25">
      <c r="Q4746" s="6">
        <v>4716</v>
      </c>
      <c r="R4746" s="7">
        <v>47383</v>
      </c>
      <c r="S4746" s="210">
        <v>4.5</v>
      </c>
      <c r="T4746" s="8">
        <v>1.0001249999999999</v>
      </c>
      <c r="U4746" s="98">
        <v>4.5571655067136119</v>
      </c>
      <c r="V4746" s="106">
        <v>39584.209710634146</v>
      </c>
      <c r="W4746" s="10">
        <v>1.2853147292774425</v>
      </c>
      <c r="X4746" s="420"/>
      <c r="Y4746" s="420"/>
    </row>
    <row r="4747" spans="17:25">
      <c r="Q4747" s="6">
        <v>4717</v>
      </c>
      <c r="R4747" s="7">
        <v>47384</v>
      </c>
      <c r="S4747" s="210">
        <v>4.5</v>
      </c>
      <c r="T4747" s="8">
        <v>1.0001249999999999</v>
      </c>
      <c r="U4747" s="98">
        <v>4.5571889666773391</v>
      </c>
      <c r="V4747" s="106">
        <v>39587.6141020426</v>
      </c>
      <c r="W4747" s="10">
        <v>1.285346097765161</v>
      </c>
      <c r="X4747" s="420"/>
      <c r="Y4747" s="420"/>
    </row>
    <row r="4748" spans="17:25">
      <c r="Q4748" s="6">
        <v>4718</v>
      </c>
      <c r="R4748" s="7">
        <v>47385</v>
      </c>
      <c r="S4748" s="210">
        <v>4.5</v>
      </c>
      <c r="T4748" s="8">
        <v>1.0001249999999999</v>
      </c>
      <c r="U4748" s="98">
        <v>4.5572124167014394</v>
      </c>
      <c r="V4748" s="106">
        <v>39591.018786241562</v>
      </c>
      <c r="W4748" s="10">
        <v>1.2853774529652195</v>
      </c>
      <c r="X4748" s="420"/>
      <c r="Y4748" s="420"/>
    </row>
    <row r="4749" spans="17:25">
      <c r="Q4749" s="6">
        <v>4719</v>
      </c>
      <c r="R4749" s="7">
        <v>47386</v>
      </c>
      <c r="S4749" s="210">
        <v>4.5</v>
      </c>
      <c r="T4749" s="8">
        <v>1.0001249999999999</v>
      </c>
      <c r="U4749" s="98">
        <v>4.5572358567922411</v>
      </c>
      <c r="V4749" s="106">
        <v>39594.423763256214</v>
      </c>
      <c r="W4749" s="10">
        <v>1.285408794886056</v>
      </c>
      <c r="X4749" s="420"/>
      <c r="Y4749" s="420"/>
    </row>
    <row r="4750" spans="17:25">
      <c r="Q4750" s="6">
        <v>4720</v>
      </c>
      <c r="R4750" s="7">
        <v>47387</v>
      </c>
      <c r="S4750" s="210">
        <v>4.5</v>
      </c>
      <c r="T4750" s="8">
        <v>1.0001249999999999</v>
      </c>
      <c r="U4750" s="98">
        <v>4.5572592869560502</v>
      </c>
      <c r="V4750" s="106">
        <v>39597.829033111739</v>
      </c>
      <c r="W4750" s="10">
        <v>1.2854401235361079</v>
      </c>
      <c r="X4750" s="420"/>
      <c r="Y4750" s="420"/>
    </row>
    <row r="4751" spans="17:25">
      <c r="Q4751" s="6">
        <v>4721</v>
      </c>
      <c r="R4751" s="7">
        <v>47388</v>
      </c>
      <c r="S4751" s="210">
        <v>4.5</v>
      </c>
      <c r="T4751" s="8">
        <v>1.0001249999999999</v>
      </c>
      <c r="U4751" s="98">
        <v>4.5572827071991728</v>
      </c>
      <c r="V4751" s="106">
        <v>39601.234595833317</v>
      </c>
      <c r="W4751" s="10">
        <v>1.2854714389238131</v>
      </c>
      <c r="X4751" s="420"/>
      <c r="Y4751" s="420"/>
    </row>
    <row r="4752" spans="17:25">
      <c r="Q4752" s="6">
        <v>4722</v>
      </c>
      <c r="R4752" s="7">
        <v>47389</v>
      </c>
      <c r="S4752" s="210">
        <v>4.5</v>
      </c>
      <c r="T4752" s="8">
        <v>1.0001249999999999</v>
      </c>
      <c r="U4752" s="98">
        <v>4.557306117527915</v>
      </c>
      <c r="V4752" s="106">
        <v>39604.640451446146</v>
      </c>
      <c r="W4752" s="10">
        <v>1.2855027410575648</v>
      </c>
      <c r="X4752" s="420"/>
      <c r="Y4752" s="420"/>
    </row>
    <row r="4753" spans="17:25">
      <c r="Q4753" s="6">
        <v>4723</v>
      </c>
      <c r="R4753" s="7">
        <v>47390</v>
      </c>
      <c r="S4753" s="210">
        <v>4.5</v>
      </c>
      <c r="T4753" s="8">
        <v>1.0001249999999999</v>
      </c>
      <c r="U4753" s="98">
        <v>4.5573295179485607</v>
      </c>
      <c r="V4753" s="106">
        <v>39608.046599975409</v>
      </c>
      <c r="W4753" s="10">
        <v>1.2855340299458007</v>
      </c>
      <c r="X4753" s="420"/>
      <c r="Y4753" s="420"/>
    </row>
    <row r="4754" spans="17:25">
      <c r="Q4754" s="6">
        <v>4724</v>
      </c>
      <c r="R4754" s="7">
        <v>47391</v>
      </c>
      <c r="S4754" s="210">
        <v>4.5</v>
      </c>
      <c r="T4754" s="8">
        <v>1.0001249999999999</v>
      </c>
      <c r="U4754" s="98">
        <v>4.5573529084674158</v>
      </c>
      <c r="V4754" s="106">
        <v>39611.453041446301</v>
      </c>
      <c r="W4754" s="10">
        <v>1.2855653055969363</v>
      </c>
      <c r="X4754" s="420"/>
      <c r="Y4754" s="420"/>
    </row>
    <row r="4755" spans="17:25">
      <c r="Q4755" s="6">
        <v>4725</v>
      </c>
      <c r="R4755" s="7">
        <v>47392</v>
      </c>
      <c r="S4755" s="210">
        <v>4.5</v>
      </c>
      <c r="T4755" s="8">
        <v>1.0001249999999999</v>
      </c>
      <c r="U4755" s="98">
        <v>4.5573762890907421</v>
      </c>
      <c r="V4755" s="106">
        <v>39614.859775884004</v>
      </c>
      <c r="W4755" s="10">
        <v>1.2855965680193426</v>
      </c>
      <c r="X4755" s="420"/>
      <c r="Y4755" s="420"/>
    </row>
    <row r="4756" spans="17:25">
      <c r="Q4756" s="6">
        <v>4726</v>
      </c>
      <c r="R4756" s="7">
        <v>47393</v>
      </c>
      <c r="S4756" s="210">
        <v>4.5</v>
      </c>
      <c r="T4756" s="8">
        <v>1.0001249999999999</v>
      </c>
      <c r="U4756" s="98">
        <v>4.5573996598248234</v>
      </c>
      <c r="V4756" s="106">
        <v>39618.266803313731</v>
      </c>
      <c r="W4756" s="10">
        <v>1.2856278172214131</v>
      </c>
      <c r="X4756" s="420"/>
      <c r="Y4756" s="420"/>
    </row>
    <row r="4757" spans="17:25">
      <c r="Q4757" s="6">
        <v>4727</v>
      </c>
      <c r="R4757" s="7">
        <v>47394</v>
      </c>
      <c r="S4757" s="210">
        <v>4.5</v>
      </c>
      <c r="T4757" s="8">
        <v>1.0001249999999999</v>
      </c>
      <c r="U4757" s="98">
        <v>4.5574230206759436</v>
      </c>
      <c r="V4757" s="106">
        <v>39621.674123760677</v>
      </c>
      <c r="W4757" s="10">
        <v>1.2856590532115408</v>
      </c>
      <c r="X4757" s="420"/>
      <c r="Y4757" s="420"/>
    </row>
    <row r="4758" spans="17:25">
      <c r="Q4758" s="6">
        <v>4728</v>
      </c>
      <c r="R4758" s="7">
        <v>47395</v>
      </c>
      <c r="S4758" s="210">
        <v>4.5</v>
      </c>
      <c r="T4758" s="8">
        <v>1.0001249999999999</v>
      </c>
      <c r="U4758" s="98">
        <v>4.5574463716503644</v>
      </c>
      <c r="V4758" s="106">
        <v>39625.081737250031</v>
      </c>
      <c r="W4758" s="10">
        <v>1.2856902759981192</v>
      </c>
      <c r="X4758" s="420"/>
      <c r="Y4758" s="420"/>
    </row>
    <row r="4759" spans="17:25">
      <c r="Q4759" s="6">
        <v>4729</v>
      </c>
      <c r="R4759" s="7">
        <v>47396</v>
      </c>
      <c r="S4759" s="210">
        <v>4.5</v>
      </c>
      <c r="T4759" s="8">
        <v>1.0001249999999999</v>
      </c>
      <c r="U4759" s="98">
        <v>4.5574697127543473</v>
      </c>
      <c r="V4759" s="106">
        <v>39628.489643807006</v>
      </c>
      <c r="W4759" s="10">
        <v>1.285721485589475</v>
      </c>
      <c r="X4759" s="420"/>
      <c r="Y4759" s="420"/>
    </row>
    <row r="4760" spans="17:25">
      <c r="Q4760" s="6">
        <v>4730</v>
      </c>
      <c r="R4760" s="7">
        <v>47397</v>
      </c>
      <c r="S4760" s="210">
        <v>4.5</v>
      </c>
      <c r="T4760" s="8">
        <v>1.0001249999999999</v>
      </c>
      <c r="U4760" s="98">
        <v>4.5574930439941541</v>
      </c>
      <c r="V4760" s="106">
        <v>39631.897843456813</v>
      </c>
      <c r="W4760" s="10">
        <v>1.2857526819940235</v>
      </c>
      <c r="X4760" s="420"/>
      <c r="Y4760" s="420"/>
    </row>
    <row r="4761" spans="17:25">
      <c r="Q4761" s="6">
        <v>4731</v>
      </c>
      <c r="R4761" s="7">
        <v>47398</v>
      </c>
      <c r="S4761" s="210">
        <v>4.5</v>
      </c>
      <c r="T4761" s="8">
        <v>1.0001249999999999</v>
      </c>
      <c r="U4761" s="98">
        <v>4.5575163653760242</v>
      </c>
      <c r="V4761" s="106">
        <v>39635.306336224639</v>
      </c>
      <c r="W4761" s="10">
        <v>1.2857838652200915</v>
      </c>
      <c r="X4761" s="420"/>
      <c r="Y4761" s="420"/>
    </row>
    <row r="4762" spans="17:25">
      <c r="Q4762" s="6">
        <v>4732</v>
      </c>
      <c r="R4762" s="7">
        <v>47399</v>
      </c>
      <c r="S4762" s="210">
        <v>4.5</v>
      </c>
      <c r="T4762" s="8">
        <v>1.0001249999999999</v>
      </c>
      <c r="U4762" s="98">
        <v>4.5575396769062193</v>
      </c>
      <c r="V4762" s="106">
        <v>39638.715122135713</v>
      </c>
      <c r="W4762" s="10">
        <v>1.2858150352760278</v>
      </c>
      <c r="X4762" s="420"/>
      <c r="Y4762" s="420"/>
    </row>
    <row r="4763" spans="17:25">
      <c r="Q4763" s="6">
        <v>4733</v>
      </c>
      <c r="R4763" s="7">
        <v>47400</v>
      </c>
      <c r="S4763" s="210">
        <v>4.5</v>
      </c>
      <c r="T4763" s="8">
        <v>1.0001249999999999</v>
      </c>
      <c r="U4763" s="98">
        <v>4.5575629785909566</v>
      </c>
      <c r="V4763" s="106">
        <v>39642.124201215243</v>
      </c>
      <c r="W4763" s="10">
        <v>1.2858461921701592</v>
      </c>
      <c r="X4763" s="420"/>
      <c r="Y4763" s="420"/>
    </row>
    <row r="4764" spans="17:25">
      <c r="Q4764" s="6">
        <v>4734</v>
      </c>
      <c r="R4764" s="7">
        <v>47401</v>
      </c>
      <c r="S4764" s="210">
        <v>4.5</v>
      </c>
      <c r="T4764" s="8">
        <v>1.0001249999999999</v>
      </c>
      <c r="U4764" s="98">
        <v>4.5575862704364978</v>
      </c>
      <c r="V4764" s="106">
        <v>39645.533573488428</v>
      </c>
      <c r="W4764" s="10">
        <v>1.2858773359108344</v>
      </c>
      <c r="X4764" s="420"/>
      <c r="Y4764" s="420"/>
    </row>
    <row r="4765" spans="17:25">
      <c r="Q4765" s="6">
        <v>4735</v>
      </c>
      <c r="R4765" s="7">
        <v>47402</v>
      </c>
      <c r="S4765" s="210">
        <v>4.5</v>
      </c>
      <c r="T4765" s="8">
        <v>1.0001249999999999</v>
      </c>
      <c r="U4765" s="98">
        <v>4.5576095524490601</v>
      </c>
      <c r="V4765" s="106">
        <v>39648.943238980493</v>
      </c>
      <c r="W4765" s="10">
        <v>1.2859084665064024</v>
      </c>
      <c r="X4765" s="420"/>
      <c r="Y4765" s="420"/>
    </row>
    <row r="4766" spans="17:25">
      <c r="Q4766" s="6">
        <v>4736</v>
      </c>
      <c r="R4766" s="7">
        <v>47403</v>
      </c>
      <c r="S4766" s="210">
        <v>4.5</v>
      </c>
      <c r="T4766" s="8">
        <v>1.0001249999999999</v>
      </c>
      <c r="U4766" s="98">
        <v>4.557632824634883</v>
      </c>
      <c r="V4766" s="106">
        <v>39652.353197716664</v>
      </c>
      <c r="W4766" s="10">
        <v>1.2859395839651677</v>
      </c>
      <c r="X4766" s="420"/>
      <c r="Y4766" s="420"/>
    </row>
    <row r="4767" spans="17:25">
      <c r="Q4767" s="6">
        <v>4737</v>
      </c>
      <c r="R4767" s="7">
        <v>47404</v>
      </c>
      <c r="S4767" s="210">
        <v>4.5</v>
      </c>
      <c r="T4767" s="8">
        <v>1.0001249999999999</v>
      </c>
      <c r="U4767" s="98">
        <v>4.5576560870001614</v>
      </c>
      <c r="V4767" s="106">
        <v>39655.763449722152</v>
      </c>
      <c r="W4767" s="10">
        <v>1.2859706882954347</v>
      </c>
      <c r="X4767" s="420"/>
      <c r="Y4767" s="420"/>
    </row>
    <row r="4768" spans="17:25">
      <c r="Q4768" s="6">
        <v>4738</v>
      </c>
      <c r="R4768" s="7">
        <v>47405</v>
      </c>
      <c r="S4768" s="210">
        <v>4.5</v>
      </c>
      <c r="T4768" s="8">
        <v>1.0001249999999999</v>
      </c>
      <c r="U4768" s="98">
        <v>4.557679339551135</v>
      </c>
      <c r="V4768" s="106">
        <v>39659.173995022182</v>
      </c>
      <c r="W4768" s="10">
        <v>1.2860017795055301</v>
      </c>
      <c r="X4768" s="420"/>
      <c r="Y4768" s="420"/>
    </row>
    <row r="4769" spans="17:25">
      <c r="Q4769" s="6">
        <v>4739</v>
      </c>
      <c r="R4769" s="7">
        <v>47406</v>
      </c>
      <c r="S4769" s="210">
        <v>4.5</v>
      </c>
      <c r="T4769" s="8">
        <v>1.0001249999999999</v>
      </c>
      <c r="U4769" s="98">
        <v>4.5577025822939987</v>
      </c>
      <c r="V4769" s="106">
        <v>39662.584833641973</v>
      </c>
      <c r="W4769" s="10">
        <v>1.2860328576037139</v>
      </c>
      <c r="X4769" s="420"/>
      <c r="Y4769" s="420"/>
    </row>
    <row r="4770" spans="17:25">
      <c r="Q4770" s="6">
        <v>4740</v>
      </c>
      <c r="R4770" s="7">
        <v>47407</v>
      </c>
      <c r="S4770" s="210">
        <v>4.5</v>
      </c>
      <c r="T4770" s="8">
        <v>1.0001249999999999</v>
      </c>
      <c r="U4770" s="98">
        <v>4.5577258152349698</v>
      </c>
      <c r="V4770" s="106">
        <v>39665.995965606766</v>
      </c>
      <c r="W4770" s="10">
        <v>1.286063922598335</v>
      </c>
      <c r="X4770" s="420"/>
      <c r="Y4770" s="420"/>
    </row>
    <row r="4771" spans="17:25">
      <c r="Q4771" s="6">
        <v>4741</v>
      </c>
      <c r="R4771" s="7">
        <v>47408</v>
      </c>
      <c r="S4771" s="210">
        <v>4.5</v>
      </c>
      <c r="T4771" s="8">
        <v>1.0001249999999999</v>
      </c>
      <c r="U4771" s="98">
        <v>4.5577490383802211</v>
      </c>
      <c r="V4771" s="106">
        <v>39669.407390941771</v>
      </c>
      <c r="W4771" s="10">
        <v>1.2860949744976313</v>
      </c>
      <c r="X4771" s="420"/>
      <c r="Y4771" s="420"/>
    </row>
    <row r="4772" spans="17:25">
      <c r="Q4772" s="6">
        <v>4742</v>
      </c>
      <c r="R4772" s="7">
        <v>47409</v>
      </c>
      <c r="S4772" s="210">
        <v>4.5</v>
      </c>
      <c r="T4772" s="8">
        <v>1.0001249999999999</v>
      </c>
      <c r="U4772" s="98">
        <v>4.5577722517359698</v>
      </c>
      <c r="V4772" s="106">
        <v>39672.819109672229</v>
      </c>
      <c r="W4772" s="10">
        <v>1.2861260133099073</v>
      </c>
      <c r="X4772" s="420"/>
      <c r="Y4772" s="420"/>
    </row>
    <row r="4773" spans="17:25">
      <c r="Q4773" s="6">
        <v>4743</v>
      </c>
      <c r="R4773" s="7">
        <v>47410</v>
      </c>
      <c r="S4773" s="210">
        <v>4.5</v>
      </c>
      <c r="T4773" s="8">
        <v>1.0001249999999999</v>
      </c>
      <c r="U4773" s="98">
        <v>4.557795455308411</v>
      </c>
      <c r="V4773" s="106">
        <v>39676.231121823374</v>
      </c>
      <c r="W4773" s="10">
        <v>1.2861570390434229</v>
      </c>
      <c r="X4773" s="420"/>
      <c r="Y4773" s="420"/>
    </row>
    <row r="4774" spans="17:25">
      <c r="Q4774" s="6">
        <v>4744</v>
      </c>
      <c r="R4774" s="7">
        <v>47411</v>
      </c>
      <c r="S4774" s="210">
        <v>4.5</v>
      </c>
      <c r="T4774" s="8">
        <v>1.0001249999999999</v>
      </c>
      <c r="U4774" s="98">
        <v>4.5578186491037176</v>
      </c>
      <c r="V4774" s="106">
        <v>39679.643427420444</v>
      </c>
      <c r="W4774" s="10">
        <v>1.2861880517064606</v>
      </c>
      <c r="X4774" s="420"/>
      <c r="Y4774" s="420"/>
    </row>
    <row r="4775" spans="17:25">
      <c r="Q4775" s="6">
        <v>4745</v>
      </c>
      <c r="R4775" s="7">
        <v>47412</v>
      </c>
      <c r="S4775" s="210">
        <v>4.5</v>
      </c>
      <c r="T4775" s="8">
        <v>1.0001249999999999</v>
      </c>
      <c r="U4775" s="98">
        <v>4.5578418331280623</v>
      </c>
      <c r="V4775" s="106">
        <v>39683.056026488659</v>
      </c>
      <c r="W4775" s="10">
        <v>1.286219051307258</v>
      </c>
      <c r="X4775" s="420"/>
      <c r="Y4775" s="420"/>
    </row>
    <row r="4776" spans="17:25">
      <c r="Q4776" s="6">
        <v>4746</v>
      </c>
      <c r="R4776" s="7">
        <v>47413</v>
      </c>
      <c r="S4776" s="210">
        <v>4.5</v>
      </c>
      <c r="T4776" s="8">
        <v>1.0001249999999999</v>
      </c>
      <c r="U4776" s="98">
        <v>4.5578650073876181</v>
      </c>
      <c r="V4776" s="106">
        <v>39686.468919053288</v>
      </c>
      <c r="W4776" s="10">
        <v>1.2862500378540753</v>
      </c>
      <c r="X4776" s="420"/>
      <c r="Y4776" s="420"/>
    </row>
    <row r="4777" spans="17:25">
      <c r="Q4777" s="6">
        <v>4747</v>
      </c>
      <c r="R4777" s="7">
        <v>47414</v>
      </c>
      <c r="S4777" s="210">
        <v>4.5</v>
      </c>
      <c r="T4777" s="8">
        <v>1.0001249999999999</v>
      </c>
      <c r="U4777" s="98">
        <v>4.5578881718885578</v>
      </c>
      <c r="V4777" s="106">
        <v>39689.882105139543</v>
      </c>
      <c r="W4777" s="10">
        <v>1.2862810113551504</v>
      </c>
      <c r="X4777" s="420"/>
      <c r="Y4777" s="420"/>
    </row>
    <row r="4778" spans="17:25">
      <c r="Q4778" s="6">
        <v>4748</v>
      </c>
      <c r="R4778" s="7">
        <v>47415</v>
      </c>
      <c r="S4778" s="210">
        <v>4.5</v>
      </c>
      <c r="T4778" s="8">
        <v>1.0001249999999999</v>
      </c>
      <c r="U4778" s="98">
        <v>4.5579113266370319</v>
      </c>
      <c r="V4778" s="106">
        <v>39693.295584772684</v>
      </c>
      <c r="W4778" s="10">
        <v>1.2863119718186988</v>
      </c>
      <c r="X4778" s="420"/>
      <c r="Y4778" s="420"/>
    </row>
    <row r="4779" spans="17:25">
      <c r="Q4779" s="6">
        <v>4749</v>
      </c>
      <c r="R4779" s="7">
        <v>47416</v>
      </c>
      <c r="S4779" s="210">
        <v>4.5</v>
      </c>
      <c r="T4779" s="8">
        <v>1.0001249999999999</v>
      </c>
      <c r="U4779" s="98">
        <v>4.5579344716392134</v>
      </c>
      <c r="V4779" s="106">
        <v>39696.709357977961</v>
      </c>
      <c r="W4779" s="10">
        <v>1.2863429192530029</v>
      </c>
      <c r="X4779" s="420"/>
      <c r="Y4779" s="420"/>
    </row>
    <row r="4780" spans="17:25">
      <c r="Q4780" s="6">
        <v>4750</v>
      </c>
      <c r="R4780" s="7">
        <v>47417</v>
      </c>
      <c r="S4780" s="210">
        <v>4.5</v>
      </c>
      <c r="T4780" s="8">
        <v>1.0001249999999999</v>
      </c>
      <c r="U4780" s="98">
        <v>4.5579576069012528</v>
      </c>
      <c r="V4780" s="106">
        <v>39700.123424780613</v>
      </c>
      <c r="W4780" s="10">
        <v>1.2863738536662339</v>
      </c>
      <c r="X4780" s="420"/>
      <c r="Y4780" s="420"/>
    </row>
    <row r="4781" spans="17:25">
      <c r="Q4781" s="6">
        <v>4751</v>
      </c>
      <c r="R4781" s="7">
        <v>47418</v>
      </c>
      <c r="S4781" s="210">
        <v>4.5</v>
      </c>
      <c r="T4781" s="8">
        <v>1.0001249999999999</v>
      </c>
      <c r="U4781" s="98">
        <v>4.5579807324293009</v>
      </c>
      <c r="V4781" s="106">
        <v>39703.537785205895</v>
      </c>
      <c r="W4781" s="10">
        <v>1.2864047750666519</v>
      </c>
      <c r="X4781" s="420"/>
      <c r="Y4781" s="420"/>
    </row>
    <row r="4782" spans="17:25">
      <c r="Q4782" s="6">
        <v>4752</v>
      </c>
      <c r="R4782" s="7">
        <v>47419</v>
      </c>
      <c r="S4782" s="210">
        <v>4.5</v>
      </c>
      <c r="T4782" s="8">
        <v>1.0001249999999999</v>
      </c>
      <c r="U4782" s="98">
        <v>4.558003848229486</v>
      </c>
      <c r="V4782" s="106">
        <v>39706.952439279048</v>
      </c>
      <c r="W4782" s="10">
        <v>1.2864356834624502</v>
      </c>
      <c r="X4782" s="420"/>
      <c r="Y4782" s="420"/>
    </row>
    <row r="4783" spans="17:25">
      <c r="Q4783" s="6">
        <v>4753</v>
      </c>
      <c r="R4783" s="7">
        <v>47420</v>
      </c>
      <c r="S4783" s="210">
        <v>4.5</v>
      </c>
      <c r="T4783" s="8">
        <v>1.0001249999999999</v>
      </c>
      <c r="U4783" s="98">
        <v>4.5580269543079588</v>
      </c>
      <c r="V4783" s="106">
        <v>39710.367387025348</v>
      </c>
      <c r="W4783" s="10">
        <v>1.2864665788618224</v>
      </c>
      <c r="X4783" s="420"/>
      <c r="Y4783" s="420"/>
    </row>
    <row r="4784" spans="17:25">
      <c r="Q4784" s="6">
        <v>4754</v>
      </c>
      <c r="R4784" s="7">
        <v>47421</v>
      </c>
      <c r="S4784" s="210">
        <v>4.5</v>
      </c>
      <c r="T4784" s="8">
        <v>1.0001249999999999</v>
      </c>
      <c r="U4784" s="98">
        <v>4.5580500506708477</v>
      </c>
      <c r="V4784" s="106">
        <v>39713.782628470035</v>
      </c>
      <c r="W4784" s="10">
        <v>1.2864974612729618</v>
      </c>
      <c r="X4784" s="420"/>
      <c r="Y4784" s="420"/>
    </row>
    <row r="4785" spans="17:25">
      <c r="Q4785" s="6">
        <v>4755</v>
      </c>
      <c r="R4785" s="7">
        <v>47422</v>
      </c>
      <c r="S4785" s="210">
        <v>4.5</v>
      </c>
      <c r="T4785" s="8">
        <v>1.0001249999999999</v>
      </c>
      <c r="U4785" s="98">
        <v>4.5580731373242811</v>
      </c>
      <c r="V4785" s="106">
        <v>39717.198163638372</v>
      </c>
      <c r="W4785" s="10">
        <v>1.2865283307040842</v>
      </c>
      <c r="X4785" s="420"/>
      <c r="Y4785" s="420"/>
    </row>
    <row r="4786" spans="17:25">
      <c r="Q4786" s="6">
        <v>4756</v>
      </c>
      <c r="R4786" s="7">
        <v>47423</v>
      </c>
      <c r="S4786" s="210">
        <v>4.5</v>
      </c>
      <c r="T4786" s="8">
        <v>1.0001249999999999</v>
      </c>
      <c r="U4786" s="98">
        <v>4.5580962142743653</v>
      </c>
      <c r="V4786" s="106">
        <v>39720.613992555627</v>
      </c>
      <c r="W4786" s="10">
        <v>1.2865591871633164</v>
      </c>
      <c r="X4786" s="420"/>
      <c r="Y4786" s="420"/>
    </row>
    <row r="4787" spans="17:25">
      <c r="Q4787" s="6">
        <v>4757</v>
      </c>
      <c r="R4787" s="7">
        <v>47424</v>
      </c>
      <c r="S4787" s="210">
        <v>4.5</v>
      </c>
      <c r="T4787" s="8">
        <v>1.0001249999999999</v>
      </c>
      <c r="U4787" s="98">
        <v>4.5581192815272287</v>
      </c>
      <c r="V4787" s="106">
        <v>39724.030115247057</v>
      </c>
      <c r="W4787" s="10">
        <v>1.2865900306588962</v>
      </c>
      <c r="X4787" s="420"/>
      <c r="Y4787" s="420"/>
    </row>
    <row r="4788" spans="17:25">
      <c r="Q4788" s="6">
        <v>4758</v>
      </c>
      <c r="R4788" s="7">
        <v>47425</v>
      </c>
      <c r="S4788" s="210">
        <v>4.5</v>
      </c>
      <c r="T4788" s="8">
        <v>1.0001249999999999</v>
      </c>
      <c r="U4788" s="98">
        <v>4.5581423390889775</v>
      </c>
      <c r="V4788" s="106">
        <v>39727.446531737929</v>
      </c>
      <c r="W4788" s="10">
        <v>1.2866208611989505</v>
      </c>
      <c r="X4788" s="420"/>
      <c r="Y4788" s="420"/>
    </row>
    <row r="4789" spans="17:25">
      <c r="Q4789" s="6">
        <v>4759</v>
      </c>
      <c r="R4789" s="7">
        <v>47426</v>
      </c>
      <c r="S4789" s="210">
        <v>4.5</v>
      </c>
      <c r="T4789" s="8">
        <v>1.0001249999999999</v>
      </c>
      <c r="U4789" s="98">
        <v>4.5581653869657179</v>
      </c>
      <c r="V4789" s="106">
        <v>39730.863242053507</v>
      </c>
      <c r="W4789" s="10">
        <v>1.2866516787916282</v>
      </c>
      <c r="X4789" s="420"/>
      <c r="Y4789" s="420"/>
    </row>
    <row r="4790" spans="17:25">
      <c r="Q4790" s="6">
        <v>4760</v>
      </c>
      <c r="R4790" s="7">
        <v>47427</v>
      </c>
      <c r="S4790" s="210">
        <v>4.5</v>
      </c>
      <c r="T4790" s="8">
        <v>1.0001249999999999</v>
      </c>
      <c r="U4790" s="98">
        <v>4.5581884251635563</v>
      </c>
      <c r="V4790" s="106">
        <v>39734.280246219074</v>
      </c>
      <c r="W4790" s="10">
        <v>1.2866824834451451</v>
      </c>
      <c r="X4790" s="420"/>
      <c r="Y4790" s="420"/>
    </row>
    <row r="4791" spans="17:25">
      <c r="Q4791" s="6">
        <v>4761</v>
      </c>
      <c r="R4791" s="7">
        <v>47428</v>
      </c>
      <c r="S4791" s="210">
        <v>4.5</v>
      </c>
      <c r="T4791" s="8">
        <v>1.0001249999999999</v>
      </c>
      <c r="U4791" s="98">
        <v>4.5582114536885987</v>
      </c>
      <c r="V4791" s="106">
        <v>39737.697544259892</v>
      </c>
      <c r="W4791" s="10">
        <v>1.2867132751676058</v>
      </c>
      <c r="X4791" s="420"/>
      <c r="Y4791" s="420"/>
    </row>
    <row r="4792" spans="17:25">
      <c r="Q4792" s="6">
        <v>4762</v>
      </c>
      <c r="R4792" s="7">
        <v>47429</v>
      </c>
      <c r="S4792" s="210">
        <v>4.5</v>
      </c>
      <c r="T4792" s="8">
        <v>1.0001249999999999</v>
      </c>
      <c r="U4792" s="98">
        <v>4.5582344725469293</v>
      </c>
      <c r="V4792" s="106">
        <v>39741.115136201232</v>
      </c>
      <c r="W4792" s="10">
        <v>1.2867440539671593</v>
      </c>
      <c r="X4792" s="420"/>
      <c r="Y4792" s="420"/>
    </row>
    <row r="4793" spans="17:25">
      <c r="Q4793" s="6">
        <v>4763</v>
      </c>
      <c r="R4793" s="7">
        <v>47430</v>
      </c>
      <c r="S4793" s="210">
        <v>4.5</v>
      </c>
      <c r="T4793" s="8">
        <v>1.0001249999999999</v>
      </c>
      <c r="U4793" s="98">
        <v>4.5582574817446098</v>
      </c>
      <c r="V4793" s="106">
        <v>39744.533022068383</v>
      </c>
      <c r="W4793" s="10">
        <v>1.2867748198519324</v>
      </c>
      <c r="X4793" s="420"/>
      <c r="Y4793" s="420"/>
    </row>
    <row r="4794" spans="17:25">
      <c r="Q4794" s="6">
        <v>4764</v>
      </c>
      <c r="R4794" s="7">
        <v>47431</v>
      </c>
      <c r="S4794" s="210">
        <v>4.5</v>
      </c>
      <c r="T4794" s="8">
        <v>1.0001249999999999</v>
      </c>
      <c r="U4794" s="98">
        <v>4.5582804812877464</v>
      </c>
      <c r="V4794" s="106">
        <v>39747.951201886608</v>
      </c>
      <c r="W4794" s="10">
        <v>1.286805572830052</v>
      </c>
      <c r="X4794" s="420"/>
      <c r="Y4794" s="420"/>
    </row>
    <row r="4795" spans="17:25">
      <c r="Q4795" s="6">
        <v>4765</v>
      </c>
      <c r="R4795" s="7">
        <v>47432</v>
      </c>
      <c r="S4795" s="210">
        <v>4.5</v>
      </c>
      <c r="T4795" s="8">
        <v>1.0001249999999999</v>
      </c>
      <c r="U4795" s="98">
        <v>4.5583034711824011</v>
      </c>
      <c r="V4795" s="106">
        <v>39751.369675681199</v>
      </c>
      <c r="W4795" s="10">
        <v>1.286836312909645</v>
      </c>
      <c r="X4795" s="420"/>
      <c r="Y4795" s="420"/>
    </row>
    <row r="4796" spans="17:25">
      <c r="Q4796" s="6">
        <v>4766</v>
      </c>
      <c r="R4796" s="7">
        <v>47433</v>
      </c>
      <c r="S4796" s="210">
        <v>4.5</v>
      </c>
      <c r="T4796" s="8">
        <v>1.0001249999999999</v>
      </c>
      <c r="U4796" s="98">
        <v>4.5583264514346578</v>
      </c>
      <c r="V4796" s="106">
        <v>39754.788443477431</v>
      </c>
      <c r="W4796" s="10">
        <v>1.286867040098838</v>
      </c>
      <c r="X4796" s="420"/>
      <c r="Y4796" s="420"/>
    </row>
    <row r="4797" spans="17:25">
      <c r="Q4797" s="6">
        <v>4767</v>
      </c>
      <c r="R4797" s="7">
        <v>47434</v>
      </c>
      <c r="S4797" s="210">
        <v>4.5</v>
      </c>
      <c r="T4797" s="8">
        <v>1.0001249999999999</v>
      </c>
      <c r="U4797" s="98">
        <v>4.558349422050556</v>
      </c>
      <c r="V4797" s="106">
        <v>39758.207505300605</v>
      </c>
      <c r="W4797" s="10">
        <v>1.2868977544056914</v>
      </c>
      <c r="X4797" s="420"/>
      <c r="Y4797" s="420"/>
    </row>
    <row r="4798" spans="17:25">
      <c r="Q4798" s="6">
        <v>4768</v>
      </c>
      <c r="R4798" s="7">
        <v>47435</v>
      </c>
      <c r="S4798" s="210">
        <v>4.5</v>
      </c>
      <c r="T4798" s="8">
        <v>1.0001249999999999</v>
      </c>
      <c r="U4798" s="98">
        <v>4.55837238303618</v>
      </c>
      <c r="V4798" s="106">
        <v>39761.626861175988</v>
      </c>
      <c r="W4798" s="10">
        <v>1.2869284558383542</v>
      </c>
      <c r="X4798" s="420"/>
      <c r="Y4798" s="420"/>
    </row>
    <row r="4799" spans="17:25">
      <c r="Q4799" s="6">
        <v>4769</v>
      </c>
      <c r="R4799" s="7">
        <v>47436</v>
      </c>
      <c r="S4799" s="210">
        <v>4.5</v>
      </c>
      <c r="T4799" s="8">
        <v>1.0001249999999999</v>
      </c>
      <c r="U4799" s="98">
        <v>4.5583953343975692</v>
      </c>
      <c r="V4799" s="106">
        <v>39765.046511128887</v>
      </c>
      <c r="W4799" s="10">
        <v>1.2869591444048867</v>
      </c>
      <c r="X4799" s="420"/>
      <c r="Y4799" s="420"/>
    </row>
    <row r="4800" spans="17:25">
      <c r="Q4800" s="6">
        <v>4770</v>
      </c>
      <c r="R4800" s="7">
        <v>47437</v>
      </c>
      <c r="S4800" s="210">
        <v>4.5</v>
      </c>
      <c r="T4800" s="8">
        <v>1.0001249999999999</v>
      </c>
      <c r="U4800" s="98">
        <v>4.5584182761407854</v>
      </c>
      <c r="V4800" s="106">
        <v>39768.466455184585</v>
      </c>
      <c r="W4800" s="10">
        <v>1.2869898201133934</v>
      </c>
      <c r="X4800" s="420"/>
      <c r="Y4800" s="420"/>
    </row>
    <row r="4801" spans="17:25">
      <c r="Q4801" s="6">
        <v>4771</v>
      </c>
      <c r="R4801" s="7">
        <v>47438</v>
      </c>
      <c r="S4801" s="210">
        <v>4.5</v>
      </c>
      <c r="T4801" s="8">
        <v>1.0001249999999999</v>
      </c>
      <c r="U4801" s="98">
        <v>4.5584412082718684</v>
      </c>
      <c r="V4801" s="106">
        <v>39771.886693368375</v>
      </c>
      <c r="W4801" s="10">
        <v>1.2870204829719567</v>
      </c>
      <c r="X4801" s="420"/>
      <c r="Y4801" s="420"/>
    </row>
    <row r="4802" spans="17:25">
      <c r="Q4802" s="6">
        <v>4772</v>
      </c>
      <c r="R4802" s="7">
        <v>47439</v>
      </c>
      <c r="S4802" s="210">
        <v>4.5</v>
      </c>
      <c r="T4802" s="8">
        <v>1.0001249999999999</v>
      </c>
      <c r="U4802" s="98">
        <v>4.5584641307968576</v>
      </c>
      <c r="V4802" s="106">
        <v>39775.307225705546</v>
      </c>
      <c r="W4802" s="10">
        <v>1.2870511329886369</v>
      </c>
      <c r="X4802" s="420"/>
      <c r="Y4802" s="420"/>
    </row>
    <row r="4803" spans="17:25">
      <c r="Q4803" s="6">
        <v>4773</v>
      </c>
      <c r="R4803" s="7">
        <v>47440</v>
      </c>
      <c r="S4803" s="210">
        <v>4.5</v>
      </c>
      <c r="T4803" s="8">
        <v>1.0001249999999999</v>
      </c>
      <c r="U4803" s="98">
        <v>4.5584870437217928</v>
      </c>
      <c r="V4803" s="106">
        <v>39778.728052221421</v>
      </c>
      <c r="W4803" s="10">
        <v>1.2870817701714943</v>
      </c>
      <c r="X4803" s="420"/>
      <c r="Y4803" s="420"/>
    </row>
    <row r="4804" spans="17:25">
      <c r="Q4804" s="6">
        <v>4774</v>
      </c>
      <c r="R4804" s="7">
        <v>47441</v>
      </c>
      <c r="S4804" s="210">
        <v>4.5</v>
      </c>
      <c r="T4804" s="8">
        <v>1.0001249999999999</v>
      </c>
      <c r="U4804" s="98">
        <v>4.5585099470526913</v>
      </c>
      <c r="V4804" s="106">
        <v>39782.149172941281</v>
      </c>
      <c r="W4804" s="10">
        <v>1.2871123945285889</v>
      </c>
      <c r="X4804" s="420"/>
      <c r="Y4804" s="420"/>
    </row>
    <row r="4805" spans="17:25">
      <c r="Q4805" s="6">
        <v>4775</v>
      </c>
      <c r="R4805" s="7">
        <v>47442</v>
      </c>
      <c r="S4805" s="210">
        <v>4.5</v>
      </c>
      <c r="T4805" s="8">
        <v>1.0001249999999999</v>
      </c>
      <c r="U4805" s="98">
        <v>4.5585328407955927</v>
      </c>
      <c r="V4805" s="106">
        <v>39785.570587890426</v>
      </c>
      <c r="W4805" s="10">
        <v>1.2871430060680034</v>
      </c>
      <c r="X4805" s="420"/>
      <c r="Y4805" s="420"/>
    </row>
    <row r="4806" spans="17:25">
      <c r="Q4806" s="6">
        <v>4776</v>
      </c>
      <c r="R4806" s="7">
        <v>47443</v>
      </c>
      <c r="S4806" s="210">
        <v>4.5</v>
      </c>
      <c r="T4806" s="8">
        <v>1.0001249999999999</v>
      </c>
      <c r="U4806" s="98">
        <v>4.5585557249565145</v>
      </c>
      <c r="V4806" s="106">
        <v>39788.99229709417</v>
      </c>
      <c r="W4806" s="10">
        <v>1.2871736047977533</v>
      </c>
      <c r="X4806" s="420"/>
      <c r="Y4806" s="420"/>
    </row>
    <row r="4807" spans="17:25">
      <c r="Q4807" s="6">
        <v>4777</v>
      </c>
      <c r="R4807" s="7">
        <v>47444</v>
      </c>
      <c r="S4807" s="210">
        <v>4.5</v>
      </c>
      <c r="T4807" s="8">
        <v>1.0001249999999999</v>
      </c>
      <c r="U4807" s="98">
        <v>4.5585785995414518</v>
      </c>
      <c r="V4807" s="106">
        <v>39792.414300577824</v>
      </c>
      <c r="W4807" s="10">
        <v>1.2872041907258769</v>
      </c>
      <c r="X4807" s="420"/>
      <c r="Y4807" s="420"/>
    </row>
    <row r="4808" spans="17:25">
      <c r="Q4808" s="6">
        <v>4778</v>
      </c>
      <c r="R4808" s="7">
        <v>47445</v>
      </c>
      <c r="S4808" s="210">
        <v>4.5</v>
      </c>
      <c r="T4808" s="8">
        <v>1.0001249999999999</v>
      </c>
      <c r="U4808" s="98">
        <v>4.5586014645564443</v>
      </c>
      <c r="V4808" s="106">
        <v>39795.836598366688</v>
      </c>
      <c r="W4808" s="10">
        <v>1.2872347638604342</v>
      </c>
      <c r="X4808" s="420"/>
      <c r="Y4808" s="420"/>
    </row>
    <row r="4809" spans="17:25">
      <c r="Q4809" s="6">
        <v>4779</v>
      </c>
      <c r="R4809" s="7">
        <v>47446</v>
      </c>
      <c r="S4809" s="210">
        <v>4.5</v>
      </c>
      <c r="T4809" s="8">
        <v>1.0001249999999999</v>
      </c>
      <c r="U4809" s="98">
        <v>4.558624320007465</v>
      </c>
      <c r="V4809" s="106">
        <v>39799.259190486067</v>
      </c>
      <c r="W4809" s="10">
        <v>1.287265324209419</v>
      </c>
      <c r="X4809" s="420"/>
      <c r="Y4809" s="420"/>
    </row>
    <row r="4810" spans="17:25">
      <c r="Q4810" s="6">
        <v>4780</v>
      </c>
      <c r="R4810" s="7">
        <v>47447</v>
      </c>
      <c r="S4810" s="210">
        <v>4.5</v>
      </c>
      <c r="T4810" s="8">
        <v>1.0001249999999999</v>
      </c>
      <c r="U4810" s="98">
        <v>4.5586471659005312</v>
      </c>
      <c r="V4810" s="106">
        <v>39802.682076961297</v>
      </c>
      <c r="W4810" s="10">
        <v>1.2872958717808691</v>
      </c>
      <c r="X4810" s="420"/>
      <c r="Y4810" s="420"/>
    </row>
    <row r="4811" spans="17:25">
      <c r="Q4811" s="6">
        <v>4781</v>
      </c>
      <c r="R4811" s="7">
        <v>47448</v>
      </c>
      <c r="S4811" s="210">
        <v>4.5</v>
      </c>
      <c r="T4811" s="8">
        <v>1.0001249999999999</v>
      </c>
      <c r="U4811" s="98">
        <v>4.5586700022416382</v>
      </c>
      <c r="V4811" s="106">
        <v>39806.105257817668</v>
      </c>
      <c r="W4811" s="10">
        <v>1.2873264065827783</v>
      </c>
      <c r="X4811" s="420"/>
      <c r="Y4811" s="420"/>
    </row>
    <row r="4812" spans="17:25">
      <c r="Q4812" s="6">
        <v>4782</v>
      </c>
      <c r="R4812" s="7">
        <v>47449</v>
      </c>
      <c r="S4812" s="210">
        <v>4.5</v>
      </c>
      <c r="T4812" s="8">
        <v>1.0001249999999999</v>
      </c>
      <c r="U4812" s="98">
        <v>4.5586928290367812</v>
      </c>
      <c r="V4812" s="106">
        <v>39809.528733080522</v>
      </c>
      <c r="W4812" s="10">
        <v>1.2873569286231623</v>
      </c>
      <c r="X4812" s="420"/>
      <c r="Y4812" s="420"/>
    </row>
    <row r="4813" spans="17:25">
      <c r="Q4813" s="6">
        <v>4783</v>
      </c>
      <c r="R4813" s="7">
        <v>47450</v>
      </c>
      <c r="S4813" s="210">
        <v>4.5</v>
      </c>
      <c r="T4813" s="8">
        <v>1.0001249999999999</v>
      </c>
      <c r="U4813" s="98">
        <v>4.5587156462919332</v>
      </c>
      <c r="V4813" s="106">
        <v>39812.952502775166</v>
      </c>
      <c r="W4813" s="10">
        <v>1.287387437910037</v>
      </c>
      <c r="X4813" s="420"/>
      <c r="Y4813" s="420"/>
    </row>
    <row r="4814" spans="17:25">
      <c r="Q4814" s="6">
        <v>4784</v>
      </c>
      <c r="R4814" s="7">
        <v>47451</v>
      </c>
      <c r="S4814" s="210">
        <v>4.5</v>
      </c>
      <c r="T4814" s="8">
        <v>1.0001249999999999</v>
      </c>
      <c r="U4814" s="98">
        <v>4.5587384540130671</v>
      </c>
      <c r="V4814" s="106">
        <v>39816.37656692692</v>
      </c>
      <c r="W4814" s="10">
        <v>1.2874179344513736</v>
      </c>
      <c r="X4814" s="420"/>
      <c r="Y4814" s="420"/>
    </row>
    <row r="4815" spans="17:25">
      <c r="Q4815" s="6">
        <v>4785</v>
      </c>
      <c r="R4815" s="7">
        <v>47452</v>
      </c>
      <c r="S4815" s="210">
        <v>4.5</v>
      </c>
      <c r="T4815" s="8">
        <v>1.0001249999999999</v>
      </c>
      <c r="U4815" s="98">
        <v>4.558761252206156</v>
      </c>
      <c r="V4815" s="106">
        <v>39819.80092556111</v>
      </c>
      <c r="W4815" s="10">
        <v>1.2874484182551438</v>
      </c>
      <c r="X4815" s="420"/>
      <c r="Y4815" s="420"/>
    </row>
    <row r="4816" spans="17:25">
      <c r="Q4816" s="6">
        <v>4786</v>
      </c>
      <c r="R4816" s="7">
        <v>47453</v>
      </c>
      <c r="S4816" s="210">
        <v>4.5</v>
      </c>
      <c r="T4816" s="8">
        <v>1.0001249999999999</v>
      </c>
      <c r="U4816" s="98">
        <v>4.5587840408771951</v>
      </c>
      <c r="V4816" s="106">
        <v>39823.225578703066</v>
      </c>
      <c r="W4816" s="10">
        <v>1.2874788893293632</v>
      </c>
      <c r="X4816" s="420"/>
      <c r="Y4816" s="420"/>
    </row>
    <row r="4817" spans="17:25">
      <c r="Q4817" s="6">
        <v>4787</v>
      </c>
      <c r="R4817" s="7">
        <v>47454</v>
      </c>
      <c r="S4817" s="210">
        <v>4.5</v>
      </c>
      <c r="T4817" s="8">
        <v>1.0001249999999999</v>
      </c>
      <c r="U4817" s="98">
        <v>4.5588068200321352</v>
      </c>
      <c r="V4817" s="106">
        <v>39826.650526378115</v>
      </c>
      <c r="W4817" s="10">
        <v>1.287509347681981</v>
      </c>
      <c r="X4817" s="420"/>
      <c r="Y4817" s="420"/>
    </row>
    <row r="4818" spans="17:25">
      <c r="Q4818" s="6">
        <v>4788</v>
      </c>
      <c r="R4818" s="7">
        <v>47455</v>
      </c>
      <c r="S4818" s="210">
        <v>4.5</v>
      </c>
      <c r="T4818" s="8">
        <v>1.0001249999999999</v>
      </c>
      <c r="U4818" s="98">
        <v>4.5588295896769271</v>
      </c>
      <c r="V4818" s="106">
        <v>39830.07576861159</v>
      </c>
      <c r="W4818" s="10">
        <v>1.2875397933209465</v>
      </c>
      <c r="X4818" s="420"/>
      <c r="Y4818" s="420"/>
    </row>
    <row r="4819" spans="17:25">
      <c r="Q4819" s="6">
        <v>4789</v>
      </c>
      <c r="R4819" s="7">
        <v>47456</v>
      </c>
      <c r="S4819" s="210">
        <v>4.5</v>
      </c>
      <c r="T4819" s="8">
        <v>1.0001249999999999</v>
      </c>
      <c r="U4819" s="98">
        <v>4.5588523498175215</v>
      </c>
      <c r="V4819" s="106">
        <v>39833.501305428814</v>
      </c>
      <c r="W4819" s="10">
        <v>1.2875702262542532</v>
      </c>
      <c r="X4819" s="420"/>
      <c r="Y4819" s="420"/>
    </row>
    <row r="4820" spans="17:25">
      <c r="Q4820" s="6">
        <v>4790</v>
      </c>
      <c r="R4820" s="7">
        <v>47457</v>
      </c>
      <c r="S4820" s="210">
        <v>4.5</v>
      </c>
      <c r="T4820" s="8">
        <v>1.0001249999999999</v>
      </c>
      <c r="U4820" s="98">
        <v>4.5588751004598915</v>
      </c>
      <c r="V4820" s="106">
        <v>39836.927136855142</v>
      </c>
      <c r="W4820" s="10">
        <v>1.2876006464898504</v>
      </c>
      <c r="X4820" s="420"/>
      <c r="Y4820" s="420"/>
    </row>
    <row r="4821" spans="17:25">
      <c r="Q4821" s="6">
        <v>4791</v>
      </c>
      <c r="R4821" s="7">
        <v>47458</v>
      </c>
      <c r="S4821" s="210">
        <v>4.5</v>
      </c>
      <c r="T4821" s="8">
        <v>1.0001249999999999</v>
      </c>
      <c r="U4821" s="98">
        <v>4.5588978416099657</v>
      </c>
      <c r="V4821" s="106">
        <v>39840.353262915902</v>
      </c>
      <c r="W4821" s="10">
        <v>1.2876310540356428</v>
      </c>
      <c r="X4821" s="420"/>
      <c r="Y4821" s="420"/>
    </row>
    <row r="4822" spans="17:25">
      <c r="Q4822" s="6">
        <v>4792</v>
      </c>
      <c r="R4822" s="7">
        <v>47459</v>
      </c>
      <c r="S4822" s="210">
        <v>4.5</v>
      </c>
      <c r="T4822" s="8">
        <v>1.0001249999999999</v>
      </c>
      <c r="U4822" s="98">
        <v>4.5589205732736726</v>
      </c>
      <c r="V4822" s="106">
        <v>39843.779683636421</v>
      </c>
      <c r="W4822" s="10">
        <v>1.2876614488996019</v>
      </c>
      <c r="X4822" s="420"/>
      <c r="Y4822" s="420"/>
    </row>
    <row r="4823" spans="17:25">
      <c r="Q4823" s="6">
        <v>4793</v>
      </c>
      <c r="R4823" s="7">
        <v>47460</v>
      </c>
      <c r="S4823" s="210">
        <v>4.5</v>
      </c>
      <c r="T4823" s="8">
        <v>1.0001249999999999</v>
      </c>
      <c r="U4823" s="98">
        <v>4.5589432954569631</v>
      </c>
      <c r="V4823" s="106">
        <v>39847.206399042057</v>
      </c>
      <c r="W4823" s="10">
        <v>1.2876918310896546</v>
      </c>
      <c r="X4823" s="420"/>
      <c r="Y4823" s="420"/>
    </row>
    <row r="4824" spans="17:25">
      <c r="Q4824" s="6">
        <v>4794</v>
      </c>
      <c r="R4824" s="7">
        <v>47461</v>
      </c>
      <c r="S4824" s="210">
        <v>4.5</v>
      </c>
      <c r="T4824" s="8">
        <v>1.0001249999999999</v>
      </c>
      <c r="U4824" s="98">
        <v>4.5589660081657657</v>
      </c>
      <c r="V4824" s="106">
        <v>39850.633409158152</v>
      </c>
      <c r="W4824" s="10">
        <v>1.2877222006137279</v>
      </c>
      <c r="X4824" s="420"/>
      <c r="Y4824" s="420"/>
    </row>
    <row r="4825" spans="17:25">
      <c r="Q4825" s="6">
        <v>4795</v>
      </c>
      <c r="R4825" s="7">
        <v>47462</v>
      </c>
      <c r="S4825" s="210">
        <v>4.5</v>
      </c>
      <c r="T4825" s="8">
        <v>1.0001249999999999</v>
      </c>
      <c r="U4825" s="98">
        <v>4.558988711406009</v>
      </c>
      <c r="V4825" s="106">
        <v>39854.06071401004</v>
      </c>
      <c r="W4825" s="10">
        <v>1.2877525574797488</v>
      </c>
      <c r="X4825" s="420"/>
      <c r="Y4825" s="420"/>
    </row>
    <row r="4826" spans="17:25">
      <c r="Q4826" s="6">
        <v>4796</v>
      </c>
      <c r="R4826" s="7">
        <v>47463</v>
      </c>
      <c r="S4826" s="210">
        <v>4.5</v>
      </c>
      <c r="T4826" s="8">
        <v>1.0001249999999999</v>
      </c>
      <c r="U4826" s="98">
        <v>4.5590114051835995</v>
      </c>
      <c r="V4826" s="106">
        <v>39857.488313623086</v>
      </c>
      <c r="W4826" s="10">
        <v>1.2877829016955999</v>
      </c>
      <c r="X4826" s="420"/>
      <c r="Y4826" s="420"/>
    </row>
    <row r="4827" spans="17:25">
      <c r="Q4827" s="6">
        <v>4797</v>
      </c>
      <c r="R4827" s="7">
        <v>47464</v>
      </c>
      <c r="S4827" s="210">
        <v>4.5</v>
      </c>
      <c r="T4827" s="8">
        <v>1.0001249999999999</v>
      </c>
      <c r="U4827" s="98">
        <v>4.5590340895044656</v>
      </c>
      <c r="V4827" s="106">
        <v>39860.916208022631</v>
      </c>
      <c r="W4827" s="10">
        <v>1.2878132332692305</v>
      </c>
      <c r="X4827" s="420"/>
      <c r="Y4827" s="420"/>
    </row>
    <row r="4828" spans="17:25">
      <c r="Q4828" s="6">
        <v>4798</v>
      </c>
      <c r="R4828" s="7">
        <v>47465</v>
      </c>
      <c r="S4828" s="210">
        <v>4.5</v>
      </c>
      <c r="T4828" s="8">
        <v>1.0001249999999999</v>
      </c>
      <c r="U4828" s="98">
        <v>4.5590567643744917</v>
      </c>
      <c r="V4828" s="106">
        <v>39864.344397234025</v>
      </c>
      <c r="W4828" s="10">
        <v>1.2878435522084786</v>
      </c>
      <c r="X4828" s="420"/>
      <c r="Y4828" s="420"/>
    </row>
    <row r="4829" spans="17:25">
      <c r="Q4829" s="6">
        <v>4799</v>
      </c>
      <c r="R4829" s="7">
        <v>47466</v>
      </c>
      <c r="S4829" s="210">
        <v>4.5</v>
      </c>
      <c r="T4829" s="8">
        <v>1.0001249999999999</v>
      </c>
      <c r="U4829" s="98">
        <v>4.5590794297996062</v>
      </c>
      <c r="V4829" s="106">
        <v>39867.772881282639</v>
      </c>
      <c r="W4829" s="10">
        <v>1.2878738585212934</v>
      </c>
      <c r="X4829" s="420"/>
      <c r="Y4829" s="420"/>
    </row>
    <row r="4830" spans="17:25">
      <c r="Q4830" s="6">
        <v>4800</v>
      </c>
      <c r="R4830" s="7">
        <v>47467</v>
      </c>
      <c r="S4830" s="210">
        <v>4.5</v>
      </c>
      <c r="T4830" s="8">
        <v>1.0001249999999999</v>
      </c>
      <c r="U4830" s="98">
        <v>4.5591020857857156</v>
      </c>
      <c r="V4830" s="106">
        <v>39871.201660193808</v>
      </c>
      <c r="W4830" s="10">
        <v>1.2879041522155577</v>
      </c>
      <c r="X4830" s="420"/>
      <c r="Y4830" s="420"/>
    </row>
    <row r="4831" spans="17:25">
      <c r="Q4831" s="6">
        <v>4801</v>
      </c>
      <c r="R4831" s="7">
        <v>47468</v>
      </c>
      <c r="S4831" s="210">
        <v>4.5</v>
      </c>
      <c r="T4831" s="8">
        <v>1.0001249999999999</v>
      </c>
      <c r="U4831" s="98">
        <v>4.5591247323387041</v>
      </c>
      <c r="V4831" s="106">
        <v>39874.630733992904</v>
      </c>
      <c r="W4831" s="10">
        <v>1.2879344332991094</v>
      </c>
      <c r="X4831" s="420"/>
      <c r="Y4831" s="420"/>
    </row>
    <row r="4832" spans="17:25">
      <c r="Q4832" s="6">
        <v>4802</v>
      </c>
      <c r="R4832" s="7">
        <v>47469</v>
      </c>
      <c r="S4832" s="210">
        <v>4.5</v>
      </c>
      <c r="T4832" s="8">
        <v>1.0001249999999999</v>
      </c>
      <c r="U4832" s="98">
        <v>4.5591473694644558</v>
      </c>
      <c r="V4832" s="106">
        <v>39878.060102705291</v>
      </c>
      <c r="W4832" s="10">
        <v>1.2879647017798534</v>
      </c>
      <c r="X4832" s="420"/>
      <c r="Y4832" s="420"/>
    </row>
    <row r="4833" spans="17:25">
      <c r="Q4833" s="6">
        <v>4803</v>
      </c>
      <c r="R4833" s="7">
        <v>47470</v>
      </c>
      <c r="S4833" s="210">
        <v>4.5</v>
      </c>
      <c r="T4833" s="8">
        <v>1.0001249999999999</v>
      </c>
      <c r="U4833" s="98">
        <v>4.5591699971688548</v>
      </c>
      <c r="V4833" s="106">
        <v>39881.489766356324</v>
      </c>
      <c r="W4833" s="10">
        <v>1.2879949576656502</v>
      </c>
      <c r="X4833" s="420"/>
      <c r="Y4833" s="420"/>
    </row>
    <row r="4834" spans="17:25">
      <c r="Q4834" s="6">
        <v>4804</v>
      </c>
      <c r="R4834" s="7">
        <v>47471</v>
      </c>
      <c r="S4834" s="210">
        <v>4.5</v>
      </c>
      <c r="T4834" s="8">
        <v>1.0001249999999999</v>
      </c>
      <c r="U4834" s="98">
        <v>4.5591926154577855</v>
      </c>
      <c r="V4834" s="106">
        <v>39884.919724971383</v>
      </c>
      <c r="W4834" s="10">
        <v>1.2880252009643378</v>
      </c>
      <c r="X4834" s="420"/>
      <c r="Y4834" s="420"/>
    </row>
    <row r="4835" spans="17:25">
      <c r="Q4835" s="6">
        <v>4805</v>
      </c>
      <c r="R4835" s="7">
        <v>47472</v>
      </c>
      <c r="S4835" s="210">
        <v>4.5</v>
      </c>
      <c r="T4835" s="8">
        <v>1.0001249999999999</v>
      </c>
      <c r="U4835" s="98">
        <v>4.559215224337132</v>
      </c>
      <c r="V4835" s="106">
        <v>39888.34997857581</v>
      </c>
      <c r="W4835" s="10">
        <v>1.2880554316837989</v>
      </c>
      <c r="X4835" s="420"/>
      <c r="Y4835" s="420"/>
    </row>
    <row r="4836" spans="17:25">
      <c r="Q4836" s="6">
        <v>4806</v>
      </c>
      <c r="R4836" s="7">
        <v>47473</v>
      </c>
      <c r="S4836" s="210">
        <v>4.5</v>
      </c>
      <c r="T4836" s="8">
        <v>1.0001249999999999</v>
      </c>
      <c r="U4836" s="98">
        <v>4.5592378238127562</v>
      </c>
      <c r="V4836" s="106">
        <v>39891.780527195006</v>
      </c>
      <c r="W4836" s="10">
        <v>1.2880856498318716</v>
      </c>
      <c r="X4836" s="420"/>
      <c r="Y4836" s="420"/>
    </row>
    <row r="4837" spans="17:25">
      <c r="Q4837" s="6">
        <v>4807</v>
      </c>
      <c r="R4837" s="7">
        <v>47474</v>
      </c>
      <c r="S4837" s="210">
        <v>4.5</v>
      </c>
      <c r="T4837" s="8">
        <v>1.0001249999999999</v>
      </c>
      <c r="U4837" s="98">
        <v>4.5592604138905202</v>
      </c>
      <c r="V4837" s="106">
        <v>39895.211370854318</v>
      </c>
      <c r="W4837" s="10">
        <v>1.2881158554163941</v>
      </c>
      <c r="X4837" s="420"/>
      <c r="Y4837" s="420"/>
    </row>
    <row r="4838" spans="17:25">
      <c r="Q4838" s="6">
        <v>4808</v>
      </c>
      <c r="R4838" s="7">
        <v>47475</v>
      </c>
      <c r="S4838" s="210">
        <v>4.5</v>
      </c>
      <c r="T4838" s="8">
        <v>1.0001249999999999</v>
      </c>
      <c r="U4838" s="98">
        <v>4.559282994576308</v>
      </c>
      <c r="V4838" s="106">
        <v>39898.642509579135</v>
      </c>
      <c r="W4838" s="10">
        <v>1.2881460484452045</v>
      </c>
      <c r="X4838" s="420"/>
      <c r="Y4838" s="420"/>
    </row>
    <row r="4839" spans="17:25">
      <c r="Q4839" s="6">
        <v>4809</v>
      </c>
      <c r="R4839" s="7">
        <v>47476</v>
      </c>
      <c r="S4839" s="210">
        <v>4.5</v>
      </c>
      <c r="T4839" s="8">
        <v>1.0001249999999999</v>
      </c>
      <c r="U4839" s="98">
        <v>4.5593055658759374</v>
      </c>
      <c r="V4839" s="106">
        <v>39902.073943394826</v>
      </c>
      <c r="W4839" s="10">
        <v>1.2881762289261189</v>
      </c>
      <c r="X4839" s="420"/>
      <c r="Y4839" s="420"/>
    </row>
    <row r="4840" spans="17:25">
      <c r="Q4840" s="6">
        <v>4810</v>
      </c>
      <c r="R4840" s="7">
        <v>47477</v>
      </c>
      <c r="S4840" s="210">
        <v>4.5</v>
      </c>
      <c r="T4840" s="8">
        <v>1.0001249999999999</v>
      </c>
      <c r="U4840" s="98">
        <v>4.5593281277952924</v>
      </c>
      <c r="V4840" s="106">
        <v>39905.505672326784</v>
      </c>
      <c r="W4840" s="10">
        <v>1.2882063968669755</v>
      </c>
      <c r="X4840" s="420"/>
      <c r="Y4840" s="420"/>
    </row>
    <row r="4841" spans="17:25">
      <c r="Q4841" s="6">
        <v>4811</v>
      </c>
      <c r="R4841" s="7">
        <v>47478</v>
      </c>
      <c r="S4841" s="210">
        <v>4.5</v>
      </c>
      <c r="T4841" s="8">
        <v>1.0001249999999999</v>
      </c>
      <c r="U4841" s="98">
        <v>4.5593506803402128</v>
      </c>
      <c r="V4841" s="106">
        <v>39908.937696400375</v>
      </c>
      <c r="W4841" s="10">
        <v>1.2882365522755679</v>
      </c>
      <c r="X4841" s="420"/>
      <c r="Y4841" s="420"/>
    </row>
    <row r="4842" spans="17:25">
      <c r="Q4842" s="6">
        <v>4812</v>
      </c>
      <c r="R4842" s="7">
        <v>47479</v>
      </c>
      <c r="S4842" s="210">
        <v>4.5</v>
      </c>
      <c r="T4842" s="8">
        <v>1.0001249999999999</v>
      </c>
      <c r="U4842" s="98">
        <v>4.5593732235165385</v>
      </c>
      <c r="V4842" s="106">
        <v>39912.370015640983</v>
      </c>
      <c r="W4842" s="10">
        <v>1.2882666951597121</v>
      </c>
      <c r="X4842" s="420"/>
      <c r="Y4842" s="420"/>
    </row>
    <row r="4843" spans="17:25">
      <c r="Q4843" s="6">
        <v>4813</v>
      </c>
      <c r="R4843" s="7">
        <v>47480</v>
      </c>
      <c r="S4843" s="210">
        <v>4.5</v>
      </c>
      <c r="T4843" s="8">
        <v>1.0001249999999999</v>
      </c>
      <c r="U4843" s="98">
        <v>4.559395757330087</v>
      </c>
      <c r="V4843" s="106">
        <v>39915.802630074002</v>
      </c>
      <c r="W4843" s="10">
        <v>1.288296825527202</v>
      </c>
      <c r="X4843" s="420"/>
      <c r="Y4843" s="420"/>
    </row>
    <row r="4844" spans="17:25">
      <c r="Q4844" s="6">
        <v>4814</v>
      </c>
      <c r="R4844" s="7">
        <v>47481</v>
      </c>
      <c r="S4844" s="210">
        <v>4.5</v>
      </c>
      <c r="T4844" s="8">
        <v>1.0001249999999999</v>
      </c>
      <c r="U4844" s="98">
        <v>4.5594182817866979</v>
      </c>
      <c r="V4844" s="106">
        <v>39919.235539724817</v>
      </c>
      <c r="W4844" s="10">
        <v>1.2883269433858313</v>
      </c>
      <c r="X4844" s="420"/>
      <c r="Y4844" s="420"/>
    </row>
    <row r="4845" spans="17:25">
      <c r="Q4845" s="6">
        <v>4815</v>
      </c>
      <c r="R4845" s="7">
        <v>47482</v>
      </c>
      <c r="S4845" s="210">
        <v>4.5</v>
      </c>
      <c r="T4845" s="8">
        <v>1.0001249999999999</v>
      </c>
      <c r="U4845" s="98">
        <v>4.5594407968922113</v>
      </c>
      <c r="V4845" s="106">
        <v>39922.668744618808</v>
      </c>
      <c r="W4845" s="10">
        <v>1.2883570487434159</v>
      </c>
      <c r="X4845" s="420"/>
      <c r="Y4845" s="420"/>
    </row>
    <row r="4846" spans="17:25">
      <c r="Q4846" s="6">
        <v>4816</v>
      </c>
      <c r="R4846" s="7">
        <v>47483</v>
      </c>
      <c r="S4846" s="210">
        <v>4.5</v>
      </c>
      <c r="T4846" s="8">
        <v>1.0001249999999999</v>
      </c>
      <c r="U4846" s="98">
        <v>4.5594633026524445</v>
      </c>
      <c r="V4846" s="106">
        <v>39926.102244781381</v>
      </c>
      <c r="W4846" s="10">
        <v>1.2883871416077053</v>
      </c>
      <c r="X4846" s="420"/>
      <c r="Y4846" s="420"/>
    </row>
    <row r="4847" spans="17:25">
      <c r="Q4847" s="6">
        <v>4817</v>
      </c>
      <c r="R4847" s="7">
        <v>47484</v>
      </c>
      <c r="S4847" s="210">
        <v>4.5</v>
      </c>
      <c r="T4847" s="8">
        <v>1.0001249999999999</v>
      </c>
      <c r="U4847" s="98">
        <v>4.5594857990732152</v>
      </c>
      <c r="V4847" s="106">
        <v>39929.536040237923</v>
      </c>
      <c r="W4847" s="10">
        <v>1.2884172219864931</v>
      </c>
      <c r="X4847" s="420"/>
      <c r="Y4847" s="420"/>
    </row>
    <row r="4848" spans="17:25">
      <c r="Q4848" s="6">
        <v>4818</v>
      </c>
      <c r="R4848" s="7">
        <v>47485</v>
      </c>
      <c r="S4848" s="210">
        <v>4.5</v>
      </c>
      <c r="T4848" s="8">
        <v>1.0001249999999999</v>
      </c>
      <c r="U4848" s="98">
        <v>4.5595082861603409</v>
      </c>
      <c r="V4848" s="106">
        <v>39932.970131013841</v>
      </c>
      <c r="W4848" s="10">
        <v>1.288447289887551</v>
      </c>
      <c r="X4848" s="420"/>
      <c r="Y4848" s="420"/>
    </row>
    <row r="4849" spans="17:25">
      <c r="Q4849" s="6">
        <v>4819</v>
      </c>
      <c r="R4849" s="7">
        <v>47486</v>
      </c>
      <c r="S4849" s="210">
        <v>4.5</v>
      </c>
      <c r="T4849" s="8">
        <v>1.0001249999999999</v>
      </c>
      <c r="U4849" s="98">
        <v>4.559530763919617</v>
      </c>
      <c r="V4849" s="106">
        <v>39936.404517134513</v>
      </c>
      <c r="W4849" s="10">
        <v>1.2884773453186282</v>
      </c>
      <c r="X4849" s="420"/>
      <c r="Y4849" s="420"/>
    </row>
    <row r="4850" spans="17:25">
      <c r="Q4850" s="6">
        <v>4820</v>
      </c>
      <c r="R4850" s="7">
        <v>47487</v>
      </c>
      <c r="S4850" s="210">
        <v>4.5</v>
      </c>
      <c r="T4850" s="8">
        <v>1.0001249999999999</v>
      </c>
      <c r="U4850" s="98">
        <v>4.5595532323568388</v>
      </c>
      <c r="V4850" s="106">
        <v>39939.839198625348</v>
      </c>
      <c r="W4850" s="10">
        <v>1.2885073882874742</v>
      </c>
      <c r="X4850" s="420"/>
      <c r="Y4850" s="420"/>
    </row>
    <row r="4851" spans="17:25">
      <c r="Q4851" s="6">
        <v>4821</v>
      </c>
      <c r="R4851" s="7">
        <v>47488</v>
      </c>
      <c r="S4851" s="210">
        <v>4.5</v>
      </c>
      <c r="T4851" s="8">
        <v>1.0001249999999999</v>
      </c>
      <c r="U4851" s="98">
        <v>4.559575691477824</v>
      </c>
      <c r="V4851" s="106">
        <v>39943.274175511768</v>
      </c>
      <c r="W4851" s="10">
        <v>1.2885374188018606</v>
      </c>
      <c r="X4851" s="420"/>
      <c r="Y4851" s="420"/>
    </row>
    <row r="4852" spans="17:25">
      <c r="Q4852" s="6">
        <v>4822</v>
      </c>
      <c r="R4852" s="7">
        <v>47489</v>
      </c>
      <c r="S4852" s="210">
        <v>4.5</v>
      </c>
      <c r="T4852" s="8">
        <v>1.0001249999999999</v>
      </c>
      <c r="U4852" s="98">
        <v>4.5595981412883679</v>
      </c>
      <c r="V4852" s="106">
        <v>39946.709447819158</v>
      </c>
      <c r="W4852" s="10">
        <v>1.2885674368695144</v>
      </c>
      <c r="X4852" s="420"/>
      <c r="Y4852" s="420"/>
    </row>
    <row r="4853" spans="17:25">
      <c r="Q4853" s="6">
        <v>4823</v>
      </c>
      <c r="R4853" s="7">
        <v>47490</v>
      </c>
      <c r="S4853" s="210">
        <v>4.5</v>
      </c>
      <c r="T4853" s="8">
        <v>1.0001249999999999</v>
      </c>
      <c r="U4853" s="98">
        <v>4.5596205817942437</v>
      </c>
      <c r="V4853" s="106">
        <v>39950.145015572918</v>
      </c>
      <c r="W4853" s="10">
        <v>1.288597442498185</v>
      </c>
      <c r="X4853" s="420"/>
      <c r="Y4853" s="420"/>
    </row>
    <row r="4854" spans="17:25">
      <c r="Q4854" s="6">
        <v>4824</v>
      </c>
      <c r="R4854" s="7">
        <v>47491</v>
      </c>
      <c r="S4854" s="210">
        <v>4.5</v>
      </c>
      <c r="T4854" s="8">
        <v>1.0001249999999999</v>
      </c>
      <c r="U4854" s="98">
        <v>4.5596430130012466</v>
      </c>
      <c r="V4854" s="106">
        <v>39953.580878798479</v>
      </c>
      <c r="W4854" s="10">
        <v>1.2886274356955996</v>
      </c>
      <c r="X4854" s="420"/>
      <c r="Y4854" s="420"/>
    </row>
    <row r="4855" spans="17:25">
      <c r="Q4855" s="6">
        <v>4825</v>
      </c>
      <c r="R4855" s="7">
        <v>47492</v>
      </c>
      <c r="S4855" s="210">
        <v>4.5</v>
      </c>
      <c r="T4855" s="8">
        <v>1.0001249999999999</v>
      </c>
      <c r="U4855" s="98">
        <v>4.55966543491515</v>
      </c>
      <c r="V4855" s="106">
        <v>39957.017037521233</v>
      </c>
      <c r="W4855" s="10">
        <v>1.2886574164694631</v>
      </c>
      <c r="X4855" s="420"/>
      <c r="Y4855" s="420"/>
    </row>
    <row r="4856" spans="17:25">
      <c r="Q4856" s="6">
        <v>4826</v>
      </c>
      <c r="R4856" s="7">
        <v>47493</v>
      </c>
      <c r="S4856" s="210">
        <v>4.5</v>
      </c>
      <c r="T4856" s="8">
        <v>1.0001249999999999</v>
      </c>
      <c r="U4856" s="98">
        <v>4.5596878475417268</v>
      </c>
      <c r="V4856" s="106">
        <v>39960.453491766617</v>
      </c>
      <c r="W4856" s="10">
        <v>1.2886873848275249</v>
      </c>
      <c r="X4856" s="420"/>
      <c r="Y4856" s="420"/>
    </row>
    <row r="4857" spans="17:25">
      <c r="Q4857" s="6">
        <v>4827</v>
      </c>
      <c r="R4857" s="7">
        <v>47494</v>
      </c>
      <c r="S4857" s="210">
        <v>4.5</v>
      </c>
      <c r="T4857" s="8">
        <v>1.0001249999999999</v>
      </c>
      <c r="U4857" s="98">
        <v>4.5597102508867282</v>
      </c>
      <c r="V4857" s="106">
        <v>39963.890241560024</v>
      </c>
      <c r="W4857" s="10">
        <v>1.2887173407774455</v>
      </c>
      <c r="X4857" s="420"/>
      <c r="Y4857" s="420"/>
    </row>
    <row r="4858" spans="17:25">
      <c r="Q4858" s="6">
        <v>4828</v>
      </c>
      <c r="R4858" s="7">
        <v>47495</v>
      </c>
      <c r="S4858" s="210">
        <v>4.5</v>
      </c>
      <c r="T4858" s="8">
        <v>1.0001249999999999</v>
      </c>
      <c r="U4858" s="98">
        <v>4.5597326449559494</v>
      </c>
      <c r="V4858" s="106">
        <v>39967.327286926884</v>
      </c>
      <c r="W4858" s="10">
        <v>1.2887472843269743</v>
      </c>
      <c r="X4858" s="420"/>
      <c r="Y4858" s="420"/>
    </row>
    <row r="4859" spans="17:25">
      <c r="Q4859" s="6">
        <v>4829</v>
      </c>
      <c r="R4859" s="7">
        <v>47496</v>
      </c>
      <c r="S4859" s="210">
        <v>4.5</v>
      </c>
      <c r="T4859" s="8">
        <v>1.0001249999999999</v>
      </c>
      <c r="U4859" s="98">
        <v>4.5597550297551415</v>
      </c>
      <c r="V4859" s="106">
        <v>39970.764627892619</v>
      </c>
      <c r="W4859" s="10">
        <v>1.2887772154838162</v>
      </c>
      <c r="X4859" s="420"/>
      <c r="Y4859" s="420"/>
    </row>
    <row r="4860" spans="17:25">
      <c r="Q4860" s="6">
        <v>4830</v>
      </c>
      <c r="R4860" s="7">
        <v>47497</v>
      </c>
      <c r="S4860" s="210">
        <v>4.5</v>
      </c>
      <c r="T4860" s="8">
        <v>1.0001249999999999</v>
      </c>
      <c r="U4860" s="98">
        <v>4.5597774052900553</v>
      </c>
      <c r="V4860" s="106">
        <v>39974.20226448265</v>
      </c>
      <c r="W4860" s="10">
        <v>1.2888071342556318</v>
      </c>
      <c r="X4860" s="420"/>
      <c r="Y4860" s="420"/>
    </row>
    <row r="4861" spans="17:25">
      <c r="Q4861" s="6">
        <v>4831</v>
      </c>
      <c r="R4861" s="7">
        <v>47498</v>
      </c>
      <c r="S4861" s="210">
        <v>4.5</v>
      </c>
      <c r="T4861" s="8">
        <v>1.0001249999999999</v>
      </c>
      <c r="U4861" s="98">
        <v>4.5597997715664418</v>
      </c>
      <c r="V4861" s="106">
        <v>39977.640196722386</v>
      </c>
      <c r="W4861" s="10">
        <v>1.2888370406501259</v>
      </c>
      <c r="X4861" s="420"/>
      <c r="Y4861" s="420"/>
    </row>
    <row r="4862" spans="17:25">
      <c r="Q4862" s="6">
        <v>4832</v>
      </c>
      <c r="R4862" s="7">
        <v>47499</v>
      </c>
      <c r="S4862" s="210">
        <v>4.5</v>
      </c>
      <c r="T4862" s="8">
        <v>1.0001249999999999</v>
      </c>
      <c r="U4862" s="98">
        <v>4.5598221285900298</v>
      </c>
      <c r="V4862" s="106">
        <v>39981.078424637279</v>
      </c>
      <c r="W4862" s="10">
        <v>1.2888669346749371</v>
      </c>
      <c r="X4862" s="420"/>
      <c r="Y4862" s="420"/>
    </row>
    <row r="4863" spans="17:25">
      <c r="Q4863" s="6">
        <v>4833</v>
      </c>
      <c r="R4863" s="7">
        <v>47500</v>
      </c>
      <c r="S4863" s="210">
        <v>4.5</v>
      </c>
      <c r="T4863" s="8">
        <v>1.0001249999999999</v>
      </c>
      <c r="U4863" s="98">
        <v>4.5598444763665924</v>
      </c>
      <c r="V4863" s="106">
        <v>39984.516948252756</v>
      </c>
      <c r="W4863" s="10">
        <v>1.2888968163378145</v>
      </c>
      <c r="X4863" s="420"/>
      <c r="Y4863" s="420"/>
    </row>
    <row r="4864" spans="17:25">
      <c r="Q4864" s="6">
        <v>4834</v>
      </c>
      <c r="R4864" s="7">
        <v>47501</v>
      </c>
      <c r="S4864" s="210">
        <v>4.5</v>
      </c>
      <c r="T4864" s="8">
        <v>1.0001249999999999</v>
      </c>
      <c r="U4864" s="98">
        <v>4.5598668149018362</v>
      </c>
      <c r="V4864" s="106">
        <v>39987.95576759422</v>
      </c>
      <c r="W4864" s="10">
        <v>1.2889266856463522</v>
      </c>
      <c r="X4864" s="420"/>
      <c r="Y4864" s="420"/>
    </row>
    <row r="4865" spans="17:25">
      <c r="Q4865" s="6">
        <v>4835</v>
      </c>
      <c r="R4865" s="7">
        <v>47502</v>
      </c>
      <c r="S4865" s="210">
        <v>4.5</v>
      </c>
      <c r="T4865" s="8">
        <v>1.0001249999999999</v>
      </c>
      <c r="U4865" s="98">
        <v>4.5598891442015121</v>
      </c>
      <c r="V4865" s="106">
        <v>39991.394882687135</v>
      </c>
      <c r="W4865" s="10">
        <v>1.288956542608255</v>
      </c>
      <c r="X4865" s="420"/>
      <c r="Y4865" s="420"/>
    </row>
    <row r="4866" spans="17:25">
      <c r="Q4866" s="6">
        <v>4836</v>
      </c>
      <c r="R4866" s="7">
        <v>47503</v>
      </c>
      <c r="S4866" s="210">
        <v>4.5</v>
      </c>
      <c r="T4866" s="8">
        <v>1.0001249999999999</v>
      </c>
      <c r="U4866" s="98">
        <v>4.5599114642713268</v>
      </c>
      <c r="V4866" s="106">
        <v>39994.834293556931</v>
      </c>
      <c r="W4866" s="10">
        <v>1.2889863872311391</v>
      </c>
      <c r="X4866" s="420"/>
      <c r="Y4866" s="420"/>
    </row>
    <row r="4867" spans="17:25">
      <c r="Q4867" s="6">
        <v>4837</v>
      </c>
      <c r="R4867" s="7">
        <v>47504</v>
      </c>
      <c r="S4867" s="210">
        <v>4.5</v>
      </c>
      <c r="T4867" s="8">
        <v>1.0001249999999999</v>
      </c>
      <c r="U4867" s="98">
        <v>4.5599337751170088</v>
      </c>
      <c r="V4867" s="106">
        <v>39998.27400022903</v>
      </c>
      <c r="W4867" s="10">
        <v>1.2890162195226873</v>
      </c>
      <c r="X4867" s="420"/>
      <c r="Y4867" s="420"/>
    </row>
    <row r="4868" spans="17:25">
      <c r="Q4868" s="6">
        <v>4838</v>
      </c>
      <c r="R4868" s="7">
        <v>47505</v>
      </c>
      <c r="S4868" s="210">
        <v>4.5</v>
      </c>
      <c r="T4868" s="8">
        <v>1.0001249999999999</v>
      </c>
      <c r="U4868" s="98">
        <v>4.559956076744287</v>
      </c>
      <c r="V4868" s="106">
        <v>40001.714002728892</v>
      </c>
      <c r="W4868" s="10">
        <v>1.2890460394905157</v>
      </c>
      <c r="X4868" s="420"/>
      <c r="Y4868" s="420"/>
    </row>
    <row r="4869" spans="17:25">
      <c r="Q4869" s="6">
        <v>4839</v>
      </c>
      <c r="R4869" s="7">
        <v>47506</v>
      </c>
      <c r="S4869" s="210">
        <v>4.5</v>
      </c>
      <c r="T4869" s="8">
        <v>1.0001249999999999</v>
      </c>
      <c r="U4869" s="98">
        <v>4.559978369158868</v>
      </c>
      <c r="V4869" s="106">
        <v>40005.154301081937</v>
      </c>
      <c r="W4869" s="10">
        <v>1.2890758471422847</v>
      </c>
      <c r="X4869" s="420"/>
      <c r="Y4869" s="420"/>
    </row>
    <row r="4870" spans="17:25">
      <c r="Q4870" s="6">
        <v>4840</v>
      </c>
      <c r="R4870" s="7">
        <v>47507</v>
      </c>
      <c r="S4870" s="210">
        <v>4.5</v>
      </c>
      <c r="T4870" s="8">
        <v>1.0001249999999999</v>
      </c>
      <c r="U4870" s="98">
        <v>4.5600006523664582</v>
      </c>
      <c r="V4870" s="106">
        <v>40008.594895313625</v>
      </c>
      <c r="W4870" s="10">
        <v>1.2891056424856107</v>
      </c>
      <c r="X4870" s="420"/>
      <c r="Y4870" s="420"/>
    </row>
    <row r="4871" spans="17:25">
      <c r="Q4871" s="6">
        <v>4841</v>
      </c>
      <c r="R4871" s="7">
        <v>47508</v>
      </c>
      <c r="S4871" s="210">
        <v>4.5</v>
      </c>
      <c r="T4871" s="8">
        <v>1.0001249999999999</v>
      </c>
      <c r="U4871" s="98">
        <v>4.5600229263727643</v>
      </c>
      <c r="V4871" s="106">
        <v>40012.035785449407</v>
      </c>
      <c r="W4871" s="10">
        <v>1.2891354255281096</v>
      </c>
      <c r="X4871" s="420"/>
      <c r="Y4871" s="420"/>
    </row>
    <row r="4872" spans="17:25">
      <c r="Q4872" s="6">
        <v>4842</v>
      </c>
      <c r="R4872" s="7">
        <v>47509</v>
      </c>
      <c r="S4872" s="210">
        <v>4.5</v>
      </c>
      <c r="T4872" s="8">
        <v>1.0001249999999999</v>
      </c>
      <c r="U4872" s="98">
        <v>4.5600451911834705</v>
      </c>
      <c r="V4872" s="106">
        <v>40015.476971514719</v>
      </c>
      <c r="W4872" s="10">
        <v>1.2891651962773976</v>
      </c>
      <c r="X4872" s="420"/>
      <c r="Y4872" s="420"/>
    </row>
    <row r="4873" spans="17:25">
      <c r="Q4873" s="6">
        <v>4843</v>
      </c>
      <c r="R4873" s="7">
        <v>47510</v>
      </c>
      <c r="S4873" s="210">
        <v>4.5</v>
      </c>
      <c r="T4873" s="8">
        <v>1.0001249999999999</v>
      </c>
      <c r="U4873" s="98">
        <v>4.5600674468042834</v>
      </c>
      <c r="V4873" s="106">
        <v>40018.918453535021</v>
      </c>
      <c r="W4873" s="10">
        <v>1.2891949547410908</v>
      </c>
      <c r="X4873" s="420"/>
      <c r="Y4873" s="420"/>
    </row>
    <row r="4874" spans="17:25">
      <c r="Q4874" s="6">
        <v>4844</v>
      </c>
      <c r="R4874" s="7">
        <v>47511</v>
      </c>
      <c r="S4874" s="210">
        <v>4.5</v>
      </c>
      <c r="T4874" s="8">
        <v>1.0001249999999999</v>
      </c>
      <c r="U4874" s="98">
        <v>4.5600896932408874</v>
      </c>
      <c r="V4874" s="106">
        <v>40022.360231535771</v>
      </c>
      <c r="W4874" s="10">
        <v>1.2892247009268054</v>
      </c>
      <c r="X4874" s="420"/>
      <c r="Y4874" s="420"/>
    </row>
    <row r="4875" spans="17:25">
      <c r="Q4875" s="6">
        <v>4845</v>
      </c>
      <c r="R4875" s="7">
        <v>47512</v>
      </c>
      <c r="S4875" s="210">
        <v>4.5</v>
      </c>
      <c r="T4875" s="8">
        <v>1.0001249999999999</v>
      </c>
      <c r="U4875" s="98">
        <v>4.5601119304989668</v>
      </c>
      <c r="V4875" s="106">
        <v>40025.802305542413</v>
      </c>
      <c r="W4875" s="10">
        <v>1.2892544348421131</v>
      </c>
      <c r="X4875" s="420"/>
      <c r="Y4875" s="420"/>
    </row>
    <row r="4876" spans="17:25">
      <c r="Q4876" s="6">
        <v>4846</v>
      </c>
      <c r="R4876" s="7">
        <v>47513</v>
      </c>
      <c r="S4876" s="210">
        <v>4.5</v>
      </c>
      <c r="T4876" s="8">
        <v>1.0001249999999999</v>
      </c>
      <c r="U4876" s="98">
        <v>4.5601341585842059</v>
      </c>
      <c r="V4876" s="106">
        <v>40029.244675580405</v>
      </c>
      <c r="W4876" s="10">
        <v>1.2892841564946078</v>
      </c>
      <c r="X4876" s="420"/>
      <c r="Y4876" s="420"/>
    </row>
    <row r="4877" spans="17:25">
      <c r="Q4877" s="6">
        <v>4847</v>
      </c>
      <c r="R4877" s="7">
        <v>47514</v>
      </c>
      <c r="S4877" s="210">
        <v>4.5</v>
      </c>
      <c r="T4877" s="8">
        <v>1.0001249999999999</v>
      </c>
      <c r="U4877" s="98">
        <v>4.5601563775022669</v>
      </c>
      <c r="V4877" s="106">
        <v>40032.687341675213</v>
      </c>
      <c r="W4877" s="10">
        <v>1.2893138658918835</v>
      </c>
      <c r="X4877" s="420"/>
      <c r="Y4877" s="420"/>
    </row>
    <row r="4878" spans="17:25">
      <c r="Q4878" s="6">
        <v>4848</v>
      </c>
      <c r="R4878" s="7">
        <v>47515</v>
      </c>
      <c r="S4878" s="210">
        <v>4.5</v>
      </c>
      <c r="T4878" s="8">
        <v>1.0001249999999999</v>
      </c>
      <c r="U4878" s="98">
        <v>4.5601785872588341</v>
      </c>
      <c r="V4878" s="106">
        <v>40036.130303852289</v>
      </c>
      <c r="W4878" s="10">
        <v>1.289343563041534</v>
      </c>
      <c r="X4878" s="420"/>
      <c r="Y4878" s="420"/>
    </row>
    <row r="4879" spans="17:25">
      <c r="Q4879" s="6">
        <v>4849</v>
      </c>
      <c r="R4879" s="7">
        <v>47516</v>
      </c>
      <c r="S4879" s="210">
        <v>4.5</v>
      </c>
      <c r="T4879" s="8">
        <v>1.0001249999999999</v>
      </c>
      <c r="U4879" s="98">
        <v>4.5602007878595474</v>
      </c>
      <c r="V4879" s="106">
        <v>40039.573562137113</v>
      </c>
      <c r="W4879" s="10">
        <v>1.2893732479510867</v>
      </c>
      <c r="X4879" s="420"/>
      <c r="Y4879" s="420"/>
    </row>
    <row r="4880" spans="17:25">
      <c r="Q4880" s="6">
        <v>4850</v>
      </c>
      <c r="R4880" s="7">
        <v>47517</v>
      </c>
      <c r="S4880" s="210">
        <v>4.5</v>
      </c>
      <c r="T4880" s="8">
        <v>1.0001249999999999</v>
      </c>
      <c r="U4880" s="98">
        <v>4.5602229793100912</v>
      </c>
      <c r="V4880" s="106">
        <v>40043.017116555144</v>
      </c>
      <c r="W4880" s="10">
        <v>1.2894029206281354</v>
      </c>
      <c r="X4880" s="420"/>
      <c r="Y4880" s="420"/>
    </row>
    <row r="4881" spans="17:25">
      <c r="Q4881" s="6">
        <v>4851</v>
      </c>
      <c r="R4881" s="7">
        <v>47518</v>
      </c>
      <c r="S4881" s="210">
        <v>4.5</v>
      </c>
      <c r="T4881" s="8">
        <v>1.0001249999999999</v>
      </c>
      <c r="U4881" s="98">
        <v>4.5602451616161055</v>
      </c>
      <c r="V4881" s="106">
        <v>40046.460967131839</v>
      </c>
      <c r="W4881" s="10">
        <v>1.2894325810802298</v>
      </c>
      <c r="X4881" s="420"/>
      <c r="Y4881" s="420"/>
    </row>
    <row r="4882" spans="17:25">
      <c r="Q4882" s="6">
        <v>4852</v>
      </c>
      <c r="R4882" s="7">
        <v>47519</v>
      </c>
      <c r="S4882" s="210">
        <v>4.5</v>
      </c>
      <c r="T4882" s="8">
        <v>1.0001249999999999</v>
      </c>
      <c r="U4882" s="98">
        <v>4.5602673347832523</v>
      </c>
      <c r="V4882" s="106">
        <v>40049.905113892688</v>
      </c>
      <c r="W4882" s="10">
        <v>1.2894622293149416</v>
      </c>
      <c r="X4882" s="420"/>
      <c r="Y4882" s="420"/>
    </row>
    <row r="4883" spans="17:25">
      <c r="Q4883" s="6">
        <v>4853</v>
      </c>
      <c r="R4883" s="7">
        <v>47520</v>
      </c>
      <c r="S4883" s="210">
        <v>4.5</v>
      </c>
      <c r="T4883" s="8">
        <v>1.0001249999999999</v>
      </c>
      <c r="U4883" s="98">
        <v>4.5602894988171938</v>
      </c>
      <c r="V4883" s="106">
        <v>40053.349556863148</v>
      </c>
      <c r="W4883" s="10">
        <v>1.2894918653398202</v>
      </c>
      <c r="X4883" s="420"/>
      <c r="Y4883" s="420"/>
    </row>
    <row r="4884" spans="17:25">
      <c r="Q4884" s="6">
        <v>4854</v>
      </c>
      <c r="R4884" s="7">
        <v>47521</v>
      </c>
      <c r="S4884" s="210">
        <v>4.5</v>
      </c>
      <c r="T4884" s="8">
        <v>1.0001249999999999</v>
      </c>
      <c r="U4884" s="98">
        <v>4.5603116537235477</v>
      </c>
      <c r="V4884" s="106">
        <v>40056.794296068707</v>
      </c>
      <c r="W4884" s="10">
        <v>1.289521489162393</v>
      </c>
      <c r="X4884" s="420"/>
      <c r="Y4884" s="420"/>
    </row>
    <row r="4885" spans="17:25">
      <c r="Q4885" s="6">
        <v>4855</v>
      </c>
      <c r="R4885" s="7">
        <v>47522</v>
      </c>
      <c r="S4885" s="210">
        <v>4.5</v>
      </c>
      <c r="T4885" s="8">
        <v>1.0001249999999999</v>
      </c>
      <c r="U4885" s="98">
        <v>4.560333799507954</v>
      </c>
      <c r="V4885" s="106">
        <v>40060.239331534838</v>
      </c>
      <c r="W4885" s="10">
        <v>1.2895511007901872</v>
      </c>
      <c r="X4885" s="420"/>
      <c r="Y4885" s="420"/>
    </row>
    <row r="4886" spans="17:25">
      <c r="Q4886" s="6">
        <v>4856</v>
      </c>
      <c r="R4886" s="7">
        <v>47523</v>
      </c>
      <c r="S4886" s="210">
        <v>4.5</v>
      </c>
      <c r="T4886" s="8">
        <v>1.0001249999999999</v>
      </c>
      <c r="U4886" s="98">
        <v>4.5603559361760526</v>
      </c>
      <c r="V4886" s="106">
        <v>40063.684663287007</v>
      </c>
      <c r="W4886" s="10">
        <v>1.2895807002307524</v>
      </c>
      <c r="X4886" s="420"/>
      <c r="Y4886" s="420"/>
    </row>
    <row r="4887" spans="17:25">
      <c r="Q4887" s="6">
        <v>4857</v>
      </c>
      <c r="R4887" s="7">
        <v>47524</v>
      </c>
      <c r="S4887" s="210">
        <v>4.5</v>
      </c>
      <c r="T4887" s="8">
        <v>1.0001249999999999</v>
      </c>
      <c r="U4887" s="98">
        <v>4.5603780637334612</v>
      </c>
      <c r="V4887" s="106">
        <v>40067.130291350724</v>
      </c>
      <c r="W4887" s="10">
        <v>1.2896102874915716</v>
      </c>
      <c r="X4887" s="420"/>
      <c r="Y4887" s="420"/>
    </row>
    <row r="4888" spans="17:25">
      <c r="Q4888" s="6">
        <v>4858</v>
      </c>
      <c r="R4888" s="7">
        <v>47525</v>
      </c>
      <c r="S4888" s="210">
        <v>4.5</v>
      </c>
      <c r="T4888" s="8">
        <v>1.0001249999999999</v>
      </c>
      <c r="U4888" s="98">
        <v>4.5604001821858198</v>
      </c>
      <c r="V4888" s="106">
        <v>40070.576215751447</v>
      </c>
      <c r="W4888" s="10">
        <v>1.2896398625802163</v>
      </c>
      <c r="X4888" s="420"/>
      <c r="Y4888" s="420"/>
    </row>
    <row r="4889" spans="17:25">
      <c r="Q4889" s="6">
        <v>4859</v>
      </c>
      <c r="R4889" s="7">
        <v>47526</v>
      </c>
      <c r="S4889" s="210">
        <v>4.5</v>
      </c>
      <c r="T4889" s="8">
        <v>1.0001249999999999</v>
      </c>
      <c r="U4889" s="98">
        <v>4.5604222915387238</v>
      </c>
      <c r="V4889" s="106">
        <v>40074.022436514679</v>
      </c>
      <c r="W4889" s="10">
        <v>1.2896694255041474</v>
      </c>
      <c r="X4889" s="420"/>
      <c r="Y4889" s="420"/>
    </row>
    <row r="4890" spans="17:25">
      <c r="Q4890" s="6">
        <v>4860</v>
      </c>
      <c r="R4890" s="7">
        <v>47527</v>
      </c>
      <c r="S4890" s="210">
        <v>4.5</v>
      </c>
      <c r="T4890" s="8">
        <v>1.0001249999999999</v>
      </c>
      <c r="U4890" s="98">
        <v>4.5604443917978132</v>
      </c>
      <c r="V4890" s="106">
        <v>40077.468953665899</v>
      </c>
      <c r="W4890" s="10">
        <v>1.2896989762708921</v>
      </c>
      <c r="X4890" s="420"/>
      <c r="Y4890" s="420"/>
    </row>
    <row r="4891" spans="17:25">
      <c r="Q4891" s="6">
        <v>4861</v>
      </c>
      <c r="R4891" s="7">
        <v>47528</v>
      </c>
      <c r="S4891" s="210">
        <v>4.5</v>
      </c>
      <c r="T4891" s="8">
        <v>1.0001249999999999</v>
      </c>
      <c r="U4891" s="98">
        <v>4.5604664829686836</v>
      </c>
      <c r="V4891" s="106">
        <v>40080.915767230596</v>
      </c>
      <c r="W4891" s="10">
        <v>1.2897285148879556</v>
      </c>
      <c r="X4891" s="420"/>
      <c r="Y4891" s="420"/>
    </row>
    <row r="4892" spans="17:25">
      <c r="Q4892" s="6">
        <v>4862</v>
      </c>
      <c r="R4892" s="7">
        <v>47529</v>
      </c>
      <c r="S4892" s="210">
        <v>4.5</v>
      </c>
      <c r="T4892" s="8">
        <v>1.0001249999999999</v>
      </c>
      <c r="U4892" s="98">
        <v>4.5604885650569305</v>
      </c>
      <c r="V4892" s="106">
        <v>40084.362877234264</v>
      </c>
      <c r="W4892" s="10">
        <v>1.2897580413628207</v>
      </c>
      <c r="X4892" s="420"/>
      <c r="Y4892" s="420"/>
    </row>
    <row r="4893" spans="17:25">
      <c r="Q4893" s="6">
        <v>4863</v>
      </c>
      <c r="R4893" s="7">
        <v>47530</v>
      </c>
      <c r="S4893" s="210">
        <v>4.5</v>
      </c>
      <c r="T4893" s="8">
        <v>1.0001249999999999</v>
      </c>
      <c r="U4893" s="98">
        <v>4.5605106380681715</v>
      </c>
      <c r="V4893" s="106">
        <v>40087.810283702405</v>
      </c>
      <c r="W4893" s="10">
        <v>1.2897875557029481</v>
      </c>
      <c r="X4893" s="420"/>
      <c r="Y4893" s="420"/>
    </row>
    <row r="4894" spans="17:25">
      <c r="Q4894" s="6">
        <v>4864</v>
      </c>
      <c r="R4894" s="7">
        <v>47531</v>
      </c>
      <c r="S4894" s="210">
        <v>4.5</v>
      </c>
      <c r="T4894" s="8">
        <v>1.0001249999999999</v>
      </c>
      <c r="U4894" s="98">
        <v>4.5605327020080022</v>
      </c>
      <c r="V4894" s="106">
        <v>40091.257986660508</v>
      </c>
      <c r="W4894" s="10">
        <v>1.2898170579158652</v>
      </c>
      <c r="X4894" s="420"/>
      <c r="Y4894" s="420"/>
    </row>
    <row r="4895" spans="17:25">
      <c r="Q4895" s="6">
        <v>4865</v>
      </c>
      <c r="R4895" s="7">
        <v>47532</v>
      </c>
      <c r="S4895" s="210">
        <v>4.5</v>
      </c>
      <c r="T4895" s="8">
        <v>1.0001249999999999</v>
      </c>
      <c r="U4895" s="98">
        <v>4.560554756881996</v>
      </c>
      <c r="V4895" s="106">
        <v>40094.705986134082</v>
      </c>
      <c r="W4895" s="10">
        <v>1.2898465480090104</v>
      </c>
      <c r="X4895" s="420"/>
      <c r="Y4895" s="420"/>
    </row>
    <row r="4896" spans="17:25">
      <c r="Q4896" s="6">
        <v>4866</v>
      </c>
      <c r="R4896" s="7">
        <v>47533</v>
      </c>
      <c r="S4896" s="210">
        <v>4.5</v>
      </c>
      <c r="T4896" s="8">
        <v>1.0001249999999999</v>
      </c>
      <c r="U4896" s="98">
        <v>4.5605768026957483</v>
      </c>
      <c r="V4896" s="106">
        <v>40098.154282148615</v>
      </c>
      <c r="W4896" s="10">
        <v>1.2898760259898445</v>
      </c>
      <c r="X4896" s="420"/>
      <c r="Y4896" s="420"/>
    </row>
    <row r="4897" spans="17:25">
      <c r="Q4897" s="6">
        <v>4867</v>
      </c>
      <c r="R4897" s="7">
        <v>47534</v>
      </c>
      <c r="S4897" s="210">
        <v>4.5</v>
      </c>
      <c r="T4897" s="8">
        <v>1.0001249999999999</v>
      </c>
      <c r="U4897" s="98">
        <v>4.5605988394548547</v>
      </c>
      <c r="V4897" s="106">
        <v>40101.602874729622</v>
      </c>
      <c r="W4897" s="10">
        <v>1.2899054918658504</v>
      </c>
      <c r="X4897" s="420"/>
      <c r="Y4897" s="420"/>
    </row>
    <row r="4898" spans="17:25">
      <c r="Q4898" s="6">
        <v>4868</v>
      </c>
      <c r="R4898" s="7">
        <v>47535</v>
      </c>
      <c r="S4898" s="210">
        <v>4.5</v>
      </c>
      <c r="T4898" s="8">
        <v>1.0001249999999999</v>
      </c>
      <c r="U4898" s="98">
        <v>4.5606208671648885</v>
      </c>
      <c r="V4898" s="106">
        <v>40105.0517639026</v>
      </c>
      <c r="W4898" s="10">
        <v>1.2899349456445108</v>
      </c>
      <c r="X4898" s="420"/>
      <c r="Y4898" s="420"/>
    </row>
    <row r="4899" spans="17:25">
      <c r="Q4899" s="6">
        <v>4869</v>
      </c>
      <c r="R4899" s="7">
        <v>47536</v>
      </c>
      <c r="S4899" s="210">
        <v>4.5</v>
      </c>
      <c r="T4899" s="8">
        <v>1.0001249999999999</v>
      </c>
      <c r="U4899" s="98">
        <v>4.5606428858314008</v>
      </c>
      <c r="V4899" s="106">
        <v>40108.500949693072</v>
      </c>
      <c r="W4899" s="10">
        <v>1.2899643873331978</v>
      </c>
      <c r="X4899" s="420"/>
      <c r="Y4899" s="420"/>
    </row>
    <row r="4900" spans="17:25">
      <c r="Q4900" s="6">
        <v>4870</v>
      </c>
      <c r="R4900" s="7">
        <v>47537</v>
      </c>
      <c r="S4900" s="210">
        <v>4.5</v>
      </c>
      <c r="T4900" s="8">
        <v>1.0001249999999999</v>
      </c>
      <c r="U4900" s="98">
        <v>4.5606648954599649</v>
      </c>
      <c r="V4900" s="106">
        <v>40111.950432126527</v>
      </c>
      <c r="W4900" s="10">
        <v>1.2899938169393943</v>
      </c>
      <c r="X4900" s="420"/>
      <c r="Y4900" s="420"/>
    </row>
    <row r="4901" spans="17:25">
      <c r="Q4901" s="6">
        <v>4871</v>
      </c>
      <c r="R4901" s="7">
        <v>47538</v>
      </c>
      <c r="S4901" s="210">
        <v>4.5</v>
      </c>
      <c r="T4901" s="8">
        <v>1.0001249999999999</v>
      </c>
      <c r="U4901" s="98">
        <v>4.5606868960561542</v>
      </c>
      <c r="V4901" s="106">
        <v>40115.400211228487</v>
      </c>
      <c r="W4901" s="10">
        <v>1.2900232344705387</v>
      </c>
      <c r="X4901" s="420"/>
      <c r="Y4901" s="420"/>
    </row>
    <row r="4902" spans="17:25">
      <c r="Q4902" s="6">
        <v>4872</v>
      </c>
      <c r="R4902" s="7">
        <v>47539</v>
      </c>
      <c r="S4902" s="210">
        <v>4.5</v>
      </c>
      <c r="T4902" s="8">
        <v>1.0001249999999999</v>
      </c>
      <c r="U4902" s="98">
        <v>4.5607088876255419</v>
      </c>
      <c r="V4902" s="106">
        <v>40118.85028702447</v>
      </c>
      <c r="W4902" s="10">
        <v>1.2900526399340917</v>
      </c>
      <c r="X4902" s="420"/>
      <c r="Y4902" s="420"/>
    </row>
    <row r="4903" spans="17:25">
      <c r="Q4903" s="6">
        <v>4873</v>
      </c>
      <c r="R4903" s="7">
        <v>47540</v>
      </c>
      <c r="S4903" s="210">
        <v>4.5</v>
      </c>
      <c r="T4903" s="8">
        <v>1.0001249999999999</v>
      </c>
      <c r="U4903" s="98">
        <v>4.5607308701736571</v>
      </c>
      <c r="V4903" s="106">
        <v>40122.300659539993</v>
      </c>
      <c r="W4903" s="10">
        <v>1.290082033337403</v>
      </c>
      <c r="X4903" s="420"/>
      <c r="Y4903" s="420"/>
    </row>
    <row r="4904" spans="17:25">
      <c r="Q4904" s="6">
        <v>4874</v>
      </c>
      <c r="R4904" s="7">
        <v>47541</v>
      </c>
      <c r="S4904" s="210">
        <v>4.5</v>
      </c>
      <c r="T4904" s="8">
        <v>1.0001249999999999</v>
      </c>
      <c r="U4904" s="98">
        <v>4.5607528437060729</v>
      </c>
      <c r="V4904" s="106">
        <v>40125.751328800572</v>
      </c>
      <c r="W4904" s="10">
        <v>1.2901114146879777</v>
      </c>
      <c r="X4904" s="420"/>
      <c r="Y4904" s="420"/>
    </row>
    <row r="4905" spans="17:25">
      <c r="Q4905" s="6">
        <v>4875</v>
      </c>
      <c r="R4905" s="7">
        <v>47542</v>
      </c>
      <c r="S4905" s="210">
        <v>4.5</v>
      </c>
      <c r="T4905" s="8">
        <v>1.0001249999999999</v>
      </c>
      <c r="U4905" s="98">
        <v>4.5607748082283184</v>
      </c>
      <c r="V4905" s="106">
        <v>40129.202294831732</v>
      </c>
      <c r="W4905" s="10">
        <v>1.2901407839931656</v>
      </c>
      <c r="X4905" s="420"/>
      <c r="Y4905" s="420"/>
    </row>
    <row r="4906" spans="17:25">
      <c r="Q4906" s="6">
        <v>4876</v>
      </c>
      <c r="R4906" s="7">
        <v>47543</v>
      </c>
      <c r="S4906" s="210">
        <v>4.5</v>
      </c>
      <c r="T4906" s="8">
        <v>1.0001249999999999</v>
      </c>
      <c r="U4906" s="98">
        <v>4.5607967637459224</v>
      </c>
      <c r="V4906" s="106">
        <v>40132.653557658989</v>
      </c>
      <c r="W4906" s="10">
        <v>1.2901701412603606</v>
      </c>
      <c r="X4906" s="420"/>
      <c r="Y4906" s="420"/>
    </row>
    <row r="4907" spans="17:25">
      <c r="Q4907" s="6">
        <v>4877</v>
      </c>
      <c r="R4907" s="7">
        <v>47544</v>
      </c>
      <c r="S4907" s="210">
        <v>4.5</v>
      </c>
      <c r="T4907" s="8">
        <v>1.0001249999999999</v>
      </c>
      <c r="U4907" s="98">
        <v>4.560818710264436</v>
      </c>
      <c r="V4907" s="106">
        <v>40136.105117307874</v>
      </c>
      <c r="W4907" s="10">
        <v>1.2901994864970012</v>
      </c>
      <c r="X4907" s="420"/>
      <c r="Y4907" s="420"/>
    </row>
    <row r="4908" spans="17:25">
      <c r="Q4908" s="6">
        <v>4878</v>
      </c>
      <c r="R4908" s="7">
        <v>47545</v>
      </c>
      <c r="S4908" s="210">
        <v>4.5</v>
      </c>
      <c r="T4908" s="8">
        <v>1.0001249999999999</v>
      </c>
      <c r="U4908" s="98">
        <v>4.5608406477893881</v>
      </c>
      <c r="V4908" s="106">
        <v>40139.556973803905</v>
      </c>
      <c r="W4908" s="10">
        <v>1.2902288197104816</v>
      </c>
      <c r="X4908" s="420"/>
      <c r="Y4908" s="420"/>
    </row>
    <row r="4909" spans="17:25">
      <c r="Q4909" s="6">
        <v>4879</v>
      </c>
      <c r="R4909" s="7">
        <v>47546</v>
      </c>
      <c r="S4909" s="210">
        <v>4.5</v>
      </c>
      <c r="T4909" s="8">
        <v>1.0001249999999999</v>
      </c>
      <c r="U4909" s="98">
        <v>4.56086257632633</v>
      </c>
      <c r="V4909" s="106">
        <v>40143.009127172634</v>
      </c>
      <c r="W4909" s="10">
        <v>1.2902581409081959</v>
      </c>
      <c r="X4909" s="420"/>
      <c r="Y4909" s="420"/>
    </row>
    <row r="4910" spans="17:25">
      <c r="Q4910" s="6">
        <v>4880</v>
      </c>
      <c r="R4910" s="7">
        <v>47547</v>
      </c>
      <c r="S4910" s="210">
        <v>4.5</v>
      </c>
      <c r="T4910" s="8">
        <v>1.0001249999999999</v>
      </c>
      <c r="U4910" s="98">
        <v>4.560884495880746</v>
      </c>
      <c r="V4910" s="106">
        <v>40146.461577439572</v>
      </c>
      <c r="W4910" s="10">
        <v>1.2902874500974937</v>
      </c>
      <c r="X4910" s="420"/>
      <c r="Y4910" s="420"/>
    </row>
    <row r="4911" spans="17:25">
      <c r="Q4911" s="6">
        <v>4881</v>
      </c>
      <c r="R4911" s="7">
        <v>47548</v>
      </c>
      <c r="S4911" s="210">
        <v>4.5</v>
      </c>
      <c r="T4911" s="8">
        <v>1.0001249999999999</v>
      </c>
      <c r="U4911" s="98">
        <v>4.5609064064581872</v>
      </c>
      <c r="V4911" s="106">
        <v>40149.914324630263</v>
      </c>
      <c r="W4911" s="10">
        <v>1.2903167472857691</v>
      </c>
      <c r="X4911" s="420"/>
      <c r="Y4911" s="420"/>
    </row>
    <row r="4912" spans="17:25">
      <c r="Q4912" s="6">
        <v>4882</v>
      </c>
      <c r="R4912" s="7">
        <v>47549</v>
      </c>
      <c r="S4912" s="210">
        <v>4.5</v>
      </c>
      <c r="T4912" s="8">
        <v>1.0001249999999999</v>
      </c>
      <c r="U4912" s="98">
        <v>4.5609283080641383</v>
      </c>
      <c r="V4912" s="106">
        <v>40153.367368770247</v>
      </c>
      <c r="W4912" s="10">
        <v>1.2903460324803717</v>
      </c>
      <c r="X4912" s="420"/>
      <c r="Y4912" s="420"/>
    </row>
    <row r="4913" spans="17:25">
      <c r="Q4913" s="6">
        <v>4883</v>
      </c>
      <c r="R4913" s="7">
        <v>47550</v>
      </c>
      <c r="S4913" s="210">
        <v>4.5</v>
      </c>
      <c r="T4913" s="8">
        <v>1.0001249999999999</v>
      </c>
      <c r="U4913" s="98">
        <v>4.560950200704128</v>
      </c>
      <c r="V4913" s="106">
        <v>40156.820709885054</v>
      </c>
      <c r="W4913" s="10">
        <v>1.2903753056886957</v>
      </c>
      <c r="X4913" s="420"/>
      <c r="Y4913" s="420"/>
    </row>
    <row r="4914" spans="17:25">
      <c r="Q4914" s="6">
        <v>4884</v>
      </c>
      <c r="R4914" s="7">
        <v>47551</v>
      </c>
      <c r="S4914" s="210">
        <v>4.5</v>
      </c>
      <c r="T4914" s="8">
        <v>1.0001249999999999</v>
      </c>
      <c r="U4914" s="98">
        <v>4.560972084383641</v>
      </c>
      <c r="V4914" s="106">
        <v>40160.274348000217</v>
      </c>
      <c r="W4914" s="10">
        <v>1.2904045669180686</v>
      </c>
      <c r="X4914" s="420"/>
      <c r="Y4914" s="420"/>
    </row>
    <row r="4915" spans="17:25">
      <c r="Q4915" s="6">
        <v>4885</v>
      </c>
      <c r="R4915" s="7">
        <v>47552</v>
      </c>
      <c r="S4915" s="210">
        <v>4.5</v>
      </c>
      <c r="T4915" s="8">
        <v>1.0001249999999999</v>
      </c>
      <c r="U4915" s="98">
        <v>4.560993959108206</v>
      </c>
      <c r="V4915" s="106">
        <v>40163.728283141303</v>
      </c>
      <c r="W4915" s="10">
        <v>1.2904338161758844</v>
      </c>
      <c r="X4915" s="420"/>
      <c r="Y4915" s="420"/>
    </row>
    <row r="4916" spans="17:25">
      <c r="Q4916" s="6">
        <v>4886</v>
      </c>
      <c r="R4916" s="7">
        <v>47553</v>
      </c>
      <c r="S4916" s="210">
        <v>4.5</v>
      </c>
      <c r="T4916" s="8">
        <v>1.0001249999999999</v>
      </c>
      <c r="U4916" s="98">
        <v>4.5610158248832855</v>
      </c>
      <c r="V4916" s="106">
        <v>40167.182515333843</v>
      </c>
      <c r="W4916" s="10">
        <v>1.2904630534694261</v>
      </c>
      <c r="X4916" s="420"/>
      <c r="Y4916" s="420"/>
    </row>
    <row r="4917" spans="17:25">
      <c r="Q4917" s="6">
        <v>4887</v>
      </c>
      <c r="R4917" s="7">
        <v>47554</v>
      </c>
      <c r="S4917" s="210">
        <v>4.5</v>
      </c>
      <c r="T4917" s="8">
        <v>1.0001249999999999</v>
      </c>
      <c r="U4917" s="98">
        <v>4.5610376817143861</v>
      </c>
      <c r="V4917" s="106">
        <v>40170.637044603376</v>
      </c>
      <c r="W4917" s="10">
        <v>1.290492278806088</v>
      </c>
      <c r="X4917" s="420"/>
      <c r="Y4917" s="420"/>
    </row>
    <row r="4918" spans="17:25">
      <c r="Q4918" s="6">
        <v>4888</v>
      </c>
      <c r="R4918" s="7">
        <v>47555</v>
      </c>
      <c r="S4918" s="210">
        <v>4.5</v>
      </c>
      <c r="T4918" s="8">
        <v>1.0001249999999999</v>
      </c>
      <c r="U4918" s="98">
        <v>4.5610595296070144</v>
      </c>
      <c r="V4918" s="106">
        <v>40174.09187097547</v>
      </c>
      <c r="W4918" s="10">
        <v>1.2905214921931973</v>
      </c>
      <c r="X4918" s="420"/>
      <c r="Y4918" s="420"/>
    </row>
    <row r="4919" spans="17:25">
      <c r="Q4919" s="6">
        <v>4889</v>
      </c>
      <c r="R4919" s="7">
        <v>47556</v>
      </c>
      <c r="S4919" s="210">
        <v>4.5</v>
      </c>
      <c r="T4919" s="8">
        <v>1.0001249999999999</v>
      </c>
      <c r="U4919" s="98">
        <v>4.5610813685666329</v>
      </c>
      <c r="V4919" s="106">
        <v>40177.546994475677</v>
      </c>
      <c r="W4919" s="10">
        <v>1.2905506936380595</v>
      </c>
      <c r="X4919" s="420"/>
      <c r="Y4919" s="420"/>
    </row>
    <row r="4920" spans="17:25">
      <c r="Q4920" s="6">
        <v>4890</v>
      </c>
      <c r="R4920" s="7">
        <v>47557</v>
      </c>
      <c r="S4920" s="210">
        <v>4.5</v>
      </c>
      <c r="T4920" s="8">
        <v>1.0001249999999999</v>
      </c>
      <c r="U4920" s="98">
        <v>4.5611031985987038</v>
      </c>
      <c r="V4920" s="106">
        <v>40181.002415129529</v>
      </c>
      <c r="W4920" s="10">
        <v>1.2905798831479798</v>
      </c>
      <c r="X4920" s="420"/>
      <c r="Y4920" s="420"/>
    </row>
    <row r="4921" spans="17:25">
      <c r="Q4921" s="6">
        <v>4891</v>
      </c>
      <c r="R4921" s="7">
        <v>47558</v>
      </c>
      <c r="S4921" s="210">
        <v>4.5</v>
      </c>
      <c r="T4921" s="8">
        <v>1.0001249999999999</v>
      </c>
      <c r="U4921" s="98">
        <v>4.5611250197087339</v>
      </c>
      <c r="V4921" s="106">
        <v>40184.458132962609</v>
      </c>
      <c r="W4921" s="10">
        <v>1.29060906073033</v>
      </c>
      <c r="X4921" s="420"/>
      <c r="Y4921" s="420"/>
    </row>
    <row r="4922" spans="17:25">
      <c r="Q4922" s="6">
        <v>4892</v>
      </c>
      <c r="R4922" s="7">
        <v>47559</v>
      </c>
      <c r="S4922" s="210">
        <v>4.5</v>
      </c>
      <c r="T4922" s="8">
        <v>1.0001249999999999</v>
      </c>
      <c r="U4922" s="98">
        <v>4.5611468319021631</v>
      </c>
      <c r="V4922" s="106">
        <v>40187.914148000455</v>
      </c>
      <c r="W4922" s="10">
        <v>1.290638226392371</v>
      </c>
      <c r="X4922" s="420"/>
      <c r="Y4922" s="420"/>
    </row>
    <row r="4923" spans="17:25">
      <c r="Q4923" s="6">
        <v>4893</v>
      </c>
      <c r="R4923" s="7">
        <v>47560</v>
      </c>
      <c r="S4923" s="210">
        <v>4.5</v>
      </c>
      <c r="T4923" s="8">
        <v>1.0001249999999999</v>
      </c>
      <c r="U4923" s="98">
        <v>4.561168635184476</v>
      </c>
      <c r="V4923" s="106">
        <v>40191.370460268641</v>
      </c>
      <c r="W4923" s="10">
        <v>1.2906673801414303</v>
      </c>
      <c r="X4923" s="420"/>
      <c r="Y4923" s="420"/>
    </row>
    <row r="4924" spans="17:25">
      <c r="Q4924" s="6">
        <v>4894</v>
      </c>
      <c r="R4924" s="7">
        <v>47561</v>
      </c>
      <c r="S4924" s="210">
        <v>4.5</v>
      </c>
      <c r="T4924" s="8">
        <v>1.0001249999999999</v>
      </c>
      <c r="U4924" s="98">
        <v>4.5611904295611128</v>
      </c>
      <c r="V4924" s="106">
        <v>40194.827069792722</v>
      </c>
      <c r="W4924" s="10">
        <v>1.2906965219847688</v>
      </c>
      <c r="X4924" s="420"/>
      <c r="Y4924" s="420"/>
    </row>
    <row r="4925" spans="17:25">
      <c r="Q4925" s="6">
        <v>4895</v>
      </c>
      <c r="R4925" s="7">
        <v>47562</v>
      </c>
      <c r="S4925" s="210">
        <v>4.5</v>
      </c>
      <c r="T4925" s="8">
        <v>1.0001249999999999</v>
      </c>
      <c r="U4925" s="98">
        <v>4.5612122150375356</v>
      </c>
      <c r="V4925" s="106">
        <v>40198.283976598264</v>
      </c>
      <c r="W4925" s="10">
        <v>1.2907256519297361</v>
      </c>
      <c r="X4925" s="420"/>
      <c r="Y4925" s="420"/>
    </row>
    <row r="4926" spans="17:25">
      <c r="Q4926" s="6">
        <v>4896</v>
      </c>
      <c r="R4926" s="7">
        <v>47563</v>
      </c>
      <c r="S4926" s="210">
        <v>4.5</v>
      </c>
      <c r="T4926" s="8">
        <v>1.0001249999999999</v>
      </c>
      <c r="U4926" s="98">
        <v>4.5612339916192068</v>
      </c>
      <c r="V4926" s="106">
        <v>40201.741180710836</v>
      </c>
      <c r="W4926" s="10">
        <v>1.2907547699835709</v>
      </c>
      <c r="X4926" s="420"/>
      <c r="Y4926" s="420"/>
    </row>
    <row r="4927" spans="17:25">
      <c r="Q4927" s="6">
        <v>4897</v>
      </c>
      <c r="R4927" s="7">
        <v>47564</v>
      </c>
      <c r="S4927" s="210">
        <v>4.5</v>
      </c>
      <c r="T4927" s="8">
        <v>1.0001249999999999</v>
      </c>
      <c r="U4927" s="98">
        <v>4.5612557593115666</v>
      </c>
      <c r="V4927" s="106">
        <v>40205.198682156006</v>
      </c>
      <c r="W4927" s="10">
        <v>1.2907838761536006</v>
      </c>
      <c r="X4927" s="420"/>
      <c r="Y4927" s="420"/>
    </row>
    <row r="4928" spans="17:25">
      <c r="Q4928" s="6">
        <v>4898</v>
      </c>
      <c r="R4928" s="7">
        <v>47565</v>
      </c>
      <c r="S4928" s="210">
        <v>4.5</v>
      </c>
      <c r="T4928" s="8">
        <v>1.0001249999999999</v>
      </c>
      <c r="U4928" s="98">
        <v>4.5612775181200549</v>
      </c>
      <c r="V4928" s="106">
        <v>40208.656480959355</v>
      </c>
      <c r="W4928" s="10">
        <v>1.2908129704470417</v>
      </c>
      <c r="X4928" s="420"/>
      <c r="Y4928" s="420"/>
    </row>
    <row r="4929" spans="17:25">
      <c r="Q4929" s="6">
        <v>4899</v>
      </c>
      <c r="R4929" s="7">
        <v>47566</v>
      </c>
      <c r="S4929" s="210">
        <v>4.5</v>
      </c>
      <c r="T4929" s="8">
        <v>1.0001249999999999</v>
      </c>
      <c r="U4929" s="98">
        <v>4.5612992680501119</v>
      </c>
      <c r="V4929" s="106">
        <v>40212.114577146443</v>
      </c>
      <c r="W4929" s="10">
        <v>1.2908420528711995</v>
      </c>
      <c r="X4929" s="420"/>
      <c r="Y4929" s="420"/>
    </row>
    <row r="4930" spans="17:25">
      <c r="Q4930" s="6">
        <v>4900</v>
      </c>
      <c r="R4930" s="7">
        <v>47567</v>
      </c>
      <c r="S4930" s="210">
        <v>4.5</v>
      </c>
      <c r="T4930" s="8">
        <v>1.0001249999999999</v>
      </c>
      <c r="U4930" s="98">
        <v>4.5613210091071554</v>
      </c>
      <c r="V4930" s="106">
        <v>40215.572970742855</v>
      </c>
      <c r="W4930" s="10">
        <v>1.2908711234333126</v>
      </c>
      <c r="X4930" s="420"/>
      <c r="Y4930" s="420"/>
    </row>
    <row r="4931" spans="17:25">
      <c r="Q4931" s="6">
        <v>4901</v>
      </c>
      <c r="R4931" s="7">
        <v>47568</v>
      </c>
      <c r="S4931" s="210">
        <v>4.5</v>
      </c>
      <c r="T4931" s="8">
        <v>1.0001249999999999</v>
      </c>
      <c r="U4931" s="98">
        <v>4.5613427412966256</v>
      </c>
      <c r="V4931" s="106">
        <v>40219.031661774163</v>
      </c>
      <c r="W4931" s="10">
        <v>1.2909001821406418</v>
      </c>
      <c r="X4931" s="420"/>
      <c r="Y4931" s="420"/>
    </row>
    <row r="4932" spans="17:25">
      <c r="Q4932" s="6">
        <v>4902</v>
      </c>
      <c r="R4932" s="7">
        <v>47569</v>
      </c>
      <c r="S4932" s="210">
        <v>4.5</v>
      </c>
      <c r="T4932" s="8">
        <v>1.0001249999999999</v>
      </c>
      <c r="U4932" s="98">
        <v>4.5613644646239626</v>
      </c>
      <c r="V4932" s="106">
        <v>40222.490650265958</v>
      </c>
      <c r="W4932" s="10">
        <v>1.2909292290004704</v>
      </c>
      <c r="X4932" s="420"/>
      <c r="Y4932" s="420"/>
    </row>
    <row r="4933" spans="17:25">
      <c r="Q4933" s="6">
        <v>4903</v>
      </c>
      <c r="R4933" s="7">
        <v>47570</v>
      </c>
      <c r="S4933" s="210">
        <v>4.5</v>
      </c>
      <c r="T4933" s="8">
        <v>1.0001249999999999</v>
      </c>
      <c r="U4933" s="98">
        <v>4.561386179094562</v>
      </c>
      <c r="V4933" s="106">
        <v>40225.949936243807</v>
      </c>
      <c r="W4933" s="10">
        <v>1.2909582640200146</v>
      </c>
      <c r="X4933" s="420"/>
      <c r="Y4933" s="420"/>
    </row>
    <row r="4934" spans="17:25">
      <c r="Q4934" s="6">
        <v>4904</v>
      </c>
      <c r="R4934" s="7">
        <v>47571</v>
      </c>
      <c r="S4934" s="210">
        <v>4.5</v>
      </c>
      <c r="T4934" s="8">
        <v>1.0001249999999999</v>
      </c>
      <c r="U4934" s="98">
        <v>4.5614078847138417</v>
      </c>
      <c r="V4934" s="106">
        <v>40229.409519733308</v>
      </c>
      <c r="W4934" s="10">
        <v>1.2909872872064909</v>
      </c>
      <c r="X4934" s="420"/>
      <c r="Y4934" s="420"/>
    </row>
    <row r="4935" spans="17:25">
      <c r="Q4935" s="6">
        <v>4905</v>
      </c>
      <c r="R4935" s="7">
        <v>47572</v>
      </c>
      <c r="S4935" s="210">
        <v>4.5</v>
      </c>
      <c r="T4935" s="8">
        <v>1.0001249999999999</v>
      </c>
      <c r="U4935" s="98">
        <v>4.5614295814872197</v>
      </c>
      <c r="V4935" s="106">
        <v>40232.869400760042</v>
      </c>
      <c r="W4935" s="10">
        <v>1.2910162985671603</v>
      </c>
      <c r="X4935" s="420"/>
      <c r="Y4935" s="420"/>
    </row>
    <row r="4936" spans="17:25">
      <c r="Q4936" s="6">
        <v>4906</v>
      </c>
      <c r="R4936" s="7">
        <v>47573</v>
      </c>
      <c r="S4936" s="210">
        <v>4.5</v>
      </c>
      <c r="T4936" s="8">
        <v>1.0001249999999999</v>
      </c>
      <c r="U4936" s="98">
        <v>4.5614512694201137</v>
      </c>
      <c r="V4936" s="106">
        <v>40236.329579349607</v>
      </c>
      <c r="W4936" s="10">
        <v>1.2910452981092613</v>
      </c>
      <c r="X4936" s="420"/>
      <c r="Y4936" s="420"/>
    </row>
    <row r="4937" spans="17:25">
      <c r="Q4937" s="6">
        <v>4907</v>
      </c>
      <c r="R4937" s="7">
        <v>47574</v>
      </c>
      <c r="S4937" s="210">
        <v>4.5</v>
      </c>
      <c r="T4937" s="8">
        <v>1.0001249999999999</v>
      </c>
      <c r="U4937" s="98">
        <v>4.5614729485179195</v>
      </c>
      <c r="V4937" s="106">
        <v>40239.790055527585</v>
      </c>
      <c r="W4937" s="10">
        <v>1.2910742858400104</v>
      </c>
      <c r="X4937" s="420"/>
      <c r="Y4937" s="420"/>
    </row>
    <row r="4938" spans="17:25">
      <c r="Q4938" s="6">
        <v>4908</v>
      </c>
      <c r="R4938" s="7">
        <v>47575</v>
      </c>
      <c r="S4938" s="210">
        <v>4.5</v>
      </c>
      <c r="T4938" s="8">
        <v>1.0001249999999999</v>
      </c>
      <c r="U4938" s="98">
        <v>4.5614946187860106</v>
      </c>
      <c r="V4938" s="106">
        <v>40243.250829319571</v>
      </c>
      <c r="W4938" s="10">
        <v>1.2911032617665796</v>
      </c>
      <c r="X4938" s="420"/>
      <c r="Y4938" s="420"/>
    </row>
    <row r="4939" spans="17:25">
      <c r="Q4939" s="6">
        <v>4909</v>
      </c>
      <c r="R4939" s="7">
        <v>47576</v>
      </c>
      <c r="S4939" s="210">
        <v>4.5</v>
      </c>
      <c r="T4939" s="8">
        <v>1.0001249999999999</v>
      </c>
      <c r="U4939" s="98">
        <v>4.5615162802298048</v>
      </c>
      <c r="V4939" s="106">
        <v>40246.711900751172</v>
      </c>
      <c r="W4939" s="10">
        <v>1.2911322258962077</v>
      </c>
      <c r="X4939" s="420"/>
      <c r="Y4939" s="420"/>
    </row>
    <row r="4940" spans="17:25">
      <c r="Q4940" s="6">
        <v>4910</v>
      </c>
      <c r="R4940" s="7">
        <v>47577</v>
      </c>
      <c r="S4940" s="210">
        <v>4.5</v>
      </c>
      <c r="T4940" s="8">
        <v>1.0001249999999999</v>
      </c>
      <c r="U4940" s="98">
        <v>4.5615379328546979</v>
      </c>
      <c r="V4940" s="106">
        <v>40250.173269847961</v>
      </c>
      <c r="W4940" s="10">
        <v>1.291161178236111</v>
      </c>
      <c r="X4940" s="420"/>
      <c r="Y4940" s="420"/>
    </row>
    <row r="4941" spans="17:25">
      <c r="Q4941" s="6">
        <v>4911</v>
      </c>
      <c r="R4941" s="7">
        <v>47578</v>
      </c>
      <c r="S4941" s="210">
        <v>4.5</v>
      </c>
      <c r="T4941" s="8">
        <v>1.0001249999999999</v>
      </c>
      <c r="U4941" s="98">
        <v>4.5615595766660411</v>
      </c>
      <c r="V4941" s="106">
        <v>40253.634936635564</v>
      </c>
      <c r="W4941" s="10">
        <v>1.2911901187934616</v>
      </c>
      <c r="X4941" s="420"/>
      <c r="Y4941" s="420"/>
    </row>
    <row r="4942" spans="17:25">
      <c r="Q4942" s="6">
        <v>4912</v>
      </c>
      <c r="R4942" s="7">
        <v>47579</v>
      </c>
      <c r="S4942" s="210">
        <v>4.5</v>
      </c>
      <c r="T4942" s="8">
        <v>1.0001249999999999</v>
      </c>
      <c r="U4942" s="98">
        <v>4.5615812116692522</v>
      </c>
      <c r="V4942" s="106">
        <v>40257.096901139572</v>
      </c>
      <c r="W4942" s="10">
        <v>1.2912190475754759</v>
      </c>
      <c r="X4942" s="420"/>
      <c r="Y4942" s="420"/>
    </row>
    <row r="4943" spans="17:25">
      <c r="Q4943" s="6">
        <v>4913</v>
      </c>
      <c r="R4943" s="7">
        <v>47580</v>
      </c>
      <c r="S4943" s="210">
        <v>4.5</v>
      </c>
      <c r="T4943" s="8">
        <v>1.0001249999999999</v>
      </c>
      <c r="U4943" s="98">
        <v>4.5616028378696827</v>
      </c>
      <c r="V4943" s="106">
        <v>40260.559163385587</v>
      </c>
      <c r="W4943" s="10">
        <v>1.2912479645893038</v>
      </c>
      <c r="X4943" s="420"/>
      <c r="Y4943" s="420"/>
    </row>
    <row r="4944" spans="17:25">
      <c r="Q4944" s="6">
        <v>4914</v>
      </c>
      <c r="R4944" s="7">
        <v>47581</v>
      </c>
      <c r="S4944" s="210">
        <v>4.5</v>
      </c>
      <c r="T4944" s="8">
        <v>1.0001249999999999</v>
      </c>
      <c r="U4944" s="98">
        <v>4.5616244552727059</v>
      </c>
      <c r="V4944" s="106">
        <v>40264.021723399223</v>
      </c>
      <c r="W4944" s="10">
        <v>1.2912768698421617</v>
      </c>
      <c r="X4944" s="420"/>
      <c r="Y4944" s="420"/>
    </row>
    <row r="4945" spans="17:25">
      <c r="Q4945" s="6">
        <v>4915</v>
      </c>
      <c r="R4945" s="7">
        <v>47582</v>
      </c>
      <c r="S4945" s="210">
        <v>4.5</v>
      </c>
      <c r="T4945" s="8">
        <v>1.0001249999999999</v>
      </c>
      <c r="U4945" s="98">
        <v>4.5616460638836953</v>
      </c>
      <c r="V4945" s="106">
        <v>40267.484581206088</v>
      </c>
      <c r="W4945" s="10">
        <v>1.2913057633411995</v>
      </c>
      <c r="X4945" s="420"/>
      <c r="Y4945" s="420"/>
    </row>
    <row r="4946" spans="17:25">
      <c r="Q4946" s="6">
        <v>4916</v>
      </c>
      <c r="R4946" s="7">
        <v>47583</v>
      </c>
      <c r="S4946" s="210">
        <v>4.5</v>
      </c>
      <c r="T4946" s="8">
        <v>1.0001249999999999</v>
      </c>
      <c r="U4946" s="98">
        <v>4.5616676637080245</v>
      </c>
      <c r="V4946" s="106">
        <v>40270.947736831789</v>
      </c>
      <c r="W4946" s="10">
        <v>1.2913346450935892</v>
      </c>
      <c r="X4946" s="420"/>
      <c r="Y4946" s="420"/>
    </row>
    <row r="4947" spans="17:25">
      <c r="Q4947" s="6">
        <v>4917</v>
      </c>
      <c r="R4947" s="7">
        <v>47584</v>
      </c>
      <c r="S4947" s="210">
        <v>4.5</v>
      </c>
      <c r="T4947" s="8">
        <v>1.0001249999999999</v>
      </c>
      <c r="U4947" s="98">
        <v>4.5616892547510224</v>
      </c>
      <c r="V4947" s="106">
        <v>40274.411190301944</v>
      </c>
      <c r="W4947" s="10">
        <v>1.2913635151065028</v>
      </c>
      <c r="X4947" s="420"/>
      <c r="Y4947" s="420"/>
    </row>
    <row r="4948" spans="17:25">
      <c r="Q4948" s="6">
        <v>4918</v>
      </c>
      <c r="R4948" s="7">
        <v>47585</v>
      </c>
      <c r="S4948" s="210">
        <v>4.5</v>
      </c>
      <c r="T4948" s="8">
        <v>1.0001249999999999</v>
      </c>
      <c r="U4948" s="98">
        <v>4.5617108370180626</v>
      </c>
      <c r="V4948" s="106">
        <v>40277.874941642163</v>
      </c>
      <c r="W4948" s="10">
        <v>1.2913923733870902</v>
      </c>
      <c r="X4948" s="420"/>
      <c r="Y4948" s="420"/>
    </row>
    <row r="4949" spans="17:25">
      <c r="Q4949" s="6">
        <v>4919</v>
      </c>
      <c r="R4949" s="7">
        <v>47586</v>
      </c>
      <c r="S4949" s="210">
        <v>4.5</v>
      </c>
      <c r="T4949" s="8">
        <v>1.0001249999999999</v>
      </c>
      <c r="U4949" s="98">
        <v>4.5617324105144963</v>
      </c>
      <c r="V4949" s="106">
        <v>40281.338990878074</v>
      </c>
      <c r="W4949" s="10">
        <v>1.2914212199425013</v>
      </c>
      <c r="X4949" s="420"/>
      <c r="Y4949" s="420"/>
    </row>
    <row r="4950" spans="17:25">
      <c r="Q4950" s="6">
        <v>4920</v>
      </c>
      <c r="R4950" s="7">
        <v>47587</v>
      </c>
      <c r="S4950" s="210">
        <v>4.5</v>
      </c>
      <c r="T4950" s="8">
        <v>1.0001249999999999</v>
      </c>
      <c r="U4950" s="98">
        <v>4.5617539752456748</v>
      </c>
      <c r="V4950" s="106">
        <v>40284.803338035286</v>
      </c>
      <c r="W4950" s="10">
        <v>1.2914500547798857</v>
      </c>
      <c r="X4950" s="420"/>
      <c r="Y4950" s="420"/>
    </row>
    <row r="4951" spans="17:25">
      <c r="Q4951" s="6">
        <v>4921</v>
      </c>
      <c r="R4951" s="7">
        <v>47588</v>
      </c>
      <c r="S4951" s="210">
        <v>4.5</v>
      </c>
      <c r="T4951" s="8">
        <v>1.0001249999999999</v>
      </c>
      <c r="U4951" s="98">
        <v>4.5617755312169272</v>
      </c>
      <c r="V4951" s="106">
        <v>40288.267983139427</v>
      </c>
      <c r="W4951" s="10">
        <v>1.2914788779063713</v>
      </c>
      <c r="X4951" s="420"/>
      <c r="Y4951" s="420"/>
    </row>
    <row r="4952" spans="17:25">
      <c r="Q4952" s="6">
        <v>4922</v>
      </c>
      <c r="R4952" s="7">
        <v>47589</v>
      </c>
      <c r="S4952" s="210">
        <v>4.5</v>
      </c>
      <c r="T4952" s="8">
        <v>1.0001249999999999</v>
      </c>
      <c r="U4952" s="98">
        <v>4.5617970784335826</v>
      </c>
      <c r="V4952" s="106">
        <v>40291.732926216129</v>
      </c>
      <c r="W4952" s="10">
        <v>1.2915076893291078</v>
      </c>
      <c r="X4952" s="420"/>
      <c r="Y4952" s="420"/>
    </row>
    <row r="4953" spans="17:25">
      <c r="Q4953" s="6">
        <v>4923</v>
      </c>
      <c r="R4953" s="7">
        <v>47590</v>
      </c>
      <c r="S4953" s="210">
        <v>4.5</v>
      </c>
      <c r="T4953" s="8">
        <v>1.0001249999999999</v>
      </c>
      <c r="U4953" s="98">
        <v>4.5618186169009922</v>
      </c>
      <c r="V4953" s="106">
        <v>40295.198167290997</v>
      </c>
      <c r="W4953" s="10">
        <v>1.2915364890552006</v>
      </c>
      <c r="X4953" s="420"/>
      <c r="Y4953" s="420"/>
    </row>
    <row r="4954" spans="17:25">
      <c r="Q4954" s="6">
        <v>4924</v>
      </c>
      <c r="R4954" s="7">
        <v>47591</v>
      </c>
      <c r="S4954" s="210">
        <v>4.5</v>
      </c>
      <c r="T4954" s="8">
        <v>1.0001249999999999</v>
      </c>
      <c r="U4954" s="98">
        <v>4.5618401466244629</v>
      </c>
      <c r="V4954" s="106">
        <v>40298.663706389685</v>
      </c>
      <c r="W4954" s="10">
        <v>1.2915652770917774</v>
      </c>
      <c r="X4954" s="420"/>
      <c r="Y4954" s="420"/>
    </row>
    <row r="4955" spans="17:25">
      <c r="Q4955" s="6">
        <v>4925</v>
      </c>
      <c r="R4955" s="7">
        <v>47592</v>
      </c>
      <c r="S4955" s="210">
        <v>4.5</v>
      </c>
      <c r="T4955" s="8">
        <v>1.0001249999999999</v>
      </c>
      <c r="U4955" s="98">
        <v>4.5618616676093238</v>
      </c>
      <c r="V4955" s="106">
        <v>40302.129543537805</v>
      </c>
      <c r="W4955" s="10">
        <v>1.2915940534459658</v>
      </c>
      <c r="X4955" s="420"/>
      <c r="Y4955" s="420"/>
    </row>
    <row r="4956" spans="17:25">
      <c r="Q4956" s="6">
        <v>4926</v>
      </c>
      <c r="R4956" s="7">
        <v>47593</v>
      </c>
      <c r="S4956" s="210">
        <v>4.5</v>
      </c>
      <c r="T4956" s="8">
        <v>1.0001249999999999</v>
      </c>
      <c r="U4956" s="98">
        <v>4.5618831798609039</v>
      </c>
      <c r="V4956" s="106">
        <v>40305.595678761005</v>
      </c>
      <c r="W4956" s="10">
        <v>1.291622818124849</v>
      </c>
      <c r="X4956" s="420"/>
      <c r="Y4956" s="420"/>
    </row>
    <row r="4957" spans="17:25">
      <c r="Q4957" s="6">
        <v>4927</v>
      </c>
      <c r="R4957" s="7">
        <v>47594</v>
      </c>
      <c r="S4957" s="210">
        <v>4.5</v>
      </c>
      <c r="T4957" s="8">
        <v>1.0001249999999999</v>
      </c>
      <c r="U4957" s="98">
        <v>4.5619046833845101</v>
      </c>
      <c r="V4957" s="106">
        <v>40309.06211208491</v>
      </c>
      <c r="W4957" s="10">
        <v>1.2916515711355547</v>
      </c>
      <c r="X4957" s="420"/>
      <c r="Y4957" s="420"/>
    </row>
    <row r="4958" spans="17:25">
      <c r="Q4958" s="6">
        <v>4928</v>
      </c>
      <c r="R4958" s="7">
        <v>47595</v>
      </c>
      <c r="S4958" s="210">
        <v>4.5</v>
      </c>
      <c r="T4958" s="8">
        <v>1.0001249999999999</v>
      </c>
      <c r="U4958" s="98">
        <v>4.5619261781854714</v>
      </c>
      <c r="V4958" s="106">
        <v>40312.528843535169</v>
      </c>
      <c r="W4958" s="10">
        <v>1.2916803124851883</v>
      </c>
      <c r="X4958" s="420"/>
      <c r="Y4958" s="420"/>
    </row>
    <row r="4959" spans="17:25">
      <c r="Q4959" s="6">
        <v>4929</v>
      </c>
      <c r="R4959" s="7">
        <v>47596</v>
      </c>
      <c r="S4959" s="210">
        <v>4.5</v>
      </c>
      <c r="T4959" s="8">
        <v>1.0001249999999999</v>
      </c>
      <c r="U4959" s="98">
        <v>4.5619476642690726</v>
      </c>
      <c r="V4959" s="106">
        <v>40315.995873137406</v>
      </c>
      <c r="W4959" s="10">
        <v>1.291709042180833</v>
      </c>
      <c r="X4959" s="420"/>
      <c r="Y4959" s="420"/>
    </row>
    <row r="4960" spans="17:25">
      <c r="Q4960" s="6">
        <v>4930</v>
      </c>
      <c r="R4960" s="7">
        <v>47597</v>
      </c>
      <c r="S4960" s="210">
        <v>4.5</v>
      </c>
      <c r="T4960" s="8">
        <v>1.0001249999999999</v>
      </c>
      <c r="U4960" s="98">
        <v>4.5619691416406205</v>
      </c>
      <c r="V4960" s="106">
        <v>40319.463200917271</v>
      </c>
      <c r="W4960" s="10">
        <v>1.2917377602295721</v>
      </c>
      <c r="X4960" s="420"/>
      <c r="Y4960" s="420"/>
    </row>
    <row r="4961" spans="17:25">
      <c r="Q4961" s="6">
        <v>4931</v>
      </c>
      <c r="R4961" s="7">
        <v>47598</v>
      </c>
      <c r="S4961" s="210">
        <v>4.5</v>
      </c>
      <c r="T4961" s="8">
        <v>1.0001249999999999</v>
      </c>
      <c r="U4961" s="98">
        <v>4.561990610305422</v>
      </c>
      <c r="V4961" s="106">
        <v>40322.93082690041</v>
      </c>
      <c r="W4961" s="10">
        <v>1.2917664666384887</v>
      </c>
      <c r="X4961" s="420"/>
      <c r="Y4961" s="420"/>
    </row>
    <row r="4962" spans="17:25">
      <c r="Q4962" s="6">
        <v>4932</v>
      </c>
      <c r="R4962" s="7">
        <v>47599</v>
      </c>
      <c r="S4962" s="210">
        <v>4.5</v>
      </c>
      <c r="T4962" s="8">
        <v>1.0001249999999999</v>
      </c>
      <c r="U4962" s="98">
        <v>4.5620120702687617</v>
      </c>
      <c r="V4962" s="106">
        <v>40326.398751112472</v>
      </c>
      <c r="W4962" s="10">
        <v>1.2917951614146439</v>
      </c>
      <c r="X4962" s="420"/>
      <c r="Y4962" s="420"/>
    </row>
    <row r="4963" spans="17:25">
      <c r="Q4963" s="6">
        <v>4933</v>
      </c>
      <c r="R4963" s="7">
        <v>47600</v>
      </c>
      <c r="S4963" s="210">
        <v>4.5</v>
      </c>
      <c r="T4963" s="8">
        <v>1.0001249999999999</v>
      </c>
      <c r="U4963" s="98">
        <v>4.5620335215359242</v>
      </c>
      <c r="V4963" s="106">
        <v>40329.866973579112</v>
      </c>
      <c r="W4963" s="10">
        <v>1.2918238445651209</v>
      </c>
      <c r="X4963" s="420"/>
      <c r="Y4963" s="420"/>
    </row>
    <row r="4964" spans="17:25">
      <c r="Q4964" s="6">
        <v>4934</v>
      </c>
      <c r="R4964" s="7">
        <v>47601</v>
      </c>
      <c r="S4964" s="210">
        <v>4.5</v>
      </c>
      <c r="T4964" s="8">
        <v>1.0001249999999999</v>
      </c>
      <c r="U4964" s="98">
        <v>4.5620549641121944</v>
      </c>
      <c r="V4964" s="106">
        <v>40333.335494325955</v>
      </c>
      <c r="W4964" s="10">
        <v>1.2918525160969807</v>
      </c>
      <c r="X4964" s="420"/>
      <c r="Y4964" s="420"/>
    </row>
    <row r="4965" spans="17:25">
      <c r="Q4965" s="6">
        <v>4935</v>
      </c>
      <c r="R4965" s="7">
        <v>47602</v>
      </c>
      <c r="S4965" s="210">
        <v>4.5</v>
      </c>
      <c r="T4965" s="8">
        <v>1.0001249999999999</v>
      </c>
      <c r="U4965" s="98">
        <v>4.5620763980028567</v>
      </c>
      <c r="V4965" s="106">
        <v>40336.804313378678</v>
      </c>
      <c r="W4965" s="10">
        <v>1.2918811760172844</v>
      </c>
      <c r="X4965" s="420"/>
      <c r="Y4965" s="420"/>
    </row>
    <row r="4966" spans="17:25">
      <c r="Q4966" s="6">
        <v>4936</v>
      </c>
      <c r="R4966" s="7">
        <v>47603</v>
      </c>
      <c r="S4966" s="210">
        <v>4.5</v>
      </c>
      <c r="T4966" s="8">
        <v>1.0001249999999999</v>
      </c>
      <c r="U4966" s="98">
        <v>4.5620978232131959</v>
      </c>
      <c r="V4966" s="106">
        <v>40340.273430762936</v>
      </c>
      <c r="W4966" s="10">
        <v>1.2919098243330929</v>
      </c>
      <c r="X4966" s="420"/>
      <c r="Y4966" s="420"/>
    </row>
    <row r="4967" spans="17:25">
      <c r="Q4967" s="6">
        <v>4937</v>
      </c>
      <c r="R4967" s="7">
        <v>47604</v>
      </c>
      <c r="S4967" s="210">
        <v>4.5</v>
      </c>
      <c r="T4967" s="8">
        <v>1.0001249999999999</v>
      </c>
      <c r="U4967" s="98">
        <v>4.5621192397484744</v>
      </c>
      <c r="V4967" s="106">
        <v>40343.742846504363</v>
      </c>
      <c r="W4967" s="10">
        <v>1.2919384610514228</v>
      </c>
      <c r="X4967" s="420"/>
      <c r="Y4967" s="420"/>
    </row>
    <row r="4968" spans="17:25">
      <c r="Q4968" s="6">
        <v>4938</v>
      </c>
      <c r="R4968" s="7">
        <v>47605</v>
      </c>
      <c r="S4968" s="210">
        <v>4.5</v>
      </c>
      <c r="T4968" s="8">
        <v>1.0001249999999999</v>
      </c>
      <c r="U4968" s="98">
        <v>4.562140647613977</v>
      </c>
      <c r="V4968" s="106">
        <v>40347.21256062865</v>
      </c>
      <c r="W4968" s="10">
        <v>1.2919670861793575</v>
      </c>
      <c r="X4968" s="420"/>
      <c r="Y4968" s="420"/>
    </row>
    <row r="4969" spans="17:25">
      <c r="Q4969" s="6">
        <v>4939</v>
      </c>
      <c r="R4969" s="7">
        <v>47606</v>
      </c>
      <c r="S4969" s="210">
        <v>4.5</v>
      </c>
      <c r="T4969" s="8">
        <v>1.0001249999999999</v>
      </c>
      <c r="U4969" s="98">
        <v>4.5621620468149437</v>
      </c>
      <c r="V4969" s="106">
        <v>40350.682573161444</v>
      </c>
      <c r="W4969" s="10">
        <v>1.2919956997239135</v>
      </c>
      <c r="X4969" s="420"/>
      <c r="Y4969" s="420"/>
    </row>
    <row r="4970" spans="17:25">
      <c r="Q4970" s="6">
        <v>4940</v>
      </c>
      <c r="R4970" s="7">
        <v>47607</v>
      </c>
      <c r="S4970" s="210">
        <v>4.5</v>
      </c>
      <c r="T4970" s="8">
        <v>1.0001249999999999</v>
      </c>
      <c r="U4970" s="98">
        <v>4.5621834373566372</v>
      </c>
      <c r="V4970" s="106">
        <v>40354.152884128402</v>
      </c>
      <c r="W4970" s="10">
        <v>1.2920243016920852</v>
      </c>
      <c r="X4970" s="420"/>
      <c r="Y4970" s="420"/>
    </row>
    <row r="4971" spans="17:25">
      <c r="Q4971" s="6">
        <v>4941</v>
      </c>
      <c r="R4971" s="7">
        <v>47608</v>
      </c>
      <c r="S4971" s="210">
        <v>4.5</v>
      </c>
      <c r="T4971" s="8">
        <v>1.0001249999999999</v>
      </c>
      <c r="U4971" s="98">
        <v>4.5622048192443199</v>
      </c>
      <c r="V4971" s="106">
        <v>40357.623493555206</v>
      </c>
      <c r="W4971" s="10">
        <v>1.2920528920909558</v>
      </c>
      <c r="X4971" s="420"/>
      <c r="Y4971" s="420"/>
    </row>
    <row r="4972" spans="17:25">
      <c r="Q4972" s="6">
        <v>4942</v>
      </c>
      <c r="R4972" s="7">
        <v>47609</v>
      </c>
      <c r="S4972" s="210">
        <v>4.5</v>
      </c>
      <c r="T4972" s="8">
        <v>1.0001249999999999</v>
      </c>
      <c r="U4972" s="98">
        <v>4.5622261924832541</v>
      </c>
      <c r="V4972" s="106">
        <v>40361.094401467511</v>
      </c>
      <c r="W4972" s="10">
        <v>1.2920814709275197</v>
      </c>
      <c r="X4972" s="420"/>
      <c r="Y4972" s="420"/>
    </row>
    <row r="4973" spans="17:25">
      <c r="Q4973" s="6">
        <v>4943</v>
      </c>
      <c r="R4973" s="7">
        <v>47610</v>
      </c>
      <c r="S4973" s="210">
        <v>4.5</v>
      </c>
      <c r="T4973" s="8">
        <v>1.0001249999999999</v>
      </c>
      <c r="U4973" s="98">
        <v>4.562247557078658</v>
      </c>
      <c r="V4973" s="106">
        <v>40364.565607891003</v>
      </c>
      <c r="W4973" s="10">
        <v>1.2921100382087491</v>
      </c>
      <c r="X4973" s="420"/>
      <c r="Y4973" s="420"/>
    </row>
    <row r="4974" spans="17:25">
      <c r="Q4974" s="6">
        <v>4944</v>
      </c>
      <c r="R4974" s="7">
        <v>47611</v>
      </c>
      <c r="S4974" s="210">
        <v>4.5</v>
      </c>
      <c r="T4974" s="8">
        <v>1.0001249999999999</v>
      </c>
      <c r="U4974" s="98">
        <v>4.5622689130357941</v>
      </c>
      <c r="V4974" s="106">
        <v>40368.037112851343</v>
      </c>
      <c r="W4974" s="10">
        <v>1.2921385939417052</v>
      </c>
      <c r="X4974" s="420"/>
      <c r="Y4974" s="420"/>
    </row>
    <row r="4975" spans="17:25">
      <c r="Q4975" s="6">
        <v>4945</v>
      </c>
      <c r="R4975" s="7">
        <v>47612</v>
      </c>
      <c r="S4975" s="210">
        <v>4.5</v>
      </c>
      <c r="T4975" s="8">
        <v>1.0001249999999999</v>
      </c>
      <c r="U4975" s="98">
        <v>4.5622902603599025</v>
      </c>
      <c r="V4975" s="106">
        <v>40371.508916374201</v>
      </c>
      <c r="W4975" s="10">
        <v>1.2921671381333821</v>
      </c>
      <c r="X4975" s="420"/>
      <c r="Y4975" s="420"/>
    </row>
    <row r="4976" spans="17:25">
      <c r="Q4976" s="6">
        <v>4946</v>
      </c>
      <c r="R4976" s="7">
        <v>47613</v>
      </c>
      <c r="S4976" s="210">
        <v>4.5</v>
      </c>
      <c r="T4976" s="8">
        <v>1.0001249999999999</v>
      </c>
      <c r="U4976" s="98">
        <v>4.5623115990562013</v>
      </c>
      <c r="V4976" s="106">
        <v>40374.981018485269</v>
      </c>
      <c r="W4976" s="10">
        <v>1.2921956707907745</v>
      </c>
      <c r="X4976" s="420"/>
      <c r="Y4976" s="420"/>
    </row>
    <row r="4977" spans="17:25">
      <c r="Q4977" s="6">
        <v>4947</v>
      </c>
      <c r="R4977" s="7">
        <v>47614</v>
      </c>
      <c r="S4977" s="210">
        <v>4.5</v>
      </c>
      <c r="T4977" s="8">
        <v>1.0001249999999999</v>
      </c>
      <c r="U4977" s="98">
        <v>4.5623329291299308</v>
      </c>
      <c r="V4977" s="106">
        <v>40378.453419210222</v>
      </c>
      <c r="W4977" s="10">
        <v>1.2922241919208322</v>
      </c>
      <c r="X4977" s="420"/>
      <c r="Y4977" s="420"/>
    </row>
    <row r="4978" spans="17:25">
      <c r="Q4978" s="6">
        <v>4948</v>
      </c>
      <c r="R4978" s="7">
        <v>47615</v>
      </c>
      <c r="S4978" s="210">
        <v>4.5</v>
      </c>
      <c r="T4978" s="8">
        <v>1.0001249999999999</v>
      </c>
      <c r="U4978" s="98">
        <v>4.5623542505863091</v>
      </c>
      <c r="V4978" s="106">
        <v>40381.926118574738</v>
      </c>
      <c r="W4978" s="10">
        <v>1.2922527015305718</v>
      </c>
      <c r="X4978" s="420"/>
      <c r="Y4978" s="420"/>
    </row>
    <row r="4979" spans="17:25">
      <c r="Q4979" s="6">
        <v>4949</v>
      </c>
      <c r="R4979" s="7">
        <v>47616</v>
      </c>
      <c r="S4979" s="210">
        <v>4.5</v>
      </c>
      <c r="T4979" s="8">
        <v>1.0001249999999999</v>
      </c>
      <c r="U4979" s="98">
        <v>4.5623755634305541</v>
      </c>
      <c r="V4979" s="106">
        <v>40385.399116604509</v>
      </c>
      <c r="W4979" s="10">
        <v>1.2922811996269656</v>
      </c>
      <c r="X4979" s="420"/>
      <c r="Y4979" s="420"/>
    </row>
    <row r="4980" spans="17:25">
      <c r="Q4980" s="6">
        <v>4950</v>
      </c>
      <c r="R4980" s="7">
        <v>47617</v>
      </c>
      <c r="S4980" s="210">
        <v>4.5</v>
      </c>
      <c r="T4980" s="8">
        <v>1.0001249999999999</v>
      </c>
      <c r="U4980" s="98">
        <v>4.5623968676679061</v>
      </c>
      <c r="V4980" s="106">
        <v>40388.872413325211</v>
      </c>
      <c r="W4980" s="10">
        <v>1.292309686217008</v>
      </c>
      <c r="X4980" s="420"/>
      <c r="Y4980" s="420"/>
    </row>
    <row r="4981" spans="17:25">
      <c r="Q4981" s="6">
        <v>4951</v>
      </c>
      <c r="R4981" s="7">
        <v>47618</v>
      </c>
      <c r="S4981" s="210">
        <v>4.5</v>
      </c>
      <c r="T4981" s="8">
        <v>1.0001249999999999</v>
      </c>
      <c r="U4981" s="98">
        <v>4.562418163303561</v>
      </c>
      <c r="V4981" s="106">
        <v>40392.34600876255</v>
      </c>
      <c r="W4981" s="10">
        <v>1.292338161307649</v>
      </c>
      <c r="X4981" s="420"/>
      <c r="Y4981" s="420"/>
    </row>
    <row r="4982" spans="17:25">
      <c r="Q4982" s="6">
        <v>4952</v>
      </c>
      <c r="R4982" s="7">
        <v>47619</v>
      </c>
      <c r="S4982" s="210">
        <v>4.5</v>
      </c>
      <c r="T4982" s="8">
        <v>1.0001249999999999</v>
      </c>
      <c r="U4982" s="98">
        <v>4.5624394503427146</v>
      </c>
      <c r="V4982" s="106">
        <v>40395.819902942188</v>
      </c>
      <c r="W4982" s="10">
        <v>1.2923666249058385</v>
      </c>
      <c r="X4982" s="420"/>
      <c r="Y4982" s="420"/>
    </row>
    <row r="4983" spans="17:25">
      <c r="Q4983" s="6">
        <v>4953</v>
      </c>
      <c r="R4983" s="7">
        <v>47620</v>
      </c>
      <c r="S4983" s="210">
        <v>4.5</v>
      </c>
      <c r="T4983" s="8">
        <v>1.0001249999999999</v>
      </c>
      <c r="U4983" s="98">
        <v>4.562460728790585</v>
      </c>
      <c r="V4983" s="106">
        <v>40399.294095889833</v>
      </c>
      <c r="W4983" s="10">
        <v>1.2923950770185266</v>
      </c>
      <c r="X4983" s="420"/>
      <c r="Y4983" s="420"/>
    </row>
    <row r="4984" spans="17:25">
      <c r="Q4984" s="6">
        <v>4954</v>
      </c>
      <c r="R4984" s="7">
        <v>47621</v>
      </c>
      <c r="S4984" s="210">
        <v>4.5</v>
      </c>
      <c r="T4984" s="8">
        <v>1.0001249999999999</v>
      </c>
      <c r="U4984" s="98">
        <v>4.5624819986523901</v>
      </c>
      <c r="V4984" s="106">
        <v>40402.768587631195</v>
      </c>
      <c r="W4984" s="10">
        <v>1.2924235176527299</v>
      </c>
      <c r="X4984" s="420"/>
      <c r="Y4984" s="420"/>
    </row>
    <row r="4985" spans="17:25">
      <c r="Q4985" s="6">
        <v>4955</v>
      </c>
      <c r="R4985" s="7">
        <v>47622</v>
      </c>
      <c r="S4985" s="210">
        <v>4.5</v>
      </c>
      <c r="T4985" s="8">
        <v>1.0001249999999999</v>
      </c>
      <c r="U4985" s="98">
        <v>4.5625032599333037</v>
      </c>
      <c r="V4985" s="106">
        <v>40406.243378191954</v>
      </c>
      <c r="W4985" s="10">
        <v>1.2924519468153095</v>
      </c>
      <c r="X4985" s="420"/>
      <c r="Y4985" s="420"/>
    </row>
    <row r="4986" spans="17:25">
      <c r="Q4986" s="6">
        <v>4956</v>
      </c>
      <c r="R4986" s="7">
        <v>47623</v>
      </c>
      <c r="S4986" s="210">
        <v>4.5</v>
      </c>
      <c r="T4986" s="8">
        <v>1.0001249999999999</v>
      </c>
      <c r="U4986" s="98">
        <v>4.5625245126385217</v>
      </c>
      <c r="V4986" s="106">
        <v>40409.718467597806</v>
      </c>
      <c r="W4986" s="10">
        <v>1.2924803645132599</v>
      </c>
      <c r="X4986" s="420"/>
      <c r="Y4986" s="420"/>
    </row>
    <row r="4987" spans="17:25">
      <c r="Q4987" s="6">
        <v>4957</v>
      </c>
      <c r="R4987" s="7">
        <v>47624</v>
      </c>
      <c r="S4987" s="210">
        <v>4.5</v>
      </c>
      <c r="T4987" s="8">
        <v>1.0001249999999999</v>
      </c>
      <c r="U4987" s="98">
        <v>4.5625457567732175</v>
      </c>
      <c r="V4987" s="106">
        <v>40413.193855874466</v>
      </c>
      <c r="W4987" s="10">
        <v>1.2925087707534644</v>
      </c>
      <c r="X4987" s="420"/>
      <c r="Y4987" s="420"/>
    </row>
    <row r="4988" spans="17:25">
      <c r="Q4988" s="6">
        <v>4958</v>
      </c>
      <c r="R4988" s="7">
        <v>47625</v>
      </c>
      <c r="S4988" s="210">
        <v>4.5</v>
      </c>
      <c r="T4988" s="8">
        <v>1.0001249999999999</v>
      </c>
      <c r="U4988" s="98">
        <v>4.5625669923425871</v>
      </c>
      <c r="V4988" s="106">
        <v>40416.669543047639</v>
      </c>
      <c r="W4988" s="10">
        <v>1.292537165542873</v>
      </c>
      <c r="X4988" s="420"/>
      <c r="Y4988" s="420"/>
    </row>
    <row r="4989" spans="17:25">
      <c r="Q4989" s="6">
        <v>4959</v>
      </c>
      <c r="R4989" s="7">
        <v>47626</v>
      </c>
      <c r="S4989" s="210">
        <v>4.5</v>
      </c>
      <c r="T4989" s="8">
        <v>1.0001249999999999</v>
      </c>
      <c r="U4989" s="98">
        <v>4.5625882193518263</v>
      </c>
      <c r="V4989" s="106">
        <v>40420.145529143017</v>
      </c>
      <c r="W4989" s="10">
        <v>1.292565548888458</v>
      </c>
      <c r="X4989" s="420"/>
      <c r="Y4989" s="420"/>
    </row>
    <row r="4990" spans="17:25">
      <c r="Q4990" s="6">
        <v>4960</v>
      </c>
      <c r="R4990" s="7">
        <v>47627</v>
      </c>
      <c r="S4990" s="210">
        <v>4.5</v>
      </c>
      <c r="T4990" s="8">
        <v>1.0001249999999999</v>
      </c>
      <c r="U4990" s="98">
        <v>4.5626094378060866</v>
      </c>
      <c r="V4990" s="106">
        <v>40423.621814186314</v>
      </c>
      <c r="W4990" s="10">
        <v>1.2925939207970805</v>
      </c>
      <c r="X4990" s="420"/>
      <c r="Y4990" s="420"/>
    </row>
    <row r="4991" spans="17:25">
      <c r="Q4991" s="6">
        <v>4961</v>
      </c>
      <c r="R4991" s="7">
        <v>47628</v>
      </c>
      <c r="S4991" s="210">
        <v>4.5</v>
      </c>
      <c r="T4991" s="8">
        <v>1.0001249999999999</v>
      </c>
      <c r="U4991" s="98">
        <v>4.5626306477105416</v>
      </c>
      <c r="V4991" s="106">
        <v>40427.098398203241</v>
      </c>
      <c r="W4991" s="10">
        <v>1.292622281275646</v>
      </c>
      <c r="X4991" s="420"/>
      <c r="Y4991" s="420"/>
    </row>
    <row r="4992" spans="17:25">
      <c r="Q4992" s="6">
        <v>4962</v>
      </c>
      <c r="R4992" s="7">
        <v>47629</v>
      </c>
      <c r="S4992" s="210">
        <v>4.5</v>
      </c>
      <c r="T4992" s="8">
        <v>1.0001249999999999</v>
      </c>
      <c r="U4992" s="98">
        <v>4.5626518490703649</v>
      </c>
      <c r="V4992" s="106">
        <v>40430.575281219521</v>
      </c>
      <c r="W4992" s="10">
        <v>1.2926506303310825</v>
      </c>
      <c r="X4992" s="420"/>
      <c r="Y4992" s="420"/>
    </row>
    <row r="4993" spans="17:25">
      <c r="Q4993" s="6">
        <v>4963</v>
      </c>
      <c r="R4993" s="7">
        <v>47630</v>
      </c>
      <c r="S4993" s="210">
        <v>4.5</v>
      </c>
      <c r="T4993" s="8">
        <v>1.0001249999999999</v>
      </c>
      <c r="U4993" s="98">
        <v>4.5626730418907302</v>
      </c>
      <c r="V4993" s="106">
        <v>40434.052463260858</v>
      </c>
      <c r="W4993" s="10">
        <v>1.2926789679703177</v>
      </c>
      <c r="X4993" s="420"/>
      <c r="Y4993" s="420"/>
    </row>
    <row r="4994" spans="17:25">
      <c r="Q4994" s="6">
        <v>4964</v>
      </c>
      <c r="R4994" s="7">
        <v>47631</v>
      </c>
      <c r="S4994" s="210">
        <v>4.5</v>
      </c>
      <c r="T4994" s="8">
        <v>1.0001249999999999</v>
      </c>
      <c r="U4994" s="98">
        <v>4.5626942261767667</v>
      </c>
      <c r="V4994" s="106">
        <v>40437.529944352966</v>
      </c>
      <c r="W4994" s="10">
        <v>1.2927072942001905</v>
      </c>
      <c r="X4994" s="420"/>
      <c r="Y4994" s="420"/>
    </row>
    <row r="4995" spans="17:25">
      <c r="Q4995" s="6">
        <v>4965</v>
      </c>
      <c r="R4995" s="7">
        <v>47632</v>
      </c>
      <c r="S4995" s="210">
        <v>4.5</v>
      </c>
      <c r="T4995" s="8">
        <v>1.0001249999999999</v>
      </c>
      <c r="U4995" s="98">
        <v>4.562715401933648</v>
      </c>
      <c r="V4995" s="106">
        <v>40441.00772452158</v>
      </c>
      <c r="W4995" s="10">
        <v>1.2927356090276065</v>
      </c>
      <c r="X4995" s="420"/>
      <c r="Y4995" s="420"/>
    </row>
    <row r="4996" spans="17:25">
      <c r="Q4996" s="6">
        <v>4966</v>
      </c>
      <c r="R4996" s="7">
        <v>47633</v>
      </c>
      <c r="S4996" s="210">
        <v>4.5</v>
      </c>
      <c r="T4996" s="8">
        <v>1.0001249999999999</v>
      </c>
      <c r="U4996" s="98">
        <v>4.5627365691665256</v>
      </c>
      <c r="V4996" s="106">
        <v>40444.485803792406</v>
      </c>
      <c r="W4996" s="10">
        <v>1.2927639124594936</v>
      </c>
      <c r="X4996" s="420"/>
      <c r="Y4996" s="420"/>
    </row>
    <row r="4997" spans="17:25">
      <c r="Q4997" s="6">
        <v>4967</v>
      </c>
      <c r="R4997" s="7">
        <v>47634</v>
      </c>
      <c r="S4997" s="210">
        <v>4.5</v>
      </c>
      <c r="T4997" s="8">
        <v>1.0001249999999999</v>
      </c>
      <c r="U4997" s="98">
        <v>4.5627577278805287</v>
      </c>
      <c r="V4997" s="106">
        <v>40447.964182191172</v>
      </c>
      <c r="W4997" s="10">
        <v>1.2927922045026685</v>
      </c>
      <c r="X4997" s="420"/>
      <c r="Y4997" s="420"/>
    </row>
    <row r="4998" spans="17:25">
      <c r="Q4998" s="6">
        <v>4968</v>
      </c>
      <c r="R4998" s="7">
        <v>47635</v>
      </c>
      <c r="S4998" s="210">
        <v>4.5</v>
      </c>
      <c r="T4998" s="8">
        <v>1.0001249999999999</v>
      </c>
      <c r="U4998" s="98">
        <v>4.5627788780808087</v>
      </c>
      <c r="V4998" s="106">
        <v>40451.442859743605</v>
      </c>
      <c r="W4998" s="10">
        <v>1.2928204851640146</v>
      </c>
      <c r="X4998" s="420"/>
      <c r="Y4998" s="420"/>
    </row>
    <row r="4999" spans="17:25">
      <c r="Q4999" s="6">
        <v>4969</v>
      </c>
      <c r="R4999" s="7">
        <v>47636</v>
      </c>
      <c r="S4999" s="210">
        <v>4.5</v>
      </c>
      <c r="T4999" s="8">
        <v>1.0001249999999999</v>
      </c>
      <c r="U4999" s="98">
        <v>4.5628000197725171</v>
      </c>
      <c r="V4999" s="106">
        <v>40454.921836475442</v>
      </c>
      <c r="W4999" s="10">
        <v>1.2928487544504375</v>
      </c>
      <c r="X4999" s="420"/>
      <c r="Y4999" s="420"/>
    </row>
    <row r="5000" spans="17:25">
      <c r="Q5000" s="6">
        <v>4970</v>
      </c>
      <c r="R5000" s="7">
        <v>47637</v>
      </c>
      <c r="S5000" s="210">
        <v>4.5</v>
      </c>
      <c r="T5000" s="8">
        <v>1.0001249999999999</v>
      </c>
      <c r="U5000" s="98">
        <v>4.562821152960761</v>
      </c>
      <c r="V5000" s="106">
        <v>40458.401112412408</v>
      </c>
      <c r="W5000" s="10">
        <v>1.2928770123687539</v>
      </c>
      <c r="X5000" s="420"/>
      <c r="Y5000" s="420"/>
    </row>
    <row r="5001" spans="17:25">
      <c r="Q5001" s="6">
        <v>4971</v>
      </c>
      <c r="R5001" s="7">
        <v>47638</v>
      </c>
      <c r="S5001" s="210">
        <v>4.5</v>
      </c>
      <c r="T5001" s="8">
        <v>1.0001249999999999</v>
      </c>
      <c r="U5001" s="98">
        <v>4.5628422776506916</v>
      </c>
      <c r="V5001" s="106">
        <v>40461.880687580226</v>
      </c>
      <c r="W5001" s="10">
        <v>1.2929052589258694</v>
      </c>
      <c r="X5001" s="420"/>
      <c r="Y5001" s="420"/>
    </row>
    <row r="5002" spans="17:25">
      <c r="Q5002" s="6">
        <v>4972</v>
      </c>
      <c r="R5002" s="7">
        <v>47639</v>
      </c>
      <c r="S5002" s="210">
        <v>4.5</v>
      </c>
      <c r="T5002" s="8">
        <v>1.0001249999999999</v>
      </c>
      <c r="U5002" s="98">
        <v>4.5628633938474161</v>
      </c>
      <c r="V5002" s="106">
        <v>40465.360562004636</v>
      </c>
      <c r="W5002" s="10">
        <v>1.2929334941285786</v>
      </c>
      <c r="X5002" s="420"/>
      <c r="Y5002" s="420"/>
    </row>
    <row r="5003" spans="17:25">
      <c r="Q5003" s="6">
        <v>4973</v>
      </c>
      <c r="R5003" s="7">
        <v>47640</v>
      </c>
      <c r="S5003" s="210">
        <v>4.5</v>
      </c>
      <c r="T5003" s="8">
        <v>1.0001249999999999</v>
      </c>
      <c r="U5003" s="98">
        <v>4.5628845015560859</v>
      </c>
      <c r="V5003" s="106">
        <v>40468.840735711383</v>
      </c>
      <c r="W5003" s="10">
        <v>1.2929617179837871</v>
      </c>
      <c r="X5003" s="420"/>
      <c r="Y5003" s="420"/>
    </row>
    <row r="5004" spans="17:25">
      <c r="Q5004" s="6">
        <v>4974</v>
      </c>
      <c r="R5004" s="7">
        <v>47641</v>
      </c>
      <c r="S5004" s="210">
        <v>4.5</v>
      </c>
      <c r="T5004" s="8">
        <v>1.0001249999999999</v>
      </c>
      <c r="U5004" s="98">
        <v>4.5629056007817859</v>
      </c>
      <c r="V5004" s="106">
        <v>40472.321208726207</v>
      </c>
      <c r="W5004" s="10">
        <v>1.2929899304982673</v>
      </c>
      <c r="X5004" s="420"/>
      <c r="Y5004" s="420"/>
    </row>
    <row r="5005" spans="17:25">
      <c r="Q5005" s="6">
        <v>4975</v>
      </c>
      <c r="R5005" s="7">
        <v>47642</v>
      </c>
      <c r="S5005" s="210">
        <v>4.5</v>
      </c>
      <c r="T5005" s="8">
        <v>1.0001249999999999</v>
      </c>
      <c r="U5005" s="98">
        <v>4.5629266915296451</v>
      </c>
      <c r="V5005" s="106">
        <v>40475.801981074837</v>
      </c>
      <c r="W5005" s="10">
        <v>1.2930181316789024</v>
      </c>
      <c r="X5005" s="420"/>
      <c r="Y5005" s="420"/>
    </row>
    <row r="5006" spans="17:25">
      <c r="Q5006" s="6">
        <v>4976</v>
      </c>
      <c r="R5006" s="7">
        <v>47643</v>
      </c>
      <c r="S5006" s="210">
        <v>4.5</v>
      </c>
      <c r="T5006" s="8">
        <v>1.0001249999999999</v>
      </c>
      <c r="U5006" s="98">
        <v>4.5629477738047708</v>
      </c>
      <c r="V5006" s="106">
        <v>40479.28305278303</v>
      </c>
      <c r="W5006" s="10">
        <v>1.2930463215325094</v>
      </c>
      <c r="X5006" s="420"/>
      <c r="Y5006" s="420"/>
    </row>
    <row r="5007" spans="17:25">
      <c r="Q5007" s="6">
        <v>4977</v>
      </c>
      <c r="R5007" s="7">
        <v>47644</v>
      </c>
      <c r="S5007" s="210">
        <v>4.5</v>
      </c>
      <c r="T5007" s="8">
        <v>1.0001249999999999</v>
      </c>
      <c r="U5007" s="98">
        <v>4.5629688476122476</v>
      </c>
      <c r="V5007" s="106">
        <v>40482.764423876521</v>
      </c>
      <c r="W5007" s="10">
        <v>1.293074500065905</v>
      </c>
      <c r="X5007" s="420"/>
      <c r="Y5007" s="420"/>
    </row>
    <row r="5008" spans="17:25">
      <c r="Q5008" s="6">
        <v>4978</v>
      </c>
      <c r="R5008" s="7">
        <v>47645</v>
      </c>
      <c r="S5008" s="210">
        <v>4.5</v>
      </c>
      <c r="T5008" s="8">
        <v>1.0001249999999999</v>
      </c>
      <c r="U5008" s="98">
        <v>4.5629899129572049</v>
      </c>
      <c r="V5008" s="106">
        <v>40486.246094381058</v>
      </c>
      <c r="W5008" s="10">
        <v>1.2931026672859058</v>
      </c>
      <c r="X5008" s="420"/>
      <c r="Y5008" s="420"/>
    </row>
    <row r="5009" spans="17:25">
      <c r="Q5009" s="6">
        <v>4979</v>
      </c>
      <c r="R5009" s="7">
        <v>47646</v>
      </c>
      <c r="S5009" s="210">
        <v>4.5</v>
      </c>
      <c r="T5009" s="8">
        <v>1.0001249999999999</v>
      </c>
      <c r="U5009" s="98">
        <v>4.5630109698447274</v>
      </c>
      <c r="V5009" s="106">
        <v>40489.728064322408</v>
      </c>
      <c r="W5009" s="10">
        <v>1.2931308231993288</v>
      </c>
      <c r="X5009" s="420"/>
      <c r="Y5009" s="420"/>
    </row>
    <row r="5010" spans="17:25">
      <c r="Q5010" s="6">
        <v>4980</v>
      </c>
      <c r="R5010" s="7">
        <v>47647</v>
      </c>
      <c r="S5010" s="210">
        <v>4.5</v>
      </c>
      <c r="T5010" s="8">
        <v>1.0001249999999999</v>
      </c>
      <c r="U5010" s="98">
        <v>4.5630320182799</v>
      </c>
      <c r="V5010" s="106">
        <v>40493.210333726303</v>
      </c>
      <c r="W5010" s="10">
        <v>1.2931589678129685</v>
      </c>
      <c r="X5010" s="420"/>
      <c r="Y5010" s="420"/>
    </row>
    <row r="5011" spans="17:25">
      <c r="Q5011" s="6">
        <v>4981</v>
      </c>
      <c r="R5011" s="7">
        <v>47648</v>
      </c>
      <c r="S5011" s="210">
        <v>4.5</v>
      </c>
      <c r="T5011" s="8">
        <v>1.0001249999999999</v>
      </c>
      <c r="U5011" s="98">
        <v>4.5630530582678075</v>
      </c>
      <c r="V5011" s="106">
        <v>40496.692902618517</v>
      </c>
      <c r="W5011" s="10">
        <v>1.2931871011336193</v>
      </c>
      <c r="X5011" s="420"/>
      <c r="Y5011" s="420"/>
    </row>
    <row r="5012" spans="17:25">
      <c r="Q5012" s="6">
        <v>4982</v>
      </c>
      <c r="R5012" s="7">
        <v>47649</v>
      </c>
      <c r="S5012" s="210">
        <v>4.5</v>
      </c>
      <c r="T5012" s="8">
        <v>1.0001249999999999</v>
      </c>
      <c r="U5012" s="98">
        <v>4.5630740898135569</v>
      </c>
      <c r="V5012" s="106">
        <v>40500.175771024791</v>
      </c>
      <c r="W5012" s="10">
        <v>1.2932152231681204</v>
      </c>
      <c r="X5012" s="420"/>
      <c r="Y5012" s="420"/>
    </row>
    <row r="5013" spans="17:25">
      <c r="Q5013" s="6">
        <v>4983</v>
      </c>
      <c r="R5013" s="7">
        <v>47650</v>
      </c>
      <c r="S5013" s="210">
        <v>4.5</v>
      </c>
      <c r="T5013" s="8">
        <v>1.0001249999999999</v>
      </c>
      <c r="U5013" s="98">
        <v>4.5630951129222108</v>
      </c>
      <c r="V5013" s="106">
        <v>40503.65893897089</v>
      </c>
      <c r="W5013" s="10">
        <v>1.2932433339232219</v>
      </c>
      <c r="X5013" s="420"/>
      <c r="Y5013" s="420"/>
    </row>
    <row r="5014" spans="17:25">
      <c r="Q5014" s="6">
        <v>4984</v>
      </c>
      <c r="R5014" s="7">
        <v>47651</v>
      </c>
      <c r="S5014" s="210">
        <v>4.5</v>
      </c>
      <c r="T5014" s="8">
        <v>1.0001249999999999</v>
      </c>
      <c r="U5014" s="98">
        <v>4.5631161275988541</v>
      </c>
      <c r="V5014" s="106">
        <v>40507.142406482577</v>
      </c>
      <c r="W5014" s="10">
        <v>1.2932714334057183</v>
      </c>
      <c r="X5014" s="420"/>
      <c r="Y5014" s="420"/>
    </row>
    <row r="5015" spans="17:25">
      <c r="Q5015" s="6">
        <v>4985</v>
      </c>
      <c r="R5015" s="7">
        <v>47652</v>
      </c>
      <c r="S5015" s="210">
        <v>4.5</v>
      </c>
      <c r="T5015" s="8">
        <v>1.0001249999999999</v>
      </c>
      <c r="U5015" s="98">
        <v>4.5631371338485494</v>
      </c>
      <c r="V5015" s="106">
        <v>40510.62617358561</v>
      </c>
      <c r="W5015" s="10">
        <v>1.2932995216224041</v>
      </c>
      <c r="X5015" s="420"/>
      <c r="Y5015" s="420"/>
    </row>
    <row r="5016" spans="17:25">
      <c r="Q5016" s="6">
        <v>4986</v>
      </c>
      <c r="R5016" s="7">
        <v>47653</v>
      </c>
      <c r="S5016" s="210">
        <v>4.5</v>
      </c>
      <c r="T5016" s="8">
        <v>1.0001249999999999</v>
      </c>
      <c r="U5016" s="98">
        <v>4.5631581316763814</v>
      </c>
      <c r="V5016" s="106">
        <v>40514.110240305774</v>
      </c>
      <c r="W5016" s="10">
        <v>1.2933275985800519</v>
      </c>
      <c r="X5016" s="420"/>
      <c r="Y5016" s="420"/>
    </row>
    <row r="5017" spans="17:25">
      <c r="Q5017" s="6">
        <v>4987</v>
      </c>
      <c r="R5017" s="7">
        <v>47654</v>
      </c>
      <c r="S5017" s="210">
        <v>4.5</v>
      </c>
      <c r="T5017" s="8">
        <v>1.0001249999999999</v>
      </c>
      <c r="U5017" s="98">
        <v>4.5631791210873907</v>
      </c>
      <c r="V5017" s="106">
        <v>40517.594606668812</v>
      </c>
      <c r="W5017" s="10">
        <v>1.2933556642853894</v>
      </c>
      <c r="X5017" s="420"/>
      <c r="Y5017" s="420"/>
    </row>
    <row r="5018" spans="17:25">
      <c r="Q5018" s="6">
        <v>4988</v>
      </c>
      <c r="R5018" s="7">
        <v>47655</v>
      </c>
      <c r="S5018" s="210">
        <v>4.5</v>
      </c>
      <c r="T5018" s="8">
        <v>1.0001249999999999</v>
      </c>
      <c r="U5018" s="98">
        <v>4.5632001020866397</v>
      </c>
      <c r="V5018" s="106">
        <v>40521.07927270051</v>
      </c>
      <c r="W5018" s="10">
        <v>1.2933837187452113</v>
      </c>
      <c r="X5018" s="420"/>
      <c r="Y5018" s="420"/>
    </row>
    <row r="5019" spans="17:25">
      <c r="Q5019" s="6">
        <v>4989</v>
      </c>
      <c r="R5019" s="7">
        <v>47656</v>
      </c>
      <c r="S5019" s="210">
        <v>4.5</v>
      </c>
      <c r="T5019" s="8">
        <v>1.0001249999999999</v>
      </c>
      <c r="U5019" s="98">
        <v>4.5632210746791912</v>
      </c>
      <c r="V5019" s="106">
        <v>40524.564238426632</v>
      </c>
      <c r="W5019" s="10">
        <v>1.2934117619662677</v>
      </c>
      <c r="X5019" s="420"/>
      <c r="Y5019" s="420"/>
    </row>
    <row r="5020" spans="17:25">
      <c r="Q5020" s="6">
        <v>4990</v>
      </c>
      <c r="R5020" s="7">
        <v>47657</v>
      </c>
      <c r="S5020" s="210">
        <v>4.5</v>
      </c>
      <c r="T5020" s="8">
        <v>1.0001249999999999</v>
      </c>
      <c r="U5020" s="98">
        <v>4.5632420388701078</v>
      </c>
      <c r="V5020" s="106">
        <v>40528.049503872957</v>
      </c>
      <c r="W5020" s="10">
        <v>1.293439793955331</v>
      </c>
      <c r="X5020" s="420"/>
      <c r="Y5020" s="420"/>
    </row>
    <row r="5021" spans="17:25">
      <c r="Q5021" s="6">
        <v>4991</v>
      </c>
      <c r="R5021" s="7">
        <v>47658</v>
      </c>
      <c r="S5021" s="210">
        <v>4.5</v>
      </c>
      <c r="T5021" s="8">
        <v>1.0001249999999999</v>
      </c>
      <c r="U5021" s="98">
        <v>4.5632629946644299</v>
      </c>
      <c r="V5021" s="106">
        <v>40531.53506906527</v>
      </c>
      <c r="W5021" s="10">
        <v>1.2934678147191292</v>
      </c>
      <c r="X5021" s="420"/>
      <c r="Y5021" s="420"/>
    </row>
    <row r="5022" spans="17:25">
      <c r="Q5022" s="6">
        <v>4992</v>
      </c>
      <c r="R5022" s="7">
        <v>47659</v>
      </c>
      <c r="S5022" s="210">
        <v>4.5</v>
      </c>
      <c r="T5022" s="8">
        <v>1.0001249999999999</v>
      </c>
      <c r="U5022" s="98">
        <v>4.5632839420671978</v>
      </c>
      <c r="V5022" s="106">
        <v>40535.020934029337</v>
      </c>
      <c r="W5022" s="10">
        <v>1.2934958242644123</v>
      </c>
      <c r="X5022" s="420"/>
      <c r="Y5022" s="420"/>
    </row>
    <row r="5023" spans="17:25">
      <c r="Q5023" s="6">
        <v>4993</v>
      </c>
      <c r="R5023" s="7">
        <v>47660</v>
      </c>
      <c r="S5023" s="210">
        <v>4.5</v>
      </c>
      <c r="T5023" s="8">
        <v>1.0001249999999999</v>
      </c>
      <c r="U5023" s="98">
        <v>4.563304881083452</v>
      </c>
      <c r="V5023" s="106">
        <v>40538.507098790949</v>
      </c>
      <c r="W5023" s="10">
        <v>1.2935238225978862</v>
      </c>
      <c r="X5023" s="420"/>
      <c r="Y5023" s="420"/>
    </row>
    <row r="5024" spans="17:25">
      <c r="Q5024" s="6">
        <v>4994</v>
      </c>
      <c r="R5024" s="7">
        <v>47661</v>
      </c>
      <c r="S5024" s="210">
        <v>4.5</v>
      </c>
      <c r="T5024" s="8">
        <v>1.0001249999999999</v>
      </c>
      <c r="U5024" s="98">
        <v>4.5633258117182329</v>
      </c>
      <c r="V5024" s="106">
        <v>40541.99356337588</v>
      </c>
      <c r="W5024" s="10">
        <v>1.2935518097263454</v>
      </c>
      <c r="X5024" s="420"/>
      <c r="Y5024" s="420"/>
    </row>
    <row r="5025" spans="17:25">
      <c r="Q5025" s="6">
        <v>4995</v>
      </c>
      <c r="R5025" s="7">
        <v>47662</v>
      </c>
      <c r="S5025" s="210">
        <v>4.5</v>
      </c>
      <c r="T5025" s="8">
        <v>1.0001249999999999</v>
      </c>
      <c r="U5025" s="98">
        <v>4.5633467339765588</v>
      </c>
      <c r="V5025" s="106">
        <v>40545.480327809928</v>
      </c>
      <c r="W5025" s="10">
        <v>1.2935797856564513</v>
      </c>
      <c r="X5025" s="420"/>
      <c r="Y5025" s="420"/>
    </row>
    <row r="5026" spans="17:25">
      <c r="Q5026" s="6">
        <v>4996</v>
      </c>
      <c r="R5026" s="7">
        <v>47663</v>
      </c>
      <c r="S5026" s="210">
        <v>4.5</v>
      </c>
      <c r="T5026" s="8">
        <v>1.0001249999999999</v>
      </c>
      <c r="U5026" s="98">
        <v>4.5633676478634699</v>
      </c>
      <c r="V5026" s="106">
        <v>40548.967392118866</v>
      </c>
      <c r="W5026" s="10">
        <v>1.2936077503949539</v>
      </c>
      <c r="X5026" s="420"/>
      <c r="Y5026" s="420"/>
    </row>
    <row r="5027" spans="17:25">
      <c r="Q5027" s="6">
        <v>4997</v>
      </c>
      <c r="R5027" s="7">
        <v>47664</v>
      </c>
      <c r="S5027" s="210">
        <v>4.5</v>
      </c>
      <c r="T5027" s="8">
        <v>1.0001249999999999</v>
      </c>
      <c r="U5027" s="98">
        <v>4.5633885533839846</v>
      </c>
      <c r="V5027" s="106">
        <v>40552.454756328501</v>
      </c>
      <c r="W5027" s="10">
        <v>1.2936357039485591</v>
      </c>
      <c r="X5027" s="420"/>
      <c r="Y5027" s="420"/>
    </row>
    <row r="5028" spans="17:25">
      <c r="Q5028" s="6">
        <v>4998</v>
      </c>
      <c r="R5028" s="7">
        <v>47665</v>
      </c>
      <c r="S5028" s="210">
        <v>4.5</v>
      </c>
      <c r="T5028" s="8">
        <v>1.0001249999999999</v>
      </c>
      <c r="U5028" s="98">
        <v>4.5634094505431211</v>
      </c>
      <c r="V5028" s="106">
        <v>40555.942420464613</v>
      </c>
      <c r="W5028" s="10">
        <v>1.2936636463239726</v>
      </c>
      <c r="X5028" s="420"/>
      <c r="Y5028" s="420"/>
    </row>
    <row r="5029" spans="17:25">
      <c r="Q5029" s="6">
        <v>4999</v>
      </c>
      <c r="R5029" s="7">
        <v>47666</v>
      </c>
      <c r="S5029" s="210">
        <v>4.5</v>
      </c>
      <c r="T5029" s="8">
        <v>1.0001249999999999</v>
      </c>
      <c r="U5029" s="98">
        <v>4.5634303393458975</v>
      </c>
      <c r="V5029" s="106">
        <v>40559.430384553008</v>
      </c>
      <c r="W5029" s="10">
        <v>1.2936915775279223</v>
      </c>
      <c r="X5029" s="420"/>
      <c r="Y5029" s="420"/>
    </row>
    <row r="5030" spans="17:25">
      <c r="Q5030" s="6">
        <v>5000</v>
      </c>
      <c r="R5030" s="7">
        <v>47667</v>
      </c>
      <c r="S5030" s="210">
        <v>4.5</v>
      </c>
      <c r="T5030" s="8">
        <v>1.0001249999999999</v>
      </c>
      <c r="U5030" s="98">
        <v>4.5634512197973098</v>
      </c>
      <c r="V5030" s="106">
        <v>40562.918648619474</v>
      </c>
      <c r="W5030" s="10">
        <v>1.2937194975670474</v>
      </c>
      <c r="X5030" s="420"/>
      <c r="Y5030" s="420"/>
    </row>
    <row r="5031" spans="17:25">
      <c r="Q5031" s="6">
        <v>5001</v>
      </c>
      <c r="R5031" s="7">
        <v>47668</v>
      </c>
      <c r="S5031" s="210">
        <v>4.5</v>
      </c>
      <c r="T5031" s="8">
        <v>1.0001249999999999</v>
      </c>
      <c r="U5031" s="98">
        <v>4.5634720919023986</v>
      </c>
      <c r="V5031" s="106">
        <v>40566.40721268981</v>
      </c>
      <c r="W5031" s="10">
        <v>1.2937474064481203</v>
      </c>
      <c r="X5031" s="420"/>
      <c r="Y5031" s="420"/>
    </row>
    <row r="5032" spans="17:25">
      <c r="Q5032" s="6">
        <v>5002</v>
      </c>
      <c r="R5032" s="7">
        <v>47669</v>
      </c>
      <c r="S5032" s="210">
        <v>4.5</v>
      </c>
      <c r="T5032" s="8">
        <v>1.0001249999999999</v>
      </c>
      <c r="U5032" s="98">
        <v>4.5634929556661374</v>
      </c>
      <c r="V5032" s="106">
        <v>40569.896076789824</v>
      </c>
      <c r="W5032" s="10">
        <v>1.29377530417778</v>
      </c>
      <c r="X5032" s="420"/>
      <c r="Y5032" s="420"/>
    </row>
    <row r="5033" spans="17:25">
      <c r="Q5033" s="6">
        <v>5003</v>
      </c>
      <c r="R5033" s="7">
        <v>47670</v>
      </c>
      <c r="S5033" s="210">
        <v>4.5</v>
      </c>
      <c r="T5033" s="8">
        <v>1.0001249999999999</v>
      </c>
      <c r="U5033" s="98">
        <v>4.5635138110935447</v>
      </c>
      <c r="V5033" s="106">
        <v>40573.38524094531</v>
      </c>
      <c r="W5033" s="10">
        <v>1.2938031907627323</v>
      </c>
      <c r="X5033" s="420"/>
      <c r="Y5033" s="420"/>
    </row>
    <row r="5034" spans="17:25">
      <c r="Q5034" s="6">
        <v>5004</v>
      </c>
      <c r="R5034" s="7">
        <v>47671</v>
      </c>
      <c r="S5034" s="210">
        <v>4.5</v>
      </c>
      <c r="T5034" s="8">
        <v>1.0001249999999999</v>
      </c>
      <c r="U5034" s="98">
        <v>4.5635346581895941</v>
      </c>
      <c r="V5034" s="106">
        <v>40576.874705182083</v>
      </c>
      <c r="W5034" s="10">
        <v>1.2938310662096164</v>
      </c>
      <c r="X5034" s="420"/>
      <c r="Y5034" s="420"/>
    </row>
    <row r="5035" spans="17:25">
      <c r="Q5035" s="6">
        <v>5005</v>
      </c>
      <c r="R5035" s="7">
        <v>47672</v>
      </c>
      <c r="S5035" s="210">
        <v>4.5</v>
      </c>
      <c r="T5035" s="8">
        <v>1.0001249999999999</v>
      </c>
      <c r="U5035" s="98">
        <v>4.5635554969592818</v>
      </c>
      <c r="V5035" s="106">
        <v>40580.36446952595</v>
      </c>
      <c r="W5035" s="10">
        <v>1.2938589305251158</v>
      </c>
      <c r="X5035" s="420"/>
      <c r="Y5035" s="420"/>
    </row>
    <row r="5036" spans="17:25">
      <c r="Q5036" s="6">
        <v>5006</v>
      </c>
      <c r="R5036" s="7">
        <v>47673</v>
      </c>
      <c r="S5036" s="210">
        <v>4.5</v>
      </c>
      <c r="T5036" s="8">
        <v>1.0001249999999999</v>
      </c>
      <c r="U5036" s="98">
        <v>4.5635763274076036</v>
      </c>
      <c r="V5036" s="106">
        <v>40583.854534002719</v>
      </c>
      <c r="W5036" s="10">
        <v>1.293886783715914</v>
      </c>
      <c r="X5036" s="420"/>
      <c r="Y5036" s="420"/>
    </row>
    <row r="5037" spans="17:25">
      <c r="Q5037" s="6">
        <v>5007</v>
      </c>
      <c r="R5037" s="7">
        <v>47674</v>
      </c>
      <c r="S5037" s="210">
        <v>4.5</v>
      </c>
      <c r="T5037" s="8">
        <v>1.0001249999999999</v>
      </c>
      <c r="U5037" s="98">
        <v>4.5635971495395555</v>
      </c>
      <c r="V5037" s="106">
        <v>40587.344898638199</v>
      </c>
      <c r="W5037" s="10">
        <v>1.2939146257886947</v>
      </c>
      <c r="X5037" s="420"/>
      <c r="Y5037" s="420"/>
    </row>
    <row r="5038" spans="17:25">
      <c r="Q5038" s="6">
        <v>5008</v>
      </c>
      <c r="R5038" s="7">
        <v>47675</v>
      </c>
      <c r="S5038" s="210">
        <v>4.5</v>
      </c>
      <c r="T5038" s="8">
        <v>1.0001249999999999</v>
      </c>
      <c r="U5038" s="98">
        <v>4.5636179633600893</v>
      </c>
      <c r="V5038" s="106">
        <v>40590.835563458211</v>
      </c>
      <c r="W5038" s="10">
        <v>1.2939424567500524</v>
      </c>
      <c r="X5038" s="420"/>
      <c r="Y5038" s="420"/>
    </row>
    <row r="5039" spans="17:25">
      <c r="Q5039" s="6">
        <v>5009</v>
      </c>
      <c r="R5039" s="7">
        <v>47676</v>
      </c>
      <c r="S5039" s="210">
        <v>4.5</v>
      </c>
      <c r="T5039" s="8">
        <v>1.0001249999999999</v>
      </c>
      <c r="U5039" s="98">
        <v>4.5636387688742008</v>
      </c>
      <c r="V5039" s="106">
        <v>40594.326528488571</v>
      </c>
      <c r="W5039" s="10">
        <v>1.2939702766066707</v>
      </c>
      <c r="X5039" s="420"/>
      <c r="Y5039" s="420"/>
    </row>
    <row r="5040" spans="17:25">
      <c r="Q5040" s="6">
        <v>5010</v>
      </c>
      <c r="R5040" s="7">
        <v>47677</v>
      </c>
      <c r="S5040" s="210">
        <v>4.5</v>
      </c>
      <c r="T5040" s="8">
        <v>1.0001249999999999</v>
      </c>
      <c r="U5040" s="98">
        <v>4.563659566086864</v>
      </c>
      <c r="V5040" s="106">
        <v>40597.817793755101</v>
      </c>
      <c r="W5040" s="10">
        <v>1.2939980853652333</v>
      </c>
      <c r="X5040" s="420"/>
      <c r="Y5040" s="420"/>
    </row>
    <row r="5041" spans="17:25">
      <c r="Q5041" s="6">
        <v>5011</v>
      </c>
      <c r="R5041" s="7">
        <v>47678</v>
      </c>
      <c r="S5041" s="210">
        <v>4.5</v>
      </c>
      <c r="T5041" s="8">
        <v>1.0001249999999999</v>
      </c>
      <c r="U5041" s="98">
        <v>4.5636803550030303</v>
      </c>
      <c r="V5041" s="106">
        <v>40601.309359283609</v>
      </c>
      <c r="W5041" s="10">
        <v>1.2940258830323126</v>
      </c>
      <c r="X5041" s="420"/>
      <c r="Y5041" s="420"/>
    </row>
    <row r="5042" spans="17:25">
      <c r="Q5042" s="6">
        <v>5012</v>
      </c>
      <c r="R5042" s="7">
        <v>47679</v>
      </c>
      <c r="S5042" s="210">
        <v>4.5</v>
      </c>
      <c r="T5042" s="8">
        <v>1.0001249999999999</v>
      </c>
      <c r="U5042" s="98">
        <v>4.5637011356276735</v>
      </c>
      <c r="V5042" s="106">
        <v>40604.801225099931</v>
      </c>
      <c r="W5042" s="10">
        <v>1.2940536696145699</v>
      </c>
      <c r="X5042" s="420"/>
      <c r="Y5042" s="420"/>
    </row>
    <row r="5043" spans="17:25">
      <c r="Q5043" s="6">
        <v>5013</v>
      </c>
      <c r="R5043" s="7">
        <v>47680</v>
      </c>
      <c r="S5043" s="210">
        <v>4.5</v>
      </c>
      <c r="T5043" s="8">
        <v>1.0001249999999999</v>
      </c>
      <c r="U5043" s="98">
        <v>4.5637219079657454</v>
      </c>
      <c r="V5043" s="106">
        <v>40608.293391229898</v>
      </c>
      <c r="W5043" s="10">
        <v>1.2940814451186222</v>
      </c>
      <c r="X5043" s="420"/>
      <c r="Y5043" s="420"/>
    </row>
    <row r="5044" spans="17:25">
      <c r="Q5044" s="6">
        <v>5014</v>
      </c>
      <c r="R5044" s="7">
        <v>47681</v>
      </c>
      <c r="S5044" s="210">
        <v>4.5</v>
      </c>
      <c r="T5044" s="8">
        <v>1.0001249999999999</v>
      </c>
      <c r="U5044" s="98">
        <v>4.5637426720222196</v>
      </c>
      <c r="V5044" s="106">
        <v>40611.785857699331</v>
      </c>
      <c r="W5044" s="10">
        <v>1.2941092095511308</v>
      </c>
      <c r="X5044" s="420"/>
      <c r="Y5044" s="420"/>
    </row>
    <row r="5045" spans="17:25">
      <c r="Q5045" s="6">
        <v>5015</v>
      </c>
      <c r="R5045" s="7">
        <v>47682</v>
      </c>
      <c r="S5045" s="210">
        <v>4.5</v>
      </c>
      <c r="T5045" s="8">
        <v>1.0001249999999999</v>
      </c>
      <c r="U5045" s="98">
        <v>4.5637634278020256</v>
      </c>
      <c r="V5045" s="106">
        <v>40615.278624534047</v>
      </c>
      <c r="W5045" s="10">
        <v>1.2941369629186905</v>
      </c>
      <c r="X5045" s="420"/>
      <c r="Y5045" s="420"/>
    </row>
    <row r="5046" spans="17:25">
      <c r="Q5046" s="6">
        <v>5016</v>
      </c>
      <c r="R5046" s="7">
        <v>47683</v>
      </c>
      <c r="S5046" s="210">
        <v>4.5</v>
      </c>
      <c r="T5046" s="8">
        <v>1.0001249999999999</v>
      </c>
      <c r="U5046" s="98">
        <v>4.5637841753101149</v>
      </c>
      <c r="V5046" s="106">
        <v>40618.771691759895</v>
      </c>
      <c r="W5046" s="10">
        <v>1.294164705227896</v>
      </c>
      <c r="X5046" s="420"/>
      <c r="Y5046" s="420"/>
    </row>
    <row r="5047" spans="17:25">
      <c r="Q5047" s="6">
        <v>5017</v>
      </c>
      <c r="R5047" s="7">
        <v>47684</v>
      </c>
      <c r="S5047" s="210">
        <v>4.5</v>
      </c>
      <c r="T5047" s="8">
        <v>1.0001249999999999</v>
      </c>
      <c r="U5047" s="98">
        <v>4.5638049145514392</v>
      </c>
      <c r="V5047" s="106">
        <v>40622.265059402715</v>
      </c>
      <c r="W5047" s="10">
        <v>1.2941924364853863</v>
      </c>
      <c r="X5047" s="420"/>
      <c r="Y5047" s="420"/>
    </row>
    <row r="5048" spans="17:25">
      <c r="Q5048" s="6">
        <v>5018</v>
      </c>
      <c r="R5048" s="7">
        <v>47685</v>
      </c>
      <c r="S5048" s="210">
        <v>4.5</v>
      </c>
      <c r="T5048" s="8">
        <v>1.0001249999999999</v>
      </c>
      <c r="U5048" s="98">
        <v>4.5638256455309278</v>
      </c>
      <c r="V5048" s="106">
        <v>40625.758727488319</v>
      </c>
      <c r="W5048" s="10">
        <v>1.294220156697734</v>
      </c>
      <c r="X5048" s="420"/>
      <c r="Y5048" s="420"/>
    </row>
    <row r="5049" spans="17:25">
      <c r="Q5049" s="6">
        <v>5019</v>
      </c>
      <c r="R5049" s="7">
        <v>47686</v>
      </c>
      <c r="S5049" s="210">
        <v>4.5</v>
      </c>
      <c r="T5049" s="8">
        <v>1.0001249999999999</v>
      </c>
      <c r="U5049" s="98">
        <v>4.5638463682535324</v>
      </c>
      <c r="V5049" s="106">
        <v>40629.252696042575</v>
      </c>
      <c r="W5049" s="10">
        <v>1.2942478658715784</v>
      </c>
      <c r="X5049" s="420"/>
      <c r="Y5049" s="420"/>
    </row>
    <row r="5050" spans="17:25">
      <c r="Q5050" s="6">
        <v>5020</v>
      </c>
      <c r="R5050" s="7">
        <v>47687</v>
      </c>
      <c r="S5050" s="210">
        <v>4.5</v>
      </c>
      <c r="T5050" s="8">
        <v>1.0001249999999999</v>
      </c>
      <c r="U5050" s="98">
        <v>4.5638670827241823</v>
      </c>
      <c r="V5050" s="106">
        <v>40632.746965091304</v>
      </c>
      <c r="W5050" s="10">
        <v>1.2942755640134695</v>
      </c>
      <c r="X5050" s="420"/>
      <c r="Y5050" s="420"/>
    </row>
    <row r="5051" spans="17:25">
      <c r="Q5051" s="6">
        <v>5021</v>
      </c>
      <c r="R5051" s="7">
        <v>47688</v>
      </c>
      <c r="S5051" s="210">
        <v>4.5</v>
      </c>
      <c r="T5051" s="8">
        <v>1.0001249999999999</v>
      </c>
      <c r="U5051" s="98">
        <v>4.5638877889477847</v>
      </c>
      <c r="V5051" s="106">
        <v>40636.241534660359</v>
      </c>
      <c r="W5051" s="10">
        <v>1.2943032511300023</v>
      </c>
      <c r="X5051" s="420"/>
      <c r="Y5051" s="420"/>
    </row>
    <row r="5052" spans="17:25">
      <c r="Q5052" s="6">
        <v>5022</v>
      </c>
      <c r="R5052" s="7">
        <v>47689</v>
      </c>
      <c r="S5052" s="210">
        <v>4.5</v>
      </c>
      <c r="T5052" s="8">
        <v>1.0001249999999999</v>
      </c>
      <c r="U5052" s="98">
        <v>4.5639084869292912</v>
      </c>
      <c r="V5052" s="106">
        <v>40639.736404775584</v>
      </c>
      <c r="W5052" s="10">
        <v>1.2943309272277936</v>
      </c>
      <c r="X5052" s="420"/>
      <c r="Y5052" s="420"/>
    </row>
    <row r="5053" spans="17:25">
      <c r="Q5053" s="6">
        <v>5023</v>
      </c>
      <c r="R5053" s="7">
        <v>47690</v>
      </c>
      <c r="S5053" s="210">
        <v>4.5</v>
      </c>
      <c r="T5053" s="8">
        <v>1.0001249999999999</v>
      </c>
      <c r="U5053" s="98">
        <v>4.563929176673609</v>
      </c>
      <c r="V5053" s="106">
        <v>40643.231575462829</v>
      </c>
      <c r="W5053" s="10">
        <v>1.2943585923133716</v>
      </c>
      <c r="X5053" s="420"/>
      <c r="Y5053" s="420"/>
    </row>
    <row r="5054" spans="17:25">
      <c r="Q5054" s="6">
        <v>5024</v>
      </c>
      <c r="R5054" s="7">
        <v>47691</v>
      </c>
      <c r="S5054" s="210">
        <v>4.5</v>
      </c>
      <c r="T5054" s="8">
        <v>1.0001249999999999</v>
      </c>
      <c r="U5054" s="98">
        <v>4.5639498581856452</v>
      </c>
      <c r="V5054" s="106">
        <v>40646.727046747939</v>
      </c>
      <c r="W5054" s="10">
        <v>1.2943862463933309</v>
      </c>
      <c r="X5054" s="420"/>
      <c r="Y5054" s="420"/>
    </row>
    <row r="5055" spans="17:25">
      <c r="Q5055" s="6">
        <v>5025</v>
      </c>
      <c r="R5055" s="7">
        <v>47692</v>
      </c>
      <c r="S5055" s="210">
        <v>4.5</v>
      </c>
      <c r="T5055" s="8">
        <v>1.0001249999999999</v>
      </c>
      <c r="U5055" s="98">
        <v>4.5639705314703294</v>
      </c>
      <c r="V5055" s="106">
        <v>40650.222818656766</v>
      </c>
      <c r="W5055" s="10">
        <v>1.2944138894742441</v>
      </c>
      <c r="X5055" s="420"/>
      <c r="Y5055" s="420"/>
    </row>
    <row r="5056" spans="17:25">
      <c r="Q5056" s="6">
        <v>5026</v>
      </c>
      <c r="R5056" s="7">
        <v>47693</v>
      </c>
      <c r="S5056" s="210">
        <v>4.5</v>
      </c>
      <c r="T5056" s="8">
        <v>1.0001249999999999</v>
      </c>
      <c r="U5056" s="98">
        <v>4.5639911965325686</v>
      </c>
      <c r="V5056" s="106">
        <v>40653.718891215176</v>
      </c>
      <c r="W5056" s="10">
        <v>1.2944415215626837</v>
      </c>
      <c r="X5056" s="420"/>
      <c r="Y5056" s="420"/>
    </row>
    <row r="5057" spans="17:25">
      <c r="Q5057" s="6">
        <v>5027</v>
      </c>
      <c r="R5057" s="7">
        <v>47694</v>
      </c>
      <c r="S5057" s="210">
        <v>4.5</v>
      </c>
      <c r="T5057" s="8">
        <v>1.0001249999999999</v>
      </c>
      <c r="U5057" s="98">
        <v>4.5640118533772478</v>
      </c>
      <c r="V5057" s="106">
        <v>40657.21526444902</v>
      </c>
      <c r="W5057" s="10">
        <v>1.2944691426651556</v>
      </c>
      <c r="X5057" s="420"/>
      <c r="Y5057" s="420"/>
    </row>
    <row r="5058" spans="17:25">
      <c r="Q5058" s="6">
        <v>5028</v>
      </c>
      <c r="R5058" s="7">
        <v>47695</v>
      </c>
      <c r="S5058" s="210">
        <v>4.5</v>
      </c>
      <c r="T5058" s="8">
        <v>1.0001249999999999</v>
      </c>
      <c r="U5058" s="98">
        <v>4.5640325020092964</v>
      </c>
      <c r="V5058" s="106">
        <v>40660.711938384149</v>
      </c>
      <c r="W5058" s="10">
        <v>1.2944967527882545</v>
      </c>
      <c r="X5058" s="420"/>
      <c r="Y5058" s="420"/>
    </row>
    <row r="5059" spans="17:25">
      <c r="Q5059" s="6">
        <v>5029</v>
      </c>
      <c r="R5059" s="7">
        <v>47696</v>
      </c>
      <c r="S5059" s="210">
        <v>4.5</v>
      </c>
      <c r="T5059" s="8">
        <v>1.0001249999999999</v>
      </c>
      <c r="U5059" s="98">
        <v>4.5640531424335995</v>
      </c>
      <c r="V5059" s="106">
        <v>40664.208913046437</v>
      </c>
      <c r="W5059" s="10">
        <v>1.2945243519385308</v>
      </c>
      <c r="X5059" s="420"/>
      <c r="Y5059" s="420"/>
    </row>
    <row r="5060" spans="17:25">
      <c r="Q5060" s="6">
        <v>5030</v>
      </c>
      <c r="R5060" s="7">
        <v>47697</v>
      </c>
      <c r="S5060" s="210">
        <v>4.5</v>
      </c>
      <c r="T5060" s="8">
        <v>1.0001249999999999</v>
      </c>
      <c r="U5060" s="98">
        <v>4.5640737746550419</v>
      </c>
      <c r="V5060" s="106">
        <v>40667.706188461743</v>
      </c>
      <c r="W5060" s="10">
        <v>1.2945519401224903</v>
      </c>
      <c r="X5060" s="420"/>
      <c r="Y5060" s="420"/>
    </row>
    <row r="5061" spans="17:25">
      <c r="Q5061" s="6">
        <v>5031</v>
      </c>
      <c r="R5061" s="7">
        <v>47698</v>
      </c>
      <c r="S5061" s="210">
        <v>4.5</v>
      </c>
      <c r="T5061" s="8">
        <v>1.0001249999999999</v>
      </c>
      <c r="U5061" s="98">
        <v>4.5640943986785087</v>
      </c>
      <c r="V5061" s="106">
        <v>40671.203764655933</v>
      </c>
      <c r="W5061" s="10">
        <v>1.2945795173466612</v>
      </c>
      <c r="X5061" s="420"/>
      <c r="Y5061" s="420"/>
    </row>
    <row r="5062" spans="17:25">
      <c r="Q5062" s="6">
        <v>5032</v>
      </c>
      <c r="R5062" s="7">
        <v>47699</v>
      </c>
      <c r="S5062" s="210">
        <v>4.5</v>
      </c>
      <c r="T5062" s="8">
        <v>1.0001249999999999</v>
      </c>
      <c r="U5062" s="98">
        <v>4.5641150145088849</v>
      </c>
      <c r="V5062" s="106">
        <v>40674.701641654865</v>
      </c>
      <c r="W5062" s="10">
        <v>1.294607083617616</v>
      </c>
      <c r="X5062" s="420"/>
      <c r="Y5062" s="420"/>
    </row>
    <row r="5063" spans="17:25">
      <c r="Q5063" s="6">
        <v>5033</v>
      </c>
      <c r="R5063" s="7">
        <v>47700</v>
      </c>
      <c r="S5063" s="210">
        <v>4.5</v>
      </c>
      <c r="T5063" s="8">
        <v>1.0001249999999999</v>
      </c>
      <c r="U5063" s="98">
        <v>4.5641356221510776</v>
      </c>
      <c r="V5063" s="106">
        <v>40678.19981948442</v>
      </c>
      <c r="W5063" s="10">
        <v>1.2946346389418606</v>
      </c>
      <c r="X5063" s="420"/>
      <c r="Y5063" s="420"/>
    </row>
    <row r="5064" spans="17:25">
      <c r="Q5064" s="6">
        <v>5034</v>
      </c>
      <c r="R5064" s="7">
        <v>47701</v>
      </c>
      <c r="S5064" s="210">
        <v>4.5</v>
      </c>
      <c r="T5064" s="8">
        <v>1.0001249999999999</v>
      </c>
      <c r="U5064" s="98">
        <v>4.5641562216099274</v>
      </c>
      <c r="V5064" s="106">
        <v>40681.698298170471</v>
      </c>
      <c r="W5064" s="10">
        <v>1.2946621833258787</v>
      </c>
      <c r="X5064" s="420"/>
      <c r="Y5064" s="420"/>
    </row>
    <row r="5065" spans="17:25">
      <c r="Q5065" s="6">
        <v>5035</v>
      </c>
      <c r="R5065" s="7">
        <v>47702</v>
      </c>
      <c r="S5065" s="210">
        <v>4.5</v>
      </c>
      <c r="T5065" s="8">
        <v>1.0001249999999999</v>
      </c>
      <c r="U5065" s="98">
        <v>4.5641768128903415</v>
      </c>
      <c r="V5065" s="106">
        <v>40685.1970777389</v>
      </c>
      <c r="W5065" s="10">
        <v>1.2946897167762428</v>
      </c>
      <c r="X5065" s="420"/>
      <c r="Y5065" s="420"/>
    </row>
    <row r="5066" spans="17:25">
      <c r="Q5066" s="6">
        <v>5036</v>
      </c>
      <c r="R5066" s="7">
        <v>47703</v>
      </c>
      <c r="S5066" s="210">
        <v>4.5</v>
      </c>
      <c r="T5066" s="8">
        <v>1.0001249999999999</v>
      </c>
      <c r="U5066" s="98">
        <v>4.5641973959971605</v>
      </c>
      <c r="V5066" s="106">
        <v>40688.696158215556</v>
      </c>
      <c r="W5066" s="10">
        <v>1.2947172392994366</v>
      </c>
      <c r="X5066" s="420"/>
      <c r="Y5066" s="420"/>
    </row>
    <row r="5067" spans="17:25">
      <c r="Q5067" s="6">
        <v>5037</v>
      </c>
      <c r="R5067" s="7">
        <v>47704</v>
      </c>
      <c r="S5067" s="210">
        <v>4.5</v>
      </c>
      <c r="T5067" s="8">
        <v>1.0001249999999999</v>
      </c>
      <c r="U5067" s="98">
        <v>4.5642179709352693</v>
      </c>
      <c r="V5067" s="106">
        <v>40692.195539626351</v>
      </c>
      <c r="W5067" s="10">
        <v>1.2947447509019439</v>
      </c>
      <c r="X5067" s="420"/>
      <c r="Y5067" s="420"/>
    </row>
    <row r="5068" spans="17:25">
      <c r="Q5068" s="6">
        <v>5038</v>
      </c>
      <c r="R5068" s="7">
        <v>47705</v>
      </c>
      <c r="S5068" s="210">
        <v>4.5</v>
      </c>
      <c r="T5068" s="8">
        <v>1.0001249999999999</v>
      </c>
      <c r="U5068" s="98">
        <v>4.5642385377095307</v>
      </c>
      <c r="V5068" s="106">
        <v>40695.69522199715</v>
      </c>
      <c r="W5068" s="10">
        <v>1.2947722515902926</v>
      </c>
      <c r="X5068" s="420"/>
      <c r="Y5068" s="420"/>
    </row>
    <row r="5069" spans="17:25">
      <c r="Q5069" s="6">
        <v>5039</v>
      </c>
      <c r="R5069" s="7">
        <v>47706</v>
      </c>
      <c r="S5069" s="210">
        <v>4.5</v>
      </c>
      <c r="T5069" s="8">
        <v>1.0001249999999999</v>
      </c>
      <c r="U5069" s="98">
        <v>4.5642590963248075</v>
      </c>
      <c r="V5069" s="106">
        <v>40699.195205353841</v>
      </c>
      <c r="W5069" s="10">
        <v>1.2947997413709889</v>
      </c>
      <c r="X5069" s="420"/>
      <c r="Y5069" s="420"/>
    </row>
    <row r="5070" spans="17:25">
      <c r="Q5070" s="6">
        <v>5040</v>
      </c>
      <c r="R5070" s="7">
        <v>47707</v>
      </c>
      <c r="S5070" s="210">
        <v>4.5</v>
      </c>
      <c r="T5070" s="8">
        <v>1.0001249999999999</v>
      </c>
      <c r="U5070" s="98">
        <v>4.5642796467859403</v>
      </c>
      <c r="V5070" s="106">
        <v>40702.695489722304</v>
      </c>
      <c r="W5070" s="10">
        <v>1.2948272202504718</v>
      </c>
      <c r="X5070" s="420"/>
      <c r="Y5070" s="420"/>
    </row>
    <row r="5071" spans="17:25">
      <c r="Q5071" s="6">
        <v>5041</v>
      </c>
      <c r="R5071" s="7">
        <v>47708</v>
      </c>
      <c r="S5071" s="210">
        <v>4.5</v>
      </c>
      <c r="T5071" s="8">
        <v>1.0001249999999999</v>
      </c>
      <c r="U5071" s="98">
        <v>4.5643001890977697</v>
      </c>
      <c r="V5071" s="106">
        <v>40706.196075128435</v>
      </c>
      <c r="W5071" s="10">
        <v>1.2948546882352696</v>
      </c>
      <c r="X5071" s="420"/>
      <c r="Y5071" s="420"/>
    </row>
    <row r="5072" spans="17:25">
      <c r="Q5072" s="6">
        <v>5042</v>
      </c>
      <c r="R5072" s="7">
        <v>47709</v>
      </c>
      <c r="S5072" s="210">
        <v>4.5</v>
      </c>
      <c r="T5072" s="8">
        <v>1.0001249999999999</v>
      </c>
      <c r="U5072" s="98">
        <v>4.5643207232651584</v>
      </c>
      <c r="V5072" s="106">
        <v>40709.696961598114</v>
      </c>
      <c r="W5072" s="10">
        <v>1.2948821453318216</v>
      </c>
      <c r="X5072" s="420"/>
      <c r="Y5072" s="420"/>
    </row>
    <row r="5073" spans="17:25">
      <c r="Q5073" s="6">
        <v>5043</v>
      </c>
      <c r="R5073" s="7">
        <v>47710</v>
      </c>
      <c r="S5073" s="210">
        <v>4.5</v>
      </c>
      <c r="T5073" s="8">
        <v>1.0001249999999999</v>
      </c>
      <c r="U5073" s="98">
        <v>4.5643412492929469</v>
      </c>
      <c r="V5073" s="106">
        <v>40713.198149157244</v>
      </c>
      <c r="W5073" s="10">
        <v>1.2949095915466335</v>
      </c>
      <c r="X5073" s="420"/>
      <c r="Y5073" s="420"/>
    </row>
    <row r="5074" spans="17:25">
      <c r="Q5074" s="6">
        <v>5044</v>
      </c>
      <c r="R5074" s="7">
        <v>47711</v>
      </c>
      <c r="S5074" s="210">
        <v>4.5</v>
      </c>
      <c r="T5074" s="8">
        <v>1.0001249999999999</v>
      </c>
      <c r="U5074" s="98">
        <v>4.564361767185976</v>
      </c>
      <c r="V5074" s="106">
        <v>40716.699637831713</v>
      </c>
      <c r="W5074" s="10">
        <v>1.2949370268861449</v>
      </c>
      <c r="X5074" s="420"/>
      <c r="Y5074" s="420"/>
    </row>
    <row r="5075" spans="17:25">
      <c r="Q5075" s="6">
        <v>5045</v>
      </c>
      <c r="R5075" s="7">
        <v>47712</v>
      </c>
      <c r="S5075" s="210">
        <v>4.5</v>
      </c>
      <c r="T5075" s="8">
        <v>1.0001249999999999</v>
      </c>
      <c r="U5075" s="98">
        <v>4.564382276949086</v>
      </c>
      <c r="V5075" s="106">
        <v>40720.201427647429</v>
      </c>
      <c r="W5075" s="10">
        <v>1.2949644513568614</v>
      </c>
      <c r="X5075" s="420"/>
      <c r="Y5075" s="420"/>
    </row>
    <row r="5076" spans="17:25">
      <c r="Q5076" s="6">
        <v>5046</v>
      </c>
      <c r="R5076" s="7">
        <v>47713</v>
      </c>
      <c r="S5076" s="210">
        <v>4.5</v>
      </c>
      <c r="T5076" s="8">
        <v>1.0001249999999999</v>
      </c>
      <c r="U5076" s="98">
        <v>4.5644027785870955</v>
      </c>
      <c r="V5076" s="106">
        <v>40723.703518630275</v>
      </c>
      <c r="W5076" s="10">
        <v>1.2949918649652004</v>
      </c>
      <c r="X5076" s="420"/>
      <c r="Y5076" s="420"/>
    </row>
    <row r="5077" spans="17:25">
      <c r="Q5077" s="6">
        <v>5047</v>
      </c>
      <c r="R5077" s="7">
        <v>47714</v>
      </c>
      <c r="S5077" s="210">
        <v>4.5</v>
      </c>
      <c r="T5077" s="8">
        <v>1.0001249999999999</v>
      </c>
      <c r="U5077" s="98">
        <v>4.5644232721048228</v>
      </c>
      <c r="V5077" s="106">
        <v>40727.205910806166</v>
      </c>
      <c r="W5077" s="10">
        <v>1.2950192677176231</v>
      </c>
      <c r="X5077" s="420"/>
      <c r="Y5077" s="420"/>
    </row>
    <row r="5078" spans="17:25">
      <c r="Q5078" s="6">
        <v>5048</v>
      </c>
      <c r="R5078" s="7">
        <v>47715</v>
      </c>
      <c r="S5078" s="210">
        <v>4.5</v>
      </c>
      <c r="T5078" s="8">
        <v>1.0001249999999999</v>
      </c>
      <c r="U5078" s="98">
        <v>4.5644437575071084</v>
      </c>
      <c r="V5078" s="106">
        <v>40730.708604200998</v>
      </c>
      <c r="W5078" s="10">
        <v>1.295046659620569</v>
      </c>
      <c r="X5078" s="420"/>
      <c r="Y5078" s="420"/>
    </row>
    <row r="5079" spans="17:25">
      <c r="Q5079" s="6">
        <v>5049</v>
      </c>
      <c r="R5079" s="7">
        <v>47716</v>
      </c>
      <c r="S5079" s="210">
        <v>4.5</v>
      </c>
      <c r="T5079" s="8">
        <v>1.0001249999999999</v>
      </c>
      <c r="U5079" s="98">
        <v>4.5644642347987707</v>
      </c>
      <c r="V5079" s="106">
        <v>40734.211598840688</v>
      </c>
      <c r="W5079" s="10">
        <v>1.2950740406804995</v>
      </c>
      <c r="X5079" s="420"/>
      <c r="Y5079" s="420"/>
    </row>
    <row r="5080" spans="17:25">
      <c r="Q5080" s="6">
        <v>5050</v>
      </c>
      <c r="R5080" s="7">
        <v>47717</v>
      </c>
      <c r="S5080" s="210">
        <v>4.5</v>
      </c>
      <c r="T5080" s="8">
        <v>1.0001249999999999</v>
      </c>
      <c r="U5080" s="98">
        <v>4.5644847039846281</v>
      </c>
      <c r="V5080" s="106">
        <v>40737.714894751123</v>
      </c>
      <c r="W5080" s="10">
        <v>1.2951014109038539</v>
      </c>
      <c r="X5080" s="420"/>
      <c r="Y5080" s="420"/>
    </row>
    <row r="5081" spans="17:25">
      <c r="Q5081" s="6">
        <v>5051</v>
      </c>
      <c r="R5081" s="7">
        <v>47718</v>
      </c>
      <c r="S5081" s="210">
        <v>4.5</v>
      </c>
      <c r="T5081" s="8">
        <v>1.0001249999999999</v>
      </c>
      <c r="U5081" s="98">
        <v>4.5645051650694768</v>
      </c>
      <c r="V5081" s="106">
        <v>40741.218491958229</v>
      </c>
      <c r="W5081" s="10">
        <v>1.2951287702970271</v>
      </c>
      <c r="X5081" s="420"/>
      <c r="Y5081" s="420"/>
    </row>
    <row r="5082" spans="17:25">
      <c r="Q5082" s="6">
        <v>5052</v>
      </c>
      <c r="R5082" s="7">
        <v>47719</v>
      </c>
      <c r="S5082" s="210">
        <v>4.5</v>
      </c>
      <c r="T5082" s="8">
        <v>1.0001249999999999</v>
      </c>
      <c r="U5082" s="98">
        <v>4.5645256180581351</v>
      </c>
      <c r="V5082" s="106">
        <v>40744.722390487921</v>
      </c>
      <c r="W5082" s="10">
        <v>1.2951561188664806</v>
      </c>
      <c r="X5082" s="420"/>
      <c r="Y5082" s="420"/>
    </row>
    <row r="5083" spans="17:25">
      <c r="Q5083" s="6">
        <v>5053</v>
      </c>
      <c r="R5083" s="7">
        <v>47720</v>
      </c>
      <c r="S5083" s="210">
        <v>4.5</v>
      </c>
      <c r="T5083" s="8">
        <v>1.0001249999999999</v>
      </c>
      <c r="U5083" s="98">
        <v>4.5645460629553991</v>
      </c>
      <c r="V5083" s="106">
        <v>40748.22659036611</v>
      </c>
      <c r="W5083" s="10">
        <v>1.2951834566186315</v>
      </c>
      <c r="X5083" s="420"/>
      <c r="Y5083" s="420"/>
    </row>
    <row r="5084" spans="17:25">
      <c r="Q5084" s="6">
        <v>5054</v>
      </c>
      <c r="R5084" s="7">
        <v>47721</v>
      </c>
      <c r="S5084" s="210">
        <v>4.5</v>
      </c>
      <c r="T5084" s="8">
        <v>1.0001249999999999</v>
      </c>
      <c r="U5084" s="98">
        <v>4.5645664997660873</v>
      </c>
      <c r="V5084" s="106">
        <v>40751.731091618705</v>
      </c>
      <c r="W5084" s="10">
        <v>1.2952107835598969</v>
      </c>
      <c r="X5084" s="420"/>
      <c r="Y5084" s="420"/>
    </row>
    <row r="5085" spans="17:25">
      <c r="Q5085" s="6">
        <v>5055</v>
      </c>
      <c r="R5085" s="7">
        <v>47722</v>
      </c>
      <c r="S5085" s="210">
        <v>4.5</v>
      </c>
      <c r="T5085" s="8">
        <v>1.0001249999999999</v>
      </c>
      <c r="U5085" s="98">
        <v>4.5645869284949958</v>
      </c>
      <c r="V5085" s="106">
        <v>40755.235894271638</v>
      </c>
      <c r="W5085" s="10">
        <v>1.2952380996966717</v>
      </c>
      <c r="X5085" s="420"/>
      <c r="Y5085" s="420"/>
    </row>
    <row r="5086" spans="17:25">
      <c r="Q5086" s="6">
        <v>5056</v>
      </c>
      <c r="R5086" s="7">
        <v>47723</v>
      </c>
      <c r="S5086" s="210">
        <v>4.5</v>
      </c>
      <c r="T5086" s="8">
        <v>1.0001249999999999</v>
      </c>
      <c r="U5086" s="98">
        <v>4.5646073491468986</v>
      </c>
      <c r="V5086" s="106">
        <v>40758.740998350819</v>
      </c>
      <c r="W5086" s="10">
        <v>1.2952654050353951</v>
      </c>
      <c r="X5086" s="420"/>
      <c r="Y5086" s="420"/>
    </row>
    <row r="5087" spans="17:25">
      <c r="Q5087" s="6">
        <v>5057</v>
      </c>
      <c r="R5087" s="7">
        <v>47724</v>
      </c>
      <c r="S5087" s="210">
        <v>4.5</v>
      </c>
      <c r="T5087" s="8">
        <v>1.0001249999999999</v>
      </c>
      <c r="U5087" s="98">
        <v>4.5646277617265918</v>
      </c>
      <c r="V5087" s="106">
        <v>40762.246403882178</v>
      </c>
      <c r="W5087" s="10">
        <v>1.2952926995824399</v>
      </c>
      <c r="X5087" s="420"/>
      <c r="Y5087" s="420"/>
    </row>
    <row r="5088" spans="17:25">
      <c r="Q5088" s="6">
        <v>5058</v>
      </c>
      <c r="R5088" s="7">
        <v>47725</v>
      </c>
      <c r="S5088" s="210">
        <v>4.5</v>
      </c>
      <c r="T5088" s="8">
        <v>1.0001249999999999</v>
      </c>
      <c r="U5088" s="98">
        <v>4.5646481662388716</v>
      </c>
      <c r="V5088" s="106">
        <v>40765.752110891648</v>
      </c>
      <c r="W5088" s="10">
        <v>1.2953199833442008</v>
      </c>
      <c r="X5088" s="420"/>
      <c r="Y5088" s="420"/>
    </row>
    <row r="5089" spans="17:25">
      <c r="Q5089" s="6">
        <v>5059</v>
      </c>
      <c r="R5089" s="7">
        <v>47726</v>
      </c>
      <c r="S5089" s="210">
        <v>4.5</v>
      </c>
      <c r="T5089" s="8">
        <v>1.0001249999999999</v>
      </c>
      <c r="U5089" s="98">
        <v>4.564668562688512</v>
      </c>
      <c r="V5089" s="106">
        <v>40769.258119405145</v>
      </c>
      <c r="W5089" s="10">
        <v>1.2953472563270951</v>
      </c>
      <c r="X5089" s="420"/>
      <c r="Y5089" s="420"/>
    </row>
    <row r="5090" spans="17:25">
      <c r="Q5090" s="6">
        <v>5060</v>
      </c>
      <c r="R5090" s="7">
        <v>47727</v>
      </c>
      <c r="S5090" s="210">
        <v>4.5</v>
      </c>
      <c r="T5090" s="8">
        <v>1.0001249999999999</v>
      </c>
      <c r="U5090" s="98">
        <v>4.5646889510802868</v>
      </c>
      <c r="V5090" s="106">
        <v>40772.764429448609</v>
      </c>
      <c r="W5090" s="10">
        <v>1.2953745185374732</v>
      </c>
      <c r="X5090" s="420"/>
      <c r="Y5090" s="420"/>
    </row>
    <row r="5091" spans="17:25">
      <c r="Q5091" s="6">
        <v>5061</v>
      </c>
      <c r="R5091" s="7">
        <v>47728</v>
      </c>
      <c r="S5091" s="210">
        <v>4.5</v>
      </c>
      <c r="T5091" s="8">
        <v>1.0001249999999999</v>
      </c>
      <c r="U5091" s="98">
        <v>4.5647093314189702</v>
      </c>
      <c r="V5091" s="106">
        <v>40776.271041047963</v>
      </c>
      <c r="W5091" s="10">
        <v>1.29540176998173</v>
      </c>
      <c r="X5091" s="420"/>
      <c r="Y5091" s="420"/>
    </row>
    <row r="5092" spans="17:25">
      <c r="Q5092" s="6">
        <v>5062</v>
      </c>
      <c r="R5092" s="7">
        <v>47729</v>
      </c>
      <c r="S5092" s="210">
        <v>4.5</v>
      </c>
      <c r="T5092" s="8">
        <v>1.0001249999999999</v>
      </c>
      <c r="U5092" s="98">
        <v>4.564729703709336</v>
      </c>
      <c r="V5092" s="106">
        <v>40779.777954229139</v>
      </c>
      <c r="W5092" s="10">
        <v>1.2954290106662603</v>
      </c>
      <c r="X5092" s="420"/>
      <c r="Y5092" s="420"/>
    </row>
    <row r="5093" spans="17:25">
      <c r="Q5093" s="6">
        <v>5063</v>
      </c>
      <c r="R5093" s="7">
        <v>47730</v>
      </c>
      <c r="S5093" s="210">
        <v>4.5</v>
      </c>
      <c r="T5093" s="8">
        <v>1.0001249999999999</v>
      </c>
      <c r="U5093" s="98">
        <v>4.5647500679561581</v>
      </c>
      <c r="V5093" s="106">
        <v>40783.285169018091</v>
      </c>
      <c r="W5093" s="10">
        <v>1.2954562405974368</v>
      </c>
      <c r="X5093" s="420"/>
      <c r="Y5093" s="420"/>
    </row>
    <row r="5094" spans="17:25">
      <c r="Q5094" s="6">
        <v>5064</v>
      </c>
      <c r="R5094" s="7">
        <v>47731</v>
      </c>
      <c r="S5094" s="210">
        <v>4.5</v>
      </c>
      <c r="T5094" s="8">
        <v>1.0001249999999999</v>
      </c>
      <c r="U5094" s="98">
        <v>4.5647704241641884</v>
      </c>
      <c r="V5094" s="106">
        <v>40786.792685440749</v>
      </c>
      <c r="W5094" s="10">
        <v>1.2954834597816101</v>
      </c>
      <c r="X5094" s="420"/>
      <c r="Y5094" s="420"/>
    </row>
    <row r="5095" spans="17:25">
      <c r="Q5095" s="6">
        <v>5065</v>
      </c>
      <c r="R5095" s="7">
        <v>47732</v>
      </c>
      <c r="S5095" s="210">
        <v>4.5</v>
      </c>
      <c r="T5095" s="8">
        <v>1.0001249999999999</v>
      </c>
      <c r="U5095" s="98">
        <v>4.5647907723382009</v>
      </c>
      <c r="V5095" s="106">
        <v>40790.300503523053</v>
      </c>
      <c r="W5095" s="10">
        <v>1.2955106682251305</v>
      </c>
      <c r="X5095" s="420"/>
      <c r="Y5095" s="420"/>
    </row>
    <row r="5096" spans="17:25">
      <c r="Q5096" s="6">
        <v>5066</v>
      </c>
      <c r="R5096" s="7">
        <v>47733</v>
      </c>
      <c r="S5096" s="210">
        <v>4.5</v>
      </c>
      <c r="T5096" s="8">
        <v>1.0001249999999999</v>
      </c>
      <c r="U5096" s="98">
        <v>4.5648111124829249</v>
      </c>
      <c r="V5096" s="106">
        <v>40793.808623290955</v>
      </c>
      <c r="W5096" s="10">
        <v>1.2955378659343708</v>
      </c>
      <c r="X5096" s="420"/>
      <c r="Y5096" s="420"/>
    </row>
    <row r="5097" spans="17:25">
      <c r="Q5097" s="6">
        <v>5067</v>
      </c>
      <c r="R5097" s="7">
        <v>47734</v>
      </c>
      <c r="S5097" s="210">
        <v>4.5</v>
      </c>
      <c r="T5097" s="8">
        <v>1.0001249999999999</v>
      </c>
      <c r="U5097" s="98">
        <v>4.5648314446031346</v>
      </c>
      <c r="V5097" s="106">
        <v>40797.317044770389</v>
      </c>
      <c r="W5097" s="10">
        <v>1.2955650529156815</v>
      </c>
      <c r="X5097" s="420"/>
      <c r="Y5097" s="420"/>
    </row>
    <row r="5098" spans="17:25">
      <c r="Q5098" s="6">
        <v>5068</v>
      </c>
      <c r="R5098" s="7">
        <v>47735</v>
      </c>
      <c r="S5098" s="210">
        <v>4.5</v>
      </c>
      <c r="T5098" s="8">
        <v>1.0001249999999999</v>
      </c>
      <c r="U5098" s="98">
        <v>4.5648517687035595</v>
      </c>
      <c r="V5098" s="106">
        <v>40800.825767987313</v>
      </c>
      <c r="W5098" s="10">
        <v>1.2955922291753907</v>
      </c>
      <c r="X5098" s="420"/>
      <c r="Y5098" s="420"/>
    </row>
    <row r="5099" spans="17:25">
      <c r="Q5099" s="6">
        <v>5069</v>
      </c>
      <c r="R5099" s="7">
        <v>47736</v>
      </c>
      <c r="S5099" s="210">
        <v>4.5</v>
      </c>
      <c r="T5099" s="8">
        <v>1.0001249999999999</v>
      </c>
      <c r="U5099" s="98">
        <v>4.5648720847889512</v>
      </c>
      <c r="V5099" s="106">
        <v>40804.334792967675</v>
      </c>
      <c r="W5099" s="10">
        <v>1.2956193947198491</v>
      </c>
      <c r="X5099" s="420"/>
      <c r="Y5099" s="420"/>
    </row>
    <row r="5100" spans="17:25">
      <c r="Q5100" s="6">
        <v>5070</v>
      </c>
      <c r="R5100" s="7">
        <v>47737</v>
      </c>
      <c r="S5100" s="210">
        <v>4.5</v>
      </c>
      <c r="T5100" s="8">
        <v>1.0001249999999999</v>
      </c>
      <c r="U5100" s="98">
        <v>4.5648923928640617</v>
      </c>
      <c r="V5100" s="106">
        <v>40807.844119737427</v>
      </c>
      <c r="W5100" s="10">
        <v>1.295646549555407</v>
      </c>
      <c r="X5100" s="420"/>
      <c r="Y5100" s="420"/>
    </row>
    <row r="5101" spans="17:25">
      <c r="Q5101" s="6">
        <v>5071</v>
      </c>
      <c r="R5101" s="7">
        <v>47738</v>
      </c>
      <c r="S5101" s="210">
        <v>4.5</v>
      </c>
      <c r="T5101" s="8">
        <v>1.0001249999999999</v>
      </c>
      <c r="U5101" s="98">
        <v>4.5649126929336203</v>
      </c>
      <c r="V5101" s="106">
        <v>40811.353748322515</v>
      </c>
      <c r="W5101" s="10">
        <v>1.2956736936883928</v>
      </c>
      <c r="X5101" s="420"/>
      <c r="Y5101" s="420"/>
    </row>
    <row r="5102" spans="17:25">
      <c r="Q5102" s="6">
        <v>5072</v>
      </c>
      <c r="R5102" s="7">
        <v>47739</v>
      </c>
      <c r="S5102" s="210">
        <v>4.5</v>
      </c>
      <c r="T5102" s="8">
        <v>1.0001249999999999</v>
      </c>
      <c r="U5102" s="98">
        <v>4.5649329850023568</v>
      </c>
      <c r="V5102" s="106">
        <v>40814.863678748909</v>
      </c>
      <c r="W5102" s="10">
        <v>1.2957008271251125</v>
      </c>
      <c r="X5102" s="420"/>
      <c r="Y5102" s="420"/>
    </row>
    <row r="5103" spans="17:25">
      <c r="Q5103" s="6">
        <v>5073</v>
      </c>
      <c r="R5103" s="7">
        <v>47740</v>
      </c>
      <c r="S5103" s="210">
        <v>4.5</v>
      </c>
      <c r="T5103" s="8">
        <v>1.0001249999999999</v>
      </c>
      <c r="U5103" s="98">
        <v>4.5649532690750005</v>
      </c>
      <c r="V5103" s="106">
        <v>40818.373911042574</v>
      </c>
      <c r="W5103" s="10">
        <v>1.2957279498719165</v>
      </c>
      <c r="X5103" s="420"/>
      <c r="Y5103" s="420"/>
    </row>
    <row r="5104" spans="17:25">
      <c r="Q5104" s="6">
        <v>5074</v>
      </c>
      <c r="R5104" s="7">
        <v>47741</v>
      </c>
      <c r="S5104" s="210">
        <v>4.5</v>
      </c>
      <c r="T5104" s="8">
        <v>1.0001249999999999</v>
      </c>
      <c r="U5104" s="98">
        <v>4.5649735451562812</v>
      </c>
      <c r="V5104" s="106">
        <v>40821.884445229451</v>
      </c>
      <c r="W5104" s="10">
        <v>1.2957550619350888</v>
      </c>
      <c r="X5104" s="420"/>
      <c r="Y5104" s="420"/>
    </row>
    <row r="5105" spans="17:25">
      <c r="Q5105" s="6">
        <v>5075</v>
      </c>
      <c r="R5105" s="7">
        <v>47742</v>
      </c>
      <c r="S5105" s="210">
        <v>4.5</v>
      </c>
      <c r="T5105" s="8">
        <v>1.0001249999999999</v>
      </c>
      <c r="U5105" s="98">
        <v>4.564993813250906</v>
      </c>
      <c r="V5105" s="106">
        <v>40825.395281335521</v>
      </c>
      <c r="W5105" s="10">
        <v>1.2957821633209576</v>
      </c>
      <c r="X5105" s="420"/>
      <c r="Y5105" s="420"/>
    </row>
    <row r="5106" spans="17:25">
      <c r="Q5106" s="6">
        <v>5076</v>
      </c>
      <c r="R5106" s="7">
        <v>47743</v>
      </c>
      <c r="S5106" s="210">
        <v>4.5</v>
      </c>
      <c r="T5106" s="8">
        <v>1.0001249999999999</v>
      </c>
      <c r="U5106" s="98">
        <v>4.5650140733636047</v>
      </c>
      <c r="V5106" s="106">
        <v>40828.906419386745</v>
      </c>
      <c r="W5106" s="10">
        <v>1.295809254035829</v>
      </c>
      <c r="X5106" s="420"/>
      <c r="Y5106" s="420"/>
    </row>
    <row r="5107" spans="17:25">
      <c r="Q5107" s="6">
        <v>5077</v>
      </c>
      <c r="R5107" s="7">
        <v>47744</v>
      </c>
      <c r="S5107" s="210">
        <v>4.5</v>
      </c>
      <c r="T5107" s="8">
        <v>1.0001249999999999</v>
      </c>
      <c r="U5107" s="98">
        <v>4.5650343254991066</v>
      </c>
      <c r="V5107" s="106">
        <v>40832.417859409084</v>
      </c>
      <c r="W5107" s="10">
        <v>1.2958363340860091</v>
      </c>
      <c r="X5107" s="420"/>
      <c r="Y5107" s="420"/>
    </row>
    <row r="5108" spans="17:25">
      <c r="Q5108" s="6">
        <v>5078</v>
      </c>
      <c r="R5108" s="7">
        <v>47745</v>
      </c>
      <c r="S5108" s="210">
        <v>4.5</v>
      </c>
      <c r="T5108" s="8">
        <v>1.0001249999999999</v>
      </c>
      <c r="U5108" s="98">
        <v>4.565054569662097</v>
      </c>
      <c r="V5108" s="106">
        <v>40835.929601428521</v>
      </c>
      <c r="W5108" s="10">
        <v>1.2958634034777816</v>
      </c>
      <c r="X5108" s="420"/>
      <c r="Y5108" s="420"/>
    </row>
    <row r="5109" spans="17:25">
      <c r="Q5109" s="6">
        <v>5079</v>
      </c>
      <c r="R5109" s="7">
        <v>47746</v>
      </c>
      <c r="S5109" s="210">
        <v>4.5</v>
      </c>
      <c r="T5109" s="8">
        <v>1.0001249999999999</v>
      </c>
      <c r="U5109" s="98">
        <v>4.5650748058573054</v>
      </c>
      <c r="V5109" s="106">
        <v>40839.44164547103</v>
      </c>
      <c r="W5109" s="10">
        <v>1.2958904622174527</v>
      </c>
      <c r="X5109" s="420"/>
      <c r="Y5109" s="420"/>
    </row>
    <row r="5110" spans="17:25">
      <c r="Q5110" s="6">
        <v>5080</v>
      </c>
      <c r="R5110" s="7">
        <v>47747</v>
      </c>
      <c r="S5110" s="210">
        <v>4.5</v>
      </c>
      <c r="T5110" s="8">
        <v>1.0001249999999999</v>
      </c>
      <c r="U5110" s="98">
        <v>4.565095034089417</v>
      </c>
      <c r="V5110" s="106">
        <v>40842.953991562565</v>
      </c>
      <c r="W5110" s="10">
        <v>1.2959175103113063</v>
      </c>
      <c r="X5110" s="420"/>
      <c r="Y5110" s="420"/>
    </row>
    <row r="5111" spans="17:25">
      <c r="Q5111" s="6">
        <v>5081</v>
      </c>
      <c r="R5111" s="7">
        <v>47748</v>
      </c>
      <c r="S5111" s="210">
        <v>4.5</v>
      </c>
      <c r="T5111" s="8">
        <v>1.0001249999999999</v>
      </c>
      <c r="U5111" s="98">
        <v>4.565115254363139</v>
      </c>
      <c r="V5111" s="106">
        <v>40846.466639729129</v>
      </c>
      <c r="W5111" s="10">
        <v>1.2959445477656262</v>
      </c>
      <c r="X5111" s="420"/>
      <c r="Y5111" s="420"/>
    </row>
    <row r="5112" spans="17:25">
      <c r="Q5112" s="6">
        <v>5082</v>
      </c>
      <c r="R5112" s="7">
        <v>47749</v>
      </c>
      <c r="S5112" s="210">
        <v>4.5</v>
      </c>
      <c r="T5112" s="8">
        <v>1.0001249999999999</v>
      </c>
      <c r="U5112" s="98">
        <v>4.5651354666831567</v>
      </c>
      <c r="V5112" s="106">
        <v>40849.979589996685</v>
      </c>
      <c r="W5112" s="10">
        <v>1.295971574586674</v>
      </c>
      <c r="X5112" s="420"/>
      <c r="Y5112" s="420"/>
    </row>
    <row r="5113" spans="17:25">
      <c r="Q5113" s="6">
        <v>5083</v>
      </c>
      <c r="R5113" s="7">
        <v>47750</v>
      </c>
      <c r="S5113" s="210">
        <v>4.5</v>
      </c>
      <c r="T5113" s="8">
        <v>1.0001249999999999</v>
      </c>
      <c r="U5113" s="98">
        <v>4.5651556710541774</v>
      </c>
      <c r="V5113" s="106">
        <v>40853.492842391221</v>
      </c>
      <c r="W5113" s="10">
        <v>1.2959985907807114</v>
      </c>
      <c r="X5113" s="420"/>
      <c r="Y5113" s="420"/>
    </row>
    <row r="5114" spans="17:25">
      <c r="Q5114" s="6">
        <v>5084</v>
      </c>
      <c r="R5114" s="7">
        <v>47751</v>
      </c>
      <c r="S5114" s="210">
        <v>4.5</v>
      </c>
      <c r="T5114" s="8">
        <v>1.0001249999999999</v>
      </c>
      <c r="U5114" s="98">
        <v>4.565175867480864</v>
      </c>
      <c r="V5114" s="106">
        <v>40857.006396938727</v>
      </c>
      <c r="W5114" s="10">
        <v>1.2960255963540224</v>
      </c>
      <c r="X5114" s="420"/>
      <c r="Y5114" s="420"/>
    </row>
    <row r="5115" spans="17:25">
      <c r="Q5115" s="6">
        <v>5085</v>
      </c>
      <c r="R5115" s="7">
        <v>47752</v>
      </c>
      <c r="S5115" s="210">
        <v>4.5</v>
      </c>
      <c r="T5115" s="8">
        <v>1.0001249999999999</v>
      </c>
      <c r="U5115" s="98">
        <v>4.5651960559679239</v>
      </c>
      <c r="V5115" s="106">
        <v>40860.520253665178</v>
      </c>
      <c r="W5115" s="10">
        <v>1.2960525913128684</v>
      </c>
      <c r="X5115" s="420"/>
      <c r="Y5115" s="420"/>
    </row>
    <row r="5116" spans="17:25">
      <c r="Q5116" s="6">
        <v>5086</v>
      </c>
      <c r="R5116" s="7">
        <v>47753</v>
      </c>
      <c r="S5116" s="210">
        <v>4.5</v>
      </c>
      <c r="T5116" s="8">
        <v>1.0001249999999999</v>
      </c>
      <c r="U5116" s="98">
        <v>4.5652162365200422</v>
      </c>
      <c r="V5116" s="106">
        <v>40864.034412596564</v>
      </c>
      <c r="W5116" s="10">
        <v>1.2960795756635113</v>
      </c>
      <c r="X5116" s="420"/>
      <c r="Y5116" s="420"/>
    </row>
    <row r="5117" spans="17:25">
      <c r="Q5117" s="6">
        <v>5087</v>
      </c>
      <c r="R5117" s="7">
        <v>47754</v>
      </c>
      <c r="S5117" s="210">
        <v>4.5</v>
      </c>
      <c r="T5117" s="8">
        <v>1.0001249999999999</v>
      </c>
      <c r="U5117" s="98">
        <v>4.5652364091418818</v>
      </c>
      <c r="V5117" s="106">
        <v>40867.548873758875</v>
      </c>
      <c r="W5117" s="10">
        <v>1.2961065494122126</v>
      </c>
      <c r="X5117" s="420"/>
      <c r="Y5117" s="420"/>
    </row>
    <row r="5118" spans="17:25">
      <c r="Q5118" s="6">
        <v>5088</v>
      </c>
      <c r="R5118" s="7">
        <v>47755</v>
      </c>
      <c r="S5118" s="210">
        <v>4.5</v>
      </c>
      <c r="T5118" s="8">
        <v>1.0001249999999999</v>
      </c>
      <c r="U5118" s="98">
        <v>4.5652565738381279</v>
      </c>
      <c r="V5118" s="106">
        <v>40871.063637178122</v>
      </c>
      <c r="W5118" s="10">
        <v>1.2961335125651896</v>
      </c>
      <c r="X5118" s="420"/>
      <c r="Y5118" s="420"/>
    </row>
    <row r="5119" spans="17:25">
      <c r="Q5119" s="6">
        <v>5089</v>
      </c>
      <c r="R5119" s="7">
        <v>47756</v>
      </c>
      <c r="S5119" s="210">
        <v>4.5</v>
      </c>
      <c r="T5119" s="8">
        <v>1.0001249999999999</v>
      </c>
      <c r="U5119" s="98">
        <v>4.5652767306134434</v>
      </c>
      <c r="V5119" s="106">
        <v>40874.578702880273</v>
      </c>
      <c r="W5119" s="10">
        <v>1.296160465128704</v>
      </c>
      <c r="X5119" s="420"/>
      <c r="Y5119" s="420"/>
    </row>
    <row r="5120" spans="17:25">
      <c r="Q5120" s="6">
        <v>5090</v>
      </c>
      <c r="R5120" s="7">
        <v>47757</v>
      </c>
      <c r="S5120" s="210">
        <v>4.5</v>
      </c>
      <c r="T5120" s="8">
        <v>1.0001249999999999</v>
      </c>
      <c r="U5120" s="98">
        <v>4.5652968794724913</v>
      </c>
      <c r="V5120" s="106">
        <v>40878.09407089134</v>
      </c>
      <c r="W5120" s="10">
        <v>1.2961874071089952</v>
      </c>
      <c r="X5120" s="420"/>
      <c r="Y5120" s="420"/>
    </row>
    <row r="5121" spans="17:25">
      <c r="Q5121" s="6">
        <v>5091</v>
      </c>
      <c r="R5121" s="7">
        <v>47758</v>
      </c>
      <c r="S5121" s="210">
        <v>4.5</v>
      </c>
      <c r="T5121" s="8">
        <v>1.0001249999999999</v>
      </c>
      <c r="U5121" s="98">
        <v>4.5653170204199345</v>
      </c>
      <c r="V5121" s="106">
        <v>40881.609741237327</v>
      </c>
      <c r="W5121" s="10">
        <v>1.2962143385122804</v>
      </c>
      <c r="X5121" s="420"/>
      <c r="Y5121" s="420"/>
    </row>
    <row r="5122" spans="17:25">
      <c r="Q5122" s="6">
        <v>5092</v>
      </c>
      <c r="R5122" s="7">
        <v>47759</v>
      </c>
      <c r="S5122" s="210">
        <v>4.5</v>
      </c>
      <c r="T5122" s="8">
        <v>1.0001249999999999</v>
      </c>
      <c r="U5122" s="98">
        <v>4.5653371534604359</v>
      </c>
      <c r="V5122" s="106">
        <v>40885.125713944231</v>
      </c>
      <c r="W5122" s="10">
        <v>1.296241259344777</v>
      </c>
      <c r="X5122" s="420"/>
      <c r="Y5122" s="420"/>
    </row>
    <row r="5123" spans="17:25">
      <c r="Q5123" s="6">
        <v>5093</v>
      </c>
      <c r="R5123" s="7">
        <v>47760</v>
      </c>
      <c r="S5123" s="210">
        <v>4.5</v>
      </c>
      <c r="T5123" s="8">
        <v>1.0001249999999999</v>
      </c>
      <c r="U5123" s="98">
        <v>4.5653572785986585</v>
      </c>
      <c r="V5123" s="106">
        <v>40888.641989038064</v>
      </c>
      <c r="W5123" s="10">
        <v>1.2962681696127465</v>
      </c>
      <c r="X5123" s="420"/>
      <c r="Y5123" s="420"/>
    </row>
    <row r="5124" spans="17:25">
      <c r="Q5124" s="6">
        <v>5094</v>
      </c>
      <c r="R5124" s="7">
        <v>47761</v>
      </c>
      <c r="S5124" s="210">
        <v>4.5</v>
      </c>
      <c r="T5124" s="8">
        <v>1.0001249999999999</v>
      </c>
      <c r="U5124" s="98">
        <v>4.565377395839243</v>
      </c>
      <c r="V5124" s="106">
        <v>40892.158566544807</v>
      </c>
      <c r="W5124" s="10">
        <v>1.296295069322384</v>
      </c>
      <c r="X5124" s="420"/>
      <c r="Y5124" s="420"/>
    </row>
    <row r="5125" spans="17:25">
      <c r="Q5125" s="6">
        <v>5095</v>
      </c>
      <c r="R5125" s="7">
        <v>47762</v>
      </c>
      <c r="S5125" s="210">
        <v>4.5</v>
      </c>
      <c r="T5125" s="8">
        <v>1.0001249999999999</v>
      </c>
      <c r="U5125" s="98">
        <v>4.5653975051868301</v>
      </c>
      <c r="V5125" s="106">
        <v>40895.675446490495</v>
      </c>
      <c r="W5125" s="10">
        <v>1.2963219584798846</v>
      </c>
      <c r="X5125" s="420"/>
      <c r="Y5125" s="420"/>
    </row>
    <row r="5126" spans="17:25">
      <c r="Q5126" s="6">
        <v>5096</v>
      </c>
      <c r="R5126" s="7">
        <v>47763</v>
      </c>
      <c r="S5126" s="210">
        <v>4.5</v>
      </c>
      <c r="T5126" s="8">
        <v>1.0001249999999999</v>
      </c>
      <c r="U5126" s="98">
        <v>4.5654176066460828</v>
      </c>
      <c r="V5126" s="106">
        <v>40899.192628901124</v>
      </c>
      <c r="W5126" s="10">
        <v>1.2963488370914877</v>
      </c>
      <c r="X5126" s="420"/>
      <c r="Y5126" s="420"/>
    </row>
    <row r="5127" spans="17:25">
      <c r="Q5127" s="6">
        <v>5097</v>
      </c>
      <c r="R5127" s="7">
        <v>47764</v>
      </c>
      <c r="S5127" s="210">
        <v>4.5</v>
      </c>
      <c r="T5127" s="8">
        <v>1.0001249999999999</v>
      </c>
      <c r="U5127" s="98">
        <v>4.5654377002216195</v>
      </c>
      <c r="V5127" s="106">
        <v>40902.710113802714</v>
      </c>
      <c r="W5127" s="10">
        <v>1.2963757051633662</v>
      </c>
      <c r="X5127" s="420"/>
      <c r="Y5127" s="420"/>
    </row>
    <row r="5128" spans="17:25">
      <c r="Q5128" s="6">
        <v>5098</v>
      </c>
      <c r="R5128" s="7">
        <v>47765</v>
      </c>
      <c r="S5128" s="210">
        <v>4.5</v>
      </c>
      <c r="T5128" s="8">
        <v>1.0001249999999999</v>
      </c>
      <c r="U5128" s="98">
        <v>4.5654577859181034</v>
      </c>
      <c r="V5128" s="106">
        <v>40906.227901221275</v>
      </c>
      <c r="W5128" s="10">
        <v>1.2964025627017595</v>
      </c>
      <c r="X5128" s="420"/>
      <c r="Y5128" s="420"/>
    </row>
    <row r="5129" spans="17:25">
      <c r="Q5129" s="6">
        <v>5099</v>
      </c>
      <c r="R5129" s="7">
        <v>47766</v>
      </c>
      <c r="S5129" s="210">
        <v>4.5</v>
      </c>
      <c r="T5129" s="8">
        <v>1.0001249999999999</v>
      </c>
      <c r="U5129" s="98">
        <v>4.5654778637401527</v>
      </c>
      <c r="V5129" s="106">
        <v>40909.745991182841</v>
      </c>
      <c r="W5129" s="10">
        <v>1.2964294097128404</v>
      </c>
      <c r="X5129" s="420"/>
      <c r="Y5129" s="420"/>
    </row>
    <row r="5130" spans="17:25">
      <c r="Q5130" s="6">
        <v>5100</v>
      </c>
      <c r="R5130" s="7">
        <v>47767</v>
      </c>
      <c r="S5130" s="210">
        <v>4.5</v>
      </c>
      <c r="T5130" s="8">
        <v>1.0001249999999999</v>
      </c>
      <c r="U5130" s="98">
        <v>4.5654979336923862</v>
      </c>
      <c r="V5130" s="106">
        <v>40913.264383713409</v>
      </c>
      <c r="W5130" s="10">
        <v>1.2964562462027596</v>
      </c>
      <c r="X5130" s="420"/>
      <c r="Y5130" s="420"/>
    </row>
    <row r="5131" spans="17:25">
      <c r="Q5131" s="6">
        <v>5101</v>
      </c>
      <c r="R5131" s="7">
        <v>47768</v>
      </c>
      <c r="S5131" s="210">
        <v>4.5</v>
      </c>
      <c r="T5131" s="8">
        <v>1.0001249999999999</v>
      </c>
      <c r="U5131" s="98">
        <v>4.5655179957794445</v>
      </c>
      <c r="V5131" s="106">
        <v>40916.783078839013</v>
      </c>
      <c r="W5131" s="10">
        <v>1.2964830721777343</v>
      </c>
      <c r="X5131" s="420"/>
      <c r="Y5131" s="420"/>
    </row>
    <row r="5132" spans="17:25">
      <c r="Q5132" s="6">
        <v>5102</v>
      </c>
      <c r="R5132" s="7">
        <v>47769</v>
      </c>
      <c r="S5132" s="210">
        <v>4.5</v>
      </c>
      <c r="T5132" s="8">
        <v>1.0001249999999999</v>
      </c>
      <c r="U5132" s="98">
        <v>4.5655380500059461</v>
      </c>
      <c r="V5132" s="106">
        <v>40920.302076585678</v>
      </c>
      <c r="W5132" s="10">
        <v>1.2965098876439596</v>
      </c>
      <c r="X5132" s="420"/>
      <c r="Y5132" s="420"/>
    </row>
    <row r="5133" spans="17:25">
      <c r="Q5133" s="6">
        <v>5103</v>
      </c>
      <c r="R5133" s="7">
        <v>47770</v>
      </c>
      <c r="S5133" s="210">
        <v>4.5</v>
      </c>
      <c r="T5133" s="8">
        <v>1.0001249999999999</v>
      </c>
      <c r="U5133" s="98">
        <v>4.5655580963765319</v>
      </c>
      <c r="V5133" s="106">
        <v>40923.821376979431</v>
      </c>
      <c r="W5133" s="10">
        <v>1.2965366926075861</v>
      </c>
      <c r="X5133" s="420"/>
      <c r="Y5133" s="420"/>
    </row>
    <row r="5134" spans="17:25">
      <c r="Q5134" s="6">
        <v>5104</v>
      </c>
      <c r="R5134" s="7">
        <v>47771</v>
      </c>
      <c r="S5134" s="210">
        <v>4.5</v>
      </c>
      <c r="T5134" s="8">
        <v>1.0001249999999999</v>
      </c>
      <c r="U5134" s="98">
        <v>4.5655781348957758</v>
      </c>
      <c r="V5134" s="106">
        <v>40927.340980046298</v>
      </c>
      <c r="W5134" s="10">
        <v>1.2965634870747866</v>
      </c>
      <c r="X5134" s="420"/>
      <c r="Y5134" s="420"/>
    </row>
    <row r="5135" spans="17:25">
      <c r="Q5135" s="6">
        <v>5105</v>
      </c>
      <c r="R5135" s="7">
        <v>47772</v>
      </c>
      <c r="S5135" s="210">
        <v>4.5</v>
      </c>
      <c r="T5135" s="8">
        <v>1.0001249999999999</v>
      </c>
      <c r="U5135" s="98">
        <v>4.5655981655683187</v>
      </c>
      <c r="V5135" s="106">
        <v>40930.860885812304</v>
      </c>
      <c r="W5135" s="10">
        <v>1.2965902710517341</v>
      </c>
      <c r="X5135" s="420"/>
      <c r="Y5135" s="420"/>
    </row>
    <row r="5136" spans="17:25">
      <c r="Q5136" s="6">
        <v>5106</v>
      </c>
      <c r="R5136" s="7">
        <v>47773</v>
      </c>
      <c r="S5136" s="210">
        <v>4.5</v>
      </c>
      <c r="T5136" s="8">
        <v>1.0001249999999999</v>
      </c>
      <c r="U5136" s="98">
        <v>4.5656181883987568</v>
      </c>
      <c r="V5136" s="106">
        <v>40934.381094303491</v>
      </c>
      <c r="W5136" s="10">
        <v>1.296617044544579</v>
      </c>
      <c r="X5136" s="420"/>
      <c r="Y5136" s="420"/>
    </row>
    <row r="5137" spans="17:25">
      <c r="Q5137" s="6">
        <v>5107</v>
      </c>
      <c r="R5137" s="7">
        <v>47774</v>
      </c>
      <c r="S5137" s="210">
        <v>4.5</v>
      </c>
      <c r="T5137" s="8">
        <v>1.0001249999999999</v>
      </c>
      <c r="U5137" s="98">
        <v>4.5656382033917087</v>
      </c>
      <c r="V5137" s="106">
        <v>40937.901605545892</v>
      </c>
      <c r="W5137" s="10">
        <v>1.2966438075594722</v>
      </c>
      <c r="X5137" s="420"/>
      <c r="Y5137" s="420"/>
    </row>
    <row r="5138" spans="17:25">
      <c r="Q5138" s="6">
        <v>5108</v>
      </c>
      <c r="R5138" s="7">
        <v>47775</v>
      </c>
      <c r="S5138" s="210">
        <v>4.5</v>
      </c>
      <c r="T5138" s="8">
        <v>1.0001249999999999</v>
      </c>
      <c r="U5138" s="98">
        <v>4.5656582105517707</v>
      </c>
      <c r="V5138" s="106">
        <v>40941.422419565548</v>
      </c>
      <c r="W5138" s="10">
        <v>1.2966705601025863</v>
      </c>
      <c r="X5138" s="420"/>
      <c r="Y5138" s="420"/>
    </row>
    <row r="5139" spans="17:25">
      <c r="Q5139" s="6">
        <v>5109</v>
      </c>
      <c r="R5139" s="7">
        <v>47776</v>
      </c>
      <c r="S5139" s="210">
        <v>4.5</v>
      </c>
      <c r="T5139" s="8">
        <v>1.0001249999999999</v>
      </c>
      <c r="U5139" s="98">
        <v>4.5656782098835169</v>
      </c>
      <c r="V5139" s="106">
        <v>40944.943536388491</v>
      </c>
      <c r="W5139" s="10">
        <v>1.2966973021800277</v>
      </c>
      <c r="X5139" s="420"/>
      <c r="Y5139" s="420"/>
    </row>
    <row r="5140" spans="17:25">
      <c r="Q5140" s="6">
        <v>5110</v>
      </c>
      <c r="R5140" s="7">
        <v>47777</v>
      </c>
      <c r="S5140" s="210">
        <v>4.5</v>
      </c>
      <c r="T5140" s="8">
        <v>1.0001249999999999</v>
      </c>
      <c r="U5140" s="98">
        <v>4.5656982013915659</v>
      </c>
      <c r="V5140" s="106">
        <v>40948.464956040771</v>
      </c>
      <c r="W5140" s="10">
        <v>1.2967240337979691</v>
      </c>
      <c r="X5140" s="420"/>
      <c r="Y5140" s="420"/>
    </row>
    <row r="5141" spans="17:25">
      <c r="Q5141" s="6">
        <v>5111</v>
      </c>
      <c r="R5141" s="7">
        <v>47778</v>
      </c>
      <c r="S5141" s="210">
        <v>4.5</v>
      </c>
      <c r="T5141" s="8">
        <v>1.0001249999999999</v>
      </c>
      <c r="U5141" s="98">
        <v>4.565718185080514</v>
      </c>
      <c r="V5141" s="106">
        <v>40951.986678548426</v>
      </c>
      <c r="W5141" s="10">
        <v>1.2967507549625612</v>
      </c>
      <c r="X5141" s="420"/>
      <c r="Y5141" s="420"/>
    </row>
    <row r="5142" spans="17:25">
      <c r="Q5142" s="6">
        <v>5112</v>
      </c>
      <c r="R5142" s="7">
        <v>47779</v>
      </c>
      <c r="S5142" s="210">
        <v>4.5</v>
      </c>
      <c r="T5142" s="8">
        <v>1.0001249999999999</v>
      </c>
      <c r="U5142" s="98">
        <v>4.5657381609549352</v>
      </c>
      <c r="V5142" s="106">
        <v>40955.508703937507</v>
      </c>
      <c r="W5142" s="10">
        <v>1.2967774656798881</v>
      </c>
      <c r="X5142" s="420"/>
      <c r="Y5142" s="420"/>
    </row>
    <row r="5143" spans="17:25">
      <c r="Q5143" s="6">
        <v>5113</v>
      </c>
      <c r="R5143" s="7">
        <v>47780</v>
      </c>
      <c r="S5143" s="210">
        <v>4.5</v>
      </c>
      <c r="T5143" s="8">
        <v>1.0001249999999999</v>
      </c>
      <c r="U5143" s="98">
        <v>4.5657581290194038</v>
      </c>
      <c r="V5143" s="106">
        <v>40959.031032234067</v>
      </c>
      <c r="W5143" s="10">
        <v>1.2968041659561003</v>
      </c>
      <c r="X5143" s="420"/>
      <c r="Y5143" s="420"/>
    </row>
    <row r="5144" spans="17:25">
      <c r="Q5144" s="6">
        <v>5114</v>
      </c>
      <c r="R5144" s="7">
        <v>47781</v>
      </c>
      <c r="S5144" s="210">
        <v>4.5</v>
      </c>
      <c r="T5144" s="8">
        <v>1.0001249999999999</v>
      </c>
      <c r="U5144" s="98">
        <v>4.5657780892784938</v>
      </c>
      <c r="V5144" s="106">
        <v>40962.553663464154</v>
      </c>
      <c r="W5144" s="10">
        <v>1.2968308557972819</v>
      </c>
      <c r="X5144" s="420"/>
      <c r="Y5144" s="420"/>
    </row>
    <row r="5145" spans="17:25">
      <c r="Q5145" s="6">
        <v>5115</v>
      </c>
      <c r="R5145" s="7">
        <v>47782</v>
      </c>
      <c r="S5145" s="210">
        <v>4.5</v>
      </c>
      <c r="T5145" s="8">
        <v>1.0001249999999999</v>
      </c>
      <c r="U5145" s="98">
        <v>4.5657980417368016</v>
      </c>
      <c r="V5145" s="106">
        <v>40966.07659765381</v>
      </c>
      <c r="W5145" s="10">
        <v>1.2968575352096057</v>
      </c>
      <c r="X5145" s="420"/>
      <c r="Y5145" s="420"/>
    </row>
    <row r="5146" spans="17:25">
      <c r="Q5146" s="6">
        <v>5116</v>
      </c>
      <c r="R5146" s="7">
        <v>47783</v>
      </c>
      <c r="S5146" s="210">
        <v>4.5</v>
      </c>
      <c r="T5146" s="8">
        <v>1.0001249999999999</v>
      </c>
      <c r="U5146" s="98">
        <v>4.5658179863989012</v>
      </c>
      <c r="V5146" s="106">
        <v>40969.59983482911</v>
      </c>
      <c r="W5146" s="10">
        <v>1.2968842041991779</v>
      </c>
      <c r="X5146" s="420"/>
      <c r="Y5146" s="420"/>
    </row>
    <row r="5147" spans="17:25">
      <c r="Q5147" s="6">
        <v>5117</v>
      </c>
      <c r="R5147" s="7">
        <v>47784</v>
      </c>
      <c r="S5147" s="210">
        <v>4.5</v>
      </c>
      <c r="T5147" s="8">
        <v>1.0001249999999999</v>
      </c>
      <c r="U5147" s="98">
        <v>4.5658379232693447</v>
      </c>
      <c r="V5147" s="106">
        <v>40973.123375016097</v>
      </c>
      <c r="W5147" s="10">
        <v>1.2969108627720605</v>
      </c>
      <c r="X5147" s="420"/>
      <c r="Y5147" s="420"/>
    </row>
    <row r="5148" spans="17:25">
      <c r="Q5148" s="6">
        <v>5118</v>
      </c>
      <c r="R5148" s="7">
        <v>47785</v>
      </c>
      <c r="S5148" s="210">
        <v>4.5</v>
      </c>
      <c r="T5148" s="8">
        <v>1.0001249999999999</v>
      </c>
      <c r="U5148" s="98">
        <v>4.565857852352706</v>
      </c>
      <c r="V5148" s="106">
        <v>40976.647218240832</v>
      </c>
      <c r="W5148" s="10">
        <v>1.2969375109343817</v>
      </c>
      <c r="X5148" s="420"/>
      <c r="Y5148" s="420"/>
    </row>
    <row r="5149" spans="17:25">
      <c r="Q5149" s="6">
        <v>5119</v>
      </c>
      <c r="R5149" s="7">
        <v>47786</v>
      </c>
      <c r="S5149" s="210">
        <v>4.5</v>
      </c>
      <c r="T5149" s="8">
        <v>1.0001249999999999</v>
      </c>
      <c r="U5149" s="98">
        <v>4.5658777736535372</v>
      </c>
      <c r="V5149" s="106">
        <v>40980.171364529386</v>
      </c>
      <c r="W5149" s="10">
        <v>1.2969641486922479</v>
      </c>
      <c r="X5149" s="420"/>
      <c r="Y5149" s="420"/>
    </row>
    <row r="5150" spans="17:25">
      <c r="Q5150" s="6">
        <v>5120</v>
      </c>
      <c r="R5150" s="7">
        <v>47787</v>
      </c>
      <c r="S5150" s="210">
        <v>4.5</v>
      </c>
      <c r="T5150" s="8">
        <v>1.0001249999999999</v>
      </c>
      <c r="U5150" s="98">
        <v>4.5658976871764123</v>
      </c>
      <c r="V5150" s="106">
        <v>40983.69581390782</v>
      </c>
      <c r="W5150" s="10">
        <v>1.2969907760517208</v>
      </c>
      <c r="X5150" s="420"/>
      <c r="Y5150" s="420"/>
    </row>
    <row r="5151" spans="17:25">
      <c r="Q5151" s="6">
        <v>5121</v>
      </c>
      <c r="R5151" s="7">
        <v>47788</v>
      </c>
      <c r="S5151" s="210">
        <v>4.5</v>
      </c>
      <c r="T5151" s="8">
        <v>1.0001249999999999</v>
      </c>
      <c r="U5151" s="98">
        <v>4.5659175929258611</v>
      </c>
      <c r="V5151" s="106">
        <v>40987.220566402204</v>
      </c>
      <c r="W5151" s="10">
        <v>1.2970173930189066</v>
      </c>
      <c r="X5151" s="420"/>
      <c r="Y5151" s="420"/>
    </row>
    <row r="5152" spans="17:25">
      <c r="Q5152" s="6">
        <v>5122</v>
      </c>
      <c r="R5152" s="7">
        <v>47789</v>
      </c>
      <c r="S5152" s="210">
        <v>4.5</v>
      </c>
      <c r="T5152" s="8">
        <v>1.0001249999999999</v>
      </c>
      <c r="U5152" s="98">
        <v>4.5659374909064576</v>
      </c>
      <c r="V5152" s="106">
        <v>40990.745622038594</v>
      </c>
      <c r="W5152" s="10">
        <v>1.2970439995999117</v>
      </c>
      <c r="X5152" s="420"/>
      <c r="Y5152" s="420"/>
    </row>
    <row r="5153" spans="17:25">
      <c r="Q5153" s="6">
        <v>5123</v>
      </c>
      <c r="R5153" s="7">
        <v>47790</v>
      </c>
      <c r="S5153" s="210">
        <v>4.5</v>
      </c>
      <c r="T5153" s="8">
        <v>1.0001249999999999</v>
      </c>
      <c r="U5153" s="98">
        <v>4.5659573811227538</v>
      </c>
      <c r="V5153" s="106">
        <v>40994.270980843074</v>
      </c>
      <c r="W5153" s="10">
        <v>1.2970705958007978</v>
      </c>
      <c r="X5153" s="420"/>
      <c r="Y5153" s="420"/>
    </row>
    <row r="5154" spans="17:25">
      <c r="Q5154" s="6">
        <v>5124</v>
      </c>
      <c r="R5154" s="7">
        <v>47791</v>
      </c>
      <c r="S5154" s="210">
        <v>4.5</v>
      </c>
      <c r="T5154" s="8">
        <v>1.0001249999999999</v>
      </c>
      <c r="U5154" s="98">
        <v>4.5659772635792795</v>
      </c>
      <c r="V5154" s="106">
        <v>40997.79664284172</v>
      </c>
      <c r="W5154" s="10">
        <v>1.2970971816276267</v>
      </c>
      <c r="X5154" s="420"/>
      <c r="Y5154" s="420"/>
    </row>
    <row r="5155" spans="17:25">
      <c r="Q5155" s="6">
        <v>5125</v>
      </c>
      <c r="R5155" s="7">
        <v>47792</v>
      </c>
      <c r="S5155" s="210">
        <v>4.5</v>
      </c>
      <c r="T5155" s="8">
        <v>1.0001249999999999</v>
      </c>
      <c r="U5155" s="98">
        <v>4.5659971382805642</v>
      </c>
      <c r="V5155" s="106">
        <v>41001.322608060596</v>
      </c>
      <c r="W5155" s="10">
        <v>1.2971237570864602</v>
      </c>
      <c r="X5155" s="420"/>
      <c r="Y5155" s="420"/>
    </row>
    <row r="5156" spans="17:25">
      <c r="Q5156" s="6">
        <v>5126</v>
      </c>
      <c r="R5156" s="7">
        <v>47793</v>
      </c>
      <c r="S5156" s="210">
        <v>4.5</v>
      </c>
      <c r="T5156" s="8">
        <v>1.0001249999999999</v>
      </c>
      <c r="U5156" s="98">
        <v>4.5660170052311599</v>
      </c>
      <c r="V5156" s="106">
        <v>41004.848876525786</v>
      </c>
      <c r="W5156" s="10">
        <v>1.2971503221833602</v>
      </c>
      <c r="X5156" s="420"/>
      <c r="Y5156" s="420"/>
    </row>
    <row r="5157" spans="17:25">
      <c r="Q5157" s="6">
        <v>5127</v>
      </c>
      <c r="R5157" s="7">
        <v>47794</v>
      </c>
      <c r="S5157" s="210">
        <v>4.5</v>
      </c>
      <c r="T5157" s="8">
        <v>1.0001249999999999</v>
      </c>
      <c r="U5157" s="98">
        <v>4.5660368644355964</v>
      </c>
      <c r="V5157" s="106">
        <v>41008.375448263374</v>
      </c>
      <c r="W5157" s="10">
        <v>1.297176876924433</v>
      </c>
      <c r="X5157" s="420"/>
      <c r="Y5157" s="420"/>
    </row>
    <row r="5158" spans="17:25">
      <c r="Q5158" s="6">
        <v>5128</v>
      </c>
      <c r="R5158" s="7">
        <v>47795</v>
      </c>
      <c r="S5158" s="210">
        <v>4.5</v>
      </c>
      <c r="T5158" s="8">
        <v>1.0001249999999999</v>
      </c>
      <c r="U5158" s="98">
        <v>4.5660567158984033</v>
      </c>
      <c r="V5158" s="106">
        <v>41011.902323299437</v>
      </c>
      <c r="W5158" s="10">
        <v>1.2972034213156736</v>
      </c>
      <c r="X5158" s="420"/>
      <c r="Y5158" s="420"/>
    </row>
    <row r="5159" spans="17:25">
      <c r="Q5159" s="6">
        <v>5129</v>
      </c>
      <c r="R5159" s="7">
        <v>47796</v>
      </c>
      <c r="S5159" s="210">
        <v>4.5</v>
      </c>
      <c r="T5159" s="8">
        <v>1.0001249999999999</v>
      </c>
      <c r="U5159" s="98">
        <v>4.5660765596241104</v>
      </c>
      <c r="V5159" s="106">
        <v>41015.429501660066</v>
      </c>
      <c r="W5159" s="10">
        <v>1.2972299553631661</v>
      </c>
      <c r="X5159" s="420"/>
      <c r="Y5159" s="420"/>
    </row>
    <row r="5160" spans="17:25">
      <c r="Q5160" s="6">
        <v>5130</v>
      </c>
      <c r="R5160" s="7">
        <v>47797</v>
      </c>
      <c r="S5160" s="210">
        <v>4.5</v>
      </c>
      <c r="T5160" s="8">
        <v>1.0001249999999999</v>
      </c>
      <c r="U5160" s="98">
        <v>4.5660963956172251</v>
      </c>
      <c r="V5160" s="106">
        <v>41018.956983371339</v>
      </c>
      <c r="W5160" s="10">
        <v>1.2972564790729502</v>
      </c>
      <c r="X5160" s="420"/>
      <c r="Y5160" s="420"/>
    </row>
    <row r="5161" spans="17:25">
      <c r="Q5161" s="6">
        <v>5131</v>
      </c>
      <c r="R5161" s="7">
        <v>47798</v>
      </c>
      <c r="S5161" s="210">
        <v>4.5</v>
      </c>
      <c r="T5161" s="8">
        <v>1.0001249999999999</v>
      </c>
      <c r="U5161" s="98">
        <v>4.5661162238822772</v>
      </c>
      <c r="V5161" s="106">
        <v>41022.484768459348</v>
      </c>
      <c r="W5161" s="10">
        <v>1.2972829924510654</v>
      </c>
      <c r="X5161" s="420"/>
      <c r="Y5161" s="420"/>
    </row>
    <row r="5162" spans="17:25">
      <c r="Q5162" s="6">
        <v>5132</v>
      </c>
      <c r="R5162" s="7">
        <v>47799</v>
      </c>
      <c r="S5162" s="210">
        <v>4.5</v>
      </c>
      <c r="T5162" s="8">
        <v>1.0001249999999999</v>
      </c>
      <c r="U5162" s="98">
        <v>4.5661360444237964</v>
      </c>
      <c r="V5162" s="106">
        <v>41026.012856950198</v>
      </c>
      <c r="W5162" s="10">
        <v>1.2973094955035513</v>
      </c>
      <c r="X5162" s="420"/>
      <c r="Y5162" s="420"/>
    </row>
    <row r="5163" spans="17:25">
      <c r="Q5163" s="6">
        <v>5133</v>
      </c>
      <c r="R5163" s="7">
        <v>47800</v>
      </c>
      <c r="S5163" s="210">
        <v>4.5</v>
      </c>
      <c r="T5163" s="8">
        <v>1.0001249999999999</v>
      </c>
      <c r="U5163" s="98">
        <v>4.5661558572462679</v>
      </c>
      <c r="V5163" s="106">
        <v>41029.541248869959</v>
      </c>
      <c r="W5163" s="10">
        <v>1.2973359882364033</v>
      </c>
      <c r="X5163" s="420"/>
      <c r="Y5163" s="420"/>
    </row>
    <row r="5164" spans="17:25">
      <c r="Q5164" s="6">
        <v>5134</v>
      </c>
      <c r="R5164" s="7">
        <v>47801</v>
      </c>
      <c r="S5164" s="210">
        <v>4.5</v>
      </c>
      <c r="T5164" s="8">
        <v>1.0001249999999999</v>
      </c>
      <c r="U5164" s="98">
        <v>4.5661756623542216</v>
      </c>
      <c r="V5164" s="106">
        <v>41033.069944244751</v>
      </c>
      <c r="W5164" s="10">
        <v>1.2973624706557052</v>
      </c>
      <c r="X5164" s="420"/>
      <c r="Y5164" s="420"/>
    </row>
    <row r="5165" spans="17:25">
      <c r="Q5165" s="6">
        <v>5135</v>
      </c>
      <c r="R5165" s="7">
        <v>47802</v>
      </c>
      <c r="S5165" s="210">
        <v>4.5</v>
      </c>
      <c r="T5165" s="8">
        <v>1.0001249999999999</v>
      </c>
      <c r="U5165" s="98">
        <v>4.5661954597521426</v>
      </c>
      <c r="V5165" s="106">
        <v>41036.598943100653</v>
      </c>
      <c r="W5165" s="10">
        <v>1.2973889427674301</v>
      </c>
      <c r="X5165" s="420"/>
      <c r="Y5165" s="420"/>
    </row>
    <row r="5166" spans="17:25">
      <c r="Q5166" s="6">
        <v>5136</v>
      </c>
      <c r="R5166" s="7">
        <v>47803</v>
      </c>
      <c r="S5166" s="210">
        <v>4.5</v>
      </c>
      <c r="T5166" s="8">
        <v>1.0001249999999999</v>
      </c>
      <c r="U5166" s="98">
        <v>4.5662152494445385</v>
      </c>
      <c r="V5166" s="106">
        <v>41040.128245463784</v>
      </c>
      <c r="W5166" s="10">
        <v>1.2974154045776176</v>
      </c>
      <c r="X5166" s="420"/>
      <c r="Y5166" s="420"/>
    </row>
    <row r="5167" spans="17:25">
      <c r="Q5167" s="6">
        <v>5137</v>
      </c>
      <c r="R5167" s="7">
        <v>47804</v>
      </c>
      <c r="S5167" s="210">
        <v>4.5</v>
      </c>
      <c r="T5167" s="8">
        <v>1.0001249999999999</v>
      </c>
      <c r="U5167" s="98">
        <v>4.5662350314359168</v>
      </c>
      <c r="V5167" s="106">
        <v>41043.657851360222</v>
      </c>
      <c r="W5167" s="10">
        <v>1.2974418560922851</v>
      </c>
      <c r="X5167" s="420"/>
      <c r="Y5167" s="420"/>
    </row>
    <row r="5168" spans="17:25">
      <c r="Q5168" s="6">
        <v>5138</v>
      </c>
      <c r="R5168" s="7">
        <v>47805</v>
      </c>
      <c r="S5168" s="210">
        <v>4.5</v>
      </c>
      <c r="T5168" s="8">
        <v>1.0001249999999999</v>
      </c>
      <c r="U5168" s="98">
        <v>4.5662548057307628</v>
      </c>
      <c r="V5168" s="106">
        <v>41047.187760816094</v>
      </c>
      <c r="W5168" s="10">
        <v>1.2974682973174279</v>
      </c>
      <c r="X5168" s="420"/>
      <c r="Y5168" s="420"/>
    </row>
    <row r="5169" spans="17:25">
      <c r="Q5169" s="6">
        <v>5139</v>
      </c>
      <c r="R5169" s="7">
        <v>47806</v>
      </c>
      <c r="S5169" s="210">
        <v>4.5</v>
      </c>
      <c r="T5169" s="8">
        <v>1.0001249999999999</v>
      </c>
      <c r="U5169" s="98">
        <v>4.566274572333584</v>
      </c>
      <c r="V5169" s="106">
        <v>41050.7179738575</v>
      </c>
      <c r="W5169" s="10">
        <v>1.2974947282590632</v>
      </c>
      <c r="X5169" s="420"/>
      <c r="Y5169" s="420"/>
    </row>
    <row r="5170" spans="17:25">
      <c r="Q5170" s="6">
        <v>5140</v>
      </c>
      <c r="R5170" s="7">
        <v>47807</v>
      </c>
      <c r="S5170" s="210">
        <v>4.5</v>
      </c>
      <c r="T5170" s="8">
        <v>1.0001249999999999</v>
      </c>
      <c r="U5170" s="98">
        <v>4.5662943312488435</v>
      </c>
      <c r="V5170" s="106">
        <v>41054.248490510545</v>
      </c>
      <c r="W5170" s="10">
        <v>1.297521148923142</v>
      </c>
      <c r="X5170" s="420"/>
      <c r="Y5170" s="420"/>
    </row>
    <row r="5171" spans="17:25">
      <c r="Q5171" s="6">
        <v>5141</v>
      </c>
      <c r="R5171" s="7">
        <v>47808</v>
      </c>
      <c r="S5171" s="210">
        <v>4.5</v>
      </c>
      <c r="T5171" s="8">
        <v>1.0001249999999999</v>
      </c>
      <c r="U5171" s="98">
        <v>4.5663140824810489</v>
      </c>
      <c r="V5171" s="106">
        <v>41057.77931080135</v>
      </c>
      <c r="W5171" s="10">
        <v>1.2975475593157482</v>
      </c>
      <c r="X5171" s="420"/>
      <c r="Y5171" s="420"/>
    </row>
    <row r="5172" spans="17:25">
      <c r="Q5172" s="6">
        <v>5142</v>
      </c>
      <c r="R5172" s="7">
        <v>47809</v>
      </c>
      <c r="S5172" s="210">
        <v>4.5</v>
      </c>
      <c r="T5172" s="8">
        <v>1.0001249999999999</v>
      </c>
      <c r="U5172" s="98">
        <v>4.5663338260346631</v>
      </c>
      <c r="V5172" s="106">
        <v>41061.310434756015</v>
      </c>
      <c r="W5172" s="10">
        <v>1.2975739594427882</v>
      </c>
      <c r="X5172" s="420"/>
      <c r="Y5172" s="420"/>
    </row>
    <row r="5173" spans="17:25">
      <c r="Q5173" s="6">
        <v>5143</v>
      </c>
      <c r="R5173" s="7">
        <v>47810</v>
      </c>
      <c r="S5173" s="210">
        <v>4.5</v>
      </c>
      <c r="T5173" s="8">
        <v>1.0001249999999999</v>
      </c>
      <c r="U5173" s="98">
        <v>4.5663535619141715</v>
      </c>
      <c r="V5173" s="106">
        <v>41064.841862400674</v>
      </c>
      <c r="W5173" s="10">
        <v>1.2976003493102795</v>
      </c>
      <c r="X5173" s="420"/>
      <c r="Y5173" s="420"/>
    </row>
    <row r="5174" spans="17:25">
      <c r="Q5174" s="6">
        <v>5144</v>
      </c>
      <c r="R5174" s="7">
        <v>47811</v>
      </c>
      <c r="S5174" s="210">
        <v>4.5</v>
      </c>
      <c r="T5174" s="8">
        <v>1.0001249999999999</v>
      </c>
      <c r="U5174" s="98">
        <v>4.5663732901240373</v>
      </c>
      <c r="V5174" s="106">
        <v>41068.373593761433</v>
      </c>
      <c r="W5174" s="10">
        <v>1.2976267289241727</v>
      </c>
      <c r="X5174" s="420"/>
      <c r="Y5174" s="420"/>
    </row>
    <row r="5175" spans="17:25">
      <c r="Q5175" s="6">
        <v>5145</v>
      </c>
      <c r="R5175" s="7">
        <v>47812</v>
      </c>
      <c r="S5175" s="210">
        <v>4.5</v>
      </c>
      <c r="T5175" s="8">
        <v>1.0001249999999999</v>
      </c>
      <c r="U5175" s="98">
        <v>4.5663930106687456</v>
      </c>
      <c r="V5175" s="106">
        <v>41071.905628864421</v>
      </c>
      <c r="W5175" s="10">
        <v>1.2976530982905077</v>
      </c>
      <c r="X5175" s="420"/>
      <c r="Y5175" s="420"/>
    </row>
    <row r="5176" spans="17:25">
      <c r="Q5176" s="6">
        <v>5146</v>
      </c>
      <c r="R5176" s="7">
        <v>47813</v>
      </c>
      <c r="S5176" s="210">
        <v>4.5</v>
      </c>
      <c r="T5176" s="8">
        <v>1.0001249999999999</v>
      </c>
      <c r="U5176" s="98">
        <v>4.5664127235527374</v>
      </c>
      <c r="V5176" s="106">
        <v>41075.437967735743</v>
      </c>
      <c r="W5176" s="10">
        <v>1.2976794574151684</v>
      </c>
      <c r="X5176" s="420"/>
      <c r="Y5176" s="420"/>
    </row>
    <row r="5177" spans="17:25">
      <c r="Q5177" s="6">
        <v>5147</v>
      </c>
      <c r="R5177" s="7">
        <v>47814</v>
      </c>
      <c r="S5177" s="210">
        <v>4.5</v>
      </c>
      <c r="T5177" s="8">
        <v>1.0001249999999999</v>
      </c>
      <c r="U5177" s="98">
        <v>4.566432428780498</v>
      </c>
      <c r="V5177" s="106">
        <v>41078.970610401557</v>
      </c>
      <c r="W5177" s="10">
        <v>1.2977058063041724</v>
      </c>
      <c r="X5177" s="420"/>
      <c r="Y5177" s="420"/>
    </row>
    <row r="5178" spans="17:25">
      <c r="Q5178" s="6">
        <v>5148</v>
      </c>
      <c r="R5178" s="7">
        <v>47815</v>
      </c>
      <c r="S5178" s="210">
        <v>4.5</v>
      </c>
      <c r="T5178" s="8">
        <v>1.0001249999999999</v>
      </c>
      <c r="U5178" s="98">
        <v>4.5664521263564906</v>
      </c>
      <c r="V5178" s="106">
        <v>41082.503556887954</v>
      </c>
      <c r="W5178" s="10">
        <v>1.2977321449634927</v>
      </c>
      <c r="X5178" s="420"/>
      <c r="Y5178" s="420"/>
    </row>
    <row r="5179" spans="17:25">
      <c r="Q5179" s="6">
        <v>5149</v>
      </c>
      <c r="R5179" s="7">
        <v>47816</v>
      </c>
      <c r="S5179" s="210">
        <v>4.5</v>
      </c>
      <c r="T5179" s="8">
        <v>1.0001249999999999</v>
      </c>
      <c r="U5179" s="98">
        <v>4.5664718162851559</v>
      </c>
      <c r="V5179" s="106">
        <v>41086.036807221084</v>
      </c>
      <c r="W5179" s="10">
        <v>1.2977584733990577</v>
      </c>
      <c r="X5179" s="420"/>
      <c r="Y5179" s="420"/>
    </row>
    <row r="5180" spans="17:25">
      <c r="Q5180" s="6">
        <v>5150</v>
      </c>
      <c r="R5180" s="7">
        <v>47817</v>
      </c>
      <c r="S5180" s="210">
        <v>4.5</v>
      </c>
      <c r="T5180" s="8">
        <v>1.0001249999999999</v>
      </c>
      <c r="U5180" s="98">
        <v>4.566491498570957</v>
      </c>
      <c r="V5180" s="106">
        <v>41089.570361427075</v>
      </c>
      <c r="W5180" s="10">
        <v>1.2977847916168406</v>
      </c>
      <c r="X5180" s="420"/>
      <c r="Y5180" s="420"/>
    </row>
    <row r="5181" spans="17:25">
      <c r="Q5181" s="6">
        <v>5151</v>
      </c>
      <c r="R5181" s="7">
        <v>47818</v>
      </c>
      <c r="S5181" s="210">
        <v>4.5</v>
      </c>
      <c r="T5181" s="8">
        <v>1.0001249999999999</v>
      </c>
      <c r="U5181" s="98">
        <v>4.566511173218335</v>
      </c>
      <c r="V5181" s="106">
        <v>41093.10421953207</v>
      </c>
      <c r="W5181" s="10">
        <v>1.2978110996227699</v>
      </c>
      <c r="X5181" s="420"/>
      <c r="Y5181" s="420"/>
    </row>
    <row r="5182" spans="17:25">
      <c r="Q5182" s="6">
        <v>5152</v>
      </c>
      <c r="R5182" s="7">
        <v>47819</v>
      </c>
      <c r="S5182" s="210">
        <v>4.5</v>
      </c>
      <c r="T5182" s="8">
        <v>1.0001249999999999</v>
      </c>
      <c r="U5182" s="98">
        <v>4.5665308402317306</v>
      </c>
      <c r="V5182" s="106">
        <v>41096.638381562196</v>
      </c>
      <c r="W5182" s="10">
        <v>1.2978373974227742</v>
      </c>
      <c r="X5182" s="420"/>
      <c r="Y5182" s="420"/>
    </row>
    <row r="5183" spans="17:25">
      <c r="Q5183" s="6">
        <v>5153</v>
      </c>
      <c r="R5183" s="7">
        <v>47820</v>
      </c>
      <c r="S5183" s="210">
        <v>4.5</v>
      </c>
      <c r="T5183" s="8">
        <v>1.0001249999999999</v>
      </c>
      <c r="U5183" s="98">
        <v>4.566550499615607</v>
      </c>
      <c r="V5183" s="106">
        <v>41100.172847543588</v>
      </c>
      <c r="W5183" s="10">
        <v>1.2978636850228042</v>
      </c>
      <c r="X5183" s="420"/>
      <c r="Y5183" s="420"/>
    </row>
    <row r="5184" spans="17:25">
      <c r="Q5184" s="6">
        <v>5154</v>
      </c>
      <c r="R5184" s="7">
        <v>47821</v>
      </c>
      <c r="S5184" s="210">
        <v>4.5</v>
      </c>
      <c r="T5184" s="8">
        <v>1.0001249999999999</v>
      </c>
      <c r="U5184" s="98">
        <v>4.5665701513743828</v>
      </c>
      <c r="V5184" s="106">
        <v>41103.707617502398</v>
      </c>
      <c r="W5184" s="10">
        <v>1.2978899624288109</v>
      </c>
      <c r="X5184" s="420"/>
      <c r="Y5184" s="420"/>
    </row>
    <row r="5185" spans="17:25">
      <c r="Q5185" s="6">
        <v>5155</v>
      </c>
      <c r="R5185" s="7">
        <v>47822</v>
      </c>
      <c r="S5185" s="210">
        <v>4.5</v>
      </c>
      <c r="T5185" s="8">
        <v>1.0001249999999999</v>
      </c>
      <c r="U5185" s="98">
        <v>4.566589795512499</v>
      </c>
      <c r="V5185" s="106">
        <v>41107.242691464759</v>
      </c>
      <c r="W5185" s="10">
        <v>1.2979162296467228</v>
      </c>
      <c r="X5185" s="420"/>
      <c r="Y5185" s="420"/>
    </row>
    <row r="5186" spans="17:25">
      <c r="Q5186" s="6">
        <v>5156</v>
      </c>
      <c r="R5186" s="7">
        <v>47823</v>
      </c>
      <c r="S5186" s="210">
        <v>4.5</v>
      </c>
      <c r="T5186" s="8">
        <v>1.0001249999999999</v>
      </c>
      <c r="U5186" s="98">
        <v>4.5666094320343964</v>
      </c>
      <c r="V5186" s="106">
        <v>41110.778069456814</v>
      </c>
      <c r="W5186" s="10">
        <v>1.2979424866824463</v>
      </c>
      <c r="X5186" s="420"/>
      <c r="Y5186" s="420"/>
    </row>
    <row r="5187" spans="17:25">
      <c r="Q5187" s="6">
        <v>5157</v>
      </c>
      <c r="R5187" s="7">
        <v>47824</v>
      </c>
      <c r="S5187" s="210">
        <v>4.5</v>
      </c>
      <c r="T5187" s="8">
        <v>1.0001249999999999</v>
      </c>
      <c r="U5187" s="98">
        <v>4.5666290609444937</v>
      </c>
      <c r="V5187" s="106">
        <v>41114.31375150472</v>
      </c>
      <c r="W5187" s="10">
        <v>1.2979687335418877</v>
      </c>
      <c r="X5187" s="420"/>
      <c r="Y5187" s="420"/>
    </row>
    <row r="5188" spans="17:25">
      <c r="Q5188" s="6">
        <v>5158</v>
      </c>
      <c r="R5188" s="7">
        <v>47825</v>
      </c>
      <c r="S5188" s="210">
        <v>4.5</v>
      </c>
      <c r="T5188" s="8">
        <v>1.0001249999999999</v>
      </c>
      <c r="U5188" s="98">
        <v>4.5666486822472097</v>
      </c>
      <c r="V5188" s="106">
        <v>41117.849737634635</v>
      </c>
      <c r="W5188" s="10">
        <v>1.2979949702309757</v>
      </c>
      <c r="X5188" s="420"/>
      <c r="Y5188" s="420"/>
    </row>
    <row r="5189" spans="17:25">
      <c r="Q5189" s="6">
        <v>5159</v>
      </c>
      <c r="R5189" s="7">
        <v>47826</v>
      </c>
      <c r="S5189" s="210">
        <v>4.5</v>
      </c>
      <c r="T5189" s="8">
        <v>1.0001249999999999</v>
      </c>
      <c r="U5189" s="98">
        <v>4.5666682959469851</v>
      </c>
      <c r="V5189" s="106">
        <v>41121.386027872686</v>
      </c>
      <c r="W5189" s="10">
        <v>1.2980211967556388</v>
      </c>
      <c r="X5189" s="420"/>
      <c r="Y5189" s="420"/>
    </row>
    <row r="5190" spans="17:25">
      <c r="Q5190" s="6">
        <v>5160</v>
      </c>
      <c r="R5190" s="7">
        <v>47827</v>
      </c>
      <c r="S5190" s="210">
        <v>4.5</v>
      </c>
      <c r="T5190" s="8">
        <v>1.0001249999999999</v>
      </c>
      <c r="U5190" s="98">
        <v>4.5666879020482165</v>
      </c>
      <c r="V5190" s="106">
        <v>41124.922622245052</v>
      </c>
      <c r="W5190" s="10">
        <v>1.2980474131217612</v>
      </c>
      <c r="X5190" s="420"/>
      <c r="Y5190" s="420"/>
    </row>
    <row r="5191" spans="17:25">
      <c r="Q5191" s="6">
        <v>5161</v>
      </c>
      <c r="R5191" s="7">
        <v>47828</v>
      </c>
      <c r="S5191" s="210">
        <v>4.5</v>
      </c>
      <c r="T5191" s="8">
        <v>1.0001249999999999</v>
      </c>
      <c r="U5191" s="98">
        <v>4.5667075005553448</v>
      </c>
      <c r="V5191" s="106">
        <v>41128.459520777877</v>
      </c>
      <c r="W5191" s="10">
        <v>1.2980736193352715</v>
      </c>
      <c r="X5191" s="420"/>
      <c r="Y5191" s="420"/>
    </row>
    <row r="5192" spans="17:25">
      <c r="Q5192" s="6">
        <v>5162</v>
      </c>
      <c r="R5192" s="7">
        <v>47829</v>
      </c>
      <c r="S5192" s="210">
        <v>4.5</v>
      </c>
      <c r="T5192" s="8">
        <v>1.0001249999999999</v>
      </c>
      <c r="U5192" s="98">
        <v>4.5667270914727665</v>
      </c>
      <c r="V5192" s="106">
        <v>41131.996723497316</v>
      </c>
      <c r="W5192" s="10">
        <v>1.2980998154020318</v>
      </c>
      <c r="X5192" s="420"/>
      <c r="Y5192" s="420"/>
    </row>
    <row r="5193" spans="17:25">
      <c r="Q5193" s="6">
        <v>5163</v>
      </c>
      <c r="R5193" s="7">
        <v>47830</v>
      </c>
      <c r="S5193" s="210">
        <v>4.5</v>
      </c>
      <c r="T5193" s="8">
        <v>1.0001249999999999</v>
      </c>
      <c r="U5193" s="98">
        <v>4.5667466748048779</v>
      </c>
      <c r="V5193" s="106">
        <v>41135.534230429548</v>
      </c>
      <c r="W5193" s="10">
        <v>1.2981260013279483</v>
      </c>
      <c r="X5193" s="420"/>
      <c r="Y5193" s="420"/>
    </row>
    <row r="5194" spans="17:25">
      <c r="Q5194" s="6">
        <v>5164</v>
      </c>
      <c r="R5194" s="7">
        <v>47831</v>
      </c>
      <c r="S5194" s="210">
        <v>4.5</v>
      </c>
      <c r="T5194" s="8">
        <v>1.0001249999999999</v>
      </c>
      <c r="U5194" s="98">
        <v>4.566766250556098</v>
      </c>
      <c r="V5194" s="106">
        <v>41139.072041600724</v>
      </c>
      <c r="W5194" s="10">
        <v>1.2981521771189053</v>
      </c>
      <c r="X5194" s="420"/>
      <c r="Y5194" s="420"/>
    </row>
    <row r="5195" spans="17:25">
      <c r="Q5195" s="6">
        <v>5165</v>
      </c>
      <c r="R5195" s="7">
        <v>47832</v>
      </c>
      <c r="S5195" s="210">
        <v>4.5</v>
      </c>
      <c r="T5195" s="8">
        <v>1.0001249999999999</v>
      </c>
      <c r="U5195" s="98">
        <v>4.566785818730823</v>
      </c>
      <c r="V5195" s="106">
        <v>41142.610157037001</v>
      </c>
      <c r="W5195" s="10">
        <v>1.2981783427807869</v>
      </c>
      <c r="X5195" s="420"/>
      <c r="Y5195" s="420"/>
    </row>
    <row r="5196" spans="17:25">
      <c r="Q5196" s="6">
        <v>5166</v>
      </c>
      <c r="R5196" s="7">
        <v>47833</v>
      </c>
      <c r="S5196" s="210">
        <v>4.5</v>
      </c>
      <c r="T5196" s="8">
        <v>1.0001249999999999</v>
      </c>
      <c r="U5196" s="98">
        <v>4.5668053793334495</v>
      </c>
      <c r="V5196" s="106">
        <v>41146.148576764564</v>
      </c>
      <c r="W5196" s="10">
        <v>1.2982044983194552</v>
      </c>
      <c r="X5196" s="420"/>
      <c r="Y5196" s="420"/>
    </row>
    <row r="5197" spans="17:25">
      <c r="Q5197" s="6">
        <v>5167</v>
      </c>
      <c r="R5197" s="7">
        <v>47834</v>
      </c>
      <c r="S5197" s="210">
        <v>4.5</v>
      </c>
      <c r="T5197" s="8">
        <v>1.0001249999999999</v>
      </c>
      <c r="U5197" s="98">
        <v>4.5668249323683741</v>
      </c>
      <c r="V5197" s="106">
        <v>41149.687300809572</v>
      </c>
      <c r="W5197" s="10">
        <v>1.2982306437408164</v>
      </c>
      <c r="X5197" s="420"/>
      <c r="Y5197" s="420"/>
    </row>
    <row r="5198" spans="17:25">
      <c r="Q5198" s="6">
        <v>5168</v>
      </c>
      <c r="R5198" s="7">
        <v>47835</v>
      </c>
      <c r="S5198" s="210">
        <v>4.5</v>
      </c>
      <c r="T5198" s="8">
        <v>1.0001249999999999</v>
      </c>
      <c r="U5198" s="98">
        <v>4.566844477839993</v>
      </c>
      <c r="V5198" s="106">
        <v>41153.226329198202</v>
      </c>
      <c r="W5198" s="10">
        <v>1.2982567790507327</v>
      </c>
      <c r="X5198" s="420"/>
      <c r="Y5198" s="420"/>
    </row>
    <row r="5199" spans="17:25">
      <c r="Q5199" s="6">
        <v>5169</v>
      </c>
      <c r="R5199" s="7">
        <v>47836</v>
      </c>
      <c r="S5199" s="210">
        <v>4.5</v>
      </c>
      <c r="T5199" s="8">
        <v>1.0001249999999999</v>
      </c>
      <c r="U5199" s="98">
        <v>4.566864015752703</v>
      </c>
      <c r="V5199" s="106">
        <v>41156.765661956633</v>
      </c>
      <c r="W5199" s="10">
        <v>1.2982829042550659</v>
      </c>
      <c r="X5199" s="420"/>
      <c r="Y5199" s="420"/>
    </row>
    <row r="5200" spans="17:25">
      <c r="Q5200" s="6">
        <v>5170</v>
      </c>
      <c r="R5200" s="7">
        <v>47837</v>
      </c>
      <c r="S5200" s="210">
        <v>4.5</v>
      </c>
      <c r="T5200" s="8">
        <v>1.0001249999999999</v>
      </c>
      <c r="U5200" s="98">
        <v>4.5668835461108781</v>
      </c>
      <c r="V5200" s="106">
        <v>41160.305299111031</v>
      </c>
      <c r="W5200" s="10">
        <v>1.298309019359678</v>
      </c>
      <c r="X5200" s="420"/>
      <c r="Y5200" s="420"/>
    </row>
    <row r="5201" spans="17:25">
      <c r="Q5201" s="6">
        <v>5171</v>
      </c>
      <c r="R5201" s="7">
        <v>47838</v>
      </c>
      <c r="S5201" s="210">
        <v>4.5</v>
      </c>
      <c r="T5201" s="8">
        <v>1.0001249999999999</v>
      </c>
      <c r="U5201" s="98">
        <v>4.5669030689188927</v>
      </c>
      <c r="V5201" s="106">
        <v>41163.845240687588</v>
      </c>
      <c r="W5201" s="10">
        <v>1.2983351243704089</v>
      </c>
      <c r="X5201" s="420"/>
      <c r="Y5201" s="420"/>
    </row>
    <row r="5202" spans="17:25">
      <c r="Q5202" s="6">
        <v>5172</v>
      </c>
      <c r="R5202" s="7">
        <v>47839</v>
      </c>
      <c r="S5202" s="210">
        <v>4.5</v>
      </c>
      <c r="T5202" s="8">
        <v>1.0001249999999999</v>
      </c>
      <c r="U5202" s="98">
        <v>4.5669225841811212</v>
      </c>
      <c r="V5202" s="106">
        <v>41167.385486712468</v>
      </c>
      <c r="W5202" s="10">
        <v>1.2983612192931204</v>
      </c>
      <c r="X5202" s="420"/>
      <c r="Y5202" s="420"/>
    </row>
    <row r="5203" spans="17:25">
      <c r="Q5203" s="6">
        <v>5173</v>
      </c>
      <c r="R5203" s="7">
        <v>47840</v>
      </c>
      <c r="S5203" s="210">
        <v>4.5</v>
      </c>
      <c r="T5203" s="8">
        <v>1.0001249999999999</v>
      </c>
      <c r="U5203" s="98">
        <v>4.5669420919019377</v>
      </c>
      <c r="V5203" s="106">
        <v>41170.926037211881</v>
      </c>
      <c r="W5203" s="10">
        <v>1.2983873041336524</v>
      </c>
      <c r="X5203" s="420"/>
      <c r="Y5203" s="420"/>
    </row>
    <row r="5204" spans="17:25">
      <c r="Q5204" s="6">
        <v>5174</v>
      </c>
      <c r="R5204" s="7">
        <v>47841</v>
      </c>
      <c r="S5204" s="210">
        <v>4.5</v>
      </c>
      <c r="T5204" s="8">
        <v>1.0001249999999999</v>
      </c>
      <c r="U5204" s="98">
        <v>4.5669615920857165</v>
      </c>
      <c r="V5204" s="106">
        <v>41174.466892211989</v>
      </c>
      <c r="W5204" s="10">
        <v>1.2984133788978447</v>
      </c>
      <c r="X5204" s="420"/>
      <c r="Y5204" s="420"/>
    </row>
    <row r="5205" spans="17:25">
      <c r="Q5205" s="6">
        <v>5175</v>
      </c>
      <c r="R5205" s="7">
        <v>47842</v>
      </c>
      <c r="S5205" s="210">
        <v>4.5</v>
      </c>
      <c r="T5205" s="8">
        <v>1.0001249999999999</v>
      </c>
      <c r="U5205" s="98">
        <v>4.566981084736832</v>
      </c>
      <c r="V5205" s="106">
        <v>41178.008051738987</v>
      </c>
      <c r="W5205" s="10">
        <v>1.298439443591537</v>
      </c>
      <c r="X5205" s="420"/>
      <c r="Y5205" s="420"/>
    </row>
    <row r="5206" spans="17:25">
      <c r="Q5206" s="6">
        <v>5176</v>
      </c>
      <c r="R5206" s="7">
        <v>47843</v>
      </c>
      <c r="S5206" s="210">
        <v>4.5</v>
      </c>
      <c r="T5206" s="8">
        <v>1.0001249999999999</v>
      </c>
      <c r="U5206" s="98">
        <v>4.5670005698596361</v>
      </c>
      <c r="V5206" s="106">
        <v>41181.549515819068</v>
      </c>
      <c r="W5206" s="10">
        <v>1.298465498220569</v>
      </c>
      <c r="X5206" s="420"/>
      <c r="Y5206" s="420"/>
    </row>
    <row r="5207" spans="17:25">
      <c r="Q5207" s="6">
        <v>5177</v>
      </c>
      <c r="R5207" s="7">
        <v>47844</v>
      </c>
      <c r="S5207" s="210">
        <v>4.5</v>
      </c>
      <c r="T5207" s="8">
        <v>1.0001249999999999</v>
      </c>
      <c r="U5207" s="98">
        <v>4.5670200474585032</v>
      </c>
      <c r="V5207" s="106">
        <v>41185.091284478418</v>
      </c>
      <c r="W5207" s="10">
        <v>1.2984915427907806</v>
      </c>
      <c r="X5207" s="420"/>
      <c r="Y5207" s="420"/>
    </row>
    <row r="5208" spans="17:25">
      <c r="Q5208" s="6">
        <v>5178</v>
      </c>
      <c r="R5208" s="7">
        <v>47845</v>
      </c>
      <c r="S5208" s="210">
        <v>4.5</v>
      </c>
      <c r="T5208" s="8">
        <v>1.0001249999999999</v>
      </c>
      <c r="U5208" s="98">
        <v>4.5670395175377854</v>
      </c>
      <c r="V5208" s="106">
        <v>41188.633357743245</v>
      </c>
      <c r="W5208" s="10">
        <v>1.2985175773079671</v>
      </c>
      <c r="X5208" s="420"/>
      <c r="Y5208" s="420"/>
    </row>
    <row r="5209" spans="17:25">
      <c r="Q5209" s="6">
        <v>5179</v>
      </c>
      <c r="R5209" s="7">
        <v>47846</v>
      </c>
      <c r="S5209" s="210">
        <v>4.5</v>
      </c>
      <c r="T5209" s="8">
        <v>1.0001249999999999</v>
      </c>
      <c r="U5209" s="98">
        <v>4.5670589801018346</v>
      </c>
      <c r="V5209" s="106">
        <v>41192.175735639743</v>
      </c>
      <c r="W5209" s="10">
        <v>1.2985436017779683</v>
      </c>
      <c r="X5209" s="420"/>
      <c r="Y5209" s="420"/>
    </row>
    <row r="5210" spans="17:25">
      <c r="Q5210" s="6">
        <v>5180</v>
      </c>
      <c r="R5210" s="7">
        <v>47847</v>
      </c>
      <c r="S5210" s="210">
        <v>4.5</v>
      </c>
      <c r="T5210" s="8">
        <v>1.0001249999999999</v>
      </c>
      <c r="U5210" s="98">
        <v>4.5670784351550031</v>
      </c>
      <c r="V5210" s="106">
        <v>41195.718418194097</v>
      </c>
      <c r="W5210" s="10">
        <v>1.2985696162066018</v>
      </c>
      <c r="X5210" s="420"/>
      <c r="Y5210" s="420"/>
    </row>
    <row r="5211" spans="17:25">
      <c r="Q5211" s="6">
        <v>5181</v>
      </c>
      <c r="R5211" s="7">
        <v>47848</v>
      </c>
      <c r="S5211" s="210">
        <v>4.5</v>
      </c>
      <c r="T5211" s="8">
        <v>1.0001249999999999</v>
      </c>
      <c r="U5211" s="98">
        <v>4.5670978827016206</v>
      </c>
      <c r="V5211" s="106">
        <v>41199.261405432531</v>
      </c>
      <c r="W5211" s="10">
        <v>1.2985956205996629</v>
      </c>
      <c r="X5211" s="420"/>
      <c r="Y5211" s="420"/>
    </row>
    <row r="5212" spans="17:25">
      <c r="Q5212" s="6">
        <v>5182</v>
      </c>
      <c r="R5212" s="7">
        <v>47849</v>
      </c>
      <c r="S5212" s="210">
        <v>4.5</v>
      </c>
      <c r="T5212" s="8">
        <v>1.0001249999999999</v>
      </c>
      <c r="U5212" s="98">
        <v>4.5671173227460615</v>
      </c>
      <c r="V5212" s="106">
        <v>41202.804697381238</v>
      </c>
      <c r="W5212" s="10">
        <v>1.2986216149629692</v>
      </c>
      <c r="X5212" s="420"/>
      <c r="Y5212" s="420"/>
    </row>
    <row r="5213" spans="17:25">
      <c r="Q5213" s="6">
        <v>5183</v>
      </c>
      <c r="R5213" s="7">
        <v>47850</v>
      </c>
      <c r="S5213" s="210">
        <v>4.5</v>
      </c>
      <c r="T5213" s="8">
        <v>1.0001249999999999</v>
      </c>
      <c r="U5213" s="98">
        <v>4.5671367552926334</v>
      </c>
      <c r="V5213" s="106">
        <v>41206.348294066411</v>
      </c>
      <c r="W5213" s="10">
        <v>1.2986475993022939</v>
      </c>
      <c r="X5213" s="420"/>
      <c r="Y5213" s="420"/>
    </row>
    <row r="5214" spans="17:25">
      <c r="Q5214" s="6">
        <v>5184</v>
      </c>
      <c r="R5214" s="7">
        <v>47851</v>
      </c>
      <c r="S5214" s="210">
        <v>4.5</v>
      </c>
      <c r="T5214" s="8">
        <v>1.0001249999999999</v>
      </c>
      <c r="U5214" s="98">
        <v>4.5671561803457106</v>
      </c>
      <c r="V5214" s="106">
        <v>41209.89219551428</v>
      </c>
      <c r="W5214" s="10">
        <v>1.2986735736234989</v>
      </c>
      <c r="X5214" s="420"/>
      <c r="Y5214" s="420"/>
    </row>
    <row r="5215" spans="17:25">
      <c r="Q5215" s="6">
        <v>5185</v>
      </c>
      <c r="R5215" s="7">
        <v>47852</v>
      </c>
      <c r="S5215" s="210">
        <v>4.5</v>
      </c>
      <c r="T5215" s="8">
        <v>1.0001249999999999</v>
      </c>
      <c r="U5215" s="98">
        <v>4.5671755979096007</v>
      </c>
      <c r="V5215" s="106">
        <v>41213.436401751038</v>
      </c>
      <c r="W5215" s="10">
        <v>1.298699537932313</v>
      </c>
      <c r="X5215" s="420"/>
      <c r="Y5215" s="420"/>
    </row>
    <row r="5216" spans="17:25">
      <c r="Q5216" s="6">
        <v>5186</v>
      </c>
      <c r="R5216" s="7">
        <v>47853</v>
      </c>
      <c r="S5216" s="210">
        <v>4.5</v>
      </c>
      <c r="T5216" s="8">
        <v>1.0001249999999999</v>
      </c>
      <c r="U5216" s="98">
        <v>4.5671950079886336</v>
      </c>
      <c r="V5216" s="106">
        <v>41216.980912802908</v>
      </c>
      <c r="W5216" s="10">
        <v>1.2987254922345537</v>
      </c>
      <c r="X5216" s="420"/>
      <c r="Y5216" s="420"/>
    </row>
    <row r="5217" spans="17:25">
      <c r="Q5217" s="6">
        <v>5187</v>
      </c>
      <c r="R5217" s="7">
        <v>47854</v>
      </c>
      <c r="S5217" s="210">
        <v>4.5</v>
      </c>
      <c r="T5217" s="8">
        <v>1.0001249999999999</v>
      </c>
      <c r="U5217" s="98">
        <v>4.5672144105871393</v>
      </c>
      <c r="V5217" s="106">
        <v>41220.525728696113</v>
      </c>
      <c r="W5217" s="10">
        <v>1.298751436535972</v>
      </c>
      <c r="X5217" s="420"/>
      <c r="Y5217" s="420"/>
    </row>
    <row r="5218" spans="17:25">
      <c r="Q5218" s="6">
        <v>5188</v>
      </c>
      <c r="R5218" s="7">
        <v>47855</v>
      </c>
      <c r="S5218" s="210">
        <v>4.5</v>
      </c>
      <c r="T5218" s="8">
        <v>1.0001249999999999</v>
      </c>
      <c r="U5218" s="98">
        <v>4.5672338057094475</v>
      </c>
      <c r="V5218" s="106">
        <v>41224.070849456853</v>
      </c>
      <c r="W5218" s="10">
        <v>1.2987773708424077</v>
      </c>
      <c r="X5218" s="420"/>
      <c r="Y5218" s="420"/>
    </row>
    <row r="5219" spans="17:25">
      <c r="Q5219" s="6">
        <v>5189</v>
      </c>
      <c r="R5219" s="7">
        <v>47856</v>
      </c>
      <c r="S5219" s="210">
        <v>4.5</v>
      </c>
      <c r="T5219" s="8">
        <v>1.0001249999999999</v>
      </c>
      <c r="U5219" s="98">
        <v>4.5672531933598659</v>
      </c>
      <c r="V5219" s="106">
        <v>41227.616275111366</v>
      </c>
      <c r="W5219" s="10">
        <v>1.2988032951595674</v>
      </c>
      <c r="X5219" s="420"/>
      <c r="Y5219" s="420"/>
    </row>
    <row r="5220" spans="17:25">
      <c r="Q5220" s="6">
        <v>5190</v>
      </c>
      <c r="R5220" s="7">
        <v>47857</v>
      </c>
      <c r="S5220" s="210">
        <v>4.5</v>
      </c>
      <c r="T5220" s="8">
        <v>1.0001249999999999</v>
      </c>
      <c r="U5220" s="98">
        <v>4.5672725735427244</v>
      </c>
      <c r="V5220" s="106">
        <v>41231.162005685852</v>
      </c>
      <c r="W5220" s="10">
        <v>1.2988292094932685</v>
      </c>
      <c r="X5220" s="420"/>
      <c r="Y5220" s="420"/>
    </row>
    <row r="5221" spans="17:25">
      <c r="Q5221" s="6">
        <v>5191</v>
      </c>
      <c r="R5221" s="7">
        <v>47858</v>
      </c>
      <c r="S5221" s="210">
        <v>4.5</v>
      </c>
      <c r="T5221" s="8">
        <v>1.0001249999999999</v>
      </c>
      <c r="U5221" s="98">
        <v>4.5672919462623307</v>
      </c>
      <c r="V5221" s="106">
        <v>41234.708041206555</v>
      </c>
      <c r="W5221" s="10">
        <v>1.2988551138492621</v>
      </c>
      <c r="X5221" s="420"/>
      <c r="Y5221" s="420"/>
    </row>
    <row r="5222" spans="17:25">
      <c r="Q5222" s="6">
        <v>5192</v>
      </c>
      <c r="R5222" s="7">
        <v>47859</v>
      </c>
      <c r="S5222" s="210">
        <v>4.5</v>
      </c>
      <c r="T5222" s="8">
        <v>1.0001249999999999</v>
      </c>
      <c r="U5222" s="98">
        <v>4.5673113115230146</v>
      </c>
      <c r="V5222" s="106">
        <v>41238.254381699691</v>
      </c>
      <c r="W5222" s="10">
        <v>1.2988810082333213</v>
      </c>
      <c r="X5222" s="420"/>
      <c r="Y5222" s="420"/>
    </row>
    <row r="5223" spans="17:25">
      <c r="Q5223" s="6">
        <v>5193</v>
      </c>
      <c r="R5223" s="7">
        <v>47860</v>
      </c>
      <c r="S5223" s="210">
        <v>4.5</v>
      </c>
      <c r="T5223" s="8">
        <v>1.0001249999999999</v>
      </c>
      <c r="U5223" s="98">
        <v>4.5673306693290616</v>
      </c>
      <c r="V5223" s="106">
        <v>41241.801027191497</v>
      </c>
      <c r="W5223" s="10">
        <v>1.2989068926511971</v>
      </c>
      <c r="X5223" s="420"/>
      <c r="Y5223" s="420"/>
    </row>
    <row r="5224" spans="17:25">
      <c r="Q5224" s="6">
        <v>5194</v>
      </c>
      <c r="R5224" s="7">
        <v>47861</v>
      </c>
      <c r="S5224" s="210">
        <v>4.5</v>
      </c>
      <c r="T5224" s="8">
        <v>1.0001249999999999</v>
      </c>
      <c r="U5224" s="98">
        <v>4.5673500196847794</v>
      </c>
      <c r="V5224" s="106">
        <v>41245.347977708181</v>
      </c>
      <c r="W5224" s="10">
        <v>1.2989327671086404</v>
      </c>
      <c r="X5224" s="420"/>
      <c r="Y5224" s="420"/>
    </row>
    <row r="5225" spans="17:25">
      <c r="Q5225" s="6">
        <v>5195</v>
      </c>
      <c r="R5225" s="7">
        <v>47862</v>
      </c>
      <c r="S5225" s="210">
        <v>4.5</v>
      </c>
      <c r="T5225" s="8">
        <v>1.0001249999999999</v>
      </c>
      <c r="U5225" s="98">
        <v>4.5673693625944534</v>
      </c>
      <c r="V5225" s="106">
        <v>41248.895233276009</v>
      </c>
      <c r="W5225" s="10">
        <v>1.2989586316113577</v>
      </c>
      <c r="X5225" s="420"/>
      <c r="Y5225" s="420"/>
    </row>
    <row r="5226" spans="17:25">
      <c r="Q5226" s="6">
        <v>5196</v>
      </c>
      <c r="R5226" s="7">
        <v>47863</v>
      </c>
      <c r="S5226" s="210">
        <v>4.5</v>
      </c>
      <c r="T5226" s="8">
        <v>1.0001249999999999</v>
      </c>
      <c r="U5226" s="98">
        <v>4.5673886980624134</v>
      </c>
      <c r="V5226" s="106">
        <v>41252.442793921204</v>
      </c>
      <c r="W5226" s="10">
        <v>1.2989844861651667</v>
      </c>
      <c r="X5226" s="420"/>
      <c r="Y5226" s="420"/>
    </row>
    <row r="5227" spans="17:25">
      <c r="Q5227" s="6">
        <v>5197</v>
      </c>
      <c r="R5227" s="7">
        <v>47864</v>
      </c>
      <c r="S5227" s="210">
        <v>4.5</v>
      </c>
      <c r="T5227" s="8">
        <v>1.0001249999999999</v>
      </c>
      <c r="U5227" s="98">
        <v>4.5674080260929228</v>
      </c>
      <c r="V5227" s="106">
        <v>41255.990659670002</v>
      </c>
      <c r="W5227" s="10">
        <v>1.2990103307757739</v>
      </c>
      <c r="X5227" s="420"/>
      <c r="Y5227" s="420"/>
    </row>
    <row r="5228" spans="17:25">
      <c r="Q5228" s="6">
        <v>5198</v>
      </c>
      <c r="R5228" s="7">
        <v>47865</v>
      </c>
      <c r="S5228" s="210">
        <v>4.5</v>
      </c>
      <c r="T5228" s="8">
        <v>1.0001249999999999</v>
      </c>
      <c r="U5228" s="98">
        <v>4.5674273466902893</v>
      </c>
      <c r="V5228" s="106">
        <v>41259.538830548634</v>
      </c>
      <c r="W5228" s="10">
        <v>1.2990361654488858</v>
      </c>
      <c r="X5228" s="420"/>
      <c r="Y5228" s="420"/>
    </row>
    <row r="5229" spans="17:25">
      <c r="Q5229" s="6">
        <v>5199</v>
      </c>
      <c r="R5229" s="7">
        <v>47866</v>
      </c>
      <c r="S5229" s="210">
        <v>4.5</v>
      </c>
      <c r="T5229" s="8">
        <v>1.0001249999999999</v>
      </c>
      <c r="U5229" s="98">
        <v>4.5674466598587982</v>
      </c>
      <c r="V5229" s="106">
        <v>41263.087306583351</v>
      </c>
      <c r="W5229" s="10">
        <v>1.2990619901902756</v>
      </c>
      <c r="X5229" s="420"/>
      <c r="Y5229" s="420"/>
    </row>
    <row r="5230" spans="17:25">
      <c r="Q5230" s="6">
        <v>5200</v>
      </c>
      <c r="R5230" s="7">
        <v>47867</v>
      </c>
      <c r="S5230" s="210">
        <v>4.5</v>
      </c>
      <c r="T5230" s="8">
        <v>1.0001249999999999</v>
      </c>
      <c r="U5230" s="98">
        <v>4.567465965602735</v>
      </c>
      <c r="V5230" s="106">
        <v>41266.636087800405</v>
      </c>
      <c r="W5230" s="10">
        <v>1.299087805005672</v>
      </c>
      <c r="X5230" s="420"/>
      <c r="Y5230" s="420"/>
    </row>
    <row r="5231" spans="17:25">
      <c r="Q5231" s="6">
        <v>5201</v>
      </c>
      <c r="R5231" s="7">
        <v>47868</v>
      </c>
      <c r="S5231" s="210">
        <v>4.5</v>
      </c>
      <c r="T5231" s="8">
        <v>1.0001249999999999</v>
      </c>
      <c r="U5231" s="98">
        <v>4.567485263926363</v>
      </c>
      <c r="V5231" s="106">
        <v>41270.185174226026</v>
      </c>
      <c r="W5231" s="10">
        <v>1.2991136099007372</v>
      </c>
      <c r="X5231" s="420"/>
      <c r="Y5231" s="420"/>
    </row>
    <row r="5232" spans="17:25">
      <c r="Q5232" s="6">
        <v>5202</v>
      </c>
      <c r="R5232" s="7">
        <v>47869</v>
      </c>
      <c r="S5232" s="210">
        <v>4.5</v>
      </c>
      <c r="T5232" s="8">
        <v>1.0001249999999999</v>
      </c>
      <c r="U5232" s="98">
        <v>4.5675045548339677</v>
      </c>
      <c r="V5232" s="106">
        <v>41273.734565886487</v>
      </c>
      <c r="W5232" s="10">
        <v>1.2991394048812444</v>
      </c>
      <c r="X5232" s="420"/>
      <c r="Y5232" s="420"/>
    </row>
    <row r="5233" spans="17:25">
      <c r="Q5233" s="6">
        <v>5203</v>
      </c>
      <c r="R5233" s="7">
        <v>47870</v>
      </c>
      <c r="S5233" s="210">
        <v>4.5</v>
      </c>
      <c r="T5233" s="8">
        <v>1.0001249999999999</v>
      </c>
      <c r="U5233" s="98">
        <v>4.5675238383298344</v>
      </c>
      <c r="V5233" s="106">
        <v>41277.284262808011</v>
      </c>
      <c r="W5233" s="10">
        <v>1.2991651899529</v>
      </c>
      <c r="X5233" s="420"/>
      <c r="Y5233" s="420"/>
    </row>
    <row r="5234" spans="17:25">
      <c r="Q5234" s="6">
        <v>5204</v>
      </c>
      <c r="R5234" s="7">
        <v>47871</v>
      </c>
      <c r="S5234" s="210">
        <v>4.5</v>
      </c>
      <c r="T5234" s="8">
        <v>1.0001249999999999</v>
      </c>
      <c r="U5234" s="98">
        <v>4.5675431144182266</v>
      </c>
      <c r="V5234" s="106">
        <v>41280.834265016871</v>
      </c>
      <c r="W5234" s="10">
        <v>1.2991909651213884</v>
      </c>
      <c r="X5234" s="420"/>
      <c r="Y5234" s="420"/>
    </row>
    <row r="5235" spans="17:25">
      <c r="Q5235" s="6">
        <v>5205</v>
      </c>
      <c r="R5235" s="7">
        <v>47872</v>
      </c>
      <c r="S5235" s="210">
        <v>4.5</v>
      </c>
      <c r="T5235" s="8">
        <v>1.0001249999999999</v>
      </c>
      <c r="U5235" s="98">
        <v>4.5675623831034073</v>
      </c>
      <c r="V5235" s="106">
        <v>41284.384572539318</v>
      </c>
      <c r="W5235" s="10">
        <v>1.2992167303924163</v>
      </c>
      <c r="X5235" s="420"/>
      <c r="Y5235" s="420"/>
    </row>
    <row r="5236" spans="17:25">
      <c r="Q5236" s="6">
        <v>5206</v>
      </c>
      <c r="R5236" s="7">
        <v>47873</v>
      </c>
      <c r="S5236" s="210">
        <v>4.5</v>
      </c>
      <c r="T5236" s="8">
        <v>1.0001249999999999</v>
      </c>
      <c r="U5236" s="98">
        <v>4.5675816443896622</v>
      </c>
      <c r="V5236" s="106">
        <v>41287.935185401606</v>
      </c>
      <c r="W5236" s="10">
        <v>1.2992424857717344</v>
      </c>
      <c r="X5236" s="420"/>
      <c r="Y5236" s="420"/>
    </row>
    <row r="5237" spans="17:25">
      <c r="Q5237" s="6">
        <v>5207</v>
      </c>
      <c r="R5237" s="7">
        <v>47874</v>
      </c>
      <c r="S5237" s="210">
        <v>4.5</v>
      </c>
      <c r="T5237" s="8">
        <v>1.0001249999999999</v>
      </c>
      <c r="U5237" s="98">
        <v>4.5676008982812322</v>
      </c>
      <c r="V5237" s="106">
        <v>41291.486103629999</v>
      </c>
      <c r="W5237" s="10">
        <v>1.2992682312649828</v>
      </c>
      <c r="X5237" s="420"/>
      <c r="Y5237" s="420"/>
    </row>
    <row r="5238" spans="17:25">
      <c r="Q5238" s="6">
        <v>5208</v>
      </c>
      <c r="R5238" s="7">
        <v>47875</v>
      </c>
      <c r="S5238" s="210">
        <v>4.5</v>
      </c>
      <c r="T5238" s="8">
        <v>1.0001249999999999</v>
      </c>
      <c r="U5238" s="98">
        <v>4.5676201447823805</v>
      </c>
      <c r="V5238" s="106">
        <v>41295.037327250757</v>
      </c>
      <c r="W5238" s="10">
        <v>1.299293966877868</v>
      </c>
      <c r="X5238" s="420"/>
      <c r="Y5238" s="420"/>
    </row>
    <row r="5239" spans="17:25">
      <c r="Q5239" s="6">
        <v>5209</v>
      </c>
      <c r="R5239" s="7">
        <v>47876</v>
      </c>
      <c r="S5239" s="210">
        <v>4.5</v>
      </c>
      <c r="T5239" s="8">
        <v>1.0001249999999999</v>
      </c>
      <c r="U5239" s="98">
        <v>4.5676393838973484</v>
      </c>
      <c r="V5239" s="106">
        <v>41298.588856290153</v>
      </c>
      <c r="W5239" s="10">
        <v>1.2993196926160744</v>
      </c>
      <c r="X5239" s="420"/>
      <c r="Y5239" s="420"/>
    </row>
    <row r="5240" spans="17:25">
      <c r="Q5240" s="6">
        <v>5210</v>
      </c>
      <c r="R5240" s="7">
        <v>47877</v>
      </c>
      <c r="S5240" s="210">
        <v>4.5</v>
      </c>
      <c r="T5240" s="8">
        <v>1.0001249999999999</v>
      </c>
      <c r="U5240" s="98">
        <v>4.5676586156303989</v>
      </c>
      <c r="V5240" s="106">
        <v>41302.140690774439</v>
      </c>
      <c r="W5240" s="10">
        <v>1.2993454084852862</v>
      </c>
      <c r="X5240" s="420"/>
      <c r="Y5240" s="420"/>
    </row>
    <row r="5241" spans="17:25">
      <c r="Q5241" s="6">
        <v>5211</v>
      </c>
      <c r="R5241" s="7">
        <v>47878</v>
      </c>
      <c r="S5241" s="210">
        <v>4.5</v>
      </c>
      <c r="T5241" s="8">
        <v>1.0001249999999999</v>
      </c>
      <c r="U5241" s="98">
        <v>4.5676778399857731</v>
      </c>
      <c r="V5241" s="106">
        <v>41305.692830729902</v>
      </c>
      <c r="W5241" s="10">
        <v>1.2993711144911879</v>
      </c>
      <c r="X5241" s="420"/>
      <c r="Y5241" s="420"/>
    </row>
    <row r="5242" spans="17:25">
      <c r="Q5242" s="6">
        <v>5212</v>
      </c>
      <c r="R5242" s="7">
        <v>47879</v>
      </c>
      <c r="S5242" s="210">
        <v>4.5</v>
      </c>
      <c r="T5242" s="8">
        <v>1.0001249999999999</v>
      </c>
      <c r="U5242" s="98">
        <v>4.5676970569677344</v>
      </c>
      <c r="V5242" s="106">
        <v>41309.245276182803</v>
      </c>
      <c r="W5242" s="10">
        <v>1.2993968106394416</v>
      </c>
      <c r="X5242" s="420"/>
      <c r="Y5242" s="420"/>
    </row>
    <row r="5243" spans="17:25">
      <c r="Q5243" s="6">
        <v>5213</v>
      </c>
      <c r="R5243" s="7">
        <v>47880</v>
      </c>
      <c r="S5243" s="210">
        <v>4.5</v>
      </c>
      <c r="T5243" s="8">
        <v>1.0001249999999999</v>
      </c>
      <c r="U5243" s="98">
        <v>4.5677162665805016</v>
      </c>
      <c r="V5243" s="106">
        <v>41312.798027159421</v>
      </c>
      <c r="W5243" s="10">
        <v>1.2994224969357315</v>
      </c>
      <c r="X5243" s="420"/>
      <c r="Y5243" s="420"/>
    </row>
    <row r="5244" spans="17:25">
      <c r="Q5244" s="6">
        <v>5214</v>
      </c>
      <c r="R5244" s="7">
        <v>47881</v>
      </c>
      <c r="S5244" s="210">
        <v>4.5</v>
      </c>
      <c r="T5244" s="8">
        <v>1.0001249999999999</v>
      </c>
      <c r="U5244" s="98">
        <v>4.5677354688283156</v>
      </c>
      <c r="V5244" s="106">
        <v>41316.351083686022</v>
      </c>
      <c r="W5244" s="10">
        <v>1.2994481733856977</v>
      </c>
      <c r="X5244" s="420"/>
      <c r="Y5244" s="420"/>
    </row>
    <row r="5245" spans="17:25">
      <c r="Q5245" s="6">
        <v>5215</v>
      </c>
      <c r="R5245" s="7">
        <v>47882</v>
      </c>
      <c r="S5245" s="210">
        <v>4.5</v>
      </c>
      <c r="T5245" s="8">
        <v>1.0001249999999999</v>
      </c>
      <c r="U5245" s="98">
        <v>4.5677546637154176</v>
      </c>
      <c r="V5245" s="106">
        <v>41319.904445788896</v>
      </c>
      <c r="W5245" s="10">
        <v>1.2994738399950245</v>
      </c>
      <c r="X5245" s="420"/>
      <c r="Y5245" s="420"/>
    </row>
    <row r="5246" spans="17:25">
      <c r="Q5246" s="6">
        <v>5216</v>
      </c>
      <c r="R5246" s="7">
        <v>47883</v>
      </c>
      <c r="S5246" s="210">
        <v>4.5</v>
      </c>
      <c r="T5246" s="8">
        <v>1.0001249999999999</v>
      </c>
      <c r="U5246" s="98">
        <v>4.5677738512460486</v>
      </c>
      <c r="V5246" s="106">
        <v>41323.458113494322</v>
      </c>
      <c r="W5246" s="10">
        <v>1.2994994967693518</v>
      </c>
      <c r="X5246" s="420"/>
      <c r="Y5246" s="420"/>
    </row>
    <row r="5247" spans="17:25">
      <c r="Q5247" s="6">
        <v>5217</v>
      </c>
      <c r="R5247" s="7">
        <v>47884</v>
      </c>
      <c r="S5247" s="210">
        <v>4.5</v>
      </c>
      <c r="T5247" s="8">
        <v>1.0001249999999999</v>
      </c>
      <c r="U5247" s="98">
        <v>4.5677930314244275</v>
      </c>
      <c r="V5247" s="106">
        <v>41327.012086828581</v>
      </c>
      <c r="W5247" s="10">
        <v>1.2995251437143418</v>
      </c>
      <c r="X5247" s="420"/>
      <c r="Y5247" s="420"/>
    </row>
    <row r="5248" spans="17:25">
      <c r="Q5248" s="6">
        <v>5218</v>
      </c>
      <c r="R5248" s="7">
        <v>47885</v>
      </c>
      <c r="S5248" s="210">
        <v>4.5</v>
      </c>
      <c r="T5248" s="8">
        <v>1.0001249999999999</v>
      </c>
      <c r="U5248" s="98">
        <v>4.5678122042547731</v>
      </c>
      <c r="V5248" s="106">
        <v>41330.566365817955</v>
      </c>
      <c r="W5248" s="10">
        <v>1.2995507808356566</v>
      </c>
      <c r="X5248" s="420"/>
      <c r="Y5248" s="420"/>
    </row>
    <row r="5249" spans="17:25">
      <c r="Q5249" s="6">
        <v>5219</v>
      </c>
      <c r="R5249" s="7">
        <v>47886</v>
      </c>
      <c r="S5249" s="210">
        <v>4.5</v>
      </c>
      <c r="T5249" s="8">
        <v>1.0001249999999999</v>
      </c>
      <c r="U5249" s="98">
        <v>4.5678313697413042</v>
      </c>
      <c r="V5249" s="106">
        <v>41334.12095048873</v>
      </c>
      <c r="W5249" s="10">
        <v>1.2995764081388916</v>
      </c>
      <c r="X5249" s="420"/>
      <c r="Y5249" s="420"/>
    </row>
    <row r="5250" spans="17:25">
      <c r="Q5250" s="6">
        <v>5220</v>
      </c>
      <c r="R5250" s="7">
        <v>47887</v>
      </c>
      <c r="S5250" s="210">
        <v>4.5</v>
      </c>
      <c r="T5250" s="8">
        <v>1.0001249999999999</v>
      </c>
      <c r="U5250" s="98">
        <v>4.567850527888262</v>
      </c>
      <c r="V5250" s="106">
        <v>41337.67584086721</v>
      </c>
      <c r="W5250" s="10">
        <v>1.2996020256297536</v>
      </c>
      <c r="X5250" s="420"/>
      <c r="Y5250" s="420"/>
    </row>
    <row r="5251" spans="17:25">
      <c r="Q5251" s="6">
        <v>5221</v>
      </c>
      <c r="R5251" s="7">
        <v>47888</v>
      </c>
      <c r="S5251" s="210">
        <v>4.5</v>
      </c>
      <c r="T5251" s="8">
        <v>1.0001249999999999</v>
      </c>
      <c r="U5251" s="98">
        <v>4.567869678699843</v>
      </c>
      <c r="V5251" s="106">
        <v>41341.231036979669</v>
      </c>
      <c r="W5251" s="10">
        <v>1.2996276333138157</v>
      </c>
      <c r="X5251" s="420"/>
      <c r="Y5251" s="420"/>
    </row>
    <row r="5252" spans="17:25">
      <c r="Q5252" s="6">
        <v>5222</v>
      </c>
      <c r="R5252" s="7">
        <v>47889</v>
      </c>
      <c r="S5252" s="210">
        <v>4.5</v>
      </c>
      <c r="T5252" s="8">
        <v>1.0001249999999999</v>
      </c>
      <c r="U5252" s="98">
        <v>4.567888822180266</v>
      </c>
      <c r="V5252" s="106">
        <v>41344.786538852415</v>
      </c>
      <c r="W5252" s="10">
        <v>1.2996532311967401</v>
      </c>
      <c r="X5252" s="420"/>
      <c r="Y5252" s="420"/>
    </row>
    <row r="5253" spans="17:25">
      <c r="Q5253" s="6">
        <v>5223</v>
      </c>
      <c r="R5253" s="7">
        <v>47890</v>
      </c>
      <c r="S5253" s="210">
        <v>4.5</v>
      </c>
      <c r="T5253" s="8">
        <v>1.0001249999999999</v>
      </c>
      <c r="U5253" s="98">
        <v>4.5679079583337279</v>
      </c>
      <c r="V5253" s="106">
        <v>41348.342346511738</v>
      </c>
      <c r="W5253" s="10">
        <v>1.2996788192841224</v>
      </c>
      <c r="X5253" s="420"/>
      <c r="Y5253" s="420"/>
    </row>
    <row r="5254" spans="17:25">
      <c r="Q5254" s="6">
        <v>5224</v>
      </c>
      <c r="R5254" s="7">
        <v>47891</v>
      </c>
      <c r="S5254" s="210">
        <v>4.5</v>
      </c>
      <c r="T5254" s="8">
        <v>1.0001249999999999</v>
      </c>
      <c r="U5254" s="98">
        <v>4.5679270871644473</v>
      </c>
      <c r="V5254" s="106">
        <v>41351.898459983939</v>
      </c>
      <c r="W5254" s="10">
        <v>1.2997043975816247</v>
      </c>
      <c r="X5254" s="420"/>
      <c r="Y5254" s="420"/>
    </row>
    <row r="5255" spans="17:25">
      <c r="Q5255" s="6">
        <v>5225</v>
      </c>
      <c r="R5255" s="7">
        <v>47892</v>
      </c>
      <c r="S5255" s="210">
        <v>4.5</v>
      </c>
      <c r="T5255" s="8">
        <v>1.0001249999999999</v>
      </c>
      <c r="U5255" s="98">
        <v>4.5679462086766209</v>
      </c>
      <c r="V5255" s="106">
        <v>41355.454879295306</v>
      </c>
      <c r="W5255" s="10">
        <v>1.2997299660948425</v>
      </c>
      <c r="X5255" s="420"/>
      <c r="Y5255" s="420"/>
    </row>
    <row r="5256" spans="17:25">
      <c r="Q5256" s="6">
        <v>5226</v>
      </c>
      <c r="R5256" s="7">
        <v>47893</v>
      </c>
      <c r="S5256" s="210">
        <v>4.5</v>
      </c>
      <c r="T5256" s="8">
        <v>1.0001249999999999</v>
      </c>
      <c r="U5256" s="98">
        <v>4.5679653228744455</v>
      </c>
      <c r="V5256" s="106">
        <v>41359.011604472165</v>
      </c>
      <c r="W5256" s="10">
        <v>1.2997555248293935</v>
      </c>
      <c r="X5256" s="420"/>
      <c r="Y5256" s="420"/>
    </row>
    <row r="5257" spans="17:25">
      <c r="Q5257" s="6">
        <v>5227</v>
      </c>
      <c r="R5257" s="7">
        <v>47894</v>
      </c>
      <c r="S5257" s="210">
        <v>4.5</v>
      </c>
      <c r="T5257" s="8">
        <v>1.0001249999999999</v>
      </c>
      <c r="U5257" s="98">
        <v>4.5679844297621397</v>
      </c>
      <c r="V5257" s="106">
        <v>41362.568635540818</v>
      </c>
      <c r="W5257" s="10">
        <v>1.2997810737908955</v>
      </c>
      <c r="X5257" s="420"/>
      <c r="Y5257" s="420"/>
    </row>
    <row r="5258" spans="17:25">
      <c r="Q5258" s="6">
        <v>5228</v>
      </c>
      <c r="R5258" s="7">
        <v>47895</v>
      </c>
      <c r="S5258" s="210">
        <v>4.5</v>
      </c>
      <c r="T5258" s="8">
        <v>1.0001249999999999</v>
      </c>
      <c r="U5258" s="98">
        <v>4.5680035293438781</v>
      </c>
      <c r="V5258" s="106">
        <v>41366.125972527552</v>
      </c>
      <c r="W5258" s="10">
        <v>1.2998066129849217</v>
      </c>
      <c r="X5258" s="420"/>
      <c r="Y5258" s="420"/>
    </row>
    <row r="5259" spans="17:25">
      <c r="Q5259" s="6">
        <v>5229</v>
      </c>
      <c r="R5259" s="7">
        <v>47896</v>
      </c>
      <c r="S5259" s="210">
        <v>4.5</v>
      </c>
      <c r="T5259" s="8">
        <v>1.0001249999999999</v>
      </c>
      <c r="U5259" s="98">
        <v>4.5680226216238351</v>
      </c>
      <c r="V5259" s="106">
        <v>41369.6836154587</v>
      </c>
      <c r="W5259" s="10">
        <v>1.2998321424171122</v>
      </c>
      <c r="X5259" s="420"/>
      <c r="Y5259" s="420"/>
    </row>
    <row r="5260" spans="17:25">
      <c r="Q5260" s="6">
        <v>5230</v>
      </c>
      <c r="R5260" s="7">
        <v>47897</v>
      </c>
      <c r="S5260" s="210">
        <v>4.5</v>
      </c>
      <c r="T5260" s="8">
        <v>1.0001249999999999</v>
      </c>
      <c r="U5260" s="98">
        <v>4.5680417066062295</v>
      </c>
      <c r="V5260" s="106">
        <v>41373.241564360564</v>
      </c>
      <c r="W5260" s="10">
        <v>1.2998576620930402</v>
      </c>
      <c r="X5260" s="420"/>
      <c r="Y5260" s="420"/>
    </row>
    <row r="5261" spans="17:25">
      <c r="Q5261" s="6">
        <v>5231</v>
      </c>
      <c r="R5261" s="7">
        <v>47898</v>
      </c>
      <c r="S5261" s="210">
        <v>4.5</v>
      </c>
      <c r="T5261" s="8">
        <v>1.0001249999999999</v>
      </c>
      <c r="U5261" s="98">
        <v>4.5680607842952137</v>
      </c>
      <c r="V5261" s="106">
        <v>41376.799819259453</v>
      </c>
      <c r="W5261" s="10">
        <v>1.2998831720182791</v>
      </c>
      <c r="X5261" s="420"/>
      <c r="Y5261" s="420"/>
    </row>
    <row r="5262" spans="17:25">
      <c r="Q5262" s="6">
        <v>5232</v>
      </c>
      <c r="R5262" s="7">
        <v>47899</v>
      </c>
      <c r="S5262" s="210">
        <v>4.5</v>
      </c>
      <c r="T5262" s="8">
        <v>1.0001249999999999</v>
      </c>
      <c r="U5262" s="98">
        <v>4.5680798546949841</v>
      </c>
      <c r="V5262" s="106">
        <v>41380.358380181693</v>
      </c>
      <c r="W5262" s="10">
        <v>1.2999086721984465</v>
      </c>
      <c r="X5262" s="420"/>
      <c r="Y5262" s="420"/>
    </row>
    <row r="5263" spans="17:25">
      <c r="Q5263" s="6">
        <v>5233</v>
      </c>
      <c r="R5263" s="7">
        <v>47900</v>
      </c>
      <c r="S5263" s="210">
        <v>4.5</v>
      </c>
      <c r="T5263" s="8">
        <v>1.0001249999999999</v>
      </c>
      <c r="U5263" s="98">
        <v>4.5680989178097153</v>
      </c>
      <c r="V5263" s="106">
        <v>41383.9172471536</v>
      </c>
      <c r="W5263" s="10">
        <v>1.2999341626391381</v>
      </c>
      <c r="X5263" s="420"/>
      <c r="Y5263" s="420"/>
    </row>
    <row r="5264" spans="17:25">
      <c r="Q5264" s="6">
        <v>5234</v>
      </c>
      <c r="R5264" s="7">
        <v>47901</v>
      </c>
      <c r="S5264" s="210">
        <v>4.5</v>
      </c>
      <c r="T5264" s="8">
        <v>1.0001249999999999</v>
      </c>
      <c r="U5264" s="98">
        <v>4.5681179736435817</v>
      </c>
      <c r="V5264" s="106">
        <v>41387.476420201499</v>
      </c>
      <c r="W5264" s="10">
        <v>1.2999596433458827</v>
      </c>
      <c r="X5264" s="420"/>
      <c r="Y5264" s="420"/>
    </row>
    <row r="5265" spans="17:25">
      <c r="Q5265" s="6">
        <v>5235</v>
      </c>
      <c r="R5265" s="7">
        <v>47902</v>
      </c>
      <c r="S5265" s="210">
        <v>4.5</v>
      </c>
      <c r="T5265" s="8">
        <v>1.0001249999999999</v>
      </c>
      <c r="U5265" s="98">
        <v>4.5681370222007578</v>
      </c>
      <c r="V5265" s="106">
        <v>41391.035899351707</v>
      </c>
      <c r="W5265" s="10">
        <v>1.299985114324298</v>
      </c>
      <c r="X5265" s="420"/>
      <c r="Y5265" s="420"/>
    </row>
    <row r="5266" spans="17:25">
      <c r="Q5266" s="6">
        <v>5236</v>
      </c>
      <c r="R5266" s="7">
        <v>47903</v>
      </c>
      <c r="S5266" s="210">
        <v>4.5</v>
      </c>
      <c r="T5266" s="8">
        <v>1.0001249999999999</v>
      </c>
      <c r="U5266" s="98">
        <v>4.5681560634853957</v>
      </c>
      <c r="V5266" s="106">
        <v>41394.595684630556</v>
      </c>
      <c r="W5266" s="10">
        <v>1.3000105755799352</v>
      </c>
      <c r="X5266" s="420"/>
      <c r="Y5266" s="420"/>
    </row>
    <row r="5267" spans="17:25">
      <c r="Q5267" s="6">
        <v>5237</v>
      </c>
      <c r="R5267" s="7">
        <v>47904</v>
      </c>
      <c r="S5267" s="210">
        <v>4.5</v>
      </c>
      <c r="T5267" s="8">
        <v>1.0001249999999999</v>
      </c>
      <c r="U5267" s="98">
        <v>4.5681750975016699</v>
      </c>
      <c r="V5267" s="106">
        <v>41398.155776064377</v>
      </c>
      <c r="W5267" s="10">
        <v>1.3000360271183675</v>
      </c>
      <c r="X5267" s="420"/>
      <c r="Y5267" s="420"/>
    </row>
    <row r="5268" spans="17:25">
      <c r="Q5268" s="6">
        <v>5238</v>
      </c>
      <c r="R5268" s="7">
        <v>47905</v>
      </c>
      <c r="S5268" s="210">
        <v>4.5</v>
      </c>
      <c r="T5268" s="8">
        <v>1.0001249999999999</v>
      </c>
      <c r="U5268" s="98">
        <v>4.5681941242537549</v>
      </c>
      <c r="V5268" s="106">
        <v>41401.716173679488</v>
      </c>
      <c r="W5268" s="10">
        <v>1.3000614689451684</v>
      </c>
      <c r="X5268" s="420"/>
      <c r="Y5268" s="420"/>
    </row>
    <row r="5269" spans="17:25">
      <c r="Q5269" s="6">
        <v>5239</v>
      </c>
      <c r="R5269" s="7">
        <v>47906</v>
      </c>
      <c r="S5269" s="210">
        <v>4.5</v>
      </c>
      <c r="T5269" s="8">
        <v>1.0001249999999999</v>
      </c>
      <c r="U5269" s="98">
        <v>4.5682131437457807</v>
      </c>
      <c r="V5269" s="106">
        <v>41405.276877502227</v>
      </c>
      <c r="W5269" s="10">
        <v>1.3000869010658667</v>
      </c>
      <c r="X5269" s="420"/>
      <c r="Y5269" s="420"/>
    </row>
    <row r="5270" spans="17:25">
      <c r="Q5270" s="6">
        <v>5240</v>
      </c>
      <c r="R5270" s="7">
        <v>47907</v>
      </c>
      <c r="S5270" s="210">
        <v>4.5</v>
      </c>
      <c r="T5270" s="8">
        <v>1.0001249999999999</v>
      </c>
      <c r="U5270" s="98">
        <v>4.5682321559819217</v>
      </c>
      <c r="V5270" s="106">
        <v>41408.837887558948</v>
      </c>
      <c r="W5270" s="10">
        <v>1.3001123234860135</v>
      </c>
      <c r="X5270" s="420"/>
      <c r="Y5270" s="420"/>
    </row>
    <row r="5271" spans="17:25">
      <c r="Q5271" s="6">
        <v>5241</v>
      </c>
      <c r="R5271" s="7">
        <v>47908</v>
      </c>
      <c r="S5271" s="210">
        <v>4.5</v>
      </c>
      <c r="T5271" s="8">
        <v>1.0001249999999999</v>
      </c>
      <c r="U5271" s="98">
        <v>4.5682511609663301</v>
      </c>
      <c r="V5271" s="106">
        <v>41412.399203875953</v>
      </c>
      <c r="W5271" s="10">
        <v>1.3001377362112043</v>
      </c>
      <c r="X5271" s="420"/>
      <c r="Y5271" s="420"/>
    </row>
    <row r="5272" spans="17:25">
      <c r="Q5272" s="6">
        <v>5242</v>
      </c>
      <c r="R5272" s="7">
        <v>47909</v>
      </c>
      <c r="S5272" s="210">
        <v>4.5</v>
      </c>
      <c r="T5272" s="8">
        <v>1.0001249999999999</v>
      </c>
      <c r="U5272" s="98">
        <v>4.568270158703136</v>
      </c>
      <c r="V5272" s="106">
        <v>41415.960826479612</v>
      </c>
      <c r="W5272" s="10">
        <v>1.3001631392469459</v>
      </c>
      <c r="X5272" s="420"/>
      <c r="Y5272" s="420"/>
    </row>
    <row r="5273" spans="17:25">
      <c r="Q5273" s="6">
        <v>5243</v>
      </c>
      <c r="R5273" s="7">
        <v>47910</v>
      </c>
      <c r="S5273" s="210">
        <v>4.5</v>
      </c>
      <c r="T5273" s="8">
        <v>1.0001249999999999</v>
      </c>
      <c r="U5273" s="98">
        <v>4.5682891491964916</v>
      </c>
      <c r="V5273" s="106">
        <v>41419.522755396254</v>
      </c>
      <c r="W5273" s="10">
        <v>1.3001885325987672</v>
      </c>
      <c r="X5273" s="420"/>
      <c r="Y5273" s="420"/>
    </row>
    <row r="5274" spans="17:25">
      <c r="Q5274" s="6">
        <v>5244</v>
      </c>
      <c r="R5274" s="7">
        <v>47911</v>
      </c>
      <c r="S5274" s="210">
        <v>4.5</v>
      </c>
      <c r="T5274" s="8">
        <v>1.0001249999999999</v>
      </c>
      <c r="U5274" s="98">
        <v>4.5683081324505492</v>
      </c>
      <c r="V5274" s="106">
        <v>41423.084990652213</v>
      </c>
      <c r="W5274" s="10">
        <v>1.3002139162722415</v>
      </c>
      <c r="X5274" s="420"/>
      <c r="Y5274" s="420"/>
    </row>
    <row r="5275" spans="17:25">
      <c r="Q5275" s="6">
        <v>5245</v>
      </c>
      <c r="R5275" s="7">
        <v>47912</v>
      </c>
      <c r="S5275" s="210">
        <v>4.5</v>
      </c>
      <c r="T5275" s="8">
        <v>1.0001249999999999</v>
      </c>
      <c r="U5275" s="98">
        <v>4.5683271084694388</v>
      </c>
      <c r="V5275" s="106">
        <v>41426.647532273855</v>
      </c>
      <c r="W5275" s="10">
        <v>1.3002392902728754</v>
      </c>
      <c r="X5275" s="420"/>
      <c r="Y5275" s="420"/>
    </row>
    <row r="5276" spans="17:25">
      <c r="Q5276" s="6">
        <v>5246</v>
      </c>
      <c r="R5276" s="7">
        <v>47913</v>
      </c>
      <c r="S5276" s="210">
        <v>4.5</v>
      </c>
      <c r="T5276" s="8">
        <v>1.0001249999999999</v>
      </c>
      <c r="U5276" s="98">
        <v>4.5683460772573126</v>
      </c>
      <c r="V5276" s="106">
        <v>41430.210380287521</v>
      </c>
      <c r="W5276" s="10">
        <v>1.3002646546062202</v>
      </c>
      <c r="X5276" s="420"/>
      <c r="Y5276" s="420"/>
    </row>
    <row r="5277" spans="17:25">
      <c r="Q5277" s="6">
        <v>5247</v>
      </c>
      <c r="R5277" s="7">
        <v>47914</v>
      </c>
      <c r="S5277" s="210">
        <v>4.5</v>
      </c>
      <c r="T5277" s="8">
        <v>1.0001249999999999</v>
      </c>
      <c r="U5277" s="98">
        <v>4.5683650388182784</v>
      </c>
      <c r="V5277" s="106">
        <v>41433.773534719556</v>
      </c>
      <c r="W5277" s="10">
        <v>1.3002900092777603</v>
      </c>
      <c r="X5277" s="420"/>
      <c r="Y5277" s="420"/>
    </row>
    <row r="5278" spans="17:25">
      <c r="Q5278" s="6">
        <v>5248</v>
      </c>
      <c r="R5278" s="7">
        <v>47915</v>
      </c>
      <c r="S5278" s="210">
        <v>4.5</v>
      </c>
      <c r="T5278" s="8">
        <v>1.0001249999999999</v>
      </c>
      <c r="U5278" s="98">
        <v>4.5683839931564885</v>
      </c>
      <c r="V5278" s="106">
        <v>41437.336995596321</v>
      </c>
      <c r="W5278" s="10">
        <v>1.300315354293069</v>
      </c>
      <c r="X5278" s="420"/>
      <c r="Y5278" s="420"/>
    </row>
    <row r="5279" spans="17:25">
      <c r="Q5279" s="6">
        <v>5249</v>
      </c>
      <c r="R5279" s="7">
        <v>47916</v>
      </c>
      <c r="S5279" s="210">
        <v>4.5</v>
      </c>
      <c r="T5279" s="8">
        <v>1.0001249999999999</v>
      </c>
      <c r="U5279" s="98">
        <v>4.5684029402760506</v>
      </c>
      <c r="V5279" s="106">
        <v>41440.900762944162</v>
      </c>
      <c r="W5279" s="10">
        <v>1.3003406896576308</v>
      </c>
      <c r="X5279" s="420"/>
      <c r="Y5279" s="420"/>
    </row>
    <row r="5280" spans="17:25">
      <c r="Q5280" s="6">
        <v>5250</v>
      </c>
      <c r="R5280" s="7">
        <v>47917</v>
      </c>
      <c r="S5280" s="210">
        <v>4.5</v>
      </c>
      <c r="T5280" s="8">
        <v>1.0001249999999999</v>
      </c>
      <c r="U5280" s="98">
        <v>4.568421880181095</v>
      </c>
      <c r="V5280" s="106">
        <v>41444.464836789455</v>
      </c>
      <c r="W5280" s="10">
        <v>1.3003660153769525</v>
      </c>
      <c r="X5280" s="420"/>
      <c r="Y5280" s="420"/>
    </row>
    <row r="5281" spans="17:25">
      <c r="Q5281" s="6">
        <v>5251</v>
      </c>
      <c r="R5281" s="7">
        <v>47918</v>
      </c>
      <c r="S5281" s="210">
        <v>4.5</v>
      </c>
      <c r="T5281" s="8">
        <v>1.0001249999999999</v>
      </c>
      <c r="U5281" s="98">
        <v>4.5684408128757292</v>
      </c>
      <c r="V5281" s="106">
        <v>41448.029217158539</v>
      </c>
      <c r="W5281" s="10">
        <v>1.3003913314565185</v>
      </c>
      <c r="X5281" s="420"/>
      <c r="Y5281" s="420"/>
    </row>
    <row r="5282" spans="17:25">
      <c r="Q5282" s="6">
        <v>5252</v>
      </c>
      <c r="R5282" s="7">
        <v>47919</v>
      </c>
      <c r="S5282" s="210">
        <v>4.5</v>
      </c>
      <c r="T5282" s="8">
        <v>1.0001249999999999</v>
      </c>
      <c r="U5282" s="98">
        <v>4.5684597383640835</v>
      </c>
      <c r="V5282" s="106">
        <v>41451.593904077788</v>
      </c>
      <c r="W5282" s="10">
        <v>1.30041663790188</v>
      </c>
      <c r="X5282" s="420"/>
      <c r="Y5282" s="420"/>
    </row>
    <row r="5283" spans="17:25">
      <c r="Q5283" s="6">
        <v>5253</v>
      </c>
      <c r="R5283" s="7">
        <v>47920</v>
      </c>
      <c r="S5283" s="210">
        <v>4.5</v>
      </c>
      <c r="T5283" s="8">
        <v>1.0001249999999999</v>
      </c>
      <c r="U5283" s="98">
        <v>4.5684786566502655</v>
      </c>
      <c r="V5283" s="106">
        <v>41455.158897573558</v>
      </c>
      <c r="W5283" s="10">
        <v>1.3004419347185214</v>
      </c>
      <c r="X5283" s="420"/>
      <c r="Y5283" s="420"/>
    </row>
    <row r="5284" spans="17:25">
      <c r="Q5284" s="6">
        <v>5254</v>
      </c>
      <c r="R5284" s="7">
        <v>47921</v>
      </c>
      <c r="S5284" s="210">
        <v>4.5</v>
      </c>
      <c r="T5284" s="8">
        <v>1.0001249999999999</v>
      </c>
      <c r="U5284" s="98">
        <v>4.5684975677383832</v>
      </c>
      <c r="V5284" s="106">
        <v>41458.724197672229</v>
      </c>
      <c r="W5284" s="10">
        <v>1.3004672219119051</v>
      </c>
      <c r="X5284" s="420"/>
      <c r="Y5284" s="420"/>
    </row>
    <row r="5285" spans="17:25">
      <c r="Q5285" s="6">
        <v>5255</v>
      </c>
      <c r="R5285" s="7">
        <v>47922</v>
      </c>
      <c r="S5285" s="210">
        <v>4.5</v>
      </c>
      <c r="T5285" s="8">
        <v>1.0001249999999999</v>
      </c>
      <c r="U5285" s="98">
        <v>4.5685164716325666</v>
      </c>
      <c r="V5285" s="106">
        <v>41462.289804400156</v>
      </c>
      <c r="W5285" s="10">
        <v>1.3004924994875822</v>
      </c>
      <c r="X5285" s="420"/>
      <c r="Y5285" s="420"/>
    </row>
    <row r="5286" spans="17:25">
      <c r="Q5286" s="6">
        <v>5256</v>
      </c>
      <c r="R5286" s="7">
        <v>47923</v>
      </c>
      <c r="S5286" s="210">
        <v>4.5</v>
      </c>
      <c r="T5286" s="8">
        <v>1.0001249999999999</v>
      </c>
      <c r="U5286" s="98">
        <v>4.5685353683369012</v>
      </c>
      <c r="V5286" s="106">
        <v>41465.855717783728</v>
      </c>
      <c r="W5286" s="10">
        <v>1.3005177674509705</v>
      </c>
      <c r="X5286" s="420"/>
      <c r="Y5286" s="420"/>
    </row>
    <row r="5287" spans="17:25">
      <c r="Q5287" s="6">
        <v>5257</v>
      </c>
      <c r="R5287" s="7">
        <v>47924</v>
      </c>
      <c r="S5287" s="210">
        <v>4.5</v>
      </c>
      <c r="T5287" s="8">
        <v>1.0001249999999999</v>
      </c>
      <c r="U5287" s="98">
        <v>4.568554257855495</v>
      </c>
      <c r="V5287" s="106">
        <v>41469.4219378493</v>
      </c>
      <c r="W5287" s="10">
        <v>1.3005430258076212</v>
      </c>
      <c r="X5287" s="420"/>
      <c r="Y5287" s="420"/>
    </row>
    <row r="5288" spans="17:25">
      <c r="Q5288" s="6">
        <v>5258</v>
      </c>
      <c r="R5288" s="7">
        <v>47925</v>
      </c>
      <c r="S5288" s="210">
        <v>4.5</v>
      </c>
      <c r="T5288" s="8">
        <v>1.0001249999999999</v>
      </c>
      <c r="U5288" s="98">
        <v>4.5685731401924334</v>
      </c>
      <c r="V5288" s="106">
        <v>41472.988464623253</v>
      </c>
      <c r="W5288" s="10">
        <v>1.3005682745629521</v>
      </c>
      <c r="X5288" s="420"/>
      <c r="Y5288" s="420"/>
    </row>
    <row r="5289" spans="17:25">
      <c r="Q5289" s="6">
        <v>5259</v>
      </c>
      <c r="R5289" s="7">
        <v>47926</v>
      </c>
      <c r="S5289" s="210">
        <v>4.5</v>
      </c>
      <c r="T5289" s="8">
        <v>1.0001249999999999</v>
      </c>
      <c r="U5289" s="98">
        <v>4.5685920153518245</v>
      </c>
      <c r="V5289" s="106">
        <v>41476.555298131971</v>
      </c>
      <c r="W5289" s="10">
        <v>1.30059351372247</v>
      </c>
      <c r="X5289" s="420"/>
      <c r="Y5289" s="420"/>
    </row>
    <row r="5290" spans="17:25">
      <c r="Q5290" s="6">
        <v>5260</v>
      </c>
      <c r="R5290" s="7">
        <v>47927</v>
      </c>
      <c r="S5290" s="210">
        <v>4.5</v>
      </c>
      <c r="T5290" s="8">
        <v>1.0001249999999999</v>
      </c>
      <c r="U5290" s="98">
        <v>4.5686108833377537</v>
      </c>
      <c r="V5290" s="106">
        <v>41480.122438401828</v>
      </c>
      <c r="W5290" s="10">
        <v>1.3006187432916372</v>
      </c>
      <c r="X5290" s="420"/>
      <c r="Y5290" s="420"/>
    </row>
    <row r="5291" spans="17:25">
      <c r="Q5291" s="6">
        <v>5261</v>
      </c>
      <c r="R5291" s="7">
        <v>47928</v>
      </c>
      <c r="S5291" s="210">
        <v>4.5</v>
      </c>
      <c r="T5291" s="8">
        <v>1.0001249999999999</v>
      </c>
      <c r="U5291" s="98">
        <v>4.5686297441543067</v>
      </c>
      <c r="V5291" s="106">
        <v>41483.689885459207</v>
      </c>
      <c r="W5291" s="10">
        <v>1.3006439632759159</v>
      </c>
      <c r="X5291" s="420"/>
      <c r="Y5291" s="420"/>
    </row>
    <row r="5292" spans="17:25">
      <c r="Q5292" s="6">
        <v>5262</v>
      </c>
      <c r="R5292" s="7">
        <v>47929</v>
      </c>
      <c r="S5292" s="210">
        <v>4.5</v>
      </c>
      <c r="T5292" s="8">
        <v>1.0001249999999999</v>
      </c>
      <c r="U5292" s="98">
        <v>4.5686485978055691</v>
      </c>
      <c r="V5292" s="106">
        <v>41487.257639330499</v>
      </c>
      <c r="W5292" s="10">
        <v>1.3006691736807463</v>
      </c>
      <c r="X5292" s="420"/>
      <c r="Y5292" s="420"/>
    </row>
    <row r="5293" spans="17:25">
      <c r="Q5293" s="6">
        <v>5263</v>
      </c>
      <c r="R5293" s="7">
        <v>47930</v>
      </c>
      <c r="S5293" s="210">
        <v>4.5</v>
      </c>
      <c r="T5293" s="8">
        <v>1.0001249999999999</v>
      </c>
      <c r="U5293" s="98">
        <v>4.5686674442956265</v>
      </c>
      <c r="V5293" s="106">
        <v>41490.825700042085</v>
      </c>
      <c r="W5293" s="10">
        <v>1.3006943745116128</v>
      </c>
      <c r="X5293" s="420"/>
      <c r="Y5293" s="420"/>
    </row>
    <row r="5294" spans="17:25">
      <c r="Q5294" s="6">
        <v>5264</v>
      </c>
      <c r="R5294" s="7">
        <v>47931</v>
      </c>
      <c r="S5294" s="210">
        <v>4.5</v>
      </c>
      <c r="T5294" s="8">
        <v>1.0001249999999999</v>
      </c>
      <c r="U5294" s="98">
        <v>4.5686862836285647</v>
      </c>
      <c r="V5294" s="106">
        <v>41494.394067620357</v>
      </c>
      <c r="W5294" s="10">
        <v>1.3007195657739778</v>
      </c>
      <c r="X5294" s="420"/>
      <c r="Y5294" s="420"/>
    </row>
    <row r="5295" spans="17:25">
      <c r="Q5295" s="6">
        <v>5265</v>
      </c>
      <c r="R5295" s="7">
        <v>47932</v>
      </c>
      <c r="S5295" s="210">
        <v>4.5</v>
      </c>
      <c r="T5295" s="8">
        <v>1.0001249999999999</v>
      </c>
      <c r="U5295" s="98">
        <v>4.5687051158084468</v>
      </c>
      <c r="V5295" s="106">
        <v>41497.962742091702</v>
      </c>
      <c r="W5295" s="10">
        <v>1.3007447474732592</v>
      </c>
      <c r="X5295" s="420"/>
      <c r="Y5295" s="420"/>
    </row>
    <row r="5296" spans="17:25">
      <c r="Q5296" s="6">
        <v>5266</v>
      </c>
      <c r="R5296" s="7">
        <v>47933</v>
      </c>
      <c r="S5296" s="210">
        <v>4.5</v>
      </c>
      <c r="T5296" s="8">
        <v>1.0001249999999999</v>
      </c>
      <c r="U5296" s="98">
        <v>4.5687239408393587</v>
      </c>
      <c r="V5296" s="106">
        <v>41501.531723482527</v>
      </c>
      <c r="W5296" s="10">
        <v>1.3007699196149192</v>
      </c>
      <c r="X5296" s="420"/>
      <c r="Y5296" s="420"/>
    </row>
    <row r="5297" spans="17:25">
      <c r="Q5297" s="6">
        <v>5267</v>
      </c>
      <c r="R5297" s="7">
        <v>47934</v>
      </c>
      <c r="S5297" s="210">
        <v>4.5</v>
      </c>
      <c r="T5297" s="8">
        <v>1.0001249999999999</v>
      </c>
      <c r="U5297" s="98">
        <v>4.5687427587253637</v>
      </c>
      <c r="V5297" s="106">
        <v>41505.101011819213</v>
      </c>
      <c r="W5297" s="10">
        <v>1.3007950822043979</v>
      </c>
      <c r="X5297" s="420"/>
      <c r="Y5297" s="420"/>
    </row>
    <row r="5298" spans="17:25">
      <c r="Q5298" s="6">
        <v>5268</v>
      </c>
      <c r="R5298" s="7">
        <v>47935</v>
      </c>
      <c r="S5298" s="210">
        <v>4.5</v>
      </c>
      <c r="T5298" s="8">
        <v>1.0001249999999999</v>
      </c>
      <c r="U5298" s="98">
        <v>4.5687615694705253</v>
      </c>
      <c r="V5298" s="106">
        <v>41508.670607128166</v>
      </c>
      <c r="W5298" s="10">
        <v>1.3008202352471354</v>
      </c>
      <c r="X5298" s="420"/>
      <c r="Y5298" s="420"/>
    </row>
    <row r="5299" spans="17:25">
      <c r="Q5299" s="6">
        <v>5269</v>
      </c>
      <c r="R5299" s="7">
        <v>47936</v>
      </c>
      <c r="S5299" s="210">
        <v>4.5</v>
      </c>
      <c r="T5299" s="8">
        <v>1.0001249999999999</v>
      </c>
      <c r="U5299" s="98">
        <v>4.5687803730789067</v>
      </c>
      <c r="V5299" s="106">
        <v>41512.240509435782</v>
      </c>
      <c r="W5299" s="10">
        <v>1.3008453787485497</v>
      </c>
      <c r="X5299" s="420"/>
      <c r="Y5299" s="420"/>
    </row>
    <row r="5300" spans="17:25">
      <c r="Q5300" s="6">
        <v>5270</v>
      </c>
      <c r="R5300" s="7">
        <v>47937</v>
      </c>
      <c r="S5300" s="210">
        <v>4.5</v>
      </c>
      <c r="T5300" s="8">
        <v>1.0001249999999999</v>
      </c>
      <c r="U5300" s="98">
        <v>4.5687991695545715</v>
      </c>
      <c r="V5300" s="106">
        <v>41515.810718768473</v>
      </c>
      <c r="W5300" s="10">
        <v>1.3008705127140585</v>
      </c>
      <c r="X5300" s="420"/>
      <c r="Y5300" s="420"/>
    </row>
    <row r="5301" spans="17:25">
      <c r="Q5301" s="6">
        <v>5271</v>
      </c>
      <c r="R5301" s="7">
        <v>47938</v>
      </c>
      <c r="S5301" s="210">
        <v>4.5</v>
      </c>
      <c r="T5301" s="8">
        <v>1.0001249999999999</v>
      </c>
      <c r="U5301" s="98">
        <v>4.5688179589015832</v>
      </c>
      <c r="V5301" s="106">
        <v>41519.381235152636</v>
      </c>
      <c r="W5301" s="10">
        <v>1.3008956371491243</v>
      </c>
      <c r="X5301" s="420"/>
      <c r="Y5301" s="420"/>
    </row>
    <row r="5302" spans="17:25">
      <c r="Q5302" s="6">
        <v>5272</v>
      </c>
      <c r="R5302" s="7">
        <v>47939</v>
      </c>
      <c r="S5302" s="210">
        <v>4.5</v>
      </c>
      <c r="T5302" s="8">
        <v>1.0001249999999999</v>
      </c>
      <c r="U5302" s="98">
        <v>4.5688367411239827</v>
      </c>
      <c r="V5302" s="106">
        <v>41522.95205861469</v>
      </c>
      <c r="W5302" s="10">
        <v>1.3009207520591204</v>
      </c>
      <c r="X5302" s="420"/>
      <c r="Y5302" s="420"/>
    </row>
    <row r="5303" spans="17:25">
      <c r="Q5303" s="6">
        <v>5273</v>
      </c>
      <c r="R5303" s="7">
        <v>47940</v>
      </c>
      <c r="S5303" s="210">
        <v>4.5</v>
      </c>
      <c r="T5303" s="8">
        <v>1.0001249999999999</v>
      </c>
      <c r="U5303" s="98">
        <v>4.5688555162258337</v>
      </c>
      <c r="V5303" s="106">
        <v>41526.523189181025</v>
      </c>
      <c r="W5303" s="10">
        <v>1.300945857449487</v>
      </c>
      <c r="X5303" s="420"/>
      <c r="Y5303" s="420"/>
    </row>
    <row r="5304" spans="17:25">
      <c r="Q5304" s="6">
        <v>5274</v>
      </c>
      <c r="R5304" s="7">
        <v>47941</v>
      </c>
      <c r="S5304" s="210">
        <v>4.5</v>
      </c>
      <c r="T5304" s="8">
        <v>1.0001249999999999</v>
      </c>
      <c r="U5304" s="98">
        <v>4.5688742842111774</v>
      </c>
      <c r="V5304" s="106">
        <v>41530.094626878068</v>
      </c>
      <c r="W5304" s="10">
        <v>1.3009709533256419</v>
      </c>
      <c r="X5304" s="420"/>
      <c r="Y5304" s="420"/>
    </row>
    <row r="5305" spans="17:25">
      <c r="Q5305" s="6">
        <v>5275</v>
      </c>
      <c r="R5305" s="7">
        <v>47942</v>
      </c>
      <c r="S5305" s="210">
        <v>4.5</v>
      </c>
      <c r="T5305" s="8">
        <v>1.0001249999999999</v>
      </c>
      <c r="U5305" s="98">
        <v>4.568893045084077</v>
      </c>
      <c r="V5305" s="106">
        <v>41533.66637173223</v>
      </c>
      <c r="W5305" s="10">
        <v>1.3009960396930031</v>
      </c>
      <c r="X5305" s="420"/>
      <c r="Y5305" s="420"/>
    </row>
    <row r="5306" spans="17:25">
      <c r="Q5306" s="6">
        <v>5276</v>
      </c>
      <c r="R5306" s="7">
        <v>47943</v>
      </c>
      <c r="S5306" s="210">
        <v>4.5</v>
      </c>
      <c r="T5306" s="8">
        <v>1.0001249999999999</v>
      </c>
      <c r="U5306" s="98">
        <v>4.5689117988485517</v>
      </c>
      <c r="V5306" s="106">
        <v>41537.23842376993</v>
      </c>
      <c r="W5306" s="10">
        <v>1.3010211165569219</v>
      </c>
      <c r="X5306" s="420"/>
      <c r="Y5306" s="420"/>
    </row>
    <row r="5307" spans="17:25">
      <c r="Q5307" s="6">
        <v>5277</v>
      </c>
      <c r="R5307" s="7">
        <v>47944</v>
      </c>
      <c r="S5307" s="210">
        <v>4.5</v>
      </c>
      <c r="T5307" s="8">
        <v>1.0001249999999999</v>
      </c>
      <c r="U5307" s="98">
        <v>4.5689305455086648</v>
      </c>
      <c r="V5307" s="106">
        <v>41540.81078301758</v>
      </c>
      <c r="W5307" s="10">
        <v>1.3010461839228826</v>
      </c>
      <c r="X5307" s="420"/>
      <c r="Y5307" s="420"/>
    </row>
    <row r="5308" spans="17:25">
      <c r="Q5308" s="6">
        <v>5278</v>
      </c>
      <c r="R5308" s="7">
        <v>47945</v>
      </c>
      <c r="S5308" s="210">
        <v>4.5</v>
      </c>
      <c r="T5308" s="8">
        <v>1.0001249999999999</v>
      </c>
      <c r="U5308" s="98">
        <v>4.5689492850684355</v>
      </c>
      <c r="V5308" s="106">
        <v>41544.383449501613</v>
      </c>
      <c r="W5308" s="10">
        <v>1.3010712417961923</v>
      </c>
      <c r="X5308" s="420"/>
      <c r="Y5308" s="420"/>
    </row>
    <row r="5309" spans="17:25">
      <c r="Q5309" s="6">
        <v>5279</v>
      </c>
      <c r="R5309" s="7">
        <v>47946</v>
      </c>
      <c r="S5309" s="210">
        <v>4.5</v>
      </c>
      <c r="T5309" s="8">
        <v>1.0001249999999999</v>
      </c>
      <c r="U5309" s="98">
        <v>4.5689680175319047</v>
      </c>
      <c r="V5309" s="106">
        <v>41547.956423248441</v>
      </c>
      <c r="W5309" s="10">
        <v>1.3010962901823131</v>
      </c>
      <c r="X5309" s="420"/>
      <c r="Y5309" s="420"/>
    </row>
    <row r="5310" spans="17:25">
      <c r="Q5310" s="6">
        <v>5280</v>
      </c>
      <c r="R5310" s="7">
        <v>47947</v>
      </c>
      <c r="S5310" s="210">
        <v>4.5</v>
      </c>
      <c r="T5310" s="8">
        <v>1.0001249999999999</v>
      </c>
      <c r="U5310" s="98">
        <v>4.5689867429030917</v>
      </c>
      <c r="V5310" s="106">
        <v>41551.52970428449</v>
      </c>
      <c r="W5310" s="10">
        <v>1.3011213290865742</v>
      </c>
      <c r="X5310" s="420"/>
      <c r="Y5310" s="420"/>
    </row>
    <row r="5311" spans="17:25">
      <c r="Q5311" s="6">
        <v>5281</v>
      </c>
      <c r="R5311" s="7">
        <v>47948</v>
      </c>
      <c r="S5311" s="210">
        <v>4.5</v>
      </c>
      <c r="T5311" s="8">
        <v>1.0001249999999999</v>
      </c>
      <c r="U5311" s="98">
        <v>4.5690054611860154</v>
      </c>
      <c r="V5311" s="106">
        <v>41555.103292636202</v>
      </c>
      <c r="W5311" s="10">
        <v>1.3011463585143934</v>
      </c>
      <c r="X5311" s="420"/>
      <c r="Y5311" s="420"/>
    </row>
    <row r="5312" spans="17:25">
      <c r="Q5312" s="6">
        <v>5282</v>
      </c>
      <c r="R5312" s="7">
        <v>47949</v>
      </c>
      <c r="S5312" s="210">
        <v>4.5</v>
      </c>
      <c r="T5312" s="8">
        <v>1.0001249999999999</v>
      </c>
      <c r="U5312" s="98">
        <v>4.5690241723847169</v>
      </c>
      <c r="V5312" s="106">
        <v>41558.677188329995</v>
      </c>
      <c r="W5312" s="10">
        <v>1.3011713784711221</v>
      </c>
      <c r="X5312" s="420"/>
      <c r="Y5312" s="420"/>
    </row>
    <row r="5313" spans="17:25">
      <c r="Q5313" s="6">
        <v>5283</v>
      </c>
      <c r="R5313" s="7">
        <v>47950</v>
      </c>
      <c r="S5313" s="210">
        <v>4.5</v>
      </c>
      <c r="T5313" s="8">
        <v>1.0001249999999999</v>
      </c>
      <c r="U5313" s="98">
        <v>4.5690428765032154</v>
      </c>
      <c r="V5313" s="106">
        <v>41562.251391392296</v>
      </c>
      <c r="W5313" s="10">
        <v>1.3011963889621558</v>
      </c>
      <c r="X5313" s="420"/>
      <c r="Y5313" s="420"/>
    </row>
    <row r="5314" spans="17:25">
      <c r="Q5314" s="6">
        <v>5284</v>
      </c>
      <c r="R5314" s="7">
        <v>47951</v>
      </c>
      <c r="S5314" s="210">
        <v>4.5</v>
      </c>
      <c r="T5314" s="8">
        <v>1.0001249999999999</v>
      </c>
      <c r="U5314" s="98">
        <v>4.5690615735455298</v>
      </c>
      <c r="V5314" s="106">
        <v>41565.825901849552</v>
      </c>
      <c r="W5314" s="10">
        <v>1.3012213899928682</v>
      </c>
      <c r="X5314" s="420"/>
      <c r="Y5314" s="420"/>
    </row>
    <row r="5315" spans="17:25">
      <c r="Q5315" s="6">
        <v>5285</v>
      </c>
      <c r="R5315" s="7">
        <v>47952</v>
      </c>
      <c r="S5315" s="210">
        <v>4.5</v>
      </c>
      <c r="T5315" s="8">
        <v>1.0001249999999999</v>
      </c>
      <c r="U5315" s="98">
        <v>4.5690802635156791</v>
      </c>
      <c r="V5315" s="106">
        <v>41569.400719728197</v>
      </c>
      <c r="W5315" s="10">
        <v>1.3012463815686104</v>
      </c>
      <c r="X5315" s="420"/>
      <c r="Y5315" s="420"/>
    </row>
    <row r="5316" spans="17:25">
      <c r="Q5316" s="6">
        <v>5286</v>
      </c>
      <c r="R5316" s="7">
        <v>47953</v>
      </c>
      <c r="S5316" s="210">
        <v>4.5</v>
      </c>
      <c r="T5316" s="8">
        <v>1.0001249999999999</v>
      </c>
      <c r="U5316" s="98">
        <v>4.5690989464176601</v>
      </c>
      <c r="V5316" s="106">
        <v>41572.975845054672</v>
      </c>
      <c r="W5316" s="10">
        <v>1.3012713636947559</v>
      </c>
      <c r="X5316" s="420"/>
      <c r="Y5316" s="420"/>
    </row>
    <row r="5317" spans="17:25">
      <c r="Q5317" s="6">
        <v>5287</v>
      </c>
      <c r="R5317" s="7">
        <v>47954</v>
      </c>
      <c r="S5317" s="210">
        <v>4.5</v>
      </c>
      <c r="T5317" s="8">
        <v>1.0001249999999999</v>
      </c>
      <c r="U5317" s="98">
        <v>4.5691176222554919</v>
      </c>
      <c r="V5317" s="106">
        <v>41576.551277855411</v>
      </c>
      <c r="W5317" s="10">
        <v>1.3012963363766783</v>
      </c>
      <c r="X5317" s="420"/>
      <c r="Y5317" s="420"/>
    </row>
    <row r="5318" spans="17:25">
      <c r="Q5318" s="6">
        <v>5288</v>
      </c>
      <c r="R5318" s="7">
        <v>47955</v>
      </c>
      <c r="S5318" s="210">
        <v>4.5</v>
      </c>
      <c r="T5318" s="8">
        <v>1.0001249999999999</v>
      </c>
      <c r="U5318" s="98">
        <v>4.5691362910331934</v>
      </c>
      <c r="V5318" s="106">
        <v>41580.127018156862</v>
      </c>
      <c r="W5318" s="10">
        <v>1.3013212996197066</v>
      </c>
      <c r="X5318" s="420"/>
      <c r="Y5318" s="420"/>
    </row>
    <row r="5319" spans="17:25">
      <c r="Q5319" s="6">
        <v>5289</v>
      </c>
      <c r="R5319" s="7">
        <v>47956</v>
      </c>
      <c r="S5319" s="210">
        <v>4.5</v>
      </c>
      <c r="T5319" s="8">
        <v>1.0001249999999999</v>
      </c>
      <c r="U5319" s="98">
        <v>4.5691549527547393</v>
      </c>
      <c r="V5319" s="106">
        <v>41583.703065985479</v>
      </c>
      <c r="W5319" s="10">
        <v>1.3013462534292142</v>
      </c>
      <c r="X5319" s="420"/>
      <c r="Y5319" s="420"/>
    </row>
    <row r="5320" spans="17:25">
      <c r="Q5320" s="6">
        <v>5290</v>
      </c>
      <c r="R5320" s="7">
        <v>47957</v>
      </c>
      <c r="S5320" s="210">
        <v>4.5</v>
      </c>
      <c r="T5320" s="8">
        <v>1.0001249999999999</v>
      </c>
      <c r="U5320" s="98">
        <v>4.5691736074241485</v>
      </c>
      <c r="V5320" s="106">
        <v>41587.279421367697</v>
      </c>
      <c r="W5320" s="10">
        <v>1.301371197810508</v>
      </c>
      <c r="X5320" s="420"/>
      <c r="Y5320" s="420"/>
    </row>
    <row r="5321" spans="17:25">
      <c r="Q5321" s="6">
        <v>5291</v>
      </c>
      <c r="R5321" s="7">
        <v>47958</v>
      </c>
      <c r="S5321" s="210">
        <v>4.5</v>
      </c>
      <c r="T5321" s="8">
        <v>1.0001249999999999</v>
      </c>
      <c r="U5321" s="98">
        <v>4.5691922550454178</v>
      </c>
      <c r="V5321" s="106">
        <v>41590.856084329978</v>
      </c>
      <c r="W5321" s="10">
        <v>1.3013961327689838</v>
      </c>
      <c r="X5321" s="420"/>
      <c r="Y5321" s="420"/>
    </row>
    <row r="5322" spans="17:25">
      <c r="Q5322" s="6">
        <v>5292</v>
      </c>
      <c r="R5322" s="7">
        <v>47959</v>
      </c>
      <c r="S5322" s="210">
        <v>4.5</v>
      </c>
      <c r="T5322" s="8">
        <v>1.0001249999999999</v>
      </c>
      <c r="U5322" s="98">
        <v>4.5692108956225219</v>
      </c>
      <c r="V5322" s="106">
        <v>41594.433054898764</v>
      </c>
      <c r="W5322" s="10">
        <v>1.3014210583099262</v>
      </c>
      <c r="X5322" s="420"/>
      <c r="Y5322" s="420"/>
    </row>
    <row r="5323" spans="17:25">
      <c r="Q5323" s="6">
        <v>5293</v>
      </c>
      <c r="R5323" s="7">
        <v>47960</v>
      </c>
      <c r="S5323" s="210">
        <v>4.5</v>
      </c>
      <c r="T5323" s="8">
        <v>1.0001249999999999</v>
      </c>
      <c r="U5323" s="98">
        <v>4.5692295291594576</v>
      </c>
      <c r="V5323" s="106">
        <v>41598.01033310053</v>
      </c>
      <c r="W5323" s="10">
        <v>1.3014459744386864</v>
      </c>
      <c r="X5323" s="420"/>
      <c r="Y5323" s="420"/>
    </row>
    <row r="5324" spans="17:25">
      <c r="Q5324" s="6">
        <v>5294</v>
      </c>
      <c r="R5324" s="7">
        <v>47961</v>
      </c>
      <c r="S5324" s="210">
        <v>4.5</v>
      </c>
      <c r="T5324" s="8">
        <v>1.0001249999999999</v>
      </c>
      <c r="U5324" s="98">
        <v>4.5692481556602216</v>
      </c>
      <c r="V5324" s="106">
        <v>41601.587918961704</v>
      </c>
      <c r="W5324" s="10">
        <v>1.3014708811606157</v>
      </c>
      <c r="X5324" s="420"/>
      <c r="Y5324" s="420"/>
    </row>
    <row r="5325" spans="17:25">
      <c r="Q5325" s="6">
        <v>5295</v>
      </c>
      <c r="R5325" s="7">
        <v>47962</v>
      </c>
      <c r="S5325" s="210">
        <v>4.5</v>
      </c>
      <c r="T5325" s="8">
        <v>1.0001249999999999</v>
      </c>
      <c r="U5325" s="98">
        <v>4.5692667751288107</v>
      </c>
      <c r="V5325" s="106">
        <v>41605.165812508778</v>
      </c>
      <c r="W5325" s="10">
        <v>1.301495778481021</v>
      </c>
      <c r="X5325" s="420"/>
      <c r="Y5325" s="420"/>
    </row>
    <row r="5326" spans="17:25">
      <c r="Q5326" s="6">
        <v>5296</v>
      </c>
      <c r="R5326" s="7">
        <v>47963</v>
      </c>
      <c r="S5326" s="210">
        <v>4.5</v>
      </c>
      <c r="T5326" s="8">
        <v>1.0001249999999999</v>
      </c>
      <c r="U5326" s="98">
        <v>4.5692853875691775</v>
      </c>
      <c r="V5326" s="106">
        <v>41608.744013768184</v>
      </c>
      <c r="W5326" s="10">
        <v>1.3015206664052315</v>
      </c>
      <c r="X5326" s="420"/>
      <c r="Y5326" s="420"/>
    </row>
    <row r="5327" spans="17:25">
      <c r="Q5327" s="6">
        <v>5297</v>
      </c>
      <c r="R5327" s="7">
        <v>47964</v>
      </c>
      <c r="S5327" s="210">
        <v>4.5</v>
      </c>
      <c r="T5327" s="8">
        <v>1.0001249999999999</v>
      </c>
      <c r="U5327" s="98">
        <v>4.5693039929853185</v>
      </c>
      <c r="V5327" s="106">
        <v>41612.322522766408</v>
      </c>
      <c r="W5327" s="10">
        <v>1.301545544938576</v>
      </c>
      <c r="X5327" s="420"/>
      <c r="Y5327" s="420"/>
    </row>
    <row r="5328" spans="17:25">
      <c r="Q5328" s="6">
        <v>5298</v>
      </c>
      <c r="R5328" s="7">
        <v>47965</v>
      </c>
      <c r="S5328" s="210">
        <v>4.5</v>
      </c>
      <c r="T5328" s="8">
        <v>1.0001249999999999</v>
      </c>
      <c r="U5328" s="98">
        <v>4.5693225913812086</v>
      </c>
      <c r="V5328" s="106">
        <v>41615.901339529912</v>
      </c>
      <c r="W5328" s="10">
        <v>1.3015704140863393</v>
      </c>
      <c r="X5328" s="420"/>
      <c r="Y5328" s="420"/>
    </row>
    <row r="5329" spans="17:25">
      <c r="Q5329" s="6">
        <v>5299</v>
      </c>
      <c r="R5329" s="7">
        <v>47966</v>
      </c>
      <c r="S5329" s="210">
        <v>4.5</v>
      </c>
      <c r="T5329" s="8">
        <v>1.0001249999999999</v>
      </c>
      <c r="U5329" s="98">
        <v>4.5693411827608221</v>
      </c>
      <c r="V5329" s="106">
        <v>41619.480464085165</v>
      </c>
      <c r="W5329" s="10">
        <v>1.3015952738538727</v>
      </c>
      <c r="X5329" s="420"/>
      <c r="Y5329" s="420"/>
    </row>
    <row r="5330" spans="17:25">
      <c r="Q5330" s="6">
        <v>5300</v>
      </c>
      <c r="R5330" s="7">
        <v>47967</v>
      </c>
      <c r="S5330" s="210">
        <v>4.5</v>
      </c>
      <c r="T5330" s="8">
        <v>1.0001249999999999</v>
      </c>
      <c r="U5330" s="98">
        <v>4.5693597671281116</v>
      </c>
      <c r="V5330" s="106">
        <v>41623.059896458624</v>
      </c>
      <c r="W5330" s="10">
        <v>1.3016201242464387</v>
      </c>
      <c r="X5330" s="420"/>
      <c r="Y5330" s="420"/>
    </row>
    <row r="5331" spans="17:25">
      <c r="Q5331" s="6">
        <v>5301</v>
      </c>
      <c r="R5331" s="7">
        <v>47968</v>
      </c>
      <c r="S5331" s="210">
        <v>4.5</v>
      </c>
      <c r="T5331" s="8">
        <v>1.0001249999999999</v>
      </c>
      <c r="U5331" s="98">
        <v>4.5693783444870739</v>
      </c>
      <c r="V5331" s="106">
        <v>41626.63963667678</v>
      </c>
      <c r="W5331" s="10">
        <v>1.3016449652693884</v>
      </c>
      <c r="X5331" s="420"/>
      <c r="Y5331" s="420"/>
    </row>
    <row r="5332" spans="17:25">
      <c r="Q5332" s="6">
        <v>5302</v>
      </c>
      <c r="R5332" s="7">
        <v>47969</v>
      </c>
      <c r="S5332" s="210">
        <v>4.5</v>
      </c>
      <c r="T5332" s="8">
        <v>1.0001249999999999</v>
      </c>
      <c r="U5332" s="98">
        <v>4.5693969148416391</v>
      </c>
      <c r="V5332" s="106">
        <v>41630.219684766111</v>
      </c>
      <c r="W5332" s="10">
        <v>1.3016697969279623</v>
      </c>
      <c r="X5332" s="420"/>
      <c r="Y5332" s="420"/>
    </row>
    <row r="5333" spans="17:25">
      <c r="Q5333" s="6">
        <v>5303</v>
      </c>
      <c r="R5333" s="7">
        <v>47970</v>
      </c>
      <c r="S5333" s="210">
        <v>4.5</v>
      </c>
      <c r="T5333" s="8">
        <v>1.0001249999999999</v>
      </c>
      <c r="U5333" s="98">
        <v>4.5694154781957819</v>
      </c>
      <c r="V5333" s="106">
        <v>41633.800040753078</v>
      </c>
      <c r="W5333" s="10">
        <v>1.301694619227467</v>
      </c>
      <c r="X5333" s="420"/>
      <c r="Y5333" s="420"/>
    </row>
    <row r="5334" spans="17:25">
      <c r="Q5334" s="6">
        <v>5304</v>
      </c>
      <c r="R5334" s="7">
        <v>47971</v>
      </c>
      <c r="S5334" s="210">
        <v>4.5</v>
      </c>
      <c r="T5334" s="8">
        <v>1.0001249999999999</v>
      </c>
      <c r="U5334" s="98">
        <v>4.5694340345534767</v>
      </c>
      <c r="V5334" s="106">
        <v>41637.380704664174</v>
      </c>
      <c r="W5334" s="10">
        <v>1.3017194321732539</v>
      </c>
      <c r="X5334" s="420"/>
      <c r="Y5334" s="420"/>
    </row>
    <row r="5335" spans="17:25">
      <c r="Q5335" s="6">
        <v>5305</v>
      </c>
      <c r="R5335" s="7">
        <v>47972</v>
      </c>
      <c r="S5335" s="210">
        <v>4.5</v>
      </c>
      <c r="T5335" s="8">
        <v>1.0001249999999999</v>
      </c>
      <c r="U5335" s="98">
        <v>4.5694525839186539</v>
      </c>
      <c r="V5335" s="106">
        <v>41640.961676525876</v>
      </c>
      <c r="W5335" s="10">
        <v>1.3017442357705411</v>
      </c>
      <c r="X5335" s="420"/>
      <c r="Y5335" s="420"/>
    </row>
    <row r="5336" spans="17:25">
      <c r="Q5336" s="6">
        <v>5306</v>
      </c>
      <c r="R5336" s="7">
        <v>47973</v>
      </c>
      <c r="S5336" s="210">
        <v>4.5</v>
      </c>
      <c r="T5336" s="8">
        <v>1.0001249999999999</v>
      </c>
      <c r="U5336" s="98">
        <v>4.5694711262952881</v>
      </c>
      <c r="V5336" s="106">
        <v>41644.542956364676</v>
      </c>
      <c r="W5336" s="10">
        <v>1.3017690300246354</v>
      </c>
      <c r="X5336" s="420"/>
      <c r="Y5336" s="420"/>
    </row>
    <row r="5337" spans="17:25">
      <c r="Q5337" s="6">
        <v>5307</v>
      </c>
      <c r="R5337" s="7">
        <v>47974</v>
      </c>
      <c r="S5337" s="210">
        <v>4.5</v>
      </c>
      <c r="T5337" s="8">
        <v>1.0001249999999999</v>
      </c>
      <c r="U5337" s="98">
        <v>4.5694896616873093</v>
      </c>
      <c r="V5337" s="106">
        <v>41648.124544207043</v>
      </c>
      <c r="W5337" s="10">
        <v>1.3017938149408437</v>
      </c>
      <c r="X5337" s="420"/>
      <c r="Y5337" s="420"/>
    </row>
    <row r="5338" spans="17:25">
      <c r="Q5338" s="6">
        <v>5308</v>
      </c>
      <c r="R5338" s="7">
        <v>47975</v>
      </c>
      <c r="S5338" s="210">
        <v>4.5</v>
      </c>
      <c r="T5338" s="8">
        <v>1.0001249999999999</v>
      </c>
      <c r="U5338" s="98">
        <v>4.56950819009867</v>
      </c>
      <c r="V5338" s="106">
        <v>41651.706440079492</v>
      </c>
      <c r="W5338" s="10">
        <v>1.301818590524384</v>
      </c>
      <c r="X5338" s="420"/>
      <c r="Y5338" s="420"/>
    </row>
    <row r="5339" spans="17:25">
      <c r="Q5339" s="6">
        <v>5309</v>
      </c>
      <c r="R5339" s="7">
        <v>47976</v>
      </c>
      <c r="S5339" s="210">
        <v>4.5</v>
      </c>
      <c r="T5339" s="8">
        <v>1.0001249999999999</v>
      </c>
      <c r="U5339" s="98">
        <v>4.5695267115333005</v>
      </c>
      <c r="V5339" s="106">
        <v>41655.288644008499</v>
      </c>
      <c r="W5339" s="10">
        <v>1.301843356780541</v>
      </c>
      <c r="X5339" s="420"/>
      <c r="Y5339" s="420"/>
    </row>
    <row r="5340" spans="17:25">
      <c r="Q5340" s="6">
        <v>5310</v>
      </c>
      <c r="R5340" s="7">
        <v>47977</v>
      </c>
      <c r="S5340" s="210">
        <v>4.5</v>
      </c>
      <c r="T5340" s="8">
        <v>1.0001249999999999</v>
      </c>
      <c r="U5340" s="98">
        <v>4.569545225995153</v>
      </c>
      <c r="V5340" s="106">
        <v>41658.871156020563</v>
      </c>
      <c r="W5340" s="10">
        <v>1.3018681137145993</v>
      </c>
      <c r="X5340" s="420"/>
      <c r="Y5340" s="420"/>
    </row>
    <row r="5341" spans="17:25">
      <c r="Q5341" s="6">
        <v>5311</v>
      </c>
      <c r="R5341" s="7">
        <v>47978</v>
      </c>
      <c r="S5341" s="210">
        <v>4.5</v>
      </c>
      <c r="T5341" s="8">
        <v>1.0001249999999999</v>
      </c>
      <c r="U5341" s="98">
        <v>4.5695637334881578</v>
      </c>
      <c r="V5341" s="106">
        <v>41662.453976142177</v>
      </c>
      <c r="W5341" s="10">
        <v>1.3018928613318215</v>
      </c>
      <c r="X5341" s="420"/>
      <c r="Y5341" s="420"/>
    </row>
    <row r="5342" spans="17:25">
      <c r="Q5342" s="6">
        <v>5312</v>
      </c>
      <c r="R5342" s="7">
        <v>47979</v>
      </c>
      <c r="S5342" s="210">
        <v>4.5</v>
      </c>
      <c r="T5342" s="8">
        <v>1.0001249999999999</v>
      </c>
      <c r="U5342" s="98">
        <v>4.5695822340162673</v>
      </c>
      <c r="V5342" s="106">
        <v>41666.037104399846</v>
      </c>
      <c r="W5342" s="10">
        <v>1.3019175996374477</v>
      </c>
      <c r="X5342" s="420"/>
      <c r="Y5342" s="420"/>
    </row>
    <row r="5343" spans="17:25">
      <c r="Q5343" s="6">
        <v>5313</v>
      </c>
      <c r="R5343" s="7">
        <v>47980</v>
      </c>
      <c r="S5343" s="210">
        <v>4.5</v>
      </c>
      <c r="T5343" s="8">
        <v>1.0001249999999999</v>
      </c>
      <c r="U5343" s="98">
        <v>4.5696007275833894</v>
      </c>
      <c r="V5343" s="106">
        <v>41669.620540820062</v>
      </c>
      <c r="W5343" s="10">
        <v>1.3019423286367626</v>
      </c>
      <c r="X5343" s="420"/>
      <c r="Y5343" s="420"/>
    </row>
    <row r="5344" spans="17:25">
      <c r="Q5344" s="6">
        <v>5314</v>
      </c>
      <c r="R5344" s="7">
        <v>47981</v>
      </c>
      <c r="S5344" s="210">
        <v>4.5</v>
      </c>
      <c r="T5344" s="8">
        <v>1.0001249999999999</v>
      </c>
      <c r="U5344" s="98">
        <v>4.5696192141934766</v>
      </c>
      <c r="V5344" s="106">
        <v>41673.204285429332</v>
      </c>
      <c r="W5344" s="10">
        <v>1.3019670483349843</v>
      </c>
      <c r="X5344" s="420"/>
      <c r="Y5344" s="420"/>
    </row>
    <row r="5345" spans="17:25">
      <c r="Q5345" s="6">
        <v>5315</v>
      </c>
      <c r="R5345" s="7">
        <v>47982</v>
      </c>
      <c r="S5345" s="210">
        <v>4.5</v>
      </c>
      <c r="T5345" s="8">
        <v>1.0001249999999999</v>
      </c>
      <c r="U5345" s="98">
        <v>4.5696376938504368</v>
      </c>
      <c r="V5345" s="106">
        <v>41676.788338254162</v>
      </c>
      <c r="W5345" s="10">
        <v>1.3019917587373975</v>
      </c>
      <c r="X5345" s="420"/>
      <c r="Y5345" s="420"/>
    </row>
    <row r="5346" spans="17:25">
      <c r="Q5346" s="6">
        <v>5316</v>
      </c>
      <c r="R5346" s="7">
        <v>47983</v>
      </c>
      <c r="S5346" s="210">
        <v>4.5</v>
      </c>
      <c r="T5346" s="8">
        <v>1.0001249999999999</v>
      </c>
      <c r="U5346" s="98">
        <v>4.5696561665581781</v>
      </c>
      <c r="V5346" s="106">
        <v>41680.372699321066</v>
      </c>
      <c r="W5346" s="10">
        <v>1.3020164598491757</v>
      </c>
      <c r="X5346" s="420"/>
      <c r="Y5346" s="420"/>
    </row>
    <row r="5347" spans="17:25">
      <c r="Q5347" s="6">
        <v>5317</v>
      </c>
      <c r="R5347" s="7">
        <v>47984</v>
      </c>
      <c r="S5347" s="210">
        <v>4.5</v>
      </c>
      <c r="T5347" s="8">
        <v>1.0001249999999999</v>
      </c>
      <c r="U5347" s="98">
        <v>4.5696746323206527</v>
      </c>
      <c r="V5347" s="106">
        <v>41683.957368656542</v>
      </c>
      <c r="W5347" s="10">
        <v>1.302041151675648</v>
      </c>
      <c r="X5347" s="420"/>
      <c r="Y5347" s="420"/>
    </row>
    <row r="5348" spans="17:25">
      <c r="Q5348" s="6">
        <v>5318</v>
      </c>
      <c r="R5348" s="7">
        <v>47985</v>
      </c>
      <c r="S5348" s="210">
        <v>4.5</v>
      </c>
      <c r="T5348" s="8">
        <v>1.0001249999999999</v>
      </c>
      <c r="U5348" s="98">
        <v>4.5696930911417466</v>
      </c>
      <c r="V5348" s="106">
        <v>41687.542346287104</v>
      </c>
      <c r="W5348" s="10">
        <v>1.302065834221966</v>
      </c>
      <c r="X5348" s="420"/>
      <c r="Y5348" s="420"/>
    </row>
    <row r="5349" spans="17:25">
      <c r="Q5349" s="6">
        <v>5319</v>
      </c>
      <c r="R5349" s="7">
        <v>47986</v>
      </c>
      <c r="S5349" s="210">
        <v>4.5</v>
      </c>
      <c r="T5349" s="8">
        <v>1.0001249999999999</v>
      </c>
      <c r="U5349" s="98">
        <v>4.5697115430253898</v>
      </c>
      <c r="V5349" s="106">
        <v>41691.127632239273</v>
      </c>
      <c r="W5349" s="10">
        <v>1.3020905074934142</v>
      </c>
      <c r="X5349" s="420"/>
      <c r="Y5349" s="420"/>
    </row>
    <row r="5350" spans="17:25">
      <c r="Q5350" s="6">
        <v>5320</v>
      </c>
      <c r="R5350" s="7">
        <v>47987</v>
      </c>
      <c r="S5350" s="210">
        <v>4.5</v>
      </c>
      <c r="T5350" s="8">
        <v>1.0001249999999999</v>
      </c>
      <c r="U5350" s="98">
        <v>4.5697299879754905</v>
      </c>
      <c r="V5350" s="106">
        <v>41694.71322653957</v>
      </c>
      <c r="W5350" s="10">
        <v>1.3021151714952106</v>
      </c>
      <c r="X5350" s="420"/>
      <c r="Y5350" s="420"/>
    </row>
    <row r="5351" spans="17:25">
      <c r="Q5351" s="6">
        <v>5321</v>
      </c>
      <c r="R5351" s="7">
        <v>47988</v>
      </c>
      <c r="S5351" s="210">
        <v>4.5</v>
      </c>
      <c r="T5351" s="8">
        <v>1.0001249999999999</v>
      </c>
      <c r="U5351" s="98">
        <v>4.5697484259959564</v>
      </c>
      <c r="V5351" s="106">
        <v>41698.299129214502</v>
      </c>
      <c r="W5351" s="10">
        <v>1.3021398262325734</v>
      </c>
      <c r="X5351" s="420"/>
      <c r="Y5351" s="420"/>
    </row>
    <row r="5352" spans="17:25">
      <c r="Q5352" s="6">
        <v>5322</v>
      </c>
      <c r="R5352" s="7">
        <v>47989</v>
      </c>
      <c r="S5352" s="210">
        <v>4.5</v>
      </c>
      <c r="T5352" s="8">
        <v>1.0001249999999999</v>
      </c>
      <c r="U5352" s="98">
        <v>4.5697668570906735</v>
      </c>
      <c r="V5352" s="106">
        <v>41701.885340290595</v>
      </c>
      <c r="W5352" s="10">
        <v>1.3021644717106762</v>
      </c>
      <c r="X5352" s="420"/>
      <c r="Y5352" s="420"/>
    </row>
    <row r="5353" spans="17:25">
      <c r="Q5353" s="6">
        <v>5323</v>
      </c>
      <c r="R5353" s="7">
        <v>47990</v>
      </c>
      <c r="S5353" s="210">
        <v>4.5</v>
      </c>
      <c r="T5353" s="8">
        <v>1.0001249999999999</v>
      </c>
      <c r="U5353" s="98">
        <v>4.569785281263572</v>
      </c>
      <c r="V5353" s="106">
        <v>41705.471859794365</v>
      </c>
      <c r="W5353" s="10">
        <v>1.3021891079348036</v>
      </c>
      <c r="X5353" s="420"/>
      <c r="Y5353" s="420"/>
    </row>
    <row r="5354" spans="17:25">
      <c r="Q5354" s="6">
        <v>5324</v>
      </c>
      <c r="R5354" s="7">
        <v>47991</v>
      </c>
      <c r="S5354" s="210">
        <v>4.5</v>
      </c>
      <c r="T5354" s="8">
        <v>1.0001249999999999</v>
      </c>
      <c r="U5354" s="98">
        <v>4.5698036985185375</v>
      </c>
      <c r="V5354" s="106">
        <v>41709.058687752367</v>
      </c>
      <c r="W5354" s="10">
        <v>1.3022137349101515</v>
      </c>
      <c r="X5354" s="420"/>
      <c r="Y5354" s="420"/>
    </row>
    <row r="5355" spans="17:25">
      <c r="Q5355" s="6">
        <v>5325</v>
      </c>
      <c r="R5355" s="7">
        <v>47992</v>
      </c>
      <c r="S5355" s="210">
        <v>4.5</v>
      </c>
      <c r="T5355" s="8">
        <v>1.0001249999999999</v>
      </c>
      <c r="U5355" s="98">
        <v>4.5698221088594559</v>
      </c>
      <c r="V5355" s="106">
        <v>41712.645824191095</v>
      </c>
      <c r="W5355" s="10">
        <v>1.3022383526418935</v>
      </c>
      <c r="X5355" s="420"/>
      <c r="Y5355" s="420"/>
    </row>
    <row r="5356" spans="17:25">
      <c r="Q5356" s="6">
        <v>5326</v>
      </c>
      <c r="R5356" s="7">
        <v>47993</v>
      </c>
      <c r="S5356" s="210">
        <v>4.5</v>
      </c>
      <c r="T5356" s="8">
        <v>1.0001249999999999</v>
      </c>
      <c r="U5356" s="98">
        <v>4.5698405122902352</v>
      </c>
      <c r="V5356" s="106">
        <v>41716.23326913709</v>
      </c>
      <c r="W5356" s="10">
        <v>1.3022629611352476</v>
      </c>
      <c r="X5356" s="420"/>
      <c r="Y5356" s="420"/>
    </row>
    <row r="5357" spans="17:25">
      <c r="Q5357" s="6">
        <v>5327</v>
      </c>
      <c r="R5357" s="7">
        <v>47994</v>
      </c>
      <c r="S5357" s="210">
        <v>4.5</v>
      </c>
      <c r="T5357" s="8">
        <v>1.0001249999999999</v>
      </c>
      <c r="U5357" s="98">
        <v>4.5698589088147612</v>
      </c>
      <c r="V5357" s="106">
        <v>41719.821022616889</v>
      </c>
      <c r="W5357" s="10">
        <v>1.302287560395432</v>
      </c>
      <c r="X5357" s="420"/>
      <c r="Y5357" s="420"/>
    </row>
    <row r="5358" spans="17:25">
      <c r="Q5358" s="6">
        <v>5328</v>
      </c>
      <c r="R5358" s="7">
        <v>47995</v>
      </c>
      <c r="S5358" s="210">
        <v>4.5</v>
      </c>
      <c r="T5358" s="8">
        <v>1.0001249999999999</v>
      </c>
      <c r="U5358" s="98">
        <v>4.5698772984369196</v>
      </c>
      <c r="V5358" s="106">
        <v>41723.409084657033</v>
      </c>
      <c r="W5358" s="10">
        <v>1.3023121504276425</v>
      </c>
      <c r="X5358" s="420"/>
      <c r="Y5358" s="420"/>
    </row>
    <row r="5359" spans="17:25">
      <c r="Q5359" s="6">
        <v>5329</v>
      </c>
      <c r="R5359" s="7">
        <v>47996</v>
      </c>
      <c r="S5359" s="210">
        <v>4.5</v>
      </c>
      <c r="T5359" s="8">
        <v>1.0001249999999999</v>
      </c>
      <c r="U5359" s="98">
        <v>4.5698956811605962</v>
      </c>
      <c r="V5359" s="106">
        <v>41726.99745528405</v>
      </c>
      <c r="W5359" s="10">
        <v>1.3023367312370304</v>
      </c>
      <c r="X5359" s="420"/>
      <c r="Y5359" s="420"/>
    </row>
    <row r="5360" spans="17:25">
      <c r="Q5360" s="6">
        <v>5330</v>
      </c>
      <c r="R5360" s="7">
        <v>47997</v>
      </c>
      <c r="S5360" s="210">
        <v>4.5</v>
      </c>
      <c r="T5360" s="8">
        <v>1.0001249999999999</v>
      </c>
      <c r="U5360" s="98">
        <v>4.5699140569896768</v>
      </c>
      <c r="V5360" s="106">
        <v>41730.586134524478</v>
      </c>
      <c r="W5360" s="10">
        <v>1.3023613028288583</v>
      </c>
      <c r="X5360" s="420"/>
      <c r="Y5360" s="420"/>
    </row>
    <row r="5361" spans="17:25">
      <c r="Q5361" s="6">
        <v>5331</v>
      </c>
      <c r="R5361" s="7">
        <v>47998</v>
      </c>
      <c r="S5361" s="210">
        <v>4.5</v>
      </c>
      <c r="T5361" s="8">
        <v>1.0001249999999999</v>
      </c>
      <c r="U5361" s="98">
        <v>4.569932425928025</v>
      </c>
      <c r="V5361" s="106">
        <v>41734.175122404871</v>
      </c>
      <c r="W5361" s="10">
        <v>1.302385865208211</v>
      </c>
      <c r="X5361" s="420"/>
      <c r="Y5361" s="420"/>
    </row>
    <row r="5362" spans="17:25">
      <c r="Q5362" s="6">
        <v>5332</v>
      </c>
      <c r="R5362" s="7">
        <v>47999</v>
      </c>
      <c r="S5362" s="210">
        <v>4.5</v>
      </c>
      <c r="T5362" s="8">
        <v>1.0001249999999999</v>
      </c>
      <c r="U5362" s="98">
        <v>4.5699507879795265</v>
      </c>
      <c r="V5362" s="106">
        <v>41737.764418951752</v>
      </c>
      <c r="W5362" s="10">
        <v>1.3024104183803509</v>
      </c>
      <c r="X5362" s="420"/>
      <c r="Y5362" s="420"/>
    </row>
    <row r="5363" spans="17:25">
      <c r="Q5363" s="6">
        <v>5333</v>
      </c>
      <c r="R5363" s="7">
        <v>48000</v>
      </c>
      <c r="S5363" s="210">
        <v>4.5</v>
      </c>
      <c r="T5363" s="8">
        <v>1.0001249999999999</v>
      </c>
      <c r="U5363" s="98">
        <v>4.5699691431480449</v>
      </c>
      <c r="V5363" s="106">
        <v>41741.354024191693</v>
      </c>
      <c r="W5363" s="10">
        <v>1.3024349623504072</v>
      </c>
      <c r="X5363" s="420"/>
      <c r="Y5363" s="420"/>
    </row>
    <row r="5364" spans="17:25">
      <c r="Q5364" s="6">
        <v>5334</v>
      </c>
      <c r="R5364" s="7">
        <v>48001</v>
      </c>
      <c r="S5364" s="210">
        <v>4.5</v>
      </c>
      <c r="T5364" s="8">
        <v>1.0001249999999999</v>
      </c>
      <c r="U5364" s="98">
        <v>4.5699874914374661</v>
      </c>
      <c r="V5364" s="106">
        <v>41744.94393815122</v>
      </c>
      <c r="W5364" s="10">
        <v>1.3024594971235981</v>
      </c>
      <c r="X5364" s="420"/>
      <c r="Y5364" s="420"/>
    </row>
    <row r="5365" spans="17:25">
      <c r="Q5365" s="6">
        <v>5335</v>
      </c>
      <c r="R5365" s="7">
        <v>48002</v>
      </c>
      <c r="S5365" s="210">
        <v>4.5</v>
      </c>
      <c r="T5365" s="8">
        <v>1.0001249999999999</v>
      </c>
      <c r="U5365" s="98">
        <v>4.5700058328516313</v>
      </c>
      <c r="V5365" s="106">
        <v>41748.5341608569</v>
      </c>
      <c r="W5365" s="10">
        <v>1.3024840227050305</v>
      </c>
      <c r="X5365" s="420"/>
      <c r="Y5365" s="420"/>
    </row>
    <row r="5366" spans="17:25">
      <c r="Q5366" s="6">
        <v>5336</v>
      </c>
      <c r="R5366" s="7">
        <v>48003</v>
      </c>
      <c r="S5366" s="210">
        <v>4.5</v>
      </c>
      <c r="T5366" s="8">
        <v>1.0001249999999999</v>
      </c>
      <c r="U5366" s="98">
        <v>4.5700241673944264</v>
      </c>
      <c r="V5366" s="106">
        <v>41752.124692335281</v>
      </c>
      <c r="W5366" s="10">
        <v>1.3025085390999003</v>
      </c>
      <c r="X5366" s="420"/>
      <c r="Y5366" s="420"/>
    </row>
    <row r="5367" spans="17:25">
      <c r="Q5367" s="6">
        <v>5337</v>
      </c>
      <c r="R5367" s="7">
        <v>48004</v>
      </c>
      <c r="S5367" s="210">
        <v>4.5</v>
      </c>
      <c r="T5367" s="8">
        <v>1.0001249999999999</v>
      </c>
      <c r="U5367" s="98">
        <v>4.5700424950696927</v>
      </c>
      <c r="V5367" s="106">
        <v>41755.715532612921</v>
      </c>
      <c r="W5367" s="10">
        <v>1.3025330463133589</v>
      </c>
      <c r="X5367" s="420"/>
      <c r="Y5367" s="420"/>
    </row>
    <row r="5368" spans="17:25">
      <c r="Q5368" s="6">
        <v>5338</v>
      </c>
      <c r="R5368" s="7">
        <v>48005</v>
      </c>
      <c r="S5368" s="210">
        <v>4.5</v>
      </c>
      <c r="T5368" s="8">
        <v>1.0001249999999999</v>
      </c>
      <c r="U5368" s="98">
        <v>4.5700608158813161</v>
      </c>
      <c r="V5368" s="106">
        <v>41759.306681716364</v>
      </c>
      <c r="W5368" s="10">
        <v>1.3025575443506021</v>
      </c>
      <c r="X5368" s="420"/>
      <c r="Y5368" s="420"/>
    </row>
    <row r="5369" spans="17:25">
      <c r="Q5369" s="6">
        <v>5339</v>
      </c>
      <c r="R5369" s="7">
        <v>48006</v>
      </c>
      <c r="S5369" s="210">
        <v>4.5</v>
      </c>
      <c r="T5369" s="8">
        <v>1.0001249999999999</v>
      </c>
      <c r="U5369" s="98">
        <v>4.5700791298331378</v>
      </c>
      <c r="V5369" s="106">
        <v>41762.898139672187</v>
      </c>
      <c r="W5369" s="10">
        <v>1.3025820332167592</v>
      </c>
      <c r="X5369" s="420"/>
      <c r="Y5369" s="420"/>
    </row>
    <row r="5370" spans="17:25">
      <c r="Q5370" s="6">
        <v>5340</v>
      </c>
      <c r="R5370" s="7">
        <v>48007</v>
      </c>
      <c r="S5370" s="210">
        <v>4.5</v>
      </c>
      <c r="T5370" s="8">
        <v>1.0001249999999999</v>
      </c>
      <c r="U5370" s="98">
        <v>4.5700974369289993</v>
      </c>
      <c r="V5370" s="106">
        <v>41766.489906506955</v>
      </c>
      <c r="W5370" s="10">
        <v>1.3026065129169595</v>
      </c>
      <c r="X5370" s="420"/>
      <c r="Y5370" s="420"/>
    </row>
    <row r="5371" spans="17:25">
      <c r="Q5371" s="6">
        <v>5341</v>
      </c>
      <c r="R5371" s="7">
        <v>48008</v>
      </c>
      <c r="S5371" s="210">
        <v>4.5</v>
      </c>
      <c r="T5371" s="8">
        <v>1.0001249999999999</v>
      </c>
      <c r="U5371" s="98">
        <v>4.5701157371727641</v>
      </c>
      <c r="V5371" s="106">
        <v>41770.081982247211</v>
      </c>
      <c r="W5371" s="10">
        <v>1.3026309834563543</v>
      </c>
      <c r="X5371" s="420"/>
      <c r="Y5371" s="420"/>
    </row>
    <row r="5372" spans="17:25">
      <c r="Q5372" s="6">
        <v>5342</v>
      </c>
      <c r="R5372" s="7">
        <v>48009</v>
      </c>
      <c r="S5372" s="210">
        <v>4.5</v>
      </c>
      <c r="T5372" s="8">
        <v>1.0001249999999999</v>
      </c>
      <c r="U5372" s="98">
        <v>4.5701340305682736</v>
      </c>
      <c r="V5372" s="106">
        <v>41773.674366919549</v>
      </c>
      <c r="W5372" s="10">
        <v>1.3026554448400951</v>
      </c>
      <c r="X5372" s="420"/>
      <c r="Y5372" s="420"/>
    </row>
    <row r="5373" spans="17:25">
      <c r="Q5373" s="6">
        <v>5343</v>
      </c>
      <c r="R5373" s="7">
        <v>48010</v>
      </c>
      <c r="S5373" s="210">
        <v>4.5</v>
      </c>
      <c r="T5373" s="8">
        <v>1.0001249999999999</v>
      </c>
      <c r="U5373" s="98">
        <v>4.5701523171193692</v>
      </c>
      <c r="V5373" s="106">
        <v>41777.267060550512</v>
      </c>
      <c r="W5373" s="10">
        <v>1.3026798970733333</v>
      </c>
      <c r="X5373" s="420"/>
      <c r="Y5373" s="420"/>
    </row>
    <row r="5374" spans="17:25">
      <c r="Q5374" s="6">
        <v>5344</v>
      </c>
      <c r="R5374" s="7">
        <v>48011</v>
      </c>
      <c r="S5374" s="210">
        <v>4.5</v>
      </c>
      <c r="T5374" s="8">
        <v>1.0001249999999999</v>
      </c>
      <c r="U5374" s="98">
        <v>4.5701705968298922</v>
      </c>
      <c r="V5374" s="106">
        <v>41780.860063166692</v>
      </c>
      <c r="W5374" s="10">
        <v>1.302704340161176</v>
      </c>
      <c r="X5374" s="420"/>
      <c r="Y5374" s="420"/>
    </row>
    <row r="5375" spans="17:25">
      <c r="Q5375" s="6">
        <v>5345</v>
      </c>
      <c r="R5375" s="7">
        <v>48012</v>
      </c>
      <c r="S5375" s="210">
        <v>4.5</v>
      </c>
      <c r="T5375" s="8">
        <v>1.0001249999999999</v>
      </c>
      <c r="U5375" s="98">
        <v>4.5701888697036841</v>
      </c>
      <c r="V5375" s="106">
        <v>41784.453374794655</v>
      </c>
      <c r="W5375" s="10">
        <v>1.3027287741087745</v>
      </c>
      <c r="X5375" s="420"/>
      <c r="Y5375" s="420"/>
    </row>
    <row r="5376" spans="17:25">
      <c r="Q5376" s="6">
        <v>5346</v>
      </c>
      <c r="R5376" s="7">
        <v>48013</v>
      </c>
      <c r="S5376" s="210">
        <v>4.5</v>
      </c>
      <c r="T5376" s="8">
        <v>1.0001249999999999</v>
      </c>
      <c r="U5376" s="98">
        <v>4.5702071357445639</v>
      </c>
      <c r="V5376" s="106">
        <v>41788.046995460973</v>
      </c>
      <c r="W5376" s="10">
        <v>1.3027531989212138</v>
      </c>
      <c r="X5376" s="420"/>
      <c r="Y5376" s="420"/>
    </row>
    <row r="5377" spans="17:25">
      <c r="Q5377" s="6">
        <v>5347</v>
      </c>
      <c r="R5377" s="7">
        <v>48014</v>
      </c>
      <c r="S5377" s="210">
        <v>4.5</v>
      </c>
      <c r="T5377" s="8">
        <v>1.0001249999999999</v>
      </c>
      <c r="U5377" s="98">
        <v>4.5702253949563731</v>
      </c>
      <c r="V5377" s="106">
        <v>41791.640925192238</v>
      </c>
      <c r="W5377" s="10">
        <v>1.3027776146036674</v>
      </c>
      <c r="X5377" s="420"/>
      <c r="Y5377" s="420"/>
    </row>
    <row r="5378" spans="17:25">
      <c r="Q5378" s="6">
        <v>5348</v>
      </c>
      <c r="R5378" s="7">
        <v>48015</v>
      </c>
      <c r="S5378" s="210">
        <v>4.5</v>
      </c>
      <c r="T5378" s="8">
        <v>1.0001249999999999</v>
      </c>
      <c r="U5378" s="98">
        <v>4.5702436473429531</v>
      </c>
      <c r="V5378" s="106">
        <v>41795.235164015015</v>
      </c>
      <c r="W5378" s="10">
        <v>1.3028020211612201</v>
      </c>
      <c r="X5378" s="420"/>
      <c r="Y5378" s="420"/>
    </row>
    <row r="5379" spans="17:25">
      <c r="Q5379" s="6">
        <v>5349</v>
      </c>
      <c r="R5379" s="7">
        <v>48016</v>
      </c>
      <c r="S5379" s="210">
        <v>4.5</v>
      </c>
      <c r="T5379" s="8">
        <v>1.0001249999999999</v>
      </c>
      <c r="U5379" s="98">
        <v>4.5702618929081007</v>
      </c>
      <c r="V5379" s="106">
        <v>41798.829711955892</v>
      </c>
      <c r="W5379" s="10">
        <v>1.3028264185989791</v>
      </c>
      <c r="X5379" s="420"/>
      <c r="Y5379" s="420"/>
    </row>
    <row r="5380" spans="17:25">
      <c r="Q5380" s="6">
        <v>5350</v>
      </c>
      <c r="R5380" s="7">
        <v>48017</v>
      </c>
      <c r="S5380" s="210">
        <v>4.5</v>
      </c>
      <c r="T5380" s="8">
        <v>1.0001249999999999</v>
      </c>
      <c r="U5380" s="98">
        <v>4.5702801316556574</v>
      </c>
      <c r="V5380" s="106">
        <v>41802.424569041461</v>
      </c>
      <c r="W5380" s="10">
        <v>1.3028508069220957</v>
      </c>
      <c r="X5380" s="420"/>
      <c r="Y5380" s="420"/>
    </row>
    <row r="5381" spans="17:25">
      <c r="Q5381" s="6">
        <v>5351</v>
      </c>
      <c r="R5381" s="7">
        <v>48018</v>
      </c>
      <c r="S5381" s="210">
        <v>4.5</v>
      </c>
      <c r="T5381" s="8">
        <v>1.0001249999999999</v>
      </c>
      <c r="U5381" s="98">
        <v>4.5702983635894645</v>
      </c>
      <c r="V5381" s="106">
        <v>41806.019735298301</v>
      </c>
      <c r="W5381" s="10">
        <v>1.3028751861356547</v>
      </c>
      <c r="X5381" s="420"/>
      <c r="Y5381" s="420"/>
    </row>
    <row r="5382" spans="17:25">
      <c r="Q5382" s="6">
        <v>5352</v>
      </c>
      <c r="R5382" s="7">
        <v>48019</v>
      </c>
      <c r="S5382" s="210">
        <v>4.5</v>
      </c>
      <c r="T5382" s="8">
        <v>1.0001249999999999</v>
      </c>
      <c r="U5382" s="98">
        <v>4.570316588713319</v>
      </c>
      <c r="V5382" s="106">
        <v>41809.615210753014</v>
      </c>
      <c r="W5382" s="10">
        <v>1.3028995562447632</v>
      </c>
      <c r="X5382" s="420"/>
      <c r="Y5382" s="420"/>
    </row>
    <row r="5383" spans="17:25">
      <c r="Q5383" s="6">
        <v>5353</v>
      </c>
      <c r="R5383" s="7">
        <v>48020</v>
      </c>
      <c r="S5383" s="210">
        <v>4.5</v>
      </c>
      <c r="T5383" s="8">
        <v>1.0001249999999999</v>
      </c>
      <c r="U5383" s="98">
        <v>4.5703348070310179</v>
      </c>
      <c r="V5383" s="106">
        <v>41813.210995432171</v>
      </c>
      <c r="W5383" s="10">
        <v>1.3029239172544838</v>
      </c>
      <c r="X5383" s="420"/>
      <c r="Y5383" s="420"/>
    </row>
    <row r="5384" spans="17:25">
      <c r="Q5384" s="6">
        <v>5354</v>
      </c>
      <c r="R5384" s="7">
        <v>48021</v>
      </c>
      <c r="S5384" s="210">
        <v>4.5</v>
      </c>
      <c r="T5384" s="8">
        <v>1.0001249999999999</v>
      </c>
      <c r="U5384" s="98">
        <v>4.5703530185464025</v>
      </c>
      <c r="V5384" s="106">
        <v>41816.807089362395</v>
      </c>
      <c r="W5384" s="10">
        <v>1.3029482691699679</v>
      </c>
      <c r="X5384" s="420"/>
      <c r="Y5384" s="420"/>
    </row>
    <row r="5385" spans="17:25">
      <c r="Q5385" s="6">
        <v>5355</v>
      </c>
      <c r="R5385" s="7">
        <v>48022</v>
      </c>
      <c r="S5385" s="210">
        <v>4.5</v>
      </c>
      <c r="T5385" s="8">
        <v>1.0001249999999999</v>
      </c>
      <c r="U5385" s="98">
        <v>4.5703712232632698</v>
      </c>
      <c r="V5385" s="106">
        <v>41820.403492570251</v>
      </c>
      <c r="W5385" s="10">
        <v>1.3029726119962781</v>
      </c>
      <c r="X5385" s="420"/>
      <c r="Y5385" s="420"/>
    </row>
    <row r="5386" spans="17:25">
      <c r="Q5386" s="6">
        <v>5356</v>
      </c>
      <c r="R5386" s="7">
        <v>48023</v>
      </c>
      <c r="S5386" s="210">
        <v>4.5</v>
      </c>
      <c r="T5386" s="8">
        <v>1.0001249999999999</v>
      </c>
      <c r="U5386" s="98">
        <v>4.5703894211854168</v>
      </c>
      <c r="V5386" s="106">
        <v>41824.000205082368</v>
      </c>
      <c r="W5386" s="10">
        <v>1.3029969457384993</v>
      </c>
      <c r="X5386" s="420"/>
      <c r="Y5386" s="420"/>
    </row>
    <row r="5387" spans="17:25">
      <c r="Q5387" s="6">
        <v>5357</v>
      </c>
      <c r="R5387" s="7">
        <v>48024</v>
      </c>
      <c r="S5387" s="210">
        <v>4.5</v>
      </c>
      <c r="T5387" s="8">
        <v>1.0001249999999999</v>
      </c>
      <c r="U5387" s="98">
        <v>4.5704076123166626</v>
      </c>
      <c r="V5387" s="106">
        <v>41827.597226925318</v>
      </c>
      <c r="W5387" s="10">
        <v>1.3030212704017385</v>
      </c>
      <c r="X5387" s="420"/>
      <c r="Y5387" s="420"/>
    </row>
    <row r="5388" spans="17:25">
      <c r="Q5388" s="6">
        <v>5358</v>
      </c>
      <c r="R5388" s="7">
        <v>48025</v>
      </c>
      <c r="S5388" s="210">
        <v>4.5</v>
      </c>
      <c r="T5388" s="8">
        <v>1.0001249999999999</v>
      </c>
      <c r="U5388" s="98">
        <v>4.5704257966608042</v>
      </c>
      <c r="V5388" s="106">
        <v>41831.194558125731</v>
      </c>
      <c r="W5388" s="10">
        <v>1.3030455859910584</v>
      </c>
      <c r="X5388" s="420"/>
      <c r="Y5388" s="420"/>
    </row>
    <row r="5389" spans="17:25">
      <c r="Q5389" s="6">
        <v>5359</v>
      </c>
      <c r="R5389" s="7">
        <v>48026</v>
      </c>
      <c r="S5389" s="210">
        <v>4.5</v>
      </c>
      <c r="T5389" s="8">
        <v>1.0001249999999999</v>
      </c>
      <c r="U5389" s="98">
        <v>4.5704439742216385</v>
      </c>
      <c r="V5389" s="106">
        <v>41834.792198710202</v>
      </c>
      <c r="W5389" s="10">
        <v>1.3030698925115214</v>
      </c>
      <c r="X5389" s="420"/>
      <c r="Y5389" s="420"/>
    </row>
    <row r="5390" spans="17:25">
      <c r="Q5390" s="6">
        <v>5360</v>
      </c>
      <c r="R5390" s="7">
        <v>48027</v>
      </c>
      <c r="S5390" s="210">
        <v>4.5</v>
      </c>
      <c r="T5390" s="8">
        <v>1.0001249999999999</v>
      </c>
      <c r="U5390" s="98">
        <v>4.5704621450029626</v>
      </c>
      <c r="V5390" s="106">
        <v>41838.390148705337</v>
      </c>
      <c r="W5390" s="10">
        <v>1.3030941899682347</v>
      </c>
      <c r="X5390" s="420"/>
      <c r="Y5390" s="420"/>
    </row>
    <row r="5391" spans="17:25">
      <c r="Q5391" s="6">
        <v>5361</v>
      </c>
      <c r="R5391" s="7">
        <v>48028</v>
      </c>
      <c r="S5391" s="210">
        <v>4.5</v>
      </c>
      <c r="T5391" s="8">
        <v>1.0001249999999999</v>
      </c>
      <c r="U5391" s="98">
        <v>4.5704803090085511</v>
      </c>
      <c r="V5391" s="106">
        <v>41841.988408137746</v>
      </c>
      <c r="W5391" s="10">
        <v>1.3031184783662386</v>
      </c>
      <c r="X5391" s="420"/>
      <c r="Y5391" s="420"/>
    </row>
    <row r="5392" spans="17:25">
      <c r="Q5392" s="6">
        <v>5362</v>
      </c>
      <c r="R5392" s="7">
        <v>48029</v>
      </c>
      <c r="S5392" s="210">
        <v>4.5</v>
      </c>
      <c r="T5392" s="8">
        <v>1.0001249999999999</v>
      </c>
      <c r="U5392" s="98">
        <v>4.5704984662422232</v>
      </c>
      <c r="V5392" s="106">
        <v>41845.586977034051</v>
      </c>
      <c r="W5392" s="10">
        <v>1.303142757710618</v>
      </c>
      <c r="X5392" s="420"/>
      <c r="Y5392" s="420"/>
    </row>
    <row r="5393" spans="17:25">
      <c r="Q5393" s="6">
        <v>5363</v>
      </c>
      <c r="R5393" s="7">
        <v>48030</v>
      </c>
      <c r="S5393" s="210">
        <v>4.5</v>
      </c>
      <c r="T5393" s="8">
        <v>1.0001249999999999</v>
      </c>
      <c r="U5393" s="98">
        <v>4.5705166167077316</v>
      </c>
      <c r="V5393" s="106">
        <v>41849.185855420852</v>
      </c>
      <c r="W5393" s="10">
        <v>1.3031670280064134</v>
      </c>
      <c r="X5393" s="420"/>
      <c r="Y5393" s="420"/>
    </row>
    <row r="5394" spans="17:25">
      <c r="Q5394" s="6">
        <v>5364</v>
      </c>
      <c r="R5394" s="7">
        <v>48031</v>
      </c>
      <c r="S5394" s="210">
        <v>4.5</v>
      </c>
      <c r="T5394" s="8">
        <v>1.0001249999999999</v>
      </c>
      <c r="U5394" s="98">
        <v>4.5705347604088953</v>
      </c>
      <c r="V5394" s="106">
        <v>41852.78504332478</v>
      </c>
      <c r="W5394" s="10">
        <v>1.3031912892586872</v>
      </c>
      <c r="X5394" s="420"/>
      <c r="Y5394" s="420"/>
    </row>
    <row r="5395" spans="17:25">
      <c r="Q5395" s="6">
        <v>5365</v>
      </c>
      <c r="R5395" s="7">
        <v>48032</v>
      </c>
      <c r="S5395" s="210">
        <v>4.5</v>
      </c>
      <c r="T5395" s="8">
        <v>1.0001249999999999</v>
      </c>
      <c r="U5395" s="98">
        <v>4.5705528973494669</v>
      </c>
      <c r="V5395" s="106">
        <v>41856.384540772451</v>
      </c>
      <c r="W5395" s="10">
        <v>1.3032155414725244</v>
      </c>
      <c r="X5395" s="420"/>
      <c r="Y5395" s="420"/>
    </row>
    <row r="5396" spans="17:25">
      <c r="Q5396" s="6">
        <v>5366</v>
      </c>
      <c r="R5396" s="7">
        <v>48033</v>
      </c>
      <c r="S5396" s="210">
        <v>4.5</v>
      </c>
      <c r="T5396" s="8">
        <v>1.0001249999999999</v>
      </c>
      <c r="U5396" s="98">
        <v>4.5705710275332434</v>
      </c>
      <c r="V5396" s="106">
        <v>41859.984347790487</v>
      </c>
      <c r="W5396" s="10">
        <v>1.3032397846529209</v>
      </c>
      <c r="X5396" s="420"/>
      <c r="Y5396" s="420"/>
    </row>
    <row r="5397" spans="17:25">
      <c r="Q5397" s="6">
        <v>5367</v>
      </c>
      <c r="R5397" s="7">
        <v>48034</v>
      </c>
      <c r="S5397" s="210">
        <v>4.5</v>
      </c>
      <c r="T5397" s="8">
        <v>1.0001249999999999</v>
      </c>
      <c r="U5397" s="98">
        <v>4.5705891509639773</v>
      </c>
      <c r="V5397" s="106">
        <v>41863.584464405503</v>
      </c>
      <c r="W5397" s="10">
        <v>1.3032640188049616</v>
      </c>
      <c r="X5397" s="420"/>
      <c r="Y5397" s="420"/>
    </row>
    <row r="5398" spans="17:25">
      <c r="Q5398" s="6">
        <v>5368</v>
      </c>
      <c r="R5398" s="7">
        <v>48035</v>
      </c>
      <c r="S5398" s="210">
        <v>4.5</v>
      </c>
      <c r="T5398" s="8">
        <v>1.0001249999999999</v>
      </c>
      <c r="U5398" s="98">
        <v>4.5706072676454657</v>
      </c>
      <c r="V5398" s="106">
        <v>41867.184890644137</v>
      </c>
      <c r="W5398" s="10">
        <v>1.3032882439336868</v>
      </c>
      <c r="X5398" s="420"/>
      <c r="Y5398" s="420"/>
    </row>
    <row r="5399" spans="17:25">
      <c r="Q5399" s="6">
        <v>5369</v>
      </c>
      <c r="R5399" s="7">
        <v>48036</v>
      </c>
      <c r="S5399" s="210">
        <v>4.5</v>
      </c>
      <c r="T5399" s="8">
        <v>1.0001249999999999</v>
      </c>
      <c r="U5399" s="98">
        <v>4.5706253775814609</v>
      </c>
      <c r="V5399" s="106">
        <v>41870.785626533012</v>
      </c>
      <c r="W5399" s="10">
        <v>1.3033124600441148</v>
      </c>
      <c r="X5399" s="420"/>
      <c r="Y5399" s="420"/>
    </row>
    <row r="5400" spans="17:25">
      <c r="Q5400" s="6">
        <v>5370</v>
      </c>
      <c r="R5400" s="7">
        <v>48037</v>
      </c>
      <c r="S5400" s="210">
        <v>4.5</v>
      </c>
      <c r="T5400" s="8">
        <v>1.0001249999999999</v>
      </c>
      <c r="U5400" s="98">
        <v>4.5706434807757379</v>
      </c>
      <c r="V5400" s="106">
        <v>41874.386672098764</v>
      </c>
      <c r="W5400" s="10">
        <v>1.3033366671413082</v>
      </c>
      <c r="X5400" s="420"/>
      <c r="Y5400" s="420"/>
    </row>
    <row r="5401" spans="17:25">
      <c r="Q5401" s="6">
        <v>5371</v>
      </c>
      <c r="R5401" s="7">
        <v>48038</v>
      </c>
      <c r="S5401" s="210">
        <v>4.5</v>
      </c>
      <c r="T5401" s="8">
        <v>1.0001249999999999</v>
      </c>
      <c r="U5401" s="98">
        <v>4.5706615772320491</v>
      </c>
      <c r="V5401" s="106">
        <v>41877.988027368025</v>
      </c>
      <c r="W5401" s="10">
        <v>1.3033608652302631</v>
      </c>
      <c r="X5401" s="420"/>
      <c r="Y5401" s="420"/>
    </row>
    <row r="5402" spans="17:25">
      <c r="Q5402" s="6">
        <v>5372</v>
      </c>
      <c r="R5402" s="7">
        <v>48039</v>
      </c>
      <c r="S5402" s="210">
        <v>4.5</v>
      </c>
      <c r="T5402" s="8">
        <v>1.0001249999999999</v>
      </c>
      <c r="U5402" s="98">
        <v>4.5706796669541694</v>
      </c>
      <c r="V5402" s="106">
        <v>41881.589692367423</v>
      </c>
      <c r="W5402" s="10">
        <v>1.3033850543160419</v>
      </c>
      <c r="X5402" s="420"/>
      <c r="Y5402" s="420"/>
    </row>
    <row r="5403" spans="17:25">
      <c r="Q5403" s="6">
        <v>5373</v>
      </c>
      <c r="R5403" s="7">
        <v>48040</v>
      </c>
      <c r="S5403" s="210">
        <v>4.5</v>
      </c>
      <c r="T5403" s="8">
        <v>1.0001249999999999</v>
      </c>
      <c r="U5403" s="98">
        <v>4.5706977499458512</v>
      </c>
      <c r="V5403" s="106">
        <v>41885.19166712361</v>
      </c>
      <c r="W5403" s="10">
        <v>1.3034092344036408</v>
      </c>
      <c r="X5403" s="420"/>
      <c r="Y5403" s="420"/>
    </row>
    <row r="5404" spans="17:25">
      <c r="Q5404" s="6">
        <v>5374</v>
      </c>
      <c r="R5404" s="7">
        <v>48041</v>
      </c>
      <c r="S5404" s="210">
        <v>4.5</v>
      </c>
      <c r="T5404" s="8">
        <v>1.0001249999999999</v>
      </c>
      <c r="U5404" s="98">
        <v>4.5707158262108472</v>
      </c>
      <c r="V5404" s="106">
        <v>41888.79395166321</v>
      </c>
      <c r="W5404" s="10">
        <v>1.3034334054980778</v>
      </c>
      <c r="X5404" s="420"/>
      <c r="Y5404" s="420"/>
    </row>
    <row r="5405" spans="17:25">
      <c r="Q5405" s="6">
        <v>5375</v>
      </c>
      <c r="R5405" s="7">
        <v>48042</v>
      </c>
      <c r="S5405" s="210">
        <v>4.5</v>
      </c>
      <c r="T5405" s="8">
        <v>1.0001249999999999</v>
      </c>
      <c r="U5405" s="98">
        <v>4.570733895752932</v>
      </c>
      <c r="V5405" s="106">
        <v>41892.396546012882</v>
      </c>
      <c r="W5405" s="10">
        <v>1.3034575676044158</v>
      </c>
      <c r="X5405" s="420"/>
      <c r="Y5405" s="420"/>
    </row>
    <row r="5406" spans="17:25">
      <c r="Q5406" s="6">
        <v>5376</v>
      </c>
      <c r="R5406" s="7">
        <v>48043</v>
      </c>
      <c r="S5406" s="210">
        <v>4.5</v>
      </c>
      <c r="T5406" s="8">
        <v>1.0001249999999999</v>
      </c>
      <c r="U5406" s="98">
        <v>4.570751958575836</v>
      </c>
      <c r="V5406" s="106">
        <v>41895.999450199255</v>
      </c>
      <c r="W5406" s="10">
        <v>1.3034817207276284</v>
      </c>
      <c r="X5406" s="420"/>
      <c r="Y5406" s="420"/>
    </row>
    <row r="5407" spans="17:25">
      <c r="Q5407" s="6">
        <v>5377</v>
      </c>
      <c r="R5407" s="7">
        <v>48044</v>
      </c>
      <c r="S5407" s="210">
        <v>4.5</v>
      </c>
      <c r="T5407" s="8">
        <v>1.0001249999999999</v>
      </c>
      <c r="U5407" s="98">
        <v>4.5707700146832897</v>
      </c>
      <c r="V5407" s="106">
        <v>41899.602664248989</v>
      </c>
      <c r="W5407" s="10">
        <v>1.3035058648727338</v>
      </c>
      <c r="X5407" s="420"/>
      <c r="Y5407" s="420"/>
    </row>
    <row r="5408" spans="17:25">
      <c r="Q5408" s="6">
        <v>5378</v>
      </c>
      <c r="R5408" s="7">
        <v>48045</v>
      </c>
      <c r="S5408" s="210">
        <v>4.5</v>
      </c>
      <c r="T5408" s="8">
        <v>1.0001249999999999</v>
      </c>
      <c r="U5408" s="98">
        <v>4.5707880640790677</v>
      </c>
      <c r="V5408" s="106">
        <v>41903.206188188728</v>
      </c>
      <c r="W5408" s="10">
        <v>1.3035300000447059</v>
      </c>
      <c r="X5408" s="420"/>
      <c r="Y5408" s="420"/>
    </row>
    <row r="5409" spans="17:25">
      <c r="Q5409" s="6">
        <v>5379</v>
      </c>
      <c r="R5409" s="7">
        <v>48046</v>
      </c>
      <c r="S5409" s="210">
        <v>4.5</v>
      </c>
      <c r="T5409" s="8">
        <v>1.0001249999999999</v>
      </c>
      <c r="U5409" s="98">
        <v>4.5708061067669004</v>
      </c>
      <c r="V5409" s="106">
        <v>41906.810022045116</v>
      </c>
      <c r="W5409" s="10">
        <v>1.3035541262486072</v>
      </c>
      <c r="X5409" s="420"/>
      <c r="Y5409" s="420"/>
    </row>
    <row r="5410" spans="17:25">
      <c r="Q5410" s="6">
        <v>5380</v>
      </c>
      <c r="R5410" s="7">
        <v>48047</v>
      </c>
      <c r="S5410" s="210">
        <v>4.5</v>
      </c>
      <c r="T5410" s="8">
        <v>1.0001249999999999</v>
      </c>
      <c r="U5410" s="98">
        <v>4.5708241427505181</v>
      </c>
      <c r="V5410" s="106">
        <v>41910.414165844821</v>
      </c>
      <c r="W5410" s="10">
        <v>1.3035782434893894</v>
      </c>
      <c r="X5410" s="420"/>
      <c r="Y5410" s="420"/>
    </row>
    <row r="5411" spans="17:25">
      <c r="Q5411" s="6">
        <v>5381</v>
      </c>
      <c r="R5411" s="7">
        <v>48048</v>
      </c>
      <c r="S5411" s="210">
        <v>4.5</v>
      </c>
      <c r="T5411" s="8">
        <v>1.0001249999999999</v>
      </c>
      <c r="U5411" s="98">
        <v>4.5708421720336734</v>
      </c>
      <c r="V5411" s="106">
        <v>41914.018619614493</v>
      </c>
      <c r="W5411" s="10">
        <v>1.3036023517720485</v>
      </c>
      <c r="X5411" s="420"/>
      <c r="Y5411" s="420"/>
    </row>
    <row r="5412" spans="17:25">
      <c r="Q5412" s="6">
        <v>5382</v>
      </c>
      <c r="R5412" s="7">
        <v>48049</v>
      </c>
      <c r="S5412" s="210">
        <v>4.5</v>
      </c>
      <c r="T5412" s="8">
        <v>1.0001249999999999</v>
      </c>
      <c r="U5412" s="98">
        <v>4.5708601946200966</v>
      </c>
      <c r="V5412" s="106">
        <v>41917.623383380793</v>
      </c>
      <c r="W5412" s="10">
        <v>1.3036264511016249</v>
      </c>
      <c r="X5412" s="420"/>
      <c r="Y5412" s="420"/>
    </row>
    <row r="5413" spans="17:25">
      <c r="Q5413" s="6">
        <v>5383</v>
      </c>
      <c r="R5413" s="7">
        <v>48050</v>
      </c>
      <c r="S5413" s="210">
        <v>4.5</v>
      </c>
      <c r="T5413" s="8">
        <v>1.0001249999999999</v>
      </c>
      <c r="U5413" s="98">
        <v>4.570878210513496</v>
      </c>
      <c r="V5413" s="106">
        <v>41921.228457170379</v>
      </c>
      <c r="W5413" s="10">
        <v>1.3036505414830257</v>
      </c>
      <c r="X5413" s="420"/>
      <c r="Y5413" s="420"/>
    </row>
    <row r="5414" spans="17:25">
      <c r="Q5414" s="6">
        <v>5384</v>
      </c>
      <c r="R5414" s="7">
        <v>48051</v>
      </c>
      <c r="S5414" s="210">
        <v>4.5</v>
      </c>
      <c r="T5414" s="8">
        <v>1.0001249999999999</v>
      </c>
      <c r="U5414" s="98">
        <v>4.5708962197176239</v>
      </c>
      <c r="V5414" s="106">
        <v>41924.833841009917</v>
      </c>
      <c r="W5414" s="10">
        <v>1.3036746229212914</v>
      </c>
      <c r="X5414" s="420"/>
      <c r="Y5414" s="420"/>
    </row>
    <row r="5415" spans="17:25">
      <c r="Q5415" s="6">
        <v>5385</v>
      </c>
      <c r="R5415" s="7">
        <v>48052</v>
      </c>
      <c r="S5415" s="210">
        <v>4.5</v>
      </c>
      <c r="T5415" s="8">
        <v>1.0001249999999999</v>
      </c>
      <c r="U5415" s="98">
        <v>4.5709142222361887</v>
      </c>
      <c r="V5415" s="106">
        <v>41928.439534926067</v>
      </c>
      <c r="W5415" s="10">
        <v>1.3036986954213514</v>
      </c>
      <c r="X5415" s="420"/>
      <c r="Y5415" s="420"/>
    </row>
    <row r="5416" spans="17:25">
      <c r="Q5416" s="6">
        <v>5386</v>
      </c>
      <c r="R5416" s="7">
        <v>48053</v>
      </c>
      <c r="S5416" s="210">
        <v>4.5</v>
      </c>
      <c r="T5416" s="8">
        <v>1.0001249999999999</v>
      </c>
      <c r="U5416" s="98">
        <v>4.5709322180729206</v>
      </c>
      <c r="V5416" s="106">
        <v>41932.045538945495</v>
      </c>
      <c r="W5416" s="10">
        <v>1.3037227589882461</v>
      </c>
      <c r="X5416" s="420"/>
      <c r="Y5416" s="420"/>
    </row>
    <row r="5417" spans="17:25">
      <c r="Q5417" s="6">
        <v>5387</v>
      </c>
      <c r="R5417" s="7">
        <v>48054</v>
      </c>
      <c r="S5417" s="210">
        <v>4.5</v>
      </c>
      <c r="T5417" s="8">
        <v>1.0001249999999999</v>
      </c>
      <c r="U5417" s="98">
        <v>4.57095020723155</v>
      </c>
      <c r="V5417" s="106">
        <v>41935.651853094882</v>
      </c>
      <c r="W5417" s="10">
        <v>1.3037468136269048</v>
      </c>
      <c r="X5417" s="420"/>
      <c r="Y5417" s="420"/>
    </row>
    <row r="5418" spans="17:25">
      <c r="Q5418" s="6">
        <v>5388</v>
      </c>
      <c r="R5418" s="7">
        <v>48055</v>
      </c>
      <c r="S5418" s="210">
        <v>4.5</v>
      </c>
      <c r="T5418" s="8">
        <v>1.0001249999999999</v>
      </c>
      <c r="U5418" s="98">
        <v>4.570968189715785</v>
      </c>
      <c r="V5418" s="106">
        <v>41939.258477400894</v>
      </c>
      <c r="W5418" s="10">
        <v>1.3037708593423236</v>
      </c>
      <c r="X5418" s="420"/>
      <c r="Y5418" s="420"/>
    </row>
    <row r="5419" spans="17:25">
      <c r="Q5419" s="6">
        <v>5389</v>
      </c>
      <c r="R5419" s="7">
        <v>48056</v>
      </c>
      <c r="S5419" s="210">
        <v>4.5</v>
      </c>
      <c r="T5419" s="8">
        <v>1.0001249999999999</v>
      </c>
      <c r="U5419" s="98">
        <v>4.5709861655293338</v>
      </c>
      <c r="V5419" s="106">
        <v>41942.865411890205</v>
      </c>
      <c r="W5419" s="10">
        <v>1.3037948961394319</v>
      </c>
      <c r="X5419" s="420"/>
      <c r="Y5419" s="420"/>
    </row>
    <row r="5420" spans="17:25">
      <c r="Q5420" s="6">
        <v>5390</v>
      </c>
      <c r="R5420" s="7">
        <v>48057</v>
      </c>
      <c r="S5420" s="210">
        <v>4.5</v>
      </c>
      <c r="T5420" s="8">
        <v>1.0001249999999999</v>
      </c>
      <c r="U5420" s="98">
        <v>4.5710041346759045</v>
      </c>
      <c r="V5420" s="106">
        <v>41946.472656589496</v>
      </c>
      <c r="W5420" s="10">
        <v>1.3038189240232034</v>
      </c>
      <c r="X5420" s="420"/>
      <c r="Y5420" s="420"/>
    </row>
    <row r="5421" spans="17:25">
      <c r="Q5421" s="6">
        <v>5391</v>
      </c>
      <c r="R5421" s="7">
        <v>48058</v>
      </c>
      <c r="S5421" s="210">
        <v>4.5</v>
      </c>
      <c r="T5421" s="8">
        <v>1.0001249999999999</v>
      </c>
      <c r="U5421" s="98">
        <v>4.5710220971592053</v>
      </c>
      <c r="V5421" s="106">
        <v>41950.080211525434</v>
      </c>
      <c r="W5421" s="10">
        <v>1.3038429429985898</v>
      </c>
      <c r="X5421" s="420"/>
      <c r="Y5421" s="420"/>
    </row>
    <row r="5422" spans="17:25">
      <c r="Q5422" s="6">
        <v>5392</v>
      </c>
      <c r="R5422" s="7">
        <v>48059</v>
      </c>
      <c r="S5422" s="210">
        <v>4.5</v>
      </c>
      <c r="T5422" s="8">
        <v>1.0001249999999999</v>
      </c>
      <c r="U5422" s="98">
        <v>4.5710400529829442</v>
      </c>
      <c r="V5422" s="106">
        <v>41953.688076724728</v>
      </c>
      <c r="W5422" s="10">
        <v>1.3038669530705427</v>
      </c>
      <c r="X5422" s="420"/>
      <c r="Y5422" s="420"/>
    </row>
    <row r="5423" spans="17:25">
      <c r="Q5423" s="6">
        <v>5393</v>
      </c>
      <c r="R5423" s="7">
        <v>48060</v>
      </c>
      <c r="S5423" s="210">
        <v>4.5</v>
      </c>
      <c r="T5423" s="8">
        <v>1.0001249999999999</v>
      </c>
      <c r="U5423" s="98">
        <v>4.5710580021508296</v>
      </c>
      <c r="V5423" s="106">
        <v>41957.296252214022</v>
      </c>
      <c r="W5423" s="10">
        <v>1.3038909542440358</v>
      </c>
      <c r="X5423" s="420"/>
      <c r="Y5423" s="420"/>
    </row>
    <row r="5424" spans="17:25">
      <c r="Q5424" s="6">
        <v>5394</v>
      </c>
      <c r="R5424" s="7">
        <v>48061</v>
      </c>
      <c r="S5424" s="210">
        <v>4.5</v>
      </c>
      <c r="T5424" s="8">
        <v>1.0001249999999999</v>
      </c>
      <c r="U5424" s="98">
        <v>4.5710759446665694</v>
      </c>
      <c r="V5424" s="106">
        <v>41960.904738020043</v>
      </c>
      <c r="W5424" s="10">
        <v>1.3039149465240207</v>
      </c>
      <c r="X5424" s="420"/>
      <c r="Y5424" s="420"/>
    </row>
    <row r="5425" spans="17:25">
      <c r="Q5425" s="6">
        <v>5395</v>
      </c>
      <c r="R5425" s="7">
        <v>48062</v>
      </c>
      <c r="S5425" s="210">
        <v>4.5</v>
      </c>
      <c r="T5425" s="8">
        <v>1.0001249999999999</v>
      </c>
      <c r="U5425" s="98">
        <v>4.5710938805338497</v>
      </c>
      <c r="V5425" s="106">
        <v>41964.513534169448</v>
      </c>
      <c r="W5425" s="10">
        <v>1.3039389299154047</v>
      </c>
      <c r="X5425" s="420"/>
      <c r="Y5425" s="420"/>
    </row>
    <row r="5426" spans="17:25">
      <c r="Q5426" s="6">
        <v>5396</v>
      </c>
      <c r="R5426" s="7">
        <v>48063</v>
      </c>
      <c r="S5426" s="210">
        <v>4.5</v>
      </c>
      <c r="T5426" s="8">
        <v>1.0001249999999999</v>
      </c>
      <c r="U5426" s="98">
        <v>4.5711118097563563</v>
      </c>
      <c r="V5426" s="106">
        <v>41968.12264068894</v>
      </c>
      <c r="W5426" s="10">
        <v>1.3039629044231171</v>
      </c>
      <c r="X5426" s="420"/>
      <c r="Y5426" s="420"/>
    </row>
    <row r="5427" spans="17:25">
      <c r="Q5427" s="6">
        <v>5397</v>
      </c>
      <c r="R5427" s="7">
        <v>48064</v>
      </c>
      <c r="S5427" s="210">
        <v>4.5</v>
      </c>
      <c r="T5427" s="8">
        <v>1.0001249999999999</v>
      </c>
      <c r="U5427" s="98">
        <v>4.5711297323377975</v>
      </c>
      <c r="V5427" s="106">
        <v>41971.732057605215</v>
      </c>
      <c r="W5427" s="10">
        <v>1.303986870052154</v>
      </c>
      <c r="X5427" s="420"/>
      <c r="Y5427" s="420"/>
    </row>
    <row r="5428" spans="17:25">
      <c r="Q5428" s="6">
        <v>5398</v>
      </c>
      <c r="R5428" s="7">
        <v>48065</v>
      </c>
      <c r="S5428" s="210">
        <v>4.5</v>
      </c>
      <c r="T5428" s="8">
        <v>1.0001249999999999</v>
      </c>
      <c r="U5428" s="98">
        <v>4.5711476482818592</v>
      </c>
      <c r="V5428" s="106">
        <v>41975.341784944969</v>
      </c>
      <c r="W5428" s="10">
        <v>1.304010826807378</v>
      </c>
      <c r="X5428" s="420"/>
      <c r="Y5428" s="420"/>
    </row>
    <row r="5429" spans="17:25">
      <c r="Q5429" s="6">
        <v>5399</v>
      </c>
      <c r="R5429" s="7">
        <v>48066</v>
      </c>
      <c r="S5429" s="210">
        <v>4.5</v>
      </c>
      <c r="T5429" s="8">
        <v>1.0001249999999999</v>
      </c>
      <c r="U5429" s="98">
        <v>4.5711655575922272</v>
      </c>
      <c r="V5429" s="106">
        <v>41978.951822734896</v>
      </c>
      <c r="W5429" s="10">
        <v>1.3040347746937853</v>
      </c>
      <c r="X5429" s="420"/>
      <c r="Y5429" s="420"/>
    </row>
    <row r="5430" spans="17:25">
      <c r="Q5430" s="6">
        <v>5400</v>
      </c>
      <c r="R5430" s="7">
        <v>48067</v>
      </c>
      <c r="S5430" s="210">
        <v>4.5</v>
      </c>
      <c r="T5430" s="8">
        <v>1.0001249999999999</v>
      </c>
      <c r="U5430" s="98">
        <v>4.5711834602725876</v>
      </c>
      <c r="V5430" s="106">
        <v>41982.562171001686</v>
      </c>
      <c r="W5430" s="10">
        <v>1.3040587137162385</v>
      </c>
      <c r="X5430" s="420"/>
      <c r="Y5430" s="420"/>
    </row>
    <row r="5431" spans="17:25">
      <c r="Q5431" s="308"/>
      <c r="R5431" s="309"/>
      <c r="S5431" s="210"/>
      <c r="T5431" s="310"/>
      <c r="U5431" s="106"/>
      <c r="V5431" s="106"/>
      <c r="W5431" s="106"/>
      <c r="X5431" s="420"/>
      <c r="Y5431" s="420"/>
    </row>
    <row r="5432" spans="17:25">
      <c r="Q5432" s="308"/>
      <c r="R5432" s="309"/>
      <c r="S5432" s="210"/>
      <c r="T5432" s="310"/>
      <c r="U5432" s="106"/>
      <c r="V5432" s="106"/>
      <c r="W5432" s="106"/>
      <c r="X5432" s="420"/>
      <c r="Y5432" s="420"/>
    </row>
    <row r="5433" spans="17:25">
      <c r="Q5433" s="308"/>
      <c r="R5433" s="309"/>
      <c r="S5433" s="210"/>
      <c r="T5433" s="310"/>
      <c r="U5433" s="106"/>
      <c r="V5433" s="106"/>
      <c r="W5433" s="106"/>
      <c r="X5433" s="420"/>
      <c r="Y5433" s="420"/>
    </row>
    <row r="5434" spans="17:25">
      <c r="Q5434" s="308"/>
      <c r="R5434" s="309"/>
      <c r="S5434" s="210"/>
      <c r="T5434" s="310"/>
      <c r="U5434" s="106"/>
      <c r="V5434" s="106"/>
      <c r="W5434" s="106"/>
      <c r="X5434" s="420"/>
      <c r="Y5434" s="420"/>
    </row>
    <row r="5435" spans="17:25">
      <c r="Q5435" s="308"/>
      <c r="R5435" s="309"/>
      <c r="S5435" s="210"/>
      <c r="T5435" s="310"/>
      <c r="U5435" s="106"/>
      <c r="V5435" s="106"/>
      <c r="W5435" s="106"/>
      <c r="X5435" s="420"/>
      <c r="Y5435" s="420"/>
    </row>
    <row r="5436" spans="17:25">
      <c r="Q5436" s="308"/>
      <c r="R5436" s="309"/>
      <c r="S5436" s="210"/>
      <c r="T5436" s="310"/>
      <c r="U5436" s="106"/>
      <c r="V5436" s="106"/>
      <c r="W5436" s="106"/>
      <c r="X5436" s="420"/>
      <c r="Y5436" s="420"/>
    </row>
    <row r="5437" spans="17:25">
      <c r="Q5437" s="308"/>
      <c r="R5437" s="309"/>
      <c r="S5437" s="210"/>
      <c r="T5437" s="310"/>
      <c r="U5437" s="106"/>
      <c r="V5437" s="106"/>
      <c r="W5437" s="106"/>
      <c r="X5437" s="420"/>
      <c r="Y5437" s="420"/>
    </row>
    <row r="5438" spans="17:25">
      <c r="Q5438" s="308"/>
      <c r="R5438" s="309"/>
      <c r="S5438" s="210"/>
      <c r="T5438" s="310"/>
      <c r="U5438" s="106"/>
      <c r="V5438" s="106"/>
      <c r="W5438" s="106"/>
      <c r="X5438" s="420"/>
      <c r="Y5438" s="420"/>
    </row>
    <row r="5439" spans="17:25">
      <c r="Q5439" s="308"/>
      <c r="R5439" s="309"/>
      <c r="S5439" s="210"/>
      <c r="T5439" s="310"/>
      <c r="U5439" s="106"/>
      <c r="V5439" s="106"/>
      <c r="W5439" s="106"/>
      <c r="X5439" s="420"/>
      <c r="Y5439" s="420"/>
    </row>
    <row r="5440" spans="17:25">
      <c r="Q5440" s="308"/>
      <c r="R5440" s="309"/>
      <c r="S5440" s="210"/>
      <c r="T5440" s="310"/>
      <c r="U5440" s="106"/>
      <c r="V5440" s="106"/>
      <c r="W5440" s="106"/>
      <c r="X5440" s="420"/>
      <c r="Y5440" s="420"/>
    </row>
    <row r="5441" spans="17:25">
      <c r="Q5441" s="308"/>
      <c r="R5441" s="309"/>
      <c r="S5441" s="210"/>
      <c r="T5441" s="310"/>
      <c r="U5441" s="106"/>
      <c r="V5441" s="106"/>
      <c r="W5441" s="106"/>
      <c r="X5441" s="420"/>
      <c r="Y5441" s="420"/>
    </row>
    <row r="5442" spans="17:25">
      <c r="Q5442" s="308"/>
      <c r="R5442" s="309"/>
      <c r="S5442" s="210"/>
      <c r="T5442" s="310"/>
      <c r="U5442" s="106"/>
      <c r="V5442" s="106"/>
      <c r="W5442" s="106"/>
      <c r="X5442" s="420"/>
      <c r="Y5442" s="420"/>
    </row>
    <row r="5443" spans="17:25">
      <c r="Q5443" s="308"/>
      <c r="R5443" s="309"/>
      <c r="S5443" s="210"/>
      <c r="T5443" s="310"/>
      <c r="U5443" s="106"/>
      <c r="V5443" s="106"/>
      <c r="W5443" s="106"/>
      <c r="X5443" s="420"/>
      <c r="Y5443" s="420"/>
    </row>
    <row r="5444" spans="17:25">
      <c r="Q5444" s="308"/>
      <c r="R5444" s="309"/>
      <c r="S5444" s="210"/>
      <c r="T5444" s="310"/>
      <c r="U5444" s="106"/>
      <c r="V5444" s="106"/>
      <c r="W5444" s="106"/>
      <c r="X5444" s="420"/>
      <c r="Y5444" s="420"/>
    </row>
    <row r="5445" spans="17:25">
      <c r="Q5445" s="308"/>
      <c r="R5445" s="309"/>
      <c r="S5445" s="210"/>
      <c r="T5445" s="310"/>
      <c r="U5445" s="106"/>
      <c r="V5445" s="106"/>
      <c r="W5445" s="106"/>
      <c r="X5445" s="420"/>
      <c r="Y5445" s="420"/>
    </row>
    <row r="5446" spans="17:25">
      <c r="Q5446" s="308"/>
      <c r="R5446" s="309"/>
      <c r="S5446" s="210"/>
      <c r="T5446" s="310"/>
      <c r="U5446" s="106"/>
      <c r="V5446" s="106"/>
      <c r="W5446" s="106"/>
      <c r="X5446" s="420"/>
      <c r="Y5446" s="420"/>
    </row>
    <row r="5447" spans="17:25">
      <c r="Q5447" s="308"/>
      <c r="R5447" s="309"/>
      <c r="S5447" s="210"/>
      <c r="T5447" s="310"/>
      <c r="U5447" s="106"/>
      <c r="V5447" s="106"/>
      <c r="W5447" s="106"/>
      <c r="X5447" s="420"/>
      <c r="Y5447" s="420"/>
    </row>
    <row r="5448" spans="17:25">
      <c r="Q5448" s="308"/>
      <c r="R5448" s="309"/>
      <c r="S5448" s="210"/>
      <c r="T5448" s="310"/>
      <c r="U5448" s="106"/>
      <c r="V5448" s="106"/>
      <c r="W5448" s="106"/>
      <c r="X5448" s="420"/>
      <c r="Y5448" s="420"/>
    </row>
    <row r="5449" spans="17:25">
      <c r="Q5449" s="308"/>
      <c r="R5449" s="309"/>
      <c r="S5449" s="210"/>
      <c r="T5449" s="310"/>
      <c r="U5449" s="106"/>
      <c r="V5449" s="106"/>
      <c r="W5449" s="106"/>
      <c r="X5449" s="420"/>
      <c r="Y5449" s="420"/>
    </row>
    <row r="5450" spans="17:25">
      <c r="Q5450" s="308"/>
      <c r="R5450" s="309"/>
      <c r="S5450" s="210"/>
      <c r="T5450" s="310"/>
      <c r="U5450" s="106"/>
      <c r="V5450" s="106"/>
      <c r="W5450" s="106"/>
      <c r="X5450" s="420"/>
      <c r="Y5450" s="420"/>
    </row>
    <row r="5451" spans="17:25">
      <c r="Q5451" s="308"/>
      <c r="R5451" s="309"/>
      <c r="S5451" s="210"/>
      <c r="T5451" s="310"/>
      <c r="U5451" s="106"/>
      <c r="V5451" s="106"/>
      <c r="W5451" s="106"/>
      <c r="X5451" s="420"/>
      <c r="Y5451" s="420"/>
    </row>
    <row r="5452" spans="17:25">
      <c r="Q5452" s="308"/>
      <c r="R5452" s="309"/>
      <c r="S5452" s="210"/>
      <c r="T5452" s="310"/>
      <c r="U5452" s="106"/>
      <c r="V5452" s="106"/>
      <c r="W5452" s="106"/>
      <c r="X5452" s="420"/>
      <c r="Y5452" s="420"/>
    </row>
    <row r="5453" spans="17:25">
      <c r="Q5453" s="308"/>
      <c r="R5453" s="309"/>
      <c r="S5453" s="210"/>
      <c r="T5453" s="310"/>
      <c r="U5453" s="106"/>
      <c r="V5453" s="106"/>
      <c r="W5453" s="106"/>
      <c r="X5453" s="420"/>
      <c r="Y5453" s="420"/>
    </row>
    <row r="5454" spans="17:25">
      <c r="Q5454" s="308"/>
      <c r="R5454" s="309"/>
      <c r="S5454" s="210"/>
      <c r="T5454" s="310"/>
      <c r="U5454" s="106"/>
      <c r="V5454" s="106"/>
      <c r="W5454" s="106"/>
      <c r="X5454" s="420"/>
      <c r="Y5454" s="420"/>
    </row>
    <row r="5455" spans="17:25">
      <c r="Q5455" s="308"/>
      <c r="R5455" s="309"/>
      <c r="S5455" s="210"/>
      <c r="T5455" s="310"/>
      <c r="U5455" s="106"/>
      <c r="V5455" s="106"/>
      <c r="W5455" s="106"/>
      <c r="X5455" s="420"/>
      <c r="Y5455" s="420"/>
    </row>
    <row r="5456" spans="17:25">
      <c r="Q5456" s="308"/>
      <c r="R5456" s="309"/>
      <c r="S5456" s="210"/>
      <c r="T5456" s="310"/>
      <c r="U5456" s="106"/>
      <c r="V5456" s="106"/>
      <c r="W5456" s="106"/>
      <c r="X5456" s="420"/>
      <c r="Y5456" s="420"/>
    </row>
    <row r="5457" spans="17:25">
      <c r="Q5457" s="308"/>
      <c r="R5457" s="309"/>
      <c r="S5457" s="210"/>
      <c r="T5457" s="310"/>
      <c r="U5457" s="106"/>
      <c r="V5457" s="106"/>
      <c r="W5457" s="106"/>
      <c r="X5457" s="420"/>
      <c r="Y5457" s="420"/>
    </row>
    <row r="5458" spans="17:25">
      <c r="Q5458" s="308"/>
      <c r="R5458" s="309"/>
      <c r="S5458" s="210"/>
      <c r="T5458" s="310"/>
      <c r="U5458" s="106"/>
      <c r="V5458" s="106"/>
      <c r="W5458" s="106"/>
      <c r="X5458" s="420"/>
      <c r="Y5458" s="420"/>
    </row>
    <row r="5459" spans="17:25">
      <c r="Q5459" s="308"/>
      <c r="R5459" s="309"/>
      <c r="S5459" s="210"/>
      <c r="T5459" s="310"/>
      <c r="U5459" s="106"/>
      <c r="V5459" s="106"/>
      <c r="W5459" s="106"/>
      <c r="X5459" s="420"/>
      <c r="Y5459" s="420"/>
    </row>
    <row r="5460" spans="17:25">
      <c r="Q5460" s="308"/>
      <c r="R5460" s="309"/>
      <c r="S5460" s="210"/>
      <c r="T5460" s="310"/>
      <c r="U5460" s="106"/>
      <c r="V5460" s="106"/>
      <c r="W5460" s="106"/>
      <c r="X5460" s="420"/>
      <c r="Y5460" s="420"/>
    </row>
    <row r="5461" spans="17:25">
      <c r="Q5461" s="308"/>
      <c r="R5461" s="309"/>
      <c r="S5461" s="210"/>
      <c r="T5461" s="310"/>
      <c r="U5461" s="106"/>
      <c r="V5461" s="106"/>
      <c r="W5461" s="106"/>
      <c r="X5461" s="420"/>
      <c r="Y5461" s="420"/>
    </row>
    <row r="5462" spans="17:25">
      <c r="Q5462" s="308"/>
      <c r="R5462" s="309"/>
      <c r="S5462" s="210"/>
      <c r="T5462" s="310"/>
      <c r="U5462" s="106"/>
      <c r="V5462" s="106"/>
      <c r="W5462" s="106"/>
      <c r="X5462" s="420"/>
      <c r="Y5462" s="420"/>
    </row>
    <row r="5463" spans="17:25">
      <c r="Q5463" s="308"/>
      <c r="R5463" s="309"/>
      <c r="S5463" s="210"/>
      <c r="T5463" s="310"/>
      <c r="U5463" s="106"/>
      <c r="V5463" s="106"/>
      <c r="W5463" s="106"/>
      <c r="X5463" s="420"/>
      <c r="Y5463" s="420"/>
    </row>
    <row r="5464" spans="17:25">
      <c r="Q5464" s="308"/>
      <c r="R5464" s="309"/>
      <c r="S5464" s="210"/>
      <c r="T5464" s="310"/>
      <c r="U5464" s="106"/>
      <c r="V5464" s="106"/>
      <c r="W5464" s="106"/>
      <c r="X5464" s="420"/>
      <c r="Y5464" s="420"/>
    </row>
    <row r="5465" spans="17:25">
      <c r="Q5465" s="308"/>
      <c r="R5465" s="309"/>
      <c r="S5465" s="210"/>
      <c r="T5465" s="310"/>
      <c r="U5465" s="106"/>
      <c r="V5465" s="106"/>
      <c r="W5465" s="106"/>
      <c r="X5465" s="420"/>
      <c r="Y5465" s="420"/>
    </row>
    <row r="5466" spans="17:25">
      <c r="Q5466" s="308"/>
      <c r="R5466" s="309"/>
      <c r="S5466" s="210"/>
      <c r="T5466" s="310"/>
      <c r="U5466" s="106"/>
      <c r="V5466" s="106"/>
      <c r="W5466" s="106"/>
      <c r="X5466" s="420"/>
      <c r="Y5466" s="420"/>
    </row>
    <row r="5467" spans="17:25">
      <c r="Q5467" s="308"/>
      <c r="R5467" s="309"/>
      <c r="S5467" s="210"/>
      <c r="T5467" s="310"/>
      <c r="U5467" s="106"/>
      <c r="V5467" s="106"/>
      <c r="W5467" s="106"/>
      <c r="X5467" s="420"/>
      <c r="Y5467" s="420"/>
    </row>
    <row r="5468" spans="17:25">
      <c r="Q5468" s="308"/>
      <c r="R5468" s="309"/>
      <c r="S5468" s="210"/>
      <c r="T5468" s="310"/>
      <c r="U5468" s="106"/>
      <c r="V5468" s="106"/>
      <c r="W5468" s="106"/>
      <c r="X5468" s="420"/>
      <c r="Y5468" s="420"/>
    </row>
    <row r="5469" spans="17:25">
      <c r="Q5469" s="308"/>
      <c r="R5469" s="309"/>
      <c r="S5469" s="210"/>
      <c r="T5469" s="310"/>
      <c r="U5469" s="106"/>
      <c r="V5469" s="106"/>
      <c r="W5469" s="106"/>
      <c r="X5469" s="420"/>
      <c r="Y5469" s="420"/>
    </row>
    <row r="5470" spans="17:25">
      <c r="Q5470" s="308"/>
      <c r="R5470" s="309"/>
      <c r="S5470" s="210"/>
      <c r="T5470" s="310"/>
      <c r="U5470" s="106"/>
      <c r="V5470" s="106"/>
      <c r="W5470" s="106"/>
      <c r="X5470" s="420"/>
      <c r="Y5470" s="420"/>
    </row>
    <row r="5471" spans="17:25">
      <c r="Q5471" s="308"/>
      <c r="R5471" s="309"/>
      <c r="S5471" s="210"/>
      <c r="T5471" s="310"/>
      <c r="U5471" s="106"/>
      <c r="V5471" s="106"/>
      <c r="W5471" s="106"/>
      <c r="X5471" s="420"/>
      <c r="Y5471" s="420"/>
    </row>
    <row r="5472" spans="17:25">
      <c r="Q5472" s="308"/>
      <c r="R5472" s="309"/>
      <c r="S5472" s="210"/>
      <c r="T5472" s="310"/>
      <c r="U5472" s="106"/>
      <c r="V5472" s="106"/>
      <c r="W5472" s="106"/>
      <c r="X5472" s="420"/>
      <c r="Y5472" s="420"/>
    </row>
    <row r="5473" spans="17:25">
      <c r="Q5473" s="308"/>
      <c r="R5473" s="309"/>
      <c r="S5473" s="210"/>
      <c r="T5473" s="310"/>
      <c r="U5473" s="106"/>
      <c r="V5473" s="106"/>
      <c r="W5473" s="106"/>
      <c r="X5473" s="420"/>
      <c r="Y5473" s="420"/>
    </row>
    <row r="5474" spans="17:25">
      <c r="Q5474" s="308"/>
      <c r="R5474" s="309"/>
      <c r="S5474" s="210"/>
      <c r="T5474" s="310"/>
      <c r="U5474" s="106"/>
      <c r="V5474" s="106"/>
      <c r="W5474" s="106"/>
      <c r="X5474" s="420"/>
      <c r="Y5474" s="420"/>
    </row>
    <row r="5475" spans="17:25">
      <c r="Q5475" s="308"/>
      <c r="R5475" s="309"/>
      <c r="S5475" s="210"/>
      <c r="T5475" s="310"/>
      <c r="U5475" s="106"/>
      <c r="V5475" s="106"/>
      <c r="W5475" s="106"/>
      <c r="X5475" s="420"/>
      <c r="Y5475" s="420"/>
    </row>
    <row r="5476" spans="17:25">
      <c r="Q5476" s="308"/>
      <c r="R5476" s="309"/>
      <c r="S5476" s="210"/>
      <c r="T5476" s="310"/>
      <c r="U5476" s="106"/>
      <c r="V5476" s="106"/>
      <c r="W5476" s="106"/>
      <c r="X5476" s="420"/>
      <c r="Y5476" s="420"/>
    </row>
    <row r="5477" spans="17:25">
      <c r="Q5477" s="308"/>
      <c r="R5477" s="309"/>
      <c r="S5477" s="210"/>
      <c r="T5477" s="310"/>
      <c r="U5477" s="106"/>
      <c r="V5477" s="106"/>
      <c r="W5477" s="106"/>
      <c r="X5477" s="420"/>
      <c r="Y5477" s="420"/>
    </row>
    <row r="5478" spans="17:25">
      <c r="Q5478" s="308"/>
      <c r="R5478" s="309"/>
      <c r="S5478" s="210"/>
      <c r="T5478" s="310"/>
      <c r="U5478" s="106"/>
      <c r="V5478" s="106"/>
      <c r="W5478" s="106"/>
      <c r="X5478" s="420"/>
      <c r="Y5478" s="420"/>
    </row>
    <row r="5479" spans="17:25">
      <c r="Q5479" s="308"/>
      <c r="R5479" s="309"/>
      <c r="S5479" s="210"/>
      <c r="T5479" s="310"/>
      <c r="U5479" s="106"/>
      <c r="V5479" s="106"/>
      <c r="W5479" s="106"/>
      <c r="X5479" s="420"/>
      <c r="Y5479" s="420"/>
    </row>
    <row r="5480" spans="17:25">
      <c r="Q5480" s="308"/>
      <c r="R5480" s="309"/>
      <c r="S5480" s="210"/>
      <c r="T5480" s="310"/>
      <c r="U5480" s="106"/>
      <c r="V5480" s="106"/>
      <c r="W5480" s="106"/>
      <c r="X5480" s="420"/>
      <c r="Y5480" s="420"/>
    </row>
    <row r="5481" spans="17:25">
      <c r="Q5481" s="308"/>
      <c r="R5481" s="309"/>
      <c r="S5481" s="210"/>
      <c r="T5481" s="310"/>
      <c r="U5481" s="106"/>
      <c r="V5481" s="106"/>
      <c r="W5481" s="106"/>
      <c r="X5481" s="420"/>
      <c r="Y5481" s="420"/>
    </row>
    <row r="5482" spans="17:25">
      <c r="Q5482" s="308"/>
      <c r="R5482" s="309"/>
      <c r="S5482" s="210"/>
      <c r="T5482" s="310"/>
      <c r="U5482" s="106"/>
      <c r="V5482" s="106"/>
      <c r="W5482" s="106"/>
      <c r="X5482" s="420"/>
      <c r="Y5482" s="420"/>
    </row>
    <row r="5483" spans="17:25">
      <c r="Q5483" s="308"/>
      <c r="R5483" s="309"/>
      <c r="S5483" s="210"/>
      <c r="T5483" s="310"/>
      <c r="U5483" s="106"/>
      <c r="V5483" s="106"/>
      <c r="W5483" s="106"/>
      <c r="X5483" s="420"/>
      <c r="Y5483" s="420"/>
    </row>
    <row r="5484" spans="17:25">
      <c r="Q5484" s="308"/>
      <c r="R5484" s="309"/>
      <c r="S5484" s="210"/>
      <c r="T5484" s="310"/>
      <c r="U5484" s="106"/>
      <c r="V5484" s="106"/>
      <c r="W5484" s="106"/>
      <c r="X5484" s="420"/>
      <c r="Y5484" s="420"/>
    </row>
    <row r="5485" spans="17:25">
      <c r="Q5485" s="308"/>
      <c r="R5485" s="309"/>
      <c r="S5485" s="210"/>
      <c r="T5485" s="310"/>
      <c r="U5485" s="106"/>
      <c r="V5485" s="106"/>
      <c r="W5485" s="106"/>
      <c r="X5485" s="420"/>
      <c r="Y5485" s="420"/>
    </row>
    <row r="5486" spans="17:25">
      <c r="Q5486" s="308"/>
      <c r="R5486" s="309"/>
      <c r="S5486" s="210"/>
      <c r="T5486" s="310"/>
      <c r="U5486" s="106"/>
      <c r="V5486" s="106"/>
      <c r="W5486" s="106"/>
      <c r="X5486" s="420"/>
      <c r="Y5486" s="420"/>
    </row>
    <row r="5487" spans="17:25">
      <c r="Q5487" s="308"/>
      <c r="R5487" s="309"/>
      <c r="S5487" s="210"/>
      <c r="T5487" s="310"/>
      <c r="U5487" s="106"/>
      <c r="V5487" s="106"/>
      <c r="W5487" s="106"/>
      <c r="X5487" s="420"/>
      <c r="Y5487" s="420"/>
    </row>
    <row r="5488" spans="17:25">
      <c r="Q5488" s="308"/>
      <c r="R5488" s="309"/>
      <c r="S5488" s="210"/>
      <c r="T5488" s="310"/>
      <c r="U5488" s="106"/>
      <c r="V5488" s="106"/>
      <c r="W5488" s="106"/>
      <c r="X5488" s="420"/>
      <c r="Y5488" s="420"/>
    </row>
    <row r="5489" spans="17:25">
      <c r="Q5489" s="308"/>
      <c r="R5489" s="309"/>
      <c r="S5489" s="210"/>
      <c r="T5489" s="310"/>
      <c r="U5489" s="106"/>
      <c r="V5489" s="106"/>
      <c r="W5489" s="106"/>
      <c r="X5489" s="420"/>
      <c r="Y5489" s="420"/>
    </row>
    <row r="5490" spans="17:25">
      <c r="Q5490" s="308"/>
      <c r="R5490" s="309"/>
      <c r="S5490" s="210"/>
      <c r="T5490" s="310"/>
      <c r="U5490" s="106"/>
      <c r="V5490" s="106"/>
      <c r="W5490" s="106"/>
      <c r="X5490" s="420"/>
      <c r="Y5490" s="420"/>
    </row>
    <row r="5491" spans="17:25">
      <c r="Q5491" s="308"/>
      <c r="R5491" s="309"/>
      <c r="S5491" s="210"/>
      <c r="T5491" s="310"/>
      <c r="U5491" s="106"/>
      <c r="V5491" s="106"/>
      <c r="W5491" s="106"/>
      <c r="X5491" s="420"/>
      <c r="Y5491" s="420"/>
    </row>
    <row r="5492" spans="17:25">
      <c r="Q5492" s="308"/>
      <c r="R5492" s="309"/>
      <c r="S5492" s="210"/>
      <c r="T5492" s="310"/>
      <c r="U5492" s="106"/>
      <c r="V5492" s="106"/>
      <c r="W5492" s="106"/>
      <c r="X5492" s="420"/>
      <c r="Y5492" s="420"/>
    </row>
    <row r="5493" spans="17:25">
      <c r="Q5493" s="308"/>
      <c r="R5493" s="309"/>
      <c r="S5493" s="210"/>
      <c r="T5493" s="310"/>
      <c r="U5493" s="106"/>
      <c r="V5493" s="106"/>
      <c r="W5493" s="106"/>
      <c r="X5493" s="420"/>
      <c r="Y5493" s="420"/>
    </row>
    <row r="5494" spans="17:25">
      <c r="Q5494" s="308"/>
      <c r="R5494" s="309"/>
      <c r="S5494" s="210"/>
      <c r="T5494" s="310"/>
      <c r="U5494" s="106"/>
      <c r="V5494" s="106"/>
      <c r="W5494" s="106"/>
      <c r="X5494" s="420"/>
      <c r="Y5494" s="420"/>
    </row>
    <row r="5495" spans="17:25">
      <c r="Q5495" s="308"/>
      <c r="R5495" s="309"/>
      <c r="S5495" s="210"/>
      <c r="T5495" s="310"/>
      <c r="U5495" s="106"/>
      <c r="V5495" s="106"/>
      <c r="W5495" s="106"/>
      <c r="X5495" s="420"/>
      <c r="Y5495" s="420"/>
    </row>
    <row r="5496" spans="17:25">
      <c r="Q5496" s="308"/>
      <c r="R5496" s="309"/>
      <c r="S5496" s="210"/>
      <c r="T5496" s="310"/>
      <c r="U5496" s="106"/>
      <c r="V5496" s="106"/>
      <c r="W5496" s="106"/>
      <c r="X5496" s="420"/>
      <c r="Y5496" s="420"/>
    </row>
    <row r="5497" spans="17:25">
      <c r="Q5497" s="308"/>
      <c r="R5497" s="309"/>
      <c r="S5497" s="210"/>
      <c r="T5497" s="310"/>
      <c r="U5497" s="106"/>
      <c r="V5497" s="106"/>
      <c r="W5497" s="106"/>
      <c r="X5497" s="420"/>
      <c r="Y5497" s="420"/>
    </row>
    <row r="5498" spans="17:25">
      <c r="Q5498" s="308"/>
      <c r="R5498" s="309"/>
      <c r="S5498" s="210"/>
      <c r="T5498" s="310"/>
      <c r="U5498" s="106"/>
      <c r="V5498" s="106"/>
      <c r="W5498" s="106"/>
      <c r="X5498" s="420"/>
      <c r="Y5498" s="420"/>
    </row>
    <row r="5499" spans="17:25">
      <c r="Q5499" s="308"/>
      <c r="R5499" s="309"/>
      <c r="S5499" s="210"/>
      <c r="T5499" s="310"/>
      <c r="U5499" s="106"/>
      <c r="V5499" s="106"/>
      <c r="W5499" s="106"/>
      <c r="X5499" s="420"/>
      <c r="Y5499" s="420"/>
    </row>
    <row r="5500" spans="17:25">
      <c r="Q5500" s="308"/>
      <c r="R5500" s="309"/>
      <c r="S5500" s="210"/>
      <c r="T5500" s="310"/>
      <c r="U5500" s="106"/>
      <c r="V5500" s="106"/>
      <c r="W5500" s="106"/>
      <c r="X5500" s="420"/>
      <c r="Y5500" s="420"/>
    </row>
    <row r="5501" spans="17:25">
      <c r="Q5501" s="308"/>
      <c r="R5501" s="309"/>
      <c r="S5501" s="210"/>
      <c r="T5501" s="310"/>
      <c r="U5501" s="106"/>
      <c r="V5501" s="106"/>
      <c r="W5501" s="106"/>
      <c r="X5501" s="420"/>
      <c r="Y5501" s="420"/>
    </row>
    <row r="5502" spans="17:25">
      <c r="Q5502" s="308"/>
      <c r="R5502" s="309"/>
      <c r="S5502" s="210"/>
      <c r="T5502" s="310"/>
      <c r="U5502" s="106"/>
      <c r="V5502" s="106"/>
      <c r="W5502" s="106"/>
      <c r="X5502" s="420"/>
      <c r="Y5502" s="420"/>
    </row>
    <row r="5503" spans="17:25">
      <c r="Q5503" s="308"/>
      <c r="R5503" s="309"/>
      <c r="S5503" s="210"/>
      <c r="T5503" s="310"/>
      <c r="U5503" s="106"/>
      <c r="V5503" s="106"/>
      <c r="W5503" s="106"/>
      <c r="X5503" s="420"/>
      <c r="Y5503" s="420"/>
    </row>
    <row r="5504" spans="17:25">
      <c r="Q5504" s="308"/>
      <c r="R5504" s="309"/>
      <c r="S5504" s="210"/>
      <c r="T5504" s="310"/>
      <c r="U5504" s="106"/>
      <c r="V5504" s="106"/>
      <c r="W5504" s="106"/>
      <c r="X5504" s="420"/>
      <c r="Y5504" s="420"/>
    </row>
    <row r="5505" spans="17:25">
      <c r="Q5505" s="308"/>
      <c r="R5505" s="309"/>
      <c r="S5505" s="210"/>
      <c r="T5505" s="310"/>
      <c r="U5505" s="106"/>
      <c r="V5505" s="106"/>
      <c r="W5505" s="106"/>
      <c r="X5505" s="420"/>
      <c r="Y5505" s="420"/>
    </row>
    <row r="5506" spans="17:25">
      <c r="Q5506" s="308"/>
      <c r="R5506" s="309"/>
      <c r="S5506" s="210"/>
      <c r="T5506" s="310"/>
      <c r="U5506" s="106"/>
      <c r="V5506" s="106"/>
      <c r="W5506" s="106"/>
      <c r="X5506" s="420"/>
      <c r="Y5506" s="420"/>
    </row>
    <row r="5507" spans="17:25">
      <c r="Q5507" s="308"/>
      <c r="R5507" s="309"/>
      <c r="S5507" s="210"/>
      <c r="T5507" s="310"/>
      <c r="U5507" s="106"/>
      <c r="V5507" s="106"/>
      <c r="W5507" s="106"/>
      <c r="X5507" s="420"/>
      <c r="Y5507" s="420"/>
    </row>
    <row r="5508" spans="17:25">
      <c r="Q5508" s="308"/>
      <c r="R5508" s="309"/>
      <c r="S5508" s="210"/>
      <c r="T5508" s="310"/>
      <c r="U5508" s="106"/>
      <c r="V5508" s="106"/>
      <c r="W5508" s="106"/>
      <c r="X5508" s="420"/>
      <c r="Y5508" s="420"/>
    </row>
    <row r="5509" spans="17:25">
      <c r="Q5509" s="308"/>
      <c r="R5509" s="309"/>
      <c r="S5509" s="210"/>
      <c r="T5509" s="310"/>
      <c r="U5509" s="106"/>
      <c r="V5509" s="106"/>
      <c r="W5509" s="106"/>
      <c r="X5509" s="420"/>
      <c r="Y5509" s="420"/>
    </row>
    <row r="5510" spans="17:25">
      <c r="Q5510" s="308"/>
      <c r="R5510" s="309"/>
      <c r="S5510" s="210"/>
      <c r="T5510" s="310"/>
      <c r="U5510" s="106"/>
      <c r="V5510" s="106"/>
      <c r="W5510" s="106"/>
      <c r="X5510" s="420"/>
      <c r="Y5510" s="420"/>
    </row>
    <row r="5511" spans="17:25">
      <c r="Q5511" s="308"/>
      <c r="R5511" s="309"/>
      <c r="S5511" s="210"/>
      <c r="T5511" s="310"/>
      <c r="U5511" s="106"/>
      <c r="V5511" s="106"/>
      <c r="W5511" s="106"/>
      <c r="X5511" s="420"/>
      <c r="Y5511" s="420"/>
    </row>
    <row r="5512" spans="17:25">
      <c r="Q5512" s="308"/>
      <c r="R5512" s="309"/>
      <c r="S5512" s="210"/>
      <c r="T5512" s="310"/>
      <c r="U5512" s="106"/>
      <c r="V5512" s="106"/>
      <c r="W5512" s="106"/>
      <c r="X5512" s="420"/>
      <c r="Y5512" s="420"/>
    </row>
    <row r="5513" spans="17:25">
      <c r="Q5513" s="308"/>
      <c r="R5513" s="309"/>
      <c r="S5513" s="210"/>
      <c r="T5513" s="310"/>
      <c r="U5513" s="106"/>
      <c r="V5513" s="106"/>
      <c r="W5513" s="106"/>
      <c r="X5513" s="420"/>
      <c r="Y5513" s="420"/>
    </row>
    <row r="5514" spans="17:25">
      <c r="Q5514" s="308"/>
      <c r="R5514" s="309"/>
      <c r="S5514" s="210"/>
      <c r="T5514" s="310"/>
      <c r="U5514" s="106"/>
      <c r="V5514" s="106"/>
      <c r="W5514" s="106"/>
      <c r="X5514" s="420"/>
      <c r="Y5514" s="420"/>
    </row>
    <row r="5515" spans="17:25">
      <c r="Q5515" s="308"/>
      <c r="R5515" s="309"/>
      <c r="S5515" s="210"/>
      <c r="T5515" s="310"/>
      <c r="U5515" s="106"/>
      <c r="V5515" s="106"/>
      <c r="W5515" s="106"/>
      <c r="X5515" s="420"/>
      <c r="Y5515" s="420"/>
    </row>
    <row r="5516" spans="17:25">
      <c r="Q5516" s="308"/>
      <c r="R5516" s="309"/>
      <c r="S5516" s="210"/>
      <c r="T5516" s="310"/>
      <c r="U5516" s="106"/>
      <c r="V5516" s="106"/>
      <c r="W5516" s="106"/>
      <c r="X5516" s="420"/>
      <c r="Y5516" s="420"/>
    </row>
    <row r="5517" spans="17:25">
      <c r="Q5517" s="308"/>
      <c r="R5517" s="309"/>
      <c r="S5517" s="210"/>
      <c r="T5517" s="310"/>
      <c r="U5517" s="106"/>
      <c r="V5517" s="106"/>
      <c r="W5517" s="106"/>
      <c r="X5517" s="420"/>
      <c r="Y5517" s="420"/>
    </row>
    <row r="5518" spans="17:25">
      <c r="Q5518" s="308"/>
      <c r="R5518" s="309"/>
      <c r="S5518" s="210"/>
      <c r="T5518" s="310"/>
      <c r="U5518" s="106"/>
      <c r="V5518" s="106"/>
      <c r="W5518" s="106"/>
      <c r="X5518" s="420"/>
      <c r="Y5518" s="420"/>
    </row>
    <row r="5519" spans="17:25">
      <c r="Q5519" s="308"/>
      <c r="R5519" s="309"/>
      <c r="S5519" s="210"/>
      <c r="T5519" s="310"/>
      <c r="U5519" s="106"/>
      <c r="V5519" s="106"/>
      <c r="W5519" s="106"/>
      <c r="X5519" s="420"/>
      <c r="Y5519" s="420"/>
    </row>
    <row r="5520" spans="17:25">
      <c r="Q5520" s="308"/>
      <c r="R5520" s="309"/>
      <c r="S5520" s="210"/>
      <c r="T5520" s="310"/>
      <c r="U5520" s="106"/>
      <c r="V5520" s="106"/>
      <c r="W5520" s="106"/>
      <c r="X5520" s="420"/>
      <c r="Y5520" s="420"/>
    </row>
    <row r="5521" spans="17:25">
      <c r="Q5521" s="308"/>
      <c r="R5521" s="309"/>
      <c r="S5521" s="210"/>
      <c r="T5521" s="310"/>
      <c r="U5521" s="106"/>
      <c r="V5521" s="106"/>
      <c r="W5521" s="106"/>
      <c r="X5521" s="420"/>
      <c r="Y5521" s="420"/>
    </row>
    <row r="5522" spans="17:25">
      <c r="Q5522" s="308"/>
      <c r="R5522" s="309"/>
      <c r="S5522" s="210"/>
      <c r="T5522" s="310"/>
      <c r="U5522" s="106"/>
      <c r="V5522" s="106"/>
      <c r="W5522" s="106"/>
      <c r="X5522" s="420"/>
      <c r="Y5522" s="420"/>
    </row>
    <row r="5523" spans="17:25">
      <c r="Q5523" s="308"/>
      <c r="R5523" s="309"/>
      <c r="S5523" s="210"/>
      <c r="T5523" s="310"/>
      <c r="U5523" s="106"/>
      <c r="V5523" s="106"/>
      <c r="W5523" s="106"/>
      <c r="X5523" s="420"/>
      <c r="Y5523" s="420"/>
    </row>
    <row r="5524" spans="17:25">
      <c r="Q5524" s="308"/>
      <c r="R5524" s="309"/>
      <c r="S5524" s="210"/>
      <c r="T5524" s="310"/>
      <c r="U5524" s="106"/>
      <c r="V5524" s="106"/>
      <c r="W5524" s="106"/>
      <c r="X5524" s="420"/>
      <c r="Y5524" s="420"/>
    </row>
    <row r="5525" spans="17:25">
      <c r="Q5525" s="308"/>
      <c r="R5525" s="309"/>
      <c r="S5525" s="210"/>
      <c r="T5525" s="310"/>
      <c r="U5525" s="106"/>
      <c r="V5525" s="106"/>
      <c r="W5525" s="106"/>
      <c r="X5525" s="420"/>
      <c r="Y5525" s="420"/>
    </row>
    <row r="5526" spans="17:25">
      <c r="Q5526" s="308"/>
      <c r="R5526" s="309"/>
      <c r="S5526" s="210"/>
      <c r="T5526" s="310"/>
      <c r="U5526" s="106"/>
      <c r="V5526" s="106"/>
      <c r="W5526" s="106"/>
      <c r="X5526" s="420"/>
      <c r="Y5526" s="420"/>
    </row>
    <row r="5527" spans="17:25">
      <c r="Q5527" s="308"/>
      <c r="R5527" s="309"/>
      <c r="S5527" s="210"/>
      <c r="T5527" s="310"/>
      <c r="U5527" s="106"/>
      <c r="V5527" s="106"/>
      <c r="W5527" s="106"/>
      <c r="X5527" s="420"/>
      <c r="Y5527" s="420"/>
    </row>
    <row r="5528" spans="17:25">
      <c r="Q5528" s="308"/>
      <c r="R5528" s="309"/>
      <c r="S5528" s="210"/>
      <c r="T5528" s="310"/>
      <c r="U5528" s="106"/>
      <c r="V5528" s="106"/>
      <c r="W5528" s="106"/>
      <c r="X5528" s="420"/>
      <c r="Y5528" s="420"/>
    </row>
    <row r="5529" spans="17:25">
      <c r="Q5529" s="308"/>
      <c r="R5529" s="309"/>
      <c r="S5529" s="210"/>
      <c r="T5529" s="310"/>
      <c r="U5529" s="106"/>
      <c r="V5529" s="106"/>
      <c r="W5529" s="106"/>
      <c r="X5529" s="420"/>
      <c r="Y5529" s="420"/>
    </row>
    <row r="5530" spans="17:25">
      <c r="Q5530" s="308"/>
      <c r="R5530" s="309"/>
      <c r="S5530" s="210"/>
      <c r="T5530" s="310"/>
      <c r="U5530" s="106"/>
      <c r="V5530" s="106"/>
      <c r="W5530" s="106"/>
      <c r="X5530" s="420"/>
      <c r="Y5530" s="420"/>
    </row>
    <row r="5531" spans="17:25">
      <c r="Q5531" s="308"/>
      <c r="R5531" s="309"/>
      <c r="S5531" s="210"/>
      <c r="T5531" s="310"/>
      <c r="U5531" s="106"/>
      <c r="V5531" s="106"/>
      <c r="W5531" s="106"/>
      <c r="X5531" s="420"/>
      <c r="Y5531" s="420"/>
    </row>
    <row r="5532" spans="17:25">
      <c r="Q5532" s="308"/>
      <c r="R5532" s="309"/>
      <c r="S5532" s="210"/>
      <c r="T5532" s="310"/>
      <c r="U5532" s="106"/>
      <c r="V5532" s="106"/>
      <c r="W5532" s="106"/>
      <c r="X5532" s="420"/>
      <c r="Y5532" s="420"/>
    </row>
    <row r="5533" spans="17:25">
      <c r="Q5533" s="308"/>
      <c r="R5533" s="309"/>
      <c r="S5533" s="210"/>
      <c r="T5533" s="310"/>
      <c r="U5533" s="106"/>
      <c r="V5533" s="106"/>
      <c r="W5533" s="106"/>
      <c r="X5533" s="420"/>
      <c r="Y5533" s="420"/>
    </row>
    <row r="5534" spans="17:25">
      <c r="Q5534" s="308"/>
      <c r="R5534" s="309"/>
      <c r="S5534" s="210"/>
      <c r="T5534" s="310"/>
      <c r="U5534" s="106"/>
      <c r="V5534" s="106"/>
      <c r="W5534" s="106"/>
      <c r="X5534" s="420"/>
      <c r="Y5534" s="420"/>
    </row>
    <row r="5535" spans="17:25">
      <c r="Q5535" s="308"/>
      <c r="R5535" s="309"/>
      <c r="S5535" s="210"/>
      <c r="T5535" s="310"/>
      <c r="U5535" s="106"/>
      <c r="V5535" s="106"/>
      <c r="W5535" s="106"/>
      <c r="X5535" s="420"/>
      <c r="Y5535" s="420"/>
    </row>
    <row r="5536" spans="17:25">
      <c r="Q5536" s="308"/>
      <c r="R5536" s="309"/>
      <c r="S5536" s="210"/>
      <c r="T5536" s="310"/>
      <c r="U5536" s="106"/>
      <c r="V5536" s="106"/>
      <c r="W5536" s="106"/>
      <c r="X5536" s="420"/>
      <c r="Y5536" s="420"/>
    </row>
    <row r="5537" spans="17:25">
      <c r="Q5537" s="308"/>
      <c r="R5537" s="309"/>
      <c r="S5537" s="210"/>
      <c r="T5537" s="310"/>
      <c r="U5537" s="106"/>
      <c r="V5537" s="106"/>
      <c r="W5537" s="106"/>
      <c r="X5537" s="420"/>
      <c r="Y5537" s="420"/>
    </row>
    <row r="5538" spans="17:25">
      <c r="Q5538" s="308"/>
      <c r="R5538" s="309"/>
      <c r="S5538" s="210"/>
      <c r="T5538" s="310"/>
      <c r="U5538" s="106"/>
      <c r="V5538" s="106"/>
      <c r="W5538" s="106"/>
      <c r="X5538" s="420"/>
      <c r="Y5538" s="420"/>
    </row>
    <row r="5539" spans="17:25">
      <c r="Q5539" s="308"/>
      <c r="R5539" s="309"/>
      <c r="S5539" s="210"/>
      <c r="T5539" s="310"/>
      <c r="U5539" s="106"/>
      <c r="V5539" s="106"/>
      <c r="W5539" s="106"/>
      <c r="X5539" s="420"/>
      <c r="Y5539" s="420"/>
    </row>
    <row r="5540" spans="17:25">
      <c r="Q5540" s="308"/>
      <c r="R5540" s="309"/>
      <c r="S5540" s="210"/>
      <c r="T5540" s="310"/>
      <c r="U5540" s="106"/>
      <c r="V5540" s="106"/>
      <c r="W5540" s="106"/>
      <c r="X5540" s="420"/>
      <c r="Y5540" s="420"/>
    </row>
    <row r="5541" spans="17:25">
      <c r="Q5541" s="308"/>
      <c r="R5541" s="309"/>
      <c r="S5541" s="210"/>
      <c r="T5541" s="310"/>
      <c r="U5541" s="106"/>
      <c r="V5541" s="106"/>
      <c r="W5541" s="106"/>
      <c r="X5541" s="420"/>
      <c r="Y5541" s="420"/>
    </row>
    <row r="5542" spans="17:25">
      <c r="Q5542" s="308"/>
      <c r="R5542" s="309"/>
      <c r="S5542" s="210"/>
      <c r="T5542" s="310"/>
      <c r="U5542" s="106"/>
      <c r="V5542" s="106"/>
      <c r="W5542" s="106"/>
      <c r="X5542" s="420"/>
      <c r="Y5542" s="420"/>
    </row>
    <row r="5543" spans="17:25">
      <c r="Q5543" s="308"/>
      <c r="R5543" s="309"/>
      <c r="S5543" s="210"/>
      <c r="T5543" s="310"/>
      <c r="U5543" s="106"/>
      <c r="V5543" s="106"/>
      <c r="W5543" s="106"/>
      <c r="X5543" s="420"/>
      <c r="Y5543" s="420"/>
    </row>
    <row r="5544" spans="17:25">
      <c r="Q5544" s="308"/>
      <c r="R5544" s="309"/>
      <c r="S5544" s="210"/>
      <c r="T5544" s="310"/>
      <c r="U5544" s="106"/>
      <c r="V5544" s="106"/>
      <c r="W5544" s="106"/>
      <c r="X5544" s="420"/>
      <c r="Y5544" s="420"/>
    </row>
    <row r="5545" spans="17:25">
      <c r="Q5545" s="308"/>
      <c r="R5545" s="309"/>
      <c r="S5545" s="210"/>
      <c r="T5545" s="310"/>
      <c r="U5545" s="106"/>
      <c r="V5545" s="106"/>
      <c r="W5545" s="106"/>
      <c r="X5545" s="420"/>
      <c r="Y5545" s="420"/>
    </row>
    <row r="5546" spans="17:25">
      <c r="Q5546" s="308"/>
      <c r="R5546" s="309"/>
      <c r="S5546" s="210"/>
      <c r="T5546" s="310"/>
      <c r="U5546" s="106"/>
      <c r="V5546" s="106"/>
      <c r="W5546" s="106"/>
      <c r="X5546" s="420"/>
      <c r="Y5546" s="420"/>
    </row>
    <row r="5547" spans="17:25">
      <c r="Q5547" s="308"/>
      <c r="R5547" s="309"/>
      <c r="S5547" s="210"/>
      <c r="T5547" s="310"/>
      <c r="U5547" s="106"/>
      <c r="V5547" s="106"/>
      <c r="W5547" s="106"/>
      <c r="X5547" s="420"/>
      <c r="Y5547" s="420"/>
    </row>
    <row r="5548" spans="17:25">
      <c r="Q5548" s="308"/>
      <c r="R5548" s="309"/>
      <c r="S5548" s="210"/>
      <c r="T5548" s="310"/>
      <c r="U5548" s="106"/>
      <c r="V5548" s="106"/>
      <c r="W5548" s="106"/>
      <c r="X5548" s="420"/>
      <c r="Y5548" s="420"/>
    </row>
    <row r="5549" spans="17:25">
      <c r="Q5549" s="308"/>
      <c r="R5549" s="309"/>
      <c r="S5549" s="210"/>
      <c r="T5549" s="310"/>
      <c r="U5549" s="106"/>
      <c r="V5549" s="106"/>
      <c r="W5549" s="106"/>
      <c r="X5549" s="420"/>
      <c r="Y5549" s="420"/>
    </row>
    <row r="5550" spans="17:25">
      <c r="Q5550" s="308"/>
      <c r="R5550" s="309"/>
      <c r="S5550" s="210"/>
      <c r="T5550" s="310"/>
      <c r="U5550" s="106"/>
      <c r="V5550" s="106"/>
      <c r="W5550" s="106"/>
      <c r="X5550" s="420"/>
      <c r="Y5550" s="420"/>
    </row>
    <row r="5551" spans="17:25">
      <c r="Q5551" s="308"/>
      <c r="R5551" s="309"/>
      <c r="S5551" s="210"/>
      <c r="T5551" s="310"/>
      <c r="U5551" s="106"/>
      <c r="V5551" s="106"/>
      <c r="W5551" s="106"/>
      <c r="X5551" s="420"/>
      <c r="Y5551" s="420"/>
    </row>
    <row r="5552" spans="17:25">
      <c r="Q5552" s="308"/>
      <c r="R5552" s="309"/>
      <c r="S5552" s="210"/>
      <c r="T5552" s="310"/>
      <c r="U5552" s="106"/>
      <c r="V5552" s="106"/>
      <c r="W5552" s="106"/>
      <c r="X5552" s="420"/>
      <c r="Y5552" s="420"/>
    </row>
    <row r="5553" spans="17:25">
      <c r="Q5553" s="308"/>
      <c r="R5553" s="309"/>
      <c r="S5553" s="210"/>
      <c r="T5553" s="310"/>
      <c r="U5553" s="106"/>
      <c r="V5553" s="106"/>
      <c r="W5553" s="106"/>
      <c r="X5553" s="420"/>
      <c r="Y5553" s="420"/>
    </row>
    <row r="5554" spans="17:25">
      <c r="Q5554" s="308"/>
      <c r="R5554" s="309"/>
      <c r="S5554" s="210"/>
      <c r="T5554" s="310"/>
      <c r="U5554" s="106"/>
      <c r="V5554" s="106"/>
      <c r="W5554" s="106"/>
      <c r="X5554" s="420"/>
      <c r="Y5554" s="420"/>
    </row>
    <row r="5555" spans="17:25">
      <c r="Q5555" s="308"/>
      <c r="R5555" s="309"/>
      <c r="S5555" s="210"/>
      <c r="T5555" s="310"/>
      <c r="U5555" s="106"/>
      <c r="V5555" s="106"/>
      <c r="W5555" s="106"/>
      <c r="X5555" s="420"/>
      <c r="Y5555" s="420"/>
    </row>
    <row r="5556" spans="17:25">
      <c r="Q5556" s="308"/>
      <c r="R5556" s="309"/>
      <c r="S5556" s="210"/>
      <c r="T5556" s="310"/>
      <c r="U5556" s="106"/>
      <c r="V5556" s="106"/>
      <c r="W5556" s="106"/>
      <c r="X5556" s="420"/>
      <c r="Y5556" s="420"/>
    </row>
    <row r="5557" spans="17:25">
      <c r="Q5557" s="308"/>
      <c r="R5557" s="309"/>
      <c r="S5557" s="210"/>
      <c r="T5557" s="310"/>
      <c r="U5557" s="106"/>
      <c r="V5557" s="106"/>
      <c r="W5557" s="106"/>
      <c r="X5557" s="420"/>
      <c r="Y5557" s="420"/>
    </row>
    <row r="5558" spans="17:25">
      <c r="Q5558" s="308"/>
      <c r="R5558" s="309"/>
      <c r="S5558" s="210"/>
      <c r="T5558" s="310"/>
      <c r="U5558" s="106"/>
      <c r="V5558" s="106"/>
      <c r="W5558" s="106"/>
      <c r="X5558" s="420"/>
      <c r="Y5558" s="420"/>
    </row>
    <row r="5559" spans="17:25">
      <c r="Q5559" s="308"/>
      <c r="R5559" s="309"/>
      <c r="S5559" s="210"/>
      <c r="T5559" s="310"/>
      <c r="U5559" s="106"/>
      <c r="V5559" s="106"/>
      <c r="W5559" s="106"/>
      <c r="X5559" s="420"/>
      <c r="Y5559" s="420"/>
    </row>
    <row r="5560" spans="17:25">
      <c r="Q5560" s="308"/>
      <c r="R5560" s="309"/>
      <c r="S5560" s="210"/>
      <c r="T5560" s="310"/>
      <c r="U5560" s="106"/>
      <c r="V5560" s="106"/>
      <c r="W5560" s="106"/>
      <c r="X5560" s="420"/>
      <c r="Y5560" s="420"/>
    </row>
    <row r="5561" spans="17:25">
      <c r="Q5561" s="308"/>
      <c r="R5561" s="309"/>
      <c r="S5561" s="210"/>
      <c r="T5561" s="310"/>
      <c r="U5561" s="106"/>
      <c r="V5561" s="106"/>
      <c r="W5561" s="106"/>
      <c r="X5561" s="420"/>
      <c r="Y5561" s="420"/>
    </row>
    <row r="5562" spans="17:25">
      <c r="Q5562" s="308"/>
      <c r="R5562" s="309"/>
      <c r="S5562" s="210"/>
      <c r="T5562" s="310"/>
      <c r="U5562" s="106"/>
      <c r="V5562" s="106"/>
      <c r="W5562" s="106"/>
      <c r="X5562" s="420"/>
      <c r="Y5562" s="420"/>
    </row>
    <row r="5563" spans="17:25">
      <c r="Q5563" s="308"/>
      <c r="R5563" s="309"/>
      <c r="S5563" s="210"/>
      <c r="T5563" s="310"/>
      <c r="U5563" s="106"/>
      <c r="V5563" s="106"/>
      <c r="W5563" s="106"/>
      <c r="X5563" s="420"/>
      <c r="Y5563" s="420"/>
    </row>
    <row r="5564" spans="17:25">
      <c r="Q5564" s="308"/>
      <c r="R5564" s="309"/>
      <c r="S5564" s="210"/>
      <c r="T5564" s="310"/>
      <c r="U5564" s="106"/>
      <c r="V5564" s="106"/>
      <c r="W5564" s="106"/>
      <c r="X5564" s="420"/>
      <c r="Y5564" s="420"/>
    </row>
    <row r="5565" spans="17:25">
      <c r="Q5565" s="308"/>
      <c r="R5565" s="309"/>
      <c r="S5565" s="210"/>
      <c r="T5565" s="310"/>
      <c r="U5565" s="106"/>
      <c r="V5565" s="106"/>
      <c r="W5565" s="106"/>
      <c r="X5565" s="420"/>
      <c r="Y5565" s="420"/>
    </row>
    <row r="5566" spans="17:25">
      <c r="Q5566" s="308"/>
      <c r="R5566" s="309"/>
      <c r="S5566" s="210"/>
      <c r="T5566" s="310"/>
      <c r="U5566" s="106"/>
      <c r="V5566" s="106"/>
      <c r="W5566" s="106"/>
      <c r="X5566" s="420"/>
      <c r="Y5566" s="420"/>
    </row>
    <row r="5567" spans="17:25">
      <c r="Q5567" s="308"/>
      <c r="R5567" s="309"/>
      <c r="S5567" s="210"/>
      <c r="T5567" s="310"/>
      <c r="U5567" s="106"/>
      <c r="V5567" s="106"/>
      <c r="W5567" s="106"/>
      <c r="X5567" s="420"/>
      <c r="Y5567" s="420"/>
    </row>
    <row r="5568" spans="17:25">
      <c r="Q5568" s="308"/>
      <c r="R5568" s="309"/>
      <c r="S5568" s="210"/>
      <c r="T5568" s="310"/>
      <c r="U5568" s="106"/>
      <c r="V5568" s="106"/>
      <c r="W5568" s="106"/>
      <c r="X5568" s="420"/>
      <c r="Y5568" s="420"/>
    </row>
    <row r="5569" spans="17:25">
      <c r="Q5569" s="308"/>
      <c r="R5569" s="309"/>
      <c r="S5569" s="210"/>
      <c r="T5569" s="310"/>
      <c r="U5569" s="106"/>
      <c r="V5569" s="106"/>
      <c r="W5569" s="106"/>
      <c r="X5569" s="420"/>
      <c r="Y5569" s="420"/>
    </row>
    <row r="5570" spans="17:25">
      <c r="Q5570" s="308"/>
      <c r="R5570" s="309"/>
      <c r="S5570" s="210"/>
      <c r="T5570" s="310"/>
      <c r="U5570" s="106"/>
      <c r="V5570" s="106"/>
      <c r="W5570" s="106"/>
      <c r="X5570" s="420"/>
      <c r="Y5570" s="420"/>
    </row>
    <row r="5571" spans="17:25">
      <c r="Q5571" s="308"/>
      <c r="R5571" s="309"/>
      <c r="S5571" s="210"/>
      <c r="T5571" s="310"/>
      <c r="U5571" s="106"/>
      <c r="V5571" s="106"/>
      <c r="W5571" s="106"/>
      <c r="X5571" s="420"/>
      <c r="Y5571" s="420"/>
    </row>
    <row r="5572" spans="17:25">
      <c r="Q5572" s="308"/>
      <c r="R5572" s="309"/>
      <c r="S5572" s="210"/>
      <c r="T5572" s="310"/>
      <c r="U5572" s="106"/>
      <c r="V5572" s="106"/>
      <c r="W5572" s="106"/>
      <c r="X5572" s="420"/>
      <c r="Y5572" s="420"/>
    </row>
    <row r="5573" spans="17:25">
      <c r="Q5573" s="308"/>
      <c r="R5573" s="309"/>
      <c r="S5573" s="210"/>
      <c r="T5573" s="310"/>
      <c r="U5573" s="106"/>
      <c r="V5573" s="106"/>
      <c r="W5573" s="106"/>
      <c r="X5573" s="420"/>
      <c r="Y5573" s="420"/>
    </row>
    <row r="5574" spans="17:25">
      <c r="Q5574" s="308"/>
      <c r="R5574" s="309"/>
      <c r="S5574" s="210"/>
      <c r="T5574" s="310"/>
      <c r="U5574" s="106"/>
      <c r="V5574" s="106"/>
      <c r="W5574" s="106"/>
      <c r="X5574" s="420"/>
      <c r="Y5574" s="420"/>
    </row>
    <row r="5575" spans="17:25">
      <c r="Q5575" s="308"/>
      <c r="R5575" s="309"/>
      <c r="S5575" s="210"/>
      <c r="T5575" s="310"/>
      <c r="U5575" s="106"/>
      <c r="V5575" s="106"/>
      <c r="W5575" s="106"/>
      <c r="X5575" s="420"/>
      <c r="Y5575" s="420"/>
    </row>
    <row r="5576" spans="17:25">
      <c r="Q5576" s="308"/>
      <c r="R5576" s="309"/>
      <c r="S5576" s="210"/>
      <c r="T5576" s="310"/>
      <c r="U5576" s="106"/>
      <c r="V5576" s="106"/>
      <c r="W5576" s="106"/>
      <c r="X5576" s="420"/>
      <c r="Y5576" s="420"/>
    </row>
    <row r="5577" spans="17:25">
      <c r="Q5577" s="308"/>
      <c r="R5577" s="309"/>
      <c r="S5577" s="210"/>
      <c r="T5577" s="310"/>
      <c r="U5577" s="106"/>
      <c r="V5577" s="106"/>
      <c r="W5577" s="106"/>
      <c r="X5577" s="420"/>
      <c r="Y5577" s="420"/>
    </row>
    <row r="5578" spans="17:25">
      <c r="Q5578" s="308"/>
      <c r="R5578" s="309"/>
      <c r="S5578" s="210"/>
      <c r="T5578" s="310"/>
      <c r="U5578" s="106"/>
      <c r="V5578" s="106"/>
      <c r="W5578" s="106"/>
      <c r="X5578" s="420"/>
      <c r="Y5578" s="420"/>
    </row>
    <row r="5579" spans="17:25">
      <c r="Q5579" s="308"/>
      <c r="R5579" s="309"/>
      <c r="S5579" s="210"/>
      <c r="T5579" s="310"/>
      <c r="U5579" s="106"/>
      <c r="V5579" s="106"/>
      <c r="W5579" s="106"/>
      <c r="X5579" s="420"/>
      <c r="Y5579" s="420"/>
    </row>
    <row r="5580" spans="17:25">
      <c r="Q5580" s="308"/>
      <c r="R5580" s="309"/>
      <c r="S5580" s="210"/>
      <c r="T5580" s="310"/>
      <c r="U5580" s="106"/>
      <c r="V5580" s="106"/>
      <c r="W5580" s="106"/>
      <c r="X5580" s="420"/>
      <c r="Y5580" s="420"/>
    </row>
    <row r="5581" spans="17:25">
      <c r="Q5581" s="308"/>
      <c r="R5581" s="309"/>
      <c r="S5581" s="210"/>
      <c r="T5581" s="310"/>
      <c r="U5581" s="106"/>
      <c r="V5581" s="106"/>
      <c r="W5581" s="106"/>
      <c r="X5581" s="420"/>
      <c r="Y5581" s="420"/>
    </row>
    <row r="5582" spans="17:25">
      <c r="Q5582" s="308"/>
      <c r="R5582" s="309"/>
      <c r="S5582" s="210"/>
      <c r="T5582" s="310"/>
      <c r="U5582" s="106"/>
      <c r="V5582" s="106"/>
      <c r="W5582" s="106"/>
      <c r="X5582" s="420"/>
      <c r="Y5582" s="420"/>
    </row>
    <row r="5583" spans="17:25">
      <c r="Q5583" s="308"/>
      <c r="R5583" s="309"/>
      <c r="S5583" s="210"/>
      <c r="T5583" s="310"/>
      <c r="U5583" s="106"/>
      <c r="V5583" s="106"/>
      <c r="W5583" s="106"/>
      <c r="X5583" s="420"/>
      <c r="Y5583" s="420"/>
    </row>
    <row r="5584" spans="17:25">
      <c r="Q5584" s="308"/>
      <c r="R5584" s="309"/>
      <c r="S5584" s="210"/>
      <c r="T5584" s="310"/>
      <c r="U5584" s="106"/>
      <c r="V5584" s="106"/>
      <c r="W5584" s="106"/>
      <c r="X5584" s="420"/>
      <c r="Y5584" s="420"/>
    </row>
    <row r="5585" spans="17:25">
      <c r="Q5585" s="308"/>
      <c r="R5585" s="309"/>
      <c r="S5585" s="210"/>
      <c r="T5585" s="310"/>
      <c r="U5585" s="106"/>
      <c r="V5585" s="106"/>
      <c r="W5585" s="106"/>
      <c r="X5585" s="420"/>
      <c r="Y5585" s="420"/>
    </row>
    <row r="5586" spans="17:25">
      <c r="Q5586" s="308"/>
      <c r="R5586" s="309"/>
      <c r="S5586" s="210"/>
      <c r="T5586" s="310"/>
      <c r="U5586" s="106"/>
      <c r="V5586" s="106"/>
      <c r="W5586" s="106"/>
      <c r="X5586" s="420"/>
      <c r="Y5586" s="420"/>
    </row>
    <row r="5587" spans="17:25">
      <c r="Q5587" s="308"/>
      <c r="R5587" s="309"/>
      <c r="S5587" s="210"/>
      <c r="T5587" s="310"/>
      <c r="U5587" s="106"/>
      <c r="V5587" s="106"/>
      <c r="W5587" s="106"/>
      <c r="X5587" s="420"/>
      <c r="Y5587" s="420"/>
    </row>
    <row r="5588" spans="17:25">
      <c r="Q5588" s="308"/>
      <c r="R5588" s="309"/>
      <c r="S5588" s="210"/>
      <c r="T5588" s="310"/>
      <c r="U5588" s="106"/>
      <c r="V5588" s="106"/>
      <c r="W5588" s="106"/>
      <c r="X5588" s="420"/>
      <c r="Y5588" s="420"/>
    </row>
    <row r="5589" spans="17:25">
      <c r="Q5589" s="308"/>
      <c r="R5589" s="309"/>
      <c r="S5589" s="210"/>
      <c r="T5589" s="310"/>
      <c r="U5589" s="106"/>
      <c r="V5589" s="106"/>
      <c r="W5589" s="106"/>
      <c r="X5589" s="420"/>
      <c r="Y5589" s="420"/>
    </row>
    <row r="5590" spans="17:25">
      <c r="Q5590" s="308"/>
      <c r="R5590" s="309"/>
      <c r="S5590" s="210"/>
      <c r="T5590" s="310"/>
      <c r="U5590" s="106"/>
      <c r="V5590" s="106"/>
      <c r="W5590" s="106"/>
      <c r="X5590" s="420"/>
      <c r="Y5590" s="420"/>
    </row>
    <row r="5591" spans="17:25">
      <c r="Q5591" s="308"/>
      <c r="R5591" s="309"/>
      <c r="S5591" s="210"/>
      <c r="T5591" s="310"/>
      <c r="U5591" s="106"/>
      <c r="V5591" s="106"/>
      <c r="W5591" s="106"/>
      <c r="X5591" s="420"/>
      <c r="Y5591" s="420"/>
    </row>
    <row r="5592" spans="17:25">
      <c r="Q5592" s="308"/>
      <c r="R5592" s="309"/>
      <c r="S5592" s="210"/>
      <c r="T5592" s="310"/>
      <c r="U5592" s="106"/>
      <c r="V5592" s="106"/>
      <c r="W5592" s="106"/>
      <c r="X5592" s="420"/>
      <c r="Y5592" s="420"/>
    </row>
    <row r="5593" spans="17:25">
      <c r="Q5593" s="308"/>
      <c r="R5593" s="309"/>
      <c r="S5593" s="210"/>
      <c r="T5593" s="310"/>
      <c r="U5593" s="106"/>
      <c r="V5593" s="106"/>
      <c r="W5593" s="106"/>
      <c r="X5593" s="420"/>
      <c r="Y5593" s="420"/>
    </row>
    <row r="5594" spans="17:25">
      <c r="Q5594" s="308"/>
      <c r="R5594" s="309"/>
      <c r="S5594" s="210"/>
      <c r="T5594" s="310"/>
      <c r="U5594" s="106"/>
      <c r="V5594" s="106"/>
      <c r="W5594" s="106"/>
      <c r="X5594" s="420"/>
      <c r="Y5594" s="420"/>
    </row>
    <row r="5595" spans="17:25">
      <c r="Q5595" s="308"/>
      <c r="R5595" s="309"/>
      <c r="S5595" s="210"/>
      <c r="T5595" s="310"/>
      <c r="U5595" s="106"/>
      <c r="V5595" s="106"/>
      <c r="W5595" s="106"/>
      <c r="X5595" s="420"/>
      <c r="Y5595" s="420"/>
    </row>
    <row r="5596" spans="17:25">
      <c r="Q5596" s="308"/>
      <c r="R5596" s="309"/>
      <c r="S5596" s="210"/>
      <c r="T5596" s="310"/>
      <c r="U5596" s="106"/>
      <c r="V5596" s="106"/>
      <c r="W5596" s="106"/>
      <c r="X5596" s="420"/>
      <c r="Y5596" s="420"/>
    </row>
    <row r="5597" spans="17:25">
      <c r="Q5597" s="308"/>
      <c r="R5597" s="309"/>
      <c r="S5597" s="210"/>
      <c r="T5597" s="310"/>
      <c r="U5597" s="106"/>
      <c r="V5597" s="106"/>
      <c r="W5597" s="106"/>
      <c r="X5597" s="420"/>
      <c r="Y5597" s="420"/>
    </row>
    <row r="5598" spans="17:25">
      <c r="Q5598" s="308"/>
      <c r="R5598" s="309"/>
      <c r="S5598" s="210"/>
      <c r="T5598" s="310"/>
      <c r="U5598" s="106"/>
      <c r="V5598" s="106"/>
      <c r="W5598" s="106"/>
      <c r="X5598" s="420"/>
      <c r="Y5598" s="420"/>
    </row>
    <row r="5599" spans="17:25">
      <c r="Q5599" s="308"/>
      <c r="R5599" s="309"/>
      <c r="S5599" s="210"/>
      <c r="T5599" s="310"/>
      <c r="U5599" s="106"/>
      <c r="V5599" s="106"/>
      <c r="W5599" s="106"/>
      <c r="X5599" s="420"/>
      <c r="Y5599" s="420"/>
    </row>
    <row r="5600" spans="17:25">
      <c r="Q5600" s="308"/>
      <c r="R5600" s="309"/>
      <c r="S5600" s="210"/>
      <c r="T5600" s="310"/>
      <c r="U5600" s="106"/>
      <c r="V5600" s="106"/>
      <c r="W5600" s="106"/>
      <c r="X5600" s="420"/>
      <c r="Y5600" s="420"/>
    </row>
    <row r="5601" spans="17:25">
      <c r="Q5601" s="308"/>
      <c r="R5601" s="309"/>
      <c r="S5601" s="210"/>
      <c r="T5601" s="310"/>
      <c r="U5601" s="106"/>
      <c r="V5601" s="106"/>
      <c r="W5601" s="106"/>
      <c r="X5601" s="420"/>
      <c r="Y5601" s="420"/>
    </row>
    <row r="5602" spans="17:25">
      <c r="Q5602" s="308"/>
      <c r="R5602" s="309"/>
      <c r="S5602" s="210"/>
      <c r="T5602" s="310"/>
      <c r="U5602" s="106"/>
      <c r="V5602" s="106"/>
      <c r="W5602" s="106"/>
      <c r="X5602" s="420"/>
      <c r="Y5602" s="420"/>
    </row>
    <row r="5603" spans="17:25">
      <c r="Q5603" s="308"/>
      <c r="R5603" s="309"/>
      <c r="S5603" s="210"/>
      <c r="T5603" s="310"/>
      <c r="U5603" s="106"/>
      <c r="V5603" s="106"/>
      <c r="W5603" s="106"/>
      <c r="X5603" s="420"/>
      <c r="Y5603" s="420"/>
    </row>
    <row r="5604" spans="17:25">
      <c r="Q5604" s="308"/>
      <c r="R5604" s="309"/>
      <c r="S5604" s="210"/>
      <c r="T5604" s="310"/>
      <c r="U5604" s="106"/>
      <c r="V5604" s="106"/>
      <c r="W5604" s="106"/>
      <c r="X5604" s="420"/>
      <c r="Y5604" s="420"/>
    </row>
    <row r="5605" spans="17:25">
      <c r="Q5605" s="308"/>
      <c r="R5605" s="309"/>
      <c r="S5605" s="210"/>
      <c r="T5605" s="310"/>
      <c r="U5605" s="106"/>
      <c r="V5605" s="106"/>
      <c r="W5605" s="106"/>
      <c r="X5605" s="420"/>
      <c r="Y5605" s="420"/>
    </row>
    <row r="5606" spans="17:25">
      <c r="Q5606" s="308"/>
      <c r="R5606" s="309"/>
      <c r="S5606" s="210"/>
      <c r="T5606" s="310"/>
      <c r="U5606" s="106"/>
      <c r="V5606" s="106"/>
      <c r="W5606" s="106"/>
      <c r="X5606" s="420"/>
      <c r="Y5606" s="420"/>
    </row>
    <row r="5607" spans="17:25">
      <c r="Q5607" s="308"/>
      <c r="R5607" s="309"/>
      <c r="S5607" s="210"/>
      <c r="T5607" s="310"/>
      <c r="U5607" s="106"/>
      <c r="V5607" s="106"/>
      <c r="W5607" s="106"/>
      <c r="X5607" s="420"/>
      <c r="Y5607" s="420"/>
    </row>
    <row r="5608" spans="17:25">
      <c r="Q5608" s="308"/>
      <c r="R5608" s="309"/>
      <c r="S5608" s="210"/>
      <c r="T5608" s="310"/>
      <c r="U5608" s="106"/>
      <c r="V5608" s="106"/>
      <c r="W5608" s="106"/>
      <c r="X5608" s="420"/>
      <c r="Y5608" s="420"/>
    </row>
    <row r="5609" spans="17:25">
      <c r="Q5609" s="308"/>
      <c r="R5609" s="309"/>
      <c r="S5609" s="210"/>
      <c r="T5609" s="310"/>
      <c r="U5609" s="106"/>
      <c r="V5609" s="106"/>
      <c r="W5609" s="106"/>
      <c r="X5609" s="420"/>
      <c r="Y5609" s="420"/>
    </row>
    <row r="5610" spans="17:25">
      <c r="Q5610" s="308"/>
      <c r="R5610" s="309"/>
      <c r="S5610" s="210"/>
      <c r="T5610" s="310"/>
      <c r="U5610" s="106"/>
      <c r="V5610" s="106"/>
      <c r="W5610" s="106"/>
      <c r="X5610" s="420"/>
      <c r="Y5610" s="420"/>
    </row>
    <row r="5611" spans="17:25">
      <c r="Q5611" s="308"/>
      <c r="R5611" s="309"/>
      <c r="S5611" s="210"/>
      <c r="T5611" s="310"/>
      <c r="U5611" s="106"/>
      <c r="V5611" s="106"/>
      <c r="W5611" s="106"/>
      <c r="X5611" s="420"/>
      <c r="Y5611" s="420"/>
    </row>
    <row r="5612" spans="17:25">
      <c r="Q5612" s="308"/>
      <c r="R5612" s="309"/>
      <c r="S5612" s="210"/>
      <c r="T5612" s="310"/>
      <c r="U5612" s="106"/>
      <c r="V5612" s="106"/>
      <c r="W5612" s="106"/>
      <c r="X5612" s="420"/>
      <c r="Y5612" s="420"/>
    </row>
    <row r="5613" spans="17:25">
      <c r="Q5613" s="308"/>
      <c r="R5613" s="309"/>
      <c r="S5613" s="210"/>
      <c r="T5613" s="310"/>
      <c r="U5613" s="106"/>
      <c r="V5613" s="106"/>
      <c r="W5613" s="106"/>
      <c r="X5613" s="420"/>
      <c r="Y5613" s="420"/>
    </row>
    <row r="5614" spans="17:25">
      <c r="Q5614" s="308"/>
      <c r="R5614" s="309"/>
      <c r="S5614" s="210"/>
      <c r="T5614" s="310"/>
      <c r="U5614" s="106"/>
      <c r="V5614" s="106"/>
      <c r="W5614" s="106"/>
      <c r="X5614" s="420"/>
      <c r="Y5614" s="420"/>
    </row>
    <row r="5615" spans="17:25">
      <c r="Q5615" s="308"/>
      <c r="R5615" s="309"/>
      <c r="S5615" s="210"/>
      <c r="T5615" s="310"/>
      <c r="U5615" s="106"/>
      <c r="V5615" s="106"/>
      <c r="W5615" s="106"/>
      <c r="X5615" s="420"/>
      <c r="Y5615" s="420"/>
    </row>
    <row r="5616" spans="17:25">
      <c r="Q5616" s="308"/>
      <c r="R5616" s="309"/>
      <c r="S5616" s="210"/>
      <c r="T5616" s="310"/>
      <c r="U5616" s="106"/>
      <c r="V5616" s="106"/>
      <c r="W5616" s="106"/>
      <c r="X5616" s="420"/>
      <c r="Y5616" s="420"/>
    </row>
    <row r="5617" spans="17:25">
      <c r="Q5617" s="308"/>
      <c r="R5617" s="309"/>
      <c r="S5617" s="210"/>
      <c r="T5617" s="310"/>
      <c r="U5617" s="106"/>
      <c r="V5617" s="106"/>
      <c r="W5617" s="106"/>
      <c r="X5617" s="420"/>
      <c r="Y5617" s="420"/>
    </row>
    <row r="5618" spans="17:25">
      <c r="Q5618" s="308"/>
      <c r="R5618" s="309"/>
      <c r="S5618" s="210"/>
      <c r="T5618" s="310"/>
      <c r="U5618" s="106"/>
      <c r="V5618" s="106"/>
      <c r="W5618" s="106"/>
      <c r="X5618" s="420"/>
      <c r="Y5618" s="420"/>
    </row>
    <row r="5619" spans="17:25">
      <c r="Q5619" s="308"/>
      <c r="R5619" s="309"/>
      <c r="S5619" s="210"/>
      <c r="T5619" s="310"/>
      <c r="U5619" s="106"/>
      <c r="V5619" s="106"/>
      <c r="W5619" s="106"/>
      <c r="X5619" s="420"/>
      <c r="Y5619" s="420"/>
    </row>
    <row r="5620" spans="17:25">
      <c r="Q5620" s="308"/>
      <c r="R5620" s="309"/>
      <c r="S5620" s="210"/>
      <c r="T5620" s="310"/>
      <c r="U5620" s="106"/>
      <c r="V5620" s="106"/>
      <c r="W5620" s="106"/>
      <c r="X5620" s="420"/>
      <c r="Y5620" s="420"/>
    </row>
    <row r="5621" spans="17:25">
      <c r="Q5621" s="308"/>
      <c r="R5621" s="309"/>
      <c r="S5621" s="210"/>
      <c r="T5621" s="310"/>
      <c r="U5621" s="106"/>
      <c r="V5621" s="106"/>
      <c r="W5621" s="106"/>
      <c r="X5621" s="420"/>
      <c r="Y5621" s="420"/>
    </row>
    <row r="5622" spans="17:25">
      <c r="Q5622" s="308"/>
      <c r="R5622" s="309"/>
      <c r="S5622" s="210"/>
      <c r="T5622" s="310"/>
      <c r="U5622" s="106"/>
      <c r="V5622" s="106"/>
      <c r="W5622" s="106"/>
      <c r="X5622" s="420"/>
      <c r="Y5622" s="420"/>
    </row>
    <row r="5623" spans="17:25">
      <c r="Q5623" s="308"/>
      <c r="R5623" s="309"/>
      <c r="S5623" s="210"/>
      <c r="T5623" s="310"/>
      <c r="U5623" s="106"/>
      <c r="V5623" s="106"/>
      <c r="W5623" s="106"/>
      <c r="X5623" s="420"/>
      <c r="Y5623" s="420"/>
    </row>
    <row r="5624" spans="17:25">
      <c r="Q5624" s="308"/>
      <c r="R5624" s="309"/>
      <c r="S5624" s="210"/>
      <c r="T5624" s="310"/>
      <c r="U5624" s="106"/>
      <c r="V5624" s="106"/>
      <c r="W5624" s="106"/>
      <c r="X5624" s="420"/>
      <c r="Y5624" s="420"/>
    </row>
    <row r="5625" spans="17:25">
      <c r="Q5625" s="308"/>
      <c r="R5625" s="309"/>
      <c r="S5625" s="210"/>
      <c r="T5625" s="310"/>
      <c r="U5625" s="106"/>
      <c r="V5625" s="106"/>
      <c r="W5625" s="106"/>
      <c r="X5625" s="420"/>
      <c r="Y5625" s="420"/>
    </row>
    <row r="5626" spans="17:25">
      <c r="Q5626" s="308"/>
      <c r="R5626" s="309"/>
      <c r="S5626" s="210"/>
      <c r="T5626" s="310"/>
      <c r="U5626" s="106"/>
      <c r="V5626" s="106"/>
      <c r="W5626" s="106"/>
      <c r="X5626" s="420"/>
      <c r="Y5626" s="420"/>
    </row>
    <row r="5627" spans="17:25">
      <c r="Q5627" s="308"/>
      <c r="R5627" s="309"/>
      <c r="S5627" s="210"/>
      <c r="T5627" s="310"/>
      <c r="U5627" s="106"/>
      <c r="V5627" s="106"/>
      <c r="W5627" s="106"/>
      <c r="X5627" s="420"/>
      <c r="Y5627" s="420"/>
    </row>
    <row r="5628" spans="17:25">
      <c r="Q5628" s="308"/>
      <c r="R5628" s="309"/>
      <c r="S5628" s="210"/>
      <c r="T5628" s="310"/>
      <c r="U5628" s="106"/>
      <c r="V5628" s="106"/>
      <c r="W5628" s="106"/>
      <c r="X5628" s="420"/>
      <c r="Y5628" s="420"/>
    </row>
    <row r="5629" spans="17:25">
      <c r="Q5629" s="308"/>
      <c r="R5629" s="309"/>
      <c r="S5629" s="210"/>
      <c r="T5629" s="310"/>
      <c r="U5629" s="106"/>
      <c r="V5629" s="106"/>
      <c r="W5629" s="106"/>
      <c r="X5629" s="420"/>
      <c r="Y5629" s="420"/>
    </row>
    <row r="5630" spans="17:25">
      <c r="Q5630" s="308"/>
      <c r="R5630" s="309"/>
      <c r="S5630" s="210"/>
      <c r="T5630" s="310"/>
      <c r="U5630" s="106"/>
      <c r="V5630" s="106"/>
      <c r="W5630" s="106"/>
      <c r="X5630" s="420"/>
      <c r="Y5630" s="420"/>
    </row>
    <row r="5631" spans="17:25">
      <c r="Q5631" s="308"/>
      <c r="R5631" s="309"/>
      <c r="S5631" s="210"/>
      <c r="T5631" s="310"/>
      <c r="U5631" s="106"/>
      <c r="V5631" s="106"/>
      <c r="W5631" s="106"/>
      <c r="X5631" s="420"/>
      <c r="Y5631" s="420"/>
    </row>
    <row r="5632" spans="17:25">
      <c r="Q5632" s="308"/>
      <c r="R5632" s="309"/>
      <c r="S5632" s="210"/>
      <c r="T5632" s="310"/>
      <c r="U5632" s="106"/>
      <c r="V5632" s="106"/>
      <c r="W5632" s="106"/>
      <c r="X5632" s="420"/>
      <c r="Y5632" s="420"/>
    </row>
    <row r="5633" spans="17:25">
      <c r="Q5633" s="308"/>
      <c r="R5633" s="309"/>
      <c r="S5633" s="210"/>
      <c r="T5633" s="310"/>
      <c r="U5633" s="106"/>
      <c r="V5633" s="106"/>
      <c r="W5633" s="106"/>
      <c r="X5633" s="420"/>
      <c r="Y5633" s="420"/>
    </row>
    <row r="5634" spans="17:25">
      <c r="Q5634" s="308"/>
      <c r="R5634" s="309"/>
      <c r="S5634" s="210"/>
      <c r="T5634" s="310"/>
      <c r="U5634" s="106"/>
      <c r="V5634" s="106"/>
      <c r="W5634" s="106"/>
      <c r="X5634" s="420"/>
      <c r="Y5634" s="420"/>
    </row>
    <row r="5635" spans="17:25">
      <c r="Q5635" s="308"/>
      <c r="R5635" s="309"/>
      <c r="S5635" s="210"/>
      <c r="T5635" s="310"/>
      <c r="U5635" s="106"/>
      <c r="V5635" s="106"/>
      <c r="W5635" s="106"/>
      <c r="X5635" s="420"/>
      <c r="Y5635" s="420"/>
    </row>
    <row r="5636" spans="17:25">
      <c r="Q5636" s="308"/>
      <c r="R5636" s="309"/>
      <c r="S5636" s="210"/>
      <c r="T5636" s="310"/>
      <c r="U5636" s="106"/>
      <c r="V5636" s="106"/>
      <c r="W5636" s="106"/>
      <c r="X5636" s="420"/>
      <c r="Y5636" s="420"/>
    </row>
    <row r="5637" spans="17:25">
      <c r="Q5637" s="308"/>
      <c r="R5637" s="309"/>
      <c r="S5637" s="210"/>
      <c r="T5637" s="310"/>
      <c r="U5637" s="106"/>
      <c r="V5637" s="106"/>
      <c r="W5637" s="106"/>
      <c r="X5637" s="420"/>
      <c r="Y5637" s="420"/>
    </row>
    <row r="5638" spans="17:25">
      <c r="Q5638" s="308"/>
      <c r="R5638" s="309"/>
      <c r="S5638" s="210"/>
      <c r="T5638" s="310"/>
      <c r="U5638" s="106"/>
      <c r="V5638" s="106"/>
      <c r="W5638" s="106"/>
      <c r="X5638" s="420"/>
      <c r="Y5638" s="420"/>
    </row>
    <row r="5639" spans="17:25">
      <c r="Q5639" s="308"/>
      <c r="R5639" s="309"/>
      <c r="S5639" s="210"/>
      <c r="T5639" s="310"/>
      <c r="U5639" s="106"/>
      <c r="V5639" s="106"/>
      <c r="W5639" s="106"/>
      <c r="X5639" s="420"/>
      <c r="Y5639" s="420"/>
    </row>
    <row r="5640" spans="17:25">
      <c r="Q5640" s="308"/>
      <c r="R5640" s="309"/>
      <c r="S5640" s="210"/>
      <c r="T5640" s="310"/>
      <c r="U5640" s="106"/>
      <c r="V5640" s="106"/>
      <c r="W5640" s="106"/>
      <c r="X5640" s="420"/>
      <c r="Y5640" s="420"/>
    </row>
    <row r="5641" spans="17:25">
      <c r="Q5641" s="308"/>
      <c r="R5641" s="309"/>
      <c r="S5641" s="210"/>
      <c r="T5641" s="310"/>
      <c r="U5641" s="106"/>
      <c r="V5641" s="106"/>
      <c r="W5641" s="106"/>
      <c r="X5641" s="420"/>
      <c r="Y5641" s="420"/>
    </row>
    <row r="5642" spans="17:25">
      <c r="Q5642" s="308"/>
      <c r="R5642" s="309"/>
      <c r="S5642" s="210"/>
      <c r="T5642" s="310"/>
      <c r="U5642" s="106"/>
      <c r="V5642" s="106"/>
      <c r="W5642" s="106"/>
      <c r="X5642" s="420"/>
      <c r="Y5642" s="420"/>
    </row>
    <row r="5643" spans="17:25">
      <c r="Q5643" s="308"/>
      <c r="R5643" s="309"/>
      <c r="S5643" s="210"/>
      <c r="T5643" s="310"/>
      <c r="U5643" s="106"/>
      <c r="V5643" s="106"/>
      <c r="W5643" s="106"/>
      <c r="X5643" s="420"/>
      <c r="Y5643" s="420"/>
    </row>
    <row r="5644" spans="17:25">
      <c r="Q5644" s="308"/>
      <c r="R5644" s="309"/>
      <c r="S5644" s="210"/>
      <c r="T5644" s="310"/>
      <c r="U5644" s="106"/>
      <c r="V5644" s="106"/>
      <c r="W5644" s="106"/>
      <c r="X5644" s="420"/>
      <c r="Y5644" s="420"/>
    </row>
    <row r="5645" spans="17:25">
      <c r="Q5645" s="308"/>
      <c r="R5645" s="309"/>
      <c r="S5645" s="210"/>
      <c r="T5645" s="310"/>
      <c r="U5645" s="106"/>
      <c r="V5645" s="106"/>
      <c r="W5645" s="106"/>
      <c r="X5645" s="420"/>
      <c r="Y5645" s="420"/>
    </row>
    <row r="5646" spans="17:25">
      <c r="Q5646" s="308"/>
      <c r="R5646" s="309"/>
      <c r="S5646" s="210"/>
      <c r="T5646" s="310"/>
      <c r="U5646" s="106"/>
      <c r="V5646" s="106"/>
      <c r="W5646" s="106"/>
      <c r="X5646" s="420"/>
      <c r="Y5646" s="420"/>
    </row>
    <row r="5647" spans="17:25">
      <c r="Q5647" s="308"/>
      <c r="R5647" s="309"/>
      <c r="S5647" s="210"/>
      <c r="T5647" s="310"/>
      <c r="U5647" s="106"/>
      <c r="V5647" s="106"/>
      <c r="W5647" s="106"/>
      <c r="X5647" s="420"/>
      <c r="Y5647" s="420"/>
    </row>
    <row r="5648" spans="17:25">
      <c r="Q5648" s="308"/>
      <c r="R5648" s="309"/>
      <c r="S5648" s="210"/>
      <c r="T5648" s="310"/>
      <c r="U5648" s="106"/>
      <c r="V5648" s="106"/>
      <c r="W5648" s="106"/>
      <c r="X5648" s="420"/>
      <c r="Y5648" s="420"/>
    </row>
    <row r="5649" spans="17:25">
      <c r="Q5649" s="308"/>
      <c r="R5649" s="309"/>
      <c r="S5649" s="210"/>
      <c r="T5649" s="310"/>
      <c r="U5649" s="106"/>
      <c r="V5649" s="106"/>
      <c r="W5649" s="106"/>
      <c r="X5649" s="420"/>
      <c r="Y5649" s="420"/>
    </row>
    <row r="5650" spans="17:25">
      <c r="Q5650" s="308"/>
      <c r="R5650" s="309"/>
      <c r="S5650" s="210"/>
      <c r="T5650" s="310"/>
      <c r="U5650" s="106"/>
      <c r="V5650" s="106"/>
      <c r="W5650" s="106"/>
      <c r="X5650" s="420"/>
      <c r="Y5650" s="420"/>
    </row>
    <row r="5651" spans="17:25">
      <c r="Q5651" s="308"/>
      <c r="R5651" s="309"/>
      <c r="S5651" s="210"/>
      <c r="T5651" s="310"/>
      <c r="U5651" s="106"/>
      <c r="V5651" s="106"/>
      <c r="W5651" s="106"/>
      <c r="X5651" s="420"/>
      <c r="Y5651" s="420"/>
    </row>
    <row r="5652" spans="17:25">
      <c r="Q5652" s="308"/>
      <c r="R5652" s="309"/>
      <c r="S5652" s="210"/>
      <c r="T5652" s="310"/>
      <c r="U5652" s="106"/>
      <c r="V5652" s="106"/>
      <c r="W5652" s="106"/>
      <c r="X5652" s="420"/>
      <c r="Y5652" s="420"/>
    </row>
    <row r="5653" spans="17:25">
      <c r="Q5653" s="308"/>
      <c r="R5653" s="309"/>
      <c r="S5653" s="210"/>
      <c r="T5653" s="310"/>
      <c r="U5653" s="106"/>
      <c r="V5653" s="106"/>
      <c r="W5653" s="106"/>
      <c r="X5653" s="420"/>
      <c r="Y5653" s="420"/>
    </row>
    <row r="5654" spans="17:25">
      <c r="Q5654" s="308"/>
      <c r="R5654" s="309"/>
      <c r="S5654" s="210"/>
      <c r="T5654" s="310"/>
      <c r="U5654" s="106"/>
      <c r="V5654" s="106"/>
      <c r="W5654" s="106"/>
      <c r="X5654" s="420"/>
      <c r="Y5654" s="420"/>
    </row>
    <row r="5655" spans="17:25">
      <c r="Q5655" s="308"/>
      <c r="R5655" s="309"/>
      <c r="S5655" s="210"/>
      <c r="T5655" s="310"/>
      <c r="U5655" s="106"/>
      <c r="V5655" s="106"/>
      <c r="W5655" s="106"/>
      <c r="X5655" s="420"/>
      <c r="Y5655" s="420"/>
    </row>
    <row r="5656" spans="17:25">
      <c r="Q5656" s="308"/>
      <c r="R5656" s="309"/>
      <c r="S5656" s="210"/>
      <c r="T5656" s="310"/>
      <c r="U5656" s="106"/>
      <c r="V5656" s="106"/>
      <c r="W5656" s="106"/>
      <c r="X5656" s="420"/>
      <c r="Y5656" s="420"/>
    </row>
    <row r="5657" spans="17:25">
      <c r="Q5657" s="308"/>
      <c r="R5657" s="309"/>
      <c r="S5657" s="210"/>
      <c r="T5657" s="310"/>
      <c r="U5657" s="106"/>
      <c r="V5657" s="106"/>
      <c r="W5657" s="106"/>
      <c r="X5657" s="420"/>
      <c r="Y5657" s="420"/>
    </row>
    <row r="5658" spans="17:25">
      <c r="Q5658" s="308"/>
      <c r="R5658" s="309"/>
      <c r="S5658" s="210"/>
      <c r="T5658" s="310"/>
      <c r="U5658" s="106"/>
      <c r="V5658" s="106"/>
      <c r="W5658" s="106"/>
      <c r="X5658" s="420"/>
      <c r="Y5658" s="420"/>
    </row>
    <row r="5659" spans="17:25">
      <c r="Q5659" s="308"/>
      <c r="R5659" s="309"/>
      <c r="S5659" s="210"/>
      <c r="T5659" s="310"/>
      <c r="U5659" s="106"/>
      <c r="V5659" s="106"/>
      <c r="W5659" s="106"/>
      <c r="X5659" s="420"/>
      <c r="Y5659" s="420"/>
    </row>
    <row r="5660" spans="17:25">
      <c r="Q5660" s="308"/>
      <c r="R5660" s="309"/>
      <c r="S5660" s="210"/>
      <c r="T5660" s="310"/>
      <c r="U5660" s="106"/>
      <c r="V5660" s="106"/>
      <c r="W5660" s="106"/>
      <c r="X5660" s="420"/>
      <c r="Y5660" s="420"/>
    </row>
    <row r="5661" spans="17:25">
      <c r="Q5661" s="308"/>
      <c r="R5661" s="309"/>
      <c r="S5661" s="210"/>
      <c r="T5661" s="310"/>
      <c r="U5661" s="106"/>
      <c r="V5661" s="106"/>
      <c r="W5661" s="106"/>
      <c r="X5661" s="420"/>
      <c r="Y5661" s="420"/>
    </row>
    <row r="5662" spans="17:25">
      <c r="Q5662" s="308"/>
      <c r="R5662" s="309"/>
      <c r="S5662" s="210"/>
      <c r="T5662" s="310"/>
      <c r="U5662" s="106"/>
      <c r="V5662" s="106"/>
      <c r="W5662" s="106"/>
      <c r="X5662" s="420"/>
      <c r="Y5662" s="420"/>
    </row>
    <row r="5663" spans="17:25">
      <c r="Q5663" s="308"/>
      <c r="R5663" s="309"/>
      <c r="S5663" s="210"/>
      <c r="T5663" s="310"/>
      <c r="U5663" s="106"/>
      <c r="V5663" s="106"/>
      <c r="W5663" s="106"/>
      <c r="X5663" s="420"/>
      <c r="Y5663" s="420"/>
    </row>
    <row r="5664" spans="17:25">
      <c r="Q5664" s="308"/>
      <c r="R5664" s="309"/>
      <c r="S5664" s="210"/>
      <c r="T5664" s="310"/>
      <c r="U5664" s="106"/>
      <c r="V5664" s="106"/>
      <c r="W5664" s="106"/>
      <c r="X5664" s="420"/>
      <c r="Y5664" s="420"/>
    </row>
    <row r="5665" spans="17:25">
      <c r="Q5665" s="308"/>
      <c r="R5665" s="309"/>
      <c r="S5665" s="210"/>
      <c r="T5665" s="310"/>
      <c r="U5665" s="106"/>
      <c r="V5665" s="106"/>
      <c r="W5665" s="106"/>
      <c r="X5665" s="420"/>
      <c r="Y5665" s="420"/>
    </row>
    <row r="5666" spans="17:25">
      <c r="Q5666" s="308"/>
      <c r="R5666" s="309"/>
      <c r="S5666" s="210"/>
      <c r="T5666" s="310"/>
      <c r="U5666" s="106"/>
      <c r="V5666" s="106"/>
      <c r="W5666" s="106"/>
      <c r="X5666" s="420"/>
      <c r="Y5666" s="420"/>
    </row>
    <row r="5667" spans="17:25">
      <c r="Q5667" s="308"/>
      <c r="R5667" s="309"/>
      <c r="S5667" s="210"/>
      <c r="T5667" s="310"/>
      <c r="U5667" s="106"/>
      <c r="V5667" s="106"/>
      <c r="W5667" s="106"/>
      <c r="X5667" s="420"/>
      <c r="Y5667" s="420"/>
    </row>
    <row r="5668" spans="17:25">
      <c r="Q5668" s="308"/>
      <c r="R5668" s="309"/>
      <c r="S5668" s="210"/>
      <c r="T5668" s="310"/>
      <c r="U5668" s="106"/>
      <c r="V5668" s="106"/>
      <c r="W5668" s="106"/>
      <c r="X5668" s="420"/>
      <c r="Y5668" s="420"/>
    </row>
    <row r="5669" spans="17:25">
      <c r="Q5669" s="308"/>
      <c r="R5669" s="309"/>
      <c r="S5669" s="210"/>
      <c r="T5669" s="310"/>
      <c r="U5669" s="106"/>
      <c r="V5669" s="106"/>
      <c r="W5669" s="106"/>
      <c r="X5669" s="420"/>
      <c r="Y5669" s="420"/>
    </row>
    <row r="5670" spans="17:25">
      <c r="Q5670" s="308"/>
      <c r="R5670" s="309"/>
      <c r="S5670" s="210"/>
      <c r="T5670" s="310"/>
      <c r="U5670" s="106"/>
      <c r="V5670" s="106"/>
      <c r="W5670" s="106"/>
      <c r="X5670" s="420"/>
      <c r="Y5670" s="420"/>
    </row>
    <row r="5671" spans="17:25">
      <c r="Q5671" s="308"/>
      <c r="R5671" s="309"/>
      <c r="S5671" s="210"/>
      <c r="T5671" s="310"/>
      <c r="U5671" s="106"/>
      <c r="V5671" s="106"/>
      <c r="W5671" s="106"/>
      <c r="X5671" s="420"/>
      <c r="Y5671" s="420"/>
    </row>
    <row r="5672" spans="17:25">
      <c r="Q5672" s="308"/>
      <c r="R5672" s="309"/>
      <c r="S5672" s="210"/>
      <c r="T5672" s="310"/>
      <c r="U5672" s="106"/>
      <c r="V5672" s="106"/>
      <c r="W5672" s="106"/>
      <c r="X5672" s="420"/>
      <c r="Y5672" s="420"/>
    </row>
    <row r="5673" spans="17:25">
      <c r="Q5673" s="308"/>
      <c r="R5673" s="309"/>
      <c r="S5673" s="210"/>
      <c r="T5673" s="310"/>
      <c r="U5673" s="106"/>
      <c r="V5673" s="106"/>
      <c r="W5673" s="106"/>
      <c r="X5673" s="420"/>
      <c r="Y5673" s="420"/>
    </row>
    <row r="5674" spans="17:25">
      <c r="Q5674" s="308"/>
      <c r="R5674" s="309"/>
      <c r="S5674" s="210"/>
      <c r="T5674" s="310"/>
      <c r="U5674" s="106"/>
      <c r="V5674" s="106"/>
      <c r="W5674" s="106"/>
      <c r="X5674" s="420"/>
      <c r="Y5674" s="420"/>
    </row>
    <row r="5675" spans="17:25">
      <c r="Q5675" s="308"/>
      <c r="R5675" s="309"/>
      <c r="S5675" s="210"/>
      <c r="T5675" s="310"/>
      <c r="U5675" s="106"/>
      <c r="V5675" s="106"/>
      <c r="W5675" s="106"/>
      <c r="X5675" s="420"/>
      <c r="Y5675" s="420"/>
    </row>
    <row r="5676" spans="17:25">
      <c r="Q5676" s="308"/>
      <c r="R5676" s="309"/>
      <c r="S5676" s="210"/>
      <c r="T5676" s="310"/>
      <c r="U5676" s="106"/>
      <c r="V5676" s="106"/>
      <c r="W5676" s="106"/>
      <c r="X5676" s="420"/>
      <c r="Y5676" s="420"/>
    </row>
    <row r="5677" spans="17:25">
      <c r="Q5677" s="308"/>
      <c r="R5677" s="309"/>
      <c r="S5677" s="210"/>
      <c r="T5677" s="310"/>
      <c r="U5677" s="106"/>
      <c r="V5677" s="106"/>
      <c r="W5677" s="106"/>
      <c r="X5677" s="420"/>
      <c r="Y5677" s="420"/>
    </row>
    <row r="5678" spans="17:25">
      <c r="Q5678" s="308"/>
      <c r="R5678" s="309"/>
      <c r="S5678" s="210"/>
      <c r="T5678" s="310"/>
      <c r="U5678" s="106"/>
      <c r="V5678" s="106"/>
      <c r="W5678" s="106"/>
      <c r="X5678" s="420"/>
      <c r="Y5678" s="420"/>
    </row>
    <row r="5679" spans="17:25">
      <c r="Q5679" s="308"/>
      <c r="R5679" s="309"/>
      <c r="S5679" s="210"/>
      <c r="T5679" s="310"/>
      <c r="U5679" s="106"/>
      <c r="V5679" s="106"/>
      <c r="W5679" s="106"/>
      <c r="X5679" s="420"/>
      <c r="Y5679" s="420"/>
    </row>
    <row r="5680" spans="17:25">
      <c r="Q5680" s="308"/>
      <c r="R5680" s="309"/>
      <c r="S5680" s="210"/>
      <c r="T5680" s="310"/>
      <c r="U5680" s="106"/>
      <c r="V5680" s="106"/>
      <c r="W5680" s="106"/>
      <c r="X5680" s="420"/>
      <c r="Y5680" s="420"/>
    </row>
    <row r="5681" spans="17:25">
      <c r="Q5681" s="308"/>
      <c r="R5681" s="309"/>
      <c r="S5681" s="210"/>
      <c r="T5681" s="310"/>
      <c r="U5681" s="106"/>
      <c r="V5681" s="106"/>
      <c r="W5681" s="106"/>
      <c r="X5681" s="420"/>
      <c r="Y5681" s="420"/>
    </row>
    <row r="5682" spans="17:25">
      <c r="Q5682" s="308"/>
      <c r="R5682" s="309"/>
      <c r="S5682" s="210"/>
      <c r="T5682" s="310"/>
      <c r="U5682" s="106"/>
      <c r="V5682" s="106"/>
      <c r="W5682" s="106"/>
      <c r="X5682" s="420"/>
      <c r="Y5682" s="420"/>
    </row>
    <row r="5683" spans="17:25">
      <c r="Q5683" s="308"/>
      <c r="R5683" s="309"/>
      <c r="S5683" s="210"/>
      <c r="T5683" s="310"/>
      <c r="U5683" s="106"/>
      <c r="V5683" s="106"/>
      <c r="W5683" s="106"/>
      <c r="X5683" s="420"/>
      <c r="Y5683" s="420"/>
    </row>
    <row r="5684" spans="17:25">
      <c r="Q5684" s="308"/>
      <c r="R5684" s="309"/>
      <c r="S5684" s="210"/>
      <c r="T5684" s="310"/>
      <c r="U5684" s="106"/>
      <c r="V5684" s="106"/>
      <c r="W5684" s="106"/>
      <c r="X5684" s="420"/>
      <c r="Y5684" s="420"/>
    </row>
    <row r="5685" spans="17:25">
      <c r="Q5685" s="308"/>
      <c r="R5685" s="309"/>
      <c r="S5685" s="210"/>
      <c r="T5685" s="310"/>
      <c r="U5685" s="106"/>
      <c r="V5685" s="106"/>
      <c r="W5685" s="106"/>
      <c r="X5685" s="420"/>
      <c r="Y5685" s="420"/>
    </row>
    <row r="5686" spans="17:25">
      <c r="Q5686" s="308"/>
      <c r="R5686" s="309"/>
      <c r="S5686" s="210"/>
      <c r="T5686" s="310"/>
      <c r="U5686" s="106"/>
      <c r="V5686" s="106"/>
      <c r="W5686" s="106"/>
      <c r="X5686" s="420"/>
      <c r="Y5686" s="420"/>
    </row>
    <row r="5687" spans="17:25">
      <c r="Q5687" s="308"/>
      <c r="R5687" s="309"/>
      <c r="S5687" s="210"/>
      <c r="T5687" s="310"/>
      <c r="U5687" s="106"/>
      <c r="V5687" s="106"/>
      <c r="W5687" s="106"/>
      <c r="X5687" s="420"/>
      <c r="Y5687" s="420"/>
    </row>
    <row r="5688" spans="17:25">
      <c r="Q5688" s="308"/>
      <c r="R5688" s="309"/>
      <c r="S5688" s="210"/>
      <c r="T5688" s="310"/>
      <c r="U5688" s="106"/>
      <c r="V5688" s="106"/>
      <c r="W5688" s="106"/>
      <c r="X5688" s="420"/>
      <c r="Y5688" s="420"/>
    </row>
    <row r="5689" spans="17:25">
      <c r="Q5689" s="308"/>
      <c r="R5689" s="309"/>
      <c r="S5689" s="210"/>
      <c r="T5689" s="310"/>
      <c r="U5689" s="106"/>
      <c r="V5689" s="106"/>
      <c r="W5689" s="106"/>
      <c r="X5689" s="420"/>
      <c r="Y5689" s="420"/>
    </row>
    <row r="5690" spans="17:25">
      <c r="Q5690" s="308"/>
      <c r="R5690" s="309"/>
      <c r="S5690" s="210"/>
      <c r="T5690" s="310"/>
      <c r="U5690" s="106"/>
      <c r="V5690" s="106"/>
      <c r="W5690" s="106"/>
      <c r="X5690" s="420"/>
      <c r="Y5690" s="420"/>
    </row>
    <row r="5691" spans="17:25">
      <c r="Q5691" s="308"/>
      <c r="R5691" s="309"/>
      <c r="S5691" s="210"/>
      <c r="T5691" s="310"/>
      <c r="U5691" s="106"/>
      <c r="V5691" s="106"/>
      <c r="W5691" s="106"/>
      <c r="X5691" s="420"/>
      <c r="Y5691" s="420"/>
    </row>
    <row r="5692" spans="17:25">
      <c r="Q5692" s="308"/>
      <c r="R5692" s="309"/>
      <c r="S5692" s="210"/>
      <c r="T5692" s="310"/>
      <c r="U5692" s="106"/>
      <c r="V5692" s="106"/>
      <c r="W5692" s="106"/>
      <c r="X5692" s="420"/>
      <c r="Y5692" s="420"/>
    </row>
    <row r="5693" spans="17:25">
      <c r="Q5693" s="308"/>
      <c r="R5693" s="309"/>
      <c r="S5693" s="210"/>
      <c r="T5693" s="310"/>
      <c r="U5693" s="106"/>
      <c r="V5693" s="106"/>
      <c r="W5693" s="106"/>
      <c r="X5693" s="420"/>
      <c r="Y5693" s="420"/>
    </row>
    <row r="5694" spans="17:25">
      <c r="Q5694" s="308"/>
      <c r="R5694" s="309"/>
      <c r="S5694" s="210"/>
      <c r="T5694" s="310"/>
      <c r="U5694" s="106"/>
      <c r="V5694" s="106"/>
      <c r="W5694" s="106"/>
      <c r="X5694" s="420"/>
      <c r="Y5694" s="420"/>
    </row>
    <row r="5695" spans="17:25">
      <c r="Q5695" s="308"/>
      <c r="R5695" s="309"/>
      <c r="S5695" s="210"/>
      <c r="T5695" s="310"/>
      <c r="U5695" s="106"/>
      <c r="V5695" s="106"/>
      <c r="W5695" s="106"/>
      <c r="X5695" s="420"/>
      <c r="Y5695" s="420"/>
    </row>
    <row r="5696" spans="17:25">
      <c r="Q5696" s="308"/>
      <c r="R5696" s="309"/>
      <c r="S5696" s="210"/>
      <c r="T5696" s="310"/>
      <c r="U5696" s="106"/>
      <c r="V5696" s="106"/>
      <c r="W5696" s="106"/>
      <c r="X5696" s="420"/>
      <c r="Y5696" s="420"/>
    </row>
    <row r="5697" spans="17:25">
      <c r="Q5697" s="308"/>
      <c r="R5697" s="309"/>
      <c r="S5697" s="210"/>
      <c r="T5697" s="310"/>
      <c r="U5697" s="106"/>
      <c r="V5697" s="106"/>
      <c r="W5697" s="106"/>
      <c r="X5697" s="420"/>
      <c r="Y5697" s="420"/>
    </row>
    <row r="5698" spans="17:25">
      <c r="Q5698" s="308"/>
      <c r="R5698" s="309"/>
      <c r="S5698" s="210"/>
      <c r="T5698" s="310"/>
      <c r="U5698" s="106"/>
      <c r="V5698" s="106"/>
      <c r="W5698" s="106"/>
      <c r="X5698" s="420"/>
      <c r="Y5698" s="420"/>
    </row>
    <row r="5699" spans="17:25">
      <c r="Q5699" s="308"/>
      <c r="R5699" s="309"/>
      <c r="S5699" s="210"/>
      <c r="T5699" s="310"/>
      <c r="U5699" s="106"/>
      <c r="V5699" s="106"/>
      <c r="W5699" s="106"/>
      <c r="X5699" s="420"/>
      <c r="Y5699" s="420"/>
    </row>
    <row r="5700" spans="17:25">
      <c r="Q5700" s="308"/>
      <c r="R5700" s="309"/>
      <c r="S5700" s="210"/>
      <c r="T5700" s="310"/>
      <c r="U5700" s="106"/>
      <c r="V5700" s="106"/>
      <c r="W5700" s="106"/>
      <c r="X5700" s="420"/>
      <c r="Y5700" s="420"/>
    </row>
    <row r="5701" spans="17:25">
      <c r="Q5701" s="308"/>
      <c r="R5701" s="309"/>
      <c r="S5701" s="210"/>
      <c r="T5701" s="310"/>
      <c r="U5701" s="106"/>
      <c r="V5701" s="106"/>
      <c r="W5701" s="106"/>
      <c r="X5701" s="420"/>
      <c r="Y5701" s="420"/>
    </row>
    <row r="5702" spans="17:25">
      <c r="Q5702" s="308"/>
      <c r="R5702" s="309"/>
      <c r="S5702" s="210"/>
      <c r="T5702" s="310"/>
      <c r="U5702" s="106"/>
      <c r="V5702" s="106"/>
      <c r="W5702" s="106"/>
      <c r="X5702" s="420"/>
      <c r="Y5702" s="420"/>
    </row>
    <row r="5703" spans="17:25">
      <c r="Q5703" s="308"/>
      <c r="R5703" s="309"/>
      <c r="S5703" s="210"/>
      <c r="T5703" s="310"/>
      <c r="U5703" s="106"/>
      <c r="V5703" s="106"/>
      <c r="W5703" s="106"/>
      <c r="X5703" s="420"/>
      <c r="Y5703" s="420"/>
    </row>
    <row r="5704" spans="17:25">
      <c r="Q5704" s="308"/>
      <c r="R5704" s="309"/>
      <c r="S5704" s="210"/>
      <c r="T5704" s="310"/>
      <c r="U5704" s="106"/>
      <c r="V5704" s="106"/>
      <c r="W5704" s="106"/>
      <c r="X5704" s="420"/>
      <c r="Y5704" s="420"/>
    </row>
    <row r="5705" spans="17:25">
      <c r="Q5705" s="308"/>
      <c r="R5705" s="309"/>
      <c r="S5705" s="210"/>
      <c r="T5705" s="310"/>
      <c r="U5705" s="106"/>
      <c r="V5705" s="106"/>
      <c r="W5705" s="106"/>
      <c r="X5705" s="420"/>
      <c r="Y5705" s="420"/>
    </row>
    <row r="5706" spans="17:25">
      <c r="Q5706" s="308"/>
      <c r="R5706" s="309"/>
      <c r="S5706" s="210"/>
      <c r="T5706" s="310"/>
      <c r="U5706" s="106"/>
      <c r="V5706" s="106"/>
      <c r="W5706" s="106"/>
      <c r="X5706" s="420"/>
      <c r="Y5706" s="420"/>
    </row>
    <row r="5707" spans="17:25">
      <c r="Q5707" s="308"/>
      <c r="R5707" s="309"/>
      <c r="S5707" s="210"/>
      <c r="T5707" s="310"/>
      <c r="U5707" s="106"/>
      <c r="V5707" s="106"/>
      <c r="W5707" s="106"/>
      <c r="X5707" s="420"/>
      <c r="Y5707" s="420"/>
    </row>
    <row r="5708" spans="17:25">
      <c r="Q5708" s="308"/>
      <c r="R5708" s="309"/>
      <c r="S5708" s="210"/>
      <c r="T5708" s="310"/>
      <c r="U5708" s="106"/>
      <c r="V5708" s="106"/>
      <c r="W5708" s="106"/>
      <c r="X5708" s="420"/>
      <c r="Y5708" s="420"/>
    </row>
    <row r="5709" spans="17:25">
      <c r="Q5709" s="308"/>
      <c r="R5709" s="309"/>
      <c r="S5709" s="210"/>
      <c r="T5709" s="310"/>
      <c r="U5709" s="106"/>
      <c r="V5709" s="106"/>
      <c r="W5709" s="106"/>
      <c r="X5709" s="420"/>
      <c r="Y5709" s="420"/>
    </row>
    <row r="5710" spans="17:25">
      <c r="Q5710" s="308"/>
      <c r="R5710" s="309"/>
      <c r="S5710" s="210"/>
      <c r="T5710" s="310"/>
      <c r="U5710" s="106"/>
      <c r="V5710" s="106"/>
      <c r="W5710" s="106"/>
      <c r="X5710" s="420"/>
      <c r="Y5710" s="420"/>
    </row>
    <row r="5711" spans="17:25">
      <c r="Q5711" s="308"/>
      <c r="R5711" s="309"/>
      <c r="S5711" s="210"/>
      <c r="T5711" s="310"/>
      <c r="U5711" s="106"/>
      <c r="V5711" s="106"/>
      <c r="W5711" s="106"/>
      <c r="X5711" s="420"/>
      <c r="Y5711" s="420"/>
    </row>
    <row r="5712" spans="17:25">
      <c r="Q5712" s="308"/>
      <c r="R5712" s="309"/>
      <c r="S5712" s="210"/>
      <c r="T5712" s="310"/>
      <c r="U5712" s="106"/>
      <c r="V5712" s="106"/>
      <c r="W5712" s="106"/>
      <c r="X5712" s="420"/>
      <c r="Y5712" s="420"/>
    </row>
    <row r="5713" spans="17:25">
      <c r="Q5713" s="308"/>
      <c r="R5713" s="309"/>
      <c r="S5713" s="210"/>
      <c r="T5713" s="310"/>
      <c r="U5713" s="106"/>
      <c r="V5713" s="106"/>
      <c r="W5713" s="106"/>
      <c r="X5713" s="420"/>
      <c r="Y5713" s="420"/>
    </row>
    <row r="5714" spans="17:25">
      <c r="Q5714" s="308"/>
      <c r="R5714" s="309"/>
      <c r="S5714" s="210"/>
      <c r="T5714" s="310"/>
      <c r="U5714" s="106"/>
      <c r="V5714" s="106"/>
      <c r="W5714" s="106"/>
      <c r="X5714" s="420"/>
      <c r="Y5714" s="420"/>
    </row>
    <row r="5715" spans="17:25">
      <c r="Q5715" s="308"/>
      <c r="R5715" s="309"/>
      <c r="S5715" s="210"/>
      <c r="T5715" s="310"/>
      <c r="U5715" s="106"/>
      <c r="V5715" s="106"/>
      <c r="W5715" s="106"/>
      <c r="X5715" s="420"/>
      <c r="Y5715" s="420"/>
    </row>
    <row r="5716" spans="17:25">
      <c r="Q5716" s="308"/>
      <c r="R5716" s="309"/>
      <c r="S5716" s="210"/>
      <c r="T5716" s="310"/>
      <c r="U5716" s="106"/>
      <c r="V5716" s="106"/>
      <c r="W5716" s="106"/>
      <c r="X5716" s="420"/>
      <c r="Y5716" s="420"/>
    </row>
    <row r="5717" spans="17:25">
      <c r="Q5717" s="308"/>
      <c r="R5717" s="309"/>
      <c r="S5717" s="210"/>
      <c r="T5717" s="310"/>
      <c r="U5717" s="106"/>
      <c r="V5717" s="106"/>
      <c r="W5717" s="106"/>
      <c r="X5717" s="420"/>
      <c r="Y5717" s="420"/>
    </row>
    <row r="5718" spans="17:25">
      <c r="Q5718" s="308"/>
      <c r="R5718" s="309"/>
      <c r="S5718" s="210"/>
      <c r="T5718" s="310"/>
      <c r="U5718" s="106"/>
      <c r="V5718" s="106"/>
      <c r="W5718" s="106"/>
      <c r="X5718" s="420"/>
      <c r="Y5718" s="420"/>
    </row>
    <row r="5719" spans="17:25">
      <c r="Q5719" s="308"/>
      <c r="R5719" s="309"/>
      <c r="S5719" s="210"/>
      <c r="T5719" s="310"/>
      <c r="U5719" s="106"/>
      <c r="V5719" s="106"/>
      <c r="W5719" s="106"/>
      <c r="X5719" s="420"/>
      <c r="Y5719" s="420"/>
    </row>
    <row r="5720" spans="17:25">
      <c r="Q5720" s="308"/>
      <c r="R5720" s="309"/>
      <c r="S5720" s="210"/>
      <c r="T5720" s="310"/>
      <c r="U5720" s="106"/>
      <c r="V5720" s="106"/>
      <c r="W5720" s="106"/>
      <c r="X5720" s="420"/>
      <c r="Y5720" s="420"/>
    </row>
    <row r="5721" spans="17:25">
      <c r="Q5721" s="308"/>
      <c r="R5721" s="309"/>
      <c r="S5721" s="210"/>
      <c r="T5721" s="310"/>
      <c r="U5721" s="106"/>
      <c r="V5721" s="106"/>
      <c r="W5721" s="106"/>
      <c r="X5721" s="420"/>
      <c r="Y5721" s="420"/>
    </row>
    <row r="5722" spans="17:25">
      <c r="Q5722" s="308"/>
      <c r="R5722" s="309"/>
      <c r="S5722" s="210"/>
      <c r="T5722" s="310"/>
      <c r="U5722" s="106"/>
      <c r="V5722" s="106"/>
      <c r="W5722" s="106"/>
      <c r="X5722" s="420"/>
      <c r="Y5722" s="420"/>
    </row>
    <row r="5723" spans="17:25">
      <c r="Q5723" s="308"/>
      <c r="R5723" s="309"/>
      <c r="S5723" s="210"/>
      <c r="T5723" s="310"/>
      <c r="U5723" s="106"/>
      <c r="V5723" s="106"/>
      <c r="W5723" s="106"/>
      <c r="X5723" s="420"/>
      <c r="Y5723" s="420"/>
    </row>
    <row r="5724" spans="17:25">
      <c r="Q5724" s="308"/>
      <c r="R5724" s="309"/>
      <c r="S5724" s="210"/>
      <c r="T5724" s="310"/>
      <c r="U5724" s="106"/>
      <c r="V5724" s="106"/>
      <c r="W5724" s="106"/>
      <c r="X5724" s="420"/>
      <c r="Y5724" s="420"/>
    </row>
    <row r="5725" spans="17:25">
      <c r="Q5725" s="308"/>
      <c r="R5725" s="309"/>
      <c r="S5725" s="210"/>
      <c r="T5725" s="310"/>
      <c r="U5725" s="106"/>
      <c r="V5725" s="106"/>
      <c r="W5725" s="106"/>
      <c r="X5725" s="420"/>
      <c r="Y5725" s="420"/>
    </row>
    <row r="5726" spans="17:25">
      <c r="Q5726" s="308"/>
      <c r="R5726" s="309"/>
      <c r="S5726" s="210"/>
      <c r="T5726" s="310"/>
      <c r="U5726" s="106"/>
      <c r="V5726" s="106"/>
      <c r="W5726" s="106"/>
      <c r="X5726" s="420"/>
      <c r="Y5726" s="420"/>
    </row>
    <row r="5727" spans="17:25">
      <c r="Q5727" s="308"/>
      <c r="R5727" s="309"/>
      <c r="S5727" s="210"/>
      <c r="T5727" s="310"/>
      <c r="U5727" s="106"/>
      <c r="V5727" s="106"/>
      <c r="W5727" s="106"/>
      <c r="X5727" s="420"/>
      <c r="Y5727" s="420"/>
    </row>
    <row r="5728" spans="17:25">
      <c r="Q5728" s="308"/>
      <c r="R5728" s="309"/>
      <c r="S5728" s="210"/>
      <c r="T5728" s="310"/>
      <c r="U5728" s="106"/>
      <c r="V5728" s="106"/>
      <c r="W5728" s="106"/>
      <c r="X5728" s="420"/>
      <c r="Y5728" s="420"/>
    </row>
    <row r="5729" spans="17:25">
      <c r="Q5729" s="308"/>
      <c r="R5729" s="309"/>
      <c r="S5729" s="210"/>
      <c r="T5729" s="310"/>
      <c r="U5729" s="106"/>
      <c r="V5729" s="106"/>
      <c r="W5729" s="106"/>
      <c r="X5729" s="420"/>
      <c r="Y5729" s="420"/>
    </row>
    <row r="5730" spans="17:25">
      <c r="Q5730" s="308"/>
      <c r="R5730" s="309"/>
      <c r="S5730" s="210"/>
      <c r="T5730" s="310"/>
      <c r="U5730" s="106"/>
      <c r="V5730" s="106"/>
      <c r="W5730" s="106"/>
      <c r="X5730" s="420"/>
      <c r="Y5730" s="420"/>
    </row>
    <row r="5731" spans="17:25">
      <c r="Q5731" s="308"/>
      <c r="R5731" s="309"/>
      <c r="S5731" s="210"/>
      <c r="T5731" s="310"/>
      <c r="U5731" s="106"/>
      <c r="V5731" s="106"/>
      <c r="W5731" s="106"/>
      <c r="X5731" s="420"/>
      <c r="Y5731" s="420"/>
    </row>
    <row r="5732" spans="17:25">
      <c r="Q5732" s="308"/>
      <c r="R5732" s="309"/>
      <c r="S5732" s="210"/>
      <c r="T5732" s="310"/>
      <c r="U5732" s="106"/>
      <c r="V5732" s="106"/>
      <c r="W5732" s="106"/>
      <c r="X5732" s="420"/>
      <c r="Y5732" s="420"/>
    </row>
    <row r="5733" spans="17:25">
      <c r="Q5733" s="308"/>
      <c r="R5733" s="309"/>
      <c r="S5733" s="210"/>
      <c r="T5733" s="310"/>
      <c r="U5733" s="106"/>
      <c r="V5733" s="106"/>
      <c r="W5733" s="106"/>
      <c r="X5733" s="420"/>
      <c r="Y5733" s="420"/>
    </row>
    <row r="5734" spans="17:25">
      <c r="Q5734" s="308"/>
      <c r="R5734" s="309"/>
      <c r="S5734" s="210"/>
      <c r="T5734" s="310"/>
      <c r="U5734" s="106"/>
      <c r="V5734" s="106"/>
      <c r="W5734" s="106"/>
      <c r="X5734" s="420"/>
      <c r="Y5734" s="420"/>
    </row>
    <row r="5735" spans="17:25">
      <c r="Q5735" s="308"/>
      <c r="R5735" s="309"/>
      <c r="S5735" s="210"/>
      <c r="T5735" s="310"/>
      <c r="U5735" s="106"/>
      <c r="V5735" s="106"/>
      <c r="W5735" s="106"/>
      <c r="X5735" s="420"/>
      <c r="Y5735" s="420"/>
    </row>
    <row r="5736" spans="17:25">
      <c r="Q5736" s="308"/>
      <c r="R5736" s="309"/>
      <c r="S5736" s="210"/>
      <c r="T5736" s="310"/>
      <c r="U5736" s="106"/>
      <c r="V5736" s="106"/>
      <c r="W5736" s="106"/>
      <c r="X5736" s="420"/>
      <c r="Y5736" s="420"/>
    </row>
    <row r="5737" spans="17:25">
      <c r="Q5737" s="308"/>
      <c r="R5737" s="309"/>
      <c r="S5737" s="210"/>
      <c r="T5737" s="310"/>
      <c r="U5737" s="106"/>
      <c r="V5737" s="106"/>
      <c r="W5737" s="106"/>
      <c r="X5737" s="420"/>
      <c r="Y5737" s="420"/>
    </row>
    <row r="5738" spans="17:25">
      <c r="Q5738" s="308"/>
      <c r="R5738" s="309"/>
      <c r="S5738" s="210"/>
      <c r="T5738" s="310"/>
      <c r="U5738" s="106"/>
      <c r="V5738" s="106"/>
      <c r="W5738" s="106"/>
      <c r="X5738" s="420"/>
      <c r="Y5738" s="420"/>
    </row>
    <row r="5739" spans="17:25">
      <c r="Q5739" s="308"/>
      <c r="R5739" s="309"/>
      <c r="S5739" s="210"/>
      <c r="T5739" s="310"/>
      <c r="U5739" s="106"/>
      <c r="V5739" s="106"/>
      <c r="W5739" s="106"/>
      <c r="X5739" s="420"/>
      <c r="Y5739" s="420"/>
    </row>
    <row r="5740" spans="17:25">
      <c r="Q5740" s="308"/>
      <c r="R5740" s="309"/>
      <c r="S5740" s="210"/>
      <c r="T5740" s="310"/>
      <c r="U5740" s="106"/>
      <c r="V5740" s="106"/>
      <c r="W5740" s="106"/>
      <c r="X5740" s="420"/>
      <c r="Y5740" s="420"/>
    </row>
    <row r="5741" spans="17:25">
      <c r="Q5741" s="308"/>
      <c r="R5741" s="309"/>
      <c r="S5741" s="210"/>
      <c r="T5741" s="310"/>
      <c r="U5741" s="106"/>
      <c r="V5741" s="106"/>
      <c r="W5741" s="106"/>
      <c r="X5741" s="420"/>
      <c r="Y5741" s="420"/>
    </row>
    <row r="5742" spans="17:25">
      <c r="Q5742" s="308"/>
      <c r="R5742" s="309"/>
      <c r="S5742" s="210"/>
      <c r="T5742" s="310"/>
      <c r="U5742" s="106"/>
      <c r="V5742" s="106"/>
      <c r="W5742" s="106"/>
      <c r="X5742" s="420"/>
      <c r="Y5742" s="420"/>
    </row>
    <row r="5743" spans="17:25">
      <c r="Q5743" s="308"/>
      <c r="R5743" s="309"/>
      <c r="S5743" s="210"/>
      <c r="T5743" s="310"/>
      <c r="U5743" s="106"/>
      <c r="V5743" s="106"/>
      <c r="W5743" s="106"/>
      <c r="X5743" s="420"/>
      <c r="Y5743" s="420"/>
    </row>
    <row r="5744" spans="17:25">
      <c r="Q5744" s="308"/>
      <c r="R5744" s="309"/>
      <c r="S5744" s="210"/>
      <c r="T5744" s="310"/>
      <c r="U5744" s="106"/>
      <c r="V5744" s="106"/>
      <c r="W5744" s="106"/>
      <c r="X5744" s="420"/>
      <c r="Y5744" s="420"/>
    </row>
    <row r="5745" spans="17:25">
      <c r="Q5745" s="308"/>
      <c r="R5745" s="309"/>
      <c r="S5745" s="210"/>
      <c r="T5745" s="310"/>
      <c r="U5745" s="106"/>
      <c r="V5745" s="106"/>
      <c r="W5745" s="106"/>
      <c r="X5745" s="420"/>
      <c r="Y5745" s="420"/>
    </row>
    <row r="5746" spans="17:25">
      <c r="Q5746" s="308"/>
      <c r="R5746" s="309"/>
      <c r="S5746" s="210"/>
      <c r="T5746" s="310"/>
      <c r="U5746" s="106"/>
      <c r="V5746" s="106"/>
      <c r="W5746" s="106"/>
      <c r="X5746" s="420"/>
      <c r="Y5746" s="420"/>
    </row>
    <row r="5747" spans="17:25">
      <c r="Q5747" s="308"/>
      <c r="R5747" s="309"/>
      <c r="S5747" s="210"/>
      <c r="T5747" s="310"/>
      <c r="U5747" s="106"/>
      <c r="V5747" s="106"/>
      <c r="W5747" s="106"/>
      <c r="X5747" s="420"/>
      <c r="Y5747" s="420"/>
    </row>
    <row r="5748" spans="17:25">
      <c r="Q5748" s="308"/>
      <c r="R5748" s="309"/>
      <c r="S5748" s="210"/>
      <c r="T5748" s="310"/>
      <c r="U5748" s="106"/>
      <c r="V5748" s="106"/>
      <c r="W5748" s="106"/>
      <c r="X5748" s="420"/>
      <c r="Y5748" s="420"/>
    </row>
    <row r="5749" spans="17:25">
      <c r="Q5749" s="308"/>
      <c r="R5749" s="309"/>
      <c r="S5749" s="210"/>
      <c r="T5749" s="310"/>
      <c r="U5749" s="106"/>
      <c r="V5749" s="106"/>
      <c r="W5749" s="106"/>
      <c r="X5749" s="420"/>
      <c r="Y5749" s="420"/>
    </row>
    <row r="5750" spans="17:25">
      <c r="Q5750" s="308"/>
      <c r="R5750" s="309"/>
      <c r="S5750" s="210"/>
      <c r="T5750" s="310"/>
      <c r="U5750" s="106"/>
      <c r="V5750" s="106"/>
      <c r="W5750" s="106"/>
      <c r="X5750" s="420"/>
      <c r="Y5750" s="420"/>
    </row>
    <row r="5751" spans="17:25">
      <c r="Q5751" s="308"/>
      <c r="R5751" s="309"/>
      <c r="S5751" s="210"/>
      <c r="T5751" s="310"/>
      <c r="U5751" s="106"/>
      <c r="V5751" s="106"/>
      <c r="W5751" s="106"/>
      <c r="X5751" s="420"/>
      <c r="Y5751" s="420"/>
    </row>
    <row r="5752" spans="17:25">
      <c r="Q5752" s="308"/>
      <c r="R5752" s="309"/>
      <c r="S5752" s="210"/>
      <c r="T5752" s="310"/>
      <c r="U5752" s="106"/>
      <c r="V5752" s="106"/>
      <c r="W5752" s="106"/>
      <c r="X5752" s="420"/>
      <c r="Y5752" s="420"/>
    </row>
    <row r="5753" spans="17:25">
      <c r="Q5753" s="308"/>
      <c r="R5753" s="309"/>
      <c r="S5753" s="210"/>
      <c r="T5753" s="310"/>
      <c r="U5753" s="106"/>
      <c r="V5753" s="106"/>
      <c r="W5753" s="106"/>
      <c r="X5753" s="420"/>
      <c r="Y5753" s="420"/>
    </row>
    <row r="5754" spans="17:25">
      <c r="Q5754" s="308"/>
      <c r="R5754" s="309"/>
      <c r="S5754" s="210"/>
      <c r="T5754" s="310"/>
      <c r="U5754" s="106"/>
      <c r="V5754" s="106"/>
      <c r="W5754" s="106"/>
      <c r="X5754" s="420"/>
      <c r="Y5754" s="420"/>
    </row>
    <row r="5755" spans="17:25">
      <c r="Q5755" s="308"/>
      <c r="R5755" s="309"/>
      <c r="S5755" s="210"/>
      <c r="T5755" s="310"/>
      <c r="U5755" s="106"/>
      <c r="V5755" s="106"/>
      <c r="W5755" s="106"/>
      <c r="X5755" s="420"/>
      <c r="Y5755" s="420"/>
    </row>
    <row r="5756" spans="17:25">
      <c r="Q5756" s="308"/>
      <c r="R5756" s="309"/>
      <c r="S5756" s="210"/>
      <c r="T5756" s="310"/>
      <c r="U5756" s="106"/>
      <c r="V5756" s="106"/>
      <c r="W5756" s="106"/>
      <c r="X5756" s="420"/>
      <c r="Y5756" s="420"/>
    </row>
    <row r="5757" spans="17:25">
      <c r="Q5757" s="308"/>
      <c r="R5757" s="309"/>
      <c r="S5757" s="210"/>
      <c r="T5757" s="310"/>
      <c r="U5757" s="106"/>
      <c r="V5757" s="106"/>
      <c r="W5757" s="106"/>
      <c r="X5757" s="420"/>
      <c r="Y5757" s="420"/>
    </row>
    <row r="5758" spans="17:25">
      <c r="Q5758" s="308"/>
      <c r="R5758" s="309"/>
      <c r="S5758" s="210"/>
      <c r="T5758" s="310"/>
      <c r="U5758" s="106"/>
      <c r="V5758" s="106"/>
      <c r="W5758" s="106"/>
      <c r="X5758" s="420"/>
      <c r="Y5758" s="420"/>
    </row>
    <row r="5759" spans="17:25">
      <c r="Q5759" s="308"/>
      <c r="R5759" s="309"/>
      <c r="S5759" s="210"/>
      <c r="T5759" s="310"/>
      <c r="U5759" s="106"/>
      <c r="V5759" s="106"/>
      <c r="W5759" s="106"/>
      <c r="X5759" s="420"/>
      <c r="Y5759" s="420"/>
    </row>
    <row r="5760" spans="17:25">
      <c r="Q5760" s="308"/>
      <c r="R5760" s="309"/>
      <c r="S5760" s="210"/>
      <c r="T5760" s="310"/>
      <c r="U5760" s="106"/>
      <c r="V5760" s="106"/>
      <c r="W5760" s="106"/>
      <c r="X5760" s="420"/>
      <c r="Y5760" s="420"/>
    </row>
    <row r="5761" spans="17:25">
      <c r="Q5761" s="308"/>
      <c r="R5761" s="309"/>
      <c r="S5761" s="210"/>
      <c r="T5761" s="310"/>
      <c r="U5761" s="106"/>
      <c r="V5761" s="106"/>
      <c r="W5761" s="106"/>
      <c r="X5761" s="420"/>
      <c r="Y5761" s="420"/>
    </row>
    <row r="5762" spans="17:25">
      <c r="Q5762" s="308"/>
      <c r="R5762" s="309"/>
      <c r="S5762" s="210"/>
      <c r="T5762" s="310"/>
      <c r="U5762" s="106"/>
      <c r="V5762" s="106"/>
      <c r="W5762" s="106"/>
      <c r="X5762" s="420"/>
      <c r="Y5762" s="420"/>
    </row>
    <row r="5763" spans="17:25">
      <c r="Q5763" s="308"/>
      <c r="R5763" s="309"/>
      <c r="S5763" s="210"/>
      <c r="T5763" s="310"/>
      <c r="U5763" s="106"/>
      <c r="V5763" s="106"/>
      <c r="W5763" s="106"/>
      <c r="X5763" s="420"/>
      <c r="Y5763" s="420"/>
    </row>
    <row r="5764" spans="17:25">
      <c r="Q5764" s="308"/>
      <c r="R5764" s="309"/>
      <c r="S5764" s="210"/>
      <c r="T5764" s="310"/>
      <c r="U5764" s="106"/>
      <c r="V5764" s="106"/>
      <c r="W5764" s="106"/>
      <c r="X5764" s="420"/>
      <c r="Y5764" s="420"/>
    </row>
    <row r="5765" spans="17:25">
      <c r="Q5765" s="308"/>
      <c r="R5765" s="309"/>
      <c r="S5765" s="210"/>
      <c r="T5765" s="310"/>
      <c r="U5765" s="106"/>
      <c r="V5765" s="106"/>
      <c r="W5765" s="106"/>
      <c r="X5765" s="420"/>
      <c r="Y5765" s="420"/>
    </row>
    <row r="5766" spans="17:25">
      <c r="Q5766" s="308"/>
      <c r="R5766" s="309"/>
      <c r="S5766" s="210"/>
      <c r="T5766" s="310"/>
      <c r="U5766" s="106"/>
      <c r="V5766" s="106"/>
      <c r="W5766" s="106"/>
      <c r="X5766" s="420"/>
      <c r="Y5766" s="420"/>
    </row>
    <row r="5767" spans="17:25">
      <c r="Q5767" s="308"/>
      <c r="R5767" s="309"/>
      <c r="S5767" s="210"/>
      <c r="T5767" s="310"/>
      <c r="U5767" s="106"/>
      <c r="V5767" s="106"/>
      <c r="W5767" s="106"/>
      <c r="X5767" s="420"/>
      <c r="Y5767" s="420"/>
    </row>
    <row r="5768" spans="17:25">
      <c r="Q5768" s="308"/>
      <c r="R5768" s="309"/>
      <c r="S5768" s="210"/>
      <c r="T5768" s="310"/>
      <c r="U5768" s="106"/>
      <c r="V5768" s="106"/>
      <c r="W5768" s="106"/>
      <c r="X5768" s="420"/>
      <c r="Y5768" s="420"/>
    </row>
    <row r="5769" spans="17:25">
      <c r="Q5769" s="308"/>
      <c r="R5769" s="309"/>
      <c r="S5769" s="210"/>
      <c r="T5769" s="310"/>
      <c r="U5769" s="106"/>
      <c r="V5769" s="106"/>
      <c r="W5769" s="106"/>
      <c r="X5769" s="420"/>
      <c r="Y5769" s="420"/>
    </row>
    <row r="5770" spans="17:25">
      <c r="Q5770" s="308"/>
      <c r="R5770" s="309"/>
      <c r="S5770" s="210"/>
      <c r="T5770" s="310"/>
      <c r="U5770" s="106"/>
      <c r="V5770" s="106"/>
      <c r="W5770" s="106"/>
      <c r="X5770" s="420"/>
      <c r="Y5770" s="420"/>
    </row>
    <row r="5771" spans="17:25">
      <c r="Q5771" s="308"/>
      <c r="R5771" s="309"/>
      <c r="S5771" s="210"/>
      <c r="T5771" s="310"/>
      <c r="U5771" s="106"/>
      <c r="V5771" s="106"/>
      <c r="W5771" s="106"/>
      <c r="X5771" s="420"/>
      <c r="Y5771" s="420"/>
    </row>
    <row r="5772" spans="17:25">
      <c r="Q5772" s="308"/>
      <c r="R5772" s="309"/>
      <c r="S5772" s="210"/>
      <c r="T5772" s="310"/>
      <c r="U5772" s="106"/>
      <c r="V5772" s="106"/>
      <c r="W5772" s="106"/>
      <c r="X5772" s="420"/>
      <c r="Y5772" s="420"/>
    </row>
    <row r="5773" spans="17:25">
      <c r="Q5773" s="308"/>
      <c r="R5773" s="309"/>
      <c r="S5773" s="210"/>
      <c r="T5773" s="310"/>
      <c r="U5773" s="106"/>
      <c r="V5773" s="106"/>
      <c r="W5773" s="106"/>
      <c r="X5773" s="420"/>
      <c r="Y5773" s="420"/>
    </row>
    <row r="5774" spans="17:25">
      <c r="Q5774" s="308"/>
      <c r="R5774" s="309"/>
      <c r="S5774" s="210"/>
      <c r="T5774" s="310"/>
      <c r="U5774" s="106"/>
      <c r="V5774" s="106"/>
      <c r="W5774" s="106"/>
      <c r="X5774" s="420"/>
      <c r="Y5774" s="420"/>
    </row>
    <row r="5775" spans="17:25">
      <c r="Q5775" s="308"/>
      <c r="R5775" s="309"/>
      <c r="S5775" s="210"/>
      <c r="T5775" s="310"/>
      <c r="U5775" s="106"/>
      <c r="V5775" s="106"/>
      <c r="W5775" s="106"/>
      <c r="X5775" s="420"/>
      <c r="Y5775" s="420"/>
    </row>
    <row r="5776" spans="17:25">
      <c r="Q5776" s="308"/>
      <c r="R5776" s="309"/>
      <c r="S5776" s="210"/>
      <c r="T5776" s="310"/>
      <c r="U5776" s="106"/>
      <c r="V5776" s="106"/>
      <c r="W5776" s="106"/>
      <c r="X5776" s="420"/>
      <c r="Y5776" s="420"/>
    </row>
    <row r="5777" spans="17:25">
      <c r="Q5777" s="308"/>
      <c r="R5777" s="309"/>
      <c r="S5777" s="210"/>
      <c r="T5777" s="310"/>
      <c r="U5777" s="106"/>
      <c r="V5777" s="106"/>
      <c r="W5777" s="106"/>
      <c r="X5777" s="420"/>
      <c r="Y5777" s="420"/>
    </row>
    <row r="5778" spans="17:25">
      <c r="Q5778" s="308"/>
      <c r="R5778" s="309"/>
      <c r="S5778" s="210"/>
      <c r="T5778" s="310"/>
      <c r="U5778" s="106"/>
      <c r="V5778" s="106"/>
      <c r="W5778" s="106"/>
      <c r="X5778" s="420"/>
      <c r="Y5778" s="420"/>
    </row>
    <row r="5779" spans="17:25">
      <c r="Q5779" s="308"/>
      <c r="R5779" s="309"/>
      <c r="S5779" s="210"/>
      <c r="T5779" s="310"/>
      <c r="U5779" s="106"/>
      <c r="V5779" s="106"/>
      <c r="W5779" s="106"/>
      <c r="X5779" s="420"/>
      <c r="Y5779" s="420"/>
    </row>
    <row r="5780" spans="17:25">
      <c r="Q5780" s="308"/>
      <c r="R5780" s="309"/>
      <c r="S5780" s="210"/>
      <c r="T5780" s="310"/>
      <c r="U5780" s="106"/>
      <c r="V5780" s="106"/>
      <c r="W5780" s="106"/>
      <c r="X5780" s="420"/>
      <c r="Y5780" s="420"/>
    </row>
    <row r="5781" spans="17:25">
      <c r="Q5781" s="308"/>
      <c r="R5781" s="309"/>
      <c r="S5781" s="210"/>
      <c r="T5781" s="310"/>
      <c r="U5781" s="106"/>
      <c r="V5781" s="106"/>
      <c r="W5781" s="106"/>
      <c r="X5781" s="420"/>
      <c r="Y5781" s="420"/>
    </row>
    <row r="5782" spans="17:25">
      <c r="Q5782" s="308"/>
      <c r="R5782" s="309"/>
      <c r="S5782" s="210"/>
      <c r="T5782" s="310"/>
      <c r="U5782" s="106"/>
      <c r="V5782" s="106"/>
      <c r="W5782" s="106"/>
      <c r="X5782" s="420"/>
      <c r="Y5782" s="420"/>
    </row>
    <row r="5783" spans="17:25">
      <c r="Q5783" s="308"/>
      <c r="R5783" s="309"/>
      <c r="S5783" s="210"/>
      <c r="T5783" s="310"/>
      <c r="U5783" s="106"/>
      <c r="V5783" s="106"/>
      <c r="W5783" s="106"/>
      <c r="X5783" s="420"/>
      <c r="Y5783" s="420"/>
    </row>
    <row r="5784" spans="17:25">
      <c r="Q5784" s="308"/>
      <c r="R5784" s="309"/>
      <c r="S5784" s="210"/>
      <c r="T5784" s="310"/>
      <c r="U5784" s="106"/>
      <c r="V5784" s="106"/>
      <c r="W5784" s="106"/>
      <c r="X5784" s="420"/>
      <c r="Y5784" s="420"/>
    </row>
    <row r="5785" spans="17:25">
      <c r="Q5785" s="308"/>
      <c r="R5785" s="309"/>
      <c r="S5785" s="210"/>
      <c r="T5785" s="310"/>
      <c r="U5785" s="106"/>
      <c r="V5785" s="106"/>
      <c r="W5785" s="106"/>
      <c r="X5785" s="420"/>
      <c r="Y5785" s="420"/>
    </row>
    <row r="5786" spans="17:25">
      <c r="Q5786" s="308"/>
      <c r="R5786" s="309"/>
      <c r="S5786" s="210"/>
      <c r="T5786" s="310"/>
      <c r="U5786" s="106"/>
      <c r="V5786" s="106"/>
      <c r="W5786" s="106"/>
      <c r="X5786" s="420"/>
      <c r="Y5786" s="420"/>
    </row>
    <row r="5787" spans="17:25">
      <c r="Q5787" s="308"/>
      <c r="R5787" s="309"/>
      <c r="S5787" s="210"/>
      <c r="T5787" s="310"/>
      <c r="U5787" s="106"/>
      <c r="V5787" s="106"/>
      <c r="W5787" s="106"/>
      <c r="X5787" s="420"/>
      <c r="Y5787" s="420"/>
    </row>
    <row r="5788" spans="17:25">
      <c r="Q5788" s="308"/>
      <c r="R5788" s="309"/>
      <c r="S5788" s="210"/>
      <c r="T5788" s="310"/>
      <c r="U5788" s="106"/>
      <c r="V5788" s="106"/>
      <c r="W5788" s="106"/>
      <c r="X5788" s="420"/>
      <c r="Y5788" s="420"/>
    </row>
    <row r="5789" spans="17:25">
      <c r="Q5789" s="308"/>
      <c r="R5789" s="309"/>
      <c r="S5789" s="210"/>
      <c r="T5789" s="310"/>
      <c r="U5789" s="106"/>
      <c r="V5789" s="106"/>
      <c r="W5789" s="106"/>
      <c r="X5789" s="420"/>
      <c r="Y5789" s="420"/>
    </row>
    <row r="5790" spans="17:25">
      <c r="Q5790" s="308"/>
      <c r="R5790" s="309"/>
      <c r="S5790" s="210"/>
      <c r="T5790" s="310"/>
      <c r="U5790" s="106"/>
      <c r="V5790" s="106"/>
      <c r="W5790" s="106"/>
      <c r="X5790" s="420"/>
      <c r="Y5790" s="420"/>
    </row>
    <row r="5791" spans="17:25">
      <c r="Q5791" s="308"/>
      <c r="R5791" s="309"/>
      <c r="S5791" s="210"/>
      <c r="T5791" s="310"/>
      <c r="U5791" s="106"/>
      <c r="V5791" s="106"/>
      <c r="W5791" s="106"/>
      <c r="X5791" s="420"/>
      <c r="Y5791" s="420"/>
    </row>
    <row r="5792" spans="17:25">
      <c r="Q5792" s="308"/>
      <c r="R5792" s="309"/>
      <c r="S5792" s="210"/>
      <c r="T5792" s="310"/>
      <c r="U5792" s="106"/>
      <c r="V5792" s="106"/>
      <c r="W5792" s="106"/>
      <c r="X5792" s="420"/>
      <c r="Y5792" s="420"/>
    </row>
    <row r="5793" spans="17:25">
      <c r="Q5793" s="308"/>
      <c r="R5793" s="309"/>
      <c r="S5793" s="210"/>
      <c r="T5793" s="310"/>
      <c r="U5793" s="106"/>
      <c r="V5793" s="106"/>
      <c r="W5793" s="106"/>
      <c r="X5793" s="420"/>
      <c r="Y5793" s="420"/>
    </row>
    <row r="5794" spans="17:25">
      <c r="Q5794" s="308"/>
      <c r="R5794" s="309"/>
      <c r="S5794" s="210"/>
      <c r="T5794" s="310"/>
      <c r="U5794" s="106"/>
      <c r="V5794" s="106"/>
      <c r="W5794" s="106"/>
      <c r="X5794" s="420"/>
      <c r="Y5794" s="420"/>
    </row>
    <row r="5795" spans="17:25">
      <c r="Q5795" s="308"/>
      <c r="R5795" s="309"/>
      <c r="S5795" s="210"/>
      <c r="T5795" s="310"/>
      <c r="U5795" s="106"/>
      <c r="V5795" s="106"/>
      <c r="W5795" s="106"/>
      <c r="X5795" s="420"/>
      <c r="Y5795" s="420"/>
    </row>
    <row r="5796" spans="17:25">
      <c r="Q5796" s="308"/>
      <c r="R5796" s="309"/>
      <c r="S5796" s="210"/>
      <c r="T5796" s="310"/>
      <c r="U5796" s="106"/>
      <c r="V5796" s="106"/>
      <c r="W5796" s="106"/>
      <c r="X5796" s="420"/>
      <c r="Y5796" s="420"/>
    </row>
    <row r="5797" spans="17:25">
      <c r="Q5797" s="308"/>
      <c r="R5797" s="309"/>
      <c r="S5797" s="210"/>
      <c r="T5797" s="310"/>
      <c r="U5797" s="106"/>
      <c r="V5797" s="106"/>
      <c r="W5797" s="106"/>
      <c r="X5797" s="420"/>
      <c r="Y5797" s="420"/>
    </row>
    <row r="5798" spans="17:25">
      <c r="Q5798" s="308"/>
      <c r="R5798" s="309"/>
      <c r="S5798" s="210"/>
      <c r="T5798" s="310"/>
      <c r="U5798" s="106"/>
      <c r="V5798" s="106"/>
      <c r="W5798" s="106"/>
      <c r="X5798" s="420"/>
      <c r="Y5798" s="420"/>
    </row>
    <row r="5799" spans="17:25">
      <c r="Q5799" s="308"/>
      <c r="R5799" s="309"/>
      <c r="S5799" s="210"/>
      <c r="T5799" s="310"/>
      <c r="U5799" s="106"/>
      <c r="V5799" s="106"/>
      <c r="W5799" s="106"/>
      <c r="X5799" s="420"/>
      <c r="Y5799" s="420"/>
    </row>
    <row r="5800" spans="17:25">
      <c r="Q5800" s="308"/>
      <c r="R5800" s="309"/>
      <c r="S5800" s="210"/>
      <c r="T5800" s="310"/>
      <c r="U5800" s="106"/>
      <c r="V5800" s="106"/>
      <c r="W5800" s="106"/>
      <c r="X5800" s="420"/>
      <c r="Y5800" s="420"/>
    </row>
    <row r="5801" spans="17:25">
      <c r="Q5801" s="308"/>
      <c r="R5801" s="309"/>
      <c r="S5801" s="210"/>
      <c r="T5801" s="310"/>
      <c r="U5801" s="106"/>
      <c r="V5801" s="106"/>
      <c r="W5801" s="106"/>
      <c r="X5801" s="420"/>
      <c r="Y5801" s="420"/>
    </row>
    <row r="5802" spans="17:25">
      <c r="Q5802" s="308"/>
      <c r="R5802" s="309"/>
      <c r="S5802" s="210"/>
      <c r="T5802" s="310"/>
      <c r="U5802" s="106"/>
      <c r="V5802" s="106"/>
      <c r="W5802" s="106"/>
      <c r="X5802" s="420"/>
      <c r="Y5802" s="420"/>
    </row>
    <row r="5803" spans="17:25">
      <c r="Q5803" s="308"/>
      <c r="R5803" s="309"/>
      <c r="S5803" s="210"/>
      <c r="T5803" s="310"/>
      <c r="U5803" s="106"/>
      <c r="V5803" s="106"/>
      <c r="W5803" s="106"/>
      <c r="X5803" s="420"/>
      <c r="Y5803" s="420"/>
    </row>
    <row r="5804" spans="17:25">
      <c r="Q5804" s="308"/>
      <c r="R5804" s="309"/>
      <c r="S5804" s="210"/>
      <c r="T5804" s="310"/>
      <c r="U5804" s="106"/>
      <c r="V5804" s="106"/>
      <c r="W5804" s="106"/>
      <c r="X5804" s="420"/>
      <c r="Y5804" s="420"/>
    </row>
    <row r="5805" spans="17:25">
      <c r="Q5805" s="308"/>
      <c r="R5805" s="309"/>
      <c r="S5805" s="210"/>
      <c r="T5805" s="310"/>
      <c r="U5805" s="106"/>
      <c r="V5805" s="106"/>
      <c r="W5805" s="106"/>
      <c r="X5805" s="420"/>
      <c r="Y5805" s="420"/>
    </row>
    <row r="5806" spans="17:25">
      <c r="Q5806" s="308"/>
      <c r="R5806" s="309"/>
      <c r="S5806" s="210"/>
      <c r="T5806" s="310"/>
      <c r="U5806" s="106"/>
      <c r="V5806" s="106"/>
      <c r="W5806" s="106"/>
      <c r="X5806" s="420"/>
      <c r="Y5806" s="420"/>
    </row>
    <row r="5807" spans="17:25">
      <c r="Q5807" s="308"/>
      <c r="R5807" s="309"/>
      <c r="S5807" s="210"/>
      <c r="T5807" s="310"/>
      <c r="U5807" s="106"/>
      <c r="V5807" s="106"/>
      <c r="W5807" s="106"/>
      <c r="X5807" s="420"/>
      <c r="Y5807" s="420"/>
    </row>
    <row r="5808" spans="17:25">
      <c r="Q5808" s="308"/>
      <c r="R5808" s="309"/>
      <c r="S5808" s="210"/>
      <c r="T5808" s="310"/>
      <c r="U5808" s="106"/>
      <c r="V5808" s="106"/>
      <c r="W5808" s="106"/>
      <c r="X5808" s="420"/>
      <c r="Y5808" s="420"/>
    </row>
    <row r="5809" spans="17:25">
      <c r="Q5809" s="308"/>
      <c r="R5809" s="309"/>
      <c r="S5809" s="210"/>
      <c r="T5809" s="310"/>
      <c r="U5809" s="106"/>
      <c r="V5809" s="106"/>
      <c r="W5809" s="106"/>
      <c r="X5809" s="420"/>
      <c r="Y5809" s="420"/>
    </row>
    <row r="5810" spans="17:25">
      <c r="Q5810" s="308"/>
      <c r="R5810" s="309"/>
      <c r="S5810" s="210"/>
      <c r="T5810" s="310"/>
      <c r="U5810" s="106"/>
      <c r="V5810" s="106"/>
      <c r="W5810" s="106"/>
      <c r="X5810" s="420"/>
      <c r="Y5810" s="420"/>
    </row>
    <row r="5811" spans="17:25">
      <c r="Q5811" s="308"/>
      <c r="R5811" s="309"/>
      <c r="S5811" s="210"/>
      <c r="T5811" s="310"/>
      <c r="U5811" s="106"/>
      <c r="V5811" s="106"/>
      <c r="W5811" s="106"/>
      <c r="X5811" s="420"/>
      <c r="Y5811" s="420"/>
    </row>
    <row r="5812" spans="17:25">
      <c r="Q5812" s="308"/>
      <c r="R5812" s="309"/>
      <c r="S5812" s="210"/>
      <c r="T5812" s="310"/>
      <c r="U5812" s="106"/>
      <c r="V5812" s="106"/>
      <c r="W5812" s="106"/>
      <c r="X5812" s="420"/>
      <c r="Y5812" s="420"/>
    </row>
    <row r="5813" spans="17:25">
      <c r="Q5813" s="308"/>
      <c r="R5813" s="309"/>
      <c r="S5813" s="210"/>
      <c r="T5813" s="310"/>
      <c r="U5813" s="106"/>
      <c r="V5813" s="106"/>
      <c r="W5813" s="106"/>
      <c r="X5813" s="420"/>
      <c r="Y5813" s="420"/>
    </row>
    <row r="5814" spans="17:25">
      <c r="Q5814" s="308"/>
      <c r="R5814" s="309"/>
      <c r="S5814" s="210"/>
      <c r="T5814" s="310"/>
      <c r="U5814" s="106"/>
      <c r="V5814" s="106"/>
      <c r="W5814" s="106"/>
      <c r="X5814" s="420"/>
      <c r="Y5814" s="420"/>
    </row>
    <row r="5815" spans="17:25">
      <c r="Q5815" s="308"/>
      <c r="R5815" s="309"/>
      <c r="S5815" s="210"/>
      <c r="T5815" s="310"/>
      <c r="U5815" s="106"/>
      <c r="V5815" s="106"/>
      <c r="W5815" s="106"/>
      <c r="X5815" s="420"/>
      <c r="Y5815" s="420"/>
    </row>
    <row r="5816" spans="17:25">
      <c r="Q5816" s="308"/>
      <c r="R5816" s="309"/>
      <c r="S5816" s="210"/>
      <c r="T5816" s="310"/>
      <c r="U5816" s="106"/>
      <c r="V5816" s="106"/>
      <c r="W5816" s="106"/>
      <c r="X5816" s="420"/>
      <c r="Y5816" s="420"/>
    </row>
    <row r="5817" spans="17:25">
      <c r="Q5817" s="308"/>
      <c r="R5817" s="309"/>
      <c r="S5817" s="210"/>
      <c r="T5817" s="310"/>
      <c r="U5817" s="106"/>
      <c r="V5817" s="106"/>
      <c r="W5817" s="106"/>
      <c r="X5817" s="420"/>
      <c r="Y5817" s="420"/>
    </row>
    <row r="5818" spans="17:25">
      <c r="Q5818" s="308"/>
      <c r="R5818" s="309"/>
      <c r="S5818" s="210"/>
      <c r="T5818" s="310"/>
      <c r="U5818" s="106"/>
      <c r="V5818" s="106"/>
      <c r="W5818" s="106"/>
      <c r="X5818" s="420"/>
      <c r="Y5818" s="420"/>
    </row>
    <row r="5819" spans="17:25">
      <c r="Q5819" s="308"/>
      <c r="R5819" s="309"/>
      <c r="S5819" s="210"/>
      <c r="T5819" s="310"/>
      <c r="U5819" s="106"/>
      <c r="V5819" s="106"/>
      <c r="W5819" s="106"/>
      <c r="X5819" s="420"/>
      <c r="Y5819" s="420"/>
    </row>
    <row r="5820" spans="17:25">
      <c r="Q5820" s="308"/>
      <c r="R5820" s="309"/>
      <c r="S5820" s="210"/>
      <c r="T5820" s="310"/>
      <c r="U5820" s="106"/>
      <c r="V5820" s="106"/>
      <c r="W5820" s="106"/>
      <c r="X5820" s="420"/>
      <c r="Y5820" s="420"/>
    </row>
    <row r="5821" spans="17:25">
      <c r="Q5821" s="308"/>
      <c r="R5821" s="309"/>
      <c r="S5821" s="210"/>
      <c r="T5821" s="310"/>
      <c r="U5821" s="106"/>
      <c r="V5821" s="106"/>
      <c r="W5821" s="106"/>
      <c r="X5821" s="420"/>
      <c r="Y5821" s="420"/>
    </row>
    <row r="5822" spans="17:25">
      <c r="Q5822" s="308"/>
      <c r="R5822" s="309"/>
      <c r="S5822" s="210"/>
      <c r="T5822" s="310"/>
      <c r="U5822" s="106"/>
      <c r="V5822" s="106"/>
      <c r="W5822" s="106"/>
      <c r="X5822" s="420"/>
      <c r="Y5822" s="420"/>
    </row>
    <row r="5823" spans="17:25">
      <c r="Q5823" s="308"/>
      <c r="R5823" s="309"/>
      <c r="S5823" s="210"/>
      <c r="T5823" s="310"/>
      <c r="U5823" s="106"/>
      <c r="V5823" s="106"/>
      <c r="W5823" s="106"/>
      <c r="X5823" s="420"/>
      <c r="Y5823" s="420"/>
    </row>
    <row r="5824" spans="17:25">
      <c r="Q5824" s="308"/>
      <c r="R5824" s="309"/>
      <c r="S5824" s="210"/>
      <c r="T5824" s="310"/>
      <c r="U5824" s="106"/>
      <c r="V5824" s="106"/>
      <c r="W5824" s="106"/>
      <c r="X5824" s="420"/>
      <c r="Y5824" s="420"/>
    </row>
    <row r="5825" spans="17:25">
      <c r="Q5825" s="308"/>
      <c r="R5825" s="309"/>
      <c r="S5825" s="210"/>
      <c r="T5825" s="310"/>
      <c r="U5825" s="106"/>
      <c r="V5825" s="106"/>
      <c r="W5825" s="106"/>
      <c r="X5825" s="420"/>
      <c r="Y5825" s="420"/>
    </row>
    <row r="5826" spans="17:25">
      <c r="Q5826" s="308"/>
      <c r="R5826" s="309"/>
      <c r="S5826" s="210"/>
      <c r="T5826" s="310"/>
      <c r="U5826" s="106"/>
      <c r="V5826" s="106"/>
      <c r="W5826" s="106"/>
      <c r="X5826" s="420"/>
      <c r="Y5826" s="420"/>
    </row>
    <row r="5827" spans="17:25">
      <c r="Q5827" s="308"/>
      <c r="R5827" s="309"/>
      <c r="S5827" s="210"/>
      <c r="T5827" s="310"/>
      <c r="U5827" s="106"/>
      <c r="V5827" s="106"/>
      <c r="W5827" s="106"/>
      <c r="X5827" s="420"/>
      <c r="Y5827" s="420"/>
    </row>
    <row r="5828" spans="17:25">
      <c r="Q5828" s="308"/>
      <c r="R5828" s="309"/>
      <c r="S5828" s="210"/>
      <c r="T5828" s="310"/>
      <c r="U5828" s="106"/>
      <c r="V5828" s="106"/>
      <c r="W5828" s="106"/>
      <c r="X5828" s="420"/>
      <c r="Y5828" s="420"/>
    </row>
    <row r="5829" spans="17:25">
      <c r="Q5829" s="308"/>
      <c r="R5829" s="309"/>
      <c r="S5829" s="210"/>
      <c r="T5829" s="310"/>
      <c r="U5829" s="106"/>
      <c r="V5829" s="106"/>
      <c r="W5829" s="106"/>
      <c r="X5829" s="420"/>
      <c r="Y5829" s="420"/>
    </row>
    <row r="5830" spans="17:25">
      <c r="Q5830" s="308"/>
      <c r="R5830" s="309"/>
      <c r="S5830" s="210"/>
      <c r="T5830" s="310"/>
      <c r="U5830" s="106"/>
      <c r="V5830" s="106"/>
      <c r="W5830" s="106"/>
      <c r="X5830" s="420"/>
      <c r="Y5830" s="420"/>
    </row>
    <row r="5831" spans="17:25">
      <c r="Q5831" s="308"/>
      <c r="R5831" s="309"/>
      <c r="S5831" s="210"/>
      <c r="T5831" s="310"/>
      <c r="U5831" s="106"/>
      <c r="V5831" s="106"/>
      <c r="W5831" s="106"/>
      <c r="X5831" s="420"/>
      <c r="Y5831" s="420"/>
    </row>
    <row r="5832" spans="17:25">
      <c r="Q5832" s="308"/>
      <c r="R5832" s="309"/>
      <c r="S5832" s="210"/>
      <c r="T5832" s="310"/>
      <c r="U5832" s="106"/>
      <c r="V5832" s="106"/>
      <c r="W5832" s="106"/>
      <c r="X5832" s="420"/>
      <c r="Y5832" s="420"/>
    </row>
    <row r="5833" spans="17:25">
      <c r="Q5833" s="308"/>
      <c r="R5833" s="309"/>
      <c r="S5833" s="210"/>
      <c r="T5833" s="310"/>
      <c r="U5833" s="106"/>
      <c r="V5833" s="106"/>
      <c r="W5833" s="106"/>
      <c r="X5833" s="420"/>
      <c r="Y5833" s="420"/>
    </row>
    <row r="5834" spans="17:25">
      <c r="Q5834" s="308"/>
      <c r="R5834" s="309"/>
      <c r="S5834" s="210"/>
      <c r="T5834" s="310"/>
      <c r="U5834" s="106"/>
      <c r="V5834" s="106"/>
      <c r="W5834" s="106"/>
      <c r="X5834" s="420"/>
      <c r="Y5834" s="420"/>
    </row>
    <row r="5835" spans="17:25">
      <c r="Q5835" s="308"/>
      <c r="R5835" s="309"/>
      <c r="S5835" s="210"/>
      <c r="T5835" s="310"/>
      <c r="U5835" s="106"/>
      <c r="V5835" s="106"/>
      <c r="W5835" s="106"/>
      <c r="X5835" s="420"/>
      <c r="Y5835" s="420"/>
    </row>
    <row r="5836" spans="17:25">
      <c r="Q5836" s="308"/>
      <c r="R5836" s="309"/>
      <c r="S5836" s="210"/>
      <c r="T5836" s="310"/>
      <c r="U5836" s="106"/>
      <c r="V5836" s="106"/>
      <c r="W5836" s="106"/>
      <c r="X5836" s="420"/>
      <c r="Y5836" s="420"/>
    </row>
    <row r="5837" spans="17:25">
      <c r="Q5837" s="308"/>
      <c r="R5837" s="309"/>
      <c r="S5837" s="210"/>
      <c r="T5837" s="310"/>
      <c r="U5837" s="106"/>
      <c r="V5837" s="106"/>
      <c r="W5837" s="106"/>
      <c r="X5837" s="420"/>
      <c r="Y5837" s="420"/>
    </row>
    <row r="5838" spans="17:25">
      <c r="Q5838" s="308"/>
      <c r="R5838" s="309"/>
      <c r="S5838" s="210"/>
      <c r="T5838" s="310"/>
      <c r="U5838" s="106"/>
      <c r="V5838" s="106"/>
      <c r="W5838" s="106"/>
      <c r="X5838" s="420"/>
      <c r="Y5838" s="420"/>
    </row>
    <row r="5839" spans="17:25">
      <c r="Q5839" s="308"/>
      <c r="R5839" s="309"/>
      <c r="S5839" s="210"/>
      <c r="T5839" s="310"/>
      <c r="U5839" s="106"/>
      <c r="V5839" s="106"/>
      <c r="W5839" s="106"/>
      <c r="X5839" s="420"/>
      <c r="Y5839" s="420"/>
    </row>
    <row r="5840" spans="17:25">
      <c r="Q5840" s="308"/>
      <c r="R5840" s="309"/>
      <c r="S5840" s="210"/>
      <c r="T5840" s="310"/>
      <c r="U5840" s="106"/>
      <c r="V5840" s="106"/>
      <c r="W5840" s="106"/>
      <c r="X5840" s="420"/>
      <c r="Y5840" s="420"/>
    </row>
    <row r="5841" spans="17:25">
      <c r="Q5841" s="308"/>
      <c r="R5841" s="309"/>
      <c r="S5841" s="210"/>
      <c r="T5841" s="310"/>
      <c r="U5841" s="106"/>
      <c r="V5841" s="106"/>
      <c r="W5841" s="106"/>
      <c r="X5841" s="420"/>
      <c r="Y5841" s="420"/>
    </row>
    <row r="5842" spans="17:25">
      <c r="Q5842" s="308"/>
      <c r="R5842" s="309"/>
      <c r="S5842" s="210"/>
      <c r="T5842" s="310"/>
      <c r="U5842" s="106"/>
      <c r="V5842" s="106"/>
      <c r="W5842" s="106"/>
      <c r="X5842" s="420"/>
      <c r="Y5842" s="420"/>
    </row>
    <row r="5843" spans="17:25">
      <c r="Q5843" s="308"/>
      <c r="R5843" s="309"/>
      <c r="S5843" s="210"/>
      <c r="T5843" s="310"/>
      <c r="U5843" s="106"/>
      <c r="V5843" s="106"/>
      <c r="W5843" s="106"/>
      <c r="X5843" s="420"/>
      <c r="Y5843" s="420"/>
    </row>
    <row r="5844" spans="17:25">
      <c r="Q5844" s="308"/>
      <c r="R5844" s="309"/>
      <c r="S5844" s="210"/>
      <c r="T5844" s="310"/>
      <c r="U5844" s="106"/>
      <c r="V5844" s="106"/>
      <c r="W5844" s="106"/>
      <c r="X5844" s="420"/>
      <c r="Y5844" s="420"/>
    </row>
    <row r="5845" spans="17:25">
      <c r="Q5845" s="308"/>
      <c r="R5845" s="309"/>
      <c r="S5845" s="210"/>
      <c r="T5845" s="310"/>
      <c r="U5845" s="106"/>
      <c r="V5845" s="106"/>
      <c r="W5845" s="106"/>
      <c r="X5845" s="420"/>
      <c r="Y5845" s="420"/>
    </row>
    <row r="5846" spans="17:25">
      <c r="Q5846" s="308"/>
      <c r="R5846" s="309"/>
      <c r="S5846" s="210"/>
      <c r="T5846" s="310"/>
      <c r="U5846" s="106"/>
      <c r="V5846" s="106"/>
      <c r="W5846" s="106"/>
      <c r="X5846" s="420"/>
      <c r="Y5846" s="420"/>
    </row>
    <row r="5847" spans="17:25">
      <c r="Q5847" s="308"/>
      <c r="R5847" s="309"/>
      <c r="S5847" s="210"/>
      <c r="T5847" s="310"/>
      <c r="U5847" s="106"/>
      <c r="V5847" s="106"/>
      <c r="W5847" s="106"/>
      <c r="X5847" s="420"/>
      <c r="Y5847" s="420"/>
    </row>
    <row r="5848" spans="17:25">
      <c r="Q5848" s="308"/>
      <c r="R5848" s="309"/>
      <c r="S5848" s="210"/>
      <c r="T5848" s="310"/>
      <c r="U5848" s="106"/>
      <c r="V5848" s="106"/>
      <c r="W5848" s="106"/>
      <c r="X5848" s="420"/>
      <c r="Y5848" s="420"/>
    </row>
    <row r="5849" spans="17:25">
      <c r="Q5849" s="308"/>
      <c r="R5849" s="309"/>
      <c r="S5849" s="210"/>
      <c r="T5849" s="310"/>
      <c r="U5849" s="106"/>
      <c r="V5849" s="106"/>
      <c r="W5849" s="106"/>
      <c r="X5849" s="420"/>
      <c r="Y5849" s="420"/>
    </row>
    <row r="5850" spans="17:25">
      <c r="Q5850" s="308"/>
      <c r="R5850" s="309"/>
      <c r="S5850" s="210"/>
      <c r="T5850" s="310"/>
      <c r="U5850" s="106"/>
      <c r="V5850" s="106"/>
      <c r="W5850" s="106"/>
      <c r="X5850" s="420"/>
      <c r="Y5850" s="420"/>
    </row>
    <row r="5851" spans="17:25">
      <c r="Q5851" s="308"/>
      <c r="R5851" s="309"/>
      <c r="S5851" s="210"/>
      <c r="T5851" s="310"/>
      <c r="U5851" s="106"/>
      <c r="V5851" s="106"/>
      <c r="W5851" s="106"/>
      <c r="X5851" s="420"/>
      <c r="Y5851" s="420"/>
    </row>
    <row r="5852" spans="17:25">
      <c r="Q5852" s="308"/>
      <c r="R5852" s="309"/>
      <c r="S5852" s="210"/>
      <c r="T5852" s="310"/>
      <c r="U5852" s="106"/>
      <c r="V5852" s="106"/>
      <c r="W5852" s="106"/>
      <c r="X5852" s="420"/>
      <c r="Y5852" s="420"/>
    </row>
    <row r="5853" spans="17:25">
      <c r="Q5853" s="308"/>
      <c r="R5853" s="309"/>
      <c r="S5853" s="210"/>
      <c r="T5853" s="310"/>
      <c r="U5853" s="106"/>
      <c r="V5853" s="106"/>
      <c r="W5853" s="106"/>
      <c r="X5853" s="420"/>
      <c r="Y5853" s="420"/>
    </row>
    <row r="5854" spans="17:25">
      <c r="Q5854" s="308"/>
      <c r="R5854" s="309"/>
      <c r="S5854" s="210"/>
      <c r="T5854" s="310"/>
      <c r="U5854" s="106"/>
      <c r="V5854" s="106"/>
      <c r="W5854" s="106"/>
      <c r="X5854" s="420"/>
      <c r="Y5854" s="420"/>
    </row>
    <row r="5855" spans="17:25">
      <c r="Q5855" s="308"/>
      <c r="R5855" s="309"/>
      <c r="S5855" s="210"/>
      <c r="T5855" s="310"/>
      <c r="U5855" s="106"/>
      <c r="V5855" s="106"/>
      <c r="W5855" s="106"/>
      <c r="X5855" s="420"/>
      <c r="Y5855" s="420"/>
    </row>
    <row r="5856" spans="17:25">
      <c r="Q5856" s="308"/>
      <c r="R5856" s="309"/>
      <c r="S5856" s="210"/>
      <c r="T5856" s="310"/>
      <c r="U5856" s="106"/>
      <c r="V5856" s="106"/>
      <c r="W5856" s="106"/>
      <c r="X5856" s="420"/>
      <c r="Y5856" s="420"/>
    </row>
    <row r="5857" spans="17:25">
      <c r="Q5857" s="308"/>
      <c r="R5857" s="309"/>
      <c r="S5857" s="210"/>
      <c r="T5857" s="310"/>
      <c r="U5857" s="106"/>
      <c r="V5857" s="106"/>
      <c r="W5857" s="106"/>
      <c r="X5857" s="420"/>
      <c r="Y5857" s="420"/>
    </row>
    <row r="5858" spans="17:25">
      <c r="Q5858" s="308"/>
      <c r="R5858" s="309"/>
      <c r="S5858" s="210"/>
      <c r="T5858" s="310"/>
      <c r="U5858" s="106"/>
      <c r="V5858" s="106"/>
      <c r="W5858" s="106"/>
      <c r="X5858" s="420"/>
      <c r="Y5858" s="420"/>
    </row>
    <row r="5859" spans="17:25">
      <c r="Q5859" s="308"/>
      <c r="R5859" s="309"/>
      <c r="S5859" s="210"/>
      <c r="T5859" s="310"/>
      <c r="U5859" s="106"/>
      <c r="V5859" s="106"/>
      <c r="W5859" s="106"/>
      <c r="X5859" s="420"/>
      <c r="Y5859" s="420"/>
    </row>
    <row r="5860" spans="17:25">
      <c r="Q5860" s="308"/>
      <c r="R5860" s="309"/>
      <c r="S5860" s="210"/>
      <c r="T5860" s="310"/>
      <c r="U5860" s="106"/>
      <c r="V5860" s="106"/>
      <c r="W5860" s="106"/>
      <c r="X5860" s="420"/>
      <c r="Y5860" s="420"/>
    </row>
    <row r="5861" spans="17:25">
      <c r="Q5861" s="308"/>
      <c r="R5861" s="309"/>
      <c r="S5861" s="210"/>
      <c r="T5861" s="310"/>
      <c r="U5861" s="106"/>
      <c r="V5861" s="106"/>
      <c r="W5861" s="106"/>
      <c r="X5861" s="420"/>
      <c r="Y5861" s="420"/>
    </row>
    <row r="5862" spans="17:25">
      <c r="Q5862" s="308"/>
      <c r="R5862" s="309"/>
      <c r="S5862" s="210"/>
      <c r="T5862" s="310"/>
      <c r="U5862" s="106"/>
      <c r="V5862" s="106"/>
      <c r="W5862" s="106"/>
      <c r="X5862" s="420"/>
      <c r="Y5862" s="420"/>
    </row>
    <row r="5863" spans="17:25">
      <c r="Q5863" s="308"/>
      <c r="R5863" s="309"/>
      <c r="S5863" s="210"/>
      <c r="T5863" s="310"/>
      <c r="U5863" s="106"/>
      <c r="V5863" s="106"/>
      <c r="W5863" s="106"/>
      <c r="X5863" s="420"/>
      <c r="Y5863" s="420"/>
    </row>
    <row r="5864" spans="17:25">
      <c r="Q5864" s="308"/>
      <c r="R5864" s="309"/>
      <c r="S5864" s="210"/>
      <c r="T5864" s="310"/>
      <c r="U5864" s="106"/>
      <c r="V5864" s="106"/>
      <c r="W5864" s="106"/>
      <c r="X5864" s="420"/>
      <c r="Y5864" s="420"/>
    </row>
    <row r="5865" spans="17:25">
      <c r="Q5865" s="308"/>
      <c r="R5865" s="309"/>
      <c r="S5865" s="210"/>
      <c r="T5865" s="310"/>
      <c r="U5865" s="106"/>
      <c r="V5865" s="106"/>
      <c r="W5865" s="106"/>
      <c r="X5865" s="420"/>
      <c r="Y5865" s="420"/>
    </row>
    <row r="5866" spans="17:25">
      <c r="Q5866" s="308"/>
      <c r="R5866" s="309"/>
      <c r="S5866" s="210"/>
      <c r="T5866" s="310"/>
      <c r="U5866" s="106"/>
      <c r="V5866" s="106"/>
      <c r="W5866" s="106"/>
      <c r="X5866" s="420"/>
      <c r="Y5866" s="420"/>
    </row>
    <row r="5867" spans="17:25">
      <c r="Q5867" s="308"/>
      <c r="R5867" s="309"/>
      <c r="S5867" s="210"/>
      <c r="T5867" s="310"/>
      <c r="U5867" s="106"/>
      <c r="V5867" s="106"/>
      <c r="W5867" s="106"/>
      <c r="X5867" s="420"/>
      <c r="Y5867" s="420"/>
    </row>
    <row r="5868" spans="17:25">
      <c r="Q5868" s="308"/>
      <c r="R5868" s="309"/>
      <c r="S5868" s="210"/>
      <c r="T5868" s="310"/>
      <c r="U5868" s="106"/>
      <c r="V5868" s="106"/>
      <c r="W5868" s="106"/>
      <c r="X5868" s="420"/>
      <c r="Y5868" s="420"/>
    </row>
    <row r="5869" spans="17:25">
      <c r="Q5869" s="308"/>
      <c r="R5869" s="309"/>
      <c r="S5869" s="210"/>
      <c r="T5869" s="310"/>
      <c r="U5869" s="106"/>
      <c r="V5869" s="106"/>
      <c r="W5869" s="106"/>
      <c r="X5869" s="420"/>
      <c r="Y5869" s="420"/>
    </row>
    <row r="5870" spans="17:25">
      <c r="Q5870" s="308"/>
      <c r="R5870" s="309"/>
      <c r="S5870" s="210"/>
      <c r="T5870" s="310"/>
      <c r="U5870" s="106"/>
      <c r="V5870" s="106"/>
      <c r="W5870" s="106"/>
      <c r="X5870" s="420"/>
      <c r="Y5870" s="420"/>
    </row>
    <row r="5871" spans="17:25">
      <c r="Q5871" s="308"/>
      <c r="R5871" s="309"/>
      <c r="S5871" s="210"/>
      <c r="T5871" s="310"/>
      <c r="U5871" s="106"/>
      <c r="V5871" s="106"/>
      <c r="W5871" s="106"/>
      <c r="X5871" s="420"/>
      <c r="Y5871" s="420"/>
    </row>
    <row r="5872" spans="17:25">
      <c r="Q5872" s="308"/>
      <c r="R5872" s="309"/>
      <c r="S5872" s="210"/>
      <c r="T5872" s="310"/>
      <c r="U5872" s="106"/>
      <c r="V5872" s="106"/>
      <c r="W5872" s="106"/>
      <c r="X5872" s="420"/>
      <c r="Y5872" s="420"/>
    </row>
    <row r="5873" spans="17:25">
      <c r="Q5873" s="308"/>
      <c r="R5873" s="309"/>
      <c r="S5873" s="210"/>
      <c r="T5873" s="310"/>
      <c r="U5873" s="106"/>
      <c r="V5873" s="106"/>
      <c r="W5873" s="106"/>
      <c r="X5873" s="420"/>
      <c r="Y5873" s="420"/>
    </row>
    <row r="5874" spans="17:25">
      <c r="Q5874" s="308"/>
      <c r="R5874" s="309"/>
      <c r="S5874" s="210"/>
      <c r="T5874" s="310"/>
      <c r="U5874" s="106"/>
      <c r="V5874" s="106"/>
      <c r="W5874" s="106"/>
      <c r="X5874" s="420"/>
      <c r="Y5874" s="420"/>
    </row>
    <row r="5875" spans="17:25">
      <c r="Q5875" s="308"/>
      <c r="R5875" s="309"/>
      <c r="S5875" s="210"/>
      <c r="T5875" s="310"/>
      <c r="U5875" s="106"/>
      <c r="V5875" s="106"/>
      <c r="W5875" s="106"/>
      <c r="X5875" s="420"/>
      <c r="Y5875" s="420"/>
    </row>
    <row r="5876" spans="17:25">
      <c r="Q5876" s="308"/>
      <c r="R5876" s="309"/>
      <c r="S5876" s="210"/>
      <c r="T5876" s="310"/>
      <c r="U5876" s="106"/>
      <c r="V5876" s="106"/>
      <c r="W5876" s="106"/>
      <c r="X5876" s="420"/>
      <c r="Y5876" s="420"/>
    </row>
    <row r="5877" spans="17:25">
      <c r="Q5877" s="308"/>
      <c r="R5877" s="309"/>
      <c r="S5877" s="210"/>
      <c r="T5877" s="310"/>
      <c r="U5877" s="106"/>
      <c r="V5877" s="106"/>
      <c r="W5877" s="106"/>
      <c r="X5877" s="420"/>
      <c r="Y5877" s="420"/>
    </row>
    <row r="5878" spans="17:25">
      <c r="Q5878" s="308"/>
      <c r="R5878" s="309"/>
      <c r="S5878" s="210"/>
      <c r="T5878" s="310"/>
      <c r="U5878" s="106"/>
      <c r="V5878" s="106"/>
      <c r="W5878" s="106"/>
      <c r="X5878" s="420"/>
      <c r="Y5878" s="420"/>
    </row>
    <row r="5879" spans="17:25">
      <c r="Q5879" s="308"/>
      <c r="R5879" s="309"/>
      <c r="S5879" s="210"/>
      <c r="T5879" s="310"/>
      <c r="U5879" s="106"/>
      <c r="V5879" s="106"/>
      <c r="W5879" s="106"/>
      <c r="X5879" s="420"/>
      <c r="Y5879" s="420"/>
    </row>
    <row r="5880" spans="17:25">
      <c r="Q5880" s="308"/>
      <c r="R5880" s="309"/>
      <c r="S5880" s="210"/>
      <c r="T5880" s="310"/>
      <c r="U5880" s="106"/>
      <c r="V5880" s="106"/>
      <c r="W5880" s="106"/>
      <c r="X5880" s="420"/>
      <c r="Y5880" s="420"/>
    </row>
    <row r="5881" spans="17:25">
      <c r="Q5881" s="308"/>
      <c r="R5881" s="309"/>
      <c r="S5881" s="210"/>
      <c r="T5881" s="310"/>
      <c r="U5881" s="106"/>
      <c r="V5881" s="106"/>
      <c r="W5881" s="106"/>
      <c r="X5881" s="420"/>
      <c r="Y5881" s="420"/>
    </row>
    <row r="5882" spans="17:25">
      <c r="Q5882" s="308"/>
      <c r="R5882" s="309"/>
      <c r="S5882" s="210"/>
      <c r="T5882" s="310"/>
      <c r="U5882" s="106"/>
      <c r="V5882" s="106"/>
      <c r="W5882" s="106"/>
      <c r="X5882" s="420"/>
      <c r="Y5882" s="420"/>
    </row>
    <row r="5883" spans="17:25">
      <c r="Q5883" s="308"/>
      <c r="R5883" s="309"/>
      <c r="S5883" s="210"/>
      <c r="T5883" s="310"/>
      <c r="U5883" s="106"/>
      <c r="V5883" s="106"/>
      <c r="W5883" s="106"/>
      <c r="X5883" s="420"/>
      <c r="Y5883" s="420"/>
    </row>
    <row r="5884" spans="17:25">
      <c r="Q5884" s="308"/>
      <c r="R5884" s="309"/>
      <c r="S5884" s="210"/>
      <c r="T5884" s="310"/>
      <c r="U5884" s="106"/>
      <c r="V5884" s="106"/>
      <c r="W5884" s="106"/>
      <c r="X5884" s="420"/>
      <c r="Y5884" s="420"/>
    </row>
    <row r="5885" spans="17:25">
      <c r="Q5885" s="308"/>
      <c r="R5885" s="309"/>
      <c r="S5885" s="210"/>
      <c r="T5885" s="310"/>
      <c r="U5885" s="106"/>
      <c r="V5885" s="106"/>
      <c r="W5885" s="106"/>
      <c r="X5885" s="420"/>
      <c r="Y5885" s="420"/>
    </row>
    <row r="5886" spans="17:25">
      <c r="Q5886" s="308"/>
      <c r="R5886" s="309"/>
      <c r="S5886" s="210"/>
      <c r="T5886" s="310"/>
      <c r="U5886" s="106"/>
      <c r="V5886" s="106"/>
      <c r="W5886" s="106"/>
      <c r="X5886" s="420"/>
      <c r="Y5886" s="420"/>
    </row>
    <row r="5887" spans="17:25">
      <c r="Q5887" s="308"/>
      <c r="R5887" s="309"/>
      <c r="S5887" s="210"/>
      <c r="T5887" s="310"/>
      <c r="U5887" s="106"/>
      <c r="V5887" s="106"/>
      <c r="W5887" s="106"/>
      <c r="X5887" s="420"/>
      <c r="Y5887" s="420"/>
    </row>
    <row r="5888" spans="17:25">
      <c r="Q5888" s="308"/>
      <c r="R5888" s="309"/>
      <c r="S5888" s="210"/>
      <c r="T5888" s="310"/>
      <c r="U5888" s="106"/>
      <c r="V5888" s="106"/>
      <c r="W5888" s="106"/>
      <c r="X5888" s="420"/>
      <c r="Y5888" s="420"/>
    </row>
    <row r="5889" spans="17:25">
      <c r="Q5889" s="308"/>
      <c r="R5889" s="309"/>
      <c r="S5889" s="210"/>
      <c r="T5889" s="310"/>
      <c r="U5889" s="106"/>
      <c r="V5889" s="106"/>
      <c r="W5889" s="106"/>
      <c r="X5889" s="420"/>
      <c r="Y5889" s="420"/>
    </row>
    <row r="5890" spans="17:25">
      <c r="Q5890" s="308"/>
      <c r="R5890" s="309"/>
      <c r="S5890" s="210"/>
      <c r="T5890" s="310"/>
      <c r="U5890" s="106"/>
      <c r="V5890" s="106"/>
      <c r="W5890" s="106"/>
      <c r="X5890" s="420"/>
      <c r="Y5890" s="420"/>
    </row>
    <row r="5891" spans="17:25">
      <c r="Q5891" s="308"/>
      <c r="R5891" s="309"/>
      <c r="S5891" s="210"/>
      <c r="T5891" s="310"/>
      <c r="U5891" s="106"/>
      <c r="V5891" s="106"/>
      <c r="W5891" s="106"/>
      <c r="X5891" s="420"/>
      <c r="Y5891" s="420"/>
    </row>
    <row r="5892" spans="17:25">
      <c r="Q5892" s="308"/>
      <c r="R5892" s="309"/>
      <c r="S5892" s="210"/>
      <c r="T5892" s="310"/>
      <c r="U5892" s="106"/>
      <c r="V5892" s="106"/>
      <c r="W5892" s="106"/>
      <c r="X5892" s="420"/>
      <c r="Y5892" s="420"/>
    </row>
    <row r="5893" spans="17:25">
      <c r="Q5893" s="308"/>
      <c r="R5893" s="309"/>
      <c r="S5893" s="210"/>
      <c r="T5893" s="310"/>
      <c r="U5893" s="106"/>
      <c r="V5893" s="106"/>
      <c r="W5893" s="106"/>
      <c r="X5893" s="420"/>
      <c r="Y5893" s="420"/>
    </row>
    <row r="5894" spans="17:25">
      <c r="Q5894" s="308"/>
      <c r="R5894" s="309"/>
      <c r="S5894" s="210"/>
      <c r="T5894" s="310"/>
      <c r="U5894" s="106"/>
      <c r="V5894" s="106"/>
      <c r="W5894" s="106"/>
      <c r="X5894" s="420"/>
      <c r="Y5894" s="420"/>
    </row>
    <row r="5895" spans="17:25">
      <c r="Q5895" s="308"/>
      <c r="R5895" s="309"/>
      <c r="S5895" s="210"/>
      <c r="T5895" s="310"/>
      <c r="U5895" s="106"/>
      <c r="V5895" s="106"/>
      <c r="W5895" s="106"/>
      <c r="X5895" s="420"/>
      <c r="Y5895" s="420"/>
    </row>
    <row r="5896" spans="17:25">
      <c r="Q5896" s="308"/>
      <c r="R5896" s="309"/>
      <c r="S5896" s="210"/>
      <c r="T5896" s="310"/>
      <c r="U5896" s="106"/>
      <c r="V5896" s="106"/>
      <c r="W5896" s="106"/>
      <c r="X5896" s="420"/>
      <c r="Y5896" s="420"/>
    </row>
    <row r="5897" spans="17:25">
      <c r="Q5897" s="308"/>
      <c r="R5897" s="309"/>
      <c r="S5897" s="210"/>
      <c r="T5897" s="310"/>
      <c r="U5897" s="106"/>
      <c r="V5897" s="106"/>
      <c r="W5897" s="106"/>
      <c r="X5897" s="420"/>
      <c r="Y5897" s="420"/>
    </row>
    <row r="5898" spans="17:25">
      <c r="Q5898" s="308"/>
      <c r="R5898" s="309"/>
      <c r="S5898" s="210"/>
      <c r="T5898" s="310"/>
      <c r="U5898" s="106"/>
      <c r="V5898" s="106"/>
      <c r="W5898" s="106"/>
      <c r="X5898" s="420"/>
      <c r="Y5898" s="420"/>
    </row>
    <row r="5899" spans="17:25">
      <c r="Q5899" s="308"/>
      <c r="R5899" s="309"/>
      <c r="S5899" s="210"/>
      <c r="T5899" s="310"/>
      <c r="U5899" s="106"/>
      <c r="V5899" s="106"/>
      <c r="W5899" s="106"/>
      <c r="X5899" s="420"/>
      <c r="Y5899" s="420"/>
    </row>
    <row r="5900" spans="17:25">
      <c r="Q5900" s="308"/>
      <c r="R5900" s="309"/>
      <c r="S5900" s="210"/>
      <c r="T5900" s="310"/>
      <c r="U5900" s="106"/>
      <c r="V5900" s="106"/>
      <c r="W5900" s="106"/>
      <c r="X5900" s="420"/>
      <c r="Y5900" s="420"/>
    </row>
    <row r="5901" spans="17:25">
      <c r="Q5901" s="308"/>
      <c r="R5901" s="309"/>
      <c r="S5901" s="210"/>
      <c r="T5901" s="310"/>
      <c r="U5901" s="106"/>
      <c r="V5901" s="106"/>
      <c r="W5901" s="106"/>
      <c r="X5901" s="420"/>
      <c r="Y5901" s="420"/>
    </row>
    <row r="5902" spans="17:25">
      <c r="Q5902" s="308"/>
      <c r="R5902" s="309"/>
      <c r="S5902" s="210"/>
      <c r="T5902" s="310"/>
      <c r="U5902" s="106"/>
      <c r="V5902" s="106"/>
      <c r="W5902" s="106"/>
      <c r="X5902" s="420"/>
      <c r="Y5902" s="420"/>
    </row>
    <row r="5903" spans="17:25">
      <c r="Q5903" s="308"/>
      <c r="R5903" s="309"/>
      <c r="S5903" s="210"/>
      <c r="T5903" s="310"/>
      <c r="U5903" s="106"/>
      <c r="V5903" s="106"/>
      <c r="W5903" s="106"/>
      <c r="X5903" s="420"/>
      <c r="Y5903" s="420"/>
    </row>
    <row r="5904" spans="17:25">
      <c r="Q5904" s="308"/>
      <c r="R5904" s="309"/>
      <c r="S5904" s="210"/>
      <c r="T5904" s="310"/>
      <c r="U5904" s="106"/>
      <c r="V5904" s="106"/>
      <c r="W5904" s="106"/>
      <c r="X5904" s="420"/>
      <c r="Y5904" s="420"/>
    </row>
    <row r="5905" spans="17:25">
      <c r="Q5905" s="308"/>
      <c r="R5905" s="309"/>
      <c r="S5905" s="210"/>
      <c r="T5905" s="310"/>
      <c r="U5905" s="106"/>
      <c r="V5905" s="106"/>
      <c r="W5905" s="106"/>
      <c r="X5905" s="420"/>
      <c r="Y5905" s="420"/>
    </row>
    <row r="5906" spans="17:25">
      <c r="Q5906" s="308"/>
      <c r="R5906" s="309"/>
      <c r="S5906" s="210"/>
      <c r="T5906" s="310"/>
      <c r="U5906" s="106"/>
      <c r="V5906" s="106"/>
      <c r="W5906" s="106"/>
      <c r="X5906" s="420"/>
      <c r="Y5906" s="420"/>
    </row>
    <row r="5907" spans="17:25">
      <c r="Q5907" s="308"/>
      <c r="R5907" s="309"/>
      <c r="S5907" s="210"/>
      <c r="T5907" s="310"/>
      <c r="U5907" s="106"/>
      <c r="V5907" s="106"/>
      <c r="W5907" s="106"/>
      <c r="X5907" s="420"/>
      <c r="Y5907" s="420"/>
    </row>
    <row r="5908" spans="17:25">
      <c r="Q5908" s="308"/>
      <c r="R5908" s="309"/>
      <c r="S5908" s="210"/>
      <c r="T5908" s="310"/>
      <c r="U5908" s="106"/>
      <c r="V5908" s="106"/>
      <c r="W5908" s="106"/>
      <c r="X5908" s="420"/>
      <c r="Y5908" s="420"/>
    </row>
    <row r="5909" spans="17:25">
      <c r="Q5909" s="308"/>
      <c r="R5909" s="309"/>
      <c r="S5909" s="210"/>
      <c r="T5909" s="310"/>
      <c r="U5909" s="106"/>
      <c r="V5909" s="106"/>
      <c r="W5909" s="106"/>
      <c r="X5909" s="420"/>
      <c r="Y5909" s="420"/>
    </row>
    <row r="5910" spans="17:25">
      <c r="Q5910" s="308"/>
      <c r="R5910" s="309"/>
      <c r="S5910" s="210"/>
      <c r="T5910" s="310"/>
      <c r="U5910" s="106"/>
      <c r="V5910" s="106"/>
      <c r="W5910" s="106"/>
      <c r="X5910" s="420"/>
      <c r="Y5910" s="420"/>
    </row>
    <row r="5911" spans="17:25">
      <c r="Q5911" s="308"/>
      <c r="R5911" s="309"/>
      <c r="S5911" s="210"/>
      <c r="T5911" s="310"/>
      <c r="U5911" s="106"/>
      <c r="V5911" s="106"/>
      <c r="W5911" s="106"/>
      <c r="X5911" s="420"/>
      <c r="Y5911" s="420"/>
    </row>
    <row r="5912" spans="17:25">
      <c r="Q5912" s="308"/>
      <c r="R5912" s="309"/>
      <c r="S5912" s="210"/>
      <c r="T5912" s="310"/>
      <c r="U5912" s="106"/>
      <c r="V5912" s="106"/>
      <c r="W5912" s="106"/>
      <c r="X5912" s="420"/>
      <c r="Y5912" s="420"/>
    </row>
    <row r="5913" spans="17:25">
      <c r="Q5913" s="308"/>
      <c r="R5913" s="309"/>
      <c r="S5913" s="210"/>
      <c r="T5913" s="310"/>
      <c r="U5913" s="106"/>
      <c r="V5913" s="106"/>
      <c r="W5913" s="106"/>
      <c r="X5913" s="420"/>
      <c r="Y5913" s="420"/>
    </row>
    <row r="5914" spans="17:25">
      <c r="Q5914" s="308"/>
      <c r="R5914" s="309"/>
      <c r="S5914" s="210"/>
      <c r="T5914" s="310"/>
      <c r="U5914" s="106"/>
      <c r="V5914" s="106"/>
      <c r="W5914" s="106"/>
      <c r="X5914" s="420"/>
      <c r="Y5914" s="420"/>
    </row>
    <row r="5915" spans="17:25">
      <c r="Q5915" s="308"/>
      <c r="R5915" s="309"/>
      <c r="S5915" s="210"/>
      <c r="T5915" s="310"/>
      <c r="U5915" s="106"/>
      <c r="V5915" s="106"/>
      <c r="W5915" s="106"/>
      <c r="X5915" s="420"/>
      <c r="Y5915" s="420"/>
    </row>
    <row r="5916" spans="17:25">
      <c r="Q5916" s="308"/>
      <c r="R5916" s="309"/>
      <c r="S5916" s="210"/>
      <c r="T5916" s="310"/>
      <c r="U5916" s="106"/>
      <c r="V5916" s="106"/>
      <c r="W5916" s="106"/>
      <c r="X5916" s="420"/>
      <c r="Y5916" s="420"/>
    </row>
    <row r="5917" spans="17:25">
      <c r="Q5917" s="308"/>
      <c r="R5917" s="309"/>
      <c r="S5917" s="210"/>
      <c r="T5917" s="310"/>
      <c r="U5917" s="106"/>
      <c r="V5917" s="106"/>
      <c r="W5917" s="106"/>
      <c r="X5917" s="420"/>
      <c r="Y5917" s="420"/>
    </row>
    <row r="5918" spans="17:25">
      <c r="Q5918" s="308"/>
      <c r="R5918" s="309"/>
      <c r="S5918" s="210"/>
      <c r="T5918" s="310"/>
      <c r="U5918" s="106"/>
      <c r="V5918" s="106"/>
      <c r="W5918" s="106"/>
      <c r="X5918" s="420"/>
      <c r="Y5918" s="420"/>
    </row>
    <row r="5919" spans="17:25">
      <c r="Q5919" s="308"/>
      <c r="R5919" s="309"/>
      <c r="S5919" s="210"/>
      <c r="T5919" s="310"/>
      <c r="U5919" s="106"/>
      <c r="V5919" s="106"/>
      <c r="W5919" s="106"/>
      <c r="X5919" s="420"/>
      <c r="Y5919" s="420"/>
    </row>
    <row r="5920" spans="17:25">
      <c r="Q5920" s="308"/>
      <c r="R5920" s="309"/>
      <c r="S5920" s="210"/>
      <c r="T5920" s="310"/>
      <c r="U5920" s="106"/>
      <c r="V5920" s="106"/>
      <c r="W5920" s="106"/>
      <c r="X5920" s="420"/>
      <c r="Y5920" s="420"/>
    </row>
    <row r="5921" spans="17:25">
      <c r="Q5921" s="308"/>
      <c r="R5921" s="309"/>
      <c r="S5921" s="210"/>
      <c r="T5921" s="310"/>
      <c r="U5921" s="106"/>
      <c r="V5921" s="106"/>
      <c r="W5921" s="106"/>
      <c r="X5921" s="420"/>
      <c r="Y5921" s="420"/>
    </row>
    <row r="5922" spans="17:25">
      <c r="Q5922" s="308"/>
      <c r="R5922" s="309"/>
      <c r="S5922" s="210"/>
      <c r="T5922" s="310"/>
      <c r="U5922" s="106"/>
      <c r="V5922" s="106"/>
      <c r="W5922" s="106"/>
      <c r="X5922" s="420"/>
      <c r="Y5922" s="420"/>
    </row>
    <row r="5923" spans="17:25">
      <c r="Q5923" s="308"/>
      <c r="R5923" s="309"/>
      <c r="S5923" s="210"/>
      <c r="T5923" s="310"/>
      <c r="U5923" s="106"/>
      <c r="V5923" s="106"/>
      <c r="W5923" s="106"/>
      <c r="X5923" s="420"/>
      <c r="Y5923" s="420"/>
    </row>
    <row r="5924" spans="17:25">
      <c r="Q5924" s="308"/>
      <c r="R5924" s="309"/>
      <c r="S5924" s="210"/>
      <c r="T5924" s="310"/>
      <c r="U5924" s="106"/>
      <c r="V5924" s="106"/>
      <c r="W5924" s="106"/>
      <c r="X5924" s="420"/>
      <c r="Y5924" s="420"/>
    </row>
    <row r="5925" spans="17:25">
      <c r="Q5925" s="308"/>
      <c r="R5925" s="309"/>
      <c r="S5925" s="210"/>
      <c r="T5925" s="310"/>
      <c r="U5925" s="106"/>
      <c r="V5925" s="106"/>
      <c r="W5925" s="106"/>
      <c r="X5925" s="420"/>
      <c r="Y5925" s="420"/>
    </row>
    <row r="5926" spans="17:25">
      <c r="Q5926" s="308"/>
      <c r="R5926" s="309"/>
      <c r="S5926" s="210"/>
      <c r="T5926" s="310"/>
      <c r="U5926" s="106"/>
      <c r="V5926" s="106"/>
      <c r="W5926" s="106"/>
      <c r="X5926" s="420"/>
      <c r="Y5926" s="420"/>
    </row>
    <row r="5927" spans="17:25">
      <c r="Q5927" s="308"/>
      <c r="R5927" s="309"/>
      <c r="S5927" s="210"/>
      <c r="T5927" s="310"/>
      <c r="U5927" s="106"/>
      <c r="V5927" s="106"/>
      <c r="W5927" s="106"/>
      <c r="X5927" s="420"/>
      <c r="Y5927" s="420"/>
    </row>
    <row r="5928" spans="17:25">
      <c r="Q5928" s="308"/>
      <c r="R5928" s="309"/>
      <c r="S5928" s="210"/>
      <c r="T5928" s="310"/>
      <c r="U5928" s="106"/>
      <c r="V5928" s="106"/>
      <c r="W5928" s="106"/>
      <c r="X5928" s="420"/>
      <c r="Y5928" s="420"/>
    </row>
    <row r="5929" spans="17:25">
      <c r="Q5929" s="308"/>
      <c r="R5929" s="309"/>
      <c r="S5929" s="210"/>
      <c r="T5929" s="310"/>
      <c r="U5929" s="106"/>
      <c r="V5929" s="106"/>
      <c r="W5929" s="106"/>
      <c r="X5929" s="420"/>
      <c r="Y5929" s="420"/>
    </row>
    <row r="5930" spans="17:25">
      <c r="Q5930" s="308"/>
      <c r="R5930" s="309"/>
      <c r="S5930" s="210"/>
      <c r="T5930" s="310"/>
      <c r="U5930" s="106"/>
      <c r="V5930" s="106"/>
      <c r="W5930" s="106"/>
      <c r="X5930" s="420"/>
      <c r="Y5930" s="420"/>
    </row>
    <row r="5931" spans="17:25">
      <c r="Q5931" s="308"/>
      <c r="R5931" s="309"/>
      <c r="S5931" s="210"/>
      <c r="T5931" s="310"/>
      <c r="U5931" s="106"/>
      <c r="V5931" s="106"/>
      <c r="W5931" s="106"/>
      <c r="X5931" s="420"/>
      <c r="Y5931" s="420"/>
    </row>
    <row r="5932" spans="17:25">
      <c r="Q5932" s="308"/>
      <c r="R5932" s="309"/>
      <c r="S5932" s="210"/>
      <c r="T5932" s="310"/>
      <c r="U5932" s="106"/>
      <c r="V5932" s="106"/>
      <c r="W5932" s="106"/>
      <c r="X5932" s="420"/>
      <c r="Y5932" s="420"/>
    </row>
    <row r="5933" spans="17:25">
      <c r="Q5933" s="308"/>
      <c r="R5933" s="309"/>
      <c r="S5933" s="210"/>
      <c r="T5933" s="310"/>
      <c r="U5933" s="106"/>
      <c r="V5933" s="106"/>
      <c r="W5933" s="106"/>
      <c r="X5933" s="420"/>
      <c r="Y5933" s="420"/>
    </row>
    <row r="5934" spans="17:25">
      <c r="Q5934" s="308"/>
      <c r="R5934" s="309"/>
      <c r="S5934" s="210"/>
      <c r="T5934" s="310"/>
      <c r="U5934" s="106"/>
      <c r="V5934" s="106"/>
      <c r="W5934" s="106"/>
      <c r="X5934" s="420"/>
      <c r="Y5934" s="420"/>
    </row>
    <row r="5935" spans="17:25">
      <c r="Q5935" s="308"/>
      <c r="R5935" s="309"/>
      <c r="S5935" s="210"/>
      <c r="T5935" s="310"/>
      <c r="U5935" s="106"/>
      <c r="V5935" s="106"/>
      <c r="W5935" s="106"/>
      <c r="X5935" s="420"/>
      <c r="Y5935" s="420"/>
    </row>
    <row r="5936" spans="17:25">
      <c r="Q5936" s="308"/>
      <c r="R5936" s="309"/>
      <c r="S5936" s="210"/>
      <c r="T5936" s="310"/>
      <c r="U5936" s="106"/>
      <c r="V5936" s="106"/>
      <c r="W5936" s="106"/>
      <c r="X5936" s="420"/>
      <c r="Y5936" s="420"/>
    </row>
    <row r="5937" spans="17:25">
      <c r="Q5937" s="308"/>
      <c r="R5937" s="309"/>
      <c r="S5937" s="210"/>
      <c r="T5937" s="310"/>
      <c r="U5937" s="106"/>
      <c r="V5937" s="106"/>
      <c r="W5937" s="106"/>
      <c r="X5937" s="420"/>
      <c r="Y5937" s="420"/>
    </row>
    <row r="5938" spans="17:25">
      <c r="Q5938" s="308"/>
      <c r="R5938" s="309"/>
      <c r="S5938" s="210"/>
      <c r="T5938" s="310"/>
      <c r="U5938" s="106"/>
      <c r="V5938" s="106"/>
      <c r="W5938" s="106"/>
      <c r="X5938" s="420"/>
      <c r="Y5938" s="420"/>
    </row>
    <row r="5939" spans="17:25">
      <c r="Q5939" s="308"/>
      <c r="R5939" s="309"/>
      <c r="S5939" s="210"/>
      <c r="T5939" s="310"/>
      <c r="U5939" s="106"/>
      <c r="V5939" s="106"/>
      <c r="W5939" s="106"/>
      <c r="X5939" s="420"/>
      <c r="Y5939" s="420"/>
    </row>
    <row r="5940" spans="17:25">
      <c r="Q5940" s="308"/>
      <c r="R5940" s="309"/>
      <c r="S5940" s="210"/>
      <c r="T5940" s="310"/>
      <c r="U5940" s="106"/>
      <c r="V5940" s="106"/>
      <c r="W5940" s="106"/>
      <c r="X5940" s="420"/>
      <c r="Y5940" s="420"/>
    </row>
    <row r="5941" spans="17:25">
      <c r="Q5941" s="308"/>
      <c r="R5941" s="309"/>
      <c r="S5941" s="210"/>
      <c r="T5941" s="310"/>
      <c r="U5941" s="106"/>
      <c r="V5941" s="106"/>
      <c r="W5941" s="106"/>
      <c r="X5941" s="420"/>
      <c r="Y5941" s="420"/>
    </row>
    <row r="5942" spans="17:25">
      <c r="Q5942" s="308"/>
      <c r="R5942" s="309"/>
      <c r="S5942" s="210"/>
      <c r="T5942" s="310"/>
      <c r="U5942" s="106"/>
      <c r="V5942" s="106"/>
      <c r="W5942" s="106"/>
      <c r="X5942" s="420"/>
      <c r="Y5942" s="420"/>
    </row>
    <row r="5943" spans="17:25">
      <c r="Q5943" s="308"/>
      <c r="R5943" s="309"/>
      <c r="S5943" s="210"/>
      <c r="T5943" s="310"/>
      <c r="U5943" s="106"/>
      <c r="V5943" s="106"/>
      <c r="W5943" s="106"/>
      <c r="X5943" s="420"/>
      <c r="Y5943" s="420"/>
    </row>
    <row r="5944" spans="17:25">
      <c r="Q5944" s="308"/>
      <c r="R5944" s="309"/>
      <c r="S5944" s="210"/>
      <c r="T5944" s="310"/>
      <c r="U5944" s="106"/>
      <c r="V5944" s="106"/>
      <c r="W5944" s="106"/>
      <c r="X5944" s="420"/>
      <c r="Y5944" s="420"/>
    </row>
    <row r="5945" spans="17:25">
      <c r="Q5945" s="308"/>
      <c r="R5945" s="309"/>
      <c r="S5945" s="210"/>
      <c r="T5945" s="310"/>
      <c r="U5945" s="106"/>
      <c r="V5945" s="106"/>
      <c r="W5945" s="106"/>
      <c r="X5945" s="420"/>
      <c r="Y5945" s="420"/>
    </row>
    <row r="5946" spans="17:25">
      <c r="Q5946" s="308"/>
      <c r="R5946" s="309"/>
      <c r="S5946" s="210"/>
      <c r="T5946" s="310"/>
      <c r="U5946" s="106"/>
      <c r="V5946" s="106"/>
      <c r="W5946" s="106"/>
      <c r="X5946" s="420"/>
      <c r="Y5946" s="420"/>
    </row>
    <row r="5947" spans="17:25">
      <c r="Q5947" s="308"/>
      <c r="R5947" s="309"/>
      <c r="S5947" s="210"/>
      <c r="T5947" s="310"/>
      <c r="U5947" s="106"/>
      <c r="V5947" s="106"/>
      <c r="W5947" s="106"/>
      <c r="X5947" s="420"/>
      <c r="Y5947" s="420"/>
    </row>
    <row r="5948" spans="17:25">
      <c r="Q5948" s="308"/>
      <c r="R5948" s="309"/>
      <c r="S5948" s="210"/>
      <c r="T5948" s="310"/>
      <c r="U5948" s="106"/>
      <c r="V5948" s="106"/>
      <c r="W5948" s="106"/>
      <c r="X5948" s="420"/>
      <c r="Y5948" s="420"/>
    </row>
    <row r="5949" spans="17:25">
      <c r="Q5949" s="308"/>
      <c r="R5949" s="309"/>
      <c r="S5949" s="210"/>
      <c r="T5949" s="310"/>
      <c r="U5949" s="106"/>
      <c r="V5949" s="106"/>
      <c r="W5949" s="106"/>
      <c r="X5949" s="420"/>
      <c r="Y5949" s="420"/>
    </row>
    <row r="5950" spans="17:25">
      <c r="Q5950" s="308"/>
      <c r="R5950" s="309"/>
      <c r="S5950" s="210"/>
      <c r="T5950" s="310"/>
      <c r="U5950" s="106"/>
      <c r="V5950" s="106"/>
      <c r="W5950" s="106"/>
      <c r="X5950" s="420"/>
      <c r="Y5950" s="420"/>
    </row>
    <row r="5951" spans="17:25">
      <c r="Q5951" s="308"/>
      <c r="R5951" s="309"/>
      <c r="S5951" s="210"/>
      <c r="T5951" s="310"/>
      <c r="U5951" s="106"/>
      <c r="V5951" s="106"/>
      <c r="W5951" s="106"/>
      <c r="X5951" s="420"/>
      <c r="Y5951" s="420"/>
    </row>
    <row r="5952" spans="17:25">
      <c r="Q5952" s="308"/>
      <c r="R5952" s="309"/>
      <c r="S5952" s="210"/>
      <c r="T5952" s="310"/>
      <c r="U5952" s="106"/>
      <c r="V5952" s="106"/>
      <c r="W5952" s="106"/>
      <c r="X5952" s="420"/>
      <c r="Y5952" s="420"/>
    </row>
    <row r="5953" spans="17:25">
      <c r="Q5953" s="308"/>
      <c r="R5953" s="309"/>
      <c r="S5953" s="210"/>
      <c r="T5953" s="310"/>
      <c r="U5953" s="106"/>
      <c r="V5953" s="106"/>
      <c r="W5953" s="106"/>
      <c r="X5953" s="420"/>
      <c r="Y5953" s="420"/>
    </row>
    <row r="5954" spans="17:25">
      <c r="Q5954" s="308"/>
      <c r="R5954" s="309"/>
      <c r="S5954" s="210"/>
      <c r="T5954" s="310"/>
      <c r="U5954" s="106"/>
      <c r="V5954" s="106"/>
      <c r="W5954" s="106"/>
      <c r="X5954" s="420"/>
      <c r="Y5954" s="420"/>
    </row>
    <row r="5955" spans="17:25">
      <c r="Q5955" s="308"/>
      <c r="R5955" s="309"/>
      <c r="S5955" s="210"/>
      <c r="T5955" s="310"/>
      <c r="U5955" s="106"/>
      <c r="V5955" s="106"/>
      <c r="W5955" s="106"/>
      <c r="X5955" s="420"/>
      <c r="Y5955" s="420"/>
    </row>
    <row r="5956" spans="17:25">
      <c r="Q5956" s="308"/>
      <c r="R5956" s="309"/>
      <c r="S5956" s="210"/>
      <c r="T5956" s="310"/>
      <c r="U5956" s="106"/>
      <c r="V5956" s="106"/>
      <c r="W5956" s="106"/>
      <c r="X5956" s="420"/>
      <c r="Y5956" s="420"/>
    </row>
    <row r="5957" spans="17:25">
      <c r="Q5957" s="308"/>
      <c r="R5957" s="309"/>
      <c r="S5957" s="210"/>
      <c r="T5957" s="310"/>
      <c r="U5957" s="106"/>
      <c r="V5957" s="106"/>
      <c r="W5957" s="106"/>
      <c r="X5957" s="420"/>
      <c r="Y5957" s="420"/>
    </row>
    <row r="5958" spans="17:25">
      <c r="Q5958" s="308"/>
      <c r="R5958" s="309"/>
      <c r="S5958" s="210"/>
      <c r="T5958" s="310"/>
      <c r="U5958" s="106"/>
      <c r="V5958" s="106"/>
      <c r="W5958" s="106"/>
      <c r="X5958" s="420"/>
      <c r="Y5958" s="420"/>
    </row>
    <row r="5959" spans="17:25">
      <c r="Q5959" s="308"/>
      <c r="R5959" s="309"/>
      <c r="S5959" s="210"/>
      <c r="T5959" s="310"/>
      <c r="U5959" s="106"/>
      <c r="V5959" s="106"/>
      <c r="W5959" s="106"/>
      <c r="X5959" s="420"/>
      <c r="Y5959" s="420"/>
    </row>
    <row r="5960" spans="17:25">
      <c r="Q5960" s="308"/>
      <c r="R5960" s="309"/>
      <c r="S5960" s="210"/>
      <c r="T5960" s="310"/>
      <c r="U5960" s="106"/>
      <c r="V5960" s="106"/>
      <c r="W5960" s="106"/>
      <c r="X5960" s="420"/>
      <c r="Y5960" s="420"/>
    </row>
    <row r="5961" spans="17:25">
      <c r="Q5961" s="308"/>
      <c r="R5961" s="309"/>
      <c r="S5961" s="210"/>
      <c r="T5961" s="310"/>
      <c r="U5961" s="106"/>
      <c r="V5961" s="106"/>
      <c r="W5961" s="106"/>
      <c r="X5961" s="420"/>
      <c r="Y5961" s="420"/>
    </row>
    <row r="5962" spans="17:25">
      <c r="Q5962" s="308"/>
      <c r="R5962" s="309"/>
      <c r="S5962" s="210"/>
      <c r="T5962" s="310"/>
      <c r="U5962" s="106"/>
      <c r="V5962" s="106"/>
      <c r="W5962" s="106"/>
      <c r="X5962" s="420"/>
      <c r="Y5962" s="420"/>
    </row>
    <row r="5963" spans="17:25">
      <c r="Q5963" s="308"/>
      <c r="R5963" s="309"/>
      <c r="S5963" s="210"/>
      <c r="T5963" s="310"/>
      <c r="U5963" s="106"/>
      <c r="V5963" s="106"/>
      <c r="W5963" s="106"/>
      <c r="X5963" s="420"/>
      <c r="Y5963" s="420"/>
    </row>
    <row r="5964" spans="17:25">
      <c r="Q5964" s="308"/>
      <c r="R5964" s="309"/>
      <c r="S5964" s="210"/>
      <c r="T5964" s="310"/>
      <c r="U5964" s="106"/>
      <c r="V5964" s="106"/>
      <c r="W5964" s="106"/>
      <c r="X5964" s="420"/>
      <c r="Y5964" s="420"/>
    </row>
    <row r="5965" spans="17:25">
      <c r="Q5965" s="308"/>
      <c r="R5965" s="309"/>
      <c r="S5965" s="210"/>
      <c r="T5965" s="310"/>
      <c r="U5965" s="106"/>
      <c r="V5965" s="106"/>
      <c r="W5965" s="106"/>
      <c r="X5965" s="420"/>
      <c r="Y5965" s="420"/>
    </row>
    <row r="5966" spans="17:25">
      <c r="Q5966" s="308"/>
      <c r="R5966" s="309"/>
      <c r="S5966" s="210"/>
      <c r="T5966" s="310"/>
      <c r="U5966" s="106"/>
      <c r="V5966" s="106"/>
      <c r="W5966" s="106"/>
      <c r="X5966" s="420"/>
      <c r="Y5966" s="420"/>
    </row>
    <row r="5967" spans="17:25">
      <c r="Q5967" s="308"/>
      <c r="R5967" s="309"/>
      <c r="S5967" s="210"/>
      <c r="T5967" s="310"/>
      <c r="U5967" s="106"/>
      <c r="V5967" s="106"/>
      <c r="W5967" s="106"/>
      <c r="X5967" s="420"/>
      <c r="Y5967" s="420"/>
    </row>
    <row r="5968" spans="17:25">
      <c r="Q5968" s="308"/>
      <c r="R5968" s="309"/>
      <c r="S5968" s="210"/>
      <c r="T5968" s="310"/>
      <c r="U5968" s="106"/>
      <c r="V5968" s="106"/>
      <c r="W5968" s="106"/>
      <c r="X5968" s="420"/>
      <c r="Y5968" s="420"/>
    </row>
    <row r="5969" spans="17:25">
      <c r="Q5969" s="308"/>
      <c r="R5969" s="309"/>
      <c r="S5969" s="210"/>
      <c r="T5969" s="310"/>
      <c r="U5969" s="106"/>
      <c r="V5969" s="106"/>
      <c r="W5969" s="106"/>
      <c r="X5969" s="420"/>
      <c r="Y5969" s="420"/>
    </row>
    <row r="5970" spans="17:25">
      <c r="Q5970" s="308"/>
      <c r="R5970" s="309"/>
      <c r="S5970" s="210"/>
      <c r="T5970" s="310"/>
      <c r="U5970" s="106"/>
      <c r="V5970" s="106"/>
      <c r="W5970" s="106"/>
      <c r="X5970" s="420"/>
      <c r="Y5970" s="420"/>
    </row>
    <row r="5971" spans="17:25">
      <c r="Q5971" s="308"/>
      <c r="R5971" s="309"/>
      <c r="S5971" s="210"/>
      <c r="T5971" s="310"/>
      <c r="U5971" s="106"/>
      <c r="V5971" s="106"/>
      <c r="W5971" s="106"/>
      <c r="X5971" s="420"/>
      <c r="Y5971" s="420"/>
    </row>
    <row r="5972" spans="17:25">
      <c r="Q5972" s="308"/>
      <c r="R5972" s="309"/>
      <c r="S5972" s="210"/>
      <c r="T5972" s="310"/>
      <c r="U5972" s="106"/>
      <c r="V5972" s="106"/>
      <c r="W5972" s="106"/>
      <c r="X5972" s="420"/>
      <c r="Y5972" s="420"/>
    </row>
    <row r="5973" spans="17:25">
      <c r="Q5973" s="308"/>
      <c r="R5973" s="309"/>
      <c r="S5973" s="210"/>
      <c r="T5973" s="310"/>
      <c r="U5973" s="106"/>
      <c r="V5973" s="106"/>
      <c r="W5973" s="106"/>
      <c r="X5973" s="420"/>
      <c r="Y5973" s="420"/>
    </row>
    <row r="5974" spans="17:25">
      <c r="Q5974" s="308"/>
      <c r="R5974" s="309"/>
      <c r="S5974" s="210"/>
      <c r="T5974" s="310"/>
      <c r="U5974" s="106"/>
      <c r="V5974" s="106"/>
      <c r="W5974" s="106"/>
      <c r="X5974" s="420"/>
      <c r="Y5974" s="420"/>
    </row>
    <row r="5975" spans="17:25">
      <c r="Q5975" s="308"/>
      <c r="R5975" s="309"/>
      <c r="S5975" s="210"/>
      <c r="T5975" s="310"/>
      <c r="U5975" s="106"/>
      <c r="V5975" s="106"/>
      <c r="W5975" s="106"/>
      <c r="X5975" s="420"/>
      <c r="Y5975" s="420"/>
    </row>
    <row r="5976" spans="17:25">
      <c r="Q5976" s="308"/>
      <c r="R5976" s="309"/>
      <c r="S5976" s="210"/>
      <c r="T5976" s="310"/>
      <c r="U5976" s="106"/>
      <c r="V5976" s="106"/>
      <c r="W5976" s="106"/>
      <c r="X5976" s="420"/>
      <c r="Y5976" s="420"/>
    </row>
    <row r="5977" spans="17:25">
      <c r="Q5977" s="308"/>
      <c r="R5977" s="309"/>
      <c r="S5977" s="210"/>
      <c r="T5977" s="310"/>
      <c r="U5977" s="106"/>
      <c r="V5977" s="106"/>
      <c r="W5977" s="106"/>
      <c r="X5977" s="420"/>
      <c r="Y5977" s="420"/>
    </row>
    <row r="5978" spans="17:25">
      <c r="Q5978" s="308"/>
      <c r="R5978" s="309"/>
      <c r="S5978" s="210"/>
      <c r="T5978" s="310"/>
      <c r="U5978" s="106"/>
      <c r="V5978" s="106"/>
      <c r="W5978" s="106"/>
      <c r="X5978" s="420"/>
      <c r="Y5978" s="420"/>
    </row>
    <row r="5979" spans="17:25">
      <c r="Q5979" s="308"/>
      <c r="R5979" s="309"/>
      <c r="S5979" s="210"/>
      <c r="T5979" s="310"/>
      <c r="U5979" s="106"/>
      <c r="V5979" s="106"/>
      <c r="W5979" s="106"/>
      <c r="X5979" s="420"/>
      <c r="Y5979" s="420"/>
    </row>
    <row r="5980" spans="17:25">
      <c r="Q5980" s="308"/>
      <c r="R5980" s="309"/>
      <c r="S5980" s="210"/>
      <c r="T5980" s="310"/>
      <c r="U5980" s="106"/>
      <c r="V5980" s="106"/>
      <c r="W5980" s="106"/>
      <c r="X5980" s="420"/>
      <c r="Y5980" s="420"/>
    </row>
    <row r="5981" spans="17:25">
      <c r="Q5981" s="308"/>
      <c r="R5981" s="309"/>
      <c r="S5981" s="210"/>
      <c r="T5981" s="310"/>
      <c r="U5981" s="106"/>
      <c r="V5981" s="106"/>
      <c r="W5981" s="106"/>
      <c r="X5981" s="420"/>
      <c r="Y5981" s="420"/>
    </row>
    <row r="5982" spans="17:25">
      <c r="Q5982" s="308"/>
      <c r="R5982" s="309"/>
      <c r="S5982" s="210"/>
      <c r="T5982" s="310"/>
      <c r="U5982" s="106"/>
      <c r="V5982" s="106"/>
      <c r="W5982" s="106"/>
      <c r="X5982" s="420"/>
      <c r="Y5982" s="420"/>
    </row>
    <row r="5983" spans="17:25">
      <c r="Q5983" s="308"/>
      <c r="R5983" s="309"/>
      <c r="S5983" s="210"/>
      <c r="T5983" s="310"/>
      <c r="U5983" s="106"/>
      <c r="V5983" s="106"/>
      <c r="W5983" s="106"/>
      <c r="X5983" s="420"/>
      <c r="Y5983" s="420"/>
    </row>
    <row r="5984" spans="17:25">
      <c r="Q5984" s="308"/>
      <c r="R5984" s="309"/>
      <c r="S5984" s="210"/>
      <c r="T5984" s="310"/>
      <c r="U5984" s="106"/>
      <c r="V5984" s="106"/>
      <c r="W5984" s="106"/>
      <c r="X5984" s="420"/>
      <c r="Y5984" s="420"/>
    </row>
    <row r="5985" spans="17:25">
      <c r="Q5985" s="308"/>
      <c r="R5985" s="309"/>
      <c r="S5985" s="210"/>
      <c r="T5985" s="310"/>
      <c r="U5985" s="106"/>
      <c r="V5985" s="106"/>
      <c r="W5985" s="106"/>
      <c r="X5985" s="420"/>
      <c r="Y5985" s="420"/>
    </row>
    <row r="5986" spans="17:25">
      <c r="Q5986" s="308"/>
      <c r="R5986" s="309"/>
      <c r="S5986" s="210"/>
      <c r="T5986" s="310"/>
      <c r="U5986" s="106"/>
      <c r="V5986" s="106"/>
      <c r="W5986" s="106"/>
      <c r="X5986" s="420"/>
      <c r="Y5986" s="420"/>
    </row>
    <row r="5987" spans="17:25">
      <c r="Q5987" s="308"/>
      <c r="R5987" s="309"/>
      <c r="S5987" s="210"/>
      <c r="T5987" s="310"/>
      <c r="U5987" s="106"/>
      <c r="V5987" s="106"/>
      <c r="W5987" s="106"/>
      <c r="X5987" s="420"/>
      <c r="Y5987" s="420"/>
    </row>
    <row r="5988" spans="17:25">
      <c r="Q5988" s="308"/>
      <c r="R5988" s="309"/>
      <c r="S5988" s="210"/>
      <c r="T5988" s="310"/>
      <c r="U5988" s="106"/>
      <c r="V5988" s="106"/>
      <c r="W5988" s="106"/>
      <c r="X5988" s="420"/>
      <c r="Y5988" s="420"/>
    </row>
    <row r="5989" spans="17:25">
      <c r="Q5989" s="308"/>
      <c r="R5989" s="309"/>
      <c r="S5989" s="210"/>
      <c r="T5989" s="310"/>
      <c r="U5989" s="106"/>
      <c r="V5989" s="106"/>
      <c r="W5989" s="106"/>
      <c r="X5989" s="420"/>
      <c r="Y5989" s="420"/>
    </row>
    <row r="5990" spans="17:25">
      <c r="Q5990" s="308"/>
      <c r="R5990" s="309"/>
      <c r="S5990" s="210"/>
      <c r="T5990" s="310"/>
      <c r="U5990" s="106"/>
      <c r="V5990" s="106"/>
      <c r="W5990" s="106"/>
      <c r="X5990" s="420"/>
      <c r="Y5990" s="420"/>
    </row>
    <row r="5991" spans="17:25">
      <c r="Q5991" s="308"/>
      <c r="R5991" s="309"/>
      <c r="S5991" s="210"/>
      <c r="T5991" s="310"/>
      <c r="U5991" s="106"/>
      <c r="V5991" s="106"/>
      <c r="W5991" s="106"/>
      <c r="X5991" s="420"/>
      <c r="Y5991" s="420"/>
    </row>
    <row r="5992" spans="17:25">
      <c r="Q5992" s="308"/>
      <c r="R5992" s="309"/>
      <c r="S5992" s="210"/>
      <c r="T5992" s="310"/>
      <c r="U5992" s="106"/>
      <c r="V5992" s="106"/>
      <c r="W5992" s="106"/>
      <c r="X5992" s="420"/>
      <c r="Y5992" s="420"/>
    </row>
    <row r="5993" spans="17:25">
      <c r="Q5993" s="308"/>
      <c r="R5993" s="309"/>
      <c r="S5993" s="210"/>
      <c r="T5993" s="310"/>
      <c r="U5993" s="106"/>
      <c r="V5993" s="106"/>
      <c r="W5993" s="106"/>
      <c r="X5993" s="420"/>
      <c r="Y5993" s="420"/>
    </row>
    <row r="5994" spans="17:25">
      <c r="Q5994" s="308"/>
      <c r="R5994" s="309"/>
      <c r="S5994" s="210"/>
      <c r="T5994" s="310"/>
      <c r="U5994" s="106"/>
      <c r="V5994" s="106"/>
      <c r="W5994" s="106"/>
      <c r="X5994" s="420"/>
      <c r="Y5994" s="420"/>
    </row>
    <row r="5995" spans="17:25">
      <c r="Q5995" s="308"/>
      <c r="R5995" s="309"/>
      <c r="S5995" s="210"/>
      <c r="T5995" s="310"/>
      <c r="U5995" s="106"/>
      <c r="V5995" s="106"/>
      <c r="W5995" s="106"/>
      <c r="X5995" s="420"/>
      <c r="Y5995" s="420"/>
    </row>
    <row r="5996" spans="17:25">
      <c r="Q5996" s="308"/>
      <c r="R5996" s="309"/>
      <c r="S5996" s="210"/>
      <c r="T5996" s="310"/>
      <c r="U5996" s="106"/>
      <c r="V5996" s="106"/>
      <c r="W5996" s="106"/>
      <c r="X5996" s="420"/>
      <c r="Y5996" s="420"/>
    </row>
    <row r="5997" spans="17:25">
      <c r="Q5997" s="308"/>
      <c r="R5997" s="309"/>
      <c r="S5997" s="210"/>
      <c r="T5997" s="310"/>
      <c r="U5997" s="106"/>
      <c r="V5997" s="106"/>
      <c r="W5997" s="106"/>
      <c r="X5997" s="420"/>
      <c r="Y5997" s="420"/>
    </row>
    <row r="5998" spans="17:25">
      <c r="Q5998" s="308"/>
      <c r="R5998" s="309"/>
      <c r="S5998" s="210"/>
      <c r="T5998" s="310"/>
      <c r="U5998" s="106"/>
      <c r="V5998" s="106"/>
      <c r="W5998" s="106"/>
      <c r="X5998" s="420"/>
      <c r="Y5998" s="420"/>
    </row>
    <row r="5999" spans="17:25">
      <c r="Q5999" s="308"/>
      <c r="R5999" s="309"/>
      <c r="S5999" s="210"/>
      <c r="T5999" s="310"/>
      <c r="U5999" s="106"/>
      <c r="V5999" s="106"/>
      <c r="W5999" s="106"/>
      <c r="X5999" s="420"/>
      <c r="Y5999" s="420"/>
    </row>
    <row r="6000" spans="17:25">
      <c r="Q6000" s="308"/>
      <c r="R6000" s="309"/>
      <c r="S6000" s="210"/>
      <c r="T6000" s="310"/>
      <c r="U6000" s="106"/>
      <c r="V6000" s="106"/>
      <c r="W6000" s="106"/>
      <c r="X6000" s="420"/>
      <c r="Y6000" s="420"/>
    </row>
  </sheetData>
  <mergeCells count="9">
    <mergeCell ref="D17:E17"/>
    <mergeCell ref="G17:H17"/>
    <mergeCell ref="J17:K17"/>
    <mergeCell ref="M17:N17"/>
    <mergeCell ref="A1:B1"/>
    <mergeCell ref="D16:E16"/>
    <mergeCell ref="G16:H16"/>
    <mergeCell ref="J16:K16"/>
    <mergeCell ref="M16:N16"/>
  </mergeCells>
  <conditionalFormatting sqref="AV3:AV2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3:BF4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3:BJ45">
    <cfRule type="colorScale" priority="5">
      <colorScale>
        <cfvo type="min"/>
        <cfvo type="max"/>
        <color rgb="FFF8696B"/>
        <color rgb="FFFCFCFF"/>
      </colorScale>
    </cfRule>
  </conditionalFormatting>
  <conditionalFormatting sqref="BI3:BI4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4:AD5">
    <cfRule type="cellIs" dxfId="0" priority="2" operator="equal">
      <formula>"verificar"</formula>
    </cfRule>
  </conditionalFormatting>
  <conditionalFormatting sqref="AS3:AS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pageSetUpPr fitToPage="1"/>
  </sheetPr>
  <dimension ref="A3:AN112"/>
  <sheetViews>
    <sheetView showGridLines="0" topLeftCell="A4" zoomScale="85" zoomScaleNormal="85" workbookViewId="0">
      <selection activeCell="V26" sqref="V26"/>
    </sheetView>
  </sheetViews>
  <sheetFormatPr baseColWidth="10" defaultColWidth="11.42578125" defaultRowHeight="12"/>
  <cols>
    <col min="1" max="1" width="3" style="184" customWidth="1"/>
    <col min="2" max="3" width="8.5703125" style="184" customWidth="1"/>
    <col min="4" max="6" width="9" style="184" customWidth="1"/>
    <col min="7" max="20" width="8.5703125" style="184" customWidth="1"/>
    <col min="21" max="21" width="1.85546875" style="184" customWidth="1"/>
    <col min="22" max="22" width="6.5703125" style="184" customWidth="1"/>
    <col min="23" max="23" width="14.42578125" style="349" bestFit="1" customWidth="1"/>
    <col min="24" max="24" width="21.5703125" style="349" bestFit="1" customWidth="1"/>
    <col min="25" max="26" width="23.28515625" style="349" bestFit="1" customWidth="1"/>
    <col min="27" max="27" width="14.28515625" style="349" bestFit="1" customWidth="1"/>
    <col min="28" max="28" width="11.28515625" style="349" bestFit="1" customWidth="1"/>
    <col min="29" max="29" width="21.85546875" style="349" bestFit="1" customWidth="1"/>
    <col min="30" max="30" width="20.5703125" style="349" bestFit="1" customWidth="1"/>
    <col min="31" max="31" width="8" style="349" bestFit="1" customWidth="1"/>
    <col min="32" max="32" width="9.28515625" style="349" bestFit="1" customWidth="1"/>
    <col min="33" max="33" width="11.42578125" style="349" bestFit="1" customWidth="1"/>
    <col min="34" max="35" width="11.42578125" style="349"/>
    <col min="36" max="16384" width="11.42578125" style="184"/>
  </cols>
  <sheetData>
    <row r="3" spans="1:27">
      <c r="AA3" s="494"/>
    </row>
    <row r="4" spans="1:27" ht="26.25">
      <c r="A4" s="185"/>
      <c r="B4" s="573" t="s">
        <v>364</v>
      </c>
      <c r="C4" s="573"/>
      <c r="D4" s="573"/>
      <c r="E4" s="573"/>
      <c r="F4" s="573"/>
      <c r="G4" s="573"/>
      <c r="H4" s="573"/>
      <c r="I4" s="573"/>
      <c r="J4" s="573"/>
      <c r="K4" s="573"/>
      <c r="L4" s="573"/>
      <c r="M4" s="573"/>
      <c r="N4" s="573"/>
      <c r="O4" s="573"/>
      <c r="P4" s="573"/>
      <c r="Q4" s="573"/>
      <c r="R4" s="573"/>
      <c r="S4" s="573"/>
      <c r="T4" s="573"/>
      <c r="AA4" s="494"/>
    </row>
    <row r="5" spans="1:27" ht="23.25">
      <c r="A5" s="185"/>
      <c r="B5" s="580" t="s">
        <v>256</v>
      </c>
      <c r="C5" s="580"/>
      <c r="D5" s="580"/>
      <c r="E5" s="580"/>
      <c r="F5" s="580"/>
      <c r="G5" s="580"/>
      <c r="H5" s="580"/>
      <c r="I5" s="580"/>
      <c r="J5" s="580"/>
      <c r="K5" s="580"/>
      <c r="L5" s="580"/>
      <c r="M5" s="580"/>
      <c r="N5" s="580"/>
      <c r="O5" s="580"/>
      <c r="P5" s="580"/>
      <c r="Q5" s="580"/>
      <c r="R5" s="580"/>
      <c r="S5" s="580"/>
      <c r="T5" s="580"/>
      <c r="AA5" s="494"/>
    </row>
    <row r="6" spans="1:27" ht="23.25">
      <c r="A6" s="185"/>
      <c r="B6" s="426"/>
      <c r="C6" s="426"/>
      <c r="D6" s="426"/>
      <c r="E6" s="426"/>
      <c r="F6" s="426"/>
      <c r="G6" s="426"/>
      <c r="H6" s="426"/>
      <c r="I6" s="426"/>
      <c r="J6" s="426"/>
      <c r="K6" s="426"/>
      <c r="L6" s="426"/>
      <c r="M6" s="426"/>
      <c r="N6" s="426"/>
      <c r="O6" s="426"/>
      <c r="P6" s="426"/>
      <c r="Q6" s="426"/>
      <c r="R6" s="426"/>
      <c r="S6" s="426"/>
      <c r="T6" s="426"/>
    </row>
    <row r="7" spans="1:27" ht="12.75" customHeight="1" thickBot="1">
      <c r="A7" s="185"/>
      <c r="D7" s="581" t="s">
        <v>253</v>
      </c>
      <c r="E7" s="582"/>
      <c r="F7" s="583"/>
    </row>
    <row r="8" spans="1:27" ht="30" customHeight="1" thickBot="1">
      <c r="A8" s="185"/>
      <c r="B8" s="337" t="s">
        <v>246</v>
      </c>
      <c r="C8" s="337" t="s">
        <v>250</v>
      </c>
      <c r="D8" s="337" t="s">
        <v>247</v>
      </c>
      <c r="E8" s="337" t="s">
        <v>248</v>
      </c>
      <c r="F8" s="337" t="s">
        <v>249</v>
      </c>
    </row>
    <row r="9" spans="1:27" ht="12.75" customHeight="1">
      <c r="A9" s="185"/>
      <c r="B9" s="264">
        <f>Inflation_FWD!H4</f>
        <v>42644</v>
      </c>
      <c r="C9" s="263">
        <f>VLOOKUP(B9,Inflation_FWD!$H:$I,2,0)</f>
        <v>3.510708135519014E-3</v>
      </c>
      <c r="D9" s="265">
        <f>100*((1+C9)^12-1)</f>
        <v>4.2951547311362415</v>
      </c>
      <c r="E9" s="265">
        <f t="shared" ref="E9:E23" si="0">100*(((1+C10)*(1+C11))^6-1)</f>
        <v>0.50163309098714137</v>
      </c>
      <c r="F9" s="266">
        <f t="shared" ref="F9:F14" si="1">100*(((1+C12)*(1+C13)*(1+C14)*(1+C15)*(1+C16)*(1+C17)*(1+C18)*(1+C19)*(1+C20))^(12/9)-1)</f>
        <v>3.2667960805889962</v>
      </c>
    </row>
    <row r="10" spans="1:27">
      <c r="A10" s="185"/>
      <c r="B10" s="264">
        <f>Inflation_FWD!H5</f>
        <v>42675</v>
      </c>
      <c r="C10" s="263">
        <f>VLOOKUP(B10,Inflation_FWD!$H:$I,2,0)</f>
        <v>3.7923319048882576E-4</v>
      </c>
      <c r="D10" s="265">
        <f t="shared" ref="D10:D25" si="2">100*((1+C10)^12-1)</f>
        <v>0.45603022706603991</v>
      </c>
      <c r="E10" s="265">
        <f t="shared" si="0"/>
        <v>0.91327061750285932</v>
      </c>
      <c r="F10" s="266">
        <f t="shared" si="1"/>
        <v>3.4589012218308346</v>
      </c>
    </row>
    <row r="11" spans="1:27">
      <c r="A11" s="185"/>
      <c r="B11" s="264">
        <f>Inflation_FWD!H6</f>
        <v>42705</v>
      </c>
      <c r="C11" s="263">
        <f>VLOOKUP(B11,Inflation_FWD!$H:$I,2,0)</f>
        <v>4.5490731263497786E-4</v>
      </c>
      <c r="D11" s="265">
        <f t="shared" si="2"/>
        <v>0.54725665671375712</v>
      </c>
      <c r="E11" s="265">
        <f t="shared" si="0"/>
        <v>1.5210798516289481</v>
      </c>
      <c r="F11" s="266">
        <f t="shared" si="1"/>
        <v>3.4034406533471673</v>
      </c>
    </row>
    <row r="12" spans="1:27">
      <c r="A12" s="185"/>
      <c r="B12" s="264">
        <f>Inflation_FWD!H7</f>
        <v>42736</v>
      </c>
      <c r="C12" s="263">
        <f>VLOOKUP(B12,Inflation_FWD!$H:$I,2,0)</f>
        <v>1.0609677541586482E-3</v>
      </c>
      <c r="D12" s="265">
        <f t="shared" si="2"/>
        <v>1.2806169489994135</v>
      </c>
      <c r="E12" s="265">
        <f t="shared" si="0"/>
        <v>3.8531690054125267</v>
      </c>
      <c r="F12" s="266">
        <f t="shared" si="1"/>
        <v>2.8132594010579437</v>
      </c>
    </row>
    <row r="13" spans="1:27">
      <c r="A13" s="185"/>
      <c r="B13" s="264">
        <f>Inflation_FWD!H8</f>
        <v>42767</v>
      </c>
      <c r="C13" s="263">
        <f>VLOOKUP(B13,Inflation_FWD!$H:$I,2,0)</f>
        <v>1.4567003326859673E-3</v>
      </c>
      <c r="D13" s="265">
        <f t="shared" si="2"/>
        <v>1.7621136671269744</v>
      </c>
      <c r="E13" s="265">
        <f t="shared" si="0"/>
        <v>4.4225254188404284</v>
      </c>
      <c r="F13" s="266">
        <f t="shared" si="1"/>
        <v>2.6504356190490297</v>
      </c>
      <c r="H13" s="185"/>
    </row>
    <row r="14" spans="1:27">
      <c r="A14" s="185"/>
      <c r="B14" s="264">
        <f>Inflation_FWD!H9</f>
        <v>42795</v>
      </c>
      <c r="C14" s="263">
        <f>VLOOKUP(B14,Inflation_FWD!$H:$I,2,0)</f>
        <v>4.8574320657637227E-3</v>
      </c>
      <c r="D14" s="265">
        <f t="shared" si="2"/>
        <v>5.9871923233340452</v>
      </c>
      <c r="E14" s="265">
        <f t="shared" si="0"/>
        <v>2.8330575329540642</v>
      </c>
      <c r="F14" s="266">
        <f t="shared" si="1"/>
        <v>2.5434943454361703</v>
      </c>
    </row>
    <row r="15" spans="1:27" ht="12.75" customHeight="1">
      <c r="A15" s="185"/>
      <c r="B15" s="264">
        <f>Inflation_FWD!H10</f>
        <v>42826</v>
      </c>
      <c r="C15" s="263">
        <f>VLOOKUP(B15,Inflation_FWD!$H:$I,2,0)</f>
        <v>2.3696682464455776E-3</v>
      </c>
      <c r="D15" s="265">
        <f t="shared" si="2"/>
        <v>2.8809573668434618</v>
      </c>
      <c r="E15" s="265">
        <f t="shared" si="0"/>
        <v>2.8936788278011605</v>
      </c>
      <c r="F15" s="266"/>
    </row>
    <row r="16" spans="1:27">
      <c r="A16" s="185"/>
      <c r="B16" s="264">
        <f>Inflation_FWD!H11</f>
        <v>42856</v>
      </c>
      <c r="C16" s="263">
        <f>VLOOKUP(B16,Inflation_FWD!$H:$I,2,0)</f>
        <v>2.2918717672695266E-3</v>
      </c>
      <c r="D16" s="265">
        <f t="shared" si="2"/>
        <v>2.7851800005103788</v>
      </c>
      <c r="E16" s="265">
        <f t="shared" si="0"/>
        <v>2.9796370447618292</v>
      </c>
      <c r="F16" s="266"/>
    </row>
    <row r="17" spans="1:34">
      <c r="A17" s="185"/>
      <c r="B17" s="264">
        <f>Inflation_FWD!H12</f>
        <v>42887</v>
      </c>
      <c r="C17" s="263">
        <f>VLOOKUP(B17,Inflation_FWD!$H:$I,2,0)</f>
        <v>2.4681288458374695E-3</v>
      </c>
      <c r="D17" s="265">
        <f t="shared" si="2"/>
        <v>3.002292185178157</v>
      </c>
      <c r="E17" s="265">
        <f t="shared" si="0"/>
        <v>2.8338021947026171</v>
      </c>
      <c r="F17" s="266"/>
    </row>
    <row r="18" spans="1:34">
      <c r="A18" s="185"/>
      <c r="B18" s="264">
        <f>Inflation_FWD!H13</f>
        <v>42917</v>
      </c>
      <c r="C18" s="263">
        <f>VLOOKUP(B18,Inflation_FWD!$H:$I,2,0)</f>
        <v>2.4313770134691826E-3</v>
      </c>
      <c r="D18" s="265">
        <f t="shared" si="2"/>
        <v>2.9569868872968419</v>
      </c>
      <c r="E18" s="265">
        <f t="shared" si="0"/>
        <v>4.4133753420147803</v>
      </c>
      <c r="F18" s="266"/>
    </row>
    <row r="19" spans="1:34">
      <c r="A19" s="185"/>
      <c r="B19" s="264">
        <f>Inflation_FWD!H14</f>
        <v>42948</v>
      </c>
      <c r="C19" s="263">
        <f>VLOOKUP(B19,Inflation_FWD!$H:$I,2,0)</f>
        <v>2.2313811864771438E-3</v>
      </c>
      <c r="D19" s="265">
        <f t="shared" si="2"/>
        <v>2.7107648885943858</v>
      </c>
      <c r="E19" s="265">
        <f t="shared" si="0"/>
        <v>4.5546944099390307</v>
      </c>
      <c r="F19" s="266"/>
    </row>
    <row r="20" spans="1:34">
      <c r="A20" s="185"/>
      <c r="B20" s="264">
        <f>Inflation_FWD!H15</f>
        <v>42979</v>
      </c>
      <c r="C20" s="263">
        <f>VLOOKUP(B20,Inflation_FWD!$H:$I,2,0)</f>
        <v>4.9814037148196988E-3</v>
      </c>
      <c r="D20" s="265">
        <f t="shared" si="2"/>
        <v>6.1442095396476049</v>
      </c>
      <c r="E20" s="265">
        <f t="shared" si="0"/>
        <v>2.1269869458815593</v>
      </c>
      <c r="F20" s="266"/>
    </row>
    <row r="21" spans="1:34">
      <c r="A21" s="185"/>
      <c r="B21" s="264">
        <f>Inflation_FWD!H16</f>
        <v>43009</v>
      </c>
      <c r="C21" s="263">
        <f>VLOOKUP(B21,Inflation_FWD!$H:$I,2,0)</f>
        <v>2.457333396104433E-3</v>
      </c>
      <c r="D21" s="265">
        <f t="shared" si="2"/>
        <v>2.9889823530360848</v>
      </c>
      <c r="E21" s="265">
        <f t="shared" si="0"/>
        <v>0.96839414303904192</v>
      </c>
      <c r="F21" s="266"/>
    </row>
    <row r="22" spans="1:34">
      <c r="A22" s="185"/>
      <c r="B22" s="264">
        <f>Inflation_FWD!H17</f>
        <v>43040</v>
      </c>
      <c r="C22" s="263">
        <f>VLOOKUP(B22,Inflation_FWD!$H:$I,2,0)</f>
        <v>1.0540398573559706E-3</v>
      </c>
      <c r="D22" s="265">
        <f t="shared" si="2"/>
        <v>1.2722062530097888</v>
      </c>
      <c r="E22" s="265">
        <f t="shared" si="0"/>
        <v>1.0439519590561996</v>
      </c>
      <c r="F22" s="266"/>
    </row>
    <row r="23" spans="1:34">
      <c r="A23" s="185"/>
      <c r="B23" s="264">
        <f>Inflation_FWD!H18</f>
        <v>43070</v>
      </c>
      <c r="C23" s="263">
        <f>VLOOKUP(B23,Inflation_FWD!$H:$I,2,0)</f>
        <v>5.5289347585696369E-4</v>
      </c>
      <c r="D23" s="265">
        <f t="shared" si="2"/>
        <v>0.66549345587207931</v>
      </c>
      <c r="E23" s="265">
        <f t="shared" si="0"/>
        <v>1.6244439912666886</v>
      </c>
      <c r="F23" s="266"/>
    </row>
    <row r="24" spans="1:34">
      <c r="A24" s="185"/>
      <c r="B24" s="264">
        <f>Inflation_FWD!H19</f>
        <v>43101</v>
      </c>
      <c r="C24" s="263">
        <f>VLOOKUP(B24,Inflation_FWD!$H:$I,2,0)</f>
        <v>1.1788543009763064E-3</v>
      </c>
      <c r="D24" s="265">
        <f t="shared" si="2"/>
        <v>1.4238333017230653</v>
      </c>
      <c r="E24" s="266"/>
      <c r="F24" s="266"/>
    </row>
    <row r="25" spans="1:34">
      <c r="A25" s="185"/>
      <c r="B25" s="264">
        <f>Inflation_FWD!H20</f>
        <v>43132</v>
      </c>
      <c r="C25" s="263">
        <f>VLOOKUP(B25,Inflation_FWD!$H:$I,2,0)</f>
        <v>1.5086286197887322E-3</v>
      </c>
      <c r="D25" s="265">
        <f t="shared" si="2"/>
        <v>1.8254514775734254</v>
      </c>
      <c r="E25" s="266"/>
      <c r="F25" s="266"/>
    </row>
    <row r="26" spans="1:34">
      <c r="A26" s="185"/>
      <c r="B26" s="433"/>
      <c r="C26" s="434"/>
      <c r="D26" s="435"/>
      <c r="E26" s="436"/>
      <c r="F26" s="436"/>
    </row>
    <row r="27" spans="1:34">
      <c r="A27" s="185"/>
      <c r="B27" s="433"/>
      <c r="C27" s="434"/>
      <c r="D27" s="435"/>
      <c r="E27" s="436"/>
      <c r="F27" s="436"/>
    </row>
    <row r="28" spans="1:34">
      <c r="A28" s="185"/>
    </row>
    <row r="29" spans="1:34">
      <c r="A29" s="185"/>
      <c r="W29" s="381" t="s">
        <v>241</v>
      </c>
      <c r="X29" s="382" t="s">
        <v>242</v>
      </c>
      <c r="Y29" s="382" t="s">
        <v>243</v>
      </c>
      <c r="Z29" s="382" t="s">
        <v>244</v>
      </c>
      <c r="AA29" s="382" t="s">
        <v>245</v>
      </c>
      <c r="AB29" s="382" t="s">
        <v>252</v>
      </c>
      <c r="AD29" s="349" t="s">
        <v>437</v>
      </c>
    </row>
    <row r="30" spans="1:34" ht="13.5" customHeight="1" thickBot="1">
      <c r="A30" s="185"/>
      <c r="B30" s="581" t="str">
        <f>"Swap BEI 2YR Model (R² = " &amp;$AB$30&amp;")"</f>
        <v>Swap BEI 2YR Model (R² = 0,76)</v>
      </c>
      <c r="C30" s="582"/>
      <c r="D30" s="582"/>
      <c r="E30" s="582"/>
      <c r="F30" s="582"/>
      <c r="G30" s="582"/>
      <c r="H30" s="582"/>
      <c r="W30" s="381" t="s">
        <v>251</v>
      </c>
      <c r="X30" s="383">
        <v>0.06</v>
      </c>
      <c r="Y30" s="383">
        <v>0.09</v>
      </c>
      <c r="Z30" s="383">
        <v>0.4</v>
      </c>
      <c r="AA30" s="383">
        <v>1.27</v>
      </c>
      <c r="AB30" s="383">
        <v>0.76</v>
      </c>
      <c r="AD30" s="383">
        <v>7.0000000000000007E-2</v>
      </c>
      <c r="AE30" s="383">
        <v>0.11</v>
      </c>
      <c r="AF30" s="383">
        <v>0.55000000000000004</v>
      </c>
      <c r="AG30" s="383">
        <v>0.82</v>
      </c>
      <c r="AH30" s="383">
        <v>0.8</v>
      </c>
    </row>
    <row r="31" spans="1:34" ht="13.5" customHeight="1">
      <c r="A31" s="185"/>
      <c r="W31" s="381" t="s">
        <v>254</v>
      </c>
      <c r="X31" s="383">
        <v>0.03</v>
      </c>
      <c r="Y31" s="383">
        <v>0.05</v>
      </c>
      <c r="Z31" s="383">
        <v>0.34</v>
      </c>
      <c r="AA31" s="383">
        <v>1.75</v>
      </c>
      <c r="AB31" s="383">
        <v>0.75</v>
      </c>
      <c r="AD31" s="383">
        <v>0.04</v>
      </c>
      <c r="AE31" s="383">
        <v>7.0000000000000007E-2</v>
      </c>
      <c r="AF31" s="383">
        <v>0.48</v>
      </c>
      <c r="AG31" s="383">
        <v>1.3</v>
      </c>
      <c r="AH31" s="383">
        <v>0.83</v>
      </c>
    </row>
    <row r="32" spans="1:34" ht="12.75" customHeight="1">
      <c r="A32" s="185"/>
      <c r="B32" s="584" t="str">
        <f>"BEI 2YR  =  " &amp; $X$30 &amp; " x 1 MO + " &amp; $Y$30 &amp; " x (Next 2 MO) + " &amp; $Z$30 &amp; " x (Next 9 MO) + " &amp; $AA$30</f>
        <v>BEI 2YR  =  0,06 x 1 MO + 0,09 x (Next 2 MO) + 0,4 x (Next 9 MO) + 1,27</v>
      </c>
      <c r="C32" s="584"/>
      <c r="D32" s="584"/>
      <c r="E32" s="584"/>
      <c r="F32" s="584"/>
      <c r="G32" s="584"/>
      <c r="H32" s="584"/>
    </row>
    <row r="33" spans="1:33">
      <c r="A33" s="185"/>
    </row>
    <row r="35" spans="1:33" ht="12.75" thickBot="1">
      <c r="E35" s="401" t="s">
        <v>261</v>
      </c>
      <c r="F35" s="402"/>
      <c r="G35" s="401" t="s">
        <v>255</v>
      </c>
      <c r="H35" s="402"/>
      <c r="AB35" s="384"/>
      <c r="AC35" s="385"/>
      <c r="AD35" s="385"/>
    </row>
    <row r="36" spans="1:33" ht="24.75" thickBot="1">
      <c r="B36" s="401" t="s">
        <v>257</v>
      </c>
      <c r="C36" s="402"/>
      <c r="D36" s="262" t="s">
        <v>156</v>
      </c>
      <c r="E36" s="220" t="s">
        <v>263</v>
      </c>
      <c r="F36" s="220" t="s">
        <v>262</v>
      </c>
      <c r="G36" s="337" t="s">
        <v>185</v>
      </c>
      <c r="H36" s="337" t="s">
        <v>149</v>
      </c>
    </row>
    <row r="37" spans="1:33">
      <c r="B37" s="264" t="s">
        <v>259</v>
      </c>
      <c r="C37" s="264"/>
      <c r="D37" s="208">
        <f ca="1">fechaHoy</f>
        <v>42670</v>
      </c>
      <c r="E37" s="207">
        <f>_xll.BDP("CHSWP"&amp;$W$37&amp;" Curncy","PX_LAST")</f>
        <v>3.24</v>
      </c>
      <c r="F37" s="207">
        <f>_xll.BDP("CHSWC"&amp;$W$37&amp;" Curncy","PX_LAST")</f>
        <v>0.55000000000000004</v>
      </c>
      <c r="G37" s="207">
        <f t="shared" ref="G37:G42" si="3">E37-F37</f>
        <v>2.6900000000000004</v>
      </c>
      <c r="H37" s="207">
        <f t="shared" ref="H37:H42" si="4">SUMPRODUCT(D9:F9,$X$30:$Z$30)+$AA$30</f>
        <v>2.8795746942926157</v>
      </c>
      <c r="W37" s="349">
        <v>2</v>
      </c>
      <c r="X37" s="349" t="s">
        <v>264</v>
      </c>
    </row>
    <row r="38" spans="1:33" ht="13.5" customHeight="1">
      <c r="B38" s="264" t="str">
        <f>W40&amp;" MO FWD"</f>
        <v>1 MO FWD</v>
      </c>
      <c r="C38" s="264"/>
      <c r="D38" s="208">
        <f ca="1">EDATE(fechaHoy,$W40)</f>
        <v>42701</v>
      </c>
      <c r="E38" s="207">
        <f ca="1">$E$37+AC40/100</f>
        <v>3.2280205292970305</v>
      </c>
      <c r="F38" s="207">
        <f ca="1">$F$37+AF40/100</f>
        <v>0.53393772325035149</v>
      </c>
      <c r="G38" s="207">
        <f t="shared" ca="1" si="3"/>
        <v>2.694082806046679</v>
      </c>
      <c r="H38" s="207">
        <f t="shared" si="4"/>
        <v>2.7631166579315538</v>
      </c>
      <c r="W38" s="381" t="s">
        <v>94</v>
      </c>
      <c r="X38" s="381" t="s">
        <v>266</v>
      </c>
      <c r="Y38" s="381" t="s">
        <v>268</v>
      </c>
      <c r="Z38" s="386" t="s">
        <v>267</v>
      </c>
      <c r="AA38" s="380" t="s">
        <v>357</v>
      </c>
      <c r="AB38" s="380" t="s">
        <v>358</v>
      </c>
      <c r="AC38" s="380" t="s">
        <v>359</v>
      </c>
      <c r="AD38" s="380" t="s">
        <v>360</v>
      </c>
      <c r="AE38" s="380" t="s">
        <v>361</v>
      </c>
      <c r="AF38" s="380" t="s">
        <v>362</v>
      </c>
      <c r="AG38" s="380" t="s">
        <v>363</v>
      </c>
    </row>
    <row r="39" spans="1:33">
      <c r="B39" s="264" t="str">
        <f>W41&amp;" MO FWD"</f>
        <v>2 MO FWD</v>
      </c>
      <c r="C39" s="264"/>
      <c r="D39" s="208">
        <f ca="1">EDATE(fechaHoy,$W41)</f>
        <v>42731</v>
      </c>
      <c r="E39" s="207">
        <f ca="1">$E$37+AC41/100</f>
        <v>3.2156855541577247</v>
      </c>
      <c r="F39" s="207">
        <f ca="1">$F$37+AF41/100</f>
        <v>0.46106318973206672</v>
      </c>
      <c r="G39" s="207">
        <f t="shared" ca="1" si="3"/>
        <v>2.754622364425658</v>
      </c>
      <c r="H39" s="207">
        <f t="shared" si="4"/>
        <v>2.8011088473882975</v>
      </c>
      <c r="W39" s="382"/>
      <c r="X39" s="382"/>
      <c r="Y39" s="382"/>
      <c r="Z39" s="387"/>
      <c r="AA39" s="379"/>
      <c r="AB39" s="379"/>
      <c r="AC39" s="379"/>
      <c r="AD39" s="379"/>
      <c r="AE39" s="379"/>
      <c r="AF39" s="379"/>
      <c r="AG39" s="379"/>
    </row>
    <row r="40" spans="1:33">
      <c r="B40" s="264" t="str">
        <f>W42&amp;" MO FWD"</f>
        <v>3 MO FWD</v>
      </c>
      <c r="C40" s="264"/>
      <c r="D40" s="208">
        <f ca="1">EDATE(fechaHoy,$W42)</f>
        <v>42762</v>
      </c>
      <c r="E40" s="207">
        <f ca="1">$E$37+AC42/100</f>
        <v>3.2029451073494455</v>
      </c>
      <c r="F40" s="207">
        <f ca="1">$F$37+AF42/100</f>
        <v>0.31084649233726713</v>
      </c>
      <c r="G40" s="207">
        <f t="shared" ca="1" si="3"/>
        <v>2.8920986150121784</v>
      </c>
      <c r="H40" s="207">
        <f t="shared" si="4"/>
        <v>2.8189259878502697</v>
      </c>
      <c r="W40" s="388">
        <v>1</v>
      </c>
      <c r="X40" s="389">
        <f ca="1">Lin_Interp(W40*30,Zero_swap_CL!$J$2:$J$5,Zero_swap_CL!$E$2:$E$5)/12</f>
        <v>0.29141752577319585</v>
      </c>
      <c r="Y40" s="390">
        <f ca="1">((1+X40/100*W40)/(1+Z40)-1)/W40*100</f>
        <v>8.6050042716445674E-3</v>
      </c>
      <c r="Z40" s="391">
        <f ca="1">(Geom_Interp(30*W40,Inflation_FWD!$J$2:$J$20,Inflation_FWD!$C$2:$C$20)/CLFCLPt)-1</f>
        <v>2.8278818756592994E-3</v>
      </c>
      <c r="AA40" s="392">
        <f ca="1">(forwardZeroRate(360,Lin_Interp(30*$W40,Zero_swap_CL!$J$2:$J$18,Zero_swap_CL!$K$2:$K$18),Lin_Interp(ROUND($W$37*365,0),Zero_swap_CL!$J$2:$J$18,Zero_swap_CL!$K$2:$K$18),30*$W40,$W$37*365)-Lin_Interp(ROUND($W$37*365,0),Zero_swap_CL!$J$2:$J$18,Zero_swap_CL!$K$2:$K$18))*100</f>
        <v>-1.238734458632651</v>
      </c>
      <c r="AB40" s="392">
        <f ca="1">(Lin_Interp(ROUND($W$37*365,0),Zero_swap_CL!$J$2:$J$18,Zero_swap_CL!$K$2:$K$18)-Lin_Interp(ROUND($W$37*365-$W40*30,0),Zero_swap_CL!$J$2:$J$18,Zero_swap_CL!$K$2:$K$18))*100</f>
        <v>4.0787388335683517E-2</v>
      </c>
      <c r="AC40" s="392">
        <f ca="1">AA40+AB40</f>
        <v>-1.1979470702969675</v>
      </c>
      <c r="AD40" s="393">
        <f ca="1">(forwardZeroRate(365,Lin_Interp($W40*30,Zero_swap_CL!$O$23:$O$94,Zero_swap_CL!$S$23:$S$94),Lin_Interp(ROUND($W$37*365,0),Zero_swap_CL!$O$23:$O$94,Zero_swap_CL!$S$23:$S$94),$W40*30,$W$37*365)-Lin_Interp(ROUND($W$37*365,0),Zero_swap_CL!$O$23:$O$94,Zero_swap_CL!$S$23:$S$94))*100</f>
        <v>1.9504988052278516</v>
      </c>
      <c r="AE40" s="392">
        <f ca="1">(Lin_Interp(ROUND($W$37*365,0),Zero_swap_CL!$O$23:$O$94,Zero_swap_CL!$S$23:$S$94)-Lin_Interp(ROUND($W$37*365-$W40*30,0),Zero_swap_CL!$O$23:$O$94,Zero_swap_CL!$S$23:$S$94))*100</f>
        <v>-3.5567264801927068</v>
      </c>
      <c r="AF40" s="393">
        <f ca="1">AD40+AE40</f>
        <v>-1.6062276749648552</v>
      </c>
      <c r="AG40" s="393">
        <f ca="1">AF40-AC40</f>
        <v>-0.40828060466788774</v>
      </c>
    </row>
    <row r="41" spans="1:33">
      <c r="B41" s="264" t="str">
        <f>W43&amp;" MO FWD"</f>
        <v>4 MO FWD</v>
      </c>
      <c r="C41" s="264"/>
      <c r="D41" s="208">
        <f ca="1">EDATE(fechaHoy,$W43)</f>
        <v>42793</v>
      </c>
      <c r="E41" s="207">
        <f ca="1">$E$37+AC43/100</f>
        <v>3.1941983990788216</v>
      </c>
      <c r="F41" s="207">
        <f ca="1">$F$37+AF43/100</f>
        <v>0.17726483882860483</v>
      </c>
      <c r="G41" s="207">
        <f t="shared" ca="1" si="3"/>
        <v>3.0169335602502168</v>
      </c>
      <c r="H41" s="207">
        <f t="shared" si="4"/>
        <v>2.8339283553428691</v>
      </c>
      <c r="W41" s="388">
        <v>2</v>
      </c>
      <c r="X41" s="389">
        <f ca="1">Lin_Interp(W41*30,Zero_swap_CL!$J$2:$J$5,Zero_swap_CL!$E$2:$E$5)/12</f>
        <v>0.29115979381443297</v>
      </c>
      <c r="Y41" s="390">
        <f ca="1">((1+X41/100*W41)/(1+Z41)-1)/W41*100</f>
        <v>6.2831737298207901E-2</v>
      </c>
      <c r="Z41" s="391">
        <f ca="1">(Geom_Interp(30*W41,Inflation_FWD!$J$3:$J$20,Inflation_FWD!$C$3:$C$20)/CLFCLPt)-1</f>
        <v>4.560829833085922E-3</v>
      </c>
      <c r="AA41" s="392">
        <f ca="1">(forwardZeroRate(360,Lin_Interp(30*$W41,Zero_swap_CL!$J$2:$J$18,Zero_swap_CL!$K$2:$K$18),Lin_Interp(ROUND($W$37*365,0),Zero_swap_CL!$J$2:$J$18,Zero_swap_CL!$K$2:$K$18),30*$W41,$W$37*365)-Lin_Interp(ROUND($W$37*365,0),Zero_swap_CL!$J$2:$J$18,Zero_swap_CL!$K$2:$K$18))*100</f>
        <v>-2.5130193608988716</v>
      </c>
      <c r="AB41" s="392">
        <f ca="1">(Lin_Interp(ROUND($W$37*365,0),Zero_swap_CL!$J$2:$J$18,Zero_swap_CL!$K$2:$K$18)-Lin_Interp(ROUND($W$37*365-$W41*30,0),Zero_swap_CL!$J$2:$J$18,Zero_swap_CL!$K$2:$K$18))*100</f>
        <v>8.1574776671322624E-2</v>
      </c>
      <c r="AC41" s="392">
        <f ca="1">AA41+AB41</f>
        <v>-2.4314445842275489</v>
      </c>
      <c r="AD41" s="393">
        <f ca="1">(forwardZeroRate(365,Lin_Interp($W41*30,Zero_swap_CL!$O$23:$O$94,Zero_swap_CL!$S$23:$S$94),Lin_Interp(ROUND($W$37*365,0),Zero_swap_CL!$O$23:$O$94,Zero_swap_CL!$S$23:$S$94),$W41*30,$W$37*365)-Lin_Interp(ROUND($W$37*365,0),Zero_swap_CL!$O$23:$O$94,Zero_swap_CL!$S$23:$S$94))*100</f>
        <v>-1.7802280664079295</v>
      </c>
      <c r="AE41" s="392">
        <f ca="1">(Lin_Interp(ROUND($W$37*365,0),Zero_swap_CL!$O$23:$O$94,Zero_swap_CL!$S$23:$S$94)-Lin_Interp(ROUND($W$37*365-$W41*30,0),Zero_swap_CL!$O$23:$O$94,Zero_swap_CL!$S$23:$S$94))*100</f>
        <v>-7.113452960385402</v>
      </c>
      <c r="AF41" s="393">
        <f ca="1">AD41+AE41</f>
        <v>-8.8936810267933311</v>
      </c>
      <c r="AG41" s="393">
        <f ca="1">AF41-AC41</f>
        <v>-6.4622364425657821</v>
      </c>
    </row>
    <row r="42" spans="1:33">
      <c r="B42" s="264" t="str">
        <f>W44&amp;" MO FWD"</f>
        <v>5 MO FWD</v>
      </c>
      <c r="C42" s="264"/>
      <c r="D42" s="208">
        <f ca="1">EDATE(fechaHoy,$W44)</f>
        <v>42821</v>
      </c>
      <c r="E42" s="207">
        <f ca="1">$E$37+AC44/100</f>
        <v>3.1898539568036046</v>
      </c>
      <c r="F42" s="207">
        <f ca="1">$F$37+AF44/100</f>
        <v>7.010928104350661E-2</v>
      </c>
      <c r="G42" s="207">
        <f t="shared" ca="1" si="3"/>
        <v>3.119744675760098</v>
      </c>
      <c r="H42" s="207">
        <f t="shared" si="4"/>
        <v>2.9016044555403768</v>
      </c>
      <c r="W42" s="388">
        <v>3</v>
      </c>
      <c r="X42" s="389">
        <f ca="1">Lin_Interp(W42*30,Zero_swap_CL!$J$2:$J$5,Zero_swap_CL!$E$2:$E$5)/12</f>
        <v>0.29090206185567014</v>
      </c>
      <c r="Y42" s="390">
        <f ca="1">((1+X42/100*W42)/(1+Z42)-1)/W42*100</f>
        <v>0.12465814139622407</v>
      </c>
      <c r="Z42" s="391">
        <f ca="1">(Geom_Interp(30*W42,Inflation_FWD!$J$3:$J$20,Inflation_FWD!$C$3:$C$20)/CLFCLPt)-1</f>
        <v>4.9687358126386805E-3</v>
      </c>
      <c r="AA42" s="392">
        <f ca="1">(forwardZeroRate(360,Lin_Interp(30*$W42,Zero_swap_CL!$J$2:$J$18,Zero_swap_CL!$K$2:$K$18),Lin_Interp(ROUND($W$37*365,0),Zero_swap_CL!$J$2:$J$18,Zero_swap_CL!$K$2:$K$18),30*$W42,$W$37*365)-Lin_Interp(ROUND($W$37*365,0),Zero_swap_CL!$J$2:$J$18,Zero_swap_CL!$K$2:$K$18))*100</f>
        <v>-3.8278514300624789</v>
      </c>
      <c r="AB42" s="392">
        <f ca="1">(Lin_Interp(ROUND($W$37*365,0),Zero_swap_CL!$J$2:$J$18,Zero_swap_CL!$K$2:$K$18)-Lin_Interp(ROUND($W$37*365-$W42*30,0),Zero_swap_CL!$J$2:$J$18,Zero_swap_CL!$K$2:$K$18))*100</f>
        <v>0.12236216500700614</v>
      </c>
      <c r="AC42" s="392">
        <f ca="1">AA42+AB42</f>
        <v>-3.7054892650554727</v>
      </c>
      <c r="AD42" s="393">
        <f ca="1">(forwardZeroRate(365,Lin_Interp($W42*30,Zero_swap_CL!$O$23:$O$94,Zero_swap_CL!$S$23:$S$94),Lin_Interp(ROUND($W$37*365,0),Zero_swap_CL!$O$23:$O$94,Zero_swap_CL!$S$23:$S$94),$W42*30,$W$37*365)-Lin_Interp(ROUND($W$37*365,0),Zero_swap_CL!$O$23:$O$94,Zero_swap_CL!$S$23:$S$94))*100</f>
        <v>-13.245171325695193</v>
      </c>
      <c r="AE42" s="392">
        <f ca="1">(Lin_Interp(ROUND($W$37*365,0),Zero_swap_CL!$O$23:$O$94,Zero_swap_CL!$S$23:$S$94)-Lin_Interp(ROUND($W$37*365-$W42*30,0),Zero_swap_CL!$O$23:$O$94,Zero_swap_CL!$S$23:$S$94))*100</f>
        <v>-10.670179440578098</v>
      </c>
      <c r="AF42" s="393">
        <f ca="1">AD42+AE42</f>
        <v>-23.915350766273292</v>
      </c>
      <c r="AG42" s="393">
        <f ca="1">AF42-AC42</f>
        <v>-20.209861501217819</v>
      </c>
    </row>
    <row r="43" spans="1:33">
      <c r="W43" s="388">
        <v>4</v>
      </c>
      <c r="X43" s="389">
        <f ca="1">Lin_Interp(W43*30,Zero_swap_CL!$J$2:$J$5,Zero_swap_CL!$E$2:$E$5)/12</f>
        <v>0.28877340823970038</v>
      </c>
      <c r="Y43" s="390">
        <f ca="1">((1+X43/100*W43)/(1+Z43)-1)/W43*100</f>
        <v>0.1439166703362027</v>
      </c>
      <c r="Z43" s="391">
        <f ca="1">(Geom_Interp(30*W43,Inflation_FWD!$J$3:$J$20,Inflation_FWD!$C$3:$C$20)/CLFCLPt)-1</f>
        <v>5.7611047555845563E-3</v>
      </c>
      <c r="AA43" s="392">
        <f ca="1">(forwardZeroRate(360,Lin_Interp(30*$W43,Zero_swap_CL!$J$2:$J$18,Zero_swap_CL!$K$2:$K$18),Lin_Interp(ROUND($W$37*365,0),Zero_swap_CL!$J$2:$J$18,Zero_swap_CL!$K$2:$K$18),30*$W43,$W$37*365)-Lin_Interp(ROUND($W$37*365,0),Zero_swap_CL!$J$2:$J$18,Zero_swap_CL!$K$2:$K$18))*100</f>
        <v>-4.7433096454605472</v>
      </c>
      <c r="AB43" s="392">
        <f ca="1">(Lin_Interp(ROUND($W$37*365,0),Zero_swap_CL!$J$2:$J$18,Zero_swap_CL!$K$2:$K$18)-Lin_Interp(ROUND($W$37*365-$W43*30,0),Zero_swap_CL!$J$2:$J$18,Zero_swap_CL!$K$2:$K$18))*100</f>
        <v>0.16314955334268966</v>
      </c>
      <c r="AC43" s="392">
        <f ca="1">AA43+AB43</f>
        <v>-4.5801600921178576</v>
      </c>
      <c r="AD43" s="393">
        <f ca="1">(forwardZeroRate(365,Lin_Interp($W43*30,Zero_swap_CL!$O$23:$O$94,Zero_swap_CL!$S$23:$S$94),Lin_Interp(ROUND($W$37*365,0),Zero_swap_CL!$O$23:$O$94,Zero_swap_CL!$S$23:$S$94),$W43*30,$W$37*365)-Lin_Interp(ROUND($W$37*365,0),Zero_swap_CL!$O$23:$O$94,Zero_swap_CL!$S$23:$S$94))*100</f>
        <v>-23.046610196368722</v>
      </c>
      <c r="AE43" s="392">
        <f ca="1">(Lin_Interp(ROUND($W$37*365,0),Zero_swap_CL!$O$23:$O$94,Zero_swap_CL!$S$23:$S$94)-Lin_Interp(ROUND($W$37*365-$W43*30,0),Zero_swap_CL!$O$23:$O$94,Zero_swap_CL!$S$23:$S$94))*100</f>
        <v>-14.226905920770804</v>
      </c>
      <c r="AF43" s="393">
        <f ca="1">AD43+AE43</f>
        <v>-37.273516117139522</v>
      </c>
      <c r="AG43" s="393">
        <f ca="1">AF43-AC43</f>
        <v>-32.693356025021664</v>
      </c>
    </row>
    <row r="44" spans="1:33" ht="13.5" thickBot="1">
      <c r="B44" s="370"/>
      <c r="C44" s="577" t="s">
        <v>366</v>
      </c>
      <c r="D44" s="578"/>
      <c r="E44" s="578"/>
      <c r="F44" s="578"/>
      <c r="G44" s="578"/>
      <c r="H44" s="578"/>
      <c r="I44" s="577" t="s">
        <v>367</v>
      </c>
      <c r="J44" s="578"/>
      <c r="K44" s="578"/>
      <c r="L44" s="578"/>
      <c r="M44" s="578"/>
      <c r="N44" s="578"/>
      <c r="O44" s="577" t="s">
        <v>365</v>
      </c>
      <c r="P44" s="578"/>
      <c r="Q44" s="578"/>
      <c r="R44" s="578"/>
      <c r="S44" s="578"/>
      <c r="T44" s="578"/>
      <c r="W44" s="388">
        <v>5</v>
      </c>
      <c r="X44" s="389">
        <f ca="1">Lin_Interp(W44*30,Zero_swap_CL!$J$2:$J$5,Zero_swap_CL!$E$2:$E$5)/12</f>
        <v>0.28596441947565543</v>
      </c>
      <c r="Y44" s="390">
        <f ca="1">((1+X44/100*W44)/(1+Z44)-1)/W44*100</f>
        <v>0.14375028056332173</v>
      </c>
      <c r="Z44" s="391">
        <f ca="1">(Geom_Interp(30*W44,Inflation_FWD!$J$3:$J$20,Inflation_FWD!$C$3:$C$20)/CLFCLPt)-1</f>
        <v>7.0599633599288669E-3</v>
      </c>
      <c r="AA44" s="392">
        <f ca="1">(forwardZeroRate(360,Lin_Interp(30*$W44,Zero_swap_CL!$J$2:$J$18,Zero_swap_CL!$K$2:$K$18),Lin_Interp(ROUND($W$37*365,0),Zero_swap_CL!$J$2:$J$18,Zero_swap_CL!$K$2:$K$18),30*$W44,$W$37*365)-Lin_Interp(ROUND($W$37*365,0),Zero_swap_CL!$J$2:$J$18,Zero_swap_CL!$K$2:$K$18))*100</f>
        <v>-5.2185412613179327</v>
      </c>
      <c r="AB44" s="392">
        <f ca="1">(Lin_Interp(ROUND($W$37*365,0),Zero_swap_CL!$J$2:$J$18,Zero_swap_CL!$K$2:$K$18)-Lin_Interp(ROUND($W$37*365-$W44*30,0),Zero_swap_CL!$J$2:$J$18,Zero_swap_CL!$K$2:$K$18))*100</f>
        <v>0.20393694167837317</v>
      </c>
      <c r="AC44" s="392">
        <f ca="1">AA44+AB44</f>
        <v>-5.0146043196395595</v>
      </c>
      <c r="AD44" s="393">
        <f ca="1">(forwardZeroRate(365,Lin_Interp($W44*30,Zero_swap_CL!$O$23:$O$94,Zero_swap_CL!$S$23:$S$94),Lin_Interp(ROUND($W$37*365,0),Zero_swap_CL!$O$23:$O$94,Zero_swap_CL!$S$23:$S$94),$W44*30,$W$37*365)-Lin_Interp(ROUND($W$37*365,0),Zero_swap_CL!$O$23:$O$94,Zero_swap_CL!$S$23:$S$94))*100</f>
        <v>-30.205439494685848</v>
      </c>
      <c r="AE44" s="392">
        <f ca="1">(Lin_Interp(ROUND($W$37*365,0),Zero_swap_CL!$O$23:$O$94,Zero_swap_CL!$S$23:$S$94)-Lin_Interp(ROUND($W$37*365-$W44*30,0),Zero_swap_CL!$O$23:$O$94,Zero_swap_CL!$S$23:$S$94))*100</f>
        <v>-17.783632400963501</v>
      </c>
      <c r="AF44" s="393">
        <f ca="1">AD44+AE44</f>
        <v>-47.989071895649346</v>
      </c>
      <c r="AG44" s="393">
        <f ca="1">AF44-AC44</f>
        <v>-42.974467576009786</v>
      </c>
    </row>
    <row r="45" spans="1:33" ht="13.5" customHeight="1" thickBot="1">
      <c r="B45" s="370"/>
      <c r="C45" s="577" t="s">
        <v>390</v>
      </c>
      <c r="D45" s="578"/>
      <c r="E45" s="578"/>
      <c r="F45" s="578"/>
      <c r="G45" s="578"/>
      <c r="H45" s="578"/>
      <c r="I45" s="578"/>
      <c r="J45" s="578"/>
      <c r="K45" s="578"/>
      <c r="L45" s="578"/>
      <c r="M45" s="578"/>
      <c r="N45" s="578"/>
      <c r="O45" s="578"/>
      <c r="P45" s="578"/>
      <c r="Q45" s="578"/>
      <c r="R45" s="578"/>
      <c r="S45" s="578"/>
      <c r="T45" s="579"/>
      <c r="W45" s="394"/>
    </row>
    <row r="46" spans="1:33" ht="12.75" thickBot="1">
      <c r="B46" s="370"/>
      <c r="C46" s="369">
        <v>1</v>
      </c>
      <c r="D46" s="352">
        <v>5</v>
      </c>
      <c r="E46" s="352">
        <v>10</v>
      </c>
      <c r="F46" s="352">
        <v>20</v>
      </c>
      <c r="G46" s="352">
        <v>30</v>
      </c>
      <c r="H46" s="352">
        <v>60</v>
      </c>
      <c r="I46" s="369">
        <v>1</v>
      </c>
      <c r="J46" s="352">
        <v>5</v>
      </c>
      <c r="K46" s="352">
        <v>10</v>
      </c>
      <c r="L46" s="352">
        <v>20</v>
      </c>
      <c r="M46" s="352">
        <v>30</v>
      </c>
      <c r="N46" s="352">
        <v>60</v>
      </c>
      <c r="O46" s="369">
        <v>1</v>
      </c>
      <c r="P46" s="352">
        <v>5</v>
      </c>
      <c r="Q46" s="352">
        <v>10</v>
      </c>
      <c r="R46" s="352">
        <v>20</v>
      </c>
      <c r="S46" s="352">
        <v>30</v>
      </c>
      <c r="T46" s="352">
        <v>60</v>
      </c>
      <c r="W46" s="394"/>
    </row>
    <row r="47" spans="1:33">
      <c r="B47" s="370" t="s">
        <v>150</v>
      </c>
      <c r="C47" s="373">
        <f ca="1">(forwardZeroRate(360,Lin_Interp(C$46,Zero_swap_CL!$J$2:$J$18,Zero_swap_CL!$K$2:$K$18),Lin_Interp(ROUND($W$37*365,0),Zero_swap_CL!$J$2:$J$18,Zero_swap_CL!$K$2:$K$18),C$46,$W$37*365)-Lin_Interp(ROUND($W$37*365,0),Zero_swap_CL!$J$2:$J$18,Zero_swap_CL!$K$2:$K$18))*100</f>
        <v>-4.0764725488307008E-2</v>
      </c>
      <c r="D47" s="373">
        <f ca="1">(forwardZeroRate(360,Lin_Interp(D$46,Zero_swap_CL!$J$2:$J$18,Zero_swap_CL!$K$2:$K$18),Lin_Interp(ROUND($W$37*365,0),Zero_swap_CL!$J$2:$J$18,Zero_swap_CL!$K$2:$K$18),D$46,$W$37*365)-Lin_Interp(ROUND($W$37*365,0),Zero_swap_CL!$J$2:$J$18,Zero_swap_CL!$K$2:$K$18))*100</f>
        <v>-0.20417416455287274</v>
      </c>
      <c r="E47" s="373">
        <f ca="1">(forwardZeroRate(360,Lin_Interp(E$46,Zero_swap_CL!$J$2:$J$18,Zero_swap_CL!$K$2:$K$18),Lin_Interp(ROUND($W$37*365,0),Zero_swap_CL!$J$2:$J$18,Zero_swap_CL!$K$2:$K$18),E$46,$W$37*365)-Lin_Interp(ROUND($W$37*365,0),Zero_swap_CL!$J$2:$J$18,Zero_swap_CL!$K$2:$K$18))*100</f>
        <v>-0.40923562117689549</v>
      </c>
      <c r="F47" s="373">
        <f ca="1">(forwardZeroRate(360,Lin_Interp(F$46,Zero_swap_CL!$J$2:$J$18,Zero_swap_CL!$K$2:$K$18),Lin_Interp(ROUND($W$37*365,0),Zero_swap_CL!$J$2:$J$18,Zero_swap_CL!$K$2:$K$18),F$46,$W$37*365)-Lin_Interp(ROUND($W$37*365,0),Zero_swap_CL!$J$2:$J$18,Zero_swap_CL!$K$2:$K$18))*100</f>
        <v>-0.8220953585078572</v>
      </c>
      <c r="G47" s="373">
        <f ca="1">(forwardZeroRate(360,Lin_Interp(G$46,Zero_swap_CL!$J$2:$J$18,Zero_swap_CL!$K$2:$K$18),Lin_Interp(ROUND($W$37*365,0),Zero_swap_CL!$J$2:$J$18,Zero_swap_CL!$K$2:$K$18),G$46,$W$37*365)-Lin_Interp(ROUND($W$37*365,0),Zero_swap_CL!$J$2:$J$18,Zero_swap_CL!$K$2:$K$18))*100</f>
        <v>-1.238734458632651</v>
      </c>
      <c r="H47" s="373">
        <f ca="1">(forwardZeroRate(360,Lin_Interp(H$46,Zero_swap_CL!$J$2:$J$18,Zero_swap_CL!$K$2:$K$18),Lin_Interp(ROUND($W$37*365,0),Zero_swap_CL!$J$2:$J$18,Zero_swap_CL!$K$2:$K$18),H$46,$W$37*365)-Lin_Interp(ROUND($W$37*365,0),Zero_swap_CL!$J$2:$J$18,Zero_swap_CL!$K$2:$K$18))*100</f>
        <v>-2.5130193608988716</v>
      </c>
      <c r="I47" s="372">
        <f ca="1">(forwardZeroRate(365,Lin_Interp(I$46,Zero_swap_CL!$O$23:$O$94,Zero_swap_CL!$S$23:$S$94),Lin_Interp(ROUND($W$37*365,0),Zero_swap_CL!$O$23:$O$94,Zero_swap_CL!$S$23:$S$94),I$46,$W$37*365)-Lin_Interp(ROUND($W$37*365,0),Zero_swap_CL!$O$23:$O$94,Zero_swap_CL!$S$23:$S$94))*100</f>
        <v>-8.5996264693577462E-2</v>
      </c>
      <c r="J47" s="372">
        <f ca="1">(forwardZeroRate(365,Lin_Interp(J$46,Zero_swap_CL!$O$23:$O$94,Zero_swap_CL!$S$23:$S$94),Lin_Interp(ROUND($W$37*365,0),Zero_swap_CL!$O$23:$O$94,Zero_swap_CL!$S$23:$S$94),J$46,$W$37*365)-Lin_Interp(ROUND($W$37*365,0),Zero_swap_CL!$O$23:$O$94,Zero_swap_CL!$S$23:$S$94))*100</f>
        <v>-0.43159407379517178</v>
      </c>
      <c r="K47" s="372">
        <f ca="1">(forwardZeroRate(365,Lin_Interp(K$46,Zero_swap_CL!$O$23:$O$94,Zero_swap_CL!$S$23:$S$94),Lin_Interp(ROUND($W$37*365,0),Zero_swap_CL!$O$23:$O$94,Zero_swap_CL!$S$23:$S$94),K$46,$W$37*365)-Lin_Interp(ROUND($W$37*365,0),Zero_swap_CL!$O$23:$O$94,Zero_swap_CL!$S$23:$S$94))*100</f>
        <v>-0.86727031308947433</v>
      </c>
      <c r="L47" s="372">
        <f ca="1">(forwardZeroRate(365,Lin_Interp(L$46,Zero_swap_CL!$O$23:$O$94,Zero_swap_CL!$S$23:$S$94),Lin_Interp(ROUND($W$37*365,0),Zero_swap_CL!$O$23:$O$94,Zero_swap_CL!$S$23:$S$94),L$46,$W$37*365)-Lin_Interp(ROUND($W$37*365,0),Zero_swap_CL!$O$23:$O$94,Zero_swap_CL!$S$23:$S$94))*100</f>
        <v>0.11737455516652728</v>
      </c>
      <c r="M47" s="372">
        <f ca="1">(forwardZeroRate(365,Lin_Interp(M$46,Zero_swap_CL!$O$23:$O$94,Zero_swap_CL!$S$23:$S$94),Lin_Interp(ROUND($W$37*365,0),Zero_swap_CL!$O$23:$O$94,Zero_swap_CL!$S$23:$S$94),M$46,$W$37*365)-Lin_Interp(ROUND($W$37*365,0),Zero_swap_CL!$O$23:$O$94,Zero_swap_CL!$S$23:$S$94))*100</f>
        <v>1.9504988052278516</v>
      </c>
      <c r="N47" s="372">
        <f ca="1">(forwardZeroRate(365,Lin_Interp(N$46,Zero_swap_CL!$O$23:$O$94,Zero_swap_CL!$S$23:$S$94),Lin_Interp(ROUND($W$37*365,0),Zero_swap_CL!$O$23:$O$94,Zero_swap_CL!$S$23:$S$94),N$46,$W$37*365)-Lin_Interp(ROUND($W$37*365,0),Zero_swap_CL!$O$23:$O$94,Zero_swap_CL!$S$23:$S$94))*100</f>
        <v>-1.7802280664079295</v>
      </c>
      <c r="O47" s="371">
        <f ca="1">I47-C47</f>
        <v>-4.5231539205270455E-2</v>
      </c>
      <c r="P47" s="371">
        <f t="shared" ref="P47:T48" ca="1" si="5">J47-D47</f>
        <v>-0.22741990924229905</v>
      </c>
      <c r="Q47" s="371">
        <f t="shared" ca="1" si="5"/>
        <v>-0.45803469191257884</v>
      </c>
      <c r="R47" s="371">
        <f t="shared" ca="1" si="5"/>
        <v>0.93946991367438448</v>
      </c>
      <c r="S47" s="371">
        <f t="shared" ca="1" si="5"/>
        <v>3.1892332638605025</v>
      </c>
      <c r="T47" s="371">
        <f t="shared" ca="1" si="5"/>
        <v>0.73279129449094205</v>
      </c>
      <c r="W47" s="394"/>
    </row>
    <row r="48" spans="1:33" ht="12.75" thickBot="1">
      <c r="B48" s="370" t="s">
        <v>316</v>
      </c>
      <c r="C48" s="373">
        <f ca="1">(Lin_Interp(ROUND($W$37*365,0),Zero_swap_CL!$J$2:$J$18,Zero_swap_CL!$K$2:$K$18)-Lin_Interp(ROUND($W$37*365-C$46,0),Zero_swap_CL!$J$2:$J$18,Zero_swap_CL!$K$2:$K$18))*100</f>
        <v>1.3595796112042535E-3</v>
      </c>
      <c r="D48" s="373">
        <f ca="1">(Lin_Interp(ROUND($W$37*365,0),Zero_swap_CL!$J$2:$J$18,Zero_swap_CL!$K$2:$K$18)-Lin_Interp(ROUND($W$37*365-D$46,0),Zero_swap_CL!$J$2:$J$18,Zero_swap_CL!$K$2:$K$18))*100</f>
        <v>6.7978980559324498E-3</v>
      </c>
      <c r="E48" s="373">
        <f ca="1">(Lin_Interp(ROUND($W$37*365,0),Zero_swap_CL!$J$2:$J$18,Zero_swap_CL!$K$2:$K$18)-Lin_Interp(ROUND($W$37*365-E$46,0),Zero_swap_CL!$J$2:$J$18,Zero_swap_CL!$K$2:$K$18))*100</f>
        <v>1.3595796111909308E-2</v>
      </c>
      <c r="F48" s="373">
        <f ca="1">(Lin_Interp(ROUND($W$37*365,0),Zero_swap_CL!$J$2:$J$18,Zero_swap_CL!$K$2:$K$18)-Lin_Interp(ROUND($W$37*365-F$46,0),Zero_swap_CL!$J$2:$J$18,Zero_swap_CL!$K$2:$K$18))*100</f>
        <v>2.7191592223774208E-2</v>
      </c>
      <c r="G48" s="373">
        <f ca="1">(Lin_Interp(ROUND($W$37*365,0),Zero_swap_CL!$J$2:$J$18,Zero_swap_CL!$K$2:$K$18)-Lin_Interp(ROUND($W$37*365-G$46,0),Zero_swap_CL!$J$2:$J$18,Zero_swap_CL!$K$2:$K$18))*100</f>
        <v>4.0787388335683517E-2</v>
      </c>
      <c r="H48" s="373">
        <f ca="1">(Lin_Interp(ROUND($W$37*365,0),Zero_swap_CL!$J$2:$J$18,Zero_swap_CL!$K$2:$K$18)-Lin_Interp(ROUND($W$37*365-H$46,0),Zero_swap_CL!$J$2:$J$18,Zero_swap_CL!$K$2:$K$18))*100</f>
        <v>8.1574776671322624E-2</v>
      </c>
      <c r="I48" s="372">
        <f ca="1">(Lin_Interp(ROUND($W$37*365,0),Zero_swap_CL!$O$23:$O$94,Zero_swap_CL!$S$23:$S$94)-Lin_Interp(ROUND($W$37*365-I$46,0),Zero_swap_CL!$O$23:$O$94,Zero_swap_CL!$S$23:$S$94))*100</f>
        <v>-0.11855754933975948</v>
      </c>
      <c r="J48" s="372">
        <f ca="1">(Lin_Interp(ROUND($W$37*365,0),Zero_swap_CL!$O$23:$O$94,Zero_swap_CL!$S$23:$S$94)-Lin_Interp(ROUND($W$37*365-J$46,0),Zero_swap_CL!$O$23:$O$94,Zero_swap_CL!$S$23:$S$94))*100</f>
        <v>-0.59278774669878631</v>
      </c>
      <c r="K48" s="372">
        <f ca="1">(Lin_Interp(ROUND($W$37*365,0),Zero_swap_CL!$O$23:$O$94,Zero_swap_CL!$S$23:$S$94)-Lin_Interp(ROUND($W$37*365-K$46,0),Zero_swap_CL!$O$23:$O$94,Zero_swap_CL!$S$23:$S$94))*100</f>
        <v>-1.1855754933975726</v>
      </c>
      <c r="L48" s="372">
        <f ca="1">(Lin_Interp(ROUND($W$37*365,0),Zero_swap_CL!$O$23:$O$94,Zero_swap_CL!$S$23:$S$94)-Lin_Interp(ROUND($W$37*365-L$46,0),Zero_swap_CL!$O$23:$O$94,Zero_swap_CL!$S$23:$S$94))*100</f>
        <v>-2.3711509867951341</v>
      </c>
      <c r="M48" s="372">
        <f ca="1">(Lin_Interp(ROUND($W$37*365,0),Zero_swap_CL!$O$23:$O$94,Zero_swap_CL!$S$23:$S$94)-Lin_Interp(ROUND($W$37*365-M$46,0),Zero_swap_CL!$O$23:$O$94,Zero_swap_CL!$S$23:$S$94))*100</f>
        <v>-3.5567264801927068</v>
      </c>
      <c r="N48" s="372">
        <f ca="1">(Lin_Interp(ROUND($W$37*365,0),Zero_swap_CL!$O$23:$O$94,Zero_swap_CL!$S$23:$S$94)-Lin_Interp(ROUND($W$37*365-N$46,0),Zero_swap_CL!$O$23:$O$94,Zero_swap_CL!$S$23:$S$94))*100</f>
        <v>-7.113452960385402</v>
      </c>
      <c r="O48" s="371">
        <f ca="1">I48-C48</f>
        <v>-0.11991712895096374</v>
      </c>
      <c r="P48" s="371">
        <f t="shared" ca="1" si="5"/>
        <v>-0.59958564475471876</v>
      </c>
      <c r="Q48" s="371">
        <f t="shared" ca="1" si="5"/>
        <v>-1.1991712895094819</v>
      </c>
      <c r="R48" s="371">
        <f t="shared" ca="1" si="5"/>
        <v>-2.3983425790189083</v>
      </c>
      <c r="S48" s="371">
        <f t="shared" ca="1" si="5"/>
        <v>-3.5975138685283903</v>
      </c>
      <c r="T48" s="371">
        <f t="shared" ca="1" si="5"/>
        <v>-7.1950277370567246</v>
      </c>
    </row>
    <row r="49" spans="1:40" ht="13.5" customHeight="1" thickBot="1">
      <c r="B49" s="370" t="s">
        <v>317</v>
      </c>
      <c r="C49" s="373">
        <f ca="1">SUM(C47:C48)</f>
        <v>-3.9405145877102754E-2</v>
      </c>
      <c r="D49" s="373">
        <f t="shared" ref="D49:T49" ca="1" si="6">SUM(D47:D48)</f>
        <v>-0.19737626649694029</v>
      </c>
      <c r="E49" s="373">
        <f t="shared" ca="1" si="6"/>
        <v>-0.39563982506498618</v>
      </c>
      <c r="F49" s="373">
        <f ca="1">SUM(F47:F48)</f>
        <v>-0.79490376628408299</v>
      </c>
      <c r="G49" s="373">
        <f t="shared" ca="1" si="6"/>
        <v>-1.1979470702969675</v>
      </c>
      <c r="H49" s="373">
        <f t="shared" ca="1" si="6"/>
        <v>-2.4314445842275489</v>
      </c>
      <c r="I49" s="372">
        <f t="shared" ca="1" si="6"/>
        <v>-0.20455381403333694</v>
      </c>
      <c r="J49" s="372">
        <f t="shared" ca="1" si="6"/>
        <v>-1.0243818204939581</v>
      </c>
      <c r="K49" s="372">
        <f t="shared" ca="1" si="6"/>
        <v>-2.052845806487047</v>
      </c>
      <c r="L49" s="372">
        <f t="shared" ca="1" si="6"/>
        <v>-2.2537764316286069</v>
      </c>
      <c r="M49" s="372">
        <f t="shared" ca="1" si="6"/>
        <v>-1.6062276749648552</v>
      </c>
      <c r="N49" s="372">
        <f t="shared" ca="1" si="6"/>
        <v>-8.8936810267933311</v>
      </c>
      <c r="O49" s="374">
        <f t="shared" ca="1" si="6"/>
        <v>-0.16514866815623419</v>
      </c>
      <c r="P49" s="375">
        <f t="shared" ca="1" si="6"/>
        <v>-0.82700555399701781</v>
      </c>
      <c r="Q49" s="375">
        <f t="shared" ca="1" si="6"/>
        <v>-1.6572059814220608</v>
      </c>
      <c r="R49" s="375">
        <f t="shared" ca="1" si="6"/>
        <v>-1.4588726653445239</v>
      </c>
      <c r="S49" s="375">
        <f t="shared" ca="1" si="6"/>
        <v>-0.40828060466788774</v>
      </c>
      <c r="T49" s="376">
        <f t="shared" ca="1" si="6"/>
        <v>-6.4622364425657821</v>
      </c>
      <c r="AJ49" s="349"/>
      <c r="AK49" s="349"/>
      <c r="AL49" s="349"/>
      <c r="AM49" s="349"/>
      <c r="AN49" s="349"/>
    </row>
    <row r="50" spans="1:40" ht="13.5" thickBot="1">
      <c r="C50" s="577" t="s">
        <v>391</v>
      </c>
      <c r="D50" s="578"/>
      <c r="E50" s="578"/>
      <c r="F50" s="578"/>
      <c r="G50" s="578"/>
      <c r="H50" s="578"/>
      <c r="I50" s="578"/>
      <c r="J50" s="578"/>
      <c r="K50" s="578"/>
      <c r="L50" s="578"/>
      <c r="M50" s="578"/>
      <c r="N50" s="578"/>
      <c r="O50" s="578"/>
      <c r="P50" s="578"/>
      <c r="Q50" s="578"/>
      <c r="R50" s="578"/>
      <c r="S50" s="578"/>
      <c r="T50" s="579"/>
      <c r="AJ50" s="349"/>
      <c r="AK50" s="349"/>
      <c r="AL50" s="349"/>
      <c r="AM50" s="349"/>
      <c r="AN50" s="349"/>
    </row>
    <row r="51" spans="1:40">
      <c r="B51" s="370" t="s">
        <v>150</v>
      </c>
      <c r="C51" s="373">
        <f ca="1">($W$37-C$46/365)*C47</f>
        <v>-8.1417766797193994E-2</v>
      </c>
      <c r="D51" s="373">
        <f t="shared" ref="D51:T51" ca="1" si="7">($W$37-D$46/365)*D47</f>
        <v>-0.40555142274200751</v>
      </c>
      <c r="E51" s="373">
        <f t="shared" ca="1" si="7"/>
        <v>-0.80725930752702668</v>
      </c>
      <c r="F51" s="373">
        <f t="shared" ca="1" si="7"/>
        <v>-1.5991443960015852</v>
      </c>
      <c r="G51" s="373">
        <f t="shared" ca="1" si="7"/>
        <v>-2.3756551261448102</v>
      </c>
      <c r="H51" s="373">
        <f t="shared" ca="1" si="7"/>
        <v>-4.6129396487732715</v>
      </c>
      <c r="I51" s="372">
        <f t="shared" ca="1" si="7"/>
        <v>-0.17175692318251498</v>
      </c>
      <c r="J51" s="372">
        <f t="shared" ca="1" si="7"/>
        <v>-0.85727590000410836</v>
      </c>
      <c r="K51" s="372">
        <f t="shared" ca="1" si="7"/>
        <v>-1.7107797956833466</v>
      </c>
      <c r="L51" s="372">
        <f t="shared" ca="1" si="7"/>
        <v>0.22831762785817636</v>
      </c>
      <c r="M51" s="372">
        <f t="shared" ca="1" si="7"/>
        <v>3.7406826401630031</v>
      </c>
      <c r="N51" s="372">
        <f t="shared" ca="1" si="7"/>
        <v>-3.2678159027214049</v>
      </c>
      <c r="O51" s="371">
        <f t="shared" ca="1" si="7"/>
        <v>-9.0339156385320987E-2</v>
      </c>
      <c r="P51" s="371">
        <f t="shared" ca="1" si="7"/>
        <v>-0.45172447726210085</v>
      </c>
      <c r="Q51" s="371">
        <f t="shared" ca="1" si="7"/>
        <v>-0.9035204881563198</v>
      </c>
      <c r="R51" s="371">
        <f t="shared" ca="1" si="7"/>
        <v>1.8274620238597616</v>
      </c>
      <c r="S51" s="371">
        <f t="shared" ca="1" si="7"/>
        <v>6.1163377663078133</v>
      </c>
      <c r="T51" s="371">
        <f t="shared" ca="1" si="7"/>
        <v>1.3451237460518661</v>
      </c>
      <c r="AJ51" s="349"/>
      <c r="AK51" s="349"/>
      <c r="AL51" s="349"/>
      <c r="AM51" s="349"/>
      <c r="AN51" s="349"/>
    </row>
    <row r="52" spans="1:40" ht="12.75" thickBot="1">
      <c r="B52" s="370" t="s">
        <v>316</v>
      </c>
      <c r="C52" s="373">
        <f t="shared" ref="C52:T52" ca="1" si="8">($W$37-C$46/365)*C48</f>
        <v>2.7154343467613719E-3</v>
      </c>
      <c r="D52" s="373">
        <f t="shared" ca="1" si="8"/>
        <v>1.3502674220687742E-2</v>
      </c>
      <c r="E52" s="373">
        <f t="shared" ca="1" si="8"/>
        <v>2.6819104659108771E-2</v>
      </c>
      <c r="F52" s="373">
        <f t="shared" ca="1" si="8"/>
        <v>5.2893234188711474E-2</v>
      </c>
      <c r="G52" s="373">
        <f t="shared" ca="1" si="8"/>
        <v>7.8222388588982089E-2</v>
      </c>
      <c r="H52" s="373">
        <f t="shared" ca="1" si="8"/>
        <v>0.14974000101311277</v>
      </c>
      <c r="I52" s="372">
        <f t="shared" ca="1" si="8"/>
        <v>-0.23679028347584838</v>
      </c>
      <c r="J52" s="372">
        <f t="shared" ca="1" si="8"/>
        <v>-1.1774551133058084</v>
      </c>
      <c r="K52" s="372">
        <f t="shared" ca="1" si="8"/>
        <v>-2.3386694664280885</v>
      </c>
      <c r="L52" s="372">
        <f t="shared" ca="1" si="8"/>
        <v>-4.6123758921220421</v>
      </c>
      <c r="M52" s="372">
        <f t="shared" ca="1" si="8"/>
        <v>-6.8211192770819036</v>
      </c>
      <c r="N52" s="372">
        <f t="shared" ca="1" si="8"/>
        <v>-13.057571187556766</v>
      </c>
      <c r="O52" s="371">
        <f t="shared" ca="1" si="8"/>
        <v>-0.23950571782260976</v>
      </c>
      <c r="P52" s="371">
        <f t="shared" ca="1" si="8"/>
        <v>-1.1909577875264961</v>
      </c>
      <c r="Q52" s="371">
        <f t="shared" ca="1" si="8"/>
        <v>-2.3654885710871971</v>
      </c>
      <c r="R52" s="371">
        <f t="shared" ca="1" si="8"/>
        <v>-4.6652691263107533</v>
      </c>
      <c r="S52" s="371">
        <f t="shared" ca="1" si="8"/>
        <v>-6.8993416656708861</v>
      </c>
      <c r="T52" s="371">
        <f t="shared" ca="1" si="8"/>
        <v>-13.207311188569879</v>
      </c>
      <c r="AJ52" s="349"/>
      <c r="AK52" s="349"/>
      <c r="AL52" s="349"/>
      <c r="AM52" s="349"/>
      <c r="AN52" s="349"/>
    </row>
    <row r="53" spans="1:40" ht="12.75" thickBot="1">
      <c r="B53" s="370" t="s">
        <v>317</v>
      </c>
      <c r="C53" s="373">
        <f t="shared" ref="C53:T53" ca="1" si="9">($W$37-C$46/365)*C49</f>
        <v>-7.8702332450432622E-2</v>
      </c>
      <c r="D53" s="373">
        <f t="shared" ca="1" si="9"/>
        <v>-0.39204874852131977</v>
      </c>
      <c r="E53" s="373">
        <f t="shared" ca="1" si="9"/>
        <v>-0.78044020286791793</v>
      </c>
      <c r="F53" s="373">
        <f t="shared" ca="1" si="9"/>
        <v>-1.5462511618128738</v>
      </c>
      <c r="G53" s="373">
        <f t="shared" ca="1" si="9"/>
        <v>-2.2974327375558281</v>
      </c>
      <c r="H53" s="373">
        <f t="shared" ca="1" si="9"/>
        <v>-4.4631996477601588</v>
      </c>
      <c r="I53" s="372">
        <f t="shared" ca="1" si="9"/>
        <v>-0.40854720665836336</v>
      </c>
      <c r="J53" s="372">
        <f t="shared" ca="1" si="9"/>
        <v>-2.0347310133099166</v>
      </c>
      <c r="K53" s="372">
        <f t="shared" ca="1" si="9"/>
        <v>-4.0494492621114349</v>
      </c>
      <c r="L53" s="372">
        <f t="shared" ca="1" si="9"/>
        <v>-4.3840582642638655</v>
      </c>
      <c r="M53" s="372">
        <f t="shared" ca="1" si="9"/>
        <v>-3.0804366369189005</v>
      </c>
      <c r="N53" s="372">
        <f t="shared" ca="1" si="9"/>
        <v>-16.32538709027817</v>
      </c>
      <c r="O53" s="374">
        <f t="shared" ca="1" si="9"/>
        <v>-0.32984487420793074</v>
      </c>
      <c r="P53" s="375">
        <f t="shared" ca="1" si="9"/>
        <v>-1.642682264788597</v>
      </c>
      <c r="Q53" s="375">
        <f t="shared" ca="1" si="9"/>
        <v>-3.2690090592435168</v>
      </c>
      <c r="R53" s="375">
        <f t="shared" ca="1" si="9"/>
        <v>-2.8378071024509914</v>
      </c>
      <c r="S53" s="375">
        <f t="shared" ca="1" si="9"/>
        <v>-0.78300389936307246</v>
      </c>
      <c r="T53" s="376">
        <f t="shared" ca="1" si="9"/>
        <v>-11.86218744251801</v>
      </c>
      <c r="AJ53" s="349"/>
      <c r="AK53" s="349"/>
      <c r="AL53" s="349"/>
      <c r="AM53" s="349"/>
      <c r="AN53" s="349"/>
    </row>
    <row r="54" spans="1:40" s="349" customFormat="1">
      <c r="A54" s="185"/>
      <c r="B54" s="184"/>
      <c r="C54" s="184"/>
      <c r="D54" s="184"/>
      <c r="E54" s="184"/>
      <c r="F54" s="184"/>
      <c r="G54" s="184"/>
      <c r="H54" s="184"/>
      <c r="I54" s="184"/>
      <c r="J54" s="184"/>
      <c r="K54" s="184"/>
      <c r="L54" s="184"/>
      <c r="M54" s="184"/>
      <c r="N54" s="184"/>
      <c r="O54" s="184"/>
      <c r="P54" s="184"/>
      <c r="Q54" s="184"/>
      <c r="R54" s="184"/>
      <c r="S54" s="184"/>
      <c r="T54" s="184"/>
      <c r="U54" s="184"/>
      <c r="V54" s="184"/>
      <c r="AJ54" s="184"/>
      <c r="AK54" s="184"/>
      <c r="AL54" s="184"/>
      <c r="AM54" s="184"/>
      <c r="AN54" s="184"/>
    </row>
    <row r="55" spans="1:40" s="349" customFormat="1">
      <c r="A55" s="185"/>
      <c r="B55" s="184"/>
      <c r="C55" s="184"/>
      <c r="D55" s="184"/>
      <c r="E55" s="184"/>
      <c r="F55" s="184"/>
      <c r="G55" s="184"/>
      <c r="H55" s="184"/>
      <c r="I55" s="184"/>
      <c r="J55" s="184"/>
      <c r="K55" s="184"/>
      <c r="L55" s="184"/>
      <c r="M55" s="184"/>
      <c r="N55" s="184"/>
      <c r="O55" s="184"/>
      <c r="P55" s="184"/>
      <c r="Q55" s="184"/>
      <c r="R55" s="184"/>
      <c r="S55" s="184"/>
      <c r="T55" s="184"/>
      <c r="U55" s="184"/>
      <c r="V55" s="184"/>
      <c r="AJ55" s="184"/>
      <c r="AK55" s="184"/>
      <c r="AL55" s="184"/>
      <c r="AM55" s="184"/>
      <c r="AN55" s="184"/>
    </row>
    <row r="56" spans="1:40" s="349" customFormat="1" ht="12.75" thickBot="1">
      <c r="A56" s="185"/>
      <c r="B56" s="581" t="str">
        <f>"Swap BEI 5YR Model (R² = " &amp;$AB$31&amp;")"</f>
        <v>Swap BEI 5YR Model (R² = 0,75)</v>
      </c>
      <c r="C56" s="582"/>
      <c r="D56" s="582"/>
      <c r="E56" s="582"/>
      <c r="F56" s="582"/>
      <c r="G56" s="582"/>
      <c r="H56" s="582"/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AJ56" s="184"/>
      <c r="AK56" s="184"/>
      <c r="AL56" s="184"/>
      <c r="AM56" s="184"/>
      <c r="AN56" s="184"/>
    </row>
    <row r="57" spans="1:40" s="349" customFormat="1" ht="13.5" customHeight="1">
      <c r="A57" s="185"/>
      <c r="B57" s="184"/>
      <c r="C57" s="184"/>
      <c r="D57" s="184"/>
      <c r="E57" s="184"/>
      <c r="F57" s="184"/>
      <c r="G57" s="184"/>
      <c r="H57" s="184"/>
      <c r="I57" s="184"/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AJ57" s="184"/>
      <c r="AK57" s="184"/>
      <c r="AL57" s="184"/>
      <c r="AM57" s="184"/>
      <c r="AN57" s="184"/>
    </row>
    <row r="58" spans="1:40" s="349" customFormat="1" ht="13.5" customHeight="1">
      <c r="A58" s="185"/>
      <c r="B58" s="584" t="str">
        <f>"BEI 5YR  =  " &amp; $X$31 &amp; " x 1 MO + " &amp; $Y$31 &amp; " x (Next 2 MO) + " &amp; $Z$31 &amp; " x (Next 9 MO) + " &amp; $AA$31</f>
        <v>BEI 5YR  =  0,03 x 1 MO + 0,05 x (Next 2 MO) + 0,34 x (Next 9 MO) + 1,75</v>
      </c>
      <c r="C58" s="584"/>
      <c r="D58" s="584"/>
      <c r="E58" s="584"/>
      <c r="F58" s="584"/>
      <c r="G58" s="584"/>
      <c r="H58" s="584"/>
      <c r="I58" s="184"/>
      <c r="J58" s="184"/>
      <c r="K58" s="184"/>
      <c r="L58" s="184"/>
      <c r="M58" s="184"/>
      <c r="N58" s="184"/>
      <c r="O58" s="184"/>
      <c r="P58" s="184"/>
      <c r="Q58" s="184"/>
      <c r="R58" s="184"/>
      <c r="S58" s="184"/>
      <c r="T58" s="184"/>
      <c r="U58" s="184"/>
      <c r="V58" s="184"/>
      <c r="AJ58" s="184"/>
      <c r="AK58" s="184"/>
      <c r="AL58" s="184"/>
      <c r="AM58" s="184"/>
      <c r="AN58" s="184"/>
    </row>
    <row r="59" spans="1:40" s="349" customFormat="1">
      <c r="A59" s="185"/>
      <c r="B59" s="184"/>
      <c r="C59" s="184"/>
      <c r="D59" s="184"/>
      <c r="E59" s="184"/>
      <c r="F59" s="184"/>
      <c r="G59" s="184"/>
      <c r="H59" s="184"/>
      <c r="I59" s="184"/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AJ59" s="184"/>
      <c r="AK59" s="184"/>
      <c r="AL59" s="184"/>
      <c r="AM59" s="184"/>
      <c r="AN59" s="184"/>
    </row>
    <row r="60" spans="1:40" s="349" customFormat="1">
      <c r="A60" s="185"/>
      <c r="B60" s="184"/>
      <c r="C60" s="184"/>
      <c r="D60" s="184"/>
      <c r="E60" s="184"/>
      <c r="F60" s="184"/>
      <c r="G60" s="184"/>
      <c r="H60" s="184"/>
      <c r="I60" s="184"/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AJ60" s="184"/>
      <c r="AK60" s="184"/>
      <c r="AL60" s="184"/>
      <c r="AM60" s="184"/>
      <c r="AN60" s="184"/>
    </row>
    <row r="61" spans="1:40" s="349" customFormat="1" ht="12.75" thickBot="1">
      <c r="A61" s="184"/>
      <c r="B61" s="184"/>
      <c r="C61" s="184"/>
      <c r="D61" s="184"/>
      <c r="E61" s="401" t="s">
        <v>261</v>
      </c>
      <c r="F61" s="402"/>
      <c r="G61" s="401" t="s">
        <v>255</v>
      </c>
      <c r="H61" s="402"/>
      <c r="I61" s="184"/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AJ61" s="184"/>
      <c r="AK61" s="184"/>
      <c r="AL61" s="184"/>
      <c r="AM61" s="184"/>
      <c r="AN61" s="184"/>
    </row>
    <row r="62" spans="1:40" s="349" customFormat="1" ht="13.5" customHeight="1" thickBot="1">
      <c r="A62" s="184"/>
      <c r="B62" s="581" t="s">
        <v>305</v>
      </c>
      <c r="C62" s="583"/>
      <c r="D62" s="262" t="s">
        <v>156</v>
      </c>
      <c r="E62" s="220" t="s">
        <v>263</v>
      </c>
      <c r="F62" s="220" t="s">
        <v>262</v>
      </c>
      <c r="G62" s="337" t="s">
        <v>185</v>
      </c>
      <c r="H62" s="337" t="s">
        <v>149</v>
      </c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AJ62" s="184"/>
      <c r="AK62" s="184"/>
      <c r="AL62" s="184"/>
      <c r="AM62" s="184"/>
      <c r="AN62" s="184"/>
    </row>
    <row r="63" spans="1:40" s="349" customFormat="1">
      <c r="A63" s="184"/>
      <c r="B63" s="264" t="s">
        <v>259</v>
      </c>
      <c r="C63" s="264"/>
      <c r="D63" s="208">
        <f ca="1">fechaHoy</f>
        <v>42670</v>
      </c>
      <c r="E63" s="207">
        <f>_xll.BDP("CHSWP"&amp;$W$64&amp;" Curncy","PX_LAST")</f>
        <v>3.58</v>
      </c>
      <c r="F63" s="207">
        <f>_xll.BDP("CHSWC"&amp;$W$64&amp;" Curncy","PX_LAST")</f>
        <v>0.77</v>
      </c>
      <c r="G63" s="207">
        <f t="shared" ref="G63:G68" si="10">E63-F63</f>
        <v>2.81</v>
      </c>
      <c r="H63" s="207">
        <f t="shared" ref="H63:H68" si="11">SUMPRODUCT(D9:F9,$X$31:$Z$31)+$AA$31</f>
        <v>3.014646963883703</v>
      </c>
      <c r="I63" s="184"/>
      <c r="J63" s="184"/>
      <c r="K63" s="184"/>
      <c r="L63" s="184"/>
      <c r="M63" s="184"/>
      <c r="N63" s="184"/>
      <c r="O63" s="184"/>
      <c r="P63" s="184"/>
      <c r="Q63" s="184"/>
      <c r="R63" s="184"/>
      <c r="S63" s="184"/>
      <c r="T63" s="184"/>
      <c r="U63" s="184"/>
      <c r="V63" s="184"/>
      <c r="AJ63" s="184"/>
      <c r="AK63" s="184"/>
      <c r="AL63" s="184"/>
      <c r="AM63" s="184"/>
      <c r="AN63" s="184"/>
    </row>
    <row r="64" spans="1:40" s="349" customFormat="1">
      <c r="A64" s="184"/>
      <c r="B64" s="264" t="str">
        <f>W67&amp;" MO FWD"</f>
        <v>1 MO FWD</v>
      </c>
      <c r="C64" s="264"/>
      <c r="D64" s="208">
        <f ca="1">EDATE(fechaHoy,$W67)</f>
        <v>42701</v>
      </c>
      <c r="E64" s="207">
        <f ca="1">$E$63+AC67/100</f>
        <v>3.592814141324939</v>
      </c>
      <c r="F64" s="207">
        <f ca="1">$F$63+AF67/100</f>
        <v>0.79209793757464131</v>
      </c>
      <c r="G64" s="207">
        <f t="shared" ca="1" si="10"/>
        <v>2.800716203750298</v>
      </c>
      <c r="H64" s="207">
        <f t="shared" si="11"/>
        <v>2.9853708531096079</v>
      </c>
      <c r="I64" s="184"/>
      <c r="J64" s="184"/>
      <c r="K64" s="184"/>
      <c r="L64" s="184"/>
      <c r="M64" s="184"/>
      <c r="N64" s="184"/>
      <c r="O64" s="184"/>
      <c r="P64" s="184"/>
      <c r="Q64" s="184"/>
      <c r="R64" s="184"/>
      <c r="S64" s="184"/>
      <c r="T64" s="184"/>
      <c r="U64" s="184"/>
      <c r="V64" s="184"/>
      <c r="W64" s="349">
        <v>5</v>
      </c>
      <c r="X64" s="349" t="s">
        <v>264</v>
      </c>
      <c r="AJ64" s="184"/>
      <c r="AK64" s="184"/>
      <c r="AL64" s="184"/>
      <c r="AM64" s="184"/>
      <c r="AN64" s="184"/>
    </row>
    <row r="65" spans="1:40" s="349" customFormat="1">
      <c r="A65" s="184"/>
      <c r="B65" s="264" t="str">
        <f>W68&amp;" MO FWD"</f>
        <v>2 MO FWD</v>
      </c>
      <c r="C65" s="264"/>
      <c r="D65" s="208">
        <f ca="1">EDATE(fechaHoy,$W68)</f>
        <v>42731</v>
      </c>
      <c r="E65" s="207">
        <f ca="1">$E$63+AC68/100</f>
        <v>3.6059562626351278</v>
      </c>
      <c r="F65" s="207">
        <f ca="1">$F$63+AF68/100</f>
        <v>0.79229988555010034</v>
      </c>
      <c r="G65" s="207">
        <f t="shared" ca="1" si="10"/>
        <v>2.8136563770850276</v>
      </c>
      <c r="H65" s="207">
        <f t="shared" si="11"/>
        <v>2.999641514420897</v>
      </c>
      <c r="I65" s="184"/>
      <c r="J65" s="184"/>
      <c r="K65" s="184"/>
      <c r="L65" s="184"/>
      <c r="M65" s="184"/>
      <c r="N65" s="184"/>
      <c r="O65" s="184"/>
      <c r="P65" s="184"/>
      <c r="Q65" s="184"/>
      <c r="R65" s="184"/>
      <c r="S65" s="184"/>
      <c r="T65" s="184"/>
      <c r="U65" s="184"/>
      <c r="V65" s="184"/>
      <c r="W65" s="381" t="s">
        <v>94</v>
      </c>
      <c r="X65" s="381" t="s">
        <v>266</v>
      </c>
      <c r="Y65" s="381" t="s">
        <v>268</v>
      </c>
      <c r="Z65" s="386" t="s">
        <v>267</v>
      </c>
      <c r="AA65" s="380" t="s">
        <v>357</v>
      </c>
      <c r="AB65" s="380" t="s">
        <v>358</v>
      </c>
      <c r="AC65" s="380" t="s">
        <v>359</v>
      </c>
      <c r="AD65" s="380" t="s">
        <v>360</v>
      </c>
      <c r="AE65" s="380" t="s">
        <v>361</v>
      </c>
      <c r="AF65" s="380" t="s">
        <v>362</v>
      </c>
      <c r="AG65" s="380" t="s">
        <v>363</v>
      </c>
      <c r="AJ65" s="184"/>
      <c r="AK65" s="184"/>
      <c r="AL65" s="184"/>
      <c r="AM65" s="184"/>
      <c r="AN65" s="184"/>
    </row>
    <row r="66" spans="1:40" s="349" customFormat="1">
      <c r="A66" s="184"/>
      <c r="B66" s="264" t="str">
        <f>W69&amp;" MO FWD"</f>
        <v>3 MO FWD</v>
      </c>
      <c r="C66" s="264"/>
      <c r="D66" s="208">
        <f ca="1">EDATE(fechaHoy,$W69)</f>
        <v>42762</v>
      </c>
      <c r="E66" s="207">
        <f ca="1">$E$63+AC69/100</f>
        <v>3.6194434271466829</v>
      </c>
      <c r="F66" s="207">
        <f ca="1">$F$63+AF69/100</f>
        <v>0.76481053024880363</v>
      </c>
      <c r="G66" s="207">
        <f t="shared" ca="1" si="10"/>
        <v>2.8546328968978791</v>
      </c>
      <c r="H66" s="207">
        <f t="shared" si="11"/>
        <v>2.9375851551003098</v>
      </c>
      <c r="I66" s="184"/>
      <c r="J66" s="184"/>
      <c r="K66" s="184"/>
      <c r="L66" s="184"/>
      <c r="M66" s="184"/>
      <c r="N66" s="184"/>
      <c r="O66" s="184"/>
      <c r="P66" s="184"/>
      <c r="Q66" s="184"/>
      <c r="R66" s="184"/>
      <c r="S66" s="184"/>
      <c r="T66" s="184"/>
      <c r="U66" s="184"/>
      <c r="V66" s="184"/>
      <c r="W66" s="382"/>
      <c r="X66" s="382"/>
      <c r="Y66" s="382"/>
      <c r="Z66" s="382"/>
      <c r="AA66" s="379"/>
      <c r="AB66" s="379"/>
      <c r="AC66" s="379"/>
      <c r="AD66" s="379"/>
      <c r="AE66" s="379"/>
      <c r="AF66" s="379"/>
      <c r="AG66" s="379"/>
      <c r="AJ66" s="184"/>
      <c r="AK66" s="184"/>
      <c r="AL66" s="184"/>
      <c r="AM66" s="184"/>
      <c r="AN66" s="184"/>
    </row>
    <row r="67" spans="1:40" s="349" customFormat="1">
      <c r="A67" s="184"/>
      <c r="B67" s="264" t="str">
        <f>W70&amp;" MO FWD"</f>
        <v>4 MO FWD</v>
      </c>
      <c r="C67" s="264"/>
      <c r="D67" s="208">
        <f ca="1">EDATE(fechaHoy,$W70)</f>
        <v>42793</v>
      </c>
      <c r="E67" s="207">
        <f ca="1">$E$63+AC70/100</f>
        <v>3.6348956912182242</v>
      </c>
      <c r="F67" s="207">
        <f ca="1">$F$63+AF70/100</f>
        <v>0.74595627961637068</v>
      </c>
      <c r="G67" s="207">
        <f t="shared" ca="1" si="10"/>
        <v>2.8889394116018536</v>
      </c>
      <c r="H67" s="207">
        <f t="shared" si="11"/>
        <v>2.9251377914325007</v>
      </c>
      <c r="I67" s="184"/>
      <c r="J67" s="184"/>
      <c r="K67" s="184"/>
      <c r="L67" s="184"/>
      <c r="M67" s="184"/>
      <c r="N67" s="184"/>
      <c r="O67" s="184"/>
      <c r="P67" s="184"/>
      <c r="Q67" s="184"/>
      <c r="R67" s="184"/>
      <c r="S67" s="184"/>
      <c r="T67" s="184"/>
      <c r="U67" s="184"/>
      <c r="V67" s="184"/>
      <c r="W67" s="388">
        <v>1</v>
      </c>
      <c r="X67" s="389">
        <f ca="1">Lin_Interp(W67*30,Zero_swap_CL!$J$2:$J$5,Zero_swap_CL!$E$2:$E$5)/12</f>
        <v>0.29141752577319585</v>
      </c>
      <c r="Y67" s="390">
        <f ca="1">((1+X67/100*W67)/(1+Z67)-1)/W67*100</f>
        <v>8.6050042716445674E-3</v>
      </c>
      <c r="Z67" s="395">
        <f ca="1">(Geom_Interp(30*W67,Inflation_FWD!$J$2:$J$20,Inflation_FWD!$C$2:$C$20)/CLFCLPt)-1</f>
        <v>2.8278818756592994E-3</v>
      </c>
      <c r="AA67" s="392">
        <f ca="1">(forwardZeroRate(360,Lin_Interp(30*$W67,Zero_swap_CL!$J$2:$J$18,Zero_swap_CL!$K$2:$K$18),Lin_Interp(ROUND($W$64*365,0),Zero_swap_CL!$J$2:$J$18,Zero_swap_CL!$K$2:$K$18),30*$W67,$W$64*365)-Lin_Interp(ROUND($W$64*365,0),Zero_swap_CL!$J$2:$J$18,Zero_swap_CL!$K$2:$K$18))*100</f>
        <v>0.12172202353042394</v>
      </c>
      <c r="AB67" s="392">
        <f ca="1">(Lin_Interp(ROUND($W$64*365,0),Zero_swap_CL!$J$2:$J$18,Zero_swap_CL!$K$2:$K$18)-Lin_Interp(ROUND($W$64*365-$W67*30,0),Zero_swap_CL!$J$2:$J$18,Zero_swap_CL!$K$2:$K$18))*100</f>
        <v>1.1596921089634726</v>
      </c>
      <c r="AC67" s="392">
        <f ca="1">AA67+AB67</f>
        <v>1.2814141324938966</v>
      </c>
      <c r="AD67" s="393">
        <f ca="1">(forwardZeroRate(365,Lin_Interp($W67*30,Zero_swap_CL!$O$23:$O$94,Zero_swap_CL!$S$23:$S$94),Lin_Interp(ROUND($W$64*365,0),Zero_swap_CL!$O$23:$O$94,Zero_swap_CL!$S$23:$S$94),$W67*30,$W$64*365)-Lin_Interp(ROUND($W$64*365,0),Zero_swap_CL!$O$23:$O$94,Zero_swap_CL!$S$23:$S$94))*100</f>
        <v>1.1204280587958859</v>
      </c>
      <c r="AE67" s="392">
        <f ca="1">(Lin_Interp(ROUND($W$64*365,0),Zero_swap_CL!$O$23:$O$94,Zero_swap_CL!$S$23:$S$94)-Lin_Interp(ROUND($W$64*365-$W67*30,0),Zero_swap_CL!$O$23:$O$94,Zero_swap_CL!$S$23:$S$94))*100</f>
        <v>1.0893656986682432</v>
      </c>
      <c r="AF67" s="393">
        <f ca="1">AD67+AE67</f>
        <v>2.2097937574641291</v>
      </c>
      <c r="AG67" s="393">
        <f ca="1">AF67-AC67</f>
        <v>0.92837962497023252</v>
      </c>
      <c r="AJ67" s="184"/>
      <c r="AK67" s="184"/>
      <c r="AL67" s="184"/>
      <c r="AM67" s="184"/>
      <c r="AN67" s="184"/>
    </row>
    <row r="68" spans="1:40" s="349" customFormat="1">
      <c r="A68" s="184"/>
      <c r="B68" s="264" t="str">
        <f>W71&amp;" MO FWD"</f>
        <v>5 MO FWD</v>
      </c>
      <c r="C68" s="264"/>
      <c r="D68" s="208">
        <f ca="1">EDATE(fechaHoy,$W71)</f>
        <v>42821</v>
      </c>
      <c r="E68" s="207">
        <f ca="1">$E$63+AC71/100</f>
        <v>3.6523458999642244</v>
      </c>
      <c r="F68" s="207">
        <f ca="1">$F$63+AF71/100</f>
        <v>0.73872444359088663</v>
      </c>
      <c r="G68" s="207">
        <f t="shared" ca="1" si="10"/>
        <v>2.9136214563733378</v>
      </c>
      <c r="H68" s="207">
        <f t="shared" si="11"/>
        <v>2.9360567237960224</v>
      </c>
      <c r="I68" s="184"/>
      <c r="J68" s="184"/>
      <c r="K68" s="184"/>
      <c r="L68" s="184"/>
      <c r="M68" s="184"/>
      <c r="N68" s="184"/>
      <c r="O68" s="184"/>
      <c r="P68" s="184"/>
      <c r="Q68" s="184"/>
      <c r="R68" s="184"/>
      <c r="S68" s="184"/>
      <c r="T68" s="184"/>
      <c r="U68" s="184"/>
      <c r="V68" s="184"/>
      <c r="W68" s="388">
        <v>2</v>
      </c>
      <c r="X68" s="389">
        <f ca="1">Lin_Interp(W68*30,Zero_swap_CL!$J$2:$J$5,Zero_swap_CL!$E$2:$E$5)/12</f>
        <v>0.29115979381443297</v>
      </c>
      <c r="Y68" s="390">
        <f ca="1">((1+X68/100*W68)/(1+Z68)-1)/W68*100</f>
        <v>6.2831737298207901E-2</v>
      </c>
      <c r="Z68" s="395">
        <f ca="1">(Geom_Interp(30*W68,Inflation_FWD!$J$3:$J$20,Inflation_FWD!$C$3:$C$20)/CLFCLPt)-1</f>
        <v>4.560829833085922E-3</v>
      </c>
      <c r="AA68" s="392">
        <f ca="1">(forwardZeroRate(360,Lin_Interp(30*$W68,Zero_swap_CL!$J$2:$J$18,Zero_swap_CL!$K$2:$K$18),Lin_Interp(ROUND($W$64*365,0),Zero_swap_CL!$J$2:$J$18,Zero_swap_CL!$K$2:$K$18),30*$W68,$W$64*365)-Lin_Interp(ROUND($W$64*365,0),Zero_swap_CL!$J$2:$J$18,Zero_swap_CL!$K$2:$K$18))*100</f>
        <v>0.27624204558582832</v>
      </c>
      <c r="AB68" s="392">
        <f ca="1">(Lin_Interp(ROUND($W$64*365,0),Zero_swap_CL!$J$2:$J$18,Zero_swap_CL!$K$2:$K$18)-Lin_Interp(ROUND($W$64*365-$W68*30,0),Zero_swap_CL!$J$2:$J$18,Zero_swap_CL!$K$2:$K$18))*100</f>
        <v>2.3193842179269453</v>
      </c>
      <c r="AC68" s="392">
        <f ca="1">AA68+AB68</f>
        <v>2.5956262635127736</v>
      </c>
      <c r="AD68" s="393">
        <f ca="1">(forwardZeroRate(365,Lin_Interp($W68*30,Zero_swap_CL!$O$23:$O$94,Zero_swap_CL!$S$23:$S$94),Lin_Interp(ROUND($W$64*365,0),Zero_swap_CL!$O$23:$O$94,Zero_swap_CL!$S$23:$S$94),$W68*30,$W$64*365)-Lin_Interp(ROUND($W$64*365,0),Zero_swap_CL!$O$23:$O$94,Zero_swap_CL!$S$23:$S$94))*100</f>
        <v>5.1257157673534337E-2</v>
      </c>
      <c r="AE68" s="392">
        <f ca="1">(Lin_Interp(ROUND($W$64*365,0),Zero_swap_CL!$O$23:$O$94,Zero_swap_CL!$S$23:$S$94)-Lin_Interp(ROUND($W$64*365-$W68*30,0),Zero_swap_CL!$O$23:$O$94,Zero_swap_CL!$S$23:$S$94))*100</f>
        <v>2.1787313973364975</v>
      </c>
      <c r="AF68" s="393">
        <f ca="1">AD68+AE68</f>
        <v>2.2299885550100318</v>
      </c>
      <c r="AG68" s="393">
        <f ca="1">AF68-AC68</f>
        <v>-0.3656377085027418</v>
      </c>
      <c r="AJ68" s="184"/>
      <c r="AK68" s="184"/>
      <c r="AL68" s="184"/>
      <c r="AM68" s="184"/>
      <c r="AN68" s="184"/>
    </row>
    <row r="69" spans="1:40" s="349" customFormat="1">
      <c r="A69" s="184"/>
      <c r="B69" s="184"/>
      <c r="C69" s="184"/>
      <c r="D69" s="184"/>
      <c r="E69" s="184"/>
      <c r="F69" s="184"/>
      <c r="G69" s="184"/>
      <c r="H69" s="184"/>
      <c r="I69" s="184"/>
      <c r="J69" s="184"/>
      <c r="K69" s="184"/>
      <c r="L69" s="184"/>
      <c r="M69" s="184"/>
      <c r="N69" s="184"/>
      <c r="O69" s="184"/>
      <c r="P69" s="184"/>
      <c r="Q69" s="184"/>
      <c r="R69" s="184"/>
      <c r="S69" s="184"/>
      <c r="T69" s="184"/>
      <c r="U69" s="184"/>
      <c r="V69" s="184"/>
      <c r="W69" s="388">
        <v>3</v>
      </c>
      <c r="X69" s="389">
        <f ca="1">Lin_Interp(W69*30,Zero_swap_CL!$J$2:$J$5,Zero_swap_CL!$E$2:$E$5)/12</f>
        <v>0.29090206185567014</v>
      </c>
      <c r="Y69" s="390">
        <f ca="1">((1+X69/100*W69)/(1+Z69)-1)/W69*100</f>
        <v>0.12465814139622407</v>
      </c>
      <c r="Z69" s="395">
        <f ca="1">(Geom_Interp(30*W69,Inflation_FWD!$J$3:$J$20,Inflation_FWD!$C$3:$C$20)/CLFCLPt)-1</f>
        <v>4.9687358126386805E-3</v>
      </c>
      <c r="AA69" s="392">
        <f ca="1">(forwardZeroRate(360,Lin_Interp(30*$W69,Zero_swap_CL!$J$2:$J$18,Zero_swap_CL!$K$2:$K$18),Lin_Interp(ROUND($W$64*365,0),Zero_swap_CL!$J$2:$J$18,Zero_swap_CL!$K$2:$K$18),30*$W69,$W$64*365)-Lin_Interp(ROUND($W$64*365,0),Zero_swap_CL!$J$2:$J$18,Zero_swap_CL!$K$2:$K$18))*100</f>
        <v>0.46526638777786289</v>
      </c>
      <c r="AB69" s="392">
        <f ca="1">(Lin_Interp(ROUND($W$64*365,0),Zero_swap_CL!$J$2:$J$18,Zero_swap_CL!$K$2:$K$18)-Lin_Interp(ROUND($W$64*365-$W69*30,0),Zero_swap_CL!$J$2:$J$18,Zero_swap_CL!$K$2:$K$18))*100</f>
        <v>3.4790763268904179</v>
      </c>
      <c r="AC69" s="392">
        <f ca="1">AA69+AB69</f>
        <v>3.9443427146682808</v>
      </c>
      <c r="AD69" s="393">
        <f ca="1">(forwardZeroRate(365,Lin_Interp($W69*30,Zero_swap_CL!$O$23:$O$94,Zero_swap_CL!$S$23:$S$94),Lin_Interp(ROUND($W$64*365,0),Zero_swap_CL!$O$23:$O$94,Zero_swap_CL!$S$23:$S$94),$W69*30,$W$64*365)-Lin_Interp(ROUND($W$64*365,0),Zero_swap_CL!$O$23:$O$94,Zero_swap_CL!$S$23:$S$94))*100</f>
        <v>-3.7870440711243791</v>
      </c>
      <c r="AE69" s="392">
        <f ca="1">(Lin_Interp(ROUND($W$64*365,0),Zero_swap_CL!$O$23:$O$94,Zero_swap_CL!$S$23:$S$94)-Lin_Interp(ROUND($W$64*365-$W69*30,0),Zero_swap_CL!$O$23:$O$94,Zero_swap_CL!$S$23:$S$94))*100</f>
        <v>3.2680970960047406</v>
      </c>
      <c r="AF69" s="393">
        <f ca="1">AD69+AE69</f>
        <v>-0.5189469751196385</v>
      </c>
      <c r="AG69" s="393">
        <f ca="1">AF69-AC69</f>
        <v>-4.4632896897879188</v>
      </c>
      <c r="AJ69" s="184"/>
      <c r="AK69" s="184"/>
      <c r="AL69" s="184"/>
      <c r="AM69" s="184"/>
      <c r="AN69" s="184"/>
    </row>
    <row r="70" spans="1:40" s="349" customFormat="1">
      <c r="A70" s="184"/>
      <c r="B70" s="184"/>
      <c r="C70" s="184"/>
      <c r="D70" s="184"/>
      <c r="E70" s="184"/>
      <c r="F70" s="184"/>
      <c r="G70" s="321"/>
      <c r="H70" s="184"/>
      <c r="I70" s="184"/>
      <c r="J70" s="184"/>
      <c r="K70" s="184"/>
      <c r="L70" s="184"/>
      <c r="M70" s="184"/>
      <c r="N70" s="184"/>
      <c r="O70" s="184"/>
      <c r="P70" s="184"/>
      <c r="Q70" s="184"/>
      <c r="R70" s="184"/>
      <c r="S70" s="184"/>
      <c r="T70" s="184"/>
      <c r="U70" s="184"/>
      <c r="V70" s="184"/>
      <c r="W70" s="388">
        <v>4</v>
      </c>
      <c r="X70" s="389">
        <f ca="1">Lin_Interp(W70*30,Zero_swap_CL!$J$2:$J$5,Zero_swap_CL!$E$2:$E$5)/12</f>
        <v>0.28877340823970038</v>
      </c>
      <c r="Y70" s="390">
        <f ca="1">((1+X70/100*W70)/(1+Z70)-1)/W70*100</f>
        <v>0.1439166703362027</v>
      </c>
      <c r="Z70" s="395">
        <f ca="1">(Geom_Interp(30*W70,Inflation_FWD!$J$3:$J$20,Inflation_FWD!$C$3:$C$20)/CLFCLPt)-1</f>
        <v>5.7611047555845563E-3</v>
      </c>
      <c r="AA70" s="392">
        <f ca="1">(forwardZeroRate(360,Lin_Interp(30*$W70,Zero_swap_CL!$J$2:$J$18,Zero_swap_CL!$K$2:$K$18),Lin_Interp(ROUND($W$64*365,0),Zero_swap_CL!$J$2:$J$18,Zero_swap_CL!$K$2:$K$18),30*$W70,$W$64*365)-Lin_Interp(ROUND($W$64*365,0),Zero_swap_CL!$J$2:$J$18,Zero_swap_CL!$K$2:$K$18))*100</f>
        <v>0.85080068596852243</v>
      </c>
      <c r="AB70" s="392">
        <f ca="1">(Lin_Interp(ROUND($W$64*365,0),Zero_swap_CL!$J$2:$J$18,Zero_swap_CL!$K$2:$K$18)-Lin_Interp(ROUND($W$64*365-$W70*30,0),Zero_swap_CL!$J$2:$J$18,Zero_swap_CL!$K$2:$K$18))*100</f>
        <v>4.6387684358538905</v>
      </c>
      <c r="AC70" s="392">
        <f ca="1">AA70+AB70</f>
        <v>5.489569121822413</v>
      </c>
      <c r="AD70" s="393">
        <f ca="1">(forwardZeroRate(365,Lin_Interp($W70*30,Zero_swap_CL!$O$23:$O$94,Zero_swap_CL!$S$23:$S$94),Lin_Interp(ROUND($W$64*365,0),Zero_swap_CL!$O$23:$O$94,Zero_swap_CL!$S$23:$S$94),$W70*30,$W$64*365)-Lin_Interp(ROUND($W$64*365,0),Zero_swap_CL!$O$23:$O$94,Zero_swap_CL!$S$23:$S$94))*100</f>
        <v>-6.7618348330359179</v>
      </c>
      <c r="AE70" s="392">
        <f ca="1">(Lin_Interp(ROUND($W$64*365,0),Zero_swap_CL!$O$23:$O$94,Zero_swap_CL!$S$23:$S$94)-Lin_Interp(ROUND($W$64*365-$W70*30,0),Zero_swap_CL!$O$23:$O$94,Zero_swap_CL!$S$23:$S$94))*100</f>
        <v>4.3574627946729834</v>
      </c>
      <c r="AF70" s="393">
        <f ca="1">AD70+AE70</f>
        <v>-2.4043720383629346</v>
      </c>
      <c r="AG70" s="393">
        <f ca="1">AF70-AC70</f>
        <v>-7.8939411601853475</v>
      </c>
      <c r="AJ70" s="184"/>
      <c r="AK70" s="184"/>
      <c r="AL70" s="184"/>
      <c r="AM70" s="184"/>
      <c r="AN70" s="184"/>
    </row>
    <row r="71" spans="1:40" s="349" customFormat="1" ht="13.5" thickBot="1">
      <c r="A71" s="184"/>
      <c r="B71" s="370"/>
      <c r="C71" s="577" t="s">
        <v>368</v>
      </c>
      <c r="D71" s="578"/>
      <c r="E71" s="578"/>
      <c r="F71" s="578"/>
      <c r="G71" s="578"/>
      <c r="H71" s="578"/>
      <c r="I71" s="577" t="s">
        <v>369</v>
      </c>
      <c r="J71" s="578"/>
      <c r="K71" s="578"/>
      <c r="L71" s="578"/>
      <c r="M71" s="578"/>
      <c r="N71" s="578"/>
      <c r="O71" s="577" t="s">
        <v>370</v>
      </c>
      <c r="P71" s="578"/>
      <c r="Q71" s="578"/>
      <c r="R71" s="578"/>
      <c r="S71" s="578"/>
      <c r="T71" s="578"/>
      <c r="U71" s="184"/>
      <c r="V71" s="184"/>
      <c r="W71" s="388">
        <v>5</v>
      </c>
      <c r="X71" s="389">
        <f ca="1">Lin_Interp(W71*30,Zero_swap_CL!$J$2:$J$5,Zero_swap_CL!$E$2:$E$5)/12</f>
        <v>0.28596441947565543</v>
      </c>
      <c r="Y71" s="390">
        <f ca="1">((1+X71/100*W71)/(1+Z71)-1)/W71*100</f>
        <v>0.14375028056332173</v>
      </c>
      <c r="Z71" s="395">
        <f ca="1">(Geom_Interp(30*W71,Inflation_FWD!$J$3:$J$20,Inflation_FWD!$C$3:$C$20)/CLFCLPt)-1</f>
        <v>7.0599633599288669E-3</v>
      </c>
      <c r="AA71" s="392">
        <f ca="1">(forwardZeroRate(360,Lin_Interp(30*$W71,Zero_swap_CL!$J$2:$J$18,Zero_swap_CL!$K$2:$K$18),Lin_Interp(ROUND($W$64*365,0),Zero_swap_CL!$J$2:$J$18,Zero_swap_CL!$K$2:$K$18),30*$W71,$W$64*365)-Lin_Interp(ROUND($W$64*365,0),Zero_swap_CL!$J$2:$J$18,Zero_swap_CL!$K$2:$K$18))*100</f>
        <v>1.4361294516050727</v>
      </c>
      <c r="AB71" s="392">
        <f ca="1">(Lin_Interp(ROUND($W$64*365,0),Zero_swap_CL!$J$2:$J$18,Zero_swap_CL!$K$2:$K$18)-Lin_Interp(ROUND($W$64*365-$W71*30,0),Zero_swap_CL!$J$2:$J$18,Zero_swap_CL!$K$2:$K$18))*100</f>
        <v>5.7984605448173632</v>
      </c>
      <c r="AC71" s="392">
        <f ca="1">AA71+AB71</f>
        <v>7.2345899964224358</v>
      </c>
      <c r="AD71" s="393">
        <f ca="1">(forwardZeroRate(365,Lin_Interp($W71*30,Zero_swap_CL!$O$23:$O$94,Zero_swap_CL!$S$23:$S$94),Lin_Interp(ROUND($W$64*365,0),Zero_swap_CL!$O$23:$O$94,Zero_swap_CL!$S$23:$S$94),$W71*30,$W$64*365)-Lin_Interp(ROUND($W$64*365,0),Zero_swap_CL!$O$23:$O$94,Zero_swap_CL!$S$23:$S$94))*100</f>
        <v>-8.5743841342525773</v>
      </c>
      <c r="AE71" s="392">
        <f ca="1">(Lin_Interp(ROUND($W$64*365,0),Zero_swap_CL!$O$23:$O$94,Zero_swap_CL!$S$23:$S$94)-Lin_Interp(ROUND($W$64*365-$W71*30,0),Zero_swap_CL!$O$23:$O$94,Zero_swap_CL!$S$23:$S$94))*100</f>
        <v>5.4468284933412381</v>
      </c>
      <c r="AF71" s="393">
        <f ca="1">AD71+AE71</f>
        <v>-3.1275556409113392</v>
      </c>
      <c r="AG71" s="393">
        <f ca="1">AF71-AC71</f>
        <v>-10.362145637333775</v>
      </c>
      <c r="AJ71" s="184"/>
      <c r="AK71" s="184"/>
      <c r="AL71" s="184"/>
      <c r="AM71" s="184"/>
      <c r="AN71" s="184"/>
    </row>
    <row r="72" spans="1:40" s="349" customFormat="1" ht="13.5" thickBot="1">
      <c r="A72" s="184"/>
      <c r="B72" s="370"/>
      <c r="C72" s="577" t="s">
        <v>392</v>
      </c>
      <c r="D72" s="578"/>
      <c r="E72" s="578"/>
      <c r="F72" s="578"/>
      <c r="G72" s="578"/>
      <c r="H72" s="578"/>
      <c r="I72" s="578"/>
      <c r="J72" s="578"/>
      <c r="K72" s="578"/>
      <c r="L72" s="578"/>
      <c r="M72" s="578"/>
      <c r="N72" s="578"/>
      <c r="O72" s="578"/>
      <c r="P72" s="578"/>
      <c r="Q72" s="578"/>
      <c r="R72" s="578"/>
      <c r="S72" s="578"/>
      <c r="T72" s="579"/>
      <c r="U72" s="184"/>
      <c r="V72" s="184"/>
      <c r="W72" s="394"/>
      <c r="AJ72" s="184"/>
      <c r="AK72" s="184"/>
      <c r="AL72" s="184"/>
      <c r="AM72" s="184"/>
      <c r="AN72" s="184"/>
    </row>
    <row r="73" spans="1:40" s="349" customFormat="1" ht="12.75" thickBot="1">
      <c r="A73" s="184"/>
      <c r="B73" s="370"/>
      <c r="C73" s="369">
        <v>1</v>
      </c>
      <c r="D73" s="352">
        <v>5</v>
      </c>
      <c r="E73" s="352">
        <v>10</v>
      </c>
      <c r="F73" s="352">
        <v>20</v>
      </c>
      <c r="G73" s="352">
        <v>30</v>
      </c>
      <c r="H73" s="352">
        <v>60</v>
      </c>
      <c r="I73" s="369">
        <v>1</v>
      </c>
      <c r="J73" s="352">
        <v>5</v>
      </c>
      <c r="K73" s="352">
        <v>10</v>
      </c>
      <c r="L73" s="352">
        <v>20</v>
      </c>
      <c r="M73" s="352">
        <v>30</v>
      </c>
      <c r="N73" s="352">
        <v>60</v>
      </c>
      <c r="O73" s="369">
        <v>1</v>
      </c>
      <c r="P73" s="352">
        <v>5</v>
      </c>
      <c r="Q73" s="352">
        <v>10</v>
      </c>
      <c r="R73" s="352">
        <v>20</v>
      </c>
      <c r="S73" s="352">
        <v>30</v>
      </c>
      <c r="T73" s="352">
        <v>60</v>
      </c>
      <c r="U73" s="184"/>
      <c r="V73" s="184"/>
      <c r="W73" s="394"/>
      <c r="AJ73" s="184"/>
      <c r="AK73" s="184"/>
      <c r="AL73" s="184"/>
      <c r="AM73" s="184"/>
      <c r="AN73" s="184"/>
    </row>
    <row r="74" spans="1:40" s="349" customFormat="1">
      <c r="A74" s="184"/>
      <c r="B74" s="370" t="s">
        <v>150</v>
      </c>
      <c r="C74" s="373">
        <f ca="1">(forwardZeroRate(360,Lin_Interp(C$73,Zero_swap_CL!$J$2:$J$18,Zero_swap_CL!$K$2:$K$18),Lin_Interp(ROUND($W$64*365,0),Zero_swap_CL!$J$2:$J$18,Zero_swap_CL!$K$2:$K$18),C$73,$W$64*365)-Lin_Interp(ROUND($W$64*365,0),Zero_swap_CL!$J$2:$J$18,Zero_swap_CL!$K$2:$K$18))*100</f>
        <v>3.5461284918270053E-3</v>
      </c>
      <c r="D74" s="373">
        <f ca="1">(forwardZeroRate(360,Lin_Interp(D$73,Zero_swap_CL!$J$2:$J$18,Zero_swap_CL!$K$2:$K$18),Lin_Interp(ROUND($W$64*365,0),Zero_swap_CL!$J$2:$J$18,Zero_swap_CL!$K$2:$K$18),D$73,$W$64*365)-Lin_Interp(ROUND($W$64*365,0),Zero_swap_CL!$J$2:$J$18,Zero_swap_CL!$K$2:$K$18))*100</f>
        <v>1.8078387088316106E-2</v>
      </c>
      <c r="E74" s="373">
        <f ca="1">(forwardZeroRate(360,Lin_Interp(E$73,Zero_swap_CL!$J$2:$J$18,Zero_swap_CL!$K$2:$K$18),Lin_Interp(ROUND($W$64*365,0),Zero_swap_CL!$J$2:$J$18,Zero_swap_CL!$K$2:$K$18),E$73,$W$64*365)-Lin_Interp(ROUND($W$64*365,0),Zero_swap_CL!$J$2:$J$18,Zero_swap_CL!$K$2:$K$18))*100</f>
        <v>3.7030458698161794E-2</v>
      </c>
      <c r="F74" s="373">
        <f ca="1">(forwardZeroRate(360,Lin_Interp(F$73,Zero_swap_CL!$J$2:$J$18,Zero_swap_CL!$K$2:$K$18),Lin_Interp(ROUND($W$64*365,0),Zero_swap_CL!$J$2:$J$18,Zero_swap_CL!$K$2:$K$18),F$73,$W$64*365)-Lin_Interp(ROUND($W$64*365,0),Zero_swap_CL!$J$2:$J$18,Zero_swap_CL!$K$2:$K$18))*100</f>
        <v>7.7584779410866389E-2</v>
      </c>
      <c r="G74" s="373">
        <f ca="1">(forwardZeroRate(360,Lin_Interp(G$73,Zero_swap_CL!$J$2:$J$18,Zero_swap_CL!$K$2:$K$18),Lin_Interp(ROUND($W$64*365,0),Zero_swap_CL!$J$2:$J$18,Zero_swap_CL!$K$2:$K$18),G$73,$W$64*365)-Lin_Interp(ROUND($W$64*365,0),Zero_swap_CL!$J$2:$J$18,Zero_swap_CL!$K$2:$K$18))*100</f>
        <v>0.12172202353042394</v>
      </c>
      <c r="H74" s="373">
        <f ca="1">(forwardZeroRate(360,Lin_Interp(H$73,Zero_swap_CL!$J$2:$J$18,Zero_swap_CL!$K$2:$K$18),Lin_Interp(ROUND($W$64*365,0),Zero_swap_CL!$J$2:$J$18,Zero_swap_CL!$K$2:$K$18),H$73,$W$64*365)-Lin_Interp(ROUND($W$64*365,0),Zero_swap_CL!$J$2:$J$18,Zero_swap_CL!$K$2:$K$18))*100</f>
        <v>0.27624204558582832</v>
      </c>
      <c r="I74" s="372">
        <f ca="1">(forwardZeroRate(365,Lin_Interp(I$73,Zero_swap_CL!$O$23:$O$94,Zero_swap_CL!$S$23:$S$94),Lin_Interp(ROUND($W$64*365,0),Zero_swap_CL!$O$23:$O$94,Zero_swap_CL!$S$23:$S$94),I$73,$W$64*365)-Lin_Interp(ROUND($W$64*365,0),Zero_swap_CL!$O$23:$O$94,Zero_swap_CL!$S$23:$S$94))*100</f>
        <v>-2.2694000297063255E-2</v>
      </c>
      <c r="J74" s="372">
        <f ca="1">(forwardZeroRate(365,Lin_Interp(J$73,Zero_swap_CL!$O$23:$O$94,Zero_swap_CL!$S$23:$S$94),Lin_Interp(ROUND($W$64*365,0),Zero_swap_CL!$O$23:$O$94,Zero_swap_CL!$S$23:$S$94),J$73,$W$64*365)-Lin_Interp(ROUND($W$64*365,0),Zero_swap_CL!$O$23:$O$94,Zero_swap_CL!$S$23:$S$94))*100</f>
        <v>-0.11341861906575268</v>
      </c>
      <c r="K74" s="372">
        <f ca="1">(forwardZeroRate(365,Lin_Interp(K$73,Zero_swap_CL!$O$23:$O$94,Zero_swap_CL!$S$23:$S$94),Lin_Interp(ROUND($W$64*365,0),Zero_swap_CL!$O$23:$O$94,Zero_swap_CL!$S$23:$S$94),K$73,$W$64*365)-Lin_Interp(ROUND($W$64*365,0),Zero_swap_CL!$O$23:$O$94,Zero_swap_CL!$S$23:$S$94))*100</f>
        <v>-0.22670814486178692</v>
      </c>
      <c r="L74" s="372">
        <f ca="1">(forwardZeroRate(365,Lin_Interp(L$73,Zero_swap_CL!$O$23:$O$94,Zero_swap_CL!$S$23:$S$94),Lin_Interp(ROUND($W$64*365,0),Zero_swap_CL!$O$23:$O$94,Zero_swap_CL!$S$23:$S$94),L$73,$W$64*365)-Lin_Interp(ROUND($W$64*365,0),Zero_swap_CL!$O$23:$O$94,Zero_swap_CL!$S$23:$S$94))*100</f>
        <v>0.28373533420968933</v>
      </c>
      <c r="M74" s="372">
        <f ca="1">(forwardZeroRate(365,Lin_Interp(M$73,Zero_swap_CL!$O$23:$O$94,Zero_swap_CL!$S$23:$S$94),Lin_Interp(ROUND($W$64*365,0),Zero_swap_CL!$O$23:$O$94,Zero_swap_CL!$S$23:$S$94),M$73,$W$64*365)-Lin_Interp(ROUND($W$64*365,0),Zero_swap_CL!$O$23:$O$94,Zero_swap_CL!$S$23:$S$94))*100</f>
        <v>1.1204280587958859</v>
      </c>
      <c r="N74" s="372">
        <f ca="1">(forwardZeroRate(365,Lin_Interp(N$73,Zero_swap_CL!$O$23:$O$94,Zero_swap_CL!$S$23:$S$94),Lin_Interp(ROUND($W$64*365,0),Zero_swap_CL!$O$23:$O$94,Zero_swap_CL!$S$23:$S$94),N$73,$W$64*365)-Lin_Interp(ROUND($W$64*365,0),Zero_swap_CL!$O$23:$O$94,Zero_swap_CL!$S$23:$S$94))*100</f>
        <v>5.1257157673534337E-2</v>
      </c>
      <c r="O74" s="371">
        <f ca="1">I74-C74</f>
        <v>-2.624012878889026E-2</v>
      </c>
      <c r="P74" s="371">
        <f t="shared" ref="P74:T75" ca="1" si="12">J74-D74</f>
        <v>-0.13149700615406879</v>
      </c>
      <c r="Q74" s="371">
        <f t="shared" ca="1" si="12"/>
        <v>-0.26373860355994871</v>
      </c>
      <c r="R74" s="371">
        <f t="shared" ca="1" si="12"/>
        <v>0.20615055479882294</v>
      </c>
      <c r="S74" s="371">
        <f t="shared" ca="1" si="12"/>
        <v>0.99870603526546198</v>
      </c>
      <c r="T74" s="371">
        <f t="shared" ca="1" si="12"/>
        <v>-0.22498488791229398</v>
      </c>
      <c r="U74" s="184"/>
      <c r="V74" s="184"/>
      <c r="AJ74" s="184"/>
      <c r="AK74" s="184"/>
      <c r="AL74" s="184"/>
      <c r="AM74" s="184"/>
      <c r="AN74" s="184"/>
    </row>
    <row r="75" spans="1:40" s="349" customFormat="1" ht="12.75" thickBot="1">
      <c r="A75" s="184"/>
      <c r="B75" s="370" t="s">
        <v>316</v>
      </c>
      <c r="C75" s="373">
        <f ca="1">(Lin_Interp(ROUND($W$64*365,0),Zero_swap_CL!$J$2:$J$18,Zero_swap_CL!$K$2:$K$18)-Lin_Interp(ROUND($W$64*365-C$73,0),Zero_swap_CL!$J$2:$J$18,Zero_swap_CL!$K$2:$K$18))*100</f>
        <v>3.8656403632097991E-2</v>
      </c>
      <c r="D75" s="373">
        <f ca="1">(Lin_Interp(ROUND($W$64*365,0),Zero_swap_CL!$J$2:$J$18,Zero_swap_CL!$K$2:$K$18)-Lin_Interp(ROUND($W$64*365-D$73,0),Zero_swap_CL!$J$2:$J$18,Zero_swap_CL!$K$2:$K$18))*100</f>
        <v>0.19328201816057877</v>
      </c>
      <c r="E75" s="373">
        <f ca="1">(Lin_Interp(ROUND($W$64*365,0),Zero_swap_CL!$J$2:$J$18,Zero_swap_CL!$K$2:$K$18)-Lin_Interp(ROUND($W$64*365-E$73,0),Zero_swap_CL!$J$2:$J$18,Zero_swap_CL!$K$2:$K$18))*100</f>
        <v>0.38656403632115754</v>
      </c>
      <c r="F75" s="373">
        <f ca="1">(Lin_Interp(ROUND($W$64*365,0),Zero_swap_CL!$J$2:$J$18,Zero_swap_CL!$K$2:$K$18)-Lin_Interp(ROUND($W$64*365-F$73,0),Zero_swap_CL!$J$2:$J$18,Zero_swap_CL!$K$2:$K$18))*100</f>
        <v>0.77312807264231509</v>
      </c>
      <c r="G75" s="373">
        <f ca="1">(Lin_Interp(ROUND($W$64*365,0),Zero_swap_CL!$J$2:$J$18,Zero_swap_CL!$K$2:$K$18)-Lin_Interp(ROUND($W$64*365-G$73,0),Zero_swap_CL!$J$2:$J$18,Zero_swap_CL!$K$2:$K$18))*100</f>
        <v>1.1596921089634726</v>
      </c>
      <c r="H75" s="373">
        <f ca="1">(Lin_Interp(ROUND($W$64*365,0),Zero_swap_CL!$J$2:$J$18,Zero_swap_CL!$K$2:$K$18)-Lin_Interp(ROUND($W$64*365-H$73,0),Zero_swap_CL!$J$2:$J$18,Zero_swap_CL!$K$2:$K$18))*100</f>
        <v>2.3193842179269453</v>
      </c>
      <c r="I75" s="372">
        <f ca="1">(Lin_Interp(ROUND($W$64*365,0),Zero_swap_CL!$O$23:$O$94,Zero_swap_CL!$S$23:$S$94)-Lin_Interp(ROUND($W$64*365-I$73,0),Zero_swap_CL!$O$23:$O$94,Zero_swap_CL!$S$23:$S$94))*100</f>
        <v>3.6312189955600704E-2</v>
      </c>
      <c r="J75" s="372">
        <f ca="1">(Lin_Interp(ROUND($W$64*365,0),Zero_swap_CL!$O$23:$O$94,Zero_swap_CL!$S$23:$S$94)-Lin_Interp(ROUND($W$64*365-J$73,0),Zero_swap_CL!$O$23:$O$94,Zero_swap_CL!$S$23:$S$94))*100</f>
        <v>0.18156094977803683</v>
      </c>
      <c r="K75" s="372">
        <f ca="1">(Lin_Interp(ROUND($W$64*365,0),Zero_swap_CL!$O$23:$O$94,Zero_swap_CL!$S$23:$S$94)-Lin_Interp(ROUND($W$64*365-K$73,0),Zero_swap_CL!$O$23:$O$94,Zero_swap_CL!$S$23:$S$94))*100</f>
        <v>0.36312189955608476</v>
      </c>
      <c r="L75" s="372">
        <f ca="1">(Lin_Interp(ROUND($W$64*365,0),Zero_swap_CL!$O$23:$O$94,Zero_swap_CL!$S$23:$S$94)-Lin_Interp(ROUND($W$64*365-L$73,0),Zero_swap_CL!$O$23:$O$94,Zero_swap_CL!$S$23:$S$94))*100</f>
        <v>0.72624379911215842</v>
      </c>
      <c r="M75" s="372">
        <f ca="1">(Lin_Interp(ROUND($W$64*365,0),Zero_swap_CL!$O$23:$O$94,Zero_swap_CL!$S$23:$S$94)-Lin_Interp(ROUND($W$64*365-M$73,0),Zero_swap_CL!$O$23:$O$94,Zero_swap_CL!$S$23:$S$94))*100</f>
        <v>1.0893656986682432</v>
      </c>
      <c r="N75" s="372">
        <f ca="1">(Lin_Interp(ROUND($W$64*365,0),Zero_swap_CL!$O$23:$O$94,Zero_swap_CL!$S$23:$S$94)-Lin_Interp(ROUND($W$64*365-N$73,0),Zero_swap_CL!$O$23:$O$94,Zero_swap_CL!$S$23:$S$94))*100</f>
        <v>2.1787313973364975</v>
      </c>
      <c r="O75" s="371">
        <f ca="1">I75-C75</f>
        <v>-2.3442136764972865E-3</v>
      </c>
      <c r="P75" s="371">
        <f t="shared" ca="1" si="12"/>
        <v>-1.1721068382541944E-2</v>
      </c>
      <c r="Q75" s="371">
        <f t="shared" ca="1" si="12"/>
        <v>-2.3442136765072785E-2</v>
      </c>
      <c r="R75" s="371">
        <f t="shared" ca="1" si="12"/>
        <v>-4.6884273530156673E-2</v>
      </c>
      <c r="S75" s="371">
        <f t="shared" ca="1" si="12"/>
        <v>-7.0326410295229458E-2</v>
      </c>
      <c r="T75" s="371">
        <f t="shared" ca="1" si="12"/>
        <v>-0.14065282059044781</v>
      </c>
      <c r="U75" s="184"/>
      <c r="V75" s="184"/>
      <c r="W75" s="394"/>
      <c r="AJ75" s="184"/>
      <c r="AK75" s="184"/>
      <c r="AL75" s="184"/>
      <c r="AM75" s="184"/>
      <c r="AN75" s="184"/>
    </row>
    <row r="76" spans="1:40" s="349" customFormat="1" ht="12.75" thickBot="1">
      <c r="A76" s="184"/>
      <c r="B76" s="370" t="s">
        <v>317</v>
      </c>
      <c r="C76" s="373">
        <f ca="1">SUM(C74:C75)</f>
        <v>4.2202532123924996E-2</v>
      </c>
      <c r="D76" s="373">
        <f t="shared" ref="D76:T76" ca="1" si="13">SUM(D74:D75)</f>
        <v>0.21136040524889488</v>
      </c>
      <c r="E76" s="373">
        <f t="shared" ca="1" si="13"/>
        <v>0.42359449501931934</v>
      </c>
      <c r="F76" s="373">
        <f t="shared" ca="1" si="13"/>
        <v>0.85071285205318148</v>
      </c>
      <c r="G76" s="373">
        <f t="shared" ca="1" si="13"/>
        <v>1.2814141324938966</v>
      </c>
      <c r="H76" s="373">
        <f t="shared" ca="1" si="13"/>
        <v>2.5956262635127736</v>
      </c>
      <c r="I76" s="372">
        <f t="shared" ca="1" si="13"/>
        <v>1.361818965853745E-2</v>
      </c>
      <c r="J76" s="372">
        <f t="shared" ca="1" si="13"/>
        <v>6.8142330712284149E-2</v>
      </c>
      <c r="K76" s="372">
        <f t="shared" ca="1" si="13"/>
        <v>0.13641375469429784</v>
      </c>
      <c r="L76" s="372">
        <f t="shared" ca="1" si="13"/>
        <v>1.0099791333218477</v>
      </c>
      <c r="M76" s="372">
        <f t="shared" ca="1" si="13"/>
        <v>2.2097937574641291</v>
      </c>
      <c r="N76" s="372">
        <f t="shared" ca="1" si="13"/>
        <v>2.2299885550100318</v>
      </c>
      <c r="O76" s="374">
        <f t="shared" ca="1" si="13"/>
        <v>-2.8584342465387547E-2</v>
      </c>
      <c r="P76" s="375">
        <f t="shared" ca="1" si="13"/>
        <v>-0.14321807453661073</v>
      </c>
      <c r="Q76" s="375">
        <f t="shared" ca="1" si="13"/>
        <v>-0.2871807403250215</v>
      </c>
      <c r="R76" s="375">
        <f t="shared" ca="1" si="13"/>
        <v>0.15926628126866627</v>
      </c>
      <c r="S76" s="375">
        <f t="shared" ca="1" si="13"/>
        <v>0.92837962497023252</v>
      </c>
      <c r="T76" s="376">
        <f t="shared" ca="1" si="13"/>
        <v>-0.3656377085027418</v>
      </c>
      <c r="U76" s="184"/>
      <c r="V76" s="184"/>
      <c r="W76" s="394"/>
      <c r="AJ76" s="184"/>
      <c r="AK76" s="184"/>
      <c r="AL76" s="184"/>
      <c r="AM76" s="184"/>
      <c r="AN76" s="184"/>
    </row>
    <row r="77" spans="1:40" s="349" customFormat="1" ht="13.5" thickBot="1">
      <c r="A77" s="184"/>
      <c r="C77" s="577" t="s">
        <v>393</v>
      </c>
      <c r="D77" s="578"/>
      <c r="E77" s="578"/>
      <c r="F77" s="578"/>
      <c r="G77" s="578"/>
      <c r="H77" s="578"/>
      <c r="I77" s="578"/>
      <c r="J77" s="578"/>
      <c r="K77" s="578"/>
      <c r="L77" s="578"/>
      <c r="M77" s="578"/>
      <c r="N77" s="578"/>
      <c r="O77" s="578"/>
      <c r="P77" s="578"/>
      <c r="Q77" s="578"/>
      <c r="R77" s="578"/>
      <c r="S77" s="578"/>
      <c r="T77" s="579"/>
      <c r="U77" s="184"/>
      <c r="V77" s="184"/>
      <c r="W77" s="394"/>
      <c r="AJ77" s="184"/>
      <c r="AK77" s="184"/>
      <c r="AL77" s="184"/>
      <c r="AM77" s="184"/>
      <c r="AN77" s="184"/>
    </row>
    <row r="78" spans="1:40" s="349" customFormat="1">
      <c r="A78" s="184"/>
      <c r="B78" s="370" t="s">
        <v>150</v>
      </c>
      <c r="C78" s="373">
        <f t="shared" ref="C78:T78" ca="1" si="14">($W$64-C$73/365)*C74</f>
        <v>1.7720927038609474E-2</v>
      </c>
      <c r="D78" s="373">
        <f t="shared" ca="1" si="14"/>
        <v>9.0144286303384419E-2</v>
      </c>
      <c r="E78" s="373">
        <f t="shared" ca="1" si="14"/>
        <v>0.18413776037579083</v>
      </c>
      <c r="F78" s="373">
        <f t="shared" ca="1" si="14"/>
        <v>0.38367267626469542</v>
      </c>
      <c r="G78" s="373">
        <f t="shared" ca="1" si="14"/>
        <v>0.59860556777290674</v>
      </c>
      <c r="H78" s="373">
        <f t="shared" ca="1" si="14"/>
        <v>1.3358005765999643</v>
      </c>
      <c r="I78" s="372">
        <f t="shared" ca="1" si="14"/>
        <v>-0.11340782614203665</v>
      </c>
      <c r="J78" s="372">
        <f t="shared" ca="1" si="14"/>
        <v>-0.565539415615534</v>
      </c>
      <c r="K78" s="372">
        <f t="shared" ca="1" si="14"/>
        <v>-1.1273295422579268</v>
      </c>
      <c r="L78" s="372">
        <f t="shared" ca="1" si="14"/>
        <v>1.4031295294479156</v>
      </c>
      <c r="M78" s="372">
        <f t="shared" ca="1" si="14"/>
        <v>5.5100503165441506</v>
      </c>
      <c r="N78" s="372">
        <f t="shared" ca="1" si="14"/>
        <v>0.24785995422955645</v>
      </c>
      <c r="O78" s="371">
        <f t="shared" ca="1" si="14"/>
        <v>-0.13112875318064612</v>
      </c>
      <c r="P78" s="371">
        <f t="shared" ca="1" si="14"/>
        <v>-0.65568370191891834</v>
      </c>
      <c r="Q78" s="371">
        <f t="shared" ca="1" si="14"/>
        <v>-1.3114673026337176</v>
      </c>
      <c r="R78" s="371">
        <f t="shared" ca="1" si="14"/>
        <v>1.0194568531832202</v>
      </c>
      <c r="S78" s="371">
        <f t="shared" ca="1" si="14"/>
        <v>4.9114447487712445</v>
      </c>
      <c r="T78" s="371">
        <f t="shared" ca="1" si="14"/>
        <v>-1.087940622370408</v>
      </c>
      <c r="U78" s="184"/>
      <c r="V78" s="184"/>
      <c r="AJ78" s="184"/>
      <c r="AK78" s="184"/>
      <c r="AL78" s="184"/>
      <c r="AM78" s="184"/>
      <c r="AN78" s="184"/>
    </row>
    <row r="79" spans="1:40" s="349" customFormat="1" ht="12.75" thickBot="1">
      <c r="A79" s="184"/>
      <c r="B79" s="370" t="s">
        <v>316</v>
      </c>
      <c r="C79" s="373">
        <f t="shared" ref="C79:T79" ca="1" si="15">($W$64-C$73/365)*C75</f>
        <v>0.19317611020533351</v>
      </c>
      <c r="D79" s="373">
        <f t="shared" ca="1" si="15"/>
        <v>0.96376239192398194</v>
      </c>
      <c r="E79" s="373">
        <f t="shared" ca="1" si="15"/>
        <v>1.9222293860901396</v>
      </c>
      <c r="F79" s="373">
        <f t="shared" ca="1" si="15"/>
        <v>3.8232771811489825</v>
      </c>
      <c r="G79" s="373">
        <f t="shared" ca="1" si="15"/>
        <v>5.7031433851765296</v>
      </c>
      <c r="H79" s="373">
        <f t="shared" ca="1" si="15"/>
        <v>11.215652451071394</v>
      </c>
      <c r="I79" s="372">
        <f t="shared" ca="1" si="15"/>
        <v>0.18146146432607035</v>
      </c>
      <c r="J79" s="372">
        <f t="shared" ca="1" si="15"/>
        <v>0.90531761259185495</v>
      </c>
      <c r="K79" s="372">
        <f t="shared" ca="1" si="15"/>
        <v>1.8056609525871063</v>
      </c>
      <c r="L79" s="372">
        <f t="shared" ca="1" si="15"/>
        <v>3.5914248147875232</v>
      </c>
      <c r="M79" s="372">
        <f t="shared" ca="1" si="15"/>
        <v>5.3572915866013595</v>
      </c>
      <c r="N79" s="372">
        <f t="shared" ca="1" si="15"/>
        <v>10.535509359723063</v>
      </c>
      <c r="O79" s="371">
        <f t="shared" ca="1" si="15"/>
        <v>-1.1714645879263153E-2</v>
      </c>
      <c r="P79" s="371">
        <f t="shared" ca="1" si="15"/>
        <v>-5.844477933212696E-2</v>
      </c>
      <c r="Q79" s="371">
        <f t="shared" ca="1" si="15"/>
        <v>-0.11656843350303316</v>
      </c>
      <c r="R79" s="371">
        <f t="shared" ca="1" si="15"/>
        <v>-0.2318523663614597</v>
      </c>
      <c r="S79" s="371">
        <f t="shared" ca="1" si="15"/>
        <v>-0.34585179857516951</v>
      </c>
      <c r="T79" s="371">
        <f t="shared" ca="1" si="15"/>
        <v>-0.68014309134832984</v>
      </c>
      <c r="U79" s="184"/>
      <c r="V79" s="184"/>
      <c r="AJ79" s="184"/>
      <c r="AK79" s="184"/>
      <c r="AL79" s="184"/>
      <c r="AM79" s="184"/>
      <c r="AN79" s="184"/>
    </row>
    <row r="80" spans="1:40" s="349" customFormat="1" ht="12.75" thickBot="1">
      <c r="A80" s="184"/>
      <c r="B80" s="370" t="s">
        <v>317</v>
      </c>
      <c r="C80" s="373">
        <f t="shared" ref="C80:T80" ca="1" si="16">($W$64-C$73/365)*C76</f>
        <v>0.21089703724394299</v>
      </c>
      <c r="D80" s="373">
        <f t="shared" ca="1" si="16"/>
        <v>1.0539066782273663</v>
      </c>
      <c r="E80" s="373">
        <f t="shared" ca="1" si="16"/>
        <v>2.1063671464659302</v>
      </c>
      <c r="F80" s="373">
        <f t="shared" ca="1" si="16"/>
        <v>4.2069498574136777</v>
      </c>
      <c r="G80" s="373">
        <f t="shared" ca="1" si="16"/>
        <v>6.3017489529494357</v>
      </c>
      <c r="H80" s="373">
        <f t="shared" ca="1" si="16"/>
        <v>12.551453027671357</v>
      </c>
      <c r="I80" s="372">
        <f t="shared" ca="1" si="16"/>
        <v>6.8053638184033718E-2</v>
      </c>
      <c r="J80" s="372">
        <f t="shared" ca="1" si="16"/>
        <v>0.339778196976321</v>
      </c>
      <c r="K80" s="372">
        <f t="shared" ca="1" si="16"/>
        <v>0.67833141032917965</v>
      </c>
      <c r="L80" s="372">
        <f t="shared" ca="1" si="16"/>
        <v>4.9945543442354383</v>
      </c>
      <c r="M80" s="372">
        <f t="shared" ca="1" si="16"/>
        <v>10.86734190314551</v>
      </c>
      <c r="N80" s="372">
        <f t="shared" ca="1" si="16"/>
        <v>10.783369313952621</v>
      </c>
      <c r="O80" s="374">
        <f t="shared" ca="1" si="16"/>
        <v>-0.14284339905990928</v>
      </c>
      <c r="P80" s="375">
        <f t="shared" ca="1" si="16"/>
        <v>-0.71412848125104533</v>
      </c>
      <c r="Q80" s="375">
        <f t="shared" ca="1" si="16"/>
        <v>-1.4280357361367506</v>
      </c>
      <c r="R80" s="375">
        <f t="shared" ca="1" si="16"/>
        <v>0.78760448682176054</v>
      </c>
      <c r="S80" s="375">
        <f t="shared" ca="1" si="16"/>
        <v>4.5655929501960744</v>
      </c>
      <c r="T80" s="376">
        <f t="shared" ca="1" si="16"/>
        <v>-1.7680837137187377</v>
      </c>
      <c r="U80" s="184"/>
      <c r="V80" s="184"/>
      <c r="AJ80" s="184"/>
      <c r="AK80" s="184"/>
      <c r="AL80" s="184"/>
      <c r="AM80" s="184"/>
      <c r="AN80" s="184"/>
    </row>
    <row r="82" spans="1:40" s="349" customFormat="1" ht="23.25">
      <c r="A82" s="184"/>
      <c r="B82" s="580" t="s">
        <v>372</v>
      </c>
      <c r="C82" s="580"/>
      <c r="D82" s="580"/>
      <c r="E82" s="580"/>
      <c r="F82" s="580"/>
      <c r="G82" s="580"/>
      <c r="H82" s="580"/>
      <c r="I82" s="580"/>
      <c r="J82" s="580"/>
      <c r="K82" s="580"/>
      <c r="L82" s="580"/>
      <c r="M82" s="580"/>
      <c r="N82" s="580"/>
      <c r="O82" s="580"/>
      <c r="P82" s="580"/>
      <c r="Q82" s="580"/>
      <c r="R82" s="580"/>
      <c r="S82" s="580"/>
      <c r="T82" s="580"/>
      <c r="U82" s="184"/>
      <c r="V82" s="184"/>
      <c r="AJ82" s="184"/>
      <c r="AK82" s="184"/>
      <c r="AL82" s="184"/>
      <c r="AM82" s="184"/>
      <c r="AN82" s="184"/>
    </row>
    <row r="83" spans="1:40" s="349" customFormat="1">
      <c r="A83" s="184"/>
      <c r="B83" s="184"/>
      <c r="E83" s="371"/>
      <c r="F83" s="371"/>
      <c r="AJ83" s="184"/>
      <c r="AK83" s="184"/>
      <c r="AL83" s="184"/>
      <c r="AM83" s="184"/>
      <c r="AN83" s="184"/>
    </row>
    <row r="84" spans="1:40" s="349" customFormat="1" ht="14.25" customHeight="1" thickBot="1">
      <c r="A84" s="184"/>
      <c r="B84" s="184"/>
      <c r="C84" s="184"/>
      <c r="E84" s="337" t="s">
        <v>47</v>
      </c>
      <c r="F84" s="337"/>
      <c r="G84" s="337" t="s">
        <v>173</v>
      </c>
      <c r="H84" s="337"/>
      <c r="I84" s="262" t="s">
        <v>148</v>
      </c>
      <c r="J84" s="262" t="s">
        <v>375</v>
      </c>
      <c r="K84" s="262" t="s">
        <v>376</v>
      </c>
      <c r="L84" s="188" t="s">
        <v>377</v>
      </c>
      <c r="M84" s="188" t="s">
        <v>378</v>
      </c>
      <c r="N84" s="262" t="s">
        <v>379</v>
      </c>
      <c r="O84" s="262" t="s">
        <v>539</v>
      </c>
      <c r="P84" s="262" t="s">
        <v>380</v>
      </c>
      <c r="Q84" s="262" t="s">
        <v>540</v>
      </c>
      <c r="W84" s="380" t="s">
        <v>173</v>
      </c>
      <c r="X84" s="380" t="s">
        <v>130</v>
      </c>
      <c r="Y84" s="380" t="s">
        <v>381</v>
      </c>
      <c r="Z84" s="380" t="s">
        <v>382</v>
      </c>
      <c r="AA84" s="380" t="s">
        <v>383</v>
      </c>
      <c r="AB84" s="380" t="s">
        <v>384</v>
      </c>
      <c r="AJ84" s="184"/>
      <c r="AK84" s="184"/>
      <c r="AL84" s="184"/>
      <c r="AM84" s="184"/>
      <c r="AN84" s="184"/>
    </row>
    <row r="85" spans="1:40" s="349" customFormat="1">
      <c r="A85" s="184"/>
      <c r="B85" s="184"/>
      <c r="C85" s="184"/>
      <c r="E85" s="264" t="s">
        <v>374</v>
      </c>
      <c r="F85" s="264"/>
      <c r="G85" s="264" t="str">
        <f>VLOOKUP("PuntaPESO-05",HPR!$CN:$CO,2,0)</f>
        <v>BTP0450321</v>
      </c>
      <c r="H85" s="264"/>
      <c r="I85" s="378">
        <f>HPR!$C$13</f>
        <v>3.81</v>
      </c>
      <c r="J85" s="400">
        <f>Inflation_FWD!$D$3</f>
        <v>42683</v>
      </c>
      <c r="K85" s="400">
        <f>EDATE(J85,1)</f>
        <v>42713</v>
      </c>
      <c r="L85" s="378">
        <f ca="1">J85-fechaHoy</f>
        <v>13</v>
      </c>
      <c r="M85" s="378">
        <f ca="1">K85-fechaHoy</f>
        <v>43</v>
      </c>
      <c r="N85" s="207">
        <f ca="1">$I85+AA85</f>
        <v>3.8121859635089659</v>
      </c>
      <c r="O85" s="491">
        <f ca="1">100*(N85-$I85)</f>
        <v>0.21859635089658269</v>
      </c>
      <c r="P85" s="207">
        <f ca="1">$I85+AB85</f>
        <v>3.8174737021105423</v>
      </c>
      <c r="Q85" s="491">
        <f ca="1">100*(P85-$I85)</f>
        <v>0.7473702110542213</v>
      </c>
      <c r="W85" s="379" t="str">
        <f>G85</f>
        <v>BTP0450321</v>
      </c>
      <c r="X85" s="396">
        <f ca="1">VLOOKUP(G85,HPR!$BD:$BH,5,0)</f>
        <v>4.0084071456053554</v>
      </c>
      <c r="Y85" s="396">
        <f ca="1">Lin_Interp(L85,Zero_swap_CL!$J$2:$J$18,Zero_swap_CL!$K$2:$K$18)</f>
        <v>3.5584251175858665</v>
      </c>
      <c r="Z85" s="396">
        <f ca="1">Lin_Interp(M85,Zero_swap_CL!$J$2:$J$18,Zero_swap_CL!$K$2:$K$18)</f>
        <v>3.5500011806953338</v>
      </c>
      <c r="AA85" s="397">
        <f ca="1">100*(((1+$I85/100)^(L85/360)/(1+Y85/100)^(L85/360))-1)/$X85</f>
        <v>2.1859635089657181E-3</v>
      </c>
      <c r="AB85" s="397">
        <f ca="1">100*(((1+$I85/100)^(M85/360)/(1+Z85/100)^(M85/360))-1)/$X85</f>
        <v>7.4737021105420942E-3</v>
      </c>
      <c r="AJ85" s="184"/>
      <c r="AK85" s="184"/>
      <c r="AL85" s="184"/>
      <c r="AM85" s="184"/>
      <c r="AN85" s="184"/>
    </row>
    <row r="86" spans="1:40" s="349" customFormat="1">
      <c r="A86" s="184"/>
      <c r="B86" s="184"/>
      <c r="C86" s="184"/>
      <c r="E86" s="264" t="s">
        <v>373</v>
      </c>
      <c r="F86" s="264"/>
      <c r="G86" s="264" t="str">
        <f>VLOOKUP("PuntaUF-05",HPR!$CQ:$CR,2,0)</f>
        <v>BTU0300122</v>
      </c>
      <c r="H86" s="264"/>
      <c r="I86" s="378">
        <f>HPR!$C$17</f>
        <v>1.07</v>
      </c>
      <c r="J86" s="400">
        <f>Inflation_FWD!$D$3</f>
        <v>42683</v>
      </c>
      <c r="K86" s="400">
        <f>EDATE(J86,1)</f>
        <v>42713</v>
      </c>
      <c r="L86" s="378">
        <f ca="1">J86-fechaHoy</f>
        <v>13</v>
      </c>
      <c r="M86" s="378">
        <f ca="1">K86-fechaHoy</f>
        <v>43</v>
      </c>
      <c r="N86" s="207">
        <f ca="1">$I86+AA86</f>
        <v>1.0702916440241972</v>
      </c>
      <c r="O86" s="491">
        <f ca="1">100*(N86-$I86)</f>
        <v>2.916440241971241E-2</v>
      </c>
      <c r="P86" s="207">
        <f ca="1">$I86+AB86</f>
        <v>1.0974534312664284</v>
      </c>
      <c r="Q86" s="491">
        <f ca="1">100*(P86-$I86)</f>
        <v>2.7453431266428296</v>
      </c>
      <c r="W86" s="379" t="str">
        <f>G86</f>
        <v>BTU0300122</v>
      </c>
      <c r="X86" s="396">
        <f ca="1">VLOOKUP(G86,HPR!$BQ:$BS,3,0)</f>
        <v>4.8289729073412273</v>
      </c>
      <c r="Y86" s="396">
        <f ca="1">Lin_Interp(L86,Zero_swap_CL!$O$23:$O$94,Zero_swap_CL!$S$23:$S$94)</f>
        <v>1.0305904457763448</v>
      </c>
      <c r="Z86" s="396">
        <f ca="1">Lin_Interp(M86,Zero_swap_CL!$O$23:$O$94,Zero_swap_CL!$S$23:$S$94)</f>
        <v>-4.4842948410226402E-2</v>
      </c>
      <c r="AA86" s="397">
        <f ca="1">100*(((1+$I86/100)^(L86/360)/(1+Y86/100)^(L86/360))-1)/$X86</f>
        <v>2.9164402419706918E-4</v>
      </c>
      <c r="AB86" s="397">
        <f ca="1">100*(((1+$I86/100)^(M86/360)/(1+Z86/100)^(M86/360))-1)/$X86</f>
        <v>2.745343126642829E-2</v>
      </c>
      <c r="AJ86" s="184"/>
      <c r="AK86" s="184"/>
      <c r="AL86" s="184"/>
      <c r="AM86" s="184"/>
      <c r="AN86" s="184"/>
    </row>
    <row r="87" spans="1:40" s="349" customFormat="1">
      <c r="A87" s="184"/>
      <c r="B87" s="184"/>
      <c r="C87" s="184"/>
      <c r="E87" s="264" t="s">
        <v>385</v>
      </c>
      <c r="F87" s="264"/>
      <c r="G87" s="264"/>
      <c r="H87" s="264"/>
      <c r="I87" s="378">
        <f>I85-I86</f>
        <v>2.74</v>
      </c>
      <c r="J87" s="400">
        <f>J86</f>
        <v>42683</v>
      </c>
      <c r="K87" s="400">
        <f>K86</f>
        <v>42713</v>
      </c>
      <c r="L87" s="378">
        <f ca="1">L86</f>
        <v>13</v>
      </c>
      <c r="M87" s="378">
        <f ca="1">M86</f>
        <v>43</v>
      </c>
      <c r="N87" s="207">
        <f ca="1">N85-N86</f>
        <v>2.7418943194847687</v>
      </c>
      <c r="O87" s="491"/>
      <c r="P87" s="207">
        <f ca="1">P85-P86</f>
        <v>2.7200202708441141</v>
      </c>
      <c r="Q87" s="491"/>
      <c r="R87" s="469"/>
      <c r="W87" s="405" t="str">
        <f>G91</f>
        <v>BTP0450326</v>
      </c>
      <c r="X87" s="396">
        <f ca="1">VLOOKUP(W87,HPR!$BD:$BH,5,0)</f>
        <v>8.0000287887150723</v>
      </c>
      <c r="Y87" s="396">
        <f ca="1">Lin_Interp(L91,Zero_swap_CL!$J$2:$J$18,Zero_swap_CL!$K$2:$K$18)</f>
        <v>3.5584251175858665</v>
      </c>
      <c r="Z87" s="396">
        <f ca="1">Lin_Interp(M91,Zero_swap_CL!$J$2:$J$18,Zero_swap_CL!$K$2:$K$18)</f>
        <v>3.5500011806953338</v>
      </c>
      <c r="AA87" s="397">
        <f ca="1">100*(((1+$I91/100)^(L91/360)/(1+Y87/100)^(L91/360))-1)/$X87</f>
        <v>2.7448298207000308E-3</v>
      </c>
      <c r="AB87" s="397">
        <f ca="1">100*(((1+$I91/100)^(M91/360)/(1+Z87/100)^(M91/360))-1)/$X87</f>
        <v>9.2028986647089226E-3</v>
      </c>
      <c r="AJ87" s="184"/>
      <c r="AK87" s="184"/>
      <c r="AL87" s="184"/>
      <c r="AM87" s="184"/>
      <c r="AN87" s="184"/>
    </row>
    <row r="88" spans="1:40" s="349" customFormat="1">
      <c r="A88" s="184"/>
      <c r="B88" s="184"/>
      <c r="C88" s="184"/>
      <c r="E88" s="264" t="s">
        <v>388</v>
      </c>
      <c r="F88" s="264"/>
      <c r="G88" s="264"/>
      <c r="H88" s="264"/>
      <c r="I88" s="378">
        <f>E63</f>
        <v>3.58</v>
      </c>
      <c r="J88" s="400">
        <f t="shared" ref="J88:M90" si="17">J87</f>
        <v>42683</v>
      </c>
      <c r="K88" s="400">
        <f t="shared" si="17"/>
        <v>42713</v>
      </c>
      <c r="L88" s="378">
        <f t="shared" ca="1" si="17"/>
        <v>13</v>
      </c>
      <c r="M88" s="378">
        <f t="shared" ca="1" si="17"/>
        <v>43</v>
      </c>
      <c r="N88" s="207">
        <f ca="1">(forwardZeroRate(360,Lin_Interp(L$88,Zero_swap_CL!$J$2:$J$18,Zero_swap_CL!$K$2:$K$18),Lin_Interp(ROUND($W$64*365,0),Zero_swap_CL!$J$2:$J$18,Zero_swap_CL!$K$2:$K$18),L$88,$W$64*365)-Lin_Interp(ROUND($W$64*365,0),Zero_swap_CL!$J$2:$J$18,Zero_swap_CL!$K$2:$K$18))+$I88</f>
        <v>3.5804882408738958</v>
      </c>
      <c r="O88" s="491"/>
      <c r="P88" s="207">
        <f ca="1">(forwardZeroRate(360,Lin_Interp(M$88,Zero_swap_CL!$J$2:$J$18,Zero_swap_CL!$K$2:$K$18),Lin_Interp(ROUND($W$64*365,0),Zero_swap_CL!$J$2:$J$18,Zero_swap_CL!$K$2:$K$18),M$88,$W$64*365)-Lin_Interp(ROUND($W$64*365,0),Zero_swap_CL!$J$2:$J$18,Zero_swap_CL!$K$2:$K$18))+$I88</f>
        <v>3.5818455638819957</v>
      </c>
      <c r="Q88" s="491"/>
      <c r="W88" s="405" t="str">
        <f>G92</f>
        <v>BTU0300327</v>
      </c>
      <c r="X88" s="396">
        <f ca="1">VLOOKUP(W88,HPR!$BQ:$BS,3,0)</f>
        <v>9.1500703161636938</v>
      </c>
      <c r="Y88" s="396">
        <f ca="1">Lin_Interp(L92,Zero_swap_CL!$O$23:$O$94,Zero_swap_CL!$S$23:$S$94)</f>
        <v>1.0305904457763448</v>
      </c>
      <c r="Z88" s="396">
        <f ca="1">Lin_Interp(M92,Zero_swap_CL!$O$23:$O$94,Zero_swap_CL!$S$23:$S$94)</f>
        <v>-4.4842948410226402E-2</v>
      </c>
      <c r="AA88" s="397">
        <f ca="1">100*(((1+$I92/100)^(L92/360)/(1+Y88/100)^(L92/360))-1)/$X88</f>
        <v>9.731066452215955E-4</v>
      </c>
      <c r="AB88" s="397">
        <f ca="1">100*(((1+$I92/100)^(M92/360)/(1+Z88/100)^(M92/360))-1)/$X88</f>
        <v>1.7202037918605591E-2</v>
      </c>
      <c r="AJ88" s="184"/>
      <c r="AK88" s="184"/>
      <c r="AL88" s="184"/>
      <c r="AM88" s="184"/>
      <c r="AN88" s="184"/>
    </row>
    <row r="89" spans="1:40" s="349" customFormat="1">
      <c r="A89" s="184"/>
      <c r="B89" s="184"/>
      <c r="C89" s="184"/>
      <c r="E89" s="264" t="s">
        <v>387</v>
      </c>
      <c r="F89" s="264"/>
      <c r="G89" s="264"/>
      <c r="H89" s="264"/>
      <c r="I89" s="378">
        <f>F63</f>
        <v>0.77</v>
      </c>
      <c r="J89" s="400">
        <f t="shared" si="17"/>
        <v>42683</v>
      </c>
      <c r="K89" s="400">
        <f t="shared" si="17"/>
        <v>42713</v>
      </c>
      <c r="L89" s="378">
        <f t="shared" ca="1" si="17"/>
        <v>13</v>
      </c>
      <c r="M89" s="378">
        <f t="shared" ca="1" si="17"/>
        <v>43</v>
      </c>
      <c r="N89" s="207">
        <f ca="1">(forwardZeroRate(365,Lin_Interp(L$89,Zero_swap_CL!$O$23:$O$94,Zero_swap_CL!$S$23:$S$94),Lin_Interp(ROUND($W$64*365,0),Zero_swap_CL!$O$23:$O$94,Zero_swap_CL!$S$23:$S$94),L$89,$W$64*365)-Lin_Interp(ROUND($W$64*365,0),Zero_swap_CL!$O$23:$O$94,Zero_swap_CL!$S$23:$S$94))+$I89</f>
        <v>0.76814342991543949</v>
      </c>
      <c r="O89" s="491"/>
      <c r="P89" s="207">
        <f ca="1">(forwardZeroRate(365,Lin_Interp(M$89,Zero_swap_CL!$O$23:$O$94,Zero_swap_CL!$S$23:$S$94),Lin_Interp(ROUND($W$64*365,0),Zero_swap_CL!$O$23:$O$94,Zero_swap_CL!$S$23:$S$94),M$89,$W$64*365)-Lin_Interp(ROUND($W$64*365,0),Zero_swap_CL!$O$23:$O$94,Zero_swap_CL!$S$23:$S$94))+$I89</f>
        <v>0.7897801434758307</v>
      </c>
      <c r="Q89" s="491"/>
      <c r="AJ89" s="184"/>
      <c r="AK89" s="184"/>
      <c r="AL89" s="184"/>
      <c r="AM89" s="184"/>
      <c r="AN89" s="184"/>
    </row>
    <row r="90" spans="1:40" s="349" customFormat="1">
      <c r="A90" s="184"/>
      <c r="B90" s="184"/>
      <c r="E90" s="264" t="s">
        <v>386</v>
      </c>
      <c r="F90" s="264"/>
      <c r="G90" s="264"/>
      <c r="H90" s="264"/>
      <c r="I90" s="378">
        <f>I88-I89</f>
        <v>2.81</v>
      </c>
      <c r="J90" s="400">
        <f t="shared" si="17"/>
        <v>42683</v>
      </c>
      <c r="K90" s="400">
        <f t="shared" si="17"/>
        <v>42713</v>
      </c>
      <c r="L90" s="378">
        <f t="shared" ca="1" si="17"/>
        <v>13</v>
      </c>
      <c r="M90" s="378">
        <f t="shared" ca="1" si="17"/>
        <v>43</v>
      </c>
      <c r="N90" s="207">
        <f ca="1">N88-N89</f>
        <v>2.8123448109584563</v>
      </c>
      <c r="O90" s="491"/>
      <c r="P90" s="207">
        <f ca="1">P88-P89</f>
        <v>2.792065420406165</v>
      </c>
      <c r="Q90" s="491"/>
      <c r="AJ90" s="184"/>
      <c r="AK90" s="184"/>
      <c r="AL90" s="184"/>
      <c r="AM90" s="184"/>
      <c r="AN90" s="184"/>
    </row>
    <row r="91" spans="1:40" s="349" customFormat="1">
      <c r="A91" s="184"/>
      <c r="B91" s="184"/>
      <c r="E91" s="264" t="s">
        <v>394</v>
      </c>
      <c r="F91" s="264"/>
      <c r="G91" s="264" t="str">
        <f>VLOOKUP("PuntaPESO-10",HPR!$CN:$CO,2,0)</f>
        <v>BTP0450326</v>
      </c>
      <c r="H91" s="264"/>
      <c r="I91" s="378">
        <f>HPR!$C$15</f>
        <v>4.1900000000000004</v>
      </c>
      <c r="J91" s="400">
        <f>Inflation_FWD!$D$3</f>
        <v>42683</v>
      </c>
      <c r="K91" s="400">
        <f>EDATE(J91,1)</f>
        <v>42713</v>
      </c>
      <c r="L91" s="378">
        <f ca="1">J91-fechaHoy</f>
        <v>13</v>
      </c>
      <c r="M91" s="378">
        <f ca="1">K91-fechaHoy</f>
        <v>43</v>
      </c>
      <c r="N91" s="207">
        <f ca="1">$I91+AA87</f>
        <v>4.1927448298207004</v>
      </c>
      <c r="O91" s="491">
        <f ca="1">100*(N91-$I91)</f>
        <v>0.27448298207000121</v>
      </c>
      <c r="P91" s="207">
        <f ca="1">$I91+AB87</f>
        <v>4.1992028986647094</v>
      </c>
      <c r="Q91" s="491">
        <f ca="1">100*(P91-$I91)</f>
        <v>0.9202898664709025</v>
      </c>
      <c r="AJ91" s="184"/>
      <c r="AK91" s="184"/>
      <c r="AL91" s="184"/>
      <c r="AM91" s="184"/>
      <c r="AN91" s="184"/>
    </row>
    <row r="92" spans="1:40" s="349" customFormat="1">
      <c r="A92" s="184"/>
      <c r="B92" s="184"/>
      <c r="C92" s="184"/>
      <c r="E92" s="264" t="s">
        <v>395</v>
      </c>
      <c r="F92" s="264"/>
      <c r="G92" s="264" t="str">
        <f>VLOOKUP("PuntaUF-10",HPR!$CQ:$CR,2,0)</f>
        <v>BTU0300327</v>
      </c>
      <c r="H92" s="264"/>
      <c r="I92" s="378">
        <f>HPR!C19</f>
        <v>1.28</v>
      </c>
      <c r="J92" s="400">
        <f>Inflation_FWD!$D$3</f>
        <v>42683</v>
      </c>
      <c r="K92" s="400">
        <f>EDATE(J92,1)</f>
        <v>42713</v>
      </c>
      <c r="L92" s="378">
        <f ca="1">J92-fechaHoy</f>
        <v>13</v>
      </c>
      <c r="M92" s="378">
        <f ca="1">K92-fechaHoy</f>
        <v>43</v>
      </c>
      <c r="N92" s="207">
        <f ca="1">$I92+AA88</f>
        <v>1.2809731066452217</v>
      </c>
      <c r="O92" s="491">
        <f ca="1">100*(N92-$I92)</f>
        <v>9.7310664522165524E-2</v>
      </c>
      <c r="P92" s="207">
        <f ca="1">$I92+AB88</f>
        <v>1.2972020379186056</v>
      </c>
      <c r="Q92" s="491">
        <f ca="1">100*(P92-$I92)</f>
        <v>1.7202037918605528</v>
      </c>
      <c r="R92" s="184"/>
      <c r="S92" s="184"/>
      <c r="T92" s="184"/>
      <c r="U92" s="184"/>
      <c r="V92" s="184"/>
      <c r="W92" s="380" t="s">
        <v>1</v>
      </c>
      <c r="X92" s="380" t="s">
        <v>385</v>
      </c>
      <c r="Y92" s="380" t="s">
        <v>386</v>
      </c>
      <c r="Z92" s="380" t="s">
        <v>373</v>
      </c>
      <c r="AA92" s="380" t="s">
        <v>387</v>
      </c>
      <c r="AJ92" s="184"/>
      <c r="AK92" s="184"/>
      <c r="AL92" s="184"/>
      <c r="AM92" s="184"/>
      <c r="AN92" s="184"/>
    </row>
    <row r="93" spans="1:40" s="349" customFormat="1">
      <c r="A93" s="184"/>
      <c r="B93" s="184"/>
      <c r="C93" s="184"/>
      <c r="D93" s="184"/>
      <c r="E93" s="184"/>
      <c r="F93" s="184"/>
      <c r="G93" s="184"/>
      <c r="H93" s="184"/>
      <c r="I93" s="184"/>
      <c r="J93" s="184"/>
      <c r="K93" s="184"/>
      <c r="L93" s="184"/>
      <c r="M93" s="184"/>
      <c r="N93" s="184"/>
      <c r="O93" s="184"/>
      <c r="P93" s="184"/>
      <c r="Q93" s="184"/>
      <c r="R93" s="184"/>
      <c r="S93" s="184"/>
      <c r="T93" s="184"/>
      <c r="U93" s="184"/>
      <c r="V93" s="184"/>
      <c r="W93" s="398">
        <f ca="1">fechaHoy</f>
        <v>42670</v>
      </c>
      <c r="X93" s="379">
        <f>I87</f>
        <v>2.74</v>
      </c>
      <c r="Y93" s="379">
        <f>I90</f>
        <v>2.81</v>
      </c>
      <c r="Z93" s="379">
        <f>I86</f>
        <v>1.07</v>
      </c>
      <c r="AA93" s="379">
        <f>I89</f>
        <v>0.77</v>
      </c>
      <c r="AJ93" s="184"/>
      <c r="AK93" s="184"/>
      <c r="AL93" s="184"/>
      <c r="AM93" s="184"/>
      <c r="AN93" s="184"/>
    </row>
    <row r="94" spans="1:40" s="349" customFormat="1">
      <c r="A94" s="184"/>
      <c r="B94" s="184"/>
      <c r="C94" s="184"/>
      <c r="D94" s="184"/>
      <c r="E94" s="184"/>
      <c r="F94" s="184"/>
      <c r="G94" s="184"/>
      <c r="H94" s="184"/>
      <c r="I94" s="184"/>
      <c r="J94" s="184"/>
      <c r="K94" s="184"/>
      <c r="L94" s="184"/>
      <c r="M94" s="184"/>
      <c r="N94" s="184"/>
      <c r="O94" s="184"/>
      <c r="P94" s="184"/>
      <c r="Q94" s="184"/>
      <c r="R94" s="184"/>
      <c r="S94" s="184"/>
      <c r="T94" s="184"/>
      <c r="U94" s="184"/>
      <c r="V94" s="184"/>
      <c r="W94" s="398">
        <f>J85</f>
        <v>42683</v>
      </c>
      <c r="X94" s="399">
        <f ca="1">N87</f>
        <v>2.7418943194847687</v>
      </c>
      <c r="Y94" s="399">
        <f ca="1">N90</f>
        <v>2.8123448109584563</v>
      </c>
      <c r="Z94" s="399">
        <f ca="1">N86</f>
        <v>1.0702916440241972</v>
      </c>
      <c r="AA94" s="399">
        <f ca="1">N89</f>
        <v>0.76814342991543949</v>
      </c>
      <c r="AJ94" s="184"/>
      <c r="AK94" s="184"/>
      <c r="AL94" s="184"/>
      <c r="AM94" s="184"/>
      <c r="AN94" s="184"/>
    </row>
    <row r="95" spans="1:40" s="349" customFormat="1">
      <c r="A95" s="184"/>
      <c r="B95" s="184"/>
      <c r="C95" s="184"/>
      <c r="D95" s="184"/>
      <c r="E95" s="184"/>
      <c r="F95" s="184"/>
      <c r="G95" s="184"/>
      <c r="H95" s="184"/>
      <c r="I95" s="184"/>
      <c r="J95" s="184"/>
      <c r="K95" s="184"/>
      <c r="L95" s="184"/>
      <c r="M95" s="184"/>
      <c r="N95" s="184"/>
      <c r="O95" s="184"/>
      <c r="P95" s="184"/>
      <c r="Q95" s="184"/>
      <c r="R95" s="184"/>
      <c r="S95" s="184"/>
      <c r="T95" s="184"/>
      <c r="U95" s="184"/>
      <c r="V95" s="184"/>
      <c r="W95" s="398">
        <f>K85</f>
        <v>42713</v>
      </c>
      <c r="X95" s="399">
        <f ca="1">P87</f>
        <v>2.7200202708441141</v>
      </c>
      <c r="Y95" s="399">
        <f ca="1">P90</f>
        <v>2.792065420406165</v>
      </c>
      <c r="Z95" s="399">
        <f ca="1">P86</f>
        <v>1.0974534312664284</v>
      </c>
      <c r="AA95" s="399">
        <f ca="1">P89</f>
        <v>0.7897801434758307</v>
      </c>
      <c r="AJ95" s="184"/>
      <c r="AK95" s="184"/>
      <c r="AL95" s="184"/>
      <c r="AM95" s="184"/>
      <c r="AN95" s="184"/>
    </row>
    <row r="112" spans="2:2">
      <c r="B112" s="187"/>
    </row>
  </sheetData>
  <mergeCells count="19">
    <mergeCell ref="B82:T82"/>
    <mergeCell ref="B32:H32"/>
    <mergeCell ref="B30:H30"/>
    <mergeCell ref="C50:T50"/>
    <mergeCell ref="C71:H71"/>
    <mergeCell ref="I71:N71"/>
    <mergeCell ref="B58:H58"/>
    <mergeCell ref="B62:C62"/>
    <mergeCell ref="B56:H56"/>
    <mergeCell ref="O71:T71"/>
    <mergeCell ref="C72:T72"/>
    <mergeCell ref="C77:T77"/>
    <mergeCell ref="C44:H44"/>
    <mergeCell ref="I44:N44"/>
    <mergeCell ref="O44:T44"/>
    <mergeCell ref="C45:T45"/>
    <mergeCell ref="B4:T4"/>
    <mergeCell ref="B5:T5"/>
    <mergeCell ref="D7:F7"/>
  </mergeCells>
  <conditionalFormatting sqref="R37:T4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dataBar" priority="4">
      <dataBar>
        <cfvo type="min"/>
        <cfvo type="max"/>
        <color rgb="FF638EC6"/>
      </dataBar>
    </cfRule>
  </conditionalFormatting>
  <conditionalFormatting sqref="R64:T7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dataBar" priority="2">
      <dataBar>
        <cfvo type="min"/>
        <cfvo type="max"/>
        <color rgb="FF638EC6"/>
      </dataBar>
    </cfRule>
  </conditionalFormatting>
  <printOptions horizontalCentered="1" verticalCentered="1"/>
  <pageMargins left="0" right="0" top="0" bottom="0" header="0.31496062992125984" footer="0.31496062992125984"/>
  <pageSetup scale="54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pageSetUpPr fitToPage="1"/>
  </sheetPr>
  <dimension ref="A2:BC137"/>
  <sheetViews>
    <sheetView showGridLines="0" tabSelected="1" zoomScale="85" zoomScaleNormal="85" workbookViewId="0">
      <selection activeCell="S57" sqref="S57"/>
    </sheetView>
  </sheetViews>
  <sheetFormatPr baseColWidth="10" defaultColWidth="11.42578125" defaultRowHeight="12.75"/>
  <cols>
    <col min="1" max="1" width="2.28515625" style="325" customWidth="1"/>
    <col min="2" max="2" width="8.7109375" style="325" bestFit="1" customWidth="1"/>
    <col min="3" max="3" width="7.28515625" style="325" customWidth="1"/>
    <col min="4" max="7" width="8.42578125" style="325" bestFit="1" customWidth="1"/>
    <col min="8" max="13" width="7.28515625" style="325" customWidth="1"/>
    <col min="14" max="14" width="8.85546875" style="325" bestFit="1" customWidth="1"/>
    <col min="15" max="15" width="7.28515625" style="325" customWidth="1"/>
    <col min="16" max="19" width="8.42578125" style="325" bestFit="1" customWidth="1"/>
    <col min="20" max="24" width="7.28515625" style="325" customWidth="1"/>
    <col min="25" max="25" width="2.7109375" style="325" customWidth="1"/>
    <col min="26" max="27" width="11.42578125" style="325"/>
    <col min="28" max="28" width="8.85546875" style="325" bestFit="1" customWidth="1"/>
    <col min="29" max="29" width="24.42578125" style="325" bestFit="1" customWidth="1"/>
    <col min="30" max="30" width="23.140625" style="325" bestFit="1" customWidth="1"/>
    <col min="31" max="31" width="24.42578125" style="325" bestFit="1" customWidth="1"/>
    <col min="32" max="32" width="23.140625" style="325" bestFit="1" customWidth="1"/>
    <col min="33" max="33" width="23" style="325" bestFit="1" customWidth="1"/>
    <col min="34" max="16384" width="11.42578125" style="325"/>
  </cols>
  <sheetData>
    <row r="2" spans="1:32" ht="26.25">
      <c r="B2" s="573" t="s">
        <v>314</v>
      </c>
      <c r="C2" s="573"/>
      <c r="D2" s="573"/>
      <c r="E2" s="573"/>
      <c r="F2" s="573"/>
      <c r="G2" s="573"/>
      <c r="H2" s="573"/>
      <c r="I2" s="573"/>
      <c r="J2" s="573"/>
      <c r="K2" s="573"/>
      <c r="L2" s="573"/>
      <c r="M2" s="573"/>
      <c r="N2" s="573"/>
      <c r="O2" s="573"/>
      <c r="P2" s="573"/>
      <c r="Q2" s="573"/>
      <c r="R2" s="573"/>
      <c r="S2" s="573"/>
      <c r="T2" s="573"/>
      <c r="U2" s="573"/>
      <c r="V2" s="573"/>
      <c r="W2" s="573"/>
      <c r="X2" s="573"/>
    </row>
    <row r="4" spans="1:32" ht="23.25">
      <c r="B4" s="580" t="s">
        <v>240</v>
      </c>
      <c r="C4" s="580"/>
      <c r="D4" s="580"/>
      <c r="E4" s="580"/>
      <c r="F4" s="580"/>
      <c r="G4" s="580"/>
      <c r="H4" s="580"/>
      <c r="I4" s="580"/>
      <c r="J4" s="580"/>
      <c r="K4" s="580"/>
      <c r="L4" s="580"/>
      <c r="M4" s="580"/>
      <c r="N4" s="580"/>
      <c r="O4" s="580"/>
      <c r="P4" s="580"/>
      <c r="Q4" s="580"/>
      <c r="R4" s="580"/>
      <c r="S4" s="580"/>
      <c r="T4" s="580"/>
      <c r="U4" s="580"/>
      <c r="V4" s="580"/>
      <c r="W4" s="580"/>
      <c r="X4" s="580"/>
    </row>
    <row r="8" spans="1:32" s="184" customFormat="1" ht="12">
      <c r="A8" s="185"/>
    </row>
    <row r="9" spans="1:32" s="184" customFormat="1" ht="13.5" customHeight="1">
      <c r="A9" s="185"/>
      <c r="AB9" s="345" t="s">
        <v>309</v>
      </c>
      <c r="AC9" s="345" t="s">
        <v>344</v>
      </c>
      <c r="AD9" s="345" t="s">
        <v>346</v>
      </c>
      <c r="AE9" s="345" t="s">
        <v>345</v>
      </c>
      <c r="AF9" s="345" t="s">
        <v>347</v>
      </c>
    </row>
    <row r="10" spans="1:32" s="184" customFormat="1" ht="12">
      <c r="A10" s="185"/>
      <c r="AB10" s="346">
        <v>1</v>
      </c>
      <c r="AC10" s="346">
        <f ca="1">VLOOKUP(AB10,HPR!$AH$30:$AL$5430,5,0)</f>
        <v>3.6121470212073792</v>
      </c>
      <c r="AD10" s="346">
        <f ca="1">VLOOKUP(AB10,HPR!$AH$30:$AN$5430,7,0)</f>
        <v>1.20340620745365</v>
      </c>
      <c r="AE10" s="346">
        <f ca="1">((1+AC10/100)^(360/365)-1)*100</f>
        <v>3.5617946923420796</v>
      </c>
      <c r="AF10" s="346">
        <f ca="1">((1+AD10/100)^(360/365)-1)*100</f>
        <v>1.186823754258115</v>
      </c>
    </row>
    <row r="11" spans="1:32" s="184" customFormat="1" ht="12">
      <c r="A11" s="185"/>
      <c r="AB11" s="346">
        <v>5</v>
      </c>
      <c r="AC11" s="346">
        <f ca="1">VLOOKUP(AB11,HPR!$AH$30:$AL$5430,5,0)</f>
        <v>3.6121470212089557</v>
      </c>
      <c r="AD11" s="346">
        <f ca="1">VLOOKUP(AB11,HPR!$AH$30:$AN$5430,7,0)</f>
        <v>1.2031866098893396</v>
      </c>
      <c r="AE11" s="346">
        <f t="shared" ref="AE11:AE79" ca="1" si="0">((1+AC11/100)^(360/365)-1)*100</f>
        <v>3.5617946923436339</v>
      </c>
      <c r="AF11" s="346">
        <f ca="1">((1+AD11/100)^(360/365)-1)*100</f>
        <v>1.186607200365164</v>
      </c>
    </row>
    <row r="12" spans="1:32" s="184" customFormat="1" ht="12">
      <c r="A12" s="185"/>
      <c r="AB12" s="346">
        <v>10</v>
      </c>
      <c r="AC12" s="346">
        <f ca="1">VLOOKUP(AB12,HPR!$AH$30:$AL$5430,5,0)</f>
        <v>3.6121470212098661</v>
      </c>
      <c r="AD12" s="346">
        <f ca="1">VLOOKUP(AB12,HPR!$AH$30:$AN$5430,7,0)</f>
        <v>1.2031591602273295</v>
      </c>
      <c r="AE12" s="346">
        <f t="shared" ca="1" si="0"/>
        <v>3.5617946923445443</v>
      </c>
      <c r="AF12" s="346">
        <f t="shared" ref="AF12:AF79" ca="1" si="1">((1+AD12/100)^(360/365)-1)*100</f>
        <v>1.1865801311611524</v>
      </c>
    </row>
    <row r="13" spans="1:32" s="184" customFormat="1" ht="12">
      <c r="A13" s="185"/>
      <c r="AB13" s="346">
        <v>15</v>
      </c>
      <c r="AC13" s="346">
        <f ca="1">VLOOKUP(AB13,HPR!$AH$30:$AL$5430,5,0)</f>
        <v>3.6121470212091777</v>
      </c>
      <c r="AD13" s="346">
        <f ca="1">VLOOKUP(AB13,HPR!$AH$30:$AN$5430,7,0)</f>
        <v>0.69285772391609601</v>
      </c>
      <c r="AE13" s="346">
        <f t="shared" ca="1" si="0"/>
        <v>3.5617946923438559</v>
      </c>
      <c r="AF13" s="346">
        <f t="shared" ca="1" si="1"/>
        <v>0.68333416803096902</v>
      </c>
    </row>
    <row r="14" spans="1:32" s="184" customFormat="1" ht="12">
      <c r="A14" s="185"/>
      <c r="AB14" s="346">
        <v>20</v>
      </c>
      <c r="AC14" s="346">
        <f ca="1">VLOOKUP(AB14,HPR!$AH$30:$AL$5430,5,0)</f>
        <v>3.6121470212089557</v>
      </c>
      <c r="AD14" s="346">
        <f ca="1">VLOOKUP(AB14,HPR!$AH$30:$AN$5430,7,0)</f>
        <v>-0.13088974412378551</v>
      </c>
      <c r="AE14" s="346">
        <f t="shared" ca="1" si="0"/>
        <v>3.5617946923436339</v>
      </c>
      <c r="AF14" s="346">
        <f t="shared" ca="1" si="1"/>
        <v>-0.12909789180132192</v>
      </c>
    </row>
    <row r="15" spans="1:32" s="184" customFormat="1" ht="12">
      <c r="A15" s="185"/>
      <c r="AB15" s="346">
        <v>25</v>
      </c>
      <c r="AC15" s="346">
        <f ca="1">VLOOKUP(AB15,HPR!$AH$30:$AL$5430,5,0)</f>
        <v>3.6121470212093332</v>
      </c>
      <c r="AD15" s="346">
        <f ca="1">VLOOKUP(AB15,HPR!$AH$30:$AN$5430,7,0)</f>
        <v>-0.62190001073337831</v>
      </c>
      <c r="AE15" s="346">
        <f t="shared" ca="1" si="0"/>
        <v>3.5617946923440114</v>
      </c>
      <c r="AF15" s="346">
        <f t="shared" ca="1" si="1"/>
        <v>-0.61340701508413309</v>
      </c>
    </row>
    <row r="16" spans="1:32" s="184" customFormat="1" ht="12">
      <c r="A16" s="185"/>
      <c r="AB16" s="346">
        <v>30</v>
      </c>
      <c r="AC16" s="346">
        <f ca="1">VLOOKUP(AB16,HPR!$AH$30:$AL$5430,5,0)</f>
        <v>3.6121470212092222</v>
      </c>
      <c r="AD16" s="346">
        <f ca="1">VLOOKUP(AB16,HPR!$AH$30:$AN$5430,7,0)</f>
        <v>-0.94789830429635735</v>
      </c>
      <c r="AE16" s="346">
        <f t="shared" ca="1" si="0"/>
        <v>3.5617946923439003</v>
      </c>
      <c r="AF16" s="346">
        <f t="shared" ca="1" si="1"/>
        <v>-0.93497429018980505</v>
      </c>
    </row>
    <row r="17" spans="1:32" s="184" customFormat="1">
      <c r="A17" s="185"/>
      <c r="T17" s="219"/>
      <c r="U17" s="191"/>
      <c r="AB17" s="346">
        <v>35</v>
      </c>
      <c r="AC17" s="346">
        <f ca="1">VLOOKUP(AB17,HPR!$AH$30:$AL$5430,5,0)</f>
        <v>3.6121470212091111</v>
      </c>
      <c r="AD17" s="346">
        <f ca="1">VLOOKUP(AB17,HPR!$AH$30:$AN$5430,7,0)</f>
        <v>-1.1800992891338957</v>
      </c>
      <c r="AE17" s="346">
        <f t="shared" ca="1" si="0"/>
        <v>3.5617946923437893</v>
      </c>
      <c r="AF17" s="346">
        <f t="shared" ca="1" si="1"/>
        <v>-1.1640280020943861</v>
      </c>
    </row>
    <row r="18" spans="1:32" s="184" customFormat="1" ht="12">
      <c r="A18" s="185"/>
      <c r="T18" s="219"/>
      <c r="AB18" s="346">
        <v>40</v>
      </c>
      <c r="AC18" s="346">
        <f ca="1">VLOOKUP(AB18,HPR!$AH$30:$AL$5430,5,0)</f>
        <v>3.6121470212092222</v>
      </c>
      <c r="AD18" s="346">
        <f ca="1">VLOOKUP(AB18,HPR!$AH$30:$AN$5430,7,0)</f>
        <v>-1.3538927395970068</v>
      </c>
      <c r="AE18" s="346">
        <f t="shared" ca="1" si="0"/>
        <v>3.5617946923439003</v>
      </c>
      <c r="AF18" s="346">
        <f t="shared" ca="1" si="1"/>
        <v>-1.3354706639378544</v>
      </c>
    </row>
    <row r="19" spans="1:32" s="184" customFormat="1" ht="12">
      <c r="A19" s="185"/>
      <c r="T19" s="219"/>
      <c r="AB19" s="346">
        <v>45</v>
      </c>
      <c r="AC19" s="346">
        <f ca="1">VLOOKUP(AB19,HPR!$AH$30:$AL$5430,5,0)</f>
        <v>3.6121470212090445</v>
      </c>
      <c r="AD19" s="346">
        <f ca="1">VLOOKUP(AB19,HPR!$AH$30:$AN$5430,7,0)</f>
        <v>-1.3191638524613691</v>
      </c>
      <c r="AE19" s="346">
        <f t="shared" ca="1" si="0"/>
        <v>3.5617946923437227</v>
      </c>
      <c r="AF19" s="346">
        <f t="shared" ca="1" si="1"/>
        <v>-1.3012112008375709</v>
      </c>
    </row>
    <row r="20" spans="1:32" s="184" customFormat="1" ht="12">
      <c r="A20" s="185"/>
      <c r="T20" s="219"/>
      <c r="AB20" s="346">
        <v>50</v>
      </c>
      <c r="AC20" s="346">
        <f ca="1">VLOOKUP(AB20,HPR!$AH$30:$AL$5430,5,0)</f>
        <v>3.6121470212090667</v>
      </c>
      <c r="AD20" s="346">
        <f ca="1">VLOOKUP(AB20,HPR!$AH$30:$AN$5430,7,0)</f>
        <v>-1.0617617270666457</v>
      </c>
      <c r="AE20" s="346">
        <f t="shared" ca="1" si="0"/>
        <v>3.5617946923437449</v>
      </c>
      <c r="AF20" s="346">
        <f t="shared" ca="1" si="1"/>
        <v>-1.0472934777624121</v>
      </c>
    </row>
    <row r="21" spans="1:32" s="184" customFormat="1" ht="12">
      <c r="A21" s="185"/>
      <c r="T21" s="219"/>
      <c r="AB21" s="346">
        <v>55</v>
      </c>
      <c r="AC21" s="346">
        <f ca="1">VLOOKUP(AB21,HPR!$AH$30:$AL$5430,5,0)</f>
        <v>3.6121470212090667</v>
      </c>
      <c r="AD21" s="346">
        <f ca="1">VLOOKUP(AB21,HPR!$AH$30:$AN$5430,7,0)</f>
        <v>-0.85066066695188569</v>
      </c>
      <c r="AE21" s="346">
        <f t="shared" ca="1" si="0"/>
        <v>3.5617946923437449</v>
      </c>
      <c r="AF21" s="346">
        <f t="shared" ca="1" si="1"/>
        <v>-0.83905680652957004</v>
      </c>
    </row>
    <row r="22" spans="1:32" s="184" customFormat="1" ht="12">
      <c r="A22" s="185"/>
      <c r="T22" s="219"/>
      <c r="AB22" s="346">
        <v>60</v>
      </c>
      <c r="AC22" s="346">
        <f ca="1">VLOOKUP(AB22,HPR!$AH$30:$AL$5430,5,0)</f>
        <v>3.6121470212089113</v>
      </c>
      <c r="AD22" s="346">
        <f ca="1">VLOOKUP(AB22,HPR!$AH$30:$AN$5430,7,0)</f>
        <v>-0.6743990875834327</v>
      </c>
      <c r="AE22" s="346">
        <f t="shared" ca="1" si="0"/>
        <v>3.5617946923435895</v>
      </c>
      <c r="AF22" s="346">
        <f t="shared" ca="1" si="1"/>
        <v>-0.66519153908999318</v>
      </c>
    </row>
    <row r="23" spans="1:32" s="184" customFormat="1" ht="12">
      <c r="A23" s="185"/>
      <c r="T23" s="219"/>
      <c r="AB23" s="346">
        <v>65</v>
      </c>
      <c r="AC23" s="346">
        <f ca="1">VLOOKUP(AB23,HPR!$AH$30:$AL$5430,5,0)</f>
        <v>3.6121470212090445</v>
      </c>
      <c r="AD23" s="346">
        <f ca="1">VLOOKUP(AB23,HPR!$AH$30:$AN$5430,7,0)</f>
        <v>-0.52500995219886271</v>
      </c>
      <c r="AE23" s="346">
        <f t="shared" ca="1" si="0"/>
        <v>3.5617946923437227</v>
      </c>
      <c r="AF23" s="346">
        <f t="shared" ca="1" si="1"/>
        <v>-0.51783668868800037</v>
      </c>
    </row>
    <row r="24" spans="1:32" s="184" customFormat="1" ht="12">
      <c r="A24" s="185"/>
      <c r="T24" s="219"/>
      <c r="AB24" s="346">
        <v>70</v>
      </c>
      <c r="AC24" s="346">
        <f ca="1">VLOOKUP(AB24,HPR!$AH$30:$AL$5430,5,0)</f>
        <v>3.6121470212089113</v>
      </c>
      <c r="AD24" s="346">
        <f ca="1">VLOOKUP(AB24,HPR!$AH$30:$AN$5430,7,0)</f>
        <v>-0.39678330262282735</v>
      </c>
      <c r="AE24" s="346">
        <f t="shared" ca="1" si="0"/>
        <v>3.5617946923435895</v>
      </c>
      <c r="AF24" s="346">
        <f t="shared" ca="1" si="1"/>
        <v>-0.3913585648419593</v>
      </c>
    </row>
    <row r="25" spans="1:32" s="184" customFormat="1" ht="12">
      <c r="A25" s="185"/>
      <c r="T25" s="219"/>
      <c r="AB25" s="346">
        <v>75</v>
      </c>
      <c r="AC25" s="346">
        <f ca="1">VLOOKUP(AB25,HPR!$AH$30:$AL$5430,5,0)</f>
        <v>3.6121470212089113</v>
      </c>
      <c r="AD25" s="346">
        <f ca="1">VLOOKUP(AB25,HPR!$AH$30:$AN$5430,7,0)</f>
        <v>-0.28670212296170172</v>
      </c>
      <c r="AE25" s="346">
        <f t="shared" ca="1" si="0"/>
        <v>3.5617946923435895</v>
      </c>
      <c r="AF25" s="346">
        <f t="shared" ca="1" si="1"/>
        <v>-0.28278025489093528</v>
      </c>
    </row>
    <row r="26" spans="1:32" s="184" customFormat="1" ht="12">
      <c r="A26" s="185"/>
      <c r="T26" s="219"/>
      <c r="AB26" s="346">
        <v>80</v>
      </c>
      <c r="AC26" s="346">
        <f ca="1">VLOOKUP(AB26,HPR!$AH$30:$AL$5430,5,0)</f>
        <v>3.6121470212089779</v>
      </c>
      <c r="AD26" s="346">
        <f ca="1">VLOOKUP(AB26,HPR!$AH$30:$AN$5430,7,0)</f>
        <v>-0.1947189910178615</v>
      </c>
      <c r="AE26" s="346">
        <f t="shared" ca="1" si="0"/>
        <v>3.5617946923436561</v>
      </c>
      <c r="AF26" s="346">
        <f t="shared" ca="1" si="1"/>
        <v>-0.19205417064257491</v>
      </c>
    </row>
    <row r="27" spans="1:32" s="184" customFormat="1" ht="23.25">
      <c r="A27" s="185"/>
      <c r="B27" s="580" t="s">
        <v>348</v>
      </c>
      <c r="C27" s="580"/>
      <c r="D27" s="580"/>
      <c r="E27" s="580"/>
      <c r="F27" s="580"/>
      <c r="G27" s="580"/>
      <c r="H27" s="580"/>
      <c r="I27" s="580"/>
      <c r="J27" s="580"/>
      <c r="K27" s="580"/>
      <c r="L27" s="580"/>
      <c r="M27" s="580"/>
      <c r="N27" s="580"/>
      <c r="O27" s="580"/>
      <c r="P27" s="580"/>
      <c r="Q27" s="580"/>
      <c r="R27" s="580"/>
      <c r="S27" s="580"/>
      <c r="T27" s="580"/>
      <c r="U27" s="580"/>
      <c r="V27" s="580"/>
      <c r="W27" s="580"/>
      <c r="X27" s="580"/>
      <c r="AB27" s="346">
        <v>85</v>
      </c>
      <c r="AC27" s="346">
        <f ca="1">VLOOKUP(AB27,HPR!$AH$30:$AL$5430,5,0)</f>
        <v>3.6121470212089557</v>
      </c>
      <c r="AD27" s="346">
        <f ca="1">VLOOKUP(AB27,HPR!$AH$30:$AN$5430,7,0)</f>
        <v>-0.11348694103003876</v>
      </c>
      <c r="AE27" s="346">
        <f t="shared" ca="1" si="0"/>
        <v>3.5617946923436339</v>
      </c>
      <c r="AF27" s="346">
        <f t="shared" ca="1" si="1"/>
        <v>-0.11193319579203553</v>
      </c>
    </row>
    <row r="28" spans="1:32" s="184" customFormat="1">
      <c r="A28" s="185"/>
      <c r="B28" s="325"/>
      <c r="C28" s="325"/>
      <c r="D28" s="325"/>
      <c r="E28" s="325"/>
      <c r="F28" s="325"/>
      <c r="G28" s="325"/>
      <c r="H28" s="325"/>
      <c r="I28" s="325"/>
      <c r="J28" s="325"/>
      <c r="K28" s="325"/>
      <c r="L28" s="325"/>
      <c r="M28" s="325"/>
      <c r="N28" s="325"/>
      <c r="O28" s="325"/>
      <c r="P28" s="325"/>
      <c r="Q28" s="325"/>
      <c r="R28" s="325"/>
      <c r="S28" s="325"/>
      <c r="T28" s="325"/>
      <c r="U28" s="325"/>
      <c r="V28" s="325"/>
      <c r="W28" s="325"/>
      <c r="X28" s="325"/>
      <c r="AB28" s="346">
        <v>90</v>
      </c>
      <c r="AC28" s="346">
        <f ca="1">VLOOKUP(AB28,HPR!$AH$30:$AL$5430,5,0)</f>
        <v>3.6121470212088669</v>
      </c>
      <c r="AD28" s="346">
        <f ca="1">VLOOKUP(AB28,HPR!$AH$30:$AN$5430,7,0)</f>
        <v>-4.1225171930114879E-2</v>
      </c>
      <c r="AE28" s="346">
        <f t="shared" ca="1" si="0"/>
        <v>3.5617946923435451</v>
      </c>
      <c r="AF28" s="346">
        <f t="shared" ca="1" si="1"/>
        <v>-4.0660558374039368E-2</v>
      </c>
    </row>
    <row r="29" spans="1:32" s="184" customFormat="1" ht="13.5" thickBot="1">
      <c r="A29" s="185"/>
      <c r="B29" s="570" t="s">
        <v>339</v>
      </c>
      <c r="C29" s="585"/>
      <c r="D29" s="585"/>
      <c r="E29" s="585"/>
      <c r="F29" s="585"/>
      <c r="G29" s="585"/>
      <c r="H29" s="585"/>
      <c r="I29" s="585"/>
      <c r="J29" s="585"/>
      <c r="K29" s="585"/>
      <c r="L29" s="585"/>
      <c r="M29" s="325"/>
      <c r="N29" s="570" t="s">
        <v>349</v>
      </c>
      <c r="O29" s="585"/>
      <c r="P29" s="585"/>
      <c r="Q29" s="585"/>
      <c r="R29" s="585"/>
      <c r="S29" s="585"/>
      <c r="T29" s="585"/>
      <c r="U29" s="585"/>
      <c r="V29" s="585"/>
      <c r="W29" s="585"/>
      <c r="X29" s="585"/>
      <c r="AB29" s="346">
        <v>100</v>
      </c>
      <c r="AC29" s="346">
        <f ca="1">VLOOKUP(AB29,HPR!$AH$30:$AL$5430,5,0)</f>
        <v>3.6121470212088891</v>
      </c>
      <c r="AD29" s="346">
        <f ca="1">VLOOKUP(AB29,HPR!$AH$30:$AN$5430,7,0)</f>
        <v>8.173983141503971E-2</v>
      </c>
      <c r="AE29" s="346">
        <f t="shared" ca="1" si="0"/>
        <v>3.5617946923435673</v>
      </c>
      <c r="AF29" s="346">
        <f t="shared" ca="1" si="1"/>
        <v>8.0619656460401146E-2</v>
      </c>
    </row>
    <row r="30" spans="1:32" ht="13.5" thickBot="1">
      <c r="B30" s="220" t="s">
        <v>309</v>
      </c>
      <c r="C30" s="337" t="s">
        <v>311</v>
      </c>
      <c r="D30" s="353">
        <f>1/12</f>
        <v>8.3333333333333329E-2</v>
      </c>
      <c r="E30" s="353">
        <v>0.25</v>
      </c>
      <c r="F30" s="353">
        <v>0.5</v>
      </c>
      <c r="G30" s="353">
        <f>9/12</f>
        <v>0.75</v>
      </c>
      <c r="H30" s="339">
        <v>1</v>
      </c>
      <c r="I30" s="339">
        <v>2</v>
      </c>
      <c r="J30" s="339">
        <v>3</v>
      </c>
      <c r="K30" s="339">
        <v>4</v>
      </c>
      <c r="L30" s="339">
        <v>5</v>
      </c>
      <c r="N30" s="220" t="s">
        <v>309</v>
      </c>
      <c r="O30" s="337" t="s">
        <v>311</v>
      </c>
      <c r="P30" s="353">
        <f>1/12</f>
        <v>8.3333333333333329E-2</v>
      </c>
      <c r="Q30" s="353">
        <v>0.25</v>
      </c>
      <c r="R30" s="353">
        <v>0.5</v>
      </c>
      <c r="S30" s="353">
        <f>9/12</f>
        <v>0.75</v>
      </c>
      <c r="T30" s="339">
        <v>1</v>
      </c>
      <c r="U30" s="339">
        <v>2</v>
      </c>
      <c r="V30" s="339">
        <v>3</v>
      </c>
      <c r="W30" s="339">
        <v>4</v>
      </c>
      <c r="X30" s="339">
        <v>5</v>
      </c>
      <c r="AB30" s="347">
        <v>110</v>
      </c>
      <c r="AC30" s="346">
        <f ca="1">VLOOKUP(AB30,HPR!$AH$30:$AL$5430,5,0)</f>
        <v>3.6121470212089335</v>
      </c>
      <c r="AD30" s="346">
        <f ca="1">VLOOKUP(AB30,HPR!$AH$30:$AN$5430,7,0)</f>
        <v>0.22558581914826625</v>
      </c>
      <c r="AE30" s="346">
        <f t="shared" ca="1" si="0"/>
        <v>3.5617946923436117</v>
      </c>
      <c r="AF30" s="346">
        <f t="shared" ca="1" si="1"/>
        <v>0.22249216726697441</v>
      </c>
    </row>
    <row r="31" spans="1:32">
      <c r="B31" s="328">
        <f>1/12</f>
        <v>8.3333333333333329E-2</v>
      </c>
      <c r="C31" s="326">
        <f ca="1">Lin_Interp(ROUND($B31*365,0),Zero_swap_CL!$J$2:$J$18,Zero_swap_CL!$K$2:$K$18)</f>
        <v>3.5536515533478981</v>
      </c>
      <c r="D31" s="326">
        <f ca="1">forwardZeroRate(365,Lin_Interp(ROUND(D$30*365,0),Zero_swap_CL!$J$2:$J$18,Zero_swap_CL!$K$2:$K$18),Lin_Interp(ROUND(D$30*365+$B31*365,0),Zero_swap_CL!$J$2:$J$18,Zero_swap_CL!$K$2:$K$18),D$30*365,D$30*365+$B31*365)</f>
        <v>3.5362428154953607</v>
      </c>
      <c r="E31" s="326">
        <f ca="1">forwardZeroRate(365,Lin_Interp(ROUND(E$30*365,0),Zero_swap_CL!$J$2:$J$18,Zero_swap_CL!$K$2:$K$18),Lin_Interp(ROUND(E$30*365+$B31*365,0),Zero_swap_CL!$J$2:$J$18,Zero_swap_CL!$K$2:$K$18),E$30*365,E$30*365+$B31*365)</f>
        <v>3.4025703484988457</v>
      </c>
      <c r="F31" s="326">
        <f ca="1">forwardZeroRate(365,Lin_Interp(ROUND(F$30*365,0),Zero_swap_CL!$J$2:$J$18,Zero_swap_CL!$K$2:$K$18),Lin_Interp(ROUND(F$30*365+$B31*365,0),Zero_swap_CL!$J$2:$J$18,Zero_swap_CL!$K$2:$K$18),F$30*365,F$30*365+$B31*365)</f>
        <v>3.29715045354666</v>
      </c>
      <c r="G31" s="326">
        <f ca="1">forwardZeroRate(365,Lin_Interp(ROUND(G$30*365,0),Zero_swap_CL!$J$2:$J$18,Zero_swap_CL!$K$2:$K$18),Lin_Interp(ROUND(G$30*365+$B31*365,0),Zero_swap_CL!$J$2:$J$18,Zero_swap_CL!$K$2:$K$18),G$30*365,G$30*365+$B31*365)</f>
        <v>3.2303399847537717</v>
      </c>
      <c r="H31" s="326">
        <f ca="1">forwardZeroRate(365,Lin_Interp(ROUND(H$30*365,0),Zero_swap_CL!$J$2:$J$18,Zero_swap_CL!$K$2:$K$18),Lin_Interp(ROUND(H$30*365+$B31*365,0),Zero_swap_CL!$J$2:$J$18,Zero_swap_CL!$K$2:$K$18),H$30*365,H$30*365+$B31*365)</f>
        <v>3.1790376365095296</v>
      </c>
      <c r="I31" s="326">
        <f ca="1">forwardZeroRate(365,Lin_Interp(ROUND(I$30*365,0),Zero_swap_CL!$J$2:$J$18,Zero_swap_CL!$K$2:$K$18),Lin_Interp(ROUND(I$30*365+$B31*365,0),Zero_swap_CL!$J$2:$J$18,Zero_swap_CL!$K$2:$K$18),I$30*365,I$30*365+$B31*365)</f>
        <v>3.4232886458783751</v>
      </c>
      <c r="J31" s="326">
        <f ca="1">forwardZeroRate(365,Lin_Interp(ROUND(J$30*365,0),Zero_swap_CL!$J$2:$J$18,Zero_swap_CL!$K$2:$K$18),Lin_Interp(ROUND(J$30*365+$B31*365,0),Zero_swap_CL!$J$2:$J$18,Zero_swap_CL!$K$2:$K$18),J$30*365,J$30*365+$B31*365)</f>
        <v>3.7282227572974946</v>
      </c>
      <c r="K31" s="326">
        <f ca="1">forwardZeroRate(365,Lin_Interp(ROUND(K$30*365,0),Zero_swap_CL!$J$2:$J$18,Zero_swap_CL!$K$2:$K$18),Lin_Interp(ROUND(K$30*365+$B31*365,0),Zero_swap_CL!$J$2:$J$18,Zero_swap_CL!$K$2:$K$18),K$30*365,K$30*365+$B31*365)</f>
        <v>4.0429917221738165</v>
      </c>
      <c r="L31" s="326">
        <f ca="1">forwardZeroRate(365,Lin_Interp(ROUND(L$30*365,0),Zero_swap_CL!$J$2:$J$18,Zero_swap_CL!$K$2:$K$18),Lin_Interp(ROUND(L$30*365+$B31*365,0),Zero_swap_CL!$J$2:$J$18,Zero_swap_CL!$K$2:$K$18),L$30*365,L$30*365+$B31*365)</f>
        <v>4.1274430481193836</v>
      </c>
      <c r="M31" s="343"/>
      <c r="N31" s="328">
        <f>1/12</f>
        <v>8.3333333333333329E-2</v>
      </c>
      <c r="O31" s="326">
        <f t="shared" ref="O31:O44" ca="1" si="2">C31-AC90</f>
        <v>-8.1431389960022749E-3</v>
      </c>
      <c r="P31" s="326">
        <f t="shared" ref="P31:P44" ca="1" si="3">D31-AD90</f>
        <v>-2.5551876847984545E-2</v>
      </c>
      <c r="Q31" s="326">
        <f t="shared" ref="Q31:Q44" ca="1" si="4">E31-AE90</f>
        <v>-0.15922434384532114</v>
      </c>
      <c r="R31" s="326">
        <f t="shared" ref="R31:R44" ca="1" si="5">F31-AF90</f>
        <v>-6.0024046264883779E-2</v>
      </c>
      <c r="S31" s="326">
        <f t="shared" ref="S31:S44" ca="1" si="6">G31-AG90</f>
        <v>-0.12601965791882996</v>
      </c>
      <c r="T31" s="326">
        <f t="shared" ref="T31:T44" ca="1" si="7">H31-AH90</f>
        <v>-0.20989821701453693</v>
      </c>
      <c r="U31" s="326">
        <f t="shared" ref="U31:U44" ca="1" si="8">I31-AI90</f>
        <v>-0.45342491447220024</v>
      </c>
      <c r="V31" s="326">
        <f t="shared" ref="V31:V44" ca="1" si="9">J31-AJ90</f>
        <v>-0.38563927778232365</v>
      </c>
      <c r="W31" s="326">
        <f t="shared" ref="W31:W44" ca="1" si="10">K31-AK90</f>
        <v>-0.14271198318518419</v>
      </c>
      <c r="X31" s="326">
        <f t="shared" ref="X31:X44" ca="1" si="11">L31-AL90</f>
        <v>-8.8154481932578577E-2</v>
      </c>
      <c r="AB31" s="347">
        <v>120</v>
      </c>
      <c r="AC31" s="346">
        <f ca="1">VLOOKUP(AB31,HPR!$AH$30:$AL$5430,5,0)</f>
        <v>3.6121470212090445</v>
      </c>
      <c r="AD31" s="346">
        <f ca="1">VLOOKUP(AB31,HPR!$AH$30:$AN$5430,7,0)</f>
        <v>0.38521100731099267</v>
      </c>
      <c r="AE31" s="346">
        <f t="shared" ca="1" si="0"/>
        <v>3.5617946923437227</v>
      </c>
      <c r="AF31" s="346">
        <f t="shared" ca="1" si="1"/>
        <v>0.37992413291743077</v>
      </c>
    </row>
    <row r="32" spans="1:32">
      <c r="B32" s="328">
        <v>0.25</v>
      </c>
      <c r="C32" s="326">
        <f ca="1">Lin_Interp(ROUND($B32*365,0),Zero_swap_CL!$J$2:$J$18,Zero_swap_CL!$K$2:$K$18)</f>
        <v>3.5365228816704812</v>
      </c>
      <c r="D32" s="326">
        <f ca="1">forwardZeroRate(365,Lin_Interp(ROUND(D$30*365,0),Zero_swap_CL!$J$2:$J$18,Zero_swap_CL!$K$2:$K$18),Lin_Interp(ROUND(D$30*365+$B32*365,0),Zero_swap_CL!$J$2:$J$18,Zero_swap_CL!$K$2:$K$18),D$30*365,D$30*365+$B32*365)</f>
        <v>3.4861463029222994</v>
      </c>
      <c r="E32" s="326">
        <f ca="1">forwardZeroRate(365,Lin_Interp(ROUND(E$30*365,0),Zero_swap_CL!$J$2:$J$18,Zero_swap_CL!$K$2:$K$18),Lin_Interp(ROUND(E$30*365+$B32*365,0),Zero_swap_CL!$J$2:$J$18,Zero_swap_CL!$K$2:$K$18),E$30*365,E$30*365+$B32*365)</f>
        <v>3.3093166099094518</v>
      </c>
      <c r="F32" s="326">
        <f ca="1">forwardZeroRate(365,Lin_Interp(ROUND(F$30*365,0),Zero_swap_CL!$J$2:$J$18,Zero_swap_CL!$K$2:$K$18),Lin_Interp(ROUND(F$30*365+$B32*365,0),Zero_swap_CL!$J$2:$J$18,Zero_swap_CL!$K$2:$K$18),F$30*365,F$30*365+$B32*365)</f>
        <v>3.2795550785544192</v>
      </c>
      <c r="G32" s="326">
        <f ca="1">forwardZeroRate(365,Lin_Interp(ROUND(G$30*365,0),Zero_swap_CL!$J$2:$J$18,Zero_swap_CL!$K$2:$K$18),Lin_Interp(ROUND(G$30*365+$B32*365,0),Zero_swap_CL!$J$2:$J$18,Zero_swap_CL!$K$2:$K$18),G$30*365,G$30*365+$B32*365)</f>
        <v>3.1997659316227667</v>
      </c>
      <c r="H32" s="326">
        <f ca="1">forwardZeroRate(365,Lin_Interp(ROUND(H$30*365,0),Zero_swap_CL!$J$2:$J$18,Zero_swap_CL!$K$2:$K$18),Lin_Interp(ROUND(H$30*365+$B32*365,0),Zero_swap_CL!$J$2:$J$18,Zero_swap_CL!$K$2:$K$18),H$30*365,H$30*365+$B32*365)</f>
        <v>3.1606083899007542</v>
      </c>
      <c r="I32" s="326">
        <f ca="1">forwardZeroRate(365,Lin_Interp(ROUND(I$30*365,0),Zero_swap_CL!$J$2:$J$18,Zero_swap_CL!$K$2:$K$18),Lin_Interp(ROUND(I$30*365+$B32*365,0),Zero_swap_CL!$J$2:$J$18,Zero_swap_CL!$K$2:$K$18),I$30*365,I$30*365+$B32*365)</f>
        <v>3.4651982315085927</v>
      </c>
      <c r="J32" s="326">
        <f ca="1">forwardZeroRate(365,Lin_Interp(ROUND(J$30*365,0),Zero_swap_CL!$J$2:$J$18,Zero_swap_CL!$K$2:$K$18),Lin_Interp(ROUND(J$30*365+$B32*365,0),Zero_swap_CL!$J$2:$J$18,Zero_swap_CL!$K$2:$K$18),J$30*365,J$30*365+$B32*365)</f>
        <v>3.7667385624349681</v>
      </c>
      <c r="K32" s="326">
        <f ca="1">forwardZeroRate(365,Lin_Interp(ROUND(K$30*365,0),Zero_swap_CL!$J$2:$J$18,Zero_swap_CL!$K$2:$K$18),Lin_Interp(ROUND(K$30*365+$B32*365,0),Zero_swap_CL!$J$2:$J$18,Zero_swap_CL!$K$2:$K$18),K$30*365,K$30*365+$B32*365)</f>
        <v>4.0809527898408637</v>
      </c>
      <c r="L32" s="326">
        <f ca="1">forwardZeroRate(365,Lin_Interp(ROUND(L$30*365,0),Zero_swap_CL!$J$2:$J$18,Zero_swap_CL!$K$2:$K$18),Lin_Interp(ROUND(L$30*365+$B32*365,0),Zero_swap_CL!$J$2:$J$18,Zero_swap_CL!$K$2:$K$18),L$30*365,L$30*365+$B32*365)</f>
        <v>4.1051975381084516</v>
      </c>
      <c r="M32" s="343"/>
      <c r="N32" s="328">
        <v>0.25</v>
      </c>
      <c r="O32" s="326">
        <f t="shared" ca="1" si="2"/>
        <v>-2.5271810673066053E-2</v>
      </c>
      <c r="P32" s="326">
        <f t="shared" ca="1" si="3"/>
        <v>-7.5648389421356654E-2</v>
      </c>
      <c r="Q32" s="326">
        <f t="shared" ca="1" si="4"/>
        <v>-0.18594178354052193</v>
      </c>
      <c r="R32" s="326">
        <f t="shared" ca="1" si="5"/>
        <v>-7.5872526533538043E-2</v>
      </c>
      <c r="S32" s="326">
        <f t="shared" ca="1" si="6"/>
        <v>-0.15919808152864423</v>
      </c>
      <c r="T32" s="326">
        <f t="shared" ca="1" si="7"/>
        <v>-0.23838831766869184</v>
      </c>
      <c r="U32" s="326">
        <f t="shared" ca="1" si="8"/>
        <v>-0.44517908136914031</v>
      </c>
      <c r="V32" s="326">
        <f t="shared" ca="1" si="9"/>
        <v>-0.3718522779729394</v>
      </c>
      <c r="W32" s="326">
        <f t="shared" ca="1" si="10"/>
        <v>-0.11846459099960072</v>
      </c>
      <c r="X32" s="326">
        <f t="shared" ca="1" si="11"/>
        <v>-0.1168136921521068</v>
      </c>
      <c r="AB32" s="347">
        <v>130</v>
      </c>
      <c r="AC32" s="346">
        <f ca="1">VLOOKUP(AB32,HPR!$AH$30:$AL$5430,5,0)</f>
        <v>3.6121470212091777</v>
      </c>
      <c r="AD32" s="346">
        <f ca="1">VLOOKUP(AB32,HPR!$AH$30:$AN$5430,7,0)</f>
        <v>0.52047702701607523</v>
      </c>
      <c r="AE32" s="346">
        <f t="shared" ca="1" si="0"/>
        <v>3.5617946923438559</v>
      </c>
      <c r="AF32" s="346">
        <f t="shared" ca="1" si="1"/>
        <v>0.51332893645708033</v>
      </c>
    </row>
    <row r="33" spans="2:32">
      <c r="B33" s="328">
        <v>0.5</v>
      </c>
      <c r="C33" s="326">
        <f ca="1">Lin_Interp(ROUND($B33*365,0),Zero_swap_CL!$J$2:$J$18,Zero_swap_CL!$K$2:$K$18)</f>
        <v>3.4228573530611355</v>
      </c>
      <c r="D33" s="326">
        <f ca="1">forwardZeroRate(365,Lin_Interp(ROUND(D$30*365,0),Zero_swap_CL!$J$2:$J$18,Zero_swap_CL!$K$2:$K$18),Lin_Interp(ROUND(D$30*365+$B33*365,0),Zero_swap_CL!$J$2:$J$18,Zero_swap_CL!$K$2:$K$18),D$30*365,D$30*365+$B33*365)</f>
        <v>3.3801170330727937</v>
      </c>
      <c r="E33" s="326">
        <f ca="1">forwardZeroRate(365,Lin_Interp(ROUND(E$30*365,0),Zero_swap_CL!$J$2:$J$18,Zero_swap_CL!$K$2:$K$18),Lin_Interp(ROUND(E$30*365+$B33*365,0),Zero_swap_CL!$J$2:$J$18,Zero_swap_CL!$K$2:$K$18),E$30*365,E$30*365+$B33*365)</f>
        <v>3.2944347723581568</v>
      </c>
      <c r="F33" s="326">
        <f ca="1">forwardZeroRate(365,Lin_Interp(ROUND(F$30*365,0),Zero_swap_CL!$J$2:$J$18,Zero_swap_CL!$K$2:$K$18),Lin_Interp(ROUND(F$30*365+$B33*365,0),Zero_swap_CL!$J$2:$J$18,Zero_swap_CL!$K$2:$K$18),F$30*365,F$30*365+$B33*365)</f>
        <v>3.2396527969217104</v>
      </c>
      <c r="G33" s="326">
        <f ca="1">forwardZeroRate(365,Lin_Interp(ROUND(G$30*365,0),Zero_swap_CL!$J$2:$J$18,Zero_swap_CL!$K$2:$K$18),Lin_Interp(ROUND(G$30*365+$B33*365,0),Zero_swap_CL!$J$2:$J$18,Zero_swap_CL!$K$2:$K$18),G$30*365,G$30*365+$B33*365)</f>
        <v>3.1801853031945049</v>
      </c>
      <c r="H33" s="326">
        <f ca="1">forwardZeroRate(365,Lin_Interp(ROUND(H$30*365,0),Zero_swap_CL!$J$2:$J$18,Zero_swap_CL!$K$2:$K$18),Lin_Interp(ROUND(H$30*365+$B33*365,0),Zero_swap_CL!$J$2:$J$18,Zero_swap_CL!$K$2:$K$18),H$30*365,H$30*365+$B33*365)</f>
        <v>3.1274311631535268</v>
      </c>
      <c r="I33" s="326">
        <f ca="1">forwardZeroRate(365,Lin_Interp(ROUND(I$30*365,0),Zero_swap_CL!$J$2:$J$18,Zero_swap_CL!$K$2:$K$18),Lin_Interp(ROUND(I$30*365+$B33*365,0),Zero_swap_CL!$J$2:$J$18,Zero_swap_CL!$K$2:$K$18),I$30*365,I$30*365+$B33*365)</f>
        <v>3.4962947445183357</v>
      </c>
      <c r="J33" s="326">
        <f ca="1">forwardZeroRate(365,Lin_Interp(ROUND(J$30*365,0),Zero_swap_CL!$J$2:$J$18,Zero_swap_CL!$K$2:$K$18),Lin_Interp(ROUND(J$30*365+$B33*365,0),Zero_swap_CL!$J$2:$J$18,Zero_swap_CL!$K$2:$K$18),J$30*365,J$30*365+$B33*365)</f>
        <v>3.8043829117757166</v>
      </c>
      <c r="K33" s="326">
        <f ca="1">forwardZeroRate(365,Lin_Interp(ROUND(K$30*365,0),Zero_swap_CL!$J$2:$J$18,Zero_swap_CL!$K$2:$K$18),Lin_Interp(ROUND(K$30*365+$B33*365,0),Zero_swap_CL!$J$2:$J$18,Zero_swap_CL!$K$2:$K$18),K$30*365,K$30*365+$B33*365)</f>
        <v>4.121748464585151</v>
      </c>
      <c r="L33" s="326">
        <f ca="1">forwardZeroRate(365,Lin_Interp(ROUND(L$30*365,0),Zero_swap_CL!$J$2:$J$18,Zero_swap_CL!$K$2:$K$18),Lin_Interp(ROUND(L$30*365+$B33*365,0),Zero_swap_CL!$J$2:$J$18,Zero_swap_CL!$K$2:$K$18),L$30*365,L$30*365+$B33*365)</f>
        <v>4.1191866267470845</v>
      </c>
      <c r="M33" s="343"/>
      <c r="N33" s="328">
        <v>0.5</v>
      </c>
      <c r="O33" s="326">
        <f t="shared" ca="1" si="2"/>
        <v>-0.10566384459488498</v>
      </c>
      <c r="P33" s="326">
        <f t="shared" ca="1" si="3"/>
        <v>-0.11428365537689</v>
      </c>
      <c r="Q33" s="326">
        <f t="shared" ca="1" si="4"/>
        <v>-0.13088459555141707</v>
      </c>
      <c r="R33" s="326">
        <f t="shared" ca="1" si="5"/>
        <v>-0.11754299707300575</v>
      </c>
      <c r="S33" s="326">
        <f t="shared" ca="1" si="6"/>
        <v>-0.19879311937280875</v>
      </c>
      <c r="T33" s="326">
        <f t="shared" ca="1" si="7"/>
        <v>-0.34957075284918204</v>
      </c>
      <c r="U33" s="326">
        <f t="shared" ca="1" si="8"/>
        <v>-0.4591659140063209</v>
      </c>
      <c r="V33" s="326">
        <f t="shared" ca="1" si="9"/>
        <v>-0.36991033182081079</v>
      </c>
      <c r="W33" s="326">
        <f t="shared" ca="1" si="10"/>
        <v>-0.10003096925885746</v>
      </c>
      <c r="X33" s="326">
        <f t="shared" ca="1" si="11"/>
        <v>-0.11720913563497692</v>
      </c>
      <c r="AB33" s="347">
        <v>140</v>
      </c>
      <c r="AC33" s="346">
        <f ca="1">VLOOKUP(AB33,HPR!$AH$30:$AL$5430,5,0)</f>
        <v>3.6106464443870889</v>
      </c>
      <c r="AD33" s="346">
        <f ca="1">VLOOKUP(AB33,HPR!$AH$30:$AN$5430,7,0)</f>
        <v>0.61857582271314104</v>
      </c>
      <c r="AE33" s="346">
        <f t="shared" ca="1" si="0"/>
        <v>3.5603153904667506</v>
      </c>
      <c r="AF33" s="346">
        <f t="shared" ca="1" si="1"/>
        <v>0.61007638623149507</v>
      </c>
    </row>
    <row r="34" spans="2:32">
      <c r="B34" s="328">
        <v>0.75</v>
      </c>
      <c r="C34" s="326">
        <f ca="1">Lin_Interp(ROUND($B34*365,0),Zero_swap_CL!$J$2:$J$18,Zero_swap_CL!$K$2:$K$18)</f>
        <v>3.3750678491129107</v>
      </c>
      <c r="D34" s="326">
        <f ca="1">forwardZeroRate(365,Lin_Interp(ROUND(D$30*365,0),Zero_swap_CL!$J$2:$J$18,Zero_swap_CL!$K$2:$K$18),Lin_Interp(ROUND(D$30*365+$B34*365,0),Zero_swap_CL!$J$2:$J$18,Zero_swap_CL!$K$2:$K$18),D$30*365,D$30*365+$B34*365)</f>
        <v>3.3391564328921319</v>
      </c>
      <c r="E34" s="326">
        <f ca="1">forwardZeroRate(365,Lin_Interp(ROUND(E$30*365,0),Zero_swap_CL!$J$2:$J$18,Zero_swap_CL!$K$2:$K$18),Lin_Interp(ROUND(E$30*365+$B34*365,0),Zero_swap_CL!$J$2:$J$18,Zero_swap_CL!$K$2:$K$18),E$30*365,E$30*365+$B34*365)</f>
        <v>3.2628688468096412</v>
      </c>
      <c r="F34" s="326">
        <f ca="1">forwardZeroRate(365,Lin_Interp(ROUND(F$30*365,0),Zero_swap_CL!$J$2:$J$18,Zero_swap_CL!$K$2:$K$18),Lin_Interp(ROUND(F$30*365+$B34*365,0),Zero_swap_CL!$J$2:$J$18,Zero_swap_CL!$K$2:$K$18),F$30*365,F$30*365+$B34*365)</f>
        <v>3.2132979339908996</v>
      </c>
      <c r="G34" s="326">
        <f ca="1">forwardZeroRate(365,Lin_Interp(ROUND(G$30*365,0),Zero_swap_CL!$J$2:$J$18,Zero_swap_CL!$K$2:$K$18),Lin_Interp(ROUND(G$30*365+$B34*365,0),Zero_swap_CL!$J$2:$J$18,Zero_swap_CL!$K$2:$K$18),G$30*365,G$30*365+$B34*365)</f>
        <v>3.1515371174567486</v>
      </c>
      <c r="H34" s="326">
        <f ca="1">forwardZeroRate(365,Lin_Interp(ROUND(H$30*365,0),Zero_swap_CL!$J$2:$J$18,Zero_swap_CL!$K$2:$K$18),Lin_Interp(ROUND(H$30*365+$B34*365,0),Zero_swap_CL!$J$2:$J$18,Zero_swap_CL!$K$2:$K$18),H$30*365,H$30*365+$B34*365)</f>
        <v>3.1720102240705206</v>
      </c>
      <c r="I34" s="326">
        <f ca="1">forwardZeroRate(365,Lin_Interp(ROUND(I$30*365,0),Zero_swap_CL!$J$2:$J$18,Zero_swap_CL!$K$2:$K$18),Lin_Interp(ROUND(I$30*365+$B34*365,0),Zero_swap_CL!$J$2:$J$18,Zero_swap_CL!$K$2:$K$18),I$30*365,I$30*365+$B34*365)</f>
        <v>3.521757285228877</v>
      </c>
      <c r="J34" s="326">
        <f ca="1">forwardZeroRate(365,Lin_Interp(ROUND(J$30*365,0),Zero_swap_CL!$J$2:$J$18,Zero_swap_CL!$K$2:$K$18),Lin_Interp(ROUND(J$30*365+$B34*365,0),Zero_swap_CL!$J$2:$J$18,Zero_swap_CL!$K$2:$K$18),J$30*365,J$30*365+$B34*365)</f>
        <v>3.8367155101493466</v>
      </c>
      <c r="K34" s="326">
        <f ca="1">forwardZeroRate(365,Lin_Interp(ROUND(K$30*365,0),Zero_swap_CL!$J$2:$J$18,Zero_swap_CL!$K$2:$K$18),Lin_Interp(ROUND(K$30*365+$B34*365,0),Zero_swap_CL!$J$2:$J$18,Zero_swap_CL!$K$2:$K$18),K$30*365,K$30*365+$B34*365)</f>
        <v>4.1566598533002042</v>
      </c>
      <c r="L34" s="326">
        <f ca="1">forwardZeroRate(365,Lin_Interp(ROUND(L$30*365,0),Zero_swap_CL!$J$2:$J$18,Zero_swap_CL!$K$2:$K$18),Lin_Interp(ROUND(L$30*365+$B34*365,0),Zero_swap_CL!$J$2:$J$18,Zero_swap_CL!$K$2:$K$18),L$30*365,L$30*365+$B34*365)</f>
        <v>4.1366770781323892</v>
      </c>
      <c r="M34" s="343"/>
      <c r="N34" s="328">
        <v>0.75</v>
      </c>
      <c r="O34" s="326">
        <f t="shared" ca="1" si="2"/>
        <v>-9.5723298641602117E-2</v>
      </c>
      <c r="P34" s="326">
        <f t="shared" ca="1" si="3"/>
        <v>-0.10880852444066225</v>
      </c>
      <c r="Q34" s="326">
        <f t="shared" ca="1" si="4"/>
        <v>-0.14032733759377081</v>
      </c>
      <c r="R34" s="326">
        <f t="shared" ca="1" si="5"/>
        <v>-0.1578296198829765</v>
      </c>
      <c r="S34" s="326">
        <f t="shared" ca="1" si="6"/>
        <v>-0.28610386057825732</v>
      </c>
      <c r="T34" s="326">
        <f t="shared" ca="1" si="7"/>
        <v>-0.38551016096433077</v>
      </c>
      <c r="U34" s="326">
        <f t="shared" ca="1" si="8"/>
        <v>-0.47557780571683139</v>
      </c>
      <c r="V34" s="326">
        <f t="shared" ca="1" si="9"/>
        <v>-0.37032564639607468</v>
      </c>
      <c r="W34" s="326">
        <f t="shared" ca="1" si="10"/>
        <v>-8.5466042636439532E-2</v>
      </c>
      <c r="X34" s="326">
        <f t="shared" ca="1" si="11"/>
        <v>-0.11290159603150052</v>
      </c>
      <c r="AB34" s="347">
        <v>150</v>
      </c>
      <c r="AC34" s="346">
        <f ca="1">VLOOKUP(AB34,HPR!$AH$30:$AL$5430,5,0)</f>
        <v>3.6037440709131952</v>
      </c>
      <c r="AD34" s="346">
        <f ca="1">VLOOKUP(AB34,HPR!$AH$30:$AN$5430,7,0)</f>
        <v>0.69161051875419322</v>
      </c>
      <c r="AE34" s="346">
        <f t="shared" ca="1" si="0"/>
        <v>3.5535108739914056</v>
      </c>
      <c r="AF34" s="346">
        <f t="shared" ca="1" si="1"/>
        <v>0.68210416411200736</v>
      </c>
    </row>
    <row r="35" spans="2:32">
      <c r="B35" s="329">
        <v>1</v>
      </c>
      <c r="C35" s="326">
        <f ca="1">Lin_Interp(ROUND($B35*365,0),Zero_swap_CL!$J$2:$J$18,Zero_swap_CL!$K$2:$K$18)</f>
        <v>3.3312144726635551</v>
      </c>
      <c r="D35" s="326">
        <f ca="1">forwardZeroRate(365,Lin_Interp(ROUND(D$30*365,0),Zero_swap_CL!$J$2:$J$18,Zero_swap_CL!$K$2:$K$18),Lin_Interp(ROUND(D$30*365+$B35*365,0),Zero_swap_CL!$J$2:$J$18,Zero_swap_CL!$K$2:$K$18),D$30*365,D$30*365+$B35*365)</f>
        <v>3.3000119338098433</v>
      </c>
      <c r="E35" s="326">
        <f ca="1">forwardZeroRate(365,Lin_Interp(ROUND(E$30*365,0),Zero_swap_CL!$J$2:$J$18,Zero_swap_CL!$K$2:$K$18),Lin_Interp(ROUND(E$30*365+$B35*365,0),Zero_swap_CL!$J$2:$J$18,Zero_swap_CL!$K$2:$K$18),E$30*365,E$30*365+$B35*365)</f>
        <v>3.2372942332403953</v>
      </c>
      <c r="F35" s="326">
        <f ca="1">forwardZeroRate(365,Lin_Interp(ROUND(F$30*365,0),Zero_swap_CL!$J$2:$J$18,Zero_swap_CL!$K$2:$K$18),Lin_Interp(ROUND(F$30*365+$B35*365,0),Zero_swap_CL!$J$2:$J$18,Zero_swap_CL!$K$2:$K$18),F$30*365,F$30*365+$B35*365)</f>
        <v>3.1835267236123066</v>
      </c>
      <c r="G35" s="326">
        <f ca="1">forwardZeroRate(365,Lin_Interp(ROUND(G$30*365,0),Zero_swap_CL!$J$2:$J$18,Zero_swap_CL!$K$2:$K$18),Lin_Interp(ROUND(G$30*365+$B35*365,0),Zero_swap_CL!$J$2:$J$18,Zero_swap_CL!$K$2:$K$18),G$30*365,G$30*365+$B35*365)</f>
        <v>3.1789484510426957</v>
      </c>
      <c r="H35" s="326">
        <f ca="1">forwardZeroRate(365,Lin_Interp(ROUND(H$30*365,0),Zero_swap_CL!$J$2:$J$18,Zero_swap_CL!$K$2:$K$18),Lin_Interp(ROUND(H$30*365+$B35*365,0),Zero_swap_CL!$J$2:$J$18,Zero_swap_CL!$K$2:$K$18),H$30*365,H$30*365+$B35*365)</f>
        <v>3.1972114767477855</v>
      </c>
      <c r="I35" s="326">
        <f ca="1">forwardZeroRate(365,Lin_Interp(ROUND(I$30*365,0),Zero_swap_CL!$J$2:$J$18,Zero_swap_CL!$K$2:$K$18),Lin_Interp(ROUND(I$30*365+$B35*365,0),Zero_swap_CL!$J$2:$J$18,Zero_swap_CL!$K$2:$K$18),I$30*365,I$30*365+$B35*365)</f>
        <v>3.5464008521953749</v>
      </c>
      <c r="J35" s="326">
        <f ca="1">forwardZeroRate(365,Lin_Interp(ROUND(J$30*365,0),Zero_swap_CL!$J$2:$J$18,Zero_swap_CL!$K$2:$K$18),Lin_Interp(ROUND(J$30*365+$B35*365,0),Zero_swap_CL!$J$2:$J$18,Zero_swap_CL!$K$2:$K$18),J$30*365,J$30*365+$B35*365)</f>
        <v>3.8688638030205169</v>
      </c>
      <c r="K35" s="326">
        <f ca="1">forwardZeroRate(365,Lin_Interp(ROUND(K$30*365,0),Zero_swap_CL!$J$2:$J$18,Zero_swap_CL!$K$2:$K$18),Lin_Interp(ROUND(K$30*365+$B35*365,0),Zero_swap_CL!$J$2:$J$18,Zero_swap_CL!$K$2:$K$18),K$30*365,K$30*365+$B35*365)</f>
        <v>4.1917519932767711</v>
      </c>
      <c r="L35" s="326">
        <f ca="1">forwardZeroRate(365,Lin_Interp(ROUND(L$30*365,0),Zero_swap_CL!$J$2:$J$18,Zero_swap_CL!$K$2:$K$18),Lin_Interp(ROUND(L$30*365+$B35*365,0),Zero_swap_CL!$J$2:$J$18,Zero_swap_CL!$K$2:$K$18),L$30*365,L$30*365+$B35*365)</f>
        <v>4.1563007876716185</v>
      </c>
      <c r="M35" s="343"/>
      <c r="N35" s="329">
        <v>1</v>
      </c>
      <c r="O35" s="326">
        <f t="shared" ca="1" si="2"/>
        <v>-0.11160855382229773</v>
      </c>
      <c r="P35" s="326">
        <f t="shared" ca="1" si="3"/>
        <v>-0.12841171862765233</v>
      </c>
      <c r="Q35" s="326">
        <f t="shared" ca="1" si="4"/>
        <v>-0.16485206596490443</v>
      </c>
      <c r="R35" s="326">
        <f t="shared" ca="1" si="5"/>
        <v>-0.23355478233555438</v>
      </c>
      <c r="S35" s="326">
        <f t="shared" ca="1" si="6"/>
        <v>-0.32889711016708123</v>
      </c>
      <c r="T35" s="326">
        <f t="shared" ca="1" si="7"/>
        <v>-0.41988037608016171</v>
      </c>
      <c r="U35" s="326">
        <f t="shared" ca="1" si="8"/>
        <v>-0.49305572732842862</v>
      </c>
      <c r="V35" s="326">
        <f t="shared" ca="1" si="9"/>
        <v>-0.37139190834767355</v>
      </c>
      <c r="W35" s="326">
        <f t="shared" ca="1" si="10"/>
        <v>-7.1214535565800041E-2</v>
      </c>
      <c r="X35" s="326">
        <f t="shared" ca="1" si="11"/>
        <v>-0.10698226197503047</v>
      </c>
      <c r="AB35" s="347">
        <v>160</v>
      </c>
      <c r="AC35" s="346">
        <f ca="1">VLOOKUP(AB35,HPR!$AH$30:$AL$5430,5,0)</f>
        <v>3.5977048713247139</v>
      </c>
      <c r="AD35" s="346">
        <f ca="1">VLOOKUP(AB35,HPR!$AH$30:$AN$5430,7,0)</f>
        <v>0.75555936349191999</v>
      </c>
      <c r="AE35" s="346">
        <f t="shared" ca="1" si="0"/>
        <v>3.5475572888352236</v>
      </c>
      <c r="AF35" s="346">
        <f t="shared" ca="1" si="1"/>
        <v>0.74517076825406647</v>
      </c>
    </row>
    <row r="36" spans="2:32">
      <c r="B36" s="329">
        <v>2</v>
      </c>
      <c r="C36" s="326">
        <f ca="1">Lin_Interp(ROUND($B36*365,0),Zero_swap_CL!$J$2:$J$18,Zero_swap_CL!$K$2:$K$18)</f>
        <v>3.2641912382246985</v>
      </c>
      <c r="D36" s="326">
        <f ca="1">forwardZeroRate(365,Lin_Interp(ROUND(D$30*365,0),Zero_swap_CL!$J$2:$J$18,Zero_swap_CL!$K$2:$K$18),Lin_Interp(ROUND(D$30*365+$B36*365,0),Zero_swap_CL!$J$2:$J$18,Zero_swap_CL!$K$2:$K$18),D$30*365,D$30*365+$B36*365)</f>
        <v>3.2587713636338389</v>
      </c>
      <c r="E36" s="326">
        <f ca="1">forwardZeroRate(365,Lin_Interp(ROUND(E$30*365,0),Zero_swap_CL!$J$2:$J$18,Zero_swap_CL!$K$2:$K$18),Lin_Interp(ROUND(E$30*365+$B36*365,0),Zero_swap_CL!$J$2:$J$18,Zero_swap_CL!$K$2:$K$18),E$30*365,E$30*365+$B36*365)</f>
        <v>3.255296426442511</v>
      </c>
      <c r="F36" s="326">
        <f ca="1">forwardZeroRate(365,Lin_Interp(ROUND(F$30*365,0),Zero_swap_CL!$J$2:$J$18,Zero_swap_CL!$K$2:$K$18),Lin_Interp(ROUND(F$30*365+$B36*365,0),Zero_swap_CL!$J$2:$J$18,Zero_swap_CL!$K$2:$K$18),F$30*365,F$30*365+$B36*365)</f>
        <v>3.2825175409739948</v>
      </c>
      <c r="G36" s="326">
        <f ca="1">forwardZeroRate(365,Lin_Interp(ROUND(G$30*365,0),Zero_swap_CL!$J$2:$J$18,Zero_swap_CL!$K$2:$K$18),Lin_Interp(ROUND(G$30*365+$B36*365,0),Zero_swap_CL!$J$2:$J$18,Zero_swap_CL!$K$2:$K$18),G$30*365,G$30*365+$B36*365)</f>
        <v>3.3191164284551267</v>
      </c>
      <c r="H36" s="326">
        <f ca="1">forwardZeroRate(365,Lin_Interp(ROUND(H$30*365,0),Zero_swap_CL!$J$2:$J$18,Zero_swap_CL!$K$2:$K$18),Lin_Interp(ROUND(H$30*365+$B36*365,0),Zero_swap_CL!$J$2:$J$18,Zero_swap_CL!$K$2:$K$18),H$30*365,H$30*365+$B36*365)</f>
        <v>3.3716587193999947</v>
      </c>
      <c r="I36" s="326">
        <f ca="1">forwardZeroRate(365,Lin_Interp(ROUND(I$30*365,0),Zero_swap_CL!$J$2:$J$18,Zero_swap_CL!$K$2:$K$18),Lin_Interp(ROUND(I$30*365+$B36*365,0),Zero_swap_CL!$J$2:$J$18,Zero_swap_CL!$K$2:$K$18),I$30*365,I$30*365+$B36*365)</f>
        <v>3.7075069964062513</v>
      </c>
      <c r="J36" s="326">
        <f ca="1">forwardZeroRate(365,Lin_Interp(ROUND(J$30*365,0),Zero_swap_CL!$J$2:$J$18,Zero_swap_CL!$K$2:$K$18),Lin_Interp(ROUND(J$30*365+$B36*365,0),Zero_swap_CL!$J$2:$J$18,Zero_swap_CL!$K$2:$K$18),J$30*365,J$30*365+$B36*365)</f>
        <v>4.030182625946388</v>
      </c>
      <c r="K36" s="326">
        <f ca="1">forwardZeroRate(365,Lin_Interp(ROUND(K$30*365,0),Zero_swap_CL!$J$2:$J$18,Zero_swap_CL!$K$2:$K$18),Lin_Interp(ROUND(K$30*365+$B36*365,0),Zero_swap_CL!$J$2:$J$18,Zero_swap_CL!$K$2:$K$18),K$30*365,K$30*365+$B36*365)</f>
        <v>4.1740248824351456</v>
      </c>
      <c r="L36" s="326">
        <f ca="1">forwardZeroRate(365,Lin_Interp(ROUND(L$30*365,0),Zero_swap_CL!$J$2:$J$18,Zero_swap_CL!$K$2:$K$18),Lin_Interp(ROUND(L$30*365+$B36*365,0),Zero_swap_CL!$J$2:$J$18,Zero_swap_CL!$K$2:$K$18),L$30*365,L$30*365+$B36*365)</f>
        <v>4.4464559218411859</v>
      </c>
      <c r="M36" s="343"/>
      <c r="N36" s="329">
        <v>2</v>
      </c>
      <c r="O36" s="326">
        <f t="shared" ca="1" si="2"/>
        <v>-0.26572953374927533</v>
      </c>
      <c r="P36" s="326">
        <f t="shared" ca="1" si="3"/>
        <v>-0.28424791369869862</v>
      </c>
      <c r="Q36" s="326">
        <f t="shared" ca="1" si="4"/>
        <v>-0.31811975149760308</v>
      </c>
      <c r="R36" s="326">
        <f t="shared" ca="1" si="5"/>
        <v>-0.35397487209105627</v>
      </c>
      <c r="S36" s="326">
        <f t="shared" ca="1" si="6"/>
        <v>-0.40805784110931054</v>
      </c>
      <c r="T36" s="326">
        <f t="shared" ca="1" si="7"/>
        <v>-0.45640072851043101</v>
      </c>
      <c r="U36" s="326">
        <f t="shared" ca="1" si="8"/>
        <v>-0.43230075222246978</v>
      </c>
      <c r="V36" s="326">
        <f t="shared" ca="1" si="9"/>
        <v>-0.22142787572583256</v>
      </c>
      <c r="W36" s="326">
        <f t="shared" ca="1" si="10"/>
        <v>-8.9099906689349417E-2</v>
      </c>
      <c r="X36" s="326">
        <f t="shared" ca="1" si="11"/>
        <v>0.1833177957744736</v>
      </c>
      <c r="AB36" s="347">
        <v>170</v>
      </c>
      <c r="AC36" s="346">
        <f ca="1">VLOOKUP(AB36,HPR!$AH$30:$AL$5430,5,0)</f>
        <v>3.5917586871313967</v>
      </c>
      <c r="AD36" s="346">
        <f ca="1">VLOOKUP(AB36,HPR!$AH$30:$AN$5430,7,0)</f>
        <v>0.66271141625471319</v>
      </c>
      <c r="AE36" s="346">
        <f t="shared" ca="1" si="0"/>
        <v>3.5416953958007813</v>
      </c>
      <c r="AF36" s="346">
        <f t="shared" ca="1" si="1"/>
        <v>0.65360357470363173</v>
      </c>
    </row>
    <row r="37" spans="2:32">
      <c r="B37" s="329">
        <v>3</v>
      </c>
      <c r="C37" s="326">
        <f ca="1">Lin_Interp(ROUND($B37*365,0),Zero_swap_CL!$J$2:$J$18,Zero_swap_CL!$K$2:$K$18)</f>
        <v>3.3581755452339115</v>
      </c>
      <c r="D37" s="326">
        <f ca="1">forwardZeroRate(365,Lin_Interp(ROUND(D$30*365,0),Zero_swap_CL!$J$2:$J$18,Zero_swap_CL!$K$2:$K$18),Lin_Interp(ROUND(D$30*365+$B37*365,0),Zero_swap_CL!$J$2:$J$18,Zero_swap_CL!$K$2:$K$18),D$30*365,D$30*365+$B37*365)</f>
        <v>3.3630116296416102</v>
      </c>
      <c r="E37" s="326">
        <f ca="1">forwardZeroRate(365,Lin_Interp(ROUND(E$30*365,0),Zero_swap_CL!$J$2:$J$18,Zero_swap_CL!$K$2:$K$18),Lin_Interp(ROUND(E$30*365+$B37*365,0),Zero_swap_CL!$J$2:$J$18,Zero_swap_CL!$K$2:$K$18),E$30*365,E$30*365+$B37*365)</f>
        <v>3.377307648727923</v>
      </c>
      <c r="F37" s="326">
        <f ca="1">forwardZeroRate(365,Lin_Interp(ROUND(F$30*365,0),Zero_swap_CL!$J$2:$J$18,Zero_swap_CL!$K$2:$K$18),Lin_Interp(ROUND(F$30*365+$B37*365,0),Zero_swap_CL!$J$2:$J$18,Zero_swap_CL!$K$2:$K$18),F$30*365,F$30*365+$B37*365)</f>
        <v>3.4216259116394587</v>
      </c>
      <c r="G37" s="326">
        <f ca="1">forwardZeroRate(365,Lin_Interp(ROUND(G$30*365,0),Zero_swap_CL!$J$2:$J$18,Zero_swap_CL!$K$2:$K$18),Lin_Interp(ROUND(G$30*365+$B37*365,0),Zero_swap_CL!$J$2:$J$18,Zero_swap_CL!$K$2:$K$18),G$30*365,G$30*365+$B37*365)</f>
        <v>3.4733758592458974</v>
      </c>
      <c r="H37" s="326">
        <f ca="1">forwardZeroRate(365,Lin_Interp(ROUND(H$30*365,0),Zero_swap_CL!$J$2:$J$18,Zero_swap_CL!$K$2:$K$18),Lin_Interp(ROUND(H$30*365+$B37*365,0),Zero_swap_CL!$J$2:$J$18,Zero_swap_CL!$K$2:$K$18),H$30*365,H$30*365+$B37*365)</f>
        <v>3.537128733290662</v>
      </c>
      <c r="I37" s="326">
        <f ca="1">forwardZeroRate(365,Lin_Interp(ROUND(I$30*365,0),Zero_swap_CL!$J$2:$J$18,Zero_swap_CL!$K$2:$K$18),Lin_Interp(ROUND(I$30*365+$B37*365,0),Zero_swap_CL!$J$2:$J$18,Zero_swap_CL!$K$2:$K$18),I$30*365,I$30*365+$B37*365)</f>
        <v>3.8686714115411469</v>
      </c>
      <c r="J37" s="326">
        <f ca="1">forwardZeroRate(365,Lin_Interp(ROUND(J$30*365,0),Zero_swap_CL!$J$2:$J$18,Zero_swap_CL!$K$2:$K$18),Lin_Interp(ROUND(J$30*365+$B37*365,0),Zero_swap_CL!$J$2:$J$18,Zero_swap_CL!$K$2:$K$18),J$30*365,J$30*365+$B37*365)</f>
        <v>4.0722050361850171</v>
      </c>
      <c r="K37" s="326">
        <f ca="1">forwardZeroRate(365,Lin_Interp(ROUND(K$30*365,0),Zero_swap_CL!$J$2:$J$18,Zero_swap_CL!$K$2:$K$18),Lin_Interp(ROUND(K$30*365+$B37*365,0),Zero_swap_CL!$J$2:$J$18,Zero_swap_CL!$K$2:$K$18),K$30*365,K$30*365+$B37*365)</f>
        <v>4.3614855050074341</v>
      </c>
      <c r="L37" s="326">
        <f ca="1">forwardZeroRate(365,Lin_Interp(ROUND(L$30*365,0),Zero_swap_CL!$J$2:$J$18,Zero_swap_CL!$K$2:$K$18),Lin_Interp(ROUND(L$30*365+$B37*365,0),Zero_swap_CL!$J$2:$J$18,Zero_swap_CL!$K$2:$K$18),L$30*365,L$30*365+$B37*365)</f>
        <v>4.5567302405747023</v>
      </c>
      <c r="M37" s="343"/>
      <c r="N37" s="329">
        <v>3</v>
      </c>
      <c r="O37" s="326">
        <f t="shared" ca="1" si="2"/>
        <v>-0.34131261685789971</v>
      </c>
      <c r="P37" s="326">
        <f t="shared" ca="1" si="3"/>
        <v>-0.35179247276724279</v>
      </c>
      <c r="Q37" s="326">
        <f t="shared" ca="1" si="4"/>
        <v>-0.37018833905069215</v>
      </c>
      <c r="R37" s="326">
        <f t="shared" ca="1" si="5"/>
        <v>-0.38538953611761961</v>
      </c>
      <c r="S37" s="326">
        <f t="shared" ca="1" si="6"/>
        <v>-0.41009143936294734</v>
      </c>
      <c r="T37" s="326">
        <f t="shared" ca="1" si="7"/>
        <v>-0.42814804521671412</v>
      </c>
      <c r="U37" s="326">
        <f t="shared" ca="1" si="8"/>
        <v>-0.31217309098627855</v>
      </c>
      <c r="V37" s="326">
        <f t="shared" ca="1" si="9"/>
        <v>-0.18329616960786055</v>
      </c>
      <c r="W37" s="326">
        <f t="shared" ca="1" si="10"/>
        <v>9.8404578046817903E-2</v>
      </c>
      <c r="X37" s="326">
        <f t="shared" ca="1" si="11"/>
        <v>0.29353081081195942</v>
      </c>
      <c r="AB37" s="347">
        <v>180</v>
      </c>
      <c r="AC37" s="346">
        <f ca="1">VLOOKUP(AB37,HPR!$AH$30:$AL$5430,5,0)</f>
        <v>3.5812228395544654</v>
      </c>
      <c r="AD37" s="346">
        <f ca="1">VLOOKUP(AB37,HPR!$AH$30:$AN$5430,7,0)</f>
        <v>0.48171771893985582</v>
      </c>
      <c r="AE37" s="346">
        <f t="shared" ca="1" si="0"/>
        <v>3.5313088896280487</v>
      </c>
      <c r="AF37" s="346">
        <f t="shared" ca="1" si="1"/>
        <v>0.47510319528822897</v>
      </c>
    </row>
    <row r="38" spans="2:32">
      <c r="B38" s="329">
        <v>4</v>
      </c>
      <c r="C38" s="326">
        <f ca="1">Lin_Interp(ROUND($B38*365,0),Zero_swap_CL!$J$2:$J$18,Zero_swap_CL!$K$2:$K$18)</f>
        <v>3.4856117308895178</v>
      </c>
      <c r="D38" s="326">
        <f ca="1">forwardZeroRate(365,Lin_Interp(ROUND(D$30*365,0),Zero_swap_CL!$J$2:$J$18,Zero_swap_CL!$K$2:$K$18),Lin_Interp(ROUND(D$30*365+$B38*365,0),Zero_swap_CL!$J$2:$J$18,Zero_swap_CL!$K$2:$K$18),D$30*365,D$30*365+$B38*365)</f>
        <v>3.4957761227987438</v>
      </c>
      <c r="E38" s="326">
        <f ca="1">forwardZeroRate(365,Lin_Interp(ROUND(E$30*365,0),Zero_swap_CL!$J$2:$J$18,Zero_swap_CL!$K$2:$K$18),Lin_Interp(ROUND(E$30*365+$B38*365,0),Zero_swap_CL!$J$2:$J$18,Zero_swap_CL!$K$2:$K$18),E$30*365,E$30*365+$B38*365)</f>
        <v>3.5195383222631937</v>
      </c>
      <c r="F38" s="326">
        <f ca="1">forwardZeroRate(365,Lin_Interp(ROUND(F$30*365,0),Zero_swap_CL!$J$2:$J$18,Zero_swap_CL!$K$2:$K$18),Lin_Interp(ROUND(F$30*365+$B38*365,0),Zero_swap_CL!$J$2:$J$18,Zero_swap_CL!$K$2:$K$18),F$30*365,F$30*365+$B38*365)</f>
        <v>3.5727687781532014</v>
      </c>
      <c r="G38" s="326">
        <f ca="1">forwardZeroRate(365,Lin_Interp(ROUND(G$30*365,0),Zero_swap_CL!$J$2:$J$18,Zero_swap_CL!$K$2:$K$18),Lin_Interp(ROUND(G$30*365+$B38*365,0),Zero_swap_CL!$J$2:$J$18,Zero_swap_CL!$K$2:$K$18),G$30*365,G$30*365+$B38*365)</f>
        <v>3.6318683779756</v>
      </c>
      <c r="H38" s="326">
        <f ca="1">forwardZeroRate(365,Lin_Interp(ROUND(H$30*365,0),Zero_swap_CL!$J$2:$J$18,Zero_swap_CL!$K$2:$K$18),Lin_Interp(ROUND(H$30*365+$B38*365,0),Zero_swap_CL!$J$2:$J$18,Zero_swap_CL!$K$2:$K$18),H$30*365,H$30*365+$B38*365)</f>
        <v>3.7003979497001849</v>
      </c>
      <c r="I38" s="326">
        <f ca="1">forwardZeroRate(365,Lin_Interp(ROUND(I$30*365,0),Zero_swap_CL!$J$2:$J$18,Zero_swap_CL!$K$2:$K$18),Lin_Interp(ROUND(I$30*365+$B38*365,0),Zero_swap_CL!$J$2:$J$18,Zero_swap_CL!$K$2:$K$18),I$30*365,I$30*365+$B38*365)</f>
        <v>3.9405042047562011</v>
      </c>
      <c r="J38" s="326">
        <f ca="1">forwardZeroRate(365,Lin_Interp(ROUND(J$30*365,0),Zero_swap_CL!$J$2:$J$18,Zero_swap_CL!$K$2:$K$18),Lin_Interp(ROUND(J$30*365+$B38*365,0),Zero_swap_CL!$J$2:$J$18,Zero_swap_CL!$K$2:$K$18),J$30*365,J$30*365+$B38*365)</f>
        <v>4.2381114764748595</v>
      </c>
      <c r="K38" s="326">
        <f ca="1">forwardZeroRate(365,Lin_Interp(ROUND(K$30*365,0),Zero_swap_CL!$J$2:$J$18,Zero_swap_CL!$K$2:$K$18),Lin_Interp(ROUND(K$30*365+$B38*365,0),Zero_swap_CL!$J$2:$J$18,Zero_swap_CL!$K$2:$K$18),K$30*365,K$30*365+$B38*365)</f>
        <v>4.4653659940038892</v>
      </c>
      <c r="L38" s="326">
        <f ca="1">forwardZeroRate(365,Lin_Interp(ROUND(L$30*365,0),Zero_swap_CL!$J$2:$J$18,Zero_swap_CL!$K$2:$K$18),Lin_Interp(ROUND(L$30*365+$B38*365,0),Zero_swap_CL!$J$2:$J$18,Zero_swap_CL!$K$2:$K$18),L$30*365,L$30*365+$B38*365)</f>
        <v>4.6201943036275672</v>
      </c>
      <c r="M38" s="343"/>
      <c r="N38" s="329">
        <v>4</v>
      </c>
      <c r="O38" s="326">
        <f t="shared" ca="1" si="2"/>
        <v>-0.34880474757937519</v>
      </c>
      <c r="P38" s="326">
        <f t="shared" ca="1" si="3"/>
        <v>-0.35163439030427845</v>
      </c>
      <c r="Q38" s="326">
        <f t="shared" ca="1" si="4"/>
        <v>-0.35471962140161128</v>
      </c>
      <c r="R38" s="326">
        <f t="shared" ca="1" si="5"/>
        <v>-0.34830746221383713</v>
      </c>
      <c r="S38" s="326">
        <f t="shared" ca="1" si="6"/>
        <v>-0.34724406101780403</v>
      </c>
      <c r="T38" s="326">
        <f t="shared" ca="1" si="7"/>
        <v>-0.33922148783922523</v>
      </c>
      <c r="U38" s="326">
        <f t="shared" ca="1" si="8"/>
        <v>-0.26094382170218644</v>
      </c>
      <c r="V38" s="326">
        <f t="shared" ca="1" si="9"/>
        <v>-1.9262678069997818E-2</v>
      </c>
      <c r="W38" s="326">
        <f t="shared" ca="1" si="10"/>
        <v>0.20222478951996692</v>
      </c>
      <c r="X38" s="326">
        <f t="shared" ca="1" si="11"/>
        <v>0.35699950577092743</v>
      </c>
      <c r="AB38" s="347">
        <v>190</v>
      </c>
      <c r="AC38" s="346">
        <f ca="1">VLOOKUP(AB38,HPR!$AH$30:$AL$5430,5,0)</f>
        <v>3.5717969368650015</v>
      </c>
      <c r="AD38" s="346">
        <f ca="1">VLOOKUP(AB38,HPR!$AH$30:$AN$5430,7,0)</f>
        <v>0.32005185686738713</v>
      </c>
      <c r="AE38" s="346">
        <f t="shared" ca="1" si="0"/>
        <v>3.5220165830546213</v>
      </c>
      <c r="AF38" s="346">
        <f t="shared" ca="1" si="1"/>
        <v>0.31566067246420193</v>
      </c>
    </row>
    <row r="39" spans="2:32">
      <c r="B39" s="329">
        <v>5</v>
      </c>
      <c r="C39" s="326">
        <f ca="1">Lin_Interp(ROUND($B39*365,0),Zero_swap_CL!$J$2:$J$18,Zero_swap_CL!$K$2:$K$18)</f>
        <v>3.626455882813441</v>
      </c>
      <c r="D39" s="326">
        <f ca="1">forwardZeroRate(365,Lin_Interp(ROUND(D$30*365,0),Zero_swap_CL!$J$2:$J$18,Zero_swap_CL!$K$2:$K$18),Lin_Interp(ROUND(D$30*365+$B39*365,0),Zero_swap_CL!$J$2:$J$18,Zero_swap_CL!$K$2:$K$18),D$30*365,D$30*365+$B39*365)</f>
        <v>3.6359998214029909</v>
      </c>
      <c r="E39" s="326">
        <f ca="1">forwardZeroRate(365,Lin_Interp(ROUND(E$30*365,0),Zero_swap_CL!$J$2:$J$18,Zero_swap_CL!$K$2:$K$18),Lin_Interp(ROUND(E$30*365+$B39*365,0),Zero_swap_CL!$J$2:$J$18,Zero_swap_CL!$K$2:$K$18),E$30*365,E$30*365+$B39*365)</f>
        <v>3.6548403311918998</v>
      </c>
      <c r="F39" s="326">
        <f ca="1">forwardZeroRate(365,Lin_Interp(ROUND(F$30*365,0),Zero_swap_CL!$J$2:$J$18,Zero_swap_CL!$K$2:$K$18),Lin_Interp(ROUND(F$30*365+$B39*365,0),Zero_swap_CL!$J$2:$J$18,Zero_swap_CL!$K$2:$K$18),F$30*365,F$30*365+$B39*365)</f>
        <v>3.6960153992191325</v>
      </c>
      <c r="G39" s="326">
        <f ca="1">forwardZeroRate(365,Lin_Interp(ROUND(G$30*365,0),Zero_swap_CL!$J$2:$J$18,Zero_swap_CL!$K$2:$K$18),Lin_Interp(ROUND(G$30*365+$B39*365,0),Zero_swap_CL!$J$2:$J$18,Zero_swap_CL!$K$2:$K$18),G$30*365,G$30*365+$B39*365)</f>
        <v>3.7406181225934088</v>
      </c>
      <c r="H39" s="326">
        <f ca="1">forwardZeroRate(365,Lin_Interp(ROUND(H$30*365,0),Zero_swap_CL!$J$2:$J$18,Zero_swap_CL!$K$2:$K$18),Lin_Interp(ROUND(H$30*365+$B39*365,0),Zero_swap_CL!$J$2:$J$18,Zero_swap_CL!$K$2:$K$18),H$30*365,H$30*365+$B39*365)</f>
        <v>3.7914185944228684</v>
      </c>
      <c r="I39" s="326">
        <f ca="1">forwardZeroRate(365,Lin_Interp(ROUND(I$30*365,0),Zero_swap_CL!$J$2:$J$18,Zero_swap_CL!$K$2:$K$18),Lin_Interp(ROUND(I$30*365+$B39*365,0),Zero_swap_CL!$J$2:$J$18,Zero_swap_CL!$K$2:$K$18),I$30*365,I$30*365+$B39*365)</f>
        <v>4.0994006745673328</v>
      </c>
      <c r="J39" s="326">
        <f ca="1">forwardZeroRate(365,Lin_Interp(ROUND(J$30*365,0),Zero_swap_CL!$J$2:$J$18,Zero_swap_CL!$K$2:$K$18),Lin_Interp(ROUND(J$30*365+$B39*365,0),Zero_swap_CL!$J$2:$J$18,Zero_swap_CL!$K$2:$K$18),J$30*365,J$30*365+$B39*365)</f>
        <v>4.3457921340575023</v>
      </c>
      <c r="K39" s="326">
        <f ca="1">forwardZeroRate(365,Lin_Interp(ROUND(K$30*365,0),Zero_swap_CL!$J$2:$J$18,Zero_swap_CL!$K$2:$K$18),Lin_Interp(ROUND(K$30*365+$B39*365,0),Zero_swap_CL!$J$2:$J$18,Zero_swap_CL!$K$2:$K$18),K$30*365,K$30*365+$B39*365)</f>
        <v>4.5343651305605137</v>
      </c>
      <c r="L39" s="326">
        <f ca="1">forwardZeroRate(365,Lin_Interp(ROUND(L$30*365,0),Zero_swap_CL!$J$2:$J$18,Zero_swap_CL!$K$2:$K$18),Lin_Interp(ROUND(L$30*365+$B39*365,0),Zero_swap_CL!$J$2:$J$18,Zero_swap_CL!$K$2:$K$18),L$30*365,L$30*365+$B39*365)</f>
        <v>4.6742752792178432</v>
      </c>
      <c r="M39" s="343"/>
      <c r="N39" s="329">
        <v>5</v>
      </c>
      <c r="O39" s="326">
        <f t="shared" ca="1" si="2"/>
        <v>-0.29352945664466468</v>
      </c>
      <c r="P39" s="326">
        <f t="shared" ca="1" si="3"/>
        <v>-0.29488612153281135</v>
      </c>
      <c r="Q39" s="326">
        <f t="shared" ca="1" si="4"/>
        <v>-0.29817011571036112</v>
      </c>
      <c r="R39" s="326">
        <f t="shared" ca="1" si="5"/>
        <v>-0.29480737455651607</v>
      </c>
      <c r="S39" s="326">
        <f t="shared" ca="1" si="6"/>
        <v>-0.29631891430015322</v>
      </c>
      <c r="T39" s="326">
        <f t="shared" ca="1" si="7"/>
        <v>-0.29289514864869748</v>
      </c>
      <c r="U39" s="326">
        <f t="shared" ca="1" si="8"/>
        <v>-0.11435348010107038</v>
      </c>
      <c r="V39" s="326">
        <f t="shared" ca="1" si="9"/>
        <v>8.7228430114238975E-2</v>
      </c>
      <c r="W39" s="326">
        <f t="shared" ca="1" si="10"/>
        <v>0.27121598654666901</v>
      </c>
      <c r="X39" s="326">
        <f t="shared" ca="1" si="11"/>
        <v>0.41108641765124077</v>
      </c>
      <c r="AB39" s="347">
        <v>200</v>
      </c>
      <c r="AC39" s="346">
        <f ca="1">VLOOKUP(AB39,HPR!$AH$30:$AL$5430,5,0)</f>
        <v>3.5633143578299276</v>
      </c>
      <c r="AD39" s="346">
        <f ca="1">VLOOKUP(AB39,HPR!$AH$30:$AN$5430,7,0)</f>
        <v>0.26827082970484195</v>
      </c>
      <c r="AE39" s="346">
        <f t="shared" ca="1" si="0"/>
        <v>3.5136542202259369</v>
      </c>
      <c r="AF39" s="346">
        <f t="shared" ca="1" si="1"/>
        <v>0.26459102935960654</v>
      </c>
    </row>
    <row r="40" spans="2:32">
      <c r="B40" s="329">
        <v>6</v>
      </c>
      <c r="C40" s="326">
        <f ca="1">Lin_Interp(ROUND($B40*365,0),Zero_swap_CL!$J$2:$J$18,Zero_swap_CL!$K$2:$K$18)</f>
        <v>3.7145758199376178</v>
      </c>
      <c r="D40" s="326">
        <f ca="1">forwardZeroRate(365,Lin_Interp(ROUND(D$30*365,0),Zero_swap_CL!$J$2:$J$18,Zero_swap_CL!$K$2:$K$18),Lin_Interp(ROUND(D$30*365+$B40*365,0),Zero_swap_CL!$J$2:$J$18,Zero_swap_CL!$K$2:$K$18),D$30*365,D$30*365+$B40*365)</f>
        <v>3.7278754289662208</v>
      </c>
      <c r="E40" s="326">
        <f ca="1">forwardZeroRate(365,Lin_Interp(ROUND(E$30*365,0),Zero_swap_CL!$J$2:$J$18,Zero_swap_CL!$K$2:$K$18),Lin_Interp(ROUND(E$30*365+$B40*365,0),Zero_swap_CL!$J$2:$J$18,Zero_swap_CL!$K$2:$K$18),E$30*365,E$30*365+$B40*365)</f>
        <v>3.758899512483671</v>
      </c>
      <c r="F40" s="326">
        <f ca="1">forwardZeroRate(365,Lin_Interp(ROUND(F$30*365,0),Zero_swap_CL!$J$2:$J$18,Zero_swap_CL!$K$2:$K$18),Lin_Interp(ROUND(F$30*365+$B40*365,0),Zero_swap_CL!$J$2:$J$18,Zero_swap_CL!$K$2:$K$18),F$30*365,F$30*365+$B40*365)</f>
        <v>3.81735845687039</v>
      </c>
      <c r="G40" s="326">
        <f ca="1">forwardZeroRate(365,Lin_Interp(ROUND(G$30*365,0),Zero_swap_CL!$J$2:$J$18,Zero_swap_CL!$K$2:$K$18),Lin_Interp(ROUND(G$30*365+$B40*365,0),Zero_swap_CL!$J$2:$J$18,Zero_swap_CL!$K$2:$K$18),G$30*365,G$30*365+$B40*365)</f>
        <v>3.8797138891332184</v>
      </c>
      <c r="H40" s="326">
        <f ca="1">forwardZeroRate(365,Lin_Interp(ROUND(H$30*365,0),Zero_swap_CL!$J$2:$J$18,Zero_swap_CL!$K$2:$K$18),Lin_Interp(ROUND(H$30*365+$B40*365,0),Zero_swap_CL!$J$2:$J$18,Zero_swap_CL!$K$2:$K$18),H$30*365,H$30*365+$B40*365)</f>
        <v>3.9484899338581014</v>
      </c>
      <c r="I40" s="326">
        <f ca="1">forwardZeroRate(365,Lin_Interp(ROUND(I$30*365,0),Zero_swap_CL!$J$2:$J$18,Zero_swap_CL!$K$2:$K$18),Lin_Interp(ROUND(I$30*365+$B40*365,0),Zero_swap_CL!$J$2:$J$18,Zero_swap_CL!$K$2:$K$18),I$30*365,I$30*365+$B40*365)</f>
        <v>4.2121329655208539</v>
      </c>
      <c r="J40" s="326">
        <f ca="1">forwardZeroRate(365,Lin_Interp(ROUND(J$30*365,0),Zero_swap_CL!$J$2:$J$18,Zero_swap_CL!$K$2:$K$18),Lin_Interp(ROUND(J$30*365+$B40*365,0),Zero_swap_CL!$J$2:$J$18,Zero_swap_CL!$K$2:$K$18),J$30*365,J$30*365+$B40*365)</f>
        <v>4.4231528699979705</v>
      </c>
      <c r="K40" s="326">
        <f ca="1">forwardZeroRate(365,Lin_Interp(ROUND(K$30*365,0),Zero_swap_CL!$J$2:$J$18,Zero_swap_CL!$K$2:$K$18),Lin_Interp(ROUND(K$30*365+$B40*365,0),Zero_swap_CL!$J$2:$J$18,Zero_swap_CL!$K$2:$K$18),K$30*365,K$30*365+$B40*365)</f>
        <v>4.5936998285653452</v>
      </c>
      <c r="L40" s="326">
        <f ca="1">forwardZeroRate(365,Lin_Interp(ROUND(L$30*365,0),Zero_swap_CL!$J$2:$J$18,Zero_swap_CL!$K$2:$K$18),Lin_Interp(ROUND(L$30*365+$B40*365,0),Zero_swap_CL!$J$2:$J$18,Zero_swap_CL!$K$2:$K$18),L$30*365,L$30*365+$B40*365)</f>
        <v>4.6509350877060873</v>
      </c>
      <c r="M40" s="343"/>
      <c r="N40" s="329">
        <v>6</v>
      </c>
      <c r="O40" s="326">
        <f t="shared" ca="1" si="2"/>
        <v>-0.2625472077893316</v>
      </c>
      <c r="P40" s="326">
        <f t="shared" ca="1" si="3"/>
        <v>-0.25851018054701136</v>
      </c>
      <c r="Q40" s="326">
        <f t="shared" ca="1" si="4"/>
        <v>-0.24622995918617274</v>
      </c>
      <c r="R40" s="326">
        <f t="shared" ca="1" si="5"/>
        <v>-0.21944747616078342</v>
      </c>
      <c r="S40" s="326">
        <f t="shared" ca="1" si="6"/>
        <v>-0.19536975317866467</v>
      </c>
      <c r="T40" s="326">
        <f t="shared" ca="1" si="7"/>
        <v>-0.16558244039577286</v>
      </c>
      <c r="U40" s="326">
        <f t="shared" ca="1" si="8"/>
        <v>-9.8808661458171798E-3</v>
      </c>
      <c r="V40" s="326">
        <f t="shared" ca="1" si="9"/>
        <v>0.16381964722143039</v>
      </c>
      <c r="W40" s="326">
        <f t="shared" ca="1" si="10"/>
        <v>0.33054802248568826</v>
      </c>
      <c r="X40" s="326">
        <f t="shared" ca="1" si="11"/>
        <v>0.38146280165396451</v>
      </c>
      <c r="AB40" s="347">
        <v>210</v>
      </c>
      <c r="AC40" s="346">
        <f ca="1">VLOOKUP(AB40,HPR!$AH$30:$AL$5430,5,0)</f>
        <v>3.5556402420976463</v>
      </c>
      <c r="AD40" s="346">
        <f ca="1">VLOOKUP(AB40,HPR!$AH$30:$AN$5430,7,0)</f>
        <v>0.28082434360292563</v>
      </c>
      <c r="AE40" s="346">
        <f t="shared" ca="1" si="0"/>
        <v>3.5060888549697244</v>
      </c>
      <c r="AF40" s="346">
        <f t="shared" ca="1" si="1"/>
        <v>0.27697211229995577</v>
      </c>
    </row>
    <row r="41" spans="2:32">
      <c r="B41" s="329">
        <v>7</v>
      </c>
      <c r="C41" s="326">
        <f ca="1">Lin_Interp(ROUND($B41*365,0),Zero_swap_CL!$J$2:$J$18,Zero_swap_CL!$K$2:$K$18)</f>
        <v>3.8600824748217901</v>
      </c>
      <c r="D41" s="326">
        <f ca="1">forwardZeroRate(365,Lin_Interp(ROUND(D$30*365,0),Zero_swap_CL!$J$2:$J$18,Zero_swap_CL!$K$2:$K$18),Lin_Interp(ROUND(D$30*365+$B41*365,0),Zero_swap_CL!$J$2:$J$18,Zero_swap_CL!$K$2:$K$18),D$30*365,D$30*365+$B41*365)</f>
        <v>3.8738269874116327</v>
      </c>
      <c r="E41" s="326">
        <f ca="1">forwardZeroRate(365,Lin_Interp(ROUND(E$30*365,0),Zero_swap_CL!$J$2:$J$18,Zero_swap_CL!$K$2:$K$18),Lin_Interp(ROUND(E$30*365+$B41*365,0),Zero_swap_CL!$J$2:$J$18,Zero_swap_CL!$K$2:$K$18),E$30*365,E$30*365+$B41*365)</f>
        <v>3.9016550069070455</v>
      </c>
      <c r="F41" s="326">
        <f ca="1">forwardZeroRate(365,Lin_Interp(ROUND(F$30*365,0),Zero_swap_CL!$J$2:$J$18,Zero_swap_CL!$K$2:$K$18),Lin_Interp(ROUND(F$30*365+$B41*365,0),Zero_swap_CL!$J$2:$J$18,Zero_swap_CL!$K$2:$K$18),F$30*365,F$30*365+$B41*365)</f>
        <v>3.9531160306672586</v>
      </c>
      <c r="G41" s="326">
        <f ca="1">forwardZeroRate(365,Lin_Interp(ROUND(G$30*365,0),Zero_swap_CL!$J$2:$J$18,Zero_swap_CL!$K$2:$K$18),Lin_Interp(ROUND(G$30*365+$B41*365,0),Zero_swap_CL!$J$2:$J$18,Zero_swap_CL!$K$2:$K$18),G$30*365,G$30*365+$B41*365)</f>
        <v>4.0073668012829522</v>
      </c>
      <c r="H41" s="326">
        <f ca="1">forwardZeroRate(365,Lin_Interp(ROUND(H$30*365,0),Zero_swap_CL!$J$2:$J$18,Zero_swap_CL!$K$2:$K$18),Lin_Interp(ROUND(H$30*365+$B41*365,0),Zero_swap_CL!$J$2:$J$18,Zero_swap_CL!$K$2:$K$18),H$30*365,H$30*365+$B41*365)</f>
        <v>4.0665353451849962</v>
      </c>
      <c r="I41" s="326">
        <f ca="1">forwardZeroRate(365,Lin_Interp(ROUND(I$30*365,0),Zero_swap_CL!$J$2:$J$18,Zero_swap_CL!$K$2:$K$18),Lin_Interp(ROUND(I$30*365+$B41*365,0),Zero_swap_CL!$J$2:$J$18,Zero_swap_CL!$K$2:$K$18),I$30*365,I$30*365+$B41*365)</f>
        <v>4.2974495309157978</v>
      </c>
      <c r="J41" s="326">
        <f ca="1">forwardZeroRate(365,Lin_Interp(ROUND(J$30*365,0),Zero_swap_CL!$J$2:$J$18,Zero_swap_CL!$K$2:$K$18),Lin_Interp(ROUND(J$30*365+$B41*365,0),Zero_swap_CL!$J$2:$J$18,Zero_swap_CL!$K$2:$K$18),J$30*365,J$30*365+$B41*365)</f>
        <v>4.4898429607218349</v>
      </c>
      <c r="K41" s="326">
        <f ca="1">forwardZeroRate(365,Lin_Interp(ROUND(K$30*365,0),Zero_swap_CL!$J$2:$J$18,Zero_swap_CL!$K$2:$K$18),Lin_Interp(ROUND(K$30*365+$B41*365,0),Zero_swap_CL!$J$2:$J$18,Zero_swap_CL!$K$2:$K$18),K$30*365,K$30*365+$B41*365)</f>
        <v>4.5852138125034525</v>
      </c>
      <c r="L41" s="326">
        <f ca="1">forwardZeroRate(365,Lin_Interp(ROUND(L$30*365,0),Zero_swap_CL!$J$2:$J$18,Zero_swap_CL!$K$2:$K$18),Lin_Interp(ROUND(L$30*365+$B41*365,0),Zero_swap_CL!$J$2:$J$18,Zero_swap_CL!$K$2:$K$18),L$30*365,L$30*365+$B41*365)</f>
        <v>4.6424724759591918</v>
      </c>
      <c r="M41" s="343"/>
      <c r="N41" s="329">
        <v>7</v>
      </c>
      <c r="O41" s="326">
        <f t="shared" ca="1" si="2"/>
        <v>-0.15783111112745907</v>
      </c>
      <c r="P41" s="326">
        <f t="shared" ca="1" si="3"/>
        <v>-0.15218100540512758</v>
      </c>
      <c r="Q41" s="326">
        <f t="shared" ca="1" si="4"/>
        <v>-0.14058652886359546</v>
      </c>
      <c r="R41" s="326">
        <f t="shared" ca="1" si="5"/>
        <v>-0.11636937699721628</v>
      </c>
      <c r="S41" s="326">
        <f t="shared" ca="1" si="6"/>
        <v>-9.4852906593234643E-2</v>
      </c>
      <c r="T41" s="326">
        <f t="shared" ca="1" si="7"/>
        <v>-6.8845321981059193E-2</v>
      </c>
      <c r="U41" s="326">
        <f t="shared" ca="1" si="8"/>
        <v>6.9555684494093661E-2</v>
      </c>
      <c r="V41" s="326">
        <f t="shared" ca="1" si="9"/>
        <v>0.22996233319148018</v>
      </c>
      <c r="W41" s="326">
        <f t="shared" ca="1" si="10"/>
        <v>0.31667094519149952</v>
      </c>
      <c r="X41" s="326">
        <f t="shared" ca="1" si="11"/>
        <v>0.36307331568612433</v>
      </c>
      <c r="AB41" s="347">
        <v>220</v>
      </c>
      <c r="AC41" s="346">
        <f ca="1">VLOOKUP(AB41,HPR!$AH$30:$AL$5430,5,0)</f>
        <v>3.5486642667142965</v>
      </c>
      <c r="AD41" s="346">
        <f ca="1">VLOOKUP(AB41,HPR!$AH$30:$AN$5430,7,0)</f>
        <v>0.29223799282336316</v>
      </c>
      <c r="AE41" s="346">
        <f t="shared" ca="1" si="0"/>
        <v>3.4992117299988301</v>
      </c>
      <c r="AF41" s="346">
        <f t="shared" ca="1" si="1"/>
        <v>0.28822896894331596</v>
      </c>
    </row>
    <row r="42" spans="2:32">
      <c r="B42" s="329">
        <v>8</v>
      </c>
      <c r="C42" s="326">
        <f ca="1">Lin_Interp(ROUND($B42*365,0),Zero_swap_CL!$J$2:$J$18,Zero_swap_CL!$K$2:$K$18)</f>
        <v>3.9743348359620723</v>
      </c>
      <c r="D42" s="326">
        <f ca="1">forwardZeroRate(365,Lin_Interp(ROUND(D$30*365,0),Zero_swap_CL!$J$2:$J$18,Zero_swap_CL!$K$2:$K$18),Lin_Interp(ROUND(D$30*365+$B42*365,0),Zero_swap_CL!$J$2:$J$18,Zero_swap_CL!$K$2:$K$18),D$30*365,D$30*365+$B42*365)</f>
        <v>3.9868540636797789</v>
      </c>
      <c r="E42" s="326">
        <f ca="1">forwardZeroRate(365,Lin_Interp(ROUND(E$30*365,0),Zero_swap_CL!$J$2:$J$18,Zero_swap_CL!$K$2:$K$18),Lin_Interp(ROUND(E$30*365+$B42*365,0),Zero_swap_CL!$J$2:$J$18,Zero_swap_CL!$K$2:$K$18),E$30*365,E$30*365+$B42*365)</f>
        <v>4.0122250357545575</v>
      </c>
      <c r="F42" s="326">
        <f ca="1">forwardZeroRate(365,Lin_Interp(ROUND(F$30*365,0),Zero_swap_CL!$J$2:$J$18,Zero_swap_CL!$K$2:$K$18),Lin_Interp(ROUND(F$30*365+$B42*365,0),Zero_swap_CL!$J$2:$J$18,Zero_swap_CL!$K$2:$K$18),F$30*365,F$30*365+$B42*365)</f>
        <v>4.0585010934849342</v>
      </c>
      <c r="G42" s="326">
        <f ca="1">forwardZeroRate(365,Lin_Interp(ROUND(G$30*365,0),Zero_swap_CL!$J$2:$J$18,Zero_swap_CL!$K$2:$K$18),Lin_Interp(ROUND(G$30*365+$B42*365,0),Zero_swap_CL!$J$2:$J$18,Zero_swap_CL!$K$2:$K$18),G$30*365,G$30*365+$B42*365)</f>
        <v>4.1069060305883642</v>
      </c>
      <c r="H42" s="326">
        <f ca="1">forwardZeroRate(365,Lin_Interp(ROUND(H$30*365,0),Zero_swap_CL!$J$2:$J$18,Zero_swap_CL!$K$2:$K$18),Lin_Interp(ROUND(H$30*365+$B42*365,0),Zero_swap_CL!$J$2:$J$18,Zero_swap_CL!$K$2:$K$18),H$30*365,H$30*365+$B42*365)</f>
        <v>4.1592808292239214</v>
      </c>
      <c r="I42" s="326">
        <f ca="1">forwardZeroRate(365,Lin_Interp(ROUND(I$30*365,0),Zero_swap_CL!$J$2:$J$18,Zero_swap_CL!$K$2:$K$18),Lin_Interp(ROUND(I$30*365+$B42*365,0),Zero_swap_CL!$J$2:$J$18,Zero_swap_CL!$K$2:$K$18),I$30*365,I$30*365+$B42*365)</f>
        <v>4.3714442028355727</v>
      </c>
      <c r="J42" s="326">
        <f ca="1">forwardZeroRate(365,Lin_Interp(ROUND(J$30*365,0),Zero_swap_CL!$J$2:$J$18,Zero_swap_CL!$K$2:$K$18),Lin_Interp(ROUND(J$30*365+$B42*365,0),Zero_swap_CL!$J$2:$J$18,Zero_swap_CL!$K$2:$K$18),J$30*365,J$30*365+$B42*365)</f>
        <v>4.4954005775019512</v>
      </c>
      <c r="K42" s="326">
        <f ca="1">forwardZeroRate(365,Lin_Interp(ROUND(K$30*365,0),Zero_swap_CL!$J$2:$J$18,Zero_swap_CL!$K$2:$K$18),Lin_Interp(ROUND(K$30*365+$B42*365,0),Zero_swap_CL!$J$2:$J$18,Zero_swap_CL!$K$2:$K$18),K$30*365,K$30*365+$B42*365)</f>
        <v>4.5860259606762988</v>
      </c>
      <c r="L42" s="326">
        <f ca="1">forwardZeroRate(365,Lin_Interp(ROUND(L$30*365,0),Zero_swap_CL!$J$2:$J$18,Zero_swap_CL!$K$2:$K$18),Lin_Interp(ROUND(L$30*365+$B42*365,0),Zero_swap_CL!$J$2:$J$18,Zero_swap_CL!$K$2:$K$18),L$30*365,L$30*365+$B42*365)</f>
        <v>4.6446222259595826</v>
      </c>
      <c r="M42" s="343"/>
      <c r="N42" s="329">
        <v>8</v>
      </c>
      <c r="O42" s="326">
        <f t="shared" ca="1" si="2"/>
        <v>-7.4223189508867637E-2</v>
      </c>
      <c r="P42" s="326">
        <f t="shared" ca="1" si="3"/>
        <v>-6.8816716515085474E-2</v>
      </c>
      <c r="Q42" s="326">
        <f t="shared" ca="1" si="4"/>
        <v>-5.7750691308156021E-2</v>
      </c>
      <c r="R42" s="326">
        <f t="shared" ca="1" si="5"/>
        <v>-3.537110220457329E-2</v>
      </c>
      <c r="S42" s="326">
        <f t="shared" ca="1" si="6"/>
        <v>-1.5570223865268851E-2</v>
      </c>
      <c r="T42" s="326">
        <f t="shared" ca="1" si="7"/>
        <v>7.9337034615933888E-3</v>
      </c>
      <c r="U42" s="326">
        <f t="shared" ca="1" si="8"/>
        <v>0.13914210027645701</v>
      </c>
      <c r="V42" s="326">
        <f t="shared" ca="1" si="9"/>
        <v>0.23039402442937007</v>
      </c>
      <c r="W42" s="326">
        <f t="shared" ca="1" si="10"/>
        <v>0.30868102095920058</v>
      </c>
      <c r="X42" s="326">
        <f t="shared" ca="1" si="11"/>
        <v>0.35301934927667311</v>
      </c>
      <c r="AB42" s="347">
        <v>230</v>
      </c>
      <c r="AC42" s="346">
        <f ca="1">VLOOKUP(AB42,HPR!$AH$30:$AL$5430,5,0)</f>
        <v>3.5422953083011466</v>
      </c>
      <c r="AD42" s="346">
        <f ca="1">VLOOKUP(AB42,HPR!$AH$30:$AN$5430,7,0)</f>
        <v>0.30267339342699984</v>
      </c>
      <c r="AE42" s="346">
        <f t="shared" ca="1" si="0"/>
        <v>3.4929330149521709</v>
      </c>
      <c r="AF42" s="346">
        <f t="shared" ca="1" si="1"/>
        <v>0.29852100009473137</v>
      </c>
    </row>
    <row r="43" spans="2:32">
      <c r="B43" s="329">
        <v>9</v>
      </c>
      <c r="C43" s="326">
        <f ca="1">Lin_Interp(ROUND($B43*365,0),Zero_swap_CL!$J$2:$J$18,Zero_swap_CL!$K$2:$K$18)</f>
        <v>4.0669467268546367</v>
      </c>
      <c r="D43" s="326">
        <f ca="1">forwardZeroRate(365,Lin_Interp(ROUND(D$30*365,0),Zero_swap_CL!$J$2:$J$18,Zero_swap_CL!$K$2:$K$18),Lin_Interp(ROUND(D$30*365+$B43*365,0),Zero_swap_CL!$J$2:$J$18,Zero_swap_CL!$K$2:$K$18),D$30*365,D$30*365+$B43*365)</f>
        <v>4.0787305784586003</v>
      </c>
      <c r="E43" s="326">
        <f ca="1">forwardZeroRate(365,Lin_Interp(ROUND(E$30*365,0),Zero_swap_CL!$J$2:$J$18,Zero_swap_CL!$K$2:$K$18),Lin_Interp(ROUND(E$30*365+$B43*365,0),Zero_swap_CL!$J$2:$J$18,Zero_swap_CL!$K$2:$K$18),E$30*365,E$30*365+$B43*365)</f>
        <v>4.1029337363709617</v>
      </c>
      <c r="F43" s="326">
        <f ca="1">forwardZeroRate(365,Lin_Interp(ROUND(F$30*365,0),Zero_swap_CL!$J$2:$J$18,Zero_swap_CL!$K$2:$K$18),Lin_Interp(ROUND(F$30*365+$B43*365,0),Zero_swap_CL!$J$2:$J$18,Zero_swap_CL!$K$2:$K$18),F$30*365,F$30*365+$B43*365)</f>
        <v>4.1464306469983336</v>
      </c>
      <c r="G43" s="326">
        <f ca="1">forwardZeroRate(365,Lin_Interp(ROUND(G$30*365,0),Zero_swap_CL!$J$2:$J$18,Zero_swap_CL!$K$2:$K$18),Lin_Interp(ROUND(G$30*365+$B43*365,0),Zero_swap_CL!$J$2:$J$18,Zero_swap_CL!$K$2:$K$18),G$30*365,G$30*365+$B43*365)</f>
        <v>4.191679562028483</v>
      </c>
      <c r="H43" s="326">
        <f ca="1">forwardZeroRate(365,Lin_Interp(ROUND(H$30*365,0),Zero_swap_CL!$J$2:$J$18,Zero_swap_CL!$K$2:$K$18),Lin_Interp(ROUND(H$30*365+$B43*365,0),Zero_swap_CL!$J$2:$J$18,Zero_swap_CL!$K$2:$K$18),H$30*365,H$30*365+$B43*365)</f>
        <v>4.2403168593037721</v>
      </c>
      <c r="I43" s="326">
        <f ca="1">forwardZeroRate(365,Lin_Interp(ROUND(I$30*365,0),Zero_swap_CL!$J$2:$J$18,Zero_swap_CL!$K$2:$K$18),Lin_Interp(ROUND(I$30*365+$B43*365,0),Zero_swap_CL!$J$2:$J$18,Zero_swap_CL!$K$2:$K$18),I$30*365,I$30*365+$B43*365)</f>
        <v>4.3895281056352875</v>
      </c>
      <c r="J43" s="326">
        <f ca="1">forwardZeroRate(365,Lin_Interp(ROUND(J$30*365,0),Zero_swap_CL!$J$2:$J$18,Zero_swap_CL!$K$2:$K$18),Lin_Interp(ROUND(J$30*365+$B43*365,0),Zero_swap_CL!$J$2:$J$18,Zero_swap_CL!$K$2:$K$18),J$30*365,J$30*365+$B43*365)</f>
        <v>4.5060973739357912</v>
      </c>
      <c r="K43" s="326">
        <f ca="1">forwardZeroRate(365,Lin_Interp(ROUND(K$30*365,0),Zero_swap_CL!$J$2:$J$18,Zero_swap_CL!$K$2:$K$18),Lin_Interp(ROUND(K$30*365+$B43*365,0),Zero_swap_CL!$J$2:$J$18,Zero_swap_CL!$K$2:$K$18),K$30*365,K$30*365+$B43*365)</f>
        <v>4.594206262212297</v>
      </c>
      <c r="L43" s="326">
        <f ca="1">forwardZeroRate(365,Lin_Interp(ROUND(L$30*365,0),Zero_swap_CL!$J$2:$J$18,Zero_swap_CL!$K$2:$K$18),Lin_Interp(ROUND(L$30*365+$B43*365,0),Zero_swap_CL!$J$2:$J$18,Zero_swap_CL!$K$2:$K$18),L$30*365,L$30*365+$B43*365)</f>
        <v>4.6538435320843785</v>
      </c>
      <c r="M43" s="343"/>
      <c r="N43" s="329">
        <v>9</v>
      </c>
      <c r="O43" s="326">
        <f t="shared" ca="1" si="2"/>
        <v>-5.4364512115627761E-3</v>
      </c>
      <c r="P43" s="326">
        <f t="shared" ca="1" si="3"/>
        <v>-9.5079216944071732E-6</v>
      </c>
      <c r="Q43" s="326">
        <f t="shared" ca="1" si="4"/>
        <v>1.1416318643764356E-2</v>
      </c>
      <c r="R43" s="326">
        <f t="shared" ca="1" si="5"/>
        <v>3.363746685769442E-2</v>
      </c>
      <c r="S43" s="326">
        <f t="shared" ca="1" si="6"/>
        <v>5.34855849340099E-2</v>
      </c>
      <c r="T43" s="326">
        <f t="shared" ca="1" si="7"/>
        <v>7.6551436698779618E-2</v>
      </c>
      <c r="U43" s="326">
        <f t="shared" ca="1" si="8"/>
        <v>0.14960678832822705</v>
      </c>
      <c r="V43" s="326">
        <f t="shared" ca="1" si="9"/>
        <v>0.23287411118599888</v>
      </c>
      <c r="W43" s="326">
        <f t="shared" ca="1" si="10"/>
        <v>0.30578559031742003</v>
      </c>
      <c r="X43" s="326">
        <f t="shared" ca="1" si="11"/>
        <v>0.34851919934912878</v>
      </c>
      <c r="AB43" s="347">
        <v>240</v>
      </c>
      <c r="AC43" s="346">
        <f ca="1">VLOOKUP(AB43,HPR!$AH$30:$AL$5430,5,0)</f>
        <v>3.5364574405512439</v>
      </c>
      <c r="AD43" s="346">
        <f ca="1">VLOOKUP(AB43,HPR!$AH$30:$AN$5430,7,0)</f>
        <v>0.31225269427719304</v>
      </c>
      <c r="AE43" s="346">
        <f t="shared" ca="1" si="0"/>
        <v>3.4871778607650228</v>
      </c>
      <c r="AF43" s="346">
        <f t="shared" ca="1" si="1"/>
        <v>0.3079686803282522</v>
      </c>
    </row>
    <row r="44" spans="2:32">
      <c r="B44" s="329">
        <v>10</v>
      </c>
      <c r="C44" s="326">
        <f ca="1">Lin_Interp(ROUND($B44*365,0),Zero_swap_CL!$J$2:$J$18,Zero_swap_CL!$K$2:$K$18)</f>
        <v>4.1490478558846018</v>
      </c>
      <c r="D44" s="326">
        <f ca="1">forwardZeroRate(365,Lin_Interp(ROUND(D$30*365,0),Zero_swap_CL!$J$2:$J$18,Zero_swap_CL!$K$2:$K$18),Lin_Interp(ROUND(D$30*365+$B44*365,0),Zero_swap_CL!$J$2:$J$18,Zero_swap_CL!$K$2:$K$18),D$30*365,D$30*365+$B44*365)</f>
        <v>4.1578947019464962</v>
      </c>
      <c r="E44" s="326">
        <f ca="1">forwardZeroRate(365,Lin_Interp(ROUND(E$30*365,0),Zero_swap_CL!$J$2:$J$18,Zero_swap_CL!$K$2:$K$18),Lin_Interp(ROUND(E$30*365+$B44*365,0),Zero_swap_CL!$J$2:$J$18,Zero_swap_CL!$K$2:$K$18),E$30*365,E$30*365+$B44*365)</f>
        <v>4.1741529391320142</v>
      </c>
      <c r="F44" s="326">
        <f ca="1">forwardZeroRate(365,Lin_Interp(ROUND(F$30*365,0),Zero_swap_CL!$J$2:$J$18,Zero_swap_CL!$K$2:$K$18),Lin_Interp(ROUND(F$30*365+$B44*365,0),Zero_swap_CL!$J$2:$J$18,Zero_swap_CL!$K$2:$K$18),F$30*365,F$30*365+$B44*365)</f>
        <v>4.2044550917873513</v>
      </c>
      <c r="G44" s="326">
        <f ca="1">forwardZeroRate(365,Lin_Interp(ROUND(G$30*365,0),Zero_swap_CL!$J$2:$J$18,Zero_swap_CL!$K$2:$K$18),Lin_Interp(ROUND(G$30*365+$B44*365,0),Zero_swap_CL!$J$2:$J$18,Zero_swap_CL!$K$2:$K$18),G$30*365,G$30*365+$B44*365)</f>
        <v>4.2358438858551395</v>
      </c>
      <c r="H44" s="326">
        <f ca="1">forwardZeroRate(365,Lin_Interp(ROUND(H$30*365,0),Zero_swap_CL!$J$2:$J$18,Zero_swap_CL!$K$2:$K$18),Lin_Interp(ROUND(H$30*365+$B44*365,0),Zero_swap_CL!$J$2:$J$18,Zero_swap_CL!$K$2:$K$18),H$30*365,H$30*365+$B44*365)</f>
        <v>4.2696791443685544</v>
      </c>
      <c r="I44" s="326">
        <f ca="1">forwardZeroRate(365,Lin_Interp(ROUND(I$30*365,0),Zero_swap_CL!$J$2:$J$18,Zero_swap_CL!$K$2:$K$18),Lin_Interp(ROUND(I$30*365+$B44*365,0),Zero_swap_CL!$J$2:$J$18,Zero_swap_CL!$K$2:$K$18),I$30*365,I$30*365+$B44*365)</f>
        <v>4.4097288125122702</v>
      </c>
      <c r="J44" s="326">
        <f ca="1">forwardZeroRate(365,Lin_Interp(ROUND(J$30*365,0),Zero_swap_CL!$J$2:$J$18,Zero_swap_CL!$K$2:$K$18),Lin_Interp(ROUND(J$30*365+$B44*365,0),Zero_swap_CL!$J$2:$J$18,Zero_swap_CL!$K$2:$K$18),J$30*365,J$30*365+$B44*365)</f>
        <v>4.5214446615834847</v>
      </c>
      <c r="K44" s="326">
        <f ca="1">forwardZeroRate(365,Lin_Interp(ROUND(K$30*365,0),Zero_swap_CL!$J$2:$J$18,Zero_swap_CL!$K$2:$K$18),Lin_Interp(ROUND(K$30*365+$B44*365,0),Zero_swap_CL!$J$2:$J$18,Zero_swap_CL!$K$2:$K$18),K$30*365,K$30*365+$B44*365)</f>
        <v>4.6075423056821885</v>
      </c>
      <c r="L44" s="326">
        <f ca="1">forwardZeroRate(365,Lin_Interp(ROUND(L$30*365,0),Zero_swap_CL!$J$2:$J$18,Zero_swap_CL!$K$2:$K$18),Lin_Interp(ROUND(L$30*365+$B44*365,0),Zero_swap_CL!$J$2:$J$18,Zero_swap_CL!$K$2:$K$18),L$30*365,L$30*365+$B44*365)</f>
        <v>4.6680131175426132</v>
      </c>
      <c r="M44" s="343"/>
      <c r="N44" s="329">
        <v>10</v>
      </c>
      <c r="O44" s="326">
        <f t="shared" ca="1" si="2"/>
        <v>5.7602203808309937E-2</v>
      </c>
      <c r="P44" s="326">
        <f t="shared" ca="1" si="3"/>
        <v>6.0447260904106237E-2</v>
      </c>
      <c r="Q44" s="326">
        <f t="shared" ca="1" si="4"/>
        <v>6.456933367808837E-2</v>
      </c>
      <c r="R44" s="326">
        <f t="shared" ca="1" si="5"/>
        <v>7.4765587734249017E-2</v>
      </c>
      <c r="S44" s="326">
        <f t="shared" ca="1" si="6"/>
        <v>8.2340701149608009E-2</v>
      </c>
      <c r="T44" s="326">
        <f t="shared" ca="1" si="7"/>
        <v>9.2208872147203635E-2</v>
      </c>
      <c r="U44" s="326">
        <f t="shared" ca="1" si="8"/>
        <v>0.15990583494440713</v>
      </c>
      <c r="V44" s="326">
        <f t="shared" ca="1" si="9"/>
        <v>0.23784148704515395</v>
      </c>
      <c r="W44" s="326">
        <f t="shared" ca="1" si="10"/>
        <v>0.30645452759228142</v>
      </c>
      <c r="X44" s="326">
        <f t="shared" ca="1" si="11"/>
        <v>0.34790499490637838</v>
      </c>
      <c r="AB44" s="347">
        <v>250</v>
      </c>
      <c r="AC44" s="346">
        <f ca="1">VLOOKUP(AB44,HPR!$AH$30:$AL$5430,5,0)</f>
        <v>3.5310868929249395</v>
      </c>
      <c r="AD44" s="346">
        <f ca="1">VLOOKUP(AB44,HPR!$AH$30:$AN$5430,7,0)</f>
        <v>0.32106645906253561</v>
      </c>
      <c r="AE44" s="346">
        <f t="shared" ca="1" si="0"/>
        <v>3.4818834015718947</v>
      </c>
      <c r="AF44" s="346">
        <f t="shared" ca="1" si="1"/>
        <v>0.31666133212726599</v>
      </c>
    </row>
    <row r="45" spans="2:32">
      <c r="C45" s="326"/>
      <c r="D45" s="326"/>
      <c r="E45" s="326"/>
      <c r="F45" s="326"/>
      <c r="G45" s="326"/>
      <c r="H45" s="326"/>
      <c r="I45" s="326"/>
      <c r="J45" s="326"/>
      <c r="M45" s="343"/>
      <c r="AB45" s="347">
        <v>260</v>
      </c>
      <c r="AC45" s="346">
        <f ca="1">VLOOKUP(AB45,HPR!$AH$30:$AL$5430,5,0)</f>
        <v>3.5261297116039758</v>
      </c>
      <c r="AD45" s="346">
        <f ca="1">VLOOKUP(AB45,HPR!$AH$30:$AN$5430,7,0)</f>
        <v>0.32696005515999715</v>
      </c>
      <c r="AE45" s="346">
        <f t="shared" ca="1" si="0"/>
        <v>3.4769964488856386</v>
      </c>
      <c r="AF45" s="346">
        <f t="shared" ca="1" si="1"/>
        <v>0.32247393644835309</v>
      </c>
    </row>
    <row r="46" spans="2:32" ht="13.5" thickBot="1">
      <c r="B46" s="570" t="s">
        <v>340</v>
      </c>
      <c r="C46" s="585"/>
      <c r="D46" s="585"/>
      <c r="E46" s="585"/>
      <c r="F46" s="585"/>
      <c r="G46" s="585"/>
      <c r="H46" s="585"/>
      <c r="I46" s="585"/>
      <c r="J46" s="585"/>
      <c r="K46" s="585"/>
      <c r="L46" s="585"/>
      <c r="N46" s="570" t="s">
        <v>350</v>
      </c>
      <c r="O46" s="585"/>
      <c r="P46" s="585"/>
      <c r="Q46" s="585"/>
      <c r="R46" s="585"/>
      <c r="S46" s="585"/>
      <c r="T46" s="585"/>
      <c r="U46" s="585"/>
      <c r="V46" s="585"/>
      <c r="W46" s="585"/>
      <c r="X46" s="585"/>
      <c r="AB46" s="347">
        <v>270</v>
      </c>
      <c r="AC46" s="346">
        <f ca="1">VLOOKUP(AB46,HPR!$AH$30:$AL$5430,5,0)</f>
        <v>3.5215399405332803</v>
      </c>
      <c r="AD46" s="346">
        <f ca="1">VLOOKUP(AB46,HPR!$AH$30:$AN$5430,7,0)</f>
        <v>0.33025752249233875</v>
      </c>
      <c r="AE46" s="346">
        <f t="shared" ca="1" si="0"/>
        <v>3.4724716984723791</v>
      </c>
      <c r="AF46" s="346">
        <f t="shared" ca="1" si="1"/>
        <v>0.32572608683680837</v>
      </c>
    </row>
    <row r="47" spans="2:32" ht="13.5" thickBot="1">
      <c r="B47" s="220" t="s">
        <v>309</v>
      </c>
      <c r="C47" s="337" t="s">
        <v>311</v>
      </c>
      <c r="D47" s="353">
        <f>1/12</f>
        <v>8.3333333333333329E-2</v>
      </c>
      <c r="E47" s="353">
        <v>0.25</v>
      </c>
      <c r="F47" s="353">
        <v>0.5</v>
      </c>
      <c r="G47" s="353">
        <f>9/12</f>
        <v>0.75</v>
      </c>
      <c r="H47" s="339">
        <v>1</v>
      </c>
      <c r="I47" s="339">
        <v>2</v>
      </c>
      <c r="J47" s="339">
        <v>3</v>
      </c>
      <c r="K47" s="339">
        <v>4</v>
      </c>
      <c r="L47" s="339">
        <v>5</v>
      </c>
      <c r="N47" s="220" t="s">
        <v>309</v>
      </c>
      <c r="O47" s="337" t="s">
        <v>311</v>
      </c>
      <c r="P47" s="353">
        <f>1/12</f>
        <v>8.3333333333333329E-2</v>
      </c>
      <c r="Q47" s="353">
        <v>0.25</v>
      </c>
      <c r="R47" s="353">
        <v>0.5</v>
      </c>
      <c r="S47" s="353">
        <f>9/12</f>
        <v>0.75</v>
      </c>
      <c r="T47" s="339">
        <v>1</v>
      </c>
      <c r="U47" s="339">
        <v>2</v>
      </c>
      <c r="V47" s="339">
        <v>3</v>
      </c>
      <c r="W47" s="339">
        <v>4</v>
      </c>
      <c r="X47" s="339">
        <v>5</v>
      </c>
      <c r="AB47" s="347">
        <v>280</v>
      </c>
      <c r="AC47" s="346">
        <f ca="1">VLOOKUP(AB47,HPR!$AH$30:$AL$5430,5,0)</f>
        <v>3.5172781924555307</v>
      </c>
      <c r="AD47" s="346">
        <f ca="1">VLOOKUP(AB47,HPR!$AH$30:$AN$5430,7,0)</f>
        <v>0.33331955348676612</v>
      </c>
      <c r="AE47" s="346">
        <f t="shared" ca="1" si="0"/>
        <v>3.4682703216777133</v>
      </c>
      <c r="AF47" s="346">
        <f t="shared" ca="1" si="1"/>
        <v>0.32874603516714895</v>
      </c>
    </row>
    <row r="48" spans="2:32">
      <c r="B48" s="328">
        <f>1/12</f>
        <v>8.3333333333333329E-2</v>
      </c>
      <c r="C48" s="326">
        <f ca="1">Lin_Interp(ROUND($B48*365,0),Zero_swap_CL!$O$23:$O$94,Zero_swap_CL!$S$23:$S$94)</f>
        <v>0.10335073274325701</v>
      </c>
      <c r="D48" s="326">
        <f ca="1">forwardZeroRate(365,Lin_Interp(ROUND(D$47*365,0),Zero_swap_CL!$O$23:$O$94,Zero_swap_CL!$S$23:$S$94),Lin_Interp(ROUND(D$47*365+$B48*365,0),Zero_swap_CL!$O$23:$O$94,Zero_swap_CL!$S$23:$S$94),D$47*365,D$47*365+$B48*365)</f>
        <v>1.4846928499717027</v>
      </c>
      <c r="E48" s="326">
        <f ca="1">forwardZeroRate(365,Lin_Interp(ROUND(E$47*365,0),Zero_swap_CL!$O$23:$O$94,Zero_swap_CL!$S$23:$S$94),Lin_Interp(ROUND(E$47*365+$B48*365,0),Zero_swap_CL!$O$23:$O$94,Zero_swap_CL!$S$23:$S$94),E$47*365,E$47*365+$B48*365)</f>
        <v>2.4078188320167282</v>
      </c>
      <c r="F48" s="326">
        <f ca="1">forwardZeroRate(365,Lin_Interp(ROUND(F$47*365,0),Zero_swap_CL!$O$23:$O$94,Zero_swap_CL!$S$23:$S$94),Lin_Interp(ROUND(F$47*365+$B48*365,0),Zero_swap_CL!$O$23:$O$94,Zero_swap_CL!$S$23:$S$94),F$47*365,F$47*365+$B48*365)</f>
        <v>-0.52577558340798358</v>
      </c>
      <c r="G48" s="326">
        <f ca="1">forwardZeroRate(365,Lin_Interp(ROUND(G$47*365,0),Zero_swap_CL!$O$23:$O$94,Zero_swap_CL!$S$23:$S$94),Lin_Interp(ROUND(G$47*365+$B48*365,0),Zero_swap_CL!$O$23:$O$94,Zero_swap_CL!$S$23:$S$94),G$47*365,G$47*365+$B48*365)</f>
        <v>0.35016583078990582</v>
      </c>
      <c r="H48" s="326">
        <f ca="1">forwardZeroRate(365,Lin_Interp(ROUND(H$47*365,0),Zero_swap_CL!$O$23:$O$94,Zero_swap_CL!$S$23:$S$94),Lin_Interp(ROUND(H$47*365+$B48*365,0),Zero_swap_CL!$O$23:$O$94,Zero_swap_CL!$S$23:$S$94),H$47*365,H$47*365+$B48*365)</f>
        <v>-0.90633957008496857</v>
      </c>
      <c r="I48" s="326">
        <f ca="1">forwardZeroRate(365,Lin_Interp(ROUND(I$47*365,0),Zero_swap_CL!$O$23:$O$94,Zero_swap_CL!$S$23:$S$94),Lin_Interp(ROUND(I$47*365+$B48*365,0),Zero_swap_CL!$O$23:$O$94,Zero_swap_CL!$S$23:$S$94),I$47*365,I$47*365+$B48*365)</f>
        <v>0.34641154999863755</v>
      </c>
      <c r="J48" s="326">
        <f ca="1">forwardZeroRate(365,Lin_Interp(ROUND(J$47*365,0),Zero_swap_CL!$O$23:$O$94,Zero_swap_CL!$S$23:$S$94),Lin_Interp(ROUND(J$47*365+$B48*365,0),Zero_swap_CL!$O$23:$O$94,Zero_swap_CL!$S$23:$S$94),J$47*365,J$47*365+$B48*365)</f>
        <v>0.78880848186775321</v>
      </c>
      <c r="K48" s="326">
        <f ca="1">forwardZeroRate(365,Lin_Interp(ROUND(K$47*365,0),Zero_swap_CL!$O$23:$O$94,Zero_swap_CL!$S$23:$S$94),Lin_Interp(ROUND(K$47*365+$B48*365,0),Zero_swap_CL!$O$23:$O$94,Zero_swap_CL!$S$23:$S$94),K$47*365,K$47*365+$B48*365)</f>
        <v>1.1543597113111925</v>
      </c>
      <c r="L48" s="326">
        <f ca="1">forwardZeroRate(365,Lin_Interp(ROUND(L$47*365,0),Zero_swap_CL!$O$23:$O$94,Zero_swap_CL!$S$23:$S$94),Lin_Interp(ROUND(L$47*365+$B48*365,0),Zero_swap_CL!$O$23:$O$94,Zero_swap_CL!$S$23:$S$94),L$47*365,L$47*365+$B48*365)</f>
        <v>1.2424808232717854</v>
      </c>
      <c r="N48" s="328">
        <f>1/12</f>
        <v>8.3333333333333329E-2</v>
      </c>
      <c r="O48" s="326">
        <f ca="1">C48-AC107</f>
        <v>1.0383250229330621</v>
      </c>
      <c r="P48" s="326">
        <f t="shared" ref="P48:P61" ca="1" si="12">D48-AD107</f>
        <v>1.8202557179252787</v>
      </c>
      <c r="Q48" s="326">
        <f t="shared" ref="Q48:Q61" ca="1" si="13">E48-AE107</f>
        <v>0.68440390786876915</v>
      </c>
      <c r="R48" s="326">
        <f t="shared" ref="R48:R61" ca="1" si="14">F48-AF107</f>
        <v>7.0900107265103873E-2</v>
      </c>
      <c r="S48" s="326">
        <f t="shared" ref="S48:S61" ca="1" si="15">G48-AG107</f>
        <v>-8.4311250305835195E-2</v>
      </c>
      <c r="T48" s="326">
        <f t="shared" ref="T48:T61" ca="1" si="16">H48-AH107</f>
        <v>-5.1669937204068539E-2</v>
      </c>
      <c r="U48" s="326">
        <f t="shared" ref="U48:U61" ca="1" si="17">I48-AI107</f>
        <v>-0.53462061766940128</v>
      </c>
      <c r="V48" s="326">
        <f t="shared" ref="V48:V61" ca="1" si="18">J48-AJ107</f>
        <v>-0.327821439218412</v>
      </c>
      <c r="W48" s="326">
        <f t="shared" ref="W48:W61" ca="1" si="19">K48-AK107</f>
        <v>-2.7456276165405136E-2</v>
      </c>
      <c r="X48" s="326">
        <f t="shared" ref="X48:X61" ca="1" si="20">L48-AL107</f>
        <v>3.1948401378745217E-2</v>
      </c>
      <c r="AB48" s="347">
        <v>290</v>
      </c>
      <c r="AC48" s="346">
        <f ca="1">VLOOKUP(AB48,HPR!$AH$30:$AL$5430,5,0)</f>
        <v>3.5133105157526323</v>
      </c>
      <c r="AD48" s="346">
        <f ca="1">VLOOKUP(AB48,HPR!$AH$30:$AN$5430,7,0)</f>
        <v>0.33676788401817426</v>
      </c>
      <c r="AE48" s="346">
        <f t="shared" ca="1" si="0"/>
        <v>3.464358848357163</v>
      </c>
      <c r="AF48" s="346">
        <f t="shared" ca="1" si="1"/>
        <v>0.33214697246057856</v>
      </c>
    </row>
    <row r="49" spans="2:32">
      <c r="B49" s="328">
        <v>0.25</v>
      </c>
      <c r="C49" s="326">
        <f ca="1">Lin_Interp(ROUND($B49*365,0),Zero_swap_CL!$O$23:$O$94,Zero_swap_CL!$S$23:$S$94)</f>
        <v>1.5186203501574536</v>
      </c>
      <c r="D49" s="326">
        <f ca="1">forwardZeroRate(365,Lin_Interp(ROUND(D$47*365,0),Zero_swap_CL!$O$23:$O$94,Zero_swap_CL!$S$23:$S$94),Lin_Interp(ROUND(D$47*365+$B49*365,0),Zero_swap_CL!$O$23:$O$94,Zero_swap_CL!$S$23:$S$94),D$47*365,D$47*365+$B49*365)</f>
        <v>2.2917340551529719</v>
      </c>
      <c r="E49" s="326">
        <f ca="1">forwardZeroRate(365,Lin_Interp(ROUND(E$47*365,0),Zero_swap_CL!$O$23:$O$94,Zero_swap_CL!$S$23:$S$94),Lin_Interp(ROUND(E$47*365+$B49*365,0),Zero_swap_CL!$O$23:$O$94,Zero_swap_CL!$S$23:$S$94),E$47*365,E$47*365+$B49*365)</f>
        <v>0.9693348016947434</v>
      </c>
      <c r="F49" s="326">
        <f ca="1">forwardZeroRate(365,Lin_Interp(ROUND(F$47*365,0),Zero_swap_CL!$O$23:$O$94,Zero_swap_CL!$S$23:$S$94),Lin_Interp(ROUND(F$47*365+$B49*365,0),Zero_swap_CL!$O$23:$O$94,Zero_swap_CL!$S$23:$S$94),F$47*365,F$47*365+$B49*365)</f>
        <v>0.11289796066002999</v>
      </c>
      <c r="G49" s="326">
        <f ca="1">forwardZeroRate(365,Lin_Interp(ROUND(G$47*365,0),Zero_swap_CL!$O$23:$O$94,Zero_swap_CL!$S$23:$S$94),Lin_Interp(ROUND(G$47*365+$B49*365,0),Zero_swap_CL!$O$23:$O$94,Zero_swap_CL!$S$23:$S$94),G$47*365,G$47*365+$B49*365)</f>
        <v>-0.24519861462034553</v>
      </c>
      <c r="H49" s="326">
        <f ca="1">forwardZeroRate(365,Lin_Interp(ROUND(H$47*365,0),Zero_swap_CL!$O$23:$O$94,Zero_swap_CL!$S$23:$S$94),Lin_Interp(ROUND(H$47*365+$B49*365,0),Zero_swap_CL!$O$23:$O$94,Zero_swap_CL!$S$23:$S$94),H$47*365,H$47*365+$B49*365)</f>
        <v>0.81791753108368948</v>
      </c>
      <c r="I49" s="326">
        <f ca="1">forwardZeroRate(365,Lin_Interp(ROUND(I$47*365,0),Zero_swap_CL!$O$23:$O$94,Zero_swap_CL!$S$23:$S$94),Lin_Interp(ROUND(I$47*365+$B49*365,0),Zero_swap_CL!$O$23:$O$94,Zero_swap_CL!$S$23:$S$94),I$47*365,I$47*365+$B49*365)</f>
        <v>0.45089026709532742</v>
      </c>
      <c r="J49" s="326">
        <f ca="1">forwardZeroRate(365,Lin_Interp(ROUND(J$47*365,0),Zero_swap_CL!$O$23:$O$94,Zero_swap_CL!$S$23:$S$94),Lin_Interp(ROUND(J$47*365+$B49*365,0),Zero_swap_CL!$O$23:$O$94,Zero_swap_CL!$S$23:$S$94),J$47*365,J$47*365+$B49*365)</f>
        <v>0.86310316489939254</v>
      </c>
      <c r="K49" s="326">
        <f ca="1">forwardZeroRate(365,Lin_Interp(ROUND(K$47*365,0),Zero_swap_CL!$O$23:$O$94,Zero_swap_CL!$S$23:$S$94),Lin_Interp(ROUND(K$47*365+$B49*365,0),Zero_swap_CL!$O$23:$O$94,Zero_swap_CL!$S$23:$S$94),K$47*365,K$47*365+$B49*365)</f>
        <v>1.1955782735839415</v>
      </c>
      <c r="L49" s="326">
        <f ca="1">forwardZeroRate(365,Lin_Interp(ROUND(L$47*365,0),Zero_swap_CL!$O$23:$O$94,Zero_swap_CL!$S$23:$S$94),Lin_Interp(ROUND(L$47*365+$B49*365,0),Zero_swap_CL!$O$23:$O$94,Zero_swap_CL!$S$23:$S$94),L$47*365,L$47*365+$B49*365)</f>
        <v>1.2217003446393537</v>
      </c>
      <c r="N49" s="328">
        <v>0.25</v>
      </c>
      <c r="O49" s="326">
        <f t="shared" ref="O49:O61" ca="1" si="21">C49-AC108</f>
        <v>1.5471528870480489</v>
      </c>
      <c r="P49" s="326">
        <f t="shared" ca="1" si="12"/>
        <v>1.4339105333590618</v>
      </c>
      <c r="Q49" s="326">
        <f t="shared" ca="1" si="13"/>
        <v>8.4183231448076157E-2</v>
      </c>
      <c r="R49" s="326">
        <f t="shared" ca="1" si="14"/>
        <v>-1.3663997479040901E-2</v>
      </c>
      <c r="S49" s="326">
        <f t="shared" ca="1" si="15"/>
        <v>-0.16269146070418961</v>
      </c>
      <c r="T49" s="326">
        <f t="shared" ca="1" si="16"/>
        <v>-0.16430520549206573</v>
      </c>
      <c r="U49" s="326">
        <f t="shared" ca="1" si="17"/>
        <v>-0.46198607624923227</v>
      </c>
      <c r="V49" s="326">
        <f t="shared" ca="1" si="18"/>
        <v>-0.27825431785686305</v>
      </c>
      <c r="W49" s="326">
        <f t="shared" ca="1" si="19"/>
        <v>6.0618293187264527E-4</v>
      </c>
      <c r="X49" s="326">
        <f t="shared" ca="1" si="20"/>
        <v>4.9181769504524908E-3</v>
      </c>
      <c r="AB49" s="347">
        <v>300</v>
      </c>
      <c r="AC49" s="346">
        <f ca="1">VLOOKUP(AB49,HPR!$AH$30:$AL$5430,5,0)</f>
        <v>3.5096074880360817</v>
      </c>
      <c r="AD49" s="346">
        <f ca="1">VLOOKUP(AB49,HPR!$AH$30:$AN$5430,7,0)</f>
        <v>0.34085268249670619</v>
      </c>
      <c r="AE49" s="346">
        <f t="shared" ca="1" si="0"/>
        <v>3.4607082733343564</v>
      </c>
      <c r="AF49" s="346">
        <f t="shared" ca="1" si="1"/>
        <v>0.33617562812784385</v>
      </c>
    </row>
    <row r="50" spans="2:32">
      <c r="B50" s="328">
        <v>0.5</v>
      </c>
      <c r="C50" s="326">
        <f ca="1">Lin_Interp(ROUND($B50*365,0),Zero_swap_CL!$O$23:$O$94,Zero_swap_CL!$S$23:$S$94)</f>
        <v>1.2436050659062503</v>
      </c>
      <c r="D50" s="326">
        <f ca="1">forwardZeroRate(365,Lin_Interp(ROUND(D$47*365,0),Zero_swap_CL!$O$23:$O$94,Zero_swap_CL!$S$23:$S$94),Lin_Interp(ROUND(D$47*365+$B50*365,0),Zero_swap_CL!$O$23:$O$94,Zero_swap_CL!$S$23:$S$94),D$47*365,D$47*365+$B50*365)</f>
        <v>1.1372775313173822</v>
      </c>
      <c r="E50" s="326">
        <f ca="1">forwardZeroRate(365,Lin_Interp(ROUND(E$47*365,0),Zero_swap_CL!$O$23:$O$94,Zero_swap_CL!$S$23:$S$94),Lin_Interp(ROUND(E$47*365+$B50*365,0),Zero_swap_CL!$O$23:$O$94,Zero_swap_CL!$S$23:$S$94),E$47*365,E$47*365+$B50*365)</f>
        <v>0.5402044565147035</v>
      </c>
      <c r="F50" s="326">
        <f ca="1">forwardZeroRate(365,Lin_Interp(ROUND(F$47*365,0),Zero_swap_CL!$O$23:$O$94,Zero_swap_CL!$S$23:$S$94),Lin_Interp(ROUND(F$47*365+$B50*365,0),Zero_swap_CL!$O$23:$O$94,Zero_swap_CL!$S$23:$S$94),F$47*365,F$47*365+$B50*365)</f>
        <v>-6.6310724658924514E-2</v>
      </c>
      <c r="G50" s="326">
        <f ca="1">forwardZeroRate(365,Lin_Interp(ROUND(G$47*365,0),Zero_swap_CL!$O$23:$O$94,Zero_swap_CL!$S$23:$S$94),Lin_Interp(ROUND(G$47*365+$B50*365,0),Zero_swap_CL!$O$23:$O$94,Zero_swap_CL!$S$23:$S$94),G$47*365,G$47*365+$B50*365)</f>
        <v>0.28495071246152914</v>
      </c>
      <c r="H50" s="326">
        <f ca="1">forwardZeroRate(365,Lin_Interp(ROUND(H$47*365,0),Zero_swap_CL!$O$23:$O$94,Zero_swap_CL!$S$23:$S$94),Lin_Interp(ROUND(H$47*365+$B50*365,0),Zero_swap_CL!$O$23:$O$94,Zero_swap_CL!$S$23:$S$94),H$47*365,H$47*365+$B50*365)</f>
        <v>1.1262309965601736</v>
      </c>
      <c r="I50" s="326">
        <f ca="1">forwardZeroRate(365,Lin_Interp(ROUND(I$47*365,0),Zero_swap_CL!$O$23:$O$94,Zero_swap_CL!$S$23:$S$94),Lin_Interp(ROUND(I$47*365+$B50*365,0),Zero_swap_CL!$O$23:$O$94,Zero_swap_CL!$S$23:$S$94),I$47*365,I$47*365+$B50*365)</f>
        <v>0.47265054724601185</v>
      </c>
      <c r="J50" s="326">
        <f ca="1">forwardZeroRate(365,Lin_Interp(ROUND(J$47*365,0),Zero_swap_CL!$O$23:$O$94,Zero_swap_CL!$S$23:$S$94),Lin_Interp(ROUND(J$47*365+$B50*365,0),Zero_swap_CL!$O$23:$O$94,Zero_swap_CL!$S$23:$S$94),J$47*365,J$47*365+$B50*365)</f>
        <v>0.9060175839496809</v>
      </c>
      <c r="K50" s="326">
        <f ca="1">forwardZeroRate(365,Lin_Interp(ROUND(K$47*365,0),Zero_swap_CL!$O$23:$O$94,Zero_swap_CL!$S$23:$S$94),Lin_Interp(ROUND(K$47*365+$B50*365,0),Zero_swap_CL!$O$23:$O$94,Zero_swap_CL!$S$23:$S$94),K$47*365,K$47*365+$B50*365)</f>
        <v>1.2352872540120963</v>
      </c>
      <c r="L50" s="326">
        <f ca="1">forwardZeroRate(365,Lin_Interp(ROUND(L$47*365,0),Zero_swap_CL!$O$23:$O$94,Zero_swap_CL!$S$23:$S$94),Lin_Interp(ROUND(L$47*365+$B50*365,0),Zero_swap_CL!$O$23:$O$94,Zero_swap_CL!$S$23:$S$94),L$47*365,L$47*365+$B50*365)</f>
        <v>1.2348939351038979</v>
      </c>
      <c r="N50" s="328">
        <v>0.5</v>
      </c>
      <c r="O50" s="326">
        <f t="shared" ca="1" si="21"/>
        <v>0.81633462746522945</v>
      </c>
      <c r="P50" s="326">
        <f t="shared" ca="1" si="12"/>
        <v>0.65292982838593971</v>
      </c>
      <c r="Q50" s="326">
        <f t="shared" ca="1" si="13"/>
        <v>3.5063397190970846E-2</v>
      </c>
      <c r="R50" s="326">
        <f t="shared" ca="1" si="14"/>
        <v>-8.8283501421027033E-2</v>
      </c>
      <c r="S50" s="326">
        <f t="shared" ca="1" si="15"/>
        <v>-0.16349635300314524</v>
      </c>
      <c r="T50" s="326">
        <f t="shared" ca="1" si="16"/>
        <v>0.20990185275029383</v>
      </c>
      <c r="U50" s="326">
        <f t="shared" ca="1" si="17"/>
        <v>-0.48434870095244165</v>
      </c>
      <c r="V50" s="326">
        <f t="shared" ca="1" si="18"/>
        <v>-0.27091428642840309</v>
      </c>
      <c r="W50" s="326">
        <f t="shared" ca="1" si="19"/>
        <v>1.8543647886026804E-2</v>
      </c>
      <c r="X50" s="326">
        <f t="shared" ca="1" si="20"/>
        <v>4.0784233614754584E-3</v>
      </c>
      <c r="AB50" s="347">
        <v>310</v>
      </c>
      <c r="AC50" s="346">
        <f ca="1">VLOOKUP(AB50,HPR!$AH$30:$AL$5430,5,0)</f>
        <v>3.5061434852596829</v>
      </c>
      <c r="AD50" s="346">
        <f ca="1">VLOOKUP(AB50,HPR!$AH$30:$AN$5430,7,0)</f>
        <v>0.34467409613809785</v>
      </c>
      <c r="AE50" s="346">
        <f t="shared" ref="AE50:AE65" ca="1" si="22">((1+AC50/100)^(360/365)-1)*100</f>
        <v>3.4572933358886671</v>
      </c>
      <c r="AF50" s="346">
        <f t="shared" ref="AF50:AF65" ca="1" si="23">((1+AD50/100)^(360/365)-1)*100</f>
        <v>0.3399445169716353</v>
      </c>
    </row>
    <row r="51" spans="2:32">
      <c r="B51" s="328">
        <v>0.75</v>
      </c>
      <c r="C51" s="326">
        <f ca="1">Lin_Interp(ROUND($B51*365,0),Zero_swap_CL!$O$23:$O$94,Zero_swap_CL!$S$23:$S$94)</f>
        <v>0.8652908216391797</v>
      </c>
      <c r="D51" s="326">
        <f ca="1">forwardZeroRate(365,Lin_Interp(ROUND(D$47*365,0),Zero_swap_CL!$O$23:$O$94,Zero_swap_CL!$S$23:$S$94),Lin_Interp(ROUND(D$47*365+$B51*365,0),Zero_swap_CL!$O$23:$O$94,Zero_swap_CL!$S$23:$S$94),D$47*365,D$47*365+$B51*365)</f>
        <v>0.8928932258083</v>
      </c>
      <c r="E51" s="326">
        <f ca="1">forwardZeroRate(365,Lin_Interp(ROUND(E$47*365,0),Zero_swap_CL!$O$23:$O$94,Zero_swap_CL!$S$23:$S$94),Lin_Interp(ROUND(E$47*365+$B51*365,0),Zero_swap_CL!$O$23:$O$94,Zero_swap_CL!$S$23:$S$94),E$47*365,E$47*365+$B51*365)</f>
        <v>0.27771874362199078</v>
      </c>
      <c r="F51" s="326">
        <f ca="1">forwardZeroRate(365,Lin_Interp(ROUND(F$47*365,0),Zero_swap_CL!$O$23:$O$94,Zero_swap_CL!$S$23:$S$94),Lin_Interp(ROUND(F$47*365+$B51*365,0),Zero_swap_CL!$O$23:$O$94,Zero_swap_CL!$S$23:$S$94),F$47*365,F$47*365+$B51*365)</f>
        <v>0.22756696607839633</v>
      </c>
      <c r="G51" s="326">
        <f ca="1">forwardZeroRate(365,Lin_Interp(ROUND(G$47*365,0),Zero_swap_CL!$O$23:$O$94,Zero_swap_CL!$S$23:$S$94),Lin_Interp(ROUND(G$47*365+$B51*365,0),Zero_swap_CL!$O$23:$O$94,Zero_swap_CL!$S$23:$S$94),G$47*365,G$47*365+$B51*365)</f>
        <v>0.66700555579730647</v>
      </c>
      <c r="H51" s="326">
        <f ca="1">forwardZeroRate(365,Lin_Interp(ROUND(H$47*365,0),Zero_swap_CL!$O$23:$O$94,Zero_swap_CL!$S$23:$S$94),Lin_Interp(ROUND(H$47*365+$B51*365,0),Zero_swap_CL!$O$23:$O$94,Zero_swap_CL!$S$23:$S$94),H$47*365,H$47*365+$B51*365)</f>
        <v>0.7704012764864876</v>
      </c>
      <c r="I51" s="326">
        <f ca="1">forwardZeroRate(365,Lin_Interp(ROUND(I$47*365,0),Zero_swap_CL!$O$23:$O$94,Zero_swap_CL!$S$23:$S$94),Lin_Interp(ROUND(I$47*365+$B51*365,0),Zero_swap_CL!$O$23:$O$94,Zero_swap_CL!$S$23:$S$94),I$47*365,I$47*365+$B51*365)</f>
        <v>0.47669990616476809</v>
      </c>
      <c r="J51" s="326">
        <f ca="1">forwardZeroRate(365,Lin_Interp(ROUND(J$47*365,0),Zero_swap_CL!$O$23:$O$94,Zero_swap_CL!$S$23:$S$94),Lin_Interp(ROUND(J$47*365+$B51*365,0),Zero_swap_CL!$O$23:$O$94,Zero_swap_CL!$S$23:$S$94),J$47*365,J$47*365+$B51*365)</f>
        <v>0.93750975111535073</v>
      </c>
      <c r="K51" s="326">
        <f ca="1">forwardZeroRate(365,Lin_Interp(ROUND(K$47*365,0),Zero_swap_CL!$O$23:$O$94,Zero_swap_CL!$S$23:$S$94),Lin_Interp(ROUND(K$47*365+$B51*365,0),Zero_swap_CL!$O$23:$O$94,Zero_swap_CL!$S$23:$S$94),K$47*365,K$47*365+$B51*365)</f>
        <v>1.2685423509427363</v>
      </c>
      <c r="L51" s="326">
        <f ca="1">forwardZeroRate(365,Lin_Interp(ROUND(L$47*365,0),Zero_swap_CL!$O$23:$O$94,Zero_swap_CL!$S$23:$S$94),Lin_Interp(ROUND(L$47*365+$B51*365,0),Zero_swap_CL!$O$23:$O$94,Zero_swap_CL!$S$23:$S$94),L$47*365,L$47*365+$B51*365)</f>
        <v>1.2513571939271273</v>
      </c>
      <c r="N51" s="328">
        <v>0.75</v>
      </c>
      <c r="O51" s="326">
        <f t="shared" ca="1" si="21"/>
        <v>0.53835675547023509</v>
      </c>
      <c r="P51" s="326">
        <f t="shared" ca="1" si="12"/>
        <v>0.41279825027606964</v>
      </c>
      <c r="Q51" s="326">
        <f t="shared" ca="1" si="13"/>
        <v>-3.1156561006562278E-2</v>
      </c>
      <c r="R51" s="326">
        <f t="shared" ca="1" si="14"/>
        <v>-0.11347025085131079</v>
      </c>
      <c r="S51" s="326">
        <f t="shared" ca="1" si="15"/>
        <v>8.4726385913991287E-2</v>
      </c>
      <c r="T51" s="326">
        <f t="shared" ca="1" si="16"/>
        <v>-8.7982693087806929E-2</v>
      </c>
      <c r="U51" s="326">
        <f t="shared" ca="1" si="17"/>
        <v>-0.52148342606161968</v>
      </c>
      <c r="V51" s="326">
        <f t="shared" ca="1" si="18"/>
        <v>-0.27203704477278823</v>
      </c>
      <c r="W51" s="326">
        <f t="shared" ca="1" si="19"/>
        <v>3.1956344839967343E-2</v>
      </c>
      <c r="X51" s="326">
        <f t="shared" ca="1" si="20"/>
        <v>7.6794238536015413E-3</v>
      </c>
      <c r="AB51" s="347">
        <v>320</v>
      </c>
      <c r="AC51" s="346">
        <f ca="1">VLOOKUP(AB51,HPR!$AH$30:$AL$5430,5,0)</f>
        <v>3.5028960879399662</v>
      </c>
      <c r="AD51" s="346">
        <f ca="1">VLOOKUP(AB51,HPR!$AH$30:$AN$5430,7,0)</f>
        <v>0.34963514253409933</v>
      </c>
      <c r="AE51" s="346">
        <f t="shared" ca="1" si="22"/>
        <v>3.4540919344034693</v>
      </c>
      <c r="AF51" s="346">
        <f t="shared" ca="1" si="23"/>
        <v>0.34483737154360483</v>
      </c>
    </row>
    <row r="52" spans="2:32">
      <c r="B52" s="329">
        <v>1</v>
      </c>
      <c r="C52" s="326">
        <f ca="1">Lin_Interp(ROUND($B52*365,0),Zero_swap_CL!$O$23:$O$94,Zero_swap_CL!$S$23:$S$94)</f>
        <v>0.58651485050875696</v>
      </c>
      <c r="D52" s="326">
        <f ca="1">forwardZeroRate(365,Lin_Interp(ROUND(D$47*365,0),Zero_swap_CL!$O$23:$O$94,Zero_swap_CL!$S$23:$S$94),Lin_Interp(ROUND(D$47*365+$B52*365,0),Zero_swap_CL!$O$23:$O$94,Zero_swap_CL!$S$23:$S$94),D$47*365,D$47*365+$B52*365)</f>
        <v>0.50157447772880559</v>
      </c>
      <c r="E52" s="326">
        <f ca="1">forwardZeroRate(365,Lin_Interp(ROUND(E$47*365,0),Zero_swap_CL!$O$23:$O$94,Zero_swap_CL!$S$23:$S$94),Lin_Interp(ROUND(E$47*365+$B52*365,0),Zero_swap_CL!$O$23:$O$94,Zero_swap_CL!$S$23:$S$94),E$47*365,E$47*365+$B52*365)</f>
        <v>0.41249647599836958</v>
      </c>
      <c r="F52" s="326">
        <f ca="1">forwardZeroRate(365,Lin_Interp(ROUND(F$47*365,0),Zero_swap_CL!$O$23:$O$94,Zero_swap_CL!$S$23:$S$94),Lin_Interp(ROUND(F$47*365+$B52*365,0),Zero_swap_CL!$O$23:$O$94,Zero_swap_CL!$S$23:$S$94),F$47*365,F$47*365+$B52*365)</f>
        <v>0.52819179711038888</v>
      </c>
      <c r="G52" s="326">
        <f ca="1">forwardZeroRate(365,Lin_Interp(ROUND(G$47*365,0),Zero_swap_CL!$O$23:$O$94,Zero_swap_CL!$S$23:$S$94),Lin_Interp(ROUND(G$47*365+$B52*365,0),Zero_swap_CL!$O$23:$O$94,Zero_swap_CL!$S$23:$S$94),G$47*365,G$47*365+$B52*365)</f>
        <v>0.51553603759701971</v>
      </c>
      <c r="H52" s="326">
        <f ca="1">forwardZeroRate(365,Lin_Interp(ROUND(H$47*365,0),Zero_swap_CL!$O$23:$O$94,Zero_swap_CL!$S$23:$S$94),Lin_Interp(ROUND(H$47*365+$B52*365,0),Zero_swap_CL!$O$23:$O$94,Zero_swap_CL!$S$23:$S$94),H$47*365,H$47*365+$B52*365)</f>
        <v>0.52828322885476453</v>
      </c>
      <c r="I52" s="326">
        <f ca="1">forwardZeroRate(365,Lin_Interp(ROUND(I$47*365,0),Zero_swap_CL!$O$23:$O$94,Zero_swap_CL!$S$23:$S$94),Lin_Interp(ROUND(I$47*365+$B52*365,0),Zero_swap_CL!$O$23:$O$94,Zero_swap_CL!$S$23:$S$94),I$47*365,I$47*365+$B52*365)</f>
        <v>0.47619562532774662</v>
      </c>
      <c r="J52" s="326">
        <f ca="1">forwardZeroRate(365,Lin_Interp(ROUND(J$47*365,0),Zero_swap_CL!$O$23:$O$94,Zero_swap_CL!$S$23:$S$94),Lin_Interp(ROUND(J$47*365+$B52*365,0),Zero_swap_CL!$O$23:$O$94,Zero_swap_CL!$S$23:$S$94),J$47*365,J$47*365+$B52*365)</f>
        <v>0.96713927067453298</v>
      </c>
      <c r="K52" s="326">
        <f ca="1">forwardZeroRate(365,Lin_Interp(ROUND(K$47*365,0),Zero_swap_CL!$O$23:$O$94,Zero_swap_CL!$S$23:$S$94),Lin_Interp(ROUND(K$47*365+$B52*365,0),Zero_swap_CL!$O$23:$O$94,Zero_swap_CL!$S$23:$S$94),K$47*365,K$47*365+$B52*365)</f>
        <v>1.3017353019650235</v>
      </c>
      <c r="L52" s="326">
        <f ca="1">forwardZeroRate(365,Lin_Interp(ROUND(L$47*365,0),Zero_swap_CL!$O$23:$O$94,Zero_swap_CL!$S$23:$S$94),Lin_Interp(ROUND(L$47*365+$B52*365,0),Zero_swap_CL!$O$23:$O$94,Zero_swap_CL!$S$23:$S$94),L$47*365,L$47*365+$B52*365)</f>
        <v>1.2698209654495862</v>
      </c>
      <c r="N52" s="329">
        <v>1</v>
      </c>
      <c r="O52" s="326">
        <f t="shared" ca="1" si="21"/>
        <v>0.36209811567177175</v>
      </c>
      <c r="P52" s="326">
        <f t="shared" ca="1" si="12"/>
        <v>0.27038988290890575</v>
      </c>
      <c r="Q52" s="326">
        <f t="shared" ca="1" si="13"/>
        <v>-6.4293587700103849E-2</v>
      </c>
      <c r="R52" s="326">
        <f t="shared" ca="1" si="14"/>
        <v>6.0036014529618598E-2</v>
      </c>
      <c r="S52" s="326">
        <f t="shared" ca="1" si="15"/>
        <v>-0.10679776134703278</v>
      </c>
      <c r="T52" s="326">
        <f t="shared" ca="1" si="16"/>
        <v>-0.32208020101276436</v>
      </c>
      <c r="U52" s="326">
        <f t="shared" ca="1" si="17"/>
        <v>-0.56347193437273901</v>
      </c>
      <c r="V52" s="326">
        <f t="shared" ca="1" si="18"/>
        <v>-0.27548269147805726</v>
      </c>
      <c r="W52" s="326">
        <f t="shared" ca="1" si="19"/>
        <v>4.4814879365606686E-2</v>
      </c>
      <c r="X52" s="326">
        <f t="shared" ca="1" si="20"/>
        <v>1.2771781676446103E-2</v>
      </c>
      <c r="AB52" s="347">
        <v>330</v>
      </c>
      <c r="AC52" s="346">
        <f ca="1">VLOOKUP(AB52,HPR!$AH$30:$AL$5430,5,0)</f>
        <v>3.4998455953877627</v>
      </c>
      <c r="AD52" s="346">
        <f ca="1">VLOOKUP(AB52,HPR!$AH$30:$AN$5430,7,0)</f>
        <v>0.35741462346856601</v>
      </c>
      <c r="AE52" s="346">
        <f t="shared" ca="1" si="22"/>
        <v>3.4510846474915757</v>
      </c>
      <c r="AF52" s="346">
        <f t="shared" ca="1" si="23"/>
        <v>0.35250991332604897</v>
      </c>
    </row>
    <row r="53" spans="2:32">
      <c r="B53" s="329">
        <v>2</v>
      </c>
      <c r="C53" s="326">
        <f ca="1">Lin_Interp(ROUND($B53*365,0),Zero_swap_CL!$O$23:$O$94,Zero_swap_CL!$S$23:$S$94)</f>
        <v>0.55739482452472455</v>
      </c>
      <c r="D53" s="326">
        <f ca="1">forwardZeroRate(365,Lin_Interp(ROUND(D$47*365,0),Zero_swap_CL!$O$23:$O$94,Zero_swap_CL!$S$23:$S$94),Lin_Interp(ROUND(D$47*365+$B53*365,0),Zero_swap_CL!$O$23:$O$94,Zero_swap_CL!$S$23:$S$94),D$47*365,D$47*365+$B53*365)</f>
        <v>0.56755647683328636</v>
      </c>
      <c r="E53" s="326">
        <f ca="1">forwardZeroRate(365,Lin_Interp(ROUND(E$47*365,0),Zero_swap_CL!$O$23:$O$94,Zero_swap_CL!$S$23:$S$94),Lin_Interp(ROUND(E$47*365+$B53*365,0),Zero_swap_CL!$O$23:$O$94,Zero_swap_CL!$S$23:$S$94),E$47*365,E$47*365+$B53*365)</f>
        <v>0.42457993336417754</v>
      </c>
      <c r="F53" s="326">
        <f ca="1">forwardZeroRate(365,Lin_Interp(ROUND(F$47*365,0),Zero_swap_CL!$O$23:$O$94,Zero_swap_CL!$S$23:$S$94),Lin_Interp(ROUND(F$47*365+$B53*365,0),Zero_swap_CL!$O$23:$O$94,Zero_swap_CL!$S$23:$S$94),F$47*365,F$47*365+$B53*365)</f>
        <v>0.36541345249438972</v>
      </c>
      <c r="G53" s="326">
        <f ca="1">forwardZeroRate(365,Lin_Interp(ROUND(G$47*365,0),Zero_swap_CL!$O$23:$O$94,Zero_swap_CL!$S$23:$S$94),Lin_Interp(ROUND(G$47*365+$B53*365,0),Zero_swap_CL!$O$23:$O$94,Zero_swap_CL!$S$23:$S$94),G$47*365,G$47*365+$B53*365)</f>
        <v>0.41194278432050702</v>
      </c>
      <c r="H53" s="326">
        <f ca="1">forwardZeroRate(365,Lin_Interp(ROUND(H$47*365,0),Zero_swap_CL!$O$23:$O$94,Zero_swap_CL!$S$23:$S$94),Lin_Interp(ROUND(H$47*365+$B53*365,0),Zero_swap_CL!$O$23:$O$94,Zero_swap_CL!$S$23:$S$94),H$47*365,H$47*365+$B53*365)</f>
        <v>0.50223605264096971</v>
      </c>
      <c r="I53" s="326">
        <f ca="1">forwardZeroRate(365,Lin_Interp(ROUND(I$47*365,0),Zero_swap_CL!$O$23:$O$94,Zero_swap_CL!$S$23:$S$94),Lin_Interp(ROUND(I$47*365+$B53*365,0),Zero_swap_CL!$O$23:$O$94,Zero_swap_CL!$S$23:$S$94),I$47*365,I$47*365+$B53*365)</f>
        <v>0.72136832415456986</v>
      </c>
      <c r="J53" s="326">
        <f ca="1">forwardZeroRate(365,Lin_Interp(ROUND(J$47*365,0),Zero_swap_CL!$O$23:$O$94,Zero_swap_CL!$S$23:$S$94),Lin_Interp(ROUND(J$47*365+$B53*365,0),Zero_swap_CL!$O$23:$O$94,Zero_swap_CL!$S$23:$S$94),J$47*365,J$47*365+$B53*365)</f>
        <v>1.1342989128540371</v>
      </c>
      <c r="K53" s="326">
        <f ca="1">forwardZeroRate(365,Lin_Interp(ROUND(K$47*365,0),Zero_swap_CL!$O$23:$O$94,Zero_swap_CL!$S$23:$S$94),Lin_Interp(ROUND(K$47*365+$B53*365,0),Zero_swap_CL!$O$23:$O$94,Zero_swap_CL!$S$23:$S$94),K$47*365,K$47*365+$B53*365)</f>
        <v>1.2857768767133626</v>
      </c>
      <c r="L53" s="326">
        <f ca="1">forwardZeroRate(365,Lin_Interp(ROUND(L$47*365,0),Zero_swap_CL!$O$23:$O$94,Zero_swap_CL!$S$23:$S$94),Lin_Interp(ROUND(L$47*365+$B53*365,0),Zero_swap_CL!$O$23:$O$94,Zero_swap_CL!$S$23:$S$94),L$47*365,L$47*365+$B53*365)</f>
        <v>1.3513421747412435</v>
      </c>
      <c r="N53" s="329">
        <v>2</v>
      </c>
      <c r="O53" s="326">
        <f t="shared" ca="1" si="21"/>
        <v>2.0491887071914738E-2</v>
      </c>
      <c r="P53" s="326">
        <f t="shared" ca="1" si="12"/>
        <v>-4.5471075621583701E-2</v>
      </c>
      <c r="Q53" s="326">
        <f t="shared" ca="1" si="13"/>
        <v>-0.23017998795407113</v>
      </c>
      <c r="R53" s="326">
        <f t="shared" ca="1" si="14"/>
        <v>-0.3038048213731992</v>
      </c>
      <c r="S53" s="326">
        <f t="shared" ca="1" si="15"/>
        <v>-0.37667993994794369</v>
      </c>
      <c r="T53" s="326">
        <f t="shared" ca="1" si="16"/>
        <v>-0.44273506642364957</v>
      </c>
      <c r="U53" s="326">
        <f t="shared" ca="1" si="17"/>
        <v>-0.41972552957201259</v>
      </c>
      <c r="V53" s="326">
        <f t="shared" ca="1" si="18"/>
        <v>-0.11547202711896798</v>
      </c>
      <c r="W53" s="326">
        <f t="shared" ca="1" si="19"/>
        <v>2.8792073547534436E-2</v>
      </c>
      <c r="X53" s="326">
        <f t="shared" ca="1" si="20"/>
        <v>0.11328832967374414</v>
      </c>
      <c r="AB53" s="347">
        <v>340</v>
      </c>
      <c r="AC53" s="346">
        <f ca="1">VLOOKUP(AB53,HPR!$AH$30:$AL$5430,5,0)</f>
        <v>3.4969746257024203</v>
      </c>
      <c r="AD53" s="346">
        <f ca="1">VLOOKUP(AB53,HPR!$AH$30:$AN$5430,7,0)</f>
        <v>0.36473703880040009</v>
      </c>
      <c r="AE53" s="346">
        <f t="shared" ca="1" si="22"/>
        <v>3.4482543396659571</v>
      </c>
      <c r="AF53" s="346">
        <f t="shared" ca="1" si="23"/>
        <v>0.35973166502762943</v>
      </c>
    </row>
    <row r="54" spans="2:32">
      <c r="B54" s="329">
        <v>3</v>
      </c>
      <c r="C54" s="326">
        <f ca="1">Lin_Interp(ROUND($B54*365,0),Zero_swap_CL!$O$23:$O$94,Zero_swap_CL!$S$23:$S$94)</f>
        <v>0.53032113623030663</v>
      </c>
      <c r="D54" s="326">
        <f ca="1">forwardZeroRate(365,Lin_Interp(ROUND(D$47*365,0),Zero_swap_CL!$O$23:$O$94,Zero_swap_CL!$S$23:$S$94),Lin_Interp(ROUND(D$47*365+$B54*365,0),Zero_swap_CL!$O$23:$O$94,Zero_swap_CL!$S$23:$S$94),D$47*365,D$47*365+$B54*365)</f>
        <v>0.54937947827753408</v>
      </c>
      <c r="E54" s="326">
        <f ca="1">forwardZeroRate(365,Lin_Interp(ROUND(E$47*365,0),Zero_swap_CL!$O$23:$O$94,Zero_swap_CL!$S$23:$S$94),Lin_Interp(ROUND(E$47*365+$B54*365,0),Zero_swap_CL!$O$23:$O$94,Zero_swap_CL!$S$23:$S$94),E$47*365,E$47*365+$B54*365)</f>
        <v>0.47606574356369169</v>
      </c>
      <c r="F54" s="326">
        <f ca="1">forwardZeroRate(365,Lin_Interp(ROUND(F$47*365,0),Zero_swap_CL!$O$23:$O$94,Zero_swap_CL!$S$23:$S$94),Lin_Interp(ROUND(F$47*365+$B54*365,0),Zero_swap_CL!$O$23:$O$94,Zero_swap_CL!$S$23:$S$94),F$47*365,F$47*365+$B54*365)</f>
        <v>0.47437517425077402</v>
      </c>
      <c r="G54" s="326">
        <f ca="1">forwardZeroRate(365,Lin_Interp(ROUND(G$47*365,0),Zero_swap_CL!$O$23:$O$94,Zero_swap_CL!$S$23:$S$94),Lin_Interp(ROUND(G$47*365+$B54*365,0),Zero_swap_CL!$O$23:$O$94,Zero_swap_CL!$S$23:$S$94),G$47*365,G$47*365+$B54*365)</f>
        <v>0.54831108000110707</v>
      </c>
      <c r="H54" s="326">
        <f ca="1">forwardZeroRate(365,Lin_Interp(ROUND(H$47*365,0),Zero_swap_CL!$O$23:$O$94,Zero_swap_CL!$S$23:$S$94),Lin_Interp(ROUND(H$47*365+$B54*365,0),Zero_swap_CL!$O$23:$O$94,Zero_swap_CL!$S$23:$S$94),H$47*365,H$47*365+$B54*365)</f>
        <v>0.65696545426308095</v>
      </c>
      <c r="I54" s="326">
        <f ca="1">forwardZeroRate(365,Lin_Interp(ROUND(I$47*365,0),Zero_swap_CL!$O$23:$O$94,Zero_swap_CL!$S$23:$S$94),Lin_Interp(ROUND(I$47*365+$B54*365,0),Zero_swap_CL!$O$23:$O$94,Zero_swap_CL!$S$23:$S$94),I$47*365,I$47*365+$B54*365)</f>
        <v>0.91445359780577551</v>
      </c>
      <c r="J54" s="326">
        <f ca="1">forwardZeroRate(365,Lin_Interp(ROUND(J$47*365,0),Zero_swap_CL!$O$23:$O$94,Zero_swap_CL!$S$23:$S$94),Lin_Interp(ROUND(J$47*365+$B54*365,0),Zero_swap_CL!$O$23:$O$94,Zero_swap_CL!$S$23:$S$94),J$47*365,J$47*365+$B54*365)</f>
        <v>1.1794527673548272</v>
      </c>
      <c r="K54" s="326">
        <f ca="1">forwardZeroRate(365,Lin_Interp(ROUND(K$47*365,0),Zero_swap_CL!$O$23:$O$94,Zero_swap_CL!$S$23:$S$94),Lin_Interp(ROUND(K$47*365+$B54*365,0),Zero_swap_CL!$O$23:$O$94,Zero_swap_CL!$S$23:$S$94),K$47*365,K$47*365+$B54*365)</f>
        <v>1.3348038519366501</v>
      </c>
      <c r="L54" s="326">
        <f ca="1">forwardZeroRate(365,Lin_Interp(ROUND(L$47*365,0),Zero_swap_CL!$O$23:$O$94,Zero_swap_CL!$S$23:$S$94),Lin_Interp(ROUND(L$47*365+$B54*365,0),Zero_swap_CL!$O$23:$O$94,Zero_swap_CL!$S$23:$S$94),L$47*365,L$47*365+$B54*365)</f>
        <v>1.434665383315803</v>
      </c>
      <c r="N54" s="329">
        <v>3</v>
      </c>
      <c r="O54" s="326">
        <f t="shared" ca="1" si="21"/>
        <v>-0.17389142398869983</v>
      </c>
      <c r="P54" s="326">
        <f t="shared" ca="1" si="12"/>
        <v>-0.21218966778770998</v>
      </c>
      <c r="Q54" s="326">
        <f t="shared" ca="1" si="13"/>
        <v>-0.32582939233085639</v>
      </c>
      <c r="R54" s="326">
        <f t="shared" ca="1" si="14"/>
        <v>-0.35473759185069564</v>
      </c>
      <c r="S54" s="326">
        <f t="shared" ca="1" si="15"/>
        <v>-0.37665747908430802</v>
      </c>
      <c r="T54" s="326">
        <f t="shared" ca="1" si="16"/>
        <v>-0.38712525342734505</v>
      </c>
      <c r="U54" s="326">
        <f t="shared" ca="1" si="17"/>
        <v>-0.26523438332093363</v>
      </c>
      <c r="V54" s="326">
        <f t="shared" ca="1" si="18"/>
        <v>-7.2744195755025665E-2</v>
      </c>
      <c r="W54" s="326">
        <f t="shared" ca="1" si="19"/>
        <v>9.0461538312314183E-2</v>
      </c>
      <c r="X54" s="326">
        <f t="shared" ca="1" si="20"/>
        <v>0.20397633906121815</v>
      </c>
      <c r="AB54" s="347">
        <v>350</v>
      </c>
      <c r="AC54" s="346">
        <f ca="1">VLOOKUP(AB54,HPR!$AH$30:$AL$5430,5,0)</f>
        <v>3.4942677843691428</v>
      </c>
      <c r="AD54" s="346">
        <f ca="1">VLOOKUP(AB54,HPR!$AH$30:$AN$5430,7,0)</f>
        <v>0.34464971848742199</v>
      </c>
      <c r="AE54" s="346">
        <f t="shared" ca="1" si="22"/>
        <v>3.445585834639453</v>
      </c>
      <c r="AF54" s="346">
        <f t="shared" ca="1" si="23"/>
        <v>0.33992047439459494</v>
      </c>
    </row>
    <row r="55" spans="2:32">
      <c r="B55" s="329">
        <v>4</v>
      </c>
      <c r="C55" s="326">
        <f ca="1">Lin_Interp(ROUND($B55*365,0),Zero_swap_CL!$O$23:$O$94,Zero_swap_CL!$S$23:$S$94)</f>
        <v>0.63934817872374916</v>
      </c>
      <c r="D55" s="326">
        <f ca="1">forwardZeroRate(365,Lin_Interp(ROUND(D$47*365,0),Zero_swap_CL!$O$23:$O$94,Zero_swap_CL!$S$23:$S$94),Lin_Interp(ROUND(D$47*365+$B55*365,0),Zero_swap_CL!$O$23:$O$94,Zero_swap_CL!$S$23:$S$94),D$47*365,D$47*365+$B55*365)</f>
        <v>0.66124906402433847</v>
      </c>
      <c r="E55" s="326">
        <f ca="1">forwardZeroRate(365,Lin_Interp(ROUND(E$47*365,0),Zero_swap_CL!$O$23:$O$94,Zero_swap_CL!$S$23:$S$94),Lin_Interp(ROUND(E$47*365+$B55*365,0),Zero_swap_CL!$O$23:$O$94,Zero_swap_CL!$S$23:$S$94),E$47*365,E$47*365+$B55*365)</f>
        <v>0.6193030030934521</v>
      </c>
      <c r="F55" s="326">
        <f ca="1">forwardZeroRate(365,Lin_Interp(ROUND(F$47*365,0),Zero_swap_CL!$O$23:$O$94,Zero_swap_CL!$S$23:$S$94),Lin_Interp(ROUND(F$47*365+$B55*365,0),Zero_swap_CL!$O$23:$O$94,Zero_swap_CL!$S$23:$S$94),F$47*365,F$47*365+$B55*365)</f>
        <v>0.63831462053443033</v>
      </c>
      <c r="G55" s="326">
        <f ca="1">forwardZeroRate(365,Lin_Interp(ROUND(G$47*365,0),Zero_swap_CL!$O$23:$O$94,Zero_swap_CL!$S$23:$S$94),Lin_Interp(ROUND(G$47*365+$B55*365,0),Zero_swap_CL!$O$23:$O$94,Zero_swap_CL!$S$23:$S$94),G$47*365,G$47*365+$B55*365)</f>
        <v>0.71466623987792577</v>
      </c>
      <c r="H55" s="326">
        <f ca="1">forwardZeroRate(365,Lin_Interp(ROUND(H$47*365,0),Zero_swap_CL!$O$23:$O$94,Zero_swap_CL!$S$23:$S$94),Lin_Interp(ROUND(H$47*365+$B55*365,0),Zero_swap_CL!$O$23:$O$94,Zero_swap_CL!$S$23:$S$94),H$47*365,H$47*365+$B55*365)</f>
        <v>0.81777215530012271</v>
      </c>
      <c r="I55" s="326">
        <f ca="1">forwardZeroRate(365,Lin_Interp(ROUND(I$47*365,0),Zero_swap_CL!$O$23:$O$94,Zero_swap_CL!$S$23:$S$94),Lin_Interp(ROUND(I$47*365+$B55*365,0),Zero_swap_CL!$O$23:$O$94,Zero_swap_CL!$S$23:$S$94),I$47*365,I$47*365+$B55*365)</f>
        <v>1.0031783598792643</v>
      </c>
      <c r="J55" s="326">
        <f ca="1">forwardZeroRate(365,Lin_Interp(ROUND(J$47*365,0),Zero_swap_CL!$O$23:$O$94,Zero_swap_CL!$S$23:$S$94),Lin_Interp(ROUND(J$47*365+$B55*365,0),Zero_swap_CL!$O$23:$O$94,Zero_swap_CL!$S$23:$S$94),J$47*365,J$47*365+$B55*365)</f>
        <v>1.2427623819067479</v>
      </c>
      <c r="K55" s="326">
        <f ca="1">forwardZeroRate(365,Lin_Interp(ROUND(K$47*365,0),Zero_swap_CL!$O$23:$O$94,Zero_swap_CL!$S$23:$S$94),Lin_Interp(ROUND(K$47*365+$B55*365,0),Zero_swap_CL!$O$23:$O$94,Zero_swap_CL!$S$23:$S$94),K$47*365,K$47*365+$B55*365)</f>
        <v>1.4014165187810956</v>
      </c>
      <c r="L55" s="326">
        <f ca="1">forwardZeroRate(365,Lin_Interp(ROUND(L$47*365,0),Zero_swap_CL!$O$23:$O$94,Zero_swap_CL!$S$23:$S$94),Lin_Interp(ROUND(L$47*365+$B55*365,0),Zero_swap_CL!$O$23:$O$94,Zero_swap_CL!$S$23:$S$94),L$47*365,L$47*365+$B55*365)</f>
        <v>1.5199730176397752</v>
      </c>
      <c r="N55" s="329">
        <v>4</v>
      </c>
      <c r="O55" s="326">
        <f t="shared" ca="1" si="21"/>
        <v>-0.19919770408792048</v>
      </c>
      <c r="P55" s="326">
        <f t="shared" ca="1" si="12"/>
        <v>-0.22172303415868289</v>
      </c>
      <c r="Q55" s="326">
        <f t="shared" ca="1" si="13"/>
        <v>-0.29593612749725384</v>
      </c>
      <c r="R55" s="326">
        <f t="shared" ca="1" si="14"/>
        <v>-0.29898042071079267</v>
      </c>
      <c r="S55" s="326">
        <f t="shared" ca="1" si="15"/>
        <v>-0.29468113239605742</v>
      </c>
      <c r="T55" s="326">
        <f t="shared" ca="1" si="16"/>
        <v>-0.27948400601951473</v>
      </c>
      <c r="U55" s="326">
        <f t="shared" ca="1" si="17"/>
        <v>-0.19584437908970465</v>
      </c>
      <c r="V55" s="326">
        <f t="shared" ca="1" si="18"/>
        <v>-1.1498411091048766E-3</v>
      </c>
      <c r="W55" s="326">
        <f t="shared" ca="1" si="19"/>
        <v>0.16417026708146487</v>
      </c>
      <c r="X55" s="326">
        <f t="shared" ca="1" si="20"/>
        <v>0.29300556930480504</v>
      </c>
      <c r="AB55" s="347">
        <v>360</v>
      </c>
      <c r="AC55" s="346">
        <f ca="1">VLOOKUP(AB55,HPR!$AH$30:$AL$5430,5,0)</f>
        <v>3.492294275545671</v>
      </c>
      <c r="AD55" s="346">
        <f ca="1">VLOOKUP(AB55,HPR!$AH$30:$AN$5430,7,0)</f>
        <v>0.26505383824455553</v>
      </c>
      <c r="AE55" s="346">
        <f t="shared" ca="1" si="22"/>
        <v>3.4436402755179119</v>
      </c>
      <c r="AF55" s="346">
        <f t="shared" ca="1" si="23"/>
        <v>0.26141822202310205</v>
      </c>
    </row>
    <row r="56" spans="2:32">
      <c r="B56" s="329">
        <v>5</v>
      </c>
      <c r="C56" s="326">
        <f ca="1">Lin_Interp(ROUND($B56*365,0),Zero_swap_CL!$O$23:$O$94,Zero_swap_CL!$S$23:$S$94)</f>
        <v>0.7714781989269146</v>
      </c>
      <c r="D56" s="326">
        <f ca="1">forwardZeroRate(365,Lin_Interp(ROUND(D$47*365,0),Zero_swap_CL!$O$23:$O$94,Zero_swap_CL!$S$23:$S$94),Lin_Interp(ROUND(D$47*365+$B56*365,0),Zero_swap_CL!$O$23:$O$94,Zero_swap_CL!$S$23:$S$94),D$47*365,D$47*365+$B56*365)</f>
        <v>0.79048428279699934</v>
      </c>
      <c r="E56" s="326">
        <f ca="1">forwardZeroRate(365,Lin_Interp(ROUND(E$47*365,0),Zero_swap_CL!$O$23:$O$94,Zero_swap_CL!$S$23:$S$94),Lin_Interp(ROUND(E$47*365+$B56*365,0),Zero_swap_CL!$O$23:$O$94,Zero_swap_CL!$S$23:$S$94),E$47*365,E$47*365+$B56*365)</f>
        <v>0.75672094776151333</v>
      </c>
      <c r="F56" s="326">
        <f ca="1">forwardZeroRate(365,Lin_Interp(ROUND(F$47*365,0),Zero_swap_CL!$O$23:$O$94,Zero_swap_CL!$S$23:$S$94),Lin_Interp(ROUND(F$47*365+$B56*365,0),Zero_swap_CL!$O$23:$O$94,Zero_swap_CL!$S$23:$S$94),F$47*365,F$47*365+$B56*365)</f>
        <v>0.77061111451453002</v>
      </c>
      <c r="G56" s="326">
        <f ca="1">forwardZeroRate(365,Lin_Interp(ROUND(G$47*365,0),Zero_swap_CL!$O$23:$O$94,Zero_swap_CL!$S$23:$S$94),Lin_Interp(ROUND(G$47*365+$B56*365,0),Zero_swap_CL!$O$23:$O$94,Zero_swap_CL!$S$23:$S$94),G$47*365,G$47*365+$B56*365)</f>
        <v>0.82924040063463433</v>
      </c>
      <c r="H56" s="326">
        <f ca="1">forwardZeroRate(365,Lin_Interp(ROUND(H$47*365,0),Zero_swap_CL!$O$23:$O$94,Zero_swap_CL!$S$23:$S$94),Lin_Interp(ROUND(H$47*365+$B56*365,0),Zero_swap_CL!$O$23:$O$94,Zero_swap_CL!$S$23:$S$94),H$47*365,H$47*365+$B56*365)</f>
        <v>0.90802019973927894</v>
      </c>
      <c r="I56" s="326">
        <f ca="1">forwardZeroRate(365,Lin_Interp(ROUND(I$47*365,0),Zero_swap_CL!$O$23:$O$94,Zero_swap_CL!$S$23:$S$94),Lin_Interp(ROUND(I$47*365+$B56*365,0),Zero_swap_CL!$O$23:$O$94,Zero_swap_CL!$S$23:$S$94),I$47*365,I$47*365+$B56*365)</f>
        <v>1.088982580759712</v>
      </c>
      <c r="J56" s="326">
        <f ca="1">forwardZeroRate(365,Lin_Interp(ROUND(J$47*365,0),Zero_swap_CL!$O$23:$O$94,Zero_swap_CL!$S$23:$S$94),Lin_Interp(ROUND(J$47*365+$B56*365,0),Zero_swap_CL!$O$23:$O$94,Zero_swap_CL!$S$23:$S$94),J$47*365,J$47*365+$B56*365)</f>
        <v>1.3144118934813376</v>
      </c>
      <c r="K56" s="326">
        <f ca="1">forwardZeroRate(365,Lin_Interp(ROUND(K$47*365,0),Zero_swap_CL!$O$23:$O$94,Zero_swap_CL!$S$23:$S$94),Lin_Interp(ROUND(K$47*365+$B56*365,0),Zero_swap_CL!$O$23:$O$94,Zero_swap_CL!$S$23:$S$94),K$47*365,K$47*365+$B56*365)</f>
        <v>1.4762878943338054</v>
      </c>
      <c r="L56" s="326">
        <f ca="1">forwardZeroRate(365,Lin_Interp(ROUND(L$47*365,0),Zero_swap_CL!$O$23:$O$94,Zero_swap_CL!$S$23:$S$94),Lin_Interp(ROUND(L$47*365+$B56*365,0),Zero_swap_CL!$O$23:$O$94,Zero_swap_CL!$S$23:$S$94),L$47*365,L$47*365+$B56*365)</f>
        <v>1.5641035451118723</v>
      </c>
      <c r="N56" s="329">
        <v>5</v>
      </c>
      <c r="O56" s="326">
        <f t="shared" ca="1" si="21"/>
        <v>-0.15060407117439545</v>
      </c>
      <c r="P56" s="326">
        <f t="shared" ca="1" si="12"/>
        <v>-0.16764431579066041</v>
      </c>
      <c r="Q56" s="326">
        <f t="shared" ca="1" si="13"/>
        <v>-0.22785019236772897</v>
      </c>
      <c r="R56" s="326">
        <f t="shared" ca="1" si="14"/>
        <v>-0.23193229234128587</v>
      </c>
      <c r="S56" s="326">
        <f t="shared" ca="1" si="15"/>
        <v>-0.23063497401629718</v>
      </c>
      <c r="T56" s="326">
        <f t="shared" ca="1" si="16"/>
        <v>-0.22117437986803878</v>
      </c>
      <c r="U56" s="326">
        <f t="shared" ca="1" si="17"/>
        <v>-0.11404770695901956</v>
      </c>
      <c r="V56" s="326">
        <f t="shared" ca="1" si="18"/>
        <v>7.6090522526461868E-2</v>
      </c>
      <c r="W56" s="326">
        <f t="shared" ca="1" si="19"/>
        <v>0.24333056006486942</v>
      </c>
      <c r="X56" s="326">
        <f t="shared" ca="1" si="20"/>
        <v>0.33937160928212418</v>
      </c>
      <c r="AB56" s="347">
        <v>370</v>
      </c>
      <c r="AC56" s="346">
        <f ca="1">VLOOKUP(AB56,HPR!$AH$30:$AL$5430,5,0)</f>
        <v>3.4906362968492033</v>
      </c>
      <c r="AD56" s="346">
        <f ca="1">VLOOKUP(AB56,HPR!$AH$30:$AN$5430,7,0)</f>
        <v>0.19002070875691057</v>
      </c>
      <c r="AE56" s="346">
        <f t="shared" ca="1" si="22"/>
        <v>3.4420057774537938</v>
      </c>
      <c r="AF56" s="346">
        <f t="shared" ca="1" si="23"/>
        <v>0.18741524765086837</v>
      </c>
    </row>
    <row r="57" spans="2:32">
      <c r="B57" s="329">
        <v>6</v>
      </c>
      <c r="C57" s="326">
        <f ca="1">Lin_Interp(ROUND($B57*365,0),Zero_swap_CL!$O$23:$O$94,Zero_swap_CL!$S$23:$S$94)</f>
        <v>0.85436470024600586</v>
      </c>
      <c r="D57" s="326">
        <f ca="1">forwardZeroRate(365,Lin_Interp(ROUND(D$47*365,0),Zero_swap_CL!$O$23:$O$94,Zero_swap_CL!$S$23:$S$94),Lin_Interp(ROUND(D$47*365+$B57*365,0),Zero_swap_CL!$O$23:$O$94,Zero_swap_CL!$S$23:$S$94),D$47*365,D$47*365+$B57*365)</f>
        <v>0.87169682061762899</v>
      </c>
      <c r="E57" s="326">
        <f ca="1">forwardZeroRate(365,Lin_Interp(ROUND(E$47*365,0),Zero_swap_CL!$O$23:$O$94,Zero_swap_CL!$S$23:$S$94),Lin_Interp(ROUND(E$47*365+$B57*365,0),Zero_swap_CL!$O$23:$O$94,Zero_swap_CL!$S$23:$S$94),E$47*365,E$47*365+$B57*365)</f>
        <v>0.84818038821001807</v>
      </c>
      <c r="F57" s="326">
        <f ca="1">forwardZeroRate(365,Lin_Interp(ROUND(F$47*365,0),Zero_swap_CL!$O$23:$O$94,Zero_swap_CL!$S$23:$S$94),Lin_Interp(ROUND(F$47*365+$B57*365,0),Zero_swap_CL!$O$23:$O$94,Zero_swap_CL!$S$23:$S$94),F$47*365,F$47*365+$B57*365)</f>
        <v>0.86675891922260995</v>
      </c>
      <c r="G57" s="326">
        <f ca="1">forwardZeroRate(365,Lin_Interp(ROUND(G$47*365,0),Zero_swap_CL!$O$23:$O$94,Zero_swap_CL!$S$23:$S$94),Lin_Interp(ROUND(G$47*365+$B57*365,0),Zero_swap_CL!$O$23:$O$94,Zero_swap_CL!$S$23:$S$94),G$47*365,G$47*365+$B57*365)</f>
        <v>0.92262816311314833</v>
      </c>
      <c r="H57" s="326">
        <f ca="1">forwardZeroRate(365,Lin_Interp(ROUND(H$47*365,0),Zero_swap_CL!$O$23:$O$94,Zero_swap_CL!$S$23:$S$94),Lin_Interp(ROUND(H$47*365+$B57*365,0),Zero_swap_CL!$O$23:$O$94,Zero_swap_CL!$S$23:$S$94),H$47*365,H$47*365+$B57*365)</f>
        <v>0.99531598365794061</v>
      </c>
      <c r="I57" s="326">
        <f ca="1">forwardZeroRate(365,Lin_Interp(ROUND(I$47*365,0),Zero_swap_CL!$O$23:$O$94,Zero_swap_CL!$S$23:$S$94),Lin_Interp(ROUND(I$47*365+$B57*365,0),Zero_swap_CL!$O$23:$O$94,Zero_swap_CL!$S$23:$S$94),I$47*365,I$47*365+$B57*365)</f>
        <v>1.1742251417502958</v>
      </c>
      <c r="J57" s="326">
        <f ca="1">forwardZeroRate(365,Lin_Interp(ROUND(J$47*365,0),Zero_swap_CL!$O$23:$O$94,Zero_swap_CL!$S$23:$S$94),Lin_Interp(ROUND(J$47*365+$B57*365,0),Zero_swap_CL!$O$23:$O$94,Zero_swap_CL!$S$23:$S$94),J$47*365,J$47*365+$B57*365)</f>
        <v>1.391251841036456</v>
      </c>
      <c r="K57" s="326">
        <f ca="1">forwardZeroRate(365,Lin_Interp(ROUND(K$47*365,0),Zero_swap_CL!$O$23:$O$94,Zero_swap_CL!$S$23:$S$94),Lin_Interp(ROUND(K$47*365+$B57*365,0),Zero_swap_CL!$O$23:$O$94,Zero_swap_CL!$S$23:$S$94),K$47*365,K$47*365+$B57*365)</f>
        <v>1.5203283627913455</v>
      </c>
      <c r="L57" s="326">
        <f ca="1">forwardZeroRate(365,Lin_Interp(ROUND(L$47*365,0),Zero_swap_CL!$O$23:$O$94,Zero_swap_CL!$S$23:$S$94),Lin_Interp(ROUND(L$47*365+$B57*365,0),Zero_swap_CL!$O$23:$O$94,Zero_swap_CL!$S$23:$S$94),L$47*365,L$47*365+$B57*365)</f>
        <v>1.5160105868463836</v>
      </c>
      <c r="N57" s="329">
        <v>6</v>
      </c>
      <c r="O57" s="326">
        <f t="shared" ca="1" si="21"/>
        <v>-0.12346833830841974</v>
      </c>
      <c r="P57" s="326">
        <f t="shared" ca="1" si="12"/>
        <v>-0.13593957874613594</v>
      </c>
      <c r="Q57" s="326">
        <f t="shared" ca="1" si="13"/>
        <v>-0.1808392559488281</v>
      </c>
      <c r="R57" s="326">
        <f t="shared" ca="1" si="14"/>
        <v>-0.17586058629261991</v>
      </c>
      <c r="S57" s="326">
        <f t="shared" ca="1" si="15"/>
        <v>-0.16599384625033409</v>
      </c>
      <c r="T57" s="326">
        <f t="shared" ca="1" si="16"/>
        <v>-0.14885096816543708</v>
      </c>
      <c r="U57" s="326">
        <f t="shared" ca="1" si="17"/>
        <v>-3.0960158273440896E-2</v>
      </c>
      <c r="V57" s="326">
        <f t="shared" ca="1" si="18"/>
        <v>0.15668379952442635</v>
      </c>
      <c r="W57" s="326">
        <f t="shared" ca="1" si="19"/>
        <v>0.29023238983605371</v>
      </c>
      <c r="X57" s="326">
        <f t="shared" ca="1" si="20"/>
        <v>0.28755106135143205</v>
      </c>
      <c r="AB57" s="347">
        <v>380</v>
      </c>
      <c r="AC57" s="346">
        <f ca="1">VLOOKUP(AB57,HPR!$AH$30:$AL$5430,5,0)</f>
        <v>3.4891691409717041</v>
      </c>
      <c r="AD57" s="346">
        <f ca="1">VLOOKUP(AB57,HPR!$AH$30:$AN$5430,7,0)</f>
        <v>0.13417903549501897</v>
      </c>
      <c r="AE57" s="346">
        <f t="shared" ca="1" si="22"/>
        <v>3.440559399437837</v>
      </c>
      <c r="AF57" s="346">
        <f t="shared" ca="1" si="23"/>
        <v>0.13233975080757521</v>
      </c>
    </row>
    <row r="58" spans="2:32">
      <c r="B58" s="329">
        <v>7</v>
      </c>
      <c r="C58" s="326">
        <f ca="1">Lin_Interp(ROUND($B58*365,0),Zero_swap_CL!$O$23:$O$94,Zero_swap_CL!$S$23:$S$94)</f>
        <v>0.93681425816747832</v>
      </c>
      <c r="D58" s="326">
        <f ca="1">forwardZeroRate(365,Lin_Interp(ROUND(D$47*365,0),Zero_swap_CL!$O$23:$O$94,Zero_swap_CL!$S$23:$S$94),Lin_Interp(ROUND(D$47*365+$B58*365,0),Zero_swap_CL!$O$23:$O$94,Zero_swap_CL!$S$23:$S$94),D$47*365,D$47*365+$B58*365)</f>
        <v>0.95366234888123458</v>
      </c>
      <c r="E58" s="326">
        <f ca="1">forwardZeroRate(365,Lin_Interp(ROUND(E$47*365,0),Zero_swap_CL!$O$23:$O$94,Zero_swap_CL!$S$23:$S$94),Lin_Interp(ROUND(E$47*365+$B58*365,0),Zero_swap_CL!$O$23:$O$94,Zero_swap_CL!$S$23:$S$94),E$47*365,E$47*365+$B58*365)</f>
        <v>0.93748034476051068</v>
      </c>
      <c r="F58" s="326">
        <f ca="1">forwardZeroRate(365,Lin_Interp(ROUND(F$47*365,0),Zero_swap_CL!$O$23:$O$94,Zero_swap_CL!$S$23:$S$94),Lin_Interp(ROUND(F$47*365+$B58*365,0),Zero_swap_CL!$O$23:$O$94,Zero_swap_CL!$S$23:$S$94),F$47*365,F$47*365+$B58*365)</f>
        <v>0.95942842700726949</v>
      </c>
      <c r="G58" s="326">
        <f ca="1">forwardZeroRate(365,Lin_Interp(ROUND(G$47*365,0),Zero_swap_CL!$O$23:$O$94,Zero_swap_CL!$S$23:$S$94),Lin_Interp(ROUND(G$47*365+$B58*365,0),Zero_swap_CL!$O$23:$O$94,Zero_swap_CL!$S$23:$S$94),G$47*365,G$47*365+$B58*365)</f>
        <v>1.0133433790882052</v>
      </c>
      <c r="H58" s="326">
        <f ca="1">forwardZeroRate(365,Lin_Interp(ROUND(H$47*365,0),Zero_swap_CL!$O$23:$O$94,Zero_swap_CL!$S$23:$S$94),Lin_Interp(ROUND(H$47*365+$B58*365,0),Zero_swap_CL!$O$23:$O$94,Zero_swap_CL!$S$23:$S$94),H$47*365,H$47*365+$B58*365)</f>
        <v>1.0816942342843916</v>
      </c>
      <c r="I58" s="326">
        <f ca="1">forwardZeroRate(365,Lin_Interp(ROUND(I$47*365,0),Zero_swap_CL!$O$23:$O$94,Zero_swap_CL!$S$23:$S$94),Lin_Interp(ROUND(I$47*365+$B58*365,0),Zero_swap_CL!$O$23:$O$94,Zero_swap_CL!$S$23:$S$94),I$47*365,I$47*365+$B58*365)</f>
        <v>1.2600210660051792</v>
      </c>
      <c r="J58" s="326">
        <f ca="1">forwardZeroRate(365,Lin_Interp(ROUND(J$47*365,0),Zero_swap_CL!$O$23:$O$94,Zero_swap_CL!$S$23:$S$94),Lin_Interp(ROUND(J$47*365+$B58*365,0),Zero_swap_CL!$O$23:$O$94,Zero_swap_CL!$S$23:$S$94),J$47*365,J$47*365+$B58*365)</f>
        <v>1.441116172399326</v>
      </c>
      <c r="K58" s="326">
        <f ca="1">forwardZeroRate(365,Lin_Interp(ROUND(K$47*365,0),Zero_swap_CL!$O$23:$O$94,Zero_swap_CL!$S$23:$S$94),Lin_Interp(ROUND(K$47*365+$B58*365,0),Zero_swap_CL!$O$23:$O$94,Zero_swap_CL!$S$23:$S$94),K$47*365,K$47*365+$B58*365)</f>
        <v>1.4853721048715407</v>
      </c>
      <c r="L58" s="326">
        <f ca="1">forwardZeroRate(365,Lin_Interp(ROUND(L$47*365,0),Zero_swap_CL!$O$23:$O$94,Zero_swap_CL!$S$23:$S$94),Lin_Interp(ROUND(L$47*365+$B58*365,0),Zero_swap_CL!$O$23:$O$94,Zero_swap_CL!$S$23:$S$94),L$47*365,L$47*365+$B58*365)</f>
        <v>1.4824558699196633</v>
      </c>
      <c r="N58" s="329">
        <v>7</v>
      </c>
      <c r="O58" s="326">
        <f t="shared" ca="1" si="21"/>
        <v>-7.5444840240818767E-2</v>
      </c>
      <c r="P58" s="326">
        <f t="shared" ca="1" si="12"/>
        <v>-8.4214818910122169E-2</v>
      </c>
      <c r="Q58" s="326">
        <f t="shared" ca="1" si="13"/>
        <v>-0.11879766677747039</v>
      </c>
      <c r="R58" s="326">
        <f t="shared" ca="1" si="14"/>
        <v>-0.10847006400238612</v>
      </c>
      <c r="S58" s="326">
        <f t="shared" ca="1" si="15"/>
        <v>-9.3807119303757069E-2</v>
      </c>
      <c r="T58" s="326">
        <f t="shared" ca="1" si="16"/>
        <v>-7.2725898582470805E-2</v>
      </c>
      <c r="U58" s="326">
        <f t="shared" ca="1" si="17"/>
        <v>5.3318951119329938E-2</v>
      </c>
      <c r="V58" s="326">
        <f t="shared" ca="1" si="18"/>
        <v>0.20923086730275653</v>
      </c>
      <c r="W58" s="326">
        <f t="shared" ca="1" si="19"/>
        <v>0.25284722676168769</v>
      </c>
      <c r="X58" s="326">
        <f t="shared" ca="1" si="20"/>
        <v>0.24682022846511664</v>
      </c>
      <c r="AB58" s="347">
        <v>390</v>
      </c>
      <c r="AC58" s="346">
        <f ca="1">VLOOKUP(AB58,HPR!$AH$30:$AL$5430,5,0)</f>
        <v>3.4878503446953868</v>
      </c>
      <c r="AD58" s="346">
        <f ca="1">VLOOKUP(AB58,HPR!$AH$30:$AN$5430,7,0)</f>
        <v>0.14010494537268769</v>
      </c>
      <c r="AE58" s="346">
        <f t="shared" ca="1" si="22"/>
        <v>3.439259279714646</v>
      </c>
      <c r="AF58" s="346">
        <f t="shared" ca="1" si="23"/>
        <v>0.13818437411137197</v>
      </c>
    </row>
    <row r="59" spans="2:32">
      <c r="B59" s="329">
        <v>8</v>
      </c>
      <c r="C59" s="326">
        <f ca="1">Lin_Interp(ROUND($B59*365,0),Zero_swap_CL!$O$23:$O$94,Zero_swap_CL!$S$23:$S$94)</f>
        <v>1.0196637434979754</v>
      </c>
      <c r="D59" s="326">
        <f ca="1">forwardZeroRate(365,Lin_Interp(ROUND(D$47*365,0),Zero_swap_CL!$O$23:$O$94,Zero_swap_CL!$S$23:$S$94),Lin_Interp(ROUND(D$47*365+$B59*365,0),Zero_swap_CL!$O$23:$O$94,Zero_swap_CL!$S$23:$S$94),D$47*365,D$47*365+$B59*365)</f>
        <v>1.0361928568648482</v>
      </c>
      <c r="E59" s="326">
        <f ca="1">forwardZeroRate(365,Lin_Interp(ROUND(E$47*365,0),Zero_swap_CL!$O$23:$O$94,Zero_swap_CL!$S$23:$S$94),Lin_Interp(ROUND(E$47*365+$B59*365,0),Zero_swap_CL!$O$23:$O$94,Zero_swap_CL!$S$23:$S$94),E$47*365,E$47*365+$B59*365)</f>
        <v>1.0256356437722047</v>
      </c>
      <c r="F59" s="326">
        <f ca="1">forwardZeroRate(365,Lin_Interp(ROUND(F$47*365,0),Zero_swap_CL!$O$23:$O$94,Zero_swap_CL!$S$23:$S$94),Lin_Interp(ROUND(F$47*365+$B59*365,0),Zero_swap_CL!$O$23:$O$94,Zero_swap_CL!$S$23:$S$94),F$47*365,F$47*365+$B59*365)</f>
        <v>1.0503052381700906</v>
      </c>
      <c r="G59" s="326">
        <f ca="1">forwardZeroRate(365,Lin_Interp(ROUND(G$47*365,0),Zero_swap_CL!$O$23:$O$94,Zero_swap_CL!$S$23:$S$94),Lin_Interp(ROUND(G$47*365+$B59*365,0),Zero_swap_CL!$O$23:$O$94,Zero_swap_CL!$S$23:$S$94),G$47*365,G$47*365+$B59*365)</f>
        <v>1.1029553834135175</v>
      </c>
      <c r="H59" s="326">
        <f ca="1">forwardZeroRate(365,Lin_Interp(ROUND(H$47*365,0),Zero_swap_CL!$O$23:$O$94,Zero_swap_CL!$S$23:$S$94),Lin_Interp(ROUND(H$47*365+$B59*365,0),Zero_swap_CL!$O$23:$O$94,Zero_swap_CL!$S$23:$S$94),H$47*365,H$47*365+$B59*365)</f>
        <v>1.1682633482685834</v>
      </c>
      <c r="I59" s="326">
        <f ca="1">forwardZeroRate(365,Lin_Interp(ROUND(I$47*365,0),Zero_swap_CL!$O$23:$O$94,Zero_swap_CL!$S$23:$S$94),Lin_Interp(ROUND(I$47*365+$B59*365,0),Zero_swap_CL!$O$23:$O$94,Zero_swap_CL!$S$23:$S$94),I$47*365,I$47*365+$B59*365)</f>
        <v>1.3199961531651816</v>
      </c>
      <c r="J59" s="326">
        <f ca="1">forwardZeroRate(365,Lin_Interp(ROUND(J$47*365,0),Zero_swap_CL!$O$23:$O$94,Zero_swap_CL!$S$23:$S$94),Lin_Interp(ROUND(J$47*365+$B59*365,0),Zero_swap_CL!$O$23:$O$94,Zero_swap_CL!$S$23:$S$94),J$47*365,J$47*365+$B59*365)</f>
        <v>1.4204478150352084</v>
      </c>
      <c r="K59" s="326">
        <f ca="1">forwardZeroRate(365,Lin_Interp(ROUND(K$47*365,0),Zero_swap_CL!$O$23:$O$94,Zero_swap_CL!$S$23:$S$94),Lin_Interp(ROUND(K$47*365+$B59*365,0),Zero_swap_CL!$O$23:$O$94,Zero_swap_CL!$S$23:$S$94),K$47*365,K$47*365+$B59*365)</f>
        <v>1.4598481793276052</v>
      </c>
      <c r="L59" s="326">
        <f ca="1">forwardZeroRate(365,Lin_Interp(ROUND(L$47*365,0),Zero_swap_CL!$O$23:$O$94,Zero_swap_CL!$S$23:$S$94),Lin_Interp(ROUND(L$47*365+$B59*365,0),Zero_swap_CL!$O$23:$O$94,Zero_swap_CL!$S$23:$S$94),L$47*365,L$47*365+$B59*365)</f>
        <v>1.4594769260346752</v>
      </c>
      <c r="N59" s="329">
        <v>8</v>
      </c>
      <c r="O59" s="326">
        <f t="shared" ca="1" si="21"/>
        <v>-1.8035662226404181E-2</v>
      </c>
      <c r="P59" s="326">
        <f t="shared" ca="1" si="12"/>
        <v>-2.3945929761692852E-2</v>
      </c>
      <c r="Q59" s="326">
        <f t="shared" ca="1" si="13"/>
        <v>-5.0687523138148727E-2</v>
      </c>
      <c r="R59" s="326">
        <f t="shared" ca="1" si="14"/>
        <v>-3.6231061402114406E-2</v>
      </c>
      <c r="S59" s="326">
        <f t="shared" ca="1" si="15"/>
        <v>-1.7894891745262598E-2</v>
      </c>
      <c r="T59" s="326">
        <f t="shared" ca="1" si="16"/>
        <v>6.172333116638562E-3</v>
      </c>
      <c r="U59" s="326">
        <f t="shared" ca="1" si="17"/>
        <v>0.11215804983246702</v>
      </c>
      <c r="V59" s="326">
        <f t="shared" ca="1" si="18"/>
        <v>0.18666085649228226</v>
      </c>
      <c r="W59" s="326">
        <f t="shared" ca="1" si="19"/>
        <v>0.22155218493107309</v>
      </c>
      <c r="X59" s="326">
        <f t="shared" ca="1" si="20"/>
        <v>0.21451012917359513</v>
      </c>
      <c r="AB59" s="347">
        <v>400</v>
      </c>
      <c r="AC59" s="346">
        <f ca="1">VLOOKUP(AB59,HPR!$AH$30:$AL$5430,5,0)</f>
        <v>3.4866687770519045</v>
      </c>
      <c r="AD59" s="346">
        <f ca="1">VLOOKUP(AB59,HPR!$AH$30:$AN$5430,7,0)</f>
        <v>0.14580385692088971</v>
      </c>
      <c r="AE59" s="346">
        <f t="shared" ca="1" si="22"/>
        <v>3.4380944450245865</v>
      </c>
      <c r="AF59" s="346">
        <f t="shared" ca="1" si="23"/>
        <v>0.14380510838594152</v>
      </c>
    </row>
    <row r="60" spans="2:32">
      <c r="B60" s="329">
        <v>9</v>
      </c>
      <c r="C60" s="326">
        <f ca="1">Lin_Interp(ROUND($B60*365,0),Zero_swap_CL!$O$23:$O$94,Zero_swap_CL!$S$23:$S$94)</f>
        <v>1.1034588290519933</v>
      </c>
      <c r="D60" s="326">
        <f ca="1">forwardZeroRate(365,Lin_Interp(ROUND(D$47*365,0),Zero_swap_CL!$O$23:$O$94,Zero_swap_CL!$S$23:$S$94),Lin_Interp(ROUND(D$47*365+$B60*365,0),Zero_swap_CL!$O$23:$O$94,Zero_swap_CL!$S$23:$S$94),D$47*365,D$47*365+$B60*365)</f>
        <v>1.1184588346007107</v>
      </c>
      <c r="E60" s="326">
        <f ca="1">forwardZeroRate(365,Lin_Interp(ROUND(E$47*365,0),Zero_swap_CL!$O$23:$O$94,Zero_swap_CL!$S$23:$S$94),Lin_Interp(ROUND(E$47*365+$B60*365,0),Zero_swap_CL!$O$23:$O$94,Zero_swap_CL!$S$23:$S$94),E$47*365,E$47*365+$B60*365)</f>
        <v>1.1085848292717415</v>
      </c>
      <c r="F60" s="326">
        <f ca="1">forwardZeroRate(365,Lin_Interp(ROUND(F$47*365,0),Zero_swap_CL!$O$23:$O$94,Zero_swap_CL!$S$23:$S$94),Lin_Interp(ROUND(F$47*365+$B60*365,0),Zero_swap_CL!$O$23:$O$94,Zero_swap_CL!$S$23:$S$94),F$47*365,F$47*365+$B60*365)</f>
        <v>1.1295505021299501</v>
      </c>
      <c r="G60" s="326">
        <f ca="1">forwardZeroRate(365,Lin_Interp(ROUND(G$47*365,0),Zero_swap_CL!$O$23:$O$94,Zero_swap_CL!$S$23:$S$94),Lin_Interp(ROUND(G$47*365+$B60*365,0),Zero_swap_CL!$O$23:$O$94,Zero_swap_CL!$S$23:$S$94),G$47*365,G$47*365+$B60*365)</f>
        <v>1.1751515945145785</v>
      </c>
      <c r="H60" s="326">
        <f ca="1">forwardZeroRate(365,Lin_Interp(ROUND(H$47*365,0),Zero_swap_CL!$O$23:$O$94,Zero_swap_CL!$S$23:$S$94),Lin_Interp(ROUND(H$47*365+$B60*365,0),Zero_swap_CL!$O$23:$O$94,Zero_swap_CL!$S$23:$S$94),H$47*365,H$47*365+$B60*365)</f>
        <v>1.231721036023492</v>
      </c>
      <c r="I60" s="326">
        <f ca="1">forwardZeroRate(365,Lin_Interp(ROUND(I$47*365,0),Zero_swap_CL!$O$23:$O$94,Zero_swap_CL!$S$23:$S$94),Lin_Interp(ROUND(I$47*365+$B60*365,0),Zero_swap_CL!$O$23:$O$94,Zero_swap_CL!$S$23:$S$94),I$47*365,I$47*365+$B60*365)</f>
        <v>1.3150942072672533</v>
      </c>
      <c r="J60" s="326">
        <f ca="1">forwardZeroRate(365,Lin_Interp(ROUND(J$47*365,0),Zero_swap_CL!$O$23:$O$94,Zero_swap_CL!$S$23:$S$94),Lin_Interp(ROUND(J$47*365+$B60*365,0),Zero_swap_CL!$O$23:$O$94,Zero_swap_CL!$S$23:$S$94),J$47*365,J$47*365+$B60*365)</f>
        <v>1.4049842248999855</v>
      </c>
      <c r="K60" s="326">
        <f ca="1">forwardZeroRate(365,Lin_Interp(ROUND(K$47*365,0),Zero_swap_CL!$O$23:$O$94,Zero_swap_CL!$S$23:$S$94),Lin_Interp(ROUND(K$47*365+$B60*365,0),Zero_swap_CL!$O$23:$O$94,Zero_swap_CL!$S$23:$S$94),K$47*365,K$47*365+$B60*365)</f>
        <v>1.4419379561875667</v>
      </c>
      <c r="L60" s="326">
        <f ca="1">forwardZeroRate(365,Lin_Interp(ROUND(L$47*365,0),Zero_swap_CL!$O$23:$O$94,Zero_swap_CL!$S$23:$S$94),Lin_Interp(ROUND(L$47*365+$B60*365,0),Zero_swap_CL!$O$23:$O$94,Zero_swap_CL!$S$23:$S$94),L$47*365,L$47*365+$B60*365)</f>
        <v>1.4435450731409283</v>
      </c>
      <c r="N60" s="329">
        <v>9</v>
      </c>
      <c r="O60" s="326">
        <f t="shared" ca="1" si="21"/>
        <v>4.5985568231255769E-2</v>
      </c>
      <c r="P60" s="326">
        <f t="shared" ca="1" si="12"/>
        <v>4.1008373804674036E-2</v>
      </c>
      <c r="Q60" s="326">
        <f t="shared" ca="1" si="13"/>
        <v>1.669684823089046E-2</v>
      </c>
      <c r="R60" s="326">
        <f t="shared" ca="1" si="14"/>
        <v>2.8557653218208578E-2</v>
      </c>
      <c r="S60" s="326">
        <f t="shared" ca="1" si="15"/>
        <v>4.3677943638198435E-2</v>
      </c>
      <c r="T60" s="326">
        <f t="shared" ca="1" si="16"/>
        <v>6.366483201598605E-2</v>
      </c>
      <c r="U60" s="326">
        <f t="shared" ca="1" si="17"/>
        <v>0.1028944748132643</v>
      </c>
      <c r="V60" s="326">
        <f t="shared" ca="1" si="18"/>
        <v>0.16620757654766116</v>
      </c>
      <c r="W60" s="326">
        <f t="shared" ca="1" si="19"/>
        <v>0.19564304837860202</v>
      </c>
      <c r="X60" s="326">
        <f t="shared" ca="1" si="20"/>
        <v>0.18781057094514608</v>
      </c>
      <c r="AB60" s="347">
        <v>410</v>
      </c>
      <c r="AC60" s="346">
        <f ca="1">VLOOKUP(AB60,HPR!$AH$30:$AL$5430,5,0)</f>
        <v>3.4856143935413142</v>
      </c>
      <c r="AD60" s="346">
        <f ca="1">VLOOKUP(AB60,HPR!$AH$30:$AN$5430,7,0)</f>
        <v>0.15982557840406031</v>
      </c>
      <c r="AE60" s="346">
        <f t="shared" ca="1" si="22"/>
        <v>3.4370549931757477</v>
      </c>
      <c r="AF60" s="346">
        <f t="shared" ca="1" si="23"/>
        <v>0.15763446221361832</v>
      </c>
    </row>
    <row r="61" spans="2:32">
      <c r="B61" s="329">
        <v>10</v>
      </c>
      <c r="C61" s="326">
        <f ca="1">Lin_Interp(ROUND($B61*365,0),Zero_swap_CL!$O$23:$O$94,Zero_swap_CL!$S$23:$S$94)</f>
        <v>1.1670146153863614</v>
      </c>
      <c r="D61" s="326">
        <f ca="1">forwardZeroRate(365,Lin_Interp(ROUND(D$47*365,0),Zero_swap_CL!$O$23:$O$94,Zero_swap_CL!$S$23:$S$94),Lin_Interp(ROUND(D$47*365+$B61*365,0),Zero_swap_CL!$O$23:$O$94,Zero_swap_CL!$S$23:$S$94),D$47*365,D$47*365+$B61*365)</f>
        <v>1.1778493194290363</v>
      </c>
      <c r="E61" s="326">
        <f ca="1">forwardZeroRate(365,Lin_Interp(ROUND(E$47*365,0),Zero_swap_CL!$O$23:$O$94,Zero_swap_CL!$S$23:$S$94),Lin_Interp(ROUND(E$47*365+$B61*365,0),Zero_swap_CL!$O$23:$O$94,Zero_swap_CL!$S$23:$S$94),E$47*365,E$47*365+$B61*365)</f>
        <v>1.1616853102950797</v>
      </c>
      <c r="F61" s="326">
        <f ca="1">forwardZeroRate(365,Lin_Interp(ROUND(F$47*365,0),Zero_swap_CL!$O$23:$O$94,Zero_swap_CL!$S$23:$S$94),Lin_Interp(ROUND(F$47*365+$B61*365,0),Zero_swap_CL!$O$23:$O$94,Zero_swap_CL!$S$23:$S$94),F$47*365,F$47*365+$B61*365)</f>
        <v>1.1690185554821042</v>
      </c>
      <c r="G61" s="326">
        <f ca="1">forwardZeroRate(365,Lin_Interp(ROUND(G$47*365,0),Zero_swap_CL!$O$23:$O$94,Zero_swap_CL!$S$23:$S$94),Lin_Interp(ROUND(G$47*365+$B61*365,0),Zero_swap_CL!$O$23:$O$94,Zero_swap_CL!$S$23:$S$94),G$47*365,G$47*365+$B61*365)</f>
        <v>1.1979849510343366</v>
      </c>
      <c r="H61" s="326">
        <f ca="1">forwardZeroRate(365,Lin_Interp(ROUND(H$47*365,0),Zero_swap_CL!$O$23:$O$94,Zero_swap_CL!$S$23:$S$94),Lin_Interp(ROUND(H$47*365+$B61*365,0),Zero_swap_CL!$O$23:$O$94,Zero_swap_CL!$S$23:$S$94),H$47*365,H$47*365+$B61*365)</f>
        <v>1.2361367832383063</v>
      </c>
      <c r="I61" s="326">
        <f ca="1">forwardZeroRate(365,Lin_Interp(ROUND(I$47*365,0),Zero_swap_CL!$O$23:$O$94,Zero_swap_CL!$S$23:$S$94),Lin_Interp(ROUND(I$47*365+$B61*365,0),Zero_swap_CL!$O$23:$O$94,Zero_swap_CL!$S$23:$S$94),I$47*365,I$47*365+$B61*365)</f>
        <v>1.3117203162047897</v>
      </c>
      <c r="J61" s="326">
        <f ca="1">forwardZeroRate(365,Lin_Interp(ROUND(J$47*365,0),Zero_swap_CL!$O$23:$O$94,Zero_swap_CL!$S$23:$S$94),Lin_Interp(ROUND(J$47*365+$B61*365,0),Zero_swap_CL!$O$23:$O$94,Zero_swap_CL!$S$23:$S$94),J$47*365,J$47*365+$B61*365)</f>
        <v>1.3943577869637513</v>
      </c>
      <c r="K61" s="326">
        <f ca="1">forwardZeroRate(365,Lin_Interp(ROUND(K$47*365,0),Zero_swap_CL!$O$23:$O$94,Zero_swap_CL!$S$23:$S$94),Lin_Interp(ROUND(K$47*365+$B61*365,0),Zero_swap_CL!$O$23:$O$94,Zero_swap_CL!$S$23:$S$94),K$47*365,K$47*365+$B61*365)</f>
        <v>1.4293551673870919</v>
      </c>
      <c r="L61" s="326">
        <f ca="1">forwardZeroRate(365,Lin_Interp(ROUND(L$47*365,0),Zero_swap_CL!$O$23:$O$94,Zero_swap_CL!$S$23:$S$94),Lin_Interp(ROUND(L$47*365+$B61*365,0),Zero_swap_CL!$O$23:$O$94,Zero_swap_CL!$S$23:$S$94),L$47*365,L$47*365+$B61*365)</f>
        <v>1.4325443354870293</v>
      </c>
      <c r="N61" s="329">
        <v>10</v>
      </c>
      <c r="O61" s="326">
        <f t="shared" ca="1" si="21"/>
        <v>9.3720792553213972E-2</v>
      </c>
      <c r="P61" s="326">
        <f t="shared" ca="1" si="12"/>
        <v>8.6341325012417869E-2</v>
      </c>
      <c r="Q61" s="326">
        <f t="shared" ca="1" si="13"/>
        <v>5.6655046626086225E-2</v>
      </c>
      <c r="R61" s="326">
        <f t="shared" ca="1" si="14"/>
        <v>5.5000511477687475E-2</v>
      </c>
      <c r="S61" s="326">
        <f t="shared" ca="1" si="15"/>
        <v>5.5742840590955467E-2</v>
      </c>
      <c r="T61" s="326">
        <f t="shared" ca="1" si="16"/>
        <v>6.0179024033280015E-2</v>
      </c>
      <c r="U61" s="326">
        <f t="shared" ca="1" si="17"/>
        <v>9.2872220398110272E-2</v>
      </c>
      <c r="V61" s="326">
        <f t="shared" ca="1" si="18"/>
        <v>0.14843017971655215</v>
      </c>
      <c r="W61" s="326">
        <f t="shared" ca="1" si="19"/>
        <v>0.17350207377597737</v>
      </c>
      <c r="X61" s="326">
        <f t="shared" ca="1" si="20"/>
        <v>0.16503662031732702</v>
      </c>
      <c r="AB61" s="347">
        <v>420</v>
      </c>
      <c r="AC61" s="346">
        <f ca="1">VLOOKUP(AB61,HPR!$AH$30:$AL$5430,5,0)</f>
        <v>3.4846781067301213</v>
      </c>
      <c r="AD61" s="346">
        <f ca="1">VLOOKUP(AB61,HPR!$AH$30:$AN$5430,7,0)</f>
        <v>0.20657871549463191</v>
      </c>
      <c r="AE61" s="346">
        <f t="shared" ca="1" si="22"/>
        <v>3.4361319654772293</v>
      </c>
      <c r="AF61" s="346">
        <f t="shared" ca="1" si="23"/>
        <v>0.20374598919812303</v>
      </c>
    </row>
    <row r="62" spans="2:32">
      <c r="E62" s="326"/>
      <c r="F62" s="326"/>
      <c r="G62" s="326"/>
      <c r="H62" s="326"/>
      <c r="I62" s="326"/>
      <c r="J62" s="326"/>
      <c r="AB62" s="347">
        <v>430</v>
      </c>
      <c r="AC62" s="346">
        <f ca="1">VLOOKUP(AB62,HPR!$AH$30:$AL$5430,5,0)</f>
        <v>3.4838516749137627</v>
      </c>
      <c r="AD62" s="346">
        <f ca="1">VLOOKUP(AB62,HPR!$AH$30:$AN$5430,7,0)</f>
        <v>0.25124184047380371</v>
      </c>
      <c r="AE62" s="346">
        <f t="shared" ca="1" si="22"/>
        <v>3.4353172369802287</v>
      </c>
      <c r="AF62" s="346">
        <f t="shared" ca="1" si="23"/>
        <v>0.24779591081083296</v>
      </c>
    </row>
    <row r="63" spans="2:32" ht="13.5" thickBot="1">
      <c r="B63" s="570" t="s">
        <v>341</v>
      </c>
      <c r="C63" s="585"/>
      <c r="D63" s="585"/>
      <c r="E63" s="585"/>
      <c r="F63" s="585"/>
      <c r="G63" s="585"/>
      <c r="H63" s="585"/>
      <c r="I63" s="585"/>
      <c r="J63" s="585"/>
      <c r="K63" s="585"/>
      <c r="L63" s="585"/>
      <c r="N63" s="570" t="s">
        <v>351</v>
      </c>
      <c r="O63" s="585"/>
      <c r="P63" s="585"/>
      <c r="Q63" s="585"/>
      <c r="R63" s="585"/>
      <c r="S63" s="585"/>
      <c r="T63" s="585"/>
      <c r="U63" s="585"/>
      <c r="V63" s="585"/>
      <c r="W63" s="585"/>
      <c r="X63" s="585"/>
      <c r="AB63" s="347">
        <v>440</v>
      </c>
      <c r="AC63" s="346">
        <f ca="1">VLOOKUP(AB63,HPR!$AH$30:$AL$5430,5,0)</f>
        <v>3.4831276059679839</v>
      </c>
      <c r="AD63" s="346">
        <f ca="1">VLOOKUP(AB63,HPR!$AH$30:$AN$5430,7,0)</f>
        <v>0.29530007169322747</v>
      </c>
      <c r="AE63" s="346">
        <f t="shared" ca="1" si="22"/>
        <v>3.4346034216928834</v>
      </c>
      <c r="AF63" s="346">
        <f t="shared" ca="1" si="23"/>
        <v>0.29124898017072187</v>
      </c>
    </row>
    <row r="64" spans="2:32" ht="13.5" thickBot="1">
      <c r="B64" s="220" t="s">
        <v>309</v>
      </c>
      <c r="C64" s="337" t="s">
        <v>311</v>
      </c>
      <c r="D64" s="353">
        <f>1/12</f>
        <v>8.3333333333333329E-2</v>
      </c>
      <c r="E64" s="353">
        <v>0.25</v>
      </c>
      <c r="F64" s="353">
        <v>0.5</v>
      </c>
      <c r="G64" s="353">
        <f>9/12</f>
        <v>0.75</v>
      </c>
      <c r="H64" s="339">
        <v>1</v>
      </c>
      <c r="I64" s="339">
        <v>2</v>
      </c>
      <c r="J64" s="339">
        <v>3</v>
      </c>
      <c r="K64" s="339">
        <v>4</v>
      </c>
      <c r="L64" s="339">
        <v>5</v>
      </c>
      <c r="N64" s="220" t="s">
        <v>309</v>
      </c>
      <c r="O64" s="337" t="s">
        <v>311</v>
      </c>
      <c r="P64" s="353">
        <f>1/12</f>
        <v>8.3333333333333329E-2</v>
      </c>
      <c r="Q64" s="353">
        <v>0.25</v>
      </c>
      <c r="R64" s="353">
        <v>0.5</v>
      </c>
      <c r="S64" s="353">
        <f>9/12</f>
        <v>0.75</v>
      </c>
      <c r="T64" s="339">
        <v>1</v>
      </c>
      <c r="U64" s="339">
        <v>2</v>
      </c>
      <c r="V64" s="339">
        <v>3</v>
      </c>
      <c r="W64" s="339">
        <v>4</v>
      </c>
      <c r="X64" s="339">
        <v>5</v>
      </c>
      <c r="AB64" s="347">
        <v>450</v>
      </c>
      <c r="AC64" s="346">
        <f ca="1">VLOOKUP(AB64,HPR!$AH$30:$AL$5430,5,0)</f>
        <v>3.4825769963220843</v>
      </c>
      <c r="AD64" s="346">
        <f ca="1">VLOOKUP(AB64,HPR!$AH$30:$AN$5430,7,0)</f>
        <v>0.34938716381132107</v>
      </c>
      <c r="AE64" s="346">
        <f t="shared" ca="1" si="22"/>
        <v>3.4340606092742032</v>
      </c>
      <c r="AF64" s="346">
        <f t="shared" ca="1" si="23"/>
        <v>0.34459280147909332</v>
      </c>
    </row>
    <row r="65" spans="2:55">
      <c r="B65" s="328">
        <f>1/12</f>
        <v>8.3333333333333329E-2</v>
      </c>
      <c r="C65" s="326">
        <f t="shared" ref="C65:L65" ca="1" si="24">C31-C48</f>
        <v>3.450300820604641</v>
      </c>
      <c r="D65" s="326">
        <f t="shared" ca="1" si="24"/>
        <v>2.051549965523658</v>
      </c>
      <c r="E65" s="326">
        <f t="shared" ca="1" si="24"/>
        <v>0.99475151648211746</v>
      </c>
      <c r="F65" s="326">
        <f t="shared" ca="1" si="24"/>
        <v>3.8229260369546436</v>
      </c>
      <c r="G65" s="326">
        <f t="shared" ca="1" si="24"/>
        <v>2.8801741539638659</v>
      </c>
      <c r="H65" s="326">
        <f t="shared" ca="1" si="24"/>
        <v>4.0853772065944982</v>
      </c>
      <c r="I65" s="326">
        <f t="shared" ca="1" si="24"/>
        <v>3.0768770958797376</v>
      </c>
      <c r="J65" s="326">
        <f t="shared" ca="1" si="24"/>
        <v>2.9394142754297414</v>
      </c>
      <c r="K65" s="326">
        <f t="shared" ca="1" si="24"/>
        <v>2.888632010862624</v>
      </c>
      <c r="L65" s="326">
        <f t="shared" ca="1" si="24"/>
        <v>2.8849622248475981</v>
      </c>
      <c r="N65" s="328">
        <f>1/12</f>
        <v>8.3333333333333329E-2</v>
      </c>
      <c r="O65" s="326">
        <f t="shared" ref="O65:O78" ca="1" si="25">C65-AC124</f>
        <v>-1.0464681619290643</v>
      </c>
      <c r="P65" s="326">
        <f t="shared" ref="P65:P78" ca="1" si="26">D65-AD124</f>
        <v>-1.8458075947732633</v>
      </c>
      <c r="Q65" s="326">
        <f t="shared" ref="Q65:Q78" ca="1" si="27">E65-AE124</f>
        <v>-0.84362825171409028</v>
      </c>
      <c r="R65" s="326">
        <f t="shared" ref="R65:R78" ca="1" si="28">F65-AF124</f>
        <v>-0.13092415352998765</v>
      </c>
      <c r="S65" s="326">
        <f t="shared" ref="S65:S78" ca="1" si="29">G65-AG124</f>
        <v>-4.1708407612994769E-2</v>
      </c>
      <c r="T65" s="326">
        <f t="shared" ref="T65:T78" ca="1" si="30">H65-AH124</f>
        <v>-0.15822827981046839</v>
      </c>
      <c r="U65" s="326">
        <f t="shared" ref="U65:U78" ca="1" si="31">I65-AI124</f>
        <v>8.1195703197201041E-2</v>
      </c>
      <c r="V65" s="326">
        <f t="shared" ref="V65:V78" ca="1" si="32">J65-AJ124</f>
        <v>-5.781783856391165E-2</v>
      </c>
      <c r="W65" s="326">
        <f t="shared" ref="W65:W78" ca="1" si="33">K65-AK124</f>
        <v>-0.11525570701977905</v>
      </c>
      <c r="X65" s="326">
        <f t="shared" ref="X65:X78" ca="1" si="34">L65-AL124</f>
        <v>-0.12010288331132379</v>
      </c>
      <c r="AB65" s="347">
        <v>460</v>
      </c>
      <c r="AC65" s="346">
        <f ca="1">VLOOKUP(AB65,HPR!$AH$30:$AL$5430,5,0)</f>
        <v>3.4825696719264387</v>
      </c>
      <c r="AD65" s="346">
        <f ca="1">VLOOKUP(AB65,HPR!$AH$30:$AN$5430,7,0)</f>
        <v>0.40165381724146521</v>
      </c>
      <c r="AE65" s="346">
        <f t="shared" ca="1" si="22"/>
        <v>3.4340533885996338</v>
      </c>
      <c r="AF65" s="346">
        <f t="shared" ca="1" si="23"/>
        <v>0.39614082657155603</v>
      </c>
    </row>
    <row r="66" spans="2:55">
      <c r="B66" s="328">
        <v>0.25</v>
      </c>
      <c r="C66" s="326">
        <f t="shared" ref="C66:L66" ca="1" si="35">C32-C49</f>
        <v>2.0179025315130277</v>
      </c>
      <c r="D66" s="326">
        <f t="shared" ca="1" si="35"/>
        <v>1.1944122477693275</v>
      </c>
      <c r="E66" s="326">
        <f t="shared" ca="1" si="35"/>
        <v>2.3399818082147084</v>
      </c>
      <c r="F66" s="326">
        <f t="shared" ca="1" si="35"/>
        <v>3.1666571178943892</v>
      </c>
      <c r="G66" s="326">
        <f t="shared" ca="1" si="35"/>
        <v>3.4449645462431122</v>
      </c>
      <c r="H66" s="326">
        <f t="shared" ca="1" si="35"/>
        <v>2.3426908588170647</v>
      </c>
      <c r="I66" s="326">
        <f t="shared" ca="1" si="35"/>
        <v>3.0143079644132653</v>
      </c>
      <c r="J66" s="326">
        <f t="shared" ca="1" si="35"/>
        <v>2.9036353975355755</v>
      </c>
      <c r="K66" s="326">
        <f t="shared" ca="1" si="35"/>
        <v>2.8853745162569222</v>
      </c>
      <c r="L66" s="326">
        <f t="shared" ca="1" si="35"/>
        <v>2.8834971934690978</v>
      </c>
      <c r="M66" s="184"/>
      <c r="N66" s="328">
        <v>0.25</v>
      </c>
      <c r="O66" s="326">
        <f t="shared" ca="1" si="25"/>
        <v>-1.5724246977211149</v>
      </c>
      <c r="P66" s="326">
        <f t="shared" ca="1" si="26"/>
        <v>-1.5095589227804185</v>
      </c>
      <c r="Q66" s="326">
        <f t="shared" ca="1" si="27"/>
        <v>-0.27012501498859809</v>
      </c>
      <c r="R66" s="326">
        <f t="shared" ca="1" si="28"/>
        <v>-6.2208529054497141E-2</v>
      </c>
      <c r="S66" s="326">
        <f t="shared" ca="1" si="29"/>
        <v>3.4933791755453747E-3</v>
      </c>
      <c r="T66" s="326">
        <f t="shared" ca="1" si="30"/>
        <v>-7.4083112176626109E-2</v>
      </c>
      <c r="U66" s="326">
        <f t="shared" ca="1" si="31"/>
        <v>1.6806994880091963E-2</v>
      </c>
      <c r="V66" s="326">
        <f t="shared" ca="1" si="32"/>
        <v>-9.3597960116076351E-2</v>
      </c>
      <c r="W66" s="326">
        <f t="shared" ca="1" si="33"/>
        <v>-0.11907077393147336</v>
      </c>
      <c r="X66" s="326">
        <f t="shared" ca="1" si="34"/>
        <v>-0.12173186910255929</v>
      </c>
      <c r="AB66" s="347">
        <v>470</v>
      </c>
      <c r="AC66" s="346">
        <f ca="1">VLOOKUP(AB66,HPR!$AH$30:$AL$5430,5,0)</f>
        <v>3.4831206923351177</v>
      </c>
      <c r="AD66" s="346">
        <f ca="1">VLOOKUP(AB66,HPR!$AH$30:$AN$5430,7,0)</f>
        <v>0.45226355672141061</v>
      </c>
      <c r="AE66" s="346">
        <f t="shared" ca="1" si="0"/>
        <v>3.4345966059647681</v>
      </c>
      <c r="AF66" s="346">
        <f t="shared" ca="1" si="1"/>
        <v>0.44605436876794524</v>
      </c>
    </row>
    <row r="67" spans="2:55">
      <c r="B67" s="328">
        <v>0.5</v>
      </c>
      <c r="C67" s="326">
        <f t="shared" ref="C67:L67" ca="1" si="36">C33-C50</f>
        <v>2.1792522871548852</v>
      </c>
      <c r="D67" s="326">
        <f t="shared" ca="1" si="36"/>
        <v>2.2428395017554115</v>
      </c>
      <c r="E67" s="326">
        <f t="shared" ca="1" si="36"/>
        <v>2.7542303158434533</v>
      </c>
      <c r="F67" s="326">
        <f t="shared" ca="1" si="36"/>
        <v>3.3059635215806349</v>
      </c>
      <c r="G67" s="326">
        <f t="shared" ca="1" si="36"/>
        <v>2.8952345907329757</v>
      </c>
      <c r="H67" s="326">
        <f t="shared" ca="1" si="36"/>
        <v>2.0012001665933532</v>
      </c>
      <c r="I67" s="326">
        <f t="shared" ca="1" si="36"/>
        <v>3.0236441972723238</v>
      </c>
      <c r="J67" s="326">
        <f t="shared" ca="1" si="36"/>
        <v>2.8983653278260357</v>
      </c>
      <c r="K67" s="326">
        <f t="shared" ca="1" si="36"/>
        <v>2.8864612105730547</v>
      </c>
      <c r="L67" s="326">
        <f t="shared" ca="1" si="36"/>
        <v>2.8842926916431866</v>
      </c>
      <c r="N67" s="328">
        <v>0.5</v>
      </c>
      <c r="O67" s="326">
        <f t="shared" ca="1" si="25"/>
        <v>-0.92199847206011443</v>
      </c>
      <c r="P67" s="326">
        <f t="shared" ca="1" si="26"/>
        <v>-0.76721348376282972</v>
      </c>
      <c r="Q67" s="326">
        <f t="shared" ca="1" si="27"/>
        <v>-0.16594799274238792</v>
      </c>
      <c r="R67" s="326">
        <f t="shared" ca="1" si="28"/>
        <v>-2.9259495651978717E-2</v>
      </c>
      <c r="S67" s="326">
        <f t="shared" ca="1" si="29"/>
        <v>-3.5296766369663501E-2</v>
      </c>
      <c r="T67" s="326">
        <f t="shared" ca="1" si="30"/>
        <v>-0.55947260559947587</v>
      </c>
      <c r="U67" s="326">
        <f t="shared" ca="1" si="31"/>
        <v>2.518278694612075E-2</v>
      </c>
      <c r="V67" s="326">
        <f t="shared" ca="1" si="32"/>
        <v>-9.8996045392407694E-2</v>
      </c>
      <c r="W67" s="326">
        <f t="shared" ca="1" si="33"/>
        <v>-0.11857461714488426</v>
      </c>
      <c r="X67" s="326">
        <f t="shared" ca="1" si="34"/>
        <v>-0.12128755899645238</v>
      </c>
      <c r="AB67" s="347">
        <v>480</v>
      </c>
      <c r="AC67" s="346">
        <f ca="1">VLOOKUP(AB67,HPR!$AH$30:$AL$5430,5,0)</f>
        <v>3.4841951690753659</v>
      </c>
      <c r="AD67" s="346">
        <f ca="1">VLOOKUP(AB67,HPR!$AH$30:$AN$5430,7,0)</f>
        <v>0.44807968824667199</v>
      </c>
      <c r="AE67" s="346">
        <f t="shared" ca="1" si="0"/>
        <v>3.4356558668410475</v>
      </c>
      <c r="AF67" s="346">
        <f t="shared" ca="1" si="1"/>
        <v>0.44192806745482205</v>
      </c>
    </row>
    <row r="68" spans="2:55">
      <c r="B68" s="328">
        <v>0.75</v>
      </c>
      <c r="C68" s="326">
        <f t="shared" ref="C68:L68" ca="1" si="37">C34-C51</f>
        <v>2.509777027473731</v>
      </c>
      <c r="D68" s="326">
        <f t="shared" ca="1" si="37"/>
        <v>2.4462632070838319</v>
      </c>
      <c r="E68" s="326">
        <f t="shared" ca="1" si="37"/>
        <v>2.9851501031876504</v>
      </c>
      <c r="F68" s="326">
        <f t="shared" ca="1" si="37"/>
        <v>2.9857309679125033</v>
      </c>
      <c r="G68" s="326">
        <f t="shared" ca="1" si="37"/>
        <v>2.4845315616594421</v>
      </c>
      <c r="H68" s="326">
        <f t="shared" ca="1" si="37"/>
        <v>2.401608947584033</v>
      </c>
      <c r="I68" s="326">
        <f t="shared" ca="1" si="37"/>
        <v>3.0450573790641089</v>
      </c>
      <c r="J68" s="326">
        <f t="shared" ca="1" si="37"/>
        <v>2.8992057590339959</v>
      </c>
      <c r="K68" s="326">
        <f t="shared" ca="1" si="37"/>
        <v>2.8881175023574679</v>
      </c>
      <c r="L68" s="326">
        <f t="shared" ca="1" si="37"/>
        <v>2.8853198842052619</v>
      </c>
      <c r="N68" s="328">
        <v>0.75</v>
      </c>
      <c r="O68" s="326">
        <f t="shared" ca="1" si="25"/>
        <v>-0.63408005411183721</v>
      </c>
      <c r="P68" s="326">
        <f t="shared" ca="1" si="26"/>
        <v>-0.52160677471673189</v>
      </c>
      <c r="Q68" s="326">
        <f t="shared" ca="1" si="27"/>
        <v>-0.10917077658720853</v>
      </c>
      <c r="R68" s="326">
        <f t="shared" ca="1" si="28"/>
        <v>-4.4359369031665707E-2</v>
      </c>
      <c r="S68" s="326">
        <f t="shared" ca="1" si="29"/>
        <v>-0.37083024649224861</v>
      </c>
      <c r="T68" s="326">
        <f t="shared" ca="1" si="30"/>
        <v>-0.29752746787652384</v>
      </c>
      <c r="U68" s="326">
        <f t="shared" ca="1" si="31"/>
        <v>4.5905620344788289E-2</v>
      </c>
      <c r="V68" s="326">
        <f t="shared" ca="1" si="32"/>
        <v>-9.8288601623286453E-2</v>
      </c>
      <c r="W68" s="326">
        <f t="shared" ca="1" si="33"/>
        <v>-0.11742238747640688</v>
      </c>
      <c r="X68" s="326">
        <f t="shared" ca="1" si="34"/>
        <v>-0.12058101988510206</v>
      </c>
      <c r="AB68" s="347">
        <v>490</v>
      </c>
      <c r="AC68" s="346">
        <f ca="1">VLOOKUP(AB68,HPR!$AH$30:$AL$5430,5,0)</f>
        <v>3.4857610693425078</v>
      </c>
      <c r="AD68" s="346">
        <f ca="1">VLOOKUP(AB68,HPR!$AH$30:$AN$5430,7,0)</f>
        <v>0.44458629272989825</v>
      </c>
      <c r="AE68" s="346">
        <f t="shared" ca="1" si="0"/>
        <v>3.4371995918349274</v>
      </c>
      <c r="AF68" s="346">
        <f t="shared" ca="1" si="1"/>
        <v>0.43848273686153405</v>
      </c>
    </row>
    <row r="69" spans="2:55" s="184" customFormat="1" ht="13.5" customHeight="1">
      <c r="B69" s="329">
        <v>1</v>
      </c>
      <c r="C69" s="326">
        <f t="shared" ref="C69:L69" ca="1" si="38">C35-C52</f>
        <v>2.7446996221547981</v>
      </c>
      <c r="D69" s="326">
        <f t="shared" ca="1" si="38"/>
        <v>2.7984374560810377</v>
      </c>
      <c r="E69" s="326">
        <f t="shared" ca="1" si="38"/>
        <v>2.8247977572420258</v>
      </c>
      <c r="F69" s="326">
        <f t="shared" ca="1" si="38"/>
        <v>2.6553349265019177</v>
      </c>
      <c r="G69" s="326">
        <f t="shared" ca="1" si="38"/>
        <v>2.663412413445676</v>
      </c>
      <c r="H69" s="326">
        <f t="shared" ca="1" si="38"/>
        <v>2.668928247893021</v>
      </c>
      <c r="I69" s="326">
        <f t="shared" ca="1" si="38"/>
        <v>3.0702052268676283</v>
      </c>
      <c r="J69" s="326">
        <f t="shared" ca="1" si="38"/>
        <v>2.9017245323459839</v>
      </c>
      <c r="K69" s="326">
        <f t="shared" ca="1" si="38"/>
        <v>2.8900166913117475</v>
      </c>
      <c r="L69" s="326">
        <f t="shared" ca="1" si="38"/>
        <v>2.8864798222220323</v>
      </c>
      <c r="M69" s="325"/>
      <c r="N69" s="329">
        <v>1</v>
      </c>
      <c r="O69" s="326">
        <f t="shared" ca="1" si="25"/>
        <v>-0.47370666949406948</v>
      </c>
      <c r="P69" s="326">
        <f t="shared" ca="1" si="26"/>
        <v>-0.39880160153655808</v>
      </c>
      <c r="Q69" s="326">
        <f t="shared" ca="1" si="27"/>
        <v>-0.10055847826480058</v>
      </c>
      <c r="R69" s="326">
        <f t="shared" ca="1" si="28"/>
        <v>-0.29359079686517298</v>
      </c>
      <c r="S69" s="326">
        <f t="shared" ca="1" si="29"/>
        <v>-0.22209934882004845</v>
      </c>
      <c r="T69" s="326">
        <f t="shared" ca="1" si="30"/>
        <v>-9.7800175067397355E-2</v>
      </c>
      <c r="U69" s="326">
        <f t="shared" ca="1" si="31"/>
        <v>7.0416207044310397E-2</v>
      </c>
      <c r="V69" s="326">
        <f t="shared" ca="1" si="32"/>
        <v>-9.5909216869616287E-2</v>
      </c>
      <c r="W69" s="326">
        <f t="shared" ca="1" si="33"/>
        <v>-0.11602941493140673</v>
      </c>
      <c r="X69" s="326">
        <f t="shared" ca="1" si="34"/>
        <v>-0.11975404365147657</v>
      </c>
      <c r="Z69" s="325"/>
      <c r="AB69" s="347">
        <v>500</v>
      </c>
      <c r="AC69" s="346">
        <f ca="1">VLOOKUP(AB69,HPR!$AH$30:$AL$5430,5,0)</f>
        <v>3.4877889296861087</v>
      </c>
      <c r="AD69" s="346">
        <f ca="1">VLOOKUP(AB69,HPR!$AH$30:$AN$5430,7,0)</f>
        <v>0.44299476138009997</v>
      </c>
      <c r="AE69" s="346">
        <f t="shared" ca="1" si="0"/>
        <v>3.4391987344480235</v>
      </c>
      <c r="AF69" s="346">
        <f t="shared" ca="1" si="1"/>
        <v>0.43691310252595983</v>
      </c>
      <c r="AG69" s="325"/>
      <c r="AH69" s="325"/>
      <c r="AI69" s="325"/>
      <c r="AJ69" s="325"/>
      <c r="AK69" s="325"/>
      <c r="AL69" s="325"/>
    </row>
    <row r="70" spans="2:55">
      <c r="B70" s="329">
        <v>2</v>
      </c>
      <c r="C70" s="326">
        <f t="shared" ref="C70:L70" ca="1" si="39">C36-C53</f>
        <v>2.706796413699974</v>
      </c>
      <c r="D70" s="326">
        <f t="shared" ca="1" si="39"/>
        <v>2.6912148868005525</v>
      </c>
      <c r="E70" s="326">
        <f t="shared" ca="1" si="39"/>
        <v>2.8307164930783335</v>
      </c>
      <c r="F70" s="326">
        <f t="shared" ca="1" si="39"/>
        <v>2.9171040884796051</v>
      </c>
      <c r="G70" s="326">
        <f t="shared" ca="1" si="39"/>
        <v>2.9071736441346197</v>
      </c>
      <c r="H70" s="326">
        <f t="shared" ca="1" si="39"/>
        <v>2.869422666759025</v>
      </c>
      <c r="I70" s="326">
        <f t="shared" ca="1" si="39"/>
        <v>2.9861386722516814</v>
      </c>
      <c r="J70" s="326">
        <f t="shared" ca="1" si="39"/>
        <v>2.8958837130923509</v>
      </c>
      <c r="K70" s="326">
        <f t="shared" ca="1" si="39"/>
        <v>2.888248005721783</v>
      </c>
      <c r="L70" s="326">
        <f t="shared" ca="1" si="39"/>
        <v>3.0951137470999424</v>
      </c>
      <c r="N70" s="329">
        <v>2</v>
      </c>
      <c r="O70" s="326">
        <f t="shared" ca="1" si="25"/>
        <v>-0.28622142082119018</v>
      </c>
      <c r="P70" s="326">
        <f t="shared" ca="1" si="26"/>
        <v>-0.23877683807711492</v>
      </c>
      <c r="Q70" s="326">
        <f t="shared" ca="1" si="27"/>
        <v>-8.7939763543531946E-2</v>
      </c>
      <c r="R70" s="326">
        <f t="shared" ca="1" si="28"/>
        <v>-5.0170050717857073E-2</v>
      </c>
      <c r="S70" s="326">
        <f t="shared" ca="1" si="29"/>
        <v>-3.137790116136685E-2</v>
      </c>
      <c r="T70" s="326">
        <f t="shared" ca="1" si="30"/>
        <v>-1.3665662086781438E-2</v>
      </c>
      <c r="U70" s="326">
        <f t="shared" ca="1" si="31"/>
        <v>-1.2575222650457185E-2</v>
      </c>
      <c r="V70" s="326">
        <f t="shared" ca="1" si="32"/>
        <v>-0.10595584860686458</v>
      </c>
      <c r="W70" s="326">
        <f t="shared" ca="1" si="33"/>
        <v>-0.11789198023688385</v>
      </c>
      <c r="X70" s="326">
        <f t="shared" ca="1" si="34"/>
        <v>7.0029466100729465E-2</v>
      </c>
      <c r="AB70" s="347">
        <v>550</v>
      </c>
      <c r="AC70" s="346">
        <f ca="1">VLOOKUP(AB70,HPR!$AH$30:$AL$5430,5,0)</f>
        <v>3.5036553087324007</v>
      </c>
      <c r="AD70" s="346">
        <f ca="1">VLOOKUP(AB70,HPR!$AH$30:$AN$5430,7,0)</f>
        <v>0.46159695227310227</v>
      </c>
      <c r="AE70" s="346">
        <f t="shared" ca="1" si="0"/>
        <v>3.45484040178623</v>
      </c>
      <c r="AF70" s="346">
        <f t="shared" ca="1" si="1"/>
        <v>0.45525933471235458</v>
      </c>
    </row>
    <row r="71" spans="2:55">
      <c r="B71" s="329">
        <v>3</v>
      </c>
      <c r="C71" s="326">
        <f t="shared" ref="C71:L71" ca="1" si="40">C37-C54</f>
        <v>2.8278544090036046</v>
      </c>
      <c r="D71" s="326">
        <f t="shared" ca="1" si="40"/>
        <v>2.8136321513640761</v>
      </c>
      <c r="E71" s="326">
        <f t="shared" ca="1" si="40"/>
        <v>2.9012419051642313</v>
      </c>
      <c r="F71" s="326">
        <f t="shared" ca="1" si="40"/>
        <v>2.9472507373886847</v>
      </c>
      <c r="G71" s="326">
        <f t="shared" ca="1" si="40"/>
        <v>2.9250647792447904</v>
      </c>
      <c r="H71" s="326">
        <f t="shared" ca="1" si="40"/>
        <v>2.8801632790275811</v>
      </c>
      <c r="I71" s="326">
        <f t="shared" ca="1" si="40"/>
        <v>2.9542178137353714</v>
      </c>
      <c r="J71" s="326">
        <f t="shared" ca="1" si="40"/>
        <v>2.8927522688301899</v>
      </c>
      <c r="K71" s="326">
        <f t="shared" ca="1" si="40"/>
        <v>3.0266816530707841</v>
      </c>
      <c r="L71" s="326">
        <f t="shared" ca="1" si="40"/>
        <v>3.1220648572588994</v>
      </c>
      <c r="N71" s="329">
        <v>3</v>
      </c>
      <c r="O71" s="326">
        <f t="shared" ca="1" si="25"/>
        <v>-0.16742119286920021</v>
      </c>
      <c r="P71" s="326">
        <f t="shared" ca="1" si="26"/>
        <v>-0.13960280497953281</v>
      </c>
      <c r="Q71" s="326">
        <f t="shared" ca="1" si="27"/>
        <v>-4.4358946719835757E-2</v>
      </c>
      <c r="R71" s="326">
        <f t="shared" ca="1" si="28"/>
        <v>-3.0651944266923969E-2</v>
      </c>
      <c r="S71" s="326">
        <f t="shared" ca="1" si="29"/>
        <v>-3.3433960278639319E-2</v>
      </c>
      <c r="T71" s="326">
        <f t="shared" ca="1" si="30"/>
        <v>-4.1022791789369073E-2</v>
      </c>
      <c r="U71" s="326">
        <f t="shared" ca="1" si="31"/>
        <v>-4.6938707665344914E-2</v>
      </c>
      <c r="V71" s="326">
        <f t="shared" ca="1" si="32"/>
        <v>-0.11055197385283488</v>
      </c>
      <c r="W71" s="326">
        <f t="shared" ca="1" si="33"/>
        <v>7.9430397345037207E-3</v>
      </c>
      <c r="X71" s="326">
        <f t="shared" ca="1" si="34"/>
        <v>8.9554471750741271E-2</v>
      </c>
      <c r="AA71" s="350"/>
      <c r="AB71" s="347">
        <v>732</v>
      </c>
      <c r="AC71" s="346">
        <f ca="1">VLOOKUP(AB71,HPR!$AH$30:$AL$5430,5,0)</f>
        <v>3.5806609845737691</v>
      </c>
      <c r="AD71" s="346">
        <f ca="1">VLOOKUP(AB71,HPR!$AH$30:$AN$5430,7,0)</f>
        <v>0.54530000231576281</v>
      </c>
      <c r="AE71" s="346">
        <f t="shared" ca="1" si="0"/>
        <v>3.5307549983093933</v>
      </c>
      <c r="AF71" s="346">
        <f t="shared" ca="1" si="1"/>
        <v>0.53781008859437041</v>
      </c>
      <c r="AM71" s="350"/>
      <c r="AN71" s="350"/>
      <c r="AO71" s="350"/>
      <c r="AP71" s="350"/>
      <c r="AQ71" s="350"/>
      <c r="AR71" s="350"/>
      <c r="AS71" s="350"/>
      <c r="AT71" s="350"/>
      <c r="AU71" s="350"/>
      <c r="AV71" s="350"/>
      <c r="AW71" s="350"/>
      <c r="AX71" s="350"/>
      <c r="AY71" s="350"/>
      <c r="AZ71" s="350"/>
      <c r="BA71" s="350"/>
      <c r="BB71" s="350"/>
      <c r="BC71" s="350"/>
    </row>
    <row r="72" spans="2:55">
      <c r="B72" s="329">
        <v>4</v>
      </c>
      <c r="C72" s="326">
        <f t="shared" ref="C72:L72" ca="1" si="41">C38-C55</f>
        <v>2.8462635521657687</v>
      </c>
      <c r="D72" s="326">
        <f t="shared" ca="1" si="41"/>
        <v>2.8345270587744054</v>
      </c>
      <c r="E72" s="326">
        <f t="shared" ca="1" si="41"/>
        <v>2.9002353191697416</v>
      </c>
      <c r="F72" s="326">
        <f t="shared" ca="1" si="41"/>
        <v>2.934454157618771</v>
      </c>
      <c r="G72" s="326">
        <f t="shared" ca="1" si="41"/>
        <v>2.9172021380976743</v>
      </c>
      <c r="H72" s="326">
        <f t="shared" ca="1" si="41"/>
        <v>2.8826257944000622</v>
      </c>
      <c r="I72" s="326">
        <f t="shared" ca="1" si="41"/>
        <v>2.9373258448769368</v>
      </c>
      <c r="J72" s="326">
        <f t="shared" ca="1" si="41"/>
        <v>2.9953490945681116</v>
      </c>
      <c r="K72" s="326">
        <f t="shared" ca="1" si="41"/>
        <v>3.0639494752227936</v>
      </c>
      <c r="L72" s="326">
        <f t="shared" ca="1" si="41"/>
        <v>3.100221285987792</v>
      </c>
      <c r="N72" s="329">
        <v>4</v>
      </c>
      <c r="O72" s="326">
        <f t="shared" ca="1" si="25"/>
        <v>-0.14960704349145448</v>
      </c>
      <c r="P72" s="326">
        <f t="shared" ca="1" si="26"/>
        <v>-0.12991135614559557</v>
      </c>
      <c r="Q72" s="326">
        <f t="shared" ca="1" si="27"/>
        <v>-5.8783493904357442E-2</v>
      </c>
      <c r="R72" s="326">
        <f t="shared" ca="1" si="28"/>
        <v>-4.9327041503044455E-2</v>
      </c>
      <c r="S72" s="326">
        <f t="shared" ca="1" si="29"/>
        <v>-5.2562928621746607E-2</v>
      </c>
      <c r="T72" s="326">
        <f t="shared" ca="1" si="30"/>
        <v>-5.9737481819710503E-2</v>
      </c>
      <c r="U72" s="326">
        <f t="shared" ca="1" si="31"/>
        <v>-6.5099442612481795E-2</v>
      </c>
      <c r="V72" s="326">
        <f t="shared" ca="1" si="32"/>
        <v>-1.8112836960892942E-2</v>
      </c>
      <c r="W72" s="326">
        <f t="shared" ca="1" si="33"/>
        <v>3.8054522438502048E-2</v>
      </c>
      <c r="X72" s="326">
        <f t="shared" ca="1" si="34"/>
        <v>6.3993936466122392E-2</v>
      </c>
      <c r="AA72" s="350"/>
      <c r="AB72" s="347">
        <v>1096</v>
      </c>
      <c r="AC72" s="346">
        <f ca="1">VLOOKUP(AB72,HPR!$AH$30:$AL$5430,5,0)</f>
        <v>3.7522935899723997</v>
      </c>
      <c r="AD72" s="346">
        <f ca="1">VLOOKUP(AB72,HPR!$AH$30:$AN$5430,7,0)</f>
        <v>0.71449294767744753</v>
      </c>
      <c r="AE72" s="346">
        <f t="shared" ca="1" si="0"/>
        <v>3.6999529917441043</v>
      </c>
      <c r="AF72" s="346">
        <f t="shared" ca="1" si="1"/>
        <v>0.70467096923174655</v>
      </c>
      <c r="AM72" s="351"/>
      <c r="AN72" s="351"/>
      <c r="AO72" s="351"/>
      <c r="AP72" s="351"/>
      <c r="AQ72" s="351"/>
      <c r="AR72" s="351"/>
      <c r="AS72" s="351"/>
      <c r="AT72" s="351"/>
      <c r="AU72" s="351"/>
      <c r="AV72" s="351"/>
      <c r="AW72" s="351"/>
      <c r="AX72" s="351"/>
      <c r="AY72" s="350"/>
      <c r="AZ72" s="350"/>
      <c r="BA72" s="350"/>
      <c r="BB72" s="350"/>
      <c r="BC72" s="350"/>
    </row>
    <row r="73" spans="2:55">
      <c r="B73" s="329">
        <v>5</v>
      </c>
      <c r="C73" s="326">
        <f t="shared" ref="C73:L73" ca="1" si="42">C39-C56</f>
        <v>2.8549776838865264</v>
      </c>
      <c r="D73" s="326">
        <f t="shared" ca="1" si="42"/>
        <v>2.8455155386059916</v>
      </c>
      <c r="E73" s="326">
        <f t="shared" ca="1" si="42"/>
        <v>2.8981193834303864</v>
      </c>
      <c r="F73" s="326">
        <f t="shared" ca="1" si="42"/>
        <v>2.9254042847046025</v>
      </c>
      <c r="G73" s="326">
        <f t="shared" ca="1" si="42"/>
        <v>2.9113777219587744</v>
      </c>
      <c r="H73" s="326">
        <f t="shared" ca="1" si="42"/>
        <v>2.8833983946835895</v>
      </c>
      <c r="I73" s="326">
        <f t="shared" ca="1" si="42"/>
        <v>3.0104180938076208</v>
      </c>
      <c r="J73" s="326">
        <f t="shared" ca="1" si="42"/>
        <v>3.0313802405761647</v>
      </c>
      <c r="K73" s="326">
        <f t="shared" ca="1" si="42"/>
        <v>3.0580772362267084</v>
      </c>
      <c r="L73" s="326">
        <f t="shared" ca="1" si="42"/>
        <v>3.1101717341059709</v>
      </c>
      <c r="N73" s="329">
        <v>5</v>
      </c>
      <c r="O73" s="326">
        <f t="shared" ca="1" si="25"/>
        <v>-0.14292538547026945</v>
      </c>
      <c r="P73" s="326">
        <f t="shared" ca="1" si="26"/>
        <v>-0.12724180574215094</v>
      </c>
      <c r="Q73" s="326">
        <f t="shared" ca="1" si="27"/>
        <v>-7.0319923342632151E-2</v>
      </c>
      <c r="R73" s="326">
        <f t="shared" ca="1" si="28"/>
        <v>-6.2875082215230194E-2</v>
      </c>
      <c r="S73" s="326">
        <f t="shared" ca="1" si="29"/>
        <v>-6.5683940283856046E-2</v>
      </c>
      <c r="T73" s="326">
        <f t="shared" ca="1" si="30"/>
        <v>-7.1720768780658695E-2</v>
      </c>
      <c r="U73" s="326">
        <f t="shared" ca="1" si="31"/>
        <v>-3.0577314205082473E-4</v>
      </c>
      <c r="V73" s="326">
        <f t="shared" ca="1" si="32"/>
        <v>1.1137907587777107E-2</v>
      </c>
      <c r="W73" s="326">
        <f t="shared" ca="1" si="33"/>
        <v>2.7885426481799591E-2</v>
      </c>
      <c r="X73" s="326">
        <f t="shared" ca="1" si="34"/>
        <v>7.1714808369116589E-2</v>
      </c>
      <c r="AB73" s="347">
        <v>1461</v>
      </c>
      <c r="AC73" s="346">
        <f ca="1">VLOOKUP(AB73,HPR!$AH$30:$AL$5430,5,0)</f>
        <v>3.8890693949502619</v>
      </c>
      <c r="AD73" s="346">
        <f ca="1">VLOOKUP(AB73,HPR!$AH$30:$AN$5430,7,0)</f>
        <v>0.85061466586451306</v>
      </c>
      <c r="AE73" s="346">
        <f t="shared" ca="1" si="0"/>
        <v>3.8347858836522031</v>
      </c>
      <c r="AF73" s="346">
        <f t="shared" ca="1" si="1"/>
        <v>0.83891367103579029</v>
      </c>
    </row>
    <row r="74" spans="2:55">
      <c r="B74" s="329">
        <v>6</v>
      </c>
      <c r="C74" s="326">
        <f t="shared" ref="C74:L74" ca="1" si="43">C40-C57</f>
        <v>2.8602111196916118</v>
      </c>
      <c r="D74" s="326">
        <f t="shared" ca="1" si="43"/>
        <v>2.8561786083485918</v>
      </c>
      <c r="E74" s="326">
        <f t="shared" ca="1" si="43"/>
        <v>2.910719124273653</v>
      </c>
      <c r="F74" s="326">
        <f t="shared" ca="1" si="43"/>
        <v>2.95059953764778</v>
      </c>
      <c r="G74" s="326">
        <f t="shared" ca="1" si="43"/>
        <v>2.95708572602007</v>
      </c>
      <c r="H74" s="326">
        <f t="shared" ca="1" si="43"/>
        <v>2.9531739502001608</v>
      </c>
      <c r="I74" s="326">
        <f t="shared" ca="1" si="43"/>
        <v>3.0379078237705581</v>
      </c>
      <c r="J74" s="326">
        <f t="shared" ca="1" si="43"/>
        <v>3.0319010289615145</v>
      </c>
      <c r="K74" s="326">
        <f t="shared" ca="1" si="43"/>
        <v>3.0733714657739997</v>
      </c>
      <c r="L74" s="326">
        <f t="shared" ca="1" si="43"/>
        <v>3.1349245008597038</v>
      </c>
      <c r="N74" s="329">
        <v>6</v>
      </c>
      <c r="O74" s="326">
        <f t="shared" ca="1" si="25"/>
        <v>-0.13907886948091175</v>
      </c>
      <c r="P74" s="326">
        <f t="shared" ca="1" si="26"/>
        <v>-0.12257060180087542</v>
      </c>
      <c r="Q74" s="326">
        <f t="shared" ca="1" si="27"/>
        <v>-6.5390703237344638E-2</v>
      </c>
      <c r="R74" s="326">
        <f t="shared" ca="1" si="28"/>
        <v>-4.3586889868163503E-2</v>
      </c>
      <c r="S74" s="326">
        <f t="shared" ca="1" si="29"/>
        <v>-2.9375906928330586E-2</v>
      </c>
      <c r="T74" s="326">
        <f t="shared" ca="1" si="30"/>
        <v>-1.6731472230335775E-2</v>
      </c>
      <c r="U74" s="326">
        <f t="shared" ca="1" si="31"/>
        <v>2.1079292127623717E-2</v>
      </c>
      <c r="V74" s="326">
        <f t="shared" ca="1" si="32"/>
        <v>7.1358476970040385E-3</v>
      </c>
      <c r="W74" s="326">
        <f t="shared" ca="1" si="33"/>
        <v>4.0315632649634559E-2</v>
      </c>
      <c r="X74" s="326">
        <f t="shared" ca="1" si="34"/>
        <v>9.3911740302532465E-2</v>
      </c>
      <c r="AB74" s="347">
        <v>1827</v>
      </c>
      <c r="AC74" s="346">
        <f ca="1">VLOOKUP(AB74,HPR!$AH$30:$AL$5430,5,0)</f>
        <v>3.9759727129229594</v>
      </c>
      <c r="AD74" s="346">
        <f ca="1">VLOOKUP(AB74,HPR!$AH$30:$AN$5430,7,0)</f>
        <v>0.93541202810079049</v>
      </c>
      <c r="AE74" s="346">
        <f t="shared" ca="1" si="0"/>
        <v>3.9204534683361603</v>
      </c>
      <c r="AF74" s="346">
        <f t="shared" ca="1" si="1"/>
        <v>0.9225392404258459</v>
      </c>
    </row>
    <row r="75" spans="2:55">
      <c r="B75" s="329">
        <v>7</v>
      </c>
      <c r="C75" s="326">
        <f t="shared" ref="C75:L75" ca="1" si="44">C41-C58</f>
        <v>2.9232682166543116</v>
      </c>
      <c r="D75" s="326">
        <f t="shared" ca="1" si="44"/>
        <v>2.9201646385303981</v>
      </c>
      <c r="E75" s="326">
        <f t="shared" ca="1" si="44"/>
        <v>2.9641746621465348</v>
      </c>
      <c r="F75" s="326">
        <f t="shared" ca="1" si="44"/>
        <v>2.9936876036599891</v>
      </c>
      <c r="G75" s="326">
        <f t="shared" ca="1" si="44"/>
        <v>2.994023422194747</v>
      </c>
      <c r="H75" s="326">
        <f t="shared" ca="1" si="44"/>
        <v>2.9848411109006046</v>
      </c>
      <c r="I75" s="326">
        <f t="shared" ca="1" si="44"/>
        <v>3.0374284649106187</v>
      </c>
      <c r="J75" s="326">
        <f t="shared" ca="1" si="44"/>
        <v>3.0487267883225089</v>
      </c>
      <c r="K75" s="326">
        <f t="shared" ca="1" si="44"/>
        <v>3.0998417076319118</v>
      </c>
      <c r="L75" s="326">
        <f t="shared" ca="1" si="44"/>
        <v>3.1600166060395285</v>
      </c>
      <c r="N75" s="329">
        <v>7</v>
      </c>
      <c r="O75" s="326">
        <f t="shared" ca="1" si="25"/>
        <v>-8.2386270886640744E-2</v>
      </c>
      <c r="P75" s="326">
        <f t="shared" ca="1" si="26"/>
        <v>-6.796618649500541E-2</v>
      </c>
      <c r="Q75" s="326">
        <f t="shared" ca="1" si="27"/>
        <v>-2.1788862086125071E-2</v>
      </c>
      <c r="R75" s="326">
        <f t="shared" ca="1" si="28"/>
        <v>-7.8993129948301544E-3</v>
      </c>
      <c r="S75" s="326">
        <f t="shared" ca="1" si="29"/>
        <v>-1.0457872894775733E-3</v>
      </c>
      <c r="T75" s="326">
        <f t="shared" ca="1" si="30"/>
        <v>3.8805766014116116E-3</v>
      </c>
      <c r="U75" s="326">
        <f t="shared" ca="1" si="31"/>
        <v>1.6236733374763723E-2</v>
      </c>
      <c r="V75" s="326">
        <f t="shared" ca="1" si="32"/>
        <v>2.0731465888723655E-2</v>
      </c>
      <c r="W75" s="326">
        <f t="shared" ca="1" si="33"/>
        <v>6.3823718429811827E-2</v>
      </c>
      <c r="X75" s="326">
        <f t="shared" ca="1" si="34"/>
        <v>0.11625308722100769</v>
      </c>
      <c r="AB75" s="347">
        <v>2192</v>
      </c>
      <c r="AC75" s="346">
        <f ca="1">VLOOKUP(AB75,HPR!$AH$30:$AL$5430,5,0)</f>
        <v>4.0337770002742745</v>
      </c>
      <c r="AD75" s="346">
        <f ca="1">VLOOKUP(AB75,HPR!$AH$30:$AN$5430,7,0)</f>
        <v>0.9917900816978964</v>
      </c>
      <c r="AE75" s="346">
        <f t="shared" ca="1" si="0"/>
        <v>3.9774352567043092</v>
      </c>
      <c r="AF75" s="346">
        <f t="shared" ca="1" si="1"/>
        <v>0.97813768757992747</v>
      </c>
    </row>
    <row r="76" spans="2:55">
      <c r="B76" s="329">
        <v>8</v>
      </c>
      <c r="C76" s="326">
        <f t="shared" ref="C76:L76" ca="1" si="45">C42-C59</f>
        <v>2.9546710924640971</v>
      </c>
      <c r="D76" s="326">
        <f t="shared" ca="1" si="45"/>
        <v>2.9506612068149307</v>
      </c>
      <c r="E76" s="326">
        <f t="shared" ca="1" si="45"/>
        <v>2.9865893919823527</v>
      </c>
      <c r="F76" s="326">
        <f t="shared" ca="1" si="45"/>
        <v>3.0081958553148436</v>
      </c>
      <c r="G76" s="326">
        <f t="shared" ca="1" si="45"/>
        <v>3.0039506471748467</v>
      </c>
      <c r="H76" s="326">
        <f t="shared" ca="1" si="45"/>
        <v>2.991017480955338</v>
      </c>
      <c r="I76" s="326">
        <f t="shared" ca="1" si="45"/>
        <v>3.0514480496703911</v>
      </c>
      <c r="J76" s="326">
        <f t="shared" ca="1" si="45"/>
        <v>3.0749527624667428</v>
      </c>
      <c r="K76" s="326">
        <f t="shared" ca="1" si="45"/>
        <v>3.1261777813486935</v>
      </c>
      <c r="L76" s="326">
        <f t="shared" ca="1" si="45"/>
        <v>3.1851452999249075</v>
      </c>
      <c r="N76" s="329">
        <v>8</v>
      </c>
      <c r="O76" s="326">
        <f t="shared" ca="1" si="25"/>
        <v>-5.6187527282463456E-2</v>
      </c>
      <c r="P76" s="326">
        <f t="shared" ca="1" si="26"/>
        <v>-4.4870786753392622E-2</v>
      </c>
      <c r="Q76" s="326">
        <f t="shared" ca="1" si="27"/>
        <v>-7.0631681700072946E-3</v>
      </c>
      <c r="R76" s="326">
        <f t="shared" ca="1" si="28"/>
        <v>8.5995919754111583E-4</v>
      </c>
      <c r="S76" s="326">
        <f t="shared" ca="1" si="29"/>
        <v>2.324667879993747E-3</v>
      </c>
      <c r="T76" s="326">
        <f t="shared" ca="1" si="30"/>
        <v>1.7613703449548268E-3</v>
      </c>
      <c r="U76" s="326">
        <f t="shared" ca="1" si="31"/>
        <v>2.6984050443989993E-2</v>
      </c>
      <c r="V76" s="326">
        <f t="shared" ca="1" si="32"/>
        <v>4.3733167937087813E-2</v>
      </c>
      <c r="W76" s="326">
        <f t="shared" ca="1" si="33"/>
        <v>8.7128836028127488E-2</v>
      </c>
      <c r="X76" s="326">
        <f t="shared" ca="1" si="34"/>
        <v>0.13850922010307798</v>
      </c>
      <c r="AB76" s="347">
        <v>2559</v>
      </c>
      <c r="AC76" s="346">
        <f ca="1">VLOOKUP(AB76,HPR!$AH$30:$AL$5430,5,0)</f>
        <v>4.0752923627012994</v>
      </c>
      <c r="AD76" s="346">
        <f ca="1">VLOOKUP(AB76,HPR!$AH$30:$AN$5430,7,0)</f>
        <v>1.0267714285111307</v>
      </c>
      <c r="AE76" s="346">
        <f t="shared" ca="1" si="0"/>
        <v>4.0183596281447853</v>
      </c>
      <c r="AF76" s="346">
        <f t="shared" ca="1" si="1"/>
        <v>1.0126350919160476</v>
      </c>
      <c r="AM76" s="343"/>
    </row>
    <row r="77" spans="2:55">
      <c r="B77" s="329">
        <v>9</v>
      </c>
      <c r="C77" s="326">
        <f t="shared" ref="C77:L77" ca="1" si="46">C43-C60</f>
        <v>2.9634878978026435</v>
      </c>
      <c r="D77" s="326">
        <f t="shared" ca="1" si="46"/>
        <v>2.9602717438578896</v>
      </c>
      <c r="E77" s="326">
        <f t="shared" ca="1" si="46"/>
        <v>2.9943489070992202</v>
      </c>
      <c r="F77" s="326">
        <f t="shared" ca="1" si="46"/>
        <v>3.0168801448683835</v>
      </c>
      <c r="G77" s="326">
        <f t="shared" ca="1" si="46"/>
        <v>3.0165279675139045</v>
      </c>
      <c r="H77" s="326">
        <f t="shared" ca="1" si="46"/>
        <v>3.0085958232802801</v>
      </c>
      <c r="I77" s="326">
        <f t="shared" ca="1" si="46"/>
        <v>3.0744338983680342</v>
      </c>
      <c r="J77" s="326">
        <f t="shared" ca="1" si="46"/>
        <v>3.1011131490358057</v>
      </c>
      <c r="K77" s="326">
        <f t="shared" ca="1" si="46"/>
        <v>3.1522683060247303</v>
      </c>
      <c r="L77" s="326">
        <f t="shared" ca="1" si="46"/>
        <v>3.2102984589434502</v>
      </c>
      <c r="N77" s="329">
        <v>9</v>
      </c>
      <c r="O77" s="326">
        <f t="shared" ca="1" si="25"/>
        <v>-5.1422019442818545E-2</v>
      </c>
      <c r="P77" s="326">
        <f t="shared" ca="1" si="26"/>
        <v>-4.1017881726368444E-2</v>
      </c>
      <c r="Q77" s="326">
        <f t="shared" ca="1" si="27"/>
        <v>-5.2805295871261038E-3</v>
      </c>
      <c r="R77" s="326">
        <f t="shared" ca="1" si="28"/>
        <v>5.0798136394858417E-3</v>
      </c>
      <c r="S77" s="326">
        <f t="shared" ca="1" si="29"/>
        <v>9.8076412958114645E-3</v>
      </c>
      <c r="T77" s="326">
        <f t="shared" ca="1" si="30"/>
        <v>1.2886604682793568E-2</v>
      </c>
      <c r="U77" s="326">
        <f t="shared" ca="1" si="31"/>
        <v>4.6712313514962744E-2</v>
      </c>
      <c r="V77" s="326">
        <f t="shared" ca="1" si="32"/>
        <v>6.6666534638337716E-2</v>
      </c>
      <c r="W77" s="326">
        <f t="shared" ca="1" si="33"/>
        <v>0.11014254193881801</v>
      </c>
      <c r="X77" s="326">
        <f t="shared" ca="1" si="34"/>
        <v>0.1607086284039827</v>
      </c>
      <c r="AB77" s="347">
        <v>2923</v>
      </c>
      <c r="AC77" s="346">
        <f ca="1">VLOOKUP(AB77,HPR!$AH$30:$AL$5430,5,0)</f>
        <v>4.1061815841362481</v>
      </c>
      <c r="AD77" s="346">
        <f ca="1">VLOOKUP(AB77,HPR!$AH$30:$AN$5430,7,0)</f>
        <v>1.0523986718619094</v>
      </c>
      <c r="AE77" s="346">
        <f t="shared" ca="1" si="0"/>
        <v>4.0488089816814066</v>
      </c>
      <c r="AF77" s="346">
        <f t="shared" ca="1" si="1"/>
        <v>1.0379076964208478</v>
      </c>
      <c r="AM77" s="343"/>
    </row>
    <row r="78" spans="2:55">
      <c r="B78" s="329">
        <v>10</v>
      </c>
      <c r="C78" s="326">
        <f t="shared" ref="C78:L78" ca="1" si="47">C44-C61</f>
        <v>2.9820332404982404</v>
      </c>
      <c r="D78" s="326">
        <f t="shared" ca="1" si="47"/>
        <v>2.98004538251746</v>
      </c>
      <c r="E78" s="326">
        <f t="shared" ca="1" si="47"/>
        <v>3.0124676288369345</v>
      </c>
      <c r="F78" s="326">
        <f t="shared" ca="1" si="47"/>
        <v>3.0354365363052471</v>
      </c>
      <c r="G78" s="326">
        <f t="shared" ca="1" si="47"/>
        <v>3.0378589348208029</v>
      </c>
      <c r="H78" s="326">
        <f t="shared" ca="1" si="47"/>
        <v>3.0335423611302481</v>
      </c>
      <c r="I78" s="326">
        <f t="shared" ca="1" si="47"/>
        <v>3.0980084963074805</v>
      </c>
      <c r="J78" s="326">
        <f t="shared" ca="1" si="47"/>
        <v>3.1270868746197333</v>
      </c>
      <c r="K78" s="326">
        <f t="shared" ca="1" si="47"/>
        <v>3.1781871382950966</v>
      </c>
      <c r="L78" s="326">
        <f t="shared" ca="1" si="47"/>
        <v>3.2354687820555839</v>
      </c>
      <c r="N78" s="329">
        <v>10</v>
      </c>
      <c r="O78" s="326">
        <f t="shared" ca="1" si="25"/>
        <v>-3.6118588744904034E-2</v>
      </c>
      <c r="P78" s="326">
        <f t="shared" ca="1" si="26"/>
        <v>-2.5894064108311632E-2</v>
      </c>
      <c r="Q78" s="326">
        <f t="shared" ca="1" si="27"/>
        <v>7.9142870520021447E-3</v>
      </c>
      <c r="R78" s="326">
        <f t="shared" ca="1" si="28"/>
        <v>1.9765076256561542E-2</v>
      </c>
      <c r="S78" s="326">
        <f t="shared" ca="1" si="29"/>
        <v>2.6597860558652542E-2</v>
      </c>
      <c r="T78" s="326">
        <f t="shared" ca="1" si="30"/>
        <v>3.202984811392362E-2</v>
      </c>
      <c r="U78" s="326">
        <f t="shared" ca="1" si="31"/>
        <v>6.703361454629686E-2</v>
      </c>
      <c r="V78" s="326">
        <f t="shared" ca="1" si="32"/>
        <v>8.9411307328601808E-2</v>
      </c>
      <c r="W78" s="326">
        <f t="shared" ca="1" si="33"/>
        <v>0.13295245381630405</v>
      </c>
      <c r="X78" s="326">
        <f t="shared" ca="1" si="34"/>
        <v>0.18286837458905136</v>
      </c>
      <c r="AB78" s="347">
        <v>3288</v>
      </c>
      <c r="AC78" s="346">
        <f ca="1">VLOOKUP(AB78,HPR!$AH$30:$AL$5430,5,0)</f>
        <v>4.1302946064475377</v>
      </c>
      <c r="AD78" s="346">
        <f ca="1">VLOOKUP(AB78,HPR!$AH$30:$AN$5430,7,0)</f>
        <v>1.072403273585576</v>
      </c>
      <c r="AE78" s="346">
        <f t="shared" ca="1" si="0"/>
        <v>4.0725785443345819</v>
      </c>
      <c r="AF78" s="346">
        <f t="shared" ca="1" si="1"/>
        <v>1.0576354063820625</v>
      </c>
      <c r="AM78" s="343"/>
    </row>
    <row r="79" spans="2:55">
      <c r="AB79" s="347">
        <v>3653</v>
      </c>
      <c r="AC79" s="346">
        <f ca="1">VLOOKUP(AB79,HPR!$AH$30:$AL$5430,5,0)</f>
        <v>4.149593007189889</v>
      </c>
      <c r="AD79" s="346">
        <f ca="1">VLOOKUP(AB79,HPR!$AH$30:$AN$5430,7,0)</f>
        <v>1.0884130928179969</v>
      </c>
      <c r="AE79" s="346">
        <f t="shared" ca="1" si="0"/>
        <v>4.0916020093227701</v>
      </c>
      <c r="AF79" s="346">
        <f t="shared" ca="1" si="1"/>
        <v>1.0734235887153387</v>
      </c>
      <c r="AM79" s="343"/>
    </row>
    <row r="80" spans="2:55" ht="13.5" thickBot="1">
      <c r="B80" s="570" t="s">
        <v>451</v>
      </c>
      <c r="C80" s="585"/>
      <c r="D80" s="585"/>
      <c r="E80" s="585"/>
      <c r="F80" s="585"/>
      <c r="G80" s="585"/>
      <c r="H80" s="585"/>
      <c r="I80" s="585"/>
      <c r="J80" s="585"/>
      <c r="K80" s="585"/>
      <c r="L80" s="585"/>
      <c r="M80" s="585"/>
      <c r="N80" s="585"/>
      <c r="O80" s="585"/>
      <c r="P80" s="585"/>
      <c r="Q80" s="585"/>
      <c r="R80" s="585"/>
      <c r="S80" s="585"/>
      <c r="T80" s="585"/>
      <c r="U80" s="585"/>
      <c r="V80" s="585"/>
      <c r="W80" s="585"/>
      <c r="X80" s="585"/>
      <c r="AC80" s="184"/>
      <c r="AD80" s="184"/>
      <c r="AE80" s="184"/>
      <c r="AF80" s="184"/>
      <c r="AM80" s="343"/>
    </row>
    <row r="81" spans="4:39" ht="13.5" thickBot="1">
      <c r="D81" s="452" t="s">
        <v>452</v>
      </c>
      <c r="E81" s="448">
        <f>Inflation_FWD!Y4</f>
        <v>42683</v>
      </c>
      <c r="F81" s="448" t="str">
        <f>Inflation_FWD!Z4</f>
        <v>09-12-2016</v>
      </c>
      <c r="G81" s="448" t="str">
        <f>Inflation_FWD!AA4</f>
        <v>09-01-2017</v>
      </c>
      <c r="H81" s="448" t="str">
        <f>Inflation_FWD!AB4</f>
        <v>09-02-2017</v>
      </c>
      <c r="I81" s="448" t="str">
        <f>Inflation_FWD!AC4</f>
        <v>09-03-2017</v>
      </c>
      <c r="J81" s="448" t="str">
        <f>Inflation_FWD!AD4</f>
        <v>07-04-2017</v>
      </c>
      <c r="K81" s="448" t="str">
        <f>Inflation_FWD!AE4</f>
        <v>09-05-2017</v>
      </c>
      <c r="L81" s="448" t="str">
        <f>Inflation_FWD!AF4</f>
        <v>09-06-2017</v>
      </c>
      <c r="M81" s="448" t="str">
        <f>Inflation_FWD!AG4</f>
        <v>07-07-2017</v>
      </c>
      <c r="N81" s="448" t="str">
        <f>Inflation_FWD!AH4</f>
        <v>09-08-2017</v>
      </c>
      <c r="O81" s="448" t="str">
        <f>Inflation_FWD!AI4</f>
        <v>08-09-2017</v>
      </c>
      <c r="P81" s="448" t="str">
        <f>Inflation_FWD!AJ4</f>
        <v>06-10-2017</v>
      </c>
      <c r="Q81" s="448" t="str">
        <f>Inflation_FWD!AK4</f>
        <v>09-11-2017</v>
      </c>
      <c r="R81" s="448" t="str">
        <f>Inflation_FWD!AL4</f>
        <v>07-12-2017</v>
      </c>
      <c r="S81" s="448" t="str">
        <f>Inflation_FWD!AM4</f>
        <v>09-01-2018</v>
      </c>
      <c r="T81" s="448" t="str">
        <f>Inflation_FWD!AN4</f>
        <v>09-02-2018</v>
      </c>
      <c r="U81" s="448" t="str">
        <f>Inflation_FWD!AO4</f>
        <v>09-03-2018</v>
      </c>
      <c r="AC81" s="184"/>
      <c r="AD81" s="184"/>
      <c r="AE81" s="184"/>
      <c r="AF81" s="184"/>
      <c r="AM81" s="343"/>
    </row>
    <row r="82" spans="4:39">
      <c r="D82" s="454">
        <f>Inflation_FWD!X5</f>
        <v>42683</v>
      </c>
      <c r="E82" s="450">
        <f>Inflation_FWD!Y5</f>
        <v>42652</v>
      </c>
      <c r="F82" s="450">
        <f>Inflation_FWD!Z5</f>
        <v>42683</v>
      </c>
      <c r="G82" s="450">
        <f>Inflation_FWD!AA5</f>
        <v>42713</v>
      </c>
      <c r="H82" s="450">
        <f>Inflation_FWD!AB5</f>
        <v>42744</v>
      </c>
      <c r="I82" s="450">
        <f>Inflation_FWD!AC5</f>
        <v>42775</v>
      </c>
      <c r="J82" s="450">
        <f>Inflation_FWD!AD5</f>
        <v>42801</v>
      </c>
      <c r="K82" s="450">
        <f>Inflation_FWD!AE5</f>
        <v>42834</v>
      </c>
      <c r="L82" s="450">
        <f>Inflation_FWD!AF5</f>
        <v>42864</v>
      </c>
      <c r="M82" s="450">
        <f>Inflation_FWD!AG5</f>
        <v>42893</v>
      </c>
      <c r="N82" s="450">
        <f>Inflation_FWD!AH5</f>
        <v>42925</v>
      </c>
      <c r="O82" s="450">
        <f>Inflation_FWD!AI5</f>
        <v>42955</v>
      </c>
      <c r="P82" s="450">
        <f>Inflation_FWD!AJ5</f>
        <v>42984</v>
      </c>
      <c r="Q82" s="450">
        <f>Inflation_FWD!AK5</f>
        <v>43017</v>
      </c>
      <c r="R82" s="450">
        <f>Inflation_FWD!AL5</f>
        <v>43046</v>
      </c>
      <c r="S82" s="450">
        <f>Inflation_FWD!AM5</f>
        <v>43078</v>
      </c>
      <c r="T82" s="450">
        <f>Inflation_FWD!AN5</f>
        <v>43109</v>
      </c>
      <c r="U82" s="450">
        <f>Inflation_FWD!AO5</f>
        <v>43140</v>
      </c>
      <c r="AM82" s="343"/>
    </row>
    <row r="83" spans="4:39">
      <c r="D83" s="454" t="str">
        <f>Inflation_FWD!X6</f>
        <v>09-12-2016</v>
      </c>
      <c r="E83" s="451">
        <f>Inflation_FWD!Y6</f>
        <v>3.510708135519014E-3</v>
      </c>
      <c r="F83" s="430"/>
      <c r="G83" s="430"/>
      <c r="H83" s="430"/>
      <c r="I83" s="430"/>
      <c r="J83" s="430"/>
      <c r="K83" s="430"/>
      <c r="L83" s="430"/>
      <c r="M83" s="430"/>
      <c r="N83" s="430"/>
      <c r="O83" s="430"/>
      <c r="P83" s="430"/>
      <c r="Q83" s="430"/>
      <c r="R83" s="430"/>
      <c r="S83" s="430"/>
      <c r="T83" s="430"/>
      <c r="U83" s="430"/>
      <c r="AB83" s="184"/>
      <c r="AC83" s="184"/>
      <c r="AD83" s="184"/>
      <c r="AE83" s="184"/>
      <c r="AF83" s="184"/>
      <c r="AG83" s="184"/>
      <c r="AH83" s="184"/>
      <c r="AI83" s="184"/>
      <c r="AJ83" s="184"/>
      <c r="AK83" s="184"/>
      <c r="AL83" s="184"/>
      <c r="AM83" s="343"/>
    </row>
    <row r="84" spans="4:39">
      <c r="D84" s="454" t="str">
        <f>Inflation_FWD!X7</f>
        <v>09-01-2017</v>
      </c>
      <c r="E84" s="430">
        <f>Inflation_FWD!Y7</f>
        <v>2.3510781634241917E-2</v>
      </c>
      <c r="F84" s="451">
        <f>Inflation_FWD!Z7</f>
        <v>3.7923319048882576E-4</v>
      </c>
      <c r="G84" s="430"/>
      <c r="H84" s="430"/>
      <c r="I84" s="430"/>
      <c r="J84" s="430"/>
      <c r="K84" s="430"/>
      <c r="L84" s="430"/>
      <c r="M84" s="430"/>
      <c r="N84" s="430"/>
      <c r="O84" s="430"/>
      <c r="P84" s="430"/>
      <c r="Q84" s="430"/>
      <c r="R84" s="430"/>
      <c r="S84" s="430"/>
      <c r="T84" s="430"/>
      <c r="U84" s="430"/>
      <c r="AM84" s="343"/>
    </row>
    <row r="85" spans="4:39">
      <c r="D85" s="454" t="str">
        <f>Inflation_FWD!X8</f>
        <v>09-02-2017</v>
      </c>
      <c r="E85" s="430">
        <f>Inflation_FWD!Y8</f>
        <v>1.7361617865384815E-2</v>
      </c>
      <c r="F85" s="430">
        <f>Inflation_FWD!Z8</f>
        <v>4.9217056820149985E-3</v>
      </c>
      <c r="G85" s="451">
        <f>Inflation_FWD!AA8</f>
        <v>4.5490731263497786E-4</v>
      </c>
      <c r="H85" s="430"/>
      <c r="I85" s="430"/>
      <c r="J85" s="430"/>
      <c r="K85" s="430"/>
      <c r="L85" s="430"/>
      <c r="M85" s="430"/>
      <c r="N85" s="430"/>
      <c r="O85" s="430"/>
      <c r="P85" s="430"/>
      <c r="Q85" s="430"/>
      <c r="R85" s="430"/>
      <c r="S85" s="430"/>
      <c r="T85" s="430"/>
      <c r="U85" s="430"/>
      <c r="AB85" s="350"/>
      <c r="AC85" s="350"/>
      <c r="AD85" s="350"/>
      <c r="AE85" s="350"/>
      <c r="AF85" s="350"/>
      <c r="AG85" s="350"/>
      <c r="AH85" s="350"/>
      <c r="AI85" s="350"/>
      <c r="AJ85" s="350"/>
      <c r="AK85" s="350"/>
      <c r="AL85" s="350"/>
      <c r="AM85" s="343"/>
    </row>
    <row r="86" spans="4:39">
      <c r="D86" s="454" t="str">
        <f>Inflation_FWD!X9</f>
        <v>09-03-2017</v>
      </c>
      <c r="E86" s="430">
        <f>Inflation_FWD!Y9</f>
        <v>1.6557324900656312E-2</v>
      </c>
      <c r="F86" s="430">
        <f>Inflation_FWD!Z9</f>
        <v>7.7123126552487431E-3</v>
      </c>
      <c r="G86" s="430">
        <f>Inflation_FWD!AA9</f>
        <v>9.417823034511219E-3</v>
      </c>
      <c r="H86" s="451">
        <f>Inflation_FWD!AB9</f>
        <v>1.0609677541586482E-3</v>
      </c>
      <c r="I86" s="430"/>
      <c r="J86" s="430"/>
      <c r="K86" s="430"/>
      <c r="L86" s="430"/>
      <c r="M86" s="430"/>
      <c r="N86" s="430"/>
      <c r="O86" s="430"/>
      <c r="P86" s="430"/>
      <c r="Q86" s="430"/>
      <c r="R86" s="430"/>
      <c r="S86" s="430"/>
      <c r="T86" s="430"/>
      <c r="U86" s="430"/>
      <c r="AB86" s="351"/>
      <c r="AC86" s="351"/>
      <c r="AD86" s="351"/>
      <c r="AE86" s="351"/>
      <c r="AF86" s="351"/>
      <c r="AG86" s="351"/>
      <c r="AH86" s="351"/>
      <c r="AI86" s="351"/>
      <c r="AJ86" s="351"/>
      <c r="AK86" s="351"/>
      <c r="AL86" s="351"/>
      <c r="AM86" s="343"/>
    </row>
    <row r="87" spans="4:39">
      <c r="D87" s="454" t="str">
        <f>Inflation_FWD!X10</f>
        <v>07-04-2017</v>
      </c>
      <c r="E87" s="430">
        <f>Inflation_FWD!Y10</f>
        <v>1.6699244119167567E-2</v>
      </c>
      <c r="F87" s="430">
        <f>Inflation_FWD!Z10</f>
        <v>1.003723161297998E-2</v>
      </c>
      <c r="G87" s="430">
        <f>Inflation_FWD!AA10</f>
        <v>1.200423057266331E-2</v>
      </c>
      <c r="H87" s="430">
        <f>Inflation_FWD!AB10</f>
        <v>1.5631059287044557E-2</v>
      </c>
      <c r="I87" s="451">
        <f>Inflation_FWD!AC10</f>
        <v>1.3626556644839027E-3</v>
      </c>
      <c r="J87" s="430"/>
      <c r="K87" s="430"/>
      <c r="L87" s="430"/>
      <c r="M87" s="430"/>
      <c r="N87" s="430"/>
      <c r="O87" s="430"/>
      <c r="P87" s="430"/>
      <c r="Q87" s="430"/>
      <c r="R87" s="430"/>
      <c r="S87" s="430"/>
      <c r="T87" s="430"/>
      <c r="U87" s="430"/>
      <c r="AM87" s="343"/>
    </row>
    <row r="88" spans="4:39" ht="13.5" thickBot="1">
      <c r="D88" s="454" t="str">
        <f>Inflation_FWD!X11</f>
        <v>09-05-2017</v>
      </c>
      <c r="E88" s="430">
        <f>Inflation_FWD!Y11</f>
        <v>2.3874964335881321E-2</v>
      </c>
      <c r="F88" s="430">
        <f>Inflation_FWD!Z11</f>
        <v>2.0008293927608722E-2</v>
      </c>
      <c r="G88" s="430">
        <f>Inflation_FWD!AA11</f>
        <v>2.406014021742453E-2</v>
      </c>
      <c r="H88" s="430">
        <f>Inflation_FWD!AB11</f>
        <v>3.0651696769238956E-2</v>
      </c>
      <c r="I88" s="430">
        <f>Inflation_FWD!AC11</f>
        <v>3.8424415046992344E-2</v>
      </c>
      <c r="J88" s="451">
        <f>Inflation_FWD!AD11</f>
        <v>4.9518049518049168E-3</v>
      </c>
      <c r="K88" s="430"/>
      <c r="L88" s="430"/>
      <c r="M88" s="430"/>
      <c r="N88" s="430"/>
      <c r="O88" s="430"/>
      <c r="P88" s="430"/>
      <c r="Q88" s="430"/>
      <c r="R88" s="430"/>
      <c r="S88" s="430"/>
      <c r="T88" s="430"/>
      <c r="U88" s="430"/>
      <c r="AB88" s="570" t="s">
        <v>339</v>
      </c>
      <c r="AC88" s="585"/>
      <c r="AD88" s="585"/>
      <c r="AE88" s="585"/>
      <c r="AF88" s="585"/>
      <c r="AG88" s="585"/>
      <c r="AH88" s="585"/>
      <c r="AI88" s="585"/>
      <c r="AJ88" s="585"/>
      <c r="AK88" s="585"/>
      <c r="AL88" s="585"/>
      <c r="AM88" s="343"/>
    </row>
    <row r="89" spans="4:39" ht="13.5" thickBot="1">
      <c r="D89" s="454" t="str">
        <f>Inflation_FWD!X12</f>
        <v>09-06-2017</v>
      </c>
      <c r="E89" s="430">
        <f>Inflation_FWD!Y12</f>
        <v>2.4514984209045076E-2</v>
      </c>
      <c r="F89" s="430">
        <f>Inflation_FWD!Z12</f>
        <v>2.1409088591767933E-2</v>
      </c>
      <c r="G89" s="430">
        <f>Inflation_FWD!AA12</f>
        <v>2.4920934797061145E-2</v>
      </c>
      <c r="H89" s="430">
        <f>Inflation_FWD!AB12</f>
        <v>3.0033275672258331E-2</v>
      </c>
      <c r="I89" s="430">
        <f>Inflation_FWD!AC12</f>
        <v>3.4988230112831031E-2</v>
      </c>
      <c r="J89" s="430">
        <f>Inflation_FWD!AD12</f>
        <v>4.3239755260885193E-2</v>
      </c>
      <c r="K89" s="451">
        <f>Inflation_FWD!AE12</f>
        <v>2.3696682464455776E-3</v>
      </c>
      <c r="L89" s="430"/>
      <c r="M89" s="430"/>
      <c r="N89" s="430"/>
      <c r="O89" s="430"/>
      <c r="P89" s="430"/>
      <c r="Q89" s="430"/>
      <c r="R89" s="430"/>
      <c r="S89" s="430"/>
      <c r="T89" s="430"/>
      <c r="U89" s="430"/>
      <c r="AB89" s="220" t="s">
        <v>309</v>
      </c>
      <c r="AC89" s="337" t="s">
        <v>311</v>
      </c>
      <c r="AD89" s="338">
        <f>1/12</f>
        <v>8.3333333333333329E-2</v>
      </c>
      <c r="AE89" s="338">
        <v>0.25</v>
      </c>
      <c r="AF89" s="338">
        <v>0.5</v>
      </c>
      <c r="AG89" s="338">
        <f>9/12</f>
        <v>0.75</v>
      </c>
      <c r="AH89" s="339">
        <v>1</v>
      </c>
      <c r="AI89" s="339">
        <v>2</v>
      </c>
      <c r="AJ89" s="339">
        <v>3</v>
      </c>
      <c r="AK89" s="339">
        <v>4</v>
      </c>
      <c r="AL89" s="339">
        <v>5</v>
      </c>
      <c r="AM89" s="343"/>
    </row>
    <row r="90" spans="4:39">
      <c r="D90" s="454" t="str">
        <f>Inflation_FWD!X13</f>
        <v>07-07-2017</v>
      </c>
      <c r="E90" s="430">
        <f>Inflation_FWD!Y13</f>
        <v>2.4949343270912916E-2</v>
      </c>
      <c r="F90" s="430">
        <f>Inflation_FWD!Z13</f>
        <v>2.2317784193889967E-2</v>
      </c>
      <c r="G90" s="430">
        <f>Inflation_FWD!AA13</f>
        <v>2.5440041139763059E-2</v>
      </c>
      <c r="H90" s="430">
        <f>Inflation_FWD!AB13</f>
        <v>2.9694533568312531E-2</v>
      </c>
      <c r="I90" s="430">
        <f>Inflation_FWD!AC13</f>
        <v>3.3410640540254555E-2</v>
      </c>
      <c r="J90" s="430">
        <f>Inflation_FWD!AD13</f>
        <v>3.8602543883950347E-2</v>
      </c>
      <c r="K90" s="430">
        <f>Inflation_FWD!AE13</f>
        <v>2.8252358762853591E-2</v>
      </c>
      <c r="L90" s="451">
        <f>Inflation_FWD!AF13</f>
        <v>2.1389170325341045E-3</v>
      </c>
      <c r="M90" s="430"/>
      <c r="N90" s="430"/>
      <c r="O90" s="430"/>
      <c r="P90" s="430"/>
      <c r="Q90" s="430"/>
      <c r="R90" s="430"/>
      <c r="S90" s="430"/>
      <c r="T90" s="430"/>
      <c r="U90" s="430"/>
      <c r="AB90" s="328">
        <f>1/12</f>
        <v>8.3333333333333329E-2</v>
      </c>
      <c r="AC90" s="326">
        <f t="shared" ref="AC90:AC103" ca="1" si="48">Lin_Interp(ROUND($AB90*365,0),$AB$10:$AB$79,$AE$10:$AE$79)</f>
        <v>3.5617946923439003</v>
      </c>
      <c r="AD90" s="326">
        <f t="shared" ref="AD90:AD103" ca="1" si="49">forwardZeroRate(365,Lin_Interp(ROUND(D$30*365,0),$AB$10:$AB$79,$AE$10:$AE$79),Lin_Interp(ROUND(D$30*365+$AB90*365,0),$AB$10:$AB$79,$AE$10:$AE$79),D$30*365,D$30*365+$AB90*365)</f>
        <v>3.5617946923433452</v>
      </c>
      <c r="AE90" s="326">
        <f t="shared" ref="AE90:AE103" ca="1" si="50">forwardZeroRate(365,Lin_Interp(ROUND(E$30*365,0),$AB$10:$AB$79,$AE$10:$AE$79),Lin_Interp(ROUND(E$30*365+$AB90*365,0),$AB$10:$AB$79,$AE$10:$AE$79),E$30*365,E$30*365+$AB90*365)</f>
        <v>3.5617946923441668</v>
      </c>
      <c r="AF90" s="326">
        <f t="shared" ref="AF90:AF103" ca="1" si="51">forwardZeroRate(365,Lin_Interp(ROUND(F$30*365,0),$AB$10:$AB$79,$AE$10:$AE$79),Lin_Interp(ROUND(F$30*365+$AB90*365,0),$AB$10:$AB$79,$AE$10:$AE$79),F$30*365,F$30*365+$AB90*365)</f>
        <v>3.3571744998115438</v>
      </c>
      <c r="AG90" s="326">
        <f t="shared" ref="AG90:AG103" ca="1" si="52">forwardZeroRate(365,Lin_Interp(ROUND(G$30*365,0),$AB$10:$AB$79,$AE$10:$AE$79),Lin_Interp(ROUND(G$30*365+$AB90*365,0),$AB$10:$AB$79,$AE$10:$AE$79),G$30*365,G$30*365+$AB90*365)</f>
        <v>3.3563596426726017</v>
      </c>
      <c r="AH90" s="326">
        <f t="shared" ref="AH90:AH103" ca="1" si="53">forwardZeroRate(365,Lin_Interp(ROUND(H$30*365,0),$AB$10:$AB$79,$AE$10:$AE$79),Lin_Interp(ROUND(H$30*365+$AB90*365,0),$AB$10:$AB$79,$AE$10:$AE$79),H$30*365,H$30*365+$AB90*365)</f>
        <v>3.3889358535240666</v>
      </c>
      <c r="AI90" s="326">
        <f t="shared" ref="AI90:AI103" ca="1" si="54">forwardZeroRate(365,Lin_Interp(ROUND(I$30*365,0),$AB$10:$AB$79,$AE$10:$AE$79),Lin_Interp(ROUND(I$30*365+$AB90*365,0),$AB$10:$AB$79,$AE$10:$AE$79),I$30*365,I$30*365+$AB90*365)</f>
        <v>3.8767135603505753</v>
      </c>
      <c r="AJ90" s="326">
        <f t="shared" ref="AJ90:AJ103" ca="1" si="55">forwardZeroRate(365,Lin_Interp(ROUND(J$30*365,0),$AB$10:$AB$79,$AE$10:$AE$79),Lin_Interp(ROUND(J$30*365+$AB90*365,0),$AB$10:$AB$79,$AE$10:$AE$79),J$30*365,J$30*365+$AB90*365)</f>
        <v>4.1138620350798183</v>
      </c>
      <c r="AK90" s="326">
        <f t="shared" ref="AK90:AK103" ca="1" si="56">forwardZeroRate(365,Lin_Interp(ROUND(K$30*365,0),$AB$10:$AB$79,$AE$10:$AE$79),Lin_Interp(ROUND(K$30*365+$AB90*365,0),$AB$10:$AB$79,$AE$10:$AE$79),K$30*365,K$30*365+$AB90*365)</f>
        <v>4.1857037053590007</v>
      </c>
      <c r="AL90" s="326">
        <f t="shared" ref="AL90:AL103" ca="1" si="57">forwardZeroRate(365,Lin_Interp(ROUND(L$30*365,0),$AB$10:$AB$79,$AE$10:$AE$79),Lin_Interp(ROUND(L$30*365+$AB90*365,0),$AB$10:$AB$79,$AE$10:$AE$79),L$30*365,L$30*365+$AB90*365)</f>
        <v>4.2155975300519621</v>
      </c>
      <c r="AM90" s="343"/>
    </row>
    <row r="91" spans="4:39">
      <c r="D91" s="454" t="str">
        <f>Inflation_FWD!X14</f>
        <v>09-08-2017</v>
      </c>
      <c r="E91" s="430">
        <f>Inflation_FWD!Y14</f>
        <v>2.5483495736841943E-2</v>
      </c>
      <c r="F91" s="430">
        <f>Inflation_FWD!Z14</f>
        <v>2.3273544283293202E-2</v>
      </c>
      <c r="G91" s="430">
        <f>Inflation_FWD!AA14</f>
        <v>2.6051820393852454E-2</v>
      </c>
      <c r="H91" s="430">
        <f>Inflation_FWD!AB14</f>
        <v>2.9636564890535899E-2</v>
      </c>
      <c r="I91" s="430">
        <f>Inflation_FWD!AC14</f>
        <v>3.2539223562927377E-2</v>
      </c>
      <c r="J91" s="430">
        <f>Inflation_FWD!AD14</f>
        <v>3.6139214508831063E-2</v>
      </c>
      <c r="K91" s="430">
        <f>Inflation_FWD!AE14</f>
        <v>2.8655486620344783E-2</v>
      </c>
      <c r="L91" s="430">
        <f>Inflation_FWD!AF14</f>
        <v>2.8856596112816879E-2</v>
      </c>
      <c r="M91" s="451">
        <f>Inflation_FWD!AG14</f>
        <v>2.6211338276043161E-3</v>
      </c>
      <c r="N91" s="430"/>
      <c r="O91" s="430"/>
      <c r="P91" s="430"/>
      <c r="Q91" s="430"/>
      <c r="R91" s="430"/>
      <c r="S91" s="430"/>
      <c r="T91" s="430"/>
      <c r="U91" s="430"/>
      <c r="AB91" s="328">
        <v>0.25</v>
      </c>
      <c r="AC91" s="326">
        <f t="shared" ca="1" si="48"/>
        <v>3.5617946923435473</v>
      </c>
      <c r="AD91" s="326">
        <f t="shared" ca="1" si="49"/>
        <v>3.5617946923436561</v>
      </c>
      <c r="AE91" s="326">
        <f t="shared" ca="1" si="50"/>
        <v>3.4952583934499737</v>
      </c>
      <c r="AF91" s="326">
        <f t="shared" ca="1" si="51"/>
        <v>3.3554276050879572</v>
      </c>
      <c r="AG91" s="326">
        <f t="shared" ca="1" si="52"/>
        <v>3.3589640131514109</v>
      </c>
      <c r="AH91" s="326">
        <f t="shared" ca="1" si="53"/>
        <v>3.3989967075694461</v>
      </c>
      <c r="AI91" s="326">
        <f t="shared" ca="1" si="54"/>
        <v>3.910377312877733</v>
      </c>
      <c r="AJ91" s="326">
        <f t="shared" ca="1" si="55"/>
        <v>4.1385908404079075</v>
      </c>
      <c r="AK91" s="326">
        <f t="shared" ca="1" si="56"/>
        <v>4.1994173808404645</v>
      </c>
      <c r="AL91" s="326">
        <f t="shared" ca="1" si="57"/>
        <v>4.2220112302605584</v>
      </c>
    </row>
    <row r="92" spans="4:39">
      <c r="D92" s="454" t="str">
        <f>Inflation_FWD!X15</f>
        <v>08-09-2017</v>
      </c>
      <c r="E92" s="430">
        <f>Inflation_FWD!Y15</f>
        <v>2.5831666186694413E-2</v>
      </c>
      <c r="F92" s="430">
        <f>Inflation_FWD!Z15</f>
        <v>2.3901859771208178E-2</v>
      </c>
      <c r="G92" s="430">
        <f>Inflation_FWD!AA15</f>
        <v>2.6417512546464517E-2</v>
      </c>
      <c r="H92" s="430">
        <f>Inflation_FWD!AB15</f>
        <v>2.9546809972633037E-2</v>
      </c>
      <c r="I92" s="430">
        <f>Inflation_FWD!AC15</f>
        <v>3.1959086636878631E-2</v>
      </c>
      <c r="J92" s="430">
        <f>Inflation_FWD!AD15</f>
        <v>3.4745652950795014E-2</v>
      </c>
      <c r="K92" s="430">
        <f>Inflation_FWD!AE15</f>
        <v>2.8741533286802623E-2</v>
      </c>
      <c r="L92" s="430">
        <f>Inflation_FWD!AF15</f>
        <v>2.8905667964852277E-2</v>
      </c>
      <c r="M92" s="430">
        <f>Inflation_FWD!AG15</f>
        <v>2.9199860131160271E-2</v>
      </c>
      <c r="N92" s="451">
        <f>Inflation_FWD!AH15</f>
        <v>2.352853301464064E-3</v>
      </c>
      <c r="O92" s="430"/>
      <c r="P92" s="430"/>
      <c r="Q92" s="430"/>
      <c r="R92" s="430"/>
      <c r="S92" s="430"/>
      <c r="T92" s="430"/>
      <c r="U92" s="430"/>
      <c r="AB92" s="328">
        <v>0.5</v>
      </c>
      <c r="AC92" s="326">
        <f t="shared" ca="1" si="48"/>
        <v>3.5285211976560205</v>
      </c>
      <c r="AD92" s="326">
        <f t="shared" ca="1" si="49"/>
        <v>3.4944006884496837</v>
      </c>
      <c r="AE92" s="326">
        <f t="shared" ca="1" si="50"/>
        <v>3.4253193679095739</v>
      </c>
      <c r="AF92" s="326">
        <f t="shared" ca="1" si="51"/>
        <v>3.3571957939947161</v>
      </c>
      <c r="AG92" s="326">
        <f t="shared" ca="1" si="52"/>
        <v>3.3789784225673136</v>
      </c>
      <c r="AH92" s="326">
        <f t="shared" ca="1" si="53"/>
        <v>3.4770019160027088</v>
      </c>
      <c r="AI92" s="326">
        <f t="shared" ca="1" si="54"/>
        <v>3.9554606585246566</v>
      </c>
      <c r="AJ92" s="326">
        <f t="shared" ca="1" si="55"/>
        <v>4.1742932435965274</v>
      </c>
      <c r="AK92" s="326">
        <f t="shared" ca="1" si="56"/>
        <v>4.2217794338440084</v>
      </c>
      <c r="AL92" s="326">
        <f t="shared" ca="1" si="57"/>
        <v>4.2363957623820614</v>
      </c>
    </row>
    <row r="93" spans="4:39">
      <c r="D93" s="454" t="str">
        <f>Inflation_FWD!X16</f>
        <v>06-10-2017</v>
      </c>
      <c r="E93" s="430">
        <f>Inflation_FWD!Y16</f>
        <v>2.5976353533382568E-2</v>
      </c>
      <c r="F93" s="430">
        <f>Inflation_FWD!Z16</f>
        <v>2.4240061027365645E-2</v>
      </c>
      <c r="G93" s="430">
        <f>Inflation_FWD!AA16</f>
        <v>2.6534212150795211E-2</v>
      </c>
      <c r="H93" s="430">
        <f>Inflation_FWD!AB16</f>
        <v>2.9311897030622092E-2</v>
      </c>
      <c r="I93" s="430">
        <f>Inflation_FWD!AC16</f>
        <v>3.1372026305233502E-2</v>
      </c>
      <c r="J93" s="430">
        <f>Inflation_FWD!AD16</f>
        <v>3.3634334452651737E-2</v>
      </c>
      <c r="K93" s="430">
        <f>Inflation_FWD!AE16</f>
        <v>2.8517772602666636E-2</v>
      </c>
      <c r="L93" s="430">
        <f>Inflation_FWD!AF16</f>
        <v>2.8584967982586695E-2</v>
      </c>
      <c r="M93" s="430">
        <f>Inflation_FWD!AG16</f>
        <v>2.8689890710258181E-2</v>
      </c>
      <c r="N93" s="430">
        <f>Inflation_FWD!AH16</f>
        <v>2.8299367493421546E-2</v>
      </c>
      <c r="O93" s="451">
        <f>Inflation_FWD!AI16</f>
        <v>2.0865158910541304E-3</v>
      </c>
      <c r="P93" s="430"/>
      <c r="Q93" s="430"/>
      <c r="R93" s="430"/>
      <c r="S93" s="430"/>
      <c r="T93" s="430"/>
      <c r="U93" s="430"/>
      <c r="AB93" s="328">
        <v>0.75</v>
      </c>
      <c r="AC93" s="326">
        <f t="shared" ca="1" si="48"/>
        <v>3.4707911477545128</v>
      </c>
      <c r="AD93" s="326">
        <f t="shared" ca="1" si="49"/>
        <v>3.4479649573327942</v>
      </c>
      <c r="AE93" s="326">
        <f t="shared" ca="1" si="50"/>
        <v>3.403196184403412</v>
      </c>
      <c r="AF93" s="326">
        <f t="shared" ca="1" si="51"/>
        <v>3.3711275538738761</v>
      </c>
      <c r="AG93" s="326">
        <f t="shared" ca="1" si="52"/>
        <v>3.4376409780350059</v>
      </c>
      <c r="AH93" s="326">
        <f t="shared" ca="1" si="53"/>
        <v>3.5575203850348514</v>
      </c>
      <c r="AI93" s="326">
        <f t="shared" ca="1" si="54"/>
        <v>3.9973350909457084</v>
      </c>
      <c r="AJ93" s="326">
        <f t="shared" ca="1" si="55"/>
        <v>4.2070411565454213</v>
      </c>
      <c r="AK93" s="326">
        <f t="shared" ca="1" si="56"/>
        <v>4.2421258959366437</v>
      </c>
      <c r="AL93" s="326">
        <f t="shared" ca="1" si="57"/>
        <v>4.2495786741638897</v>
      </c>
    </row>
    <row r="94" spans="4:39">
      <c r="D94" s="454" t="str">
        <f>Inflation_FWD!X17</f>
        <v>09-11-2017</v>
      </c>
      <c r="E94" s="453">
        <f>Inflation_FWD!Y17</f>
        <v>2.8856308333412573E-2</v>
      </c>
      <c r="F94" s="430">
        <f>Inflation_FWD!Z17</f>
        <v>2.7549630598874053E-2</v>
      </c>
      <c r="G94" s="430">
        <f>Inflation_FWD!AA17</f>
        <v>2.9932288854283007E-2</v>
      </c>
      <c r="H94" s="430">
        <f>Inflation_FWD!AB17</f>
        <v>3.2759162198891856E-2</v>
      </c>
      <c r="I94" s="430">
        <f>Inflation_FWD!AC17</f>
        <v>3.4934478852421291E-2</v>
      </c>
      <c r="J94" s="430">
        <f>Inflation_FWD!AD17</f>
        <v>3.732705101411371E-2</v>
      </c>
      <c r="K94" s="430">
        <f>Inflation_FWD!AE17</f>
        <v>3.3780079828598542E-2</v>
      </c>
      <c r="L94" s="430">
        <f>Inflation_FWD!AF17</f>
        <v>3.4902159177048642E-2</v>
      </c>
      <c r="M94" s="430">
        <f>Inflation_FWD!AG17</f>
        <v>3.6399477576795514E-2</v>
      </c>
      <c r="N94" s="430">
        <f>Inflation_FWD!AH17</f>
        <v>3.8930202921144907E-2</v>
      </c>
      <c r="O94" s="430">
        <f>Inflation_FWD!AI17</f>
        <v>4.3766808726442674E-2</v>
      </c>
      <c r="P94" s="451">
        <f>Inflation_FWD!AJ17</f>
        <v>5.2054285183118498E-3</v>
      </c>
      <c r="Q94" s="430"/>
      <c r="R94" s="430"/>
      <c r="S94" s="430"/>
      <c r="T94" s="430"/>
      <c r="U94" s="430"/>
      <c r="AB94" s="329">
        <v>1</v>
      </c>
      <c r="AC94" s="326">
        <f t="shared" ca="1" si="48"/>
        <v>3.4428230264858528</v>
      </c>
      <c r="AD94" s="326">
        <f t="shared" ca="1" si="49"/>
        <v>3.4284236524374956</v>
      </c>
      <c r="AE94" s="326">
        <f t="shared" ca="1" si="50"/>
        <v>3.4021462992052998</v>
      </c>
      <c r="AF94" s="326">
        <f t="shared" ca="1" si="51"/>
        <v>3.417081505947861</v>
      </c>
      <c r="AG94" s="326">
        <f t="shared" ca="1" si="52"/>
        <v>3.507845561209777</v>
      </c>
      <c r="AH94" s="326">
        <f t="shared" ca="1" si="53"/>
        <v>3.6170918528279472</v>
      </c>
      <c r="AI94" s="326">
        <f t="shared" ca="1" si="54"/>
        <v>4.0394565795238035</v>
      </c>
      <c r="AJ94" s="326">
        <f t="shared" ca="1" si="55"/>
        <v>4.2402557113681905</v>
      </c>
      <c r="AK94" s="326">
        <f t="shared" ca="1" si="56"/>
        <v>4.2629665288425711</v>
      </c>
      <c r="AL94" s="326">
        <f t="shared" ca="1" si="57"/>
        <v>4.2632830496466489</v>
      </c>
    </row>
    <row r="95" spans="4:39">
      <c r="D95" s="454" t="str">
        <f>Inflation_FWD!X18</f>
        <v>07-12-2017</v>
      </c>
      <c r="E95" s="430">
        <f>Inflation_FWD!Y18</f>
        <v>2.8959895977823447E-2</v>
      </c>
      <c r="F95" s="453">
        <f>Inflation_FWD!Z18</f>
        <v>2.7762379695203565E-2</v>
      </c>
      <c r="G95" s="430">
        <f>Inflation_FWD!AA18</f>
        <v>2.9964238942147281E-2</v>
      </c>
      <c r="H95" s="430">
        <f>Inflation_FWD!AB18</f>
        <v>3.2531198653175331E-2</v>
      </c>
      <c r="I95" s="430">
        <f>Inflation_FWD!AC18</f>
        <v>3.4459342112784785E-2</v>
      </c>
      <c r="J95" s="430">
        <f>Inflation_FWD!AD18</f>
        <v>3.6519531673611327E-2</v>
      </c>
      <c r="K95" s="430">
        <f>Inflation_FWD!AE18</f>
        <v>3.3321255937968974E-2</v>
      </c>
      <c r="L95" s="430">
        <f>Inflation_FWD!AF18</f>
        <v>3.4190618670664197E-2</v>
      </c>
      <c r="M95" s="430">
        <f>Inflation_FWD!AG18</f>
        <v>3.5282597762470003E-2</v>
      </c>
      <c r="N95" s="430">
        <f>Inflation_FWD!AH18</f>
        <v>3.691267273142862E-2</v>
      </c>
      <c r="O95" s="430">
        <f>Inflation_FWD!AI18</f>
        <v>3.9561891714733788E-2</v>
      </c>
      <c r="P95" s="430">
        <f>Inflation_FWD!AJ18</f>
        <v>4.5035584575227938E-2</v>
      </c>
      <c r="Q95" s="451">
        <f>Inflation_FWD!AK18</f>
        <v>2.2933234695765581E-3</v>
      </c>
      <c r="R95" s="430"/>
      <c r="S95" s="430"/>
      <c r="T95" s="430"/>
      <c r="U95" s="430"/>
      <c r="AB95" s="329">
        <v>2</v>
      </c>
      <c r="AC95" s="326">
        <f t="shared" ca="1" si="48"/>
        <v>3.5299207719739738</v>
      </c>
      <c r="AD95" s="326">
        <f t="shared" ca="1" si="49"/>
        <v>3.5430192773325375</v>
      </c>
      <c r="AE95" s="326">
        <f t="shared" ca="1" si="50"/>
        <v>3.5734161779401141</v>
      </c>
      <c r="AF95" s="326">
        <f t="shared" ca="1" si="51"/>
        <v>3.6364924130650511</v>
      </c>
      <c r="AG95" s="326">
        <f t="shared" ca="1" si="52"/>
        <v>3.7271742695644372</v>
      </c>
      <c r="AH95" s="326">
        <f t="shared" ca="1" si="53"/>
        <v>3.8280594479104257</v>
      </c>
      <c r="AI95" s="326">
        <f t="shared" ca="1" si="54"/>
        <v>4.139807748628721</v>
      </c>
      <c r="AJ95" s="326">
        <f t="shared" ca="1" si="55"/>
        <v>4.2516105016722205</v>
      </c>
      <c r="AK95" s="326">
        <f t="shared" ca="1" si="56"/>
        <v>4.263124789124495</v>
      </c>
      <c r="AL95" s="326">
        <f t="shared" ca="1" si="57"/>
        <v>4.2631381260667123</v>
      </c>
    </row>
    <row r="96" spans="4:39">
      <c r="D96" s="454" t="str">
        <f>Inflation_FWD!X19</f>
        <v>09-01-2018</v>
      </c>
      <c r="E96" s="430">
        <f>Inflation_FWD!Y19</f>
        <v>2.7758077061270647E-2</v>
      </c>
      <c r="F96" s="430">
        <f>Inflation_FWD!Z19</f>
        <v>2.6570690152361243E-2</v>
      </c>
      <c r="G96" s="453">
        <f>Inflation_FWD!AA19</f>
        <v>2.8469615982410268E-2</v>
      </c>
      <c r="H96" s="430">
        <f>Inflation_FWD!AB19</f>
        <v>3.0640389060107909E-2</v>
      </c>
      <c r="I96" s="430">
        <f>Inflation_FWD!AC19</f>
        <v>3.2184142420551121E-2</v>
      </c>
      <c r="J96" s="430">
        <f>Inflation_FWD!AD19</f>
        <v>3.3756362647588078E-2</v>
      </c>
      <c r="K96" s="430">
        <f>Inflation_FWD!AE19</f>
        <v>3.0636281392408371E-2</v>
      </c>
      <c r="L96" s="430">
        <f>Inflation_FWD!AF19</f>
        <v>3.0980983048365607E-2</v>
      </c>
      <c r="M96" s="430">
        <f>Inflation_FWD!AG19</f>
        <v>3.1393625935820513E-2</v>
      </c>
      <c r="N96" s="430">
        <f>Inflation_FWD!AH19</f>
        <v>3.1829183387451998E-2</v>
      </c>
      <c r="O96" s="430">
        <f>Inflation_FWD!AI19</f>
        <v>3.2519072350916334E-2</v>
      </c>
      <c r="P96" s="430">
        <f>Inflation_FWD!AJ19</f>
        <v>3.3990183217556424E-2</v>
      </c>
      <c r="Q96" s="430">
        <f>Inflation_FWD!AK19</f>
        <v>2.1211143042991321E-2</v>
      </c>
      <c r="R96" s="451">
        <f>Inflation_FWD!AL19</f>
        <v>1.2178469941321879E-3</v>
      </c>
      <c r="S96" s="430"/>
      <c r="T96" s="430"/>
      <c r="U96" s="430"/>
      <c r="AB96" s="329">
        <v>3</v>
      </c>
      <c r="AC96" s="326">
        <f t="shared" ca="1" si="48"/>
        <v>3.6994881620918112</v>
      </c>
      <c r="AD96" s="326">
        <f t="shared" ca="1" si="49"/>
        <v>3.7148041024088529</v>
      </c>
      <c r="AE96" s="326">
        <f t="shared" ca="1" si="50"/>
        <v>3.7474959877786151</v>
      </c>
      <c r="AF96" s="326">
        <f t="shared" ca="1" si="51"/>
        <v>3.8070154477570783</v>
      </c>
      <c r="AG96" s="326">
        <f t="shared" ca="1" si="52"/>
        <v>3.8834672986088448</v>
      </c>
      <c r="AH96" s="326">
        <f t="shared" ca="1" si="53"/>
        <v>3.9652767785073761</v>
      </c>
      <c r="AI96" s="326">
        <f t="shared" ca="1" si="54"/>
        <v>4.1808445025274255</v>
      </c>
      <c r="AJ96" s="326">
        <f t="shared" ca="1" si="55"/>
        <v>4.2555012057928776</v>
      </c>
      <c r="AK96" s="326">
        <f t="shared" ca="1" si="56"/>
        <v>4.2630809269606162</v>
      </c>
      <c r="AL96" s="326">
        <f t="shared" ca="1" si="57"/>
        <v>4.2631994297627429</v>
      </c>
    </row>
    <row r="97" spans="2:38">
      <c r="D97" s="454" t="str">
        <f>Inflation_FWD!X20</f>
        <v>09-02-2018</v>
      </c>
      <c r="E97" s="430">
        <f>Inflation_FWD!Y20</f>
        <v>2.6303999956422741E-2</v>
      </c>
      <c r="F97" s="430">
        <f>Inflation_FWD!Z20</f>
        <v>2.5102355381144692E-2</v>
      </c>
      <c r="G97" s="430">
        <f>Inflation_FWD!AA20</f>
        <v>2.6734945467175031E-2</v>
      </c>
      <c r="H97" s="453">
        <f>Inflation_FWD!AB20</f>
        <v>2.857034595127117E-2</v>
      </c>
      <c r="I97" s="430">
        <f>Inflation_FWD!AC20</f>
        <v>2.9797142418089395E-2</v>
      </c>
      <c r="J97" s="430">
        <f>Inflation_FWD!AD20</f>
        <v>3.0982968773021202E-2</v>
      </c>
      <c r="K97" s="430">
        <f>Inflation_FWD!AE20</f>
        <v>2.7900082350221123E-2</v>
      </c>
      <c r="L97" s="430">
        <f>Inflation_FWD!AF20</f>
        <v>2.7854567195322977E-2</v>
      </c>
      <c r="M97" s="430">
        <f>Inflation_FWD!AG20</f>
        <v>2.7804322997081465E-2</v>
      </c>
      <c r="N97" s="430">
        <f>Inflation_FWD!AH20</f>
        <v>2.7522588267860026E-2</v>
      </c>
      <c r="O97" s="430">
        <f>Inflation_FWD!AI20</f>
        <v>2.7233966983940316E-2</v>
      </c>
      <c r="P97" s="430">
        <f>Inflation_FWD!AJ20</f>
        <v>2.7165220474064E-2</v>
      </c>
      <c r="Q97" s="430">
        <f>Inflation_FWD!AK20</f>
        <v>1.6240230991550808E-2</v>
      </c>
      <c r="R97" s="430">
        <f>Inflation_FWD!AL20</f>
        <v>1.014476978120582E-2</v>
      </c>
      <c r="S97" s="451">
        <f>Inflation_FWD!AM20</f>
        <v>5.5289347585696369E-4</v>
      </c>
      <c r="T97" s="430"/>
      <c r="U97" s="430"/>
      <c r="AB97" s="329">
        <v>4</v>
      </c>
      <c r="AC97" s="326">
        <f t="shared" ca="1" si="48"/>
        <v>3.834416478468893</v>
      </c>
      <c r="AD97" s="326">
        <f t="shared" ca="1" si="49"/>
        <v>3.8474105131030223</v>
      </c>
      <c r="AE97" s="326">
        <f t="shared" ca="1" si="50"/>
        <v>3.874257943664805</v>
      </c>
      <c r="AF97" s="326">
        <f t="shared" ca="1" si="51"/>
        <v>3.9210762403670385</v>
      </c>
      <c r="AG97" s="326">
        <f t="shared" ca="1" si="52"/>
        <v>3.9791124389934041</v>
      </c>
      <c r="AH97" s="326">
        <f t="shared" ca="1" si="53"/>
        <v>4.0396194375394101</v>
      </c>
      <c r="AI97" s="326">
        <f t="shared" ca="1" si="54"/>
        <v>4.2014480264583876</v>
      </c>
      <c r="AJ97" s="326">
        <f t="shared" ca="1" si="55"/>
        <v>4.2573741545448573</v>
      </c>
      <c r="AK97" s="326">
        <f t="shared" ca="1" si="56"/>
        <v>4.2631412044839223</v>
      </c>
      <c r="AL97" s="326">
        <f t="shared" ca="1" si="57"/>
        <v>4.2631947978566398</v>
      </c>
    </row>
    <row r="98" spans="2:38">
      <c r="D98" s="454" t="str">
        <f>Inflation_FWD!X21</f>
        <v>09-03-2018</v>
      </c>
      <c r="E98" s="430">
        <f>Inflation_FWD!Y21</f>
        <v>2.5675790433300927E-2</v>
      </c>
      <c r="F98" s="430">
        <f>Inflation_FWD!Z21</f>
        <v>2.4507381477745449E-2</v>
      </c>
      <c r="G98" s="430">
        <f>Inflation_FWD!AA21</f>
        <v>2.598764235101525E-2</v>
      </c>
      <c r="H98" s="430">
        <f>Inflation_FWD!AB21</f>
        <v>2.763190502892332E-2</v>
      </c>
      <c r="I98" s="453">
        <f>Inflation_FWD!AC21</f>
        <v>2.8691472046633137E-2</v>
      </c>
      <c r="J98" s="430">
        <f>Inflation_FWD!AD21</f>
        <v>2.9681785485289103E-2</v>
      </c>
      <c r="K98" s="430">
        <f>Inflation_FWD!AE21</f>
        <v>2.6749496775489323E-2</v>
      </c>
      <c r="L98" s="430">
        <f>Inflation_FWD!AF21</f>
        <v>2.6578129539116535E-2</v>
      </c>
      <c r="M98" s="430">
        <f>Inflation_FWD!AG21</f>
        <v>2.6387911366163808E-2</v>
      </c>
      <c r="N98" s="430">
        <f>Inflation_FWD!AH21</f>
        <v>2.5923468322420984E-2</v>
      </c>
      <c r="O98" s="430">
        <f>Inflation_FWD!AI21</f>
        <v>2.5416335536246892E-2</v>
      </c>
      <c r="P98" s="430">
        <f>Inflation_FWD!AJ21</f>
        <v>2.5030072916503165E-2</v>
      </c>
      <c r="Q98" s="430">
        <f>Inflation_FWD!AK21</f>
        <v>1.6062022355862515E-2</v>
      </c>
      <c r="R98" s="430">
        <f>Inflation_FWD!AL21</f>
        <v>1.1764560594112572E-2</v>
      </c>
      <c r="S98" s="430">
        <f>Inflation_FWD!AM21</f>
        <v>1.0765651448349844E-2</v>
      </c>
      <c r="T98" s="451">
        <f>Inflation_FWD!AN21</f>
        <v>1.1788543009763064E-3</v>
      </c>
      <c r="U98" s="430"/>
      <c r="AB98" s="329">
        <v>5</v>
      </c>
      <c r="AC98" s="326">
        <f t="shared" ca="1" si="48"/>
        <v>3.9199853394581057</v>
      </c>
      <c r="AD98" s="326">
        <f t="shared" ca="1" si="49"/>
        <v>3.9308859429358023</v>
      </c>
      <c r="AE98" s="326">
        <f t="shared" ca="1" si="50"/>
        <v>3.9530104469022609</v>
      </c>
      <c r="AF98" s="326">
        <f t="shared" ca="1" si="51"/>
        <v>3.9908227737756485</v>
      </c>
      <c r="AG98" s="326">
        <f t="shared" ca="1" si="52"/>
        <v>4.036937036893562</v>
      </c>
      <c r="AH98" s="326">
        <f t="shared" ca="1" si="53"/>
        <v>4.0843137430715659</v>
      </c>
      <c r="AI98" s="326">
        <f t="shared" ca="1" si="54"/>
        <v>4.2137541546684032</v>
      </c>
      <c r="AJ98" s="326">
        <f t="shared" ca="1" si="55"/>
        <v>4.2585637039432633</v>
      </c>
      <c r="AK98" s="326">
        <f t="shared" ca="1" si="56"/>
        <v>4.2631491440138447</v>
      </c>
      <c r="AL98" s="326">
        <f t="shared" ca="1" si="57"/>
        <v>4.2631888615666025</v>
      </c>
    </row>
    <row r="99" spans="2:38">
      <c r="D99" s="454" t="str">
        <f>Inflation_FWD!X22</f>
        <v>09-04-2018</v>
      </c>
      <c r="E99" s="430">
        <f>Inflation_FWD!Y22</f>
        <v>2.520744920507445E-2</v>
      </c>
      <c r="F99" s="430">
        <f>Inflation_FWD!Z22</f>
        <v>2.4085156020142273E-2</v>
      </c>
      <c r="G99" s="430">
        <f>Inflation_FWD!AA22</f>
        <v>2.5435128235448357E-2</v>
      </c>
      <c r="H99" s="430">
        <f>Inflation_FWD!AB22</f>
        <v>2.6917819288228673E-2</v>
      </c>
      <c r="I99" s="430">
        <f>Inflation_FWD!AC22</f>
        <v>2.78432023029902E-2</v>
      </c>
      <c r="J99" s="453">
        <f>Inflation_FWD!AD22</f>
        <v>2.8682022112693328E-2</v>
      </c>
      <c r="K99" s="430">
        <f>Inflation_FWD!AE22</f>
        <v>2.5928110230323043E-2</v>
      </c>
      <c r="L99" s="430">
        <f>Inflation_FWD!AF22</f>
        <v>2.5690629410912047E-2</v>
      </c>
      <c r="M99" s="430">
        <f>Inflation_FWD!AG22</f>
        <v>2.5431941980377681E-2</v>
      </c>
      <c r="N99" s="430">
        <f>Inflation_FWD!AH22</f>
        <v>2.4897411488684629E-2</v>
      </c>
      <c r="O99" s="430">
        <f>Inflation_FWD!AI22</f>
        <v>2.4320132995873101E-2</v>
      </c>
      <c r="P99" s="430">
        <f>Inflation_FWD!AJ22</f>
        <v>2.3833171452981139E-2</v>
      </c>
      <c r="Q99" s="430">
        <f>Inflation_FWD!AK22</f>
        <v>1.6440716109809461E-2</v>
      </c>
      <c r="R99" s="430">
        <f>Inflation_FWD!AL22</f>
        <v>1.3309393060964458E-2</v>
      </c>
      <c r="S99" s="430">
        <f>Inflation_FWD!AM22</f>
        <v>1.3220103522522786E-2</v>
      </c>
      <c r="T99" s="430">
        <f>Inflation_FWD!AN22</f>
        <v>1.6753415897185819E-2</v>
      </c>
      <c r="U99" s="451">
        <f>Inflation_FWD!AO22</f>
        <v>1.5086286197887322E-3</v>
      </c>
      <c r="AB99" s="329">
        <v>6</v>
      </c>
      <c r="AC99" s="326">
        <f t="shared" ca="1" si="48"/>
        <v>3.9771230277269494</v>
      </c>
      <c r="AD99" s="326">
        <f t="shared" ca="1" si="49"/>
        <v>3.9863856095132322</v>
      </c>
      <c r="AE99" s="326">
        <f t="shared" ca="1" si="50"/>
        <v>4.0051294716698438</v>
      </c>
      <c r="AF99" s="326">
        <f t="shared" ca="1" si="51"/>
        <v>4.0368059330311734</v>
      </c>
      <c r="AG99" s="326">
        <f t="shared" ca="1" si="52"/>
        <v>4.075083642311883</v>
      </c>
      <c r="AH99" s="326">
        <f t="shared" ca="1" si="53"/>
        <v>4.1140723742538743</v>
      </c>
      <c r="AI99" s="326">
        <f t="shared" ca="1" si="54"/>
        <v>4.2220138316666711</v>
      </c>
      <c r="AJ99" s="326">
        <f t="shared" ca="1" si="55"/>
        <v>4.2593332227765401</v>
      </c>
      <c r="AK99" s="326">
        <f t="shared" ca="1" si="56"/>
        <v>4.2631518060796569</v>
      </c>
      <c r="AL99" s="326">
        <f t="shared" ca="1" si="57"/>
        <v>4.2694722860521228</v>
      </c>
    </row>
    <row r="100" spans="2:38">
      <c r="AB100" s="329">
        <v>7</v>
      </c>
      <c r="AC100" s="326">
        <f t="shared" ca="1" si="48"/>
        <v>4.0179135859492492</v>
      </c>
      <c r="AD100" s="326">
        <f t="shared" ca="1" si="49"/>
        <v>4.0260079928167603</v>
      </c>
      <c r="AE100" s="326">
        <f t="shared" ca="1" si="50"/>
        <v>4.0422415357706409</v>
      </c>
      <c r="AF100" s="326">
        <f t="shared" ca="1" si="51"/>
        <v>4.0694854076644749</v>
      </c>
      <c r="AG100" s="326">
        <f t="shared" ca="1" si="52"/>
        <v>4.1022197078761868</v>
      </c>
      <c r="AH100" s="326">
        <f t="shared" ca="1" si="53"/>
        <v>4.1353806671660553</v>
      </c>
      <c r="AI100" s="326">
        <f t="shared" ca="1" si="54"/>
        <v>4.2278938464217042</v>
      </c>
      <c r="AJ100" s="326">
        <f t="shared" ca="1" si="55"/>
        <v>4.2598806275303547</v>
      </c>
      <c r="AK100" s="326">
        <f t="shared" ca="1" si="56"/>
        <v>4.268542867311953</v>
      </c>
      <c r="AL100" s="326">
        <f t="shared" ca="1" si="57"/>
        <v>4.2793991602730674</v>
      </c>
    </row>
    <row r="101" spans="2:38">
      <c r="B101" s="187"/>
      <c r="AB101" s="329">
        <v>8</v>
      </c>
      <c r="AC101" s="326">
        <f t="shared" ca="1" si="48"/>
        <v>4.0485580254709399</v>
      </c>
      <c r="AD101" s="326">
        <f t="shared" ca="1" si="49"/>
        <v>4.0556707801948644</v>
      </c>
      <c r="AE101" s="326">
        <f t="shared" ca="1" si="50"/>
        <v>4.0699757270627135</v>
      </c>
      <c r="AF101" s="326">
        <f t="shared" ca="1" si="51"/>
        <v>4.0938721956895074</v>
      </c>
      <c r="AG101" s="326">
        <f t="shared" ca="1" si="52"/>
        <v>4.1224762544536331</v>
      </c>
      <c r="AH101" s="326">
        <f t="shared" ca="1" si="53"/>
        <v>4.151347125762328</v>
      </c>
      <c r="AI101" s="326">
        <f t="shared" ca="1" si="54"/>
        <v>4.2323021025591157</v>
      </c>
      <c r="AJ101" s="326">
        <f t="shared" ca="1" si="55"/>
        <v>4.2650065530725811</v>
      </c>
      <c r="AK101" s="326">
        <f t="shared" ca="1" si="56"/>
        <v>4.2773449397170982</v>
      </c>
      <c r="AL101" s="326">
        <f t="shared" ca="1" si="57"/>
        <v>4.2916028766829095</v>
      </c>
    </row>
    <row r="102" spans="2:38">
      <c r="AB102" s="329">
        <v>9</v>
      </c>
      <c r="AC102" s="326">
        <f t="shared" ca="1" si="48"/>
        <v>4.0723831780661994</v>
      </c>
      <c r="AD102" s="326">
        <f t="shared" ca="1" si="49"/>
        <v>4.0787400863802947</v>
      </c>
      <c r="AE102" s="326">
        <f t="shared" ca="1" si="50"/>
        <v>4.0915174177271973</v>
      </c>
      <c r="AF102" s="326">
        <f t="shared" ca="1" si="51"/>
        <v>4.1127931801406392</v>
      </c>
      <c r="AG102" s="326">
        <f t="shared" ca="1" si="52"/>
        <v>4.1381939770944731</v>
      </c>
      <c r="AH102" s="326">
        <f t="shared" ca="1" si="53"/>
        <v>4.1637654226049925</v>
      </c>
      <c r="AI102" s="326">
        <f t="shared" ca="1" si="54"/>
        <v>4.2399213173070605</v>
      </c>
      <c r="AJ102" s="326">
        <f t="shared" ca="1" si="55"/>
        <v>4.2732232627497924</v>
      </c>
      <c r="AK102" s="326">
        <f t="shared" ca="1" si="56"/>
        <v>4.288420671894877</v>
      </c>
      <c r="AL102" s="326">
        <f t="shared" ca="1" si="57"/>
        <v>4.3053243327352497</v>
      </c>
    </row>
    <row r="103" spans="2:38">
      <c r="AB103" s="329">
        <v>10</v>
      </c>
      <c r="AC103" s="326">
        <f t="shared" ca="1" si="48"/>
        <v>4.0914456520762919</v>
      </c>
      <c r="AD103" s="326">
        <f t="shared" ca="1" si="49"/>
        <v>4.09744744104239</v>
      </c>
      <c r="AE103" s="326">
        <f t="shared" ca="1" si="50"/>
        <v>4.1095836054539259</v>
      </c>
      <c r="AF103" s="326">
        <f t="shared" ca="1" si="51"/>
        <v>4.1296895040531023</v>
      </c>
      <c r="AG103" s="326">
        <f t="shared" ca="1" si="52"/>
        <v>4.1535031847055315</v>
      </c>
      <c r="AH103" s="326">
        <f t="shared" ca="1" si="53"/>
        <v>4.1774702722213508</v>
      </c>
      <c r="AI103" s="326">
        <f t="shared" ca="1" si="54"/>
        <v>4.2498229775678631</v>
      </c>
      <c r="AJ103" s="326">
        <f t="shared" ca="1" si="55"/>
        <v>4.2836031745383307</v>
      </c>
      <c r="AK103" s="326">
        <f t="shared" ca="1" si="56"/>
        <v>4.3010877780899071</v>
      </c>
      <c r="AL103" s="326">
        <f t="shared" ca="1" si="57"/>
        <v>4.3201081226362348</v>
      </c>
    </row>
    <row r="104" spans="2:38">
      <c r="AC104" s="326"/>
      <c r="AD104" s="326"/>
      <c r="AE104" s="326"/>
      <c r="AF104" s="326"/>
      <c r="AG104" s="326"/>
      <c r="AH104" s="326"/>
      <c r="AI104" s="326"/>
      <c r="AJ104" s="326"/>
    </row>
    <row r="105" spans="2:38" ht="13.5" thickBot="1">
      <c r="B105" s="354" t="s">
        <v>309</v>
      </c>
      <c r="C105" s="347" t="s">
        <v>352</v>
      </c>
      <c r="AB105" s="570" t="s">
        <v>340</v>
      </c>
      <c r="AC105" s="585"/>
      <c r="AD105" s="585"/>
      <c r="AE105" s="585"/>
      <c r="AF105" s="585"/>
      <c r="AG105" s="585"/>
      <c r="AH105" s="585"/>
      <c r="AI105" s="585"/>
      <c r="AJ105" s="585"/>
      <c r="AK105" s="585"/>
      <c r="AL105" s="585"/>
    </row>
    <row r="106" spans="2:38" ht="13.5" thickBot="1">
      <c r="B106" s="355">
        <f>1/12</f>
        <v>8.3333333333333329E-2</v>
      </c>
      <c r="C106" s="347">
        <v>3</v>
      </c>
      <c r="AB106" s="220" t="s">
        <v>309</v>
      </c>
      <c r="AC106" s="337" t="s">
        <v>311</v>
      </c>
      <c r="AD106" s="338">
        <f>1/12</f>
        <v>8.3333333333333329E-2</v>
      </c>
      <c r="AE106" s="338">
        <v>0.25</v>
      </c>
      <c r="AF106" s="338">
        <v>0.5</v>
      </c>
      <c r="AG106" s="338">
        <f>9/12</f>
        <v>0.75</v>
      </c>
      <c r="AH106" s="339">
        <v>1</v>
      </c>
      <c r="AI106" s="339">
        <v>2</v>
      </c>
      <c r="AJ106" s="339">
        <v>3</v>
      </c>
      <c r="AK106" s="339">
        <v>4</v>
      </c>
      <c r="AL106" s="339">
        <v>5</v>
      </c>
    </row>
    <row r="107" spans="2:38">
      <c r="B107" s="355">
        <v>0.25</v>
      </c>
      <c r="C107" s="347">
        <v>3</v>
      </c>
      <c r="AB107" s="328">
        <f>1/12</f>
        <v>8.3333333333333329E-2</v>
      </c>
      <c r="AC107" s="326">
        <f ca="1">Lin_Interp(ROUND($AB107*365,0),$AB$10:$AB$79,$AF$10:$AF$79)</f>
        <v>-0.93497429018980505</v>
      </c>
      <c r="AD107" s="326">
        <f t="shared" ref="AD107:AD120" ca="1" si="58">forwardZeroRate(365,Lin_Interp(ROUND(D$47*365,0),$AB$10:$AB$79,$AF$10:$AF$79),Lin_Interp(ROUND(D$47*365+$AB107*365,0),$AB$10:$AB$79,$AF$10:$AF$79),D$47*365,D$47*365+$AB107*365)</f>
        <v>-0.33556286795357604</v>
      </c>
      <c r="AE107" s="326">
        <f t="shared" ref="AE107:AE120" ca="1" si="59">forwardZeroRate(365,Lin_Interp(ROUND(E$47*365,0),$AB$10:$AB$79,$AF$10:$AF$79),Lin_Interp(ROUND(E$47*365+$AB107*365,0),$AB$10:$AB$79,$AF$10:$AF$79),E$47*365,E$47*365+$AB107*365)</f>
        <v>1.723414924147959</v>
      </c>
      <c r="AF107" s="326">
        <f t="shared" ref="AF107:AF120" ca="1" si="60">forwardZeroRate(365,Lin_Interp(ROUND(F$47*365,0),$AB$10:$AB$79,$AF$10:$AF$79),Lin_Interp(ROUND(F$47*365+$AB107*365,0),$AB$10:$AB$79,$AF$10:$AF$79),F$47*365,F$47*365+$AB107*365)</f>
        <v>-0.59667569067308746</v>
      </c>
      <c r="AG107" s="326">
        <f t="shared" ref="AG107:AG120" ca="1" si="61">forwardZeroRate(365,Lin_Interp(ROUND(G$47*365,0),$AB$10:$AB$79,$AF$10:$AF$79),Lin_Interp(ROUND(G$47*365+$AB107*365,0),$AB$10:$AB$79,$AF$10:$AF$79),G$47*365,G$47*365+$AB107*365)</f>
        <v>0.43447708109574101</v>
      </c>
      <c r="AH107" s="326">
        <f t="shared" ref="AH107:AH120" ca="1" si="62">forwardZeroRate(365,Lin_Interp(ROUND(H$47*365,0),$AB$10:$AB$79,$AF$10:$AF$79),Lin_Interp(ROUND(H$47*365+$AB107*365,0),$AB$10:$AB$79,$AF$10:$AF$79),H$47*365,H$47*365+$AB107*365)</f>
        <v>-0.85466963288090003</v>
      </c>
      <c r="AI107" s="326">
        <f t="shared" ref="AI107:AI120" ca="1" si="63">forwardZeroRate(365,Lin_Interp(ROUND(I$47*365,0),$AB$10:$AB$79,$AF$10:$AF$79),Lin_Interp(ROUND(I$47*365+$AB107*365,0),$AB$10:$AB$79,$AF$10:$AF$79),I$47*365,I$47*365+$AB107*365)</f>
        <v>0.88103216766803882</v>
      </c>
      <c r="AJ107" s="326">
        <f t="shared" ref="AJ107:AJ120" ca="1" si="64">forwardZeroRate(365,Lin_Interp(ROUND(J$47*365,0),$AB$10:$AB$79,$AF$10:$AF$79),Lin_Interp(ROUND(J$47*365+$AB107*365,0),$AB$10:$AB$79,$AF$10:$AF$79),J$47*365,J$47*365+$AB107*365)</f>
        <v>1.1166299210861652</v>
      </c>
      <c r="AK107" s="326">
        <f t="shared" ref="AK107:AK120" ca="1" si="65">forwardZeroRate(365,Lin_Interp(ROUND(K$47*365,0),$AB$10:$AB$79,$AF$10:$AF$79),Lin_Interp(ROUND(K$47*365+$AB107*365,0),$AB$10:$AB$79,$AF$10:$AF$79),K$47*365,K$47*365+$AB107*365)</f>
        <v>1.1818159874765977</v>
      </c>
      <c r="AL107" s="326">
        <f t="shared" ref="AL107:AL120" ca="1" si="66">forwardZeroRate(365,Lin_Interp(ROUND(L$47*365,0),$AB$10:$AB$79,$AF$10:$AF$79),Lin_Interp(ROUND(L$47*365+$AB107*365,0),$AB$10:$AB$79,$AF$10:$AF$79),L$47*365,L$47*365+$AB107*365)</f>
        <v>1.2105324218930402</v>
      </c>
    </row>
    <row r="108" spans="2:38">
      <c r="B108" s="355">
        <v>0.5</v>
      </c>
      <c r="C108" s="347">
        <v>3</v>
      </c>
      <c r="AB108" s="328">
        <v>0.25</v>
      </c>
      <c r="AC108" s="326">
        <f t="shared" ref="AC108:AC120" ca="1" si="67">Lin_Interp(ROUND($AB108*365,0),$AB$10:$AB$79,$AF$10:$AF$79)</f>
        <v>-2.8532536890595317E-2</v>
      </c>
      <c r="AD108" s="326">
        <f t="shared" ca="1" si="58"/>
        <v>0.85782352179391008</v>
      </c>
      <c r="AE108" s="326">
        <f t="shared" ca="1" si="59"/>
        <v>0.88515157024666724</v>
      </c>
      <c r="AF108" s="326">
        <f t="shared" ca="1" si="60"/>
        <v>0.1265619581390709</v>
      </c>
      <c r="AG108" s="326">
        <f t="shared" ca="1" si="61"/>
        <v>-8.2507153916155929E-2</v>
      </c>
      <c r="AH108" s="326">
        <f t="shared" ca="1" si="62"/>
        <v>0.98222273657575521</v>
      </c>
      <c r="AI108" s="326">
        <f t="shared" ca="1" si="63"/>
        <v>0.91287634334455969</v>
      </c>
      <c r="AJ108" s="326">
        <f t="shared" ca="1" si="64"/>
        <v>1.1413574827562556</v>
      </c>
      <c r="AK108" s="326">
        <f t="shared" ca="1" si="65"/>
        <v>1.1949720906520689</v>
      </c>
      <c r="AL108" s="326">
        <f t="shared" ca="1" si="66"/>
        <v>1.2167821676889012</v>
      </c>
    </row>
    <row r="109" spans="2:38">
      <c r="B109" s="355">
        <v>0.75</v>
      </c>
      <c r="C109" s="347">
        <v>3</v>
      </c>
      <c r="AB109" s="328">
        <v>0.5</v>
      </c>
      <c r="AC109" s="326">
        <f t="shared" ca="1" si="67"/>
        <v>0.42727043844102086</v>
      </c>
      <c r="AD109" s="326">
        <f t="shared" ca="1" si="58"/>
        <v>0.48434770293144247</v>
      </c>
      <c r="AE109" s="326">
        <f t="shared" ca="1" si="59"/>
        <v>0.50514105932373266</v>
      </c>
      <c r="AF109" s="326">
        <f t="shared" ca="1" si="60"/>
        <v>2.1972776762102519E-2</v>
      </c>
      <c r="AG109" s="326">
        <f t="shared" ca="1" si="61"/>
        <v>0.44844706546467439</v>
      </c>
      <c r="AH109" s="326">
        <f t="shared" ca="1" si="62"/>
        <v>0.91632914380987973</v>
      </c>
      <c r="AI109" s="326">
        <f t="shared" ca="1" si="63"/>
        <v>0.9569992481984535</v>
      </c>
      <c r="AJ109" s="326">
        <f t="shared" ca="1" si="64"/>
        <v>1.176931870378084</v>
      </c>
      <c r="AK109" s="326">
        <f t="shared" ca="1" si="65"/>
        <v>1.2167436061260695</v>
      </c>
      <c r="AL109" s="326">
        <f t="shared" ca="1" si="66"/>
        <v>1.2308155117424224</v>
      </c>
    </row>
    <row r="110" spans="2:38">
      <c r="B110" s="356">
        <v>1</v>
      </c>
      <c r="C110" s="347">
        <v>3</v>
      </c>
      <c r="AB110" s="328">
        <v>0.75</v>
      </c>
      <c r="AC110" s="326">
        <f t="shared" ca="1" si="67"/>
        <v>0.3269340661689446</v>
      </c>
      <c r="AD110" s="326">
        <f t="shared" ca="1" si="58"/>
        <v>0.48009497553223035</v>
      </c>
      <c r="AE110" s="326">
        <f t="shared" ca="1" si="59"/>
        <v>0.30887530462855306</v>
      </c>
      <c r="AF110" s="326">
        <f t="shared" ca="1" si="60"/>
        <v>0.34103721692970712</v>
      </c>
      <c r="AG110" s="326">
        <f t="shared" ca="1" si="61"/>
        <v>0.58227916988331518</v>
      </c>
      <c r="AH110" s="326">
        <f t="shared" ca="1" si="62"/>
        <v>0.85838396957429453</v>
      </c>
      <c r="AI110" s="326">
        <f t="shared" ca="1" si="63"/>
        <v>0.99818333222638778</v>
      </c>
      <c r="AJ110" s="326">
        <f t="shared" ca="1" si="64"/>
        <v>1.209546795888139</v>
      </c>
      <c r="AK110" s="326">
        <f t="shared" ca="1" si="65"/>
        <v>1.2365860061027689</v>
      </c>
      <c r="AL110" s="326">
        <f t="shared" ca="1" si="66"/>
        <v>1.2436777700735258</v>
      </c>
    </row>
    <row r="111" spans="2:38">
      <c r="B111" s="356">
        <v>2</v>
      </c>
      <c r="C111" s="347">
        <v>3</v>
      </c>
      <c r="AB111" s="329">
        <v>1</v>
      </c>
      <c r="AC111" s="326">
        <f t="shared" ca="1" si="67"/>
        <v>0.22441673483698521</v>
      </c>
      <c r="AD111" s="326">
        <f t="shared" ca="1" si="58"/>
        <v>0.23118459481989984</v>
      </c>
      <c r="AE111" s="326">
        <f t="shared" ca="1" si="59"/>
        <v>0.47679006369847343</v>
      </c>
      <c r="AF111" s="326">
        <f t="shared" ca="1" si="60"/>
        <v>0.46815578258077029</v>
      </c>
      <c r="AG111" s="326">
        <f t="shared" ca="1" si="61"/>
        <v>0.6223337989440525</v>
      </c>
      <c r="AH111" s="326">
        <f t="shared" ca="1" si="62"/>
        <v>0.85036342986752889</v>
      </c>
      <c r="AI111" s="326">
        <f t="shared" ca="1" si="63"/>
        <v>1.0396675597004856</v>
      </c>
      <c r="AJ111" s="326">
        <f t="shared" ca="1" si="64"/>
        <v>1.2426219621525902</v>
      </c>
      <c r="AK111" s="326">
        <f t="shared" ca="1" si="65"/>
        <v>1.2569204225994168</v>
      </c>
      <c r="AL111" s="326">
        <f t="shared" ca="1" si="66"/>
        <v>1.2570491837731401</v>
      </c>
    </row>
    <row r="112" spans="2:38">
      <c r="B112" s="356">
        <v>3</v>
      </c>
      <c r="C112" s="347">
        <v>3</v>
      </c>
      <c r="AB112" s="329">
        <v>2</v>
      </c>
      <c r="AC112" s="326">
        <f t="shared" ca="1" si="67"/>
        <v>0.53690293745280981</v>
      </c>
      <c r="AD112" s="326">
        <f t="shared" ca="1" si="58"/>
        <v>0.61302755245487006</v>
      </c>
      <c r="AE112" s="326">
        <f t="shared" ca="1" si="59"/>
        <v>0.65475992131824867</v>
      </c>
      <c r="AF112" s="326">
        <f t="shared" ca="1" si="60"/>
        <v>0.66921827386758892</v>
      </c>
      <c r="AG112" s="326">
        <f t="shared" ca="1" si="61"/>
        <v>0.7886227242684507</v>
      </c>
      <c r="AH112" s="326">
        <f t="shared" ca="1" si="62"/>
        <v>0.94497111906461928</v>
      </c>
      <c r="AI112" s="326">
        <f t="shared" ca="1" si="63"/>
        <v>1.1410938537265825</v>
      </c>
      <c r="AJ112" s="326">
        <f t="shared" ca="1" si="64"/>
        <v>1.249770939973005</v>
      </c>
      <c r="AK112" s="326">
        <f t="shared" ca="1" si="65"/>
        <v>1.2569848031658282</v>
      </c>
      <c r="AL112" s="326">
        <f t="shared" ca="1" si="66"/>
        <v>1.2380538450674994</v>
      </c>
    </row>
    <row r="113" spans="2:38">
      <c r="B113" s="356">
        <v>4</v>
      </c>
      <c r="C113" s="347">
        <v>3</v>
      </c>
      <c r="AB113" s="329">
        <v>3</v>
      </c>
      <c r="AC113" s="326">
        <f t="shared" ca="1" si="67"/>
        <v>0.70421256021900647</v>
      </c>
      <c r="AD113" s="326">
        <f t="shared" ca="1" si="58"/>
        <v>0.76156914606524406</v>
      </c>
      <c r="AE113" s="326">
        <f t="shared" ca="1" si="59"/>
        <v>0.80189513589454808</v>
      </c>
      <c r="AF113" s="326">
        <f t="shared" ca="1" si="60"/>
        <v>0.82911276610146967</v>
      </c>
      <c r="AG113" s="326">
        <f t="shared" ca="1" si="61"/>
        <v>0.92496855908541509</v>
      </c>
      <c r="AH113" s="326">
        <f t="shared" ca="1" si="62"/>
        <v>1.044090707690426</v>
      </c>
      <c r="AI113" s="326">
        <f t="shared" ca="1" si="63"/>
        <v>1.1796879811267091</v>
      </c>
      <c r="AJ113" s="326">
        <f t="shared" ca="1" si="64"/>
        <v>1.2521969631098528</v>
      </c>
      <c r="AK113" s="326">
        <f t="shared" ca="1" si="65"/>
        <v>1.2443423136243359</v>
      </c>
      <c r="AL113" s="326">
        <f t="shared" ca="1" si="66"/>
        <v>1.2306890442545848</v>
      </c>
    </row>
    <row r="114" spans="2:38">
      <c r="B114" s="356">
        <v>5</v>
      </c>
      <c r="C114" s="347">
        <v>3</v>
      </c>
      <c r="AB114" s="329">
        <v>4</v>
      </c>
      <c r="AC114" s="326">
        <f t="shared" ca="1" si="67"/>
        <v>0.83854588281166964</v>
      </c>
      <c r="AD114" s="326">
        <f t="shared" ca="1" si="58"/>
        <v>0.88297209818302136</v>
      </c>
      <c r="AE114" s="326">
        <f t="shared" ca="1" si="59"/>
        <v>0.91523913059070594</v>
      </c>
      <c r="AF114" s="326">
        <f t="shared" ca="1" si="60"/>
        <v>0.937295041245223</v>
      </c>
      <c r="AG114" s="326">
        <f t="shared" ca="1" si="61"/>
        <v>1.0093473722739832</v>
      </c>
      <c r="AH114" s="326">
        <f t="shared" ca="1" si="62"/>
        <v>1.0972561613196374</v>
      </c>
      <c r="AI114" s="326">
        <f t="shared" ca="1" si="63"/>
        <v>1.1990227389689689</v>
      </c>
      <c r="AJ114" s="326">
        <f t="shared" ca="1" si="64"/>
        <v>1.2439122230158528</v>
      </c>
      <c r="AK114" s="326">
        <f t="shared" ca="1" si="65"/>
        <v>1.2372462516996308</v>
      </c>
      <c r="AL114" s="326">
        <f t="shared" ca="1" si="66"/>
        <v>1.2269674483349702</v>
      </c>
    </row>
    <row r="115" spans="2:38">
      <c r="B115" s="356">
        <v>6</v>
      </c>
      <c r="C115" s="347">
        <v>3</v>
      </c>
      <c r="AB115" s="329">
        <v>5</v>
      </c>
      <c r="AC115" s="326">
        <f t="shared" ca="1" si="67"/>
        <v>0.92208227010131005</v>
      </c>
      <c r="AD115" s="326">
        <f t="shared" ca="1" si="58"/>
        <v>0.95812859858765975</v>
      </c>
      <c r="AE115" s="326">
        <f t="shared" ca="1" si="59"/>
        <v>0.98457114012924229</v>
      </c>
      <c r="AF115" s="326">
        <f t="shared" ca="1" si="60"/>
        <v>1.0025434068558159</v>
      </c>
      <c r="AG115" s="326">
        <f t="shared" ca="1" si="61"/>
        <v>1.0598753746509315</v>
      </c>
      <c r="AH115" s="326">
        <f t="shared" ca="1" si="62"/>
        <v>1.1291945796073177</v>
      </c>
      <c r="AI115" s="326">
        <f t="shared" ca="1" si="63"/>
        <v>1.2030302877187316</v>
      </c>
      <c r="AJ115" s="326">
        <f t="shared" ca="1" si="64"/>
        <v>1.2383213709548757</v>
      </c>
      <c r="AK115" s="326">
        <f t="shared" ca="1" si="65"/>
        <v>1.2329573342689359</v>
      </c>
      <c r="AL115" s="326">
        <f t="shared" ca="1" si="66"/>
        <v>1.2247319358297482</v>
      </c>
    </row>
    <row r="116" spans="2:38">
      <c r="B116" s="356">
        <v>7</v>
      </c>
      <c r="C116" s="347">
        <v>3</v>
      </c>
      <c r="AB116" s="329">
        <v>6</v>
      </c>
      <c r="AC116" s="326">
        <f t="shared" ca="1" si="67"/>
        <v>0.9778330385544256</v>
      </c>
      <c r="AD116" s="326">
        <f t="shared" ca="1" si="58"/>
        <v>1.0076363993637649</v>
      </c>
      <c r="AE116" s="326">
        <f t="shared" ca="1" si="59"/>
        <v>1.0290196441588462</v>
      </c>
      <c r="AF116" s="326">
        <f t="shared" ca="1" si="60"/>
        <v>1.0426195055152299</v>
      </c>
      <c r="AG116" s="326">
        <f t="shared" ca="1" si="61"/>
        <v>1.0886220093634824</v>
      </c>
      <c r="AH116" s="326">
        <f t="shared" ca="1" si="62"/>
        <v>1.1441669518233777</v>
      </c>
      <c r="AI116" s="326">
        <f t="shared" ca="1" si="63"/>
        <v>1.2051853000237367</v>
      </c>
      <c r="AJ116" s="326">
        <f t="shared" ca="1" si="64"/>
        <v>1.2345680415120297</v>
      </c>
      <c r="AK116" s="326">
        <f t="shared" ca="1" si="65"/>
        <v>1.2300959729552918</v>
      </c>
      <c r="AL116" s="326">
        <f t="shared" ca="1" si="66"/>
        <v>1.2284595254949515</v>
      </c>
    </row>
    <row r="117" spans="2:38">
      <c r="B117" s="356">
        <v>8</v>
      </c>
      <c r="C117" s="347">
        <v>3</v>
      </c>
      <c r="AB117" s="329">
        <v>7</v>
      </c>
      <c r="AC117" s="326">
        <f t="shared" ca="1" si="67"/>
        <v>1.0122590984082971</v>
      </c>
      <c r="AD117" s="326">
        <f t="shared" ca="1" si="58"/>
        <v>1.0378771677913567</v>
      </c>
      <c r="AE117" s="326">
        <f t="shared" ca="1" si="59"/>
        <v>1.0562780115379811</v>
      </c>
      <c r="AF117" s="326">
        <f t="shared" ca="1" si="60"/>
        <v>1.0678984910096556</v>
      </c>
      <c r="AG117" s="326">
        <f t="shared" ca="1" si="61"/>
        <v>1.1071504983919622</v>
      </c>
      <c r="AH117" s="326">
        <f t="shared" ca="1" si="62"/>
        <v>1.1544201328668624</v>
      </c>
      <c r="AI117" s="326">
        <f t="shared" ca="1" si="63"/>
        <v>1.2067021148858492</v>
      </c>
      <c r="AJ117" s="326">
        <f t="shared" ca="1" si="64"/>
        <v>1.2318853050965695</v>
      </c>
      <c r="AK117" s="326">
        <f t="shared" ca="1" si="65"/>
        <v>1.232524878109853</v>
      </c>
      <c r="AL117" s="326">
        <f t="shared" ca="1" si="66"/>
        <v>1.2356356414545466</v>
      </c>
    </row>
    <row r="118" spans="2:38">
      <c r="B118" s="356">
        <v>9</v>
      </c>
      <c r="C118" s="347">
        <v>3</v>
      </c>
      <c r="AB118" s="329">
        <v>8</v>
      </c>
      <c r="AC118" s="326">
        <f t="shared" ca="1" si="67"/>
        <v>1.0376994057243796</v>
      </c>
      <c r="AD118" s="326">
        <f t="shared" ca="1" si="58"/>
        <v>1.060138786626541</v>
      </c>
      <c r="AE118" s="326">
        <f t="shared" ca="1" si="59"/>
        <v>1.0763231669103535</v>
      </c>
      <c r="AF118" s="326">
        <f t="shared" ca="1" si="60"/>
        <v>1.086536299572205</v>
      </c>
      <c r="AG118" s="326">
        <f t="shared" ca="1" si="61"/>
        <v>1.1208502751587801</v>
      </c>
      <c r="AH118" s="326">
        <f t="shared" ca="1" si="62"/>
        <v>1.1620910151519448</v>
      </c>
      <c r="AI118" s="326">
        <f t="shared" ca="1" si="63"/>
        <v>1.2078381033327146</v>
      </c>
      <c r="AJ118" s="326">
        <f t="shared" ca="1" si="64"/>
        <v>1.2337869585429262</v>
      </c>
      <c r="AK118" s="326">
        <f t="shared" ca="1" si="65"/>
        <v>1.2382959943965322</v>
      </c>
      <c r="AL118" s="326">
        <f t="shared" ca="1" si="66"/>
        <v>1.24496679686108</v>
      </c>
    </row>
    <row r="119" spans="2:38">
      <c r="B119" s="356">
        <v>10</v>
      </c>
      <c r="C119" s="347">
        <v>3</v>
      </c>
      <c r="AB119" s="329">
        <v>9</v>
      </c>
      <c r="AC119" s="326">
        <f t="shared" ca="1" si="67"/>
        <v>1.0574732608207376</v>
      </c>
      <c r="AD119" s="326">
        <f t="shared" ca="1" si="58"/>
        <v>1.0774504607960367</v>
      </c>
      <c r="AE119" s="326">
        <f t="shared" ca="1" si="59"/>
        <v>1.0918879810408511</v>
      </c>
      <c r="AF119" s="326">
        <f t="shared" ca="1" si="60"/>
        <v>1.1009928489117415</v>
      </c>
      <c r="AG119" s="326">
        <f t="shared" ca="1" si="61"/>
        <v>1.1314736508763801</v>
      </c>
      <c r="AH119" s="326">
        <f t="shared" ca="1" si="62"/>
        <v>1.168056204007506</v>
      </c>
      <c r="AI119" s="326">
        <f t="shared" ca="1" si="63"/>
        <v>1.212199732453989</v>
      </c>
      <c r="AJ119" s="326">
        <f t="shared" ca="1" si="64"/>
        <v>1.2387766483523244</v>
      </c>
      <c r="AK119" s="326">
        <f t="shared" ca="1" si="65"/>
        <v>1.2462949078089647</v>
      </c>
      <c r="AL119" s="326">
        <f t="shared" ca="1" si="66"/>
        <v>1.2557345021957822</v>
      </c>
    </row>
    <row r="120" spans="2:38">
      <c r="AB120" s="329">
        <v>10</v>
      </c>
      <c r="AC120" s="326">
        <f t="shared" ca="1" si="67"/>
        <v>1.0732938228331474</v>
      </c>
      <c r="AD120" s="326">
        <f t="shared" ca="1" si="58"/>
        <v>1.0915079944166184</v>
      </c>
      <c r="AE120" s="326">
        <f t="shared" ca="1" si="59"/>
        <v>1.1050302636689935</v>
      </c>
      <c r="AF120" s="326">
        <f t="shared" ca="1" si="60"/>
        <v>1.1140180440044167</v>
      </c>
      <c r="AG120" s="326">
        <f t="shared" ca="1" si="61"/>
        <v>1.1422421104433811</v>
      </c>
      <c r="AH120" s="326">
        <f t="shared" ca="1" si="62"/>
        <v>1.1759577592050263</v>
      </c>
      <c r="AI120" s="326">
        <f t="shared" ca="1" si="63"/>
        <v>1.2188480958066794</v>
      </c>
      <c r="AJ120" s="326">
        <f t="shared" ca="1" si="64"/>
        <v>1.2459276072471992</v>
      </c>
      <c r="AK120" s="326">
        <f t="shared" ca="1" si="65"/>
        <v>1.2558530936111145</v>
      </c>
      <c r="AL120" s="326">
        <f t="shared" ca="1" si="66"/>
        <v>1.2675077151697023</v>
      </c>
    </row>
    <row r="121" spans="2:38">
      <c r="AE121" s="326"/>
      <c r="AF121" s="326"/>
      <c r="AG121" s="326"/>
      <c r="AH121" s="326"/>
      <c r="AI121" s="326"/>
      <c r="AJ121" s="326"/>
    </row>
    <row r="122" spans="2:38" ht="13.5" thickBot="1">
      <c r="AB122" s="570" t="s">
        <v>341</v>
      </c>
      <c r="AC122" s="585"/>
      <c r="AD122" s="585"/>
      <c r="AE122" s="585"/>
      <c r="AF122" s="585"/>
      <c r="AG122" s="585"/>
      <c r="AH122" s="585"/>
      <c r="AI122" s="585"/>
      <c r="AJ122" s="585"/>
      <c r="AK122" s="585"/>
      <c r="AL122" s="585"/>
    </row>
    <row r="123" spans="2:38" ht="13.5" thickBot="1">
      <c r="AB123" s="220" t="s">
        <v>309</v>
      </c>
      <c r="AC123" s="337" t="s">
        <v>311</v>
      </c>
      <c r="AD123" s="338">
        <f>1/12</f>
        <v>8.3333333333333329E-2</v>
      </c>
      <c r="AE123" s="338">
        <v>0.25</v>
      </c>
      <c r="AF123" s="338">
        <v>0.5</v>
      </c>
      <c r="AG123" s="338">
        <f>9/12</f>
        <v>0.75</v>
      </c>
      <c r="AH123" s="339">
        <v>1</v>
      </c>
      <c r="AI123" s="339">
        <v>2</v>
      </c>
      <c r="AJ123" s="339">
        <v>3</v>
      </c>
      <c r="AK123" s="339">
        <v>4</v>
      </c>
      <c r="AL123" s="339">
        <v>5</v>
      </c>
    </row>
    <row r="124" spans="2:38">
      <c r="AB124" s="328">
        <f>1/12</f>
        <v>8.3333333333333329E-2</v>
      </c>
      <c r="AC124" s="326">
        <f t="shared" ref="AC124:AL124" ca="1" si="68">AC90-AC107</f>
        <v>4.4967689825337054</v>
      </c>
      <c r="AD124" s="326">
        <f t="shared" ca="1" si="68"/>
        <v>3.8973575602969213</v>
      </c>
      <c r="AE124" s="326">
        <f t="shared" ca="1" si="68"/>
        <v>1.8383797681962077</v>
      </c>
      <c r="AF124" s="326">
        <f t="shared" ca="1" si="68"/>
        <v>3.9538501904846313</v>
      </c>
      <c r="AG124" s="326">
        <f t="shared" ca="1" si="68"/>
        <v>2.9218825615768607</v>
      </c>
      <c r="AH124" s="326">
        <f t="shared" ca="1" si="68"/>
        <v>4.2436054864049666</v>
      </c>
      <c r="AI124" s="326">
        <f t="shared" ca="1" si="68"/>
        <v>2.9956813926825365</v>
      </c>
      <c r="AJ124" s="326">
        <f t="shared" ca="1" si="68"/>
        <v>2.9972321139936531</v>
      </c>
      <c r="AK124" s="326">
        <f t="shared" ca="1" si="68"/>
        <v>3.0038877178824031</v>
      </c>
      <c r="AL124" s="326">
        <f t="shared" ca="1" si="68"/>
        <v>3.0050651081589219</v>
      </c>
    </row>
    <row r="125" spans="2:38">
      <c r="AB125" s="328">
        <v>0.25</v>
      </c>
      <c r="AC125" s="326">
        <f t="shared" ref="AC125:AL125" ca="1" si="69">AC91-AC108</f>
        <v>3.5903272292341426</v>
      </c>
      <c r="AD125" s="326">
        <f t="shared" ca="1" si="69"/>
        <v>2.703971170549746</v>
      </c>
      <c r="AE125" s="326">
        <f t="shared" ca="1" si="69"/>
        <v>2.6101068232033064</v>
      </c>
      <c r="AF125" s="326">
        <f t="shared" ca="1" si="69"/>
        <v>3.2288656469488863</v>
      </c>
      <c r="AG125" s="326">
        <f t="shared" ca="1" si="69"/>
        <v>3.4414711670675668</v>
      </c>
      <c r="AH125" s="326">
        <f t="shared" ca="1" si="69"/>
        <v>2.4167739709936908</v>
      </c>
      <c r="AI125" s="326">
        <f t="shared" ca="1" si="69"/>
        <v>2.9975009695331734</v>
      </c>
      <c r="AJ125" s="326">
        <f t="shared" ca="1" si="69"/>
        <v>2.9972333576516519</v>
      </c>
      <c r="AK125" s="326">
        <f t="shared" ca="1" si="69"/>
        <v>3.0044452901883956</v>
      </c>
      <c r="AL125" s="326">
        <f t="shared" ca="1" si="69"/>
        <v>3.0052290625716571</v>
      </c>
    </row>
    <row r="126" spans="2:38">
      <c r="AB126" s="328">
        <v>0.5</v>
      </c>
      <c r="AC126" s="326">
        <f t="shared" ref="AC126:AL126" ca="1" si="70">AC92-AC109</f>
        <v>3.1012507592149996</v>
      </c>
      <c r="AD126" s="326">
        <f t="shared" ca="1" si="70"/>
        <v>3.0100529855182412</v>
      </c>
      <c r="AE126" s="326">
        <f t="shared" ca="1" si="70"/>
        <v>2.9201783085858413</v>
      </c>
      <c r="AF126" s="326">
        <f t="shared" ca="1" si="70"/>
        <v>3.3352230172326136</v>
      </c>
      <c r="AG126" s="326">
        <f t="shared" ca="1" si="70"/>
        <v>2.9305313571026392</v>
      </c>
      <c r="AH126" s="326">
        <f t="shared" ca="1" si="70"/>
        <v>2.5606727721928291</v>
      </c>
      <c r="AI126" s="326">
        <f t="shared" ca="1" si="70"/>
        <v>2.9984614103262031</v>
      </c>
      <c r="AJ126" s="326">
        <f t="shared" ca="1" si="70"/>
        <v>2.9973613732184434</v>
      </c>
      <c r="AK126" s="326">
        <f t="shared" ca="1" si="70"/>
        <v>3.005035827717939</v>
      </c>
      <c r="AL126" s="326">
        <f t="shared" ca="1" si="70"/>
        <v>3.005580250639639</v>
      </c>
    </row>
    <row r="127" spans="2:38">
      <c r="AB127" s="328">
        <v>0.75</v>
      </c>
      <c r="AC127" s="326">
        <f t="shared" ref="AC127:AL127" ca="1" si="71">AC93-AC110</f>
        <v>3.1438570815855682</v>
      </c>
      <c r="AD127" s="326">
        <f t="shared" ca="1" si="71"/>
        <v>2.9678699818005638</v>
      </c>
      <c r="AE127" s="326">
        <f t="shared" ca="1" si="71"/>
        <v>3.0943208797748589</v>
      </c>
      <c r="AF127" s="326">
        <f t="shared" ca="1" si="71"/>
        <v>3.030090336944169</v>
      </c>
      <c r="AG127" s="326">
        <f t="shared" ca="1" si="71"/>
        <v>2.8553618081516907</v>
      </c>
      <c r="AH127" s="326">
        <f t="shared" ca="1" si="71"/>
        <v>2.6991364154605568</v>
      </c>
      <c r="AI127" s="326">
        <f t="shared" ca="1" si="71"/>
        <v>2.9991517587193206</v>
      </c>
      <c r="AJ127" s="326">
        <f t="shared" ca="1" si="71"/>
        <v>2.9974943606572824</v>
      </c>
      <c r="AK127" s="326">
        <f t="shared" ca="1" si="71"/>
        <v>3.0055398898338748</v>
      </c>
      <c r="AL127" s="326">
        <f t="shared" ca="1" si="71"/>
        <v>3.0059009040903639</v>
      </c>
    </row>
    <row r="128" spans="2:38">
      <c r="AB128" s="329">
        <v>1</v>
      </c>
      <c r="AC128" s="326">
        <f t="shared" ref="AC128:AL128" ca="1" si="72">AC94-AC111</f>
        <v>3.2184062916488676</v>
      </c>
      <c r="AD128" s="326">
        <f t="shared" ca="1" si="72"/>
        <v>3.1972390576175957</v>
      </c>
      <c r="AE128" s="326">
        <f t="shared" ca="1" si="72"/>
        <v>2.9253562355068263</v>
      </c>
      <c r="AF128" s="326">
        <f t="shared" ca="1" si="72"/>
        <v>2.9489257233670907</v>
      </c>
      <c r="AG128" s="326">
        <f t="shared" ca="1" si="72"/>
        <v>2.8855117622657245</v>
      </c>
      <c r="AH128" s="326">
        <f t="shared" ca="1" si="72"/>
        <v>2.7667284229604183</v>
      </c>
      <c r="AI128" s="326">
        <f t="shared" ca="1" si="72"/>
        <v>2.9997890198233179</v>
      </c>
      <c r="AJ128" s="326">
        <f t="shared" ca="1" si="72"/>
        <v>2.9976337492156002</v>
      </c>
      <c r="AK128" s="326">
        <f t="shared" ca="1" si="72"/>
        <v>3.0060461062431543</v>
      </c>
      <c r="AL128" s="326">
        <f t="shared" ca="1" si="72"/>
        <v>3.0062338658735088</v>
      </c>
    </row>
    <row r="129" spans="28:38">
      <c r="AB129" s="329">
        <v>2</v>
      </c>
      <c r="AC129" s="326">
        <f t="shared" ref="AC129:AL129" ca="1" si="73">AC95-AC112</f>
        <v>2.9930178345211642</v>
      </c>
      <c r="AD129" s="326">
        <f t="shared" ca="1" si="73"/>
        <v>2.9299917248776675</v>
      </c>
      <c r="AE129" s="326">
        <f t="shared" ca="1" si="73"/>
        <v>2.9186562566218655</v>
      </c>
      <c r="AF129" s="326">
        <f t="shared" ca="1" si="73"/>
        <v>2.9672741391974622</v>
      </c>
      <c r="AG129" s="326">
        <f t="shared" ca="1" si="73"/>
        <v>2.9385515452959865</v>
      </c>
      <c r="AH129" s="326">
        <f t="shared" ca="1" si="73"/>
        <v>2.8830883288458065</v>
      </c>
      <c r="AI129" s="326">
        <f t="shared" ca="1" si="73"/>
        <v>2.9987138949021386</v>
      </c>
      <c r="AJ129" s="326">
        <f t="shared" ca="1" si="73"/>
        <v>3.0018395616992155</v>
      </c>
      <c r="AK129" s="326">
        <f t="shared" ca="1" si="73"/>
        <v>3.0061399859586668</v>
      </c>
      <c r="AL129" s="326">
        <f t="shared" ca="1" si="73"/>
        <v>3.0250842809992129</v>
      </c>
    </row>
    <row r="130" spans="28:38">
      <c r="AB130" s="329">
        <v>3</v>
      </c>
      <c r="AC130" s="326">
        <f t="shared" ref="AC130:AL130" ca="1" si="74">AC96-AC113</f>
        <v>2.9952756018728048</v>
      </c>
      <c r="AD130" s="326">
        <f t="shared" ca="1" si="74"/>
        <v>2.9532349563436089</v>
      </c>
      <c r="AE130" s="326">
        <f t="shared" ca="1" si="74"/>
        <v>2.9456008518840671</v>
      </c>
      <c r="AF130" s="326">
        <f t="shared" ca="1" si="74"/>
        <v>2.9779026816556087</v>
      </c>
      <c r="AG130" s="326">
        <f t="shared" ca="1" si="74"/>
        <v>2.9584987395234297</v>
      </c>
      <c r="AH130" s="326">
        <f t="shared" ca="1" si="74"/>
        <v>2.9211860708169501</v>
      </c>
      <c r="AI130" s="326">
        <f t="shared" ca="1" si="74"/>
        <v>3.0011565214007163</v>
      </c>
      <c r="AJ130" s="326">
        <f t="shared" ca="1" si="74"/>
        <v>3.0033042426830248</v>
      </c>
      <c r="AK130" s="326">
        <f t="shared" ca="1" si="74"/>
        <v>3.0187386133362804</v>
      </c>
      <c r="AL130" s="326">
        <f t="shared" ca="1" si="74"/>
        <v>3.0325103855081581</v>
      </c>
    </row>
    <row r="131" spans="28:38">
      <c r="AB131" s="329">
        <v>4</v>
      </c>
      <c r="AC131" s="326">
        <f t="shared" ref="AC131:AL131" ca="1" si="75">AC97-AC114</f>
        <v>2.9958705956572231</v>
      </c>
      <c r="AD131" s="326">
        <f t="shared" ca="1" si="75"/>
        <v>2.9644384149200009</v>
      </c>
      <c r="AE131" s="326">
        <f t="shared" ca="1" si="75"/>
        <v>2.9590188130740991</v>
      </c>
      <c r="AF131" s="326">
        <f t="shared" ca="1" si="75"/>
        <v>2.9837811991218155</v>
      </c>
      <c r="AG131" s="326">
        <f t="shared" ca="1" si="75"/>
        <v>2.9697650667194209</v>
      </c>
      <c r="AH131" s="326">
        <f t="shared" ca="1" si="75"/>
        <v>2.9423632762197727</v>
      </c>
      <c r="AI131" s="326">
        <f t="shared" ca="1" si="75"/>
        <v>3.0024252874894186</v>
      </c>
      <c r="AJ131" s="326">
        <f t="shared" ca="1" si="75"/>
        <v>3.0134619315290045</v>
      </c>
      <c r="AK131" s="326">
        <f t="shared" ca="1" si="75"/>
        <v>3.0258949527842915</v>
      </c>
      <c r="AL131" s="326">
        <f t="shared" ca="1" si="75"/>
        <v>3.0362273495216696</v>
      </c>
    </row>
    <row r="132" spans="28:38">
      <c r="AB132" s="329">
        <v>5</v>
      </c>
      <c r="AC132" s="326">
        <f t="shared" ref="AC132:AL132" ca="1" si="76">AC98-AC115</f>
        <v>2.9979030693567958</v>
      </c>
      <c r="AD132" s="326">
        <f t="shared" ca="1" si="76"/>
        <v>2.9727573443481425</v>
      </c>
      <c r="AE132" s="326">
        <f t="shared" ca="1" si="76"/>
        <v>2.9684393067730186</v>
      </c>
      <c r="AF132" s="326">
        <f t="shared" ca="1" si="76"/>
        <v>2.9882793669198326</v>
      </c>
      <c r="AG132" s="326">
        <f t="shared" ca="1" si="76"/>
        <v>2.9770616622426305</v>
      </c>
      <c r="AH132" s="326">
        <f t="shared" ca="1" si="76"/>
        <v>2.9551191634642482</v>
      </c>
      <c r="AI132" s="326">
        <f t="shared" ca="1" si="76"/>
        <v>3.0107238669496716</v>
      </c>
      <c r="AJ132" s="326">
        <f t="shared" ca="1" si="76"/>
        <v>3.0202423329883876</v>
      </c>
      <c r="AK132" s="326">
        <f t="shared" ca="1" si="76"/>
        <v>3.0301918097449088</v>
      </c>
      <c r="AL132" s="326">
        <f t="shared" ca="1" si="76"/>
        <v>3.0384569257368543</v>
      </c>
    </row>
    <row r="133" spans="28:38">
      <c r="AB133" s="329">
        <v>6</v>
      </c>
      <c r="AC133" s="326">
        <f t="shared" ref="AC133:AL133" ca="1" si="77">AC99-AC116</f>
        <v>2.9992899891725235</v>
      </c>
      <c r="AD133" s="326">
        <f t="shared" ca="1" si="77"/>
        <v>2.9787492101494673</v>
      </c>
      <c r="AE133" s="326">
        <f t="shared" ca="1" si="77"/>
        <v>2.9761098275109976</v>
      </c>
      <c r="AF133" s="326">
        <f t="shared" ca="1" si="77"/>
        <v>2.9941864275159435</v>
      </c>
      <c r="AG133" s="326">
        <f t="shared" ca="1" si="77"/>
        <v>2.9864616329484006</v>
      </c>
      <c r="AH133" s="326">
        <f t="shared" ca="1" si="77"/>
        <v>2.9699054224304966</v>
      </c>
      <c r="AI133" s="326">
        <f t="shared" ca="1" si="77"/>
        <v>3.0168285316429344</v>
      </c>
      <c r="AJ133" s="326">
        <f t="shared" ca="1" si="77"/>
        <v>3.0247651812645104</v>
      </c>
      <c r="AK133" s="326">
        <f t="shared" ca="1" si="77"/>
        <v>3.0330558331243651</v>
      </c>
      <c r="AL133" s="326">
        <f t="shared" ca="1" si="77"/>
        <v>3.0410127605571713</v>
      </c>
    </row>
    <row r="134" spans="28:38">
      <c r="AB134" s="329">
        <v>7</v>
      </c>
      <c r="AC134" s="326">
        <f t="shared" ref="AC134:AL134" ca="1" si="78">AC100-AC117</f>
        <v>3.0056544875409523</v>
      </c>
      <c r="AD134" s="326">
        <f t="shared" ca="1" si="78"/>
        <v>2.9881308250254035</v>
      </c>
      <c r="AE134" s="326">
        <f t="shared" ca="1" si="78"/>
        <v>2.9859635242326599</v>
      </c>
      <c r="AF134" s="326">
        <f t="shared" ca="1" si="78"/>
        <v>3.0015869166548192</v>
      </c>
      <c r="AG134" s="326">
        <f t="shared" ca="1" si="78"/>
        <v>2.9950692094842246</v>
      </c>
      <c r="AH134" s="326">
        <f t="shared" ca="1" si="78"/>
        <v>2.9809605342991929</v>
      </c>
      <c r="AI134" s="326">
        <f t="shared" ca="1" si="78"/>
        <v>3.021191731535855</v>
      </c>
      <c r="AJ134" s="326">
        <f t="shared" ca="1" si="78"/>
        <v>3.0279953224337852</v>
      </c>
      <c r="AK134" s="326">
        <f t="shared" ca="1" si="78"/>
        <v>3.0360179892021</v>
      </c>
      <c r="AL134" s="326">
        <f t="shared" ca="1" si="78"/>
        <v>3.0437635188185208</v>
      </c>
    </row>
    <row r="135" spans="28:38">
      <c r="AB135" s="329">
        <v>8</v>
      </c>
      <c r="AC135" s="326">
        <f t="shared" ref="AC135:AL135" ca="1" si="79">AC101-AC118</f>
        <v>3.0108586197465605</v>
      </c>
      <c r="AD135" s="326">
        <f t="shared" ca="1" si="79"/>
        <v>2.9955319935683233</v>
      </c>
      <c r="AE135" s="326">
        <f t="shared" ca="1" si="79"/>
        <v>2.99365256015236</v>
      </c>
      <c r="AF135" s="326">
        <f t="shared" ca="1" si="79"/>
        <v>3.0073358961173025</v>
      </c>
      <c r="AG135" s="326">
        <f t="shared" ca="1" si="79"/>
        <v>3.001625979294853</v>
      </c>
      <c r="AH135" s="326">
        <f t="shared" ca="1" si="79"/>
        <v>2.9892561106103832</v>
      </c>
      <c r="AI135" s="326">
        <f t="shared" ca="1" si="79"/>
        <v>3.0244639992264011</v>
      </c>
      <c r="AJ135" s="326">
        <f t="shared" ca="1" si="79"/>
        <v>3.0312195945296549</v>
      </c>
      <c r="AK135" s="326">
        <f t="shared" ca="1" si="79"/>
        <v>3.039048945320566</v>
      </c>
      <c r="AL135" s="326">
        <f t="shared" ca="1" si="79"/>
        <v>3.0466360798218295</v>
      </c>
    </row>
    <row r="136" spans="28:38">
      <c r="AB136" s="329">
        <v>9</v>
      </c>
      <c r="AC136" s="326">
        <f t="shared" ref="AC136:AL136" ca="1" si="80">AC102-AC119</f>
        <v>3.0149099172454621</v>
      </c>
      <c r="AD136" s="326">
        <f t="shared" ca="1" si="80"/>
        <v>3.001289625584258</v>
      </c>
      <c r="AE136" s="326">
        <f t="shared" ca="1" si="80"/>
        <v>2.9996294366863463</v>
      </c>
      <c r="AF136" s="326">
        <f t="shared" ca="1" si="80"/>
        <v>3.0118003312288977</v>
      </c>
      <c r="AG136" s="326">
        <f t="shared" ca="1" si="80"/>
        <v>3.006720326218093</v>
      </c>
      <c r="AH136" s="326">
        <f t="shared" ca="1" si="80"/>
        <v>2.9957092185974865</v>
      </c>
      <c r="AI136" s="326">
        <f t="shared" ca="1" si="80"/>
        <v>3.0277215848530714</v>
      </c>
      <c r="AJ136" s="326">
        <f t="shared" ca="1" si="80"/>
        <v>3.034446614397468</v>
      </c>
      <c r="AK136" s="326">
        <f t="shared" ca="1" si="80"/>
        <v>3.0421257640859123</v>
      </c>
      <c r="AL136" s="326">
        <f t="shared" ca="1" si="80"/>
        <v>3.0495898305394675</v>
      </c>
    </row>
    <row r="137" spans="28:38">
      <c r="AB137" s="329">
        <v>10</v>
      </c>
      <c r="AC137" s="326">
        <f t="shared" ref="AC137:AL137" ca="1" si="81">AC103-AC120</f>
        <v>3.0181518292431444</v>
      </c>
      <c r="AD137" s="326">
        <f t="shared" ca="1" si="81"/>
        <v>3.0059394466257716</v>
      </c>
      <c r="AE137" s="326">
        <f t="shared" ca="1" si="81"/>
        <v>3.0045533417849324</v>
      </c>
      <c r="AF137" s="326">
        <f t="shared" ca="1" si="81"/>
        <v>3.0156714600486856</v>
      </c>
      <c r="AG137" s="326">
        <f t="shared" ca="1" si="81"/>
        <v>3.0112610742621504</v>
      </c>
      <c r="AH137" s="326">
        <f t="shared" ca="1" si="81"/>
        <v>3.0015125130163245</v>
      </c>
      <c r="AI137" s="326">
        <f t="shared" ca="1" si="81"/>
        <v>3.0309748817611837</v>
      </c>
      <c r="AJ137" s="326">
        <f t="shared" ca="1" si="81"/>
        <v>3.0376755672911315</v>
      </c>
      <c r="AK137" s="326">
        <f t="shared" ca="1" si="81"/>
        <v>3.0452346844787925</v>
      </c>
      <c r="AL137" s="326">
        <f t="shared" ca="1" si="81"/>
        <v>3.0526004074665325</v>
      </c>
    </row>
  </sheetData>
  <mergeCells count="13">
    <mergeCell ref="B46:L46"/>
    <mergeCell ref="B2:X2"/>
    <mergeCell ref="B27:X27"/>
    <mergeCell ref="B29:L29"/>
    <mergeCell ref="B4:X4"/>
    <mergeCell ref="N29:X29"/>
    <mergeCell ref="N46:X46"/>
    <mergeCell ref="AB88:AL88"/>
    <mergeCell ref="AB105:AL105"/>
    <mergeCell ref="AB122:AL122"/>
    <mergeCell ref="B63:L63"/>
    <mergeCell ref="N63:X63"/>
    <mergeCell ref="B80:X80"/>
  </mergeCells>
  <conditionalFormatting sqref="C31:L44">
    <cfRule type="colorScale" priority="114">
      <colorScale>
        <cfvo type="min"/>
        <cfvo type="max"/>
        <color rgb="FFFCFCFF"/>
        <color rgb="FF63BE7B"/>
      </colorScale>
    </cfRule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8:L61">
    <cfRule type="colorScale" priority="116">
      <colorScale>
        <cfvo type="min"/>
        <cfvo type="max"/>
        <color rgb="FFFCFCFF"/>
        <color rgb="FF63BE7B"/>
      </colorScale>
    </cfRule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5:L78">
    <cfRule type="colorScale" priority="118">
      <colorScale>
        <cfvo type="min"/>
        <cfvo type="max"/>
        <color rgb="FFFCFCFF"/>
        <color rgb="FFF8696B"/>
      </colorScale>
    </cfRule>
  </conditionalFormatting>
  <conditionalFormatting sqref="AC90:AL103">
    <cfRule type="colorScale" priority="119">
      <colorScale>
        <cfvo type="min"/>
        <cfvo type="max"/>
        <color rgb="FFFCFCFF"/>
        <color rgb="FF63BE7B"/>
      </colorScale>
    </cfRule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4:AL137">
    <cfRule type="colorScale" priority="121">
      <colorScale>
        <cfvo type="min"/>
        <cfvo type="max"/>
        <color rgb="FFFCFCFF"/>
        <color rgb="FFF8696B"/>
      </colorScale>
    </cfRule>
  </conditionalFormatting>
  <conditionalFormatting sqref="AC107:AL120">
    <cfRule type="colorScale" priority="122">
      <colorScale>
        <cfvo type="min"/>
        <cfvo type="max"/>
        <color rgb="FFFCFCFF"/>
        <color rgb="FF63BE7B"/>
      </colorScale>
    </cfRule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1:X44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13">
      <colorScale>
        <cfvo type="min"/>
        <cfvo type="max"/>
        <color rgb="FFFCFCFF"/>
        <color rgb="FF63BE7B"/>
      </colorScale>
    </cfRule>
  </conditionalFormatting>
  <conditionalFormatting sqref="O48:X6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11">
      <colorScale>
        <cfvo type="min"/>
        <cfvo type="max"/>
        <color rgb="FFFCFCFF"/>
        <color rgb="FF63BE7B"/>
      </colorScale>
    </cfRule>
  </conditionalFormatting>
  <conditionalFormatting sqref="O65:X78">
    <cfRule type="colorScale" priority="5">
      <colorScale>
        <cfvo type="min"/>
        <cfvo type="max"/>
        <color rgb="FFFCFCFF"/>
        <color rgb="FFF8696B"/>
      </colorScale>
    </cfRule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T17:T26">
    <cfRule type="dataBar" priority="124">
      <dataBar>
        <cfvo type="min"/>
        <cfvo type="max"/>
        <color theme="6" tint="-0.249977111117893"/>
      </dataBar>
    </cfRule>
  </conditionalFormatting>
  <conditionalFormatting sqref="F83:U83 U98 E99:T99 E84 G84:U84 E85:F85 H85:U85 E86:G86 I86:U86 E87:H87 J87:U87 E88:I88 K88:U88 E89:J89 L89:U89 E90:K90 M90:U90 E91:L91 N91:U91 E92:M92 O92:U92 E93:N93 P93:U93 E94:O94 Q94:U94 E95:P95 R95:U95 E96:Q96 S96:U96 E97:R97 T97:U97 E98:S9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99:T99 E84 G84:T84 E85:F85 H85:T85 E86:G86 I86:T86 E87:H87 J87:T87 E88:I88 K88:T88 E89:J89 L89:T89 E90:K90 M90:T90 E91:L91 N91:T91 E92:M92 O92:T92 E93:N93 P93:T93 E94:O94 Q94:T94 E95:P95 R95:T95 E96:Q96 S96:T96 E97:R97 T97 E98:S98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90:K9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0:K99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47244094488188981" right="0.39370078740157483" top="0.59055118110236227" bottom="0.55118110236220474" header="0.31496062992125984" footer="0.31496062992125984"/>
  <pageSetup scale="55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fitToPage="1"/>
  </sheetPr>
  <dimension ref="B2:AD116"/>
  <sheetViews>
    <sheetView showGridLines="0" zoomScaleNormal="100" workbookViewId="0">
      <selection activeCell="G13" sqref="G13"/>
    </sheetView>
  </sheetViews>
  <sheetFormatPr baseColWidth="10" defaultColWidth="11.42578125" defaultRowHeight="12.75"/>
  <cols>
    <col min="1" max="1" width="3.5703125" style="325" customWidth="1"/>
    <col min="2" max="2" width="8.7109375" style="325" bestFit="1" customWidth="1"/>
    <col min="3" max="13" width="7.28515625" style="325" customWidth="1"/>
    <col min="14" max="14" width="7.7109375" style="325" bestFit="1" customWidth="1"/>
    <col min="15" max="24" width="7.28515625" style="325" customWidth="1"/>
    <col min="25" max="25" width="12" style="325" bestFit="1" customWidth="1"/>
    <col min="26" max="16384" width="11.42578125" style="325"/>
  </cols>
  <sheetData>
    <row r="2" spans="2:30" ht="26.25">
      <c r="B2" s="573" t="s">
        <v>314</v>
      </c>
      <c r="C2" s="573"/>
      <c r="D2" s="573"/>
      <c r="E2" s="573"/>
      <c r="F2" s="573"/>
      <c r="G2" s="573"/>
      <c r="H2" s="573"/>
      <c r="I2" s="573"/>
      <c r="J2" s="573"/>
      <c r="K2" s="573"/>
      <c r="L2" s="573"/>
      <c r="M2" s="573"/>
      <c r="N2" s="573"/>
      <c r="O2" s="573"/>
      <c r="P2" s="573"/>
      <c r="Q2" s="573"/>
      <c r="R2" s="573"/>
      <c r="S2" s="573"/>
      <c r="T2" s="573"/>
      <c r="U2" s="573"/>
      <c r="V2" s="573"/>
      <c r="W2" s="573"/>
      <c r="X2" s="573"/>
    </row>
    <row r="3" spans="2:30" ht="21">
      <c r="B3" s="591" t="s">
        <v>315</v>
      </c>
      <c r="C3" s="591"/>
      <c r="D3" s="591"/>
      <c r="E3" s="591"/>
      <c r="F3" s="591"/>
      <c r="G3" s="591"/>
      <c r="H3" s="591"/>
      <c r="I3" s="591"/>
      <c r="J3" s="591"/>
      <c r="K3" s="591"/>
      <c r="L3" s="591"/>
      <c r="M3" s="591"/>
      <c r="N3" s="591"/>
      <c r="O3" s="591"/>
      <c r="P3" s="591"/>
      <c r="Q3" s="591"/>
      <c r="R3" s="591"/>
      <c r="S3" s="591"/>
      <c r="T3" s="591"/>
      <c r="U3" s="591"/>
      <c r="V3" s="591"/>
      <c r="W3" s="591"/>
      <c r="X3" s="591"/>
    </row>
    <row r="4" spans="2:30" ht="12.75" customHeight="1">
      <c r="B4" s="324"/>
      <c r="C4" s="324"/>
      <c r="D4" s="324"/>
      <c r="E4" s="324"/>
      <c r="F4" s="324"/>
      <c r="G4" s="324"/>
      <c r="H4" s="324"/>
      <c r="I4" s="324"/>
      <c r="J4" s="324"/>
      <c r="K4" s="324"/>
      <c r="L4" s="324"/>
      <c r="M4" s="324"/>
      <c r="N4" s="324"/>
      <c r="O4" s="324"/>
      <c r="P4" s="324"/>
      <c r="Q4" s="324"/>
      <c r="R4" s="324"/>
      <c r="S4" s="324"/>
      <c r="T4" s="324"/>
      <c r="U4" s="324"/>
      <c r="V4" s="324"/>
      <c r="W4" s="324"/>
      <c r="X4" s="324"/>
    </row>
    <row r="5" spans="2:30" ht="16.5" thickBot="1">
      <c r="C5" s="589" t="s">
        <v>353</v>
      </c>
      <c r="D5" s="590"/>
      <c r="E5" s="590"/>
      <c r="F5" s="590"/>
      <c r="G5" s="590"/>
      <c r="H5" s="590"/>
      <c r="I5" s="590"/>
      <c r="J5" s="590"/>
      <c r="K5" s="590"/>
      <c r="L5" s="590"/>
      <c r="M5" s="590"/>
      <c r="N5" s="590"/>
      <c r="O5" s="590"/>
      <c r="P5" s="590"/>
      <c r="Q5" s="590"/>
      <c r="R5" s="590"/>
      <c r="S5" s="590"/>
      <c r="T5" s="590"/>
      <c r="U5" s="590"/>
      <c r="V5" s="590"/>
      <c r="W5" s="590"/>
    </row>
    <row r="6" spans="2:30" ht="13.5" thickBot="1">
      <c r="B6" s="188"/>
      <c r="C6" s="570" t="s">
        <v>150</v>
      </c>
      <c r="D6" s="585"/>
      <c r="E6" s="585"/>
      <c r="F6" s="585"/>
      <c r="G6" s="585"/>
      <c r="H6" s="585"/>
      <c r="I6" s="571"/>
      <c r="J6" s="570" t="s">
        <v>316</v>
      </c>
      <c r="K6" s="585"/>
      <c r="L6" s="585"/>
      <c r="M6" s="585"/>
      <c r="N6" s="585"/>
      <c r="O6" s="585"/>
      <c r="P6" s="571"/>
      <c r="Q6" s="586" t="s">
        <v>317</v>
      </c>
      <c r="R6" s="587"/>
      <c r="S6" s="587"/>
      <c r="T6" s="587"/>
      <c r="U6" s="587"/>
      <c r="V6" s="587"/>
      <c r="W6" s="588"/>
    </row>
    <row r="7" spans="2:30" ht="13.5" thickBot="1">
      <c r="B7" s="220" t="s">
        <v>309</v>
      </c>
      <c r="C7" s="352">
        <v>1</v>
      </c>
      <c r="D7" s="352">
        <v>5</v>
      </c>
      <c r="E7" s="352">
        <v>10</v>
      </c>
      <c r="F7" s="352">
        <v>20</v>
      </c>
      <c r="G7" s="352">
        <v>30</v>
      </c>
      <c r="H7" s="352">
        <v>60</v>
      </c>
      <c r="I7" s="352">
        <v>90</v>
      </c>
      <c r="J7" s="352">
        <v>1</v>
      </c>
      <c r="K7" s="352">
        <v>5</v>
      </c>
      <c r="L7" s="352">
        <v>10</v>
      </c>
      <c r="M7" s="352">
        <v>20</v>
      </c>
      <c r="N7" s="352">
        <v>30</v>
      </c>
      <c r="O7" s="352">
        <v>60</v>
      </c>
      <c r="P7" s="352">
        <v>90</v>
      </c>
      <c r="Q7" s="352">
        <v>1</v>
      </c>
      <c r="R7" s="352">
        <v>5</v>
      </c>
      <c r="S7" s="352">
        <v>10</v>
      </c>
      <c r="T7" s="352">
        <v>20</v>
      </c>
      <c r="U7" s="352">
        <v>30</v>
      </c>
      <c r="V7" s="352">
        <v>60</v>
      </c>
      <c r="W7" s="352">
        <v>90</v>
      </c>
      <c r="AD7" s="326"/>
    </row>
    <row r="8" spans="2:30">
      <c r="B8" s="340">
        <v>0.5</v>
      </c>
      <c r="C8" s="327">
        <f ca="1">(forwardZeroRate(360,Lin_Interp(C$7,Zero_swap_CL!$J$2:$J$18,Zero_swap_CL!$K$2:$K$18),Lin_Interp(ROUND($B8*365,0),Zero_swap_CL!$J$2:$J$18,Zero_swap_CL!$K$2:$K$18),C$7,$B8*365)-Lin_Interp(ROUND($B8*365,0),Zero_swap_CL!$J$2:$J$18,Zero_swap_CL!$K$2:$K$18))*100</f>
        <v>-7.649784335965748E-2</v>
      </c>
      <c r="D8" s="327">
        <f ca="1">(forwardZeroRate(360,Lin_Interp(D$7,Zero_swap_CL!$J$2:$J$18,Zero_swap_CL!$K$2:$K$18),Lin_Interp(ROUND($B8*365,0),Zero_swap_CL!$J$2:$J$18,Zero_swap_CL!$K$2:$K$18),D$7,$B8*365)-Lin_Interp(ROUND($B8*365,0),Zero_swap_CL!$J$2:$J$18,Zero_swap_CL!$K$2:$K$18))*100</f>
        <v>-0.38794317001471512</v>
      </c>
      <c r="E8" s="327">
        <f ca="1">(forwardZeroRate(360,Lin_Interp(E$7,Zero_swap_CL!$J$2:$J$18,Zero_swap_CL!$K$2:$K$18),Lin_Interp(ROUND($B8*365,0),Zero_swap_CL!$J$2:$J$18,Zero_swap_CL!$K$2:$K$18),E$7,$B8*365)-Lin_Interp(ROUND($B8*365,0),Zero_swap_CL!$J$2:$J$18,Zero_swap_CL!$K$2:$K$18))*100</f>
        <v>-0.79023228826562431</v>
      </c>
      <c r="F8" s="327">
        <f ca="1">(forwardZeroRate(360,Lin_Interp(F$7,Zero_swap_CL!$J$2:$J$18,Zero_swap_CL!$K$2:$K$18),Lin_Interp(ROUND($B8*365,0),Zero_swap_CL!$J$2:$J$18,Zero_swap_CL!$K$2:$K$18),F$7,$B8*365)-Lin_Interp(ROUND($B8*365,0),Zero_swap_CL!$J$2:$J$18,Zero_swap_CL!$K$2:$K$18))*100</f>
        <v>-1.6431428057848585</v>
      </c>
      <c r="G8" s="327">
        <f ca="1">(forwardZeroRate(360,Lin_Interp(G$7,Zero_swap_CL!$J$2:$J$18,Zero_swap_CL!$K$2:$K$18),Lin_Interp(ROUND($B8*365,0),Zero_swap_CL!$J$2:$J$18,Zero_swap_CL!$K$2:$K$18),G$7,$B8*365)-Lin_Interp(ROUND($B8*365,0),Zero_swap_CL!$J$2:$J$18,Zero_swap_CL!$K$2:$K$18))*100</f>
        <v>-2.5710554225398141</v>
      </c>
      <c r="H8" s="327">
        <f ca="1">(forwardZeroRate(360,Lin_Interp(H$7,Zero_swap_CL!$J$2:$J$18,Zero_swap_CL!$K$2:$K$18),Lin_Interp(ROUND($B8*365,0),Zero_swap_CL!$J$2:$J$18,Zero_swap_CL!$K$2:$K$18),H$7,$B8*365)-Lin_Interp(ROUND($B8*365,0),Zero_swap_CL!$J$2:$J$18,Zero_swap_CL!$K$2:$K$18))*100</f>
        <v>-5.9883681425086266</v>
      </c>
      <c r="I8" s="332">
        <f ca="1">(forwardZeroRate(360,Lin_Interp(I$7,Zero_swap_CL!$J$2:$J$18,Zero_swap_CL!$K$2:$K$18),Lin_Interp(ROUND($B8*365,0),Zero_swap_CL!$J$2:$J$18,Zero_swap_CL!$K$2:$K$18),I$7,$B8*365)-Lin_Interp(ROUND($B8*365,0),Zero_swap_CL!$J$2:$J$18,Zero_swap_CL!$K$2:$K$18))*100</f>
        <v>-11.074633053082916</v>
      </c>
      <c r="J8" s="327">
        <f ca="1">(Lin_Interp(ROUND($B8*365,0),Zero_swap_CL!$J$2:$J$18,Zero_swap_CL!$K$2:$K$18)-Lin_Interp(ROUND($B8*365-J$7,0),Zero_swap_CL!$J$2:$J$18,Zero_swap_CL!$K$2:$K$18))*100</f>
        <v>-0.13141169804100628</v>
      </c>
      <c r="K8" s="327">
        <f ca="1">(Lin_Interp(ROUND($B8*365,0),Zero_swap_CL!$J$2:$J$18,Zero_swap_CL!$K$2:$K$18)-Lin_Interp(ROUND($B8*365-K$7,0),Zero_swap_CL!$J$2:$J$18,Zero_swap_CL!$K$2:$K$18))*100</f>
        <v>-0.65705849020520901</v>
      </c>
      <c r="L8" s="327">
        <f ca="1">(Lin_Interp(ROUND($B8*365,0),Zero_swap_CL!$J$2:$J$18,Zero_swap_CL!$K$2:$K$18)-Lin_Interp(ROUND($B8*365-L$7,0),Zero_swap_CL!$J$2:$J$18,Zero_swap_CL!$K$2:$K$18))*100</f>
        <v>-1.314116980410418</v>
      </c>
      <c r="M8" s="327">
        <f ca="1">(Lin_Interp(ROUND($B8*365,0),Zero_swap_CL!$J$2:$J$18,Zero_swap_CL!$K$2:$K$18)-Lin_Interp(ROUND($B8*365-M$7,0),Zero_swap_CL!$J$2:$J$18,Zero_swap_CL!$K$2:$K$18))*100</f>
        <v>-2.6282339608208805</v>
      </c>
      <c r="N8" s="327">
        <f ca="1">(Lin_Interp(ROUND($B8*365,0),Zero_swap_CL!$J$2:$J$18,Zero_swap_CL!$K$2:$K$18)-Lin_Interp(ROUND($B8*365-N$7,0),Zero_swap_CL!$J$2:$J$18,Zero_swap_CL!$K$2:$K$18))*100</f>
        <v>-3.9423509412313429</v>
      </c>
      <c r="O8" s="327">
        <f ca="1">(Lin_Interp(ROUND($B8*365,0),Zero_swap_CL!$J$2:$J$18,Zero_swap_CL!$K$2:$K$18)-Lin_Interp(ROUND($B8*365-O$7,0),Zero_swap_CL!$J$2:$J$18,Zero_swap_CL!$K$2:$K$18))*100</f>
        <v>-7.8847018824626858</v>
      </c>
      <c r="P8" s="332">
        <f ca="1">(Lin_Interp(ROUND($B8*365,0),Zero_swap_CL!$J$2:$J$18,Zero_swap_CL!$K$2:$K$18)-Lin_Interp(ROUND($B8*365-P$7,0),Zero_swap_CL!$J$2:$J$18,Zero_swap_CL!$K$2:$K$18))*100</f>
        <v>-11.310393281664366</v>
      </c>
      <c r="Q8" s="327">
        <f ca="1">C8+J8</f>
        <v>-0.20790954140066376</v>
      </c>
      <c r="R8" s="327">
        <f t="shared" ref="R8:W20" ca="1" si="0">D8+K8</f>
        <v>-1.0450016602199241</v>
      </c>
      <c r="S8" s="327">
        <f t="shared" ca="1" si="0"/>
        <v>-2.1043492686760423</v>
      </c>
      <c r="T8" s="327">
        <f t="shared" ca="1" si="0"/>
        <v>-4.271376766605739</v>
      </c>
      <c r="U8" s="327">
        <f t="shared" ca="1" si="0"/>
        <v>-6.513406363771157</v>
      </c>
      <c r="V8" s="327">
        <f t="shared" ca="1" si="0"/>
        <v>-13.873070024971312</v>
      </c>
      <c r="W8" s="332">
        <f t="shared" ca="1" si="0"/>
        <v>-22.38502633474728</v>
      </c>
      <c r="AD8" s="326"/>
    </row>
    <row r="9" spans="2:30">
      <c r="B9" s="341">
        <v>0.75</v>
      </c>
      <c r="C9" s="327">
        <f ca="1">(forwardZeroRate(360,Lin_Interp(C$7,Zero_swap_CL!$J$2:$J$18,Zero_swap_CL!$K$2:$K$18),Lin_Interp(ROUND($B9*365,0),Zero_swap_CL!$J$2:$J$18,Zero_swap_CL!$K$2:$K$18),C$7,$B9*365)-Lin_Interp(ROUND($B9*365,0),Zero_swap_CL!$J$2:$J$18,Zero_swap_CL!$K$2:$K$18))*100</f>
        <v>-6.8398821660897724E-2</v>
      </c>
      <c r="D9" s="327">
        <f ca="1">(forwardZeroRate(360,Lin_Interp(D$7,Zero_swap_CL!$J$2:$J$18,Zero_swap_CL!$K$2:$K$18),Lin_Interp(ROUND($B9*365,0),Zero_swap_CL!$J$2:$J$18,Zero_swap_CL!$K$2:$K$18),D$7,$B9*365)-Lin_Interp(ROUND($B9*365,0),Zero_swap_CL!$J$2:$J$18,Zero_swap_CL!$K$2:$K$18))*100</f>
        <v>-0.34499374224830071</v>
      </c>
      <c r="E9" s="327">
        <f ca="1">(forwardZeroRate(360,Lin_Interp(E$7,Zero_swap_CL!$J$2:$J$18,Zero_swap_CL!$K$2:$K$18),Lin_Interp(ROUND($B9*365,0),Zero_swap_CL!$J$2:$J$18,Zero_swap_CL!$K$2:$K$18),E$7,$B9*365)-Lin_Interp(ROUND($B9*365,0),Zero_swap_CL!$J$2:$J$18,Zero_swap_CL!$K$2:$K$18))*100</f>
        <v>-0.69774232085975108</v>
      </c>
      <c r="F9" s="327">
        <f ca="1">(forwardZeroRate(360,Lin_Interp(F$7,Zero_swap_CL!$J$2:$J$18,Zero_swap_CL!$K$2:$K$18),Lin_Interp(ROUND($B9*365,0),Zero_swap_CL!$J$2:$J$18,Zero_swap_CL!$K$2:$K$18),F$7,$B9*365)-Lin_Interp(ROUND($B9*365,0),Zero_swap_CL!$J$2:$J$18,Zero_swap_CL!$K$2:$K$18))*100</f>
        <v>-1.4283365897692857</v>
      </c>
      <c r="G9" s="327">
        <f ca="1">(forwardZeroRate(360,Lin_Interp(G$7,Zero_swap_CL!$J$2:$J$18,Zero_swap_CL!$K$2:$K$18),Lin_Interp(ROUND($B9*365,0),Zero_swap_CL!$J$2:$J$18,Zero_swap_CL!$K$2:$K$18),G$7,$B9*365)-Lin_Interp(ROUND($B9*365,0),Zero_swap_CL!$J$2:$J$18,Zero_swap_CL!$K$2:$K$18))*100</f>
        <v>-2.1958237055163199</v>
      </c>
      <c r="H9" s="327">
        <f ca="1">(forwardZeroRate(360,Lin_Interp(H$7,Zero_swap_CL!$J$2:$J$18,Zero_swap_CL!$K$2:$K$18),Lin_Interp(ROUND($B9*365,0),Zero_swap_CL!$J$2:$J$18,Zero_swap_CL!$K$2:$K$18),H$7,$B9*365)-Lin_Interp(ROUND($B9*365,0),Zero_swap_CL!$J$2:$J$18,Zero_swap_CL!$K$2:$K$18))*100</f>
        <v>-4.7713862585340383</v>
      </c>
      <c r="I9" s="333">
        <f ca="1">(forwardZeroRate(360,Lin_Interp(I$7,Zero_swap_CL!$J$2:$J$18,Zero_swap_CL!$K$2:$K$18),Lin_Interp(ROUND($B9*365,0),Zero_swap_CL!$J$2:$J$18,Zero_swap_CL!$K$2:$K$18),I$7,$B9*365)-Lin_Interp(ROUND($B9*365,0),Zero_swap_CL!$J$2:$J$18,Zero_swap_CL!$K$2:$K$18))*100</f>
        <v>-7.9125346598229118</v>
      </c>
      <c r="J9" s="327">
        <f ca="1">(Lin_Interp(ROUND($B9*365,0),Zero_swap_CL!$J$2:$J$18,Zero_swap_CL!$K$2:$K$18)-Lin_Interp(ROUND($B9*365-J$7,0),Zero_swap_CL!$J$2:$J$18,Zero_swap_CL!$K$2:$K$18))*100</f>
        <v>-4.8888547156966666E-2</v>
      </c>
      <c r="K9" s="327">
        <f ca="1">(Lin_Interp(ROUND($B9*365,0),Zero_swap_CL!$J$2:$J$18,Zero_swap_CL!$K$2:$K$18)-Lin_Interp(ROUND($B9*365-K$7,0),Zero_swap_CL!$J$2:$J$18,Zero_swap_CL!$K$2:$K$18))*100</f>
        <v>-0.24444273578496656</v>
      </c>
      <c r="L9" s="327">
        <f ca="1">(Lin_Interp(ROUND($B9*365,0),Zero_swap_CL!$J$2:$J$18,Zero_swap_CL!$K$2:$K$18)-Lin_Interp(ROUND($B9*365-L$7,0),Zero_swap_CL!$J$2:$J$18,Zero_swap_CL!$K$2:$K$18))*100</f>
        <v>-0.48888547156988871</v>
      </c>
      <c r="M9" s="327">
        <f ca="1">(Lin_Interp(ROUND($B9*365,0),Zero_swap_CL!$J$2:$J$18,Zero_swap_CL!$K$2:$K$18)-Lin_Interp(ROUND($B9*365-M$7,0),Zero_swap_CL!$J$2:$J$18,Zero_swap_CL!$K$2:$K$18))*100</f>
        <v>-0.97777094313982182</v>
      </c>
      <c r="N9" s="327">
        <f ca="1">(Lin_Interp(ROUND($B9*365,0),Zero_swap_CL!$J$2:$J$18,Zero_swap_CL!$K$2:$K$18)-Lin_Interp(ROUND($B9*365-N$7,0),Zero_swap_CL!$J$2:$J$18,Zero_swap_CL!$K$2:$K$18))*100</f>
        <v>-1.4666564147097549</v>
      </c>
      <c r="O9" s="327">
        <f ca="1">(Lin_Interp(ROUND($B9*365,0),Zero_swap_CL!$J$2:$J$18,Zero_swap_CL!$K$2:$K$18)-Lin_Interp(ROUND($B9*365-O$7,0),Zero_swap_CL!$J$2:$J$18,Zero_swap_CL!$K$2:$K$18))*100</f>
        <v>-2.9333128294195099</v>
      </c>
      <c r="P9" s="333">
        <f ca="1">(Lin_Interp(ROUND($B9*365,0),Zero_swap_CL!$J$2:$J$18,Zero_swap_CL!$K$2:$K$18)-Lin_Interp(ROUND($B9*365-P$7,0),Zero_swap_CL!$J$2:$J$18,Zero_swap_CL!$K$2:$K$18))*100</f>
        <v>-4.6475386967814281</v>
      </c>
      <c r="Q9" s="327">
        <f t="shared" ref="Q9:Q20" ca="1" si="1">C9+J9</f>
        <v>-0.11728736881786439</v>
      </c>
      <c r="R9" s="327">
        <f t="shared" ca="1" si="0"/>
        <v>-0.58943647803326726</v>
      </c>
      <c r="S9" s="327">
        <f t="shared" ca="1" si="0"/>
        <v>-1.1866277924296398</v>
      </c>
      <c r="T9" s="327">
        <f t="shared" ca="1" si="0"/>
        <v>-2.4061075329091075</v>
      </c>
      <c r="U9" s="327">
        <f t="shared" ca="1" si="0"/>
        <v>-3.6624801202260748</v>
      </c>
      <c r="V9" s="327">
        <f t="shared" ca="1" si="0"/>
        <v>-7.7046990879535482</v>
      </c>
      <c r="W9" s="333">
        <f t="shared" ca="1" si="0"/>
        <v>-12.56007335660434</v>
      </c>
      <c r="AD9" s="326"/>
    </row>
    <row r="10" spans="2:30">
      <c r="B10" s="331">
        <v>1</v>
      </c>
      <c r="C10" s="327">
        <f ca="1">(forwardZeroRate(360,Lin_Interp(C$7,Zero_swap_CL!$J$2:$J$18,Zero_swap_CL!$K$2:$K$18),Lin_Interp(ROUND($B10*365,0),Zero_swap_CL!$J$2:$J$18,Zero_swap_CL!$K$2:$K$18),C$7,$B10*365)-Lin_Interp(ROUND($B10*365,0),Zero_swap_CL!$J$2:$J$18,Zero_swap_CL!$K$2:$K$18))*100</f>
        <v>-6.3275447929944661E-2</v>
      </c>
      <c r="D10" s="327">
        <f ca="1">(forwardZeroRate(360,Lin_Interp(D$7,Zero_swap_CL!$J$2:$J$18,Zero_swap_CL!$K$2:$K$18),Lin_Interp(ROUND($B10*365,0),Zero_swap_CL!$J$2:$J$18,Zero_swap_CL!$K$2:$K$18),D$7,$B10*365)-Lin_Interp(ROUND($B10*365,0),Zero_swap_CL!$J$2:$J$18,Zero_swap_CL!$K$2:$K$18))*100</f>
        <v>-0.31833209478171476</v>
      </c>
      <c r="E10" s="327">
        <f ca="1">(forwardZeroRate(360,Lin_Interp(E$7,Zero_swap_CL!$J$2:$J$18,Zero_swap_CL!$K$2:$K$18),Lin_Interp(ROUND($B10*365,0),Zero_swap_CL!$J$2:$J$18,Zero_swap_CL!$K$2:$K$18),E$7,$B10*365)-Lin_Interp(ROUND($B10*365,0),Zero_swap_CL!$J$2:$J$18,Zero_swap_CL!$K$2:$K$18))*100</f>
        <v>-0.64167514760771205</v>
      </c>
      <c r="F10" s="327">
        <f ca="1">(forwardZeroRate(360,Lin_Interp(F$7,Zero_swap_CL!$J$2:$J$18,Zero_swap_CL!$K$2:$K$18),Lin_Interp(ROUND($B10*365,0),Zero_swap_CL!$J$2:$J$18,Zero_swap_CL!$K$2:$K$18),F$7,$B10*365)-Lin_Interp(ROUND($B10*365,0),Zero_swap_CL!$J$2:$J$18,Zero_swap_CL!$K$2:$K$18))*100</f>
        <v>-1.3042650260073341</v>
      </c>
      <c r="G10" s="327">
        <f ca="1">(forwardZeroRate(360,Lin_Interp(G$7,Zero_swap_CL!$J$2:$J$18,Zero_swap_CL!$K$2:$K$18),Lin_Interp(ROUND($B10*365,0),Zero_swap_CL!$J$2:$J$18,Zero_swap_CL!$K$2:$K$18),G$7,$B10*365)-Lin_Interp(ROUND($B10*365,0),Zero_swap_CL!$J$2:$J$18,Zero_swap_CL!$K$2:$K$18))*100</f>
        <v>-1.9896413293560844</v>
      </c>
      <c r="H10" s="327">
        <f ca="1">(forwardZeroRate(360,Lin_Interp(H$7,Zero_swap_CL!$J$2:$J$18,Zero_swap_CL!$K$2:$K$18),Lin_Interp(ROUND($B10*365,0),Zero_swap_CL!$J$2:$J$18,Zero_swap_CL!$K$2:$K$18),H$7,$B10*365)-Lin_Interp(ROUND($B10*365,0),Zero_swap_CL!$J$2:$J$18,Zero_swap_CL!$K$2:$K$18))*100</f>
        <v>-4.2048850155416151</v>
      </c>
      <c r="I10" s="333">
        <f ca="1">(forwardZeroRate(360,Lin_Interp(I$7,Zero_swap_CL!$J$2:$J$18,Zero_swap_CL!$K$2:$K$18),Lin_Interp(ROUND($B10*365,0),Zero_swap_CL!$J$2:$J$18,Zero_swap_CL!$K$2:$K$18),I$7,$B10*365)-Lin_Interp(ROUND($B10*365,0),Zero_swap_CL!$J$2:$J$18,Zero_swap_CL!$K$2:$K$18))*100</f>
        <v>-6.7195037227250065</v>
      </c>
      <c r="J10" s="327">
        <f ca="1">(Lin_Interp(ROUND($B10*365,0),Zero_swap_CL!$J$2:$J$18,Zero_swap_CL!$K$2:$K$18)-Lin_Interp(ROUND($B10*365-J$7,0),Zero_swap_CL!$J$2:$J$18,Zero_swap_CL!$K$2:$K$18))*100</f>
        <v>-4.8149940804043112E-2</v>
      </c>
      <c r="K10" s="327">
        <f ca="1">(Lin_Interp(ROUND($B10*365,0),Zero_swap_CL!$J$2:$J$18,Zero_swap_CL!$K$2:$K$18)-Lin_Interp(ROUND($B10*365-K$7,0),Zero_swap_CL!$J$2:$J$18,Zero_swap_CL!$K$2:$K$18))*100</f>
        <v>-0.24074970402034879</v>
      </c>
      <c r="L10" s="327">
        <f ca="1">(Lin_Interp(ROUND($B10*365,0),Zero_swap_CL!$J$2:$J$18,Zero_swap_CL!$K$2:$K$18)-Lin_Interp(ROUND($B10*365-L$7,0),Zero_swap_CL!$J$2:$J$18,Zero_swap_CL!$K$2:$K$18))*100</f>
        <v>-0.48149940804074198</v>
      </c>
      <c r="M10" s="327">
        <f ca="1">(Lin_Interp(ROUND($B10*365,0),Zero_swap_CL!$J$2:$J$18,Zero_swap_CL!$K$2:$K$18)-Lin_Interp(ROUND($B10*365-M$7,0),Zero_swap_CL!$J$2:$J$18,Zero_swap_CL!$K$2:$K$18))*100</f>
        <v>-0.96299881608152837</v>
      </c>
      <c r="N10" s="327">
        <f ca="1">(Lin_Interp(ROUND($B10*365,0),Zero_swap_CL!$J$2:$J$18,Zero_swap_CL!$K$2:$K$18)-Lin_Interp(ROUND($B10*365-N$7,0),Zero_swap_CL!$J$2:$J$18,Zero_swap_CL!$K$2:$K$18))*100</f>
        <v>-1.4444982241222704</v>
      </c>
      <c r="O10" s="327">
        <f ca="1">(Lin_Interp(ROUND($B10*365,0),Zero_swap_CL!$J$2:$J$18,Zero_swap_CL!$K$2:$K$18)-Lin_Interp(ROUND($B10*365-O$7,0),Zero_swap_CL!$J$2:$J$18,Zero_swap_CL!$K$2:$K$18))*100</f>
        <v>-2.8889964482445851</v>
      </c>
      <c r="P10" s="333">
        <f ca="1">(Lin_Interp(ROUND($B10*365,0),Zero_swap_CL!$J$2:$J$18,Zero_swap_CL!$K$2:$K$18)-Lin_Interp(ROUND($B10*365-P$7,0),Zero_swap_CL!$J$2:$J$18,Zero_swap_CL!$K$2:$K$18))*100</f>
        <v>-4.3364490977785497</v>
      </c>
      <c r="Q10" s="327">
        <f t="shared" ca="1" si="1"/>
        <v>-0.11142538873398777</v>
      </c>
      <c r="R10" s="327">
        <f t="shared" ca="1" si="0"/>
        <v>-0.55908179880206355</v>
      </c>
      <c r="S10" s="327">
        <f t="shared" ca="1" si="0"/>
        <v>-1.123174555648454</v>
      </c>
      <c r="T10" s="327">
        <f t="shared" ca="1" si="0"/>
        <v>-2.2672638420888624</v>
      </c>
      <c r="U10" s="327">
        <f t="shared" ca="1" si="0"/>
        <v>-3.4341395534783548</v>
      </c>
      <c r="V10" s="327">
        <f t="shared" ca="1" si="0"/>
        <v>-7.0938814637862002</v>
      </c>
      <c r="W10" s="333">
        <f t="shared" ca="1" si="0"/>
        <v>-11.055952820503556</v>
      </c>
      <c r="AD10" s="326"/>
    </row>
    <row r="11" spans="2:30">
      <c r="B11" s="341">
        <v>1.5</v>
      </c>
      <c r="C11" s="327">
        <f ca="1">(forwardZeroRate(360,Lin_Interp(C$7,Zero_swap_CL!$J$2:$J$18,Zero_swap_CL!$K$2:$K$18),Lin_Interp(ROUND($B11*365,0),Zero_swap_CL!$J$2:$J$18,Zero_swap_CL!$K$2:$K$18),C$7,$B11*365)-Lin_Interp(ROUND($B11*365,0),Zero_swap_CL!$J$2:$J$18,Zero_swap_CL!$K$2:$K$18))*100</f>
        <v>-5.4550988199952855E-2</v>
      </c>
      <c r="D11" s="327">
        <f ca="1">(forwardZeroRate(360,Lin_Interp(D$7,Zero_swap_CL!$J$2:$J$18,Zero_swap_CL!$K$2:$K$18),Lin_Interp(ROUND($B11*365,0),Zero_swap_CL!$J$2:$J$18,Zero_swap_CL!$K$2:$K$18),D$7,$B11*365)-Lin_Interp(ROUND($B11*365,0),Zero_swap_CL!$J$2:$J$18,Zero_swap_CL!$K$2:$K$18))*100</f>
        <v>-0.27373091409987893</v>
      </c>
      <c r="E11" s="327">
        <f ca="1">(forwardZeroRate(360,Lin_Interp(E$7,Zero_swap_CL!$J$2:$J$18,Zero_swap_CL!$K$2:$K$18),Lin_Interp(ROUND($B11*365,0),Zero_swap_CL!$J$2:$J$18,Zero_swap_CL!$K$2:$K$18),E$7,$B11*365)-Lin_Interp(ROUND($B11*365,0),Zero_swap_CL!$J$2:$J$18,Zero_swap_CL!$K$2:$K$18))*100</f>
        <v>-0.54994258642970806</v>
      </c>
      <c r="F11" s="327">
        <f ca="1">(forwardZeroRate(360,Lin_Interp(F$7,Zero_swap_CL!$J$2:$J$18,Zero_swap_CL!$K$2:$K$18),Lin_Interp(ROUND($B11*365,0),Zero_swap_CL!$J$2:$J$18,Zero_swap_CL!$K$2:$K$18),F$7,$B11*365)-Lin_Interp(ROUND($B11*365,0),Zero_swap_CL!$J$2:$J$18,Zero_swap_CL!$K$2:$K$18))*100</f>
        <v>-1.1100901717697731</v>
      </c>
      <c r="G11" s="327">
        <f ca="1">(forwardZeroRate(360,Lin_Interp(G$7,Zero_swap_CL!$J$2:$J$18,Zero_swap_CL!$K$2:$K$18),Lin_Interp(ROUND($B11*365,0),Zero_swap_CL!$J$2:$J$18,Zero_swap_CL!$K$2:$K$18),G$7,$B11*365)-Lin_Interp(ROUND($B11*365,0),Zero_swap_CL!$J$2:$J$18,Zero_swap_CL!$K$2:$K$18))*100</f>
        <v>-1.6810339108697114</v>
      </c>
      <c r="H11" s="327">
        <f ca="1">(forwardZeroRate(360,Lin_Interp(H$7,Zero_swap_CL!$J$2:$J$18,Zero_swap_CL!$K$2:$K$18),Lin_Interp(ROUND($B11*365,0),Zero_swap_CL!$J$2:$J$18,Zero_swap_CL!$K$2:$K$18),H$7,$B11*365)-Lin_Interp(ROUND($B11*365,0),Zero_swap_CL!$J$2:$J$18,Zero_swap_CL!$K$2:$K$18))*100</f>
        <v>-3.4652806004609182</v>
      </c>
      <c r="I11" s="333">
        <f ca="1">(forwardZeroRate(360,Lin_Interp(I$7,Zero_swap_CL!$J$2:$J$18,Zero_swap_CL!$K$2:$K$18),Lin_Interp(ROUND($B11*365,0),Zero_swap_CL!$J$2:$J$18,Zero_swap_CL!$K$2:$K$18),I$7,$B11*365)-Lin_Interp(ROUND($B11*365,0),Zero_swap_CL!$J$2:$J$18,Zero_swap_CL!$K$2:$K$18))*100</f>
        <v>-5.3730271664353957</v>
      </c>
      <c r="J11" s="327">
        <f ca="1">(Lin_Interp(ROUND($B11*365,0),Zero_swap_CL!$J$2:$J$18,Zero_swap_CL!$K$2:$K$18)-Lin_Interp(ROUND($B11*365-J$7,0),Zero_swap_CL!$J$2:$J$18,Zero_swap_CL!$K$2:$K$18))*100</f>
        <v>-3.677032580027273E-2</v>
      </c>
      <c r="K11" s="327">
        <f ca="1">(Lin_Interp(ROUND($B11*365,0),Zero_swap_CL!$J$2:$J$18,Zero_swap_CL!$K$2:$K$18)-Lin_Interp(ROUND($B11*365-K$7,0),Zero_swap_CL!$J$2:$J$18,Zero_swap_CL!$K$2:$K$18))*100</f>
        <v>-0.18385162900145247</v>
      </c>
      <c r="L11" s="327">
        <f ca="1">(Lin_Interp(ROUND($B11*365,0),Zero_swap_CL!$J$2:$J$18,Zero_swap_CL!$K$2:$K$18)-Lin_Interp(ROUND($B11*365-L$7,0),Zero_swap_CL!$J$2:$J$18,Zero_swap_CL!$K$2:$K$18))*100</f>
        <v>-0.36770325800290493</v>
      </c>
      <c r="M11" s="327">
        <f ca="1">(Lin_Interp(ROUND($B11*365,0),Zero_swap_CL!$J$2:$J$18,Zero_swap_CL!$K$2:$K$18)-Lin_Interp(ROUND($B11*365-M$7,0),Zero_swap_CL!$J$2:$J$18,Zero_swap_CL!$K$2:$K$18))*100</f>
        <v>-0.73540651600580986</v>
      </c>
      <c r="N11" s="327">
        <f ca="1">(Lin_Interp(ROUND($B11*365,0),Zero_swap_CL!$J$2:$J$18,Zero_swap_CL!$K$2:$K$18)-Lin_Interp(ROUND($B11*365-N$7,0),Zero_swap_CL!$J$2:$J$18,Zero_swap_CL!$K$2:$K$18))*100</f>
        <v>-1.1031097740087592</v>
      </c>
      <c r="O11" s="327">
        <f ca="1">(Lin_Interp(ROUND($B11*365,0),Zero_swap_CL!$J$2:$J$18,Zero_swap_CL!$K$2:$K$18)-Lin_Interp(ROUND($B11*365-O$7,0),Zero_swap_CL!$J$2:$J$18,Zero_swap_CL!$K$2:$K$18))*100</f>
        <v>-2.2062195480175184</v>
      </c>
      <c r="P11" s="333">
        <f ca="1">(Lin_Interp(ROUND($B11*365,0),Zero_swap_CL!$J$2:$J$18,Zero_swap_CL!$K$2:$K$18)-Lin_Interp(ROUND($B11*365-P$7,0),Zero_swap_CL!$J$2:$J$18,Zero_swap_CL!$K$2:$K$18))*100</f>
        <v>-3.3093293220262776</v>
      </c>
      <c r="Q11" s="327">
        <f t="shared" ca="1" si="1"/>
        <v>-9.1321314000225584E-2</v>
      </c>
      <c r="R11" s="327">
        <f t="shared" ca="1" si="0"/>
        <v>-0.4575825431013314</v>
      </c>
      <c r="S11" s="327">
        <f t="shared" ca="1" si="0"/>
        <v>-0.91764584443261299</v>
      </c>
      <c r="T11" s="327">
        <f t="shared" ca="1" si="0"/>
        <v>-1.845496687775583</v>
      </c>
      <c r="U11" s="327">
        <f t="shared" ca="1" si="0"/>
        <v>-2.7841436848784706</v>
      </c>
      <c r="V11" s="327">
        <f t="shared" ca="1" si="0"/>
        <v>-5.6715001484784366</v>
      </c>
      <c r="W11" s="333">
        <f t="shared" ca="1" si="0"/>
        <v>-8.6823564884616733</v>
      </c>
    </row>
    <row r="12" spans="2:30">
      <c r="B12" s="331">
        <v>2</v>
      </c>
      <c r="C12" s="327">
        <f ca="1">(forwardZeroRate(360,Lin_Interp(C$7,Zero_swap_CL!$J$2:$J$18,Zero_swap_CL!$K$2:$K$18),Lin_Interp(ROUND($B12*365,0),Zero_swap_CL!$J$2:$J$18,Zero_swap_CL!$K$2:$K$18),C$7,$B12*365)-Lin_Interp(ROUND($B12*365,0),Zero_swap_CL!$J$2:$J$18,Zero_swap_CL!$K$2:$K$18))*100</f>
        <v>-4.0764725488307008E-2</v>
      </c>
      <c r="D12" s="327">
        <f ca="1">(forwardZeroRate(360,Lin_Interp(D$7,Zero_swap_CL!$J$2:$J$18,Zero_swap_CL!$K$2:$K$18),Lin_Interp(ROUND($B12*365,0),Zero_swap_CL!$J$2:$J$18,Zero_swap_CL!$K$2:$K$18),D$7,$B12*365)-Lin_Interp(ROUND($B12*365,0),Zero_swap_CL!$J$2:$J$18,Zero_swap_CL!$K$2:$K$18))*100</f>
        <v>-0.20417416455287274</v>
      </c>
      <c r="E12" s="327">
        <f ca="1">(forwardZeroRate(360,Lin_Interp(E$7,Zero_swap_CL!$J$2:$J$18,Zero_swap_CL!$K$2:$K$18),Lin_Interp(ROUND($B12*365,0),Zero_swap_CL!$J$2:$J$18,Zero_swap_CL!$K$2:$K$18),E$7,$B12*365)-Lin_Interp(ROUND($B12*365,0),Zero_swap_CL!$J$2:$J$18,Zero_swap_CL!$K$2:$K$18))*100</f>
        <v>-0.40923562117689549</v>
      </c>
      <c r="F12" s="327">
        <f ca="1">(forwardZeroRate(360,Lin_Interp(F$7,Zero_swap_CL!$J$2:$J$18,Zero_swap_CL!$K$2:$K$18),Lin_Interp(ROUND($B12*365,0),Zero_swap_CL!$J$2:$J$18,Zero_swap_CL!$K$2:$K$18),F$7,$B12*365)-Lin_Interp(ROUND($B12*365,0),Zero_swap_CL!$J$2:$J$18,Zero_swap_CL!$K$2:$K$18))*100</f>
        <v>-0.8220953585078572</v>
      </c>
      <c r="G12" s="327">
        <f ca="1">(forwardZeroRate(360,Lin_Interp(G$7,Zero_swap_CL!$J$2:$J$18,Zero_swap_CL!$K$2:$K$18),Lin_Interp(ROUND($B12*365,0),Zero_swap_CL!$J$2:$J$18,Zero_swap_CL!$K$2:$K$18),G$7,$B12*365)-Lin_Interp(ROUND($B12*365,0),Zero_swap_CL!$J$2:$J$18,Zero_swap_CL!$K$2:$K$18))*100</f>
        <v>-1.238734458632651</v>
      </c>
      <c r="H12" s="327">
        <f ca="1">(forwardZeroRate(360,Lin_Interp(H$7,Zero_swap_CL!$J$2:$J$18,Zero_swap_CL!$K$2:$K$18),Lin_Interp(ROUND($B12*365,0),Zero_swap_CL!$J$2:$J$18,Zero_swap_CL!$K$2:$K$18),H$7,$B12*365)-Lin_Interp(ROUND($B12*365,0),Zero_swap_CL!$J$2:$J$18,Zero_swap_CL!$K$2:$K$18))*100</f>
        <v>-2.5130193608988716</v>
      </c>
      <c r="I12" s="333">
        <f ca="1">(forwardZeroRate(360,Lin_Interp(I$7,Zero_swap_CL!$J$2:$J$18,Zero_swap_CL!$K$2:$K$18),Lin_Interp(ROUND($B12*365,0),Zero_swap_CL!$J$2:$J$18,Zero_swap_CL!$K$2:$K$18),I$7,$B12*365)-Lin_Interp(ROUND($B12*365,0),Zero_swap_CL!$J$2:$J$18,Zero_swap_CL!$K$2:$K$18))*100</f>
        <v>-3.8278514300624789</v>
      </c>
      <c r="J12" s="327">
        <f ca="1">(Lin_Interp(ROUND($B12*365,0),Zero_swap_CL!$J$2:$J$18,Zero_swap_CL!$K$2:$K$18)-Lin_Interp(ROUND($B12*365-J$7,0),Zero_swap_CL!$J$2:$J$18,Zero_swap_CL!$K$2:$K$18))*100</f>
        <v>1.3595796112042535E-3</v>
      </c>
      <c r="K12" s="327">
        <f ca="1">(Lin_Interp(ROUND($B12*365,0),Zero_swap_CL!$J$2:$J$18,Zero_swap_CL!$K$2:$K$18)-Lin_Interp(ROUND($B12*365-K$7,0),Zero_swap_CL!$J$2:$J$18,Zero_swap_CL!$K$2:$K$18))*100</f>
        <v>6.7978980559324498E-3</v>
      </c>
      <c r="L12" s="327">
        <f ca="1">(Lin_Interp(ROUND($B12*365,0),Zero_swap_CL!$J$2:$J$18,Zero_swap_CL!$K$2:$K$18)-Lin_Interp(ROUND($B12*365-L$7,0),Zero_swap_CL!$J$2:$J$18,Zero_swap_CL!$K$2:$K$18))*100</f>
        <v>1.3595796111909308E-2</v>
      </c>
      <c r="M12" s="327">
        <f ca="1">(Lin_Interp(ROUND($B12*365,0),Zero_swap_CL!$J$2:$J$18,Zero_swap_CL!$K$2:$K$18)-Lin_Interp(ROUND($B12*365-M$7,0),Zero_swap_CL!$J$2:$J$18,Zero_swap_CL!$K$2:$K$18))*100</f>
        <v>2.7191592223774208E-2</v>
      </c>
      <c r="N12" s="327">
        <f ca="1">(Lin_Interp(ROUND($B12*365,0),Zero_swap_CL!$J$2:$J$18,Zero_swap_CL!$K$2:$K$18)-Lin_Interp(ROUND($B12*365-N$7,0),Zero_swap_CL!$J$2:$J$18,Zero_swap_CL!$K$2:$K$18))*100</f>
        <v>4.0787388335683517E-2</v>
      </c>
      <c r="O12" s="327">
        <f ca="1">(Lin_Interp(ROUND($B12*365,0),Zero_swap_CL!$J$2:$J$18,Zero_swap_CL!$K$2:$K$18)-Lin_Interp(ROUND($B12*365-O$7,0),Zero_swap_CL!$J$2:$J$18,Zero_swap_CL!$K$2:$K$18))*100</f>
        <v>8.1574776671322624E-2</v>
      </c>
      <c r="P12" s="333">
        <f ca="1">(Lin_Interp(ROUND($B12*365,0),Zero_swap_CL!$J$2:$J$18,Zero_swap_CL!$K$2:$K$18)-Lin_Interp(ROUND($B12*365-P$7,0),Zero_swap_CL!$J$2:$J$18,Zero_swap_CL!$K$2:$K$18))*100</f>
        <v>0.12236216500700614</v>
      </c>
      <c r="Q12" s="327">
        <f t="shared" ca="1" si="1"/>
        <v>-3.9405145877102754E-2</v>
      </c>
      <c r="R12" s="327">
        <f t="shared" ca="1" si="0"/>
        <v>-0.19737626649694029</v>
      </c>
      <c r="S12" s="327">
        <f t="shared" ca="1" si="0"/>
        <v>-0.39563982506498618</v>
      </c>
      <c r="T12" s="327">
        <f t="shared" ca="1" si="0"/>
        <v>-0.79490376628408299</v>
      </c>
      <c r="U12" s="327">
        <f t="shared" ca="1" si="0"/>
        <v>-1.1979470702969675</v>
      </c>
      <c r="V12" s="327">
        <f t="shared" ca="1" si="0"/>
        <v>-2.4314445842275489</v>
      </c>
      <c r="W12" s="333">
        <f t="shared" ca="1" si="0"/>
        <v>-3.7054892650554727</v>
      </c>
    </row>
    <row r="13" spans="2:30">
      <c r="B13" s="331">
        <v>3</v>
      </c>
      <c r="C13" s="327">
        <f ca="1">(forwardZeroRate(360,Lin_Interp(C$7,Zero_swap_CL!$J$2:$J$18,Zero_swap_CL!$K$2:$K$18),Lin_Interp(ROUND($B13*365,0),Zero_swap_CL!$J$2:$J$18,Zero_swap_CL!$K$2:$K$18),C$7,$B13*365)-Lin_Interp(ROUND($B13*365,0),Zero_swap_CL!$J$2:$J$18,Zero_swap_CL!$K$2:$K$18))*100</f>
        <v>-1.8594027312435202E-2</v>
      </c>
      <c r="D13" s="327">
        <f ca="1">(forwardZeroRate(360,Lin_Interp(D$7,Zero_swap_CL!$J$2:$J$18,Zero_swap_CL!$K$2:$K$18),Lin_Interp(ROUND($B13*365,0),Zero_swap_CL!$J$2:$J$18,Zero_swap_CL!$K$2:$K$18),D$7,$B13*365)-Lin_Interp(ROUND($B13*365,0),Zero_swap_CL!$J$2:$J$18,Zero_swap_CL!$K$2:$K$18))*100</f>
        <v>-9.2796763470204269E-2</v>
      </c>
      <c r="E13" s="327">
        <f ca="1">(forwardZeroRate(360,Lin_Interp(E$7,Zero_swap_CL!$J$2:$J$18,Zero_swap_CL!$K$2:$K$18),Lin_Interp(ROUND($B13*365,0),Zero_swap_CL!$J$2:$J$18,Zero_swap_CL!$K$2:$K$18),E$7,$B13*365)-Lin_Interp(ROUND($B13*365,0),Zero_swap_CL!$J$2:$J$18,Zero_swap_CL!$K$2:$K$18))*100</f>
        <v>-0.18515649709573978</v>
      </c>
      <c r="F13" s="327">
        <f ca="1">(forwardZeroRate(360,Lin_Interp(F$7,Zero_swap_CL!$J$2:$J$18,Zero_swap_CL!$K$2:$K$18),Lin_Interp(ROUND($B13*365,0),Zero_swap_CL!$J$2:$J$18,Zero_swap_CL!$K$2:$K$18),F$7,$B13*365)-Lin_Interp(ROUND($B13*365,0),Zero_swap_CL!$J$2:$J$18,Zero_swap_CL!$K$2:$K$18))*100</f>
        <v>-0.36854047009606816</v>
      </c>
      <c r="G13" s="327">
        <f ca="1">(forwardZeroRate(360,Lin_Interp(G$7,Zero_swap_CL!$J$2:$J$18,Zero_swap_CL!$K$2:$K$18),Lin_Interp(ROUND($B13*365,0),Zero_swap_CL!$J$2:$J$18,Zero_swap_CL!$K$2:$K$18),G$7,$B13*365)-Lin_Interp(ROUND($B13*365,0),Zero_swap_CL!$J$2:$J$18,Zero_swap_CL!$K$2:$K$18))*100</f>
        <v>-0.55010196323159732</v>
      </c>
      <c r="H13" s="327">
        <f ca="1">(forwardZeroRate(360,Lin_Interp(H$7,Zero_swap_CL!$J$2:$J$18,Zero_swap_CL!$K$2:$K$18),Lin_Interp(ROUND($B13*365,0),Zero_swap_CL!$J$2:$J$18,Zero_swap_CL!$K$2:$K$18),H$7,$B13*365)-Lin_Interp(ROUND($B13*365,0),Zero_swap_CL!$J$2:$J$18,Zero_swap_CL!$K$2:$K$18))*100</f>
        <v>-1.0833230304520214</v>
      </c>
      <c r="I13" s="333">
        <f ca="1">(forwardZeroRate(360,Lin_Interp(I$7,Zero_swap_CL!$J$2:$J$18,Zero_swap_CL!$K$2:$K$18),Lin_Interp(ROUND($B13*365,0),Zero_swap_CL!$J$2:$J$18,Zero_swap_CL!$K$2:$K$18),I$7,$B13*365)-Lin_Interp(ROUND($B13*365,0),Zero_swap_CL!$J$2:$J$18,Zero_swap_CL!$K$2:$K$18))*100</f>
        <v>-1.5981506601504769</v>
      </c>
      <c r="J13" s="327">
        <f ca="1">(Lin_Interp(ROUND($B13*365,0),Zero_swap_CL!$J$2:$J$18,Zero_swap_CL!$K$2:$K$18)-Lin_Interp(ROUND($B13*365-J$7,0),Zero_swap_CL!$J$2:$J$18,Zero_swap_CL!$K$2:$K$18))*100</f>
        <v>2.6156749925521083E-2</v>
      </c>
      <c r="K13" s="327">
        <f ca="1">(Lin_Interp(ROUND($B13*365,0),Zero_swap_CL!$J$2:$J$18,Zero_swap_CL!$K$2:$K$18)-Lin_Interp(ROUND($B13*365-K$7,0),Zero_swap_CL!$J$2:$J$18,Zero_swap_CL!$K$2:$K$18))*100</f>
        <v>0.1307837496275166</v>
      </c>
      <c r="L13" s="327">
        <f ca="1">(Lin_Interp(ROUND($B13*365,0),Zero_swap_CL!$J$2:$J$18,Zero_swap_CL!$K$2:$K$18)-Lin_Interp(ROUND($B13*365-L$7,0),Zero_swap_CL!$J$2:$J$18,Zero_swap_CL!$K$2:$K$18))*100</f>
        <v>0.26156749925498879</v>
      </c>
      <c r="M13" s="327">
        <f ca="1">(Lin_Interp(ROUND($B13*365,0),Zero_swap_CL!$J$2:$J$18,Zero_swap_CL!$K$2:$K$18)-Lin_Interp(ROUND($B13*365-M$7,0),Zero_swap_CL!$J$2:$J$18,Zero_swap_CL!$K$2:$K$18))*100</f>
        <v>0.52313499850997758</v>
      </c>
      <c r="N13" s="327">
        <f ca="1">(Lin_Interp(ROUND($B13*365,0),Zero_swap_CL!$J$2:$J$18,Zero_swap_CL!$K$2:$K$18)-Lin_Interp(ROUND($B13*365-N$7,0),Zero_swap_CL!$J$2:$J$18,Zero_swap_CL!$K$2:$K$18))*100</f>
        <v>0.78470249776496637</v>
      </c>
      <c r="O13" s="327">
        <f ca="1">(Lin_Interp(ROUND($B13*365,0),Zero_swap_CL!$J$2:$J$18,Zero_swap_CL!$K$2:$K$18)-Lin_Interp(ROUND($B13*365-O$7,0),Zero_swap_CL!$J$2:$J$18,Zero_swap_CL!$K$2:$K$18))*100</f>
        <v>1.5694049955299327</v>
      </c>
      <c r="P13" s="333">
        <f ca="1">(Lin_Interp(ROUND($B13*365,0),Zero_swap_CL!$J$2:$J$18,Zero_swap_CL!$K$2:$K$18)-Lin_Interp(ROUND($B13*365-P$7,0),Zero_swap_CL!$J$2:$J$18,Zero_swap_CL!$K$2:$K$18))*100</f>
        <v>2.3541074932948991</v>
      </c>
      <c r="Q13" s="327">
        <f t="shared" ca="1" si="1"/>
        <v>7.5627226130858816E-3</v>
      </c>
      <c r="R13" s="327">
        <f t="shared" ca="1" si="0"/>
        <v>3.798698615731233E-2</v>
      </c>
      <c r="S13" s="327">
        <f t="shared" ca="1" si="0"/>
        <v>7.6411002159249009E-2</v>
      </c>
      <c r="T13" s="327">
        <f t="shared" ca="1" si="0"/>
        <v>0.15459452841390942</v>
      </c>
      <c r="U13" s="327">
        <f t="shared" ca="1" si="0"/>
        <v>0.23460053453336904</v>
      </c>
      <c r="V13" s="327">
        <f t="shared" ca="1" si="0"/>
        <v>0.48608196507791135</v>
      </c>
      <c r="W13" s="333">
        <f t="shared" ca="1" si="0"/>
        <v>0.75595683314442219</v>
      </c>
    </row>
    <row r="14" spans="2:30">
      <c r="B14" s="331">
        <v>4</v>
      </c>
      <c r="C14" s="327">
        <f ca="1">(forwardZeroRate(360,Lin_Interp(C$7,Zero_swap_CL!$J$2:$J$18,Zero_swap_CL!$K$2:$K$18),Lin_Interp(ROUND($B14*365,0),Zero_swap_CL!$J$2:$J$18,Zero_swap_CL!$K$2:$K$18),C$7,$B14*365)-Lin_Interp(ROUND($B14*365,0),Zero_swap_CL!$J$2:$J$18,Zero_swap_CL!$K$2:$K$18))*100</f>
        <v>-5.2196651259439619E-3</v>
      </c>
      <c r="D14" s="327">
        <f ca="1">(forwardZeroRate(360,Lin_Interp(D$7,Zero_swap_CL!$J$2:$J$18,Zero_swap_CL!$K$2:$K$18),Lin_Interp(ROUND($B14*365,0),Zero_swap_CL!$J$2:$J$18,Zero_swap_CL!$K$2:$K$18),D$7,$B14*365)-Lin_Interp(ROUND($B14*365,0),Zero_swap_CL!$J$2:$J$18,Zero_swap_CL!$K$2:$K$18))*100</f>
        <v>-2.5784353442626085E-2</v>
      </c>
      <c r="E14" s="327">
        <f ca="1">(forwardZeroRate(360,Lin_Interp(E$7,Zero_swap_CL!$J$2:$J$18,Zero_swap_CL!$K$2:$K$18),Lin_Interp(ROUND($B14*365,0),Zero_swap_CL!$J$2:$J$18,Zero_swap_CL!$K$2:$K$18),E$7,$B14*365)-Lin_Interp(ROUND($B14*365,0),Zero_swap_CL!$J$2:$J$18,Zero_swap_CL!$K$2:$K$18))*100</f>
        <v>-5.0778896522318817E-2</v>
      </c>
      <c r="F14" s="327">
        <f ca="1">(forwardZeroRate(360,Lin_Interp(F$7,Zero_swap_CL!$J$2:$J$18,Zero_swap_CL!$K$2:$K$18),Lin_Interp(ROUND($B14*365,0),Zero_swap_CL!$J$2:$J$18,Zero_swap_CL!$K$2:$K$18),F$7,$B14*365)-Lin_Interp(ROUND($B14*365,0),Zero_swap_CL!$J$2:$J$18,Zero_swap_CL!$K$2:$K$18))*100</f>
        <v>-9.8365589099858042E-2</v>
      </c>
      <c r="G14" s="327">
        <f ca="1">(forwardZeroRate(360,Lin_Interp(G$7,Zero_swap_CL!$J$2:$J$18,Zero_swap_CL!$K$2:$K$18),Lin_Interp(ROUND($B14*365,0),Zero_swap_CL!$J$2:$J$18,Zero_swap_CL!$K$2:$K$18),G$7,$B14*365)-Lin_Interp(ROUND($B14*365,0),Zero_swap_CL!$J$2:$J$18,Zero_swap_CL!$K$2:$K$18))*100</f>
        <v>-0.14269299834084315</v>
      </c>
      <c r="H14" s="327">
        <f ca="1">(forwardZeroRate(360,Lin_Interp(H$7,Zero_swap_CL!$J$2:$J$18,Zero_swap_CL!$K$2:$K$18),Lin_Interp(ROUND($B14*365,0),Zero_swap_CL!$J$2:$J$18,Zero_swap_CL!$K$2:$K$18),H$7,$B14*365)-Lin_Interp(ROUND($B14*365,0),Zero_swap_CL!$J$2:$J$18,Zero_swap_CL!$K$2:$K$18))*100</f>
        <v>-0.25541993541016161</v>
      </c>
      <c r="I14" s="333">
        <f ca="1">(forwardZeroRate(360,Lin_Interp(I$7,Zero_swap_CL!$J$2:$J$18,Zero_swap_CL!$K$2:$K$18),Lin_Interp(ROUND($B14*365,0),Zero_swap_CL!$J$2:$J$18,Zero_swap_CL!$K$2:$K$18),I$7,$B14*365)-Lin_Interp(ROUND($B14*365,0),Zero_swap_CL!$J$2:$J$18,Zero_swap_CL!$K$2:$K$18))*100</f>
        <v>-0.33620885960288227</v>
      </c>
      <c r="J14" s="327">
        <f ca="1">(Lin_Interp(ROUND($B14*365,0),Zero_swap_CL!$J$2:$J$18,Zero_swap_CL!$K$2:$K$18)-Lin_Interp(ROUND($B14*365-J$7,0),Zero_swap_CL!$J$2:$J$18,Zero_swap_CL!$K$2:$K$18))*100</f>
        <v>3.506038458498395E-2</v>
      </c>
      <c r="K14" s="327">
        <f ca="1">(Lin_Interp(ROUND($B14*365,0),Zero_swap_CL!$J$2:$J$18,Zero_swap_CL!$K$2:$K$18)-Lin_Interp(ROUND($B14*365-K$7,0),Zero_swap_CL!$J$2:$J$18,Zero_swap_CL!$K$2:$K$18))*100</f>
        <v>0.17530192292491975</v>
      </c>
      <c r="L14" s="327">
        <f ca="1">(Lin_Interp(ROUND($B14*365,0),Zero_swap_CL!$J$2:$J$18,Zero_swap_CL!$K$2:$K$18)-Lin_Interp(ROUND($B14*365-L$7,0),Zero_swap_CL!$J$2:$J$18,Zero_swap_CL!$K$2:$K$18))*100</f>
        <v>0.35060384584979509</v>
      </c>
      <c r="M14" s="327">
        <f ca="1">(Lin_Interp(ROUND($B14*365,0),Zero_swap_CL!$J$2:$J$18,Zero_swap_CL!$K$2:$K$18)-Lin_Interp(ROUND($B14*365-M$7,0),Zero_swap_CL!$J$2:$J$18,Zero_swap_CL!$K$2:$K$18))*100</f>
        <v>0.70120769169959019</v>
      </c>
      <c r="N14" s="327">
        <f ca="1">(Lin_Interp(ROUND($B14*365,0),Zero_swap_CL!$J$2:$J$18,Zero_swap_CL!$K$2:$K$18)-Lin_Interp(ROUND($B14*365-N$7,0),Zero_swap_CL!$J$2:$J$18,Zero_swap_CL!$K$2:$K$18))*100</f>
        <v>1.0518115375493853</v>
      </c>
      <c r="O14" s="327">
        <f ca="1">(Lin_Interp(ROUND($B14*365,0),Zero_swap_CL!$J$2:$J$18,Zero_swap_CL!$K$2:$K$18)-Lin_Interp(ROUND($B14*365-O$7,0),Zero_swap_CL!$J$2:$J$18,Zero_swap_CL!$K$2:$K$18))*100</f>
        <v>2.1036230750987706</v>
      </c>
      <c r="P14" s="333">
        <f ca="1">(Lin_Interp(ROUND($B14*365,0),Zero_swap_CL!$J$2:$J$18,Zero_swap_CL!$K$2:$K$18)-Lin_Interp(ROUND($B14*365-P$7,0),Zero_swap_CL!$J$2:$J$18,Zero_swap_CL!$K$2:$K$18))*100</f>
        <v>3.1554346126481558</v>
      </c>
      <c r="Q14" s="327">
        <f t="shared" ca="1" si="1"/>
        <v>2.9840719459039988E-2</v>
      </c>
      <c r="R14" s="327">
        <f t="shared" ca="1" si="0"/>
        <v>0.14951756948229367</v>
      </c>
      <c r="S14" s="327">
        <f t="shared" ca="1" si="0"/>
        <v>0.29982494932747628</v>
      </c>
      <c r="T14" s="327">
        <f t="shared" ca="1" si="0"/>
        <v>0.60284210259973214</v>
      </c>
      <c r="U14" s="327">
        <f t="shared" ca="1" si="0"/>
        <v>0.90911853920854213</v>
      </c>
      <c r="V14" s="327">
        <f t="shared" ca="1" si="0"/>
        <v>1.8482031396886089</v>
      </c>
      <c r="W14" s="333">
        <f t="shared" ca="1" si="0"/>
        <v>2.8192257530452736</v>
      </c>
    </row>
    <row r="15" spans="2:30">
      <c r="B15" s="331">
        <v>5</v>
      </c>
      <c r="C15" s="327">
        <f ca="1">(forwardZeroRate(360,Lin_Interp(C$7,Zero_swap_CL!$J$2:$J$18,Zero_swap_CL!$K$2:$K$18),Lin_Interp(ROUND($B15*365,0),Zero_swap_CL!$J$2:$J$18,Zero_swap_CL!$K$2:$K$18),C$7,$B15*365)-Lin_Interp(ROUND($B15*365,0),Zero_swap_CL!$J$2:$J$18,Zero_swap_CL!$K$2:$K$18))*100</f>
        <v>3.5461284918270053E-3</v>
      </c>
      <c r="D15" s="327">
        <f ca="1">(forwardZeroRate(360,Lin_Interp(D$7,Zero_swap_CL!$J$2:$J$18,Zero_swap_CL!$K$2:$K$18),Lin_Interp(ROUND($B15*365,0),Zero_swap_CL!$J$2:$J$18,Zero_swap_CL!$K$2:$K$18),D$7,$B15*365)-Lin_Interp(ROUND($B15*365,0),Zero_swap_CL!$J$2:$J$18,Zero_swap_CL!$K$2:$K$18))*100</f>
        <v>1.8078387088316106E-2</v>
      </c>
      <c r="E15" s="327">
        <f ca="1">(forwardZeroRate(360,Lin_Interp(E$7,Zero_swap_CL!$J$2:$J$18,Zero_swap_CL!$K$2:$K$18),Lin_Interp(ROUND($B15*365,0),Zero_swap_CL!$J$2:$J$18,Zero_swap_CL!$K$2:$K$18),E$7,$B15*365)-Lin_Interp(ROUND($B15*365,0),Zero_swap_CL!$J$2:$J$18,Zero_swap_CL!$K$2:$K$18))*100</f>
        <v>3.7030458698161794E-2</v>
      </c>
      <c r="F15" s="327">
        <f ca="1">(forwardZeroRate(360,Lin_Interp(F$7,Zero_swap_CL!$J$2:$J$18,Zero_swap_CL!$K$2:$K$18),Lin_Interp(ROUND($B15*365,0),Zero_swap_CL!$J$2:$J$18,Zero_swap_CL!$K$2:$K$18),F$7,$B15*365)-Lin_Interp(ROUND($B15*365,0),Zero_swap_CL!$J$2:$J$18,Zero_swap_CL!$K$2:$K$18))*100</f>
        <v>7.7584779410866389E-2</v>
      </c>
      <c r="G15" s="327">
        <f ca="1">(forwardZeroRate(360,Lin_Interp(G$7,Zero_swap_CL!$J$2:$J$18,Zero_swap_CL!$K$2:$K$18),Lin_Interp(ROUND($B15*365,0),Zero_swap_CL!$J$2:$J$18,Zero_swap_CL!$K$2:$K$18),G$7,$B15*365)-Lin_Interp(ROUND($B15*365,0),Zero_swap_CL!$J$2:$J$18,Zero_swap_CL!$K$2:$K$18))*100</f>
        <v>0.12172202353042394</v>
      </c>
      <c r="H15" s="327">
        <f ca="1">(forwardZeroRate(360,Lin_Interp(H$7,Zero_swap_CL!$J$2:$J$18,Zero_swap_CL!$K$2:$K$18),Lin_Interp(ROUND($B15*365,0),Zero_swap_CL!$J$2:$J$18,Zero_swap_CL!$K$2:$K$18),H$7,$B15*365)-Lin_Interp(ROUND($B15*365,0),Zero_swap_CL!$J$2:$J$18,Zero_swap_CL!$K$2:$K$18))*100</f>
        <v>0.27624204558582832</v>
      </c>
      <c r="I15" s="333">
        <f ca="1">(forwardZeroRate(360,Lin_Interp(I$7,Zero_swap_CL!$J$2:$J$18,Zero_swap_CL!$K$2:$K$18),Lin_Interp(ROUND($B15*365,0),Zero_swap_CL!$J$2:$J$18,Zero_swap_CL!$K$2:$K$18),I$7,$B15*365)-Lin_Interp(ROUND($B15*365,0),Zero_swap_CL!$J$2:$J$18,Zero_swap_CL!$K$2:$K$18))*100</f>
        <v>0.46526638777786289</v>
      </c>
      <c r="J15" s="327">
        <f ca="1">(Lin_Interp(ROUND($B15*365,0),Zero_swap_CL!$J$2:$J$18,Zero_swap_CL!$K$2:$K$18)-Lin_Interp(ROUND($B15*365-J$7,0),Zero_swap_CL!$J$2:$J$18,Zero_swap_CL!$K$2:$K$18))*100</f>
        <v>3.8656403632097991E-2</v>
      </c>
      <c r="K15" s="327">
        <f ca="1">(Lin_Interp(ROUND($B15*365,0),Zero_swap_CL!$J$2:$J$18,Zero_swap_CL!$K$2:$K$18)-Lin_Interp(ROUND($B15*365-K$7,0),Zero_swap_CL!$J$2:$J$18,Zero_swap_CL!$K$2:$K$18))*100</f>
        <v>0.19328201816057877</v>
      </c>
      <c r="L15" s="327">
        <f ca="1">(Lin_Interp(ROUND($B15*365,0),Zero_swap_CL!$J$2:$J$18,Zero_swap_CL!$K$2:$K$18)-Lin_Interp(ROUND($B15*365-L$7,0),Zero_swap_CL!$J$2:$J$18,Zero_swap_CL!$K$2:$K$18))*100</f>
        <v>0.38656403632115754</v>
      </c>
      <c r="M15" s="327">
        <f ca="1">(Lin_Interp(ROUND($B15*365,0),Zero_swap_CL!$J$2:$J$18,Zero_swap_CL!$K$2:$K$18)-Lin_Interp(ROUND($B15*365-M$7,0),Zero_swap_CL!$J$2:$J$18,Zero_swap_CL!$K$2:$K$18))*100</f>
        <v>0.77312807264231509</v>
      </c>
      <c r="N15" s="327">
        <f ca="1">(Lin_Interp(ROUND($B15*365,0),Zero_swap_CL!$J$2:$J$18,Zero_swap_CL!$K$2:$K$18)-Lin_Interp(ROUND($B15*365-N$7,0),Zero_swap_CL!$J$2:$J$18,Zero_swap_CL!$K$2:$K$18))*100</f>
        <v>1.1596921089634726</v>
      </c>
      <c r="O15" s="327">
        <f ca="1">(Lin_Interp(ROUND($B15*365,0),Zero_swap_CL!$J$2:$J$18,Zero_swap_CL!$K$2:$K$18)-Lin_Interp(ROUND($B15*365-O$7,0),Zero_swap_CL!$J$2:$J$18,Zero_swap_CL!$K$2:$K$18))*100</f>
        <v>2.3193842179269453</v>
      </c>
      <c r="P15" s="333">
        <f ca="1">(Lin_Interp(ROUND($B15*365,0),Zero_swap_CL!$J$2:$J$18,Zero_swap_CL!$K$2:$K$18)-Lin_Interp(ROUND($B15*365-P$7,0),Zero_swap_CL!$J$2:$J$18,Zero_swap_CL!$K$2:$K$18))*100</f>
        <v>3.4790763268904179</v>
      </c>
      <c r="Q15" s="327">
        <f t="shared" ca="1" si="1"/>
        <v>4.2202532123924996E-2</v>
      </c>
      <c r="R15" s="327">
        <f t="shared" ca="1" si="0"/>
        <v>0.21136040524889488</v>
      </c>
      <c r="S15" s="327">
        <f t="shared" ca="1" si="0"/>
        <v>0.42359449501931934</v>
      </c>
      <c r="T15" s="327">
        <f t="shared" ca="1" si="0"/>
        <v>0.85071285205318148</v>
      </c>
      <c r="U15" s="327">
        <f t="shared" ca="1" si="0"/>
        <v>1.2814141324938966</v>
      </c>
      <c r="V15" s="327">
        <f t="shared" ca="1" si="0"/>
        <v>2.5956262635127736</v>
      </c>
      <c r="W15" s="333">
        <f t="shared" ca="1" si="0"/>
        <v>3.9443427146682808</v>
      </c>
    </row>
    <row r="16" spans="2:30">
      <c r="B16" s="331">
        <v>6</v>
      </c>
      <c r="C16" s="327">
        <f ca="1">(forwardZeroRate(360,Lin_Interp(C$7,Zero_swap_CL!$J$2:$J$18,Zero_swap_CL!$K$2:$K$18),Lin_Interp(ROUND($B16*365,0),Zero_swap_CL!$J$2:$J$18,Zero_swap_CL!$K$2:$K$18),C$7,$B16*365)-Lin_Interp(ROUND($B16*365,0),Zero_swap_CL!$J$2:$J$18,Zero_swap_CL!$K$2:$K$18))*100</f>
        <v>6.9846423043085082E-3</v>
      </c>
      <c r="D16" s="327">
        <f ca="1">(forwardZeroRate(360,Lin_Interp(D$7,Zero_swap_CL!$J$2:$J$18,Zero_swap_CL!$K$2:$K$18),Lin_Interp(ROUND($B16*365,0),Zero_swap_CL!$J$2:$J$18,Zero_swap_CL!$K$2:$K$18),D$7,$B16*365)-Lin_Interp(ROUND($B16*365,0),Zero_swap_CL!$J$2:$J$18,Zero_swap_CL!$K$2:$K$18))*100</f>
        <v>3.5244596099159864E-2</v>
      </c>
      <c r="E16" s="327">
        <f ca="1">(forwardZeroRate(360,Lin_Interp(E$7,Zero_swap_CL!$J$2:$J$18,Zero_swap_CL!$K$2:$K$18),Lin_Interp(ROUND($B16*365,0),Zero_swap_CL!$J$2:$J$18,Zero_swap_CL!$K$2:$K$18),E$7,$B16*365)-Lin_Interp(ROUND($B16*365,0),Zero_swap_CL!$J$2:$J$18,Zero_swap_CL!$K$2:$K$18))*100</f>
        <v>7.1295983023800247E-2</v>
      </c>
      <c r="F16" s="327">
        <f ca="1">(forwardZeroRate(360,Lin_Interp(F$7,Zero_swap_CL!$J$2:$J$18,Zero_swap_CL!$K$2:$K$18),Lin_Interp(ROUND($B16*365,0),Zero_swap_CL!$J$2:$J$18,Zero_swap_CL!$K$2:$K$18),F$7,$B16*365)-Lin_Interp(ROUND($B16*365,0),Zero_swap_CL!$J$2:$J$18,Zero_swap_CL!$K$2:$K$18))*100</f>
        <v>0.14584152032681708</v>
      </c>
      <c r="G16" s="327">
        <f ca="1">(forwardZeroRate(360,Lin_Interp(G$7,Zero_swap_CL!$J$2:$J$18,Zero_swap_CL!$K$2:$K$18),Lin_Interp(ROUND($B16*365,0),Zero_swap_CL!$J$2:$J$18,Zero_swap_CL!$K$2:$K$18),G$7,$B16*365)-Lin_Interp(ROUND($B16*365,0),Zero_swap_CL!$J$2:$J$18,Zero_swap_CL!$K$2:$K$18))*100</f>
        <v>0.2236819141219204</v>
      </c>
      <c r="H16" s="327">
        <f ca="1">(forwardZeroRate(360,Lin_Interp(H$7,Zero_swap_CL!$J$2:$J$18,Zero_swap_CL!$K$2:$K$18),Lin_Interp(ROUND($B16*365,0),Zero_swap_CL!$J$2:$J$18,Zero_swap_CL!$K$2:$K$18),H$7,$B16*365)-Lin_Interp(ROUND($B16*365,0),Zero_swap_CL!$J$2:$J$18,Zero_swap_CL!$K$2:$K$18))*100</f>
        <v>0.47743806635280883</v>
      </c>
      <c r="I16" s="333">
        <f ca="1">(forwardZeroRate(360,Lin_Interp(I$7,Zero_swap_CL!$J$2:$J$18,Zero_swap_CL!$K$2:$K$18),Lin_Interp(ROUND($B16*365,0),Zero_swap_CL!$J$2:$J$18,Zero_swap_CL!$K$2:$K$18),I$7,$B16*365)-Lin_Interp(ROUND($B16*365,0),Zero_swap_CL!$J$2:$J$18,Zero_swap_CL!$K$2:$K$18))*100</f>
        <v>0.76256233238791715</v>
      </c>
      <c r="J16" s="327">
        <f ca="1">(Lin_Interp(ROUND($B16*365,0),Zero_swap_CL!$J$2:$J$18,Zero_swap_CL!$K$2:$K$18)-Lin_Interp(ROUND($B16*365-J$7,0),Zero_swap_CL!$J$2:$J$18,Zero_swap_CL!$K$2:$K$18))*100</f>
        <v>2.3858656108899368E-2</v>
      </c>
      <c r="K16" s="327">
        <f ca="1">(Lin_Interp(ROUND($B16*365,0),Zero_swap_CL!$J$2:$J$18,Zero_swap_CL!$K$2:$K$18)-Lin_Interp(ROUND($B16*365-K$7,0),Zero_swap_CL!$J$2:$J$18,Zero_swap_CL!$K$2:$K$18))*100</f>
        <v>0.11929328054458566</v>
      </c>
      <c r="L16" s="327">
        <f ca="1">(Lin_Interp(ROUND($B16*365,0),Zero_swap_CL!$J$2:$J$18,Zero_swap_CL!$K$2:$K$18)-Lin_Interp(ROUND($B16*365-L$7,0),Zero_swap_CL!$J$2:$J$18,Zero_swap_CL!$K$2:$K$18))*100</f>
        <v>0.23858656108917131</v>
      </c>
      <c r="M16" s="327">
        <f ca="1">(Lin_Interp(ROUND($B16*365,0),Zero_swap_CL!$J$2:$J$18,Zero_swap_CL!$K$2:$K$18)-Lin_Interp(ROUND($B16*365-M$7,0),Zero_swap_CL!$J$2:$J$18,Zero_swap_CL!$K$2:$K$18))*100</f>
        <v>0.47717312217838703</v>
      </c>
      <c r="N16" s="327">
        <f ca="1">(Lin_Interp(ROUND($B16*365,0),Zero_swap_CL!$J$2:$J$18,Zero_swap_CL!$K$2:$K$18)-Lin_Interp(ROUND($B16*365-N$7,0),Zero_swap_CL!$J$2:$J$18,Zero_swap_CL!$K$2:$K$18))*100</f>
        <v>0.71575968326755834</v>
      </c>
      <c r="O16" s="327">
        <f ca="1">(Lin_Interp(ROUND($B16*365,0),Zero_swap_CL!$J$2:$J$18,Zero_swap_CL!$K$2:$K$18)-Lin_Interp(ROUND($B16*365-O$7,0),Zero_swap_CL!$J$2:$J$18,Zero_swap_CL!$K$2:$K$18))*100</f>
        <v>1.4315193665351167</v>
      </c>
      <c r="P16" s="333">
        <f ca="1">(Lin_Interp(ROUND($B16*365,0),Zero_swap_CL!$J$2:$J$18,Zero_swap_CL!$K$2:$K$18)-Lin_Interp(ROUND($B16*365-P$7,0),Zero_swap_CL!$J$2:$J$18,Zero_swap_CL!$K$2:$K$18))*100</f>
        <v>2.147279049802675</v>
      </c>
      <c r="Q16" s="327">
        <f t="shared" ca="1" si="1"/>
        <v>3.0843298413207876E-2</v>
      </c>
      <c r="R16" s="327">
        <f t="shared" ca="1" si="0"/>
        <v>0.15453787664374552</v>
      </c>
      <c r="S16" s="327">
        <f t="shared" ca="1" si="0"/>
        <v>0.30988254411297156</v>
      </c>
      <c r="T16" s="327">
        <f t="shared" ca="1" si="0"/>
        <v>0.62301464250520411</v>
      </c>
      <c r="U16" s="327">
        <f t="shared" ca="1" si="0"/>
        <v>0.93944159738947874</v>
      </c>
      <c r="V16" s="327">
        <f t="shared" ca="1" si="0"/>
        <v>1.9089574328879255</v>
      </c>
      <c r="W16" s="333">
        <f t="shared" ca="1" si="0"/>
        <v>2.9098413821905922</v>
      </c>
    </row>
    <row r="17" spans="2:23">
      <c r="B17" s="331">
        <v>7</v>
      </c>
      <c r="C17" s="327">
        <f ca="1">(forwardZeroRate(360,Lin_Interp(C$7,Zero_swap_CL!$J$2:$J$18,Zero_swap_CL!$K$2:$K$18),Lin_Interp(ROUND($B17*365,0),Zero_swap_CL!$J$2:$J$18,Zero_swap_CL!$K$2:$K$18),C$7,$B17*365)-Lin_Interp(ROUND($B17*365,0),Zero_swap_CL!$J$2:$J$18,Zero_swap_CL!$K$2:$K$18))*100</f>
        <v>1.1696049968623612E-2</v>
      </c>
      <c r="D17" s="327">
        <f ca="1">(forwardZeroRate(360,Lin_Interp(D$7,Zero_swap_CL!$J$2:$J$18,Zero_swap_CL!$K$2:$K$18),Lin_Interp(ROUND($B17*365,0),Zero_swap_CL!$J$2:$J$18,Zero_swap_CL!$K$2:$K$18),D$7,$B17*365)-Lin_Interp(ROUND($B17*365,0),Zero_swap_CL!$J$2:$J$18,Zero_swap_CL!$K$2:$K$18))*100</f>
        <v>5.8792986168487715E-2</v>
      </c>
      <c r="E17" s="327">
        <f ca="1">(forwardZeroRate(360,Lin_Interp(E$7,Zero_swap_CL!$J$2:$J$18,Zero_swap_CL!$K$2:$K$18),Lin_Interp(ROUND($B17*365,0),Zero_swap_CL!$J$2:$J$18,Zero_swap_CL!$K$2:$K$18),E$7,$B17*365)-Lin_Interp(ROUND($B17*365,0),Zero_swap_CL!$J$2:$J$18,Zero_swap_CL!$K$2:$K$18))*100</f>
        <v>0.11837059162198571</v>
      </c>
      <c r="F17" s="327">
        <f ca="1">(forwardZeroRate(360,Lin_Interp(F$7,Zero_swap_CL!$J$2:$J$18,Zero_swap_CL!$K$2:$K$18),Lin_Interp(ROUND($B17*365,0),Zero_swap_CL!$J$2:$J$18,Zero_swap_CL!$K$2:$K$18),F$7,$B17*365)-Lin_Interp(ROUND($B17*365,0),Zero_swap_CL!$J$2:$J$18,Zero_swap_CL!$K$2:$K$18))*100</f>
        <v>0.23989832294244451</v>
      </c>
      <c r="G17" s="327">
        <f ca="1">(forwardZeroRate(360,Lin_Interp(G$7,Zero_swap_CL!$J$2:$J$18,Zero_swap_CL!$K$2:$K$18),Lin_Interp(ROUND($B17*365,0),Zero_swap_CL!$J$2:$J$18,Zero_swap_CL!$K$2:$K$18),G$7,$B17*365)-Lin_Interp(ROUND($B17*365,0),Zero_swap_CL!$J$2:$J$18,Zero_swap_CL!$K$2:$K$18))*100</f>
        <v>0.36462089048514557</v>
      </c>
      <c r="H17" s="327">
        <f ca="1">(forwardZeroRate(360,Lin_Interp(H$7,Zero_swap_CL!$J$2:$J$18,Zero_swap_CL!$K$2:$K$18),Lin_Interp(ROUND($B17*365,0),Zero_swap_CL!$J$2:$J$18,Zero_swap_CL!$K$2:$K$18),H$7,$B17*365)-Lin_Interp(ROUND($B17*365,0),Zero_swap_CL!$J$2:$J$18,Zero_swap_CL!$K$2:$K$18))*100</f>
        <v>0.75834368641789496</v>
      </c>
      <c r="I17" s="333">
        <f ca="1">(forwardZeroRate(360,Lin_Interp(I$7,Zero_swap_CL!$J$2:$J$18,Zero_swap_CL!$K$2:$K$18),Lin_Interp(ROUND($B17*365,0),Zero_swap_CL!$J$2:$J$18,Zero_swap_CL!$K$2:$K$18),I$7,$B17*365)-Lin_Interp(ROUND($B17*365,0),Zero_swap_CL!$J$2:$J$18,Zero_swap_CL!$K$2:$K$18))*100</f>
        <v>1.1822363280834303</v>
      </c>
      <c r="J17" s="327">
        <f ca="1">(Lin_Interp(ROUND($B17*365,0),Zero_swap_CL!$J$2:$J$18,Zero_swap_CL!$K$2:$K$18)-Lin_Interp(ROUND($B17*365-J$7,0),Zero_swap_CL!$J$2:$J$18,Zero_swap_CL!$K$2:$K$18))*100</f>
        <v>4.0177806971097851E-2</v>
      </c>
      <c r="K17" s="327">
        <f ca="1">(Lin_Interp(ROUND($B17*365,0),Zero_swap_CL!$J$2:$J$18,Zero_swap_CL!$K$2:$K$18)-Lin_Interp(ROUND($B17*365-K$7,0),Zero_swap_CL!$J$2:$J$18,Zero_swap_CL!$K$2:$K$18))*100</f>
        <v>0.20088903485548926</v>
      </c>
      <c r="L17" s="327">
        <f ca="1">(Lin_Interp(ROUND($B17*365,0),Zero_swap_CL!$J$2:$J$18,Zero_swap_CL!$K$2:$K$18)-Lin_Interp(ROUND($B17*365-L$7,0),Zero_swap_CL!$J$2:$J$18,Zero_swap_CL!$K$2:$K$18))*100</f>
        <v>0.40177806971102292</v>
      </c>
      <c r="M17" s="327">
        <f ca="1">(Lin_Interp(ROUND($B17*365,0),Zero_swap_CL!$J$2:$J$18,Zero_swap_CL!$K$2:$K$18)-Lin_Interp(ROUND($B17*365-M$7,0),Zero_swap_CL!$J$2:$J$18,Zero_swap_CL!$K$2:$K$18))*100</f>
        <v>0.80355613942204585</v>
      </c>
      <c r="N17" s="327">
        <f ca="1">(Lin_Interp(ROUND($B17*365,0),Zero_swap_CL!$J$2:$J$18,Zero_swap_CL!$K$2:$K$18)-Lin_Interp(ROUND($B17*365-N$7,0),Zero_swap_CL!$J$2:$J$18,Zero_swap_CL!$K$2:$K$18))*100</f>
        <v>1.2053342091330688</v>
      </c>
      <c r="O17" s="327">
        <f ca="1">(Lin_Interp(ROUND($B17*365,0),Zero_swap_CL!$J$2:$J$18,Zero_swap_CL!$K$2:$K$18)-Lin_Interp(ROUND($B17*365-O$7,0),Zero_swap_CL!$J$2:$J$18,Zero_swap_CL!$K$2:$K$18))*100</f>
        <v>2.4106684182661819</v>
      </c>
      <c r="P17" s="333">
        <f ca="1">(Lin_Interp(ROUND($B17*365,0),Zero_swap_CL!$J$2:$J$18,Zero_swap_CL!$K$2:$K$18)-Lin_Interp(ROUND($B17*365-P$7,0),Zero_swap_CL!$J$2:$J$18,Zero_swap_CL!$K$2:$K$18))*100</f>
        <v>3.6160026273992507</v>
      </c>
      <c r="Q17" s="327">
        <f t="shared" ca="1" si="1"/>
        <v>5.1873856939721463E-2</v>
      </c>
      <c r="R17" s="327">
        <f t="shared" ca="1" si="0"/>
        <v>0.25968202102397697</v>
      </c>
      <c r="S17" s="327">
        <f t="shared" ca="1" si="0"/>
        <v>0.52014866133300863</v>
      </c>
      <c r="T17" s="327">
        <f t="shared" ca="1" si="0"/>
        <v>1.0434544623644904</v>
      </c>
      <c r="U17" s="327">
        <f t="shared" ca="1" si="0"/>
        <v>1.5699550996182143</v>
      </c>
      <c r="V17" s="327">
        <f t="shared" ca="1" si="0"/>
        <v>3.1690121046840769</v>
      </c>
      <c r="W17" s="333">
        <f t="shared" ca="1" si="0"/>
        <v>4.798238955482681</v>
      </c>
    </row>
    <row r="18" spans="2:23">
      <c r="B18" s="331">
        <v>8</v>
      </c>
      <c r="C18" s="327">
        <f ca="1">(forwardZeroRate(360,Lin_Interp(C$7,Zero_swap_CL!$J$2:$J$18,Zero_swap_CL!$K$2:$K$18),Lin_Interp(ROUND($B18*365,0),Zero_swap_CL!$J$2:$J$18,Zero_swap_CL!$K$2:$K$18),C$7,$B18*365)-Lin_Interp(ROUND($B18*365,0),Zero_swap_CL!$J$2:$J$18,Zero_swap_CL!$K$2:$K$18))*100</f>
        <v>1.4161048869754111E-2</v>
      </c>
      <c r="D18" s="327">
        <f ca="1">(forwardZeroRate(360,Lin_Interp(D$7,Zero_swap_CL!$J$2:$J$18,Zero_swap_CL!$K$2:$K$18),Lin_Interp(ROUND($B18*365,0),Zero_swap_CL!$J$2:$J$18,Zero_swap_CL!$K$2:$K$18),D$7,$B18*365)-Lin_Interp(ROUND($B18*365,0),Zero_swap_CL!$J$2:$J$18,Zero_swap_CL!$K$2:$K$18))*100</f>
        <v>7.1096024712558048E-2</v>
      </c>
      <c r="E18" s="327">
        <f ca="1">(forwardZeroRate(360,Lin_Interp(E$7,Zero_swap_CL!$J$2:$J$18,Zero_swap_CL!$K$2:$K$18),Lin_Interp(ROUND($B18*365,0),Zero_swap_CL!$J$2:$J$18,Zero_swap_CL!$K$2:$K$18),E$7,$B18*365)-Lin_Interp(ROUND($B18*365,0),Zero_swap_CL!$J$2:$J$18,Zero_swap_CL!$K$2:$K$18))*100</f>
        <v>0.1429212620391862</v>
      </c>
      <c r="F18" s="327">
        <f ca="1">(forwardZeroRate(360,Lin_Interp(F$7,Zero_swap_CL!$J$2:$J$18,Zero_swap_CL!$K$2:$K$18),Lin_Interp(ROUND($B18*365,0),Zero_swap_CL!$J$2:$J$18,Zero_swap_CL!$K$2:$K$18),F$7,$B18*365)-Lin_Interp(ROUND($B18*365,0),Zero_swap_CL!$J$2:$J$18,Zero_swap_CL!$K$2:$K$18))*100</f>
        <v>0.28877455196263391</v>
      </c>
      <c r="G18" s="327">
        <f ca="1">(forwardZeroRate(360,Lin_Interp(G$7,Zero_swap_CL!$J$2:$J$18,Zero_swap_CL!$K$2:$K$18),Lin_Interp(ROUND($B18*365,0),Zero_swap_CL!$J$2:$J$18,Zero_swap_CL!$K$2:$K$18),G$7,$B18*365)-Lin_Interp(ROUND($B18*365,0),Zero_swap_CL!$J$2:$J$18,Zero_swap_CL!$K$2:$K$18))*100</f>
        <v>0.43759048878722062</v>
      </c>
      <c r="H18" s="327">
        <f ca="1">(forwardZeroRate(360,Lin_Interp(H$7,Zero_swap_CL!$J$2:$J$18,Zero_swap_CL!$K$2:$K$18),Lin_Interp(ROUND($B18*365,0),Zero_swap_CL!$J$2:$J$18,Zero_swap_CL!$K$2:$K$18),H$7,$B18*365)-Lin_Interp(ROUND($B18*365,0),Zero_swap_CL!$J$2:$J$18,Zero_swap_CL!$K$2:$K$18))*100</f>
        <v>0.90212683331380994</v>
      </c>
      <c r="I18" s="333">
        <f ca="1">(forwardZeroRate(360,Lin_Interp(I$7,Zero_swap_CL!$J$2:$J$18,Zero_swap_CL!$K$2:$K$18),Lin_Interp(ROUND($B18*365,0),Zero_swap_CL!$J$2:$J$18,Zero_swap_CL!$K$2:$K$18),I$7,$B18*365)-Lin_Interp(ROUND($B18*365,0),Zero_swap_CL!$J$2:$J$18,Zero_swap_CL!$K$2:$K$18))*100</f>
        <v>1.3944712234887913</v>
      </c>
      <c r="J18" s="327">
        <f ca="1">(Lin_Interp(ROUND($B18*365,0),Zero_swap_CL!$J$2:$J$18,Zero_swap_CL!$K$2:$K$18)-Lin_Interp(ROUND($B18*365-J$7,0),Zero_swap_CL!$J$2:$J$18,Zero_swap_CL!$K$2:$K$18))*100</f>
        <v>3.1128467779995006E-2</v>
      </c>
      <c r="K18" s="327">
        <f ca="1">(Lin_Interp(ROUND($B18*365,0),Zero_swap_CL!$J$2:$J$18,Zero_swap_CL!$K$2:$K$18)-Lin_Interp(ROUND($B18*365-K$7,0),Zero_swap_CL!$J$2:$J$18,Zero_swap_CL!$K$2:$K$18))*100</f>
        <v>0.15564233889988621</v>
      </c>
      <c r="L18" s="327">
        <f ca="1">(Lin_Interp(ROUND($B18*365,0),Zero_swap_CL!$J$2:$J$18,Zero_swap_CL!$K$2:$K$18)-Lin_Interp(ROUND($B18*365-L$7,0),Zero_swap_CL!$J$2:$J$18,Zero_swap_CL!$K$2:$K$18))*100</f>
        <v>0.31128467779972802</v>
      </c>
      <c r="M18" s="327">
        <f ca="1">(Lin_Interp(ROUND($B18*365,0),Zero_swap_CL!$J$2:$J$18,Zero_swap_CL!$K$2:$K$18)-Lin_Interp(ROUND($B18*365-M$7,0),Zero_swap_CL!$J$2:$J$18,Zero_swap_CL!$K$2:$K$18))*100</f>
        <v>0.62256935559945603</v>
      </c>
      <c r="N18" s="327">
        <f ca="1">(Lin_Interp(ROUND($B18*365,0),Zero_swap_CL!$J$2:$J$18,Zero_swap_CL!$K$2:$K$18)-Lin_Interp(ROUND($B18*365-N$7,0),Zero_swap_CL!$J$2:$J$18,Zero_swap_CL!$K$2:$K$18))*100</f>
        <v>0.93385403339922846</v>
      </c>
      <c r="O18" s="327">
        <f ca="1">(Lin_Interp(ROUND($B18*365,0),Zero_swap_CL!$J$2:$J$18,Zero_swap_CL!$K$2:$K$18)-Lin_Interp(ROUND($B18*365-O$7,0),Zero_swap_CL!$J$2:$J$18,Zero_swap_CL!$K$2:$K$18))*100</f>
        <v>1.8677080667984125</v>
      </c>
      <c r="P18" s="333">
        <f ca="1">(Lin_Interp(ROUND($B18*365,0),Zero_swap_CL!$J$2:$J$18,Zero_swap_CL!$K$2:$K$18)-Lin_Interp(ROUND($B18*365-P$7,0),Zero_swap_CL!$J$2:$J$18,Zero_swap_CL!$K$2:$K$18))*100</f>
        <v>2.8015621001975965</v>
      </c>
      <c r="Q18" s="327">
        <f t="shared" ca="1" si="1"/>
        <v>4.5289516649749118E-2</v>
      </c>
      <c r="R18" s="327">
        <f t="shared" ca="1" si="0"/>
        <v>0.22673836361244426</v>
      </c>
      <c r="S18" s="327">
        <f t="shared" ca="1" si="0"/>
        <v>0.45420593983891422</v>
      </c>
      <c r="T18" s="327">
        <f t="shared" ca="1" si="0"/>
        <v>0.91134390756208994</v>
      </c>
      <c r="U18" s="327">
        <f t="shared" ca="1" si="0"/>
        <v>1.3714445221864491</v>
      </c>
      <c r="V18" s="327">
        <f t="shared" ca="1" si="0"/>
        <v>2.7698349001122224</v>
      </c>
      <c r="W18" s="333">
        <f t="shared" ca="1" si="0"/>
        <v>4.1960333236863878</v>
      </c>
    </row>
    <row r="19" spans="2:23">
      <c r="B19" s="331">
        <v>9</v>
      </c>
      <c r="C19" s="327">
        <f ca="1">(forwardZeroRate(360,Lin_Interp(C$7,Zero_swap_CL!$J$2:$J$18,Zero_swap_CL!$K$2:$K$18),Lin_Interp(ROUND($B19*365,0),Zero_swap_CL!$J$2:$J$18,Zero_swap_CL!$K$2:$K$18),C$7,$B19*365)-Lin_Interp(ROUND($B19*365,0),Zero_swap_CL!$J$2:$J$18,Zero_swap_CL!$K$2:$K$18))*100</f>
        <v>1.5419684000761436E-2</v>
      </c>
      <c r="D19" s="327">
        <f ca="1">(forwardZeroRate(360,Lin_Interp(D$7,Zero_swap_CL!$J$2:$J$18,Zero_swap_CL!$K$2:$K$18),Lin_Interp(ROUND($B19*365,0),Zero_swap_CL!$J$2:$J$18,Zero_swap_CL!$K$2:$K$18),D$7,$B19*365)-Lin_Interp(ROUND($B19*365,0),Zero_swap_CL!$J$2:$J$18,Zero_swap_CL!$K$2:$K$18))*100</f>
        <v>7.7364727171236325E-2</v>
      </c>
      <c r="E19" s="327">
        <f ca="1">(forwardZeroRate(360,Lin_Interp(E$7,Zero_swap_CL!$J$2:$J$18,Zero_swap_CL!$K$2:$K$18),Lin_Interp(ROUND($B19*365,0),Zero_swap_CL!$J$2:$J$18,Zero_swap_CL!$K$2:$K$18),E$7,$B19*365)-Lin_Interp(ROUND($B19*365,0),Zero_swap_CL!$J$2:$J$18,Zero_swap_CL!$K$2:$K$18))*100</f>
        <v>0.15539706448963742</v>
      </c>
      <c r="F19" s="327">
        <f ca="1">(forwardZeroRate(360,Lin_Interp(F$7,Zero_swap_CL!$J$2:$J$18,Zero_swap_CL!$K$2:$K$18),Lin_Interp(ROUND($B19*365,0),Zero_swap_CL!$J$2:$J$18,Zero_swap_CL!$K$2:$K$18),F$7,$B19*365)-Lin_Interp(ROUND($B19*365,0),Zero_swap_CL!$J$2:$J$18,Zero_swap_CL!$K$2:$K$18))*100</f>
        <v>0.31347692298844265</v>
      </c>
      <c r="G19" s="327">
        <f ca="1">(forwardZeroRate(360,Lin_Interp(G$7,Zero_swap_CL!$J$2:$J$18,Zero_swap_CL!$K$2:$K$18),Lin_Interp(ROUND($B19*365,0),Zero_swap_CL!$J$2:$J$18,Zero_swap_CL!$K$2:$K$18),G$7,$B19*365)-Lin_Interp(ROUND($B19*365,0),Zero_swap_CL!$J$2:$J$18,Zero_swap_CL!$K$2:$K$18))*100</f>
        <v>0.47426447341347711</v>
      </c>
      <c r="H19" s="327">
        <f ca="1">(forwardZeroRate(360,Lin_Interp(H$7,Zero_swap_CL!$J$2:$J$18,Zero_swap_CL!$K$2:$K$18),Lin_Interp(ROUND($B19*365,0),Zero_swap_CL!$J$2:$J$18,Zero_swap_CL!$K$2:$K$18),H$7,$B19*365)-Lin_Interp(ROUND($B19*365,0),Zero_swap_CL!$J$2:$J$18,Zero_swap_CL!$K$2:$K$18))*100</f>
        <v>0.97312692002970991</v>
      </c>
      <c r="I19" s="333">
        <f ca="1">(forwardZeroRate(360,Lin_Interp(I$7,Zero_swap_CL!$J$2:$J$18,Zero_swap_CL!$K$2:$K$18),Lin_Interp(ROUND($B19*365,0),Zero_swap_CL!$J$2:$J$18,Zero_swap_CL!$K$2:$K$18),I$7,$B19*365)-Lin_Interp(ROUND($B19*365,0),Zero_swap_CL!$J$2:$J$18,Zero_swap_CL!$K$2:$K$18))*100</f>
        <v>1.4972851429928546</v>
      </c>
      <c r="J19" s="327">
        <f ca="1">(Lin_Interp(ROUND($B19*365,0),Zero_swap_CL!$J$2:$J$18,Zero_swap_CL!$K$2:$K$18)-Lin_Interp(ROUND($B19*365-J$7,0),Zero_swap_CL!$J$2:$J$18,Zero_swap_CL!$K$2:$K$18))*100</f>
        <v>2.5244149431369323E-2</v>
      </c>
      <c r="K19" s="327">
        <f ca="1">(Lin_Interp(ROUND($B19*365,0),Zero_swap_CL!$J$2:$J$18,Zero_swap_CL!$K$2:$K$18)-Lin_Interp(ROUND($B19*365-K$7,0),Zero_swap_CL!$J$2:$J$18,Zero_swap_CL!$K$2:$K$18))*100</f>
        <v>0.12622074715702425</v>
      </c>
      <c r="L19" s="327">
        <f ca="1">(Lin_Interp(ROUND($B19*365,0),Zero_swap_CL!$J$2:$J$18,Zero_swap_CL!$K$2:$K$18)-Lin_Interp(ROUND($B19*365-L$7,0),Zero_swap_CL!$J$2:$J$18,Zero_swap_CL!$K$2:$K$18))*100</f>
        <v>0.25244149431413732</v>
      </c>
      <c r="M19" s="327">
        <f ca="1">(Lin_Interp(ROUND($B19*365,0),Zero_swap_CL!$J$2:$J$18,Zero_swap_CL!$K$2:$K$18)-Lin_Interp(ROUND($B19*365-M$7,0),Zero_swap_CL!$J$2:$J$18,Zero_swap_CL!$K$2:$K$18))*100</f>
        <v>0.50488298862836345</v>
      </c>
      <c r="N19" s="327">
        <f ca="1">(Lin_Interp(ROUND($B19*365,0),Zero_swap_CL!$J$2:$J$18,Zero_swap_CL!$K$2:$K$18)-Lin_Interp(ROUND($B19*365-N$7,0),Zero_swap_CL!$J$2:$J$18,Zero_swap_CL!$K$2:$K$18))*100</f>
        <v>0.75732448294250077</v>
      </c>
      <c r="O19" s="327">
        <f ca="1">(Lin_Interp(ROUND($B19*365,0),Zero_swap_CL!$J$2:$J$18,Zero_swap_CL!$K$2:$K$18)-Lin_Interp(ROUND($B19*365-O$7,0),Zero_swap_CL!$J$2:$J$18,Zero_swap_CL!$K$2:$K$18))*100</f>
        <v>1.5146489658850903</v>
      </c>
      <c r="P19" s="333">
        <f ca="1">(Lin_Interp(ROUND($B19*365,0),Zero_swap_CL!$J$2:$J$18,Zero_swap_CL!$K$2:$K$18)-Lin_Interp(ROUND($B19*365-P$7,0),Zero_swap_CL!$J$2:$J$18,Zero_swap_CL!$K$2:$K$18))*100</f>
        <v>2.2719734488276799</v>
      </c>
      <c r="Q19" s="327">
        <f t="shared" ca="1" si="1"/>
        <v>4.0663833432130758E-2</v>
      </c>
      <c r="R19" s="327">
        <f t="shared" ca="1" si="0"/>
        <v>0.20358547432826057</v>
      </c>
      <c r="S19" s="327">
        <f t="shared" ca="1" si="0"/>
        <v>0.40783855880377473</v>
      </c>
      <c r="T19" s="327">
        <f t="shared" ca="1" si="0"/>
        <v>0.8183599116168061</v>
      </c>
      <c r="U19" s="327">
        <f t="shared" ca="1" si="0"/>
        <v>1.2315889563559779</v>
      </c>
      <c r="V19" s="327">
        <f t="shared" ca="1" si="0"/>
        <v>2.4877758859148003</v>
      </c>
      <c r="W19" s="333">
        <f t="shared" ca="1" si="0"/>
        <v>3.7692585918205346</v>
      </c>
    </row>
    <row r="20" spans="2:23" ht="13.5" thickBot="1">
      <c r="B20" s="331">
        <v>10</v>
      </c>
      <c r="C20" s="334">
        <f ca="1">(forwardZeroRate(360,Lin_Interp(C$7,Zero_swap_CL!$J$2:$J$18,Zero_swap_CL!$K$2:$K$18),Lin_Interp(ROUND($B20*365,0),Zero_swap_CL!$J$2:$J$18,Zero_swap_CL!$K$2:$K$18),C$7,$B20*365)-Lin_Interp(ROUND($B20*365,0),Zero_swap_CL!$J$2:$J$18,Zero_swap_CL!$K$2:$K$18))*100</f>
        <v>1.6139093123079817E-2</v>
      </c>
      <c r="D20" s="335">
        <f ca="1">(forwardZeroRate(360,Lin_Interp(D$7,Zero_swap_CL!$J$2:$J$18,Zero_swap_CL!$K$2:$K$18),Lin_Interp(ROUND($B20*365,0),Zero_swap_CL!$J$2:$J$18,Zero_swap_CL!$K$2:$K$18),D$7,$B20*365)-Lin_Interp(ROUND($B20*365,0),Zero_swap_CL!$J$2:$J$18,Zero_swap_CL!$K$2:$K$18))*100</f>
        <v>8.0939219667719442E-2</v>
      </c>
      <c r="E20" s="335">
        <f ca="1">(forwardZeroRate(360,Lin_Interp(E$7,Zero_swap_CL!$J$2:$J$18,Zero_swap_CL!$K$2:$K$18),Lin_Interp(ROUND($B20*365,0),Zero_swap_CL!$J$2:$J$18,Zero_swap_CL!$K$2:$K$18),E$7,$B20*365)-Lin_Interp(ROUND($B20*365,0),Zero_swap_CL!$J$2:$J$18,Zero_swap_CL!$K$2:$K$18))*100</f>
        <v>0.16248934291533956</v>
      </c>
      <c r="F20" s="335">
        <f ca="1">(forwardZeroRate(360,Lin_Interp(F$7,Zero_swap_CL!$J$2:$J$18,Zero_swap_CL!$K$2:$K$18),Lin_Interp(ROUND($B20*365,0),Zero_swap_CL!$J$2:$J$18,Zero_swap_CL!$K$2:$K$18),F$7,$B20*365)-Lin_Interp(ROUND($B20*365,0),Zero_swap_CL!$J$2:$J$18,Zero_swap_CL!$K$2:$K$18))*100</f>
        <v>0.32743247661564112</v>
      </c>
      <c r="G20" s="335">
        <f ca="1">(forwardZeroRate(360,Lin_Interp(G$7,Zero_swap_CL!$J$2:$J$18,Zero_swap_CL!$K$2:$K$18),Lin_Interp(ROUND($B20*365,0),Zero_swap_CL!$J$2:$J$18,Zero_swap_CL!$K$2:$K$18),G$7,$B20*365)-Lin_Interp(ROUND($B20*365,0),Zero_swap_CL!$J$2:$J$18,Zero_swap_CL!$K$2:$K$18))*100</f>
        <v>0.49484989566144222</v>
      </c>
      <c r="H20" s="335">
        <f ca="1">(forwardZeroRate(360,Lin_Interp(H$7,Zero_swap_CL!$J$2:$J$18,Zero_swap_CL!$K$2:$K$18),Lin_Interp(ROUND($B20*365,0),Zero_swap_CL!$J$2:$J$18,Zero_swap_CL!$K$2:$K$18),H$7,$B20*365)-Lin_Interp(ROUND($B20*365,0),Zero_swap_CL!$J$2:$J$18,Zero_swap_CL!$K$2:$K$18))*100</f>
        <v>1.0121562628507164</v>
      </c>
      <c r="I20" s="336">
        <f ca="1">(forwardZeroRate(360,Lin_Interp(I$7,Zero_swap_CL!$J$2:$J$18,Zero_swap_CL!$K$2:$K$18),Lin_Interp(ROUND($B20*365,0),Zero_swap_CL!$J$2:$J$18,Zero_swap_CL!$K$2:$K$18),I$7,$B20*365)-Lin_Interp(ROUND($B20*365,0),Zero_swap_CL!$J$2:$J$18,Zero_swap_CL!$K$2:$K$18))*100</f>
        <v>1.552491343580531</v>
      </c>
      <c r="J20" s="335">
        <f ca="1">(Lin_Interp(ROUND($B20*365,0),Zero_swap_CL!$J$2:$J$18,Zero_swap_CL!$K$2:$K$18)-Lin_Interp(ROUND($B20*365-J$7,0),Zero_swap_CL!$J$2:$J$18,Zero_swap_CL!$K$2:$K$18))*100</f>
        <v>2.2431819909130013E-2</v>
      </c>
      <c r="K20" s="335">
        <f ca="1">(Lin_Interp(ROUND($B20*365,0),Zero_swap_CL!$J$2:$J$18,Zero_swap_CL!$K$2:$K$18)-Lin_Interp(ROUND($B20*365-K$7,0),Zero_swap_CL!$J$2:$J$18,Zero_swap_CL!$K$2:$K$18))*100</f>
        <v>0.11215909954547243</v>
      </c>
      <c r="L20" s="335">
        <f ca="1">(Lin_Interp(ROUND($B20*365,0),Zero_swap_CL!$J$2:$J$18,Zero_swap_CL!$K$2:$K$18)-Lin_Interp(ROUND($B20*365-L$7,0),Zero_swap_CL!$J$2:$J$18,Zero_swap_CL!$K$2:$K$18))*100</f>
        <v>0.22431819909094486</v>
      </c>
      <c r="M20" s="335">
        <f ca="1">(Lin_Interp(ROUND($B20*365,0),Zero_swap_CL!$J$2:$J$18,Zero_swap_CL!$K$2:$K$18)-Lin_Interp(ROUND($B20*365-M$7,0),Zero_swap_CL!$J$2:$J$18,Zero_swap_CL!$K$2:$K$18))*100</f>
        <v>0.4486363981818009</v>
      </c>
      <c r="N20" s="335">
        <f ca="1">(Lin_Interp(ROUND($B20*365,0),Zero_swap_CL!$J$2:$J$18,Zero_swap_CL!$K$2:$K$18)-Lin_Interp(ROUND($B20*365-N$7,0),Zero_swap_CL!$J$2:$J$18,Zero_swap_CL!$K$2:$K$18))*100</f>
        <v>0.67295459727274576</v>
      </c>
      <c r="O20" s="335">
        <f ca="1">(Lin_Interp(ROUND($B20*365,0),Zero_swap_CL!$J$2:$J$18,Zero_swap_CL!$K$2:$K$18)-Lin_Interp(ROUND($B20*365-O$7,0),Zero_swap_CL!$J$2:$J$18,Zero_swap_CL!$K$2:$K$18))*100</f>
        <v>1.3459091945454027</v>
      </c>
      <c r="P20" s="336">
        <f ca="1">(Lin_Interp(ROUND($B20*365,0),Zero_swap_CL!$J$2:$J$18,Zero_swap_CL!$K$2:$K$18)-Lin_Interp(ROUND($B20*365-P$7,0),Zero_swap_CL!$J$2:$J$18,Zero_swap_CL!$K$2:$K$18))*100</f>
        <v>2.0188637918181485</v>
      </c>
      <c r="Q20" s="335">
        <f t="shared" ca="1" si="1"/>
        <v>3.857091303220983E-2</v>
      </c>
      <c r="R20" s="335">
        <f t="shared" ca="1" si="0"/>
        <v>0.19309831921319187</v>
      </c>
      <c r="S20" s="335">
        <f t="shared" ca="1" si="0"/>
        <v>0.38680754200628442</v>
      </c>
      <c r="T20" s="335">
        <f t="shared" ca="1" si="0"/>
        <v>0.77606887479744202</v>
      </c>
      <c r="U20" s="335">
        <f t="shared" ca="1" si="0"/>
        <v>1.167804492934188</v>
      </c>
      <c r="V20" s="335">
        <f t="shared" ca="1" si="0"/>
        <v>2.3580654573961191</v>
      </c>
      <c r="W20" s="336">
        <f t="shared" ca="1" si="0"/>
        <v>3.5713551353986794</v>
      </c>
    </row>
    <row r="31" spans="2:23" ht="16.5" thickBot="1">
      <c r="C31" s="589" t="s">
        <v>354</v>
      </c>
      <c r="D31" s="590"/>
      <c r="E31" s="590"/>
      <c r="F31" s="590"/>
      <c r="G31" s="590"/>
      <c r="H31" s="590"/>
      <c r="I31" s="590"/>
      <c r="J31" s="590"/>
      <c r="K31" s="590"/>
      <c r="L31" s="590"/>
      <c r="M31" s="590"/>
      <c r="N31" s="590"/>
      <c r="O31" s="590"/>
      <c r="P31" s="590"/>
      <c r="Q31" s="590"/>
      <c r="R31" s="590"/>
      <c r="S31" s="590"/>
      <c r="T31" s="590"/>
      <c r="U31" s="590"/>
      <c r="V31" s="590"/>
      <c r="W31" s="590"/>
    </row>
    <row r="32" spans="2:23" ht="13.5" thickBot="1">
      <c r="B32" s="188"/>
      <c r="C32" s="570" t="s">
        <v>150</v>
      </c>
      <c r="D32" s="585"/>
      <c r="E32" s="585"/>
      <c r="F32" s="585"/>
      <c r="G32" s="585"/>
      <c r="H32" s="585"/>
      <c r="I32" s="571"/>
      <c r="J32" s="570" t="s">
        <v>316</v>
      </c>
      <c r="K32" s="585"/>
      <c r="L32" s="585"/>
      <c r="M32" s="585"/>
      <c r="N32" s="585"/>
      <c r="O32" s="585"/>
      <c r="P32" s="571"/>
      <c r="Q32" s="570" t="s">
        <v>317</v>
      </c>
      <c r="R32" s="585"/>
      <c r="S32" s="585"/>
      <c r="T32" s="585"/>
      <c r="U32" s="585"/>
      <c r="V32" s="585"/>
      <c r="W32" s="571"/>
    </row>
    <row r="33" spans="2:30" ht="13.5" thickBot="1">
      <c r="B33" s="220" t="s">
        <v>309</v>
      </c>
      <c r="C33" s="352">
        <v>1</v>
      </c>
      <c r="D33" s="352">
        <v>5</v>
      </c>
      <c r="E33" s="352">
        <v>10</v>
      </c>
      <c r="F33" s="352">
        <v>20</v>
      </c>
      <c r="G33" s="352">
        <v>30</v>
      </c>
      <c r="H33" s="352">
        <v>60</v>
      </c>
      <c r="I33" s="352">
        <v>90</v>
      </c>
      <c r="J33" s="352">
        <v>1</v>
      </c>
      <c r="K33" s="352">
        <v>5</v>
      </c>
      <c r="L33" s="352">
        <v>10</v>
      </c>
      <c r="M33" s="352">
        <v>20</v>
      </c>
      <c r="N33" s="352">
        <v>30</v>
      </c>
      <c r="O33" s="352">
        <v>60</v>
      </c>
      <c r="P33" s="352">
        <v>90</v>
      </c>
      <c r="Q33" s="352">
        <v>1</v>
      </c>
      <c r="R33" s="352">
        <v>5</v>
      </c>
      <c r="S33" s="352">
        <v>10</v>
      </c>
      <c r="T33" s="352">
        <v>20</v>
      </c>
      <c r="U33" s="352">
        <v>30</v>
      </c>
      <c r="V33" s="352">
        <v>60</v>
      </c>
      <c r="W33" s="352">
        <v>90</v>
      </c>
      <c r="AD33" s="326"/>
    </row>
    <row r="34" spans="2:30">
      <c r="B34" s="340">
        <v>0.5</v>
      </c>
      <c r="C34" s="327">
        <f t="shared" ref="C34:P34" ca="1" si="2">C8*($B34-C$33/360)</f>
        <v>-3.8036427670496357E-2</v>
      </c>
      <c r="D34" s="327">
        <f t="shared" ca="1" si="2"/>
        <v>-0.18858348542381984</v>
      </c>
      <c r="E34" s="327">
        <f t="shared" ca="1" si="2"/>
        <v>-0.37316524723654482</v>
      </c>
      <c r="F34" s="327">
        <f t="shared" ca="1" si="2"/>
        <v>-0.73028569145993705</v>
      </c>
      <c r="G34" s="327">
        <f t="shared" ca="1" si="2"/>
        <v>-1.0712730927249225</v>
      </c>
      <c r="H34" s="327">
        <f t="shared" ca="1" si="2"/>
        <v>-1.9961227141695423</v>
      </c>
      <c r="I34" s="332">
        <f t="shared" ca="1" si="2"/>
        <v>-2.7686582632707291</v>
      </c>
      <c r="J34" s="327">
        <f t="shared" ca="1" si="2"/>
        <v>-6.5340816525944784E-2</v>
      </c>
      <c r="K34" s="327">
        <f t="shared" ca="1" si="2"/>
        <v>-0.31940343273864324</v>
      </c>
      <c r="L34" s="327">
        <f t="shared" ca="1" si="2"/>
        <v>-0.62055524074936408</v>
      </c>
      <c r="M34" s="327">
        <f t="shared" ca="1" si="2"/>
        <v>-1.1681039825870578</v>
      </c>
      <c r="N34" s="327">
        <f t="shared" ca="1" si="2"/>
        <v>-1.6426462255130596</v>
      </c>
      <c r="O34" s="327">
        <f t="shared" ca="1" si="2"/>
        <v>-2.6282339608208956</v>
      </c>
      <c r="P34" s="332">
        <f t="shared" ca="1" si="2"/>
        <v>-2.8275983204160915</v>
      </c>
      <c r="Q34" s="327">
        <f ca="1">C34+J34</f>
        <v>-0.10337724419644115</v>
      </c>
      <c r="R34" s="327">
        <f t="shared" ref="R34:R46" ca="1" si="3">D34+K34</f>
        <v>-0.50798691816246311</v>
      </c>
      <c r="S34" s="327">
        <f t="shared" ref="S34:S46" ca="1" si="4">E34+L34</f>
        <v>-0.99372048798590895</v>
      </c>
      <c r="T34" s="327">
        <f t="shared" ref="T34:T46" ca="1" si="5">F34+M34</f>
        <v>-1.898389674046995</v>
      </c>
      <c r="U34" s="327">
        <f t="shared" ref="U34:U46" ca="1" si="6">G34+N34</f>
        <v>-2.7139193182379824</v>
      </c>
      <c r="V34" s="327">
        <f t="shared" ref="V34:V46" ca="1" si="7">H34+O34</f>
        <v>-4.6243566749904375</v>
      </c>
      <c r="W34" s="332">
        <f t="shared" ref="W34:W46" ca="1" si="8">I34+P34</f>
        <v>-5.5962565836868201</v>
      </c>
      <c r="AD34" s="326"/>
    </row>
    <row r="35" spans="2:30">
      <c r="B35" s="341">
        <v>0.75</v>
      </c>
      <c r="C35" s="327">
        <f t="shared" ref="C35:P35" ca="1" si="9">C9*($B35-C$33/360)</f>
        <v>-5.1109119518837468E-2</v>
      </c>
      <c r="D35" s="327">
        <f t="shared" ca="1" si="9"/>
        <v>-0.2539537269327769</v>
      </c>
      <c r="E35" s="327">
        <f t="shared" ca="1" si="9"/>
        <v>-0.50392500950982022</v>
      </c>
      <c r="F35" s="327">
        <f t="shared" ca="1" si="9"/>
        <v>-0.99190040956200387</v>
      </c>
      <c r="G35" s="327">
        <f t="shared" ca="1" si="9"/>
        <v>-1.4638824703442133</v>
      </c>
      <c r="H35" s="327">
        <f t="shared" ca="1" si="9"/>
        <v>-2.7833086508115223</v>
      </c>
      <c r="I35" s="333">
        <f t="shared" ca="1" si="9"/>
        <v>-3.9562673299114559</v>
      </c>
      <c r="J35" s="327">
        <f t="shared" ca="1" si="9"/>
        <v>-3.6530608847844537E-2</v>
      </c>
      <c r="K35" s="327">
        <f t="shared" ca="1" si="9"/>
        <v>-0.17993701384171151</v>
      </c>
      <c r="L35" s="327">
        <f t="shared" ca="1" si="9"/>
        <v>-0.35308395168936407</v>
      </c>
      <c r="M35" s="327">
        <f t="shared" ca="1" si="9"/>
        <v>-0.67900759940265398</v>
      </c>
      <c r="N35" s="327">
        <f t="shared" ca="1" si="9"/>
        <v>-0.97777094313983659</v>
      </c>
      <c r="O35" s="327">
        <f t="shared" ca="1" si="9"/>
        <v>-1.7110991504947142</v>
      </c>
      <c r="P35" s="333">
        <f t="shared" ca="1" si="9"/>
        <v>-2.323769348390714</v>
      </c>
      <c r="Q35" s="327">
        <f t="shared" ref="Q35:Q46" ca="1" si="10">C35+J35</f>
        <v>-8.7639728366682004E-2</v>
      </c>
      <c r="R35" s="327">
        <f t="shared" ca="1" si="3"/>
        <v>-0.43389074077448841</v>
      </c>
      <c r="S35" s="327">
        <f t="shared" ca="1" si="4"/>
        <v>-0.85700896119918424</v>
      </c>
      <c r="T35" s="327">
        <f t="shared" ca="1" si="5"/>
        <v>-1.6709080089646577</v>
      </c>
      <c r="U35" s="327">
        <f t="shared" ca="1" si="6"/>
        <v>-2.4416534134840497</v>
      </c>
      <c r="V35" s="327">
        <f t="shared" ca="1" si="7"/>
        <v>-4.4944078013062363</v>
      </c>
      <c r="W35" s="333">
        <f t="shared" ca="1" si="8"/>
        <v>-6.2800366783021699</v>
      </c>
      <c r="AD35" s="326"/>
    </row>
    <row r="36" spans="2:30">
      <c r="B36" s="331">
        <v>1</v>
      </c>
      <c r="C36" s="327">
        <f t="shared" ref="C36:P36" ca="1" si="11">C10*($B36-C$33/360)</f>
        <v>-6.3099682796805931E-2</v>
      </c>
      <c r="D36" s="327">
        <f t="shared" ca="1" si="11"/>
        <v>-0.31391081568752427</v>
      </c>
      <c r="E36" s="327">
        <f t="shared" ca="1" si="11"/>
        <v>-0.62385083795194229</v>
      </c>
      <c r="F36" s="327">
        <f t="shared" ca="1" si="11"/>
        <v>-1.2318058578958155</v>
      </c>
      <c r="G36" s="327">
        <f t="shared" ca="1" si="11"/>
        <v>-1.8238378852430772</v>
      </c>
      <c r="H36" s="327">
        <f t="shared" ca="1" si="11"/>
        <v>-3.5040708462846792</v>
      </c>
      <c r="I36" s="333">
        <f t="shared" ca="1" si="11"/>
        <v>-5.0396277920437544</v>
      </c>
      <c r="J36" s="327">
        <f t="shared" ca="1" si="11"/>
        <v>-4.8016190968476327E-2</v>
      </c>
      <c r="K36" s="327">
        <f t="shared" ca="1" si="11"/>
        <v>-0.23740595813117729</v>
      </c>
      <c r="L36" s="327">
        <f t="shared" ca="1" si="11"/>
        <v>-0.46812442448405472</v>
      </c>
      <c r="M36" s="327">
        <f t="shared" ca="1" si="11"/>
        <v>-0.90949888185477679</v>
      </c>
      <c r="N36" s="327">
        <f t="shared" ca="1" si="11"/>
        <v>-1.3241233721120811</v>
      </c>
      <c r="O36" s="327">
        <f t="shared" ca="1" si="11"/>
        <v>-2.4074970402038209</v>
      </c>
      <c r="P36" s="333">
        <f t="shared" ca="1" si="11"/>
        <v>-3.2523368233339123</v>
      </c>
      <c r="Q36" s="327">
        <f t="shared" ca="1" si="10"/>
        <v>-0.11111587376528226</v>
      </c>
      <c r="R36" s="327">
        <f t="shared" ca="1" si="3"/>
        <v>-0.55131677381870159</v>
      </c>
      <c r="S36" s="327">
        <f t="shared" ca="1" si="4"/>
        <v>-1.0919752624359971</v>
      </c>
      <c r="T36" s="327">
        <f t="shared" ca="1" si="5"/>
        <v>-2.1413047397505922</v>
      </c>
      <c r="U36" s="327">
        <f t="shared" ca="1" si="6"/>
        <v>-3.1479612573551581</v>
      </c>
      <c r="V36" s="327">
        <f t="shared" ca="1" si="7"/>
        <v>-5.9115678864885002</v>
      </c>
      <c r="W36" s="333">
        <f t="shared" ca="1" si="8"/>
        <v>-8.2919646153776672</v>
      </c>
      <c r="AD36" s="326"/>
    </row>
    <row r="37" spans="2:30">
      <c r="B37" s="341">
        <v>1.5</v>
      </c>
      <c r="C37" s="327">
        <f t="shared" ref="C37:P37" ca="1" si="12">C11*($B37-C$33/360)</f>
        <v>-8.167495177715163E-2</v>
      </c>
      <c r="D37" s="327">
        <f t="shared" ca="1" si="12"/>
        <v>-0.40679455289843119</v>
      </c>
      <c r="E37" s="327">
        <f t="shared" ca="1" si="12"/>
        <v>-0.80963769668818131</v>
      </c>
      <c r="F37" s="327">
        <f t="shared" ca="1" si="12"/>
        <v>-1.6034635814452278</v>
      </c>
      <c r="G37" s="327">
        <f t="shared" ca="1" si="12"/>
        <v>-2.3814647070654247</v>
      </c>
      <c r="H37" s="327">
        <f t="shared" ca="1" si="12"/>
        <v>-4.620374133947891</v>
      </c>
      <c r="I37" s="333">
        <f t="shared" ca="1" si="12"/>
        <v>-6.7162839580442446</v>
      </c>
      <c r="J37" s="327">
        <f t="shared" ca="1" si="12"/>
        <v>-5.5053348906519445E-2</v>
      </c>
      <c r="K37" s="327">
        <f t="shared" ca="1" si="12"/>
        <v>-0.27322394865493632</v>
      </c>
      <c r="L37" s="327">
        <f t="shared" ca="1" si="12"/>
        <v>-0.54134090761538789</v>
      </c>
      <c r="M37" s="327">
        <f t="shared" ca="1" si="12"/>
        <v>-1.0622538564528365</v>
      </c>
      <c r="N37" s="327">
        <f t="shared" ca="1" si="12"/>
        <v>-1.562738846512409</v>
      </c>
      <c r="O37" s="327">
        <f t="shared" ca="1" si="12"/>
        <v>-2.9416260640233576</v>
      </c>
      <c r="P37" s="333">
        <f t="shared" ca="1" si="12"/>
        <v>-4.1366616525328475</v>
      </c>
      <c r="Q37" s="327">
        <f t="shared" ca="1" si="10"/>
        <v>-0.13672830068367109</v>
      </c>
      <c r="R37" s="327">
        <f t="shared" ca="1" si="3"/>
        <v>-0.68001850155336752</v>
      </c>
      <c r="S37" s="327">
        <f t="shared" ca="1" si="4"/>
        <v>-1.3509786043035692</v>
      </c>
      <c r="T37" s="327">
        <f t="shared" ca="1" si="5"/>
        <v>-2.6657174378980644</v>
      </c>
      <c r="U37" s="327">
        <f t="shared" ca="1" si="6"/>
        <v>-3.9442035535778337</v>
      </c>
      <c r="V37" s="327">
        <f t="shared" ca="1" si="7"/>
        <v>-7.5620001979712486</v>
      </c>
      <c r="W37" s="333">
        <f t="shared" ca="1" si="8"/>
        <v>-10.852945610577091</v>
      </c>
    </row>
    <row r="38" spans="2:30">
      <c r="B38" s="331">
        <v>2</v>
      </c>
      <c r="C38" s="327">
        <f t="shared" ref="C38:P38" ca="1" si="13">C12*($B38-C$33/360)</f>
        <v>-8.1416215628035388E-2</v>
      </c>
      <c r="D38" s="327">
        <f t="shared" ca="1" si="13"/>
        <v>-0.40551257682028891</v>
      </c>
      <c r="E38" s="327">
        <f t="shared" ca="1" si="13"/>
        <v>-0.80710358620998834</v>
      </c>
      <c r="F38" s="327">
        <f t="shared" ca="1" si="13"/>
        <v>-1.5985187526541667</v>
      </c>
      <c r="G38" s="327">
        <f t="shared" ca="1" si="13"/>
        <v>-2.3742410457125813</v>
      </c>
      <c r="H38" s="327">
        <f t="shared" ca="1" si="13"/>
        <v>-4.6072021616479306</v>
      </c>
      <c r="I38" s="333">
        <f t="shared" ca="1" si="13"/>
        <v>-6.6987400026093376</v>
      </c>
      <c r="J38" s="327">
        <f t="shared" ca="1" si="13"/>
        <v>2.7153826123773842E-3</v>
      </c>
      <c r="K38" s="327">
        <f t="shared" ca="1" si="13"/>
        <v>1.3501380861088061E-2</v>
      </c>
      <c r="L38" s="327">
        <f t="shared" ca="1" si="13"/>
        <v>2.6813931220710026E-2</v>
      </c>
      <c r="M38" s="327">
        <f t="shared" ca="1" si="13"/>
        <v>5.2872540435116515E-2</v>
      </c>
      <c r="N38" s="327">
        <f t="shared" ca="1" si="13"/>
        <v>7.8175827643393411E-2</v>
      </c>
      <c r="O38" s="327">
        <f t="shared" ca="1" si="13"/>
        <v>0.14955375723075814</v>
      </c>
      <c r="P38" s="333">
        <f t="shared" ca="1" si="13"/>
        <v>0.21413378876226075</v>
      </c>
      <c r="Q38" s="327">
        <f t="shared" ca="1" si="10"/>
        <v>-7.8700833015658E-2</v>
      </c>
      <c r="R38" s="327">
        <f t="shared" ca="1" si="3"/>
        <v>-0.39201119595920086</v>
      </c>
      <c r="S38" s="327">
        <f t="shared" ca="1" si="4"/>
        <v>-0.78028965498927827</v>
      </c>
      <c r="T38" s="327">
        <f t="shared" ca="1" si="5"/>
        <v>-1.5456462122190502</v>
      </c>
      <c r="U38" s="327">
        <f t="shared" ca="1" si="6"/>
        <v>-2.2960652180691881</v>
      </c>
      <c r="V38" s="327">
        <f t="shared" ca="1" si="7"/>
        <v>-4.4576484044171725</v>
      </c>
      <c r="W38" s="333">
        <f t="shared" ca="1" si="8"/>
        <v>-6.4846062138470764</v>
      </c>
    </row>
    <row r="39" spans="2:30">
      <c r="B39" s="331">
        <v>3</v>
      </c>
      <c r="C39" s="327">
        <f t="shared" ref="C39:P39" ca="1" si="14">C13*($B39-C$33/360)</f>
        <v>-5.5730431861437731E-2</v>
      </c>
      <c r="D39" s="327">
        <f t="shared" ca="1" si="14"/>
        <v>-0.27710144647352664</v>
      </c>
      <c r="E39" s="327">
        <f t="shared" ca="1" si="14"/>
        <v>-0.55032625525678214</v>
      </c>
      <c r="F39" s="327">
        <f t="shared" ca="1" si="14"/>
        <v>-1.0851469397273119</v>
      </c>
      <c r="G39" s="327">
        <f t="shared" ca="1" si="14"/>
        <v>-1.6044640594254922</v>
      </c>
      <c r="H39" s="327">
        <f t="shared" ca="1" si="14"/>
        <v>-3.0694152529473939</v>
      </c>
      <c r="I39" s="333">
        <f t="shared" ca="1" si="14"/>
        <v>-4.3949143154138115</v>
      </c>
      <c r="J39" s="327">
        <f t="shared" ca="1" si="14"/>
        <v>7.839759213788125E-2</v>
      </c>
      <c r="K39" s="327">
        <f t="shared" ca="1" si="14"/>
        <v>0.39053480791550094</v>
      </c>
      <c r="L39" s="327">
        <f t="shared" ca="1" si="14"/>
        <v>0.77743673389677226</v>
      </c>
      <c r="M39" s="327">
        <f t="shared" ca="1" si="14"/>
        <v>1.5403419400571563</v>
      </c>
      <c r="N39" s="327">
        <f t="shared" ca="1" si="14"/>
        <v>2.2887156184811519</v>
      </c>
      <c r="O39" s="327">
        <f t="shared" ca="1" si="14"/>
        <v>4.4466474873348094</v>
      </c>
      <c r="P39" s="333">
        <f t="shared" ca="1" si="14"/>
        <v>6.473795606560973</v>
      </c>
      <c r="Q39" s="327">
        <f t="shared" ca="1" si="10"/>
        <v>2.266716027644352E-2</v>
      </c>
      <c r="R39" s="327">
        <f t="shared" ca="1" si="3"/>
        <v>0.1134333614419743</v>
      </c>
      <c r="S39" s="327">
        <f t="shared" ca="1" si="4"/>
        <v>0.22711047863999012</v>
      </c>
      <c r="T39" s="327">
        <f t="shared" ca="1" si="5"/>
        <v>0.45519500032984439</v>
      </c>
      <c r="U39" s="327">
        <f t="shared" ca="1" si="6"/>
        <v>0.68425155905565971</v>
      </c>
      <c r="V39" s="327">
        <f t="shared" ca="1" si="7"/>
        <v>1.3772322343874155</v>
      </c>
      <c r="W39" s="333">
        <f t="shared" ca="1" si="8"/>
        <v>2.0788812911471615</v>
      </c>
    </row>
    <row r="40" spans="2:30">
      <c r="B40" s="331">
        <v>4</v>
      </c>
      <c r="C40" s="327">
        <f t="shared" ref="C40:P40" ca="1" si="15">C14*($B40-C$33/360)</f>
        <v>-2.0864161433981558E-2</v>
      </c>
      <c r="D40" s="327">
        <f t="shared" ca="1" si="15"/>
        <v>-0.10277929775046786</v>
      </c>
      <c r="E40" s="327">
        <f t="shared" ca="1" si="15"/>
        <v>-0.20170506118587753</v>
      </c>
      <c r="F40" s="327">
        <f t="shared" ca="1" si="15"/>
        <v>-0.38799760144944007</v>
      </c>
      <c r="G40" s="327">
        <f t="shared" ca="1" si="15"/>
        <v>-0.55888091016830233</v>
      </c>
      <c r="H40" s="327">
        <f t="shared" ca="1" si="15"/>
        <v>-0.97910975240561959</v>
      </c>
      <c r="I40" s="333">
        <f t="shared" ca="1" si="15"/>
        <v>-1.2607832235108085</v>
      </c>
      <c r="J40" s="327">
        <f t="shared" ca="1" si="15"/>
        <v>0.1401441483827553</v>
      </c>
      <c r="K40" s="327">
        <f t="shared" ca="1" si="15"/>
        <v>0.69877294277016622</v>
      </c>
      <c r="L40" s="327">
        <f t="shared" ca="1" si="15"/>
        <v>1.3926763876811306</v>
      </c>
      <c r="M40" s="327">
        <f t="shared" ca="1" si="15"/>
        <v>2.7658747839261615</v>
      </c>
      <c r="N40" s="327">
        <f t="shared" ca="1" si="15"/>
        <v>4.1195951887350919</v>
      </c>
      <c r="O40" s="327">
        <f t="shared" ca="1" si="15"/>
        <v>8.0638884545452871</v>
      </c>
      <c r="P40" s="333">
        <f t="shared" ca="1" si="15"/>
        <v>11.832879797430584</v>
      </c>
      <c r="Q40" s="327">
        <f t="shared" ca="1" si="10"/>
        <v>0.11927998694877373</v>
      </c>
      <c r="R40" s="327">
        <f t="shared" ca="1" si="3"/>
        <v>0.59599364501969831</v>
      </c>
      <c r="S40" s="327">
        <f t="shared" ca="1" si="4"/>
        <v>1.1909713264952531</v>
      </c>
      <c r="T40" s="327">
        <f t="shared" ca="1" si="5"/>
        <v>2.3778771824767215</v>
      </c>
      <c r="U40" s="327">
        <f t="shared" ca="1" si="6"/>
        <v>3.5607142785667896</v>
      </c>
      <c r="V40" s="327">
        <f t="shared" ca="1" si="7"/>
        <v>7.0847787021396673</v>
      </c>
      <c r="W40" s="333">
        <f t="shared" ca="1" si="8"/>
        <v>10.572096573919776</v>
      </c>
    </row>
    <row r="41" spans="2:30">
      <c r="B41" s="331">
        <v>5</v>
      </c>
      <c r="C41" s="327">
        <f t="shared" ref="C41:P41" ca="1" si="16">C15*($B41-C$33/360)</f>
        <v>1.7720792102213282E-2</v>
      </c>
      <c r="D41" s="327">
        <f t="shared" ca="1" si="16"/>
        <v>9.014084673202058E-2</v>
      </c>
      <c r="E41" s="327">
        <f t="shared" ca="1" si="16"/>
        <v>0.18412366963808227</v>
      </c>
      <c r="F41" s="327">
        <f t="shared" ca="1" si="16"/>
        <v>0.38361363153150607</v>
      </c>
      <c r="G41" s="327">
        <f t="shared" ca="1" si="16"/>
        <v>0.59846661569125104</v>
      </c>
      <c r="H41" s="327">
        <f t="shared" ca="1" si="16"/>
        <v>1.3351698869981701</v>
      </c>
      <c r="I41" s="333">
        <f t="shared" ca="1" si="16"/>
        <v>2.2100153419448487</v>
      </c>
      <c r="J41" s="327">
        <f t="shared" ca="1" si="16"/>
        <v>0.19317463926151188</v>
      </c>
      <c r="K41" s="327">
        <f t="shared" ca="1" si="16"/>
        <v>0.96372561832844128</v>
      </c>
      <c r="L41" s="327">
        <f t="shared" ca="1" si="16"/>
        <v>1.9220822917079778</v>
      </c>
      <c r="M41" s="327">
        <f t="shared" ca="1" si="16"/>
        <v>3.8226888036203359</v>
      </c>
      <c r="N41" s="327">
        <f t="shared" ca="1" si="16"/>
        <v>5.7018195357370738</v>
      </c>
      <c r="O41" s="327">
        <f t="shared" ca="1" si="16"/>
        <v>11.210357053313569</v>
      </c>
      <c r="P41" s="333">
        <f t="shared" ca="1" si="16"/>
        <v>16.525612552729484</v>
      </c>
      <c r="Q41" s="327">
        <f t="shared" ca="1" si="10"/>
        <v>0.21089543136372516</v>
      </c>
      <c r="R41" s="327">
        <f t="shared" ca="1" si="3"/>
        <v>1.0538664650604619</v>
      </c>
      <c r="S41" s="327">
        <f t="shared" ca="1" si="4"/>
        <v>2.1062059613460602</v>
      </c>
      <c r="T41" s="327">
        <f t="shared" ca="1" si="5"/>
        <v>4.2063024351518417</v>
      </c>
      <c r="U41" s="327">
        <f t="shared" ca="1" si="6"/>
        <v>6.3002861514283248</v>
      </c>
      <c r="V41" s="327">
        <f t="shared" ca="1" si="7"/>
        <v>12.545526940311738</v>
      </c>
      <c r="W41" s="333">
        <f t="shared" ca="1" si="8"/>
        <v>18.735627894674334</v>
      </c>
    </row>
    <row r="42" spans="2:30">
      <c r="B42" s="331">
        <v>6</v>
      </c>
      <c r="C42" s="327">
        <f t="shared" ref="C42:P42" ca="1" si="17">C16*($B42-C$33/360)</f>
        <v>4.1888452041672408E-2</v>
      </c>
      <c r="D42" s="327">
        <f t="shared" ca="1" si="17"/>
        <v>0.21097806831580418</v>
      </c>
      <c r="E42" s="327">
        <f t="shared" ca="1" si="17"/>
        <v>0.42579545416991815</v>
      </c>
      <c r="F42" s="327">
        <f t="shared" ca="1" si="17"/>
        <v>0.86694681527607931</v>
      </c>
      <c r="G42" s="327">
        <f t="shared" ca="1" si="17"/>
        <v>1.3234513252213624</v>
      </c>
      <c r="H42" s="327">
        <f t="shared" ca="1" si="17"/>
        <v>2.7850553870580512</v>
      </c>
      <c r="I42" s="333">
        <f t="shared" ca="1" si="17"/>
        <v>4.3847334112305241</v>
      </c>
      <c r="J42" s="327">
        <f t="shared" ca="1" si="17"/>
        <v>0.14308566260864924</v>
      </c>
      <c r="K42" s="327">
        <f t="shared" ca="1" si="17"/>
        <v>0.71410283214883907</v>
      </c>
      <c r="L42" s="327">
        <f t="shared" ca="1" si="17"/>
        <v>1.4248919620603286</v>
      </c>
      <c r="M42" s="327">
        <f t="shared" ca="1" si="17"/>
        <v>2.8365291151715231</v>
      </c>
      <c r="N42" s="327">
        <f t="shared" ca="1" si="17"/>
        <v>4.2349114593330537</v>
      </c>
      <c r="O42" s="327">
        <f t="shared" ca="1" si="17"/>
        <v>8.3505296381215128</v>
      </c>
      <c r="P42" s="333">
        <f t="shared" ca="1" si="17"/>
        <v>12.346854536365381</v>
      </c>
      <c r="Q42" s="327">
        <f t="shared" ca="1" si="10"/>
        <v>0.18497411465032165</v>
      </c>
      <c r="R42" s="327">
        <f t="shared" ca="1" si="3"/>
        <v>0.9250809004646432</v>
      </c>
      <c r="S42" s="327">
        <f t="shared" ca="1" si="4"/>
        <v>1.8506874162302469</v>
      </c>
      <c r="T42" s="327">
        <f t="shared" ca="1" si="5"/>
        <v>3.7034759304476026</v>
      </c>
      <c r="U42" s="327">
        <f t="shared" ca="1" si="6"/>
        <v>5.5583627845544159</v>
      </c>
      <c r="V42" s="327">
        <f t="shared" ca="1" si="7"/>
        <v>11.135585025179564</v>
      </c>
      <c r="W42" s="333">
        <f t="shared" ca="1" si="8"/>
        <v>16.731587947595905</v>
      </c>
    </row>
    <row r="43" spans="2:30">
      <c r="B43" s="331">
        <v>7</v>
      </c>
      <c r="C43" s="327">
        <f t="shared" ref="C43:P43" ca="1" si="18">C17*($B43-C$33/360)</f>
        <v>8.1839860752674659E-2</v>
      </c>
      <c r="D43" s="327">
        <f t="shared" ca="1" si="18"/>
        <v>0.41073433392707387</v>
      </c>
      <c r="E43" s="327">
        <f t="shared" ca="1" si="18"/>
        <v>0.82530606936440043</v>
      </c>
      <c r="F43" s="327">
        <f t="shared" ca="1" si="18"/>
        <v>1.665960575989198</v>
      </c>
      <c r="G43" s="327">
        <f t="shared" ca="1" si="18"/>
        <v>2.5219611591889235</v>
      </c>
      <c r="H43" s="327">
        <f t="shared" ca="1" si="18"/>
        <v>5.1820151905222822</v>
      </c>
      <c r="I43" s="333">
        <f t="shared" ca="1" si="18"/>
        <v>7.9800952145631543</v>
      </c>
      <c r="J43" s="327">
        <f t="shared" ca="1" si="18"/>
        <v>0.28113304377832077</v>
      </c>
      <c r="K43" s="327">
        <f t="shared" ca="1" si="18"/>
        <v>1.4034331185043207</v>
      </c>
      <c r="L43" s="327">
        <f t="shared" ca="1" si="18"/>
        <v>2.8012859860407433</v>
      </c>
      <c r="M43" s="327">
        <f t="shared" ca="1" si="18"/>
        <v>5.5802509682086523</v>
      </c>
      <c r="N43" s="327">
        <f t="shared" ca="1" si="18"/>
        <v>8.3368949465037261</v>
      </c>
      <c r="O43" s="327">
        <f t="shared" ca="1" si="18"/>
        <v>16.472900858152244</v>
      </c>
      <c r="P43" s="333">
        <f t="shared" ca="1" si="18"/>
        <v>24.408017734944941</v>
      </c>
      <c r="Q43" s="327">
        <f t="shared" ca="1" si="10"/>
        <v>0.3629729045309954</v>
      </c>
      <c r="R43" s="327">
        <f t="shared" ca="1" si="3"/>
        <v>1.8141674524313947</v>
      </c>
      <c r="S43" s="327">
        <f t="shared" ca="1" si="4"/>
        <v>3.6265920554051436</v>
      </c>
      <c r="T43" s="327">
        <f t="shared" ca="1" si="5"/>
        <v>7.2462115441978501</v>
      </c>
      <c r="U43" s="327">
        <f t="shared" ca="1" si="6"/>
        <v>10.858856105692649</v>
      </c>
      <c r="V43" s="327">
        <f t="shared" ca="1" si="7"/>
        <v>21.654916048674526</v>
      </c>
      <c r="W43" s="333">
        <f t="shared" ca="1" si="8"/>
        <v>32.388112949508098</v>
      </c>
    </row>
    <row r="44" spans="2:30">
      <c r="B44" s="331">
        <v>8</v>
      </c>
      <c r="C44" s="327">
        <f t="shared" ref="C44:P44" ca="1" si="19">C18*($B44-C$33/360)</f>
        <v>0.11324905471117246</v>
      </c>
      <c r="D44" s="327">
        <f t="shared" ca="1" si="19"/>
        <v>0.56778075291278995</v>
      </c>
      <c r="E44" s="327">
        <f t="shared" ca="1" si="19"/>
        <v>1.1394000612568456</v>
      </c>
      <c r="F44" s="327">
        <f t="shared" ca="1" si="19"/>
        <v>2.2941533850364806</v>
      </c>
      <c r="G44" s="327">
        <f t="shared" ca="1" si="19"/>
        <v>3.4642580362321636</v>
      </c>
      <c r="H44" s="327">
        <f t="shared" ca="1" si="19"/>
        <v>7.0666601942915106</v>
      </c>
      <c r="I44" s="333">
        <f t="shared" ca="1" si="19"/>
        <v>10.807151982038132</v>
      </c>
      <c r="J44" s="327">
        <f t="shared" ca="1" si="19"/>
        <v>0.2489412742739045</v>
      </c>
      <c r="K44" s="327">
        <f t="shared" ca="1" si="19"/>
        <v>1.2429770120477024</v>
      </c>
      <c r="L44" s="327">
        <f t="shared" ca="1" si="19"/>
        <v>2.4816306257922762</v>
      </c>
      <c r="M44" s="327">
        <f t="shared" ca="1" si="19"/>
        <v>4.9459676583734566</v>
      </c>
      <c r="N44" s="327">
        <f t="shared" ca="1" si="19"/>
        <v>7.3930110977438925</v>
      </c>
      <c r="O44" s="327">
        <f t="shared" ca="1" si="19"/>
        <v>14.630379856587565</v>
      </c>
      <c r="P44" s="333">
        <f t="shared" ca="1" si="19"/>
        <v>21.712106276531372</v>
      </c>
      <c r="Q44" s="327">
        <f t="shared" ca="1" si="10"/>
        <v>0.36219032898507697</v>
      </c>
      <c r="R44" s="327">
        <f t="shared" ca="1" si="3"/>
        <v>1.8107577649604925</v>
      </c>
      <c r="S44" s="327">
        <f t="shared" ca="1" si="4"/>
        <v>3.6210306870491218</v>
      </c>
      <c r="T44" s="327">
        <f t="shared" ca="1" si="5"/>
        <v>7.2401210434099372</v>
      </c>
      <c r="U44" s="327">
        <f t="shared" ca="1" si="6"/>
        <v>10.857269133976056</v>
      </c>
      <c r="V44" s="327">
        <f t="shared" ca="1" si="7"/>
        <v>21.697040050879075</v>
      </c>
      <c r="W44" s="333">
        <f t="shared" ca="1" si="8"/>
        <v>32.519258258569508</v>
      </c>
    </row>
    <row r="45" spans="2:30">
      <c r="B45" s="331">
        <v>9</v>
      </c>
      <c r="C45" s="327">
        <f t="shared" ref="C45:P45" ca="1" si="20">C19*($B45-C$33/360)</f>
        <v>0.13873432355129525</v>
      </c>
      <c r="D45" s="327">
        <f t="shared" ca="1" si="20"/>
        <v>0.69520803444152635</v>
      </c>
      <c r="E45" s="327">
        <f t="shared" ca="1" si="20"/>
        <v>1.3942569952820245</v>
      </c>
      <c r="F45" s="327">
        <f t="shared" ca="1" si="20"/>
        <v>2.8038769222855149</v>
      </c>
      <c r="G45" s="327">
        <f t="shared" ca="1" si="20"/>
        <v>4.2288582212701709</v>
      </c>
      <c r="H45" s="327">
        <f t="shared" ca="1" si="20"/>
        <v>8.5959544602624387</v>
      </c>
      <c r="I45" s="333">
        <f t="shared" ca="1" si="20"/>
        <v>13.101245001187479</v>
      </c>
      <c r="J45" s="327">
        <f t="shared" ca="1" si="20"/>
        <v>0.22712722224501453</v>
      </c>
      <c r="K45" s="327">
        <f t="shared" ca="1" si="20"/>
        <v>1.1342336584804817</v>
      </c>
      <c r="L45" s="327">
        <f t="shared" ca="1" si="20"/>
        <v>2.2649611850962872</v>
      </c>
      <c r="M45" s="327">
        <f t="shared" ca="1" si="20"/>
        <v>4.5158978427314729</v>
      </c>
      <c r="N45" s="327">
        <f t="shared" ca="1" si="20"/>
        <v>6.7528099729039646</v>
      </c>
      <c r="O45" s="327">
        <f t="shared" ca="1" si="20"/>
        <v>13.379399198651633</v>
      </c>
      <c r="P45" s="333">
        <f t="shared" ca="1" si="20"/>
        <v>19.879767677242199</v>
      </c>
      <c r="Q45" s="327">
        <f t="shared" ca="1" si="10"/>
        <v>0.36586154579630981</v>
      </c>
      <c r="R45" s="327">
        <f t="shared" ca="1" si="3"/>
        <v>1.8294416929220081</v>
      </c>
      <c r="S45" s="327">
        <f t="shared" ca="1" si="4"/>
        <v>3.6592181803783115</v>
      </c>
      <c r="T45" s="327">
        <f t="shared" ca="1" si="5"/>
        <v>7.3197747650169873</v>
      </c>
      <c r="U45" s="327">
        <f t="shared" ca="1" si="6"/>
        <v>10.981668194174135</v>
      </c>
      <c r="V45" s="327">
        <f t="shared" ca="1" si="7"/>
        <v>21.975353658914074</v>
      </c>
      <c r="W45" s="333">
        <f t="shared" ca="1" si="8"/>
        <v>32.981012678429678</v>
      </c>
    </row>
    <row r="46" spans="2:30" ht="13.5" thickBot="1">
      <c r="B46" s="331">
        <v>10</v>
      </c>
      <c r="C46" s="334">
        <f t="shared" ref="C46:P46" ca="1" si="21">C20*($B46-C$33/360)</f>
        <v>0.16134610041656738</v>
      </c>
      <c r="D46" s="335">
        <f t="shared" ca="1" si="21"/>
        <v>0.80826804084847603</v>
      </c>
      <c r="E46" s="335">
        <f t="shared" ca="1" si="21"/>
        <v>1.620379836294636</v>
      </c>
      <c r="F46" s="335">
        <f t="shared" ca="1" si="21"/>
        <v>3.2561340730110979</v>
      </c>
      <c r="G46" s="335">
        <f t="shared" ca="1" si="21"/>
        <v>4.9072614653093014</v>
      </c>
      <c r="H46" s="335">
        <f t="shared" ca="1" si="21"/>
        <v>9.9528699180320448</v>
      </c>
      <c r="I46" s="336">
        <f t="shared" ca="1" si="21"/>
        <v>15.136790599910178</v>
      </c>
      <c r="J46" s="335">
        <f t="shared" ca="1" si="21"/>
        <v>0.22425588848044142</v>
      </c>
      <c r="K46" s="335">
        <f t="shared" ca="1" si="21"/>
        <v>1.1200332301832594</v>
      </c>
      <c r="L46" s="335">
        <f t="shared" ca="1" si="21"/>
        <v>2.236950929823589</v>
      </c>
      <c r="M46" s="335">
        <f t="shared" ca="1" si="21"/>
        <v>4.461439737474576</v>
      </c>
      <c r="N46" s="335">
        <f t="shared" ca="1" si="21"/>
        <v>6.6734664229547285</v>
      </c>
      <c r="O46" s="335">
        <f t="shared" ca="1" si="21"/>
        <v>13.234773746363127</v>
      </c>
      <c r="P46" s="336">
        <f t="shared" ca="1" si="21"/>
        <v>19.683921970226947</v>
      </c>
      <c r="Q46" s="335">
        <f t="shared" ca="1" si="10"/>
        <v>0.38560198889700881</v>
      </c>
      <c r="R46" s="335">
        <f t="shared" ca="1" si="3"/>
        <v>1.9283012710317355</v>
      </c>
      <c r="S46" s="335">
        <f t="shared" ca="1" si="4"/>
        <v>3.857330766118225</v>
      </c>
      <c r="T46" s="335">
        <f t="shared" ca="1" si="5"/>
        <v>7.7175738104856739</v>
      </c>
      <c r="U46" s="335">
        <f t="shared" ca="1" si="6"/>
        <v>11.580727888264029</v>
      </c>
      <c r="V46" s="335">
        <f t="shared" ca="1" si="7"/>
        <v>23.187643664395171</v>
      </c>
      <c r="W46" s="336">
        <f t="shared" ca="1" si="8"/>
        <v>34.820712570137125</v>
      </c>
    </row>
    <row r="57" spans="2:23" ht="16.5" thickBot="1">
      <c r="C57" s="589" t="s">
        <v>355</v>
      </c>
      <c r="D57" s="590"/>
      <c r="E57" s="590"/>
      <c r="F57" s="590"/>
      <c r="G57" s="590"/>
      <c r="H57" s="590"/>
      <c r="I57" s="590"/>
      <c r="J57" s="590"/>
      <c r="K57" s="590"/>
      <c r="L57" s="590"/>
      <c r="M57" s="590"/>
      <c r="N57" s="590"/>
      <c r="O57" s="590"/>
      <c r="P57" s="590"/>
      <c r="Q57" s="590"/>
      <c r="R57" s="590"/>
      <c r="S57" s="590"/>
      <c r="T57" s="590"/>
      <c r="U57" s="590"/>
      <c r="V57" s="590"/>
      <c r="W57" s="590"/>
    </row>
    <row r="58" spans="2:23" ht="13.5" thickBot="1">
      <c r="B58" s="188"/>
      <c r="C58" s="570" t="s">
        <v>150</v>
      </c>
      <c r="D58" s="585"/>
      <c r="E58" s="585"/>
      <c r="F58" s="585"/>
      <c r="G58" s="585"/>
      <c r="H58" s="585"/>
      <c r="I58" s="571"/>
      <c r="J58" s="570" t="s">
        <v>316</v>
      </c>
      <c r="K58" s="585"/>
      <c r="L58" s="585"/>
      <c r="M58" s="585"/>
      <c r="N58" s="585"/>
      <c r="O58" s="585"/>
      <c r="P58" s="571"/>
      <c r="Q58" s="586" t="s">
        <v>317</v>
      </c>
      <c r="R58" s="587"/>
      <c r="S58" s="587"/>
      <c r="T58" s="587"/>
      <c r="U58" s="587"/>
      <c r="V58" s="587"/>
      <c r="W58" s="588"/>
    </row>
    <row r="59" spans="2:23" ht="13.5" thickBot="1">
      <c r="B59" s="220" t="s">
        <v>309</v>
      </c>
      <c r="C59" s="352">
        <v>1</v>
      </c>
      <c r="D59" s="352">
        <v>5</v>
      </c>
      <c r="E59" s="352">
        <v>10</v>
      </c>
      <c r="F59" s="352">
        <v>20</v>
      </c>
      <c r="G59" s="352">
        <v>30</v>
      </c>
      <c r="H59" s="352">
        <v>60</v>
      </c>
      <c r="I59" s="352">
        <v>90</v>
      </c>
      <c r="J59" s="352">
        <v>1</v>
      </c>
      <c r="K59" s="352">
        <v>5</v>
      </c>
      <c r="L59" s="352">
        <v>10</v>
      </c>
      <c r="M59" s="352">
        <v>20</v>
      </c>
      <c r="N59" s="352">
        <v>30</v>
      </c>
      <c r="O59" s="352">
        <v>60</v>
      </c>
      <c r="P59" s="352">
        <v>90</v>
      </c>
      <c r="Q59" s="352">
        <v>1</v>
      </c>
      <c r="R59" s="352">
        <v>5</v>
      </c>
      <c r="S59" s="352">
        <v>10</v>
      </c>
      <c r="T59" s="352">
        <v>20</v>
      </c>
      <c r="U59" s="352">
        <v>30</v>
      </c>
      <c r="V59" s="352">
        <v>60</v>
      </c>
      <c r="W59" s="352">
        <v>90</v>
      </c>
    </row>
    <row r="60" spans="2:23">
      <c r="B60" s="340">
        <v>0.5</v>
      </c>
      <c r="C60" s="327">
        <f ca="1">(forwardZeroRate(365,Lin_Interp(C$59,Zero_swap_CL!$O$23:$O$94,Zero_swap_CL!$S$23:$S$94),Lin_Interp(ROUND($B60*365,0),Zero_swap_CL!$O$23:$O$94,Zero_swap_CL!$S$23:$S$94),C$59,$B60*365)-Lin_Interp(ROUND($B60*365,0),Zero_swap_CL!$O$23:$O$94,Zero_swap_CL!$S$23:$S$94))*100</f>
        <v>3.159935677232717E-2</v>
      </c>
      <c r="D60" s="327">
        <f ca="1">(forwardZeroRate(365,Lin_Interp(D$59,Zero_swap_CL!$O$23:$O$94,Zero_swap_CL!$S$23:$S$94),Lin_Interp(ROUND($B60*365,0),Zero_swap_CL!$O$23:$O$94,Zero_swap_CL!$S$23:$S$94),D$59,$B60*365)-Lin_Interp(ROUND($B60*365,0),Zero_swap_CL!$O$23:$O$94,Zero_swap_CL!$S$23:$S$94))*100</f>
        <v>0.16465147515076772</v>
      </c>
      <c r="E60" s="327">
        <f ca="1">(forwardZeroRate(365,Lin_Interp(E$59,Zero_swap_CL!$O$23:$O$94,Zero_swap_CL!$S$23:$S$94),Lin_Interp(ROUND($B60*365,0),Zero_swap_CL!$O$23:$O$94,Zero_swap_CL!$S$23:$S$94),E$59,$B60*365)-Lin_Interp(ROUND($B60*365,0),Zero_swap_CL!$O$23:$O$94,Zero_swap_CL!$S$23:$S$94))*100</f>
        <v>0.34680816770271683</v>
      </c>
      <c r="F60" s="327">
        <f ca="1">(forwardZeroRate(365,Lin_Interp(F$59,Zero_swap_CL!$O$23:$O$94,Zero_swap_CL!$S$23:$S$94),Lin_Interp(ROUND($B60*365,0),Zero_swap_CL!$O$23:$O$94,Zero_swap_CL!$S$23:$S$94),F$59,$B60*365)-Lin_Interp(ROUND($B60*365,0),Zero_swap_CL!$O$23:$O$94,Zero_swap_CL!$S$23:$S$94))*100</f>
        <v>8.9947424160852218</v>
      </c>
      <c r="G60" s="327">
        <f ca="1">(forwardZeroRate(365,Lin_Interp(G$59,Zero_swap_CL!$O$23:$O$94,Zero_swap_CL!$S$23:$S$94),Lin_Interp(ROUND($B60*365,0),Zero_swap_CL!$O$23:$O$94,Zero_swap_CL!$S$23:$S$94),G$59,$B60*365)-Lin_Interp(ROUND($B60*365,0),Zero_swap_CL!$O$23:$O$94,Zero_swap_CL!$S$23:$S$94))*100</f>
        <v>22.583655413507266</v>
      </c>
      <c r="H60" s="327">
        <f ca="1">(forwardZeroRate(365,Lin_Interp(H$59,Zero_swap_CL!$O$23:$O$94,Zero_swap_CL!$S$23:$S$94),Lin_Interp(ROUND($B60*365,0),Zero_swap_CL!$O$23:$O$94,Zero_swap_CL!$S$23:$S$94),H$59,$B60*365)-Lin_Interp(ROUND($B60*365,0),Zero_swap_CL!$O$23:$O$94,Zero_swap_CL!$S$23:$S$94))*100</f>
        <v>23.948927990588011</v>
      </c>
      <c r="I60" s="332">
        <f ca="1">(forwardZeroRate(365,Lin_Interp(I$59,Zero_swap_CL!$O$23:$O$94,Zero_swap_CL!$S$23:$S$94),Lin_Interp(ROUND($B60*365,0),Zero_swap_CL!$O$23:$O$94,Zero_swap_CL!$S$23:$S$94),I$59,$B60*365)-Lin_Interp(ROUND($B60*365,0),Zero_swap_CL!$O$23:$O$94,Zero_swap_CL!$S$23:$S$94))*100</f>
        <v>-25.303092564207262</v>
      </c>
      <c r="J60" s="327">
        <f ca="1">(Lin_Interp(ROUND($B60*365,0),Zero_swap_CL!$O$23:$O$94,Zero_swap_CL!$S$23:$S$94)-Lin_Interp(ROUND($B60*365-J$59,0),Zero_swap_CL!$O$23:$O$94,Zero_swap_CL!$S$23:$S$94))*100</f>
        <v>-1.9588608780674033</v>
      </c>
      <c r="K60" s="327">
        <f ca="1">(Lin_Interp(ROUND($B60*365,0),Zero_swap_CL!$O$23:$O$94,Zero_swap_CL!$S$23:$S$94)-Lin_Interp(ROUND($B60*365-K$59,0),Zero_swap_CL!$O$23:$O$94,Zero_swap_CL!$S$23:$S$94))*100</f>
        <v>-10.288136358006961</v>
      </c>
      <c r="L60" s="327">
        <f ca="1">(Lin_Interp(ROUND($B60*365,0),Zero_swap_CL!$O$23:$O$94,Zero_swap_CL!$S$23:$S$94)-Lin_Interp(ROUND($B60*365-L$59,0),Zero_swap_CL!$O$23:$O$94,Zero_swap_CL!$S$23:$S$94))*100</f>
        <v>-21.31702066751884</v>
      </c>
      <c r="M60" s="327">
        <f ca="1">(Lin_Interp(ROUND($B60*365,0),Zero_swap_CL!$O$23:$O$94,Zero_swap_CL!$S$23:$S$94)-Lin_Interp(ROUND($B60*365-M$59,0),Zero_swap_CL!$O$23:$O$94,Zero_swap_CL!$S$23:$S$94))*100</f>
        <v>-41.789442737190541</v>
      </c>
      <c r="N60" s="327">
        <f ca="1">(Lin_Interp(ROUND($B60*365,0),Zero_swap_CL!$O$23:$O$94,Zero_swap_CL!$S$23:$S$94)-Lin_Interp(ROUND($B60*365-N$59,0),Zero_swap_CL!$O$23:$O$94,Zero_swap_CL!$S$23:$S$94))*100</f>
        <v>-48.640644829693883</v>
      </c>
      <c r="O60" s="327">
        <f ca="1">(Lin_Interp(ROUND($B60*365,0),Zero_swap_CL!$O$23:$O$94,Zero_swap_CL!$S$23:$S$94)-Lin_Interp(ROUND($B60*365-O$59,0),Zero_swap_CL!$O$23:$O$94,Zero_swap_CL!$S$23:$S$94))*100</f>
        <v>-49.811409975418776</v>
      </c>
      <c r="P60" s="332">
        <f ca="1">(Lin_Interp(ROUND($B60*365,0),Zero_swap_CL!$O$23:$O$94,Zero_swap_CL!$S$23:$S$94)-Lin_Interp(ROUND($B60*365-P$59,0),Zero_swap_CL!$O$23:$O$94,Zero_swap_CL!$S$23:$S$94))*100</f>
        <v>-30.36054443007319</v>
      </c>
      <c r="Q60" s="327">
        <f ca="1">C60+J60</f>
        <v>-1.9272615212950761</v>
      </c>
      <c r="R60" s="327">
        <f t="shared" ref="R60:W72" ca="1" si="22">D60+K60</f>
        <v>-10.123484882856193</v>
      </c>
      <c r="S60" s="327">
        <f t="shared" ca="1" si="22"/>
        <v>-20.970212499816121</v>
      </c>
      <c r="T60" s="327">
        <f t="shared" ca="1" si="22"/>
        <v>-32.794700321105317</v>
      </c>
      <c r="U60" s="327">
        <f t="shared" ca="1" si="22"/>
        <v>-26.056989416186617</v>
      </c>
      <c r="V60" s="327">
        <f t="shared" ca="1" si="22"/>
        <v>-25.862481984830765</v>
      </c>
      <c r="W60" s="332">
        <f t="shared" ca="1" si="22"/>
        <v>-55.663636994280452</v>
      </c>
    </row>
    <row r="61" spans="2:23">
      <c r="B61" s="341">
        <v>0.75</v>
      </c>
      <c r="C61" s="327">
        <f ca="1">(forwardZeroRate(365,Lin_Interp(C$59,Zero_swap_CL!$O$23:$O$94,Zero_swap_CL!$S$23:$S$94),Lin_Interp(ROUND($B61*365,0),Zero_swap_CL!$O$23:$O$94,Zero_swap_CL!$S$23:$S$94),C$59,$B61*365)-Lin_Interp(ROUND($B61*365,0),Zero_swap_CL!$O$23:$O$94,Zero_swap_CL!$S$23:$S$94))*100</f>
        <v>-0.11749449782261223</v>
      </c>
      <c r="D61" s="327">
        <f ca="1">(forwardZeroRate(365,Lin_Interp(D$59,Zero_swap_CL!$O$23:$O$94,Zero_swap_CL!$S$23:$S$94),Lin_Interp(ROUND($B61*365,0),Zero_swap_CL!$O$23:$O$94,Zero_swap_CL!$S$23:$S$94),D$59,$B61*365)-Lin_Interp(ROUND($B61*365,0),Zero_swap_CL!$O$23:$O$94,Zero_swap_CL!$S$23:$S$94))*100</f>
        <v>-0.59416697726399903</v>
      </c>
      <c r="E61" s="327">
        <f ca="1">(forwardZeroRate(365,Lin_Interp(E$59,Zero_swap_CL!$O$23:$O$94,Zero_swap_CL!$S$23:$S$94),Lin_Interp(ROUND($B61*365,0),Zero_swap_CL!$O$23:$O$94,Zero_swap_CL!$S$23:$S$94),E$59,$B61*365)-Lin_Interp(ROUND($B61*365,0),Zero_swap_CL!$O$23:$O$94,Zero_swap_CL!$S$23:$S$94))*100</f>
        <v>-1.2056405460540986</v>
      </c>
      <c r="F61" s="327">
        <f ca="1">(forwardZeroRate(365,Lin_Interp(F$59,Zero_swap_CL!$O$23:$O$94,Zero_swap_CL!$S$23:$S$94),Lin_Interp(ROUND($B61*365,0),Zero_swap_CL!$O$23:$O$94,Zero_swap_CL!$S$23:$S$94),F$59,$B61*365)-Lin_Interp(ROUND($B61*365,0),Zero_swap_CL!$O$23:$O$94,Zero_swap_CL!$S$23:$S$94))*100</f>
        <v>2.7602766940133527</v>
      </c>
      <c r="G61" s="327">
        <f ca="1">(forwardZeroRate(365,Lin_Interp(G$59,Zero_swap_CL!$O$23:$O$94,Zero_swap_CL!$S$23:$S$94),Lin_Interp(ROUND($B61*365,0),Zero_swap_CL!$O$23:$O$94,Zero_swap_CL!$S$23:$S$94),G$59,$B61*365)-Lin_Interp(ROUND($B61*365,0),Zero_swap_CL!$O$23:$O$94,Zero_swap_CL!$S$23:$S$94))*100</f>
        <v>9.4177172897986772</v>
      </c>
      <c r="H61" s="327">
        <f ca="1">(forwardZeroRate(365,Lin_Interp(H$59,Zero_swap_CL!$O$23:$O$94,Zero_swap_CL!$S$23:$S$94),Lin_Interp(ROUND($B61*365,0),Zero_swap_CL!$O$23:$O$94,Zero_swap_CL!$S$23:$S$94),H$59,$B61*365)-Lin_Interp(ROUND($B61*365,0),Zero_swap_CL!$O$23:$O$94,Zero_swap_CL!$S$23:$S$94))*100</f>
        <v>3.0586649863235671</v>
      </c>
      <c r="I61" s="333">
        <f ca="1">(forwardZeroRate(365,Lin_Interp(I$59,Zero_swap_CL!$O$23:$O$94,Zero_swap_CL!$S$23:$S$94),Lin_Interp(ROUND($B61*365,0),Zero_swap_CL!$O$23:$O$94,Zero_swap_CL!$S$23:$S$94),I$59,$B61*365)-Lin_Interp(ROUND($B61*365,0),Zero_swap_CL!$O$23:$O$94,Zero_swap_CL!$S$23:$S$94))*100</f>
        <v>-31.152705863116026</v>
      </c>
      <c r="J61" s="327">
        <f ca="1">(Lin_Interp(ROUND($B61*365,0),Zero_swap_CL!$O$23:$O$94,Zero_swap_CL!$S$23:$S$94)-Lin_Interp(ROUND($B61*365-J$59,0),Zero_swap_CL!$O$23:$O$94,Zero_swap_CL!$S$23:$S$94))*100</f>
        <v>-0.19303318332264396</v>
      </c>
      <c r="K61" s="327">
        <f ca="1">(Lin_Interp(ROUND($B61*365,0),Zero_swap_CL!$O$23:$O$94,Zero_swap_CL!$S$23:$S$94)-Lin_Interp(ROUND($B61*365-K$59,0),Zero_swap_CL!$O$23:$O$94,Zero_swap_CL!$S$23:$S$94))*100</f>
        <v>-0.97646091758085696</v>
      </c>
      <c r="L61" s="327">
        <f ca="1">(Lin_Interp(ROUND($B61*365,0),Zero_swap_CL!$O$23:$O$94,Zero_swap_CL!$S$23:$S$94)-Lin_Interp(ROUND($B61*365-L$59,0),Zero_swap_CL!$O$23:$O$94,Zero_swap_CL!$S$23:$S$94))*100</f>
        <v>-1.9981018390322625</v>
      </c>
      <c r="M61" s="327">
        <f ca="1">(Lin_Interp(ROUND($B61*365,0),Zero_swap_CL!$O$23:$O$94,Zero_swap_CL!$S$23:$S$94)-Lin_Interp(ROUND($B61*365-M$59,0),Zero_swap_CL!$O$23:$O$94,Zero_swap_CL!$S$23:$S$94))*100</f>
        <v>-4.0379280318663113</v>
      </c>
      <c r="N61" s="327">
        <f ca="1">(Lin_Interp(ROUND($B61*365,0),Zero_swap_CL!$O$23:$O$94,Zero_swap_CL!$S$23:$S$94)-Lin_Interp(ROUND($B61*365-N$59,0),Zero_swap_CL!$O$23:$O$94,Zero_swap_CL!$S$23:$S$94))*100</f>
        <v>-5.9619394700374251</v>
      </c>
      <c r="O61" s="327">
        <f ca="1">(Lin_Interp(ROUND($B61*365,0),Zero_swap_CL!$O$23:$O$94,Zero_swap_CL!$S$23:$S$94)-Lin_Interp(ROUND($B61*365-O$59,0),Zero_swap_CL!$O$23:$O$94,Zero_swap_CL!$S$23:$S$94))*100</f>
        <v>-12.136496152212128</v>
      </c>
      <c r="P61" s="333">
        <f ca="1">(Lin_Interp(ROUND($B61*365,0),Zero_swap_CL!$O$23:$O$94,Zero_swap_CL!$S$23:$S$94)-Lin_Interp(ROUND($B61*365-P$59,0),Zero_swap_CL!$O$23:$O$94,Zero_swap_CL!$S$23:$S$94))*100</f>
        <v>-35.872563548639661</v>
      </c>
      <c r="Q61" s="327">
        <f t="shared" ref="Q61:Q72" ca="1" si="23">C61+J61</f>
        <v>-0.3105276811452562</v>
      </c>
      <c r="R61" s="327">
        <f t="shared" ca="1" si="22"/>
        <v>-1.570627894844856</v>
      </c>
      <c r="S61" s="327">
        <f t="shared" ca="1" si="22"/>
        <v>-3.2037423850863611</v>
      </c>
      <c r="T61" s="327">
        <f t="shared" ca="1" si="22"/>
        <v>-1.2776513378529586</v>
      </c>
      <c r="U61" s="327">
        <f t="shared" ca="1" si="22"/>
        <v>3.4557778197612521</v>
      </c>
      <c r="V61" s="327">
        <f t="shared" ca="1" si="22"/>
        <v>-9.0778311658885613</v>
      </c>
      <c r="W61" s="333">
        <f t="shared" ca="1" si="22"/>
        <v>-67.025269411755687</v>
      </c>
    </row>
    <row r="62" spans="2:23">
      <c r="B62" s="331">
        <v>1</v>
      </c>
      <c r="C62" s="327">
        <f ca="1">(forwardZeroRate(365,Lin_Interp(C$59,Zero_swap_CL!$O$23:$O$94,Zero_swap_CL!$S$23:$S$94),Lin_Interp(ROUND($B62*365,0),Zero_swap_CL!$O$23:$O$94,Zero_swap_CL!$S$23:$S$94),C$59,$B62*365)-Lin_Interp(ROUND($B62*365,0),Zero_swap_CL!$O$23:$O$94,Zero_swap_CL!$S$23:$S$94))*100</f>
        <v>-0.16427688772413518</v>
      </c>
      <c r="D62" s="327">
        <f ca="1">(forwardZeroRate(365,Lin_Interp(D$59,Zero_swap_CL!$O$23:$O$94,Zero_swap_CL!$S$23:$S$94),Lin_Interp(ROUND($B62*365,0),Zero_swap_CL!$O$23:$O$94,Zero_swap_CL!$S$23:$S$94),D$59,$B62*365)-Lin_Interp(ROUND($B62*365,0),Zero_swap_CL!$O$23:$O$94,Zero_swap_CL!$S$23:$S$94))*100</f>
        <v>-0.82896837457768768</v>
      </c>
      <c r="E62" s="327">
        <f ca="1">(forwardZeroRate(365,Lin_Interp(E$59,Zero_swap_CL!$O$23:$O$94,Zero_swap_CL!$S$23:$S$94),Lin_Interp(ROUND($B62*365,0),Zero_swap_CL!$O$23:$O$94,Zero_swap_CL!$S$23:$S$94),E$59,$B62*365)-Lin_Interp(ROUND($B62*365,0),Zero_swap_CL!$O$23:$O$94,Zero_swap_CL!$S$23:$S$94))*100</f>
        <v>-1.6773760350985434</v>
      </c>
      <c r="F62" s="327">
        <f ca="1">(forwardZeroRate(365,Lin_Interp(F$59,Zero_swap_CL!$O$23:$O$94,Zero_swap_CL!$S$23:$S$94),Lin_Interp(ROUND($B62*365,0),Zero_swap_CL!$O$23:$O$94,Zero_swap_CL!$S$23:$S$94),F$59,$B62*365)-Lin_Interp(ROUND($B62*365,0),Zero_swap_CL!$O$23:$O$94,Zero_swap_CL!$S$23:$S$94))*100</f>
        <v>0.41046653278087319</v>
      </c>
      <c r="G62" s="327">
        <f ca="1">(forwardZeroRate(365,Lin_Interp(G$59,Zero_swap_CL!$O$23:$O$94,Zero_swap_CL!$S$23:$S$94),Lin_Interp(ROUND($B62*365,0),Zero_swap_CL!$O$23:$O$94,Zero_swap_CL!$S$23:$S$94),G$59,$B62*365)-Lin_Interp(ROUND($B62*365,0),Zero_swap_CL!$O$23:$O$94,Zero_swap_CL!$S$23:$S$94))*100</f>
        <v>4.3382034146621784</v>
      </c>
      <c r="H62" s="327">
        <f ca="1">(forwardZeroRate(365,Lin_Interp(H$59,Zero_swap_CL!$O$23:$O$94,Zero_swap_CL!$S$23:$S$94),Lin_Interp(ROUND($B62*365,0),Zero_swap_CL!$O$23:$O$94,Zero_swap_CL!$S$23:$S$94),H$59,$B62*365)-Lin_Interp(ROUND($B62*365,0),Zero_swap_CL!$O$23:$O$94,Zero_swap_CL!$S$23:$S$94))*100</f>
        <v>-3.3386536018742419</v>
      </c>
      <c r="I62" s="333">
        <f ca="1">(forwardZeroRate(365,Lin_Interp(I$59,Zero_swap_CL!$O$23:$O$94,Zero_swap_CL!$S$23:$S$94),Lin_Interp(ROUND($B62*365,0),Zero_swap_CL!$O$23:$O$94,Zero_swap_CL!$S$23:$S$94),I$59,$B62*365)-Lin_Interp(ROUND($B62*365,0),Zero_swap_CL!$O$23:$O$94,Zero_swap_CL!$S$23:$S$94))*100</f>
        <v>-29.856820813780605</v>
      </c>
      <c r="J62" s="327">
        <f ca="1">(Lin_Interp(ROUND($B62*365,0),Zero_swap_CL!$O$23:$O$94,Zero_swap_CL!$S$23:$S$94)-Lin_Interp(ROUND($B62*365-J$59,0),Zero_swap_CL!$O$23:$O$94,Zero_swap_CL!$S$23:$S$94))*100</f>
        <v>-0.81992544872466766</v>
      </c>
      <c r="K62" s="327">
        <f ca="1">(Lin_Interp(ROUND($B62*365,0),Zero_swap_CL!$O$23:$O$94,Zero_swap_CL!$S$23:$S$94)-Lin_Interp(ROUND($B62*365-K$59,0),Zero_swap_CL!$O$23:$O$94,Zero_swap_CL!$S$23:$S$94))*100</f>
        <v>-4.0996272436233383</v>
      </c>
      <c r="L62" s="327">
        <f ca="1">(Lin_Interp(ROUND($B62*365,0),Zero_swap_CL!$O$23:$O$94,Zero_swap_CL!$S$23:$S$94)-Lin_Interp(ROUND($B62*365-L$59,0),Zero_swap_CL!$O$23:$O$94,Zero_swap_CL!$S$23:$S$94))*100</f>
        <v>-8.4237344921966884</v>
      </c>
      <c r="M62" s="327">
        <f ca="1">(Lin_Interp(ROUND($B62*365,0),Zero_swap_CL!$O$23:$O$94,Zero_swap_CL!$S$23:$S$94)-Lin_Interp(ROUND($B62*365-M$59,0),Zero_swap_CL!$O$23:$O$94,Zero_swap_CL!$S$23:$S$94))*100</f>
        <v>-15.6461292406751</v>
      </c>
      <c r="N62" s="327">
        <f ca="1">(Lin_Interp(ROUND($B62*365,0),Zero_swap_CL!$O$23:$O$94,Zero_swap_CL!$S$23:$S$94)-Lin_Interp(ROUND($B62*365-N$59,0),Zero_swap_CL!$O$23:$O$94,Zero_swap_CL!$S$23:$S$94))*100</f>
        <v>-19.023920874566834</v>
      </c>
      <c r="O62" s="327">
        <f ca="1">(Lin_Interp(ROUND($B62*365,0),Zero_swap_CL!$O$23:$O$94,Zero_swap_CL!$S$23:$S$94)-Lin_Interp(ROUND($B62*365-O$59,0),Zero_swap_CL!$O$23:$O$94,Zero_swap_CL!$S$23:$S$94))*100</f>
        <v>-22.56039534659471</v>
      </c>
      <c r="P62" s="333">
        <f ca="1">(Lin_Interp(ROUND($B62*365,0),Zero_swap_CL!$O$23:$O$94,Zero_swap_CL!$S$23:$S$94)-Lin_Interp(ROUND($B62*365-P$59,0),Zero_swap_CL!$O$23:$O$94,Zero_swap_CL!$S$23:$S$94))*100</f>
        <v>-27.68456392971963</v>
      </c>
      <c r="Q62" s="327">
        <f t="shared" ca="1" si="23"/>
        <v>-0.98420233644880284</v>
      </c>
      <c r="R62" s="327">
        <f t="shared" ca="1" si="22"/>
        <v>-4.928595618201026</v>
      </c>
      <c r="S62" s="327">
        <f t="shared" ca="1" si="22"/>
        <v>-10.101110527295232</v>
      </c>
      <c r="T62" s="327">
        <f t="shared" ca="1" si="22"/>
        <v>-15.235662707894226</v>
      </c>
      <c r="U62" s="327">
        <f t="shared" ca="1" si="22"/>
        <v>-14.685717459904655</v>
      </c>
      <c r="V62" s="327">
        <f t="shared" ca="1" si="22"/>
        <v>-25.899048948468952</v>
      </c>
      <c r="W62" s="333">
        <f t="shared" ca="1" si="22"/>
        <v>-57.541384743500231</v>
      </c>
    </row>
    <row r="63" spans="2:23">
      <c r="B63" s="341">
        <v>1.5</v>
      </c>
      <c r="C63" s="327">
        <f ca="1">(forwardZeroRate(365,Lin_Interp(C$59,Zero_swap_CL!$O$23:$O$94,Zero_swap_CL!$S$23:$S$94),Lin_Interp(ROUND($B63*365,0),Zero_swap_CL!$O$23:$O$94,Zero_swap_CL!$S$23:$S$94),C$59,$B63*365)-Lin_Interp(ROUND($B63*365,0),Zero_swap_CL!$O$23:$O$94,Zero_swap_CL!$S$23:$S$94))*100</f>
        <v>-7.6723509629095243E-2</v>
      </c>
      <c r="D63" s="327">
        <f ca="1">(forwardZeroRate(365,Lin_Interp(D$59,Zero_swap_CL!$O$23:$O$94,Zero_swap_CL!$S$23:$S$94),Lin_Interp(ROUND($B63*365,0),Zero_swap_CL!$O$23:$O$94,Zero_swap_CL!$S$23:$S$94),D$59,$B63*365)-Lin_Interp(ROUND($B63*365,0),Zero_swap_CL!$O$23:$O$94,Zero_swap_CL!$S$23:$S$94))*100</f>
        <v>-0.38543290478058045</v>
      </c>
      <c r="E63" s="327">
        <f ca="1">(forwardZeroRate(365,Lin_Interp(E$59,Zero_swap_CL!$O$23:$O$94,Zero_swap_CL!$S$23:$S$94),Lin_Interp(ROUND($B63*365,0),Zero_swap_CL!$O$23:$O$94,Zero_swap_CL!$S$23:$S$94),E$59,$B63*365)-Lin_Interp(ROUND($B63*365,0),Zero_swap_CL!$O$23:$O$94,Zero_swap_CL!$S$23:$S$94))*100</f>
        <v>-0.77548008913822519</v>
      </c>
      <c r="F63" s="327">
        <f ca="1">(forwardZeroRate(365,Lin_Interp(F$59,Zero_swap_CL!$O$23:$O$94,Zero_swap_CL!$S$23:$S$94),Lin_Interp(ROUND($B63*365,0),Zero_swap_CL!$O$23:$O$94,Zero_swap_CL!$S$23:$S$94),F$59,$B63*365)-Lin_Interp(ROUND($B63*365,0),Zero_swap_CL!$O$23:$O$94,Zero_swap_CL!$S$23:$S$94))*100</f>
        <v>0.95047222460650227</v>
      </c>
      <c r="G63" s="327">
        <f ca="1">(forwardZeroRate(365,Lin_Interp(G$59,Zero_swap_CL!$O$23:$O$94,Zero_swap_CL!$S$23:$S$94),Lin_Interp(ROUND($B63*365,0),Zero_swap_CL!$O$23:$O$94,Zero_swap_CL!$S$23:$S$94),G$59,$B63*365)-Lin_Interp(ROUND($B63*365,0),Zero_swap_CL!$O$23:$O$94,Zero_swap_CL!$S$23:$S$94))*100</f>
        <v>3.855449091548524</v>
      </c>
      <c r="H63" s="327">
        <f ca="1">(forwardZeroRate(365,Lin_Interp(H$59,Zero_swap_CL!$O$23:$O$94,Zero_swap_CL!$S$23:$S$94),Lin_Interp(ROUND($B63*365,0),Zero_swap_CL!$O$23:$O$94,Zero_swap_CL!$S$23:$S$94),H$59,$B63*365)-Lin_Interp(ROUND($B63*365,0),Zero_swap_CL!$O$23:$O$94,Zero_swap_CL!$S$23:$S$94))*100</f>
        <v>0.11936888859228612</v>
      </c>
      <c r="I63" s="333">
        <f ca="1">(forwardZeroRate(365,Lin_Interp(I$59,Zero_swap_CL!$O$23:$O$94,Zero_swap_CL!$S$23:$S$94),Lin_Interp(ROUND($B63*365,0),Zero_swap_CL!$O$23:$O$94,Zero_swap_CL!$S$23:$S$94),I$59,$B63*365)-Lin_Interp(ROUND($B63*365,0),Zero_swap_CL!$O$23:$O$94,Zero_swap_CL!$S$23:$S$94))*100</f>
        <v>-14.459153604605957</v>
      </c>
      <c r="J63" s="327">
        <f ca="1">(Lin_Interp(ROUND($B63*365,0),Zero_swap_CL!$O$23:$O$94,Zero_swap_CL!$S$23:$S$94)-Lin_Interp(ROUND($B63*365-J$59,0),Zero_swap_CL!$O$23:$O$94,Zero_swap_CL!$S$23:$S$94))*100</f>
        <v>5.8196157017509353E-2</v>
      </c>
      <c r="K63" s="327">
        <f ca="1">(Lin_Interp(ROUND($B63*365,0),Zero_swap_CL!$O$23:$O$94,Zero_swap_CL!$S$23:$S$94)-Lin_Interp(ROUND($B63*365-K$59,0),Zero_swap_CL!$O$23:$O$94,Zero_swap_CL!$S$23:$S$94))*100</f>
        <v>0.29098078508755787</v>
      </c>
      <c r="L63" s="327">
        <f ca="1">(Lin_Interp(ROUND($B63*365,0),Zero_swap_CL!$O$23:$O$94,Zero_swap_CL!$S$23:$S$94)-Lin_Interp(ROUND($B63*365-L$59,0),Zero_swap_CL!$O$23:$O$94,Zero_swap_CL!$S$23:$S$94))*100</f>
        <v>0.58196157017511574</v>
      </c>
      <c r="M63" s="327">
        <f ca="1">(Lin_Interp(ROUND($B63*365,0),Zero_swap_CL!$O$23:$O$94,Zero_swap_CL!$S$23:$S$94)-Lin_Interp(ROUND($B63*365-M$59,0),Zero_swap_CL!$O$23:$O$94,Zero_swap_CL!$S$23:$S$94))*100</f>
        <v>1.1639231403502426</v>
      </c>
      <c r="N63" s="327">
        <f ca="1">(Lin_Interp(ROUND($B63*365,0),Zero_swap_CL!$O$23:$O$94,Zero_swap_CL!$S$23:$S$94)-Lin_Interp(ROUND($B63*365-N$59,0),Zero_swap_CL!$O$23:$O$94,Zero_swap_CL!$S$23:$S$94))*100</f>
        <v>1.7458847105253583</v>
      </c>
      <c r="O63" s="327">
        <f ca="1">(Lin_Interp(ROUND($B63*365,0),Zero_swap_CL!$O$23:$O$94,Zero_swap_CL!$S$23:$S$94)-Lin_Interp(ROUND($B63*365-O$59,0),Zero_swap_CL!$O$23:$O$94,Zero_swap_CL!$S$23:$S$94))*100</f>
        <v>4.6949661729139063</v>
      </c>
      <c r="P63" s="333">
        <f ca="1">(Lin_Interp(ROUND($B63*365,0),Zero_swap_CL!$O$23:$O$94,Zero_swap_CL!$S$23:$S$94)-Lin_Interp(ROUND($B63*365-P$59,0),Zero_swap_CL!$O$23:$O$94,Zero_swap_CL!$S$23:$S$94))*100</f>
        <v>12.532451972854942</v>
      </c>
      <c r="Q63" s="327">
        <f t="shared" ca="1" si="23"/>
        <v>-1.852735261158589E-2</v>
      </c>
      <c r="R63" s="327">
        <f t="shared" ca="1" si="22"/>
        <v>-9.4452119693022585E-2</v>
      </c>
      <c r="S63" s="327">
        <f t="shared" ca="1" si="22"/>
        <v>-0.19351851896310945</v>
      </c>
      <c r="T63" s="327">
        <f t="shared" ca="1" si="22"/>
        <v>2.1143953649567448</v>
      </c>
      <c r="U63" s="327">
        <f t="shared" ca="1" si="22"/>
        <v>5.6013338020738823</v>
      </c>
      <c r="V63" s="327">
        <f t="shared" ca="1" si="22"/>
        <v>4.8143350615061919</v>
      </c>
      <c r="W63" s="333">
        <f t="shared" ca="1" si="22"/>
        <v>-1.9267016317510155</v>
      </c>
    </row>
    <row r="64" spans="2:23">
      <c r="B64" s="331">
        <v>2</v>
      </c>
      <c r="C64" s="327">
        <f ca="1">(forwardZeroRate(365,Lin_Interp(C$59,Zero_swap_CL!$O$23:$O$94,Zero_swap_CL!$S$23:$S$94),Lin_Interp(ROUND($B64*365,0),Zero_swap_CL!$O$23:$O$94,Zero_swap_CL!$S$23:$S$94),C$59,$B64*365)-Lin_Interp(ROUND($B64*365,0),Zero_swap_CL!$O$23:$O$94,Zero_swap_CL!$S$23:$S$94))*100</f>
        <v>-8.5996264693577462E-2</v>
      </c>
      <c r="D64" s="327">
        <f ca="1">(forwardZeroRate(365,Lin_Interp(D$59,Zero_swap_CL!$O$23:$O$94,Zero_swap_CL!$S$23:$S$94),Lin_Interp(ROUND($B64*365,0),Zero_swap_CL!$O$23:$O$94,Zero_swap_CL!$S$23:$S$94),D$59,$B64*365)-Lin_Interp(ROUND($B64*365,0),Zero_swap_CL!$O$23:$O$94,Zero_swap_CL!$S$23:$S$94))*100</f>
        <v>-0.43159407379517178</v>
      </c>
      <c r="E64" s="327">
        <f ca="1">(forwardZeroRate(365,Lin_Interp(E$59,Zero_swap_CL!$O$23:$O$94,Zero_swap_CL!$S$23:$S$94),Lin_Interp(ROUND($B64*365,0),Zero_swap_CL!$O$23:$O$94,Zero_swap_CL!$S$23:$S$94),E$59,$B64*365)-Lin_Interp(ROUND($B64*365,0),Zero_swap_CL!$O$23:$O$94,Zero_swap_CL!$S$23:$S$94))*100</f>
        <v>-0.86727031308947433</v>
      </c>
      <c r="F64" s="327">
        <f ca="1">(forwardZeroRate(365,Lin_Interp(F$59,Zero_swap_CL!$O$23:$O$94,Zero_swap_CL!$S$23:$S$94),Lin_Interp(ROUND($B64*365,0),Zero_swap_CL!$O$23:$O$94,Zero_swap_CL!$S$23:$S$94),F$59,$B64*365)-Lin_Interp(ROUND($B64*365,0),Zero_swap_CL!$O$23:$O$94,Zero_swap_CL!$S$23:$S$94))*100</f>
        <v>0.11737455516652728</v>
      </c>
      <c r="G64" s="327">
        <f ca="1">(forwardZeroRate(365,Lin_Interp(G$59,Zero_swap_CL!$O$23:$O$94,Zero_swap_CL!$S$23:$S$94),Lin_Interp(ROUND($B64*365,0),Zero_swap_CL!$O$23:$O$94,Zero_swap_CL!$S$23:$S$94),G$59,$B64*365)-Lin_Interp(ROUND($B64*365,0),Zero_swap_CL!$O$23:$O$94,Zero_swap_CL!$S$23:$S$94))*100</f>
        <v>1.9504988052278516</v>
      </c>
      <c r="H64" s="327">
        <f ca="1">(forwardZeroRate(365,Lin_Interp(H$59,Zero_swap_CL!$O$23:$O$94,Zero_swap_CL!$S$23:$S$94),Lin_Interp(ROUND($B64*365,0),Zero_swap_CL!$O$23:$O$94,Zero_swap_CL!$S$23:$S$94),H$59,$B64*365)-Lin_Interp(ROUND($B64*365,0),Zero_swap_CL!$O$23:$O$94,Zero_swap_CL!$S$23:$S$94))*100</f>
        <v>-1.7802280664079295</v>
      </c>
      <c r="I64" s="333">
        <f ca="1">(forwardZeroRate(365,Lin_Interp(I$59,Zero_swap_CL!$O$23:$O$94,Zero_swap_CL!$S$23:$S$94),Lin_Interp(ROUND($B64*365,0),Zero_swap_CL!$O$23:$O$94,Zero_swap_CL!$S$23:$S$94),I$59,$B64*365)-Lin_Interp(ROUND($B64*365,0),Zero_swap_CL!$O$23:$O$94,Zero_swap_CL!$S$23:$S$94))*100</f>
        <v>-13.245171325695193</v>
      </c>
      <c r="J64" s="327">
        <f ca="1">(Lin_Interp(ROUND($B64*365,0),Zero_swap_CL!$O$23:$O$94,Zero_swap_CL!$S$23:$S$94)-Lin_Interp(ROUND($B64*365-J$59,0),Zero_swap_CL!$O$23:$O$94,Zero_swap_CL!$S$23:$S$94))*100</f>
        <v>-0.11855754933975948</v>
      </c>
      <c r="K64" s="327">
        <f ca="1">(Lin_Interp(ROUND($B64*365,0),Zero_swap_CL!$O$23:$O$94,Zero_swap_CL!$S$23:$S$94)-Lin_Interp(ROUND($B64*365-K$59,0),Zero_swap_CL!$O$23:$O$94,Zero_swap_CL!$S$23:$S$94))*100</f>
        <v>-0.59278774669878631</v>
      </c>
      <c r="L64" s="327">
        <f ca="1">(Lin_Interp(ROUND($B64*365,0),Zero_swap_CL!$O$23:$O$94,Zero_swap_CL!$S$23:$S$94)-Lin_Interp(ROUND($B64*365-L$59,0),Zero_swap_CL!$O$23:$O$94,Zero_swap_CL!$S$23:$S$94))*100</f>
        <v>-1.1855754933975726</v>
      </c>
      <c r="M64" s="327">
        <f ca="1">(Lin_Interp(ROUND($B64*365,0),Zero_swap_CL!$O$23:$O$94,Zero_swap_CL!$S$23:$S$94)-Lin_Interp(ROUND($B64*365-M$59,0),Zero_swap_CL!$O$23:$O$94,Zero_swap_CL!$S$23:$S$94))*100</f>
        <v>-2.3711509867951341</v>
      </c>
      <c r="N64" s="327">
        <f ca="1">(Lin_Interp(ROUND($B64*365,0),Zero_swap_CL!$O$23:$O$94,Zero_swap_CL!$S$23:$S$94)-Lin_Interp(ROUND($B64*365-N$59,0),Zero_swap_CL!$O$23:$O$94,Zero_swap_CL!$S$23:$S$94))*100</f>
        <v>-3.5567264801927068</v>
      </c>
      <c r="O64" s="327">
        <f ca="1">(Lin_Interp(ROUND($B64*365,0),Zero_swap_CL!$O$23:$O$94,Zero_swap_CL!$S$23:$S$94)-Lin_Interp(ROUND($B64*365-O$59,0),Zero_swap_CL!$O$23:$O$94,Zero_swap_CL!$S$23:$S$94))*100</f>
        <v>-7.113452960385402</v>
      </c>
      <c r="P64" s="333">
        <f ca="1">(Lin_Interp(ROUND($B64*365,0),Zero_swap_CL!$O$23:$O$94,Zero_swap_CL!$S$23:$S$94)-Lin_Interp(ROUND($B64*365-P$59,0),Zero_swap_CL!$O$23:$O$94,Zero_swap_CL!$S$23:$S$94))*100</f>
        <v>-10.670179440578098</v>
      </c>
      <c r="Q64" s="327">
        <f t="shared" ca="1" si="23"/>
        <v>-0.20455381403333694</v>
      </c>
      <c r="R64" s="327">
        <f t="shared" ca="1" si="22"/>
        <v>-1.0243818204939581</v>
      </c>
      <c r="S64" s="327">
        <f t="shared" ca="1" si="22"/>
        <v>-2.052845806487047</v>
      </c>
      <c r="T64" s="327">
        <f t="shared" ca="1" si="22"/>
        <v>-2.2537764316286069</v>
      </c>
      <c r="U64" s="327">
        <f t="shared" ca="1" si="22"/>
        <v>-1.6062276749648552</v>
      </c>
      <c r="V64" s="327">
        <f t="shared" ca="1" si="22"/>
        <v>-8.8936810267933311</v>
      </c>
      <c r="W64" s="333">
        <f t="shared" ca="1" si="22"/>
        <v>-23.915350766273292</v>
      </c>
    </row>
    <row r="65" spans="2:23">
      <c r="B65" s="331">
        <v>3</v>
      </c>
      <c r="C65" s="327">
        <f ca="1">(forwardZeroRate(365,Lin_Interp(C$59,Zero_swap_CL!$O$23:$O$94,Zero_swap_CL!$S$23:$S$94),Lin_Interp(ROUND($B65*365,0),Zero_swap_CL!$O$23:$O$94,Zero_swap_CL!$S$23:$S$94),C$59,$B65*365)-Lin_Interp(ROUND($B65*365,0),Zero_swap_CL!$O$23:$O$94,Zero_swap_CL!$S$23:$S$94))*100</f>
        <v>-5.976368938858112E-2</v>
      </c>
      <c r="D65" s="327">
        <f ca="1">(forwardZeroRate(365,Lin_Interp(D$59,Zero_swap_CL!$O$23:$O$94,Zero_swap_CL!$S$23:$S$94),Lin_Interp(ROUND($B65*365,0),Zero_swap_CL!$O$23:$O$94,Zero_swap_CL!$S$23:$S$94),D$59,$B65*365)-Lin_Interp(ROUND($B65*365,0),Zero_swap_CL!$O$23:$O$94,Zero_swap_CL!$S$23:$S$94))*100</f>
        <v>-0.29941131460613502</v>
      </c>
      <c r="E65" s="327">
        <f ca="1">(forwardZeroRate(365,Lin_Interp(E$59,Zero_swap_CL!$O$23:$O$94,Zero_swap_CL!$S$23:$S$94),Lin_Interp(ROUND($B65*365,0),Zero_swap_CL!$O$23:$O$94,Zero_swap_CL!$S$23:$S$94),E$59,$B65*365)-Lin_Interp(ROUND($B65*365,0),Zero_swap_CL!$O$23:$O$94,Zero_swap_CL!$S$23:$S$94))*100</f>
        <v>-0.60031707096024345</v>
      </c>
      <c r="F65" s="327">
        <f ca="1">(forwardZeroRate(365,Lin_Interp(F$59,Zero_swap_CL!$O$23:$O$94,Zero_swap_CL!$S$23:$S$94),Lin_Interp(ROUND($B65*365,0),Zero_swap_CL!$O$23:$O$94,Zero_swap_CL!$S$23:$S$94),F$59,$B65*365)-Lin_Interp(ROUND($B65*365,0),Zero_swap_CL!$O$23:$O$94,Zero_swap_CL!$S$23:$S$94))*100</f>
        <v>2.7137640510166428E-2</v>
      </c>
      <c r="G65" s="327">
        <f ca="1">(forwardZeroRate(365,Lin_Interp(G$59,Zero_swap_CL!$O$23:$O$94,Zero_swap_CL!$S$23:$S$94),Lin_Interp(ROUND($B65*365,0),Zero_swap_CL!$O$23:$O$94,Zero_swap_CL!$S$23:$S$94),G$59,$B65*365)-Lin_Interp(ROUND($B65*365,0),Zero_swap_CL!$O$23:$O$94,Zero_swap_CL!$S$23:$S$94))*100</f>
        <v>1.2053671555210643</v>
      </c>
      <c r="H65" s="327">
        <f ca="1">(forwardZeroRate(365,Lin_Interp(H$59,Zero_swap_CL!$O$23:$O$94,Zero_swap_CL!$S$23:$S$94),Lin_Interp(ROUND($B65*365,0),Zero_swap_CL!$O$23:$O$94,Zero_swap_CL!$S$23:$S$94),H$59,$B65*365)-Lin_Interp(ROUND($B65*365,0),Zero_swap_CL!$O$23:$O$94,Zero_swap_CL!$S$23:$S$94))*100</f>
        <v>-1.3090524415317217</v>
      </c>
      <c r="I65" s="333">
        <f ca="1">(forwardZeroRate(365,Lin_Interp(I$59,Zero_swap_CL!$O$23:$O$94,Zero_swap_CL!$S$23:$S$94),Lin_Interp(ROUND($B65*365,0),Zero_swap_CL!$O$23:$O$94,Zero_swap_CL!$S$23:$S$94),I$59,$B65*365)-Lin_Interp(ROUND($B65*365,0),Zero_swap_CL!$O$23:$O$94,Zero_swap_CL!$S$23:$S$94))*100</f>
        <v>-8.6766951793950007</v>
      </c>
      <c r="J65" s="327">
        <f ca="1">(Lin_Interp(ROUND($B65*365,0),Zero_swap_CL!$O$23:$O$94,Zero_swap_CL!$S$23:$S$94)-Lin_Interp(ROUND($B65*365-J$59,0),Zero_swap_CL!$O$23:$O$94,Zero_swap_CL!$S$23:$S$94))*100</f>
        <v>-5.5599541320394685E-3</v>
      </c>
      <c r="K65" s="327">
        <f ca="1">(Lin_Interp(ROUND($B65*365,0),Zero_swap_CL!$O$23:$O$94,Zero_swap_CL!$S$23:$S$94)-Lin_Interp(ROUND($B65*365-K$59,0),Zero_swap_CL!$O$23:$O$94,Zero_swap_CL!$S$23:$S$94))*100</f>
        <v>-2.7799770660208445E-2</v>
      </c>
      <c r="L65" s="327">
        <f ca="1">(Lin_Interp(ROUND($B65*365,0),Zero_swap_CL!$O$23:$O$94,Zero_swap_CL!$S$23:$S$94)-Lin_Interp(ROUND($B65*365-L$59,0),Zero_swap_CL!$O$23:$O$94,Zero_swap_CL!$S$23:$S$94))*100</f>
        <v>-5.559954132041689E-2</v>
      </c>
      <c r="M65" s="327">
        <f ca="1">(Lin_Interp(ROUND($B65*365,0),Zero_swap_CL!$O$23:$O$94,Zero_swap_CL!$S$23:$S$94)-Lin_Interp(ROUND($B65*365-M$59,0),Zero_swap_CL!$O$23:$O$94,Zero_swap_CL!$S$23:$S$94))*100</f>
        <v>-0.11119908264084488</v>
      </c>
      <c r="N65" s="327">
        <f ca="1">(Lin_Interp(ROUND($B65*365,0),Zero_swap_CL!$O$23:$O$94,Zero_swap_CL!$S$23:$S$94)-Lin_Interp(ROUND($B65*365-N$59,0),Zero_swap_CL!$O$23:$O$94,Zero_swap_CL!$S$23:$S$94))*100</f>
        <v>-0.16679862396127287</v>
      </c>
      <c r="O65" s="327">
        <f ca="1">(Lin_Interp(ROUND($B65*365,0),Zero_swap_CL!$O$23:$O$94,Zero_swap_CL!$S$23:$S$94)-Lin_Interp(ROUND($B65*365-O$59,0),Zero_swap_CL!$O$23:$O$94,Zero_swap_CL!$S$23:$S$94))*100</f>
        <v>-0.33359724792254575</v>
      </c>
      <c r="P65" s="333">
        <f ca="1">(Lin_Interp(ROUND($B65*365,0),Zero_swap_CL!$O$23:$O$94,Zero_swap_CL!$S$23:$S$94)-Lin_Interp(ROUND($B65*365-P$59,0),Zero_swap_CL!$O$23:$O$94,Zero_swap_CL!$S$23:$S$94))*100</f>
        <v>-0.50039587188381862</v>
      </c>
      <c r="Q65" s="327">
        <f t="shared" ca="1" si="23"/>
        <v>-6.5323643520620589E-2</v>
      </c>
      <c r="R65" s="327">
        <f t="shared" ca="1" si="22"/>
        <v>-0.32721108526634346</v>
      </c>
      <c r="S65" s="327">
        <f t="shared" ca="1" si="22"/>
        <v>-0.65591661228066034</v>
      </c>
      <c r="T65" s="327">
        <f t="shared" ca="1" si="22"/>
        <v>-8.4061442130678454E-2</v>
      </c>
      <c r="U65" s="327">
        <f t="shared" ca="1" si="22"/>
        <v>1.0385685315597915</v>
      </c>
      <c r="V65" s="327">
        <f t="shared" ca="1" si="22"/>
        <v>-1.6426496894542675</v>
      </c>
      <c r="W65" s="333">
        <f t="shared" ca="1" si="22"/>
        <v>-9.1770910512788184</v>
      </c>
    </row>
    <row r="66" spans="2:23">
      <c r="B66" s="331">
        <v>4</v>
      </c>
      <c r="C66" s="327">
        <f ca="1">(forwardZeroRate(365,Lin_Interp(C$59,Zero_swap_CL!$O$23:$O$94,Zero_swap_CL!$S$23:$S$94),Lin_Interp(ROUND($B66*365,0),Zero_swap_CL!$O$23:$O$94,Zero_swap_CL!$S$23:$S$94),C$59,$B66*365)-Lin_Interp(ROUND($B66*365,0),Zero_swap_CL!$O$23:$O$94,Zero_swap_CL!$S$23:$S$94))*100</f>
        <v>-3.73844158203962E-2</v>
      </c>
      <c r="D66" s="327">
        <f ca="1">(forwardZeroRate(365,Lin_Interp(D$59,Zero_swap_CL!$O$23:$O$94,Zero_swap_CL!$S$23:$S$94),Lin_Interp(ROUND($B66*365,0),Zero_swap_CL!$O$23:$O$94,Zero_swap_CL!$S$23:$S$94),D$59,$B66*365)-Lin_Interp(ROUND($B66*365,0),Zero_swap_CL!$O$23:$O$94,Zero_swap_CL!$S$23:$S$94))*100</f>
        <v>-0.18705947737411854</v>
      </c>
      <c r="E66" s="327">
        <f ca="1">(forwardZeroRate(365,Lin_Interp(E$59,Zero_swap_CL!$O$23:$O$94,Zero_swap_CL!$S$23:$S$94),Lin_Interp(ROUND($B66*365,0),Zero_swap_CL!$O$23:$O$94,Zero_swap_CL!$S$23:$S$94),E$59,$B66*365)-Lin_Interp(ROUND($B66*365,0),Zero_swap_CL!$O$23:$O$94,Zero_swap_CL!$S$23:$S$94))*100</f>
        <v>-0.37446458094074764</v>
      </c>
      <c r="F66" s="327">
        <f ca="1">(forwardZeroRate(365,Lin_Interp(F$59,Zero_swap_CL!$O$23:$O$94,Zero_swap_CL!$S$23:$S$94),Lin_Interp(ROUND($B66*365,0),Zero_swap_CL!$O$23:$O$94,Zero_swap_CL!$S$23:$S$94),F$59,$B66*365)-Lin_Interp(ROUND($B66*365,0),Zero_swap_CL!$O$23:$O$94,Zero_swap_CL!$S$23:$S$94))*100</f>
        <v>0.17179094324677457</v>
      </c>
      <c r="G66" s="327">
        <f ca="1">(forwardZeroRate(365,Lin_Interp(G$59,Zero_swap_CL!$O$23:$O$94,Zero_swap_CL!$S$23:$S$94),Lin_Interp(ROUND($B66*365,0),Zero_swap_CL!$O$23:$O$94,Zero_swap_CL!$S$23:$S$94),G$59,$B66*365)-Lin_Interp(ROUND($B66*365,0),Zero_swap_CL!$O$23:$O$94,Zero_swap_CL!$S$23:$S$94))*100</f>
        <v>1.1275384205870598</v>
      </c>
      <c r="H66" s="327">
        <f ca="1">(forwardZeroRate(365,Lin_Interp(H$59,Zero_swap_CL!$O$23:$O$94,Zero_swap_CL!$S$23:$S$94),Lin_Interp(ROUND($B66*365,0),Zero_swap_CL!$O$23:$O$94,Zero_swap_CL!$S$23:$S$94),H$59,$B66*365)-Lin_Interp(ROUND($B66*365,0),Zero_swap_CL!$O$23:$O$94,Zero_swap_CL!$S$23:$S$94))*100</f>
        <v>-0.50135188404758502</v>
      </c>
      <c r="I66" s="333">
        <f ca="1">(forwardZeroRate(365,Lin_Interp(I$59,Zero_swap_CL!$O$23:$O$94,Zero_swap_CL!$S$23:$S$94),Lin_Interp(ROUND($B66*365,0),Zero_swap_CL!$O$23:$O$94,Zero_swap_CL!$S$23:$S$94),I$59,$B66*365)-Lin_Interp(ROUND($B66*365,0),Zero_swap_CL!$O$23:$O$94,Zero_swap_CL!$S$23:$S$94))*100</f>
        <v>-5.656460763800597</v>
      </c>
      <c r="J66" s="327">
        <f ca="1">(Lin_Interp(ROUND($B66*365,0),Zero_swap_CL!$O$23:$O$94,Zero_swap_CL!$S$23:$S$94)-Lin_Interp(ROUND($B66*365-J$59,0),Zero_swap_CL!$O$23:$O$94,Zero_swap_CL!$S$23:$S$94))*100</f>
        <v>3.0462573744105548E-2</v>
      </c>
      <c r="K66" s="327">
        <f ca="1">(Lin_Interp(ROUND($B66*365,0),Zero_swap_CL!$O$23:$O$94,Zero_swap_CL!$S$23:$S$94)-Lin_Interp(ROUND($B66*365-K$59,0),Zero_swap_CL!$O$23:$O$94,Zero_swap_CL!$S$23:$S$94))*100</f>
        <v>0.15231286872056105</v>
      </c>
      <c r="L66" s="327">
        <f ca="1">(Lin_Interp(ROUND($B66*365,0),Zero_swap_CL!$O$23:$O$94,Zero_swap_CL!$S$23:$S$94)-Lin_Interp(ROUND($B66*365-L$59,0),Zero_swap_CL!$O$23:$O$94,Zero_swap_CL!$S$23:$S$94))*100</f>
        <v>0.30462573744112209</v>
      </c>
      <c r="M66" s="327">
        <f ca="1">(Lin_Interp(ROUND($B66*365,0),Zero_swap_CL!$O$23:$O$94,Zero_swap_CL!$S$23:$S$94)-Lin_Interp(ROUND($B66*365-M$59,0),Zero_swap_CL!$O$23:$O$94,Zero_swap_CL!$S$23:$S$94))*100</f>
        <v>0.60925147488225528</v>
      </c>
      <c r="N66" s="327">
        <f ca="1">(Lin_Interp(ROUND($B66*365,0),Zero_swap_CL!$O$23:$O$94,Zero_swap_CL!$S$23:$S$94)-Lin_Interp(ROUND($B66*365-N$59,0),Zero_swap_CL!$O$23:$O$94,Zero_swap_CL!$S$23:$S$94))*100</f>
        <v>0.91387721232337737</v>
      </c>
      <c r="O66" s="327">
        <f ca="1">(Lin_Interp(ROUND($B66*365,0),Zero_swap_CL!$O$23:$O$94,Zero_swap_CL!$S$23:$S$94)-Lin_Interp(ROUND($B66*365-O$59,0),Zero_swap_CL!$O$23:$O$94,Zero_swap_CL!$S$23:$S$94))*100</f>
        <v>1.8277544246467659</v>
      </c>
      <c r="P66" s="333">
        <f ca="1">(Lin_Interp(ROUND($B66*365,0),Zero_swap_CL!$O$23:$O$94,Zero_swap_CL!$S$23:$S$94)-Lin_Interp(ROUND($B66*365-P$59,0),Zero_swap_CL!$O$23:$O$94,Zero_swap_CL!$S$23:$S$94))*100</f>
        <v>2.7416316369701543</v>
      </c>
      <c r="Q66" s="327">
        <f t="shared" ca="1" si="23"/>
        <v>-6.9218420762906518E-3</v>
      </c>
      <c r="R66" s="327">
        <f t="shared" ca="1" si="22"/>
        <v>-3.4746608653557498E-2</v>
      </c>
      <c r="S66" s="327">
        <f t="shared" ca="1" si="22"/>
        <v>-6.9838843499625547E-2</v>
      </c>
      <c r="T66" s="327">
        <f t="shared" ca="1" si="22"/>
        <v>0.78104241812902986</v>
      </c>
      <c r="U66" s="327">
        <f t="shared" ca="1" si="22"/>
        <v>2.0414156329104372</v>
      </c>
      <c r="V66" s="327">
        <f t="shared" ca="1" si="22"/>
        <v>1.3264025405991808</v>
      </c>
      <c r="W66" s="333">
        <f t="shared" ca="1" si="22"/>
        <v>-2.9148291268304427</v>
      </c>
    </row>
    <row r="67" spans="2:23">
      <c r="B67" s="331">
        <v>5</v>
      </c>
      <c r="C67" s="327">
        <f ca="1">(forwardZeroRate(365,Lin_Interp(C$59,Zero_swap_CL!$O$23:$O$94,Zero_swap_CL!$S$23:$S$94),Lin_Interp(ROUND($B67*365,0),Zero_swap_CL!$O$23:$O$94,Zero_swap_CL!$S$23:$S$94),C$59,$B67*365)-Lin_Interp(ROUND($B67*365,0),Zero_swap_CL!$O$23:$O$94,Zero_swap_CL!$S$23:$S$94))*100</f>
        <v>-2.2694000297063255E-2</v>
      </c>
      <c r="D67" s="327">
        <f ca="1">(forwardZeroRate(365,Lin_Interp(D$59,Zero_swap_CL!$O$23:$O$94,Zero_swap_CL!$S$23:$S$94),Lin_Interp(ROUND($B67*365,0),Zero_swap_CL!$O$23:$O$94,Zero_swap_CL!$S$23:$S$94),D$59,$B67*365)-Lin_Interp(ROUND($B67*365,0),Zero_swap_CL!$O$23:$O$94,Zero_swap_CL!$S$23:$S$94))*100</f>
        <v>-0.11341861906575268</v>
      </c>
      <c r="E67" s="327">
        <f ca="1">(forwardZeroRate(365,Lin_Interp(E$59,Zero_swap_CL!$O$23:$O$94,Zero_swap_CL!$S$23:$S$94),Lin_Interp(ROUND($B67*365,0),Zero_swap_CL!$O$23:$O$94,Zero_swap_CL!$S$23:$S$94),E$59,$B67*365)-Lin_Interp(ROUND($B67*365,0),Zero_swap_CL!$O$23:$O$94,Zero_swap_CL!$S$23:$S$94))*100</f>
        <v>-0.22670814486178692</v>
      </c>
      <c r="F67" s="327">
        <f ca="1">(forwardZeroRate(365,Lin_Interp(F$59,Zero_swap_CL!$O$23:$O$94,Zero_swap_CL!$S$23:$S$94),Lin_Interp(ROUND($B67*365,0),Zero_swap_CL!$O$23:$O$94,Zero_swap_CL!$S$23:$S$94),F$59,$B67*365)-Lin_Interp(ROUND($B67*365,0),Zero_swap_CL!$O$23:$O$94,Zero_swap_CL!$S$23:$S$94))*100</f>
        <v>0.28373533420968933</v>
      </c>
      <c r="G67" s="327">
        <f ca="1">(forwardZeroRate(365,Lin_Interp(G$59,Zero_swap_CL!$O$23:$O$94,Zero_swap_CL!$S$23:$S$94),Lin_Interp(ROUND($B67*365,0),Zero_swap_CL!$O$23:$O$94,Zero_swap_CL!$S$23:$S$94),G$59,$B67*365)-Lin_Interp(ROUND($B67*365,0),Zero_swap_CL!$O$23:$O$94,Zero_swap_CL!$S$23:$S$94))*100</f>
        <v>1.1204280587958859</v>
      </c>
      <c r="H67" s="327">
        <f ca="1">(forwardZeroRate(365,Lin_Interp(H$59,Zero_swap_CL!$O$23:$O$94,Zero_swap_CL!$S$23:$S$94),Lin_Interp(ROUND($B67*365,0),Zero_swap_CL!$O$23:$O$94,Zero_swap_CL!$S$23:$S$94),H$59,$B67*365)-Lin_Interp(ROUND($B67*365,0),Zero_swap_CL!$O$23:$O$94,Zero_swap_CL!$S$23:$S$94))*100</f>
        <v>5.1257157673534337E-2</v>
      </c>
      <c r="I67" s="333">
        <f ca="1">(forwardZeroRate(365,Lin_Interp(I$59,Zero_swap_CL!$O$23:$O$94,Zero_swap_CL!$S$23:$S$94),Lin_Interp(ROUND($B67*365,0),Zero_swap_CL!$O$23:$O$94,Zero_swap_CL!$S$23:$S$94),I$59,$B67*365)-Lin_Interp(ROUND($B67*365,0),Zero_swap_CL!$O$23:$O$94,Zero_swap_CL!$S$23:$S$94))*100</f>
        <v>-3.7870440711243791</v>
      </c>
      <c r="J67" s="327">
        <f ca="1">(Lin_Interp(ROUND($B67*365,0),Zero_swap_CL!$O$23:$O$94,Zero_swap_CL!$S$23:$S$94)-Lin_Interp(ROUND($B67*365-J$59,0),Zero_swap_CL!$O$23:$O$94,Zero_swap_CL!$S$23:$S$94))*100</f>
        <v>3.6312189955600704E-2</v>
      </c>
      <c r="K67" s="327">
        <f ca="1">(Lin_Interp(ROUND($B67*365,0),Zero_swap_CL!$O$23:$O$94,Zero_swap_CL!$S$23:$S$94)-Lin_Interp(ROUND($B67*365-K$59,0),Zero_swap_CL!$O$23:$O$94,Zero_swap_CL!$S$23:$S$94))*100</f>
        <v>0.18156094977803683</v>
      </c>
      <c r="L67" s="327">
        <f ca="1">(Lin_Interp(ROUND($B67*365,0),Zero_swap_CL!$O$23:$O$94,Zero_swap_CL!$S$23:$S$94)-Lin_Interp(ROUND($B67*365-L$59,0),Zero_swap_CL!$O$23:$O$94,Zero_swap_CL!$S$23:$S$94))*100</f>
        <v>0.36312189955608476</v>
      </c>
      <c r="M67" s="327">
        <f ca="1">(Lin_Interp(ROUND($B67*365,0),Zero_swap_CL!$O$23:$O$94,Zero_swap_CL!$S$23:$S$94)-Lin_Interp(ROUND($B67*365-M$59,0),Zero_swap_CL!$O$23:$O$94,Zero_swap_CL!$S$23:$S$94))*100</f>
        <v>0.72624379911215842</v>
      </c>
      <c r="N67" s="327">
        <f ca="1">(Lin_Interp(ROUND($B67*365,0),Zero_swap_CL!$O$23:$O$94,Zero_swap_CL!$S$23:$S$94)-Lin_Interp(ROUND($B67*365-N$59,0),Zero_swap_CL!$O$23:$O$94,Zero_swap_CL!$S$23:$S$94))*100</f>
        <v>1.0893656986682432</v>
      </c>
      <c r="O67" s="327">
        <f ca="1">(Lin_Interp(ROUND($B67*365,0),Zero_swap_CL!$O$23:$O$94,Zero_swap_CL!$S$23:$S$94)-Lin_Interp(ROUND($B67*365-O$59,0),Zero_swap_CL!$O$23:$O$94,Zero_swap_CL!$S$23:$S$94))*100</f>
        <v>2.1787313973364975</v>
      </c>
      <c r="P67" s="333">
        <f ca="1">(Lin_Interp(ROUND($B67*365,0),Zero_swap_CL!$O$23:$O$94,Zero_swap_CL!$S$23:$S$94)-Lin_Interp(ROUND($B67*365-P$59,0),Zero_swap_CL!$O$23:$O$94,Zero_swap_CL!$S$23:$S$94))*100</f>
        <v>3.2680970960047406</v>
      </c>
      <c r="Q67" s="327">
        <f t="shared" ca="1" si="23"/>
        <v>1.361818965853745E-2</v>
      </c>
      <c r="R67" s="327">
        <f t="shared" ca="1" si="22"/>
        <v>6.8142330712284149E-2</v>
      </c>
      <c r="S67" s="327">
        <f t="shared" ca="1" si="22"/>
        <v>0.13641375469429784</v>
      </c>
      <c r="T67" s="327">
        <f t="shared" ca="1" si="22"/>
        <v>1.0099791333218477</v>
      </c>
      <c r="U67" s="327">
        <f t="shared" ca="1" si="22"/>
        <v>2.2097937574641291</v>
      </c>
      <c r="V67" s="327">
        <f t="shared" ca="1" si="22"/>
        <v>2.2299885550100318</v>
      </c>
      <c r="W67" s="333">
        <f t="shared" ca="1" si="22"/>
        <v>-0.5189469751196385</v>
      </c>
    </row>
    <row r="68" spans="2:23">
      <c r="B68" s="331">
        <v>6</v>
      </c>
      <c r="C68" s="327">
        <f ca="1">(forwardZeroRate(365,Lin_Interp(C$59,Zero_swap_CL!$O$23:$O$94,Zero_swap_CL!$S$23:$S$94),Lin_Interp(ROUND($B68*365,0),Zero_swap_CL!$O$23:$O$94,Zero_swap_CL!$S$23:$S$94),C$59,$B68*365)-Lin_Interp(ROUND($B68*365,0),Zero_swap_CL!$O$23:$O$94,Zero_swap_CL!$S$23:$S$94))*100</f>
        <v>-1.5137445222135337E-2</v>
      </c>
      <c r="D68" s="327">
        <f ca="1">(forwardZeroRate(365,Lin_Interp(D$59,Zero_swap_CL!$O$23:$O$94,Zero_swap_CL!$S$23:$S$94),Lin_Interp(ROUND($B68*365,0),Zero_swap_CL!$O$23:$O$94,Zero_swap_CL!$S$23:$S$94),D$59,$B68*365)-Lin_Interp(ROUND($B68*365,0),Zero_swap_CL!$O$23:$O$94,Zero_swap_CL!$S$23:$S$94))*100</f>
        <v>-7.5575252487636302E-2</v>
      </c>
      <c r="E68" s="327">
        <f ca="1">(forwardZeroRate(365,Lin_Interp(E$59,Zero_swap_CL!$O$23:$O$94,Zero_swap_CL!$S$23:$S$94),Lin_Interp(ROUND($B68*365,0),Zero_swap_CL!$O$23:$O$94,Zero_swap_CL!$S$23:$S$94),E$59,$B68*365)-Lin_Interp(ROUND($B68*365,0),Zero_swap_CL!$O$23:$O$94,Zero_swap_CL!$S$23:$S$94))*100</f>
        <v>-0.15086941370684448</v>
      </c>
      <c r="F68" s="327">
        <f ca="1">(forwardZeroRate(365,Lin_Interp(F$59,Zero_swap_CL!$O$23:$O$94,Zero_swap_CL!$S$23:$S$94),Lin_Interp(ROUND($B68*365,0),Zero_swap_CL!$O$23:$O$94,Zero_swap_CL!$S$23:$S$94),F$59,$B68*365)-Lin_Interp(ROUND($B68*365,0),Zero_swap_CL!$O$23:$O$94,Zero_swap_CL!$S$23:$S$94))*100</f>
        <v>0.31263040720391766</v>
      </c>
      <c r="G68" s="327">
        <f ca="1">(forwardZeroRate(365,Lin_Interp(G$59,Zero_swap_CL!$O$23:$O$94,Zero_swap_CL!$S$23:$S$94),Lin_Interp(ROUND($B68*365,0),Zero_swap_CL!$O$23:$O$94,Zero_swap_CL!$S$23:$S$94),G$59,$B68*365)-Lin_Interp(ROUND($B68*365,0),Zero_swap_CL!$O$23:$O$94,Zero_swap_CL!$S$23:$S$94))*100</f>
        <v>1.047032327505415</v>
      </c>
      <c r="H68" s="327">
        <f ca="1">(forwardZeroRate(365,Lin_Interp(H$59,Zero_swap_CL!$O$23:$O$94,Zero_swap_CL!$S$23:$S$94),Lin_Interp(ROUND($B68*365,0),Zero_swap_CL!$O$23:$O$94,Zero_swap_CL!$S$23:$S$94),H$59,$B68*365)-Lin_Interp(ROUND($B68*365,0),Zero_swap_CL!$O$23:$O$94,Zero_swap_CL!$S$23:$S$94))*100</f>
        <v>0.27609135858158718</v>
      </c>
      <c r="I68" s="333">
        <f ca="1">(forwardZeroRate(365,Lin_Interp(I$59,Zero_swap_CL!$O$23:$O$94,Zero_swap_CL!$S$23:$S$94),Lin_Interp(ROUND($B68*365,0),Zero_swap_CL!$O$23:$O$94,Zero_swap_CL!$S$23:$S$94),I$59,$B68*365)-Lin_Interp(ROUND($B68*365,0),Zero_swap_CL!$O$23:$O$94,Zero_swap_CL!$S$23:$S$94))*100</f>
        <v>-2.7762257132195045</v>
      </c>
      <c r="J68" s="327">
        <f ca="1">(Lin_Interp(ROUND($B68*365,0),Zero_swap_CL!$O$23:$O$94,Zero_swap_CL!$S$23:$S$94)-Lin_Interp(ROUND($B68*365-J$59,0),Zero_swap_CL!$O$23:$O$94,Zero_swap_CL!$S$23:$S$94))*100</f>
        <v>2.2442639112352225E-2</v>
      </c>
      <c r="K68" s="327">
        <f ca="1">(Lin_Interp(ROUND($B68*365,0),Zero_swap_CL!$O$23:$O$94,Zero_swap_CL!$S$23:$S$94)-Lin_Interp(ROUND($B68*365-K$59,0),Zero_swap_CL!$O$23:$O$94,Zero_swap_CL!$S$23:$S$94))*100</f>
        <v>0.11221319556172782</v>
      </c>
      <c r="L68" s="327">
        <f ca="1">(Lin_Interp(ROUND($B68*365,0),Zero_swap_CL!$O$23:$O$94,Zero_swap_CL!$S$23:$S$94)-Lin_Interp(ROUND($B68*365-L$59,0),Zero_swap_CL!$O$23:$O$94,Zero_swap_CL!$S$23:$S$94))*100</f>
        <v>0.22442639112345564</v>
      </c>
      <c r="M68" s="327">
        <f ca="1">(Lin_Interp(ROUND($B68*365,0),Zero_swap_CL!$O$23:$O$94,Zero_swap_CL!$S$23:$S$94)-Lin_Interp(ROUND($B68*365-M$59,0),Zero_swap_CL!$O$23:$O$94,Zero_swap_CL!$S$23:$S$94))*100</f>
        <v>0.44885278224692238</v>
      </c>
      <c r="N68" s="327">
        <f ca="1">(Lin_Interp(ROUND($B68*365,0),Zero_swap_CL!$O$23:$O$94,Zero_swap_CL!$S$23:$S$94)-Lin_Interp(ROUND($B68*365-N$59,0),Zero_swap_CL!$O$23:$O$94,Zero_swap_CL!$S$23:$S$94))*100</f>
        <v>0.67327917337037801</v>
      </c>
      <c r="O68" s="327">
        <f ca="1">(Lin_Interp(ROUND($B68*365,0),Zero_swap_CL!$O$23:$O$94,Zero_swap_CL!$S$23:$S$94)-Lin_Interp(ROUND($B68*365-O$59,0),Zero_swap_CL!$O$23:$O$94,Zero_swap_CL!$S$23:$S$94))*100</f>
        <v>1.346558346740756</v>
      </c>
      <c r="P68" s="333">
        <f ca="1">(Lin_Interp(ROUND($B68*365,0),Zero_swap_CL!$O$23:$O$94,Zero_swap_CL!$S$23:$S$94)-Lin_Interp(ROUND($B68*365-P$59,0),Zero_swap_CL!$O$23:$O$94,Zero_swap_CL!$S$23:$S$94))*100</f>
        <v>2.0198375201111451</v>
      </c>
      <c r="Q68" s="327">
        <f t="shared" ca="1" si="23"/>
        <v>7.3051938902168878E-3</v>
      </c>
      <c r="R68" s="327">
        <f t="shared" ca="1" si="22"/>
        <v>3.6637943074091517E-2</v>
      </c>
      <c r="S68" s="327">
        <f t="shared" ca="1" si="22"/>
        <v>7.3556977416611158E-2</v>
      </c>
      <c r="T68" s="327">
        <f t="shared" ca="1" si="22"/>
        <v>0.76148318945084004</v>
      </c>
      <c r="U68" s="327">
        <f t="shared" ca="1" si="22"/>
        <v>1.720311500875793</v>
      </c>
      <c r="V68" s="327">
        <f t="shared" ca="1" si="22"/>
        <v>1.6226497053223432</v>
      </c>
      <c r="W68" s="333">
        <f t="shared" ca="1" si="22"/>
        <v>-0.75638819310835936</v>
      </c>
    </row>
    <row r="69" spans="2:23">
      <c r="B69" s="331">
        <v>7</v>
      </c>
      <c r="C69" s="327">
        <f ca="1">(forwardZeroRate(365,Lin_Interp(C$59,Zero_swap_CL!$O$23:$O$94,Zero_swap_CL!$S$23:$S$94),Lin_Interp(ROUND($B69*365,0),Zero_swap_CL!$O$23:$O$94,Zero_swap_CL!$S$23:$S$94),C$59,$B69*365)-Lin_Interp(ROUND($B69*365,0),Zero_swap_CL!$O$23:$O$94,Zero_swap_CL!$S$23:$S$94))*100</f>
        <v>-9.7551465666034787E-3</v>
      </c>
      <c r="D69" s="327">
        <f ca="1">(forwardZeroRate(365,Lin_Interp(D$59,Zero_swap_CL!$O$23:$O$94,Zero_swap_CL!$S$23:$S$94),Lin_Interp(ROUND($B69*365,0),Zero_swap_CL!$O$23:$O$94,Zero_swap_CL!$S$23:$S$94),D$59,$B69*365)-Lin_Interp(ROUND($B69*365,0),Zero_swap_CL!$O$23:$O$94,Zero_swap_CL!$S$23:$S$94))*100</f>
        <v>-4.863749766099712E-2</v>
      </c>
      <c r="E69" s="327">
        <f ca="1">(forwardZeroRate(365,Lin_Interp(E$59,Zero_swap_CL!$O$23:$O$94,Zero_swap_CL!$S$23:$S$94),Lin_Interp(ROUND($B69*365,0),Zero_swap_CL!$O$23:$O$94,Zero_swap_CL!$S$23:$S$94),E$59,$B69*365)-Lin_Interp(ROUND($B69*365,0),Zero_swap_CL!$O$23:$O$94,Zero_swap_CL!$S$23:$S$94))*100</f>
        <v>-9.69281825496493E-2</v>
      </c>
      <c r="F69" s="327">
        <f ca="1">(forwardZeroRate(365,Lin_Interp(F$59,Zero_swap_CL!$O$23:$O$94,Zero_swap_CL!$S$23:$S$94),Lin_Interp(ROUND($B69*365,0),Zero_swap_CL!$O$23:$O$94,Zero_swap_CL!$S$23:$S$94),F$59,$B69*365)-Lin_Interp(ROUND($B69*365,0),Zero_swap_CL!$O$23:$O$94,Zero_swap_CL!$S$23:$S$94))*100</f>
        <v>0.33291222270641629</v>
      </c>
      <c r="G69" s="327">
        <f ca="1">(forwardZeroRate(365,Lin_Interp(G$59,Zero_swap_CL!$O$23:$O$94,Zero_swap_CL!$S$23:$S$94),Lin_Interp(ROUND($B69*365,0),Zero_swap_CL!$O$23:$O$94,Zero_swap_CL!$S$23:$S$94),G$59,$B69*365)-Lin_Interp(ROUND($B69*365,0),Zero_swap_CL!$O$23:$O$94,Zero_swap_CL!$S$23:$S$94))*100</f>
        <v>0.99441372170165909</v>
      </c>
      <c r="H69" s="327">
        <f ca="1">(forwardZeroRate(365,Lin_Interp(H$59,Zero_swap_CL!$O$23:$O$94,Zero_swap_CL!$S$23:$S$94),Lin_Interp(ROUND($B69*365,0),Zero_swap_CL!$O$23:$O$94,Zero_swap_CL!$S$23:$S$94),H$59,$B69*365)-Lin_Interp(ROUND($B69*365,0),Zero_swap_CL!$O$23:$O$94,Zero_swap_CL!$S$23:$S$94))*100</f>
        <v>0.43425655486599712</v>
      </c>
      <c r="I69" s="333">
        <f ca="1">(forwardZeroRate(365,Lin_Interp(I$59,Zero_swap_CL!$O$23:$O$94,Zero_swap_CL!$S$23:$S$94),Lin_Interp(ROUND($B69*365,0),Zero_swap_CL!$O$23:$O$94,Zero_swap_CL!$S$23:$S$94),I$59,$B69*365)-Lin_Interp(ROUND($B69*365,0),Zero_swap_CL!$O$23:$O$94,Zero_swap_CL!$S$23:$S$94))*100</f>
        <v>-2.0660336069294294</v>
      </c>
      <c r="J69" s="327">
        <f ca="1">(Lin_Interp(ROUND($B69*365,0),Zero_swap_CL!$O$23:$O$94,Zero_swap_CL!$S$23:$S$94)-Lin_Interp(ROUND($B69*365-J$59,0),Zero_swap_CL!$O$23:$O$94,Zero_swap_CL!$S$23:$S$94))*100</f>
        <v>2.2591780218883528E-2</v>
      </c>
      <c r="K69" s="327">
        <f ca="1">(Lin_Interp(ROUND($B69*365,0),Zero_swap_CL!$O$23:$O$94,Zero_swap_CL!$S$23:$S$94)-Lin_Interp(ROUND($B69*365-K$59,0),Zero_swap_CL!$O$23:$O$94,Zero_swap_CL!$S$23:$S$94))*100</f>
        <v>0.11295890109442874</v>
      </c>
      <c r="L69" s="327">
        <f ca="1">(Lin_Interp(ROUND($B69*365,0),Zero_swap_CL!$O$23:$O$94,Zero_swap_CL!$S$23:$S$94)-Lin_Interp(ROUND($B69*365-L$59,0),Zero_swap_CL!$O$23:$O$94,Zero_swap_CL!$S$23:$S$94))*100</f>
        <v>0.22591780218884638</v>
      </c>
      <c r="M69" s="327">
        <f ca="1">(Lin_Interp(ROUND($B69*365,0),Zero_swap_CL!$O$23:$O$94,Zero_swap_CL!$S$23:$S$94)-Lin_Interp(ROUND($B69*365-M$59,0),Zero_swap_CL!$O$23:$O$94,Zero_swap_CL!$S$23:$S$94))*100</f>
        <v>0.45183560437770387</v>
      </c>
      <c r="N69" s="327">
        <f ca="1">(Lin_Interp(ROUND($B69*365,0),Zero_swap_CL!$O$23:$O$94,Zero_swap_CL!$S$23:$S$94)-Lin_Interp(ROUND($B69*365-N$59,0),Zero_swap_CL!$O$23:$O$94,Zero_swap_CL!$S$23:$S$94))*100</f>
        <v>0.67775340656655025</v>
      </c>
      <c r="O69" s="327">
        <f ca="1">(Lin_Interp(ROUND($B69*365,0),Zero_swap_CL!$O$23:$O$94,Zero_swap_CL!$S$23:$S$94)-Lin_Interp(ROUND($B69*365-O$59,0),Zero_swap_CL!$O$23:$O$94,Zero_swap_CL!$S$23:$S$94))*100</f>
        <v>1.3555068131331005</v>
      </c>
      <c r="P69" s="333">
        <f ca="1">(Lin_Interp(ROUND($B69*365,0),Zero_swap_CL!$O$23:$O$94,Zero_swap_CL!$S$23:$S$94)-Lin_Interp(ROUND($B69*365-P$59,0),Zero_swap_CL!$O$23:$O$94,Zero_swap_CL!$S$23:$S$94))*100</f>
        <v>2.0332602196996508</v>
      </c>
      <c r="Q69" s="327">
        <f t="shared" ca="1" si="23"/>
        <v>1.2836633652280049E-2</v>
      </c>
      <c r="R69" s="327">
        <f t="shared" ca="1" si="22"/>
        <v>6.4321403433431623E-2</v>
      </c>
      <c r="S69" s="327">
        <f t="shared" ca="1" si="22"/>
        <v>0.12898961963919708</v>
      </c>
      <c r="T69" s="327">
        <f t="shared" ca="1" si="22"/>
        <v>0.78474782708412016</v>
      </c>
      <c r="U69" s="327">
        <f t="shared" ca="1" si="22"/>
        <v>1.6721671282682093</v>
      </c>
      <c r="V69" s="327">
        <f t="shared" ca="1" si="22"/>
        <v>1.7897633679990976</v>
      </c>
      <c r="W69" s="333">
        <f t="shared" ca="1" si="22"/>
        <v>-3.2773387229778628E-2</v>
      </c>
    </row>
    <row r="70" spans="2:23">
      <c r="B70" s="331">
        <v>8</v>
      </c>
      <c r="C70" s="327">
        <f ca="1">(forwardZeroRate(365,Lin_Interp(C$59,Zero_swap_CL!$O$23:$O$94,Zero_swap_CL!$S$23:$S$94),Lin_Interp(ROUND($B70*365,0),Zero_swap_CL!$O$23:$O$94,Zero_swap_CL!$S$23:$S$94),C$59,$B70*365)-Lin_Interp(ROUND($B70*365,0),Zero_swap_CL!$O$23:$O$94,Zero_swap_CL!$S$23:$S$94))*100</f>
        <v>-5.7028961927718669E-3</v>
      </c>
      <c r="D70" s="327">
        <f ca="1">(forwardZeroRate(365,Lin_Interp(D$59,Zero_swap_CL!$O$23:$O$94,Zero_swap_CL!$S$23:$S$94),Lin_Interp(ROUND($B70*365,0),Zero_swap_CL!$O$23:$O$94,Zero_swap_CL!$S$23:$S$94),D$59,$B70*365)-Lin_Interp(ROUND($B70*365,0),Zero_swap_CL!$O$23:$O$94,Zero_swap_CL!$S$23:$S$94))*100</f>
        <v>-2.8365648050132641E-2</v>
      </c>
      <c r="E70" s="327">
        <f ca="1">(forwardZeroRate(365,Lin_Interp(E$59,Zero_swap_CL!$O$23:$O$94,Zero_swap_CL!$S$23:$S$94),Lin_Interp(ROUND($B70*365,0),Zero_swap_CL!$O$23:$O$94,Zero_swap_CL!$S$23:$S$94),E$59,$B70*365)-Lin_Interp(ROUND($B70*365,0),Zero_swap_CL!$O$23:$O$94,Zero_swap_CL!$S$23:$S$94))*100</f>
        <v>-5.6358059427874529E-2</v>
      </c>
      <c r="F70" s="327">
        <f ca="1">(forwardZeroRate(365,Lin_Interp(F$59,Zero_swap_CL!$O$23:$O$94,Zero_swap_CL!$S$23:$S$94),Lin_Interp(ROUND($B70*365,0),Zero_swap_CL!$O$23:$O$94,Zero_swap_CL!$S$23:$S$94),F$59,$B70*365)-Lin_Interp(ROUND($B70*365,0),Zero_swap_CL!$O$23:$O$94,Zero_swap_CL!$S$23:$S$94))*100</f>
        <v>0.34841228946176361</v>
      </c>
      <c r="G70" s="327">
        <f ca="1">(forwardZeroRate(365,Lin_Interp(G$59,Zero_swap_CL!$O$23:$O$94,Zero_swap_CL!$S$23:$S$94),Lin_Interp(ROUND($B70*365,0),Zero_swap_CL!$O$23:$O$94,Zero_swap_CL!$S$23:$S$94),G$59,$B70*365)-Lin_Interp(ROUND($B70*365,0),Zero_swap_CL!$O$23:$O$94,Zero_swap_CL!$S$23:$S$94))*100</f>
        <v>0.95557538567965228</v>
      </c>
      <c r="H70" s="327">
        <f ca="1">(forwardZeroRate(365,Lin_Interp(H$59,Zero_swap_CL!$O$23:$O$94,Zero_swap_CL!$S$23:$S$94),Lin_Interp(ROUND($B70*365,0),Zero_swap_CL!$O$23:$O$94,Zero_swap_CL!$S$23:$S$94),H$59,$B70*365)-Lin_Interp(ROUND($B70*365,0),Zero_swap_CL!$O$23:$O$94,Zero_swap_CL!$S$23:$S$94))*100</f>
        <v>0.55303505472921177</v>
      </c>
      <c r="I70" s="333">
        <f ca="1">(forwardZeroRate(365,Lin_Interp(I$59,Zero_swap_CL!$O$23:$O$94,Zero_swap_CL!$S$23:$S$94),Lin_Interp(ROUND($B70*365,0),Zero_swap_CL!$O$23:$O$94,Zero_swap_CL!$S$23:$S$94),I$59,$B70*365)-Lin_Interp(ROUND($B70*365,0),Zero_swap_CL!$O$23:$O$94,Zero_swap_CL!$S$23:$S$94))*100</f>
        <v>-1.5375237687129006</v>
      </c>
      <c r="J70" s="327">
        <f ca="1">(Lin_Interp(ROUND($B70*365,0),Zero_swap_CL!$O$23:$O$94,Zero_swap_CL!$S$23:$S$94)-Lin_Interp(ROUND($B70*365-J$59,0),Zero_swap_CL!$O$23:$O$94,Zero_swap_CL!$S$23:$S$94))*100</f>
        <v>2.2700575618772589E-2</v>
      </c>
      <c r="K70" s="327">
        <f ca="1">(Lin_Interp(ROUND($B70*365,0),Zero_swap_CL!$O$23:$O$94,Zero_swap_CL!$S$23:$S$94)-Lin_Interp(ROUND($B70*365-K$59,0),Zero_swap_CL!$O$23:$O$94,Zero_swap_CL!$S$23:$S$94))*100</f>
        <v>0.11350287809381854</v>
      </c>
      <c r="L70" s="327">
        <f ca="1">(Lin_Interp(ROUND($B70*365,0),Zero_swap_CL!$O$23:$O$94,Zero_swap_CL!$S$23:$S$94)-Lin_Interp(ROUND($B70*365-L$59,0),Zero_swap_CL!$O$23:$O$94,Zero_swap_CL!$S$23:$S$94))*100</f>
        <v>0.22700575618763708</v>
      </c>
      <c r="M70" s="327">
        <f ca="1">(Lin_Interp(ROUND($B70*365,0),Zero_swap_CL!$O$23:$O$94,Zero_swap_CL!$S$23:$S$94)-Lin_Interp(ROUND($B70*365-M$59,0),Zero_swap_CL!$O$23:$O$94,Zero_swap_CL!$S$23:$S$94))*100</f>
        <v>0.45401151237527415</v>
      </c>
      <c r="N70" s="327">
        <f ca="1">(Lin_Interp(ROUND($B70*365,0),Zero_swap_CL!$O$23:$O$94,Zero_swap_CL!$S$23:$S$94)-Lin_Interp(ROUND($B70*365-N$59,0),Zero_swap_CL!$O$23:$O$94,Zero_swap_CL!$S$23:$S$94))*100</f>
        <v>0.68101726856291123</v>
      </c>
      <c r="O70" s="327">
        <f ca="1">(Lin_Interp(ROUND($B70*365,0),Zero_swap_CL!$O$23:$O$94,Zero_swap_CL!$S$23:$S$94)-Lin_Interp(ROUND($B70*365-O$59,0),Zero_swap_CL!$O$23:$O$94,Zero_swap_CL!$S$23:$S$94))*100</f>
        <v>1.3620345371258447</v>
      </c>
      <c r="P70" s="333">
        <f ca="1">(Lin_Interp(ROUND($B70*365,0),Zero_swap_CL!$O$23:$O$94,Zero_swap_CL!$S$23:$S$94)-Lin_Interp(ROUND($B70*365-P$59,0),Zero_swap_CL!$O$23:$O$94,Zero_swap_CL!$S$23:$S$94))*100</f>
        <v>2.0430518056887559</v>
      </c>
      <c r="Q70" s="327">
        <f t="shared" ca="1" si="23"/>
        <v>1.6997679426000722E-2</v>
      </c>
      <c r="R70" s="327">
        <f t="shared" ca="1" si="22"/>
        <v>8.5137230043685896E-2</v>
      </c>
      <c r="S70" s="327">
        <f t="shared" ca="1" si="22"/>
        <v>0.17064769675976255</v>
      </c>
      <c r="T70" s="327">
        <f t="shared" ca="1" si="22"/>
        <v>0.80242380183703776</v>
      </c>
      <c r="U70" s="327">
        <f t="shared" ca="1" si="22"/>
        <v>1.6365926542425635</v>
      </c>
      <c r="V70" s="327">
        <f t="shared" ca="1" si="22"/>
        <v>1.9150695918550564</v>
      </c>
      <c r="W70" s="333">
        <f t="shared" ca="1" si="22"/>
        <v>0.50552803697585524</v>
      </c>
    </row>
    <row r="71" spans="2:23">
      <c r="B71" s="331">
        <v>9</v>
      </c>
      <c r="C71" s="327">
        <f ca="1">(forwardZeroRate(365,Lin_Interp(C$59,Zero_swap_CL!$O$23:$O$94,Zero_swap_CL!$S$23:$S$94),Lin_Interp(ROUND($B71*365,0),Zero_swap_CL!$O$23:$O$94,Zero_swap_CL!$S$23:$S$94),C$59,$B71*365)-Lin_Interp(ROUND($B71*365,0),Zero_swap_CL!$O$23:$O$94,Zero_swap_CL!$S$23:$S$94))*100</f>
        <v>-2.5205794949245686E-3</v>
      </c>
      <c r="D71" s="327">
        <f ca="1">(forwardZeroRate(365,Lin_Interp(D$59,Zero_swap_CL!$O$23:$O$94,Zero_swap_CL!$S$23:$S$94),Lin_Interp(ROUND($B71*365,0),Zero_swap_CL!$O$23:$O$94,Zero_swap_CL!$S$23:$S$94),D$59,$B71*365)-Lin_Interp(ROUND($B71*365,0),Zero_swap_CL!$O$23:$O$94,Zero_swap_CL!$S$23:$S$94))*100</f>
        <v>-1.2451105978272814E-2</v>
      </c>
      <c r="E71" s="327">
        <f ca="1">(forwardZeroRate(365,Lin_Interp(E$59,Zero_swap_CL!$O$23:$O$94,Zero_swap_CL!$S$23:$S$94),Lin_Interp(ROUND($B71*365,0),Zero_swap_CL!$O$23:$O$94,Zero_swap_CL!$S$23:$S$94),E$59,$B71*365)-Lin_Interp(ROUND($B71*365,0),Zero_swap_CL!$O$23:$O$94,Zero_swap_CL!$S$23:$S$94))*100</f>
        <v>-2.4521686164757917E-2</v>
      </c>
      <c r="F71" s="327">
        <f ca="1">(forwardZeroRate(365,Lin_Interp(F$59,Zero_swap_CL!$O$23:$O$94,Zero_swap_CL!$S$23:$S$94),Lin_Interp(ROUND($B71*365,0),Zero_swap_CL!$O$23:$O$94,Zero_swap_CL!$S$23:$S$94),F$59,$B71*365)-Lin_Interp(ROUND($B71*365,0),Zero_swap_CL!$O$23:$O$94,Zero_swap_CL!$S$23:$S$94))*100</f>
        <v>0.3610710649528448</v>
      </c>
      <c r="G71" s="327">
        <f ca="1">(forwardZeroRate(365,Lin_Interp(G$59,Zero_swap_CL!$O$23:$O$94,Zero_swap_CL!$S$23:$S$94),Lin_Interp(ROUND($B71*365,0),Zero_swap_CL!$O$23:$O$94,Zero_swap_CL!$S$23:$S$94),G$59,$B71*365)-Lin_Interp(ROUND($B71*365,0),Zero_swap_CL!$O$23:$O$94,Zero_swap_CL!$S$23:$S$94))*100</f>
        <v>0.92639032747940941</v>
      </c>
      <c r="H71" s="327">
        <f ca="1">(forwardZeroRate(365,Lin_Interp(H$59,Zero_swap_CL!$O$23:$O$94,Zero_swap_CL!$S$23:$S$94),Lin_Interp(ROUND($B71*365,0),Zero_swap_CL!$O$23:$O$94,Zero_swap_CL!$S$23:$S$94),H$59,$B71*365)-Lin_Interp(ROUND($B71*365,0),Zero_swap_CL!$O$23:$O$94,Zero_swap_CL!$S$23:$S$94))*100</f>
        <v>0.64682003776537211</v>
      </c>
      <c r="I71" s="333">
        <f ca="1">(forwardZeroRate(365,Lin_Interp(I$59,Zero_swap_CL!$O$23:$O$94,Zero_swap_CL!$S$23:$S$94),Lin_Interp(ROUND($B71*365,0),Zero_swap_CL!$O$23:$O$94,Zero_swap_CL!$S$23:$S$94),I$59,$B71*365)-Lin_Interp(ROUND($B71*365,0),Zero_swap_CL!$O$23:$O$94,Zero_swap_CL!$S$23:$S$94))*100</f>
        <v>-1.1269057421956719</v>
      </c>
      <c r="J71" s="327">
        <f ca="1">(Lin_Interp(ROUND($B71*365,0),Zero_swap_CL!$O$23:$O$94,Zero_swap_CL!$S$23:$S$94)-Lin_Interp(ROUND($B71*365-J$59,0),Zero_swap_CL!$O$23:$O$94,Zero_swap_CL!$S$23:$S$94))*100</f>
        <v>2.2963316387825117E-2</v>
      </c>
      <c r="K71" s="327">
        <f ca="1">(Lin_Interp(ROUND($B71*365,0),Zero_swap_CL!$O$23:$O$94,Zero_swap_CL!$S$23:$S$94)-Lin_Interp(ROUND($B71*365-K$59,0),Zero_swap_CL!$O$23:$O$94,Zero_swap_CL!$S$23:$S$94))*100</f>
        <v>0.11481658193910338</v>
      </c>
      <c r="L71" s="327">
        <f ca="1">(Lin_Interp(ROUND($B71*365,0),Zero_swap_CL!$O$23:$O$94,Zero_swap_CL!$S$23:$S$94)-Lin_Interp(ROUND($B71*365-L$59,0),Zero_swap_CL!$O$23:$O$94,Zero_swap_CL!$S$23:$S$94))*100</f>
        <v>0.22963316387820676</v>
      </c>
      <c r="M71" s="327">
        <f ca="1">(Lin_Interp(ROUND($B71*365,0),Zero_swap_CL!$O$23:$O$94,Zero_swap_CL!$S$23:$S$94)-Lin_Interp(ROUND($B71*365-M$59,0),Zero_swap_CL!$O$23:$O$94,Zero_swap_CL!$S$23:$S$94))*100</f>
        <v>0.45926632775639131</v>
      </c>
      <c r="N71" s="327">
        <f ca="1">(Lin_Interp(ROUND($B71*365,0),Zero_swap_CL!$O$23:$O$94,Zero_swap_CL!$S$23:$S$94)-Lin_Interp(ROUND($B71*365-N$59,0),Zero_swap_CL!$O$23:$O$94,Zero_swap_CL!$S$23:$S$94))*100</f>
        <v>0.68889949163459807</v>
      </c>
      <c r="O71" s="327">
        <f ca="1">(Lin_Interp(ROUND($B71*365,0),Zero_swap_CL!$O$23:$O$94,Zero_swap_CL!$S$23:$S$94)-Lin_Interp(ROUND($B71*365-O$59,0),Zero_swap_CL!$O$23:$O$94,Zero_swap_CL!$S$23:$S$94))*100</f>
        <v>1.3777989832691961</v>
      </c>
      <c r="P71" s="333">
        <f ca="1">(Lin_Interp(ROUND($B71*365,0),Zero_swap_CL!$O$23:$O$94,Zero_swap_CL!$S$23:$S$94)-Lin_Interp(ROUND($B71*365-P$59,0),Zero_swap_CL!$O$23:$O$94,Zero_swap_CL!$S$23:$S$94))*100</f>
        <v>2.0666984749037942</v>
      </c>
      <c r="Q71" s="327">
        <f t="shared" ca="1" si="23"/>
        <v>2.0442736892900548E-2</v>
      </c>
      <c r="R71" s="327">
        <f t="shared" ca="1" si="22"/>
        <v>0.10236547596083057</v>
      </c>
      <c r="S71" s="327">
        <f t="shared" ca="1" si="22"/>
        <v>0.20511147771344884</v>
      </c>
      <c r="T71" s="327">
        <f t="shared" ca="1" si="22"/>
        <v>0.82033739270923611</v>
      </c>
      <c r="U71" s="327">
        <f t="shared" ca="1" si="22"/>
        <v>1.6152898191140075</v>
      </c>
      <c r="V71" s="327">
        <f t="shared" ca="1" si="22"/>
        <v>2.0246190210345683</v>
      </c>
      <c r="W71" s="333">
        <f t="shared" ca="1" si="22"/>
        <v>0.93979273270812236</v>
      </c>
    </row>
    <row r="72" spans="2:23" ht="13.5" thickBot="1">
      <c r="B72" s="331">
        <v>10</v>
      </c>
      <c r="C72" s="334">
        <f ca="1">(forwardZeroRate(365,Lin_Interp(C$59,Zero_swap_CL!$O$23:$O$94,Zero_swap_CL!$S$23:$S$94),Lin_Interp(ROUND($B72*365,0),Zero_swap_CL!$O$23:$O$94,Zero_swap_CL!$S$23:$S$94),C$59,$B72*365)-Lin_Interp(ROUND($B72*365,0),Zero_swap_CL!$O$23:$O$94,Zero_swap_CL!$S$23:$S$94))*100</f>
        <v>-5.2759979807248669E-4</v>
      </c>
      <c r="D72" s="335">
        <f ca="1">(forwardZeroRate(365,Lin_Interp(D$59,Zero_swap_CL!$O$23:$O$94,Zero_swap_CL!$S$23:$S$94),Lin_Interp(ROUND($B72*365,0),Zero_swap_CL!$O$23:$O$94,Zero_swap_CL!$S$23:$S$94),D$59,$B72*365)-Lin_Interp(ROUND($B72*365,0),Zero_swap_CL!$O$23:$O$94,Zero_swap_CL!$S$23:$S$94))*100</f>
        <v>-2.4903827453570671E-3</v>
      </c>
      <c r="E72" s="335">
        <f ca="1">(forwardZeroRate(365,Lin_Interp(E$59,Zero_swap_CL!$O$23:$O$94,Zero_swap_CL!$S$23:$S$94),Lin_Interp(ROUND($B72*365,0),Zero_swap_CL!$O$23:$O$94,Zero_swap_CL!$S$23:$S$94),E$59,$B72*365)-Lin_Interp(ROUND($B72*365,0),Zero_swap_CL!$O$23:$O$94,Zero_swap_CL!$S$23:$S$94))*100</f>
        <v>-4.6108079829743076E-3</v>
      </c>
      <c r="F72" s="335">
        <f ca="1">(forwardZeroRate(365,Lin_Interp(F$59,Zero_swap_CL!$O$23:$O$94,Zero_swap_CL!$S$23:$S$94),Lin_Interp(ROUND($B72*365,0),Zero_swap_CL!$O$23:$O$94,Zero_swap_CL!$S$23:$S$94),F$59,$B72*365)-Lin_Interp(ROUND($B72*365,0),Zero_swap_CL!$O$23:$O$94,Zero_swap_CL!$S$23:$S$94))*100</f>
        <v>0.35999774384087857</v>
      </c>
      <c r="G72" s="335">
        <f ca="1">(forwardZeroRate(365,Lin_Interp(G$59,Zero_swap_CL!$O$23:$O$94,Zero_swap_CL!$S$23:$S$94),Lin_Interp(ROUND($B72*365,0),Zero_swap_CL!$O$23:$O$94,Zero_swap_CL!$S$23:$S$94),G$59,$B72*365)-Lin_Interp(ROUND($B72*365,0),Zero_swap_CL!$O$23:$O$94,Zero_swap_CL!$S$23:$S$94))*100</f>
        <v>0.88619491963948249</v>
      </c>
      <c r="H72" s="335">
        <f ca="1">(forwardZeroRate(365,Lin_Interp(H$59,Zero_swap_CL!$O$23:$O$94,Zero_swap_CL!$S$23:$S$94),Lin_Interp(ROUND($B72*365,0),Zero_swap_CL!$O$23:$O$94,Zero_swap_CL!$S$23:$S$94),H$59,$B72*365)-Lin_Interp(ROUND($B72*365,0),Zero_swap_CL!$O$23:$O$94,Zero_swap_CL!$S$23:$S$94))*100</f>
        <v>0.68768178567735205</v>
      </c>
      <c r="I72" s="336">
        <f ca="1">(forwardZeroRate(365,Lin_Interp(I$59,Zero_swap_CL!$O$23:$O$94,Zero_swap_CL!$S$23:$S$94),Lin_Interp(ROUND($B72*365,0),Zero_swap_CL!$O$23:$O$94,Zero_swap_CL!$S$23:$S$94),I$59,$B72*365)-Lin_Interp(ROUND($B72*365,0),Zero_swap_CL!$O$23:$O$94,Zero_swap_CL!$S$23:$S$94))*100</f>
        <v>-0.85129736739997242</v>
      </c>
      <c r="J72" s="334">
        <f ca="1">(Lin_Interp(ROUND($B72*365,0),Zero_swap_CL!$O$23:$O$94,Zero_swap_CL!$S$23:$S$94)-Lin_Interp(ROUND($B72*365-J$59,0),Zero_swap_CL!$O$23:$O$94,Zero_swap_CL!$S$23:$S$94))*100</f>
        <v>1.7288157149408789E-2</v>
      </c>
      <c r="K72" s="335">
        <f ca="1">(Lin_Interp(ROUND($B72*365,0),Zero_swap_CL!$O$23:$O$94,Zero_swap_CL!$S$23:$S$94)-Lin_Interp(ROUND($B72*365-K$59,0),Zero_swap_CL!$O$23:$O$94,Zero_swap_CL!$S$23:$S$94))*100</f>
        <v>8.6440785746977333E-2</v>
      </c>
      <c r="L72" s="335">
        <f ca="1">(Lin_Interp(ROUND($B72*365,0),Zero_swap_CL!$O$23:$O$94,Zero_swap_CL!$S$23:$S$94)-Lin_Interp(ROUND($B72*365-L$59,0),Zero_swap_CL!$O$23:$O$94,Zero_swap_CL!$S$23:$S$94))*100</f>
        <v>0.17288157149395467</v>
      </c>
      <c r="M72" s="335">
        <f ca="1">(Lin_Interp(ROUND($B72*365,0),Zero_swap_CL!$O$23:$O$94,Zero_swap_CL!$S$23:$S$94)-Lin_Interp(ROUND($B72*365-M$59,0),Zero_swap_CL!$O$23:$O$94,Zero_swap_CL!$S$23:$S$94))*100</f>
        <v>0.34576314298790933</v>
      </c>
      <c r="N72" s="335">
        <f ca="1">(Lin_Interp(ROUND($B72*365,0),Zero_swap_CL!$O$23:$O$94,Zero_swap_CL!$S$23:$S$94)-Lin_Interp(ROUND($B72*365-N$59,0),Zero_swap_CL!$O$23:$O$94,Zero_swap_CL!$S$23:$S$94))*100</f>
        <v>0.5186447144818862</v>
      </c>
      <c r="O72" s="335">
        <f ca="1">(Lin_Interp(ROUND($B72*365,0),Zero_swap_CL!$O$23:$O$94,Zero_swap_CL!$S$23:$S$94)-Lin_Interp(ROUND($B72*365-O$59,0),Zero_swap_CL!$O$23:$O$94,Zero_swap_CL!$S$23:$S$94))*100</f>
        <v>1.0372894289637502</v>
      </c>
      <c r="P72" s="336">
        <f ca="1">(Lin_Interp(ROUND($B72*365,0),Zero_swap_CL!$O$23:$O$94,Zero_swap_CL!$S$23:$S$94)-Lin_Interp(ROUND($B72*365-P$59,0),Zero_swap_CL!$O$23:$O$94,Zero_swap_CL!$S$23:$S$94))*100</f>
        <v>1.5559341434456142</v>
      </c>
      <c r="Q72" s="334">
        <f t="shared" ca="1" si="23"/>
        <v>1.6760557351336303E-2</v>
      </c>
      <c r="R72" s="335">
        <f t="shared" ca="1" si="22"/>
        <v>8.3950403001620266E-2</v>
      </c>
      <c r="S72" s="335">
        <f t="shared" ca="1" si="22"/>
        <v>0.16827076351098036</v>
      </c>
      <c r="T72" s="335">
        <f t="shared" ca="1" si="22"/>
        <v>0.7057608868287879</v>
      </c>
      <c r="U72" s="335">
        <f t="shared" ca="1" si="22"/>
        <v>1.4048396341213687</v>
      </c>
      <c r="V72" s="335">
        <f t="shared" ca="1" si="22"/>
        <v>1.7249712146411023</v>
      </c>
      <c r="W72" s="336">
        <f t="shared" ca="1" si="22"/>
        <v>0.70463677604564179</v>
      </c>
    </row>
    <row r="83" spans="2:23" ht="16.5" thickBot="1">
      <c r="C83" s="589" t="s">
        <v>356</v>
      </c>
      <c r="D83" s="590"/>
      <c r="E83" s="590"/>
      <c r="F83" s="590"/>
      <c r="G83" s="590"/>
      <c r="H83" s="590"/>
      <c r="I83" s="590"/>
      <c r="J83" s="590"/>
      <c r="K83" s="590"/>
      <c r="L83" s="590"/>
      <c r="M83" s="590"/>
      <c r="N83" s="590"/>
      <c r="O83" s="590"/>
      <c r="P83" s="590"/>
      <c r="Q83" s="590"/>
      <c r="R83" s="590"/>
      <c r="S83" s="590"/>
      <c r="T83" s="590"/>
      <c r="U83" s="590"/>
      <c r="V83" s="590"/>
      <c r="W83" s="590"/>
    </row>
    <row r="84" spans="2:23" ht="13.5" thickBot="1">
      <c r="B84" s="188"/>
      <c r="C84" s="570" t="s">
        <v>150</v>
      </c>
      <c r="D84" s="585"/>
      <c r="E84" s="585"/>
      <c r="F84" s="585"/>
      <c r="G84" s="585"/>
      <c r="H84" s="585"/>
      <c r="I84" s="571"/>
      <c r="J84" s="570" t="s">
        <v>316</v>
      </c>
      <c r="K84" s="585"/>
      <c r="L84" s="585"/>
      <c r="M84" s="585"/>
      <c r="N84" s="585"/>
      <c r="O84" s="585"/>
      <c r="P84" s="571"/>
      <c r="Q84" s="570" t="s">
        <v>317</v>
      </c>
      <c r="R84" s="585"/>
      <c r="S84" s="585"/>
      <c r="T84" s="585"/>
      <c r="U84" s="585"/>
      <c r="V84" s="585"/>
      <c r="W84" s="571"/>
    </row>
    <row r="85" spans="2:23" ht="13.5" thickBot="1">
      <c r="B85" s="220" t="s">
        <v>309</v>
      </c>
      <c r="C85" s="352">
        <v>1</v>
      </c>
      <c r="D85" s="352">
        <v>5</v>
      </c>
      <c r="E85" s="352">
        <v>10</v>
      </c>
      <c r="F85" s="352">
        <v>20</v>
      </c>
      <c r="G85" s="352">
        <v>30</v>
      </c>
      <c r="H85" s="352">
        <v>60</v>
      </c>
      <c r="I85" s="352">
        <v>90</v>
      </c>
      <c r="J85" s="352">
        <v>1</v>
      </c>
      <c r="K85" s="352">
        <v>5</v>
      </c>
      <c r="L85" s="352">
        <v>10</v>
      </c>
      <c r="M85" s="352">
        <v>20</v>
      </c>
      <c r="N85" s="352">
        <v>30</v>
      </c>
      <c r="O85" s="352">
        <v>60</v>
      </c>
      <c r="P85" s="352">
        <v>90</v>
      </c>
      <c r="Q85" s="352">
        <v>1</v>
      </c>
      <c r="R85" s="352">
        <v>5</v>
      </c>
      <c r="S85" s="352">
        <v>10</v>
      </c>
      <c r="T85" s="352">
        <v>20</v>
      </c>
      <c r="U85" s="352">
        <v>30</v>
      </c>
      <c r="V85" s="352">
        <v>60</v>
      </c>
      <c r="W85" s="352">
        <v>90</v>
      </c>
    </row>
    <row r="86" spans="2:23">
      <c r="B86" s="340">
        <v>0.5</v>
      </c>
      <c r="C86" s="327">
        <f ca="1">C60*($B86-C$85/360)</f>
        <v>1.5711902395129342E-2</v>
      </c>
      <c r="D86" s="327">
        <f t="shared" ref="D86:P86" ca="1" si="24">D60*($B86-D$85/360)</f>
        <v>8.0038911531623194E-2</v>
      </c>
      <c r="E86" s="327">
        <f t="shared" ca="1" si="24"/>
        <v>0.16377052363739406</v>
      </c>
      <c r="F86" s="327">
        <f t="shared" ca="1" si="24"/>
        <v>3.9976632960378762</v>
      </c>
      <c r="G86" s="327">
        <f t="shared" ca="1" si="24"/>
        <v>9.4098564222946948</v>
      </c>
      <c r="H86" s="327">
        <f t="shared" ca="1" si="24"/>
        <v>7.9829759968626712</v>
      </c>
      <c r="I86" s="332">
        <f t="shared" ca="1" si="24"/>
        <v>-6.3257731410518154</v>
      </c>
      <c r="J86" s="327">
        <f t="shared" ca="1" si="24"/>
        <v>-0.97398915881684778</v>
      </c>
      <c r="K86" s="327">
        <f t="shared" ca="1" si="24"/>
        <v>-5.0011773962533832</v>
      </c>
      <c r="L86" s="327">
        <f t="shared" ca="1" si="24"/>
        <v>-10.066370870772785</v>
      </c>
      <c r="M86" s="327">
        <f t="shared" ca="1" si="24"/>
        <v>-18.573085660973572</v>
      </c>
      <c r="N86" s="327">
        <f t="shared" ca="1" si="24"/>
        <v>-20.266935345705786</v>
      </c>
      <c r="O86" s="327">
        <f t="shared" ca="1" si="24"/>
        <v>-16.603803325139594</v>
      </c>
      <c r="P86" s="332">
        <f t="shared" ca="1" si="24"/>
        <v>-7.5901361075182976</v>
      </c>
      <c r="Q86" s="327">
        <f ca="1">C86+J86</f>
        <v>-0.95827725642171846</v>
      </c>
      <c r="R86" s="327">
        <f t="shared" ref="R86:R98" ca="1" si="25">D86+K86</f>
        <v>-4.9211384847217596</v>
      </c>
      <c r="S86" s="327">
        <f t="shared" ref="S86:S98" ca="1" si="26">E86+L86</f>
        <v>-9.9026003471353903</v>
      </c>
      <c r="T86" s="327">
        <f t="shared" ref="T86:T98" ca="1" si="27">F86+M86</f>
        <v>-14.575422364935696</v>
      </c>
      <c r="U86" s="327">
        <f t="shared" ref="U86:U98" ca="1" si="28">G86+N86</f>
        <v>-10.857078923411091</v>
      </c>
      <c r="V86" s="327">
        <f t="shared" ref="V86:V98" ca="1" si="29">H86+O86</f>
        <v>-8.6208273282769241</v>
      </c>
      <c r="W86" s="332">
        <f t="shared" ref="W86:W98" ca="1" si="30">I86+P86</f>
        <v>-13.915909248570113</v>
      </c>
    </row>
    <row r="87" spans="2:23">
      <c r="B87" s="341">
        <v>0.75</v>
      </c>
      <c r="C87" s="327">
        <f t="shared" ref="C87:P87" ca="1" si="31">C61*($B87-C$85/360)</f>
        <v>-8.7794499761896364E-2</v>
      </c>
      <c r="D87" s="327">
        <f t="shared" ca="1" si="31"/>
        <v>-0.43737291381933263</v>
      </c>
      <c r="E87" s="327">
        <f t="shared" ca="1" si="31"/>
        <v>-0.87074039437240458</v>
      </c>
      <c r="F87" s="327">
        <f t="shared" ca="1" si="31"/>
        <v>1.9168588152870505</v>
      </c>
      <c r="G87" s="327">
        <f t="shared" ca="1" si="31"/>
        <v>6.2784781931991178</v>
      </c>
      <c r="H87" s="327">
        <f t="shared" ca="1" si="31"/>
        <v>1.7842212420220809</v>
      </c>
      <c r="I87" s="333">
        <f t="shared" ca="1" si="31"/>
        <v>-15.576352931558013</v>
      </c>
      <c r="J87" s="327">
        <f t="shared" ca="1" si="31"/>
        <v>-0.14423868420497563</v>
      </c>
      <c r="K87" s="327">
        <f t="shared" ca="1" si="31"/>
        <v>-0.71878373099701975</v>
      </c>
      <c r="L87" s="327">
        <f t="shared" ca="1" si="31"/>
        <v>-1.4430735504121894</v>
      </c>
      <c r="M87" s="327">
        <f t="shared" ca="1" si="31"/>
        <v>-2.8041166887960496</v>
      </c>
      <c r="N87" s="327">
        <f t="shared" ca="1" si="31"/>
        <v>-3.9746263133582831</v>
      </c>
      <c r="O87" s="327">
        <f t="shared" ca="1" si="31"/>
        <v>-7.0796227554570752</v>
      </c>
      <c r="P87" s="333">
        <f t="shared" ca="1" si="31"/>
        <v>-17.936281774319831</v>
      </c>
      <c r="Q87" s="327">
        <f t="shared" ref="Q87:Q98" ca="1" si="32">C87+J87</f>
        <v>-0.232033183966872</v>
      </c>
      <c r="R87" s="327">
        <f t="shared" ca="1" si="25"/>
        <v>-1.1561566448163525</v>
      </c>
      <c r="S87" s="327">
        <f t="shared" ca="1" si="26"/>
        <v>-2.3138139447845942</v>
      </c>
      <c r="T87" s="327">
        <f t="shared" ca="1" si="27"/>
        <v>-0.8872578735089991</v>
      </c>
      <c r="U87" s="327">
        <f t="shared" ca="1" si="28"/>
        <v>2.3038518798408347</v>
      </c>
      <c r="V87" s="327">
        <f t="shared" ca="1" si="29"/>
        <v>-5.2954015134349941</v>
      </c>
      <c r="W87" s="333">
        <f t="shared" ca="1" si="30"/>
        <v>-33.512634705877844</v>
      </c>
    </row>
    <row r="88" spans="2:23">
      <c r="B88" s="331">
        <v>1</v>
      </c>
      <c r="C88" s="327">
        <f t="shared" ref="C88:P88" ca="1" si="33">C62*($B88-C$85/360)</f>
        <v>-0.16382056303601258</v>
      </c>
      <c r="D88" s="327">
        <f t="shared" ca="1" si="33"/>
        <v>-0.81745492493077543</v>
      </c>
      <c r="E88" s="327">
        <f t="shared" ca="1" si="33"/>
        <v>-1.6307822563458061</v>
      </c>
      <c r="F88" s="327">
        <f t="shared" ca="1" si="33"/>
        <v>0.38766283651526912</v>
      </c>
      <c r="G88" s="327">
        <f t="shared" ca="1" si="33"/>
        <v>3.9766864634403301</v>
      </c>
      <c r="H88" s="327">
        <f t="shared" ca="1" si="33"/>
        <v>-2.7822113348952016</v>
      </c>
      <c r="I88" s="333">
        <f t="shared" ca="1" si="33"/>
        <v>-22.392615610335454</v>
      </c>
      <c r="J88" s="327">
        <f t="shared" ca="1" si="33"/>
        <v>-0.81764787803376582</v>
      </c>
      <c r="K88" s="327">
        <f t="shared" ca="1" si="33"/>
        <v>-4.0426879763507921</v>
      </c>
      <c r="L88" s="327">
        <f t="shared" ca="1" si="33"/>
        <v>-8.1897418674134475</v>
      </c>
      <c r="M88" s="327">
        <f t="shared" ca="1" si="33"/>
        <v>-14.776899838415371</v>
      </c>
      <c r="N88" s="327">
        <f t="shared" ca="1" si="33"/>
        <v>-17.438594135019596</v>
      </c>
      <c r="O88" s="327">
        <f t="shared" ca="1" si="33"/>
        <v>-18.800329455495593</v>
      </c>
      <c r="P88" s="333">
        <f t="shared" ca="1" si="33"/>
        <v>-20.763422947289722</v>
      </c>
      <c r="Q88" s="327">
        <f t="shared" ca="1" si="32"/>
        <v>-0.98146844106977837</v>
      </c>
      <c r="R88" s="327">
        <f t="shared" ca="1" si="25"/>
        <v>-4.8601429012815673</v>
      </c>
      <c r="S88" s="327">
        <f t="shared" ca="1" si="26"/>
        <v>-9.8205241237592542</v>
      </c>
      <c r="T88" s="327">
        <f t="shared" ca="1" si="27"/>
        <v>-14.389237001900103</v>
      </c>
      <c r="U88" s="327">
        <f t="shared" ca="1" si="28"/>
        <v>-13.461907671579265</v>
      </c>
      <c r="V88" s="327">
        <f t="shared" ca="1" si="29"/>
        <v>-21.582540790390794</v>
      </c>
      <c r="W88" s="333">
        <f t="shared" ca="1" si="30"/>
        <v>-43.15603855762518</v>
      </c>
    </row>
    <row r="89" spans="2:23">
      <c r="B89" s="341">
        <v>1.5</v>
      </c>
      <c r="C89" s="327">
        <f t="shared" ref="C89:P89" ca="1" si="34">C63*($B89-C$85/360)</f>
        <v>-0.11487214358356204</v>
      </c>
      <c r="D89" s="327">
        <f t="shared" ca="1" si="34"/>
        <v>-0.57279612238225153</v>
      </c>
      <c r="E89" s="327">
        <f t="shared" ca="1" si="34"/>
        <v>-1.141679020120165</v>
      </c>
      <c r="F89" s="327">
        <f t="shared" ca="1" si="34"/>
        <v>1.3729043244316144</v>
      </c>
      <c r="G89" s="327">
        <f t="shared" ca="1" si="34"/>
        <v>5.4618862130270758</v>
      </c>
      <c r="H89" s="327">
        <f t="shared" ca="1" si="34"/>
        <v>0.15915851812304815</v>
      </c>
      <c r="I89" s="333">
        <f t="shared" ca="1" si="34"/>
        <v>-18.073942005757445</v>
      </c>
      <c r="J89" s="327">
        <f t="shared" ca="1" si="34"/>
        <v>8.7132579534548726E-2</v>
      </c>
      <c r="K89" s="327">
        <f t="shared" ca="1" si="34"/>
        <v>0.43242977783845404</v>
      </c>
      <c r="L89" s="327">
        <f t="shared" ca="1" si="34"/>
        <v>0.85677675609114268</v>
      </c>
      <c r="M89" s="327">
        <f t="shared" ca="1" si="34"/>
        <v>1.6812223138392393</v>
      </c>
      <c r="N89" s="327">
        <f t="shared" ca="1" si="34"/>
        <v>2.4733366732442579</v>
      </c>
      <c r="O89" s="327">
        <f t="shared" ca="1" si="34"/>
        <v>6.2599548972185417</v>
      </c>
      <c r="P89" s="333">
        <f t="shared" ca="1" si="34"/>
        <v>15.665564966068677</v>
      </c>
      <c r="Q89" s="327">
        <f t="shared" ca="1" si="32"/>
        <v>-2.7739564049013316E-2</v>
      </c>
      <c r="R89" s="327">
        <f t="shared" ca="1" si="25"/>
        <v>-0.14036634454379748</v>
      </c>
      <c r="S89" s="327">
        <f t="shared" ca="1" si="26"/>
        <v>-0.2849022640290223</v>
      </c>
      <c r="T89" s="327">
        <f t="shared" ca="1" si="27"/>
        <v>3.0541266382708536</v>
      </c>
      <c r="U89" s="327">
        <f t="shared" ca="1" si="28"/>
        <v>7.9352228862713332</v>
      </c>
      <c r="V89" s="327">
        <f t="shared" ca="1" si="29"/>
        <v>6.4191134153415899</v>
      </c>
      <c r="W89" s="333">
        <f t="shared" ca="1" si="30"/>
        <v>-2.4083770396887676</v>
      </c>
    </row>
    <row r="90" spans="2:23">
      <c r="B90" s="331">
        <v>2</v>
      </c>
      <c r="C90" s="327">
        <f t="shared" ref="C90:P90" ca="1" si="35">C64*($B90-C$85/360)</f>
        <v>-0.1717536508741172</v>
      </c>
      <c r="D90" s="327">
        <f t="shared" ca="1" si="35"/>
        <v>-0.85719378545429958</v>
      </c>
      <c r="E90" s="327">
        <f t="shared" ca="1" si="35"/>
        <v>-1.7104497841486856</v>
      </c>
      <c r="F90" s="327">
        <f t="shared" ca="1" si="35"/>
        <v>0.22822830171269193</v>
      </c>
      <c r="G90" s="327">
        <f t="shared" ca="1" si="35"/>
        <v>3.7384560433533824</v>
      </c>
      <c r="H90" s="327">
        <f t="shared" ca="1" si="35"/>
        <v>-3.2637514550812039</v>
      </c>
      <c r="I90" s="333">
        <f t="shared" ca="1" si="35"/>
        <v>-23.179049819966586</v>
      </c>
      <c r="J90" s="327">
        <f t="shared" ca="1" si="35"/>
        <v>-0.23678577215357519</v>
      </c>
      <c r="K90" s="327">
        <f t="shared" ca="1" si="35"/>
        <v>-1.1773423302489785</v>
      </c>
      <c r="L90" s="327">
        <f t="shared" ca="1" si="35"/>
        <v>-2.3382183342007683</v>
      </c>
      <c r="M90" s="327">
        <f t="shared" ca="1" si="35"/>
        <v>-4.6105713632127605</v>
      </c>
      <c r="N90" s="327">
        <f t="shared" ca="1" si="35"/>
        <v>-6.8170590870360215</v>
      </c>
      <c r="O90" s="327">
        <f t="shared" ca="1" si="35"/>
        <v>-13.041330427373236</v>
      </c>
      <c r="P90" s="333">
        <f t="shared" ca="1" si="35"/>
        <v>-18.672814021011671</v>
      </c>
      <c r="Q90" s="327">
        <f t="shared" ca="1" si="32"/>
        <v>-0.40853942302769242</v>
      </c>
      <c r="R90" s="327">
        <f t="shared" ca="1" si="25"/>
        <v>-2.0345361157032782</v>
      </c>
      <c r="S90" s="327">
        <f t="shared" ca="1" si="26"/>
        <v>-4.0486681183494539</v>
      </c>
      <c r="T90" s="327">
        <f t="shared" ca="1" si="27"/>
        <v>-4.3823430615000687</v>
      </c>
      <c r="U90" s="327">
        <f t="shared" ca="1" si="28"/>
        <v>-3.078603043682639</v>
      </c>
      <c r="V90" s="327">
        <f t="shared" ca="1" si="29"/>
        <v>-16.305081882454438</v>
      </c>
      <c r="W90" s="333">
        <f t="shared" ca="1" si="30"/>
        <v>-41.851863840978254</v>
      </c>
    </row>
    <row r="91" spans="2:23">
      <c r="B91" s="331">
        <v>3</v>
      </c>
      <c r="C91" s="327">
        <f t="shared" ref="C91:P91" ca="1" si="36">C65*($B91-C$85/360)</f>
        <v>-0.17912505791744174</v>
      </c>
      <c r="D91" s="327">
        <f t="shared" ca="1" si="36"/>
        <v>-0.89407545333776428</v>
      </c>
      <c r="E91" s="327">
        <f t="shared" ca="1" si="36"/>
        <v>-1.7842757386873902</v>
      </c>
      <c r="F91" s="327">
        <f t="shared" ca="1" si="36"/>
        <v>7.9905274835490037E-2</v>
      </c>
      <c r="G91" s="327">
        <f t="shared" ca="1" si="36"/>
        <v>3.5156542036031042</v>
      </c>
      <c r="H91" s="327">
        <f t="shared" ca="1" si="36"/>
        <v>-3.7089819176732117</v>
      </c>
      <c r="I91" s="333">
        <f t="shared" ca="1" si="36"/>
        <v>-23.860911743336253</v>
      </c>
      <c r="J91" s="327">
        <f t="shared" ca="1" si="36"/>
        <v>-1.6664418079084961E-2</v>
      </c>
      <c r="K91" s="327">
        <f t="shared" ca="1" si="36"/>
        <v>-8.3013204054789111E-2</v>
      </c>
      <c r="L91" s="327">
        <f t="shared" ca="1" si="36"/>
        <v>-0.16525419225790577</v>
      </c>
      <c r="M91" s="327">
        <f t="shared" ca="1" si="36"/>
        <v>-0.3274195211091544</v>
      </c>
      <c r="N91" s="327">
        <f t="shared" ca="1" si="36"/>
        <v>-0.48649598655371251</v>
      </c>
      <c r="O91" s="327">
        <f t="shared" ca="1" si="36"/>
        <v>-0.94519220244721303</v>
      </c>
      <c r="P91" s="333">
        <f t="shared" ca="1" si="36"/>
        <v>-1.3760886476805012</v>
      </c>
      <c r="Q91" s="327">
        <f t="shared" ca="1" si="32"/>
        <v>-0.19578947599652669</v>
      </c>
      <c r="R91" s="327">
        <f t="shared" ca="1" si="25"/>
        <v>-0.97708865739255335</v>
      </c>
      <c r="S91" s="327">
        <f t="shared" ca="1" si="26"/>
        <v>-1.949529930945296</v>
      </c>
      <c r="T91" s="327">
        <f t="shared" ca="1" si="27"/>
        <v>-0.24751424627366436</v>
      </c>
      <c r="U91" s="327">
        <f t="shared" ca="1" si="28"/>
        <v>3.0291582170493916</v>
      </c>
      <c r="V91" s="327">
        <f t="shared" ca="1" si="29"/>
        <v>-4.654174120120425</v>
      </c>
      <c r="W91" s="333">
        <f t="shared" ca="1" si="30"/>
        <v>-25.237000391016753</v>
      </c>
    </row>
    <row r="92" spans="2:23">
      <c r="B92" s="331">
        <v>4</v>
      </c>
      <c r="C92" s="327">
        <f t="shared" ref="C92:P92" ca="1" si="37">C66*($B92-C$85/360)</f>
        <v>-0.14943381768208369</v>
      </c>
      <c r="D92" s="327">
        <f t="shared" ca="1" si="37"/>
        <v>-0.74563986119961145</v>
      </c>
      <c r="E92" s="327">
        <f t="shared" ca="1" si="37"/>
        <v>-1.4874565298479698</v>
      </c>
      <c r="F92" s="327">
        <f t="shared" ca="1" si="37"/>
        <v>0.67761983169561091</v>
      </c>
      <c r="G92" s="327">
        <f t="shared" ca="1" si="37"/>
        <v>4.4161921472993173</v>
      </c>
      <c r="H92" s="327">
        <f t="shared" ca="1" si="37"/>
        <v>-1.9218488888490759</v>
      </c>
      <c r="I92" s="333">
        <f t="shared" ca="1" si="37"/>
        <v>-21.211727864252239</v>
      </c>
      <c r="J92" s="327">
        <f t="shared" ca="1" si="37"/>
        <v>0.1217656767160219</v>
      </c>
      <c r="K92" s="327">
        <f t="shared" ca="1" si="37"/>
        <v>0.60713601837223641</v>
      </c>
      <c r="L92" s="327">
        <f t="shared" ca="1" si="37"/>
        <v>1.2100411237244573</v>
      </c>
      <c r="M92" s="327">
        <f t="shared" ca="1" si="37"/>
        <v>2.4031585953688959</v>
      </c>
      <c r="N92" s="327">
        <f t="shared" ca="1" si="37"/>
        <v>3.5793524149332279</v>
      </c>
      <c r="O92" s="327">
        <f t="shared" ca="1" si="37"/>
        <v>7.006391961145936</v>
      </c>
      <c r="P92" s="333">
        <f t="shared" ca="1" si="37"/>
        <v>10.281118638638079</v>
      </c>
      <c r="Q92" s="327">
        <f t="shared" ca="1" si="32"/>
        <v>-2.7668140966061794E-2</v>
      </c>
      <c r="R92" s="327">
        <f t="shared" ca="1" si="25"/>
        <v>-0.13850384282737505</v>
      </c>
      <c r="S92" s="327">
        <f t="shared" ca="1" si="26"/>
        <v>-0.27741540612351256</v>
      </c>
      <c r="T92" s="327">
        <f t="shared" ca="1" si="27"/>
        <v>3.0807784270645069</v>
      </c>
      <c r="U92" s="327">
        <f t="shared" ca="1" si="28"/>
        <v>7.9955445622325456</v>
      </c>
      <c r="V92" s="327">
        <f t="shared" ca="1" si="29"/>
        <v>5.0845430722968601</v>
      </c>
      <c r="W92" s="333">
        <f t="shared" ca="1" si="30"/>
        <v>-10.930609225614161</v>
      </c>
    </row>
    <row r="93" spans="2:23">
      <c r="B93" s="331">
        <v>5</v>
      </c>
      <c r="C93" s="327">
        <f t="shared" ref="C93:P93" ca="1" si="38">C67*($B93-C$85/360)</f>
        <v>-0.11340696259560221</v>
      </c>
      <c r="D93" s="327">
        <f t="shared" ca="1" si="38"/>
        <v>-0.56551783673062794</v>
      </c>
      <c r="E93" s="327">
        <f t="shared" ca="1" si="38"/>
        <v>-1.1272432758405517</v>
      </c>
      <c r="F93" s="327">
        <f t="shared" ca="1" si="38"/>
        <v>1.4029135969256861</v>
      </c>
      <c r="G93" s="327">
        <f t="shared" ca="1" si="38"/>
        <v>5.5087712890797729</v>
      </c>
      <c r="H93" s="327">
        <f t="shared" ca="1" si="38"/>
        <v>0.24774292875541595</v>
      </c>
      <c r="I93" s="333">
        <f t="shared" ca="1" si="38"/>
        <v>-17.988459337840801</v>
      </c>
      <c r="J93" s="327">
        <f t="shared" ca="1" si="38"/>
        <v>0.1814600825836824</v>
      </c>
      <c r="K93" s="327">
        <f t="shared" ca="1" si="38"/>
        <v>0.90528306903215583</v>
      </c>
      <c r="L93" s="327">
        <f t="shared" ca="1" si="38"/>
        <v>1.8055227783483103</v>
      </c>
      <c r="M93" s="327">
        <f t="shared" ca="1" si="38"/>
        <v>3.5908721178323391</v>
      </c>
      <c r="N93" s="327">
        <f t="shared" ca="1" si="38"/>
        <v>5.3560480184521957</v>
      </c>
      <c r="O93" s="327">
        <f t="shared" ca="1" si="38"/>
        <v>10.530535087126404</v>
      </c>
      <c r="P93" s="333">
        <f t="shared" ca="1" si="38"/>
        <v>15.523461206022517</v>
      </c>
      <c r="Q93" s="327">
        <f t="shared" ca="1" si="32"/>
        <v>6.8053119988080196E-2</v>
      </c>
      <c r="R93" s="327">
        <f t="shared" ca="1" si="25"/>
        <v>0.33976523230152789</v>
      </c>
      <c r="S93" s="327">
        <f t="shared" ca="1" si="26"/>
        <v>0.67827950250775859</v>
      </c>
      <c r="T93" s="327">
        <f t="shared" ca="1" si="27"/>
        <v>4.9937857147580251</v>
      </c>
      <c r="U93" s="327">
        <f t="shared" ca="1" si="28"/>
        <v>10.864819307531969</v>
      </c>
      <c r="V93" s="327">
        <f t="shared" ca="1" si="29"/>
        <v>10.778278015881821</v>
      </c>
      <c r="W93" s="333">
        <f t="shared" ca="1" si="30"/>
        <v>-2.4649981318182839</v>
      </c>
    </row>
    <row r="94" spans="2:23">
      <c r="B94" s="331">
        <v>6</v>
      </c>
      <c r="C94" s="327">
        <f t="shared" ref="C94:P94" ca="1" si="39">C68*($B94-C$85/360)</f>
        <v>-9.0782622873861643E-2</v>
      </c>
      <c r="D94" s="327">
        <f t="shared" ca="1" si="39"/>
        <v>-0.45240185864126725</v>
      </c>
      <c r="E94" s="327">
        <f t="shared" ca="1" si="39"/>
        <v>-0.90102566519365457</v>
      </c>
      <c r="F94" s="327">
        <f t="shared" ca="1" si="39"/>
        <v>1.8584140872677328</v>
      </c>
      <c r="G94" s="327">
        <f t="shared" ca="1" si="39"/>
        <v>6.1949412710737057</v>
      </c>
      <c r="H94" s="327">
        <f t="shared" ca="1" si="39"/>
        <v>1.6105329250592584</v>
      </c>
      <c r="I94" s="333">
        <f t="shared" ca="1" si="39"/>
        <v>-15.96329785101215</v>
      </c>
      <c r="J94" s="327">
        <f t="shared" ca="1" si="39"/>
        <v>0.13459349400991236</v>
      </c>
      <c r="K94" s="327">
        <f t="shared" ca="1" si="39"/>
        <v>0.67172065676534287</v>
      </c>
      <c r="L94" s="327">
        <f t="shared" ca="1" si="39"/>
        <v>1.3403242803206379</v>
      </c>
      <c r="M94" s="327">
        <f t="shared" ca="1" si="39"/>
        <v>2.6681804278011496</v>
      </c>
      <c r="N94" s="327">
        <f t="shared" ca="1" si="39"/>
        <v>3.9835684424414035</v>
      </c>
      <c r="O94" s="327">
        <f t="shared" ca="1" si="39"/>
        <v>7.8549236893210761</v>
      </c>
      <c r="P94" s="333">
        <f t="shared" ca="1" si="39"/>
        <v>11.614065740639084</v>
      </c>
      <c r="Q94" s="327">
        <f t="shared" ca="1" si="32"/>
        <v>4.3810871136050714E-2</v>
      </c>
      <c r="R94" s="327">
        <f t="shared" ca="1" si="25"/>
        <v>0.21931879812407562</v>
      </c>
      <c r="S94" s="327">
        <f t="shared" ca="1" si="26"/>
        <v>0.43929861512698332</v>
      </c>
      <c r="T94" s="327">
        <f t="shared" ca="1" si="27"/>
        <v>4.5265945150688829</v>
      </c>
      <c r="U94" s="327">
        <f t="shared" ca="1" si="28"/>
        <v>10.178509713515108</v>
      </c>
      <c r="V94" s="327">
        <f t="shared" ca="1" si="29"/>
        <v>9.4654566143803347</v>
      </c>
      <c r="W94" s="333">
        <f t="shared" ca="1" si="30"/>
        <v>-4.349232110373066</v>
      </c>
    </row>
    <row r="95" spans="2:23">
      <c r="B95" s="331">
        <v>7</v>
      </c>
      <c r="C95" s="327">
        <f t="shared" ref="C95:P95" ca="1" si="40">C69*($B95-C$85/360)</f>
        <v>-6.8258928336872665E-2</v>
      </c>
      <c r="D95" s="327">
        <f t="shared" ca="1" si="40"/>
        <v>-0.33978696282613263</v>
      </c>
      <c r="E95" s="327">
        <f t="shared" ca="1" si="40"/>
        <v>-0.67580482833227706</v>
      </c>
      <c r="F95" s="327">
        <f t="shared" ca="1" si="40"/>
        <v>2.3118904354612244</v>
      </c>
      <c r="G95" s="327">
        <f t="shared" ca="1" si="40"/>
        <v>6.8780282417698091</v>
      </c>
      <c r="H95" s="327">
        <f t="shared" ca="1" si="40"/>
        <v>2.9674197915843137</v>
      </c>
      <c r="I95" s="333">
        <f t="shared" ca="1" si="40"/>
        <v>-13.945726846773649</v>
      </c>
      <c r="J95" s="327">
        <f t="shared" ca="1" si="40"/>
        <v>0.15807970658713225</v>
      </c>
      <c r="K95" s="327">
        <f t="shared" ca="1" si="40"/>
        <v>0.78914343403468967</v>
      </c>
      <c r="L95" s="327">
        <f t="shared" ca="1" si="40"/>
        <v>1.575149120816679</v>
      </c>
      <c r="M95" s="327">
        <f t="shared" ca="1" si="40"/>
        <v>3.1377472526229435</v>
      </c>
      <c r="N95" s="327">
        <f t="shared" ca="1" si="40"/>
        <v>4.6877943954186394</v>
      </c>
      <c r="O95" s="327">
        <f t="shared" ca="1" si="40"/>
        <v>9.2626298897428523</v>
      </c>
      <c r="P95" s="333">
        <f t="shared" ca="1" si="40"/>
        <v>13.724506482972643</v>
      </c>
      <c r="Q95" s="327">
        <f t="shared" ca="1" si="32"/>
        <v>8.9820778250259581E-2</v>
      </c>
      <c r="R95" s="327">
        <f t="shared" ca="1" si="25"/>
        <v>0.44935647120855704</v>
      </c>
      <c r="S95" s="327">
        <f t="shared" ca="1" si="26"/>
        <v>0.89934429248440195</v>
      </c>
      <c r="T95" s="327">
        <f t="shared" ca="1" si="27"/>
        <v>5.4496376880841684</v>
      </c>
      <c r="U95" s="327">
        <f t="shared" ca="1" si="28"/>
        <v>11.565822637188448</v>
      </c>
      <c r="V95" s="327">
        <f t="shared" ca="1" si="29"/>
        <v>12.230049681327166</v>
      </c>
      <c r="W95" s="333">
        <f t="shared" ca="1" si="30"/>
        <v>-0.22122036380100596</v>
      </c>
    </row>
    <row r="96" spans="2:23">
      <c r="B96" s="331">
        <v>8</v>
      </c>
      <c r="C96" s="327">
        <f t="shared" ref="C96:P96" ca="1" si="41">C70*($B96-C$85/360)</f>
        <v>-4.5607328163861677E-2</v>
      </c>
      <c r="D96" s="327">
        <f t="shared" ca="1" si="41"/>
        <v>-0.2265312170670315</v>
      </c>
      <c r="E96" s="327">
        <f t="shared" ca="1" si="41"/>
        <v>-0.44929897377222194</v>
      </c>
      <c r="F96" s="327">
        <f t="shared" ca="1" si="41"/>
        <v>2.7679420773906775</v>
      </c>
      <c r="G96" s="327">
        <f t="shared" ca="1" si="41"/>
        <v>7.5649718032972473</v>
      </c>
      <c r="H96" s="327">
        <f t="shared" ca="1" si="41"/>
        <v>4.3321079287121584</v>
      </c>
      <c r="I96" s="333">
        <f t="shared" ca="1" si="41"/>
        <v>-11.91580920752498</v>
      </c>
      <c r="J96" s="327">
        <f t="shared" ca="1" si="41"/>
        <v>0.18154154779568413</v>
      </c>
      <c r="K96" s="327">
        <f t="shared" ca="1" si="41"/>
        <v>0.90644659588813414</v>
      </c>
      <c r="L96" s="327">
        <f t="shared" ca="1" si="41"/>
        <v>1.80974033405144</v>
      </c>
      <c r="M96" s="327">
        <f t="shared" ca="1" si="41"/>
        <v>3.6068692372035671</v>
      </c>
      <c r="N96" s="327">
        <f t="shared" ca="1" si="41"/>
        <v>5.3913867094563805</v>
      </c>
      <c r="O96" s="327">
        <f t="shared" ca="1" si="41"/>
        <v>10.669270540819117</v>
      </c>
      <c r="P96" s="333">
        <f t="shared" ca="1" si="41"/>
        <v>15.833651494087858</v>
      </c>
      <c r="Q96" s="327">
        <f t="shared" ca="1" si="32"/>
        <v>0.13593421963182245</v>
      </c>
      <c r="R96" s="327">
        <f t="shared" ca="1" si="25"/>
        <v>0.67991537882110265</v>
      </c>
      <c r="S96" s="327">
        <f t="shared" ca="1" si="26"/>
        <v>1.360441360279218</v>
      </c>
      <c r="T96" s="327">
        <f t="shared" ca="1" si="27"/>
        <v>6.3748113145942451</v>
      </c>
      <c r="U96" s="327">
        <f t="shared" ca="1" si="28"/>
        <v>12.956358512753628</v>
      </c>
      <c r="V96" s="327">
        <f t="shared" ca="1" si="29"/>
        <v>15.001378469531275</v>
      </c>
      <c r="W96" s="333">
        <f t="shared" ca="1" si="30"/>
        <v>3.9178422865628786</v>
      </c>
    </row>
    <row r="97" spans="2:23">
      <c r="B97" s="331">
        <v>9</v>
      </c>
      <c r="C97" s="327">
        <f t="shared" ref="C97:P97" ca="1" si="42">C71*($B97-C$85/360)</f>
        <v>-2.2678213844612993E-2</v>
      </c>
      <c r="D97" s="327">
        <f t="shared" ca="1" si="42"/>
        <v>-0.1118870217769793</v>
      </c>
      <c r="E97" s="327">
        <f t="shared" ca="1" si="42"/>
        <v>-0.22001401753380018</v>
      </c>
      <c r="F97" s="327">
        <f t="shared" ca="1" si="42"/>
        <v>3.229580080967112</v>
      </c>
      <c r="G97" s="327">
        <f t="shared" ca="1" si="42"/>
        <v>8.2603137533580675</v>
      </c>
      <c r="H97" s="327">
        <f t="shared" ca="1" si="42"/>
        <v>5.7135770002607877</v>
      </c>
      <c r="I97" s="333">
        <f t="shared" ca="1" si="42"/>
        <v>-9.860425244212129</v>
      </c>
      <c r="J97" s="327">
        <f t="shared" ca="1" si="42"/>
        <v>0.20660606050045985</v>
      </c>
      <c r="K97" s="327">
        <f t="shared" ca="1" si="42"/>
        <v>1.0317545627027762</v>
      </c>
      <c r="L97" s="327">
        <f t="shared" ca="1" si="42"/>
        <v>2.0603197759072436</v>
      </c>
      <c r="M97" s="327">
        <f t="shared" ca="1" si="42"/>
        <v>4.1078821538210555</v>
      </c>
      <c r="N97" s="327">
        <f t="shared" ca="1" si="42"/>
        <v>6.1426871337418323</v>
      </c>
      <c r="O97" s="327">
        <f t="shared" ca="1" si="42"/>
        <v>12.170557685544567</v>
      </c>
      <c r="P97" s="333">
        <f t="shared" ca="1" si="42"/>
        <v>18.083611655408198</v>
      </c>
      <c r="Q97" s="327">
        <f t="shared" ca="1" si="32"/>
        <v>0.18392784665584685</v>
      </c>
      <c r="R97" s="327">
        <f t="shared" ca="1" si="25"/>
        <v>0.91986754092579692</v>
      </c>
      <c r="S97" s="327">
        <f t="shared" ca="1" si="26"/>
        <v>1.8403057583734435</v>
      </c>
      <c r="T97" s="327">
        <f t="shared" ca="1" si="27"/>
        <v>7.3374622347881679</v>
      </c>
      <c r="U97" s="327">
        <f t="shared" ca="1" si="28"/>
        <v>14.4030008870999</v>
      </c>
      <c r="V97" s="327">
        <f t="shared" ca="1" si="29"/>
        <v>17.884134685805357</v>
      </c>
      <c r="W97" s="333">
        <f t="shared" ca="1" si="30"/>
        <v>8.2231864111960693</v>
      </c>
    </row>
    <row r="98" spans="2:23" ht="13.5" thickBot="1">
      <c r="B98" s="331">
        <v>10</v>
      </c>
      <c r="C98" s="334">
        <f t="shared" ref="C98:P98" ca="1" si="43">C72*($B98-C$85/360)</f>
        <v>-5.2745324257302212E-3</v>
      </c>
      <c r="D98" s="335">
        <f t="shared" ca="1" si="43"/>
        <v>-2.4869238804329598E-2</v>
      </c>
      <c r="E98" s="335">
        <f t="shared" ca="1" si="43"/>
        <v>-4.5980001830216007E-2</v>
      </c>
      <c r="F98" s="335">
        <f t="shared" ca="1" si="43"/>
        <v>3.5799775637509592</v>
      </c>
      <c r="G98" s="335">
        <f t="shared" ca="1" si="43"/>
        <v>8.7880996197582011</v>
      </c>
      <c r="H98" s="335">
        <f t="shared" ca="1" si="43"/>
        <v>6.7622042258272952</v>
      </c>
      <c r="I98" s="336">
        <f t="shared" ca="1" si="43"/>
        <v>-8.3001493321497311</v>
      </c>
      <c r="J98" s="334">
        <f t="shared" ca="1" si="43"/>
        <v>0.17283354883533952</v>
      </c>
      <c r="K98" s="335">
        <f t="shared" ca="1" si="43"/>
        <v>0.8632072910010653</v>
      </c>
      <c r="L98" s="335">
        <f t="shared" ca="1" si="43"/>
        <v>1.7240134490647145</v>
      </c>
      <c r="M98" s="335">
        <f t="shared" ca="1" si="43"/>
        <v>3.4384223663797653</v>
      </c>
      <c r="N98" s="335">
        <f t="shared" ca="1" si="43"/>
        <v>5.1432267519453712</v>
      </c>
      <c r="O98" s="335">
        <f t="shared" ca="1" si="43"/>
        <v>10.200012718143544</v>
      </c>
      <c r="P98" s="336">
        <f t="shared" ca="1" si="43"/>
        <v>15.170357898594739</v>
      </c>
      <c r="Q98" s="334">
        <f t="shared" ca="1" si="32"/>
        <v>0.1675590164096093</v>
      </c>
      <c r="R98" s="335">
        <f t="shared" ca="1" si="25"/>
        <v>0.83833805219673574</v>
      </c>
      <c r="S98" s="335">
        <f t="shared" ca="1" si="26"/>
        <v>1.6780334472344984</v>
      </c>
      <c r="T98" s="335">
        <f t="shared" ca="1" si="27"/>
        <v>7.0183999301307249</v>
      </c>
      <c r="U98" s="335">
        <f t="shared" ca="1" si="28"/>
        <v>13.931326371703573</v>
      </c>
      <c r="V98" s="335">
        <f t="shared" ca="1" si="29"/>
        <v>16.962216943970837</v>
      </c>
      <c r="W98" s="336">
        <f t="shared" ca="1" si="30"/>
        <v>6.8702085664450081</v>
      </c>
    </row>
    <row r="109" spans="2:23">
      <c r="B109" s="187"/>
    </row>
    <row r="114" spans="2:24">
      <c r="C114" s="184"/>
      <c r="D114" s="184"/>
      <c r="E114" s="184"/>
      <c r="F114" s="184"/>
      <c r="G114" s="184"/>
      <c r="H114" s="184"/>
      <c r="I114" s="184"/>
      <c r="J114" s="184"/>
      <c r="K114" s="184"/>
      <c r="L114" s="184"/>
      <c r="M114" s="184"/>
      <c r="N114" s="184"/>
      <c r="O114" s="184"/>
      <c r="P114" s="184"/>
      <c r="Q114" s="184"/>
      <c r="R114" s="184"/>
      <c r="S114" s="184"/>
      <c r="T114" s="184"/>
      <c r="U114" s="184"/>
      <c r="V114" s="184"/>
      <c r="W114" s="184"/>
      <c r="X114" s="184"/>
    </row>
    <row r="116" spans="2:24" s="184" customFormat="1">
      <c r="B116" s="325"/>
      <c r="C116" s="325"/>
      <c r="D116" s="325"/>
      <c r="E116" s="325"/>
      <c r="F116" s="325"/>
      <c r="G116" s="325"/>
      <c r="H116" s="325"/>
      <c r="I116" s="325"/>
      <c r="J116" s="325"/>
      <c r="K116" s="325"/>
      <c r="L116" s="325"/>
      <c r="M116" s="325"/>
      <c r="N116" s="325"/>
      <c r="O116" s="325"/>
      <c r="P116" s="325"/>
      <c r="Q116" s="325"/>
      <c r="R116" s="325"/>
      <c r="S116" s="325"/>
      <c r="T116" s="325"/>
      <c r="U116" s="325"/>
      <c r="V116" s="325"/>
      <c r="W116" s="325"/>
      <c r="X116" s="325"/>
    </row>
  </sheetData>
  <mergeCells count="18">
    <mergeCell ref="C31:W31"/>
    <mergeCell ref="C32:I32"/>
    <mergeCell ref="J32:P32"/>
    <mergeCell ref="Q32:W32"/>
    <mergeCell ref="C58:I58"/>
    <mergeCell ref="J58:P58"/>
    <mergeCell ref="B2:X2"/>
    <mergeCell ref="B3:X3"/>
    <mergeCell ref="C5:W5"/>
    <mergeCell ref="C6:I6"/>
    <mergeCell ref="J6:P6"/>
    <mergeCell ref="Q6:W6"/>
    <mergeCell ref="Q58:W58"/>
    <mergeCell ref="C57:W57"/>
    <mergeCell ref="C83:W83"/>
    <mergeCell ref="C84:I84"/>
    <mergeCell ref="J84:P84"/>
    <mergeCell ref="Q84:W84"/>
  </mergeCells>
  <conditionalFormatting sqref="C8:C20">
    <cfRule type="colorScale" priority="147">
      <colorScale>
        <cfvo type="min"/>
        <cfvo type="max"/>
        <color rgb="FFFCFCFF"/>
        <color rgb="FF63BE7B"/>
      </colorScale>
    </cfRule>
  </conditionalFormatting>
  <conditionalFormatting sqref="D8:D20">
    <cfRule type="colorScale" priority="146">
      <colorScale>
        <cfvo type="min"/>
        <cfvo type="max"/>
        <color rgb="FFFCFCFF"/>
        <color rgb="FF63BE7B"/>
      </colorScale>
    </cfRule>
  </conditionalFormatting>
  <conditionalFormatting sqref="E8:E20">
    <cfRule type="colorScale" priority="145">
      <colorScale>
        <cfvo type="min"/>
        <cfvo type="max"/>
        <color rgb="FFFCFCFF"/>
        <color rgb="FF63BE7B"/>
      </colorScale>
    </cfRule>
  </conditionalFormatting>
  <conditionalFormatting sqref="F8:F20">
    <cfRule type="colorScale" priority="144">
      <colorScale>
        <cfvo type="min"/>
        <cfvo type="max"/>
        <color rgb="FFFCFCFF"/>
        <color rgb="FF63BE7B"/>
      </colorScale>
    </cfRule>
  </conditionalFormatting>
  <conditionalFormatting sqref="G8:G20">
    <cfRule type="colorScale" priority="143">
      <colorScale>
        <cfvo type="min"/>
        <cfvo type="max"/>
        <color rgb="FFFCFCFF"/>
        <color rgb="FF63BE7B"/>
      </colorScale>
    </cfRule>
  </conditionalFormatting>
  <conditionalFormatting sqref="H8:H20">
    <cfRule type="colorScale" priority="142">
      <colorScale>
        <cfvo type="min"/>
        <cfvo type="max"/>
        <color rgb="FFFCFCFF"/>
        <color rgb="FF63BE7B"/>
      </colorScale>
    </cfRule>
  </conditionalFormatting>
  <conditionalFormatting sqref="I8:I20">
    <cfRule type="colorScale" priority="141">
      <colorScale>
        <cfvo type="min"/>
        <cfvo type="max"/>
        <color rgb="FFFCFCFF"/>
        <color rgb="FF63BE7B"/>
      </colorScale>
    </cfRule>
  </conditionalFormatting>
  <conditionalFormatting sqref="J8:J20">
    <cfRule type="colorScale" priority="140">
      <colorScale>
        <cfvo type="min"/>
        <cfvo type="max"/>
        <color rgb="FFFCFCFF"/>
        <color rgb="FF63BE7B"/>
      </colorScale>
    </cfRule>
  </conditionalFormatting>
  <conditionalFormatting sqref="K8:K20">
    <cfRule type="colorScale" priority="139">
      <colorScale>
        <cfvo type="min"/>
        <cfvo type="max"/>
        <color rgb="FFFCFCFF"/>
        <color rgb="FF63BE7B"/>
      </colorScale>
    </cfRule>
  </conditionalFormatting>
  <conditionalFormatting sqref="L8:L20">
    <cfRule type="colorScale" priority="138">
      <colorScale>
        <cfvo type="min"/>
        <cfvo type="max"/>
        <color rgb="FFFCFCFF"/>
        <color rgb="FF63BE7B"/>
      </colorScale>
    </cfRule>
  </conditionalFormatting>
  <conditionalFormatting sqref="M8:M20">
    <cfRule type="colorScale" priority="137">
      <colorScale>
        <cfvo type="min"/>
        <cfvo type="max"/>
        <color rgb="FFFCFCFF"/>
        <color rgb="FF63BE7B"/>
      </colorScale>
    </cfRule>
  </conditionalFormatting>
  <conditionalFormatting sqref="N8:N20">
    <cfRule type="colorScale" priority="136">
      <colorScale>
        <cfvo type="min"/>
        <cfvo type="max"/>
        <color rgb="FFFCFCFF"/>
        <color rgb="FF63BE7B"/>
      </colorScale>
    </cfRule>
  </conditionalFormatting>
  <conditionalFormatting sqref="O8:O20">
    <cfRule type="colorScale" priority="135">
      <colorScale>
        <cfvo type="min"/>
        <cfvo type="max"/>
        <color rgb="FFFCFCFF"/>
        <color rgb="FF63BE7B"/>
      </colorScale>
    </cfRule>
  </conditionalFormatting>
  <conditionalFormatting sqref="P8:P20">
    <cfRule type="colorScale" priority="134">
      <colorScale>
        <cfvo type="min"/>
        <cfvo type="max"/>
        <color rgb="FFFCFCFF"/>
        <color rgb="FF63BE7B"/>
      </colorScale>
    </cfRule>
  </conditionalFormatting>
  <conditionalFormatting sqref="Q8:Q20">
    <cfRule type="colorScale" priority="133">
      <colorScale>
        <cfvo type="min"/>
        <cfvo type="max"/>
        <color rgb="FFFCFCFF"/>
        <color rgb="FF63BE7B"/>
      </colorScale>
    </cfRule>
  </conditionalFormatting>
  <conditionalFormatting sqref="R8:R20">
    <cfRule type="colorScale" priority="132">
      <colorScale>
        <cfvo type="min"/>
        <cfvo type="max"/>
        <color rgb="FFFCFCFF"/>
        <color rgb="FF63BE7B"/>
      </colorScale>
    </cfRule>
  </conditionalFormatting>
  <conditionalFormatting sqref="S8:S20">
    <cfRule type="colorScale" priority="131">
      <colorScale>
        <cfvo type="min"/>
        <cfvo type="max"/>
        <color rgb="FFFCFCFF"/>
        <color rgb="FF63BE7B"/>
      </colorScale>
    </cfRule>
  </conditionalFormatting>
  <conditionalFormatting sqref="T8:T20">
    <cfRule type="colorScale" priority="130">
      <colorScale>
        <cfvo type="min"/>
        <cfvo type="max"/>
        <color rgb="FFFCFCFF"/>
        <color rgb="FF63BE7B"/>
      </colorScale>
    </cfRule>
  </conditionalFormatting>
  <conditionalFormatting sqref="U8:U20">
    <cfRule type="colorScale" priority="129">
      <colorScale>
        <cfvo type="min"/>
        <cfvo type="max"/>
        <color rgb="FFFCFCFF"/>
        <color rgb="FF63BE7B"/>
      </colorScale>
    </cfRule>
  </conditionalFormatting>
  <conditionalFormatting sqref="V8:V20">
    <cfRule type="colorScale" priority="128">
      <colorScale>
        <cfvo type="min"/>
        <cfvo type="max"/>
        <color rgb="FFFCFCFF"/>
        <color rgb="FF63BE7B"/>
      </colorScale>
    </cfRule>
  </conditionalFormatting>
  <conditionalFormatting sqref="W8:W20">
    <cfRule type="colorScale" priority="127">
      <colorScale>
        <cfvo type="min"/>
        <cfvo type="max"/>
        <color rgb="FFFCFCFF"/>
        <color rgb="FF63BE7B"/>
      </colorScale>
    </cfRule>
  </conditionalFormatting>
  <conditionalFormatting sqref="C60:C72">
    <cfRule type="colorScale" priority="42">
      <colorScale>
        <cfvo type="min"/>
        <cfvo type="max"/>
        <color rgb="FFFCFCFF"/>
        <color rgb="FFF8696B"/>
      </colorScale>
    </cfRule>
  </conditionalFormatting>
  <conditionalFormatting sqref="D60:D72">
    <cfRule type="colorScale" priority="41">
      <colorScale>
        <cfvo type="min"/>
        <cfvo type="max"/>
        <color rgb="FFFCFCFF"/>
        <color rgb="FFF8696B"/>
      </colorScale>
    </cfRule>
  </conditionalFormatting>
  <conditionalFormatting sqref="I60:I72">
    <cfRule type="colorScale" priority="36">
      <colorScale>
        <cfvo type="min"/>
        <cfvo type="max"/>
        <color rgb="FFFCFCFF"/>
        <color rgb="FFF8696B"/>
      </colorScale>
    </cfRule>
  </conditionalFormatting>
  <conditionalFormatting sqref="C34:C46">
    <cfRule type="colorScale" priority="84">
      <colorScale>
        <cfvo type="min"/>
        <cfvo type="max"/>
        <color rgb="FFFCFCFF"/>
        <color rgb="FF63BE7B"/>
      </colorScale>
    </cfRule>
  </conditionalFormatting>
  <conditionalFormatting sqref="D34:D46">
    <cfRule type="colorScale" priority="83">
      <colorScale>
        <cfvo type="min"/>
        <cfvo type="max"/>
        <color rgb="FFFCFCFF"/>
        <color rgb="FF63BE7B"/>
      </colorScale>
    </cfRule>
  </conditionalFormatting>
  <conditionalFormatting sqref="E34:E46">
    <cfRule type="colorScale" priority="82">
      <colorScale>
        <cfvo type="min"/>
        <cfvo type="max"/>
        <color rgb="FFFCFCFF"/>
        <color rgb="FF63BE7B"/>
      </colorScale>
    </cfRule>
  </conditionalFormatting>
  <conditionalFormatting sqref="F34:F46">
    <cfRule type="colorScale" priority="81">
      <colorScale>
        <cfvo type="min"/>
        <cfvo type="max"/>
        <color rgb="FFFCFCFF"/>
        <color rgb="FF63BE7B"/>
      </colorScale>
    </cfRule>
  </conditionalFormatting>
  <conditionalFormatting sqref="G34:G46">
    <cfRule type="colorScale" priority="80">
      <colorScale>
        <cfvo type="min"/>
        <cfvo type="max"/>
        <color rgb="FFFCFCFF"/>
        <color rgb="FF63BE7B"/>
      </colorScale>
    </cfRule>
  </conditionalFormatting>
  <conditionalFormatting sqref="H34:H46">
    <cfRule type="colorScale" priority="79">
      <colorScale>
        <cfvo type="min"/>
        <cfvo type="max"/>
        <color rgb="FFFCFCFF"/>
        <color rgb="FF63BE7B"/>
      </colorScale>
    </cfRule>
  </conditionalFormatting>
  <conditionalFormatting sqref="I34:I46">
    <cfRule type="colorScale" priority="78">
      <colorScale>
        <cfvo type="min"/>
        <cfvo type="max"/>
        <color rgb="FFFCFCFF"/>
        <color rgb="FF63BE7B"/>
      </colorScale>
    </cfRule>
  </conditionalFormatting>
  <conditionalFormatting sqref="J34:J46">
    <cfRule type="colorScale" priority="77">
      <colorScale>
        <cfvo type="min"/>
        <cfvo type="max"/>
        <color rgb="FFFCFCFF"/>
        <color rgb="FF63BE7B"/>
      </colorScale>
    </cfRule>
  </conditionalFormatting>
  <conditionalFormatting sqref="K34:K46">
    <cfRule type="colorScale" priority="76">
      <colorScale>
        <cfvo type="min"/>
        <cfvo type="max"/>
        <color rgb="FFFCFCFF"/>
        <color rgb="FF63BE7B"/>
      </colorScale>
    </cfRule>
  </conditionalFormatting>
  <conditionalFormatting sqref="L34:L46">
    <cfRule type="colorScale" priority="75">
      <colorScale>
        <cfvo type="min"/>
        <cfvo type="max"/>
        <color rgb="FFFCFCFF"/>
        <color rgb="FF63BE7B"/>
      </colorScale>
    </cfRule>
  </conditionalFormatting>
  <conditionalFormatting sqref="M34:M46">
    <cfRule type="colorScale" priority="74">
      <colorScale>
        <cfvo type="min"/>
        <cfvo type="max"/>
        <color rgb="FFFCFCFF"/>
        <color rgb="FF63BE7B"/>
      </colorScale>
    </cfRule>
  </conditionalFormatting>
  <conditionalFormatting sqref="N34:N46">
    <cfRule type="colorScale" priority="73">
      <colorScale>
        <cfvo type="min"/>
        <cfvo type="max"/>
        <color rgb="FFFCFCFF"/>
        <color rgb="FF63BE7B"/>
      </colorScale>
    </cfRule>
  </conditionalFormatting>
  <conditionalFormatting sqref="O34:O46">
    <cfRule type="colorScale" priority="72">
      <colorScale>
        <cfvo type="min"/>
        <cfvo type="max"/>
        <color rgb="FFFCFCFF"/>
        <color rgb="FF63BE7B"/>
      </colorScale>
    </cfRule>
  </conditionalFormatting>
  <conditionalFormatting sqref="P34:P46">
    <cfRule type="colorScale" priority="71">
      <colorScale>
        <cfvo type="min"/>
        <cfvo type="max"/>
        <color rgb="FFFCFCFF"/>
        <color rgb="FF63BE7B"/>
      </colorScale>
    </cfRule>
  </conditionalFormatting>
  <conditionalFormatting sqref="Q34:Q46">
    <cfRule type="colorScale" priority="70">
      <colorScale>
        <cfvo type="min"/>
        <cfvo type="max"/>
        <color rgb="FFFCFCFF"/>
        <color rgb="FF63BE7B"/>
      </colorScale>
    </cfRule>
  </conditionalFormatting>
  <conditionalFormatting sqref="R34:R46">
    <cfRule type="colorScale" priority="69">
      <colorScale>
        <cfvo type="min"/>
        <cfvo type="max"/>
        <color rgb="FFFCFCFF"/>
        <color rgb="FF63BE7B"/>
      </colorScale>
    </cfRule>
  </conditionalFormatting>
  <conditionalFormatting sqref="S34:S46">
    <cfRule type="colorScale" priority="68">
      <colorScale>
        <cfvo type="min"/>
        <cfvo type="max"/>
        <color rgb="FFFCFCFF"/>
        <color rgb="FF63BE7B"/>
      </colorScale>
    </cfRule>
  </conditionalFormatting>
  <conditionalFormatting sqref="T34:T46">
    <cfRule type="colorScale" priority="67">
      <colorScale>
        <cfvo type="min"/>
        <cfvo type="max"/>
        <color rgb="FFFCFCFF"/>
        <color rgb="FF63BE7B"/>
      </colorScale>
    </cfRule>
  </conditionalFormatting>
  <conditionalFormatting sqref="U34:U46">
    <cfRule type="colorScale" priority="66">
      <colorScale>
        <cfvo type="min"/>
        <cfvo type="max"/>
        <color rgb="FFFCFCFF"/>
        <color rgb="FF63BE7B"/>
      </colorScale>
    </cfRule>
  </conditionalFormatting>
  <conditionalFormatting sqref="V34:V46">
    <cfRule type="colorScale" priority="65">
      <colorScale>
        <cfvo type="min"/>
        <cfvo type="max"/>
        <color rgb="FFFCFCFF"/>
        <color rgb="FF63BE7B"/>
      </colorScale>
    </cfRule>
  </conditionalFormatting>
  <conditionalFormatting sqref="W34:W46">
    <cfRule type="colorScale" priority="64">
      <colorScale>
        <cfvo type="min"/>
        <cfvo type="max"/>
        <color rgb="FFFCFCFF"/>
        <color rgb="FF63BE7B"/>
      </colorScale>
    </cfRule>
  </conditionalFormatting>
  <conditionalFormatting sqref="E60:E72">
    <cfRule type="colorScale" priority="40">
      <colorScale>
        <cfvo type="min"/>
        <cfvo type="max"/>
        <color rgb="FFFCFCFF"/>
        <color rgb="FFF8696B"/>
      </colorScale>
    </cfRule>
  </conditionalFormatting>
  <conditionalFormatting sqref="F60:F72">
    <cfRule type="colorScale" priority="39">
      <colorScale>
        <cfvo type="min"/>
        <cfvo type="max"/>
        <color rgb="FFFCFCFF"/>
        <color rgb="FFF8696B"/>
      </colorScale>
    </cfRule>
  </conditionalFormatting>
  <conditionalFormatting sqref="G60:G72">
    <cfRule type="colorScale" priority="38">
      <colorScale>
        <cfvo type="min"/>
        <cfvo type="max"/>
        <color rgb="FFFCFCFF"/>
        <color rgb="FFF8696B"/>
      </colorScale>
    </cfRule>
  </conditionalFormatting>
  <conditionalFormatting sqref="H60:H72">
    <cfRule type="colorScale" priority="37">
      <colorScale>
        <cfvo type="min"/>
        <cfvo type="max"/>
        <color rgb="FFFCFCFF"/>
        <color rgb="FFF8696B"/>
      </colorScale>
    </cfRule>
  </conditionalFormatting>
  <conditionalFormatting sqref="J60:J72">
    <cfRule type="colorScale" priority="35">
      <colorScale>
        <cfvo type="min"/>
        <cfvo type="max"/>
        <color rgb="FFFCFCFF"/>
        <color rgb="FFF8696B"/>
      </colorScale>
    </cfRule>
  </conditionalFormatting>
  <conditionalFormatting sqref="K60:K72">
    <cfRule type="colorScale" priority="34">
      <colorScale>
        <cfvo type="min"/>
        <cfvo type="max"/>
        <color rgb="FFFCFCFF"/>
        <color rgb="FFF8696B"/>
      </colorScale>
    </cfRule>
  </conditionalFormatting>
  <conditionalFormatting sqref="P60:P72">
    <cfRule type="colorScale" priority="29">
      <colorScale>
        <cfvo type="min"/>
        <cfvo type="max"/>
        <color rgb="FFFCFCFF"/>
        <color rgb="FFF8696B"/>
      </colorScale>
    </cfRule>
  </conditionalFormatting>
  <conditionalFormatting sqref="L60:L72">
    <cfRule type="colorScale" priority="33">
      <colorScale>
        <cfvo type="min"/>
        <cfvo type="max"/>
        <color rgb="FFFCFCFF"/>
        <color rgb="FFF8696B"/>
      </colorScale>
    </cfRule>
  </conditionalFormatting>
  <conditionalFormatting sqref="M60:M72">
    <cfRule type="colorScale" priority="32">
      <colorScale>
        <cfvo type="min"/>
        <cfvo type="max"/>
        <color rgb="FFFCFCFF"/>
        <color rgb="FFF8696B"/>
      </colorScale>
    </cfRule>
  </conditionalFormatting>
  <conditionalFormatting sqref="N60:N72">
    <cfRule type="colorScale" priority="31">
      <colorScale>
        <cfvo type="min"/>
        <cfvo type="max"/>
        <color rgb="FFFCFCFF"/>
        <color rgb="FFF8696B"/>
      </colorScale>
    </cfRule>
  </conditionalFormatting>
  <conditionalFormatting sqref="O60:O72">
    <cfRule type="colorScale" priority="30">
      <colorScale>
        <cfvo type="min"/>
        <cfvo type="max"/>
        <color rgb="FFFCFCFF"/>
        <color rgb="FFF8696B"/>
      </colorScale>
    </cfRule>
  </conditionalFormatting>
  <conditionalFormatting sqref="Q60:Q72">
    <cfRule type="colorScale" priority="28">
      <colorScale>
        <cfvo type="min"/>
        <cfvo type="max"/>
        <color rgb="FFFCFCFF"/>
        <color rgb="FFF8696B"/>
      </colorScale>
    </cfRule>
  </conditionalFormatting>
  <conditionalFormatting sqref="R60:R72">
    <cfRule type="colorScale" priority="27">
      <colorScale>
        <cfvo type="min"/>
        <cfvo type="max"/>
        <color rgb="FFFCFCFF"/>
        <color rgb="FFF8696B"/>
      </colorScale>
    </cfRule>
  </conditionalFormatting>
  <conditionalFormatting sqref="W60:W72">
    <cfRule type="colorScale" priority="22">
      <colorScale>
        <cfvo type="min"/>
        <cfvo type="max"/>
        <color rgb="FFFCFCFF"/>
        <color rgb="FFF8696B"/>
      </colorScale>
    </cfRule>
  </conditionalFormatting>
  <conditionalFormatting sqref="S60:S72">
    <cfRule type="colorScale" priority="26">
      <colorScale>
        <cfvo type="min"/>
        <cfvo type="max"/>
        <color rgb="FFFCFCFF"/>
        <color rgb="FFF8696B"/>
      </colorScale>
    </cfRule>
  </conditionalFormatting>
  <conditionalFormatting sqref="T60:T72">
    <cfRule type="colorScale" priority="25">
      <colorScale>
        <cfvo type="min"/>
        <cfvo type="max"/>
        <color rgb="FFFCFCFF"/>
        <color rgb="FFF8696B"/>
      </colorScale>
    </cfRule>
  </conditionalFormatting>
  <conditionalFormatting sqref="U60:U72">
    <cfRule type="colorScale" priority="24">
      <colorScale>
        <cfvo type="min"/>
        <cfvo type="max"/>
        <color rgb="FFFCFCFF"/>
        <color rgb="FFF8696B"/>
      </colorScale>
    </cfRule>
  </conditionalFormatting>
  <conditionalFormatting sqref="V60:V72">
    <cfRule type="colorScale" priority="23">
      <colorScale>
        <cfvo type="min"/>
        <cfvo type="max"/>
        <color rgb="FFFCFCFF"/>
        <color rgb="FFF8696B"/>
      </colorScale>
    </cfRule>
  </conditionalFormatting>
  <conditionalFormatting sqref="C86:C98">
    <cfRule type="colorScale" priority="21">
      <colorScale>
        <cfvo type="min"/>
        <cfvo type="max"/>
        <color rgb="FFFCFCFF"/>
        <color rgb="FFF8696B"/>
      </colorScale>
    </cfRule>
  </conditionalFormatting>
  <conditionalFormatting sqref="D86:D98">
    <cfRule type="colorScale" priority="20">
      <colorScale>
        <cfvo type="min"/>
        <cfvo type="max"/>
        <color rgb="FFFCFCFF"/>
        <color rgb="FFF8696B"/>
      </colorScale>
    </cfRule>
  </conditionalFormatting>
  <conditionalFormatting sqref="I86:I98">
    <cfRule type="colorScale" priority="15">
      <colorScale>
        <cfvo type="min"/>
        <cfvo type="max"/>
        <color rgb="FFFCFCFF"/>
        <color rgb="FFF8696B"/>
      </colorScale>
    </cfRule>
  </conditionalFormatting>
  <conditionalFormatting sqref="E86:E98">
    <cfRule type="colorScale" priority="19">
      <colorScale>
        <cfvo type="min"/>
        <cfvo type="max"/>
        <color rgb="FFFCFCFF"/>
        <color rgb="FFF8696B"/>
      </colorScale>
    </cfRule>
  </conditionalFormatting>
  <conditionalFormatting sqref="F86:F98">
    <cfRule type="colorScale" priority="18">
      <colorScale>
        <cfvo type="min"/>
        <cfvo type="max"/>
        <color rgb="FFFCFCFF"/>
        <color rgb="FFF8696B"/>
      </colorScale>
    </cfRule>
  </conditionalFormatting>
  <conditionalFormatting sqref="G86:G98">
    <cfRule type="colorScale" priority="17">
      <colorScale>
        <cfvo type="min"/>
        <cfvo type="max"/>
        <color rgb="FFFCFCFF"/>
        <color rgb="FFF8696B"/>
      </colorScale>
    </cfRule>
  </conditionalFormatting>
  <conditionalFormatting sqref="H86:H98">
    <cfRule type="colorScale" priority="16">
      <colorScale>
        <cfvo type="min"/>
        <cfvo type="max"/>
        <color rgb="FFFCFCFF"/>
        <color rgb="FFF8696B"/>
      </colorScale>
    </cfRule>
  </conditionalFormatting>
  <conditionalFormatting sqref="J86:J98">
    <cfRule type="colorScale" priority="14">
      <colorScale>
        <cfvo type="min"/>
        <cfvo type="max"/>
        <color rgb="FFFCFCFF"/>
        <color rgb="FFF8696B"/>
      </colorScale>
    </cfRule>
  </conditionalFormatting>
  <conditionalFormatting sqref="K86:K98">
    <cfRule type="colorScale" priority="13">
      <colorScale>
        <cfvo type="min"/>
        <cfvo type="max"/>
        <color rgb="FFFCFCFF"/>
        <color rgb="FFF8696B"/>
      </colorScale>
    </cfRule>
  </conditionalFormatting>
  <conditionalFormatting sqref="P86:P98">
    <cfRule type="colorScale" priority="8">
      <colorScale>
        <cfvo type="min"/>
        <cfvo type="max"/>
        <color rgb="FFFCFCFF"/>
        <color rgb="FFF8696B"/>
      </colorScale>
    </cfRule>
  </conditionalFormatting>
  <conditionalFormatting sqref="L86:L98">
    <cfRule type="colorScale" priority="12">
      <colorScale>
        <cfvo type="min"/>
        <cfvo type="max"/>
        <color rgb="FFFCFCFF"/>
        <color rgb="FFF8696B"/>
      </colorScale>
    </cfRule>
  </conditionalFormatting>
  <conditionalFormatting sqref="M86:M98">
    <cfRule type="colorScale" priority="11">
      <colorScale>
        <cfvo type="min"/>
        <cfvo type="max"/>
        <color rgb="FFFCFCFF"/>
        <color rgb="FFF8696B"/>
      </colorScale>
    </cfRule>
  </conditionalFormatting>
  <conditionalFormatting sqref="N86:N98">
    <cfRule type="colorScale" priority="10">
      <colorScale>
        <cfvo type="min"/>
        <cfvo type="max"/>
        <color rgb="FFFCFCFF"/>
        <color rgb="FFF8696B"/>
      </colorScale>
    </cfRule>
  </conditionalFormatting>
  <conditionalFormatting sqref="O86:O98">
    <cfRule type="colorScale" priority="9">
      <colorScale>
        <cfvo type="min"/>
        <cfvo type="max"/>
        <color rgb="FFFCFCFF"/>
        <color rgb="FFF8696B"/>
      </colorScale>
    </cfRule>
  </conditionalFormatting>
  <conditionalFormatting sqref="Q86:Q98">
    <cfRule type="colorScale" priority="7">
      <colorScale>
        <cfvo type="min"/>
        <cfvo type="max"/>
        <color rgb="FFFCFCFF"/>
        <color rgb="FFF8696B"/>
      </colorScale>
    </cfRule>
  </conditionalFormatting>
  <conditionalFormatting sqref="R86:R98">
    <cfRule type="colorScale" priority="6">
      <colorScale>
        <cfvo type="min"/>
        <cfvo type="max"/>
        <color rgb="FFFCFCFF"/>
        <color rgb="FFF8696B"/>
      </colorScale>
    </cfRule>
  </conditionalFormatting>
  <conditionalFormatting sqref="W86:W98">
    <cfRule type="colorScale" priority="1">
      <colorScale>
        <cfvo type="min"/>
        <cfvo type="max"/>
        <color rgb="FFFCFCFF"/>
        <color rgb="FFF8696B"/>
      </colorScale>
    </cfRule>
  </conditionalFormatting>
  <conditionalFormatting sqref="S86:S98">
    <cfRule type="colorScale" priority="5">
      <colorScale>
        <cfvo type="min"/>
        <cfvo type="max"/>
        <color rgb="FFFCFCFF"/>
        <color rgb="FFF8696B"/>
      </colorScale>
    </cfRule>
  </conditionalFormatting>
  <conditionalFormatting sqref="T86:T98">
    <cfRule type="colorScale" priority="4">
      <colorScale>
        <cfvo type="min"/>
        <cfvo type="max"/>
        <color rgb="FFFCFCFF"/>
        <color rgb="FFF8696B"/>
      </colorScale>
    </cfRule>
  </conditionalFormatting>
  <conditionalFormatting sqref="U86:U98">
    <cfRule type="colorScale" priority="3">
      <colorScale>
        <cfvo type="min"/>
        <cfvo type="max"/>
        <color rgb="FFFCFCFF"/>
        <color rgb="FFF8696B"/>
      </colorScale>
    </cfRule>
  </conditionalFormatting>
  <conditionalFormatting sqref="V86:V98">
    <cfRule type="colorScale" priority="2">
      <colorScale>
        <cfvo type="min"/>
        <cfvo type="max"/>
        <color rgb="FFFCFCFF"/>
        <color rgb="FFF8696B"/>
      </colorScale>
    </cfRule>
  </conditionalFormatting>
  <pageMargins left="0.6692913385826772" right="0.51181102362204722" top="0.19685039370078741" bottom="0.15748031496062992" header="0.31496062992125984" footer="0.31496062992125984"/>
  <pageSetup scale="55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pageSetUpPr fitToPage="1"/>
  </sheetPr>
  <dimension ref="B2:AT717"/>
  <sheetViews>
    <sheetView showGridLines="0" zoomScale="85" zoomScaleNormal="85" workbookViewId="0">
      <selection activeCell="B12" sqref="B12"/>
    </sheetView>
  </sheetViews>
  <sheetFormatPr baseColWidth="10" defaultColWidth="11.42578125" defaultRowHeight="12.75"/>
  <cols>
    <col min="1" max="1" width="3.5703125" style="325" customWidth="1"/>
    <col min="2" max="2" width="10" style="325" customWidth="1"/>
    <col min="3" max="13" width="7.28515625" style="325" customWidth="1"/>
    <col min="14" max="14" width="7.7109375" style="325" bestFit="1" customWidth="1"/>
    <col min="15" max="23" width="7.28515625" style="325" customWidth="1"/>
    <col min="24" max="24" width="2" style="325" customWidth="1"/>
    <col min="25" max="25" width="7.28515625" style="325" customWidth="1"/>
    <col min="26" max="26" width="15" style="325" bestFit="1" customWidth="1"/>
    <col min="27" max="27" width="14" style="325" bestFit="1" customWidth="1"/>
    <col min="28" max="29" width="8.42578125" style="325" customWidth="1"/>
    <col min="30" max="30" width="11.42578125" style="325"/>
    <col min="31" max="31" width="10.28515625" style="325" bestFit="1" customWidth="1"/>
    <col min="32" max="33" width="13.85546875" style="325" bestFit="1" customWidth="1"/>
    <col min="34" max="34" width="15" style="325" bestFit="1" customWidth="1"/>
    <col min="35" max="36" width="13.5703125" style="325" bestFit="1" customWidth="1"/>
    <col min="37" max="37" width="14.5703125" style="325" bestFit="1" customWidth="1"/>
    <col min="38" max="16384" width="11.42578125" style="325"/>
  </cols>
  <sheetData>
    <row r="2" spans="2:45" ht="26.25">
      <c r="B2" s="573" t="s">
        <v>442</v>
      </c>
      <c r="C2" s="573"/>
      <c r="D2" s="573"/>
      <c r="E2" s="573"/>
      <c r="F2" s="573"/>
      <c r="G2" s="573"/>
      <c r="H2" s="573"/>
      <c r="I2" s="573"/>
      <c r="J2" s="573"/>
      <c r="K2" s="573"/>
      <c r="L2" s="573"/>
      <c r="M2" s="573"/>
      <c r="N2" s="573"/>
      <c r="O2" s="573"/>
      <c r="P2" s="573"/>
      <c r="Q2" s="573"/>
      <c r="R2" s="573"/>
      <c r="S2" s="573"/>
      <c r="T2" s="573"/>
      <c r="U2" s="573"/>
      <c r="V2" s="573"/>
      <c r="W2" s="573"/>
      <c r="X2" s="573"/>
    </row>
    <row r="3" spans="2:45" ht="15" customHeight="1">
      <c r="B3" s="425"/>
      <c r="C3" s="425"/>
      <c r="D3" s="425"/>
      <c r="E3" s="425"/>
      <c r="F3" s="425"/>
      <c r="G3" s="425"/>
      <c r="H3" s="425"/>
      <c r="I3" s="425"/>
      <c r="J3" s="425"/>
      <c r="K3" s="425"/>
      <c r="L3" s="425"/>
      <c r="M3" s="425"/>
      <c r="N3" s="425"/>
      <c r="O3" s="425"/>
      <c r="P3" s="425"/>
      <c r="Q3" s="425"/>
      <c r="R3" s="425"/>
      <c r="S3" s="425"/>
      <c r="T3" s="425"/>
      <c r="U3" s="425"/>
      <c r="V3" s="425"/>
      <c r="W3" s="425"/>
      <c r="X3" s="425"/>
    </row>
    <row r="4" spans="2:45" ht="21">
      <c r="B4" s="591" t="s">
        <v>436</v>
      </c>
      <c r="C4" s="591"/>
      <c r="D4" s="591"/>
      <c r="E4" s="591"/>
      <c r="F4" s="591"/>
      <c r="G4" s="591"/>
      <c r="H4" s="591"/>
      <c r="I4" s="591"/>
      <c r="J4" s="591"/>
      <c r="K4" s="591"/>
      <c r="L4" s="591"/>
      <c r="M4" s="591"/>
      <c r="N4" s="591"/>
      <c r="O4" s="591"/>
      <c r="P4" s="591"/>
      <c r="Q4" s="591"/>
      <c r="R4" s="591"/>
      <c r="S4" s="591"/>
      <c r="T4" s="591"/>
      <c r="U4" s="591"/>
      <c r="V4" s="591"/>
      <c r="W4" s="591"/>
      <c r="X4" s="591"/>
      <c r="AE4" s="437"/>
      <c r="AF4" s="592" t="s">
        <v>443</v>
      </c>
      <c r="AG4" s="592"/>
      <c r="AH4" s="592"/>
      <c r="AI4" s="592" t="s">
        <v>116</v>
      </c>
      <c r="AJ4" s="592"/>
      <c r="AK4" s="592"/>
      <c r="AL4" s="592" t="s">
        <v>443</v>
      </c>
      <c r="AM4" s="592"/>
      <c r="AN4" s="592"/>
      <c r="AO4" s="592"/>
      <c r="AP4" s="592" t="s">
        <v>116</v>
      </c>
      <c r="AQ4" s="592"/>
      <c r="AR4" s="592"/>
      <c r="AS4" s="592"/>
    </row>
    <row r="5" spans="2:45" ht="12.75" customHeight="1">
      <c r="B5" s="406"/>
      <c r="C5" s="406"/>
      <c r="D5" s="406"/>
      <c r="E5" s="406"/>
      <c r="F5" s="406"/>
      <c r="G5" s="406"/>
      <c r="H5" s="406"/>
      <c r="I5" s="406"/>
      <c r="J5" s="406"/>
      <c r="K5" s="406"/>
      <c r="L5" s="406"/>
      <c r="M5" s="406"/>
      <c r="N5" s="406"/>
      <c r="O5" s="406"/>
      <c r="P5" s="406"/>
      <c r="Q5" s="406"/>
      <c r="R5" s="406"/>
      <c r="S5" s="406"/>
      <c r="T5" s="406"/>
      <c r="U5" s="406"/>
      <c r="V5" s="406"/>
      <c r="W5" s="406"/>
      <c r="X5" s="406"/>
      <c r="AE5" s="437" t="s">
        <v>156</v>
      </c>
      <c r="AF5" s="437" t="s">
        <v>439</v>
      </c>
      <c r="AG5" s="437" t="s">
        <v>440</v>
      </c>
      <c r="AH5" s="437" t="s">
        <v>441</v>
      </c>
      <c r="AI5" s="437" t="s">
        <v>293</v>
      </c>
      <c r="AJ5" s="437" t="s">
        <v>296</v>
      </c>
      <c r="AK5" s="437" t="s">
        <v>301</v>
      </c>
      <c r="AL5" s="437" t="s">
        <v>426</v>
      </c>
      <c r="AM5" s="437" t="s">
        <v>427</v>
      </c>
      <c r="AN5" s="437" t="s">
        <v>428</v>
      </c>
      <c r="AO5" s="437" t="s">
        <v>429</v>
      </c>
      <c r="AP5" s="437" t="s">
        <v>426</v>
      </c>
      <c r="AQ5" s="437" t="s">
        <v>427</v>
      </c>
      <c r="AR5" s="437" t="s">
        <v>428</v>
      </c>
      <c r="AS5" s="437" t="s">
        <v>429</v>
      </c>
    </row>
    <row r="6" spans="2:45" ht="16.5" thickBot="1">
      <c r="C6" s="589" t="s">
        <v>425</v>
      </c>
      <c r="D6" s="590"/>
      <c r="E6" s="590"/>
      <c r="F6" s="590"/>
      <c r="G6" s="590"/>
      <c r="H6" s="590"/>
      <c r="I6" s="590"/>
      <c r="J6" s="590"/>
      <c r="K6" s="590"/>
      <c r="L6" s="590"/>
      <c r="M6" s="590"/>
      <c r="N6" s="590"/>
      <c r="O6" s="590"/>
      <c r="P6" s="590"/>
      <c r="Q6" s="590"/>
      <c r="R6" s="590"/>
      <c r="S6" s="590"/>
      <c r="T6" s="590"/>
      <c r="U6" s="590"/>
      <c r="V6" s="590"/>
      <c r="W6" s="590"/>
      <c r="AE6" s="438">
        <f ca="1">fechaHoy</f>
        <v>42670</v>
      </c>
      <c r="AF6" s="439">
        <f ca="1">_xll.BDH(AF$5,"PX_LAST",$AE6)</f>
        <v>3.24</v>
      </c>
      <c r="AG6" s="439">
        <f ca="1">_xll.BDH(AG$5,"PX_LAST",$AE6)</f>
        <v>3.58</v>
      </c>
      <c r="AH6" s="439">
        <f ca="1">_xll.BDH(AH$5,"PX_LAST",$AE6)</f>
        <v>4.04</v>
      </c>
      <c r="AI6" s="439">
        <f ca="1">_xll.BDH(AI$5,"PX_LAST",$AE6)</f>
        <v>0.55000000000000004</v>
      </c>
      <c r="AJ6" s="439">
        <f ca="1">_xll.BDH(AJ$5,"PX_LAST",$AE6)</f>
        <v>0.77</v>
      </c>
      <c r="AK6" s="439">
        <f ca="1">_xll.BDH(AK$5,"PX_LAST",$AE6)</f>
        <v>1.1499999999999999</v>
      </c>
      <c r="AL6" s="440">
        <f ca="1">IFERROR(AH6-AF6,AL5)</f>
        <v>0.79999999999999982</v>
      </c>
      <c r="AM6" s="440">
        <f ca="1">IFERROR(AG6-AF6,AM5)</f>
        <v>0.33999999999999986</v>
      </c>
      <c r="AN6" s="440">
        <f ca="1">IFERROR(AH6-AG6,AN5)</f>
        <v>0.45999999999999996</v>
      </c>
      <c r="AO6" s="440">
        <f ca="1">(AM6-AN6)/2</f>
        <v>-6.0000000000000053E-2</v>
      </c>
      <c r="AP6" s="440">
        <f ca="1">IFERROR(AK6-AI6,AP5)</f>
        <v>0.59999999999999987</v>
      </c>
      <c r="AQ6" s="440">
        <f ca="1">IFERROR(AJ6-AI6,AQ5)</f>
        <v>0.21999999999999997</v>
      </c>
      <c r="AR6" s="440">
        <f ca="1">IFERROR(AK6-AJ6,AR5)</f>
        <v>0.37999999999999989</v>
      </c>
      <c r="AS6" s="441">
        <f ca="1">(AQ6-AR6)/2</f>
        <v>-7.999999999999996E-2</v>
      </c>
    </row>
    <row r="7" spans="2:45" ht="13.5" thickBot="1">
      <c r="B7" s="188"/>
      <c r="C7" s="570" t="s">
        <v>150</v>
      </c>
      <c r="D7" s="585"/>
      <c r="E7" s="585"/>
      <c r="F7" s="585"/>
      <c r="G7" s="585"/>
      <c r="H7" s="585"/>
      <c r="I7" s="571"/>
      <c r="J7" s="570" t="s">
        <v>316</v>
      </c>
      <c r="K7" s="585"/>
      <c r="L7" s="585"/>
      <c r="M7" s="585"/>
      <c r="N7" s="585"/>
      <c r="O7" s="585"/>
      <c r="P7" s="571"/>
      <c r="Q7" s="570" t="s">
        <v>317</v>
      </c>
      <c r="R7" s="585"/>
      <c r="S7" s="585"/>
      <c r="T7" s="585"/>
      <c r="U7" s="585"/>
      <c r="V7" s="585"/>
      <c r="W7" s="571"/>
      <c r="AE7" s="442">
        <f ca="1">WORKDAY(AE6,-1)</f>
        <v>42669</v>
      </c>
      <c r="AF7" s="443">
        <f ca="1">_xll.BDH(AF$5,"PX_LAST",$AE7)</f>
        <v>3.24</v>
      </c>
      <c r="AG7" s="443">
        <f ca="1">_xll.BDH(AG$5,"PX_LAST",$AE7)</f>
        <v>3.56</v>
      </c>
      <c r="AH7" s="443">
        <f ca="1">_xll.BDH(AH$5,"PX_LAST",$AE7)</f>
        <v>4.0199999999999996</v>
      </c>
      <c r="AI7" s="443">
        <f ca="1">_xll.BDH(AI$5,"PX_LAST",$AE7)</f>
        <v>0.55000000000000004</v>
      </c>
      <c r="AJ7" s="443">
        <f ca="1">_xll.BDH(AJ$5,"PX_LAST",$AE7)</f>
        <v>0.77</v>
      </c>
      <c r="AK7" s="443">
        <f ca="1">_xll.BDH(AK$5,"PX_LAST",$AE7)</f>
        <v>1.1599999999999999</v>
      </c>
      <c r="AL7" s="444">
        <f t="shared" ref="AL7:AL21" ca="1" si="0">IFERROR(AH7-AF7,AL6)</f>
        <v>0.77999999999999936</v>
      </c>
      <c r="AM7" s="444">
        <f t="shared" ref="AM7:AM21" ca="1" si="1">IFERROR(AG7-AF7,AM6)</f>
        <v>0.31999999999999984</v>
      </c>
      <c r="AN7" s="444">
        <f t="shared" ref="AN7:AN21" ca="1" si="2">IFERROR(AH7-AG7,AN6)</f>
        <v>0.45999999999999952</v>
      </c>
      <c r="AO7" s="444">
        <f t="shared" ref="AO7:AO21" ca="1" si="3">(AM7-AN7)/2</f>
        <v>-6.999999999999984E-2</v>
      </c>
      <c r="AP7" s="444">
        <f t="shared" ref="AP7:AP70" ca="1" si="4">IFERROR(AK7-AI7,AP6)</f>
        <v>0.60999999999999988</v>
      </c>
      <c r="AQ7" s="444">
        <f t="shared" ref="AQ7:AQ70" ca="1" si="5">IFERROR(AJ7-AI7,AQ6)</f>
        <v>0.21999999999999997</v>
      </c>
      <c r="AR7" s="444">
        <f t="shared" ref="AR7:AR70" ca="1" si="6">IFERROR(AK7-AJ7,AR6)</f>
        <v>0.3899999999999999</v>
      </c>
      <c r="AS7" s="445">
        <f t="shared" ref="AS7:AS70" ca="1" si="7">(AQ7-AR7)/2</f>
        <v>-8.4999999999999964E-2</v>
      </c>
    </row>
    <row r="8" spans="2:45" ht="13.5" thickBot="1">
      <c r="B8" s="220" t="s">
        <v>430</v>
      </c>
      <c r="C8" s="352">
        <v>1</v>
      </c>
      <c r="D8" s="352">
        <v>5</v>
      </c>
      <c r="E8" s="352">
        <v>10</v>
      </c>
      <c r="F8" s="352">
        <v>20</v>
      </c>
      <c r="G8" s="352">
        <v>30</v>
      </c>
      <c r="H8" s="352">
        <v>60</v>
      </c>
      <c r="I8" s="352">
        <v>90</v>
      </c>
      <c r="J8" s="352">
        <v>1</v>
      </c>
      <c r="K8" s="352">
        <v>5</v>
      </c>
      <c r="L8" s="352">
        <v>10</v>
      </c>
      <c r="M8" s="352">
        <v>20</v>
      </c>
      <c r="N8" s="352">
        <v>30</v>
      </c>
      <c r="O8" s="352">
        <v>60</v>
      </c>
      <c r="P8" s="352">
        <v>90</v>
      </c>
      <c r="Q8" s="352">
        <v>1</v>
      </c>
      <c r="R8" s="352">
        <v>5</v>
      </c>
      <c r="S8" s="352">
        <v>10</v>
      </c>
      <c r="T8" s="352">
        <v>20</v>
      </c>
      <c r="U8" s="352">
        <v>30</v>
      </c>
      <c r="V8" s="352">
        <v>60</v>
      </c>
      <c r="W8" s="352">
        <v>90</v>
      </c>
      <c r="AD8" s="326"/>
      <c r="AE8" s="442">
        <f t="shared" ref="AE8:AE71" ca="1" si="8">WORKDAY(AE7,-1)</f>
        <v>42668</v>
      </c>
      <c r="AF8" s="443">
        <f ca="1">_xll.BDH(AF$5,"PX_LAST",$AE8)</f>
        <v>3.2</v>
      </c>
      <c r="AG8" s="443">
        <f ca="1">_xll.BDH(AG$5,"PX_LAST",$AE8)</f>
        <v>3.54</v>
      </c>
      <c r="AH8" s="443">
        <f ca="1">_xll.BDH(AH$5,"PX_LAST",$AE8)</f>
        <v>4.01</v>
      </c>
      <c r="AI8" s="443">
        <f ca="1">_xll.BDH(AI$5,"PX_LAST",$AE8)</f>
        <v>0.54</v>
      </c>
      <c r="AJ8" s="443">
        <f ca="1">_xll.BDH(AJ$5,"PX_LAST",$AE8)</f>
        <v>0.75</v>
      </c>
      <c r="AK8" s="443">
        <f ca="1">_xll.BDH(AK$5,"PX_LAST",$AE8)</f>
        <v>1.1400000000000001</v>
      </c>
      <c r="AL8" s="444">
        <f t="shared" ca="1" si="0"/>
        <v>0.80999999999999961</v>
      </c>
      <c r="AM8" s="444">
        <f t="shared" ca="1" si="1"/>
        <v>0.33999999999999986</v>
      </c>
      <c r="AN8" s="444">
        <f t="shared" ca="1" si="2"/>
        <v>0.46999999999999975</v>
      </c>
      <c r="AO8" s="444">
        <f t="shared" ca="1" si="3"/>
        <v>-6.4999999999999947E-2</v>
      </c>
      <c r="AP8" s="444">
        <f t="shared" ca="1" si="4"/>
        <v>0.60000000000000009</v>
      </c>
      <c r="AQ8" s="444">
        <f t="shared" ca="1" si="5"/>
        <v>0.20999999999999996</v>
      </c>
      <c r="AR8" s="444">
        <f t="shared" ca="1" si="6"/>
        <v>0.39000000000000012</v>
      </c>
      <c r="AS8" s="445">
        <f t="shared" ca="1" si="7"/>
        <v>-9.000000000000008E-2</v>
      </c>
    </row>
    <row r="9" spans="2:45">
      <c r="B9" s="340" t="s">
        <v>426</v>
      </c>
      <c r="C9" s="327">
        <f ca="1">Informe4!C20-Informe4!C12</f>
        <v>5.6903818611386825E-2</v>
      </c>
      <c r="D9" s="327">
        <f ca="1">Informe4!D20-Informe4!D12</f>
        <v>0.28511338422059218</v>
      </c>
      <c r="E9" s="327">
        <f ca="1">Informe4!E20-Informe4!E12</f>
        <v>0.57172496409223506</v>
      </c>
      <c r="F9" s="327">
        <f ca="1">Informe4!F20-Informe4!F12</f>
        <v>1.1495278351234983</v>
      </c>
      <c r="G9" s="327">
        <f ca="1">Informe4!G20-Informe4!G12</f>
        <v>1.7335843542940932</v>
      </c>
      <c r="H9" s="327">
        <f ca="1">Informe4!H20-Informe4!H12</f>
        <v>3.5251756237495879</v>
      </c>
      <c r="I9" s="332">
        <f ca="1">Informe4!I20-Informe4!I12</f>
        <v>5.3803427736430098</v>
      </c>
      <c r="J9" s="327">
        <f ca="1">Informe4!J20-Informe4!J12</f>
        <v>2.1072240297925759E-2</v>
      </c>
      <c r="K9" s="327">
        <f ca="1">Informe4!K20-Informe4!K12</f>
        <v>0.10536120148953998</v>
      </c>
      <c r="L9" s="327">
        <f ca="1">Informe4!L20-Informe4!L12</f>
        <v>0.21072240297903555</v>
      </c>
      <c r="M9" s="327">
        <f ca="1">Informe4!M20-Informe4!M12</f>
        <v>0.42144480595802669</v>
      </c>
      <c r="N9" s="327">
        <f ca="1">Informe4!N20-Informe4!N12</f>
        <v>0.63216720893706224</v>
      </c>
      <c r="O9" s="327">
        <f ca="1">Informe4!O20-Informe4!O12</f>
        <v>1.2643344178740801</v>
      </c>
      <c r="P9" s="332">
        <f ca="1">Informe4!P20-Informe4!P12</f>
        <v>1.8965016268111423</v>
      </c>
      <c r="Q9" s="327">
        <f ca="1">Informe4!Q20-Informe4!Q12</f>
        <v>7.7976058909312584E-2</v>
      </c>
      <c r="R9" s="327">
        <f ca="1">Informe4!R20-Informe4!R12</f>
        <v>0.39047458571013216</v>
      </c>
      <c r="S9" s="327">
        <f ca="1">Informe4!S20-Informe4!S12</f>
        <v>0.78244736707127061</v>
      </c>
      <c r="T9" s="327">
        <f ca="1">Informe4!T20-Informe4!T12</f>
        <v>1.570972641081525</v>
      </c>
      <c r="U9" s="327">
        <f ca="1">Informe4!U20-Informe4!U12</f>
        <v>2.3657515632311554</v>
      </c>
      <c r="V9" s="327">
        <f ca="1">Informe4!V20-Informe4!V12</f>
        <v>4.789510041623668</v>
      </c>
      <c r="W9" s="332">
        <f ca="1">Informe4!W20-Informe4!W12</f>
        <v>7.2768444004541522</v>
      </c>
      <c r="AD9" s="326"/>
      <c r="AE9" s="442">
        <f t="shared" ca="1" si="8"/>
        <v>42667</v>
      </c>
      <c r="AF9" s="443">
        <f ca="1">_xll.BDH(AF$5,"PX_LAST",$AE9)</f>
        <v>3.22</v>
      </c>
      <c r="AG9" s="443">
        <f ca="1">_xll.BDH(AG$5,"PX_LAST",$AE9)</f>
        <v>3.55</v>
      </c>
      <c r="AH9" s="443">
        <f ca="1">_xll.BDH(AH$5,"PX_LAST",$AE9)</f>
        <v>4.03</v>
      </c>
      <c r="AI9" s="443">
        <f ca="1">_xll.BDH(AI$5,"PX_LAST",$AE9)</f>
        <v>0.53</v>
      </c>
      <c r="AJ9" s="443">
        <f ca="1">_xll.BDH(AJ$5,"PX_LAST",$AE9)</f>
        <v>0.78</v>
      </c>
      <c r="AK9" s="443">
        <f ca="1">_xll.BDH(AK$5,"PX_LAST",$AE9)</f>
        <v>1.17</v>
      </c>
      <c r="AL9" s="444">
        <f t="shared" ca="1" si="0"/>
        <v>0.81</v>
      </c>
      <c r="AM9" s="444">
        <f t="shared" ca="1" si="1"/>
        <v>0.32999999999999963</v>
      </c>
      <c r="AN9" s="444">
        <f t="shared" ca="1" si="2"/>
        <v>0.48000000000000043</v>
      </c>
      <c r="AO9" s="444">
        <f t="shared" ca="1" si="3"/>
        <v>-7.50000000000004E-2</v>
      </c>
      <c r="AP9" s="444">
        <f t="shared" ca="1" si="4"/>
        <v>0.6399999999999999</v>
      </c>
      <c r="AQ9" s="444">
        <f t="shared" ca="1" si="5"/>
        <v>0.25</v>
      </c>
      <c r="AR9" s="444">
        <f t="shared" ca="1" si="6"/>
        <v>0.3899999999999999</v>
      </c>
      <c r="AS9" s="445">
        <f t="shared" ca="1" si="7"/>
        <v>-6.9999999999999951E-2</v>
      </c>
    </row>
    <row r="10" spans="2:45">
      <c r="B10" s="341" t="s">
        <v>427</v>
      </c>
      <c r="C10" s="327">
        <f ca="1">Informe4!C15-Informe4!C12</f>
        <v>4.4310853980134013E-2</v>
      </c>
      <c r="D10" s="327">
        <f ca="1">Informe4!D15-Informe4!D12</f>
        <v>0.22225255164118884</v>
      </c>
      <c r="E10" s="327">
        <f ca="1">Informe4!E15-Informe4!E12</f>
        <v>0.44626607987505729</v>
      </c>
      <c r="F10" s="327">
        <f ca="1">Informe4!F15-Informe4!F12</f>
        <v>0.89968013791872359</v>
      </c>
      <c r="G10" s="327">
        <f ca="1">Informe4!G15-Informe4!G12</f>
        <v>1.3604564821630749</v>
      </c>
      <c r="H10" s="327">
        <f ca="1">Informe4!H15-Informe4!H12</f>
        <v>2.7892614064846999</v>
      </c>
      <c r="I10" s="333">
        <f ca="1">Informe4!I15-Informe4!I12</f>
        <v>4.2931178178403417</v>
      </c>
      <c r="J10" s="327">
        <f ca="1">Informe4!J15-Informe4!J12</f>
        <v>3.7296824020893737E-2</v>
      </c>
      <c r="K10" s="327">
        <f ca="1">Informe4!K15-Informe4!K12</f>
        <v>0.18648412010464632</v>
      </c>
      <c r="L10" s="327">
        <f ca="1">Informe4!L15-Informe4!L12</f>
        <v>0.37296824020924824</v>
      </c>
      <c r="M10" s="327">
        <f ca="1">Informe4!M15-Informe4!M12</f>
        <v>0.74593648041854088</v>
      </c>
      <c r="N10" s="327">
        <f ca="1">Informe4!N15-Informe4!N12</f>
        <v>1.1189047206277891</v>
      </c>
      <c r="O10" s="327">
        <f ca="1">Informe4!O15-Informe4!O12</f>
        <v>2.2378094412556226</v>
      </c>
      <c r="P10" s="333">
        <f ca="1">Informe4!P15-Informe4!P12</f>
        <v>3.3567141618834118</v>
      </c>
      <c r="Q10" s="327">
        <f ca="1">Informe4!Q15-Informe4!Q12</f>
        <v>8.160767800102775E-2</v>
      </c>
      <c r="R10" s="327">
        <f ca="1">Informe4!R15-Informe4!R12</f>
        <v>0.40873667174583517</v>
      </c>
      <c r="S10" s="327">
        <f ca="1">Informe4!S15-Informe4!S12</f>
        <v>0.81923432008430552</v>
      </c>
      <c r="T10" s="327">
        <f ca="1">Informe4!T15-Informe4!T12</f>
        <v>1.6456166183372645</v>
      </c>
      <c r="U10" s="327">
        <f ca="1">Informe4!U15-Informe4!U12</f>
        <v>2.479361202790864</v>
      </c>
      <c r="V10" s="327">
        <f ca="1">Informe4!V15-Informe4!V12</f>
        <v>5.0270708477403225</v>
      </c>
      <c r="W10" s="333">
        <f ca="1">Informe4!W15-Informe4!W12</f>
        <v>7.6498319797237535</v>
      </c>
      <c r="AD10" s="326"/>
      <c r="AE10" s="442">
        <f t="shared" ca="1" si="8"/>
        <v>42664</v>
      </c>
      <c r="AF10" s="443">
        <f ca="1">_xll.BDH(AF$5,"PX_LAST",$AE10)</f>
        <v>3.23</v>
      </c>
      <c r="AG10" s="443">
        <f ca="1">_xll.BDH(AG$5,"PX_LAST",$AE10)</f>
        <v>3.54</v>
      </c>
      <c r="AH10" s="443">
        <f ca="1">_xll.BDH(AH$5,"PX_LAST",$AE10)</f>
        <v>4.01</v>
      </c>
      <c r="AI10" s="443">
        <f ca="1">_xll.BDH(AI$5,"PX_LAST",$AE10)</f>
        <v>0.52</v>
      </c>
      <c r="AJ10" s="443">
        <f ca="1">_xll.BDH(AJ$5,"PX_LAST",$AE10)</f>
        <v>0.75</v>
      </c>
      <c r="AK10" s="443">
        <f ca="1">_xll.BDH(AK$5,"PX_LAST",$AE10)</f>
        <v>1.1499999999999999</v>
      </c>
      <c r="AL10" s="444">
        <f t="shared" ca="1" si="0"/>
        <v>0.7799999999999998</v>
      </c>
      <c r="AM10" s="444">
        <f t="shared" ca="1" si="1"/>
        <v>0.31000000000000005</v>
      </c>
      <c r="AN10" s="444">
        <f t="shared" ca="1" si="2"/>
        <v>0.46999999999999975</v>
      </c>
      <c r="AO10" s="444">
        <f t="shared" ca="1" si="3"/>
        <v>-7.9999999999999849E-2</v>
      </c>
      <c r="AP10" s="444">
        <f t="shared" ca="1" si="4"/>
        <v>0.62999999999999989</v>
      </c>
      <c r="AQ10" s="444">
        <f t="shared" ca="1" si="5"/>
        <v>0.22999999999999998</v>
      </c>
      <c r="AR10" s="444">
        <f t="shared" ca="1" si="6"/>
        <v>0.39999999999999991</v>
      </c>
      <c r="AS10" s="445">
        <f t="shared" ca="1" si="7"/>
        <v>-8.4999999999999964E-2</v>
      </c>
    </row>
    <row r="11" spans="2:45">
      <c r="B11" s="331" t="s">
        <v>428</v>
      </c>
      <c r="C11" s="327">
        <f ca="1">Informe4!C20-Informe4!C15</f>
        <v>1.2592964631252812E-2</v>
      </c>
      <c r="D11" s="327">
        <f ca="1">Informe4!D20-Informe4!D15</f>
        <v>6.2860832579403336E-2</v>
      </c>
      <c r="E11" s="327">
        <f ca="1">Informe4!E20-Informe4!E15</f>
        <v>0.12545888421717777</v>
      </c>
      <c r="F11" s="327">
        <f ca="1">Informe4!F20-Informe4!F15</f>
        <v>0.24984769720477473</v>
      </c>
      <c r="G11" s="327">
        <f ca="1">Informe4!G20-Informe4!G15</f>
        <v>0.37312787213101828</v>
      </c>
      <c r="H11" s="327">
        <f ca="1">Informe4!H20-Informe4!H15</f>
        <v>0.73591421726488804</v>
      </c>
      <c r="I11" s="333">
        <f ca="1">Informe4!I20-Informe4!I15</f>
        <v>1.0872249558026681</v>
      </c>
      <c r="J11" s="327">
        <f ca="1">Informe4!J20-Informe4!J15</f>
        <v>-1.6224583722967978E-2</v>
      </c>
      <c r="K11" s="327">
        <f ca="1">Informe4!K20-Informe4!K15</f>
        <v>-8.1122918615106343E-2</v>
      </c>
      <c r="L11" s="327">
        <f ca="1">Informe4!L20-Informe4!L15</f>
        <v>-0.16224583723021269</v>
      </c>
      <c r="M11" s="327">
        <f ca="1">Informe4!M20-Informe4!M15</f>
        <v>-0.32449167446051419</v>
      </c>
      <c r="N11" s="327">
        <f ca="1">Informe4!N20-Informe4!N15</f>
        <v>-0.48673751169072688</v>
      </c>
      <c r="O11" s="327">
        <f ca="1">Informe4!O20-Informe4!O15</f>
        <v>-0.97347502338154257</v>
      </c>
      <c r="P11" s="333">
        <f ca="1">Informe4!P20-Informe4!P15</f>
        <v>-1.4602125350722694</v>
      </c>
      <c r="Q11" s="327">
        <f ca="1">Informe4!Q20-Informe4!Q15</f>
        <v>-3.6316190917151658E-3</v>
      </c>
      <c r="R11" s="327">
        <f ca="1">Informe4!R20-Informe4!R15</f>
        <v>-1.8262086035703007E-2</v>
      </c>
      <c r="S11" s="327">
        <f ca="1">Informe4!S20-Informe4!S15</f>
        <v>-3.6786953013034918E-2</v>
      </c>
      <c r="T11" s="327">
        <f ca="1">Informe4!T20-Informe4!T15</f>
        <v>-7.4643977255739458E-2</v>
      </c>
      <c r="U11" s="327">
        <f ca="1">Informe4!U20-Informe4!U15</f>
        <v>-0.1136096395597086</v>
      </c>
      <c r="V11" s="327">
        <f ca="1">Informe4!V20-Informe4!V15</f>
        <v>-0.23756080611665453</v>
      </c>
      <c r="W11" s="333">
        <f ca="1">Informe4!W20-Informe4!W15</f>
        <v>-0.37298757926960135</v>
      </c>
      <c r="AD11" s="326"/>
      <c r="AE11" s="442">
        <f t="shared" ca="1" si="8"/>
        <v>42663</v>
      </c>
      <c r="AF11" s="443">
        <f ca="1">_xll.BDH(AF$5,"PX_LAST",$AE11)</f>
        <v>3.19</v>
      </c>
      <c r="AG11" s="443">
        <f ca="1">_xll.BDH(AG$5,"PX_LAST",$AE11)</f>
        <v>3.52</v>
      </c>
      <c r="AH11" s="443">
        <f ca="1">_xll.BDH(AH$5,"PX_LAST",$AE11)</f>
        <v>4</v>
      </c>
      <c r="AI11" s="443">
        <f ca="1">_xll.BDH(AI$5,"PX_LAST",$AE11)</f>
        <v>0.52</v>
      </c>
      <c r="AJ11" s="443">
        <f ca="1">_xll.BDH(AJ$5,"PX_LAST",$AE11)</f>
        <v>0.73</v>
      </c>
      <c r="AK11" s="443">
        <f ca="1">_xll.BDH(AK$5,"PX_LAST",$AE11)</f>
        <v>1.1299999999999999</v>
      </c>
      <c r="AL11" s="444">
        <f t="shared" ca="1" si="0"/>
        <v>0.81</v>
      </c>
      <c r="AM11" s="444">
        <f t="shared" ca="1" si="1"/>
        <v>0.33000000000000007</v>
      </c>
      <c r="AN11" s="444">
        <f t="shared" ca="1" si="2"/>
        <v>0.48</v>
      </c>
      <c r="AO11" s="444">
        <f t="shared" ca="1" si="3"/>
        <v>-7.4999999999999956E-2</v>
      </c>
      <c r="AP11" s="444">
        <f t="shared" ca="1" si="4"/>
        <v>0.60999999999999988</v>
      </c>
      <c r="AQ11" s="444">
        <f t="shared" ca="1" si="5"/>
        <v>0.20999999999999996</v>
      </c>
      <c r="AR11" s="444">
        <f t="shared" ca="1" si="6"/>
        <v>0.39999999999999991</v>
      </c>
      <c r="AS11" s="445">
        <f t="shared" ca="1" si="7"/>
        <v>-9.4999999999999973E-2</v>
      </c>
    </row>
    <row r="12" spans="2:45" ht="13.5" thickBot="1">
      <c r="B12" s="331" t="s">
        <v>429</v>
      </c>
      <c r="C12" s="334">
        <f ca="1">(C10-C11)/2</f>
        <v>1.58589446744406E-2</v>
      </c>
      <c r="D12" s="335">
        <f t="shared" ref="D12:W12" ca="1" si="9">(D10-D11)/2</f>
        <v>7.9695859530892754E-2</v>
      </c>
      <c r="E12" s="335">
        <f t="shared" ca="1" si="9"/>
        <v>0.16040359782893976</v>
      </c>
      <c r="F12" s="335">
        <f t="shared" ca="1" si="9"/>
        <v>0.32491622035697443</v>
      </c>
      <c r="G12" s="335">
        <f t="shared" ca="1" si="9"/>
        <v>0.49366430501602832</v>
      </c>
      <c r="H12" s="335">
        <f t="shared" ca="1" si="9"/>
        <v>1.0266735946099059</v>
      </c>
      <c r="I12" s="336">
        <f t="shared" ca="1" si="9"/>
        <v>1.6029464310188368</v>
      </c>
      <c r="J12" s="335">
        <f t="shared" ca="1" si="9"/>
        <v>2.6760703871930858E-2</v>
      </c>
      <c r="K12" s="335">
        <f t="shared" ca="1" si="9"/>
        <v>0.13380351935987633</v>
      </c>
      <c r="L12" s="335">
        <f t="shared" ca="1" si="9"/>
        <v>0.26760703871973046</v>
      </c>
      <c r="M12" s="335">
        <f t="shared" ca="1" si="9"/>
        <v>0.53521407743952754</v>
      </c>
      <c r="N12" s="335">
        <f t="shared" ca="1" si="9"/>
        <v>0.802821116159258</v>
      </c>
      <c r="O12" s="335">
        <f t="shared" ca="1" si="9"/>
        <v>1.6056422323185826</v>
      </c>
      <c r="P12" s="336">
        <f t="shared" ca="1" si="9"/>
        <v>2.4084633484778406</v>
      </c>
      <c r="Q12" s="335">
        <f t="shared" ca="1" si="9"/>
        <v>4.2619648546371458E-2</v>
      </c>
      <c r="R12" s="335">
        <f t="shared" ca="1" si="9"/>
        <v>0.21349937889076909</v>
      </c>
      <c r="S12" s="335">
        <f t="shared" ca="1" si="9"/>
        <v>0.42801063654867022</v>
      </c>
      <c r="T12" s="335">
        <f t="shared" ca="1" si="9"/>
        <v>0.86013029779650196</v>
      </c>
      <c r="U12" s="335">
        <f t="shared" ca="1" si="9"/>
        <v>1.2964854211752863</v>
      </c>
      <c r="V12" s="335">
        <f t="shared" ca="1" si="9"/>
        <v>2.6323158269284885</v>
      </c>
      <c r="W12" s="336">
        <f t="shared" ca="1" si="9"/>
        <v>4.0114097794966774</v>
      </c>
      <c r="X12" s="427"/>
      <c r="AE12" s="442">
        <f t="shared" ca="1" si="8"/>
        <v>42662</v>
      </c>
      <c r="AF12" s="443">
        <f ca="1">_xll.BDH(AF$5,"PX_LAST",$AE12)</f>
        <v>3.21</v>
      </c>
      <c r="AG12" s="443">
        <f ca="1">_xll.BDH(AG$5,"PX_LAST",$AE12)</f>
        <v>3.55</v>
      </c>
      <c r="AH12" s="443">
        <f ca="1">_xll.BDH(AH$5,"PX_LAST",$AE12)</f>
        <v>4.04</v>
      </c>
      <c r="AI12" s="443">
        <f ca="1">_xll.BDH(AI$5,"PX_LAST",$AE12)</f>
        <v>0.52</v>
      </c>
      <c r="AJ12" s="443">
        <f ca="1">_xll.BDH(AJ$5,"PX_LAST",$AE12)</f>
        <v>0.77</v>
      </c>
      <c r="AK12" s="443">
        <f ca="1">_xll.BDH(AK$5,"PX_LAST",$AE12)</f>
        <v>1.18</v>
      </c>
      <c r="AL12" s="444">
        <f t="shared" ca="1" si="0"/>
        <v>0.83000000000000007</v>
      </c>
      <c r="AM12" s="444">
        <f t="shared" ca="1" si="1"/>
        <v>0.33999999999999986</v>
      </c>
      <c r="AN12" s="444">
        <f t="shared" ca="1" si="2"/>
        <v>0.49000000000000021</v>
      </c>
      <c r="AO12" s="444">
        <f t="shared" ca="1" si="3"/>
        <v>-7.5000000000000178E-2</v>
      </c>
      <c r="AP12" s="444">
        <f t="shared" ca="1" si="4"/>
        <v>0.65999999999999992</v>
      </c>
      <c r="AQ12" s="444">
        <f t="shared" ca="1" si="5"/>
        <v>0.25</v>
      </c>
      <c r="AR12" s="444">
        <f t="shared" ca="1" si="6"/>
        <v>0.40999999999999992</v>
      </c>
      <c r="AS12" s="445">
        <f t="shared" ca="1" si="7"/>
        <v>-7.999999999999996E-2</v>
      </c>
    </row>
    <row r="13" spans="2:45">
      <c r="B13" s="421"/>
      <c r="C13" s="327"/>
      <c r="D13" s="327"/>
      <c r="E13" s="327"/>
      <c r="F13" s="327"/>
      <c r="G13" s="327"/>
      <c r="H13" s="327"/>
      <c r="I13" s="327"/>
      <c r="J13" s="327"/>
      <c r="K13" s="327"/>
      <c r="L13" s="327"/>
      <c r="M13" s="327"/>
      <c r="N13" s="327"/>
      <c r="O13" s="327"/>
      <c r="P13" s="327"/>
      <c r="Q13" s="327"/>
      <c r="R13" s="327"/>
      <c r="S13" s="327"/>
      <c r="T13" s="327"/>
      <c r="U13" s="327"/>
      <c r="V13" s="327"/>
      <c r="W13" s="327"/>
      <c r="AE13" s="442">
        <f t="shared" ca="1" si="8"/>
        <v>42661</v>
      </c>
      <c r="AF13" s="443">
        <f ca="1">_xll.BDH(AF$5,"PX_LAST",$AE13)</f>
        <v>3.2</v>
      </c>
      <c r="AG13" s="443">
        <f ca="1">_xll.BDH(AG$5,"PX_LAST",$AE13)</f>
        <v>3.52</v>
      </c>
      <c r="AH13" s="443">
        <f ca="1">_xll.BDH(AH$5,"PX_LAST",$AE13)</f>
        <v>4.05</v>
      </c>
      <c r="AI13" s="443">
        <f ca="1">_xll.BDH(AI$5,"PX_LAST",$AE13)</f>
        <v>0.52</v>
      </c>
      <c r="AJ13" s="443">
        <f ca="1">_xll.BDH(AJ$5,"PX_LAST",$AE13)</f>
        <v>0.77</v>
      </c>
      <c r="AK13" s="443">
        <f ca="1">_xll.BDH(AK$5,"PX_LAST",$AE13)</f>
        <v>1.17</v>
      </c>
      <c r="AL13" s="444">
        <f t="shared" ca="1" si="0"/>
        <v>0.84999999999999964</v>
      </c>
      <c r="AM13" s="444">
        <f t="shared" ca="1" si="1"/>
        <v>0.31999999999999984</v>
      </c>
      <c r="AN13" s="444">
        <f t="shared" ca="1" si="2"/>
        <v>0.5299999999999998</v>
      </c>
      <c r="AO13" s="444">
        <f t="shared" ca="1" si="3"/>
        <v>-0.10499999999999998</v>
      </c>
      <c r="AP13" s="444">
        <f t="shared" ca="1" si="4"/>
        <v>0.64999999999999991</v>
      </c>
      <c r="AQ13" s="444">
        <f t="shared" ca="1" si="5"/>
        <v>0.25</v>
      </c>
      <c r="AR13" s="444">
        <f t="shared" ca="1" si="6"/>
        <v>0.39999999999999991</v>
      </c>
      <c r="AS13" s="445">
        <f t="shared" ca="1" si="7"/>
        <v>-7.4999999999999956E-2</v>
      </c>
    </row>
    <row r="14" spans="2:45">
      <c r="B14" s="421"/>
      <c r="C14" s="327"/>
      <c r="D14" s="327"/>
      <c r="E14" s="327"/>
      <c r="F14" s="327"/>
      <c r="G14" s="327"/>
      <c r="H14" s="327"/>
      <c r="I14" s="327"/>
      <c r="J14" s="327"/>
      <c r="K14" s="327"/>
      <c r="L14" s="327"/>
      <c r="M14" s="327"/>
      <c r="N14" s="327"/>
      <c r="O14" s="327"/>
      <c r="P14" s="327"/>
      <c r="Q14" s="327"/>
      <c r="R14" s="327"/>
      <c r="S14" s="327"/>
      <c r="T14" s="327"/>
      <c r="U14" s="327"/>
      <c r="V14" s="327"/>
      <c r="W14" s="327"/>
      <c r="AE14" s="442">
        <f t="shared" ca="1" si="8"/>
        <v>42660</v>
      </c>
      <c r="AF14" s="443">
        <f ca="1">_xll.BDH(AF$5,"PX_LAST",$AE14)</f>
        <v>3.21</v>
      </c>
      <c r="AG14" s="443">
        <f ca="1">_xll.BDH(AG$5,"PX_LAST",$AE14)</f>
        <v>3.55</v>
      </c>
      <c r="AH14" s="443">
        <f ca="1">_xll.BDH(AH$5,"PX_LAST",$AE14)</f>
        <v>4.0599999999999996</v>
      </c>
      <c r="AI14" s="443">
        <f ca="1">_xll.BDH(AI$5,"PX_LAST",$AE14)</f>
        <v>0.54</v>
      </c>
      <c r="AJ14" s="443">
        <f ca="1">_xll.BDH(AJ$5,"PX_LAST",$AE14)</f>
        <v>0.8</v>
      </c>
      <c r="AK14" s="443">
        <f ca="1">_xll.BDH(AK$5,"PX_LAST",$AE14)</f>
        <v>1.19</v>
      </c>
      <c r="AL14" s="444">
        <f t="shared" ca="1" si="0"/>
        <v>0.84999999999999964</v>
      </c>
      <c r="AM14" s="444">
        <f t="shared" ca="1" si="1"/>
        <v>0.33999999999999986</v>
      </c>
      <c r="AN14" s="444">
        <f t="shared" ca="1" si="2"/>
        <v>0.50999999999999979</v>
      </c>
      <c r="AO14" s="444">
        <f t="shared" ca="1" si="3"/>
        <v>-8.4999999999999964E-2</v>
      </c>
      <c r="AP14" s="444">
        <f t="shared" ca="1" si="4"/>
        <v>0.64999999999999991</v>
      </c>
      <c r="AQ14" s="444">
        <f t="shared" ca="1" si="5"/>
        <v>0.26</v>
      </c>
      <c r="AR14" s="444">
        <f t="shared" ca="1" si="6"/>
        <v>0.3899999999999999</v>
      </c>
      <c r="AS14" s="445">
        <f t="shared" ca="1" si="7"/>
        <v>-6.4999999999999947E-2</v>
      </c>
    </row>
    <row r="15" spans="2:45">
      <c r="AE15" s="442">
        <f t="shared" ca="1" si="8"/>
        <v>42657</v>
      </c>
      <c r="AF15" s="443">
        <f ca="1">_xll.BDH(AF$5,"PX_LAST",$AE15)</f>
        <v>3.23</v>
      </c>
      <c r="AG15" s="443">
        <f ca="1">_xll.BDH(AG$5,"PX_LAST",$AE15)</f>
        <v>3.56</v>
      </c>
      <c r="AH15" s="443">
        <f ca="1">_xll.BDH(AH$5,"PX_LAST",$AE15)</f>
        <v>4.07</v>
      </c>
      <c r="AI15" s="443">
        <f ca="1">_xll.BDH(AI$5,"PX_LAST",$AE15)</f>
        <v>0.55000000000000004</v>
      </c>
      <c r="AJ15" s="443">
        <f ca="1">_xll.BDH(AJ$5,"PX_LAST",$AE15)</f>
        <v>0.8</v>
      </c>
      <c r="AK15" s="443">
        <f ca="1">_xll.BDH(AK$5,"PX_LAST",$AE15)</f>
        <v>1.19</v>
      </c>
      <c r="AL15" s="444">
        <f t="shared" ca="1" si="0"/>
        <v>0.8400000000000003</v>
      </c>
      <c r="AM15" s="444">
        <f t="shared" ca="1" si="1"/>
        <v>0.33000000000000007</v>
      </c>
      <c r="AN15" s="444">
        <f t="shared" ca="1" si="2"/>
        <v>0.51000000000000023</v>
      </c>
      <c r="AO15" s="444">
        <f t="shared" ca="1" si="3"/>
        <v>-9.000000000000008E-2</v>
      </c>
      <c r="AP15" s="444">
        <f t="shared" ca="1" si="4"/>
        <v>0.6399999999999999</v>
      </c>
      <c r="AQ15" s="444">
        <f t="shared" ca="1" si="5"/>
        <v>0.25</v>
      </c>
      <c r="AR15" s="444">
        <f t="shared" ca="1" si="6"/>
        <v>0.3899999999999999</v>
      </c>
      <c r="AS15" s="445">
        <f t="shared" ca="1" si="7"/>
        <v>-6.9999999999999951E-2</v>
      </c>
    </row>
    <row r="16" spans="2:45">
      <c r="AE16" s="442">
        <f t="shared" ca="1" si="8"/>
        <v>42656</v>
      </c>
      <c r="AF16" s="443">
        <f ca="1">_xll.BDH(AF$5,"PX_LAST",$AE16)</f>
        <v>3.22</v>
      </c>
      <c r="AG16" s="443">
        <f ca="1">_xll.BDH(AG$5,"PX_LAST",$AE16)</f>
        <v>3.54</v>
      </c>
      <c r="AH16" s="443">
        <f ca="1">_xll.BDH(AH$5,"PX_LAST",$AE16)</f>
        <v>4.04</v>
      </c>
      <c r="AI16" s="443">
        <f ca="1">_xll.BDH(AI$5,"PX_LAST",$AE16)</f>
        <v>0.53</v>
      </c>
      <c r="AJ16" s="443">
        <f ca="1">_xll.BDH(AJ$5,"PX_LAST",$AE16)</f>
        <v>0.8</v>
      </c>
      <c r="AK16" s="443">
        <f ca="1">_xll.BDH(AK$5,"PX_LAST",$AE16)</f>
        <v>1.18</v>
      </c>
      <c r="AL16" s="444">
        <f t="shared" ca="1" si="0"/>
        <v>0.81999999999999984</v>
      </c>
      <c r="AM16" s="444">
        <f t="shared" ca="1" si="1"/>
        <v>0.31999999999999984</v>
      </c>
      <c r="AN16" s="444">
        <f t="shared" ca="1" si="2"/>
        <v>0.5</v>
      </c>
      <c r="AO16" s="444">
        <f t="shared" ca="1" si="3"/>
        <v>-9.000000000000008E-2</v>
      </c>
      <c r="AP16" s="444">
        <f t="shared" ca="1" si="4"/>
        <v>0.64999999999999991</v>
      </c>
      <c r="AQ16" s="444">
        <f t="shared" ca="1" si="5"/>
        <v>0.27</v>
      </c>
      <c r="AR16" s="444">
        <f t="shared" ca="1" si="6"/>
        <v>0.37999999999999989</v>
      </c>
      <c r="AS16" s="445">
        <f t="shared" ca="1" si="7"/>
        <v>-5.4999999999999938E-2</v>
      </c>
    </row>
    <row r="17" spans="2:45">
      <c r="AE17" s="442">
        <f t="shared" ca="1" si="8"/>
        <v>42655</v>
      </c>
      <c r="AF17" s="443">
        <f ca="1">_xll.BDH(AF$5,"PX_LAST",$AE17)</f>
        <v>3.22</v>
      </c>
      <c r="AG17" s="443">
        <f ca="1">_xll.BDH(AG$5,"PX_LAST",$AE17)</f>
        <v>3.55</v>
      </c>
      <c r="AH17" s="443">
        <f ca="1">_xll.BDH(AH$5,"PX_LAST",$AE17)</f>
        <v>4.04</v>
      </c>
      <c r="AI17" s="443">
        <f ca="1">_xll.BDH(AI$5,"PX_LAST",$AE17)</f>
        <v>0.54</v>
      </c>
      <c r="AJ17" s="443">
        <f ca="1">_xll.BDH(AJ$5,"PX_LAST",$AE17)</f>
        <v>0.79</v>
      </c>
      <c r="AK17" s="443">
        <f ca="1">_xll.BDH(AK$5,"PX_LAST",$AE17)</f>
        <v>1.1599999999999999</v>
      </c>
      <c r="AL17" s="444">
        <f t="shared" ca="1" si="0"/>
        <v>0.81999999999999984</v>
      </c>
      <c r="AM17" s="444">
        <f t="shared" ca="1" si="1"/>
        <v>0.32999999999999963</v>
      </c>
      <c r="AN17" s="444">
        <f t="shared" ca="1" si="2"/>
        <v>0.49000000000000021</v>
      </c>
      <c r="AO17" s="444">
        <f t="shared" ca="1" si="3"/>
        <v>-8.0000000000000293E-2</v>
      </c>
      <c r="AP17" s="444">
        <f t="shared" ca="1" si="4"/>
        <v>0.61999999999999988</v>
      </c>
      <c r="AQ17" s="444">
        <f t="shared" ca="1" si="5"/>
        <v>0.25</v>
      </c>
      <c r="AR17" s="444">
        <f t="shared" ca="1" si="6"/>
        <v>0.36999999999999988</v>
      </c>
      <c r="AS17" s="445">
        <f t="shared" ca="1" si="7"/>
        <v>-5.9999999999999942E-2</v>
      </c>
    </row>
    <row r="18" spans="2:45">
      <c r="AE18" s="442">
        <f t="shared" ca="1" si="8"/>
        <v>42654</v>
      </c>
      <c r="AF18" s="443">
        <f ca="1">_xll.BDH(AF$5,"PX_LAST",$AE18)</f>
        <v>3.2</v>
      </c>
      <c r="AG18" s="443">
        <f ca="1">_xll.BDH(AG$5,"PX_LAST",$AE18)</f>
        <v>3.54</v>
      </c>
      <c r="AH18" s="443">
        <f ca="1">_xll.BDH(AH$5,"PX_LAST",$AE18)</f>
        <v>4.03</v>
      </c>
      <c r="AI18" s="443">
        <f ca="1">_xll.BDH(AI$5,"PX_LAST",$AE18)</f>
        <v>0.51</v>
      </c>
      <c r="AJ18" s="443">
        <f ca="1">_xll.BDH(AJ$5,"PX_LAST",$AE18)</f>
        <v>0.79</v>
      </c>
      <c r="AK18" s="443">
        <f ca="1">_xll.BDH(AK$5,"PX_LAST",$AE18)</f>
        <v>1.1499999999999999</v>
      </c>
      <c r="AL18" s="444">
        <f t="shared" ca="1" si="0"/>
        <v>0.83000000000000007</v>
      </c>
      <c r="AM18" s="444">
        <f t="shared" ca="1" si="1"/>
        <v>0.33999999999999986</v>
      </c>
      <c r="AN18" s="444">
        <f t="shared" ca="1" si="2"/>
        <v>0.49000000000000021</v>
      </c>
      <c r="AO18" s="444">
        <f t="shared" ca="1" si="3"/>
        <v>-7.5000000000000178E-2</v>
      </c>
      <c r="AP18" s="444">
        <f t="shared" ca="1" si="4"/>
        <v>0.6399999999999999</v>
      </c>
      <c r="AQ18" s="444">
        <f t="shared" ca="1" si="5"/>
        <v>0.28000000000000003</v>
      </c>
      <c r="AR18" s="444">
        <f t="shared" ca="1" si="6"/>
        <v>0.35999999999999988</v>
      </c>
      <c r="AS18" s="445">
        <f t="shared" ca="1" si="7"/>
        <v>-3.9999999999999925E-2</v>
      </c>
    </row>
    <row r="19" spans="2:45">
      <c r="AE19" s="442">
        <f t="shared" ca="1" si="8"/>
        <v>42653</v>
      </c>
      <c r="AF19" s="443">
        <f ca="1">_xll.BDH(AF$5,"PX_LAST",$AE19)</f>
        <v>3.27</v>
      </c>
      <c r="AG19" s="443">
        <f ca="1">_xll.BDH(AG$5,"PX_LAST",$AE19)</f>
        <v>3.56</v>
      </c>
      <c r="AH19" s="443">
        <f ca="1">_xll.BDH(AH$5,"PX_LAST",$AE19)</f>
        <v>4.0599999999999996</v>
      </c>
      <c r="AI19" s="443" t="str">
        <f ca="1">_xll.BDH(AI$5,"PX_LAST",$AE19)</f>
        <v>#N/A N/A</v>
      </c>
      <c r="AJ19" s="443" t="str">
        <f ca="1">_xll.BDH(AJ$5,"PX_LAST",$AE19)</f>
        <v>#N/A N/A</v>
      </c>
      <c r="AK19" s="443" t="str">
        <f ca="1">_xll.BDH(AK$5,"PX_LAST",$AE19)</f>
        <v>#N/A N/A</v>
      </c>
      <c r="AL19" s="444">
        <f t="shared" ca="1" si="0"/>
        <v>0.78999999999999959</v>
      </c>
      <c r="AM19" s="444">
        <f t="shared" ca="1" si="1"/>
        <v>0.29000000000000004</v>
      </c>
      <c r="AN19" s="444">
        <f t="shared" ca="1" si="2"/>
        <v>0.49999999999999956</v>
      </c>
      <c r="AO19" s="444">
        <f t="shared" ca="1" si="3"/>
        <v>-0.10499999999999976</v>
      </c>
      <c r="AP19" s="444">
        <f t="shared" ca="1" si="4"/>
        <v>0.6399999999999999</v>
      </c>
      <c r="AQ19" s="444">
        <f t="shared" ca="1" si="5"/>
        <v>0.28000000000000003</v>
      </c>
      <c r="AR19" s="444">
        <f t="shared" ca="1" si="6"/>
        <v>0.35999999999999988</v>
      </c>
      <c r="AS19" s="445">
        <f t="shared" ca="1" si="7"/>
        <v>-3.9999999999999925E-2</v>
      </c>
    </row>
    <row r="20" spans="2:45">
      <c r="AE20" s="442">
        <f t="shared" ca="1" si="8"/>
        <v>42650</v>
      </c>
      <c r="AF20" s="443">
        <f ca="1">_xll.BDH(AF$5,"PX_LAST",$AE20)</f>
        <v>3.26</v>
      </c>
      <c r="AG20" s="443">
        <f ca="1">_xll.BDH(AG$5,"PX_LAST",$AE20)</f>
        <v>3.56</v>
      </c>
      <c r="AH20" s="443">
        <f ca="1">_xll.BDH(AH$5,"PX_LAST",$AE20)</f>
        <v>4.07</v>
      </c>
      <c r="AI20" s="443">
        <f ca="1">_xll.BDH(AI$5,"PX_LAST",$AE20)</f>
        <v>0.54</v>
      </c>
      <c r="AJ20" s="443">
        <f ca="1">_xll.BDH(AJ$5,"PX_LAST",$AE20)</f>
        <v>0.79</v>
      </c>
      <c r="AK20" s="443">
        <f ca="1">_xll.BDH(AK$5,"PX_LAST",$AE20)</f>
        <v>1.1599999999999999</v>
      </c>
      <c r="AL20" s="444">
        <f t="shared" ca="1" si="0"/>
        <v>0.8100000000000005</v>
      </c>
      <c r="AM20" s="444">
        <f t="shared" ca="1" si="1"/>
        <v>0.30000000000000027</v>
      </c>
      <c r="AN20" s="444">
        <f t="shared" ca="1" si="2"/>
        <v>0.51000000000000023</v>
      </c>
      <c r="AO20" s="444">
        <f t="shared" ca="1" si="3"/>
        <v>-0.10499999999999998</v>
      </c>
      <c r="AP20" s="444">
        <f t="shared" ca="1" si="4"/>
        <v>0.61999999999999988</v>
      </c>
      <c r="AQ20" s="444">
        <f t="shared" ca="1" si="5"/>
        <v>0.25</v>
      </c>
      <c r="AR20" s="444">
        <f t="shared" ca="1" si="6"/>
        <v>0.36999999999999988</v>
      </c>
      <c r="AS20" s="445">
        <f t="shared" ca="1" si="7"/>
        <v>-5.9999999999999942E-2</v>
      </c>
    </row>
    <row r="21" spans="2:45">
      <c r="AE21" s="442">
        <f t="shared" ca="1" si="8"/>
        <v>42649</v>
      </c>
      <c r="AF21" s="443">
        <f ca="1">_xll.BDH(AF$5,"PX_LAST",$AE21)</f>
        <v>3.36</v>
      </c>
      <c r="AG21" s="443">
        <f ca="1">_xll.BDH(AG$5,"PX_LAST",$AE21)</f>
        <v>3.68</v>
      </c>
      <c r="AH21" s="443">
        <f ca="1">_xll.BDH(AH$5,"PX_LAST",$AE21)</f>
        <v>4.1399999999999997</v>
      </c>
      <c r="AI21" s="443">
        <f ca="1">_xll.BDH(AI$5,"PX_LAST",$AE21)</f>
        <v>0.47</v>
      </c>
      <c r="AJ21" s="443">
        <f ca="1">_xll.BDH(AJ$5,"PX_LAST",$AE21)</f>
        <v>0.81</v>
      </c>
      <c r="AK21" s="443">
        <f ca="1">_xll.BDH(AK$5,"PX_LAST",$AE21)</f>
        <v>1.18</v>
      </c>
      <c r="AL21" s="444">
        <f t="shared" ca="1" si="0"/>
        <v>0.7799999999999998</v>
      </c>
      <c r="AM21" s="444">
        <f t="shared" ca="1" si="1"/>
        <v>0.32000000000000028</v>
      </c>
      <c r="AN21" s="444">
        <f t="shared" ca="1" si="2"/>
        <v>0.45999999999999952</v>
      </c>
      <c r="AO21" s="444">
        <f t="shared" ca="1" si="3"/>
        <v>-6.9999999999999618E-2</v>
      </c>
      <c r="AP21" s="444">
        <f t="shared" ca="1" si="4"/>
        <v>0.71</v>
      </c>
      <c r="AQ21" s="444">
        <f t="shared" ca="1" si="5"/>
        <v>0.34000000000000008</v>
      </c>
      <c r="AR21" s="444">
        <f t="shared" ca="1" si="6"/>
        <v>0.36999999999999988</v>
      </c>
      <c r="AS21" s="445">
        <f t="shared" ca="1" si="7"/>
        <v>-1.4999999999999902E-2</v>
      </c>
    </row>
    <row r="22" spans="2:45">
      <c r="AE22" s="442">
        <f t="shared" ca="1" si="8"/>
        <v>42648</v>
      </c>
      <c r="AF22" s="443">
        <f ca="1">_xll.BDH(AF$5,"PX_LAST",$AE22)</f>
        <v>3.36</v>
      </c>
      <c r="AG22" s="443">
        <f ca="1">_xll.BDH(AG$5,"PX_LAST",$AE22)</f>
        <v>3.66</v>
      </c>
      <c r="AH22" s="443">
        <f ca="1">_xll.BDH(AH$5,"PX_LAST",$AE22)</f>
        <v>4.13</v>
      </c>
      <c r="AI22" s="443">
        <f ca="1">_xll.BDH(AI$5,"PX_LAST",$AE22)</f>
        <v>0.48</v>
      </c>
      <c r="AJ22" s="443">
        <f ca="1">_xll.BDH(AJ$5,"PX_LAST",$AE22)</f>
        <v>0.79</v>
      </c>
      <c r="AK22" s="443">
        <f ca="1">_xll.BDH(AK$5,"PX_LAST",$AE22)</f>
        <v>1.18</v>
      </c>
      <c r="AL22" s="444">
        <f t="shared" ref="AL22:AL85" ca="1" si="10">IFERROR(AH22-AF22,AL21)</f>
        <v>0.77</v>
      </c>
      <c r="AM22" s="444">
        <f t="shared" ref="AM22:AM85" ca="1" si="11">IFERROR(AG22-AF22,AM21)</f>
        <v>0.30000000000000027</v>
      </c>
      <c r="AN22" s="444">
        <f t="shared" ref="AN22:AN85" ca="1" si="12">IFERROR(AH22-AG22,AN21)</f>
        <v>0.46999999999999975</v>
      </c>
      <c r="AO22" s="444">
        <f t="shared" ref="AO22:AO85" ca="1" si="13">(AM22-AN22)/2</f>
        <v>-8.4999999999999742E-2</v>
      </c>
      <c r="AP22" s="444">
        <f t="shared" ca="1" si="4"/>
        <v>0.7</v>
      </c>
      <c r="AQ22" s="444">
        <f t="shared" ca="1" si="5"/>
        <v>0.31000000000000005</v>
      </c>
      <c r="AR22" s="444">
        <f t="shared" ca="1" si="6"/>
        <v>0.3899999999999999</v>
      </c>
      <c r="AS22" s="445">
        <f t="shared" ca="1" si="7"/>
        <v>-3.9999999999999925E-2</v>
      </c>
    </row>
    <row r="23" spans="2:45">
      <c r="AE23" s="442">
        <f t="shared" ca="1" si="8"/>
        <v>42647</v>
      </c>
      <c r="AF23" s="443">
        <f ca="1">_xll.BDH(AF$5,"PX_LAST",$AE23)</f>
        <v>3.33</v>
      </c>
      <c r="AG23" s="443">
        <f ca="1">_xll.BDH(AG$5,"PX_LAST",$AE23)</f>
        <v>3.63</v>
      </c>
      <c r="AH23" s="443">
        <f ca="1">_xll.BDH(AH$5,"PX_LAST",$AE23)</f>
        <v>4.08</v>
      </c>
      <c r="AI23" s="443">
        <f ca="1">_xll.BDH(AI$5,"PX_LAST",$AE23)</f>
        <v>0.45</v>
      </c>
      <c r="AJ23" s="443">
        <f ca="1">_xll.BDH(AJ$5,"PX_LAST",$AE23)</f>
        <v>0.76</v>
      </c>
      <c r="AK23" s="443">
        <f ca="1">_xll.BDH(AK$5,"PX_LAST",$AE23)</f>
        <v>1.1299999999999999</v>
      </c>
      <c r="AL23" s="444">
        <f t="shared" ca="1" si="10"/>
        <v>0.75</v>
      </c>
      <c r="AM23" s="444">
        <f t="shared" ca="1" si="11"/>
        <v>0.29999999999999982</v>
      </c>
      <c r="AN23" s="444">
        <f t="shared" ca="1" si="12"/>
        <v>0.45000000000000018</v>
      </c>
      <c r="AO23" s="444">
        <f t="shared" ca="1" si="13"/>
        <v>-7.5000000000000178E-2</v>
      </c>
      <c r="AP23" s="444">
        <f t="shared" ca="1" si="4"/>
        <v>0.67999999999999994</v>
      </c>
      <c r="AQ23" s="444">
        <f t="shared" ca="1" si="5"/>
        <v>0.31</v>
      </c>
      <c r="AR23" s="444">
        <f t="shared" ca="1" si="6"/>
        <v>0.36999999999999988</v>
      </c>
      <c r="AS23" s="445">
        <f t="shared" ca="1" si="7"/>
        <v>-2.9999999999999943E-2</v>
      </c>
    </row>
    <row r="24" spans="2:45">
      <c r="AE24" s="442">
        <f t="shared" ca="1" si="8"/>
        <v>42646</v>
      </c>
      <c r="AF24" s="443">
        <f ca="1">_xll.BDH(AF$5,"PX_LAST",$AE24)</f>
        <v>3.33</v>
      </c>
      <c r="AG24" s="443">
        <f ca="1">_xll.BDH(AG$5,"PX_LAST",$AE24)</f>
        <v>3.63</v>
      </c>
      <c r="AH24" s="443">
        <f ca="1">_xll.BDH(AH$5,"PX_LAST",$AE24)</f>
        <v>4.07</v>
      </c>
      <c r="AI24" s="443">
        <f ca="1">_xll.BDH(AI$5,"PX_LAST",$AE24)</f>
        <v>0.44</v>
      </c>
      <c r="AJ24" s="443">
        <f ca="1">_xll.BDH(AJ$5,"PX_LAST",$AE24)</f>
        <v>0.74</v>
      </c>
      <c r="AK24" s="443">
        <f ca="1">_xll.BDH(AK$5,"PX_LAST",$AE24)</f>
        <v>1.1299999999999999</v>
      </c>
      <c r="AL24" s="444">
        <f t="shared" ca="1" si="10"/>
        <v>0.74000000000000021</v>
      </c>
      <c r="AM24" s="444">
        <f t="shared" ca="1" si="11"/>
        <v>0.29999999999999982</v>
      </c>
      <c r="AN24" s="444">
        <f t="shared" ca="1" si="12"/>
        <v>0.44000000000000039</v>
      </c>
      <c r="AO24" s="444">
        <f t="shared" ca="1" si="13"/>
        <v>-7.0000000000000284E-2</v>
      </c>
      <c r="AP24" s="444">
        <f t="shared" ca="1" si="4"/>
        <v>0.69</v>
      </c>
      <c r="AQ24" s="444">
        <f t="shared" ca="1" si="5"/>
        <v>0.3</v>
      </c>
      <c r="AR24" s="444">
        <f t="shared" ca="1" si="6"/>
        <v>0.3899999999999999</v>
      </c>
      <c r="AS24" s="445">
        <f t="shared" ca="1" si="7"/>
        <v>-4.4999999999999957E-2</v>
      </c>
    </row>
    <row r="25" spans="2:45">
      <c r="AE25" s="442">
        <f ca="1">WORKDAY(AE24,-1)</f>
        <v>42643</v>
      </c>
      <c r="AF25" s="443">
        <f ca="1">_xll.BDH(AF$5,"PX_LAST",$AE25)</f>
        <v>3.36</v>
      </c>
      <c r="AG25" s="443">
        <f ca="1">_xll.BDH(AG$5,"PX_LAST",$AE25)</f>
        <v>3.66</v>
      </c>
      <c r="AH25" s="443">
        <f ca="1">_xll.BDH(AH$5,"PX_LAST",$AE25)</f>
        <v>4.0999999999999996</v>
      </c>
      <c r="AI25" s="443">
        <f ca="1">_xll.BDH(AI$5,"PX_LAST",$AE25)</f>
        <v>0.47</v>
      </c>
      <c r="AJ25" s="443">
        <f ca="1">_xll.BDH(AJ$5,"PX_LAST",$AE25)</f>
        <v>0.77</v>
      </c>
      <c r="AK25" s="443">
        <f ca="1">_xll.BDH(AK$5,"PX_LAST",$AE25)</f>
        <v>1.17</v>
      </c>
      <c r="AL25" s="444">
        <f ca="1">IFERROR(AH25-AF25,AL24)</f>
        <v>0.73999999999999977</v>
      </c>
      <c r="AM25" s="444">
        <f ca="1">IFERROR(AG25-AF25,AM24)</f>
        <v>0.30000000000000027</v>
      </c>
      <c r="AN25" s="444">
        <f ca="1">IFERROR(AH25-AG25,AN24)</f>
        <v>0.4399999999999995</v>
      </c>
      <c r="AO25" s="444">
        <f t="shared" ca="1" si="13"/>
        <v>-6.9999999999999618E-2</v>
      </c>
      <c r="AP25" s="444">
        <f ca="1">IFERROR(AK25-AI25,AP24)</f>
        <v>0.7</v>
      </c>
      <c r="AQ25" s="444">
        <f ca="1">IFERROR(AJ25-AI25,AQ24)</f>
        <v>0.30000000000000004</v>
      </c>
      <c r="AR25" s="444">
        <f ca="1">IFERROR(AK25-AJ25,AR24)</f>
        <v>0.39999999999999991</v>
      </c>
      <c r="AS25" s="445">
        <f t="shared" ca="1" si="7"/>
        <v>-4.9999999999999933E-2</v>
      </c>
    </row>
    <row r="26" spans="2:45">
      <c r="AE26" s="442">
        <f t="shared" ca="1" si="8"/>
        <v>42642</v>
      </c>
      <c r="AF26" s="443">
        <f ca="1">_xll.BDH(AF$5,"PX_LAST",$AE26)</f>
        <v>3.33</v>
      </c>
      <c r="AG26" s="443">
        <f ca="1">_xll.BDH(AG$5,"PX_LAST",$AE26)</f>
        <v>3.63</v>
      </c>
      <c r="AH26" s="443">
        <f ca="1">_xll.BDH(AH$5,"PX_LAST",$AE26)</f>
        <v>4.05</v>
      </c>
      <c r="AI26" s="443">
        <f ca="1">_xll.BDH(AI$5,"PX_LAST",$AE26)</f>
        <v>0.47</v>
      </c>
      <c r="AJ26" s="443">
        <f ca="1">_xll.BDH(AJ$5,"PX_LAST",$AE26)</f>
        <v>0.77</v>
      </c>
      <c r="AK26" s="443">
        <f ca="1">_xll.BDH(AK$5,"PX_LAST",$AE26)</f>
        <v>1.1200000000000001</v>
      </c>
      <c r="AL26" s="444">
        <f t="shared" ca="1" si="10"/>
        <v>0.71999999999999975</v>
      </c>
      <c r="AM26" s="444">
        <f t="shared" ca="1" si="11"/>
        <v>0.29999999999999982</v>
      </c>
      <c r="AN26" s="444">
        <f t="shared" ca="1" si="12"/>
        <v>0.41999999999999993</v>
      </c>
      <c r="AO26" s="444">
        <f t="shared" ca="1" si="13"/>
        <v>-6.0000000000000053E-2</v>
      </c>
      <c r="AP26" s="444">
        <f t="shared" ca="1" si="4"/>
        <v>0.65000000000000013</v>
      </c>
      <c r="AQ26" s="444">
        <f t="shared" ca="1" si="5"/>
        <v>0.30000000000000004</v>
      </c>
      <c r="AR26" s="444">
        <f t="shared" ca="1" si="6"/>
        <v>0.35000000000000009</v>
      </c>
      <c r="AS26" s="445">
        <f t="shared" ca="1" si="7"/>
        <v>-2.5000000000000022E-2</v>
      </c>
    </row>
    <row r="27" spans="2:45">
      <c r="AE27" s="442">
        <f t="shared" ca="1" si="8"/>
        <v>42641</v>
      </c>
      <c r="AF27" s="443">
        <f ca="1">_xll.BDH(AF$5,"PX_LAST",$AE27)</f>
        <v>3.31</v>
      </c>
      <c r="AG27" s="443">
        <f ca="1">_xll.BDH(AG$5,"PX_LAST",$AE27)</f>
        <v>3.6</v>
      </c>
      <c r="AH27" s="443">
        <f ca="1">_xll.BDH(AH$5,"PX_LAST",$AE27)</f>
        <v>4.05</v>
      </c>
      <c r="AI27" s="443">
        <f ca="1">_xll.BDH(AI$5,"PX_LAST",$AE27)</f>
        <v>0.45</v>
      </c>
      <c r="AJ27" s="443">
        <f ca="1">_xll.BDH(AJ$5,"PX_LAST",$AE27)</f>
        <v>0.74</v>
      </c>
      <c r="AK27" s="443">
        <f ca="1">_xll.BDH(AK$5,"PX_LAST",$AE27)</f>
        <v>1.1200000000000001</v>
      </c>
      <c r="AL27" s="444">
        <f t="shared" ca="1" si="10"/>
        <v>0.73999999999999977</v>
      </c>
      <c r="AM27" s="444">
        <f t="shared" ca="1" si="11"/>
        <v>0.29000000000000004</v>
      </c>
      <c r="AN27" s="444">
        <f t="shared" ca="1" si="12"/>
        <v>0.44999999999999973</v>
      </c>
      <c r="AO27" s="444">
        <f t="shared" ca="1" si="13"/>
        <v>-7.9999999999999849E-2</v>
      </c>
      <c r="AP27" s="444">
        <f t="shared" ca="1" si="4"/>
        <v>0.67000000000000015</v>
      </c>
      <c r="AQ27" s="444">
        <f t="shared" ca="1" si="5"/>
        <v>0.28999999999999998</v>
      </c>
      <c r="AR27" s="444">
        <f t="shared" ca="1" si="6"/>
        <v>0.38000000000000012</v>
      </c>
      <c r="AS27" s="445">
        <f t="shared" ca="1" si="7"/>
        <v>-4.5000000000000068E-2</v>
      </c>
    </row>
    <row r="28" spans="2:45" ht="13.5" thickBot="1">
      <c r="B28" s="570" t="s">
        <v>446</v>
      </c>
      <c r="C28" s="585"/>
      <c r="D28" s="585"/>
      <c r="E28" s="585"/>
      <c r="F28" s="585"/>
      <c r="G28" s="585"/>
      <c r="H28" s="571"/>
      <c r="AE28" s="442">
        <f t="shared" ca="1" si="8"/>
        <v>42640</v>
      </c>
      <c r="AF28" s="443">
        <f ca="1">_xll.BDH(AF$5,"PX_LAST",$AE28)</f>
        <v>3.32</v>
      </c>
      <c r="AG28" s="443">
        <f ca="1">_xll.BDH(AG$5,"PX_LAST",$AE28)</f>
        <v>3.62</v>
      </c>
      <c r="AH28" s="443">
        <f ca="1">_xll.BDH(AH$5,"PX_LAST",$AE28)</f>
        <v>4.07</v>
      </c>
      <c r="AI28" s="443">
        <f ca="1">_xll.BDH(AI$5,"PX_LAST",$AE28)</f>
        <v>0.45</v>
      </c>
      <c r="AJ28" s="443">
        <f ca="1">_xll.BDH(AJ$5,"PX_LAST",$AE28)</f>
        <v>0.77</v>
      </c>
      <c r="AK28" s="443">
        <f ca="1">_xll.BDH(AK$5,"PX_LAST",$AE28)</f>
        <v>1.1100000000000001</v>
      </c>
      <c r="AL28" s="444">
        <f t="shared" ca="1" si="10"/>
        <v>0.75000000000000044</v>
      </c>
      <c r="AM28" s="444">
        <f t="shared" ca="1" si="11"/>
        <v>0.30000000000000027</v>
      </c>
      <c r="AN28" s="444">
        <f t="shared" ca="1" si="12"/>
        <v>0.45000000000000018</v>
      </c>
      <c r="AO28" s="444">
        <f t="shared" ca="1" si="13"/>
        <v>-7.4999999999999956E-2</v>
      </c>
      <c r="AP28" s="444">
        <f t="shared" ca="1" si="4"/>
        <v>0.66000000000000014</v>
      </c>
      <c r="AQ28" s="444">
        <f t="shared" ca="1" si="5"/>
        <v>0.32</v>
      </c>
      <c r="AR28" s="444">
        <f t="shared" ca="1" si="6"/>
        <v>0.34000000000000008</v>
      </c>
      <c r="AS28" s="445">
        <f t="shared" ca="1" si="7"/>
        <v>-1.0000000000000037E-2</v>
      </c>
    </row>
    <row r="29" spans="2:45" ht="13.5" thickBot="1">
      <c r="B29" s="220" t="s">
        <v>445</v>
      </c>
      <c r="C29" s="220" t="s">
        <v>154</v>
      </c>
      <c r="D29" s="220" t="s">
        <v>438</v>
      </c>
      <c r="E29" s="220" t="s">
        <v>146</v>
      </c>
      <c r="F29" s="220" t="s">
        <v>37</v>
      </c>
      <c r="G29" s="220" t="s">
        <v>39</v>
      </c>
      <c r="H29" s="220" t="s">
        <v>40</v>
      </c>
      <c r="AE29" s="442">
        <f t="shared" ca="1" si="8"/>
        <v>42639</v>
      </c>
      <c r="AF29" s="443">
        <f ca="1">_xll.BDH(AF$5,"PX_LAST",$AE29)</f>
        <v>3.36</v>
      </c>
      <c r="AG29" s="443">
        <f ca="1">_xll.BDH(AG$5,"PX_LAST",$AE29)</f>
        <v>3.66</v>
      </c>
      <c r="AH29" s="443">
        <f ca="1">_xll.BDH(AH$5,"PX_LAST",$AE29)</f>
        <v>4.07</v>
      </c>
      <c r="AI29" s="443">
        <f ca="1">_xll.BDH(AI$5,"PX_LAST",$AE29)</f>
        <v>0.48</v>
      </c>
      <c r="AJ29" s="443">
        <f ca="1">_xll.BDH(AJ$5,"PX_LAST",$AE29)</f>
        <v>0.81</v>
      </c>
      <c r="AK29" s="443">
        <f ca="1">_xll.BDH(AK$5,"PX_LAST",$AE29)</f>
        <v>1.1400000000000001</v>
      </c>
      <c r="AL29" s="444">
        <f t="shared" ca="1" si="10"/>
        <v>0.71000000000000041</v>
      </c>
      <c r="AM29" s="444">
        <f t="shared" ca="1" si="11"/>
        <v>0.30000000000000027</v>
      </c>
      <c r="AN29" s="444">
        <f t="shared" ca="1" si="12"/>
        <v>0.41000000000000014</v>
      </c>
      <c r="AO29" s="444">
        <f t="shared" ca="1" si="13"/>
        <v>-5.4999999999999938E-2</v>
      </c>
      <c r="AP29" s="444">
        <f t="shared" ca="1" si="4"/>
        <v>0.66000000000000014</v>
      </c>
      <c r="AQ29" s="444">
        <f t="shared" ca="1" si="5"/>
        <v>0.33000000000000007</v>
      </c>
      <c r="AR29" s="444">
        <f t="shared" ca="1" si="6"/>
        <v>0.33000000000000007</v>
      </c>
      <c r="AS29" s="445">
        <f t="shared" ca="1" si="7"/>
        <v>0</v>
      </c>
    </row>
    <row r="30" spans="2:45">
      <c r="B30" s="340" t="s">
        <v>426</v>
      </c>
      <c r="C30" s="343">
        <f ca="1">VLOOKUP(Z30,Zero_swap_CL!$C$2:$E$18,3,0)-VLOOKUP(AA30,Zero_swap_CL!$C$2:$E$18,3,0)</f>
        <v>0.79999999999999982</v>
      </c>
      <c r="D30" s="343">
        <f ca="1">VLOOKUP($AB30*365,HPR!$AH$31:$AL$3690,5,1)-VLOOKUP($AC30*365,HPR!$AH$31:$AL$3690,5,1)</f>
        <v>0.56971067026474476</v>
      </c>
      <c r="E30" s="343">
        <f ca="1">C30-D30</f>
        <v>0.23028932973525507</v>
      </c>
      <c r="F30" s="343">
        <f>VLOOKUP($AB30*365,Bear!$Q$31:$U$3690,5,1)-VLOOKUP($AC30*365,Bear!$Q$31:$U$3690,5,1)</f>
        <v>0.56261465308728997</v>
      </c>
      <c r="G30" s="343">
        <f>VLOOKUP($AB30*365,Base!$Q$31:$U$3690,5,1)-VLOOKUP($AC30*365,Base!$Q$31:$U$3690,5,1)</f>
        <v>0.57953608177658822</v>
      </c>
      <c r="H30" s="343">
        <f>VLOOKUP($AB30*365,Bull!$Q$31:$U$3690,5,1)-VLOOKUP($AC30*365,Bull!$Q$31:$U$3690,5,1)</f>
        <v>0.55546854302122028</v>
      </c>
      <c r="Z30" s="325" t="s">
        <v>441</v>
      </c>
      <c r="AA30" s="325" t="s">
        <v>439</v>
      </c>
      <c r="AB30" s="325">
        <v>10</v>
      </c>
      <c r="AC30" s="325">
        <v>2</v>
      </c>
      <c r="AE30" s="442">
        <f t="shared" ca="1" si="8"/>
        <v>42636</v>
      </c>
      <c r="AF30" s="443">
        <f ca="1">_xll.BDH(AF$5,"PX_LAST",$AE30)</f>
        <v>3.36</v>
      </c>
      <c r="AG30" s="443">
        <f ca="1">_xll.BDH(AG$5,"PX_LAST",$AE30)</f>
        <v>3.66</v>
      </c>
      <c r="AH30" s="443">
        <f ca="1">_xll.BDH(AH$5,"PX_LAST",$AE30)</f>
        <v>4.1100000000000003</v>
      </c>
      <c r="AI30" s="443">
        <f ca="1">_xll.BDH(AI$5,"PX_LAST",$AE30)</f>
        <v>0.5</v>
      </c>
      <c r="AJ30" s="443">
        <f ca="1">_xll.BDH(AJ$5,"PX_LAST",$AE30)</f>
        <v>0.81</v>
      </c>
      <c r="AK30" s="443">
        <f ca="1">_xll.BDH(AK$5,"PX_LAST",$AE30)</f>
        <v>1.17</v>
      </c>
      <c r="AL30" s="444">
        <f t="shared" ca="1" si="10"/>
        <v>0.75000000000000044</v>
      </c>
      <c r="AM30" s="444">
        <f t="shared" ca="1" si="11"/>
        <v>0.30000000000000027</v>
      </c>
      <c r="AN30" s="444">
        <f t="shared" ca="1" si="12"/>
        <v>0.45000000000000018</v>
      </c>
      <c r="AO30" s="444">
        <f t="shared" ca="1" si="13"/>
        <v>-7.4999999999999956E-2</v>
      </c>
      <c r="AP30" s="444">
        <f t="shared" ca="1" si="4"/>
        <v>0.66999999999999993</v>
      </c>
      <c r="AQ30" s="444">
        <f t="shared" ca="1" si="5"/>
        <v>0.31000000000000005</v>
      </c>
      <c r="AR30" s="444">
        <f t="shared" ca="1" si="6"/>
        <v>0.35999999999999988</v>
      </c>
      <c r="AS30" s="445">
        <f t="shared" ca="1" si="7"/>
        <v>-2.4999999999999911E-2</v>
      </c>
    </row>
    <row r="31" spans="2:45">
      <c r="B31" s="341" t="s">
        <v>427</v>
      </c>
      <c r="C31" s="343">
        <f ca="1">VLOOKUP(Z31,Zero_swap_CL!$C$2:$E$18,3,0)-VLOOKUP(AA31,Zero_swap_CL!$C$2:$E$18,3,0)</f>
        <v>0.33999999999999986</v>
      </c>
      <c r="D31" s="343">
        <f ca="1">VLOOKUP($AB31*365,HPR!$AH$31:$AL$3690,5,1)-VLOOKUP($AC31*365,HPR!$AH$31:$AL$3690,5,1)</f>
        <v>0.39585295111397301</v>
      </c>
      <c r="E31" s="343">
        <f ca="1">C31-D31</f>
        <v>-5.5852951113973148E-2</v>
      </c>
      <c r="F31" s="343">
        <f>VLOOKUP($AB31*365,Bear!$Q$31:$U$3690,5,1)-VLOOKUP($AC31*365,Bear!$Q$31:$U$3690,5,1)</f>
        <v>0.35764172260426275</v>
      </c>
      <c r="G31" s="343">
        <f>VLOOKUP($AB31*365,Base!$Q$31:$U$3690,5,1)-VLOOKUP($AC31*365,Base!$Q$31:$U$3690,5,1)</f>
        <v>0.42330052411916341</v>
      </c>
      <c r="H31" s="343">
        <f>VLOOKUP($AB31*365,Bull!$Q$31:$U$3690,5,1)-VLOOKUP($AC31*365,Bull!$Q$31:$U$3690,5,1)</f>
        <v>0.41263081174298666</v>
      </c>
      <c r="Z31" s="325" t="s">
        <v>440</v>
      </c>
      <c r="AA31" s="325" t="s">
        <v>439</v>
      </c>
      <c r="AB31" s="325">
        <v>5</v>
      </c>
      <c r="AC31" s="325">
        <v>2</v>
      </c>
      <c r="AE31" s="442">
        <f t="shared" ca="1" si="8"/>
        <v>42635</v>
      </c>
      <c r="AF31" s="443">
        <f ca="1">_xll.BDH(AF$5,"PX_LAST",$AE31)</f>
        <v>3.36</v>
      </c>
      <c r="AG31" s="443">
        <f ca="1">_xll.BDH(AG$5,"PX_LAST",$AE31)</f>
        <v>3.66</v>
      </c>
      <c r="AH31" s="443">
        <f ca="1">_xll.BDH(AH$5,"PX_LAST",$AE31)</f>
        <v>4.12</v>
      </c>
      <c r="AI31" s="443">
        <f ca="1">_xll.BDH(AI$5,"PX_LAST",$AE31)</f>
        <v>0.52</v>
      </c>
      <c r="AJ31" s="443">
        <f ca="1">_xll.BDH(AJ$5,"PX_LAST",$AE31)</f>
        <v>0.84</v>
      </c>
      <c r="AK31" s="443">
        <f ca="1">_xll.BDH(AK$5,"PX_LAST",$AE31)</f>
        <v>1.18</v>
      </c>
      <c r="AL31" s="444">
        <f t="shared" ca="1" si="10"/>
        <v>0.76000000000000023</v>
      </c>
      <c r="AM31" s="444">
        <f t="shared" ca="1" si="11"/>
        <v>0.30000000000000027</v>
      </c>
      <c r="AN31" s="444">
        <f t="shared" ca="1" si="12"/>
        <v>0.45999999999999996</v>
      </c>
      <c r="AO31" s="444">
        <f t="shared" ca="1" si="13"/>
        <v>-7.9999999999999849E-2</v>
      </c>
      <c r="AP31" s="444">
        <f t="shared" ca="1" si="4"/>
        <v>0.65999999999999992</v>
      </c>
      <c r="AQ31" s="444">
        <f t="shared" ca="1" si="5"/>
        <v>0.31999999999999995</v>
      </c>
      <c r="AR31" s="444">
        <f t="shared" ca="1" si="6"/>
        <v>0.33999999999999997</v>
      </c>
      <c r="AS31" s="445">
        <f t="shared" ca="1" si="7"/>
        <v>-1.0000000000000009E-2</v>
      </c>
    </row>
    <row r="32" spans="2:45">
      <c r="B32" s="331" t="s">
        <v>428</v>
      </c>
      <c r="C32" s="343">
        <f ca="1">VLOOKUP(Z32,Zero_swap_CL!$C$2:$E$18,3,0)-VLOOKUP(AA32,Zero_swap_CL!$C$2:$E$18,3,0)</f>
        <v>0.45999999999999996</v>
      </c>
      <c r="D32" s="343">
        <f ca="1">VLOOKUP($AB32*365,HPR!$AH$31:$AL$3690,5,1)-VLOOKUP($AC32*365,HPR!$AH$31:$AL$3690,5,1)</f>
        <v>0.17385771915077175</v>
      </c>
      <c r="E32" s="343">
        <f ca="1">C32-D32</f>
        <v>0.28614228084922821</v>
      </c>
      <c r="F32" s="343">
        <f>VLOOKUP($AB32*365,Bear!$Q$31:$U$3690,5,1)-VLOOKUP($AC32*365,Bear!$Q$31:$U$3690,5,1)</f>
        <v>0.20497293048302723</v>
      </c>
      <c r="G32" s="343">
        <f>VLOOKUP($AB32*365,Base!$Q$31:$U$3690,5,1)-VLOOKUP($AC32*365,Base!$Q$31:$U$3690,5,1)</f>
        <v>0.15623555765742481</v>
      </c>
      <c r="H32" s="343">
        <f>VLOOKUP($AB32*365,Bull!$Q$31:$U$3690,5,1)-VLOOKUP($AC32*365,Bull!$Q$31:$U$3690,5,1)</f>
        <v>0.14283773127823363</v>
      </c>
      <c r="Z32" s="325" t="s">
        <v>441</v>
      </c>
      <c r="AA32" s="325" t="s">
        <v>440</v>
      </c>
      <c r="AB32" s="325">
        <v>10</v>
      </c>
      <c r="AC32" s="325">
        <v>5</v>
      </c>
      <c r="AE32" s="442">
        <f t="shared" ca="1" si="8"/>
        <v>42634</v>
      </c>
      <c r="AF32" s="443">
        <f ca="1">_xll.BDH(AF$5,"PX_LAST",$AE32)</f>
        <v>3.38</v>
      </c>
      <c r="AG32" s="443">
        <f ca="1">_xll.BDH(AG$5,"PX_LAST",$AE32)</f>
        <v>3.69</v>
      </c>
      <c r="AH32" s="443">
        <f ca="1">_xll.BDH(AH$5,"PX_LAST",$AE32)</f>
        <v>4.1500000000000004</v>
      </c>
      <c r="AI32" s="443">
        <f ca="1">_xll.BDH(AI$5,"PX_LAST",$AE32)</f>
        <v>0.56000000000000005</v>
      </c>
      <c r="AJ32" s="443">
        <f ca="1">_xll.BDH(AJ$5,"PX_LAST",$AE32)</f>
        <v>0.87</v>
      </c>
      <c r="AK32" s="443">
        <f ca="1">_xll.BDH(AK$5,"PX_LAST",$AE32)</f>
        <v>1.22</v>
      </c>
      <c r="AL32" s="444">
        <f t="shared" ca="1" si="10"/>
        <v>0.77000000000000046</v>
      </c>
      <c r="AM32" s="444">
        <f t="shared" ca="1" si="11"/>
        <v>0.31000000000000005</v>
      </c>
      <c r="AN32" s="444">
        <f t="shared" ca="1" si="12"/>
        <v>0.46000000000000041</v>
      </c>
      <c r="AO32" s="444">
        <f t="shared" ca="1" si="13"/>
        <v>-7.5000000000000178E-2</v>
      </c>
      <c r="AP32" s="444">
        <f t="shared" ca="1" si="4"/>
        <v>0.65999999999999992</v>
      </c>
      <c r="AQ32" s="444">
        <f t="shared" ca="1" si="5"/>
        <v>0.30999999999999994</v>
      </c>
      <c r="AR32" s="444">
        <f t="shared" ca="1" si="6"/>
        <v>0.35</v>
      </c>
      <c r="AS32" s="445">
        <f t="shared" ca="1" si="7"/>
        <v>-2.0000000000000018E-2</v>
      </c>
    </row>
    <row r="33" spans="2:45">
      <c r="AE33" s="442">
        <f t="shared" ca="1" si="8"/>
        <v>42633</v>
      </c>
      <c r="AF33" s="443">
        <f ca="1">_xll.BDH(AF$5,"PX_LAST",$AE33)</f>
        <v>3.39</v>
      </c>
      <c r="AG33" s="443">
        <f ca="1">_xll.BDH(AG$5,"PX_LAST",$AE33)</f>
        <v>3.69</v>
      </c>
      <c r="AH33" s="443">
        <f ca="1">_xll.BDH(AH$5,"PX_LAST",$AE33)</f>
        <v>4.16</v>
      </c>
      <c r="AI33" s="443">
        <f ca="1">_xll.BDH(AI$5,"PX_LAST",$AE33)</f>
        <v>0.57999999999999996</v>
      </c>
      <c r="AJ33" s="443">
        <f ca="1">_xll.BDH(AJ$5,"PX_LAST",$AE33)</f>
        <v>0.9</v>
      </c>
      <c r="AK33" s="443">
        <f ca="1">_xll.BDH(AK$5,"PX_LAST",$AE33)</f>
        <v>1.22</v>
      </c>
      <c r="AL33" s="444">
        <f t="shared" ca="1" si="10"/>
        <v>0.77</v>
      </c>
      <c r="AM33" s="444">
        <f t="shared" ca="1" si="11"/>
        <v>0.29999999999999982</v>
      </c>
      <c r="AN33" s="444">
        <f t="shared" ca="1" si="12"/>
        <v>0.4700000000000002</v>
      </c>
      <c r="AO33" s="444">
        <f t="shared" ca="1" si="13"/>
        <v>-8.5000000000000187E-2</v>
      </c>
      <c r="AP33" s="444">
        <f t="shared" ca="1" si="4"/>
        <v>0.64</v>
      </c>
      <c r="AQ33" s="444">
        <f t="shared" ca="1" si="5"/>
        <v>0.32000000000000006</v>
      </c>
      <c r="AR33" s="444">
        <f t="shared" ca="1" si="6"/>
        <v>0.31999999999999995</v>
      </c>
      <c r="AS33" s="445">
        <f t="shared" ca="1" si="7"/>
        <v>5.5511151231257827E-17</v>
      </c>
    </row>
    <row r="34" spans="2:45">
      <c r="AE34" s="442">
        <f t="shared" ca="1" si="8"/>
        <v>42632</v>
      </c>
      <c r="AF34" s="443">
        <f ca="1">_xll.BDH(AF$5,"PX_LAST",$AE34)</f>
        <v>3.41</v>
      </c>
      <c r="AG34" s="443">
        <f ca="1">_xll.BDH(AG$5,"PX_LAST",$AE34)</f>
        <v>3.71</v>
      </c>
      <c r="AH34" s="443">
        <f ca="1">_xll.BDH(AH$5,"PX_LAST",$AE34)</f>
        <v>4.17</v>
      </c>
      <c r="AI34" s="443" t="str">
        <f ca="1">_xll.BDH(AI$5,"PX_LAST",$AE34)</f>
        <v>#N/A N/A</v>
      </c>
      <c r="AJ34" s="443" t="str">
        <f ca="1">_xll.BDH(AJ$5,"PX_LAST",$AE34)</f>
        <v>#N/A N/A</v>
      </c>
      <c r="AK34" s="443" t="str">
        <f ca="1">_xll.BDH(AK$5,"PX_LAST",$AE34)</f>
        <v>#N/A N/A</v>
      </c>
      <c r="AL34" s="444">
        <f t="shared" ca="1" si="10"/>
        <v>0.75999999999999979</v>
      </c>
      <c r="AM34" s="444">
        <f t="shared" ca="1" si="11"/>
        <v>0.29999999999999982</v>
      </c>
      <c r="AN34" s="444">
        <f t="shared" ca="1" si="12"/>
        <v>0.45999999999999996</v>
      </c>
      <c r="AO34" s="444">
        <f t="shared" ca="1" si="13"/>
        <v>-8.0000000000000071E-2</v>
      </c>
      <c r="AP34" s="444">
        <f t="shared" ca="1" si="4"/>
        <v>0.64</v>
      </c>
      <c r="AQ34" s="444">
        <f t="shared" ca="1" si="5"/>
        <v>0.32000000000000006</v>
      </c>
      <c r="AR34" s="444">
        <f t="shared" ca="1" si="6"/>
        <v>0.31999999999999995</v>
      </c>
      <c r="AS34" s="445">
        <f t="shared" ca="1" si="7"/>
        <v>5.5511151231257827E-17</v>
      </c>
    </row>
    <row r="35" spans="2:45" ht="13.5" thickBot="1">
      <c r="B35" s="570" t="s">
        <v>447</v>
      </c>
      <c r="C35" s="585"/>
      <c r="D35" s="585"/>
      <c r="E35" s="585"/>
      <c r="F35" s="585"/>
      <c r="G35" s="585"/>
      <c r="H35" s="571"/>
      <c r="AE35" s="442">
        <f t="shared" ca="1" si="8"/>
        <v>42629</v>
      </c>
      <c r="AF35" s="443">
        <f ca="1">_xll.BDH(AF$5,"PX_LAST",$AE35)</f>
        <v>3.4</v>
      </c>
      <c r="AG35" s="443">
        <f ca="1">_xll.BDH(AG$5,"PX_LAST",$AE35)</f>
        <v>3.68</v>
      </c>
      <c r="AH35" s="443">
        <f ca="1">_xll.BDH(AH$5,"PX_LAST",$AE35)</f>
        <v>4.17</v>
      </c>
      <c r="AI35" s="443">
        <f ca="1">_xll.BDH(AI$5,"PX_LAST",$AE35)</f>
        <v>0.59</v>
      </c>
      <c r="AJ35" s="443">
        <f ca="1">_xll.BDH(AJ$5,"PX_LAST",$AE35)</f>
        <v>0.92</v>
      </c>
      <c r="AK35" s="443">
        <f ca="1">_xll.BDH(AK$5,"PX_LAST",$AE35)</f>
        <v>1.22</v>
      </c>
      <c r="AL35" s="444">
        <f t="shared" ca="1" si="10"/>
        <v>0.77</v>
      </c>
      <c r="AM35" s="444">
        <f t="shared" ca="1" si="11"/>
        <v>0.28000000000000025</v>
      </c>
      <c r="AN35" s="444">
        <f t="shared" ca="1" si="12"/>
        <v>0.48999999999999977</v>
      </c>
      <c r="AO35" s="444">
        <f t="shared" ca="1" si="13"/>
        <v>-0.10499999999999976</v>
      </c>
      <c r="AP35" s="444">
        <f t="shared" ca="1" si="4"/>
        <v>0.63</v>
      </c>
      <c r="AQ35" s="444">
        <f t="shared" ca="1" si="5"/>
        <v>0.33000000000000007</v>
      </c>
      <c r="AR35" s="444">
        <f t="shared" ca="1" si="6"/>
        <v>0.29999999999999993</v>
      </c>
      <c r="AS35" s="445">
        <f t="shared" ca="1" si="7"/>
        <v>1.5000000000000069E-2</v>
      </c>
    </row>
    <row r="36" spans="2:45" ht="13.5" thickBot="1">
      <c r="B36" s="220" t="s">
        <v>430</v>
      </c>
      <c r="C36" s="220" t="s">
        <v>154</v>
      </c>
      <c r="D36" s="220" t="s">
        <v>438</v>
      </c>
      <c r="E36" s="220" t="s">
        <v>146</v>
      </c>
      <c r="F36" s="220" t="s">
        <v>37</v>
      </c>
      <c r="G36" s="220" t="s">
        <v>39</v>
      </c>
      <c r="H36" s="220" t="s">
        <v>40</v>
      </c>
      <c r="AE36" s="442">
        <f t="shared" ca="1" si="8"/>
        <v>42628</v>
      </c>
      <c r="AF36" s="443">
        <f ca="1">_xll.BDH(AF$5,"PX_LAST",$AE36)</f>
        <v>3.41</v>
      </c>
      <c r="AG36" s="443">
        <f ca="1">_xll.BDH(AG$5,"PX_LAST",$AE36)</f>
        <v>3.7</v>
      </c>
      <c r="AH36" s="443">
        <f ca="1">_xll.BDH(AH$5,"PX_LAST",$AE36)</f>
        <v>4.16</v>
      </c>
      <c r="AI36" s="443">
        <f ca="1">_xll.BDH(AI$5,"PX_LAST",$AE36)</f>
        <v>0.6</v>
      </c>
      <c r="AJ36" s="443">
        <f ca="1">_xll.BDH(AJ$5,"PX_LAST",$AE36)</f>
        <v>0.94</v>
      </c>
      <c r="AK36" s="443">
        <f ca="1">_xll.BDH(AK$5,"PX_LAST",$AE36)</f>
        <v>1.24</v>
      </c>
      <c r="AL36" s="444">
        <f t="shared" ca="1" si="10"/>
        <v>0.75</v>
      </c>
      <c r="AM36" s="444">
        <f t="shared" ca="1" si="11"/>
        <v>0.29000000000000004</v>
      </c>
      <c r="AN36" s="444">
        <f t="shared" ca="1" si="12"/>
        <v>0.45999999999999996</v>
      </c>
      <c r="AO36" s="444">
        <f t="shared" ca="1" si="13"/>
        <v>-8.4999999999999964E-2</v>
      </c>
      <c r="AP36" s="444">
        <f t="shared" ca="1" si="4"/>
        <v>0.64</v>
      </c>
      <c r="AQ36" s="444">
        <f t="shared" ca="1" si="5"/>
        <v>0.33999999999999997</v>
      </c>
      <c r="AR36" s="444">
        <f t="shared" ca="1" si="6"/>
        <v>0.30000000000000004</v>
      </c>
      <c r="AS36" s="445">
        <f t="shared" ca="1" si="7"/>
        <v>1.9999999999999962E-2</v>
      </c>
    </row>
    <row r="37" spans="2:45">
      <c r="B37" s="331" t="s">
        <v>429</v>
      </c>
      <c r="C37" s="343">
        <f t="shared" ref="C37:H37" ca="1" si="14">(C31-C32)/2</f>
        <v>-6.0000000000000053E-2</v>
      </c>
      <c r="D37" s="343">
        <f t="shared" ca="1" si="14"/>
        <v>0.11099761598160063</v>
      </c>
      <c r="E37" s="343">
        <f t="shared" ca="1" si="14"/>
        <v>-0.17099761598160068</v>
      </c>
      <c r="F37" s="343">
        <f t="shared" si="14"/>
        <v>7.633439606061776E-2</v>
      </c>
      <c r="G37" s="343">
        <f t="shared" si="14"/>
        <v>0.1335324832308693</v>
      </c>
      <c r="H37" s="343">
        <f t="shared" si="14"/>
        <v>0.13489654023237652</v>
      </c>
      <c r="AE37" s="442">
        <f t="shared" ca="1" si="8"/>
        <v>42627</v>
      </c>
      <c r="AF37" s="443">
        <f ca="1">_xll.BDH(AF$5,"PX_LAST",$AE37)</f>
        <v>3.42</v>
      </c>
      <c r="AG37" s="443">
        <f ca="1">_xll.BDH(AG$5,"PX_LAST",$AE37)</f>
        <v>3.7</v>
      </c>
      <c r="AH37" s="443">
        <f ca="1">_xll.BDH(AH$5,"PX_LAST",$AE37)</f>
        <v>4.1900000000000004</v>
      </c>
      <c r="AI37" s="443">
        <f ca="1">_xll.BDH(AI$5,"PX_LAST",$AE37)</f>
        <v>0.63</v>
      </c>
      <c r="AJ37" s="443">
        <f ca="1">_xll.BDH(AJ$5,"PX_LAST",$AE37)</f>
        <v>0.96</v>
      </c>
      <c r="AK37" s="443">
        <f ca="1">_xll.BDH(AK$5,"PX_LAST",$AE37)</f>
        <v>1.24</v>
      </c>
      <c r="AL37" s="444">
        <f t="shared" ca="1" si="10"/>
        <v>0.77000000000000046</v>
      </c>
      <c r="AM37" s="444">
        <f t="shared" ca="1" si="11"/>
        <v>0.28000000000000025</v>
      </c>
      <c r="AN37" s="444">
        <f t="shared" ca="1" si="12"/>
        <v>0.49000000000000021</v>
      </c>
      <c r="AO37" s="444">
        <f t="shared" ca="1" si="13"/>
        <v>-0.10499999999999998</v>
      </c>
      <c r="AP37" s="444">
        <f t="shared" ca="1" si="4"/>
        <v>0.61</v>
      </c>
      <c r="AQ37" s="444">
        <f t="shared" ca="1" si="5"/>
        <v>0.32999999999999996</v>
      </c>
      <c r="AR37" s="444">
        <f t="shared" ca="1" si="6"/>
        <v>0.28000000000000003</v>
      </c>
      <c r="AS37" s="445">
        <f t="shared" ca="1" si="7"/>
        <v>2.4999999999999967E-2</v>
      </c>
    </row>
    <row r="38" spans="2:45">
      <c r="AE38" s="442">
        <f t="shared" ca="1" si="8"/>
        <v>42626</v>
      </c>
      <c r="AF38" s="443">
        <f ca="1">_xll.BDH(AF$5,"PX_LAST",$AE38)</f>
        <v>3.44</v>
      </c>
      <c r="AG38" s="443">
        <f ca="1">_xll.BDH(AG$5,"PX_LAST",$AE38)</f>
        <v>3.71</v>
      </c>
      <c r="AH38" s="443">
        <f ca="1">_xll.BDH(AH$5,"PX_LAST",$AE38)</f>
        <v>4.21</v>
      </c>
      <c r="AI38" s="443">
        <f ca="1">_xll.BDH(AI$5,"PX_LAST",$AE38)</f>
        <v>0.62</v>
      </c>
      <c r="AJ38" s="443">
        <f ca="1">_xll.BDH(AJ$5,"PX_LAST",$AE38)</f>
        <v>0.95</v>
      </c>
      <c r="AK38" s="443">
        <f ca="1">_xll.BDH(AK$5,"PX_LAST",$AE38)</f>
        <v>1.25</v>
      </c>
      <c r="AL38" s="444">
        <f t="shared" ca="1" si="10"/>
        <v>0.77</v>
      </c>
      <c r="AM38" s="444">
        <f t="shared" ca="1" si="11"/>
        <v>0.27</v>
      </c>
      <c r="AN38" s="444">
        <f t="shared" ca="1" si="12"/>
        <v>0.5</v>
      </c>
      <c r="AO38" s="444">
        <f t="shared" ca="1" si="13"/>
        <v>-0.11499999999999999</v>
      </c>
      <c r="AP38" s="444">
        <f t="shared" ca="1" si="4"/>
        <v>0.63</v>
      </c>
      <c r="AQ38" s="444">
        <f t="shared" ca="1" si="5"/>
        <v>0.32999999999999996</v>
      </c>
      <c r="AR38" s="444">
        <f t="shared" ca="1" si="6"/>
        <v>0.30000000000000004</v>
      </c>
      <c r="AS38" s="445">
        <f t="shared" ca="1" si="7"/>
        <v>1.4999999999999958E-2</v>
      </c>
    </row>
    <row r="39" spans="2:45">
      <c r="AE39" s="442">
        <f t="shared" ca="1" si="8"/>
        <v>42625</v>
      </c>
      <c r="AF39" s="443">
        <f ca="1">_xll.BDH(AF$5,"PX_LAST",$AE39)</f>
        <v>3.4</v>
      </c>
      <c r="AG39" s="443">
        <f ca="1">_xll.BDH(AG$5,"PX_LAST",$AE39)</f>
        <v>3.66</v>
      </c>
      <c r="AH39" s="443">
        <f ca="1">_xll.BDH(AH$5,"PX_LAST",$AE39)</f>
        <v>4.16</v>
      </c>
      <c r="AI39" s="443">
        <f ca="1">_xll.BDH(AI$5,"PX_LAST",$AE39)</f>
        <v>0.61</v>
      </c>
      <c r="AJ39" s="443">
        <f ca="1">_xll.BDH(AJ$5,"PX_LAST",$AE39)</f>
        <v>0.93</v>
      </c>
      <c r="AK39" s="443">
        <f ca="1">_xll.BDH(AK$5,"PX_LAST",$AE39)</f>
        <v>1.22</v>
      </c>
      <c r="AL39" s="444">
        <f t="shared" ca="1" si="10"/>
        <v>0.76000000000000023</v>
      </c>
      <c r="AM39" s="444">
        <f t="shared" ca="1" si="11"/>
        <v>0.26000000000000023</v>
      </c>
      <c r="AN39" s="444">
        <f t="shared" ca="1" si="12"/>
        <v>0.5</v>
      </c>
      <c r="AO39" s="444">
        <f t="shared" ca="1" si="13"/>
        <v>-0.11999999999999988</v>
      </c>
      <c r="AP39" s="444">
        <f t="shared" ca="1" si="4"/>
        <v>0.61</v>
      </c>
      <c r="AQ39" s="444">
        <f t="shared" ca="1" si="5"/>
        <v>0.32000000000000006</v>
      </c>
      <c r="AR39" s="444">
        <f t="shared" ca="1" si="6"/>
        <v>0.28999999999999992</v>
      </c>
      <c r="AS39" s="445">
        <f t="shared" ca="1" si="7"/>
        <v>1.5000000000000069E-2</v>
      </c>
    </row>
    <row r="40" spans="2:45">
      <c r="AE40" s="442">
        <f t="shared" ca="1" si="8"/>
        <v>42622</v>
      </c>
      <c r="AF40" s="443">
        <f ca="1">_xll.BDH(AF$5,"PX_LAST",$AE40)</f>
        <v>3.38</v>
      </c>
      <c r="AG40" s="443">
        <f ca="1">_xll.BDH(AG$5,"PX_LAST",$AE40)</f>
        <v>3.63</v>
      </c>
      <c r="AH40" s="443">
        <f ca="1">_xll.BDH(AH$5,"PX_LAST",$AE40)</f>
        <v>4.1100000000000003</v>
      </c>
      <c r="AI40" s="443">
        <f ca="1">_xll.BDH(AI$5,"PX_LAST",$AE40)</f>
        <v>0.61</v>
      </c>
      <c r="AJ40" s="443">
        <f ca="1">_xll.BDH(AJ$5,"PX_LAST",$AE40)</f>
        <v>0.91</v>
      </c>
      <c r="AK40" s="443">
        <f ca="1">_xll.BDH(AK$5,"PX_LAST",$AE40)</f>
        <v>1.19</v>
      </c>
      <c r="AL40" s="444">
        <f t="shared" ca="1" si="10"/>
        <v>0.73000000000000043</v>
      </c>
      <c r="AM40" s="444">
        <f t="shared" ca="1" si="11"/>
        <v>0.25</v>
      </c>
      <c r="AN40" s="444">
        <f t="shared" ca="1" si="12"/>
        <v>0.48000000000000043</v>
      </c>
      <c r="AO40" s="444">
        <f t="shared" ca="1" si="13"/>
        <v>-0.11500000000000021</v>
      </c>
      <c r="AP40" s="444">
        <f t="shared" ca="1" si="4"/>
        <v>0.57999999999999996</v>
      </c>
      <c r="AQ40" s="444">
        <f t="shared" ca="1" si="5"/>
        <v>0.30000000000000004</v>
      </c>
      <c r="AR40" s="444">
        <f t="shared" ca="1" si="6"/>
        <v>0.27999999999999992</v>
      </c>
      <c r="AS40" s="445">
        <f t="shared" ca="1" si="7"/>
        <v>1.0000000000000064E-2</v>
      </c>
    </row>
    <row r="41" spans="2:45">
      <c r="AE41" s="442">
        <f t="shared" ca="1" si="8"/>
        <v>42621</v>
      </c>
      <c r="AF41" s="443">
        <f ca="1">_xll.BDH(AF$5,"PX_LAST",$AE41)</f>
        <v>3.33</v>
      </c>
      <c r="AG41" s="443">
        <f ca="1">_xll.BDH(AG$5,"PX_LAST",$AE41)</f>
        <v>3.6</v>
      </c>
      <c r="AH41" s="443">
        <f ca="1">_xll.BDH(AH$5,"PX_LAST",$AE41)</f>
        <v>4.0599999999999996</v>
      </c>
      <c r="AI41" s="443">
        <f ca="1">_xll.BDH(AI$5,"PX_LAST",$AE41)</f>
        <v>0.57999999999999996</v>
      </c>
      <c r="AJ41" s="443">
        <f ca="1">_xll.BDH(AJ$5,"PX_LAST",$AE41)</f>
        <v>0.89</v>
      </c>
      <c r="AK41" s="443">
        <f ca="1">_xll.BDH(AK$5,"PX_LAST",$AE41)</f>
        <v>1.1599999999999999</v>
      </c>
      <c r="AL41" s="444">
        <f t="shared" ca="1" si="10"/>
        <v>0.72999999999999954</v>
      </c>
      <c r="AM41" s="444">
        <f t="shared" ca="1" si="11"/>
        <v>0.27</v>
      </c>
      <c r="AN41" s="444">
        <f t="shared" ca="1" si="12"/>
        <v>0.45999999999999952</v>
      </c>
      <c r="AO41" s="444">
        <f t="shared" ca="1" si="13"/>
        <v>-9.4999999999999751E-2</v>
      </c>
      <c r="AP41" s="444">
        <f t="shared" ca="1" si="4"/>
        <v>0.57999999999999996</v>
      </c>
      <c r="AQ41" s="444">
        <f t="shared" ca="1" si="5"/>
        <v>0.31000000000000005</v>
      </c>
      <c r="AR41" s="444">
        <f t="shared" ca="1" si="6"/>
        <v>0.26999999999999991</v>
      </c>
      <c r="AS41" s="445">
        <f t="shared" ca="1" si="7"/>
        <v>2.0000000000000073E-2</v>
      </c>
    </row>
    <row r="42" spans="2:45">
      <c r="AE42" s="442">
        <f t="shared" ca="1" si="8"/>
        <v>42620</v>
      </c>
      <c r="AF42" s="443">
        <f ca="1">_xll.BDH(AF$5,"PX_LAST",$AE42)</f>
        <v>3.31</v>
      </c>
      <c r="AG42" s="443">
        <f ca="1">_xll.BDH(AG$5,"PX_LAST",$AE42)</f>
        <v>3.61</v>
      </c>
      <c r="AH42" s="443">
        <f ca="1">_xll.BDH(AH$5,"PX_LAST",$AE42)</f>
        <v>4.04</v>
      </c>
      <c r="AI42" s="443">
        <f ca="1">_xll.BDH(AI$5,"PX_LAST",$AE42)</f>
        <v>0.6</v>
      </c>
      <c r="AJ42" s="443">
        <f ca="1">_xll.BDH(AJ$5,"PX_LAST",$AE42)</f>
        <v>0.89</v>
      </c>
      <c r="AK42" s="443">
        <f ca="1">_xll.BDH(AK$5,"PX_LAST",$AE42)</f>
        <v>1.17</v>
      </c>
      <c r="AL42" s="444">
        <f t="shared" ca="1" si="10"/>
        <v>0.73</v>
      </c>
      <c r="AM42" s="444">
        <f t="shared" ca="1" si="11"/>
        <v>0.29999999999999982</v>
      </c>
      <c r="AN42" s="444">
        <f t="shared" ca="1" si="12"/>
        <v>0.43000000000000016</v>
      </c>
      <c r="AO42" s="444">
        <f t="shared" ca="1" si="13"/>
        <v>-6.5000000000000169E-2</v>
      </c>
      <c r="AP42" s="444">
        <f t="shared" ca="1" si="4"/>
        <v>0.56999999999999995</v>
      </c>
      <c r="AQ42" s="444">
        <f t="shared" ca="1" si="5"/>
        <v>0.29000000000000004</v>
      </c>
      <c r="AR42" s="444">
        <f t="shared" ca="1" si="6"/>
        <v>0.27999999999999992</v>
      </c>
      <c r="AS42" s="445">
        <f t="shared" ca="1" si="7"/>
        <v>5.00000000000006E-3</v>
      </c>
    </row>
    <row r="43" spans="2:45" ht="16.5" thickBot="1">
      <c r="C43" s="589" t="s">
        <v>431</v>
      </c>
      <c r="D43" s="590"/>
      <c r="E43" s="590"/>
      <c r="F43" s="590"/>
      <c r="G43" s="590"/>
      <c r="H43" s="590"/>
      <c r="I43" s="590"/>
      <c r="J43" s="590"/>
      <c r="K43" s="590"/>
      <c r="L43" s="590"/>
      <c r="M43" s="590"/>
      <c r="N43" s="590"/>
      <c r="O43" s="590"/>
      <c r="P43" s="590"/>
      <c r="Q43" s="590"/>
      <c r="R43" s="590"/>
      <c r="S43" s="590"/>
      <c r="T43" s="590"/>
      <c r="U43" s="590"/>
      <c r="V43" s="590"/>
      <c r="W43" s="590"/>
      <c r="AE43" s="442">
        <f t="shared" ca="1" si="8"/>
        <v>42619</v>
      </c>
      <c r="AF43" s="443">
        <f ca="1">_xll.BDH(AF$5,"PX_LAST",$AE43)</f>
        <v>3.34</v>
      </c>
      <c r="AG43" s="443">
        <f ca="1">_xll.BDH(AG$5,"PX_LAST",$AE43)</f>
        <v>3.65</v>
      </c>
      <c r="AH43" s="443">
        <f ca="1">_xll.BDH(AH$5,"PX_LAST",$AE43)</f>
        <v>4.08</v>
      </c>
      <c r="AI43" s="443">
        <f ca="1">_xll.BDH(AI$5,"PX_LAST",$AE43)</f>
        <v>0.57999999999999996</v>
      </c>
      <c r="AJ43" s="443">
        <f ca="1">_xll.BDH(AJ$5,"PX_LAST",$AE43)</f>
        <v>0.89</v>
      </c>
      <c r="AK43" s="443">
        <f ca="1">_xll.BDH(AK$5,"PX_LAST",$AE43)</f>
        <v>1.2</v>
      </c>
      <c r="AL43" s="444">
        <f t="shared" ca="1" si="10"/>
        <v>0.74000000000000021</v>
      </c>
      <c r="AM43" s="444">
        <f t="shared" ca="1" si="11"/>
        <v>0.31000000000000005</v>
      </c>
      <c r="AN43" s="444">
        <f t="shared" ca="1" si="12"/>
        <v>0.43000000000000016</v>
      </c>
      <c r="AO43" s="444">
        <f t="shared" ca="1" si="13"/>
        <v>-6.0000000000000053E-2</v>
      </c>
      <c r="AP43" s="444">
        <f t="shared" ca="1" si="4"/>
        <v>0.62</v>
      </c>
      <c r="AQ43" s="444">
        <f t="shared" ca="1" si="5"/>
        <v>0.31000000000000005</v>
      </c>
      <c r="AR43" s="444">
        <f t="shared" ca="1" si="6"/>
        <v>0.30999999999999994</v>
      </c>
      <c r="AS43" s="445">
        <f t="shared" ca="1" si="7"/>
        <v>5.5511151231257827E-17</v>
      </c>
    </row>
    <row r="44" spans="2:45" ht="13.5" thickBot="1">
      <c r="B44" s="188"/>
      <c r="C44" s="570" t="s">
        <v>150</v>
      </c>
      <c r="D44" s="585"/>
      <c r="E44" s="585"/>
      <c r="F44" s="585"/>
      <c r="G44" s="585"/>
      <c r="H44" s="585"/>
      <c r="I44" s="571"/>
      <c r="J44" s="570" t="s">
        <v>316</v>
      </c>
      <c r="K44" s="585"/>
      <c r="L44" s="585"/>
      <c r="M44" s="585"/>
      <c r="N44" s="585"/>
      <c r="O44" s="585"/>
      <c r="P44" s="571"/>
      <c r="Q44" s="570" t="s">
        <v>317</v>
      </c>
      <c r="R44" s="585"/>
      <c r="S44" s="585"/>
      <c r="T44" s="585"/>
      <c r="U44" s="585"/>
      <c r="V44" s="585"/>
      <c r="W44" s="571"/>
      <c r="AE44" s="442">
        <f t="shared" ca="1" si="8"/>
        <v>42618</v>
      </c>
      <c r="AF44" s="443">
        <f ca="1">_xll.BDH(AF$5,"PX_LAST",$AE44)</f>
        <v>3.39</v>
      </c>
      <c r="AG44" s="443">
        <f ca="1">_xll.BDH(AG$5,"PX_LAST",$AE44)</f>
        <v>3.7</v>
      </c>
      <c r="AH44" s="443">
        <f ca="1">_xll.BDH(AH$5,"PX_LAST",$AE44)</f>
        <v>4.13</v>
      </c>
      <c r="AI44" s="443">
        <f ca="1">_xll.BDH(AI$5,"PX_LAST",$AE44)</f>
        <v>0.62</v>
      </c>
      <c r="AJ44" s="443">
        <f ca="1">_xll.BDH(AJ$5,"PX_LAST",$AE44)</f>
        <v>0.92</v>
      </c>
      <c r="AK44" s="443">
        <f ca="1">_xll.BDH(AK$5,"PX_LAST",$AE44)</f>
        <v>1.22</v>
      </c>
      <c r="AL44" s="444">
        <f t="shared" ca="1" si="10"/>
        <v>0.73999999999999977</v>
      </c>
      <c r="AM44" s="444">
        <f t="shared" ca="1" si="11"/>
        <v>0.31000000000000005</v>
      </c>
      <c r="AN44" s="444">
        <f t="shared" ca="1" si="12"/>
        <v>0.42999999999999972</v>
      </c>
      <c r="AO44" s="444">
        <f t="shared" ca="1" si="13"/>
        <v>-5.9999999999999831E-2</v>
      </c>
      <c r="AP44" s="444">
        <f t="shared" ca="1" si="4"/>
        <v>0.6</v>
      </c>
      <c r="AQ44" s="444">
        <f t="shared" ca="1" si="5"/>
        <v>0.30000000000000004</v>
      </c>
      <c r="AR44" s="444">
        <f t="shared" ca="1" si="6"/>
        <v>0.29999999999999993</v>
      </c>
      <c r="AS44" s="445">
        <f t="shared" ca="1" si="7"/>
        <v>5.5511151231257827E-17</v>
      </c>
    </row>
    <row r="45" spans="2:45" ht="13.5" thickBot="1">
      <c r="B45" s="220" t="s">
        <v>430</v>
      </c>
      <c r="C45" s="352">
        <v>1</v>
      </c>
      <c r="D45" s="352">
        <v>5</v>
      </c>
      <c r="E45" s="352">
        <v>10</v>
      </c>
      <c r="F45" s="352">
        <v>20</v>
      </c>
      <c r="G45" s="352">
        <v>30</v>
      </c>
      <c r="H45" s="352">
        <v>60</v>
      </c>
      <c r="I45" s="352">
        <v>90</v>
      </c>
      <c r="J45" s="352">
        <v>1</v>
      </c>
      <c r="K45" s="352">
        <v>5</v>
      </c>
      <c r="L45" s="352">
        <v>10</v>
      </c>
      <c r="M45" s="352">
        <v>20</v>
      </c>
      <c r="N45" s="352">
        <v>30</v>
      </c>
      <c r="O45" s="352">
        <v>60</v>
      </c>
      <c r="P45" s="352">
        <v>90</v>
      </c>
      <c r="Q45" s="352">
        <v>1</v>
      </c>
      <c r="R45" s="352">
        <v>5</v>
      </c>
      <c r="S45" s="352">
        <v>10</v>
      </c>
      <c r="T45" s="352">
        <v>20</v>
      </c>
      <c r="U45" s="352">
        <v>30</v>
      </c>
      <c r="V45" s="352">
        <v>60</v>
      </c>
      <c r="W45" s="352">
        <v>90</v>
      </c>
      <c r="AE45" s="442">
        <f t="shared" ca="1" si="8"/>
        <v>42615</v>
      </c>
      <c r="AF45" s="443">
        <f ca="1">_xll.BDH(AF$5,"PX_LAST",$AE45)</f>
        <v>3.42</v>
      </c>
      <c r="AG45" s="443">
        <f ca="1">_xll.BDH(AG$5,"PX_LAST",$AE45)</f>
        <v>3.74</v>
      </c>
      <c r="AH45" s="443">
        <f ca="1">_xll.BDH(AH$5,"PX_LAST",$AE45)</f>
        <v>4.16</v>
      </c>
      <c r="AI45" s="443">
        <f ca="1">_xll.BDH(AI$5,"PX_LAST",$AE45)</f>
        <v>0.64</v>
      </c>
      <c r="AJ45" s="443">
        <f ca="1">_xll.BDH(AJ$5,"PX_LAST",$AE45)</f>
        <v>0.96</v>
      </c>
      <c r="AK45" s="443">
        <f ca="1">_xll.BDH(AK$5,"PX_LAST",$AE45)</f>
        <v>1.25</v>
      </c>
      <c r="AL45" s="444">
        <f t="shared" ca="1" si="10"/>
        <v>0.74000000000000021</v>
      </c>
      <c r="AM45" s="444">
        <f t="shared" ca="1" si="11"/>
        <v>0.32000000000000028</v>
      </c>
      <c r="AN45" s="444">
        <f t="shared" ca="1" si="12"/>
        <v>0.41999999999999993</v>
      </c>
      <c r="AO45" s="444">
        <f t="shared" ca="1" si="13"/>
        <v>-4.9999999999999822E-2</v>
      </c>
      <c r="AP45" s="444">
        <f t="shared" ca="1" si="4"/>
        <v>0.61</v>
      </c>
      <c r="AQ45" s="444">
        <f t="shared" ca="1" si="5"/>
        <v>0.31999999999999995</v>
      </c>
      <c r="AR45" s="444">
        <f t="shared" ca="1" si="6"/>
        <v>0.29000000000000004</v>
      </c>
      <c r="AS45" s="445">
        <f t="shared" ca="1" si="7"/>
        <v>1.4999999999999958E-2</v>
      </c>
    </row>
    <row r="46" spans="2:45">
      <c r="B46" s="340" t="s">
        <v>426</v>
      </c>
      <c r="C46" s="327">
        <f ca="1">Informe4!C72-Informe4!C64</f>
        <v>8.5468664895504975E-2</v>
      </c>
      <c r="D46" s="327">
        <f ca="1">Informe4!D72-Informe4!D64</f>
        <v>0.42910369104981472</v>
      </c>
      <c r="E46" s="327">
        <f ca="1">Informe4!E72-Informe4!E64</f>
        <v>0.86265950510650002</v>
      </c>
      <c r="F46" s="327">
        <f ca="1">Informe4!F72-Informe4!F64</f>
        <v>0.24262318867435129</v>
      </c>
      <c r="G46" s="327">
        <f ca="1">Informe4!G72-Informe4!G64</f>
        <v>-1.0643038855883691</v>
      </c>
      <c r="H46" s="327">
        <f ca="1">Informe4!H72-Informe4!H64</f>
        <v>2.4679098520852816</v>
      </c>
      <c r="I46" s="332">
        <f ca="1">Informe4!I72-Informe4!I64</f>
        <v>12.39387395829522</v>
      </c>
      <c r="J46" s="327">
        <f ca="1">Informe4!J72-Informe4!J64</f>
        <v>0.13584570648916827</v>
      </c>
      <c r="K46" s="327">
        <f ca="1">Informe4!K72-Informe4!K64</f>
        <v>0.67922853244576364</v>
      </c>
      <c r="L46" s="327">
        <f ca="1">Informe4!L72-Informe4!L64</f>
        <v>1.3584570648915273</v>
      </c>
      <c r="M46" s="327">
        <f ca="1">Informe4!M72-Informe4!M64</f>
        <v>2.7169141297830435</v>
      </c>
      <c r="N46" s="327">
        <f ca="1">Informe4!N72-Informe4!N64</f>
        <v>4.0753711946745934</v>
      </c>
      <c r="O46" s="327">
        <f ca="1">Informe4!O72-Informe4!O64</f>
        <v>8.1507423893491513</v>
      </c>
      <c r="P46" s="332">
        <f ca="1">Informe4!P72-Informe4!P64</f>
        <v>12.226113584023711</v>
      </c>
      <c r="Q46" s="327">
        <f ca="1">Informe4!Q72-Informe4!Q64</f>
        <v>0.22131437138467325</v>
      </c>
      <c r="R46" s="327">
        <f ca="1">Informe4!R72-Informe4!R64</f>
        <v>1.1083322234955784</v>
      </c>
      <c r="S46" s="327">
        <f ca="1">Informe4!S72-Informe4!S64</f>
        <v>2.2211165699980273</v>
      </c>
      <c r="T46" s="327">
        <f ca="1">Informe4!T72-Informe4!T64</f>
        <v>2.9595373184573948</v>
      </c>
      <c r="U46" s="327">
        <f ca="1">Informe4!U72-Informe4!U64</f>
        <v>3.0110673090862239</v>
      </c>
      <c r="V46" s="327">
        <f ca="1">Informe4!V72-Informe4!V64</f>
        <v>10.618652241434432</v>
      </c>
      <c r="W46" s="332">
        <f ca="1">Informe4!W72-Informe4!W64</f>
        <v>24.619987542318935</v>
      </c>
      <c r="AE46" s="442">
        <f t="shared" ca="1" si="8"/>
        <v>42614</v>
      </c>
      <c r="AF46" s="443">
        <f ca="1">_xll.BDH(AF$5,"PX_LAST",$AE46)</f>
        <v>3.44</v>
      </c>
      <c r="AG46" s="443">
        <f ca="1">_xll.BDH(AG$5,"PX_LAST",$AE46)</f>
        <v>3.74</v>
      </c>
      <c r="AH46" s="443">
        <f ca="1">_xll.BDH(AH$5,"PX_LAST",$AE46)</f>
        <v>4.17</v>
      </c>
      <c r="AI46" s="443">
        <f ca="1">_xll.BDH(AI$5,"PX_LAST",$AE46)</f>
        <v>0.64</v>
      </c>
      <c r="AJ46" s="443">
        <f ca="1">_xll.BDH(AJ$5,"PX_LAST",$AE46)</f>
        <v>0.94</v>
      </c>
      <c r="AK46" s="443">
        <f ca="1">_xll.BDH(AK$5,"PX_LAST",$AE46)</f>
        <v>1.25</v>
      </c>
      <c r="AL46" s="444">
        <f t="shared" ca="1" si="10"/>
        <v>0.73</v>
      </c>
      <c r="AM46" s="444">
        <f t="shared" ca="1" si="11"/>
        <v>0.30000000000000027</v>
      </c>
      <c r="AN46" s="444">
        <f t="shared" ca="1" si="12"/>
        <v>0.42999999999999972</v>
      </c>
      <c r="AO46" s="444">
        <f t="shared" ca="1" si="13"/>
        <v>-6.4999999999999725E-2</v>
      </c>
      <c r="AP46" s="444">
        <f t="shared" ca="1" si="4"/>
        <v>0.61</v>
      </c>
      <c r="AQ46" s="444">
        <f t="shared" ca="1" si="5"/>
        <v>0.29999999999999993</v>
      </c>
      <c r="AR46" s="444">
        <f t="shared" ca="1" si="6"/>
        <v>0.31000000000000005</v>
      </c>
      <c r="AS46" s="445">
        <f t="shared" ca="1" si="7"/>
        <v>-5.00000000000006E-3</v>
      </c>
    </row>
    <row r="47" spans="2:45">
      <c r="B47" s="341" t="s">
        <v>427</v>
      </c>
      <c r="C47" s="327">
        <f ca="1">Informe4!C67-Informe4!C64</f>
        <v>6.3302264396514207E-2</v>
      </c>
      <c r="D47" s="327">
        <f ca="1">Informe4!D67-Informe4!D64</f>
        <v>0.3181754547294191</v>
      </c>
      <c r="E47" s="327">
        <f ca="1">Informe4!E67-Informe4!E64</f>
        <v>0.64056216822768741</v>
      </c>
      <c r="F47" s="327">
        <f ca="1">Informe4!F67-Informe4!F64</f>
        <v>0.16636077904316204</v>
      </c>
      <c r="G47" s="327">
        <f ca="1">Informe4!G67-Informe4!G64</f>
        <v>-0.83007074643196566</v>
      </c>
      <c r="H47" s="327">
        <f ca="1">Informe4!H67-Informe4!H64</f>
        <v>1.8314852240814639</v>
      </c>
      <c r="I47" s="333">
        <f ca="1">Informe4!I67-Informe4!I64</f>
        <v>9.4581272545708135</v>
      </c>
      <c r="J47" s="327">
        <f ca="1">Informe4!J67-Informe4!J64</f>
        <v>0.15486973929536019</v>
      </c>
      <c r="K47" s="327">
        <f ca="1">Informe4!K67-Informe4!K64</f>
        <v>0.77434869647682314</v>
      </c>
      <c r="L47" s="327">
        <f ca="1">Informe4!L67-Informe4!L64</f>
        <v>1.5486973929536574</v>
      </c>
      <c r="M47" s="327">
        <f ca="1">Informe4!M67-Informe4!M64</f>
        <v>3.0973947859072926</v>
      </c>
      <c r="N47" s="327">
        <f ca="1">Informe4!N67-Informe4!N64</f>
        <v>4.6460921788609504</v>
      </c>
      <c r="O47" s="327">
        <f ca="1">Informe4!O67-Informe4!O64</f>
        <v>9.292184357721899</v>
      </c>
      <c r="P47" s="333">
        <f ca="1">Informe4!P67-Informe4!P64</f>
        <v>13.938276536582839</v>
      </c>
      <c r="Q47" s="327">
        <f ca="1">Informe4!Q67-Informe4!Q64</f>
        <v>0.21817200369187439</v>
      </c>
      <c r="R47" s="327">
        <f ca="1">Informe4!R67-Informe4!R64</f>
        <v>1.0925241512062422</v>
      </c>
      <c r="S47" s="327">
        <f ca="1">Informe4!S67-Informe4!S64</f>
        <v>2.1892595611813448</v>
      </c>
      <c r="T47" s="327">
        <f ca="1">Informe4!T67-Informe4!T64</f>
        <v>3.2637555649504546</v>
      </c>
      <c r="U47" s="327">
        <f ca="1">Informe4!U67-Informe4!U64</f>
        <v>3.8160214324289843</v>
      </c>
      <c r="V47" s="327">
        <f ca="1">Informe4!V67-Informe4!V64</f>
        <v>11.123669581803362</v>
      </c>
      <c r="W47" s="333">
        <f ca="1">Informe4!W67-Informe4!W64</f>
        <v>23.396403791153652</v>
      </c>
      <c r="AE47" s="442">
        <f t="shared" ca="1" si="8"/>
        <v>42613</v>
      </c>
      <c r="AF47" s="443">
        <f ca="1">_xll.BDH(AF$5,"PX_LAST",$AE47)</f>
        <v>3.43</v>
      </c>
      <c r="AG47" s="443">
        <f ca="1">_xll.BDH(AG$5,"PX_LAST",$AE47)</f>
        <v>3.73</v>
      </c>
      <c r="AH47" s="443">
        <f ca="1">_xll.BDH(AH$5,"PX_LAST",$AE47)</f>
        <v>4.1500000000000004</v>
      </c>
      <c r="AI47" s="443">
        <f ca="1">_xll.BDH(AI$5,"PX_LAST",$AE47)</f>
        <v>0.64</v>
      </c>
      <c r="AJ47" s="443">
        <f ca="1">_xll.BDH(AJ$5,"PX_LAST",$AE47)</f>
        <v>0.95</v>
      </c>
      <c r="AK47" s="443">
        <f ca="1">_xll.BDH(AK$5,"PX_LAST",$AE47)</f>
        <v>1.26</v>
      </c>
      <c r="AL47" s="444">
        <f t="shared" ca="1" si="10"/>
        <v>0.7200000000000002</v>
      </c>
      <c r="AM47" s="444">
        <f t="shared" ca="1" si="11"/>
        <v>0.29999999999999982</v>
      </c>
      <c r="AN47" s="444">
        <f t="shared" ca="1" si="12"/>
        <v>0.42000000000000037</v>
      </c>
      <c r="AO47" s="444">
        <f t="shared" ca="1" si="13"/>
        <v>-6.0000000000000275E-2</v>
      </c>
      <c r="AP47" s="444">
        <f t="shared" ca="1" si="4"/>
        <v>0.62</v>
      </c>
      <c r="AQ47" s="444">
        <f t="shared" ca="1" si="5"/>
        <v>0.30999999999999994</v>
      </c>
      <c r="AR47" s="444">
        <f t="shared" ca="1" si="6"/>
        <v>0.31000000000000005</v>
      </c>
      <c r="AS47" s="445">
        <f t="shared" ca="1" si="7"/>
        <v>-5.5511151231257827E-17</v>
      </c>
    </row>
    <row r="48" spans="2:45">
      <c r="B48" s="331" t="s">
        <v>428</v>
      </c>
      <c r="C48" s="327">
        <f ca="1">Informe4!C72-Informe4!C67</f>
        <v>2.2166400498990768E-2</v>
      </c>
      <c r="D48" s="327">
        <f ca="1">Informe4!D72-Informe4!D67</f>
        <v>0.11092823632039561</v>
      </c>
      <c r="E48" s="327">
        <f ca="1">Informe4!E72-Informe4!E67</f>
        <v>0.22209733687881261</v>
      </c>
      <c r="F48" s="327">
        <f ca="1">Informe4!F72-Informe4!F67</f>
        <v>7.6262409631189243E-2</v>
      </c>
      <c r="G48" s="327">
        <f ca="1">Informe4!G72-Informe4!G67</f>
        <v>-0.23423313915640342</v>
      </c>
      <c r="H48" s="327">
        <f ca="1">Informe4!H72-Informe4!H67</f>
        <v>0.63642462800381772</v>
      </c>
      <c r="I48" s="333">
        <f ca="1">Informe4!I72-Informe4!I67</f>
        <v>2.9357467037244067</v>
      </c>
      <c r="J48" s="327">
        <f ca="1">Informe4!J72-Informe4!J67</f>
        <v>-1.9024032806191915E-2</v>
      </c>
      <c r="K48" s="327">
        <f ca="1">Informe4!K72-Informe4!K67</f>
        <v>-9.5120164031059495E-2</v>
      </c>
      <c r="L48" s="327">
        <f ca="1">Informe4!L72-Informe4!L67</f>
        <v>-0.19024032806213009</v>
      </c>
      <c r="M48" s="327">
        <f ca="1">Informe4!M72-Informe4!M67</f>
        <v>-0.38048065612424908</v>
      </c>
      <c r="N48" s="327">
        <f ca="1">Informe4!N72-Informe4!N67</f>
        <v>-0.57072098418635697</v>
      </c>
      <c r="O48" s="327">
        <f ca="1">Informe4!O72-Informe4!O67</f>
        <v>-1.1414419683727473</v>
      </c>
      <c r="P48" s="333">
        <f ca="1">Informe4!P72-Informe4!P67</f>
        <v>-1.7121629525591264</v>
      </c>
      <c r="Q48" s="327">
        <f ca="1">Informe4!Q72-Informe4!Q67</f>
        <v>3.1423676927988531E-3</v>
      </c>
      <c r="R48" s="327">
        <f ca="1">Informe4!R72-Informe4!R67</f>
        <v>1.5808072289336117E-2</v>
      </c>
      <c r="S48" s="327">
        <f ca="1">Informe4!S72-Informe4!S67</f>
        <v>3.1857008816682519E-2</v>
      </c>
      <c r="T48" s="327">
        <f ca="1">Informe4!T72-Informe4!T67</f>
        <v>-0.30421824649305984</v>
      </c>
      <c r="U48" s="327">
        <f ca="1">Informe4!U72-Informe4!U67</f>
        <v>-0.8049541233427604</v>
      </c>
      <c r="V48" s="327">
        <f ca="1">Informe4!V72-Informe4!V67</f>
        <v>-0.50501734036892953</v>
      </c>
      <c r="W48" s="333">
        <f ca="1">Informe4!W72-Informe4!W67</f>
        <v>1.2235837511652803</v>
      </c>
      <c r="AE48" s="442">
        <f t="shared" ca="1" si="8"/>
        <v>42612</v>
      </c>
      <c r="AF48" s="443">
        <f ca="1">_xll.BDH(AF$5,"PX_LAST",$AE48)</f>
        <v>3.43</v>
      </c>
      <c r="AG48" s="443">
        <f ca="1">_xll.BDH(AG$5,"PX_LAST",$AE48)</f>
        <v>3.73</v>
      </c>
      <c r="AH48" s="443">
        <f ca="1">_xll.BDH(AH$5,"PX_LAST",$AE48)</f>
        <v>4.16</v>
      </c>
      <c r="AI48" s="443">
        <f ca="1">_xll.BDH(AI$5,"PX_LAST",$AE48)</f>
        <v>0.64</v>
      </c>
      <c r="AJ48" s="443">
        <f ca="1">_xll.BDH(AJ$5,"PX_LAST",$AE48)</f>
        <v>0.95</v>
      </c>
      <c r="AK48" s="443">
        <f ca="1">_xll.BDH(AK$5,"PX_LAST",$AE48)</f>
        <v>1.26</v>
      </c>
      <c r="AL48" s="444">
        <f t="shared" ca="1" si="10"/>
        <v>0.73</v>
      </c>
      <c r="AM48" s="444">
        <f t="shared" ca="1" si="11"/>
        <v>0.29999999999999982</v>
      </c>
      <c r="AN48" s="444">
        <f t="shared" ca="1" si="12"/>
        <v>0.43000000000000016</v>
      </c>
      <c r="AO48" s="444">
        <f t="shared" ca="1" si="13"/>
        <v>-6.5000000000000169E-2</v>
      </c>
      <c r="AP48" s="444">
        <f t="shared" ca="1" si="4"/>
        <v>0.62</v>
      </c>
      <c r="AQ48" s="444">
        <f t="shared" ca="1" si="5"/>
        <v>0.30999999999999994</v>
      </c>
      <c r="AR48" s="444">
        <f t="shared" ca="1" si="6"/>
        <v>0.31000000000000005</v>
      </c>
      <c r="AS48" s="445">
        <f t="shared" ca="1" si="7"/>
        <v>-5.5511151231257827E-17</v>
      </c>
    </row>
    <row r="49" spans="2:45" ht="13.5" thickBot="1">
      <c r="B49" s="331" t="s">
        <v>429</v>
      </c>
      <c r="C49" s="334">
        <f ca="1">(C47-C48)/2</f>
        <v>2.056793194876172E-2</v>
      </c>
      <c r="D49" s="335">
        <f t="shared" ref="D49:W49" ca="1" si="15">(D47-D48)/2</f>
        <v>0.10362360920451175</v>
      </c>
      <c r="E49" s="335">
        <f t="shared" ca="1" si="15"/>
        <v>0.2092324156744374</v>
      </c>
      <c r="F49" s="335">
        <f t="shared" ca="1" si="15"/>
        <v>4.50491847059864E-2</v>
      </c>
      <c r="G49" s="335">
        <f t="shared" ca="1" si="15"/>
        <v>-0.29791880363778112</v>
      </c>
      <c r="H49" s="335">
        <f t="shared" ca="1" si="15"/>
        <v>0.59753029803882307</v>
      </c>
      <c r="I49" s="336">
        <f t="shared" ca="1" si="15"/>
        <v>3.2611902754232034</v>
      </c>
      <c r="J49" s="334">
        <f t="shared" ca="1" si="15"/>
        <v>8.6946886050776051E-2</v>
      </c>
      <c r="K49" s="335">
        <f t="shared" ca="1" si="15"/>
        <v>0.43473443025394132</v>
      </c>
      <c r="L49" s="335">
        <f t="shared" ca="1" si="15"/>
        <v>0.86946886050789374</v>
      </c>
      <c r="M49" s="335">
        <f t="shared" ca="1" si="15"/>
        <v>1.7389377210157708</v>
      </c>
      <c r="N49" s="335">
        <f t="shared" ca="1" si="15"/>
        <v>2.6084065815236537</v>
      </c>
      <c r="O49" s="335">
        <f t="shared" ca="1" si="15"/>
        <v>5.2168131630473233</v>
      </c>
      <c r="P49" s="336">
        <f t="shared" ca="1" si="15"/>
        <v>7.8252197445709823</v>
      </c>
      <c r="Q49" s="334">
        <f t="shared" ca="1" si="15"/>
        <v>0.10751481799953777</v>
      </c>
      <c r="R49" s="335">
        <f t="shared" ca="1" si="15"/>
        <v>0.53835803945845306</v>
      </c>
      <c r="S49" s="335">
        <f t="shared" ca="1" si="15"/>
        <v>1.0787012761823311</v>
      </c>
      <c r="T49" s="335">
        <f t="shared" ca="1" si="15"/>
        <v>1.7839869057217572</v>
      </c>
      <c r="U49" s="335">
        <f t="shared" ca="1" si="15"/>
        <v>2.3104877778858723</v>
      </c>
      <c r="V49" s="335">
        <f t="shared" ca="1" si="15"/>
        <v>5.8143434610861462</v>
      </c>
      <c r="W49" s="336">
        <f t="shared" ca="1" si="15"/>
        <v>11.086410019994187</v>
      </c>
      <c r="AE49" s="442">
        <f t="shared" ca="1" si="8"/>
        <v>42611</v>
      </c>
      <c r="AF49" s="443">
        <f ca="1">_xll.BDH(AF$5,"PX_LAST",$AE49)</f>
        <v>3.41</v>
      </c>
      <c r="AG49" s="443">
        <f ca="1">_xll.BDH(AG$5,"PX_LAST",$AE49)</f>
        <v>3.7199999999999998</v>
      </c>
      <c r="AH49" s="443">
        <f ca="1">_xll.BDH(AH$5,"PX_LAST",$AE49)</f>
        <v>4.16</v>
      </c>
      <c r="AI49" s="443">
        <f ca="1">_xll.BDH(AI$5,"PX_LAST",$AE49)</f>
        <v>0.62</v>
      </c>
      <c r="AJ49" s="443">
        <f ca="1">_xll.BDH(AJ$5,"PX_LAST",$AE49)</f>
        <v>0.94</v>
      </c>
      <c r="AK49" s="443">
        <f ca="1">_xll.BDH(AK$5,"PX_LAST",$AE49)</f>
        <v>1.25</v>
      </c>
      <c r="AL49" s="444">
        <f t="shared" ca="1" si="10"/>
        <v>0.75</v>
      </c>
      <c r="AM49" s="444">
        <f t="shared" ca="1" si="11"/>
        <v>0.30999999999999961</v>
      </c>
      <c r="AN49" s="444">
        <f t="shared" ca="1" si="12"/>
        <v>0.44000000000000039</v>
      </c>
      <c r="AO49" s="444">
        <f t="shared" ca="1" si="13"/>
        <v>-6.5000000000000391E-2</v>
      </c>
      <c r="AP49" s="444">
        <f t="shared" ca="1" si="4"/>
        <v>0.63</v>
      </c>
      <c r="AQ49" s="444">
        <f t="shared" ca="1" si="5"/>
        <v>0.31999999999999995</v>
      </c>
      <c r="AR49" s="444">
        <f t="shared" ca="1" si="6"/>
        <v>0.31000000000000005</v>
      </c>
      <c r="AS49" s="445">
        <f t="shared" ca="1" si="7"/>
        <v>4.9999999999999489E-3</v>
      </c>
    </row>
    <row r="50" spans="2:45">
      <c r="AE50" s="442">
        <f t="shared" ca="1" si="8"/>
        <v>42608</v>
      </c>
      <c r="AF50" s="443">
        <f ca="1">_xll.BDH(AF$5,"PX_LAST",$AE50)</f>
        <v>3.42</v>
      </c>
      <c r="AG50" s="443">
        <f ca="1">_xll.BDH(AG$5,"PX_LAST",$AE50)</f>
        <v>3.7199999999999998</v>
      </c>
      <c r="AH50" s="443">
        <f ca="1">_xll.BDH(AH$5,"PX_LAST",$AE50)</f>
        <v>4.16</v>
      </c>
      <c r="AI50" s="443">
        <f ca="1">_xll.BDH(AI$5,"PX_LAST",$AE50)</f>
        <v>0.62</v>
      </c>
      <c r="AJ50" s="443">
        <f ca="1">_xll.BDH(AJ$5,"PX_LAST",$AE50)</f>
        <v>0.94</v>
      </c>
      <c r="AK50" s="443">
        <f ca="1">_xll.BDH(AK$5,"PX_LAST",$AE50)</f>
        <v>1.26</v>
      </c>
      <c r="AL50" s="444">
        <f t="shared" ca="1" si="10"/>
        <v>0.74000000000000021</v>
      </c>
      <c r="AM50" s="444">
        <f t="shared" ca="1" si="11"/>
        <v>0.29999999999999982</v>
      </c>
      <c r="AN50" s="444">
        <f t="shared" ca="1" si="12"/>
        <v>0.44000000000000039</v>
      </c>
      <c r="AO50" s="444">
        <f t="shared" ca="1" si="13"/>
        <v>-7.0000000000000284E-2</v>
      </c>
      <c r="AP50" s="444">
        <f t="shared" ca="1" si="4"/>
        <v>0.64</v>
      </c>
      <c r="AQ50" s="444">
        <f t="shared" ca="1" si="5"/>
        <v>0.31999999999999995</v>
      </c>
      <c r="AR50" s="444">
        <f t="shared" ca="1" si="6"/>
        <v>0.32000000000000006</v>
      </c>
      <c r="AS50" s="445">
        <f t="shared" ca="1" si="7"/>
        <v>-5.5511151231257827E-17</v>
      </c>
    </row>
    <row r="51" spans="2:45">
      <c r="AE51" s="442">
        <f t="shared" ca="1" si="8"/>
        <v>42607</v>
      </c>
      <c r="AF51" s="443">
        <f ca="1">_xll.BDH(AF$5,"PX_LAST",$AE51)</f>
        <v>3.41</v>
      </c>
      <c r="AG51" s="443">
        <f ca="1">_xll.BDH(AG$5,"PX_LAST",$AE51)</f>
        <v>3.71</v>
      </c>
      <c r="AH51" s="443">
        <f ca="1">_xll.BDH(AH$5,"PX_LAST",$AE51)</f>
        <v>4.16</v>
      </c>
      <c r="AI51" s="443">
        <f ca="1">_xll.BDH(AI$5,"PX_LAST",$AE51)</f>
        <v>0.61</v>
      </c>
      <c r="AJ51" s="443">
        <f ca="1">_xll.BDH(AJ$5,"PX_LAST",$AE51)</f>
        <v>0.94</v>
      </c>
      <c r="AK51" s="443">
        <f ca="1">_xll.BDH(AK$5,"PX_LAST",$AE51)</f>
        <v>1.24</v>
      </c>
      <c r="AL51" s="444">
        <f t="shared" ca="1" si="10"/>
        <v>0.75</v>
      </c>
      <c r="AM51" s="444">
        <f t="shared" ca="1" si="11"/>
        <v>0.29999999999999982</v>
      </c>
      <c r="AN51" s="444">
        <f t="shared" ca="1" si="12"/>
        <v>0.45000000000000018</v>
      </c>
      <c r="AO51" s="444">
        <f t="shared" ca="1" si="13"/>
        <v>-7.5000000000000178E-2</v>
      </c>
      <c r="AP51" s="444">
        <f t="shared" ca="1" si="4"/>
        <v>0.63</v>
      </c>
      <c r="AQ51" s="444">
        <f t="shared" ca="1" si="5"/>
        <v>0.32999999999999996</v>
      </c>
      <c r="AR51" s="444">
        <f t="shared" ca="1" si="6"/>
        <v>0.30000000000000004</v>
      </c>
      <c r="AS51" s="445">
        <f t="shared" ca="1" si="7"/>
        <v>1.4999999999999958E-2</v>
      </c>
    </row>
    <row r="52" spans="2:45">
      <c r="AE52" s="442">
        <f t="shared" ca="1" si="8"/>
        <v>42606</v>
      </c>
      <c r="AF52" s="443">
        <f ca="1">_xll.BDH(AF$5,"PX_LAST",$AE52)</f>
        <v>3.4</v>
      </c>
      <c r="AG52" s="443">
        <f ca="1">_xll.BDH(AG$5,"PX_LAST",$AE52)</f>
        <v>3.7</v>
      </c>
      <c r="AH52" s="443">
        <f ca="1">_xll.BDH(AH$5,"PX_LAST",$AE52)</f>
        <v>4.16</v>
      </c>
      <c r="AI52" s="443">
        <f ca="1">_xll.BDH(AI$5,"PX_LAST",$AE52)</f>
        <v>0.62</v>
      </c>
      <c r="AJ52" s="443">
        <f ca="1">_xll.BDH(AJ$5,"PX_LAST",$AE52)</f>
        <v>0.94</v>
      </c>
      <c r="AK52" s="443">
        <f ca="1">_xll.BDH(AK$5,"PX_LAST",$AE52)</f>
        <v>1.24</v>
      </c>
      <c r="AL52" s="444">
        <f t="shared" ca="1" si="10"/>
        <v>0.76000000000000023</v>
      </c>
      <c r="AM52" s="444">
        <f t="shared" ca="1" si="11"/>
        <v>0.30000000000000027</v>
      </c>
      <c r="AN52" s="444">
        <f t="shared" ca="1" si="12"/>
        <v>0.45999999999999996</v>
      </c>
      <c r="AO52" s="444">
        <f t="shared" ca="1" si="13"/>
        <v>-7.9999999999999849E-2</v>
      </c>
      <c r="AP52" s="444">
        <f t="shared" ca="1" si="4"/>
        <v>0.62</v>
      </c>
      <c r="AQ52" s="444">
        <f t="shared" ca="1" si="5"/>
        <v>0.31999999999999995</v>
      </c>
      <c r="AR52" s="444">
        <f t="shared" ca="1" si="6"/>
        <v>0.30000000000000004</v>
      </c>
      <c r="AS52" s="445">
        <f t="shared" ca="1" si="7"/>
        <v>9.9999999999999534E-3</v>
      </c>
    </row>
    <row r="53" spans="2:45">
      <c r="AE53" s="442">
        <f t="shared" ca="1" si="8"/>
        <v>42605</v>
      </c>
      <c r="AF53" s="443">
        <f ca="1">_xll.BDH(AF$5,"PX_LAST",$AE53)</f>
        <v>3.4</v>
      </c>
      <c r="AG53" s="443">
        <f ca="1">_xll.BDH(AG$5,"PX_LAST",$AE53)</f>
        <v>3.66</v>
      </c>
      <c r="AH53" s="443">
        <f ca="1">_xll.BDH(AH$5,"PX_LAST",$AE53)</f>
        <v>4.1500000000000004</v>
      </c>
      <c r="AI53" s="443">
        <f ca="1">_xll.BDH(AI$5,"PX_LAST",$AE53)</f>
        <v>0.62</v>
      </c>
      <c r="AJ53" s="443">
        <f ca="1">_xll.BDH(AJ$5,"PX_LAST",$AE53)</f>
        <v>0.96</v>
      </c>
      <c r="AK53" s="443">
        <f ca="1">_xll.BDH(AK$5,"PX_LAST",$AE53)</f>
        <v>1.26</v>
      </c>
      <c r="AL53" s="444">
        <f t="shared" ca="1" si="10"/>
        <v>0.75000000000000044</v>
      </c>
      <c r="AM53" s="444">
        <f t="shared" ca="1" si="11"/>
        <v>0.26000000000000023</v>
      </c>
      <c r="AN53" s="444">
        <f t="shared" ca="1" si="12"/>
        <v>0.49000000000000021</v>
      </c>
      <c r="AO53" s="444">
        <f t="shared" ca="1" si="13"/>
        <v>-0.11499999999999999</v>
      </c>
      <c r="AP53" s="444">
        <f t="shared" ca="1" si="4"/>
        <v>0.64</v>
      </c>
      <c r="AQ53" s="444">
        <f t="shared" ca="1" si="5"/>
        <v>0.33999999999999997</v>
      </c>
      <c r="AR53" s="444">
        <f t="shared" ca="1" si="6"/>
        <v>0.30000000000000004</v>
      </c>
      <c r="AS53" s="445">
        <f t="shared" ca="1" si="7"/>
        <v>1.9999999999999962E-2</v>
      </c>
    </row>
    <row r="54" spans="2:45">
      <c r="AE54" s="442">
        <f t="shared" ca="1" si="8"/>
        <v>42604</v>
      </c>
      <c r="AF54" s="443">
        <f ca="1">_xll.BDH(AF$5,"PX_LAST",$AE54)</f>
        <v>3.41</v>
      </c>
      <c r="AG54" s="443">
        <f ca="1">_xll.BDH(AG$5,"PX_LAST",$AE54)</f>
        <v>3.68</v>
      </c>
      <c r="AH54" s="443">
        <f ca="1">_xll.BDH(AH$5,"PX_LAST",$AE54)</f>
        <v>4.17</v>
      </c>
      <c r="AI54" s="443">
        <f ca="1">_xll.BDH(AI$5,"PX_LAST",$AE54)</f>
        <v>0.62</v>
      </c>
      <c r="AJ54" s="443">
        <f ca="1">_xll.BDH(AJ$5,"PX_LAST",$AE54)</f>
        <v>0.96</v>
      </c>
      <c r="AK54" s="443">
        <f ca="1">_xll.BDH(AK$5,"PX_LAST",$AE54)</f>
        <v>1.26</v>
      </c>
      <c r="AL54" s="444">
        <f t="shared" ca="1" si="10"/>
        <v>0.75999999999999979</v>
      </c>
      <c r="AM54" s="444">
        <f t="shared" ca="1" si="11"/>
        <v>0.27</v>
      </c>
      <c r="AN54" s="444">
        <f t="shared" ca="1" si="12"/>
        <v>0.48999999999999977</v>
      </c>
      <c r="AO54" s="444">
        <f t="shared" ca="1" si="13"/>
        <v>-0.10999999999999988</v>
      </c>
      <c r="AP54" s="444">
        <f t="shared" ca="1" si="4"/>
        <v>0.64</v>
      </c>
      <c r="AQ54" s="444">
        <f t="shared" ca="1" si="5"/>
        <v>0.33999999999999997</v>
      </c>
      <c r="AR54" s="444">
        <f t="shared" ca="1" si="6"/>
        <v>0.30000000000000004</v>
      </c>
      <c r="AS54" s="445">
        <f t="shared" ca="1" si="7"/>
        <v>1.9999999999999962E-2</v>
      </c>
    </row>
    <row r="55" spans="2:45">
      <c r="AE55" s="442">
        <f t="shared" ca="1" si="8"/>
        <v>42601</v>
      </c>
      <c r="AF55" s="443">
        <f ca="1">_xll.BDH(AF$5,"PX_LAST",$AE55)</f>
        <v>3.36</v>
      </c>
      <c r="AG55" s="443">
        <f ca="1">_xll.BDH(AG$5,"PX_LAST",$AE55)</f>
        <v>3.66</v>
      </c>
      <c r="AH55" s="443">
        <f ca="1">_xll.BDH(AH$5,"PX_LAST",$AE55)</f>
        <v>4.16</v>
      </c>
      <c r="AI55" s="443">
        <f ca="1">_xll.BDH(AI$5,"PX_LAST",$AE55)</f>
        <v>0.61</v>
      </c>
      <c r="AJ55" s="443">
        <f ca="1">_xll.BDH(AJ$5,"PX_LAST",$AE55)</f>
        <v>0.96</v>
      </c>
      <c r="AK55" s="443">
        <f ca="1">_xll.BDH(AK$5,"PX_LAST",$AE55)</f>
        <v>1.27</v>
      </c>
      <c r="AL55" s="444">
        <f t="shared" ca="1" si="10"/>
        <v>0.80000000000000027</v>
      </c>
      <c r="AM55" s="444">
        <f t="shared" ca="1" si="11"/>
        <v>0.30000000000000027</v>
      </c>
      <c r="AN55" s="444">
        <f t="shared" ca="1" si="12"/>
        <v>0.5</v>
      </c>
      <c r="AO55" s="444">
        <f t="shared" ca="1" si="13"/>
        <v>-9.9999999999999867E-2</v>
      </c>
      <c r="AP55" s="444">
        <f t="shared" ca="1" si="4"/>
        <v>0.66</v>
      </c>
      <c r="AQ55" s="444">
        <f t="shared" ca="1" si="5"/>
        <v>0.35</v>
      </c>
      <c r="AR55" s="444">
        <f t="shared" ca="1" si="6"/>
        <v>0.31000000000000005</v>
      </c>
      <c r="AS55" s="445">
        <f t="shared" ca="1" si="7"/>
        <v>1.9999999999999962E-2</v>
      </c>
    </row>
    <row r="56" spans="2:45">
      <c r="AE56" s="442">
        <f t="shared" ca="1" si="8"/>
        <v>42600</v>
      </c>
      <c r="AF56" s="443">
        <f ca="1">_xll.BDH(AF$5,"PX_LAST",$AE56)</f>
        <v>3.34</v>
      </c>
      <c r="AG56" s="443">
        <f ca="1">_xll.BDH(AG$5,"PX_LAST",$AE56)</f>
        <v>3.66</v>
      </c>
      <c r="AH56" s="443">
        <f ca="1">_xll.BDH(AH$5,"PX_LAST",$AE56)</f>
        <v>4.1500000000000004</v>
      </c>
      <c r="AI56" s="443">
        <f ca="1">_xll.BDH(AI$5,"PX_LAST",$AE56)</f>
        <v>0.62</v>
      </c>
      <c r="AJ56" s="443">
        <f ca="1">_xll.BDH(AJ$5,"PX_LAST",$AE56)</f>
        <v>0.96</v>
      </c>
      <c r="AK56" s="443">
        <f ca="1">_xll.BDH(AK$5,"PX_LAST",$AE56)</f>
        <v>1.26</v>
      </c>
      <c r="AL56" s="444">
        <f t="shared" ca="1" si="10"/>
        <v>0.8100000000000005</v>
      </c>
      <c r="AM56" s="444">
        <f t="shared" ca="1" si="11"/>
        <v>0.32000000000000028</v>
      </c>
      <c r="AN56" s="444">
        <f t="shared" ca="1" si="12"/>
        <v>0.49000000000000021</v>
      </c>
      <c r="AO56" s="444">
        <f t="shared" ca="1" si="13"/>
        <v>-8.4999999999999964E-2</v>
      </c>
      <c r="AP56" s="444">
        <f t="shared" ca="1" si="4"/>
        <v>0.64</v>
      </c>
      <c r="AQ56" s="444">
        <f t="shared" ca="1" si="5"/>
        <v>0.33999999999999997</v>
      </c>
      <c r="AR56" s="444">
        <f t="shared" ca="1" si="6"/>
        <v>0.30000000000000004</v>
      </c>
      <c r="AS56" s="445">
        <f t="shared" ca="1" si="7"/>
        <v>1.9999999999999962E-2</v>
      </c>
    </row>
    <row r="57" spans="2:45">
      <c r="AE57" s="442">
        <f t="shared" ca="1" si="8"/>
        <v>42599</v>
      </c>
      <c r="AF57" s="443">
        <f ca="1">_xll.BDH(AF$5,"PX_LAST",$AE57)</f>
        <v>3.31</v>
      </c>
      <c r="AG57" s="443">
        <f ca="1">_xll.BDH(AG$5,"PX_LAST",$AE57)</f>
        <v>3.65</v>
      </c>
      <c r="AH57" s="443">
        <f ca="1">_xll.BDH(AH$5,"PX_LAST",$AE57)</f>
        <v>4.12</v>
      </c>
      <c r="AI57" s="443">
        <f ca="1">_xll.BDH(AI$5,"PX_LAST",$AE57)</f>
        <v>0.6</v>
      </c>
      <c r="AJ57" s="443">
        <f ca="1">_xll.BDH(AJ$5,"PX_LAST",$AE57)</f>
        <v>0.93</v>
      </c>
      <c r="AK57" s="443">
        <f ca="1">_xll.BDH(AK$5,"PX_LAST",$AE57)</f>
        <v>1.23</v>
      </c>
      <c r="AL57" s="444">
        <f t="shared" ca="1" si="10"/>
        <v>0.81</v>
      </c>
      <c r="AM57" s="444">
        <f t="shared" ca="1" si="11"/>
        <v>0.33999999999999986</v>
      </c>
      <c r="AN57" s="444">
        <f t="shared" ca="1" si="12"/>
        <v>0.4700000000000002</v>
      </c>
      <c r="AO57" s="444">
        <f t="shared" ca="1" si="13"/>
        <v>-6.5000000000000169E-2</v>
      </c>
      <c r="AP57" s="444">
        <f t="shared" ca="1" si="4"/>
        <v>0.63</v>
      </c>
      <c r="AQ57" s="444">
        <f t="shared" ca="1" si="5"/>
        <v>0.33000000000000007</v>
      </c>
      <c r="AR57" s="444">
        <f t="shared" ca="1" si="6"/>
        <v>0.29999999999999993</v>
      </c>
      <c r="AS57" s="445">
        <f t="shared" ca="1" si="7"/>
        <v>1.5000000000000069E-2</v>
      </c>
    </row>
    <row r="58" spans="2:45">
      <c r="AE58" s="442">
        <f t="shared" ca="1" si="8"/>
        <v>42598</v>
      </c>
      <c r="AF58" s="443">
        <f ca="1">_xll.BDH(AF$5,"PX_LAST",$AE58)</f>
        <v>3.31</v>
      </c>
      <c r="AG58" s="443">
        <f ca="1">_xll.BDH(AG$5,"PX_LAST",$AE58)</f>
        <v>3.65</v>
      </c>
      <c r="AH58" s="443">
        <f ca="1">_xll.BDH(AH$5,"PX_LAST",$AE58)</f>
        <v>4.13</v>
      </c>
      <c r="AI58" s="443">
        <f ca="1">_xll.BDH(AI$5,"PX_LAST",$AE58)</f>
        <v>0.6</v>
      </c>
      <c r="AJ58" s="443">
        <f ca="1">_xll.BDH(AJ$5,"PX_LAST",$AE58)</f>
        <v>0.92</v>
      </c>
      <c r="AK58" s="443">
        <f ca="1">_xll.BDH(AK$5,"PX_LAST",$AE58)</f>
        <v>1.22</v>
      </c>
      <c r="AL58" s="444">
        <f t="shared" ca="1" si="10"/>
        <v>0.81999999999999984</v>
      </c>
      <c r="AM58" s="444">
        <f t="shared" ca="1" si="11"/>
        <v>0.33999999999999986</v>
      </c>
      <c r="AN58" s="444">
        <f t="shared" ca="1" si="12"/>
        <v>0.48</v>
      </c>
      <c r="AO58" s="444">
        <f t="shared" ca="1" si="13"/>
        <v>-7.0000000000000062E-2</v>
      </c>
      <c r="AP58" s="444">
        <f t="shared" ca="1" si="4"/>
        <v>0.62</v>
      </c>
      <c r="AQ58" s="444">
        <f t="shared" ca="1" si="5"/>
        <v>0.32000000000000006</v>
      </c>
      <c r="AR58" s="444">
        <f t="shared" ca="1" si="6"/>
        <v>0.29999999999999993</v>
      </c>
      <c r="AS58" s="445">
        <f t="shared" ca="1" si="7"/>
        <v>1.0000000000000064E-2</v>
      </c>
    </row>
    <row r="59" spans="2:45">
      <c r="AE59" s="442">
        <f t="shared" ca="1" si="8"/>
        <v>42597</v>
      </c>
      <c r="AF59" s="443">
        <f ca="1">_xll.BDH(AF$5,"PX_LAST",$AE59)</f>
        <v>3.31</v>
      </c>
      <c r="AG59" s="443">
        <f ca="1">_xll.BDH(AG$5,"PX_LAST",$AE59)</f>
        <v>3.64</v>
      </c>
      <c r="AH59" s="443">
        <f ca="1">_xll.BDH(AH$5,"PX_LAST",$AE59)</f>
        <v>4.12</v>
      </c>
      <c r="AI59" s="443" t="str">
        <f ca="1">_xll.BDH(AI$5,"PX_LAST",$AE59)</f>
        <v>#N/A N/A</v>
      </c>
      <c r="AJ59" s="443" t="str">
        <f ca="1">_xll.BDH(AJ$5,"PX_LAST",$AE59)</f>
        <v>#N/A N/A</v>
      </c>
      <c r="AK59" s="443" t="str">
        <f ca="1">_xll.BDH(AK$5,"PX_LAST",$AE59)</f>
        <v>#N/A N/A</v>
      </c>
      <c r="AL59" s="444">
        <f t="shared" ca="1" si="10"/>
        <v>0.81</v>
      </c>
      <c r="AM59" s="444">
        <f t="shared" ca="1" si="11"/>
        <v>0.33000000000000007</v>
      </c>
      <c r="AN59" s="444">
        <f t="shared" ca="1" si="12"/>
        <v>0.48</v>
      </c>
      <c r="AO59" s="444">
        <f t="shared" ca="1" si="13"/>
        <v>-7.4999999999999956E-2</v>
      </c>
      <c r="AP59" s="444">
        <f t="shared" ca="1" si="4"/>
        <v>0.62</v>
      </c>
      <c r="AQ59" s="444">
        <f t="shared" ca="1" si="5"/>
        <v>0.32000000000000006</v>
      </c>
      <c r="AR59" s="444">
        <f t="shared" ca="1" si="6"/>
        <v>0.29999999999999993</v>
      </c>
      <c r="AS59" s="445">
        <f t="shared" ca="1" si="7"/>
        <v>1.0000000000000064E-2</v>
      </c>
    </row>
    <row r="60" spans="2:45">
      <c r="AE60" s="442">
        <f t="shared" ca="1" si="8"/>
        <v>42594</v>
      </c>
      <c r="AF60" s="443">
        <f ca="1">_xll.BDH(AF$5,"PX_LAST",$AE60)</f>
        <v>3.31</v>
      </c>
      <c r="AG60" s="443">
        <f ca="1">_xll.BDH(AG$5,"PX_LAST",$AE60)</f>
        <v>3.64</v>
      </c>
      <c r="AH60" s="443">
        <f ca="1">_xll.BDH(AH$5,"PX_LAST",$AE60)</f>
        <v>4.12</v>
      </c>
      <c r="AI60" s="443">
        <f ca="1">_xll.BDH(AI$5,"PX_LAST",$AE60)</f>
        <v>0.6</v>
      </c>
      <c r="AJ60" s="443">
        <f ca="1">_xll.BDH(AJ$5,"PX_LAST",$AE60)</f>
        <v>0.9</v>
      </c>
      <c r="AK60" s="443">
        <f ca="1">_xll.BDH(AK$5,"PX_LAST",$AE60)</f>
        <v>1.2</v>
      </c>
      <c r="AL60" s="444">
        <f t="shared" ca="1" si="10"/>
        <v>0.81</v>
      </c>
      <c r="AM60" s="444">
        <f t="shared" ca="1" si="11"/>
        <v>0.33000000000000007</v>
      </c>
      <c r="AN60" s="444">
        <f t="shared" ca="1" si="12"/>
        <v>0.48</v>
      </c>
      <c r="AO60" s="444">
        <f t="shared" ca="1" si="13"/>
        <v>-7.4999999999999956E-2</v>
      </c>
      <c r="AP60" s="444">
        <f t="shared" ca="1" si="4"/>
        <v>0.6</v>
      </c>
      <c r="AQ60" s="444">
        <f t="shared" ca="1" si="5"/>
        <v>0.30000000000000004</v>
      </c>
      <c r="AR60" s="444">
        <f t="shared" ca="1" si="6"/>
        <v>0.29999999999999993</v>
      </c>
      <c r="AS60" s="445">
        <f t="shared" ca="1" si="7"/>
        <v>5.5511151231257827E-17</v>
      </c>
    </row>
    <row r="61" spans="2:45">
      <c r="AE61" s="442">
        <f t="shared" ca="1" si="8"/>
        <v>42593</v>
      </c>
      <c r="AF61" s="443">
        <f ca="1">_xll.BDH(AF$5,"PX_LAST",$AE61)</f>
        <v>3.37</v>
      </c>
      <c r="AG61" s="443">
        <f ca="1">_xll.BDH(AG$5,"PX_LAST",$AE61)</f>
        <v>3.7</v>
      </c>
      <c r="AH61" s="443">
        <f ca="1">_xll.BDH(AH$5,"PX_LAST",$AE61)</f>
        <v>4.1500000000000004</v>
      </c>
      <c r="AI61" s="443">
        <f ca="1">_xll.BDH(AI$5,"PX_LAST",$AE61)</f>
        <v>0.65</v>
      </c>
      <c r="AJ61" s="443">
        <f ca="1">_xll.BDH(AJ$5,"PX_LAST",$AE61)</f>
        <v>0.93</v>
      </c>
      <c r="AK61" s="443">
        <f ca="1">_xll.BDH(AK$5,"PX_LAST",$AE61)</f>
        <v>1.21</v>
      </c>
      <c r="AL61" s="444">
        <f t="shared" ca="1" si="10"/>
        <v>0.78000000000000025</v>
      </c>
      <c r="AM61" s="444">
        <f t="shared" ca="1" si="11"/>
        <v>0.33000000000000007</v>
      </c>
      <c r="AN61" s="444">
        <f t="shared" ca="1" si="12"/>
        <v>0.45000000000000018</v>
      </c>
      <c r="AO61" s="444">
        <f t="shared" ca="1" si="13"/>
        <v>-6.0000000000000053E-2</v>
      </c>
      <c r="AP61" s="444">
        <f t="shared" ca="1" si="4"/>
        <v>0.55999999999999994</v>
      </c>
      <c r="AQ61" s="444">
        <f t="shared" ca="1" si="5"/>
        <v>0.28000000000000003</v>
      </c>
      <c r="AR61" s="444">
        <f t="shared" ca="1" si="6"/>
        <v>0.27999999999999992</v>
      </c>
      <c r="AS61" s="445">
        <f t="shared" ca="1" si="7"/>
        <v>5.5511151231257827E-17</v>
      </c>
    </row>
    <row r="62" spans="2:45">
      <c r="AE62" s="442">
        <f t="shared" ca="1" si="8"/>
        <v>42592</v>
      </c>
      <c r="AF62" s="443">
        <f ca="1">_xll.BDH(AF$5,"PX_LAST",$AE62)</f>
        <v>3.42</v>
      </c>
      <c r="AG62" s="443">
        <f ca="1">_xll.BDH(AG$5,"PX_LAST",$AE62)</f>
        <v>3.73</v>
      </c>
      <c r="AH62" s="443">
        <f ca="1">_xll.BDH(AH$5,"PX_LAST",$AE62)</f>
        <v>4.1900000000000004</v>
      </c>
      <c r="AI62" s="443">
        <f ca="1">_xll.BDH(AI$5,"PX_LAST",$AE62)</f>
        <v>0.67</v>
      </c>
      <c r="AJ62" s="443">
        <f ca="1">_xll.BDH(AJ$5,"PX_LAST",$AE62)</f>
        <v>0.95</v>
      </c>
      <c r="AK62" s="443">
        <f ca="1">_xll.BDH(AK$5,"PX_LAST",$AE62)</f>
        <v>1.22</v>
      </c>
      <c r="AL62" s="444">
        <f t="shared" ca="1" si="10"/>
        <v>0.77000000000000046</v>
      </c>
      <c r="AM62" s="444">
        <f t="shared" ca="1" si="11"/>
        <v>0.31000000000000005</v>
      </c>
      <c r="AN62" s="444">
        <f t="shared" ca="1" si="12"/>
        <v>0.46000000000000041</v>
      </c>
      <c r="AO62" s="444">
        <f t="shared" ca="1" si="13"/>
        <v>-7.5000000000000178E-2</v>
      </c>
      <c r="AP62" s="444">
        <f t="shared" ca="1" si="4"/>
        <v>0.54999999999999993</v>
      </c>
      <c r="AQ62" s="444">
        <f t="shared" ca="1" si="5"/>
        <v>0.27999999999999992</v>
      </c>
      <c r="AR62" s="444">
        <f t="shared" ca="1" si="6"/>
        <v>0.27</v>
      </c>
      <c r="AS62" s="445">
        <f t="shared" ca="1" si="7"/>
        <v>4.9999999999999489E-3</v>
      </c>
    </row>
    <row r="63" spans="2:45">
      <c r="AE63" s="442">
        <f t="shared" ca="1" si="8"/>
        <v>42591</v>
      </c>
      <c r="AF63" s="443">
        <f ca="1">_xll.BDH(AF$5,"PX_LAST",$AE63)</f>
        <v>3.44</v>
      </c>
      <c r="AG63" s="443">
        <f ca="1">_xll.BDH(AG$5,"PX_LAST",$AE63)</f>
        <v>3.74</v>
      </c>
      <c r="AH63" s="443">
        <f ca="1">_xll.BDH(AH$5,"PX_LAST",$AE63)</f>
        <v>4.1900000000000004</v>
      </c>
      <c r="AI63" s="443">
        <f ca="1">_xll.BDH(AI$5,"PX_LAST",$AE63)</f>
        <v>0.71</v>
      </c>
      <c r="AJ63" s="443">
        <f ca="1">_xll.BDH(AJ$5,"PX_LAST",$AE63)</f>
        <v>0.97</v>
      </c>
      <c r="AK63" s="443">
        <f ca="1">_xll.BDH(AK$5,"PX_LAST",$AE63)</f>
        <v>1.26</v>
      </c>
      <c r="AL63" s="444">
        <f t="shared" ca="1" si="10"/>
        <v>0.75000000000000044</v>
      </c>
      <c r="AM63" s="444">
        <f t="shared" ca="1" si="11"/>
        <v>0.30000000000000027</v>
      </c>
      <c r="AN63" s="444">
        <f t="shared" ca="1" si="12"/>
        <v>0.45000000000000018</v>
      </c>
      <c r="AO63" s="444">
        <f t="shared" ca="1" si="13"/>
        <v>-7.4999999999999956E-2</v>
      </c>
      <c r="AP63" s="444">
        <f t="shared" ca="1" si="4"/>
        <v>0.55000000000000004</v>
      </c>
      <c r="AQ63" s="444">
        <f t="shared" ca="1" si="5"/>
        <v>0.26</v>
      </c>
      <c r="AR63" s="444">
        <f t="shared" ca="1" si="6"/>
        <v>0.29000000000000004</v>
      </c>
      <c r="AS63" s="445">
        <f t="shared" ca="1" si="7"/>
        <v>-1.5000000000000013E-2</v>
      </c>
    </row>
    <row r="64" spans="2:45">
      <c r="AE64" s="442">
        <f t="shared" ca="1" si="8"/>
        <v>42590</v>
      </c>
      <c r="AF64" s="443">
        <f ca="1">_xll.BDH(AF$5,"PX_LAST",$AE64)</f>
        <v>3.44</v>
      </c>
      <c r="AG64" s="443">
        <f ca="1">_xll.BDH(AG$5,"PX_LAST",$AE64)</f>
        <v>3.74</v>
      </c>
      <c r="AH64" s="443">
        <f ca="1">_xll.BDH(AH$5,"PX_LAST",$AE64)</f>
        <v>4.17</v>
      </c>
      <c r="AI64" s="443">
        <f ca="1">_xll.BDH(AI$5,"PX_LAST",$AE64)</f>
        <v>0.72</v>
      </c>
      <c r="AJ64" s="443">
        <f ca="1">_xll.BDH(AJ$5,"PX_LAST",$AE64)</f>
        <v>0.98</v>
      </c>
      <c r="AK64" s="443">
        <f ca="1">_xll.BDH(AK$5,"PX_LAST",$AE64)</f>
        <v>1.29</v>
      </c>
      <c r="AL64" s="444">
        <f t="shared" ca="1" si="10"/>
        <v>0.73</v>
      </c>
      <c r="AM64" s="444">
        <f t="shared" ca="1" si="11"/>
        <v>0.30000000000000027</v>
      </c>
      <c r="AN64" s="444">
        <f t="shared" ca="1" si="12"/>
        <v>0.42999999999999972</v>
      </c>
      <c r="AO64" s="444">
        <f t="shared" ca="1" si="13"/>
        <v>-6.4999999999999725E-2</v>
      </c>
      <c r="AP64" s="444">
        <f t="shared" ca="1" si="4"/>
        <v>0.57000000000000006</v>
      </c>
      <c r="AQ64" s="444">
        <f t="shared" ca="1" si="5"/>
        <v>0.26</v>
      </c>
      <c r="AR64" s="444">
        <f t="shared" ca="1" si="6"/>
        <v>0.31000000000000005</v>
      </c>
      <c r="AS64" s="445">
        <f t="shared" ca="1" si="7"/>
        <v>-2.5000000000000022E-2</v>
      </c>
    </row>
    <row r="65" spans="2:46">
      <c r="AE65" s="442">
        <f t="shared" ca="1" si="8"/>
        <v>42587</v>
      </c>
      <c r="AF65" s="443">
        <f ca="1">_xll.BDH(AF$5,"PX_LAST",$AE65)</f>
        <v>3.42</v>
      </c>
      <c r="AG65" s="443">
        <f ca="1">_xll.BDH(AG$5,"PX_LAST",$AE65)</f>
        <v>3.7199999999999998</v>
      </c>
      <c r="AH65" s="443">
        <f ca="1">_xll.BDH(AH$5,"PX_LAST",$AE65)</f>
        <v>4.1399999999999997</v>
      </c>
      <c r="AI65" s="443">
        <f ca="1">_xll.BDH(AI$5,"PX_LAST",$AE65)</f>
        <v>0.76</v>
      </c>
      <c r="AJ65" s="443">
        <f ca="1">_xll.BDH(AJ$5,"PX_LAST",$AE65)</f>
        <v>0.99</v>
      </c>
      <c r="AK65" s="443">
        <f ca="1">_xll.BDH(AK$5,"PX_LAST",$AE65)</f>
        <v>1.27</v>
      </c>
      <c r="AL65" s="444">
        <f t="shared" ca="1" si="10"/>
        <v>0.71999999999999975</v>
      </c>
      <c r="AM65" s="444">
        <f t="shared" ca="1" si="11"/>
        <v>0.29999999999999982</v>
      </c>
      <c r="AN65" s="444">
        <f t="shared" ca="1" si="12"/>
        <v>0.41999999999999993</v>
      </c>
      <c r="AO65" s="444">
        <f t="shared" ca="1" si="13"/>
        <v>-6.0000000000000053E-2</v>
      </c>
      <c r="AP65" s="444">
        <f t="shared" ca="1" si="4"/>
        <v>0.51</v>
      </c>
      <c r="AQ65" s="444">
        <f t="shared" ca="1" si="5"/>
        <v>0.22999999999999998</v>
      </c>
      <c r="AR65" s="444">
        <f t="shared" ca="1" si="6"/>
        <v>0.28000000000000003</v>
      </c>
      <c r="AS65" s="445">
        <f t="shared" ca="1" si="7"/>
        <v>-2.5000000000000022E-2</v>
      </c>
    </row>
    <row r="66" spans="2:46" ht="13.5" thickBot="1">
      <c r="B66" s="570" t="s">
        <v>446</v>
      </c>
      <c r="C66" s="585"/>
      <c r="D66" s="585"/>
      <c r="E66" s="585"/>
      <c r="F66" s="585"/>
      <c r="G66" s="585"/>
      <c r="H66" s="571"/>
      <c r="AE66" s="442">
        <f t="shared" ca="1" si="8"/>
        <v>42586</v>
      </c>
      <c r="AF66" s="443">
        <f ca="1">_xll.BDH(AF$5,"PX_LAST",$AE66)</f>
        <v>3.44</v>
      </c>
      <c r="AG66" s="443">
        <f ca="1">_xll.BDH(AG$5,"PX_LAST",$AE66)</f>
        <v>3.71</v>
      </c>
      <c r="AH66" s="443">
        <f ca="1">_xll.BDH(AH$5,"PX_LAST",$AE66)</f>
        <v>4.1900000000000004</v>
      </c>
      <c r="AI66" s="443">
        <f ca="1">_xll.BDH(AI$5,"PX_LAST",$AE66)</f>
        <v>0.78</v>
      </c>
      <c r="AJ66" s="443">
        <f ca="1">_xll.BDH(AJ$5,"PX_LAST",$AE66)</f>
        <v>1.01</v>
      </c>
      <c r="AK66" s="443">
        <f ca="1">_xll.BDH(AK$5,"PX_LAST",$AE66)</f>
        <v>1.3</v>
      </c>
      <c r="AL66" s="444">
        <f t="shared" ca="1" si="10"/>
        <v>0.75000000000000044</v>
      </c>
      <c r="AM66" s="444">
        <f t="shared" ca="1" si="11"/>
        <v>0.27</v>
      </c>
      <c r="AN66" s="444">
        <f t="shared" ca="1" si="12"/>
        <v>0.48000000000000043</v>
      </c>
      <c r="AO66" s="444">
        <f t="shared" ca="1" si="13"/>
        <v>-0.1050000000000002</v>
      </c>
      <c r="AP66" s="444">
        <f t="shared" ca="1" si="4"/>
        <v>0.52</v>
      </c>
      <c r="AQ66" s="444">
        <f t="shared" ca="1" si="5"/>
        <v>0.22999999999999998</v>
      </c>
      <c r="AR66" s="444">
        <f t="shared" ca="1" si="6"/>
        <v>0.29000000000000004</v>
      </c>
      <c r="AS66" s="445">
        <f t="shared" ca="1" si="7"/>
        <v>-3.0000000000000027E-2</v>
      </c>
    </row>
    <row r="67" spans="2:46" ht="13.5" thickBot="1">
      <c r="B67" s="220" t="s">
        <v>445</v>
      </c>
      <c r="C67" s="220" t="s">
        <v>154</v>
      </c>
      <c r="D67" s="220" t="s">
        <v>438</v>
      </c>
      <c r="E67" s="220" t="s">
        <v>146</v>
      </c>
      <c r="F67" s="220" t="s">
        <v>37</v>
      </c>
      <c r="G67" s="220" t="s">
        <v>39</v>
      </c>
      <c r="H67" s="220" t="s">
        <v>40</v>
      </c>
      <c r="AE67" s="442">
        <f t="shared" ca="1" si="8"/>
        <v>42585</v>
      </c>
      <c r="AF67" s="443">
        <f ca="1">_xll.BDH(AF$5,"PX_LAST",$AE67)</f>
        <v>3.4699999999999998</v>
      </c>
      <c r="AG67" s="443">
        <f ca="1">_xll.BDH(AG$5,"PX_LAST",$AE67)</f>
        <v>3.76</v>
      </c>
      <c r="AH67" s="443">
        <f ca="1">_xll.BDH(AH$5,"PX_LAST",$AE67)</f>
        <v>4.21</v>
      </c>
      <c r="AI67" s="443">
        <f ca="1">_xll.BDH(AI$5,"PX_LAST",$AE67)</f>
        <v>0.8</v>
      </c>
      <c r="AJ67" s="443">
        <f ca="1">_xll.BDH(AJ$5,"PX_LAST",$AE67)</f>
        <v>1.06</v>
      </c>
      <c r="AK67" s="443">
        <f ca="1">_xll.BDH(AK$5,"PX_LAST",$AE67)</f>
        <v>1.37</v>
      </c>
      <c r="AL67" s="444">
        <f t="shared" ca="1" si="10"/>
        <v>0.74000000000000021</v>
      </c>
      <c r="AM67" s="444">
        <f t="shared" ca="1" si="11"/>
        <v>0.29000000000000004</v>
      </c>
      <c r="AN67" s="444">
        <f t="shared" ca="1" si="12"/>
        <v>0.45000000000000018</v>
      </c>
      <c r="AO67" s="444">
        <f t="shared" ca="1" si="13"/>
        <v>-8.0000000000000071E-2</v>
      </c>
      <c r="AP67" s="444">
        <f t="shared" ca="1" si="4"/>
        <v>0.57000000000000006</v>
      </c>
      <c r="AQ67" s="444">
        <f t="shared" ca="1" si="5"/>
        <v>0.26</v>
      </c>
      <c r="AR67" s="444">
        <f t="shared" ca="1" si="6"/>
        <v>0.31000000000000005</v>
      </c>
      <c r="AS67" s="445">
        <f t="shared" ca="1" si="7"/>
        <v>-2.5000000000000022E-2</v>
      </c>
    </row>
    <row r="68" spans="2:46">
      <c r="B68" s="340" t="s">
        <v>426</v>
      </c>
      <c r="C68" s="343">
        <f ca="1">VLOOKUP(Z68,Zero_swap_CL!$C$23:$E$39,3,0)-VLOOKUP(AA68,Zero_swap_CL!$C$23:$E$39,3,0)</f>
        <v>0.59999999999999987</v>
      </c>
      <c r="D68" s="343">
        <f ca="1">VLOOKUP($AB68*365,HPR!$AH$31:$AN$3690,7,1)-VLOOKUP($AC68*365,HPR!$AH$31:$AN$3690,7,1)</f>
        <v>0.54406459551119557</v>
      </c>
      <c r="E68" s="343">
        <f ca="1">C68-D68</f>
        <v>5.5935404488804297E-2</v>
      </c>
      <c r="F68" s="343">
        <f>VLOOKUP($AB68*365,Bear!$Q$31:$W$3690,7,1)-VLOOKUP($AC68*365,Bear!$Q$31:$W$3690,7,1)</f>
        <v>0.35203170465585298</v>
      </c>
      <c r="G68" s="343">
        <f>VLOOKUP($AB68*365,Base!$Q$31:$W$3690,7,1)-VLOOKUP($AC68*365,Base!$Q$31:$W$3690,7,1)</f>
        <v>0.63608245866437763</v>
      </c>
      <c r="H68" s="343">
        <f>VLOOKUP($AB68*365,Bull!$Q$31:$W$3690,7,1)-VLOOKUP($AC68*365,Bull!$Q$31:$W$3690,7,1)</f>
        <v>0.84022529941130131</v>
      </c>
      <c r="Z68" s="325" t="s">
        <v>301</v>
      </c>
      <c r="AA68" s="325" t="s">
        <v>293</v>
      </c>
      <c r="AB68" s="325">
        <v>10</v>
      </c>
      <c r="AC68" s="325">
        <v>2</v>
      </c>
      <c r="AE68" s="442">
        <f t="shared" ca="1" si="8"/>
        <v>42584</v>
      </c>
      <c r="AF68" s="443">
        <f ca="1">_xll.BDH(AF$5,"PX_LAST",$AE68)</f>
        <v>3.5</v>
      </c>
      <c r="AG68" s="443">
        <f ca="1">_xll.BDH(AG$5,"PX_LAST",$AE68)</f>
        <v>3.79</v>
      </c>
      <c r="AH68" s="443">
        <f ca="1">_xll.BDH(AH$5,"PX_LAST",$AE68)</f>
        <v>4.22</v>
      </c>
      <c r="AI68" s="443">
        <f ca="1">_xll.BDH(AI$5,"PX_LAST",$AE68)</f>
        <v>0.8</v>
      </c>
      <c r="AJ68" s="443">
        <f ca="1">_xll.BDH(AJ$5,"PX_LAST",$AE68)</f>
        <v>1.08</v>
      </c>
      <c r="AK68" s="443">
        <f ca="1">_xll.BDH(AK$5,"PX_LAST",$AE68)</f>
        <v>1.3599999999999999</v>
      </c>
      <c r="AL68" s="444">
        <f t="shared" ca="1" si="10"/>
        <v>0.71999999999999975</v>
      </c>
      <c r="AM68" s="444">
        <f t="shared" ca="1" si="11"/>
        <v>0.29000000000000004</v>
      </c>
      <c r="AN68" s="444">
        <f t="shared" ca="1" si="12"/>
        <v>0.42999999999999972</v>
      </c>
      <c r="AO68" s="444">
        <f t="shared" ca="1" si="13"/>
        <v>-6.999999999999984E-2</v>
      </c>
      <c r="AP68" s="444">
        <f t="shared" ca="1" si="4"/>
        <v>0.55999999999999983</v>
      </c>
      <c r="AQ68" s="444">
        <f t="shared" ca="1" si="5"/>
        <v>0.28000000000000003</v>
      </c>
      <c r="AR68" s="444">
        <f t="shared" ca="1" si="6"/>
        <v>0.2799999999999998</v>
      </c>
      <c r="AS68" s="445">
        <f t="shared" ca="1" si="7"/>
        <v>1.1102230246251565E-16</v>
      </c>
    </row>
    <row r="69" spans="2:46">
      <c r="B69" s="341" t="s">
        <v>427</v>
      </c>
      <c r="C69" s="343">
        <f ca="1">VLOOKUP(Z69,Zero_swap_CL!$C$23:$E$39,3,0)-VLOOKUP(AA69,Zero_swap_CL!$C$23:$E$39,3,0)</f>
        <v>0.21999999999999997</v>
      </c>
      <c r="D69" s="343">
        <f ca="1">VLOOKUP($AB69*365,HPR!$AH$31:$AN$3690,7,1)-VLOOKUP($AC69*365,HPR!$AH$31:$AN$3690,7,1)</f>
        <v>0.39074939536367648</v>
      </c>
      <c r="E69" s="343">
        <f ca="1">C69-D69</f>
        <v>-0.1707493953636765</v>
      </c>
      <c r="F69" s="343">
        <f>VLOOKUP($AB69*365,Bear!$Q$31:$W$3690,7,1)-VLOOKUP($AC69*365,Bear!$Q$31:$W$3690,7,1)</f>
        <v>0.2144745488887434</v>
      </c>
      <c r="G69" s="343">
        <f>VLOOKUP($AB69*365,Base!$Q$31:$W$3690,7,1)-VLOOKUP($AC69*365,Base!$Q$31:$W$3690,7,1)</f>
        <v>0.47924516255715144</v>
      </c>
      <c r="H69" s="343">
        <f>VLOOKUP($AB69*365,Bull!$Q$31:$W$3690,7,1)-VLOOKUP($AC69*365,Bull!$Q$31:$W$3690,7,1)</f>
        <v>0.63966493514671097</v>
      </c>
      <c r="Z69" s="325" t="s">
        <v>296</v>
      </c>
      <c r="AA69" s="325" t="s">
        <v>293</v>
      </c>
      <c r="AB69" s="325">
        <v>5</v>
      </c>
      <c r="AC69" s="325">
        <v>2</v>
      </c>
      <c r="AE69" s="442">
        <f t="shared" ca="1" si="8"/>
        <v>42583</v>
      </c>
      <c r="AF69" s="443">
        <f ca="1">_xll.BDH(AF$5,"PX_LAST",$AE69)</f>
        <v>3.48</v>
      </c>
      <c r="AG69" s="443">
        <f ca="1">_xll.BDH(AG$5,"PX_LAST",$AE69)</f>
        <v>3.81</v>
      </c>
      <c r="AH69" s="443">
        <f ca="1">_xll.BDH(AH$5,"PX_LAST",$AE69)</f>
        <v>4.22</v>
      </c>
      <c r="AI69" s="443">
        <f ca="1">_xll.BDH(AI$5,"PX_LAST",$AE69)</f>
        <v>0.8</v>
      </c>
      <c r="AJ69" s="443">
        <f ca="1">_xll.BDH(AJ$5,"PX_LAST",$AE69)</f>
        <v>1.07</v>
      </c>
      <c r="AK69" s="443">
        <f ca="1">_xll.BDH(AK$5,"PX_LAST",$AE69)</f>
        <v>1.33</v>
      </c>
      <c r="AL69" s="444">
        <f t="shared" ca="1" si="10"/>
        <v>0.73999999999999977</v>
      </c>
      <c r="AM69" s="444">
        <f t="shared" ca="1" si="11"/>
        <v>0.33000000000000007</v>
      </c>
      <c r="AN69" s="444">
        <f t="shared" ca="1" si="12"/>
        <v>0.4099999999999997</v>
      </c>
      <c r="AO69" s="444">
        <f t="shared" ca="1" si="13"/>
        <v>-3.9999999999999813E-2</v>
      </c>
      <c r="AP69" s="444">
        <f t="shared" ca="1" si="4"/>
        <v>0.53</v>
      </c>
      <c r="AQ69" s="444">
        <f t="shared" ca="1" si="5"/>
        <v>0.27</v>
      </c>
      <c r="AR69" s="444">
        <f t="shared" ca="1" si="6"/>
        <v>0.26</v>
      </c>
      <c r="AS69" s="445">
        <f t="shared" ca="1" si="7"/>
        <v>5.0000000000000044E-3</v>
      </c>
    </row>
    <row r="70" spans="2:46">
      <c r="B70" s="331" t="s">
        <v>428</v>
      </c>
      <c r="C70" s="343">
        <f ca="1">VLOOKUP(Z70,Zero_swap_CL!$C$23:$E$39,3,0)-VLOOKUP(AA70,Zero_swap_CL!$C$23:$E$39,3,0)</f>
        <v>0.37999999999999989</v>
      </c>
      <c r="D70" s="343">
        <f ca="1">VLOOKUP($AB70*365,HPR!$AH$31:$AN$3690,7,1)-VLOOKUP($AC70*365,HPR!$AH$31:$AN$3690,7,1)</f>
        <v>0.15331520014751909</v>
      </c>
      <c r="E70" s="343">
        <f ca="1">C70-D70</f>
        <v>0.2266847998524808</v>
      </c>
      <c r="F70" s="343">
        <f>VLOOKUP($AB70*365,Bear!$Q$31:$W$3690,7,1)-VLOOKUP($AC70*365,Bear!$Q$31:$W$3690,7,1)</f>
        <v>0.13755715576710958</v>
      </c>
      <c r="G70" s="343">
        <f>VLOOKUP($AB70*365,Base!$Q$31:$W$3690,7,1)-VLOOKUP($AC70*365,Base!$Q$31:$W$3690,7,1)</f>
        <v>0.15683729610722619</v>
      </c>
      <c r="H70" s="343">
        <f>VLOOKUP($AB70*365,Bull!$Q$31:$W$3690,7,1)-VLOOKUP($AC70*365,Bull!$Q$31:$W$3690,7,1)</f>
        <v>0.20056036426459034</v>
      </c>
      <c r="Z70" s="325" t="s">
        <v>301</v>
      </c>
      <c r="AA70" s="325" t="s">
        <v>296</v>
      </c>
      <c r="AB70" s="325">
        <v>10</v>
      </c>
      <c r="AC70" s="325">
        <v>5</v>
      </c>
      <c r="AE70" s="442">
        <f t="shared" ca="1" si="8"/>
        <v>42580</v>
      </c>
      <c r="AF70" s="443">
        <f ca="1">_xll.BDH(AF$5,"PX_LAST",$AE70)</f>
        <v>3.51</v>
      </c>
      <c r="AG70" s="443">
        <f ca="1">_xll.BDH(AG$5,"PX_LAST",$AE70)</f>
        <v>3.8</v>
      </c>
      <c r="AH70" s="443">
        <f ca="1">_xll.BDH(AH$5,"PX_LAST",$AE70)</f>
        <v>4.21</v>
      </c>
      <c r="AI70" s="443">
        <f ca="1">_xll.BDH(AI$5,"PX_LAST",$AE70)</f>
        <v>0.81</v>
      </c>
      <c r="AJ70" s="443">
        <f ca="1">_xll.BDH(AJ$5,"PX_LAST",$AE70)</f>
        <v>1.07</v>
      </c>
      <c r="AK70" s="443">
        <f ca="1">_xll.BDH(AK$5,"PX_LAST",$AE70)</f>
        <v>1.33</v>
      </c>
      <c r="AL70" s="444">
        <f t="shared" ca="1" si="10"/>
        <v>0.70000000000000018</v>
      </c>
      <c r="AM70" s="444">
        <f t="shared" ca="1" si="11"/>
        <v>0.29000000000000004</v>
      </c>
      <c r="AN70" s="444">
        <f t="shared" ca="1" si="12"/>
        <v>0.41000000000000014</v>
      </c>
      <c r="AO70" s="444">
        <f t="shared" ca="1" si="13"/>
        <v>-6.0000000000000053E-2</v>
      </c>
      <c r="AP70" s="444">
        <f t="shared" ca="1" si="4"/>
        <v>0.52</v>
      </c>
      <c r="AQ70" s="444">
        <f t="shared" ca="1" si="5"/>
        <v>0.26</v>
      </c>
      <c r="AR70" s="444">
        <f t="shared" ca="1" si="6"/>
        <v>0.26</v>
      </c>
      <c r="AS70" s="445">
        <f t="shared" ca="1" si="7"/>
        <v>0</v>
      </c>
    </row>
    <row r="71" spans="2:46">
      <c r="AE71" s="442">
        <f t="shared" ca="1" si="8"/>
        <v>42579</v>
      </c>
      <c r="AF71" s="443">
        <f ca="1">_xll.BDH(AF$5,"PX_LAST",$AE71)</f>
        <v>3.56</v>
      </c>
      <c r="AG71" s="443">
        <f ca="1">_xll.BDH(AG$5,"PX_LAST",$AE71)</f>
        <v>3.9</v>
      </c>
      <c r="AH71" s="443">
        <f ca="1">_xll.BDH(AH$5,"PX_LAST",$AE71)</f>
        <v>4.29</v>
      </c>
      <c r="AI71" s="443">
        <f ca="1">_xll.BDH(AI$5,"PX_LAST",$AE71)</f>
        <v>0.84</v>
      </c>
      <c r="AJ71" s="443">
        <f ca="1">_xll.BDH(AJ$5,"PX_LAST",$AE71)</f>
        <v>1.1299999999999999</v>
      </c>
      <c r="AK71" s="443">
        <f ca="1">_xll.BDH(AK$5,"PX_LAST",$AE71)</f>
        <v>1.4</v>
      </c>
      <c r="AL71" s="444">
        <f t="shared" ca="1" si="10"/>
        <v>0.73</v>
      </c>
      <c r="AM71" s="444">
        <f t="shared" ca="1" si="11"/>
        <v>0.33999999999999986</v>
      </c>
      <c r="AN71" s="444">
        <f t="shared" ca="1" si="12"/>
        <v>0.39000000000000012</v>
      </c>
      <c r="AO71" s="444">
        <f t="shared" ca="1" si="13"/>
        <v>-2.5000000000000133E-2</v>
      </c>
      <c r="AP71" s="444">
        <f t="shared" ref="AP71:AP134" ca="1" si="16">IFERROR(AK71-AI71,AP70)</f>
        <v>0.55999999999999994</v>
      </c>
      <c r="AQ71" s="444">
        <f t="shared" ref="AQ71:AQ134" ca="1" si="17">IFERROR(AJ71-AI71,AQ70)</f>
        <v>0.28999999999999992</v>
      </c>
      <c r="AR71" s="444">
        <f t="shared" ref="AR71:AR134" ca="1" si="18">IFERROR(AK71-AJ71,AR70)</f>
        <v>0.27</v>
      </c>
      <c r="AS71" s="445">
        <f t="shared" ref="AS71:AS134" ca="1" si="19">(AQ71-AR71)/2</f>
        <v>9.9999999999999534E-3</v>
      </c>
    </row>
    <row r="72" spans="2:46">
      <c r="AE72" s="442">
        <f t="shared" ref="AE72:AE135" ca="1" si="20">WORKDAY(AE71,-1)</f>
        <v>42578</v>
      </c>
      <c r="AF72" s="443">
        <f ca="1">_xll.BDH(AF$5,"PX_LAST",$AE72)</f>
        <v>3.57</v>
      </c>
      <c r="AG72" s="443">
        <f ca="1">_xll.BDH(AG$5,"PX_LAST",$AE72)</f>
        <v>3.92</v>
      </c>
      <c r="AH72" s="443">
        <f ca="1">_xll.BDH(AH$5,"PX_LAST",$AE72)</f>
        <v>4.32</v>
      </c>
      <c r="AI72" s="443">
        <f ca="1">_xll.BDH(AI$5,"PX_LAST",$AE72)</f>
        <v>0.81</v>
      </c>
      <c r="AJ72" s="443">
        <f ca="1">_xll.BDH(AJ$5,"PX_LAST",$AE72)</f>
        <v>1.1299999999999999</v>
      </c>
      <c r="AK72" s="443">
        <f ca="1">_xll.BDH(AK$5,"PX_LAST",$AE72)</f>
        <v>1.42</v>
      </c>
      <c r="AL72" s="444">
        <f t="shared" ca="1" si="10"/>
        <v>0.75000000000000044</v>
      </c>
      <c r="AM72" s="444">
        <f t="shared" ca="1" si="11"/>
        <v>0.35000000000000009</v>
      </c>
      <c r="AN72" s="444">
        <f t="shared" ca="1" si="12"/>
        <v>0.40000000000000036</v>
      </c>
      <c r="AO72" s="444">
        <f t="shared" ca="1" si="13"/>
        <v>-2.5000000000000133E-2</v>
      </c>
      <c r="AP72" s="444">
        <f t="shared" ca="1" si="16"/>
        <v>0.60999999999999988</v>
      </c>
      <c r="AQ72" s="444">
        <f t="shared" ca="1" si="17"/>
        <v>0.31999999999999984</v>
      </c>
      <c r="AR72" s="444">
        <f t="shared" ca="1" si="18"/>
        <v>0.29000000000000004</v>
      </c>
      <c r="AS72" s="445">
        <f t="shared" ca="1" si="19"/>
        <v>1.4999999999999902E-2</v>
      </c>
    </row>
    <row r="73" spans="2:46" ht="13.5" thickBot="1">
      <c r="B73" s="570" t="s">
        <v>447</v>
      </c>
      <c r="C73" s="585"/>
      <c r="D73" s="585"/>
      <c r="E73" s="585"/>
      <c r="F73" s="585"/>
      <c r="G73" s="585"/>
      <c r="H73" s="571"/>
      <c r="AE73" s="442">
        <f t="shared" ca="1" si="20"/>
        <v>42577</v>
      </c>
      <c r="AF73" s="443">
        <f ca="1">_xll.BDH(AF$5,"PX_LAST",$AE73)</f>
        <v>3.58</v>
      </c>
      <c r="AG73" s="443">
        <f ca="1">_xll.BDH(AG$5,"PX_LAST",$AE73)</f>
        <v>3.93</v>
      </c>
      <c r="AH73" s="443">
        <f ca="1">_xll.BDH(AH$5,"PX_LAST",$AE73)</f>
        <v>4.34</v>
      </c>
      <c r="AI73" s="443">
        <f ca="1">_xll.BDH(AI$5,"PX_LAST",$AE73)</f>
        <v>0.77</v>
      </c>
      <c r="AJ73" s="443">
        <f ca="1">_xll.BDH(AJ$5,"PX_LAST",$AE73)</f>
        <v>1.1100000000000001</v>
      </c>
      <c r="AK73" s="443">
        <f ca="1">_xll.BDH(AK$5,"PX_LAST",$AE73)</f>
        <v>1.45</v>
      </c>
      <c r="AL73" s="444">
        <f t="shared" ca="1" si="10"/>
        <v>0.75999999999999979</v>
      </c>
      <c r="AM73" s="444">
        <f t="shared" ca="1" si="11"/>
        <v>0.35000000000000009</v>
      </c>
      <c r="AN73" s="444">
        <f t="shared" ca="1" si="12"/>
        <v>0.4099999999999997</v>
      </c>
      <c r="AO73" s="444">
        <f t="shared" ca="1" si="13"/>
        <v>-2.9999999999999805E-2</v>
      </c>
      <c r="AP73" s="444">
        <f t="shared" ca="1" si="16"/>
        <v>0.67999999999999994</v>
      </c>
      <c r="AQ73" s="444">
        <f t="shared" ca="1" si="17"/>
        <v>0.34000000000000008</v>
      </c>
      <c r="AR73" s="444">
        <f t="shared" ca="1" si="18"/>
        <v>0.33999999999999986</v>
      </c>
      <c r="AS73" s="445">
        <f t="shared" ca="1" si="19"/>
        <v>1.1102230246251565E-16</v>
      </c>
    </row>
    <row r="74" spans="2:46" ht="13.5" thickBot="1">
      <c r="B74" s="220" t="s">
        <v>430</v>
      </c>
      <c r="C74" s="220" t="s">
        <v>154</v>
      </c>
      <c r="D74" s="220" t="s">
        <v>438</v>
      </c>
      <c r="E74" s="220" t="s">
        <v>146</v>
      </c>
      <c r="F74" s="220" t="s">
        <v>37</v>
      </c>
      <c r="G74" s="220" t="s">
        <v>39</v>
      </c>
      <c r="H74" s="220" t="s">
        <v>40</v>
      </c>
      <c r="AE74" s="442">
        <f t="shared" ca="1" si="20"/>
        <v>42576</v>
      </c>
      <c r="AF74" s="443">
        <f ca="1">_xll.BDH(AF$5,"PX_LAST",$AE74)</f>
        <v>3.58</v>
      </c>
      <c r="AG74" s="443">
        <f ca="1">_xll.BDH(AG$5,"PX_LAST",$AE74)</f>
        <v>3.94</v>
      </c>
      <c r="AH74" s="443">
        <f ca="1">_xll.BDH(AH$5,"PX_LAST",$AE74)</f>
        <v>4.3499999999999996</v>
      </c>
      <c r="AI74" s="443">
        <f ca="1">_xll.BDH(AI$5,"PX_LAST",$AE74)</f>
        <v>0.78</v>
      </c>
      <c r="AJ74" s="443">
        <f ca="1">_xll.BDH(AJ$5,"PX_LAST",$AE74)</f>
        <v>1.1100000000000001</v>
      </c>
      <c r="AK74" s="443">
        <f ca="1">_xll.BDH(AK$5,"PX_LAST",$AE74)</f>
        <v>1.47</v>
      </c>
      <c r="AL74" s="444">
        <f t="shared" ca="1" si="10"/>
        <v>0.76999999999999957</v>
      </c>
      <c r="AM74" s="444">
        <f t="shared" ca="1" si="11"/>
        <v>0.35999999999999988</v>
      </c>
      <c r="AN74" s="444">
        <f t="shared" ca="1" si="12"/>
        <v>0.4099999999999997</v>
      </c>
      <c r="AO74" s="444">
        <f t="shared" ca="1" si="13"/>
        <v>-2.4999999999999911E-2</v>
      </c>
      <c r="AP74" s="444">
        <f t="shared" ca="1" si="16"/>
        <v>0.69</v>
      </c>
      <c r="AQ74" s="444">
        <f t="shared" ca="1" si="17"/>
        <v>0.33000000000000007</v>
      </c>
      <c r="AR74" s="444">
        <f t="shared" ca="1" si="18"/>
        <v>0.35999999999999988</v>
      </c>
      <c r="AS74" s="445">
        <f t="shared" ca="1" si="19"/>
        <v>-1.4999999999999902E-2</v>
      </c>
    </row>
    <row r="75" spans="2:46">
      <c r="B75" s="331" t="s">
        <v>429</v>
      </c>
      <c r="C75" s="343">
        <f t="shared" ref="C75:H75" ca="1" si="21">(C69-C70)/2</f>
        <v>-7.999999999999996E-2</v>
      </c>
      <c r="D75" s="343">
        <f t="shared" ca="1" si="21"/>
        <v>0.11871709760807869</v>
      </c>
      <c r="E75" s="343">
        <f t="shared" ca="1" si="21"/>
        <v>-0.19871709760807865</v>
      </c>
      <c r="F75" s="343">
        <f t="shared" si="21"/>
        <v>3.8458696560816907E-2</v>
      </c>
      <c r="G75" s="343">
        <f t="shared" si="21"/>
        <v>0.16120393322496263</v>
      </c>
      <c r="H75" s="343">
        <f t="shared" si="21"/>
        <v>0.21955228544106031</v>
      </c>
      <c r="AE75" s="442">
        <f t="shared" ca="1" si="20"/>
        <v>42573</v>
      </c>
      <c r="AF75" s="443">
        <f ca="1">_xll.BDH(AF$5,"PX_LAST",$AE75)</f>
        <v>3.52</v>
      </c>
      <c r="AG75" s="443">
        <f ca="1">_xll.BDH(AG$5,"PX_LAST",$AE75)</f>
        <v>3.85</v>
      </c>
      <c r="AH75" s="443">
        <f ca="1">_xll.BDH(AH$5,"PX_LAST",$AE75)</f>
        <v>4.29</v>
      </c>
      <c r="AI75" s="443">
        <f ca="1">_xll.BDH(AI$5,"PX_LAST",$AE75)</f>
        <v>0.76</v>
      </c>
      <c r="AJ75" s="443">
        <f ca="1">_xll.BDH(AJ$5,"PX_LAST",$AE75)</f>
        <v>1.08</v>
      </c>
      <c r="AK75" s="443">
        <f ca="1">_xll.BDH(AK$5,"PX_LAST",$AE75)</f>
        <v>1.44</v>
      </c>
      <c r="AL75" s="444">
        <f t="shared" ca="1" si="10"/>
        <v>0.77</v>
      </c>
      <c r="AM75" s="444">
        <f t="shared" ca="1" si="11"/>
        <v>0.33000000000000007</v>
      </c>
      <c r="AN75" s="444">
        <f t="shared" ca="1" si="12"/>
        <v>0.43999999999999995</v>
      </c>
      <c r="AO75" s="444">
        <f t="shared" ca="1" si="13"/>
        <v>-5.4999999999999938E-2</v>
      </c>
      <c r="AP75" s="444">
        <f t="shared" ca="1" si="16"/>
        <v>0.67999999999999994</v>
      </c>
      <c r="AQ75" s="444">
        <f t="shared" ca="1" si="17"/>
        <v>0.32000000000000006</v>
      </c>
      <c r="AR75" s="444">
        <f t="shared" ca="1" si="18"/>
        <v>0.35999999999999988</v>
      </c>
      <c r="AS75" s="445">
        <f t="shared" ca="1" si="19"/>
        <v>-1.9999999999999907E-2</v>
      </c>
    </row>
    <row r="76" spans="2:46">
      <c r="AE76" s="442">
        <f t="shared" ca="1" si="20"/>
        <v>42572</v>
      </c>
      <c r="AF76" s="443">
        <f ca="1">_xll.BDH(AF$5,"PX_LAST",$AE76)</f>
        <v>3.5300000000000002</v>
      </c>
      <c r="AG76" s="443">
        <f ca="1">_xll.BDH(AG$5,"PX_LAST",$AE76)</f>
        <v>3.8</v>
      </c>
      <c r="AH76" s="443">
        <f ca="1">_xll.BDH(AH$5,"PX_LAST",$AE76)</f>
        <v>4.26</v>
      </c>
      <c r="AI76" s="443">
        <f ca="1">_xll.BDH(AI$5,"PX_LAST",$AE76)</f>
        <v>0.73</v>
      </c>
      <c r="AJ76" s="443">
        <f ca="1">_xll.BDH(AJ$5,"PX_LAST",$AE76)</f>
        <v>1.05</v>
      </c>
      <c r="AK76" s="443">
        <f ca="1">_xll.BDH(AK$5,"PX_LAST",$AE76)</f>
        <v>1.43</v>
      </c>
      <c r="AL76" s="444">
        <f t="shared" ca="1" si="10"/>
        <v>0.72999999999999954</v>
      </c>
      <c r="AM76" s="444">
        <f t="shared" ca="1" si="11"/>
        <v>0.26999999999999957</v>
      </c>
      <c r="AN76" s="444">
        <f t="shared" ca="1" si="12"/>
        <v>0.45999999999999996</v>
      </c>
      <c r="AO76" s="444">
        <f t="shared" ca="1" si="13"/>
        <v>-9.5000000000000195E-2</v>
      </c>
      <c r="AP76" s="444">
        <f t="shared" ca="1" si="16"/>
        <v>0.7</v>
      </c>
      <c r="AQ76" s="444">
        <f t="shared" ca="1" si="17"/>
        <v>0.32000000000000006</v>
      </c>
      <c r="AR76" s="444">
        <f t="shared" ca="1" si="18"/>
        <v>0.37999999999999989</v>
      </c>
      <c r="AS76" s="445">
        <f t="shared" ca="1" si="19"/>
        <v>-2.9999999999999916E-2</v>
      </c>
    </row>
    <row r="77" spans="2:46" s="184" customFormat="1">
      <c r="B77" s="325"/>
      <c r="C77" s="325"/>
      <c r="D77" s="325"/>
      <c r="E77" s="325"/>
      <c r="F77" s="325"/>
      <c r="G77" s="325"/>
      <c r="H77" s="325"/>
      <c r="I77" s="325"/>
      <c r="J77" s="325"/>
      <c r="K77" s="325"/>
      <c r="L77" s="325"/>
      <c r="M77" s="325"/>
      <c r="N77" s="325"/>
      <c r="O77" s="325"/>
      <c r="P77" s="325"/>
      <c r="Q77" s="325"/>
      <c r="R77" s="325"/>
      <c r="S77" s="325"/>
      <c r="T77" s="325"/>
      <c r="U77" s="325"/>
      <c r="V77" s="325"/>
      <c r="W77" s="325"/>
      <c r="X77" s="325"/>
      <c r="Y77" s="325"/>
      <c r="Z77" s="325"/>
      <c r="AA77" s="325"/>
      <c r="AB77" s="325"/>
      <c r="AC77" s="325"/>
      <c r="AE77" s="442">
        <f t="shared" ca="1" si="20"/>
        <v>42571</v>
      </c>
      <c r="AF77" s="443">
        <f ca="1">_xll.BDH(AF$5,"PX_LAST",$AE77)</f>
        <v>3.49</v>
      </c>
      <c r="AG77" s="443">
        <f ca="1">_xll.BDH(AG$5,"PX_LAST",$AE77)</f>
        <v>3.79</v>
      </c>
      <c r="AH77" s="443">
        <f ca="1">_xll.BDH(AH$5,"PX_LAST",$AE77)</f>
        <v>4.21</v>
      </c>
      <c r="AI77" s="443">
        <f ca="1">_xll.BDH(AI$5,"PX_LAST",$AE77)</f>
        <v>0.72</v>
      </c>
      <c r="AJ77" s="443">
        <f ca="1">_xll.BDH(AJ$5,"PX_LAST",$AE77)</f>
        <v>1.05</v>
      </c>
      <c r="AK77" s="443">
        <f ca="1">_xll.BDH(AK$5,"PX_LAST",$AE77)</f>
        <v>1.4</v>
      </c>
      <c r="AL77" s="444">
        <f t="shared" ca="1" si="10"/>
        <v>0.71999999999999975</v>
      </c>
      <c r="AM77" s="444">
        <f t="shared" ca="1" si="11"/>
        <v>0.29999999999999982</v>
      </c>
      <c r="AN77" s="444">
        <f t="shared" ca="1" si="12"/>
        <v>0.41999999999999993</v>
      </c>
      <c r="AO77" s="444">
        <f t="shared" ca="1" si="13"/>
        <v>-6.0000000000000053E-2</v>
      </c>
      <c r="AP77" s="444">
        <f t="shared" ca="1" si="16"/>
        <v>0.67999999999999994</v>
      </c>
      <c r="AQ77" s="444">
        <f t="shared" ca="1" si="17"/>
        <v>0.33000000000000007</v>
      </c>
      <c r="AR77" s="444">
        <f t="shared" ca="1" si="18"/>
        <v>0.34999999999999987</v>
      </c>
      <c r="AS77" s="445">
        <f t="shared" ca="1" si="19"/>
        <v>-9.9999999999998979E-3</v>
      </c>
      <c r="AT77" s="325"/>
    </row>
    <row r="78" spans="2:46">
      <c r="AE78" s="442">
        <f t="shared" ca="1" si="20"/>
        <v>42570</v>
      </c>
      <c r="AF78" s="443">
        <f ca="1">_xll.BDH(AF$5,"PX_LAST",$AE78)</f>
        <v>3.49</v>
      </c>
      <c r="AG78" s="443">
        <f ca="1">_xll.BDH(AG$5,"PX_LAST",$AE78)</f>
        <v>3.79</v>
      </c>
      <c r="AH78" s="443">
        <f ca="1">_xll.BDH(AH$5,"PX_LAST",$AE78)</f>
        <v>4.22</v>
      </c>
      <c r="AI78" s="443">
        <f ca="1">_xll.BDH(AI$5,"PX_LAST",$AE78)</f>
        <v>0.73</v>
      </c>
      <c r="AJ78" s="443">
        <f ca="1">_xll.BDH(AJ$5,"PX_LAST",$AE78)</f>
        <v>1.03</v>
      </c>
      <c r="AK78" s="443">
        <f ca="1">_xll.BDH(AK$5,"PX_LAST",$AE78)</f>
        <v>1.4</v>
      </c>
      <c r="AL78" s="444">
        <f t="shared" ca="1" si="10"/>
        <v>0.72999999999999954</v>
      </c>
      <c r="AM78" s="444">
        <f t="shared" ca="1" si="11"/>
        <v>0.29999999999999982</v>
      </c>
      <c r="AN78" s="444">
        <f t="shared" ca="1" si="12"/>
        <v>0.42999999999999972</v>
      </c>
      <c r="AO78" s="444">
        <f t="shared" ca="1" si="13"/>
        <v>-6.4999999999999947E-2</v>
      </c>
      <c r="AP78" s="444">
        <f t="shared" ca="1" si="16"/>
        <v>0.66999999999999993</v>
      </c>
      <c r="AQ78" s="444">
        <f t="shared" ca="1" si="17"/>
        <v>0.30000000000000004</v>
      </c>
      <c r="AR78" s="444">
        <f t="shared" ca="1" si="18"/>
        <v>0.36999999999999988</v>
      </c>
      <c r="AS78" s="445">
        <f t="shared" ca="1" si="19"/>
        <v>-3.499999999999992E-2</v>
      </c>
    </row>
    <row r="79" spans="2:46">
      <c r="AE79" s="442">
        <f t="shared" ca="1" si="20"/>
        <v>42569</v>
      </c>
      <c r="AF79" s="443">
        <f ca="1">_xll.BDH(AF$5,"PX_LAST",$AE79)</f>
        <v>3.51</v>
      </c>
      <c r="AG79" s="443">
        <f ca="1">_xll.BDH(AG$5,"PX_LAST",$AE79)</f>
        <v>3.82</v>
      </c>
      <c r="AH79" s="443">
        <f ca="1">_xll.BDH(AH$5,"PX_LAST",$AE79)</f>
        <v>4.25</v>
      </c>
      <c r="AI79" s="443">
        <f ca="1">_xll.BDH(AI$5,"PX_LAST",$AE79)</f>
        <v>0.77</v>
      </c>
      <c r="AJ79" s="443">
        <f ca="1">_xll.BDH(AJ$5,"PX_LAST",$AE79)</f>
        <v>1.05</v>
      </c>
      <c r="AK79" s="443">
        <f ca="1">_xll.BDH(AK$5,"PX_LAST",$AE79)</f>
        <v>1.43</v>
      </c>
      <c r="AL79" s="444">
        <f t="shared" ca="1" si="10"/>
        <v>0.74000000000000021</v>
      </c>
      <c r="AM79" s="444">
        <f t="shared" ca="1" si="11"/>
        <v>0.31000000000000005</v>
      </c>
      <c r="AN79" s="444">
        <f t="shared" ca="1" si="12"/>
        <v>0.43000000000000016</v>
      </c>
      <c r="AO79" s="444">
        <f t="shared" ca="1" si="13"/>
        <v>-6.0000000000000053E-2</v>
      </c>
      <c r="AP79" s="444">
        <f t="shared" ca="1" si="16"/>
        <v>0.65999999999999992</v>
      </c>
      <c r="AQ79" s="444">
        <f t="shared" ca="1" si="17"/>
        <v>0.28000000000000003</v>
      </c>
      <c r="AR79" s="444">
        <f t="shared" ca="1" si="18"/>
        <v>0.37999999999999989</v>
      </c>
      <c r="AS79" s="445">
        <f t="shared" ca="1" si="19"/>
        <v>-4.9999999999999933E-2</v>
      </c>
    </row>
    <row r="80" spans="2:46">
      <c r="AE80" s="442">
        <f t="shared" ca="1" si="20"/>
        <v>42566</v>
      </c>
      <c r="AF80" s="443">
        <f ca="1">_xll.BDH(AF$5,"PX_LAST",$AE80)</f>
        <v>3.5</v>
      </c>
      <c r="AG80" s="443">
        <f ca="1">_xll.BDH(AG$5,"PX_LAST",$AE80)</f>
        <v>3.82</v>
      </c>
      <c r="AH80" s="443">
        <f ca="1">_xll.BDH(AH$5,"PX_LAST",$AE80)</f>
        <v>4.24</v>
      </c>
      <c r="AI80" s="443">
        <f ca="1">_xll.BDH(AI$5,"PX_LAST",$AE80)</f>
        <v>0.75</v>
      </c>
      <c r="AJ80" s="443">
        <f ca="1">_xll.BDH(AJ$5,"PX_LAST",$AE80)</f>
        <v>1.04</v>
      </c>
      <c r="AK80" s="443">
        <f ca="1">_xll.BDH(AK$5,"PX_LAST",$AE80)</f>
        <v>1.3599999999999999</v>
      </c>
      <c r="AL80" s="444">
        <f t="shared" ca="1" si="10"/>
        <v>0.74000000000000021</v>
      </c>
      <c r="AM80" s="444">
        <f t="shared" ca="1" si="11"/>
        <v>0.31999999999999984</v>
      </c>
      <c r="AN80" s="444">
        <f t="shared" ca="1" si="12"/>
        <v>0.42000000000000037</v>
      </c>
      <c r="AO80" s="444">
        <f t="shared" ca="1" si="13"/>
        <v>-5.0000000000000266E-2</v>
      </c>
      <c r="AP80" s="444">
        <f t="shared" ca="1" si="16"/>
        <v>0.60999999999999988</v>
      </c>
      <c r="AQ80" s="444">
        <f t="shared" ca="1" si="17"/>
        <v>0.29000000000000004</v>
      </c>
      <c r="AR80" s="444">
        <f t="shared" ca="1" si="18"/>
        <v>0.31999999999999984</v>
      </c>
      <c r="AS80" s="445">
        <f t="shared" ca="1" si="19"/>
        <v>-1.4999999999999902E-2</v>
      </c>
    </row>
    <row r="81" spans="2:45">
      <c r="B81" s="187"/>
      <c r="AE81" s="442">
        <f t="shared" ca="1" si="20"/>
        <v>42565</v>
      </c>
      <c r="AF81" s="443">
        <f ca="1">_xll.BDH(AF$5,"PX_LAST",$AE81)</f>
        <v>3.5</v>
      </c>
      <c r="AG81" s="443">
        <f ca="1">_xll.BDH(AG$5,"PX_LAST",$AE81)</f>
        <v>3.8</v>
      </c>
      <c r="AH81" s="443">
        <f ca="1">_xll.BDH(AH$5,"PX_LAST",$AE81)</f>
        <v>4.24</v>
      </c>
      <c r="AI81" s="443">
        <f ca="1">_xll.BDH(AI$5,"PX_LAST",$AE81)</f>
        <v>0.73</v>
      </c>
      <c r="AJ81" s="443">
        <f ca="1">_xll.BDH(AJ$5,"PX_LAST",$AE81)</f>
        <v>1.02</v>
      </c>
      <c r="AK81" s="443">
        <f ca="1">_xll.BDH(AK$5,"PX_LAST",$AE81)</f>
        <v>1.35</v>
      </c>
      <c r="AL81" s="444">
        <f t="shared" ca="1" si="10"/>
        <v>0.74000000000000021</v>
      </c>
      <c r="AM81" s="444">
        <f t="shared" ca="1" si="11"/>
        <v>0.29999999999999982</v>
      </c>
      <c r="AN81" s="444">
        <f t="shared" ca="1" si="12"/>
        <v>0.44000000000000039</v>
      </c>
      <c r="AO81" s="444">
        <f t="shared" ca="1" si="13"/>
        <v>-7.0000000000000284E-2</v>
      </c>
      <c r="AP81" s="444">
        <f t="shared" ca="1" si="16"/>
        <v>0.62000000000000011</v>
      </c>
      <c r="AQ81" s="444">
        <f t="shared" ca="1" si="17"/>
        <v>0.29000000000000004</v>
      </c>
      <c r="AR81" s="444">
        <f t="shared" ca="1" si="18"/>
        <v>0.33000000000000007</v>
      </c>
      <c r="AS81" s="445">
        <f t="shared" ca="1" si="19"/>
        <v>-2.0000000000000018E-2</v>
      </c>
    </row>
    <row r="82" spans="2:45">
      <c r="AE82" s="442">
        <f t="shared" ca="1" si="20"/>
        <v>42564</v>
      </c>
      <c r="AF82" s="443">
        <f ca="1">_xll.BDH(AF$5,"PX_LAST",$AE82)</f>
        <v>3.54</v>
      </c>
      <c r="AG82" s="443">
        <f ca="1">_xll.BDH(AG$5,"PX_LAST",$AE82)</f>
        <v>3.86</v>
      </c>
      <c r="AH82" s="443">
        <f ca="1">_xll.BDH(AH$5,"PX_LAST",$AE82)</f>
        <v>4.3</v>
      </c>
      <c r="AI82" s="443">
        <f ca="1">_xll.BDH(AI$5,"PX_LAST",$AE82)</f>
        <v>0.76</v>
      </c>
      <c r="AJ82" s="443">
        <f ca="1">_xll.BDH(AJ$5,"PX_LAST",$AE82)</f>
        <v>1.05</v>
      </c>
      <c r="AK82" s="443">
        <f ca="1">_xll.BDH(AK$5,"PX_LAST",$AE82)</f>
        <v>1.3900000000000001</v>
      </c>
      <c r="AL82" s="444">
        <f t="shared" ca="1" si="10"/>
        <v>0.75999999999999979</v>
      </c>
      <c r="AM82" s="444">
        <f t="shared" ca="1" si="11"/>
        <v>0.31999999999999984</v>
      </c>
      <c r="AN82" s="444">
        <f t="shared" ca="1" si="12"/>
        <v>0.43999999999999995</v>
      </c>
      <c r="AO82" s="444">
        <f t="shared" ca="1" si="13"/>
        <v>-6.0000000000000053E-2</v>
      </c>
      <c r="AP82" s="444">
        <f t="shared" ca="1" si="16"/>
        <v>0.63000000000000012</v>
      </c>
      <c r="AQ82" s="444">
        <f t="shared" ca="1" si="17"/>
        <v>0.29000000000000004</v>
      </c>
      <c r="AR82" s="444">
        <f t="shared" ca="1" si="18"/>
        <v>0.34000000000000008</v>
      </c>
      <c r="AS82" s="445">
        <f t="shared" ca="1" si="19"/>
        <v>-2.5000000000000022E-2</v>
      </c>
    </row>
    <row r="83" spans="2:45">
      <c r="AE83" s="442">
        <f t="shared" ca="1" si="20"/>
        <v>42563</v>
      </c>
      <c r="AF83" s="443">
        <f ca="1">_xll.BDH(AF$5,"PX_LAST",$AE83)</f>
        <v>3.54</v>
      </c>
      <c r="AG83" s="443">
        <f ca="1">_xll.BDH(AG$5,"PX_LAST",$AE83)</f>
        <v>3.85</v>
      </c>
      <c r="AH83" s="443">
        <f ca="1">_xll.BDH(AH$5,"PX_LAST",$AE83)</f>
        <v>4.2699999999999996</v>
      </c>
      <c r="AI83" s="443">
        <f ca="1">_xll.BDH(AI$5,"PX_LAST",$AE83)</f>
        <v>0.74</v>
      </c>
      <c r="AJ83" s="443">
        <f ca="1">_xll.BDH(AJ$5,"PX_LAST",$AE83)</f>
        <v>1.04</v>
      </c>
      <c r="AK83" s="443">
        <f ca="1">_xll.BDH(AK$5,"PX_LAST",$AE83)</f>
        <v>1.3599999999999999</v>
      </c>
      <c r="AL83" s="444">
        <f t="shared" ca="1" si="10"/>
        <v>0.72999999999999954</v>
      </c>
      <c r="AM83" s="444">
        <f t="shared" ca="1" si="11"/>
        <v>0.31000000000000005</v>
      </c>
      <c r="AN83" s="444">
        <f t="shared" ca="1" si="12"/>
        <v>0.41999999999999948</v>
      </c>
      <c r="AO83" s="444">
        <f t="shared" ca="1" si="13"/>
        <v>-5.4999999999999716E-2</v>
      </c>
      <c r="AP83" s="444">
        <f t="shared" ca="1" si="16"/>
        <v>0.61999999999999988</v>
      </c>
      <c r="AQ83" s="444">
        <f t="shared" ca="1" si="17"/>
        <v>0.30000000000000004</v>
      </c>
      <c r="AR83" s="444">
        <f t="shared" ca="1" si="18"/>
        <v>0.31999999999999984</v>
      </c>
      <c r="AS83" s="445">
        <f t="shared" ca="1" si="19"/>
        <v>-9.9999999999998979E-3</v>
      </c>
    </row>
    <row r="84" spans="2:45">
      <c r="AE84" s="442">
        <f t="shared" ca="1" si="20"/>
        <v>42562</v>
      </c>
      <c r="AF84" s="443">
        <f ca="1">_xll.BDH(AF$5,"PX_LAST",$AE84)</f>
        <v>3.56</v>
      </c>
      <c r="AG84" s="443">
        <f ca="1">_xll.BDH(AG$5,"PX_LAST",$AE84)</f>
        <v>3.85</v>
      </c>
      <c r="AH84" s="443">
        <f ca="1">_xll.BDH(AH$5,"PX_LAST",$AE84)</f>
        <v>4.3</v>
      </c>
      <c r="AI84" s="443">
        <f ca="1">_xll.BDH(AI$5,"PX_LAST",$AE84)</f>
        <v>0.74</v>
      </c>
      <c r="AJ84" s="443">
        <f ca="1">_xll.BDH(AJ$5,"PX_LAST",$AE84)</f>
        <v>1.05</v>
      </c>
      <c r="AK84" s="443">
        <f ca="1">_xll.BDH(AK$5,"PX_LAST",$AE84)</f>
        <v>1.35</v>
      </c>
      <c r="AL84" s="444">
        <f t="shared" ca="1" si="10"/>
        <v>0.73999999999999977</v>
      </c>
      <c r="AM84" s="444">
        <f t="shared" ca="1" si="11"/>
        <v>0.29000000000000004</v>
      </c>
      <c r="AN84" s="444">
        <f t="shared" ca="1" si="12"/>
        <v>0.44999999999999973</v>
      </c>
      <c r="AO84" s="444">
        <f t="shared" ca="1" si="13"/>
        <v>-7.9999999999999849E-2</v>
      </c>
      <c r="AP84" s="444">
        <f t="shared" ca="1" si="16"/>
        <v>0.6100000000000001</v>
      </c>
      <c r="AQ84" s="444">
        <f t="shared" ca="1" si="17"/>
        <v>0.31000000000000005</v>
      </c>
      <c r="AR84" s="444">
        <f t="shared" ca="1" si="18"/>
        <v>0.30000000000000004</v>
      </c>
      <c r="AS84" s="445">
        <f t="shared" ca="1" si="19"/>
        <v>5.0000000000000044E-3</v>
      </c>
    </row>
    <row r="85" spans="2:45">
      <c r="AE85" s="442">
        <f t="shared" ca="1" si="20"/>
        <v>42559</v>
      </c>
      <c r="AF85" s="443">
        <f ca="1">_xll.BDH(AF$5,"PX_LAST",$AE85)</f>
        <v>3.56</v>
      </c>
      <c r="AG85" s="443">
        <f ca="1">_xll.BDH(AG$5,"PX_LAST",$AE85)</f>
        <v>3.84</v>
      </c>
      <c r="AH85" s="443">
        <f ca="1">_xll.BDH(AH$5,"PX_LAST",$AE85)</f>
        <v>4.29</v>
      </c>
      <c r="AI85" s="443">
        <f ca="1">_xll.BDH(AI$5,"PX_LAST",$AE85)</f>
        <v>0.72</v>
      </c>
      <c r="AJ85" s="443">
        <f ca="1">_xll.BDH(AJ$5,"PX_LAST",$AE85)</f>
        <v>1.04</v>
      </c>
      <c r="AK85" s="443">
        <f ca="1">_xll.BDH(AK$5,"PX_LAST",$AE85)</f>
        <v>1.34</v>
      </c>
      <c r="AL85" s="444">
        <f t="shared" ca="1" si="10"/>
        <v>0.73</v>
      </c>
      <c r="AM85" s="444">
        <f t="shared" ca="1" si="11"/>
        <v>0.2799999999999998</v>
      </c>
      <c r="AN85" s="444">
        <f t="shared" ca="1" si="12"/>
        <v>0.45000000000000018</v>
      </c>
      <c r="AO85" s="444">
        <f t="shared" ca="1" si="13"/>
        <v>-8.5000000000000187E-2</v>
      </c>
      <c r="AP85" s="444">
        <f t="shared" ca="1" si="16"/>
        <v>0.62000000000000011</v>
      </c>
      <c r="AQ85" s="444">
        <f t="shared" ca="1" si="17"/>
        <v>0.32000000000000006</v>
      </c>
      <c r="AR85" s="444">
        <f t="shared" ca="1" si="18"/>
        <v>0.30000000000000004</v>
      </c>
      <c r="AS85" s="445">
        <f t="shared" ca="1" si="19"/>
        <v>1.0000000000000009E-2</v>
      </c>
    </row>
    <row r="86" spans="2:45">
      <c r="AE86" s="442">
        <f t="shared" ca="1" si="20"/>
        <v>42558</v>
      </c>
      <c r="AF86" s="443">
        <f ca="1">_xll.BDH(AF$5,"PX_LAST",$AE86)</f>
        <v>3.58</v>
      </c>
      <c r="AG86" s="443">
        <f ca="1">_xll.BDH(AG$5,"PX_LAST",$AE86)</f>
        <v>3.85</v>
      </c>
      <c r="AH86" s="443">
        <f ca="1">_xll.BDH(AH$5,"PX_LAST",$AE86)</f>
        <v>4.3099999999999996</v>
      </c>
      <c r="AI86" s="443">
        <f ca="1">_xll.BDH(AI$5,"PX_LAST",$AE86)</f>
        <v>0.72</v>
      </c>
      <c r="AJ86" s="443">
        <f ca="1">_xll.BDH(AJ$5,"PX_LAST",$AE86)</f>
        <v>1.06</v>
      </c>
      <c r="AK86" s="443">
        <f ca="1">_xll.BDH(AK$5,"PX_LAST",$AE86)</f>
        <v>1.35</v>
      </c>
      <c r="AL86" s="444">
        <f t="shared" ref="AL86:AL149" ca="1" si="22">IFERROR(AH86-AF86,AL85)</f>
        <v>0.72999999999999954</v>
      </c>
      <c r="AM86" s="444">
        <f t="shared" ref="AM86:AM149" ca="1" si="23">IFERROR(AG86-AF86,AM85)</f>
        <v>0.27</v>
      </c>
      <c r="AN86" s="444">
        <f t="shared" ref="AN86:AN149" ca="1" si="24">IFERROR(AH86-AG86,AN85)</f>
        <v>0.45999999999999952</v>
      </c>
      <c r="AO86" s="444">
        <f t="shared" ref="AO86:AO149" ca="1" si="25">(AM86-AN86)/2</f>
        <v>-9.4999999999999751E-2</v>
      </c>
      <c r="AP86" s="444">
        <f t="shared" ca="1" si="16"/>
        <v>0.63000000000000012</v>
      </c>
      <c r="AQ86" s="444">
        <f t="shared" ca="1" si="17"/>
        <v>0.34000000000000008</v>
      </c>
      <c r="AR86" s="444">
        <f t="shared" ca="1" si="18"/>
        <v>0.29000000000000004</v>
      </c>
      <c r="AS86" s="445">
        <f t="shared" ca="1" si="19"/>
        <v>2.5000000000000022E-2</v>
      </c>
    </row>
    <row r="87" spans="2:45">
      <c r="AE87" s="442">
        <f t="shared" ca="1" si="20"/>
        <v>42557</v>
      </c>
      <c r="AF87" s="443">
        <f ca="1">_xll.BDH(AF$5,"PX_LAST",$AE87)</f>
        <v>3.56</v>
      </c>
      <c r="AG87" s="443">
        <f ca="1">_xll.BDH(AG$5,"PX_LAST",$AE87)</f>
        <v>3.86</v>
      </c>
      <c r="AH87" s="443">
        <f ca="1">_xll.BDH(AH$5,"PX_LAST",$AE87)</f>
        <v>4.3</v>
      </c>
      <c r="AI87" s="443">
        <f ca="1">_xll.BDH(AI$5,"PX_LAST",$AE87)</f>
        <v>0.69</v>
      </c>
      <c r="AJ87" s="443">
        <f ca="1">_xll.BDH(AJ$5,"PX_LAST",$AE87)</f>
        <v>1.03</v>
      </c>
      <c r="AK87" s="443">
        <f ca="1">_xll.BDH(AK$5,"PX_LAST",$AE87)</f>
        <v>1.34</v>
      </c>
      <c r="AL87" s="444">
        <f t="shared" ca="1" si="22"/>
        <v>0.73999999999999977</v>
      </c>
      <c r="AM87" s="444">
        <f t="shared" ca="1" si="23"/>
        <v>0.29999999999999982</v>
      </c>
      <c r="AN87" s="444">
        <f t="shared" ca="1" si="24"/>
        <v>0.43999999999999995</v>
      </c>
      <c r="AO87" s="444">
        <f t="shared" ca="1" si="25"/>
        <v>-7.0000000000000062E-2</v>
      </c>
      <c r="AP87" s="444">
        <f t="shared" ca="1" si="16"/>
        <v>0.65000000000000013</v>
      </c>
      <c r="AQ87" s="444">
        <f t="shared" ca="1" si="17"/>
        <v>0.34000000000000008</v>
      </c>
      <c r="AR87" s="444">
        <f t="shared" ca="1" si="18"/>
        <v>0.31000000000000005</v>
      </c>
      <c r="AS87" s="445">
        <f t="shared" ca="1" si="19"/>
        <v>1.5000000000000013E-2</v>
      </c>
    </row>
    <row r="88" spans="2:45">
      <c r="AE88" s="442">
        <f t="shared" ca="1" si="20"/>
        <v>42556</v>
      </c>
      <c r="AF88" s="443">
        <f ca="1">_xll.BDH(AF$5,"PX_LAST",$AE88)</f>
        <v>3.55</v>
      </c>
      <c r="AG88" s="443">
        <f ca="1">_xll.BDH(AG$5,"PX_LAST",$AE88)</f>
        <v>3.83</v>
      </c>
      <c r="AH88" s="443">
        <f ca="1">_xll.BDH(AH$5,"PX_LAST",$AE88)</f>
        <v>4.28</v>
      </c>
      <c r="AI88" s="443">
        <f ca="1">_xll.BDH(AI$5,"PX_LAST",$AE88)</f>
        <v>0.69</v>
      </c>
      <c r="AJ88" s="443">
        <f ca="1">_xll.BDH(AJ$5,"PX_LAST",$AE88)</f>
        <v>1.03</v>
      </c>
      <c r="AK88" s="443">
        <f ca="1">_xll.BDH(AK$5,"PX_LAST",$AE88)</f>
        <v>1.35</v>
      </c>
      <c r="AL88" s="444">
        <f t="shared" ca="1" si="22"/>
        <v>0.73000000000000043</v>
      </c>
      <c r="AM88" s="444">
        <f t="shared" ca="1" si="23"/>
        <v>0.28000000000000025</v>
      </c>
      <c r="AN88" s="444">
        <f t="shared" ca="1" si="24"/>
        <v>0.45000000000000018</v>
      </c>
      <c r="AO88" s="444">
        <f t="shared" ca="1" si="25"/>
        <v>-8.4999999999999964E-2</v>
      </c>
      <c r="AP88" s="444">
        <f t="shared" ca="1" si="16"/>
        <v>0.66000000000000014</v>
      </c>
      <c r="AQ88" s="444">
        <f t="shared" ca="1" si="17"/>
        <v>0.34000000000000008</v>
      </c>
      <c r="AR88" s="444">
        <f t="shared" ca="1" si="18"/>
        <v>0.32000000000000006</v>
      </c>
      <c r="AS88" s="445">
        <f t="shared" ca="1" si="19"/>
        <v>1.0000000000000009E-2</v>
      </c>
    </row>
    <row r="89" spans="2:45">
      <c r="AE89" s="442">
        <f t="shared" ca="1" si="20"/>
        <v>42555</v>
      </c>
      <c r="AF89" s="443">
        <f ca="1">_xll.BDH(AF$5,"PX_LAST",$AE89)</f>
        <v>3.52</v>
      </c>
      <c r="AG89" s="443">
        <f ca="1">_xll.BDH(AG$5,"PX_LAST",$AE89)</f>
        <v>3.81</v>
      </c>
      <c r="AH89" s="443">
        <f ca="1">_xll.BDH(AH$5,"PX_LAST",$AE89)</f>
        <v>4.29</v>
      </c>
      <c r="AI89" s="443">
        <f ca="1">_xll.BDH(AI$5,"PX_LAST",$AE89)</f>
        <v>0.68</v>
      </c>
      <c r="AJ89" s="443">
        <f ca="1">_xll.BDH(AJ$5,"PX_LAST",$AE89)</f>
        <v>1.02</v>
      </c>
      <c r="AK89" s="443">
        <f ca="1">_xll.BDH(AK$5,"PX_LAST",$AE89)</f>
        <v>1.35</v>
      </c>
      <c r="AL89" s="444">
        <f t="shared" ca="1" si="22"/>
        <v>0.77</v>
      </c>
      <c r="AM89" s="444">
        <f t="shared" ca="1" si="23"/>
        <v>0.29000000000000004</v>
      </c>
      <c r="AN89" s="444">
        <f t="shared" ca="1" si="24"/>
        <v>0.48</v>
      </c>
      <c r="AO89" s="444">
        <f t="shared" ca="1" si="25"/>
        <v>-9.4999999999999973E-2</v>
      </c>
      <c r="AP89" s="444">
        <f t="shared" ca="1" si="16"/>
        <v>0.67</v>
      </c>
      <c r="AQ89" s="444">
        <f t="shared" ca="1" si="17"/>
        <v>0.33999999999999997</v>
      </c>
      <c r="AR89" s="444">
        <f t="shared" ca="1" si="18"/>
        <v>0.33000000000000007</v>
      </c>
      <c r="AS89" s="445">
        <f t="shared" ca="1" si="19"/>
        <v>4.9999999999999489E-3</v>
      </c>
    </row>
    <row r="90" spans="2:45">
      <c r="AE90" s="442">
        <f t="shared" ca="1" si="20"/>
        <v>42552</v>
      </c>
      <c r="AF90" s="443">
        <f ca="1">_xll.BDH(AF$5,"PX_LAST",$AE90)</f>
        <v>3.56</v>
      </c>
      <c r="AG90" s="443">
        <f ca="1">_xll.BDH(AG$5,"PX_LAST",$AE90)</f>
        <v>3.87</v>
      </c>
      <c r="AH90" s="443">
        <f ca="1">_xll.BDH(AH$5,"PX_LAST",$AE90)</f>
        <v>4.3099999999999996</v>
      </c>
      <c r="AI90" s="443">
        <f ca="1">_xll.BDH(AI$5,"PX_LAST",$AE90)</f>
        <v>0.72</v>
      </c>
      <c r="AJ90" s="443">
        <f ca="1">_xll.BDH(AJ$5,"PX_LAST",$AE90)</f>
        <v>1.06</v>
      </c>
      <c r="AK90" s="443">
        <f ca="1">_xll.BDH(AK$5,"PX_LAST",$AE90)</f>
        <v>1.4</v>
      </c>
      <c r="AL90" s="444">
        <f t="shared" ca="1" si="22"/>
        <v>0.74999999999999956</v>
      </c>
      <c r="AM90" s="444">
        <f t="shared" ca="1" si="23"/>
        <v>0.31000000000000005</v>
      </c>
      <c r="AN90" s="444">
        <f t="shared" ca="1" si="24"/>
        <v>0.4399999999999995</v>
      </c>
      <c r="AO90" s="444">
        <f t="shared" ca="1" si="25"/>
        <v>-6.4999999999999725E-2</v>
      </c>
      <c r="AP90" s="444">
        <f t="shared" ca="1" si="16"/>
        <v>0.67999999999999994</v>
      </c>
      <c r="AQ90" s="444">
        <f t="shared" ca="1" si="17"/>
        <v>0.34000000000000008</v>
      </c>
      <c r="AR90" s="444">
        <f t="shared" ca="1" si="18"/>
        <v>0.33999999999999986</v>
      </c>
      <c r="AS90" s="445">
        <f t="shared" ca="1" si="19"/>
        <v>1.1102230246251565E-16</v>
      </c>
    </row>
    <row r="91" spans="2:45">
      <c r="AE91" s="442">
        <f t="shared" ca="1" si="20"/>
        <v>42551</v>
      </c>
      <c r="AF91" s="443">
        <f ca="1">_xll.BDH(AF$5,"PX_LAST",$AE91)</f>
        <v>3.57</v>
      </c>
      <c r="AG91" s="443">
        <f ca="1">_xll.BDH(AG$5,"PX_LAST",$AE91)</f>
        <v>3.89</v>
      </c>
      <c r="AH91" s="443">
        <f ca="1">_xll.BDH(AH$5,"PX_LAST",$AE91)</f>
        <v>4.34</v>
      </c>
      <c r="AI91" s="443">
        <f ca="1">_xll.BDH(AI$5,"PX_LAST",$AE91)</f>
        <v>0.72</v>
      </c>
      <c r="AJ91" s="443">
        <f ca="1">_xll.BDH(AJ$5,"PX_LAST",$AE91)</f>
        <v>1.05</v>
      </c>
      <c r="AK91" s="443">
        <f ca="1">_xll.BDH(AK$5,"PX_LAST",$AE91)</f>
        <v>1.42</v>
      </c>
      <c r="AL91" s="444">
        <f t="shared" ca="1" si="22"/>
        <v>0.77</v>
      </c>
      <c r="AM91" s="444">
        <f t="shared" ca="1" si="23"/>
        <v>0.32000000000000028</v>
      </c>
      <c r="AN91" s="444">
        <f t="shared" ca="1" si="24"/>
        <v>0.44999999999999973</v>
      </c>
      <c r="AO91" s="444">
        <f t="shared" ca="1" si="25"/>
        <v>-6.4999999999999725E-2</v>
      </c>
      <c r="AP91" s="444">
        <f t="shared" ca="1" si="16"/>
        <v>0.7</v>
      </c>
      <c r="AQ91" s="444">
        <f t="shared" ca="1" si="17"/>
        <v>0.33000000000000007</v>
      </c>
      <c r="AR91" s="444">
        <f t="shared" ca="1" si="18"/>
        <v>0.36999999999999988</v>
      </c>
      <c r="AS91" s="445">
        <f t="shared" ca="1" si="19"/>
        <v>-1.9999999999999907E-2</v>
      </c>
    </row>
    <row r="92" spans="2:45">
      <c r="AE92" s="442">
        <f t="shared" ca="1" si="20"/>
        <v>42550</v>
      </c>
      <c r="AF92" s="443">
        <f ca="1">_xll.BDH(AF$5,"PX_LAST",$AE92)</f>
        <v>3.59</v>
      </c>
      <c r="AG92" s="443">
        <f ca="1">_xll.BDH(AG$5,"PX_LAST",$AE92)</f>
        <v>3.94</v>
      </c>
      <c r="AH92" s="443">
        <f ca="1">_xll.BDH(AH$5,"PX_LAST",$AE92)</f>
        <v>4.38</v>
      </c>
      <c r="AI92" s="443">
        <f ca="1">_xll.BDH(AI$5,"PX_LAST",$AE92)</f>
        <v>0.72</v>
      </c>
      <c r="AJ92" s="443">
        <f ca="1">_xll.BDH(AJ$5,"PX_LAST",$AE92)</f>
        <v>1.07</v>
      </c>
      <c r="AK92" s="443">
        <f ca="1">_xll.BDH(AK$5,"PX_LAST",$AE92)</f>
        <v>1.44</v>
      </c>
      <c r="AL92" s="444">
        <f t="shared" ca="1" si="22"/>
        <v>0.79</v>
      </c>
      <c r="AM92" s="444">
        <f t="shared" ca="1" si="23"/>
        <v>0.35000000000000009</v>
      </c>
      <c r="AN92" s="444">
        <f t="shared" ca="1" si="24"/>
        <v>0.43999999999999995</v>
      </c>
      <c r="AO92" s="444">
        <f t="shared" ca="1" si="25"/>
        <v>-4.4999999999999929E-2</v>
      </c>
      <c r="AP92" s="444">
        <f t="shared" ca="1" si="16"/>
        <v>0.72</v>
      </c>
      <c r="AQ92" s="444">
        <f t="shared" ca="1" si="17"/>
        <v>0.35000000000000009</v>
      </c>
      <c r="AR92" s="444">
        <f t="shared" ca="1" si="18"/>
        <v>0.36999999999999988</v>
      </c>
      <c r="AS92" s="445">
        <f t="shared" ca="1" si="19"/>
        <v>-9.9999999999998979E-3</v>
      </c>
    </row>
    <row r="93" spans="2:45">
      <c r="AE93" s="442">
        <f t="shared" ca="1" si="20"/>
        <v>42549</v>
      </c>
      <c r="AF93" s="443">
        <f ca="1">_xll.BDH(AF$5,"PX_LAST",$AE93)</f>
        <v>3.61</v>
      </c>
      <c r="AG93" s="443">
        <f ca="1">_xll.BDH(AG$5,"PX_LAST",$AE93)</f>
        <v>3.94</v>
      </c>
      <c r="AH93" s="443">
        <f ca="1">_xll.BDH(AH$5,"PX_LAST",$AE93)</f>
        <v>4.41</v>
      </c>
      <c r="AI93" s="443">
        <f ca="1">_xll.BDH(AI$5,"PX_LAST",$AE93)</f>
        <v>0.7</v>
      </c>
      <c r="AJ93" s="443">
        <f ca="1">_xll.BDH(AJ$5,"PX_LAST",$AE93)</f>
        <v>1.07</v>
      </c>
      <c r="AK93" s="443">
        <f ca="1">_xll.BDH(AK$5,"PX_LAST",$AE93)</f>
        <v>1.45</v>
      </c>
      <c r="AL93" s="444">
        <f t="shared" ca="1" si="22"/>
        <v>0.80000000000000027</v>
      </c>
      <c r="AM93" s="444">
        <f t="shared" ca="1" si="23"/>
        <v>0.33000000000000007</v>
      </c>
      <c r="AN93" s="444">
        <f t="shared" ca="1" si="24"/>
        <v>0.4700000000000002</v>
      </c>
      <c r="AO93" s="444">
        <f t="shared" ca="1" si="25"/>
        <v>-7.0000000000000062E-2</v>
      </c>
      <c r="AP93" s="444">
        <f t="shared" ca="1" si="16"/>
        <v>0.75</v>
      </c>
      <c r="AQ93" s="444">
        <f t="shared" ca="1" si="17"/>
        <v>0.37000000000000011</v>
      </c>
      <c r="AR93" s="444">
        <f t="shared" ca="1" si="18"/>
        <v>0.37999999999999989</v>
      </c>
      <c r="AS93" s="445">
        <f t="shared" ca="1" si="19"/>
        <v>-4.9999999999998934E-3</v>
      </c>
    </row>
    <row r="94" spans="2:45">
      <c r="AE94" s="442">
        <f t="shared" ca="1" si="20"/>
        <v>42548</v>
      </c>
      <c r="AF94" s="443">
        <f ca="1">_xll.BDH(AF$5,"PX_LAST",$AE94)</f>
        <v>3.66</v>
      </c>
      <c r="AG94" s="443">
        <f ca="1">_xll.BDH(AG$5,"PX_LAST",$AE94)</f>
        <v>4.0199999999999996</v>
      </c>
      <c r="AH94" s="443">
        <f ca="1">_xll.BDH(AH$5,"PX_LAST",$AE94)</f>
        <v>4.47</v>
      </c>
      <c r="AI94" s="443" t="str">
        <f ca="1">_xll.BDH(AI$5,"PX_LAST",$AE94)</f>
        <v>#N/A N/A</v>
      </c>
      <c r="AJ94" s="443" t="str">
        <f ca="1">_xll.BDH(AJ$5,"PX_LAST",$AE94)</f>
        <v>#N/A N/A</v>
      </c>
      <c r="AK94" s="443" t="str">
        <f ca="1">_xll.BDH(AK$5,"PX_LAST",$AE94)</f>
        <v>#N/A N/A</v>
      </c>
      <c r="AL94" s="444">
        <f t="shared" ca="1" si="22"/>
        <v>0.80999999999999961</v>
      </c>
      <c r="AM94" s="444">
        <f t="shared" ca="1" si="23"/>
        <v>0.35999999999999943</v>
      </c>
      <c r="AN94" s="444">
        <f t="shared" ca="1" si="24"/>
        <v>0.45000000000000018</v>
      </c>
      <c r="AO94" s="444">
        <f t="shared" ca="1" si="25"/>
        <v>-4.5000000000000373E-2</v>
      </c>
      <c r="AP94" s="444">
        <f t="shared" ca="1" si="16"/>
        <v>0.75</v>
      </c>
      <c r="AQ94" s="444">
        <f t="shared" ca="1" si="17"/>
        <v>0.37000000000000011</v>
      </c>
      <c r="AR94" s="444">
        <f t="shared" ca="1" si="18"/>
        <v>0.37999999999999989</v>
      </c>
      <c r="AS94" s="445">
        <f t="shared" ca="1" si="19"/>
        <v>-4.9999999999998934E-3</v>
      </c>
    </row>
    <row r="95" spans="2:45">
      <c r="AE95" s="442">
        <f t="shared" ca="1" si="20"/>
        <v>42545</v>
      </c>
      <c r="AF95" s="443">
        <f ca="1">_xll.BDH(AF$5,"PX_LAST",$AE95)</f>
        <v>3.65</v>
      </c>
      <c r="AG95" s="443">
        <f ca="1">_xll.BDH(AG$5,"PX_LAST",$AE95)</f>
        <v>4.0199999999999996</v>
      </c>
      <c r="AH95" s="443">
        <f ca="1">_xll.BDH(AH$5,"PX_LAST",$AE95)</f>
        <v>4.47</v>
      </c>
      <c r="AI95" s="443">
        <f ca="1">_xll.BDH(AI$5,"PX_LAST",$AE95)</f>
        <v>0.71</v>
      </c>
      <c r="AJ95" s="443">
        <f ca="1">_xll.BDH(AJ$5,"PX_LAST",$AE95)</f>
        <v>1.1299999999999999</v>
      </c>
      <c r="AK95" s="443">
        <f ca="1">_xll.BDH(AK$5,"PX_LAST",$AE95)</f>
        <v>1.5</v>
      </c>
      <c r="AL95" s="444">
        <f t="shared" ca="1" si="22"/>
        <v>0.81999999999999984</v>
      </c>
      <c r="AM95" s="444">
        <f t="shared" ca="1" si="23"/>
        <v>0.36999999999999966</v>
      </c>
      <c r="AN95" s="444">
        <f t="shared" ca="1" si="24"/>
        <v>0.45000000000000018</v>
      </c>
      <c r="AO95" s="444">
        <f t="shared" ca="1" si="25"/>
        <v>-4.0000000000000258E-2</v>
      </c>
      <c r="AP95" s="444">
        <f t="shared" ca="1" si="16"/>
        <v>0.79</v>
      </c>
      <c r="AQ95" s="444">
        <f t="shared" ca="1" si="17"/>
        <v>0.41999999999999993</v>
      </c>
      <c r="AR95" s="444">
        <f t="shared" ca="1" si="18"/>
        <v>0.37000000000000011</v>
      </c>
      <c r="AS95" s="445">
        <f t="shared" ca="1" si="19"/>
        <v>2.4999999999999911E-2</v>
      </c>
    </row>
    <row r="96" spans="2:45">
      <c r="AE96" s="442">
        <f t="shared" ca="1" si="20"/>
        <v>42544</v>
      </c>
      <c r="AF96" s="443">
        <f ca="1">_xll.BDH(AF$5,"PX_LAST",$AE96)</f>
        <v>3.68</v>
      </c>
      <c r="AG96" s="443">
        <f ca="1">_xll.BDH(AG$5,"PX_LAST",$AE96)</f>
        <v>4.05</v>
      </c>
      <c r="AH96" s="443">
        <f ca="1">_xll.BDH(AH$5,"PX_LAST",$AE96)</f>
        <v>4.51</v>
      </c>
      <c r="AI96" s="443">
        <f ca="1">_xll.BDH(AI$5,"PX_LAST",$AE96)</f>
        <v>0.73</v>
      </c>
      <c r="AJ96" s="443">
        <f ca="1">_xll.BDH(AJ$5,"PX_LAST",$AE96)</f>
        <v>1.1400000000000001</v>
      </c>
      <c r="AK96" s="443">
        <f ca="1">_xll.BDH(AK$5,"PX_LAST",$AE96)</f>
        <v>1.52</v>
      </c>
      <c r="AL96" s="444">
        <f t="shared" ca="1" si="22"/>
        <v>0.82999999999999963</v>
      </c>
      <c r="AM96" s="444">
        <f t="shared" ca="1" si="23"/>
        <v>0.36999999999999966</v>
      </c>
      <c r="AN96" s="444">
        <f t="shared" ca="1" si="24"/>
        <v>0.45999999999999996</v>
      </c>
      <c r="AO96" s="444">
        <f t="shared" ca="1" si="25"/>
        <v>-4.5000000000000151E-2</v>
      </c>
      <c r="AP96" s="444">
        <f t="shared" ca="1" si="16"/>
        <v>0.79</v>
      </c>
      <c r="AQ96" s="444">
        <f t="shared" ca="1" si="17"/>
        <v>0.41000000000000014</v>
      </c>
      <c r="AR96" s="444">
        <f t="shared" ca="1" si="18"/>
        <v>0.37999999999999989</v>
      </c>
      <c r="AS96" s="445">
        <f t="shared" ca="1" si="19"/>
        <v>1.5000000000000124E-2</v>
      </c>
    </row>
    <row r="97" spans="31:45">
      <c r="AE97" s="442">
        <f t="shared" ca="1" si="20"/>
        <v>42543</v>
      </c>
      <c r="AF97" s="443">
        <f ca="1">_xll.BDH(AF$5,"PX_LAST",$AE97)</f>
        <v>3.65</v>
      </c>
      <c r="AG97" s="443">
        <f ca="1">_xll.BDH(AG$5,"PX_LAST",$AE97)</f>
        <v>4.04</v>
      </c>
      <c r="AH97" s="443">
        <f ca="1">_xll.BDH(AH$5,"PX_LAST",$AE97)</f>
        <v>4.5</v>
      </c>
      <c r="AI97" s="443">
        <f ca="1">_xll.BDH(AI$5,"PX_LAST",$AE97)</f>
        <v>0.7</v>
      </c>
      <c r="AJ97" s="443">
        <f ca="1">_xll.BDH(AJ$5,"PX_LAST",$AE97)</f>
        <v>1.1200000000000001</v>
      </c>
      <c r="AK97" s="443">
        <f ca="1">_xll.BDH(AK$5,"PX_LAST",$AE97)</f>
        <v>1.53</v>
      </c>
      <c r="AL97" s="444">
        <f t="shared" ca="1" si="22"/>
        <v>0.85000000000000009</v>
      </c>
      <c r="AM97" s="444">
        <f t="shared" ca="1" si="23"/>
        <v>0.39000000000000012</v>
      </c>
      <c r="AN97" s="444">
        <f t="shared" ca="1" si="24"/>
        <v>0.45999999999999996</v>
      </c>
      <c r="AO97" s="444">
        <f t="shared" ca="1" si="25"/>
        <v>-3.499999999999992E-2</v>
      </c>
      <c r="AP97" s="444">
        <f t="shared" ca="1" si="16"/>
        <v>0.83000000000000007</v>
      </c>
      <c r="AQ97" s="444">
        <f t="shared" ca="1" si="17"/>
        <v>0.42000000000000015</v>
      </c>
      <c r="AR97" s="444">
        <f t="shared" ca="1" si="18"/>
        <v>0.40999999999999992</v>
      </c>
      <c r="AS97" s="445">
        <f t="shared" ca="1" si="19"/>
        <v>5.0000000000001155E-3</v>
      </c>
    </row>
    <row r="98" spans="31:45">
      <c r="AE98" s="442">
        <f t="shared" ca="1" si="20"/>
        <v>42542</v>
      </c>
      <c r="AF98" s="443">
        <f ca="1">_xll.BDH(AF$5,"PX_LAST",$AE98)</f>
        <v>3.68</v>
      </c>
      <c r="AG98" s="443">
        <f ca="1">_xll.BDH(AG$5,"PX_LAST",$AE98)</f>
        <v>4.05</v>
      </c>
      <c r="AH98" s="443">
        <f ca="1">_xll.BDH(AH$5,"PX_LAST",$AE98)</f>
        <v>4.51</v>
      </c>
      <c r="AI98" s="443">
        <f ca="1">_xll.BDH(AI$5,"PX_LAST",$AE98)</f>
        <v>0.7</v>
      </c>
      <c r="AJ98" s="443">
        <f ca="1">_xll.BDH(AJ$5,"PX_LAST",$AE98)</f>
        <v>1.1299999999999999</v>
      </c>
      <c r="AK98" s="443">
        <f ca="1">_xll.BDH(AK$5,"PX_LAST",$AE98)</f>
        <v>1.54</v>
      </c>
      <c r="AL98" s="444">
        <f t="shared" ca="1" si="22"/>
        <v>0.82999999999999963</v>
      </c>
      <c r="AM98" s="444">
        <f t="shared" ca="1" si="23"/>
        <v>0.36999999999999966</v>
      </c>
      <c r="AN98" s="444">
        <f t="shared" ca="1" si="24"/>
        <v>0.45999999999999996</v>
      </c>
      <c r="AO98" s="444">
        <f t="shared" ca="1" si="25"/>
        <v>-4.5000000000000151E-2</v>
      </c>
      <c r="AP98" s="444">
        <f t="shared" ca="1" si="16"/>
        <v>0.84000000000000008</v>
      </c>
      <c r="AQ98" s="444">
        <f t="shared" ca="1" si="17"/>
        <v>0.42999999999999994</v>
      </c>
      <c r="AR98" s="444">
        <f t="shared" ca="1" si="18"/>
        <v>0.41000000000000014</v>
      </c>
      <c r="AS98" s="445">
        <f t="shared" ca="1" si="19"/>
        <v>9.9999999999998979E-3</v>
      </c>
    </row>
    <row r="99" spans="31:45">
      <c r="AE99" s="442">
        <f t="shared" ca="1" si="20"/>
        <v>42541</v>
      </c>
      <c r="AF99" s="443">
        <f ca="1">_xll.BDH(AF$5,"PX_LAST",$AE99)</f>
        <v>3.69</v>
      </c>
      <c r="AG99" s="443">
        <f ca="1">_xll.BDH(AG$5,"PX_LAST",$AE99)</f>
        <v>4.0599999999999996</v>
      </c>
      <c r="AH99" s="443">
        <f ca="1">_xll.BDH(AH$5,"PX_LAST",$AE99)</f>
        <v>4.49</v>
      </c>
      <c r="AI99" s="443">
        <f ca="1">_xll.BDH(AI$5,"PX_LAST",$AE99)</f>
        <v>0.72</v>
      </c>
      <c r="AJ99" s="443">
        <f ca="1">_xll.BDH(AJ$5,"PX_LAST",$AE99)</f>
        <v>1.1100000000000001</v>
      </c>
      <c r="AK99" s="443">
        <f ca="1">_xll.BDH(AK$5,"PX_LAST",$AE99)</f>
        <v>1.56</v>
      </c>
      <c r="AL99" s="444">
        <f t="shared" ca="1" si="22"/>
        <v>0.80000000000000027</v>
      </c>
      <c r="AM99" s="444">
        <f t="shared" ca="1" si="23"/>
        <v>0.36999999999999966</v>
      </c>
      <c r="AN99" s="444">
        <f t="shared" ca="1" si="24"/>
        <v>0.4300000000000006</v>
      </c>
      <c r="AO99" s="444">
        <f t="shared" ca="1" si="25"/>
        <v>-3.0000000000000471E-2</v>
      </c>
      <c r="AP99" s="444">
        <f t="shared" ca="1" si="16"/>
        <v>0.84000000000000008</v>
      </c>
      <c r="AQ99" s="444">
        <f t="shared" ca="1" si="17"/>
        <v>0.39000000000000012</v>
      </c>
      <c r="AR99" s="444">
        <f t="shared" ca="1" si="18"/>
        <v>0.44999999999999996</v>
      </c>
      <c r="AS99" s="445">
        <f t="shared" ca="1" si="19"/>
        <v>-2.9999999999999916E-2</v>
      </c>
    </row>
    <row r="100" spans="31:45">
      <c r="AE100" s="442">
        <f t="shared" ca="1" si="20"/>
        <v>42538</v>
      </c>
      <c r="AF100" s="443">
        <f ca="1">_xll.BDH(AF$5,"PX_LAST",$AE100)</f>
        <v>3.66</v>
      </c>
      <c r="AG100" s="443">
        <f ca="1">_xll.BDH(AG$5,"PX_LAST",$AE100)</f>
        <v>4.03</v>
      </c>
      <c r="AH100" s="443">
        <f ca="1">_xll.BDH(AH$5,"PX_LAST",$AE100)</f>
        <v>4.4800000000000004</v>
      </c>
      <c r="AI100" s="443">
        <f ca="1">_xll.BDH(AI$5,"PX_LAST",$AE100)</f>
        <v>0.68</v>
      </c>
      <c r="AJ100" s="443">
        <f ca="1">_xll.BDH(AJ$5,"PX_LAST",$AE100)</f>
        <v>1.1000000000000001</v>
      </c>
      <c r="AK100" s="443">
        <f ca="1">_xll.BDH(AK$5,"PX_LAST",$AE100)</f>
        <v>1.55</v>
      </c>
      <c r="AL100" s="444">
        <f t="shared" ca="1" si="22"/>
        <v>0.82000000000000028</v>
      </c>
      <c r="AM100" s="444">
        <f t="shared" ca="1" si="23"/>
        <v>0.37000000000000011</v>
      </c>
      <c r="AN100" s="444">
        <f t="shared" ca="1" si="24"/>
        <v>0.45000000000000018</v>
      </c>
      <c r="AO100" s="444">
        <f t="shared" ca="1" si="25"/>
        <v>-4.0000000000000036E-2</v>
      </c>
      <c r="AP100" s="444">
        <f t="shared" ca="1" si="16"/>
        <v>0.87</v>
      </c>
      <c r="AQ100" s="444">
        <f t="shared" ca="1" si="17"/>
        <v>0.42000000000000004</v>
      </c>
      <c r="AR100" s="444">
        <f t="shared" ca="1" si="18"/>
        <v>0.44999999999999996</v>
      </c>
      <c r="AS100" s="445">
        <f t="shared" ca="1" si="19"/>
        <v>-1.4999999999999958E-2</v>
      </c>
    </row>
    <row r="101" spans="31:45">
      <c r="AE101" s="442">
        <f t="shared" ca="1" si="20"/>
        <v>42537</v>
      </c>
      <c r="AF101" s="443">
        <f ca="1">_xll.BDH(AF$5,"PX_LAST",$AE101)</f>
        <v>3.67</v>
      </c>
      <c r="AG101" s="443">
        <f ca="1">_xll.BDH(AG$5,"PX_LAST",$AE101)</f>
        <v>4.05</v>
      </c>
      <c r="AH101" s="443">
        <f ca="1">_xll.BDH(AH$5,"PX_LAST",$AE101)</f>
        <v>4.49</v>
      </c>
      <c r="AI101" s="443">
        <f ca="1">_xll.BDH(AI$5,"PX_LAST",$AE101)</f>
        <v>0.68</v>
      </c>
      <c r="AJ101" s="443">
        <f ca="1">_xll.BDH(AJ$5,"PX_LAST",$AE101)</f>
        <v>1.1200000000000001</v>
      </c>
      <c r="AK101" s="443">
        <f ca="1">_xll.BDH(AK$5,"PX_LAST",$AE101)</f>
        <v>1.5699999999999998</v>
      </c>
      <c r="AL101" s="444">
        <f t="shared" ca="1" si="22"/>
        <v>0.82000000000000028</v>
      </c>
      <c r="AM101" s="444">
        <f t="shared" ca="1" si="23"/>
        <v>0.37999999999999989</v>
      </c>
      <c r="AN101" s="444">
        <f t="shared" ca="1" si="24"/>
        <v>0.44000000000000039</v>
      </c>
      <c r="AO101" s="444">
        <f t="shared" ca="1" si="25"/>
        <v>-3.0000000000000249E-2</v>
      </c>
      <c r="AP101" s="444">
        <f t="shared" ca="1" si="16"/>
        <v>0.88999999999999979</v>
      </c>
      <c r="AQ101" s="444">
        <f t="shared" ca="1" si="17"/>
        <v>0.44000000000000006</v>
      </c>
      <c r="AR101" s="444">
        <f t="shared" ca="1" si="18"/>
        <v>0.44999999999999973</v>
      </c>
      <c r="AS101" s="445">
        <f t="shared" ca="1" si="19"/>
        <v>-4.9999999999998379E-3</v>
      </c>
    </row>
    <row r="102" spans="31:45">
      <c r="AE102" s="442">
        <f t="shared" ca="1" si="20"/>
        <v>42536</v>
      </c>
      <c r="AF102" s="443">
        <f ca="1">_xll.BDH(AF$5,"PX_LAST",$AE102)</f>
        <v>3.69</v>
      </c>
      <c r="AG102" s="443">
        <f ca="1">_xll.BDH(AG$5,"PX_LAST",$AE102)</f>
        <v>4.08</v>
      </c>
      <c r="AH102" s="443">
        <f ca="1">_xll.BDH(AH$5,"PX_LAST",$AE102)</f>
        <v>4.53</v>
      </c>
      <c r="AI102" s="443">
        <f ca="1">_xll.BDH(AI$5,"PX_LAST",$AE102)</f>
        <v>0.72</v>
      </c>
      <c r="AJ102" s="443">
        <f ca="1">_xll.BDH(AJ$5,"PX_LAST",$AE102)</f>
        <v>1.1400000000000001</v>
      </c>
      <c r="AK102" s="443">
        <f ca="1">_xll.BDH(AK$5,"PX_LAST",$AE102)</f>
        <v>1.5899999999999999</v>
      </c>
      <c r="AL102" s="444">
        <f t="shared" ca="1" si="22"/>
        <v>0.8400000000000003</v>
      </c>
      <c r="AM102" s="444">
        <f t="shared" ca="1" si="23"/>
        <v>0.39000000000000012</v>
      </c>
      <c r="AN102" s="444">
        <f t="shared" ca="1" si="24"/>
        <v>0.45000000000000018</v>
      </c>
      <c r="AO102" s="444">
        <f t="shared" ca="1" si="25"/>
        <v>-3.0000000000000027E-2</v>
      </c>
      <c r="AP102" s="444">
        <f t="shared" ca="1" si="16"/>
        <v>0.86999999999999988</v>
      </c>
      <c r="AQ102" s="444">
        <f t="shared" ca="1" si="17"/>
        <v>0.42000000000000015</v>
      </c>
      <c r="AR102" s="444">
        <f t="shared" ca="1" si="18"/>
        <v>0.44999999999999973</v>
      </c>
      <c r="AS102" s="445">
        <f t="shared" ca="1" si="19"/>
        <v>-1.4999999999999791E-2</v>
      </c>
    </row>
    <row r="103" spans="31:45">
      <c r="AE103" s="442">
        <f t="shared" ca="1" si="20"/>
        <v>42535</v>
      </c>
      <c r="AF103" s="443">
        <f ca="1">_xll.BDH(AF$5,"PX_LAST",$AE103)</f>
        <v>3.69</v>
      </c>
      <c r="AG103" s="443">
        <f ca="1">_xll.BDH(AG$5,"PX_LAST",$AE103)</f>
        <v>4.07</v>
      </c>
      <c r="AH103" s="443">
        <f ca="1">_xll.BDH(AH$5,"PX_LAST",$AE103)</f>
        <v>4.5199999999999996</v>
      </c>
      <c r="AI103" s="443">
        <f ca="1">_xll.BDH(AI$5,"PX_LAST",$AE103)</f>
        <v>0.71</v>
      </c>
      <c r="AJ103" s="443">
        <f ca="1">_xll.BDH(AJ$5,"PX_LAST",$AE103)</f>
        <v>1.1400000000000001</v>
      </c>
      <c r="AK103" s="443">
        <f ca="1">_xll.BDH(AK$5,"PX_LAST",$AE103)</f>
        <v>1.5699999999999998</v>
      </c>
      <c r="AL103" s="444">
        <f t="shared" ca="1" si="22"/>
        <v>0.82999999999999963</v>
      </c>
      <c r="AM103" s="444">
        <f t="shared" ca="1" si="23"/>
        <v>0.38000000000000034</v>
      </c>
      <c r="AN103" s="444">
        <f t="shared" ca="1" si="24"/>
        <v>0.44999999999999929</v>
      </c>
      <c r="AO103" s="444">
        <f t="shared" ca="1" si="25"/>
        <v>-3.4999999999999476E-2</v>
      </c>
      <c r="AP103" s="444">
        <f t="shared" ca="1" si="16"/>
        <v>0.85999999999999988</v>
      </c>
      <c r="AQ103" s="444">
        <f t="shared" ca="1" si="17"/>
        <v>0.43000000000000016</v>
      </c>
      <c r="AR103" s="444">
        <f t="shared" ca="1" si="18"/>
        <v>0.42999999999999972</v>
      </c>
      <c r="AS103" s="445">
        <f t="shared" ca="1" si="19"/>
        <v>2.2204460492503131E-16</v>
      </c>
    </row>
    <row r="104" spans="31:45">
      <c r="AE104" s="442">
        <f t="shared" ca="1" si="20"/>
        <v>42534</v>
      </c>
      <c r="AF104" s="443">
        <f ca="1">_xll.BDH(AF$5,"PX_LAST",$AE104)</f>
        <v>3.68</v>
      </c>
      <c r="AG104" s="443">
        <f ca="1">_xll.BDH(AG$5,"PX_LAST",$AE104)</f>
        <v>4.05</v>
      </c>
      <c r="AH104" s="443">
        <f ca="1">_xll.BDH(AH$5,"PX_LAST",$AE104)</f>
        <v>4.5</v>
      </c>
      <c r="AI104" s="443">
        <f ca="1">_xll.BDH(AI$5,"PX_LAST",$AE104)</f>
        <v>0.75</v>
      </c>
      <c r="AJ104" s="443">
        <f ca="1">_xll.BDH(AJ$5,"PX_LAST",$AE104)</f>
        <v>1.1499999999999999</v>
      </c>
      <c r="AK104" s="443">
        <f ca="1">_xll.BDH(AK$5,"PX_LAST",$AE104)</f>
        <v>1.55</v>
      </c>
      <c r="AL104" s="444">
        <f t="shared" ca="1" si="22"/>
        <v>0.81999999999999984</v>
      </c>
      <c r="AM104" s="444">
        <f t="shared" ca="1" si="23"/>
        <v>0.36999999999999966</v>
      </c>
      <c r="AN104" s="444">
        <f t="shared" ca="1" si="24"/>
        <v>0.45000000000000018</v>
      </c>
      <c r="AO104" s="444">
        <f t="shared" ca="1" si="25"/>
        <v>-4.0000000000000258E-2</v>
      </c>
      <c r="AP104" s="444">
        <f t="shared" ca="1" si="16"/>
        <v>0.8</v>
      </c>
      <c r="AQ104" s="444">
        <f t="shared" ca="1" si="17"/>
        <v>0.39999999999999991</v>
      </c>
      <c r="AR104" s="444">
        <f t="shared" ca="1" si="18"/>
        <v>0.40000000000000013</v>
      </c>
      <c r="AS104" s="445">
        <f t="shared" ca="1" si="19"/>
        <v>-1.1102230246251565E-16</v>
      </c>
    </row>
    <row r="105" spans="31:45">
      <c r="AE105" s="442">
        <f t="shared" ca="1" si="20"/>
        <v>42531</v>
      </c>
      <c r="AF105" s="443">
        <f ca="1">_xll.BDH(AF$5,"PX_LAST",$AE105)</f>
        <v>3.7199999999999998</v>
      </c>
      <c r="AG105" s="443">
        <f ca="1">_xll.BDH(AG$5,"PX_LAST",$AE105)</f>
        <v>4.08</v>
      </c>
      <c r="AH105" s="443">
        <f ca="1">_xll.BDH(AH$5,"PX_LAST",$AE105)</f>
        <v>4.49</v>
      </c>
      <c r="AI105" s="443">
        <f ca="1">_xll.BDH(AI$5,"PX_LAST",$AE105)</f>
        <v>0.74</v>
      </c>
      <c r="AJ105" s="443">
        <f ca="1">_xll.BDH(AJ$5,"PX_LAST",$AE105)</f>
        <v>1.1400000000000001</v>
      </c>
      <c r="AK105" s="443">
        <f ca="1">_xll.BDH(AK$5,"PX_LAST",$AE105)</f>
        <v>1.55</v>
      </c>
      <c r="AL105" s="444">
        <f t="shared" ca="1" si="22"/>
        <v>0.77000000000000046</v>
      </c>
      <c r="AM105" s="444">
        <f t="shared" ca="1" si="23"/>
        <v>0.36000000000000032</v>
      </c>
      <c r="AN105" s="444">
        <f t="shared" ca="1" si="24"/>
        <v>0.41000000000000014</v>
      </c>
      <c r="AO105" s="444">
        <f t="shared" ca="1" si="25"/>
        <v>-2.4999999999999911E-2</v>
      </c>
      <c r="AP105" s="444">
        <f t="shared" ca="1" si="16"/>
        <v>0.81</v>
      </c>
      <c r="AQ105" s="444">
        <f t="shared" ca="1" si="17"/>
        <v>0.40000000000000013</v>
      </c>
      <c r="AR105" s="444">
        <f t="shared" ca="1" si="18"/>
        <v>0.40999999999999992</v>
      </c>
      <c r="AS105" s="445">
        <f t="shared" ca="1" si="19"/>
        <v>-4.9999999999998934E-3</v>
      </c>
    </row>
    <row r="106" spans="31:45">
      <c r="AE106" s="442">
        <f t="shared" ca="1" si="20"/>
        <v>42530</v>
      </c>
      <c r="AF106" s="443">
        <f ca="1">_xll.BDH(AF$5,"PX_LAST",$AE106)</f>
        <v>3.71</v>
      </c>
      <c r="AG106" s="443">
        <f ca="1">_xll.BDH(AG$5,"PX_LAST",$AE106)</f>
        <v>4.09</v>
      </c>
      <c r="AH106" s="443">
        <f ca="1">_xll.BDH(AH$5,"PX_LAST",$AE106)</f>
        <v>4.51</v>
      </c>
      <c r="AI106" s="443">
        <f ca="1">_xll.BDH(AI$5,"PX_LAST",$AE106)</f>
        <v>0.74</v>
      </c>
      <c r="AJ106" s="443">
        <f ca="1">_xll.BDH(AJ$5,"PX_LAST",$AE106)</f>
        <v>1.1400000000000001</v>
      </c>
      <c r="AK106" s="443">
        <f ca="1">_xll.BDH(AK$5,"PX_LAST",$AE106)</f>
        <v>1.56</v>
      </c>
      <c r="AL106" s="444">
        <f t="shared" ca="1" si="22"/>
        <v>0.79999999999999982</v>
      </c>
      <c r="AM106" s="444">
        <f t="shared" ca="1" si="23"/>
        <v>0.37999999999999989</v>
      </c>
      <c r="AN106" s="444">
        <f t="shared" ca="1" si="24"/>
        <v>0.41999999999999993</v>
      </c>
      <c r="AO106" s="444">
        <f t="shared" ca="1" si="25"/>
        <v>-2.0000000000000018E-2</v>
      </c>
      <c r="AP106" s="444">
        <f t="shared" ca="1" si="16"/>
        <v>0.82000000000000006</v>
      </c>
      <c r="AQ106" s="444">
        <f t="shared" ca="1" si="17"/>
        <v>0.40000000000000013</v>
      </c>
      <c r="AR106" s="444">
        <f t="shared" ca="1" si="18"/>
        <v>0.41999999999999993</v>
      </c>
      <c r="AS106" s="445">
        <f t="shared" ca="1" si="19"/>
        <v>-9.9999999999998979E-3</v>
      </c>
    </row>
    <row r="107" spans="31:45">
      <c r="AE107" s="442">
        <f t="shared" ca="1" si="20"/>
        <v>42529</v>
      </c>
      <c r="AF107" s="443">
        <f ca="1">_xll.BDH(AF$5,"PX_LAST",$AE107)</f>
        <v>3.7</v>
      </c>
      <c r="AG107" s="443">
        <f ca="1">_xll.BDH(AG$5,"PX_LAST",$AE107)</f>
        <v>4.1100000000000003</v>
      </c>
      <c r="AH107" s="443">
        <f ca="1">_xll.BDH(AH$5,"PX_LAST",$AE107)</f>
        <v>4.51</v>
      </c>
      <c r="AI107" s="443">
        <f ca="1">_xll.BDH(AI$5,"PX_LAST",$AE107)</f>
        <v>0.74</v>
      </c>
      <c r="AJ107" s="443">
        <f ca="1">_xll.BDH(AJ$5,"PX_LAST",$AE107)</f>
        <v>1.1499999999999999</v>
      </c>
      <c r="AK107" s="443">
        <f ca="1">_xll.BDH(AK$5,"PX_LAST",$AE107)</f>
        <v>1.55</v>
      </c>
      <c r="AL107" s="444">
        <f t="shared" ca="1" si="22"/>
        <v>0.80999999999999961</v>
      </c>
      <c r="AM107" s="444">
        <f t="shared" ca="1" si="23"/>
        <v>0.41000000000000014</v>
      </c>
      <c r="AN107" s="444">
        <f t="shared" ca="1" si="24"/>
        <v>0.39999999999999947</v>
      </c>
      <c r="AO107" s="444">
        <f t="shared" ca="1" si="25"/>
        <v>5.0000000000003375E-3</v>
      </c>
      <c r="AP107" s="444">
        <f t="shared" ca="1" si="16"/>
        <v>0.81</v>
      </c>
      <c r="AQ107" s="444">
        <f t="shared" ca="1" si="17"/>
        <v>0.40999999999999992</v>
      </c>
      <c r="AR107" s="444">
        <f t="shared" ca="1" si="18"/>
        <v>0.40000000000000013</v>
      </c>
      <c r="AS107" s="445">
        <f t="shared" ca="1" si="19"/>
        <v>4.9999999999998934E-3</v>
      </c>
    </row>
    <row r="108" spans="31:45">
      <c r="AE108" s="442">
        <f t="shared" ca="1" si="20"/>
        <v>42528</v>
      </c>
      <c r="AF108" s="443">
        <f ca="1">_xll.BDH(AF$5,"PX_LAST",$AE108)</f>
        <v>3.7199999999999998</v>
      </c>
      <c r="AG108" s="443">
        <f ca="1">_xll.BDH(AG$5,"PX_LAST",$AE108)</f>
        <v>4.1100000000000003</v>
      </c>
      <c r="AH108" s="443">
        <f ca="1">_xll.BDH(AH$5,"PX_LAST",$AE108)</f>
        <v>4.53</v>
      </c>
      <c r="AI108" s="443">
        <f ca="1">_xll.BDH(AI$5,"PX_LAST",$AE108)</f>
        <v>0.72</v>
      </c>
      <c r="AJ108" s="443">
        <f ca="1">_xll.BDH(AJ$5,"PX_LAST",$AE108)</f>
        <v>1.1299999999999999</v>
      </c>
      <c r="AK108" s="443">
        <f ca="1">_xll.BDH(AK$5,"PX_LAST",$AE108)</f>
        <v>1.52</v>
      </c>
      <c r="AL108" s="444">
        <f t="shared" ca="1" si="22"/>
        <v>0.8100000000000005</v>
      </c>
      <c r="AM108" s="444">
        <f t="shared" ca="1" si="23"/>
        <v>0.39000000000000057</v>
      </c>
      <c r="AN108" s="444">
        <f t="shared" ca="1" si="24"/>
        <v>0.41999999999999993</v>
      </c>
      <c r="AO108" s="444">
        <f t="shared" ca="1" si="25"/>
        <v>-1.499999999999968E-2</v>
      </c>
      <c r="AP108" s="444">
        <f t="shared" ca="1" si="16"/>
        <v>0.8</v>
      </c>
      <c r="AQ108" s="444">
        <f t="shared" ca="1" si="17"/>
        <v>0.40999999999999992</v>
      </c>
      <c r="AR108" s="444">
        <f t="shared" ca="1" si="18"/>
        <v>0.39000000000000012</v>
      </c>
      <c r="AS108" s="445">
        <f t="shared" ca="1" si="19"/>
        <v>9.9999999999998979E-3</v>
      </c>
    </row>
    <row r="109" spans="31:45">
      <c r="AE109" s="442">
        <f t="shared" ca="1" si="20"/>
        <v>42527</v>
      </c>
      <c r="AF109" s="443">
        <f ca="1">_xll.BDH(AF$5,"PX_LAST",$AE109)</f>
        <v>3.7199999999999998</v>
      </c>
      <c r="AG109" s="443">
        <f ca="1">_xll.BDH(AG$5,"PX_LAST",$AE109)</f>
        <v>4.0599999999999996</v>
      </c>
      <c r="AH109" s="443">
        <f ca="1">_xll.BDH(AH$5,"PX_LAST",$AE109)</f>
        <v>4.5199999999999996</v>
      </c>
      <c r="AI109" s="443">
        <f ca="1">_xll.BDH(AI$5,"PX_LAST",$AE109)</f>
        <v>0.74</v>
      </c>
      <c r="AJ109" s="443">
        <f ca="1">_xll.BDH(AJ$5,"PX_LAST",$AE109)</f>
        <v>1.1400000000000001</v>
      </c>
      <c r="AK109" s="443">
        <f ca="1">_xll.BDH(AK$5,"PX_LAST",$AE109)</f>
        <v>1.55</v>
      </c>
      <c r="AL109" s="444">
        <f t="shared" ca="1" si="22"/>
        <v>0.79999999999999982</v>
      </c>
      <c r="AM109" s="444">
        <f t="shared" ca="1" si="23"/>
        <v>0.33999999999999986</v>
      </c>
      <c r="AN109" s="444">
        <f t="shared" ca="1" si="24"/>
        <v>0.45999999999999996</v>
      </c>
      <c r="AO109" s="444">
        <f t="shared" ca="1" si="25"/>
        <v>-6.0000000000000053E-2</v>
      </c>
      <c r="AP109" s="444">
        <f t="shared" ca="1" si="16"/>
        <v>0.81</v>
      </c>
      <c r="AQ109" s="444">
        <f t="shared" ca="1" si="17"/>
        <v>0.40000000000000013</v>
      </c>
      <c r="AR109" s="444">
        <f t="shared" ca="1" si="18"/>
        <v>0.40999999999999992</v>
      </c>
      <c r="AS109" s="445">
        <f t="shared" ca="1" si="19"/>
        <v>-4.9999999999998934E-3</v>
      </c>
    </row>
    <row r="110" spans="31:45">
      <c r="AE110" s="442">
        <f t="shared" ca="1" si="20"/>
        <v>42524</v>
      </c>
      <c r="AF110" s="443">
        <f ca="1">_xll.BDH(AF$5,"PX_LAST",$AE110)</f>
        <v>3.74</v>
      </c>
      <c r="AG110" s="443">
        <f ca="1">_xll.BDH(AG$5,"PX_LAST",$AE110)</f>
        <v>4.13</v>
      </c>
      <c r="AH110" s="443">
        <f ca="1">_xll.BDH(AH$5,"PX_LAST",$AE110)</f>
        <v>4.5600000000000005</v>
      </c>
      <c r="AI110" s="443">
        <f ca="1">_xll.BDH(AI$5,"PX_LAST",$AE110)</f>
        <v>0.76</v>
      </c>
      <c r="AJ110" s="443">
        <f ca="1">_xll.BDH(AJ$5,"PX_LAST",$AE110)</f>
        <v>1.17</v>
      </c>
      <c r="AK110" s="443">
        <f ca="1">_xll.BDH(AK$5,"PX_LAST",$AE110)</f>
        <v>1.58</v>
      </c>
      <c r="AL110" s="444">
        <f t="shared" ca="1" si="22"/>
        <v>0.82000000000000028</v>
      </c>
      <c r="AM110" s="444">
        <f t="shared" ca="1" si="23"/>
        <v>0.38999999999999968</v>
      </c>
      <c r="AN110" s="444">
        <f t="shared" ca="1" si="24"/>
        <v>0.4300000000000006</v>
      </c>
      <c r="AO110" s="444">
        <f t="shared" ca="1" si="25"/>
        <v>-2.0000000000000462E-2</v>
      </c>
      <c r="AP110" s="444">
        <f t="shared" ca="1" si="16"/>
        <v>0.82000000000000006</v>
      </c>
      <c r="AQ110" s="444">
        <f t="shared" ca="1" si="17"/>
        <v>0.40999999999999992</v>
      </c>
      <c r="AR110" s="444">
        <f t="shared" ca="1" si="18"/>
        <v>0.41000000000000014</v>
      </c>
      <c r="AS110" s="445">
        <f t="shared" ca="1" si="19"/>
        <v>-1.1102230246251565E-16</v>
      </c>
    </row>
    <row r="111" spans="31:45">
      <c r="AE111" s="442">
        <f t="shared" ca="1" si="20"/>
        <v>42523</v>
      </c>
      <c r="AF111" s="443">
        <f ca="1">_xll.BDH(AF$5,"PX_LAST",$AE111)</f>
        <v>3.77</v>
      </c>
      <c r="AG111" s="443">
        <f ca="1">_xll.BDH(AG$5,"PX_LAST",$AE111)</f>
        <v>4.1500000000000004</v>
      </c>
      <c r="AH111" s="443">
        <f ca="1">_xll.BDH(AH$5,"PX_LAST",$AE111)</f>
        <v>4.59</v>
      </c>
      <c r="AI111" s="443">
        <f ca="1">_xll.BDH(AI$5,"PX_LAST",$AE111)</f>
        <v>0.78</v>
      </c>
      <c r="AJ111" s="443">
        <f ca="1">_xll.BDH(AJ$5,"PX_LAST",$AE111)</f>
        <v>1.21</v>
      </c>
      <c r="AK111" s="443">
        <f ca="1">_xll.BDH(AK$5,"PX_LAST",$AE111)</f>
        <v>1.6099999999999999</v>
      </c>
      <c r="AL111" s="444">
        <f t="shared" ca="1" si="22"/>
        <v>0.81999999999999984</v>
      </c>
      <c r="AM111" s="444">
        <f t="shared" ca="1" si="23"/>
        <v>0.38000000000000034</v>
      </c>
      <c r="AN111" s="444">
        <f t="shared" ca="1" si="24"/>
        <v>0.4399999999999995</v>
      </c>
      <c r="AO111" s="444">
        <f t="shared" ca="1" si="25"/>
        <v>-2.9999999999999583E-2</v>
      </c>
      <c r="AP111" s="444">
        <f t="shared" ca="1" si="16"/>
        <v>0.82999999999999985</v>
      </c>
      <c r="AQ111" s="444">
        <f t="shared" ca="1" si="17"/>
        <v>0.42999999999999994</v>
      </c>
      <c r="AR111" s="444">
        <f t="shared" ca="1" si="18"/>
        <v>0.39999999999999991</v>
      </c>
      <c r="AS111" s="445">
        <f t="shared" ca="1" si="19"/>
        <v>1.5000000000000013E-2</v>
      </c>
    </row>
    <row r="112" spans="31:45">
      <c r="AE112" s="442">
        <f t="shared" ca="1" si="20"/>
        <v>42522</v>
      </c>
      <c r="AF112" s="443">
        <f ca="1">_xll.BDH(AF$5,"PX_LAST",$AE112)</f>
        <v>3.8</v>
      </c>
      <c r="AG112" s="443">
        <f ca="1">_xll.BDH(AG$5,"PX_LAST",$AE112)</f>
        <v>4.18</v>
      </c>
      <c r="AH112" s="443">
        <f ca="1">_xll.BDH(AH$5,"PX_LAST",$AE112)</f>
        <v>4.6100000000000003</v>
      </c>
      <c r="AI112" s="443">
        <f ca="1">_xll.BDH(AI$5,"PX_LAST",$AE112)</f>
        <v>0.8</v>
      </c>
      <c r="AJ112" s="443">
        <f ca="1">_xll.BDH(AJ$5,"PX_LAST",$AE112)</f>
        <v>1.21</v>
      </c>
      <c r="AK112" s="443">
        <f ca="1">_xll.BDH(AK$5,"PX_LAST",$AE112)</f>
        <v>1.6</v>
      </c>
      <c r="AL112" s="444">
        <f t="shared" ca="1" si="22"/>
        <v>0.8100000000000005</v>
      </c>
      <c r="AM112" s="444">
        <f t="shared" ca="1" si="23"/>
        <v>0.37999999999999989</v>
      </c>
      <c r="AN112" s="444">
        <f t="shared" ca="1" si="24"/>
        <v>0.4300000000000006</v>
      </c>
      <c r="AO112" s="444">
        <f t="shared" ca="1" si="25"/>
        <v>-2.5000000000000355E-2</v>
      </c>
      <c r="AP112" s="444">
        <f t="shared" ca="1" si="16"/>
        <v>0.8</v>
      </c>
      <c r="AQ112" s="444">
        <f t="shared" ca="1" si="17"/>
        <v>0.40999999999999992</v>
      </c>
      <c r="AR112" s="444">
        <f t="shared" ca="1" si="18"/>
        <v>0.39000000000000012</v>
      </c>
      <c r="AS112" s="445">
        <f t="shared" ca="1" si="19"/>
        <v>9.9999999999998979E-3</v>
      </c>
    </row>
    <row r="113" spans="31:45">
      <c r="AE113" s="442">
        <f t="shared" ca="1" si="20"/>
        <v>42521</v>
      </c>
      <c r="AF113" s="443">
        <f ca="1">_xll.BDH(AF$5,"PX_LAST",$AE113)</f>
        <v>3.83</v>
      </c>
      <c r="AG113" s="443">
        <f ca="1">_xll.BDH(AG$5,"PX_LAST",$AE113)</f>
        <v>4.21</v>
      </c>
      <c r="AH113" s="443">
        <f ca="1">_xll.BDH(AH$5,"PX_LAST",$AE113)</f>
        <v>4.62</v>
      </c>
      <c r="AI113" s="443">
        <f ca="1">_xll.BDH(AI$5,"PX_LAST",$AE113)</f>
        <v>0.81</v>
      </c>
      <c r="AJ113" s="443">
        <f ca="1">_xll.BDH(AJ$5,"PX_LAST",$AE113)</f>
        <v>1.23</v>
      </c>
      <c r="AK113" s="443">
        <f ca="1">_xll.BDH(AK$5,"PX_LAST",$AE113)</f>
        <v>1.62</v>
      </c>
      <c r="AL113" s="444">
        <f t="shared" ca="1" si="22"/>
        <v>0.79</v>
      </c>
      <c r="AM113" s="444">
        <f t="shared" ca="1" si="23"/>
        <v>0.37999999999999989</v>
      </c>
      <c r="AN113" s="444">
        <f t="shared" ca="1" si="24"/>
        <v>0.41000000000000014</v>
      </c>
      <c r="AO113" s="444">
        <f t="shared" ca="1" si="25"/>
        <v>-1.5000000000000124E-2</v>
      </c>
      <c r="AP113" s="444">
        <f t="shared" ca="1" si="16"/>
        <v>0.81</v>
      </c>
      <c r="AQ113" s="444">
        <f t="shared" ca="1" si="17"/>
        <v>0.41999999999999993</v>
      </c>
      <c r="AR113" s="444">
        <f t="shared" ca="1" si="18"/>
        <v>0.39000000000000012</v>
      </c>
      <c r="AS113" s="445">
        <f t="shared" ca="1" si="19"/>
        <v>1.4999999999999902E-2</v>
      </c>
    </row>
    <row r="114" spans="31:45">
      <c r="AE114" s="442">
        <f t="shared" ca="1" si="20"/>
        <v>42520</v>
      </c>
      <c r="AF114" s="443">
        <f ca="1">_xll.BDH(AF$5,"PX_LAST",$AE114)</f>
        <v>3.83</v>
      </c>
      <c r="AG114" s="443">
        <f ca="1">_xll.BDH(AG$5,"PX_LAST",$AE114)</f>
        <v>4.2</v>
      </c>
      <c r="AH114" s="443">
        <f ca="1">_xll.BDH(AH$5,"PX_LAST",$AE114)</f>
        <v>4.6100000000000003</v>
      </c>
      <c r="AI114" s="443">
        <f ca="1">_xll.BDH(AI$5,"PX_LAST",$AE114)</f>
        <v>0.81</v>
      </c>
      <c r="AJ114" s="443">
        <f ca="1">_xll.BDH(AJ$5,"PX_LAST",$AE114)</f>
        <v>1.23</v>
      </c>
      <c r="AK114" s="443">
        <f ca="1">_xll.BDH(AK$5,"PX_LAST",$AE114)</f>
        <v>1.6</v>
      </c>
      <c r="AL114" s="444">
        <f t="shared" ca="1" si="22"/>
        <v>0.78000000000000025</v>
      </c>
      <c r="AM114" s="444">
        <f t="shared" ca="1" si="23"/>
        <v>0.37000000000000011</v>
      </c>
      <c r="AN114" s="444">
        <f t="shared" ca="1" si="24"/>
        <v>0.41000000000000014</v>
      </c>
      <c r="AO114" s="444">
        <f t="shared" ca="1" si="25"/>
        <v>-2.0000000000000018E-2</v>
      </c>
      <c r="AP114" s="444">
        <f t="shared" ca="1" si="16"/>
        <v>0.79</v>
      </c>
      <c r="AQ114" s="444">
        <f t="shared" ca="1" si="17"/>
        <v>0.41999999999999993</v>
      </c>
      <c r="AR114" s="444">
        <f t="shared" ca="1" si="18"/>
        <v>0.37000000000000011</v>
      </c>
      <c r="AS114" s="445">
        <f t="shared" ca="1" si="19"/>
        <v>2.4999999999999911E-2</v>
      </c>
    </row>
    <row r="115" spans="31:45">
      <c r="AE115" s="442">
        <f t="shared" ca="1" si="20"/>
        <v>42517</v>
      </c>
      <c r="AF115" s="443">
        <f ca="1">_xll.BDH(AF$5,"PX_LAST",$AE115)</f>
        <v>3.81</v>
      </c>
      <c r="AG115" s="443">
        <f ca="1">_xll.BDH(AG$5,"PX_LAST",$AE115)</f>
        <v>4.1900000000000004</v>
      </c>
      <c r="AH115" s="443">
        <f ca="1">_xll.BDH(AH$5,"PX_LAST",$AE115)</f>
        <v>4.5999999999999996</v>
      </c>
      <c r="AI115" s="443">
        <f ca="1">_xll.BDH(AI$5,"PX_LAST",$AE115)</f>
        <v>0.8</v>
      </c>
      <c r="AJ115" s="443">
        <f ca="1">_xll.BDH(AJ$5,"PX_LAST",$AE115)</f>
        <v>1.23</v>
      </c>
      <c r="AK115" s="443">
        <f ca="1">_xll.BDH(AK$5,"PX_LAST",$AE115)</f>
        <v>1.58</v>
      </c>
      <c r="AL115" s="444">
        <f t="shared" ca="1" si="22"/>
        <v>0.78999999999999959</v>
      </c>
      <c r="AM115" s="444">
        <f t="shared" ca="1" si="23"/>
        <v>0.38000000000000034</v>
      </c>
      <c r="AN115" s="444">
        <f t="shared" ca="1" si="24"/>
        <v>0.40999999999999925</v>
      </c>
      <c r="AO115" s="444">
        <f t="shared" ca="1" si="25"/>
        <v>-1.4999999999999458E-2</v>
      </c>
      <c r="AP115" s="444">
        <f t="shared" ca="1" si="16"/>
        <v>0.78</v>
      </c>
      <c r="AQ115" s="444">
        <f t="shared" ca="1" si="17"/>
        <v>0.42999999999999994</v>
      </c>
      <c r="AR115" s="444">
        <f t="shared" ca="1" si="18"/>
        <v>0.35000000000000009</v>
      </c>
      <c r="AS115" s="445">
        <f t="shared" ca="1" si="19"/>
        <v>3.9999999999999925E-2</v>
      </c>
    </row>
    <row r="116" spans="31:45">
      <c r="AE116" s="442">
        <f t="shared" ca="1" si="20"/>
        <v>42516</v>
      </c>
      <c r="AF116" s="443">
        <f ca="1">_xll.BDH(AF$5,"PX_LAST",$AE116)</f>
        <v>3.79</v>
      </c>
      <c r="AG116" s="443">
        <f ca="1">_xll.BDH(AG$5,"PX_LAST",$AE116)</f>
        <v>4.16</v>
      </c>
      <c r="AH116" s="443">
        <f ca="1">_xll.BDH(AH$5,"PX_LAST",$AE116)</f>
        <v>4.57</v>
      </c>
      <c r="AI116" s="443">
        <f ca="1">_xll.BDH(AI$5,"PX_LAST",$AE116)</f>
        <v>0.8</v>
      </c>
      <c r="AJ116" s="443">
        <f ca="1">_xll.BDH(AJ$5,"PX_LAST",$AE116)</f>
        <v>1.22</v>
      </c>
      <c r="AK116" s="443">
        <f ca="1">_xll.BDH(AK$5,"PX_LAST",$AE116)</f>
        <v>1.56</v>
      </c>
      <c r="AL116" s="444">
        <f t="shared" ca="1" si="22"/>
        <v>0.78000000000000025</v>
      </c>
      <c r="AM116" s="444">
        <f t="shared" ca="1" si="23"/>
        <v>0.37000000000000011</v>
      </c>
      <c r="AN116" s="444">
        <f t="shared" ca="1" si="24"/>
        <v>0.41000000000000014</v>
      </c>
      <c r="AO116" s="444">
        <f t="shared" ca="1" si="25"/>
        <v>-2.0000000000000018E-2</v>
      </c>
      <c r="AP116" s="444">
        <f t="shared" ca="1" si="16"/>
        <v>0.76</v>
      </c>
      <c r="AQ116" s="444">
        <f t="shared" ca="1" si="17"/>
        <v>0.41999999999999993</v>
      </c>
      <c r="AR116" s="444">
        <f t="shared" ca="1" si="18"/>
        <v>0.34000000000000008</v>
      </c>
      <c r="AS116" s="445">
        <f t="shared" ca="1" si="19"/>
        <v>3.9999999999999925E-2</v>
      </c>
    </row>
    <row r="117" spans="31:45">
      <c r="AE117" s="442">
        <f t="shared" ca="1" si="20"/>
        <v>42515</v>
      </c>
      <c r="AF117" s="443">
        <f ca="1">_xll.BDH(AF$5,"PX_LAST",$AE117)</f>
        <v>3.82</v>
      </c>
      <c r="AG117" s="443">
        <f ca="1">_xll.BDH(AG$5,"PX_LAST",$AE117)</f>
        <v>4.1900000000000004</v>
      </c>
      <c r="AH117" s="443">
        <f ca="1">_xll.BDH(AH$5,"PX_LAST",$AE117)</f>
        <v>4.5999999999999996</v>
      </c>
      <c r="AI117" s="443">
        <f ca="1">_xll.BDH(AI$5,"PX_LAST",$AE117)</f>
        <v>0.78</v>
      </c>
      <c r="AJ117" s="443">
        <f ca="1">_xll.BDH(AJ$5,"PX_LAST",$AE117)</f>
        <v>1.2</v>
      </c>
      <c r="AK117" s="443">
        <f ca="1">_xll.BDH(AK$5,"PX_LAST",$AE117)</f>
        <v>1.56</v>
      </c>
      <c r="AL117" s="444">
        <f t="shared" ca="1" si="22"/>
        <v>0.7799999999999998</v>
      </c>
      <c r="AM117" s="444">
        <f t="shared" ca="1" si="23"/>
        <v>0.37000000000000055</v>
      </c>
      <c r="AN117" s="444">
        <f t="shared" ca="1" si="24"/>
        <v>0.40999999999999925</v>
      </c>
      <c r="AO117" s="444">
        <f t="shared" ca="1" si="25"/>
        <v>-1.9999999999999352E-2</v>
      </c>
      <c r="AP117" s="444">
        <f t="shared" ca="1" si="16"/>
        <v>0.78</v>
      </c>
      <c r="AQ117" s="444">
        <f t="shared" ca="1" si="17"/>
        <v>0.41999999999999993</v>
      </c>
      <c r="AR117" s="444">
        <f t="shared" ca="1" si="18"/>
        <v>0.3600000000000001</v>
      </c>
      <c r="AS117" s="445">
        <f t="shared" ca="1" si="19"/>
        <v>2.9999999999999916E-2</v>
      </c>
    </row>
    <row r="118" spans="31:45">
      <c r="AE118" s="442">
        <f t="shared" ca="1" si="20"/>
        <v>42514</v>
      </c>
      <c r="AF118" s="443">
        <f ca="1">_xll.BDH(AF$5,"PX_LAST",$AE118)</f>
        <v>3.82</v>
      </c>
      <c r="AG118" s="443">
        <f ca="1">_xll.BDH(AG$5,"PX_LAST",$AE118)</f>
        <v>4.18</v>
      </c>
      <c r="AH118" s="443">
        <f ca="1">_xll.BDH(AH$5,"PX_LAST",$AE118)</f>
        <v>4.59</v>
      </c>
      <c r="AI118" s="443">
        <f ca="1">_xll.BDH(AI$5,"PX_LAST",$AE118)</f>
        <v>0.79</v>
      </c>
      <c r="AJ118" s="443">
        <f ca="1">_xll.BDH(AJ$5,"PX_LAST",$AE118)</f>
        <v>1.19</v>
      </c>
      <c r="AK118" s="443">
        <f ca="1">_xll.BDH(AK$5,"PX_LAST",$AE118)</f>
        <v>1.52</v>
      </c>
      <c r="AL118" s="444">
        <f t="shared" ca="1" si="22"/>
        <v>0.77</v>
      </c>
      <c r="AM118" s="444">
        <f t="shared" ca="1" si="23"/>
        <v>0.35999999999999988</v>
      </c>
      <c r="AN118" s="444">
        <f t="shared" ca="1" si="24"/>
        <v>0.41000000000000014</v>
      </c>
      <c r="AO118" s="444">
        <f t="shared" ca="1" si="25"/>
        <v>-2.5000000000000133E-2</v>
      </c>
      <c r="AP118" s="444">
        <f t="shared" ca="1" si="16"/>
        <v>0.73</v>
      </c>
      <c r="AQ118" s="444">
        <f t="shared" ca="1" si="17"/>
        <v>0.39999999999999991</v>
      </c>
      <c r="AR118" s="444">
        <f t="shared" ca="1" si="18"/>
        <v>0.33000000000000007</v>
      </c>
      <c r="AS118" s="445">
        <f t="shared" ca="1" si="19"/>
        <v>3.499999999999992E-2</v>
      </c>
    </row>
    <row r="119" spans="31:45">
      <c r="AE119" s="442">
        <f t="shared" ca="1" si="20"/>
        <v>42513</v>
      </c>
      <c r="AF119" s="443">
        <f ca="1">_xll.BDH(AF$5,"PX_LAST",$AE119)</f>
        <v>3.79</v>
      </c>
      <c r="AG119" s="443">
        <f ca="1">_xll.BDH(AG$5,"PX_LAST",$AE119)</f>
        <v>4.1500000000000004</v>
      </c>
      <c r="AH119" s="443">
        <f ca="1">_xll.BDH(AH$5,"PX_LAST",$AE119)</f>
        <v>4.59</v>
      </c>
      <c r="AI119" s="443">
        <f ca="1">_xll.BDH(AI$5,"PX_LAST",$AE119)</f>
        <v>0.79</v>
      </c>
      <c r="AJ119" s="443">
        <f ca="1">_xll.BDH(AJ$5,"PX_LAST",$AE119)</f>
        <v>1.19</v>
      </c>
      <c r="AK119" s="443">
        <f ca="1">_xll.BDH(AK$5,"PX_LAST",$AE119)</f>
        <v>1.5</v>
      </c>
      <c r="AL119" s="444">
        <f t="shared" ca="1" si="22"/>
        <v>0.79999999999999982</v>
      </c>
      <c r="AM119" s="444">
        <f t="shared" ca="1" si="23"/>
        <v>0.36000000000000032</v>
      </c>
      <c r="AN119" s="444">
        <f t="shared" ca="1" si="24"/>
        <v>0.4399999999999995</v>
      </c>
      <c r="AO119" s="444">
        <f t="shared" ca="1" si="25"/>
        <v>-3.9999999999999591E-2</v>
      </c>
      <c r="AP119" s="444">
        <f t="shared" ca="1" si="16"/>
        <v>0.71</v>
      </c>
      <c r="AQ119" s="444">
        <f t="shared" ca="1" si="17"/>
        <v>0.39999999999999991</v>
      </c>
      <c r="AR119" s="444">
        <f t="shared" ca="1" si="18"/>
        <v>0.31000000000000005</v>
      </c>
      <c r="AS119" s="445">
        <f t="shared" ca="1" si="19"/>
        <v>4.4999999999999929E-2</v>
      </c>
    </row>
    <row r="120" spans="31:45">
      <c r="AE120" s="442">
        <f t="shared" ca="1" si="20"/>
        <v>42510</v>
      </c>
      <c r="AF120" s="443">
        <f ca="1">_xll.BDH(AF$5,"PX_LAST",$AE120)</f>
        <v>3.81</v>
      </c>
      <c r="AG120" s="443">
        <f ca="1">_xll.BDH(AG$5,"PX_LAST",$AE120)</f>
        <v>4.16</v>
      </c>
      <c r="AH120" s="443">
        <f ca="1">_xll.BDH(AH$5,"PX_LAST",$AE120)</f>
        <v>4.59</v>
      </c>
      <c r="AI120" s="443">
        <f ca="1">_xll.BDH(AI$5,"PX_LAST",$AE120)</f>
        <v>0.78</v>
      </c>
      <c r="AJ120" s="443">
        <f ca="1">_xll.BDH(AJ$5,"PX_LAST",$AE120)</f>
        <v>1.18</v>
      </c>
      <c r="AK120" s="443">
        <f ca="1">_xll.BDH(AK$5,"PX_LAST",$AE120)</f>
        <v>1.53</v>
      </c>
      <c r="AL120" s="444">
        <f t="shared" ca="1" si="22"/>
        <v>0.7799999999999998</v>
      </c>
      <c r="AM120" s="444">
        <f t="shared" ca="1" si="23"/>
        <v>0.35000000000000009</v>
      </c>
      <c r="AN120" s="444">
        <f t="shared" ca="1" si="24"/>
        <v>0.42999999999999972</v>
      </c>
      <c r="AO120" s="444">
        <f t="shared" ca="1" si="25"/>
        <v>-3.9999999999999813E-2</v>
      </c>
      <c r="AP120" s="444">
        <f t="shared" ca="1" si="16"/>
        <v>0.75</v>
      </c>
      <c r="AQ120" s="444">
        <f t="shared" ca="1" si="17"/>
        <v>0.39999999999999991</v>
      </c>
      <c r="AR120" s="444">
        <f t="shared" ca="1" si="18"/>
        <v>0.35000000000000009</v>
      </c>
      <c r="AS120" s="445">
        <f t="shared" ca="1" si="19"/>
        <v>2.4999999999999911E-2</v>
      </c>
    </row>
    <row r="121" spans="31:45">
      <c r="AE121" s="442">
        <f t="shared" ca="1" si="20"/>
        <v>42509</v>
      </c>
      <c r="AF121" s="443">
        <f ca="1">_xll.BDH(AF$5,"PX_LAST",$AE121)</f>
        <v>3.81</v>
      </c>
      <c r="AG121" s="443">
        <f ca="1">_xll.BDH(AG$5,"PX_LAST",$AE121)</f>
        <v>4.17</v>
      </c>
      <c r="AH121" s="443">
        <f ca="1">_xll.BDH(AH$5,"PX_LAST",$AE121)</f>
        <v>4.59</v>
      </c>
      <c r="AI121" s="443">
        <f ca="1">_xll.BDH(AI$5,"PX_LAST",$AE121)</f>
        <v>0.79</v>
      </c>
      <c r="AJ121" s="443">
        <f ca="1">_xll.BDH(AJ$5,"PX_LAST",$AE121)</f>
        <v>1.2</v>
      </c>
      <c r="AK121" s="443">
        <f ca="1">_xll.BDH(AK$5,"PX_LAST",$AE121)</f>
        <v>1.54</v>
      </c>
      <c r="AL121" s="444">
        <f t="shared" ca="1" si="22"/>
        <v>0.7799999999999998</v>
      </c>
      <c r="AM121" s="444">
        <f t="shared" ca="1" si="23"/>
        <v>0.35999999999999988</v>
      </c>
      <c r="AN121" s="444">
        <f t="shared" ca="1" si="24"/>
        <v>0.41999999999999993</v>
      </c>
      <c r="AO121" s="444">
        <f t="shared" ca="1" si="25"/>
        <v>-3.0000000000000027E-2</v>
      </c>
      <c r="AP121" s="444">
        <f t="shared" ca="1" si="16"/>
        <v>0.75</v>
      </c>
      <c r="AQ121" s="444">
        <f t="shared" ca="1" si="17"/>
        <v>0.40999999999999992</v>
      </c>
      <c r="AR121" s="444">
        <f t="shared" ca="1" si="18"/>
        <v>0.34000000000000008</v>
      </c>
      <c r="AS121" s="445">
        <f t="shared" ca="1" si="19"/>
        <v>3.499999999999992E-2</v>
      </c>
    </row>
    <row r="122" spans="31:45">
      <c r="AE122" s="442">
        <f t="shared" ca="1" si="20"/>
        <v>42508</v>
      </c>
      <c r="AF122" s="443">
        <f ca="1">_xll.BDH(AF$5,"PX_LAST",$AE122)</f>
        <v>3.74</v>
      </c>
      <c r="AG122" s="443">
        <f ca="1">_xll.BDH(AG$5,"PX_LAST",$AE122)</f>
        <v>4.09</v>
      </c>
      <c r="AH122" s="443">
        <f ca="1">_xll.BDH(AH$5,"PX_LAST",$AE122)</f>
        <v>4.5199999999999996</v>
      </c>
      <c r="AI122" s="443">
        <f ca="1">_xll.BDH(AI$5,"PX_LAST",$AE122)</f>
        <v>0.76</v>
      </c>
      <c r="AJ122" s="443">
        <f ca="1">_xll.BDH(AJ$5,"PX_LAST",$AE122)</f>
        <v>1.17</v>
      </c>
      <c r="AK122" s="443">
        <f ca="1">_xll.BDH(AK$5,"PX_LAST",$AE122)</f>
        <v>1.52</v>
      </c>
      <c r="AL122" s="444">
        <f t="shared" ca="1" si="22"/>
        <v>0.77999999999999936</v>
      </c>
      <c r="AM122" s="444">
        <f t="shared" ca="1" si="23"/>
        <v>0.34999999999999964</v>
      </c>
      <c r="AN122" s="444">
        <f t="shared" ca="1" si="24"/>
        <v>0.42999999999999972</v>
      </c>
      <c r="AO122" s="444">
        <f t="shared" ca="1" si="25"/>
        <v>-4.0000000000000036E-2</v>
      </c>
      <c r="AP122" s="444">
        <f t="shared" ca="1" si="16"/>
        <v>0.76</v>
      </c>
      <c r="AQ122" s="444">
        <f t="shared" ca="1" si="17"/>
        <v>0.40999999999999992</v>
      </c>
      <c r="AR122" s="444">
        <f t="shared" ca="1" si="18"/>
        <v>0.35000000000000009</v>
      </c>
      <c r="AS122" s="445">
        <f t="shared" ca="1" si="19"/>
        <v>2.9999999999999916E-2</v>
      </c>
    </row>
    <row r="123" spans="31:45">
      <c r="AE123" s="442">
        <f t="shared" ca="1" si="20"/>
        <v>42507</v>
      </c>
      <c r="AF123" s="443">
        <f ca="1">_xll.BDH(AF$5,"PX_LAST",$AE123)</f>
        <v>3.77</v>
      </c>
      <c r="AG123" s="443">
        <f ca="1">_xll.BDH(AG$5,"PX_LAST",$AE123)</f>
        <v>4.09</v>
      </c>
      <c r="AH123" s="443">
        <f ca="1">_xll.BDH(AH$5,"PX_LAST",$AE123)</f>
        <v>4.55</v>
      </c>
      <c r="AI123" s="443">
        <f ca="1">_xll.BDH(AI$5,"PX_LAST",$AE123)</f>
        <v>0.74</v>
      </c>
      <c r="AJ123" s="443">
        <f ca="1">_xll.BDH(AJ$5,"PX_LAST",$AE123)</f>
        <v>1.1599999999999999</v>
      </c>
      <c r="AK123" s="443">
        <f ca="1">_xll.BDH(AK$5,"PX_LAST",$AE123)</f>
        <v>1.52</v>
      </c>
      <c r="AL123" s="444">
        <f t="shared" ca="1" si="22"/>
        <v>0.7799999999999998</v>
      </c>
      <c r="AM123" s="444">
        <f t="shared" ca="1" si="23"/>
        <v>0.31999999999999984</v>
      </c>
      <c r="AN123" s="444">
        <f t="shared" ca="1" si="24"/>
        <v>0.45999999999999996</v>
      </c>
      <c r="AO123" s="444">
        <f t="shared" ca="1" si="25"/>
        <v>-7.0000000000000062E-2</v>
      </c>
      <c r="AP123" s="444">
        <f t="shared" ca="1" si="16"/>
        <v>0.78</v>
      </c>
      <c r="AQ123" s="444">
        <f t="shared" ca="1" si="17"/>
        <v>0.41999999999999993</v>
      </c>
      <c r="AR123" s="444">
        <f t="shared" ca="1" si="18"/>
        <v>0.3600000000000001</v>
      </c>
      <c r="AS123" s="445">
        <f t="shared" ca="1" si="19"/>
        <v>2.9999999999999916E-2</v>
      </c>
    </row>
    <row r="124" spans="31:45">
      <c r="AE124" s="442">
        <f t="shared" ca="1" si="20"/>
        <v>42506</v>
      </c>
      <c r="AF124" s="443">
        <f ca="1">_xll.BDH(AF$5,"PX_LAST",$AE124)</f>
        <v>3.79</v>
      </c>
      <c r="AG124" s="443">
        <f ca="1">_xll.BDH(AG$5,"PX_LAST",$AE124)</f>
        <v>4.12</v>
      </c>
      <c r="AH124" s="443">
        <f ca="1">_xll.BDH(AH$5,"PX_LAST",$AE124)</f>
        <v>4.55</v>
      </c>
      <c r="AI124" s="443">
        <f ca="1">_xll.BDH(AI$5,"PX_LAST",$AE124)</f>
        <v>0.75</v>
      </c>
      <c r="AJ124" s="443">
        <f ca="1">_xll.BDH(AJ$5,"PX_LAST",$AE124)</f>
        <v>1.17</v>
      </c>
      <c r="AK124" s="443">
        <f ca="1">_xll.BDH(AK$5,"PX_LAST",$AE124)</f>
        <v>1.51</v>
      </c>
      <c r="AL124" s="444">
        <f t="shared" ca="1" si="22"/>
        <v>0.75999999999999979</v>
      </c>
      <c r="AM124" s="444">
        <f t="shared" ca="1" si="23"/>
        <v>0.33000000000000007</v>
      </c>
      <c r="AN124" s="444">
        <f t="shared" ca="1" si="24"/>
        <v>0.42999999999999972</v>
      </c>
      <c r="AO124" s="444">
        <f t="shared" ca="1" si="25"/>
        <v>-4.9999999999999822E-2</v>
      </c>
      <c r="AP124" s="444">
        <f t="shared" ca="1" si="16"/>
        <v>0.76</v>
      </c>
      <c r="AQ124" s="444">
        <f t="shared" ca="1" si="17"/>
        <v>0.41999999999999993</v>
      </c>
      <c r="AR124" s="444">
        <f t="shared" ca="1" si="18"/>
        <v>0.34000000000000008</v>
      </c>
      <c r="AS124" s="445">
        <f t="shared" ca="1" si="19"/>
        <v>3.9999999999999925E-2</v>
      </c>
    </row>
    <row r="125" spans="31:45">
      <c r="AE125" s="442">
        <f t="shared" ca="1" si="20"/>
        <v>42503</v>
      </c>
      <c r="AF125" s="443">
        <f ca="1">_xll.BDH(AF$5,"PX_LAST",$AE125)</f>
        <v>3.77</v>
      </c>
      <c r="AG125" s="443">
        <f ca="1">_xll.BDH(AG$5,"PX_LAST",$AE125)</f>
        <v>4.0999999999999996</v>
      </c>
      <c r="AH125" s="443">
        <f ca="1">_xll.BDH(AH$5,"PX_LAST",$AE125)</f>
        <v>4.5199999999999996</v>
      </c>
      <c r="AI125" s="443">
        <f ca="1">_xll.BDH(AI$5,"PX_LAST",$AE125)</f>
        <v>0.76</v>
      </c>
      <c r="AJ125" s="443">
        <f ca="1">_xll.BDH(AJ$5,"PX_LAST",$AE125)</f>
        <v>1.17</v>
      </c>
      <c r="AK125" s="443">
        <f ca="1">_xll.BDH(AK$5,"PX_LAST",$AE125)</f>
        <v>1.51</v>
      </c>
      <c r="AL125" s="444">
        <f t="shared" ca="1" si="22"/>
        <v>0.74999999999999956</v>
      </c>
      <c r="AM125" s="444">
        <f t="shared" ca="1" si="23"/>
        <v>0.32999999999999963</v>
      </c>
      <c r="AN125" s="444">
        <f t="shared" ca="1" si="24"/>
        <v>0.41999999999999993</v>
      </c>
      <c r="AO125" s="444">
        <f t="shared" ca="1" si="25"/>
        <v>-4.5000000000000151E-2</v>
      </c>
      <c r="AP125" s="444">
        <f t="shared" ca="1" si="16"/>
        <v>0.75</v>
      </c>
      <c r="AQ125" s="444">
        <f t="shared" ca="1" si="17"/>
        <v>0.40999999999999992</v>
      </c>
      <c r="AR125" s="444">
        <f t="shared" ca="1" si="18"/>
        <v>0.34000000000000008</v>
      </c>
      <c r="AS125" s="445">
        <f t="shared" ca="1" si="19"/>
        <v>3.499999999999992E-2</v>
      </c>
    </row>
    <row r="126" spans="31:45">
      <c r="AE126" s="442">
        <f t="shared" ca="1" si="20"/>
        <v>42502</v>
      </c>
      <c r="AF126" s="443">
        <f ca="1">_xll.BDH(AF$5,"PX_LAST",$AE126)</f>
        <v>3.76</v>
      </c>
      <c r="AG126" s="443">
        <f ca="1">_xll.BDH(AG$5,"PX_LAST",$AE126)</f>
        <v>4.09</v>
      </c>
      <c r="AH126" s="443">
        <f ca="1">_xll.BDH(AH$5,"PX_LAST",$AE126)</f>
        <v>4.49</v>
      </c>
      <c r="AI126" s="443">
        <f ca="1">_xll.BDH(AI$5,"PX_LAST",$AE126)</f>
        <v>0.79</v>
      </c>
      <c r="AJ126" s="443">
        <f ca="1">_xll.BDH(AJ$5,"PX_LAST",$AE126)</f>
        <v>1.18</v>
      </c>
      <c r="AK126" s="443">
        <f ca="1">_xll.BDH(AK$5,"PX_LAST",$AE126)</f>
        <v>1.52</v>
      </c>
      <c r="AL126" s="444">
        <f t="shared" ca="1" si="22"/>
        <v>0.73000000000000043</v>
      </c>
      <c r="AM126" s="444">
        <f t="shared" ca="1" si="23"/>
        <v>0.33000000000000007</v>
      </c>
      <c r="AN126" s="444">
        <f t="shared" ca="1" si="24"/>
        <v>0.40000000000000036</v>
      </c>
      <c r="AO126" s="444">
        <f t="shared" ca="1" si="25"/>
        <v>-3.5000000000000142E-2</v>
      </c>
      <c r="AP126" s="444">
        <f t="shared" ca="1" si="16"/>
        <v>0.73</v>
      </c>
      <c r="AQ126" s="444">
        <f t="shared" ca="1" si="17"/>
        <v>0.3899999999999999</v>
      </c>
      <c r="AR126" s="444">
        <f t="shared" ca="1" si="18"/>
        <v>0.34000000000000008</v>
      </c>
      <c r="AS126" s="445">
        <f t="shared" ca="1" si="19"/>
        <v>2.4999999999999911E-2</v>
      </c>
    </row>
    <row r="127" spans="31:45">
      <c r="AE127" s="442">
        <f t="shared" ca="1" si="20"/>
        <v>42501</v>
      </c>
      <c r="AF127" s="443">
        <f ca="1">_xll.BDH(AF$5,"PX_LAST",$AE127)</f>
        <v>3.75</v>
      </c>
      <c r="AG127" s="443">
        <f ca="1">_xll.BDH(AG$5,"PX_LAST",$AE127)</f>
        <v>4.07</v>
      </c>
      <c r="AH127" s="443">
        <f ca="1">_xll.BDH(AH$5,"PX_LAST",$AE127)</f>
        <v>4.49</v>
      </c>
      <c r="AI127" s="443">
        <f ca="1">_xll.BDH(AI$5,"PX_LAST",$AE127)</f>
        <v>0.8</v>
      </c>
      <c r="AJ127" s="443">
        <f ca="1">_xll.BDH(AJ$5,"PX_LAST",$AE127)</f>
        <v>1.1599999999999999</v>
      </c>
      <c r="AK127" s="443">
        <f ca="1">_xll.BDH(AK$5,"PX_LAST",$AE127)</f>
        <v>1.49</v>
      </c>
      <c r="AL127" s="444">
        <f t="shared" ca="1" si="22"/>
        <v>0.74000000000000021</v>
      </c>
      <c r="AM127" s="444">
        <f t="shared" ca="1" si="23"/>
        <v>0.32000000000000028</v>
      </c>
      <c r="AN127" s="444">
        <f t="shared" ca="1" si="24"/>
        <v>0.41999999999999993</v>
      </c>
      <c r="AO127" s="444">
        <f t="shared" ca="1" si="25"/>
        <v>-4.9999999999999822E-2</v>
      </c>
      <c r="AP127" s="444">
        <f t="shared" ca="1" si="16"/>
        <v>0.69</v>
      </c>
      <c r="AQ127" s="444">
        <f t="shared" ca="1" si="17"/>
        <v>0.35999999999999988</v>
      </c>
      <c r="AR127" s="444">
        <f t="shared" ca="1" si="18"/>
        <v>0.33000000000000007</v>
      </c>
      <c r="AS127" s="445">
        <f t="shared" ca="1" si="19"/>
        <v>1.4999999999999902E-2</v>
      </c>
    </row>
    <row r="128" spans="31:45">
      <c r="AE128" s="442">
        <f t="shared" ca="1" si="20"/>
        <v>42500</v>
      </c>
      <c r="AF128" s="443">
        <f ca="1">_xll.BDH(AF$5,"PX_LAST",$AE128)</f>
        <v>3.74</v>
      </c>
      <c r="AG128" s="443">
        <f ca="1">_xll.BDH(AG$5,"PX_LAST",$AE128)</f>
        <v>4.0599999999999996</v>
      </c>
      <c r="AH128" s="443">
        <f ca="1">_xll.BDH(AH$5,"PX_LAST",$AE128)</f>
        <v>4.49</v>
      </c>
      <c r="AI128" s="443">
        <f ca="1">_xll.BDH(AI$5,"PX_LAST",$AE128)</f>
        <v>0.78</v>
      </c>
      <c r="AJ128" s="443">
        <f ca="1">_xll.BDH(AJ$5,"PX_LAST",$AE128)</f>
        <v>1.1400000000000001</v>
      </c>
      <c r="AK128" s="443">
        <f ca="1">_xll.BDH(AK$5,"PX_LAST",$AE128)</f>
        <v>1.49</v>
      </c>
      <c r="AL128" s="444">
        <f t="shared" ca="1" si="22"/>
        <v>0.75</v>
      </c>
      <c r="AM128" s="444">
        <f t="shared" ca="1" si="23"/>
        <v>0.3199999999999994</v>
      </c>
      <c r="AN128" s="444">
        <f t="shared" ca="1" si="24"/>
        <v>0.4300000000000006</v>
      </c>
      <c r="AO128" s="444">
        <f t="shared" ca="1" si="25"/>
        <v>-5.5000000000000604E-2</v>
      </c>
      <c r="AP128" s="444">
        <f t="shared" ca="1" si="16"/>
        <v>0.71</v>
      </c>
      <c r="AQ128" s="444">
        <f t="shared" ca="1" si="17"/>
        <v>0.3600000000000001</v>
      </c>
      <c r="AR128" s="444">
        <f t="shared" ca="1" si="18"/>
        <v>0.34999999999999987</v>
      </c>
      <c r="AS128" s="445">
        <f t="shared" ca="1" si="19"/>
        <v>5.0000000000001155E-3</v>
      </c>
    </row>
    <row r="129" spans="31:45">
      <c r="AE129" s="442">
        <f t="shared" ca="1" si="20"/>
        <v>42499</v>
      </c>
      <c r="AF129" s="443">
        <f ca="1">_xll.BDH(AF$5,"PX_LAST",$AE129)</f>
        <v>3.7199999999999998</v>
      </c>
      <c r="AG129" s="443">
        <f ca="1">_xll.BDH(AG$5,"PX_LAST",$AE129)</f>
        <v>4.0599999999999996</v>
      </c>
      <c r="AH129" s="443">
        <f ca="1">_xll.BDH(AH$5,"PX_LAST",$AE129)</f>
        <v>4.49</v>
      </c>
      <c r="AI129" s="443">
        <f ca="1">_xll.BDH(AI$5,"PX_LAST",$AE129)</f>
        <v>0.79</v>
      </c>
      <c r="AJ129" s="443">
        <f ca="1">_xll.BDH(AJ$5,"PX_LAST",$AE129)</f>
        <v>1.1499999999999999</v>
      </c>
      <c r="AK129" s="443">
        <f ca="1">_xll.BDH(AK$5,"PX_LAST",$AE129)</f>
        <v>1.49</v>
      </c>
      <c r="AL129" s="444">
        <f t="shared" ca="1" si="22"/>
        <v>0.77000000000000046</v>
      </c>
      <c r="AM129" s="444">
        <f t="shared" ca="1" si="23"/>
        <v>0.33999999999999986</v>
      </c>
      <c r="AN129" s="444">
        <f t="shared" ca="1" si="24"/>
        <v>0.4300000000000006</v>
      </c>
      <c r="AO129" s="444">
        <f t="shared" ca="1" si="25"/>
        <v>-4.5000000000000373E-2</v>
      </c>
      <c r="AP129" s="444">
        <f t="shared" ca="1" si="16"/>
        <v>0.7</v>
      </c>
      <c r="AQ129" s="444">
        <f t="shared" ca="1" si="17"/>
        <v>0.35999999999999988</v>
      </c>
      <c r="AR129" s="444">
        <f t="shared" ca="1" si="18"/>
        <v>0.34000000000000008</v>
      </c>
      <c r="AS129" s="445">
        <f t="shared" ca="1" si="19"/>
        <v>9.9999999999998979E-3</v>
      </c>
    </row>
    <row r="130" spans="31:45">
      <c r="AE130" s="442">
        <f t="shared" ca="1" si="20"/>
        <v>42496</v>
      </c>
      <c r="AF130" s="443">
        <f ca="1">_xll.BDH(AF$5,"PX_LAST",$AE130)</f>
        <v>3.69</v>
      </c>
      <c r="AG130" s="443">
        <f ca="1">_xll.BDH(AG$5,"PX_LAST",$AE130)</f>
        <v>4.04</v>
      </c>
      <c r="AH130" s="443">
        <f ca="1">_xll.BDH(AH$5,"PX_LAST",$AE130)</f>
        <v>4.47</v>
      </c>
      <c r="AI130" s="443">
        <f ca="1">_xll.BDH(AI$5,"PX_LAST",$AE130)</f>
        <v>0.81</v>
      </c>
      <c r="AJ130" s="443">
        <f ca="1">_xll.BDH(AJ$5,"PX_LAST",$AE130)</f>
        <v>1.17</v>
      </c>
      <c r="AK130" s="443">
        <f ca="1">_xll.BDH(AK$5,"PX_LAST",$AE130)</f>
        <v>1.52</v>
      </c>
      <c r="AL130" s="444">
        <f t="shared" ca="1" si="22"/>
        <v>0.7799999999999998</v>
      </c>
      <c r="AM130" s="444">
        <f t="shared" ca="1" si="23"/>
        <v>0.35000000000000009</v>
      </c>
      <c r="AN130" s="444">
        <f t="shared" ca="1" si="24"/>
        <v>0.42999999999999972</v>
      </c>
      <c r="AO130" s="444">
        <f t="shared" ca="1" si="25"/>
        <v>-3.9999999999999813E-2</v>
      </c>
      <c r="AP130" s="444">
        <f t="shared" ca="1" si="16"/>
        <v>0.71</v>
      </c>
      <c r="AQ130" s="444">
        <f t="shared" ca="1" si="17"/>
        <v>0.35999999999999988</v>
      </c>
      <c r="AR130" s="444">
        <f t="shared" ca="1" si="18"/>
        <v>0.35000000000000009</v>
      </c>
      <c r="AS130" s="445">
        <f t="shared" ca="1" si="19"/>
        <v>4.9999999999998934E-3</v>
      </c>
    </row>
    <row r="131" spans="31:45">
      <c r="AE131" s="442">
        <f t="shared" ca="1" si="20"/>
        <v>42495</v>
      </c>
      <c r="AF131" s="443">
        <f ca="1">_xll.BDH(AF$5,"PX_LAST",$AE131)</f>
        <v>3.7</v>
      </c>
      <c r="AG131" s="443">
        <f ca="1">_xll.BDH(AG$5,"PX_LAST",$AE131)</f>
        <v>4.04</v>
      </c>
      <c r="AH131" s="443">
        <f ca="1">_xll.BDH(AH$5,"PX_LAST",$AE131)</f>
        <v>4.47</v>
      </c>
      <c r="AI131" s="443">
        <f ca="1">_xll.BDH(AI$5,"PX_LAST",$AE131)</f>
        <v>0.84</v>
      </c>
      <c r="AJ131" s="443">
        <f ca="1">_xll.BDH(AJ$5,"PX_LAST",$AE131)</f>
        <v>1.18</v>
      </c>
      <c r="AK131" s="443">
        <f ca="1">_xll.BDH(AK$5,"PX_LAST",$AE131)</f>
        <v>1.51</v>
      </c>
      <c r="AL131" s="444">
        <f t="shared" ca="1" si="22"/>
        <v>0.76999999999999957</v>
      </c>
      <c r="AM131" s="444">
        <f t="shared" ca="1" si="23"/>
        <v>0.33999999999999986</v>
      </c>
      <c r="AN131" s="444">
        <f t="shared" ca="1" si="24"/>
        <v>0.42999999999999972</v>
      </c>
      <c r="AO131" s="444">
        <f t="shared" ca="1" si="25"/>
        <v>-4.4999999999999929E-2</v>
      </c>
      <c r="AP131" s="444">
        <f t="shared" ca="1" si="16"/>
        <v>0.67</v>
      </c>
      <c r="AQ131" s="444">
        <f t="shared" ca="1" si="17"/>
        <v>0.33999999999999997</v>
      </c>
      <c r="AR131" s="444">
        <f t="shared" ca="1" si="18"/>
        <v>0.33000000000000007</v>
      </c>
      <c r="AS131" s="445">
        <f t="shared" ca="1" si="19"/>
        <v>4.9999999999999489E-3</v>
      </c>
    </row>
    <row r="132" spans="31:45">
      <c r="AE132" s="442">
        <f t="shared" ca="1" si="20"/>
        <v>42494</v>
      </c>
      <c r="AF132" s="443">
        <f ca="1">_xll.BDH(AF$5,"PX_LAST",$AE132)</f>
        <v>3.71</v>
      </c>
      <c r="AG132" s="443">
        <f ca="1">_xll.BDH(AG$5,"PX_LAST",$AE132)</f>
        <v>4.05</v>
      </c>
      <c r="AH132" s="443">
        <f ca="1">_xll.BDH(AH$5,"PX_LAST",$AE132)</f>
        <v>4.4800000000000004</v>
      </c>
      <c r="AI132" s="443">
        <f ca="1">_xll.BDH(AI$5,"PX_LAST",$AE132)</f>
        <v>0.83</v>
      </c>
      <c r="AJ132" s="443">
        <f ca="1">_xll.BDH(AJ$5,"PX_LAST",$AE132)</f>
        <v>1.19</v>
      </c>
      <c r="AK132" s="443">
        <f ca="1">_xll.BDH(AK$5,"PX_LAST",$AE132)</f>
        <v>1.52</v>
      </c>
      <c r="AL132" s="444">
        <f t="shared" ca="1" si="22"/>
        <v>0.77000000000000046</v>
      </c>
      <c r="AM132" s="444">
        <f t="shared" ca="1" si="23"/>
        <v>0.33999999999999986</v>
      </c>
      <c r="AN132" s="444">
        <f t="shared" ca="1" si="24"/>
        <v>0.4300000000000006</v>
      </c>
      <c r="AO132" s="444">
        <f t="shared" ca="1" si="25"/>
        <v>-4.5000000000000373E-2</v>
      </c>
      <c r="AP132" s="444">
        <f t="shared" ca="1" si="16"/>
        <v>0.69000000000000006</v>
      </c>
      <c r="AQ132" s="444">
        <f t="shared" ca="1" si="17"/>
        <v>0.36</v>
      </c>
      <c r="AR132" s="444">
        <f t="shared" ca="1" si="18"/>
        <v>0.33000000000000007</v>
      </c>
      <c r="AS132" s="445">
        <f t="shared" ca="1" si="19"/>
        <v>1.4999999999999958E-2</v>
      </c>
    </row>
    <row r="133" spans="31:45">
      <c r="AE133" s="442">
        <f t="shared" ca="1" si="20"/>
        <v>42493</v>
      </c>
      <c r="AF133" s="443">
        <f ca="1">_xll.BDH(AF$5,"PX_LAST",$AE133)</f>
        <v>3.71</v>
      </c>
      <c r="AG133" s="443">
        <f ca="1">_xll.BDH(AG$5,"PX_LAST",$AE133)</f>
        <v>4.05</v>
      </c>
      <c r="AH133" s="443">
        <f ca="1">_xll.BDH(AH$5,"PX_LAST",$AE133)</f>
        <v>4.47</v>
      </c>
      <c r="AI133" s="443">
        <f ca="1">_xll.BDH(AI$5,"PX_LAST",$AE133)</f>
        <v>0.83</v>
      </c>
      <c r="AJ133" s="443">
        <f ca="1">_xll.BDH(AJ$5,"PX_LAST",$AE133)</f>
        <v>1.2</v>
      </c>
      <c r="AK133" s="443">
        <f ca="1">_xll.BDH(AK$5,"PX_LAST",$AE133)</f>
        <v>1.53</v>
      </c>
      <c r="AL133" s="444">
        <f t="shared" ca="1" si="22"/>
        <v>0.75999999999999979</v>
      </c>
      <c r="AM133" s="444">
        <f t="shared" ca="1" si="23"/>
        <v>0.33999999999999986</v>
      </c>
      <c r="AN133" s="444">
        <f t="shared" ca="1" si="24"/>
        <v>0.41999999999999993</v>
      </c>
      <c r="AO133" s="444">
        <f t="shared" ca="1" si="25"/>
        <v>-4.0000000000000036E-2</v>
      </c>
      <c r="AP133" s="444">
        <f t="shared" ca="1" si="16"/>
        <v>0.70000000000000007</v>
      </c>
      <c r="AQ133" s="444">
        <f t="shared" ca="1" si="17"/>
        <v>0.37</v>
      </c>
      <c r="AR133" s="444">
        <f t="shared" ca="1" si="18"/>
        <v>0.33000000000000007</v>
      </c>
      <c r="AS133" s="445">
        <f t="shared" ca="1" si="19"/>
        <v>1.9999999999999962E-2</v>
      </c>
    </row>
    <row r="134" spans="31:45">
      <c r="AE134" s="442">
        <f t="shared" ca="1" si="20"/>
        <v>42492</v>
      </c>
      <c r="AF134" s="443">
        <f ca="1">_xll.BDH(AF$5,"PX_LAST",$AE134)</f>
        <v>3.7</v>
      </c>
      <c r="AG134" s="443">
        <f ca="1">_xll.BDH(AG$5,"PX_LAST",$AE134)</f>
        <v>4.0599999999999996</v>
      </c>
      <c r="AH134" s="443">
        <f ca="1">_xll.BDH(AH$5,"PX_LAST",$AE134)</f>
        <v>4.4800000000000004</v>
      </c>
      <c r="AI134" s="443">
        <f ca="1">_xll.BDH(AI$5,"PX_LAST",$AE134)</f>
        <v>0.84</v>
      </c>
      <c r="AJ134" s="443">
        <f ca="1">_xll.BDH(AJ$5,"PX_LAST",$AE134)</f>
        <v>1.21</v>
      </c>
      <c r="AK134" s="443">
        <f ca="1">_xll.BDH(AK$5,"PX_LAST",$AE134)</f>
        <v>1.53</v>
      </c>
      <c r="AL134" s="444">
        <f t="shared" ca="1" si="22"/>
        <v>0.78000000000000025</v>
      </c>
      <c r="AM134" s="444">
        <f t="shared" ca="1" si="23"/>
        <v>0.35999999999999943</v>
      </c>
      <c r="AN134" s="444">
        <f t="shared" ca="1" si="24"/>
        <v>0.42000000000000082</v>
      </c>
      <c r="AO134" s="444">
        <f t="shared" ca="1" si="25"/>
        <v>-3.0000000000000693E-2</v>
      </c>
      <c r="AP134" s="444">
        <f t="shared" ca="1" si="16"/>
        <v>0.69000000000000006</v>
      </c>
      <c r="AQ134" s="444">
        <f t="shared" ca="1" si="17"/>
        <v>0.37</v>
      </c>
      <c r="AR134" s="444">
        <f t="shared" ca="1" si="18"/>
        <v>0.32000000000000006</v>
      </c>
      <c r="AS134" s="445">
        <f t="shared" ca="1" si="19"/>
        <v>2.4999999999999967E-2</v>
      </c>
    </row>
    <row r="135" spans="31:45">
      <c r="AE135" s="442">
        <f t="shared" ca="1" si="20"/>
        <v>42489</v>
      </c>
      <c r="AF135" s="443">
        <f ca="1">_xll.BDH(AF$5,"PX_LAST",$AE135)</f>
        <v>3.7</v>
      </c>
      <c r="AG135" s="443">
        <f ca="1">_xll.BDH(AG$5,"PX_LAST",$AE135)</f>
        <v>4.0599999999999996</v>
      </c>
      <c r="AH135" s="443">
        <f ca="1">_xll.BDH(AH$5,"PX_LAST",$AE135)</f>
        <v>4.4800000000000004</v>
      </c>
      <c r="AI135" s="443">
        <f ca="1">_xll.BDH(AI$5,"PX_LAST",$AE135)</f>
        <v>0.92</v>
      </c>
      <c r="AJ135" s="443">
        <f ca="1">_xll.BDH(AJ$5,"PX_LAST",$AE135)</f>
        <v>1.22</v>
      </c>
      <c r="AK135" s="443">
        <f ca="1">_xll.BDH(AK$5,"PX_LAST",$AE135)</f>
        <v>1.53</v>
      </c>
      <c r="AL135" s="444">
        <f t="shared" ca="1" si="22"/>
        <v>0.78000000000000025</v>
      </c>
      <c r="AM135" s="444">
        <f t="shared" ca="1" si="23"/>
        <v>0.35999999999999943</v>
      </c>
      <c r="AN135" s="444">
        <f t="shared" ca="1" si="24"/>
        <v>0.42000000000000082</v>
      </c>
      <c r="AO135" s="444">
        <f t="shared" ca="1" si="25"/>
        <v>-3.0000000000000693E-2</v>
      </c>
      <c r="AP135" s="444">
        <f t="shared" ref="AP135:AP198" ca="1" si="26">IFERROR(AK135-AI135,AP134)</f>
        <v>0.61</v>
      </c>
      <c r="AQ135" s="444">
        <f t="shared" ref="AQ135:AQ198" ca="1" si="27">IFERROR(AJ135-AI135,AQ134)</f>
        <v>0.29999999999999993</v>
      </c>
      <c r="AR135" s="444">
        <f t="shared" ref="AR135:AR198" ca="1" si="28">IFERROR(AK135-AJ135,AR134)</f>
        <v>0.31000000000000005</v>
      </c>
      <c r="AS135" s="445">
        <f t="shared" ref="AS135:AS198" ca="1" si="29">(AQ135-AR135)/2</f>
        <v>-5.00000000000006E-3</v>
      </c>
    </row>
    <row r="136" spans="31:45">
      <c r="AE136" s="442">
        <f t="shared" ref="AE136:AE199" ca="1" si="30">WORKDAY(AE135,-1)</f>
        <v>42488</v>
      </c>
      <c r="AF136" s="443">
        <f ca="1">_xll.BDH(AF$5,"PX_LAST",$AE136)</f>
        <v>3.71</v>
      </c>
      <c r="AG136" s="443">
        <f ca="1">_xll.BDH(AG$5,"PX_LAST",$AE136)</f>
        <v>4.07</v>
      </c>
      <c r="AH136" s="443">
        <f ca="1">_xll.BDH(AH$5,"PX_LAST",$AE136)</f>
        <v>4.4800000000000004</v>
      </c>
      <c r="AI136" s="443">
        <f ca="1">_xll.BDH(AI$5,"PX_LAST",$AE136)</f>
        <v>0.9</v>
      </c>
      <c r="AJ136" s="443">
        <f ca="1">_xll.BDH(AJ$5,"PX_LAST",$AE136)</f>
        <v>1.24</v>
      </c>
      <c r="AK136" s="443">
        <f ca="1">_xll.BDH(AK$5,"PX_LAST",$AE136)</f>
        <v>1.54</v>
      </c>
      <c r="AL136" s="444">
        <f t="shared" ca="1" si="22"/>
        <v>0.77000000000000046</v>
      </c>
      <c r="AM136" s="444">
        <f t="shared" ca="1" si="23"/>
        <v>0.36000000000000032</v>
      </c>
      <c r="AN136" s="444">
        <f t="shared" ca="1" si="24"/>
        <v>0.41000000000000014</v>
      </c>
      <c r="AO136" s="444">
        <f t="shared" ca="1" si="25"/>
        <v>-2.4999999999999911E-2</v>
      </c>
      <c r="AP136" s="444">
        <f t="shared" ca="1" si="26"/>
        <v>0.64</v>
      </c>
      <c r="AQ136" s="444">
        <f t="shared" ca="1" si="27"/>
        <v>0.33999999999999997</v>
      </c>
      <c r="AR136" s="444">
        <f t="shared" ca="1" si="28"/>
        <v>0.30000000000000004</v>
      </c>
      <c r="AS136" s="445">
        <f t="shared" ca="1" si="29"/>
        <v>1.9999999999999962E-2</v>
      </c>
    </row>
    <row r="137" spans="31:45">
      <c r="AE137" s="442">
        <f t="shared" ca="1" si="30"/>
        <v>42487</v>
      </c>
      <c r="AF137" s="443">
        <f ca="1">_xll.BDH(AF$5,"PX_LAST",$AE137)</f>
        <v>3.7199999999999998</v>
      </c>
      <c r="AG137" s="443">
        <f ca="1">_xll.BDH(AG$5,"PX_LAST",$AE137)</f>
        <v>4.0999999999999996</v>
      </c>
      <c r="AH137" s="443">
        <f ca="1">_xll.BDH(AH$5,"PX_LAST",$AE137)</f>
        <v>4.5</v>
      </c>
      <c r="AI137" s="443">
        <f ca="1">_xll.BDH(AI$5,"PX_LAST",$AE137)</f>
        <v>0.89</v>
      </c>
      <c r="AJ137" s="443">
        <f ca="1">_xll.BDH(AJ$5,"PX_LAST",$AE137)</f>
        <v>1.26</v>
      </c>
      <c r="AK137" s="443">
        <f ca="1">_xll.BDH(AK$5,"PX_LAST",$AE137)</f>
        <v>1.5699999999999998</v>
      </c>
      <c r="AL137" s="444">
        <f t="shared" ca="1" si="22"/>
        <v>0.78000000000000025</v>
      </c>
      <c r="AM137" s="444">
        <f t="shared" ca="1" si="23"/>
        <v>0.37999999999999989</v>
      </c>
      <c r="AN137" s="444">
        <f t="shared" ca="1" si="24"/>
        <v>0.40000000000000036</v>
      </c>
      <c r="AO137" s="444">
        <f t="shared" ca="1" si="25"/>
        <v>-1.0000000000000231E-2</v>
      </c>
      <c r="AP137" s="444">
        <f t="shared" ca="1" si="26"/>
        <v>0.67999999999999983</v>
      </c>
      <c r="AQ137" s="444">
        <f t="shared" ca="1" si="27"/>
        <v>0.37</v>
      </c>
      <c r="AR137" s="444">
        <f t="shared" ca="1" si="28"/>
        <v>0.30999999999999983</v>
      </c>
      <c r="AS137" s="445">
        <f t="shared" ca="1" si="29"/>
        <v>3.0000000000000082E-2</v>
      </c>
    </row>
    <row r="138" spans="31:45">
      <c r="AE138" s="442">
        <f t="shared" ca="1" si="30"/>
        <v>42486</v>
      </c>
      <c r="AF138" s="443">
        <f ca="1">_xll.BDH(AF$5,"PX_LAST",$AE138)</f>
        <v>3.7199999999999998</v>
      </c>
      <c r="AG138" s="443">
        <f ca="1">_xll.BDH(AG$5,"PX_LAST",$AE138)</f>
        <v>4.1100000000000003</v>
      </c>
      <c r="AH138" s="443">
        <f ca="1">_xll.BDH(AH$5,"PX_LAST",$AE138)</f>
        <v>4.5199999999999996</v>
      </c>
      <c r="AI138" s="443">
        <f ca="1">_xll.BDH(AI$5,"PX_LAST",$AE138)</f>
        <v>0.87</v>
      </c>
      <c r="AJ138" s="443">
        <f ca="1">_xll.BDH(AJ$5,"PX_LAST",$AE138)</f>
        <v>1.28</v>
      </c>
      <c r="AK138" s="443">
        <f ca="1">_xll.BDH(AK$5,"PX_LAST",$AE138)</f>
        <v>1.58</v>
      </c>
      <c r="AL138" s="444">
        <f t="shared" ca="1" si="22"/>
        <v>0.79999999999999982</v>
      </c>
      <c r="AM138" s="444">
        <f t="shared" ca="1" si="23"/>
        <v>0.39000000000000057</v>
      </c>
      <c r="AN138" s="444">
        <f t="shared" ca="1" si="24"/>
        <v>0.40999999999999925</v>
      </c>
      <c r="AO138" s="444">
        <f t="shared" ca="1" si="25"/>
        <v>-9.9999999999993427E-3</v>
      </c>
      <c r="AP138" s="444">
        <f t="shared" ca="1" si="26"/>
        <v>0.71000000000000008</v>
      </c>
      <c r="AQ138" s="444">
        <f t="shared" ca="1" si="27"/>
        <v>0.41000000000000003</v>
      </c>
      <c r="AR138" s="444">
        <f t="shared" ca="1" si="28"/>
        <v>0.30000000000000004</v>
      </c>
      <c r="AS138" s="445">
        <f t="shared" ca="1" si="29"/>
        <v>5.4999999999999993E-2</v>
      </c>
    </row>
    <row r="139" spans="31:45">
      <c r="AE139" s="442">
        <f t="shared" ca="1" si="30"/>
        <v>42485</v>
      </c>
      <c r="AF139" s="443">
        <f ca="1">_xll.BDH(AF$5,"PX_LAST",$AE139)</f>
        <v>3.74</v>
      </c>
      <c r="AG139" s="443">
        <f ca="1">_xll.BDH(AG$5,"PX_LAST",$AE139)</f>
        <v>4.1100000000000003</v>
      </c>
      <c r="AH139" s="443">
        <f ca="1">_xll.BDH(AH$5,"PX_LAST",$AE139)</f>
        <v>4.51</v>
      </c>
      <c r="AI139" s="443">
        <f ca="1">_xll.BDH(AI$5,"PX_LAST",$AE139)</f>
        <v>0.86</v>
      </c>
      <c r="AJ139" s="443">
        <f ca="1">_xll.BDH(AJ$5,"PX_LAST",$AE139)</f>
        <v>1.23</v>
      </c>
      <c r="AK139" s="443">
        <f ca="1">_xll.BDH(AK$5,"PX_LAST",$AE139)</f>
        <v>1.54</v>
      </c>
      <c r="AL139" s="444">
        <f t="shared" ca="1" si="22"/>
        <v>0.76999999999999957</v>
      </c>
      <c r="AM139" s="444">
        <f t="shared" ca="1" si="23"/>
        <v>0.37000000000000011</v>
      </c>
      <c r="AN139" s="444">
        <f t="shared" ca="1" si="24"/>
        <v>0.39999999999999947</v>
      </c>
      <c r="AO139" s="444">
        <f t="shared" ca="1" si="25"/>
        <v>-1.499999999999968E-2</v>
      </c>
      <c r="AP139" s="444">
        <f t="shared" ca="1" si="26"/>
        <v>0.68</v>
      </c>
      <c r="AQ139" s="444">
        <f t="shared" ca="1" si="27"/>
        <v>0.37</v>
      </c>
      <c r="AR139" s="444">
        <f t="shared" ca="1" si="28"/>
        <v>0.31000000000000005</v>
      </c>
      <c r="AS139" s="445">
        <f t="shared" ca="1" si="29"/>
        <v>2.9999999999999971E-2</v>
      </c>
    </row>
    <row r="140" spans="31:45">
      <c r="AE140" s="442">
        <f t="shared" ca="1" si="30"/>
        <v>42482</v>
      </c>
      <c r="AF140" s="443">
        <f ca="1">_xll.BDH(AF$5,"PX_LAST",$AE140)</f>
        <v>3.75</v>
      </c>
      <c r="AG140" s="443">
        <f ca="1">_xll.BDH(AG$5,"PX_LAST",$AE140)</f>
        <v>4.12</v>
      </c>
      <c r="AH140" s="443">
        <f ca="1">_xll.BDH(AH$5,"PX_LAST",$AE140)</f>
        <v>4.5199999999999996</v>
      </c>
      <c r="AI140" s="443">
        <f ca="1">_xll.BDH(AI$5,"PX_LAST",$AE140)</f>
        <v>0.86</v>
      </c>
      <c r="AJ140" s="443">
        <f ca="1">_xll.BDH(AJ$5,"PX_LAST",$AE140)</f>
        <v>1.22</v>
      </c>
      <c r="AK140" s="443">
        <f ca="1">_xll.BDH(AK$5,"PX_LAST",$AE140)</f>
        <v>1.51</v>
      </c>
      <c r="AL140" s="444">
        <f t="shared" ca="1" si="22"/>
        <v>0.76999999999999957</v>
      </c>
      <c r="AM140" s="444">
        <f t="shared" ca="1" si="23"/>
        <v>0.37000000000000011</v>
      </c>
      <c r="AN140" s="444">
        <f t="shared" ca="1" si="24"/>
        <v>0.39999999999999947</v>
      </c>
      <c r="AO140" s="444">
        <f t="shared" ca="1" si="25"/>
        <v>-1.499999999999968E-2</v>
      </c>
      <c r="AP140" s="444">
        <f t="shared" ca="1" si="26"/>
        <v>0.65</v>
      </c>
      <c r="AQ140" s="444">
        <f t="shared" ca="1" si="27"/>
        <v>0.36</v>
      </c>
      <c r="AR140" s="444">
        <f t="shared" ca="1" si="28"/>
        <v>0.29000000000000004</v>
      </c>
      <c r="AS140" s="445">
        <f t="shared" ca="1" si="29"/>
        <v>3.4999999999999976E-2</v>
      </c>
    </row>
    <row r="141" spans="31:45">
      <c r="AE141" s="442">
        <f t="shared" ca="1" si="30"/>
        <v>42481</v>
      </c>
      <c r="AF141" s="443">
        <f ca="1">_xll.BDH(AF$5,"PX_LAST",$AE141)</f>
        <v>3.76</v>
      </c>
      <c r="AG141" s="443">
        <f ca="1">_xll.BDH(AG$5,"PX_LAST",$AE141)</f>
        <v>4.13</v>
      </c>
      <c r="AH141" s="443">
        <f ca="1">_xll.BDH(AH$5,"PX_LAST",$AE141)</f>
        <v>4.55</v>
      </c>
      <c r="AI141" s="443">
        <f ca="1">_xll.BDH(AI$5,"PX_LAST",$AE141)</f>
        <v>0.84</v>
      </c>
      <c r="AJ141" s="443">
        <f ca="1">_xll.BDH(AJ$5,"PX_LAST",$AE141)</f>
        <v>1.2</v>
      </c>
      <c r="AK141" s="443">
        <f ca="1">_xll.BDH(AK$5,"PX_LAST",$AE141)</f>
        <v>1.49</v>
      </c>
      <c r="AL141" s="444">
        <f t="shared" ca="1" si="22"/>
        <v>0.79</v>
      </c>
      <c r="AM141" s="444">
        <f t="shared" ca="1" si="23"/>
        <v>0.37000000000000011</v>
      </c>
      <c r="AN141" s="444">
        <f t="shared" ca="1" si="24"/>
        <v>0.41999999999999993</v>
      </c>
      <c r="AO141" s="444">
        <f t="shared" ca="1" si="25"/>
        <v>-2.4999999999999911E-2</v>
      </c>
      <c r="AP141" s="444">
        <f t="shared" ca="1" si="26"/>
        <v>0.65</v>
      </c>
      <c r="AQ141" s="444">
        <f t="shared" ca="1" si="27"/>
        <v>0.36</v>
      </c>
      <c r="AR141" s="444">
        <f t="shared" ca="1" si="28"/>
        <v>0.29000000000000004</v>
      </c>
      <c r="AS141" s="445">
        <f t="shared" ca="1" si="29"/>
        <v>3.4999999999999976E-2</v>
      </c>
    </row>
    <row r="142" spans="31:45">
      <c r="AE142" s="442">
        <f t="shared" ca="1" si="30"/>
        <v>42480</v>
      </c>
      <c r="AF142" s="443">
        <f ca="1">_xll.BDH(AF$5,"PX_LAST",$AE142)</f>
        <v>3.7199999999999998</v>
      </c>
      <c r="AG142" s="443">
        <f ca="1">_xll.BDH(AG$5,"PX_LAST",$AE142)</f>
        <v>4.12</v>
      </c>
      <c r="AH142" s="443">
        <f ca="1">_xll.BDH(AH$5,"PX_LAST",$AE142)</f>
        <v>4.5199999999999996</v>
      </c>
      <c r="AI142" s="443">
        <f ca="1">_xll.BDH(AI$5,"PX_LAST",$AE142)</f>
        <v>0.84</v>
      </c>
      <c r="AJ142" s="443">
        <f ca="1">_xll.BDH(AJ$5,"PX_LAST",$AE142)</f>
        <v>1.19</v>
      </c>
      <c r="AK142" s="443">
        <f ca="1">_xll.BDH(AK$5,"PX_LAST",$AE142)</f>
        <v>1.46</v>
      </c>
      <c r="AL142" s="444">
        <f t="shared" ca="1" si="22"/>
        <v>0.79999999999999982</v>
      </c>
      <c r="AM142" s="444">
        <f t="shared" ca="1" si="23"/>
        <v>0.40000000000000036</v>
      </c>
      <c r="AN142" s="444">
        <f t="shared" ca="1" si="24"/>
        <v>0.39999999999999947</v>
      </c>
      <c r="AO142" s="444">
        <f t="shared" ca="1" si="25"/>
        <v>4.4408920985006262E-16</v>
      </c>
      <c r="AP142" s="444">
        <f t="shared" ca="1" si="26"/>
        <v>0.62</v>
      </c>
      <c r="AQ142" s="444">
        <f t="shared" ca="1" si="27"/>
        <v>0.35</v>
      </c>
      <c r="AR142" s="444">
        <f t="shared" ca="1" si="28"/>
        <v>0.27</v>
      </c>
      <c r="AS142" s="445">
        <f t="shared" ca="1" si="29"/>
        <v>3.999999999999998E-2</v>
      </c>
    </row>
    <row r="143" spans="31:45">
      <c r="AE143" s="442">
        <f t="shared" ca="1" si="30"/>
        <v>42479</v>
      </c>
      <c r="AF143" s="443">
        <f ca="1">_xll.BDH(AF$5,"PX_LAST",$AE143)</f>
        <v>3.7</v>
      </c>
      <c r="AG143" s="443">
        <f ca="1">_xll.BDH(AG$5,"PX_LAST",$AE143)</f>
        <v>4.0999999999999996</v>
      </c>
      <c r="AH143" s="443">
        <f ca="1">_xll.BDH(AH$5,"PX_LAST",$AE143)</f>
        <v>4.5</v>
      </c>
      <c r="AI143" s="443">
        <f ca="1">_xll.BDH(AI$5,"PX_LAST",$AE143)</f>
        <v>0.79</v>
      </c>
      <c r="AJ143" s="443">
        <f ca="1">_xll.BDH(AJ$5,"PX_LAST",$AE143)</f>
        <v>1.17</v>
      </c>
      <c r="AK143" s="443">
        <f ca="1">_xll.BDH(AK$5,"PX_LAST",$AE143)</f>
        <v>1.43</v>
      </c>
      <c r="AL143" s="444">
        <f t="shared" ca="1" si="22"/>
        <v>0.79999999999999982</v>
      </c>
      <c r="AM143" s="444">
        <f t="shared" ca="1" si="23"/>
        <v>0.39999999999999947</v>
      </c>
      <c r="AN143" s="444">
        <f t="shared" ca="1" si="24"/>
        <v>0.40000000000000036</v>
      </c>
      <c r="AO143" s="444">
        <f t="shared" ca="1" si="25"/>
        <v>-4.4408920985006262E-16</v>
      </c>
      <c r="AP143" s="444">
        <f t="shared" ca="1" si="26"/>
        <v>0.6399999999999999</v>
      </c>
      <c r="AQ143" s="444">
        <f t="shared" ca="1" si="27"/>
        <v>0.37999999999999989</v>
      </c>
      <c r="AR143" s="444">
        <f t="shared" ca="1" si="28"/>
        <v>0.26</v>
      </c>
      <c r="AS143" s="445">
        <f t="shared" ca="1" si="29"/>
        <v>5.9999999999999942E-2</v>
      </c>
    </row>
    <row r="144" spans="31:45">
      <c r="AE144" s="442">
        <f t="shared" ca="1" si="30"/>
        <v>42478</v>
      </c>
      <c r="AF144" s="443">
        <f ca="1">_xll.BDH(AF$5,"PX_LAST",$AE144)</f>
        <v>3.69</v>
      </c>
      <c r="AG144" s="443">
        <f ca="1">_xll.BDH(AG$5,"PX_LAST",$AE144)</f>
        <v>4.08</v>
      </c>
      <c r="AH144" s="443">
        <f ca="1">_xll.BDH(AH$5,"PX_LAST",$AE144)</f>
        <v>4.45</v>
      </c>
      <c r="AI144" s="443">
        <f ca="1">_xll.BDH(AI$5,"PX_LAST",$AE144)</f>
        <v>0.78</v>
      </c>
      <c r="AJ144" s="443">
        <f ca="1">_xll.BDH(AJ$5,"PX_LAST",$AE144)</f>
        <v>1.1400000000000001</v>
      </c>
      <c r="AK144" s="443">
        <f ca="1">_xll.BDH(AK$5,"PX_LAST",$AE144)</f>
        <v>1.41</v>
      </c>
      <c r="AL144" s="444">
        <f t="shared" ca="1" si="22"/>
        <v>0.76000000000000023</v>
      </c>
      <c r="AM144" s="444">
        <f t="shared" ca="1" si="23"/>
        <v>0.39000000000000012</v>
      </c>
      <c r="AN144" s="444">
        <f t="shared" ca="1" si="24"/>
        <v>0.37000000000000011</v>
      </c>
      <c r="AO144" s="444">
        <f t="shared" ca="1" si="25"/>
        <v>1.0000000000000009E-2</v>
      </c>
      <c r="AP144" s="444">
        <f t="shared" ca="1" si="26"/>
        <v>0.62999999999999989</v>
      </c>
      <c r="AQ144" s="444">
        <f t="shared" ca="1" si="27"/>
        <v>0.3600000000000001</v>
      </c>
      <c r="AR144" s="444">
        <f t="shared" ca="1" si="28"/>
        <v>0.2699999999999998</v>
      </c>
      <c r="AS144" s="445">
        <f t="shared" ca="1" si="29"/>
        <v>4.5000000000000151E-2</v>
      </c>
    </row>
    <row r="145" spans="31:45">
      <c r="AE145" s="442">
        <f t="shared" ca="1" si="30"/>
        <v>42475</v>
      </c>
      <c r="AF145" s="443">
        <f ca="1">_xll.BDH(AF$5,"PX_LAST",$AE145)</f>
        <v>3.73</v>
      </c>
      <c r="AG145" s="443">
        <f ca="1">_xll.BDH(AG$5,"PX_LAST",$AE145)</f>
        <v>4.12</v>
      </c>
      <c r="AH145" s="443">
        <f ca="1">_xll.BDH(AH$5,"PX_LAST",$AE145)</f>
        <v>4.4800000000000004</v>
      </c>
      <c r="AI145" s="443">
        <f ca="1">_xll.BDH(AI$5,"PX_LAST",$AE145)</f>
        <v>0.8</v>
      </c>
      <c r="AJ145" s="443">
        <f ca="1">_xll.BDH(AJ$5,"PX_LAST",$AE145)</f>
        <v>1.19</v>
      </c>
      <c r="AK145" s="443">
        <f ca="1">_xll.BDH(AK$5,"PX_LAST",$AE145)</f>
        <v>1.44</v>
      </c>
      <c r="AL145" s="444">
        <f t="shared" ca="1" si="22"/>
        <v>0.75000000000000044</v>
      </c>
      <c r="AM145" s="444">
        <f t="shared" ca="1" si="23"/>
        <v>0.39000000000000012</v>
      </c>
      <c r="AN145" s="444">
        <f t="shared" ca="1" si="24"/>
        <v>0.36000000000000032</v>
      </c>
      <c r="AO145" s="444">
        <f t="shared" ca="1" si="25"/>
        <v>1.4999999999999902E-2</v>
      </c>
      <c r="AP145" s="444">
        <f t="shared" ca="1" si="26"/>
        <v>0.6399999999999999</v>
      </c>
      <c r="AQ145" s="444">
        <f t="shared" ca="1" si="27"/>
        <v>0.3899999999999999</v>
      </c>
      <c r="AR145" s="444">
        <f t="shared" ca="1" si="28"/>
        <v>0.25</v>
      </c>
      <c r="AS145" s="445">
        <f t="shared" ca="1" si="29"/>
        <v>6.9999999999999951E-2</v>
      </c>
    </row>
    <row r="146" spans="31:45">
      <c r="AE146" s="442">
        <f t="shared" ca="1" si="30"/>
        <v>42474</v>
      </c>
      <c r="AF146" s="443">
        <f ca="1">_xll.BDH(AF$5,"PX_LAST",$AE146)</f>
        <v>3.84</v>
      </c>
      <c r="AG146" s="443">
        <f ca="1">_xll.BDH(AG$5,"PX_LAST",$AE146)</f>
        <v>4.0999999999999996</v>
      </c>
      <c r="AH146" s="443">
        <f ca="1">_xll.BDH(AH$5,"PX_LAST",$AE146)</f>
        <v>4.49</v>
      </c>
      <c r="AI146" s="443">
        <f ca="1">_xll.BDH(AI$5,"PX_LAST",$AE146)</f>
        <v>0.82</v>
      </c>
      <c r="AJ146" s="443">
        <f ca="1">_xll.BDH(AJ$5,"PX_LAST",$AE146)</f>
        <v>1.17</v>
      </c>
      <c r="AK146" s="443">
        <f ca="1">_xll.BDH(AK$5,"PX_LAST",$AE146)</f>
        <v>1.48</v>
      </c>
      <c r="AL146" s="444">
        <f t="shared" ca="1" si="22"/>
        <v>0.65000000000000036</v>
      </c>
      <c r="AM146" s="444">
        <f t="shared" ca="1" si="23"/>
        <v>0.25999999999999979</v>
      </c>
      <c r="AN146" s="444">
        <f t="shared" ca="1" si="24"/>
        <v>0.39000000000000057</v>
      </c>
      <c r="AO146" s="444">
        <f t="shared" ca="1" si="25"/>
        <v>-6.5000000000000391E-2</v>
      </c>
      <c r="AP146" s="444">
        <f t="shared" ca="1" si="26"/>
        <v>0.66</v>
      </c>
      <c r="AQ146" s="444">
        <f t="shared" ca="1" si="27"/>
        <v>0.35</v>
      </c>
      <c r="AR146" s="444">
        <f t="shared" ca="1" si="28"/>
        <v>0.31000000000000005</v>
      </c>
      <c r="AS146" s="445">
        <f t="shared" ca="1" si="29"/>
        <v>1.9999999999999962E-2</v>
      </c>
    </row>
    <row r="147" spans="31:45">
      <c r="AE147" s="442">
        <f t="shared" ca="1" si="30"/>
        <v>42473</v>
      </c>
      <c r="AF147" s="443">
        <f ca="1">_xll.BDH(AF$5,"PX_LAST",$AE147)</f>
        <v>3.75</v>
      </c>
      <c r="AG147" s="443">
        <f ca="1">_xll.BDH(AG$5,"PX_LAST",$AE147)</f>
        <v>4.1500000000000004</v>
      </c>
      <c r="AH147" s="443">
        <f ca="1">_xll.BDH(AH$5,"PX_LAST",$AE147)</f>
        <v>4.53</v>
      </c>
      <c r="AI147" s="443">
        <f ca="1">_xll.BDH(AI$5,"PX_LAST",$AE147)</f>
        <v>0.79</v>
      </c>
      <c r="AJ147" s="443">
        <f ca="1">_xll.BDH(AJ$5,"PX_LAST",$AE147)</f>
        <v>1.1599999999999999</v>
      </c>
      <c r="AK147" s="443">
        <f ca="1">_xll.BDH(AK$5,"PX_LAST",$AE147)</f>
        <v>1.43</v>
      </c>
      <c r="AL147" s="444">
        <f t="shared" ca="1" si="22"/>
        <v>0.78000000000000025</v>
      </c>
      <c r="AM147" s="444">
        <f t="shared" ca="1" si="23"/>
        <v>0.40000000000000036</v>
      </c>
      <c r="AN147" s="444">
        <f t="shared" ca="1" si="24"/>
        <v>0.37999999999999989</v>
      </c>
      <c r="AO147" s="444">
        <f t="shared" ca="1" si="25"/>
        <v>1.0000000000000231E-2</v>
      </c>
      <c r="AP147" s="444">
        <f t="shared" ca="1" si="26"/>
        <v>0.6399999999999999</v>
      </c>
      <c r="AQ147" s="444">
        <f t="shared" ca="1" si="27"/>
        <v>0.36999999999999988</v>
      </c>
      <c r="AR147" s="444">
        <f t="shared" ca="1" si="28"/>
        <v>0.27</v>
      </c>
      <c r="AS147" s="445">
        <f t="shared" ca="1" si="29"/>
        <v>4.9999999999999933E-2</v>
      </c>
    </row>
    <row r="148" spans="31:45">
      <c r="AE148" s="442">
        <f t="shared" ca="1" si="30"/>
        <v>42472</v>
      </c>
      <c r="AF148" s="443">
        <f ca="1">_xll.BDH(AF$5,"PX_LAST",$AE148)</f>
        <v>3.77</v>
      </c>
      <c r="AG148" s="443">
        <f ca="1">_xll.BDH(AG$5,"PX_LAST",$AE148)</f>
        <v>4.1399999999999997</v>
      </c>
      <c r="AH148" s="443">
        <f ca="1">_xll.BDH(AH$5,"PX_LAST",$AE148)</f>
        <v>4.53</v>
      </c>
      <c r="AI148" s="443">
        <f ca="1">_xll.BDH(AI$5,"PX_LAST",$AE148)</f>
        <v>0.79</v>
      </c>
      <c r="AJ148" s="443">
        <f ca="1">_xll.BDH(AJ$5,"PX_LAST",$AE148)</f>
        <v>1.17</v>
      </c>
      <c r="AK148" s="443">
        <f ca="1">_xll.BDH(AK$5,"PX_LAST",$AE148)</f>
        <v>1.45</v>
      </c>
      <c r="AL148" s="444">
        <f t="shared" ca="1" si="22"/>
        <v>0.76000000000000023</v>
      </c>
      <c r="AM148" s="444">
        <f t="shared" ca="1" si="23"/>
        <v>0.36999999999999966</v>
      </c>
      <c r="AN148" s="444">
        <f t="shared" ca="1" si="24"/>
        <v>0.39000000000000057</v>
      </c>
      <c r="AO148" s="444">
        <f t="shared" ca="1" si="25"/>
        <v>-1.0000000000000453E-2</v>
      </c>
      <c r="AP148" s="444">
        <f t="shared" ca="1" si="26"/>
        <v>0.65999999999999992</v>
      </c>
      <c r="AQ148" s="444">
        <f t="shared" ca="1" si="27"/>
        <v>0.37999999999999989</v>
      </c>
      <c r="AR148" s="444">
        <f t="shared" ca="1" si="28"/>
        <v>0.28000000000000003</v>
      </c>
      <c r="AS148" s="445">
        <f t="shared" ca="1" si="29"/>
        <v>4.9999999999999933E-2</v>
      </c>
    </row>
    <row r="149" spans="31:45">
      <c r="AE149" s="442">
        <f t="shared" ca="1" si="30"/>
        <v>42471</v>
      </c>
      <c r="AF149" s="443">
        <f ca="1">_xll.BDH(AF$5,"PX_LAST",$AE149)</f>
        <v>3.77</v>
      </c>
      <c r="AG149" s="443">
        <f ca="1">_xll.BDH(AG$5,"PX_LAST",$AE149)</f>
        <v>4.1500000000000004</v>
      </c>
      <c r="AH149" s="443">
        <f ca="1">_xll.BDH(AH$5,"PX_LAST",$AE149)</f>
        <v>4.5600000000000005</v>
      </c>
      <c r="AI149" s="443">
        <f ca="1">_xll.BDH(AI$5,"PX_LAST",$AE149)</f>
        <v>0.8</v>
      </c>
      <c r="AJ149" s="443">
        <f ca="1">_xll.BDH(AJ$5,"PX_LAST",$AE149)</f>
        <v>1.17</v>
      </c>
      <c r="AK149" s="443">
        <f ca="1">_xll.BDH(AK$5,"PX_LAST",$AE149)</f>
        <v>1.46</v>
      </c>
      <c r="AL149" s="444">
        <f t="shared" ca="1" si="22"/>
        <v>0.79000000000000048</v>
      </c>
      <c r="AM149" s="444">
        <f t="shared" ca="1" si="23"/>
        <v>0.38000000000000034</v>
      </c>
      <c r="AN149" s="444">
        <f t="shared" ca="1" si="24"/>
        <v>0.41000000000000014</v>
      </c>
      <c r="AO149" s="444">
        <f t="shared" ca="1" si="25"/>
        <v>-1.4999999999999902E-2</v>
      </c>
      <c r="AP149" s="444">
        <f t="shared" ca="1" si="26"/>
        <v>0.65999999999999992</v>
      </c>
      <c r="AQ149" s="444">
        <f t="shared" ca="1" si="27"/>
        <v>0.36999999999999988</v>
      </c>
      <c r="AR149" s="444">
        <f t="shared" ca="1" si="28"/>
        <v>0.29000000000000004</v>
      </c>
      <c r="AS149" s="445">
        <f t="shared" ca="1" si="29"/>
        <v>3.9999999999999925E-2</v>
      </c>
    </row>
    <row r="150" spans="31:45">
      <c r="AE150" s="442">
        <f t="shared" ca="1" si="30"/>
        <v>42468</v>
      </c>
      <c r="AF150" s="443">
        <f ca="1">_xll.BDH(AF$5,"PX_LAST",$AE150)</f>
        <v>3.7800000000000002</v>
      </c>
      <c r="AG150" s="443">
        <f ca="1">_xll.BDH(AG$5,"PX_LAST",$AE150)</f>
        <v>4.12</v>
      </c>
      <c r="AH150" s="443">
        <f ca="1">_xll.BDH(AH$5,"PX_LAST",$AE150)</f>
        <v>4.55</v>
      </c>
      <c r="AI150" s="443">
        <f ca="1">_xll.BDH(AI$5,"PX_LAST",$AE150)</f>
        <v>0.82</v>
      </c>
      <c r="AJ150" s="443">
        <f ca="1">_xll.BDH(AJ$5,"PX_LAST",$AE150)</f>
        <v>1.1400000000000001</v>
      </c>
      <c r="AK150" s="443">
        <f ca="1">_xll.BDH(AK$5,"PX_LAST",$AE150)</f>
        <v>1.42</v>
      </c>
      <c r="AL150" s="444">
        <f t="shared" ref="AL150:AL213" ca="1" si="31">IFERROR(AH150-AF150,AL149)</f>
        <v>0.76999999999999957</v>
      </c>
      <c r="AM150" s="444">
        <f t="shared" ref="AM150:AM213" ca="1" si="32">IFERROR(AG150-AF150,AM149)</f>
        <v>0.33999999999999986</v>
      </c>
      <c r="AN150" s="444">
        <f t="shared" ref="AN150:AN213" ca="1" si="33">IFERROR(AH150-AG150,AN149)</f>
        <v>0.42999999999999972</v>
      </c>
      <c r="AO150" s="444">
        <f t="shared" ref="AO150:AO213" ca="1" si="34">(AM150-AN150)/2</f>
        <v>-4.4999999999999929E-2</v>
      </c>
      <c r="AP150" s="444">
        <f t="shared" ca="1" si="26"/>
        <v>0.6</v>
      </c>
      <c r="AQ150" s="444">
        <f t="shared" ca="1" si="27"/>
        <v>0.32000000000000017</v>
      </c>
      <c r="AR150" s="444">
        <f t="shared" ca="1" si="28"/>
        <v>0.2799999999999998</v>
      </c>
      <c r="AS150" s="445">
        <f t="shared" ca="1" si="29"/>
        <v>2.0000000000000184E-2</v>
      </c>
    </row>
    <row r="151" spans="31:45">
      <c r="AE151" s="442">
        <f t="shared" ca="1" si="30"/>
        <v>42467</v>
      </c>
      <c r="AF151" s="443">
        <f ca="1">_xll.BDH(AF$5,"PX_LAST",$AE151)</f>
        <v>3.8</v>
      </c>
      <c r="AG151" s="443">
        <f ca="1">_xll.BDH(AG$5,"PX_LAST",$AE151)</f>
        <v>4.1500000000000004</v>
      </c>
      <c r="AH151" s="443">
        <f ca="1">_xll.BDH(AH$5,"PX_LAST",$AE151)</f>
        <v>4.57</v>
      </c>
      <c r="AI151" s="443">
        <f ca="1">_xll.BDH(AI$5,"PX_LAST",$AE151)</f>
        <v>0.79</v>
      </c>
      <c r="AJ151" s="443">
        <f ca="1">_xll.BDH(AJ$5,"PX_LAST",$AE151)</f>
        <v>1.1400000000000001</v>
      </c>
      <c r="AK151" s="443">
        <f ca="1">_xll.BDH(AK$5,"PX_LAST",$AE151)</f>
        <v>1.44</v>
      </c>
      <c r="AL151" s="444">
        <f t="shared" ca="1" si="31"/>
        <v>0.77000000000000046</v>
      </c>
      <c r="AM151" s="444">
        <f t="shared" ca="1" si="32"/>
        <v>0.35000000000000053</v>
      </c>
      <c r="AN151" s="444">
        <f t="shared" ca="1" si="33"/>
        <v>0.41999999999999993</v>
      </c>
      <c r="AO151" s="444">
        <f t="shared" ca="1" si="34"/>
        <v>-3.4999999999999698E-2</v>
      </c>
      <c r="AP151" s="444">
        <f t="shared" ca="1" si="26"/>
        <v>0.64999999999999991</v>
      </c>
      <c r="AQ151" s="444">
        <f t="shared" ca="1" si="27"/>
        <v>0.35000000000000009</v>
      </c>
      <c r="AR151" s="444">
        <f t="shared" ca="1" si="28"/>
        <v>0.29999999999999982</v>
      </c>
      <c r="AS151" s="445">
        <f t="shared" ca="1" si="29"/>
        <v>2.5000000000000133E-2</v>
      </c>
    </row>
    <row r="152" spans="31:45">
      <c r="AE152" s="442">
        <f t="shared" ca="1" si="30"/>
        <v>42466</v>
      </c>
      <c r="AF152" s="443">
        <f ca="1">_xll.BDH(AF$5,"PX_LAST",$AE152)</f>
        <v>3.82</v>
      </c>
      <c r="AG152" s="443">
        <f ca="1">_xll.BDH(AG$5,"PX_LAST",$AE152)</f>
        <v>4.16</v>
      </c>
      <c r="AH152" s="443">
        <f ca="1">_xll.BDH(AH$5,"PX_LAST",$AE152)</f>
        <v>4.57</v>
      </c>
      <c r="AI152" s="443">
        <f ca="1">_xll.BDH(AI$5,"PX_LAST",$AE152)</f>
        <v>0.79</v>
      </c>
      <c r="AJ152" s="443">
        <f ca="1">_xll.BDH(AJ$5,"PX_LAST",$AE152)</f>
        <v>1.1499999999999999</v>
      </c>
      <c r="AK152" s="443">
        <f ca="1">_xll.BDH(AK$5,"PX_LAST",$AE152)</f>
        <v>1.45</v>
      </c>
      <c r="AL152" s="444">
        <f t="shared" ca="1" si="31"/>
        <v>0.75000000000000044</v>
      </c>
      <c r="AM152" s="444">
        <f t="shared" ca="1" si="32"/>
        <v>0.3400000000000003</v>
      </c>
      <c r="AN152" s="444">
        <f t="shared" ca="1" si="33"/>
        <v>0.41000000000000014</v>
      </c>
      <c r="AO152" s="444">
        <f t="shared" ca="1" si="34"/>
        <v>-3.499999999999992E-2</v>
      </c>
      <c r="AP152" s="444">
        <f t="shared" ca="1" si="26"/>
        <v>0.65999999999999992</v>
      </c>
      <c r="AQ152" s="444">
        <f t="shared" ca="1" si="27"/>
        <v>0.35999999999999988</v>
      </c>
      <c r="AR152" s="444">
        <f t="shared" ca="1" si="28"/>
        <v>0.30000000000000004</v>
      </c>
      <c r="AS152" s="445">
        <f t="shared" ca="1" si="29"/>
        <v>2.9999999999999916E-2</v>
      </c>
    </row>
    <row r="153" spans="31:45">
      <c r="AE153" s="442">
        <f t="shared" ca="1" si="30"/>
        <v>42465</v>
      </c>
      <c r="AF153" s="443">
        <f ca="1">_xll.BDH(AF$5,"PX_LAST",$AE153)</f>
        <v>3.79</v>
      </c>
      <c r="AG153" s="443">
        <f ca="1">_xll.BDH(AG$5,"PX_LAST",$AE153)</f>
        <v>4.1399999999999997</v>
      </c>
      <c r="AH153" s="443">
        <f ca="1">_xll.BDH(AH$5,"PX_LAST",$AE153)</f>
        <v>4.54</v>
      </c>
      <c r="AI153" s="443">
        <f ca="1">_xll.BDH(AI$5,"PX_LAST",$AE153)</f>
        <v>0.79</v>
      </c>
      <c r="AJ153" s="443">
        <f ca="1">_xll.BDH(AJ$5,"PX_LAST",$AE153)</f>
        <v>1.1499999999999999</v>
      </c>
      <c r="AK153" s="443">
        <f ca="1">_xll.BDH(AK$5,"PX_LAST",$AE153)</f>
        <v>1.45</v>
      </c>
      <c r="AL153" s="444">
        <f t="shared" ca="1" si="31"/>
        <v>0.75</v>
      </c>
      <c r="AM153" s="444">
        <f t="shared" ca="1" si="32"/>
        <v>0.34999999999999964</v>
      </c>
      <c r="AN153" s="444">
        <f t="shared" ca="1" si="33"/>
        <v>0.40000000000000036</v>
      </c>
      <c r="AO153" s="444">
        <f t="shared" ca="1" si="34"/>
        <v>-2.5000000000000355E-2</v>
      </c>
      <c r="AP153" s="444">
        <f t="shared" ca="1" si="26"/>
        <v>0.65999999999999992</v>
      </c>
      <c r="AQ153" s="444">
        <f t="shared" ca="1" si="27"/>
        <v>0.35999999999999988</v>
      </c>
      <c r="AR153" s="444">
        <f t="shared" ca="1" si="28"/>
        <v>0.30000000000000004</v>
      </c>
      <c r="AS153" s="445">
        <f t="shared" ca="1" si="29"/>
        <v>2.9999999999999916E-2</v>
      </c>
    </row>
    <row r="154" spans="31:45">
      <c r="AE154" s="442">
        <f t="shared" ca="1" si="30"/>
        <v>42464</v>
      </c>
      <c r="AF154" s="443">
        <f ca="1">_xll.BDH(AF$5,"PX_LAST",$AE154)</f>
        <v>3.82</v>
      </c>
      <c r="AG154" s="443">
        <f ca="1">_xll.BDH(AG$5,"PX_LAST",$AE154)</f>
        <v>4.16</v>
      </c>
      <c r="AH154" s="443">
        <f ca="1">_xll.BDH(AH$5,"PX_LAST",$AE154)</f>
        <v>4.58</v>
      </c>
      <c r="AI154" s="443">
        <f ca="1">_xll.BDH(AI$5,"PX_LAST",$AE154)</f>
        <v>0.8</v>
      </c>
      <c r="AJ154" s="443">
        <f ca="1">_xll.BDH(AJ$5,"PX_LAST",$AE154)</f>
        <v>1.1499999999999999</v>
      </c>
      <c r="AK154" s="443">
        <f ca="1">_xll.BDH(AK$5,"PX_LAST",$AE154)</f>
        <v>1.47</v>
      </c>
      <c r="AL154" s="444">
        <f t="shared" ca="1" si="31"/>
        <v>0.76000000000000023</v>
      </c>
      <c r="AM154" s="444">
        <f t="shared" ca="1" si="32"/>
        <v>0.3400000000000003</v>
      </c>
      <c r="AN154" s="444">
        <f t="shared" ca="1" si="33"/>
        <v>0.41999999999999993</v>
      </c>
      <c r="AO154" s="444">
        <f t="shared" ca="1" si="34"/>
        <v>-3.9999999999999813E-2</v>
      </c>
      <c r="AP154" s="444">
        <f t="shared" ca="1" si="26"/>
        <v>0.66999999999999993</v>
      </c>
      <c r="AQ154" s="444">
        <f t="shared" ca="1" si="27"/>
        <v>0.34999999999999987</v>
      </c>
      <c r="AR154" s="444">
        <f t="shared" ca="1" si="28"/>
        <v>0.32000000000000006</v>
      </c>
      <c r="AS154" s="445">
        <f t="shared" ca="1" si="29"/>
        <v>1.4999999999999902E-2</v>
      </c>
    </row>
    <row r="155" spans="31:45">
      <c r="AE155" s="442">
        <f t="shared" ca="1" si="30"/>
        <v>42461</v>
      </c>
      <c r="AF155" s="443">
        <f ca="1">_xll.BDH(AF$5,"PX_LAST",$AE155)</f>
        <v>3.84</v>
      </c>
      <c r="AG155" s="443">
        <f ca="1">_xll.BDH(AG$5,"PX_LAST",$AE155)</f>
        <v>4.18</v>
      </c>
      <c r="AH155" s="443">
        <f ca="1">_xll.BDH(AH$5,"PX_LAST",$AE155)</f>
        <v>4.58</v>
      </c>
      <c r="AI155" s="443">
        <f ca="1">_xll.BDH(AI$5,"PX_LAST",$AE155)</f>
        <v>0.82</v>
      </c>
      <c r="AJ155" s="443">
        <f ca="1">_xll.BDH(AJ$5,"PX_LAST",$AE155)</f>
        <v>1.17</v>
      </c>
      <c r="AK155" s="443">
        <f ca="1">_xll.BDH(AK$5,"PX_LAST",$AE155)</f>
        <v>1.48</v>
      </c>
      <c r="AL155" s="444">
        <f t="shared" ca="1" si="31"/>
        <v>0.74000000000000021</v>
      </c>
      <c r="AM155" s="444">
        <f t="shared" ca="1" si="32"/>
        <v>0.33999999999999986</v>
      </c>
      <c r="AN155" s="444">
        <f t="shared" ca="1" si="33"/>
        <v>0.40000000000000036</v>
      </c>
      <c r="AO155" s="444">
        <f t="shared" ca="1" si="34"/>
        <v>-3.0000000000000249E-2</v>
      </c>
      <c r="AP155" s="444">
        <f t="shared" ca="1" si="26"/>
        <v>0.66</v>
      </c>
      <c r="AQ155" s="444">
        <f t="shared" ca="1" si="27"/>
        <v>0.35</v>
      </c>
      <c r="AR155" s="444">
        <f t="shared" ca="1" si="28"/>
        <v>0.31000000000000005</v>
      </c>
      <c r="AS155" s="445">
        <f t="shared" ca="1" si="29"/>
        <v>1.9999999999999962E-2</v>
      </c>
    </row>
    <row r="156" spans="31:45">
      <c r="AE156" s="442">
        <f t="shared" ca="1" si="30"/>
        <v>42460</v>
      </c>
      <c r="AF156" s="443">
        <f ca="1">_xll.BDH(AF$5,"PX_LAST",$AE156)</f>
        <v>3.84</v>
      </c>
      <c r="AG156" s="443">
        <f ca="1">_xll.BDH(AG$5,"PX_LAST",$AE156)</f>
        <v>4.1900000000000004</v>
      </c>
      <c r="AH156" s="443">
        <f ca="1">_xll.BDH(AH$5,"PX_LAST",$AE156)</f>
        <v>4.58</v>
      </c>
      <c r="AI156" s="443">
        <f ca="1">_xll.BDH(AI$5,"PX_LAST",$AE156)</f>
        <v>0.79</v>
      </c>
      <c r="AJ156" s="443">
        <f ca="1">_xll.BDH(AJ$5,"PX_LAST",$AE156)</f>
        <v>1.18</v>
      </c>
      <c r="AK156" s="443">
        <f ca="1">_xll.BDH(AK$5,"PX_LAST",$AE156)</f>
        <v>1.48</v>
      </c>
      <c r="AL156" s="444">
        <f t="shared" ca="1" si="31"/>
        <v>0.74000000000000021</v>
      </c>
      <c r="AM156" s="444">
        <f t="shared" ca="1" si="32"/>
        <v>0.35000000000000053</v>
      </c>
      <c r="AN156" s="444">
        <f t="shared" ca="1" si="33"/>
        <v>0.38999999999999968</v>
      </c>
      <c r="AO156" s="444">
        <f t="shared" ca="1" si="34"/>
        <v>-1.9999999999999574E-2</v>
      </c>
      <c r="AP156" s="444">
        <f t="shared" ca="1" si="26"/>
        <v>0.69</v>
      </c>
      <c r="AQ156" s="444">
        <f t="shared" ca="1" si="27"/>
        <v>0.3899999999999999</v>
      </c>
      <c r="AR156" s="444">
        <f t="shared" ca="1" si="28"/>
        <v>0.30000000000000004</v>
      </c>
      <c r="AS156" s="445">
        <f t="shared" ca="1" si="29"/>
        <v>4.4999999999999929E-2</v>
      </c>
    </row>
    <row r="157" spans="31:45">
      <c r="AE157" s="442">
        <f t="shared" ca="1" si="30"/>
        <v>42459</v>
      </c>
      <c r="AF157" s="443">
        <f ca="1">_xll.BDH(AF$5,"PX_LAST",$AE157)</f>
        <v>3.85</v>
      </c>
      <c r="AG157" s="443">
        <f ca="1">_xll.BDH(AG$5,"PX_LAST",$AE157)</f>
        <v>4.18</v>
      </c>
      <c r="AH157" s="443">
        <f ca="1">_xll.BDH(AH$5,"PX_LAST",$AE157)</f>
        <v>4.5600000000000005</v>
      </c>
      <c r="AI157" s="443">
        <f ca="1">_xll.BDH(AI$5,"PX_LAST",$AE157)</f>
        <v>0.81</v>
      </c>
      <c r="AJ157" s="443">
        <f ca="1">_xll.BDH(AJ$5,"PX_LAST",$AE157)</f>
        <v>1.2</v>
      </c>
      <c r="AK157" s="443">
        <f ca="1">_xll.BDH(AK$5,"PX_LAST",$AE157)</f>
        <v>1.48</v>
      </c>
      <c r="AL157" s="444">
        <f t="shared" ca="1" si="31"/>
        <v>0.71000000000000041</v>
      </c>
      <c r="AM157" s="444">
        <f t="shared" ca="1" si="32"/>
        <v>0.32999999999999963</v>
      </c>
      <c r="AN157" s="444">
        <f t="shared" ca="1" si="33"/>
        <v>0.38000000000000078</v>
      </c>
      <c r="AO157" s="444">
        <f t="shared" ca="1" si="34"/>
        <v>-2.5000000000000577E-2</v>
      </c>
      <c r="AP157" s="444">
        <f t="shared" ca="1" si="26"/>
        <v>0.66999999999999993</v>
      </c>
      <c r="AQ157" s="444">
        <f t="shared" ca="1" si="27"/>
        <v>0.3899999999999999</v>
      </c>
      <c r="AR157" s="444">
        <f t="shared" ca="1" si="28"/>
        <v>0.28000000000000003</v>
      </c>
      <c r="AS157" s="445">
        <f t="shared" ca="1" si="29"/>
        <v>5.4999999999999938E-2</v>
      </c>
    </row>
    <row r="158" spans="31:45">
      <c r="AE158" s="442">
        <f t="shared" ca="1" si="30"/>
        <v>42458</v>
      </c>
      <c r="AF158" s="443">
        <f ca="1">_xll.BDH(AF$5,"PX_LAST",$AE158)</f>
        <v>3.84</v>
      </c>
      <c r="AG158" s="443">
        <f ca="1">_xll.BDH(AG$5,"PX_LAST",$AE158)</f>
        <v>4.1900000000000004</v>
      </c>
      <c r="AH158" s="443">
        <f ca="1">_xll.BDH(AH$5,"PX_LAST",$AE158)</f>
        <v>4.57</v>
      </c>
      <c r="AI158" s="443">
        <f ca="1">_xll.BDH(AI$5,"PX_LAST",$AE158)</f>
        <v>0.82</v>
      </c>
      <c r="AJ158" s="443">
        <f ca="1">_xll.BDH(AJ$5,"PX_LAST",$AE158)</f>
        <v>1.19</v>
      </c>
      <c r="AK158" s="443">
        <f ca="1">_xll.BDH(AK$5,"PX_LAST",$AE158)</f>
        <v>1.49</v>
      </c>
      <c r="AL158" s="444">
        <f t="shared" ca="1" si="31"/>
        <v>0.73000000000000043</v>
      </c>
      <c r="AM158" s="444">
        <f t="shared" ca="1" si="32"/>
        <v>0.35000000000000053</v>
      </c>
      <c r="AN158" s="444">
        <f t="shared" ca="1" si="33"/>
        <v>0.37999999999999989</v>
      </c>
      <c r="AO158" s="444">
        <f t="shared" ca="1" si="34"/>
        <v>-1.499999999999968E-2</v>
      </c>
      <c r="AP158" s="444">
        <f t="shared" ca="1" si="26"/>
        <v>0.67</v>
      </c>
      <c r="AQ158" s="444">
        <f t="shared" ca="1" si="27"/>
        <v>0.37</v>
      </c>
      <c r="AR158" s="444">
        <f t="shared" ca="1" si="28"/>
        <v>0.30000000000000004</v>
      </c>
      <c r="AS158" s="445">
        <f t="shared" ca="1" si="29"/>
        <v>3.4999999999999976E-2</v>
      </c>
    </row>
    <row r="159" spans="31:45">
      <c r="AE159" s="442">
        <f t="shared" ca="1" si="30"/>
        <v>42457</v>
      </c>
      <c r="AF159" s="443">
        <f ca="1">_xll.BDH(AF$5,"PX_LAST",$AE159)</f>
        <v>3.86</v>
      </c>
      <c r="AG159" s="443">
        <f ca="1">_xll.BDH(AG$5,"PX_LAST",$AE159)</f>
        <v>4.22</v>
      </c>
      <c r="AH159" s="443">
        <f ca="1">_xll.BDH(AH$5,"PX_LAST",$AE159)</f>
        <v>4.57</v>
      </c>
      <c r="AI159" s="443">
        <f ca="1">_xll.BDH(AI$5,"PX_LAST",$AE159)</f>
        <v>0.78</v>
      </c>
      <c r="AJ159" s="443">
        <f ca="1">_xll.BDH(AJ$5,"PX_LAST",$AE159)</f>
        <v>1.17</v>
      </c>
      <c r="AK159" s="443">
        <f ca="1">_xll.BDH(AK$5,"PX_LAST",$AE159)</f>
        <v>1.48</v>
      </c>
      <c r="AL159" s="444">
        <f t="shared" ca="1" si="31"/>
        <v>0.71000000000000041</v>
      </c>
      <c r="AM159" s="444">
        <f t="shared" ca="1" si="32"/>
        <v>0.35999999999999988</v>
      </c>
      <c r="AN159" s="444">
        <f t="shared" ca="1" si="33"/>
        <v>0.35000000000000053</v>
      </c>
      <c r="AO159" s="444">
        <f t="shared" ca="1" si="34"/>
        <v>4.9999999999996714E-3</v>
      </c>
      <c r="AP159" s="444">
        <f t="shared" ca="1" si="26"/>
        <v>0.7</v>
      </c>
      <c r="AQ159" s="444">
        <f t="shared" ca="1" si="27"/>
        <v>0.3899999999999999</v>
      </c>
      <c r="AR159" s="444">
        <f t="shared" ca="1" si="28"/>
        <v>0.31000000000000005</v>
      </c>
      <c r="AS159" s="445">
        <f t="shared" ca="1" si="29"/>
        <v>3.9999999999999925E-2</v>
      </c>
    </row>
    <row r="160" spans="31:45">
      <c r="AE160" s="442">
        <f t="shared" ca="1" si="30"/>
        <v>42454</v>
      </c>
      <c r="AF160" s="443" t="str">
        <f ca="1">_xll.BDH(AF$5,"PX_LAST",$AE160)</f>
        <v>#N/A N/A</v>
      </c>
      <c r="AG160" s="443" t="str">
        <f ca="1">_xll.BDH(AG$5,"PX_LAST",$AE160)</f>
        <v>#N/A N/A</v>
      </c>
      <c r="AH160" s="443" t="str">
        <f ca="1">_xll.BDH(AH$5,"PX_LAST",$AE160)</f>
        <v>#N/A N/A</v>
      </c>
      <c r="AI160" s="443" t="str">
        <f ca="1">_xll.BDH(AI$5,"PX_LAST",$AE160)</f>
        <v>#N/A N/A</v>
      </c>
      <c r="AJ160" s="443" t="str">
        <f ca="1">_xll.BDH(AJ$5,"PX_LAST",$AE160)</f>
        <v>#N/A N/A</v>
      </c>
      <c r="AK160" s="443" t="str">
        <f ca="1">_xll.BDH(AK$5,"PX_LAST",$AE160)</f>
        <v>#N/A N/A</v>
      </c>
      <c r="AL160" s="444">
        <f t="shared" ca="1" si="31"/>
        <v>0.71000000000000041</v>
      </c>
      <c r="AM160" s="444">
        <f t="shared" ca="1" si="32"/>
        <v>0.35999999999999988</v>
      </c>
      <c r="AN160" s="444">
        <f t="shared" ca="1" si="33"/>
        <v>0.35000000000000053</v>
      </c>
      <c r="AO160" s="444">
        <f t="shared" ca="1" si="34"/>
        <v>4.9999999999996714E-3</v>
      </c>
      <c r="AP160" s="444">
        <f t="shared" ca="1" si="26"/>
        <v>0.7</v>
      </c>
      <c r="AQ160" s="444">
        <f t="shared" ca="1" si="27"/>
        <v>0.3899999999999999</v>
      </c>
      <c r="AR160" s="444">
        <f t="shared" ca="1" si="28"/>
        <v>0.31000000000000005</v>
      </c>
      <c r="AS160" s="445">
        <f t="shared" ca="1" si="29"/>
        <v>3.9999999999999925E-2</v>
      </c>
    </row>
    <row r="161" spans="31:45">
      <c r="AE161" s="442">
        <f t="shared" ca="1" si="30"/>
        <v>42453</v>
      </c>
      <c r="AF161" s="443">
        <f ca="1">_xll.BDH(AF$5,"PX_LAST",$AE161)</f>
        <v>3.88</v>
      </c>
      <c r="AG161" s="443">
        <f ca="1">_xll.BDH(AG$5,"PX_LAST",$AE161)</f>
        <v>4.25</v>
      </c>
      <c r="AH161" s="443">
        <f ca="1">_xll.BDH(AH$5,"PX_LAST",$AE161)</f>
        <v>4.58</v>
      </c>
      <c r="AI161" s="443">
        <f ca="1">_xll.BDH(AI$5,"PX_LAST",$AE161)</f>
        <v>0.74</v>
      </c>
      <c r="AJ161" s="443">
        <f ca="1">_xll.BDH(AJ$5,"PX_LAST",$AE161)</f>
        <v>1.1599999999999999</v>
      </c>
      <c r="AK161" s="443">
        <f ca="1">_xll.BDH(AK$5,"PX_LAST",$AE161)</f>
        <v>1.47</v>
      </c>
      <c r="AL161" s="444">
        <f t="shared" ca="1" si="31"/>
        <v>0.70000000000000018</v>
      </c>
      <c r="AM161" s="444">
        <f t="shared" ca="1" si="32"/>
        <v>0.37000000000000011</v>
      </c>
      <c r="AN161" s="444">
        <f t="shared" ca="1" si="33"/>
        <v>0.33000000000000007</v>
      </c>
      <c r="AO161" s="444">
        <f t="shared" ca="1" si="34"/>
        <v>2.0000000000000018E-2</v>
      </c>
      <c r="AP161" s="444">
        <f t="shared" ca="1" si="26"/>
        <v>0.73</v>
      </c>
      <c r="AQ161" s="444">
        <f t="shared" ca="1" si="27"/>
        <v>0.41999999999999993</v>
      </c>
      <c r="AR161" s="444">
        <f t="shared" ca="1" si="28"/>
        <v>0.31000000000000005</v>
      </c>
      <c r="AS161" s="445">
        <f t="shared" ca="1" si="29"/>
        <v>5.4999999999999938E-2</v>
      </c>
    </row>
    <row r="162" spans="31:45">
      <c r="AE162" s="442">
        <f t="shared" ca="1" si="30"/>
        <v>42452</v>
      </c>
      <c r="AF162" s="443">
        <f ca="1">_xll.BDH(AF$5,"PX_LAST",$AE162)</f>
        <v>3.88</v>
      </c>
      <c r="AG162" s="443">
        <f ca="1">_xll.BDH(AG$5,"PX_LAST",$AE162)</f>
        <v>4.24</v>
      </c>
      <c r="AH162" s="443">
        <f ca="1">_xll.BDH(AH$5,"PX_LAST",$AE162)</f>
        <v>4.57</v>
      </c>
      <c r="AI162" s="443">
        <f ca="1">_xll.BDH(AI$5,"PX_LAST",$AE162)</f>
        <v>0.72</v>
      </c>
      <c r="AJ162" s="443">
        <f ca="1">_xll.BDH(AJ$5,"PX_LAST",$AE162)</f>
        <v>1.1599999999999999</v>
      </c>
      <c r="AK162" s="443">
        <f ca="1">_xll.BDH(AK$5,"PX_LAST",$AE162)</f>
        <v>1.45</v>
      </c>
      <c r="AL162" s="444">
        <f t="shared" ca="1" si="31"/>
        <v>0.69000000000000039</v>
      </c>
      <c r="AM162" s="444">
        <f t="shared" ca="1" si="32"/>
        <v>0.36000000000000032</v>
      </c>
      <c r="AN162" s="444">
        <f t="shared" ca="1" si="33"/>
        <v>0.33000000000000007</v>
      </c>
      <c r="AO162" s="444">
        <f t="shared" ca="1" si="34"/>
        <v>1.5000000000000124E-2</v>
      </c>
      <c r="AP162" s="444">
        <f t="shared" ca="1" si="26"/>
        <v>0.73</v>
      </c>
      <c r="AQ162" s="444">
        <f t="shared" ca="1" si="27"/>
        <v>0.43999999999999995</v>
      </c>
      <c r="AR162" s="444">
        <f t="shared" ca="1" si="28"/>
        <v>0.29000000000000004</v>
      </c>
      <c r="AS162" s="445">
        <f t="shared" ca="1" si="29"/>
        <v>7.4999999999999956E-2</v>
      </c>
    </row>
    <row r="163" spans="31:45">
      <c r="AE163" s="442">
        <f t="shared" ca="1" si="30"/>
        <v>42451</v>
      </c>
      <c r="AF163" s="443">
        <f ca="1">_xll.BDH(AF$5,"PX_LAST",$AE163)</f>
        <v>3.86</v>
      </c>
      <c r="AG163" s="443">
        <f ca="1">_xll.BDH(AG$5,"PX_LAST",$AE163)</f>
        <v>4.2300000000000004</v>
      </c>
      <c r="AH163" s="443">
        <f ca="1">_xll.BDH(AH$5,"PX_LAST",$AE163)</f>
        <v>4.57</v>
      </c>
      <c r="AI163" s="443">
        <f ca="1">_xll.BDH(AI$5,"PX_LAST",$AE163)</f>
        <v>0.73</v>
      </c>
      <c r="AJ163" s="443">
        <f ca="1">_xll.BDH(AJ$5,"PX_LAST",$AE163)</f>
        <v>1.1499999999999999</v>
      </c>
      <c r="AK163" s="443">
        <f ca="1">_xll.BDH(AK$5,"PX_LAST",$AE163)</f>
        <v>1.44</v>
      </c>
      <c r="AL163" s="444">
        <f t="shared" ca="1" si="31"/>
        <v>0.71000000000000041</v>
      </c>
      <c r="AM163" s="444">
        <f t="shared" ca="1" si="32"/>
        <v>0.37000000000000055</v>
      </c>
      <c r="AN163" s="444">
        <f t="shared" ca="1" si="33"/>
        <v>0.33999999999999986</v>
      </c>
      <c r="AO163" s="444">
        <f t="shared" ca="1" si="34"/>
        <v>1.5000000000000346E-2</v>
      </c>
      <c r="AP163" s="444">
        <f t="shared" ca="1" si="26"/>
        <v>0.71</v>
      </c>
      <c r="AQ163" s="444">
        <f t="shared" ca="1" si="27"/>
        <v>0.41999999999999993</v>
      </c>
      <c r="AR163" s="444">
        <f t="shared" ca="1" si="28"/>
        <v>0.29000000000000004</v>
      </c>
      <c r="AS163" s="445">
        <f t="shared" ca="1" si="29"/>
        <v>6.4999999999999947E-2</v>
      </c>
    </row>
    <row r="164" spans="31:45">
      <c r="AE164" s="442">
        <f t="shared" ca="1" si="30"/>
        <v>42450</v>
      </c>
      <c r="AF164" s="443">
        <f ca="1">_xll.BDH(AF$5,"PX_LAST",$AE164)</f>
        <v>3.87</v>
      </c>
      <c r="AG164" s="443">
        <f ca="1">_xll.BDH(AG$5,"PX_LAST",$AE164)</f>
        <v>4.24</v>
      </c>
      <c r="AH164" s="443">
        <f ca="1">_xll.BDH(AH$5,"PX_LAST",$AE164)</f>
        <v>4.5600000000000005</v>
      </c>
      <c r="AI164" s="443">
        <f ca="1">_xll.BDH(AI$5,"PX_LAST",$AE164)</f>
        <v>0.73</v>
      </c>
      <c r="AJ164" s="443">
        <f ca="1">_xll.BDH(AJ$5,"PX_LAST",$AE164)</f>
        <v>1.1400000000000001</v>
      </c>
      <c r="AK164" s="443">
        <f ca="1">_xll.BDH(AK$5,"PX_LAST",$AE164)</f>
        <v>1.42</v>
      </c>
      <c r="AL164" s="444">
        <f t="shared" ca="1" si="31"/>
        <v>0.69000000000000039</v>
      </c>
      <c r="AM164" s="444">
        <f t="shared" ca="1" si="32"/>
        <v>0.37000000000000011</v>
      </c>
      <c r="AN164" s="444">
        <f t="shared" ca="1" si="33"/>
        <v>0.32000000000000028</v>
      </c>
      <c r="AO164" s="444">
        <f t="shared" ca="1" si="34"/>
        <v>2.4999999999999911E-2</v>
      </c>
      <c r="AP164" s="444">
        <f t="shared" ca="1" si="26"/>
        <v>0.69</v>
      </c>
      <c r="AQ164" s="444">
        <f t="shared" ca="1" si="27"/>
        <v>0.41000000000000014</v>
      </c>
      <c r="AR164" s="444">
        <f t="shared" ca="1" si="28"/>
        <v>0.2799999999999998</v>
      </c>
      <c r="AS164" s="445">
        <f t="shared" ca="1" si="29"/>
        <v>6.5000000000000169E-2</v>
      </c>
    </row>
    <row r="165" spans="31:45">
      <c r="AE165" s="442">
        <f t="shared" ca="1" si="30"/>
        <v>42447</v>
      </c>
      <c r="AF165" s="443">
        <f ca="1">_xll.BDH(AF$5,"PX_LAST",$AE165)</f>
        <v>3.86</v>
      </c>
      <c r="AG165" s="443">
        <f ca="1">_xll.BDH(AG$5,"PX_LAST",$AE165)</f>
        <v>4.2300000000000004</v>
      </c>
      <c r="AH165" s="443">
        <f ca="1">_xll.BDH(AH$5,"PX_LAST",$AE165)</f>
        <v>4.5600000000000005</v>
      </c>
      <c r="AI165" s="443">
        <f ca="1">_xll.BDH(AI$5,"PX_LAST",$AE165)</f>
        <v>0.72</v>
      </c>
      <c r="AJ165" s="443">
        <f ca="1">_xll.BDH(AJ$5,"PX_LAST",$AE165)</f>
        <v>1.1400000000000001</v>
      </c>
      <c r="AK165" s="443">
        <f ca="1">_xll.BDH(AK$5,"PX_LAST",$AE165)</f>
        <v>1.42</v>
      </c>
      <c r="AL165" s="444">
        <f t="shared" ca="1" si="31"/>
        <v>0.70000000000000062</v>
      </c>
      <c r="AM165" s="444">
        <f t="shared" ca="1" si="32"/>
        <v>0.37000000000000055</v>
      </c>
      <c r="AN165" s="444">
        <f t="shared" ca="1" si="33"/>
        <v>0.33000000000000007</v>
      </c>
      <c r="AO165" s="444">
        <f t="shared" ca="1" si="34"/>
        <v>2.000000000000024E-2</v>
      </c>
      <c r="AP165" s="444">
        <f t="shared" ca="1" si="26"/>
        <v>0.7</v>
      </c>
      <c r="AQ165" s="444">
        <f t="shared" ca="1" si="27"/>
        <v>0.42000000000000015</v>
      </c>
      <c r="AR165" s="444">
        <f t="shared" ca="1" si="28"/>
        <v>0.2799999999999998</v>
      </c>
      <c r="AS165" s="445">
        <f t="shared" ca="1" si="29"/>
        <v>7.0000000000000173E-2</v>
      </c>
    </row>
    <row r="166" spans="31:45">
      <c r="AE166" s="442">
        <f t="shared" ca="1" si="30"/>
        <v>42446</v>
      </c>
      <c r="AF166" s="443">
        <f ca="1">_xll.BDH(AF$5,"PX_LAST",$AE166)</f>
        <v>3.89</v>
      </c>
      <c r="AG166" s="443">
        <f ca="1">_xll.BDH(AG$5,"PX_LAST",$AE166)</f>
        <v>4.2</v>
      </c>
      <c r="AH166" s="443">
        <f ca="1">_xll.BDH(AH$5,"PX_LAST",$AE166)</f>
        <v>4.57</v>
      </c>
      <c r="AI166" s="443">
        <f ca="1">_xll.BDH(AI$5,"PX_LAST",$AE166)</f>
        <v>0.75</v>
      </c>
      <c r="AJ166" s="443">
        <f ca="1">_xll.BDH(AJ$5,"PX_LAST",$AE166)</f>
        <v>1.19</v>
      </c>
      <c r="AK166" s="443">
        <f ca="1">_xll.BDH(AK$5,"PX_LAST",$AE166)</f>
        <v>1.48</v>
      </c>
      <c r="AL166" s="444">
        <f t="shared" ca="1" si="31"/>
        <v>0.68000000000000016</v>
      </c>
      <c r="AM166" s="444">
        <f t="shared" ca="1" si="32"/>
        <v>0.31000000000000005</v>
      </c>
      <c r="AN166" s="444">
        <f t="shared" ca="1" si="33"/>
        <v>0.37000000000000011</v>
      </c>
      <c r="AO166" s="444">
        <f t="shared" ca="1" si="34"/>
        <v>-3.0000000000000027E-2</v>
      </c>
      <c r="AP166" s="444">
        <f t="shared" ca="1" si="26"/>
        <v>0.73</v>
      </c>
      <c r="AQ166" s="444">
        <f t="shared" ca="1" si="27"/>
        <v>0.43999999999999995</v>
      </c>
      <c r="AR166" s="444">
        <f t="shared" ca="1" si="28"/>
        <v>0.29000000000000004</v>
      </c>
      <c r="AS166" s="445">
        <f t="shared" ca="1" si="29"/>
        <v>7.4999999999999956E-2</v>
      </c>
    </row>
    <row r="167" spans="31:45">
      <c r="AE167" s="442">
        <f t="shared" ca="1" si="30"/>
        <v>42445</v>
      </c>
      <c r="AF167" s="443">
        <f ca="1">_xll.BDH(AF$5,"PX_LAST",$AE167)</f>
        <v>3.95</v>
      </c>
      <c r="AG167" s="443">
        <f ca="1">_xll.BDH(AG$5,"PX_LAST",$AE167)</f>
        <v>4.28</v>
      </c>
      <c r="AH167" s="443">
        <f ca="1">_xll.BDH(AH$5,"PX_LAST",$AE167)</f>
        <v>4.5999999999999996</v>
      </c>
      <c r="AI167" s="443">
        <f ca="1">_xll.BDH(AI$5,"PX_LAST",$AE167)</f>
        <v>0.79</v>
      </c>
      <c r="AJ167" s="443">
        <f ca="1">_xll.BDH(AJ$5,"PX_LAST",$AE167)</f>
        <v>1.21</v>
      </c>
      <c r="AK167" s="443">
        <f ca="1">_xll.BDH(AK$5,"PX_LAST",$AE167)</f>
        <v>1.51</v>
      </c>
      <c r="AL167" s="444">
        <f t="shared" ca="1" si="31"/>
        <v>0.64999999999999947</v>
      </c>
      <c r="AM167" s="444">
        <f t="shared" ca="1" si="32"/>
        <v>0.33000000000000007</v>
      </c>
      <c r="AN167" s="444">
        <f t="shared" ca="1" si="33"/>
        <v>0.3199999999999994</v>
      </c>
      <c r="AO167" s="444">
        <f t="shared" ca="1" si="34"/>
        <v>5.0000000000003375E-3</v>
      </c>
      <c r="AP167" s="444">
        <f t="shared" ca="1" si="26"/>
        <v>0.72</v>
      </c>
      <c r="AQ167" s="444">
        <f t="shared" ca="1" si="27"/>
        <v>0.41999999999999993</v>
      </c>
      <c r="AR167" s="444">
        <f t="shared" ca="1" si="28"/>
        <v>0.30000000000000004</v>
      </c>
      <c r="AS167" s="445">
        <f t="shared" ca="1" si="29"/>
        <v>5.9999999999999942E-2</v>
      </c>
    </row>
    <row r="168" spans="31:45">
      <c r="AE168" s="442">
        <f t="shared" ca="1" si="30"/>
        <v>42444</v>
      </c>
      <c r="AF168" s="443">
        <f ca="1">_xll.BDH(AF$5,"PX_LAST",$AE168)</f>
        <v>3.94</v>
      </c>
      <c r="AG168" s="443">
        <f ca="1">_xll.BDH(AG$5,"PX_LAST",$AE168)</f>
        <v>4.2699999999999996</v>
      </c>
      <c r="AH168" s="443">
        <f ca="1">_xll.BDH(AH$5,"PX_LAST",$AE168)</f>
        <v>4.58</v>
      </c>
      <c r="AI168" s="443">
        <f ca="1">_xll.BDH(AI$5,"PX_LAST",$AE168)</f>
        <v>0.78</v>
      </c>
      <c r="AJ168" s="443">
        <f ca="1">_xll.BDH(AJ$5,"PX_LAST",$AE168)</f>
        <v>1.21</v>
      </c>
      <c r="AK168" s="443">
        <f ca="1">_xll.BDH(AK$5,"PX_LAST",$AE168)</f>
        <v>1.51</v>
      </c>
      <c r="AL168" s="444">
        <f t="shared" ca="1" si="31"/>
        <v>0.64000000000000012</v>
      </c>
      <c r="AM168" s="444">
        <f t="shared" ca="1" si="32"/>
        <v>0.32999999999999963</v>
      </c>
      <c r="AN168" s="444">
        <f t="shared" ca="1" si="33"/>
        <v>0.3100000000000005</v>
      </c>
      <c r="AO168" s="444">
        <f t="shared" ca="1" si="34"/>
        <v>9.9999999999995648E-3</v>
      </c>
      <c r="AP168" s="444">
        <f t="shared" ca="1" si="26"/>
        <v>0.73</v>
      </c>
      <c r="AQ168" s="444">
        <f t="shared" ca="1" si="27"/>
        <v>0.42999999999999994</v>
      </c>
      <c r="AR168" s="444">
        <f t="shared" ca="1" si="28"/>
        <v>0.30000000000000004</v>
      </c>
      <c r="AS168" s="445">
        <f t="shared" ca="1" si="29"/>
        <v>6.4999999999999947E-2</v>
      </c>
    </row>
    <row r="169" spans="31:45">
      <c r="AE169" s="442">
        <f t="shared" ca="1" si="30"/>
        <v>42443</v>
      </c>
      <c r="AF169" s="443">
        <f ca="1">_xll.BDH(AF$5,"PX_LAST",$AE169)</f>
        <v>3.93</v>
      </c>
      <c r="AG169" s="443">
        <f ca="1">_xll.BDH(AG$5,"PX_LAST",$AE169)</f>
        <v>4.26</v>
      </c>
      <c r="AH169" s="443">
        <f ca="1">_xll.BDH(AH$5,"PX_LAST",$AE169)</f>
        <v>4.58</v>
      </c>
      <c r="AI169" s="443">
        <f ca="1">_xll.BDH(AI$5,"PX_LAST",$AE169)</f>
        <v>0.77</v>
      </c>
      <c r="AJ169" s="443">
        <f ca="1">_xll.BDH(AJ$5,"PX_LAST",$AE169)</f>
        <v>1.19</v>
      </c>
      <c r="AK169" s="443">
        <f ca="1">_xll.BDH(AK$5,"PX_LAST",$AE169)</f>
        <v>1.53</v>
      </c>
      <c r="AL169" s="444">
        <f t="shared" ca="1" si="31"/>
        <v>0.64999999999999991</v>
      </c>
      <c r="AM169" s="444">
        <f t="shared" ca="1" si="32"/>
        <v>0.32999999999999963</v>
      </c>
      <c r="AN169" s="444">
        <f t="shared" ca="1" si="33"/>
        <v>0.32000000000000028</v>
      </c>
      <c r="AO169" s="444">
        <f t="shared" ca="1" si="34"/>
        <v>4.9999999999996714E-3</v>
      </c>
      <c r="AP169" s="444">
        <f t="shared" ca="1" si="26"/>
        <v>0.76</v>
      </c>
      <c r="AQ169" s="444">
        <f t="shared" ca="1" si="27"/>
        <v>0.41999999999999993</v>
      </c>
      <c r="AR169" s="444">
        <f t="shared" ca="1" si="28"/>
        <v>0.34000000000000008</v>
      </c>
      <c r="AS169" s="445">
        <f t="shared" ca="1" si="29"/>
        <v>3.9999999999999925E-2</v>
      </c>
    </row>
    <row r="170" spans="31:45">
      <c r="AE170" s="442">
        <f t="shared" ca="1" si="30"/>
        <v>42440</v>
      </c>
      <c r="AF170" s="443">
        <f ca="1">_xll.BDH(AF$5,"PX_LAST",$AE170)</f>
        <v>3.88</v>
      </c>
      <c r="AG170" s="443">
        <f ca="1">_xll.BDH(AG$5,"PX_LAST",$AE170)</f>
        <v>4.21</v>
      </c>
      <c r="AH170" s="443">
        <f ca="1">_xll.BDH(AH$5,"PX_LAST",$AE170)</f>
        <v>4.55</v>
      </c>
      <c r="AI170" s="443">
        <f ca="1">_xll.BDH(AI$5,"PX_LAST",$AE170)</f>
        <v>0.76</v>
      </c>
      <c r="AJ170" s="443">
        <f ca="1">_xll.BDH(AJ$5,"PX_LAST",$AE170)</f>
        <v>1.17</v>
      </c>
      <c r="AK170" s="443">
        <f ca="1">_xll.BDH(AK$5,"PX_LAST",$AE170)</f>
        <v>1.51</v>
      </c>
      <c r="AL170" s="444">
        <f t="shared" ca="1" si="31"/>
        <v>0.66999999999999993</v>
      </c>
      <c r="AM170" s="444">
        <f t="shared" ca="1" si="32"/>
        <v>0.33000000000000007</v>
      </c>
      <c r="AN170" s="444">
        <f t="shared" ca="1" si="33"/>
        <v>0.33999999999999986</v>
      </c>
      <c r="AO170" s="444">
        <f t="shared" ca="1" si="34"/>
        <v>-4.9999999999998934E-3</v>
      </c>
      <c r="AP170" s="444">
        <f t="shared" ca="1" si="26"/>
        <v>0.75</v>
      </c>
      <c r="AQ170" s="444">
        <f t="shared" ca="1" si="27"/>
        <v>0.40999999999999992</v>
      </c>
      <c r="AR170" s="444">
        <f t="shared" ca="1" si="28"/>
        <v>0.34000000000000008</v>
      </c>
      <c r="AS170" s="445">
        <f t="shared" ca="1" si="29"/>
        <v>3.499999999999992E-2</v>
      </c>
    </row>
    <row r="171" spans="31:45">
      <c r="AE171" s="442">
        <f t="shared" ca="1" si="30"/>
        <v>42439</v>
      </c>
      <c r="AF171" s="443">
        <f ca="1">_xll.BDH(AF$5,"PX_LAST",$AE171)</f>
        <v>3.86</v>
      </c>
      <c r="AG171" s="443">
        <f ca="1">_xll.BDH(AG$5,"PX_LAST",$AE171)</f>
        <v>4.1900000000000004</v>
      </c>
      <c r="AH171" s="443">
        <f ca="1">_xll.BDH(AH$5,"PX_LAST",$AE171)</f>
        <v>4.53</v>
      </c>
      <c r="AI171" s="443">
        <f ca="1">_xll.BDH(AI$5,"PX_LAST",$AE171)</f>
        <v>0.76</v>
      </c>
      <c r="AJ171" s="443">
        <f ca="1">_xll.BDH(AJ$5,"PX_LAST",$AE171)</f>
        <v>1.18</v>
      </c>
      <c r="AK171" s="443">
        <f ca="1">_xll.BDH(AK$5,"PX_LAST",$AE171)</f>
        <v>1.51</v>
      </c>
      <c r="AL171" s="444">
        <f t="shared" ca="1" si="31"/>
        <v>0.67000000000000037</v>
      </c>
      <c r="AM171" s="444">
        <f t="shared" ca="1" si="32"/>
        <v>0.33000000000000052</v>
      </c>
      <c r="AN171" s="444">
        <f t="shared" ca="1" si="33"/>
        <v>0.33999999999999986</v>
      </c>
      <c r="AO171" s="444">
        <f t="shared" ca="1" si="34"/>
        <v>-4.9999999999996714E-3</v>
      </c>
      <c r="AP171" s="444">
        <f t="shared" ca="1" si="26"/>
        <v>0.75</v>
      </c>
      <c r="AQ171" s="444">
        <f t="shared" ca="1" si="27"/>
        <v>0.41999999999999993</v>
      </c>
      <c r="AR171" s="444">
        <f t="shared" ca="1" si="28"/>
        <v>0.33000000000000007</v>
      </c>
      <c r="AS171" s="445">
        <f t="shared" ca="1" si="29"/>
        <v>4.4999999999999929E-2</v>
      </c>
    </row>
    <row r="172" spans="31:45">
      <c r="AE172" s="442">
        <f t="shared" ca="1" si="30"/>
        <v>42438</v>
      </c>
      <c r="AF172" s="443">
        <f ca="1">_xll.BDH(AF$5,"PX_LAST",$AE172)</f>
        <v>3.85</v>
      </c>
      <c r="AG172" s="443">
        <f ca="1">_xll.BDH(AG$5,"PX_LAST",$AE172)</f>
        <v>4.2</v>
      </c>
      <c r="AH172" s="443">
        <f ca="1">_xll.BDH(AH$5,"PX_LAST",$AE172)</f>
        <v>4.54</v>
      </c>
      <c r="AI172" s="443">
        <f ca="1">_xll.BDH(AI$5,"PX_LAST",$AE172)</f>
        <v>0.74</v>
      </c>
      <c r="AJ172" s="443">
        <f ca="1">_xll.BDH(AJ$5,"PX_LAST",$AE172)</f>
        <v>1.18</v>
      </c>
      <c r="AK172" s="443">
        <f ca="1">_xll.BDH(AK$5,"PX_LAST",$AE172)</f>
        <v>1.5</v>
      </c>
      <c r="AL172" s="444">
        <f t="shared" ca="1" si="31"/>
        <v>0.69</v>
      </c>
      <c r="AM172" s="444">
        <f t="shared" ca="1" si="32"/>
        <v>0.35000000000000009</v>
      </c>
      <c r="AN172" s="444">
        <f t="shared" ca="1" si="33"/>
        <v>0.33999999999999986</v>
      </c>
      <c r="AO172" s="444">
        <f t="shared" ca="1" si="34"/>
        <v>5.0000000000001155E-3</v>
      </c>
      <c r="AP172" s="444">
        <f t="shared" ca="1" si="26"/>
        <v>0.76</v>
      </c>
      <c r="AQ172" s="444">
        <f t="shared" ca="1" si="27"/>
        <v>0.43999999999999995</v>
      </c>
      <c r="AR172" s="444">
        <f t="shared" ca="1" si="28"/>
        <v>0.32000000000000006</v>
      </c>
      <c r="AS172" s="445">
        <f t="shared" ca="1" si="29"/>
        <v>5.9999999999999942E-2</v>
      </c>
    </row>
    <row r="173" spans="31:45">
      <c r="AE173" s="442">
        <f t="shared" ca="1" si="30"/>
        <v>42437</v>
      </c>
      <c r="AF173" s="443">
        <f ca="1">_xll.BDH(AF$5,"PX_LAST",$AE173)</f>
        <v>3.83</v>
      </c>
      <c r="AG173" s="443">
        <f ca="1">_xll.BDH(AG$5,"PX_LAST",$AE173)</f>
        <v>4.17</v>
      </c>
      <c r="AH173" s="443">
        <f ca="1">_xll.BDH(AH$5,"PX_LAST",$AE173)</f>
        <v>4.51</v>
      </c>
      <c r="AI173" s="443">
        <f ca="1">_xll.BDH(AI$5,"PX_LAST",$AE173)</f>
        <v>0.73</v>
      </c>
      <c r="AJ173" s="443">
        <f ca="1">_xll.BDH(AJ$5,"PX_LAST",$AE173)</f>
        <v>1.17</v>
      </c>
      <c r="AK173" s="443">
        <f ca="1">_xll.BDH(AK$5,"PX_LAST",$AE173)</f>
        <v>1.51</v>
      </c>
      <c r="AL173" s="444">
        <f t="shared" ca="1" si="31"/>
        <v>0.67999999999999972</v>
      </c>
      <c r="AM173" s="444">
        <f t="shared" ca="1" si="32"/>
        <v>0.33999999999999986</v>
      </c>
      <c r="AN173" s="444">
        <f t="shared" ca="1" si="33"/>
        <v>0.33999999999999986</v>
      </c>
      <c r="AO173" s="444">
        <f t="shared" ca="1" si="34"/>
        <v>0</v>
      </c>
      <c r="AP173" s="444">
        <f t="shared" ca="1" si="26"/>
        <v>0.78</v>
      </c>
      <c r="AQ173" s="444">
        <f t="shared" ca="1" si="27"/>
        <v>0.43999999999999995</v>
      </c>
      <c r="AR173" s="444">
        <f t="shared" ca="1" si="28"/>
        <v>0.34000000000000008</v>
      </c>
      <c r="AS173" s="445">
        <f t="shared" ca="1" si="29"/>
        <v>4.9999999999999933E-2</v>
      </c>
    </row>
    <row r="174" spans="31:45">
      <c r="AE174" s="442">
        <f t="shared" ca="1" si="30"/>
        <v>42436</v>
      </c>
      <c r="AF174" s="443">
        <f ca="1">_xll.BDH(AF$5,"PX_LAST",$AE174)</f>
        <v>3.82</v>
      </c>
      <c r="AG174" s="443">
        <f ca="1">_xll.BDH(AG$5,"PX_LAST",$AE174)</f>
        <v>4.1500000000000004</v>
      </c>
      <c r="AH174" s="443">
        <f ca="1">_xll.BDH(AH$5,"PX_LAST",$AE174)</f>
        <v>4.53</v>
      </c>
      <c r="AI174" s="443">
        <f ca="1">_xll.BDH(AI$5,"PX_LAST",$AE174)</f>
        <v>0.76</v>
      </c>
      <c r="AJ174" s="443">
        <f ca="1">_xll.BDH(AJ$5,"PX_LAST",$AE174)</f>
        <v>1.22</v>
      </c>
      <c r="AK174" s="443">
        <f ca="1">_xll.BDH(AK$5,"PX_LAST",$AE174)</f>
        <v>1.54</v>
      </c>
      <c r="AL174" s="444">
        <f t="shared" ca="1" si="31"/>
        <v>0.71000000000000041</v>
      </c>
      <c r="AM174" s="444">
        <f t="shared" ca="1" si="32"/>
        <v>0.33000000000000052</v>
      </c>
      <c r="AN174" s="444">
        <f t="shared" ca="1" si="33"/>
        <v>0.37999999999999989</v>
      </c>
      <c r="AO174" s="444">
        <f t="shared" ca="1" si="34"/>
        <v>-2.4999999999999689E-2</v>
      </c>
      <c r="AP174" s="444">
        <f t="shared" ca="1" si="26"/>
        <v>0.78</v>
      </c>
      <c r="AQ174" s="444">
        <f t="shared" ca="1" si="27"/>
        <v>0.45999999999999996</v>
      </c>
      <c r="AR174" s="444">
        <f t="shared" ca="1" si="28"/>
        <v>0.32000000000000006</v>
      </c>
      <c r="AS174" s="445">
        <f t="shared" ca="1" si="29"/>
        <v>6.9999999999999951E-2</v>
      </c>
    </row>
    <row r="175" spans="31:45">
      <c r="AE175" s="442">
        <f t="shared" ca="1" si="30"/>
        <v>42433</v>
      </c>
      <c r="AF175" s="443">
        <f ca="1">_xll.BDH(AF$5,"PX_LAST",$AE175)</f>
        <v>3.7800000000000002</v>
      </c>
      <c r="AG175" s="443">
        <f ca="1">_xll.BDH(AG$5,"PX_LAST",$AE175)</f>
        <v>4.0999999999999996</v>
      </c>
      <c r="AH175" s="443">
        <f ca="1">_xll.BDH(AH$5,"PX_LAST",$AE175)</f>
        <v>4.5</v>
      </c>
      <c r="AI175" s="443">
        <f ca="1">_xll.BDH(AI$5,"PX_LAST",$AE175)</f>
        <v>0.75</v>
      </c>
      <c r="AJ175" s="443">
        <f ca="1">_xll.BDH(AJ$5,"PX_LAST",$AE175)</f>
        <v>1.19</v>
      </c>
      <c r="AK175" s="443">
        <f ca="1">_xll.BDH(AK$5,"PX_LAST",$AE175)</f>
        <v>1.51</v>
      </c>
      <c r="AL175" s="444">
        <f t="shared" ca="1" si="31"/>
        <v>0.71999999999999975</v>
      </c>
      <c r="AM175" s="444">
        <f t="shared" ca="1" si="32"/>
        <v>0.3199999999999994</v>
      </c>
      <c r="AN175" s="444">
        <f t="shared" ca="1" si="33"/>
        <v>0.40000000000000036</v>
      </c>
      <c r="AO175" s="444">
        <f t="shared" ca="1" si="34"/>
        <v>-4.000000000000048E-2</v>
      </c>
      <c r="AP175" s="444">
        <f t="shared" ca="1" si="26"/>
        <v>0.76</v>
      </c>
      <c r="AQ175" s="444">
        <f t="shared" ca="1" si="27"/>
        <v>0.43999999999999995</v>
      </c>
      <c r="AR175" s="444">
        <f t="shared" ca="1" si="28"/>
        <v>0.32000000000000006</v>
      </c>
      <c r="AS175" s="445">
        <f t="shared" ca="1" si="29"/>
        <v>5.9999999999999942E-2</v>
      </c>
    </row>
    <row r="176" spans="31:45">
      <c r="AE176" s="442">
        <f t="shared" ca="1" si="30"/>
        <v>42432</v>
      </c>
      <c r="AF176" s="443">
        <f ca="1">_xll.BDH(AF$5,"PX_LAST",$AE176)</f>
        <v>3.77</v>
      </c>
      <c r="AG176" s="443">
        <f ca="1">_xll.BDH(AG$5,"PX_LAST",$AE176)</f>
        <v>4.0999999999999996</v>
      </c>
      <c r="AH176" s="443">
        <f ca="1">_xll.BDH(AH$5,"PX_LAST",$AE176)</f>
        <v>4.5</v>
      </c>
      <c r="AI176" s="443">
        <f ca="1">_xll.BDH(AI$5,"PX_LAST",$AE176)</f>
        <v>0.69</v>
      </c>
      <c r="AJ176" s="443">
        <f ca="1">_xll.BDH(AJ$5,"PX_LAST",$AE176)</f>
        <v>1.1599999999999999</v>
      </c>
      <c r="AK176" s="443">
        <f ca="1">_xll.BDH(AK$5,"PX_LAST",$AE176)</f>
        <v>1.49</v>
      </c>
      <c r="AL176" s="444">
        <f t="shared" ca="1" si="31"/>
        <v>0.73</v>
      </c>
      <c r="AM176" s="444">
        <f t="shared" ca="1" si="32"/>
        <v>0.32999999999999963</v>
      </c>
      <c r="AN176" s="444">
        <f t="shared" ca="1" si="33"/>
        <v>0.40000000000000036</v>
      </c>
      <c r="AO176" s="444">
        <f t="shared" ca="1" si="34"/>
        <v>-3.5000000000000364E-2</v>
      </c>
      <c r="AP176" s="444">
        <f t="shared" ca="1" si="26"/>
        <v>0.8</v>
      </c>
      <c r="AQ176" s="444">
        <f t="shared" ca="1" si="27"/>
        <v>0.47</v>
      </c>
      <c r="AR176" s="444">
        <f t="shared" ca="1" si="28"/>
        <v>0.33000000000000007</v>
      </c>
      <c r="AS176" s="445">
        <f t="shared" ca="1" si="29"/>
        <v>6.9999999999999951E-2</v>
      </c>
    </row>
    <row r="177" spans="31:45">
      <c r="AE177" s="442">
        <f t="shared" ca="1" si="30"/>
        <v>42431</v>
      </c>
      <c r="AF177" s="443">
        <f ca="1">_xll.BDH(AF$5,"PX_LAST",$AE177)</f>
        <v>3.76</v>
      </c>
      <c r="AG177" s="443">
        <f ca="1">_xll.BDH(AG$5,"PX_LAST",$AE177)</f>
        <v>4.07</v>
      </c>
      <c r="AH177" s="443">
        <f ca="1">_xll.BDH(AH$5,"PX_LAST",$AE177)</f>
        <v>4.46</v>
      </c>
      <c r="AI177" s="443">
        <f ca="1">_xll.BDH(AI$5,"PX_LAST",$AE177)</f>
        <v>0.66</v>
      </c>
      <c r="AJ177" s="443">
        <f ca="1">_xll.BDH(AJ$5,"PX_LAST",$AE177)</f>
        <v>1.1299999999999999</v>
      </c>
      <c r="AK177" s="443">
        <f ca="1">_xll.BDH(AK$5,"PX_LAST",$AE177)</f>
        <v>1.46</v>
      </c>
      <c r="AL177" s="444">
        <f t="shared" ca="1" si="31"/>
        <v>0.70000000000000018</v>
      </c>
      <c r="AM177" s="444">
        <f t="shared" ca="1" si="32"/>
        <v>0.3100000000000005</v>
      </c>
      <c r="AN177" s="444">
        <f t="shared" ca="1" si="33"/>
        <v>0.38999999999999968</v>
      </c>
      <c r="AO177" s="444">
        <f t="shared" ca="1" si="34"/>
        <v>-3.9999999999999591E-2</v>
      </c>
      <c r="AP177" s="444">
        <f t="shared" ca="1" si="26"/>
        <v>0.79999999999999993</v>
      </c>
      <c r="AQ177" s="444">
        <f t="shared" ca="1" si="27"/>
        <v>0.46999999999999986</v>
      </c>
      <c r="AR177" s="444">
        <f t="shared" ca="1" si="28"/>
        <v>0.33000000000000007</v>
      </c>
      <c r="AS177" s="445">
        <f t="shared" ca="1" si="29"/>
        <v>6.9999999999999896E-2</v>
      </c>
    </row>
    <row r="178" spans="31:45">
      <c r="AE178" s="442">
        <f t="shared" ca="1" si="30"/>
        <v>42430</v>
      </c>
      <c r="AF178" s="443">
        <f ca="1">_xll.BDH(AF$5,"PX_LAST",$AE178)</f>
        <v>3.77</v>
      </c>
      <c r="AG178" s="443">
        <f ca="1">_xll.BDH(AG$5,"PX_LAST",$AE178)</f>
        <v>4.09</v>
      </c>
      <c r="AH178" s="443">
        <f ca="1">_xll.BDH(AH$5,"PX_LAST",$AE178)</f>
        <v>4.47</v>
      </c>
      <c r="AI178" s="443">
        <f ca="1">_xll.BDH(AI$5,"PX_LAST",$AE178)</f>
        <v>0.67</v>
      </c>
      <c r="AJ178" s="443">
        <f ca="1">_xll.BDH(AJ$5,"PX_LAST",$AE178)</f>
        <v>1.1400000000000001</v>
      </c>
      <c r="AK178" s="443">
        <f ca="1">_xll.BDH(AK$5,"PX_LAST",$AE178)</f>
        <v>1.48</v>
      </c>
      <c r="AL178" s="444">
        <f t="shared" ca="1" si="31"/>
        <v>0.69999999999999973</v>
      </c>
      <c r="AM178" s="444">
        <f t="shared" ca="1" si="32"/>
        <v>0.31999999999999984</v>
      </c>
      <c r="AN178" s="444">
        <f t="shared" ca="1" si="33"/>
        <v>0.37999999999999989</v>
      </c>
      <c r="AO178" s="444">
        <f t="shared" ca="1" si="34"/>
        <v>-3.0000000000000027E-2</v>
      </c>
      <c r="AP178" s="444">
        <f t="shared" ca="1" si="26"/>
        <v>0.80999999999999994</v>
      </c>
      <c r="AQ178" s="444">
        <f t="shared" ca="1" si="27"/>
        <v>0.47000000000000008</v>
      </c>
      <c r="AR178" s="444">
        <f t="shared" ca="1" si="28"/>
        <v>0.33999999999999986</v>
      </c>
      <c r="AS178" s="445">
        <f t="shared" ca="1" si="29"/>
        <v>6.5000000000000113E-2</v>
      </c>
    </row>
    <row r="179" spans="31:45">
      <c r="AE179" s="442">
        <f t="shared" ca="1" si="30"/>
        <v>42429</v>
      </c>
      <c r="AF179" s="443">
        <f ca="1">_xll.BDH(AF$5,"PX_LAST",$AE179)</f>
        <v>3.7800000000000002</v>
      </c>
      <c r="AG179" s="443">
        <f ca="1">_xll.BDH(AG$5,"PX_LAST",$AE179)</f>
        <v>4.08</v>
      </c>
      <c r="AH179" s="443">
        <f ca="1">_xll.BDH(AH$5,"PX_LAST",$AE179)</f>
        <v>4.49</v>
      </c>
      <c r="AI179" s="443">
        <f ca="1">_xll.BDH(AI$5,"PX_LAST",$AE179)</f>
        <v>0.67</v>
      </c>
      <c r="AJ179" s="443">
        <f ca="1">_xll.BDH(AJ$5,"PX_LAST",$AE179)</f>
        <v>1.1400000000000001</v>
      </c>
      <c r="AK179" s="443">
        <f ca="1">_xll.BDH(AK$5,"PX_LAST",$AE179)</f>
        <v>1.49</v>
      </c>
      <c r="AL179" s="444">
        <f t="shared" ca="1" si="31"/>
        <v>0.71</v>
      </c>
      <c r="AM179" s="444">
        <f t="shared" ca="1" si="32"/>
        <v>0.29999999999999982</v>
      </c>
      <c r="AN179" s="444">
        <f t="shared" ca="1" si="33"/>
        <v>0.41000000000000014</v>
      </c>
      <c r="AO179" s="444">
        <f t="shared" ca="1" si="34"/>
        <v>-5.500000000000016E-2</v>
      </c>
      <c r="AP179" s="444">
        <f t="shared" ca="1" si="26"/>
        <v>0.82</v>
      </c>
      <c r="AQ179" s="444">
        <f t="shared" ca="1" si="27"/>
        <v>0.47000000000000008</v>
      </c>
      <c r="AR179" s="444">
        <f t="shared" ca="1" si="28"/>
        <v>0.34999999999999987</v>
      </c>
      <c r="AS179" s="445">
        <f t="shared" ca="1" si="29"/>
        <v>6.0000000000000109E-2</v>
      </c>
    </row>
    <row r="180" spans="31:45">
      <c r="AE180" s="442">
        <f t="shared" ca="1" si="30"/>
        <v>42426</v>
      </c>
      <c r="AF180" s="443">
        <f ca="1">_xll.BDH(AF$5,"PX_LAST",$AE180)</f>
        <v>3.81</v>
      </c>
      <c r="AG180" s="443">
        <f ca="1">_xll.BDH(AG$5,"PX_LAST",$AE180)</f>
        <v>4.1100000000000003</v>
      </c>
      <c r="AH180" s="443">
        <f ca="1">_xll.BDH(AH$5,"PX_LAST",$AE180)</f>
        <v>4.5199999999999996</v>
      </c>
      <c r="AI180" s="443">
        <f ca="1">_xll.BDH(AI$5,"PX_LAST",$AE180)</f>
        <v>0.68</v>
      </c>
      <c r="AJ180" s="443">
        <f ca="1">_xll.BDH(AJ$5,"PX_LAST",$AE180)</f>
        <v>1.2</v>
      </c>
      <c r="AK180" s="443">
        <f ca="1">_xll.BDH(AK$5,"PX_LAST",$AE180)</f>
        <v>1.52</v>
      </c>
      <c r="AL180" s="444">
        <f t="shared" ca="1" si="31"/>
        <v>0.70999999999999952</v>
      </c>
      <c r="AM180" s="444">
        <f t="shared" ca="1" si="32"/>
        <v>0.30000000000000027</v>
      </c>
      <c r="AN180" s="444">
        <f t="shared" ca="1" si="33"/>
        <v>0.40999999999999925</v>
      </c>
      <c r="AO180" s="444">
        <f t="shared" ca="1" si="34"/>
        <v>-5.4999999999999494E-2</v>
      </c>
      <c r="AP180" s="444">
        <f t="shared" ca="1" si="26"/>
        <v>0.84</v>
      </c>
      <c r="AQ180" s="444">
        <f t="shared" ca="1" si="27"/>
        <v>0.51999999999999991</v>
      </c>
      <c r="AR180" s="444">
        <f t="shared" ca="1" si="28"/>
        <v>0.32000000000000006</v>
      </c>
      <c r="AS180" s="445">
        <f t="shared" ca="1" si="29"/>
        <v>9.9999999999999922E-2</v>
      </c>
    </row>
    <row r="181" spans="31:45">
      <c r="AE181" s="442">
        <f t="shared" ca="1" si="30"/>
        <v>42425</v>
      </c>
      <c r="AF181" s="443">
        <f ca="1">_xll.BDH(AF$5,"PX_LAST",$AE181)</f>
        <v>3.86</v>
      </c>
      <c r="AG181" s="443">
        <f ca="1">_xll.BDH(AG$5,"PX_LAST",$AE181)</f>
        <v>4.1500000000000004</v>
      </c>
      <c r="AH181" s="443">
        <f ca="1">_xll.BDH(AH$5,"PX_LAST",$AE181)</f>
        <v>4.5600000000000005</v>
      </c>
      <c r="AI181" s="443">
        <f ca="1">_xll.BDH(AI$5,"PX_LAST",$AE181)</f>
        <v>0.73</v>
      </c>
      <c r="AJ181" s="443">
        <f ca="1">_xll.BDH(AJ$5,"PX_LAST",$AE181)</f>
        <v>1.23</v>
      </c>
      <c r="AK181" s="443">
        <f ca="1">_xll.BDH(AK$5,"PX_LAST",$AE181)</f>
        <v>1.56</v>
      </c>
      <c r="AL181" s="444">
        <f t="shared" ca="1" si="31"/>
        <v>0.70000000000000062</v>
      </c>
      <c r="AM181" s="444">
        <f t="shared" ca="1" si="32"/>
        <v>0.29000000000000048</v>
      </c>
      <c r="AN181" s="444">
        <f t="shared" ca="1" si="33"/>
        <v>0.41000000000000014</v>
      </c>
      <c r="AO181" s="444">
        <f t="shared" ca="1" si="34"/>
        <v>-5.9999999999999831E-2</v>
      </c>
      <c r="AP181" s="444">
        <f t="shared" ca="1" si="26"/>
        <v>0.83000000000000007</v>
      </c>
      <c r="AQ181" s="444">
        <f t="shared" ca="1" si="27"/>
        <v>0.5</v>
      </c>
      <c r="AR181" s="444">
        <f t="shared" ca="1" si="28"/>
        <v>0.33000000000000007</v>
      </c>
      <c r="AS181" s="445">
        <f t="shared" ca="1" si="29"/>
        <v>8.4999999999999964E-2</v>
      </c>
    </row>
    <row r="182" spans="31:45">
      <c r="AE182" s="442">
        <f t="shared" ca="1" si="30"/>
        <v>42424</v>
      </c>
      <c r="AF182" s="443">
        <f ca="1">_xll.BDH(AF$5,"PX_LAST",$AE182)</f>
        <v>3.86</v>
      </c>
      <c r="AG182" s="443">
        <f ca="1">_xll.BDH(AG$5,"PX_LAST",$AE182)</f>
        <v>4.1500000000000004</v>
      </c>
      <c r="AH182" s="443">
        <f ca="1">_xll.BDH(AH$5,"PX_LAST",$AE182)</f>
        <v>4.55</v>
      </c>
      <c r="AI182" s="443">
        <f ca="1">_xll.BDH(AI$5,"PX_LAST",$AE182)</f>
        <v>0.74</v>
      </c>
      <c r="AJ182" s="443">
        <f ca="1">_xll.BDH(AJ$5,"PX_LAST",$AE182)</f>
        <v>1.24</v>
      </c>
      <c r="AK182" s="443">
        <f ca="1">_xll.BDH(AK$5,"PX_LAST",$AE182)</f>
        <v>1.58</v>
      </c>
      <c r="AL182" s="444">
        <f t="shared" ca="1" si="31"/>
        <v>0.69</v>
      </c>
      <c r="AM182" s="444">
        <f t="shared" ca="1" si="32"/>
        <v>0.29000000000000048</v>
      </c>
      <c r="AN182" s="444">
        <f t="shared" ca="1" si="33"/>
        <v>0.39999999999999947</v>
      </c>
      <c r="AO182" s="444">
        <f t="shared" ca="1" si="34"/>
        <v>-5.4999999999999494E-2</v>
      </c>
      <c r="AP182" s="444">
        <f t="shared" ca="1" si="26"/>
        <v>0.84000000000000008</v>
      </c>
      <c r="AQ182" s="444">
        <f t="shared" ca="1" si="27"/>
        <v>0.5</v>
      </c>
      <c r="AR182" s="444">
        <f t="shared" ca="1" si="28"/>
        <v>0.34000000000000008</v>
      </c>
      <c r="AS182" s="445">
        <f t="shared" ca="1" si="29"/>
        <v>7.999999999999996E-2</v>
      </c>
    </row>
    <row r="183" spans="31:45">
      <c r="AE183" s="442">
        <f t="shared" ca="1" si="30"/>
        <v>42423</v>
      </c>
      <c r="AF183" s="443">
        <f ca="1">_xll.BDH(AF$5,"PX_LAST",$AE183)</f>
        <v>3.91</v>
      </c>
      <c r="AG183" s="443">
        <f ca="1">_xll.BDH(AG$5,"PX_LAST",$AE183)</f>
        <v>4.2</v>
      </c>
      <c r="AH183" s="443">
        <f ca="1">_xll.BDH(AH$5,"PX_LAST",$AE183)</f>
        <v>4.6100000000000003</v>
      </c>
      <c r="AI183" s="443">
        <f ca="1">_xll.BDH(AI$5,"PX_LAST",$AE183)</f>
        <v>0.73</v>
      </c>
      <c r="AJ183" s="443">
        <f ca="1">_xll.BDH(AJ$5,"PX_LAST",$AE183)</f>
        <v>1.28</v>
      </c>
      <c r="AK183" s="443">
        <f ca="1">_xll.BDH(AK$5,"PX_LAST",$AE183)</f>
        <v>1.62</v>
      </c>
      <c r="AL183" s="444">
        <f t="shared" ca="1" si="31"/>
        <v>0.70000000000000018</v>
      </c>
      <c r="AM183" s="444">
        <f t="shared" ca="1" si="32"/>
        <v>0.29000000000000004</v>
      </c>
      <c r="AN183" s="444">
        <f t="shared" ca="1" si="33"/>
        <v>0.41000000000000014</v>
      </c>
      <c r="AO183" s="444">
        <f t="shared" ca="1" si="34"/>
        <v>-6.0000000000000053E-2</v>
      </c>
      <c r="AP183" s="444">
        <f t="shared" ca="1" si="26"/>
        <v>0.89000000000000012</v>
      </c>
      <c r="AQ183" s="444">
        <f t="shared" ca="1" si="27"/>
        <v>0.55000000000000004</v>
      </c>
      <c r="AR183" s="444">
        <f t="shared" ca="1" si="28"/>
        <v>0.34000000000000008</v>
      </c>
      <c r="AS183" s="445">
        <f t="shared" ca="1" si="29"/>
        <v>0.10499999999999998</v>
      </c>
    </row>
    <row r="184" spans="31:45">
      <c r="AE184" s="442">
        <f t="shared" ca="1" si="30"/>
        <v>42422</v>
      </c>
      <c r="AF184" s="443">
        <f ca="1">_xll.BDH(AF$5,"PX_LAST",$AE184)</f>
        <v>3.93</v>
      </c>
      <c r="AG184" s="443">
        <f ca="1">_xll.BDH(AG$5,"PX_LAST",$AE184)</f>
        <v>4.22</v>
      </c>
      <c r="AH184" s="443">
        <f ca="1">_xll.BDH(AH$5,"PX_LAST",$AE184)</f>
        <v>4.6500000000000004</v>
      </c>
      <c r="AI184" s="443">
        <f ca="1">_xll.BDH(AI$5,"PX_LAST",$AE184)</f>
        <v>0.76</v>
      </c>
      <c r="AJ184" s="443">
        <f ca="1">_xll.BDH(AJ$5,"PX_LAST",$AE184)</f>
        <v>1.29</v>
      </c>
      <c r="AK184" s="443">
        <f ca="1">_xll.BDH(AK$5,"PX_LAST",$AE184)</f>
        <v>1.65</v>
      </c>
      <c r="AL184" s="444">
        <f t="shared" ca="1" si="31"/>
        <v>0.7200000000000002</v>
      </c>
      <c r="AM184" s="444">
        <f t="shared" ca="1" si="32"/>
        <v>0.28999999999999959</v>
      </c>
      <c r="AN184" s="444">
        <f t="shared" ca="1" si="33"/>
        <v>0.4300000000000006</v>
      </c>
      <c r="AO184" s="444">
        <f t="shared" ca="1" si="34"/>
        <v>-7.0000000000000506E-2</v>
      </c>
      <c r="AP184" s="444">
        <f t="shared" ca="1" si="26"/>
        <v>0.8899999999999999</v>
      </c>
      <c r="AQ184" s="444">
        <f t="shared" ca="1" si="27"/>
        <v>0.53</v>
      </c>
      <c r="AR184" s="444">
        <f t="shared" ca="1" si="28"/>
        <v>0.35999999999999988</v>
      </c>
      <c r="AS184" s="445">
        <f t="shared" ca="1" si="29"/>
        <v>8.5000000000000075E-2</v>
      </c>
    </row>
    <row r="185" spans="31:45">
      <c r="AE185" s="442">
        <f t="shared" ca="1" si="30"/>
        <v>42419</v>
      </c>
      <c r="AF185" s="443">
        <f ca="1">_xll.BDH(AF$5,"PX_LAST",$AE185)</f>
        <v>3.94</v>
      </c>
      <c r="AG185" s="443">
        <f ca="1">_xll.BDH(AG$5,"PX_LAST",$AE185)</f>
        <v>4.2300000000000004</v>
      </c>
      <c r="AH185" s="443">
        <f ca="1">_xll.BDH(AH$5,"PX_LAST",$AE185)</f>
        <v>4.6500000000000004</v>
      </c>
      <c r="AI185" s="443">
        <f ca="1">_xll.BDH(AI$5,"PX_LAST",$AE185)</f>
        <v>0.75</v>
      </c>
      <c r="AJ185" s="443">
        <f ca="1">_xll.BDH(AJ$5,"PX_LAST",$AE185)</f>
        <v>1.29</v>
      </c>
      <c r="AK185" s="443">
        <f ca="1">_xll.BDH(AK$5,"PX_LAST",$AE185)</f>
        <v>1.6400000000000001</v>
      </c>
      <c r="AL185" s="444">
        <f t="shared" ca="1" si="31"/>
        <v>0.71000000000000041</v>
      </c>
      <c r="AM185" s="444">
        <f t="shared" ca="1" si="32"/>
        <v>0.29000000000000048</v>
      </c>
      <c r="AN185" s="444">
        <f t="shared" ca="1" si="33"/>
        <v>0.41999999999999993</v>
      </c>
      <c r="AO185" s="444">
        <f t="shared" ca="1" si="34"/>
        <v>-6.4999999999999725E-2</v>
      </c>
      <c r="AP185" s="444">
        <f t="shared" ca="1" si="26"/>
        <v>0.89000000000000012</v>
      </c>
      <c r="AQ185" s="444">
        <f t="shared" ca="1" si="27"/>
        <v>0.54</v>
      </c>
      <c r="AR185" s="444">
        <f t="shared" ca="1" si="28"/>
        <v>0.35000000000000009</v>
      </c>
      <c r="AS185" s="445">
        <f t="shared" ca="1" si="29"/>
        <v>9.4999999999999973E-2</v>
      </c>
    </row>
    <row r="186" spans="31:45">
      <c r="AE186" s="442">
        <f t="shared" ca="1" si="30"/>
        <v>42418</v>
      </c>
      <c r="AF186" s="443">
        <f ca="1">_xll.BDH(AF$5,"PX_LAST",$AE186)</f>
        <v>3.93</v>
      </c>
      <c r="AG186" s="443">
        <f ca="1">_xll.BDH(AG$5,"PX_LAST",$AE186)</f>
        <v>4.2300000000000004</v>
      </c>
      <c r="AH186" s="443">
        <f ca="1">_xll.BDH(AH$5,"PX_LAST",$AE186)</f>
        <v>4.6500000000000004</v>
      </c>
      <c r="AI186" s="443">
        <f ca="1">_xll.BDH(AI$5,"PX_LAST",$AE186)</f>
        <v>0.76</v>
      </c>
      <c r="AJ186" s="443">
        <f ca="1">_xll.BDH(AJ$5,"PX_LAST",$AE186)</f>
        <v>1.29</v>
      </c>
      <c r="AK186" s="443">
        <f ca="1">_xll.BDH(AK$5,"PX_LAST",$AE186)</f>
        <v>1.6400000000000001</v>
      </c>
      <c r="AL186" s="444">
        <f t="shared" ca="1" si="31"/>
        <v>0.7200000000000002</v>
      </c>
      <c r="AM186" s="444">
        <f t="shared" ca="1" si="32"/>
        <v>0.30000000000000027</v>
      </c>
      <c r="AN186" s="444">
        <f t="shared" ca="1" si="33"/>
        <v>0.41999999999999993</v>
      </c>
      <c r="AO186" s="444">
        <f t="shared" ca="1" si="34"/>
        <v>-5.9999999999999831E-2</v>
      </c>
      <c r="AP186" s="444">
        <f t="shared" ca="1" si="26"/>
        <v>0.88000000000000012</v>
      </c>
      <c r="AQ186" s="444">
        <f t="shared" ca="1" si="27"/>
        <v>0.53</v>
      </c>
      <c r="AR186" s="444">
        <f t="shared" ca="1" si="28"/>
        <v>0.35000000000000009</v>
      </c>
      <c r="AS186" s="445">
        <f t="shared" ca="1" si="29"/>
        <v>8.9999999999999969E-2</v>
      </c>
    </row>
    <row r="187" spans="31:45">
      <c r="AE187" s="442">
        <f t="shared" ca="1" si="30"/>
        <v>42417</v>
      </c>
      <c r="AF187" s="443">
        <f ca="1">_xll.BDH(AF$5,"PX_LAST",$AE187)</f>
        <v>3.93</v>
      </c>
      <c r="AG187" s="443">
        <f ca="1">_xll.BDH(AG$5,"PX_LAST",$AE187)</f>
        <v>4.22</v>
      </c>
      <c r="AH187" s="443">
        <f ca="1">_xll.BDH(AH$5,"PX_LAST",$AE187)</f>
        <v>4.6500000000000004</v>
      </c>
      <c r="AI187" s="443">
        <f ca="1">_xll.BDH(AI$5,"PX_LAST",$AE187)</f>
        <v>0.78</v>
      </c>
      <c r="AJ187" s="443">
        <f ca="1">_xll.BDH(AJ$5,"PX_LAST",$AE187)</f>
        <v>1.28</v>
      </c>
      <c r="AK187" s="443">
        <f ca="1">_xll.BDH(AK$5,"PX_LAST",$AE187)</f>
        <v>1.6099999999999999</v>
      </c>
      <c r="AL187" s="444">
        <f t="shared" ca="1" si="31"/>
        <v>0.7200000000000002</v>
      </c>
      <c r="AM187" s="444">
        <f t="shared" ca="1" si="32"/>
        <v>0.28999999999999959</v>
      </c>
      <c r="AN187" s="444">
        <f t="shared" ca="1" si="33"/>
        <v>0.4300000000000006</v>
      </c>
      <c r="AO187" s="444">
        <f t="shared" ca="1" si="34"/>
        <v>-7.0000000000000506E-2</v>
      </c>
      <c r="AP187" s="444">
        <f t="shared" ca="1" si="26"/>
        <v>0.82999999999999985</v>
      </c>
      <c r="AQ187" s="444">
        <f t="shared" ca="1" si="27"/>
        <v>0.5</v>
      </c>
      <c r="AR187" s="444">
        <f t="shared" ca="1" si="28"/>
        <v>0.32999999999999985</v>
      </c>
      <c r="AS187" s="445">
        <f t="shared" ca="1" si="29"/>
        <v>8.5000000000000075E-2</v>
      </c>
    </row>
    <row r="188" spans="31:45">
      <c r="AE188" s="442">
        <f t="shared" ca="1" si="30"/>
        <v>42416</v>
      </c>
      <c r="AF188" s="443">
        <f ca="1">_xll.BDH(AF$5,"PX_LAST",$AE188)</f>
        <v>3.92</v>
      </c>
      <c r="AG188" s="443">
        <f ca="1">_xll.BDH(AG$5,"PX_LAST",$AE188)</f>
        <v>4.22</v>
      </c>
      <c r="AH188" s="443">
        <f ca="1">_xll.BDH(AH$5,"PX_LAST",$AE188)</f>
        <v>4.6399999999999997</v>
      </c>
      <c r="AI188" s="443">
        <f ca="1">_xll.BDH(AI$5,"PX_LAST",$AE188)</f>
        <v>0.77</v>
      </c>
      <c r="AJ188" s="443">
        <f ca="1">_xll.BDH(AJ$5,"PX_LAST",$AE188)</f>
        <v>1.27</v>
      </c>
      <c r="AK188" s="443">
        <f ca="1">_xll.BDH(AK$5,"PX_LAST",$AE188)</f>
        <v>1.6</v>
      </c>
      <c r="AL188" s="444">
        <f t="shared" ca="1" si="31"/>
        <v>0.71999999999999975</v>
      </c>
      <c r="AM188" s="444">
        <f t="shared" ca="1" si="32"/>
        <v>0.29999999999999982</v>
      </c>
      <c r="AN188" s="444">
        <f t="shared" ca="1" si="33"/>
        <v>0.41999999999999993</v>
      </c>
      <c r="AO188" s="444">
        <f t="shared" ca="1" si="34"/>
        <v>-6.0000000000000053E-2</v>
      </c>
      <c r="AP188" s="444">
        <f t="shared" ca="1" si="26"/>
        <v>0.83000000000000007</v>
      </c>
      <c r="AQ188" s="444">
        <f t="shared" ca="1" si="27"/>
        <v>0.5</v>
      </c>
      <c r="AR188" s="444">
        <f t="shared" ca="1" si="28"/>
        <v>0.33000000000000007</v>
      </c>
      <c r="AS188" s="445">
        <f t="shared" ca="1" si="29"/>
        <v>8.4999999999999964E-2</v>
      </c>
    </row>
    <row r="189" spans="31:45">
      <c r="AE189" s="442">
        <f t="shared" ca="1" si="30"/>
        <v>42415</v>
      </c>
      <c r="AF189" s="443">
        <f ca="1">_xll.BDH(AF$5,"PX_LAST",$AE189)</f>
        <v>3.93</v>
      </c>
      <c r="AG189" s="443">
        <f ca="1">_xll.BDH(AG$5,"PX_LAST",$AE189)</f>
        <v>4.2300000000000004</v>
      </c>
      <c r="AH189" s="443">
        <f ca="1">_xll.BDH(AH$5,"PX_LAST",$AE189)</f>
        <v>4.6500000000000004</v>
      </c>
      <c r="AI189" s="443">
        <f ca="1">_xll.BDH(AI$5,"PX_LAST",$AE189)</f>
        <v>0.8</v>
      </c>
      <c r="AJ189" s="443">
        <f ca="1">_xll.BDH(AJ$5,"PX_LAST",$AE189)</f>
        <v>1.3</v>
      </c>
      <c r="AK189" s="443">
        <f ca="1">_xll.BDH(AK$5,"PX_LAST",$AE189)</f>
        <v>1.63</v>
      </c>
      <c r="AL189" s="444">
        <f t="shared" ca="1" si="31"/>
        <v>0.7200000000000002</v>
      </c>
      <c r="AM189" s="444">
        <f t="shared" ca="1" si="32"/>
        <v>0.30000000000000027</v>
      </c>
      <c r="AN189" s="444">
        <f t="shared" ca="1" si="33"/>
        <v>0.41999999999999993</v>
      </c>
      <c r="AO189" s="444">
        <f t="shared" ca="1" si="34"/>
        <v>-5.9999999999999831E-2</v>
      </c>
      <c r="AP189" s="444">
        <f t="shared" ca="1" si="26"/>
        <v>0.82999999999999985</v>
      </c>
      <c r="AQ189" s="444">
        <f t="shared" ca="1" si="27"/>
        <v>0.5</v>
      </c>
      <c r="AR189" s="444">
        <f t="shared" ca="1" si="28"/>
        <v>0.32999999999999985</v>
      </c>
      <c r="AS189" s="445">
        <f t="shared" ca="1" si="29"/>
        <v>8.5000000000000075E-2</v>
      </c>
    </row>
    <row r="190" spans="31:45">
      <c r="AE190" s="442">
        <f t="shared" ca="1" si="30"/>
        <v>42412</v>
      </c>
      <c r="AF190" s="443">
        <f ca="1">_xll.BDH(AF$5,"PX_LAST",$AE190)</f>
        <v>3.92</v>
      </c>
      <c r="AG190" s="443">
        <f ca="1">_xll.BDH(AG$5,"PX_LAST",$AE190)</f>
        <v>4.22</v>
      </c>
      <c r="AH190" s="443">
        <f ca="1">_xll.BDH(AH$5,"PX_LAST",$AE190)</f>
        <v>4.63</v>
      </c>
      <c r="AI190" s="443">
        <f ca="1">_xll.BDH(AI$5,"PX_LAST",$AE190)</f>
        <v>0.78</v>
      </c>
      <c r="AJ190" s="443">
        <f ca="1">_xll.BDH(AJ$5,"PX_LAST",$AE190)</f>
        <v>1.33</v>
      </c>
      <c r="AK190" s="443">
        <f ca="1">_xll.BDH(AK$5,"PX_LAST",$AE190)</f>
        <v>1.6</v>
      </c>
      <c r="AL190" s="444">
        <f t="shared" ca="1" si="31"/>
        <v>0.71</v>
      </c>
      <c r="AM190" s="444">
        <f t="shared" ca="1" si="32"/>
        <v>0.29999999999999982</v>
      </c>
      <c r="AN190" s="444">
        <f t="shared" ca="1" si="33"/>
        <v>0.41000000000000014</v>
      </c>
      <c r="AO190" s="444">
        <f t="shared" ca="1" si="34"/>
        <v>-5.500000000000016E-2</v>
      </c>
      <c r="AP190" s="444">
        <f t="shared" ca="1" si="26"/>
        <v>0.82000000000000006</v>
      </c>
      <c r="AQ190" s="444">
        <f t="shared" ca="1" si="27"/>
        <v>0.55000000000000004</v>
      </c>
      <c r="AR190" s="444">
        <f t="shared" ca="1" si="28"/>
        <v>0.27</v>
      </c>
      <c r="AS190" s="445">
        <f t="shared" ca="1" si="29"/>
        <v>0.14000000000000001</v>
      </c>
    </row>
    <row r="191" spans="31:45">
      <c r="AE191" s="442">
        <f t="shared" ca="1" si="30"/>
        <v>42411</v>
      </c>
      <c r="AF191" s="443">
        <f ca="1">_xll.BDH(AF$5,"PX_LAST",$AE191)</f>
        <v>3.92</v>
      </c>
      <c r="AG191" s="443">
        <f ca="1">_xll.BDH(AG$5,"PX_LAST",$AE191)</f>
        <v>4.2</v>
      </c>
      <c r="AH191" s="443">
        <f ca="1">_xll.BDH(AH$5,"PX_LAST",$AE191)</f>
        <v>4.59</v>
      </c>
      <c r="AI191" s="443">
        <f ca="1">_xll.BDH(AI$5,"PX_LAST",$AE191)</f>
        <v>0.77</v>
      </c>
      <c r="AJ191" s="443">
        <f ca="1">_xll.BDH(AJ$5,"PX_LAST",$AE191)</f>
        <v>1.29</v>
      </c>
      <c r="AK191" s="443">
        <f ca="1">_xll.BDH(AK$5,"PX_LAST",$AE191)</f>
        <v>1.5899999999999999</v>
      </c>
      <c r="AL191" s="444">
        <f t="shared" ca="1" si="31"/>
        <v>0.66999999999999993</v>
      </c>
      <c r="AM191" s="444">
        <f t="shared" ca="1" si="32"/>
        <v>0.28000000000000025</v>
      </c>
      <c r="AN191" s="444">
        <f t="shared" ca="1" si="33"/>
        <v>0.38999999999999968</v>
      </c>
      <c r="AO191" s="444">
        <f t="shared" ca="1" si="34"/>
        <v>-5.4999999999999716E-2</v>
      </c>
      <c r="AP191" s="444">
        <f t="shared" ca="1" si="26"/>
        <v>0.81999999999999984</v>
      </c>
      <c r="AQ191" s="444">
        <f t="shared" ca="1" si="27"/>
        <v>0.52</v>
      </c>
      <c r="AR191" s="444">
        <f t="shared" ca="1" si="28"/>
        <v>0.29999999999999982</v>
      </c>
      <c r="AS191" s="445">
        <f t="shared" ca="1" si="29"/>
        <v>0.1100000000000001</v>
      </c>
    </row>
    <row r="192" spans="31:45">
      <c r="AE192" s="442">
        <f t="shared" ca="1" si="30"/>
        <v>42410</v>
      </c>
      <c r="AF192" s="443">
        <f ca="1">_xll.BDH(AF$5,"PX_LAST",$AE192)</f>
        <v>3.92</v>
      </c>
      <c r="AG192" s="443">
        <f ca="1">_xll.BDH(AG$5,"PX_LAST",$AE192)</f>
        <v>4.24</v>
      </c>
      <c r="AH192" s="443">
        <f ca="1">_xll.BDH(AH$5,"PX_LAST",$AE192)</f>
        <v>4.62</v>
      </c>
      <c r="AI192" s="443">
        <f ca="1">_xll.BDH(AI$5,"PX_LAST",$AE192)</f>
        <v>0.78</v>
      </c>
      <c r="AJ192" s="443">
        <f ca="1">_xll.BDH(AJ$5,"PX_LAST",$AE192)</f>
        <v>1.27</v>
      </c>
      <c r="AK192" s="443">
        <f ca="1">_xll.BDH(AK$5,"PX_LAST",$AE192)</f>
        <v>1.5699999999999998</v>
      </c>
      <c r="AL192" s="444">
        <f t="shared" ca="1" si="31"/>
        <v>0.70000000000000018</v>
      </c>
      <c r="AM192" s="444">
        <f t="shared" ca="1" si="32"/>
        <v>0.32000000000000028</v>
      </c>
      <c r="AN192" s="444">
        <f t="shared" ca="1" si="33"/>
        <v>0.37999999999999989</v>
      </c>
      <c r="AO192" s="444">
        <f t="shared" ca="1" si="34"/>
        <v>-2.9999999999999805E-2</v>
      </c>
      <c r="AP192" s="444">
        <f t="shared" ca="1" si="26"/>
        <v>0.78999999999999981</v>
      </c>
      <c r="AQ192" s="444">
        <f t="shared" ca="1" si="27"/>
        <v>0.49</v>
      </c>
      <c r="AR192" s="444">
        <f t="shared" ca="1" si="28"/>
        <v>0.29999999999999982</v>
      </c>
      <c r="AS192" s="445">
        <f t="shared" ca="1" si="29"/>
        <v>9.5000000000000084E-2</v>
      </c>
    </row>
    <row r="193" spans="31:45">
      <c r="AE193" s="442">
        <f t="shared" ca="1" si="30"/>
        <v>42409</v>
      </c>
      <c r="AF193" s="443">
        <f ca="1">_xll.BDH(AF$5,"PX_LAST",$AE193)</f>
        <v>3.92</v>
      </c>
      <c r="AG193" s="443">
        <f ca="1">_xll.BDH(AG$5,"PX_LAST",$AE193)</f>
        <v>4.22</v>
      </c>
      <c r="AH193" s="443">
        <f ca="1">_xll.BDH(AH$5,"PX_LAST",$AE193)</f>
        <v>4.63</v>
      </c>
      <c r="AI193" s="443">
        <f ca="1">_xll.BDH(AI$5,"PX_LAST",$AE193)</f>
        <v>0.78</v>
      </c>
      <c r="AJ193" s="443">
        <f ca="1">_xll.BDH(AJ$5,"PX_LAST",$AE193)</f>
        <v>1.27</v>
      </c>
      <c r="AK193" s="443">
        <f ca="1">_xll.BDH(AK$5,"PX_LAST",$AE193)</f>
        <v>1.56</v>
      </c>
      <c r="AL193" s="444">
        <f t="shared" ca="1" si="31"/>
        <v>0.71</v>
      </c>
      <c r="AM193" s="444">
        <f t="shared" ca="1" si="32"/>
        <v>0.29999999999999982</v>
      </c>
      <c r="AN193" s="444">
        <f t="shared" ca="1" si="33"/>
        <v>0.41000000000000014</v>
      </c>
      <c r="AO193" s="444">
        <f t="shared" ca="1" si="34"/>
        <v>-5.500000000000016E-2</v>
      </c>
      <c r="AP193" s="444">
        <f t="shared" ca="1" si="26"/>
        <v>0.78</v>
      </c>
      <c r="AQ193" s="444">
        <f t="shared" ca="1" si="27"/>
        <v>0.49</v>
      </c>
      <c r="AR193" s="444">
        <f t="shared" ca="1" si="28"/>
        <v>0.29000000000000004</v>
      </c>
      <c r="AS193" s="445">
        <f t="shared" ca="1" si="29"/>
        <v>9.9999999999999978E-2</v>
      </c>
    </row>
    <row r="194" spans="31:45">
      <c r="AE194" s="442">
        <f t="shared" ca="1" si="30"/>
        <v>42408</v>
      </c>
      <c r="AF194" s="443">
        <f ca="1">_xll.BDH(AF$5,"PX_LAST",$AE194)</f>
        <v>3.9</v>
      </c>
      <c r="AG194" s="443">
        <f ca="1">_xll.BDH(AG$5,"PX_LAST",$AE194)</f>
        <v>4.21</v>
      </c>
      <c r="AH194" s="443">
        <f ca="1">_xll.BDH(AH$5,"PX_LAST",$AE194)</f>
        <v>4.6100000000000003</v>
      </c>
      <c r="AI194" s="443">
        <f ca="1">_xll.BDH(AI$5,"PX_LAST",$AE194)</f>
        <v>0.81</v>
      </c>
      <c r="AJ194" s="443">
        <f ca="1">_xll.BDH(AJ$5,"PX_LAST",$AE194)</f>
        <v>1.27</v>
      </c>
      <c r="AK194" s="443">
        <f ca="1">_xll.BDH(AK$5,"PX_LAST",$AE194)</f>
        <v>1.5899999999999999</v>
      </c>
      <c r="AL194" s="444">
        <f t="shared" ca="1" si="31"/>
        <v>0.71000000000000041</v>
      </c>
      <c r="AM194" s="444">
        <f t="shared" ca="1" si="32"/>
        <v>0.31000000000000005</v>
      </c>
      <c r="AN194" s="444">
        <f t="shared" ca="1" si="33"/>
        <v>0.40000000000000036</v>
      </c>
      <c r="AO194" s="444">
        <f t="shared" ca="1" si="34"/>
        <v>-4.5000000000000151E-2</v>
      </c>
      <c r="AP194" s="444">
        <f t="shared" ca="1" si="26"/>
        <v>0.7799999999999998</v>
      </c>
      <c r="AQ194" s="444">
        <f t="shared" ca="1" si="27"/>
        <v>0.45999999999999996</v>
      </c>
      <c r="AR194" s="444">
        <f t="shared" ca="1" si="28"/>
        <v>0.31999999999999984</v>
      </c>
      <c r="AS194" s="445">
        <f t="shared" ca="1" si="29"/>
        <v>7.0000000000000062E-2</v>
      </c>
    </row>
    <row r="195" spans="31:45">
      <c r="AE195" s="442">
        <f t="shared" ca="1" si="30"/>
        <v>42405</v>
      </c>
      <c r="AF195" s="443">
        <f ca="1">_xll.BDH(AF$5,"PX_LAST",$AE195)</f>
        <v>3.85</v>
      </c>
      <c r="AG195" s="443">
        <f ca="1">_xll.BDH(AG$5,"PX_LAST",$AE195)</f>
        <v>4.18</v>
      </c>
      <c r="AH195" s="443">
        <f ca="1">_xll.BDH(AH$5,"PX_LAST",$AE195)</f>
        <v>4.6100000000000003</v>
      </c>
      <c r="AI195" s="443">
        <f ca="1">_xll.BDH(AI$5,"PX_LAST",$AE195)</f>
        <v>0.84</v>
      </c>
      <c r="AJ195" s="443">
        <f ca="1">_xll.BDH(AJ$5,"PX_LAST",$AE195)</f>
        <v>1.31</v>
      </c>
      <c r="AK195" s="443">
        <f ca="1">_xll.BDH(AK$5,"PX_LAST",$AE195)</f>
        <v>1.63</v>
      </c>
      <c r="AL195" s="444">
        <f t="shared" ca="1" si="31"/>
        <v>0.76000000000000023</v>
      </c>
      <c r="AM195" s="444">
        <f t="shared" ca="1" si="32"/>
        <v>0.32999999999999963</v>
      </c>
      <c r="AN195" s="444">
        <f t="shared" ca="1" si="33"/>
        <v>0.4300000000000006</v>
      </c>
      <c r="AO195" s="444">
        <f t="shared" ca="1" si="34"/>
        <v>-5.0000000000000488E-2</v>
      </c>
      <c r="AP195" s="444">
        <f t="shared" ca="1" si="26"/>
        <v>0.78999999999999992</v>
      </c>
      <c r="AQ195" s="444">
        <f t="shared" ca="1" si="27"/>
        <v>0.47000000000000008</v>
      </c>
      <c r="AR195" s="444">
        <f t="shared" ca="1" si="28"/>
        <v>0.31999999999999984</v>
      </c>
      <c r="AS195" s="445">
        <f t="shared" ca="1" si="29"/>
        <v>7.5000000000000122E-2</v>
      </c>
    </row>
    <row r="196" spans="31:45">
      <c r="AE196" s="442">
        <f t="shared" ca="1" si="30"/>
        <v>42404</v>
      </c>
      <c r="AF196" s="443">
        <f ca="1">_xll.BDH(AF$5,"PX_LAST",$AE196)</f>
        <v>3.82</v>
      </c>
      <c r="AG196" s="443">
        <f ca="1">_xll.BDH(AG$5,"PX_LAST",$AE196)</f>
        <v>4.16</v>
      </c>
      <c r="AH196" s="443">
        <f ca="1">_xll.BDH(AH$5,"PX_LAST",$AE196)</f>
        <v>4.58</v>
      </c>
      <c r="AI196" s="443">
        <f ca="1">_xll.BDH(AI$5,"PX_LAST",$AE196)</f>
        <v>0.77</v>
      </c>
      <c r="AJ196" s="443">
        <f ca="1">_xll.BDH(AJ$5,"PX_LAST",$AE196)</f>
        <v>1.28</v>
      </c>
      <c r="AK196" s="443">
        <f ca="1">_xll.BDH(AK$5,"PX_LAST",$AE196)</f>
        <v>1.5899999999999999</v>
      </c>
      <c r="AL196" s="444">
        <f t="shared" ca="1" si="31"/>
        <v>0.76000000000000023</v>
      </c>
      <c r="AM196" s="444">
        <f t="shared" ca="1" si="32"/>
        <v>0.3400000000000003</v>
      </c>
      <c r="AN196" s="444">
        <f t="shared" ca="1" si="33"/>
        <v>0.41999999999999993</v>
      </c>
      <c r="AO196" s="444">
        <f t="shared" ca="1" si="34"/>
        <v>-3.9999999999999813E-2</v>
      </c>
      <c r="AP196" s="444">
        <f t="shared" ca="1" si="26"/>
        <v>0.81999999999999984</v>
      </c>
      <c r="AQ196" s="444">
        <f t="shared" ca="1" si="27"/>
        <v>0.51</v>
      </c>
      <c r="AR196" s="444">
        <f t="shared" ca="1" si="28"/>
        <v>0.30999999999999983</v>
      </c>
      <c r="AS196" s="445">
        <f t="shared" ca="1" si="29"/>
        <v>0.10000000000000009</v>
      </c>
    </row>
    <row r="197" spans="31:45">
      <c r="AE197" s="442">
        <f t="shared" ca="1" si="30"/>
        <v>42403</v>
      </c>
      <c r="AF197" s="443">
        <f ca="1">_xll.BDH(AF$5,"PX_LAST",$AE197)</f>
        <v>3.83</v>
      </c>
      <c r="AG197" s="443">
        <f ca="1">_xll.BDH(AG$5,"PX_LAST",$AE197)</f>
        <v>4.16</v>
      </c>
      <c r="AH197" s="443">
        <f ca="1">_xll.BDH(AH$5,"PX_LAST",$AE197)</f>
        <v>4.5600000000000005</v>
      </c>
      <c r="AI197" s="443">
        <f ca="1">_xll.BDH(AI$5,"PX_LAST",$AE197)</f>
        <v>0.71</v>
      </c>
      <c r="AJ197" s="443">
        <f ca="1">_xll.BDH(AJ$5,"PX_LAST",$AE197)</f>
        <v>1.25</v>
      </c>
      <c r="AK197" s="443">
        <f ca="1">_xll.BDH(AK$5,"PX_LAST",$AE197)</f>
        <v>1.58</v>
      </c>
      <c r="AL197" s="444">
        <f t="shared" ca="1" si="31"/>
        <v>0.73000000000000043</v>
      </c>
      <c r="AM197" s="444">
        <f t="shared" ca="1" si="32"/>
        <v>0.33000000000000007</v>
      </c>
      <c r="AN197" s="444">
        <f t="shared" ca="1" si="33"/>
        <v>0.40000000000000036</v>
      </c>
      <c r="AO197" s="444">
        <f t="shared" ca="1" si="34"/>
        <v>-3.5000000000000142E-2</v>
      </c>
      <c r="AP197" s="444">
        <f t="shared" ca="1" si="26"/>
        <v>0.87000000000000011</v>
      </c>
      <c r="AQ197" s="444">
        <f t="shared" ca="1" si="27"/>
        <v>0.54</v>
      </c>
      <c r="AR197" s="444">
        <f t="shared" ca="1" si="28"/>
        <v>0.33000000000000007</v>
      </c>
      <c r="AS197" s="445">
        <f t="shared" ca="1" si="29"/>
        <v>0.10499999999999998</v>
      </c>
    </row>
    <row r="198" spans="31:45">
      <c r="AE198" s="442">
        <f t="shared" ca="1" si="30"/>
        <v>42402</v>
      </c>
      <c r="AF198" s="443">
        <f ca="1">_xll.BDH(AF$5,"PX_LAST",$AE198)</f>
        <v>3.84</v>
      </c>
      <c r="AG198" s="443">
        <f ca="1">_xll.BDH(AG$5,"PX_LAST",$AE198)</f>
        <v>4.1500000000000004</v>
      </c>
      <c r="AH198" s="443">
        <f ca="1">_xll.BDH(AH$5,"PX_LAST",$AE198)</f>
        <v>4.57</v>
      </c>
      <c r="AI198" s="443">
        <f ca="1">_xll.BDH(AI$5,"PX_LAST",$AE198)</f>
        <v>0.7</v>
      </c>
      <c r="AJ198" s="443">
        <f ca="1">_xll.BDH(AJ$5,"PX_LAST",$AE198)</f>
        <v>1.26</v>
      </c>
      <c r="AK198" s="443">
        <f ca="1">_xll.BDH(AK$5,"PX_LAST",$AE198)</f>
        <v>1.6</v>
      </c>
      <c r="AL198" s="444">
        <f t="shared" ca="1" si="31"/>
        <v>0.73000000000000043</v>
      </c>
      <c r="AM198" s="444">
        <f t="shared" ca="1" si="32"/>
        <v>0.3100000000000005</v>
      </c>
      <c r="AN198" s="444">
        <f t="shared" ca="1" si="33"/>
        <v>0.41999999999999993</v>
      </c>
      <c r="AO198" s="444">
        <f t="shared" ca="1" si="34"/>
        <v>-5.4999999999999716E-2</v>
      </c>
      <c r="AP198" s="444">
        <f t="shared" ca="1" si="26"/>
        <v>0.90000000000000013</v>
      </c>
      <c r="AQ198" s="444">
        <f t="shared" ca="1" si="27"/>
        <v>0.56000000000000005</v>
      </c>
      <c r="AR198" s="444">
        <f t="shared" ca="1" si="28"/>
        <v>0.34000000000000008</v>
      </c>
      <c r="AS198" s="445">
        <f t="shared" ca="1" si="29"/>
        <v>0.10999999999999999</v>
      </c>
    </row>
    <row r="199" spans="31:45">
      <c r="AE199" s="442">
        <f t="shared" ca="1" si="30"/>
        <v>42401</v>
      </c>
      <c r="AF199" s="443">
        <f ca="1">_xll.BDH(AF$5,"PX_LAST",$AE199)</f>
        <v>3.85</v>
      </c>
      <c r="AG199" s="443">
        <f ca="1">_xll.BDH(AG$5,"PX_LAST",$AE199)</f>
        <v>4.18</v>
      </c>
      <c r="AH199" s="443">
        <f ca="1">_xll.BDH(AH$5,"PX_LAST",$AE199)</f>
        <v>4.57</v>
      </c>
      <c r="AI199" s="443">
        <f ca="1">_xll.BDH(AI$5,"PX_LAST",$AE199)</f>
        <v>0.72</v>
      </c>
      <c r="AJ199" s="443">
        <f ca="1">_xll.BDH(AJ$5,"PX_LAST",$AE199)</f>
        <v>1.28</v>
      </c>
      <c r="AK199" s="443">
        <f ca="1">_xll.BDH(AK$5,"PX_LAST",$AE199)</f>
        <v>1.63</v>
      </c>
      <c r="AL199" s="444">
        <f t="shared" ca="1" si="31"/>
        <v>0.7200000000000002</v>
      </c>
      <c r="AM199" s="444">
        <f t="shared" ca="1" si="32"/>
        <v>0.32999999999999963</v>
      </c>
      <c r="AN199" s="444">
        <f t="shared" ca="1" si="33"/>
        <v>0.39000000000000057</v>
      </c>
      <c r="AO199" s="444">
        <f t="shared" ca="1" si="34"/>
        <v>-3.0000000000000471E-2</v>
      </c>
      <c r="AP199" s="444">
        <f t="shared" ref="AP199:AP262" ca="1" si="35">IFERROR(AK199-AI199,AP198)</f>
        <v>0.90999999999999992</v>
      </c>
      <c r="AQ199" s="444">
        <f t="shared" ref="AQ199:AQ262" ca="1" si="36">IFERROR(AJ199-AI199,AQ198)</f>
        <v>0.56000000000000005</v>
      </c>
      <c r="AR199" s="444">
        <f t="shared" ref="AR199:AR262" ca="1" si="37">IFERROR(AK199-AJ199,AR198)</f>
        <v>0.34999999999999987</v>
      </c>
      <c r="AS199" s="445">
        <f t="shared" ref="AS199:AS262" ca="1" si="38">(AQ199-AR199)/2</f>
        <v>0.10500000000000009</v>
      </c>
    </row>
    <row r="200" spans="31:45">
      <c r="AE200" s="442">
        <f t="shared" ref="AE200:AE263" ca="1" si="39">WORKDAY(AE199,-1)</f>
        <v>42398</v>
      </c>
      <c r="AF200" s="443">
        <f ca="1">_xll.BDH(AF$5,"PX_LAST",$AE200)</f>
        <v>3.93</v>
      </c>
      <c r="AG200" s="443">
        <f ca="1">_xll.BDH(AG$5,"PX_LAST",$AE200)</f>
        <v>4.28</v>
      </c>
      <c r="AH200" s="443">
        <f ca="1">_xll.BDH(AH$5,"PX_LAST",$AE200)</f>
        <v>4.68</v>
      </c>
      <c r="AI200" s="443">
        <f ca="1">_xll.BDH(AI$5,"PX_LAST",$AE200)</f>
        <v>0.72</v>
      </c>
      <c r="AJ200" s="443">
        <f ca="1">_xll.BDH(AJ$5,"PX_LAST",$AE200)</f>
        <v>1.31</v>
      </c>
      <c r="AK200" s="443">
        <f ca="1">_xll.BDH(AK$5,"PX_LAST",$AE200)</f>
        <v>1.6800000000000002</v>
      </c>
      <c r="AL200" s="444">
        <f t="shared" ca="1" si="31"/>
        <v>0.74999999999999956</v>
      </c>
      <c r="AM200" s="444">
        <f t="shared" ca="1" si="32"/>
        <v>0.35000000000000009</v>
      </c>
      <c r="AN200" s="444">
        <f t="shared" ca="1" si="33"/>
        <v>0.39999999999999947</v>
      </c>
      <c r="AO200" s="444">
        <f t="shared" ca="1" si="34"/>
        <v>-2.4999999999999689E-2</v>
      </c>
      <c r="AP200" s="444">
        <f t="shared" ca="1" si="35"/>
        <v>0.96000000000000019</v>
      </c>
      <c r="AQ200" s="444">
        <f t="shared" ca="1" si="36"/>
        <v>0.59000000000000008</v>
      </c>
      <c r="AR200" s="444">
        <f t="shared" ca="1" si="37"/>
        <v>0.37000000000000011</v>
      </c>
      <c r="AS200" s="445">
        <f t="shared" ca="1" si="38"/>
        <v>0.10999999999999999</v>
      </c>
    </row>
    <row r="201" spans="31:45">
      <c r="AE201" s="442">
        <f t="shared" ca="1" si="39"/>
        <v>42397</v>
      </c>
      <c r="AF201" s="443">
        <f ca="1">_xll.BDH(AF$5,"PX_LAST",$AE201)</f>
        <v>3.92</v>
      </c>
      <c r="AG201" s="443">
        <f ca="1">_xll.BDH(AG$5,"PX_LAST",$AE201)</f>
        <v>4.28</v>
      </c>
      <c r="AH201" s="443">
        <f ca="1">_xll.BDH(AH$5,"PX_LAST",$AE201)</f>
        <v>4.68</v>
      </c>
      <c r="AI201" s="443">
        <f ca="1">_xll.BDH(AI$5,"PX_LAST",$AE201)</f>
        <v>0.78</v>
      </c>
      <c r="AJ201" s="443">
        <f ca="1">_xll.BDH(AJ$5,"PX_LAST",$AE201)</f>
        <v>1.33</v>
      </c>
      <c r="AK201" s="443">
        <f ca="1">_xll.BDH(AK$5,"PX_LAST",$AE201)</f>
        <v>1.71</v>
      </c>
      <c r="AL201" s="444">
        <f t="shared" ca="1" si="31"/>
        <v>0.75999999999999979</v>
      </c>
      <c r="AM201" s="444">
        <f t="shared" ca="1" si="32"/>
        <v>0.36000000000000032</v>
      </c>
      <c r="AN201" s="444">
        <f t="shared" ca="1" si="33"/>
        <v>0.39999999999999947</v>
      </c>
      <c r="AO201" s="444">
        <f t="shared" ca="1" si="34"/>
        <v>-1.9999999999999574E-2</v>
      </c>
      <c r="AP201" s="444">
        <f t="shared" ca="1" si="35"/>
        <v>0.92999999999999994</v>
      </c>
      <c r="AQ201" s="444">
        <f t="shared" ca="1" si="36"/>
        <v>0.55000000000000004</v>
      </c>
      <c r="AR201" s="444">
        <f t="shared" ca="1" si="37"/>
        <v>0.37999999999999989</v>
      </c>
      <c r="AS201" s="445">
        <f t="shared" ca="1" si="38"/>
        <v>8.5000000000000075E-2</v>
      </c>
    </row>
    <row r="202" spans="31:45">
      <c r="AE202" s="442">
        <f t="shared" ca="1" si="39"/>
        <v>42396</v>
      </c>
      <c r="AF202" s="443">
        <f ca="1">_xll.BDH(AF$5,"PX_LAST",$AE202)</f>
        <v>3.94</v>
      </c>
      <c r="AG202" s="443">
        <f ca="1">_xll.BDH(AG$5,"PX_LAST",$AE202)</f>
        <v>4.28</v>
      </c>
      <c r="AH202" s="443">
        <f ca="1">_xll.BDH(AH$5,"PX_LAST",$AE202)</f>
        <v>4.68</v>
      </c>
      <c r="AI202" s="443">
        <f ca="1">_xll.BDH(AI$5,"PX_LAST",$AE202)</f>
        <v>0.76</v>
      </c>
      <c r="AJ202" s="443">
        <f ca="1">_xll.BDH(AJ$5,"PX_LAST",$AE202)</f>
        <v>1.33</v>
      </c>
      <c r="AK202" s="443">
        <f ca="1">_xll.BDH(AK$5,"PX_LAST",$AE202)</f>
        <v>1.67</v>
      </c>
      <c r="AL202" s="444">
        <f t="shared" ca="1" si="31"/>
        <v>0.73999999999999977</v>
      </c>
      <c r="AM202" s="444">
        <f t="shared" ca="1" si="32"/>
        <v>0.3400000000000003</v>
      </c>
      <c r="AN202" s="444">
        <f t="shared" ca="1" si="33"/>
        <v>0.39999999999999947</v>
      </c>
      <c r="AO202" s="444">
        <f t="shared" ca="1" si="34"/>
        <v>-2.9999999999999583E-2</v>
      </c>
      <c r="AP202" s="444">
        <f t="shared" ca="1" si="35"/>
        <v>0.90999999999999992</v>
      </c>
      <c r="AQ202" s="444">
        <f t="shared" ca="1" si="36"/>
        <v>0.57000000000000006</v>
      </c>
      <c r="AR202" s="444">
        <f t="shared" ca="1" si="37"/>
        <v>0.33999999999999986</v>
      </c>
      <c r="AS202" s="445">
        <f t="shared" ca="1" si="38"/>
        <v>0.1150000000000001</v>
      </c>
    </row>
    <row r="203" spans="31:45">
      <c r="AE203" s="442">
        <f t="shared" ca="1" si="39"/>
        <v>42395</v>
      </c>
      <c r="AF203" s="443">
        <f ca="1">_xll.BDH(AF$5,"PX_LAST",$AE203)</f>
        <v>3.91</v>
      </c>
      <c r="AG203" s="443">
        <f ca="1">_xll.BDH(AG$5,"PX_LAST",$AE203)</f>
        <v>4.24</v>
      </c>
      <c r="AH203" s="443">
        <f ca="1">_xll.BDH(AH$5,"PX_LAST",$AE203)</f>
        <v>4.66</v>
      </c>
      <c r="AI203" s="443">
        <f ca="1">_xll.BDH(AI$5,"PX_LAST",$AE203)</f>
        <v>0.74</v>
      </c>
      <c r="AJ203" s="443">
        <f ca="1">_xll.BDH(AJ$5,"PX_LAST",$AE203)</f>
        <v>1.32</v>
      </c>
      <c r="AK203" s="443">
        <f ca="1">_xll.BDH(AK$5,"PX_LAST",$AE203)</f>
        <v>1.65</v>
      </c>
      <c r="AL203" s="444">
        <f t="shared" ca="1" si="31"/>
        <v>0.75</v>
      </c>
      <c r="AM203" s="444">
        <f t="shared" ca="1" si="32"/>
        <v>0.33000000000000007</v>
      </c>
      <c r="AN203" s="444">
        <f t="shared" ca="1" si="33"/>
        <v>0.41999999999999993</v>
      </c>
      <c r="AO203" s="444">
        <f t="shared" ca="1" si="34"/>
        <v>-4.4999999999999929E-2</v>
      </c>
      <c r="AP203" s="444">
        <f t="shared" ca="1" si="35"/>
        <v>0.90999999999999992</v>
      </c>
      <c r="AQ203" s="444">
        <f t="shared" ca="1" si="36"/>
        <v>0.58000000000000007</v>
      </c>
      <c r="AR203" s="444">
        <f t="shared" ca="1" si="37"/>
        <v>0.32999999999999985</v>
      </c>
      <c r="AS203" s="445">
        <f t="shared" ca="1" si="38"/>
        <v>0.12500000000000011</v>
      </c>
    </row>
    <row r="204" spans="31:45">
      <c r="AE204" s="442">
        <f t="shared" ca="1" si="39"/>
        <v>42394</v>
      </c>
      <c r="AF204" s="443">
        <f ca="1">_xll.BDH(AF$5,"PX_LAST",$AE204)</f>
        <v>3.93</v>
      </c>
      <c r="AG204" s="443">
        <f ca="1">_xll.BDH(AG$5,"PX_LAST",$AE204)</f>
        <v>4.2699999999999996</v>
      </c>
      <c r="AH204" s="443">
        <f ca="1">_xll.BDH(AH$5,"PX_LAST",$AE204)</f>
        <v>4.6899999999999995</v>
      </c>
      <c r="AI204" s="443">
        <f ca="1">_xll.BDH(AI$5,"PX_LAST",$AE204)</f>
        <v>0.74</v>
      </c>
      <c r="AJ204" s="443">
        <f ca="1">_xll.BDH(AJ$5,"PX_LAST",$AE204)</f>
        <v>1.3</v>
      </c>
      <c r="AK204" s="443">
        <f ca="1">_xll.BDH(AK$5,"PX_LAST",$AE204)</f>
        <v>1.62</v>
      </c>
      <c r="AL204" s="444">
        <f t="shared" ca="1" si="31"/>
        <v>0.75999999999999934</v>
      </c>
      <c r="AM204" s="444">
        <f t="shared" ca="1" si="32"/>
        <v>0.33999999999999941</v>
      </c>
      <c r="AN204" s="444">
        <f t="shared" ca="1" si="33"/>
        <v>0.41999999999999993</v>
      </c>
      <c r="AO204" s="444">
        <f t="shared" ca="1" si="34"/>
        <v>-4.0000000000000258E-2</v>
      </c>
      <c r="AP204" s="444">
        <f t="shared" ca="1" si="35"/>
        <v>0.88000000000000012</v>
      </c>
      <c r="AQ204" s="444">
        <f t="shared" ca="1" si="36"/>
        <v>0.56000000000000005</v>
      </c>
      <c r="AR204" s="444">
        <f t="shared" ca="1" si="37"/>
        <v>0.32000000000000006</v>
      </c>
      <c r="AS204" s="445">
        <f t="shared" ca="1" si="38"/>
        <v>0.12</v>
      </c>
    </row>
    <row r="205" spans="31:45">
      <c r="AE205" s="442">
        <f t="shared" ca="1" si="39"/>
        <v>42391</v>
      </c>
      <c r="AF205" s="443">
        <f ca="1">_xll.BDH(AF$5,"PX_LAST",$AE205)</f>
        <v>3.91</v>
      </c>
      <c r="AG205" s="443">
        <f ca="1">_xll.BDH(AG$5,"PX_LAST",$AE205)</f>
        <v>4.25</v>
      </c>
      <c r="AH205" s="443">
        <f ca="1">_xll.BDH(AH$5,"PX_LAST",$AE205)</f>
        <v>4.66</v>
      </c>
      <c r="AI205" s="443">
        <f ca="1">_xll.BDH(AI$5,"PX_LAST",$AE205)</f>
        <v>0.79</v>
      </c>
      <c r="AJ205" s="443">
        <f ca="1">_xll.BDH(AJ$5,"PX_LAST",$AE205)</f>
        <v>1.29</v>
      </c>
      <c r="AK205" s="443">
        <f ca="1">_xll.BDH(AK$5,"PX_LAST",$AE205)</f>
        <v>1.62</v>
      </c>
      <c r="AL205" s="444">
        <f t="shared" ca="1" si="31"/>
        <v>0.75</v>
      </c>
      <c r="AM205" s="444">
        <f t="shared" ca="1" si="32"/>
        <v>0.33999999999999986</v>
      </c>
      <c r="AN205" s="444">
        <f t="shared" ca="1" si="33"/>
        <v>0.41000000000000014</v>
      </c>
      <c r="AO205" s="444">
        <f t="shared" ca="1" si="34"/>
        <v>-3.5000000000000142E-2</v>
      </c>
      <c r="AP205" s="444">
        <f t="shared" ca="1" si="35"/>
        <v>0.83000000000000007</v>
      </c>
      <c r="AQ205" s="444">
        <f t="shared" ca="1" si="36"/>
        <v>0.5</v>
      </c>
      <c r="AR205" s="444">
        <f t="shared" ca="1" si="37"/>
        <v>0.33000000000000007</v>
      </c>
      <c r="AS205" s="445">
        <f t="shared" ca="1" si="38"/>
        <v>8.4999999999999964E-2</v>
      </c>
    </row>
    <row r="206" spans="31:45">
      <c r="AE206" s="442">
        <f t="shared" ca="1" si="39"/>
        <v>42390</v>
      </c>
      <c r="AF206" s="443">
        <f ca="1">_xll.BDH(AF$5,"PX_LAST",$AE206)</f>
        <v>3.93</v>
      </c>
      <c r="AG206" s="443">
        <f ca="1">_xll.BDH(AG$5,"PX_LAST",$AE206)</f>
        <v>4.2699999999999996</v>
      </c>
      <c r="AH206" s="443">
        <f ca="1">_xll.BDH(AH$5,"PX_LAST",$AE206)</f>
        <v>4.68</v>
      </c>
      <c r="AI206" s="443">
        <f ca="1">_xll.BDH(AI$5,"PX_LAST",$AE206)</f>
        <v>0.78</v>
      </c>
      <c r="AJ206" s="443">
        <f ca="1">_xll.BDH(AJ$5,"PX_LAST",$AE206)</f>
        <v>1.28</v>
      </c>
      <c r="AK206" s="443">
        <f ca="1">_xll.BDH(AK$5,"PX_LAST",$AE206)</f>
        <v>1.6400000000000001</v>
      </c>
      <c r="AL206" s="444">
        <f t="shared" ca="1" si="31"/>
        <v>0.74999999999999956</v>
      </c>
      <c r="AM206" s="444">
        <f t="shared" ca="1" si="32"/>
        <v>0.33999999999999941</v>
      </c>
      <c r="AN206" s="444">
        <f t="shared" ca="1" si="33"/>
        <v>0.41000000000000014</v>
      </c>
      <c r="AO206" s="444">
        <f t="shared" ca="1" si="34"/>
        <v>-3.5000000000000364E-2</v>
      </c>
      <c r="AP206" s="444">
        <f t="shared" ca="1" si="35"/>
        <v>0.8600000000000001</v>
      </c>
      <c r="AQ206" s="444">
        <f t="shared" ca="1" si="36"/>
        <v>0.5</v>
      </c>
      <c r="AR206" s="444">
        <f t="shared" ca="1" si="37"/>
        <v>0.3600000000000001</v>
      </c>
      <c r="AS206" s="445">
        <f t="shared" ca="1" si="38"/>
        <v>6.9999999999999951E-2</v>
      </c>
    </row>
    <row r="207" spans="31:45">
      <c r="AE207" s="442">
        <f t="shared" ca="1" si="39"/>
        <v>42389</v>
      </c>
      <c r="AF207" s="443">
        <f ca="1">_xll.BDH(AF$5,"PX_LAST",$AE207)</f>
        <v>3.94</v>
      </c>
      <c r="AG207" s="443">
        <f ca="1">_xll.BDH(AG$5,"PX_LAST",$AE207)</f>
        <v>4.2699999999999996</v>
      </c>
      <c r="AH207" s="443">
        <f ca="1">_xll.BDH(AH$5,"PX_LAST",$AE207)</f>
        <v>4.66</v>
      </c>
      <c r="AI207" s="443">
        <f ca="1">_xll.BDH(AI$5,"PX_LAST",$AE207)</f>
        <v>0.78</v>
      </c>
      <c r="AJ207" s="443">
        <f ca="1">_xll.BDH(AJ$5,"PX_LAST",$AE207)</f>
        <v>1.29</v>
      </c>
      <c r="AK207" s="443">
        <f ca="1">_xll.BDH(AK$5,"PX_LAST",$AE207)</f>
        <v>1.63</v>
      </c>
      <c r="AL207" s="444">
        <f t="shared" ca="1" si="31"/>
        <v>0.7200000000000002</v>
      </c>
      <c r="AM207" s="444">
        <f t="shared" ca="1" si="32"/>
        <v>0.32999999999999963</v>
      </c>
      <c r="AN207" s="444">
        <f t="shared" ca="1" si="33"/>
        <v>0.39000000000000057</v>
      </c>
      <c r="AO207" s="444">
        <f t="shared" ca="1" si="34"/>
        <v>-3.0000000000000471E-2</v>
      </c>
      <c r="AP207" s="444">
        <f t="shared" ca="1" si="35"/>
        <v>0.84999999999999987</v>
      </c>
      <c r="AQ207" s="444">
        <f t="shared" ca="1" si="36"/>
        <v>0.51</v>
      </c>
      <c r="AR207" s="444">
        <f t="shared" ca="1" si="37"/>
        <v>0.33999999999999986</v>
      </c>
      <c r="AS207" s="445">
        <f t="shared" ca="1" si="38"/>
        <v>8.5000000000000075E-2</v>
      </c>
    </row>
    <row r="208" spans="31:45">
      <c r="AE208" s="442">
        <f t="shared" ca="1" si="39"/>
        <v>42388</v>
      </c>
      <c r="AF208" s="443">
        <f ca="1">_xll.BDH(AF$5,"PX_LAST",$AE208)</f>
        <v>3.96</v>
      </c>
      <c r="AG208" s="443">
        <f ca="1">_xll.BDH(AG$5,"PX_LAST",$AE208)</f>
        <v>4.29</v>
      </c>
      <c r="AH208" s="443">
        <f ca="1">_xll.BDH(AH$5,"PX_LAST",$AE208)</f>
        <v>4.7</v>
      </c>
      <c r="AI208" s="443">
        <f ca="1">_xll.BDH(AI$5,"PX_LAST",$AE208)</f>
        <v>0.8</v>
      </c>
      <c r="AJ208" s="443">
        <f ca="1">_xll.BDH(AJ$5,"PX_LAST",$AE208)</f>
        <v>1.32</v>
      </c>
      <c r="AK208" s="443">
        <f ca="1">_xll.BDH(AK$5,"PX_LAST",$AE208)</f>
        <v>1.6600000000000001</v>
      </c>
      <c r="AL208" s="444">
        <f t="shared" ca="1" si="31"/>
        <v>0.74000000000000021</v>
      </c>
      <c r="AM208" s="444">
        <f t="shared" ca="1" si="32"/>
        <v>0.33000000000000007</v>
      </c>
      <c r="AN208" s="444">
        <f t="shared" ca="1" si="33"/>
        <v>0.41000000000000014</v>
      </c>
      <c r="AO208" s="444">
        <f t="shared" ca="1" si="34"/>
        <v>-4.0000000000000036E-2</v>
      </c>
      <c r="AP208" s="444">
        <f t="shared" ca="1" si="35"/>
        <v>0.8600000000000001</v>
      </c>
      <c r="AQ208" s="444">
        <f t="shared" ca="1" si="36"/>
        <v>0.52</v>
      </c>
      <c r="AR208" s="444">
        <f t="shared" ca="1" si="37"/>
        <v>0.34000000000000008</v>
      </c>
      <c r="AS208" s="445">
        <f t="shared" ca="1" si="38"/>
        <v>8.9999999999999969E-2</v>
      </c>
    </row>
    <row r="209" spans="31:45">
      <c r="AE209" s="442">
        <f t="shared" ca="1" si="39"/>
        <v>42387</v>
      </c>
      <c r="AF209" s="443">
        <f ca="1">_xll.BDH(AF$5,"PX_LAST",$AE209)</f>
        <v>3.94</v>
      </c>
      <c r="AG209" s="443">
        <f ca="1">_xll.BDH(AG$5,"PX_LAST",$AE209)</f>
        <v>4.28</v>
      </c>
      <c r="AH209" s="443">
        <f ca="1">_xll.BDH(AH$5,"PX_LAST",$AE209)</f>
        <v>4.67</v>
      </c>
      <c r="AI209" s="443">
        <f ca="1">_xll.BDH(AI$5,"PX_LAST",$AE209)</f>
        <v>0.78</v>
      </c>
      <c r="AJ209" s="443">
        <f ca="1">_xll.BDH(AJ$5,"PX_LAST",$AE209)</f>
        <v>1.31</v>
      </c>
      <c r="AK209" s="443">
        <f ca="1">_xll.BDH(AK$5,"PX_LAST",$AE209)</f>
        <v>1.6600000000000001</v>
      </c>
      <c r="AL209" s="444">
        <f t="shared" ca="1" si="31"/>
        <v>0.73</v>
      </c>
      <c r="AM209" s="444">
        <f t="shared" ca="1" si="32"/>
        <v>0.3400000000000003</v>
      </c>
      <c r="AN209" s="444">
        <f t="shared" ca="1" si="33"/>
        <v>0.38999999999999968</v>
      </c>
      <c r="AO209" s="444">
        <f t="shared" ca="1" si="34"/>
        <v>-2.4999999999999689E-2</v>
      </c>
      <c r="AP209" s="444">
        <f t="shared" ca="1" si="35"/>
        <v>0.88000000000000012</v>
      </c>
      <c r="AQ209" s="444">
        <f t="shared" ca="1" si="36"/>
        <v>0.53</v>
      </c>
      <c r="AR209" s="444">
        <f t="shared" ca="1" si="37"/>
        <v>0.35000000000000009</v>
      </c>
      <c r="AS209" s="445">
        <f t="shared" ca="1" si="38"/>
        <v>8.9999999999999969E-2</v>
      </c>
    </row>
    <row r="210" spans="31:45">
      <c r="AE210" s="442">
        <f t="shared" ca="1" si="39"/>
        <v>42384</v>
      </c>
      <c r="AF210" s="443">
        <f ca="1">_xll.BDH(AF$5,"PX_LAST",$AE210)</f>
        <v>3.95</v>
      </c>
      <c r="AG210" s="443">
        <f ca="1">_xll.BDH(AG$5,"PX_LAST",$AE210)</f>
        <v>4.29</v>
      </c>
      <c r="AH210" s="443">
        <f ca="1">_xll.BDH(AH$5,"PX_LAST",$AE210)</f>
        <v>4.68</v>
      </c>
      <c r="AI210" s="443">
        <f ca="1">_xll.BDH(AI$5,"PX_LAST",$AE210)</f>
        <v>0.78</v>
      </c>
      <c r="AJ210" s="443">
        <f ca="1">_xll.BDH(AJ$5,"PX_LAST",$AE210)</f>
        <v>1.33</v>
      </c>
      <c r="AK210" s="443">
        <f ca="1">_xll.BDH(AK$5,"PX_LAST",$AE210)</f>
        <v>1.6600000000000001</v>
      </c>
      <c r="AL210" s="444">
        <f t="shared" ca="1" si="31"/>
        <v>0.72999999999999954</v>
      </c>
      <c r="AM210" s="444">
        <f t="shared" ca="1" si="32"/>
        <v>0.33999999999999986</v>
      </c>
      <c r="AN210" s="444">
        <f t="shared" ca="1" si="33"/>
        <v>0.38999999999999968</v>
      </c>
      <c r="AO210" s="444">
        <f t="shared" ca="1" si="34"/>
        <v>-2.4999999999999911E-2</v>
      </c>
      <c r="AP210" s="444">
        <f t="shared" ca="1" si="35"/>
        <v>0.88000000000000012</v>
      </c>
      <c r="AQ210" s="444">
        <f t="shared" ca="1" si="36"/>
        <v>0.55000000000000004</v>
      </c>
      <c r="AR210" s="444">
        <f t="shared" ca="1" si="37"/>
        <v>0.33000000000000007</v>
      </c>
      <c r="AS210" s="445">
        <f t="shared" ca="1" si="38"/>
        <v>0.10999999999999999</v>
      </c>
    </row>
    <row r="211" spans="31:45">
      <c r="AE211" s="442">
        <f t="shared" ca="1" si="39"/>
        <v>42383</v>
      </c>
      <c r="AF211" s="443">
        <f ca="1">_xll.BDH(AF$5,"PX_LAST",$AE211)</f>
        <v>3.96</v>
      </c>
      <c r="AG211" s="443">
        <f ca="1">_xll.BDH(AG$5,"PX_LAST",$AE211)</f>
        <v>4.32</v>
      </c>
      <c r="AH211" s="443">
        <f ca="1">_xll.BDH(AH$5,"PX_LAST",$AE211)</f>
        <v>4.7</v>
      </c>
      <c r="AI211" s="443">
        <f ca="1">_xll.BDH(AI$5,"PX_LAST",$AE211)</f>
        <v>0.83</v>
      </c>
      <c r="AJ211" s="443">
        <f ca="1">_xll.BDH(AJ$5,"PX_LAST",$AE211)</f>
        <v>1.37</v>
      </c>
      <c r="AK211" s="443">
        <f ca="1">_xll.BDH(AK$5,"PX_LAST",$AE211)</f>
        <v>1.69</v>
      </c>
      <c r="AL211" s="444">
        <f t="shared" ca="1" si="31"/>
        <v>0.74000000000000021</v>
      </c>
      <c r="AM211" s="444">
        <f t="shared" ca="1" si="32"/>
        <v>0.36000000000000032</v>
      </c>
      <c r="AN211" s="444">
        <f t="shared" ca="1" si="33"/>
        <v>0.37999999999999989</v>
      </c>
      <c r="AO211" s="444">
        <f t="shared" ca="1" si="34"/>
        <v>-9.9999999999997868E-3</v>
      </c>
      <c r="AP211" s="444">
        <f t="shared" ca="1" si="35"/>
        <v>0.86</v>
      </c>
      <c r="AQ211" s="444">
        <f t="shared" ca="1" si="36"/>
        <v>0.54000000000000015</v>
      </c>
      <c r="AR211" s="444">
        <f t="shared" ca="1" si="37"/>
        <v>0.31999999999999984</v>
      </c>
      <c r="AS211" s="445">
        <f t="shared" ca="1" si="38"/>
        <v>0.11000000000000015</v>
      </c>
    </row>
    <row r="212" spans="31:45">
      <c r="AE212" s="442">
        <f t="shared" ca="1" si="39"/>
        <v>42382</v>
      </c>
      <c r="AF212" s="443">
        <f ca="1">_xll.BDH(AF$5,"PX_LAST",$AE212)</f>
        <v>3.98</v>
      </c>
      <c r="AG212" s="443">
        <f ca="1">_xll.BDH(AG$5,"PX_LAST",$AE212)</f>
        <v>4.34</v>
      </c>
      <c r="AH212" s="443">
        <f ca="1">_xll.BDH(AH$5,"PX_LAST",$AE212)</f>
        <v>4.7300000000000004</v>
      </c>
      <c r="AI212" s="443">
        <f ca="1">_xll.BDH(AI$5,"PX_LAST",$AE212)</f>
        <v>0.85</v>
      </c>
      <c r="AJ212" s="443">
        <f ca="1">_xll.BDH(AJ$5,"PX_LAST",$AE212)</f>
        <v>1.4</v>
      </c>
      <c r="AK212" s="443">
        <f ca="1">_xll.BDH(AK$5,"PX_LAST",$AE212)</f>
        <v>1.72</v>
      </c>
      <c r="AL212" s="444">
        <f t="shared" ca="1" si="31"/>
        <v>0.75000000000000044</v>
      </c>
      <c r="AM212" s="444">
        <f t="shared" ca="1" si="32"/>
        <v>0.35999999999999988</v>
      </c>
      <c r="AN212" s="444">
        <f t="shared" ca="1" si="33"/>
        <v>0.39000000000000057</v>
      </c>
      <c r="AO212" s="444">
        <f t="shared" ca="1" si="34"/>
        <v>-1.5000000000000346E-2</v>
      </c>
      <c r="AP212" s="444">
        <f t="shared" ca="1" si="35"/>
        <v>0.87</v>
      </c>
      <c r="AQ212" s="444">
        <f t="shared" ca="1" si="36"/>
        <v>0.54999999999999993</v>
      </c>
      <c r="AR212" s="444">
        <f t="shared" ca="1" si="37"/>
        <v>0.32000000000000006</v>
      </c>
      <c r="AS212" s="445">
        <f t="shared" ca="1" si="38"/>
        <v>0.11499999999999994</v>
      </c>
    </row>
    <row r="213" spans="31:45">
      <c r="AE213" s="442">
        <f t="shared" ca="1" si="39"/>
        <v>42381</v>
      </c>
      <c r="AF213" s="443">
        <f ca="1">_xll.BDH(AF$5,"PX_LAST",$AE213)</f>
        <v>4.0199999999999996</v>
      </c>
      <c r="AG213" s="443">
        <f ca="1">_xll.BDH(AG$5,"PX_LAST",$AE213)</f>
        <v>4.3600000000000003</v>
      </c>
      <c r="AH213" s="443">
        <f ca="1">_xll.BDH(AH$5,"PX_LAST",$AE213)</f>
        <v>4.74</v>
      </c>
      <c r="AI213" s="443">
        <f ca="1">_xll.BDH(AI$5,"PX_LAST",$AE213)</f>
        <v>0.84</v>
      </c>
      <c r="AJ213" s="443">
        <f ca="1">_xll.BDH(AJ$5,"PX_LAST",$AE213)</f>
        <v>1.4</v>
      </c>
      <c r="AK213" s="443">
        <f ca="1">_xll.BDH(AK$5,"PX_LAST",$AE213)</f>
        <v>1.73</v>
      </c>
      <c r="AL213" s="444">
        <f t="shared" ca="1" si="31"/>
        <v>0.72000000000000064</v>
      </c>
      <c r="AM213" s="444">
        <f t="shared" ca="1" si="32"/>
        <v>0.34000000000000075</v>
      </c>
      <c r="AN213" s="444">
        <f t="shared" ca="1" si="33"/>
        <v>0.37999999999999989</v>
      </c>
      <c r="AO213" s="444">
        <f t="shared" ca="1" si="34"/>
        <v>-1.9999999999999574E-2</v>
      </c>
      <c r="AP213" s="444">
        <f t="shared" ca="1" si="35"/>
        <v>0.89</v>
      </c>
      <c r="AQ213" s="444">
        <f t="shared" ca="1" si="36"/>
        <v>0.55999999999999994</v>
      </c>
      <c r="AR213" s="444">
        <f t="shared" ca="1" si="37"/>
        <v>0.33000000000000007</v>
      </c>
      <c r="AS213" s="445">
        <f t="shared" ca="1" si="38"/>
        <v>0.11499999999999994</v>
      </c>
    </row>
    <row r="214" spans="31:45">
      <c r="AE214" s="442">
        <f t="shared" ca="1" si="39"/>
        <v>42380</v>
      </c>
      <c r="AF214" s="443">
        <f ca="1">_xll.BDH(AF$5,"PX_LAST",$AE214)</f>
        <v>4.0199999999999996</v>
      </c>
      <c r="AG214" s="443">
        <f ca="1">_xll.BDH(AG$5,"PX_LAST",$AE214)</f>
        <v>4.3600000000000003</v>
      </c>
      <c r="AH214" s="443">
        <f ca="1">_xll.BDH(AH$5,"PX_LAST",$AE214)</f>
        <v>4.74</v>
      </c>
      <c r="AI214" s="443">
        <f ca="1">_xll.BDH(AI$5,"PX_LAST",$AE214)</f>
        <v>0.86</v>
      </c>
      <c r="AJ214" s="443">
        <f ca="1">_xll.BDH(AJ$5,"PX_LAST",$AE214)</f>
        <v>1.41</v>
      </c>
      <c r="AK214" s="443">
        <f ca="1">_xll.BDH(AK$5,"PX_LAST",$AE214)</f>
        <v>1.73</v>
      </c>
      <c r="AL214" s="444">
        <f t="shared" ref="AL214:AL266" ca="1" si="40">IFERROR(AH214-AF214,AL213)</f>
        <v>0.72000000000000064</v>
      </c>
      <c r="AM214" s="444">
        <f t="shared" ref="AM214:AM266" ca="1" si="41">IFERROR(AG214-AF214,AM213)</f>
        <v>0.34000000000000075</v>
      </c>
      <c r="AN214" s="444">
        <f t="shared" ref="AN214:AN266" ca="1" si="42">IFERROR(AH214-AG214,AN213)</f>
        <v>0.37999999999999989</v>
      </c>
      <c r="AO214" s="444">
        <f t="shared" ref="AO214:AO266" ca="1" si="43">(AM214-AN214)/2</f>
        <v>-1.9999999999999574E-2</v>
      </c>
      <c r="AP214" s="444">
        <f t="shared" ca="1" si="35"/>
        <v>0.87</v>
      </c>
      <c r="AQ214" s="444">
        <f t="shared" ca="1" si="36"/>
        <v>0.54999999999999993</v>
      </c>
      <c r="AR214" s="444">
        <f t="shared" ca="1" si="37"/>
        <v>0.32000000000000006</v>
      </c>
      <c r="AS214" s="445">
        <f t="shared" ca="1" si="38"/>
        <v>0.11499999999999994</v>
      </c>
    </row>
    <row r="215" spans="31:45">
      <c r="AE215" s="442">
        <f t="shared" ca="1" si="39"/>
        <v>42377</v>
      </c>
      <c r="AF215" s="443">
        <f ca="1">_xll.BDH(AF$5,"PX_LAST",$AE215)</f>
        <v>4.03</v>
      </c>
      <c r="AG215" s="443">
        <f ca="1">_xll.BDH(AG$5,"PX_LAST",$AE215)</f>
        <v>4.38</v>
      </c>
      <c r="AH215" s="443">
        <f ca="1">_xll.BDH(AH$5,"PX_LAST",$AE215)</f>
        <v>4.7699999999999996</v>
      </c>
      <c r="AI215" s="443">
        <f ca="1">_xll.BDH(AI$5,"PX_LAST",$AE215)</f>
        <v>0.86</v>
      </c>
      <c r="AJ215" s="443">
        <f ca="1">_xll.BDH(AJ$5,"PX_LAST",$AE215)</f>
        <v>1.42</v>
      </c>
      <c r="AK215" s="443">
        <f ca="1">_xll.BDH(AK$5,"PX_LAST",$AE215)</f>
        <v>1.74</v>
      </c>
      <c r="AL215" s="444">
        <f t="shared" ca="1" si="40"/>
        <v>0.73999999999999932</v>
      </c>
      <c r="AM215" s="444">
        <f t="shared" ca="1" si="41"/>
        <v>0.34999999999999964</v>
      </c>
      <c r="AN215" s="444">
        <f t="shared" ca="1" si="42"/>
        <v>0.38999999999999968</v>
      </c>
      <c r="AO215" s="444">
        <f t="shared" ca="1" si="43"/>
        <v>-2.0000000000000018E-2</v>
      </c>
      <c r="AP215" s="444">
        <f t="shared" ca="1" si="35"/>
        <v>0.88</v>
      </c>
      <c r="AQ215" s="444">
        <f t="shared" ca="1" si="36"/>
        <v>0.55999999999999994</v>
      </c>
      <c r="AR215" s="444">
        <f t="shared" ca="1" si="37"/>
        <v>0.32000000000000006</v>
      </c>
      <c r="AS215" s="445">
        <f t="shared" ca="1" si="38"/>
        <v>0.11999999999999994</v>
      </c>
    </row>
    <row r="216" spans="31:45">
      <c r="AE216" s="442">
        <f t="shared" ca="1" si="39"/>
        <v>42376</v>
      </c>
      <c r="AF216" s="443">
        <f ca="1">_xll.BDH(AF$5,"PX_LAST",$AE216)</f>
        <v>4.05</v>
      </c>
      <c r="AG216" s="443">
        <f ca="1">_xll.BDH(AG$5,"PX_LAST",$AE216)</f>
        <v>4.4000000000000004</v>
      </c>
      <c r="AH216" s="443">
        <f ca="1">_xll.BDH(AH$5,"PX_LAST",$AE216)</f>
        <v>4.78</v>
      </c>
      <c r="AI216" s="443">
        <f ca="1">_xll.BDH(AI$5,"PX_LAST",$AE216)</f>
        <v>0.86</v>
      </c>
      <c r="AJ216" s="443">
        <f ca="1">_xll.BDH(AJ$5,"PX_LAST",$AE216)</f>
        <v>1.42</v>
      </c>
      <c r="AK216" s="443">
        <f ca="1">_xll.BDH(AK$5,"PX_LAST",$AE216)</f>
        <v>1.74</v>
      </c>
      <c r="AL216" s="444">
        <f t="shared" ca="1" si="40"/>
        <v>0.73000000000000043</v>
      </c>
      <c r="AM216" s="444">
        <f t="shared" ca="1" si="41"/>
        <v>0.35000000000000053</v>
      </c>
      <c r="AN216" s="444">
        <f t="shared" ca="1" si="42"/>
        <v>0.37999999999999989</v>
      </c>
      <c r="AO216" s="444">
        <f t="shared" ca="1" si="43"/>
        <v>-1.499999999999968E-2</v>
      </c>
      <c r="AP216" s="444">
        <f t="shared" ca="1" si="35"/>
        <v>0.88</v>
      </c>
      <c r="AQ216" s="444">
        <f t="shared" ca="1" si="36"/>
        <v>0.55999999999999994</v>
      </c>
      <c r="AR216" s="444">
        <f t="shared" ca="1" si="37"/>
        <v>0.32000000000000006</v>
      </c>
      <c r="AS216" s="445">
        <f t="shared" ca="1" si="38"/>
        <v>0.11999999999999994</v>
      </c>
    </row>
    <row r="217" spans="31:45">
      <c r="AE217" s="442">
        <f t="shared" ca="1" si="39"/>
        <v>42375</v>
      </c>
      <c r="AF217" s="443">
        <f ca="1">_xll.BDH(AF$5,"PX_LAST",$AE217)</f>
        <v>4.03</v>
      </c>
      <c r="AG217" s="443">
        <f ca="1">_xll.BDH(AG$5,"PX_LAST",$AE217)</f>
        <v>4.3899999999999997</v>
      </c>
      <c r="AH217" s="443">
        <f ca="1">_xll.BDH(AH$5,"PX_LAST",$AE217)</f>
        <v>4.76</v>
      </c>
      <c r="AI217" s="443">
        <f ca="1">_xll.BDH(AI$5,"PX_LAST",$AE217)</f>
        <v>0.88</v>
      </c>
      <c r="AJ217" s="443">
        <f ca="1">_xll.BDH(AJ$5,"PX_LAST",$AE217)</f>
        <v>1.42</v>
      </c>
      <c r="AK217" s="443">
        <f ca="1">_xll.BDH(AK$5,"PX_LAST",$AE217)</f>
        <v>1.73</v>
      </c>
      <c r="AL217" s="444">
        <f t="shared" ca="1" si="40"/>
        <v>0.72999999999999954</v>
      </c>
      <c r="AM217" s="444">
        <f t="shared" ca="1" si="41"/>
        <v>0.35999999999999943</v>
      </c>
      <c r="AN217" s="444">
        <f t="shared" ca="1" si="42"/>
        <v>0.37000000000000011</v>
      </c>
      <c r="AO217" s="444">
        <f t="shared" ca="1" si="43"/>
        <v>-5.0000000000003375E-3</v>
      </c>
      <c r="AP217" s="444">
        <f t="shared" ca="1" si="35"/>
        <v>0.85</v>
      </c>
      <c r="AQ217" s="444">
        <f t="shared" ca="1" si="36"/>
        <v>0.53999999999999992</v>
      </c>
      <c r="AR217" s="444">
        <f t="shared" ca="1" si="37"/>
        <v>0.31000000000000005</v>
      </c>
      <c r="AS217" s="445">
        <f t="shared" ca="1" si="38"/>
        <v>0.11499999999999994</v>
      </c>
    </row>
    <row r="218" spans="31:45">
      <c r="AE218" s="442">
        <f t="shared" ca="1" si="39"/>
        <v>42374</v>
      </c>
      <c r="AF218" s="443">
        <f ca="1">_xll.BDH(AF$5,"PX_LAST",$AE218)</f>
        <v>4.07</v>
      </c>
      <c r="AG218" s="443">
        <f ca="1">_xll.BDH(AG$5,"PX_LAST",$AE218)</f>
        <v>4.4400000000000004</v>
      </c>
      <c r="AH218" s="443">
        <f ca="1">_xll.BDH(AH$5,"PX_LAST",$AE218)</f>
        <v>4.83</v>
      </c>
      <c r="AI218" s="443">
        <f ca="1">_xll.BDH(AI$5,"PX_LAST",$AE218)</f>
        <v>0.88</v>
      </c>
      <c r="AJ218" s="443">
        <f ca="1">_xll.BDH(AJ$5,"PX_LAST",$AE218)</f>
        <v>1.46</v>
      </c>
      <c r="AK218" s="443">
        <f ca="1">_xll.BDH(AK$5,"PX_LAST",$AE218)</f>
        <v>1.75</v>
      </c>
      <c r="AL218" s="444">
        <f t="shared" ca="1" si="40"/>
        <v>0.75999999999999979</v>
      </c>
      <c r="AM218" s="444">
        <f t="shared" ca="1" si="41"/>
        <v>0.37000000000000011</v>
      </c>
      <c r="AN218" s="444">
        <f t="shared" ca="1" si="42"/>
        <v>0.38999999999999968</v>
      </c>
      <c r="AO218" s="444">
        <f t="shared" ca="1" si="43"/>
        <v>-9.9999999999997868E-3</v>
      </c>
      <c r="AP218" s="444">
        <f t="shared" ca="1" si="35"/>
        <v>0.87</v>
      </c>
      <c r="AQ218" s="444">
        <f t="shared" ca="1" si="36"/>
        <v>0.57999999999999996</v>
      </c>
      <c r="AR218" s="444">
        <f t="shared" ca="1" si="37"/>
        <v>0.29000000000000004</v>
      </c>
      <c r="AS218" s="445">
        <f t="shared" ca="1" si="38"/>
        <v>0.14499999999999996</v>
      </c>
    </row>
    <row r="219" spans="31:45">
      <c r="AE219" s="442">
        <f t="shared" ca="1" si="39"/>
        <v>42373</v>
      </c>
      <c r="AF219" s="443">
        <f ca="1">_xll.BDH(AF$5,"PX_LAST",$AE219)</f>
        <v>4.05</v>
      </c>
      <c r="AG219" s="443">
        <f ca="1">_xll.BDH(AG$5,"PX_LAST",$AE219)</f>
        <v>4.4000000000000004</v>
      </c>
      <c r="AH219" s="443">
        <f ca="1">_xll.BDH(AH$5,"PX_LAST",$AE219)</f>
        <v>4.79</v>
      </c>
      <c r="AI219" s="443">
        <f ca="1">_xll.BDH(AI$5,"PX_LAST",$AE219)</f>
        <v>0.89</v>
      </c>
      <c r="AJ219" s="443">
        <f ca="1">_xll.BDH(AJ$5,"PX_LAST",$AE219)</f>
        <v>1.47</v>
      </c>
      <c r="AK219" s="443">
        <f ca="1">_xll.BDH(AK$5,"PX_LAST",$AE219)</f>
        <v>1.74</v>
      </c>
      <c r="AL219" s="444">
        <f t="shared" ca="1" si="40"/>
        <v>0.74000000000000021</v>
      </c>
      <c r="AM219" s="444">
        <f t="shared" ca="1" si="41"/>
        <v>0.35000000000000053</v>
      </c>
      <c r="AN219" s="444">
        <f t="shared" ca="1" si="42"/>
        <v>0.38999999999999968</v>
      </c>
      <c r="AO219" s="444">
        <f t="shared" ca="1" si="43"/>
        <v>-1.9999999999999574E-2</v>
      </c>
      <c r="AP219" s="444">
        <f t="shared" ca="1" si="35"/>
        <v>0.85</v>
      </c>
      <c r="AQ219" s="444">
        <f t="shared" ca="1" si="36"/>
        <v>0.57999999999999996</v>
      </c>
      <c r="AR219" s="444">
        <f t="shared" ca="1" si="37"/>
        <v>0.27</v>
      </c>
      <c r="AS219" s="445">
        <f t="shared" ca="1" si="38"/>
        <v>0.15499999999999997</v>
      </c>
    </row>
    <row r="220" spans="31:45">
      <c r="AE220" s="442">
        <f t="shared" ca="1" si="39"/>
        <v>42370</v>
      </c>
      <c r="AF220" s="443" t="str">
        <f ca="1">_xll.BDH(AF$5,"PX_LAST",$AE220)</f>
        <v>#N/A N/A</v>
      </c>
      <c r="AG220" s="443" t="str">
        <f ca="1">_xll.BDH(AG$5,"PX_LAST",$AE220)</f>
        <v>#N/A N/A</v>
      </c>
      <c r="AH220" s="443" t="str">
        <f ca="1">_xll.BDH(AH$5,"PX_LAST",$AE220)</f>
        <v>#N/A N/A</v>
      </c>
      <c r="AI220" s="443" t="str">
        <f ca="1">_xll.BDH(AI$5,"PX_LAST",$AE220)</f>
        <v>#N/A N/A</v>
      </c>
      <c r="AJ220" s="443" t="str">
        <f ca="1">_xll.BDH(AJ$5,"PX_LAST",$AE220)</f>
        <v>#N/A N/A</v>
      </c>
      <c r="AK220" s="443" t="str">
        <f ca="1">_xll.BDH(AK$5,"PX_LAST",$AE220)</f>
        <v>#N/A N/A</v>
      </c>
      <c r="AL220" s="444">
        <f t="shared" ca="1" si="40"/>
        <v>0.74000000000000021</v>
      </c>
      <c r="AM220" s="444">
        <f t="shared" ca="1" si="41"/>
        <v>0.35000000000000053</v>
      </c>
      <c r="AN220" s="444">
        <f t="shared" ca="1" si="42"/>
        <v>0.38999999999999968</v>
      </c>
      <c r="AO220" s="444">
        <f t="shared" ca="1" si="43"/>
        <v>-1.9999999999999574E-2</v>
      </c>
      <c r="AP220" s="444">
        <f t="shared" ca="1" si="35"/>
        <v>0.85</v>
      </c>
      <c r="AQ220" s="444">
        <f t="shared" ca="1" si="36"/>
        <v>0.57999999999999996</v>
      </c>
      <c r="AR220" s="444">
        <f t="shared" ca="1" si="37"/>
        <v>0.27</v>
      </c>
      <c r="AS220" s="445">
        <f t="shared" ca="1" si="38"/>
        <v>0.15499999999999997</v>
      </c>
    </row>
    <row r="221" spans="31:45">
      <c r="AE221" s="442">
        <f t="shared" ca="1" si="39"/>
        <v>42369</v>
      </c>
      <c r="AF221" s="443" t="str">
        <f ca="1">_xll.BDH(AF$5,"PX_LAST",$AE221)</f>
        <v>#N/A N/A</v>
      </c>
      <c r="AG221" s="443" t="str">
        <f ca="1">_xll.BDH(AG$5,"PX_LAST",$AE221)</f>
        <v>#N/A N/A</v>
      </c>
      <c r="AH221" s="443" t="str">
        <f ca="1">_xll.BDH(AH$5,"PX_LAST",$AE221)</f>
        <v>#N/A N/A</v>
      </c>
      <c r="AI221" s="443" t="str">
        <f ca="1">_xll.BDH(AI$5,"PX_LAST",$AE221)</f>
        <v>#N/A N/A</v>
      </c>
      <c r="AJ221" s="443" t="str">
        <f ca="1">_xll.BDH(AJ$5,"PX_LAST",$AE221)</f>
        <v>#N/A N/A</v>
      </c>
      <c r="AK221" s="443" t="str">
        <f ca="1">_xll.BDH(AK$5,"PX_LAST",$AE221)</f>
        <v>#N/A N/A</v>
      </c>
      <c r="AL221" s="444">
        <f t="shared" ca="1" si="40"/>
        <v>0.74000000000000021</v>
      </c>
      <c r="AM221" s="444">
        <f t="shared" ca="1" si="41"/>
        <v>0.35000000000000053</v>
      </c>
      <c r="AN221" s="444">
        <f t="shared" ca="1" si="42"/>
        <v>0.38999999999999968</v>
      </c>
      <c r="AO221" s="444">
        <f t="shared" ca="1" si="43"/>
        <v>-1.9999999999999574E-2</v>
      </c>
      <c r="AP221" s="444">
        <f t="shared" ca="1" si="35"/>
        <v>0.85</v>
      </c>
      <c r="AQ221" s="444">
        <f t="shared" ca="1" si="36"/>
        <v>0.57999999999999996</v>
      </c>
      <c r="AR221" s="444">
        <f t="shared" ca="1" si="37"/>
        <v>0.27</v>
      </c>
      <c r="AS221" s="445">
        <f t="shared" ca="1" si="38"/>
        <v>0.15499999999999997</v>
      </c>
    </row>
    <row r="222" spans="31:45">
      <c r="AE222" s="442">
        <f t="shared" ca="1" si="39"/>
        <v>42368</v>
      </c>
      <c r="AF222" s="443">
        <f ca="1">_xll.BDH(AF$5,"PX_LAST",$AE222)</f>
        <v>4.04</v>
      </c>
      <c r="AG222" s="443">
        <f ca="1">_xll.BDH(AG$5,"PX_LAST",$AE222)</f>
        <v>4.3899999999999997</v>
      </c>
      <c r="AH222" s="443">
        <f ca="1">_xll.BDH(AH$5,"PX_LAST",$AE222)</f>
        <v>4.78</v>
      </c>
      <c r="AI222" s="443">
        <f ca="1">_xll.BDH(AI$5,"PX_LAST",$AE222)</f>
        <v>0.92</v>
      </c>
      <c r="AJ222" s="443">
        <f ca="1">_xll.BDH(AJ$5,"PX_LAST",$AE222)</f>
        <v>1.49</v>
      </c>
      <c r="AK222" s="443">
        <f ca="1">_xll.BDH(AK$5,"PX_LAST",$AE222)</f>
        <v>1.74</v>
      </c>
      <c r="AL222" s="444">
        <f t="shared" ca="1" si="40"/>
        <v>0.74000000000000021</v>
      </c>
      <c r="AM222" s="444">
        <f t="shared" ca="1" si="41"/>
        <v>0.34999999999999964</v>
      </c>
      <c r="AN222" s="444">
        <f t="shared" ca="1" si="42"/>
        <v>0.39000000000000057</v>
      </c>
      <c r="AO222" s="444">
        <f t="shared" ca="1" si="43"/>
        <v>-2.0000000000000462E-2</v>
      </c>
      <c r="AP222" s="444">
        <f t="shared" ca="1" si="35"/>
        <v>0.82</v>
      </c>
      <c r="AQ222" s="444">
        <f t="shared" ca="1" si="36"/>
        <v>0.56999999999999995</v>
      </c>
      <c r="AR222" s="444">
        <f t="shared" ca="1" si="37"/>
        <v>0.25</v>
      </c>
      <c r="AS222" s="445">
        <f t="shared" ca="1" si="38"/>
        <v>0.15999999999999998</v>
      </c>
    </row>
    <row r="223" spans="31:45">
      <c r="AE223" s="442">
        <f t="shared" ca="1" si="39"/>
        <v>42367</v>
      </c>
      <c r="AF223" s="443">
        <f ca="1">_xll.BDH(AF$5,"PX_LAST",$AE223)</f>
        <v>4.0199999999999996</v>
      </c>
      <c r="AG223" s="443">
        <f ca="1">_xll.BDH(AG$5,"PX_LAST",$AE223)</f>
        <v>4.37</v>
      </c>
      <c r="AH223" s="443">
        <f ca="1">_xll.BDH(AH$5,"PX_LAST",$AE223)</f>
        <v>4.76</v>
      </c>
      <c r="AI223" s="443">
        <f ca="1">_xll.BDH(AI$5,"PX_LAST",$AE223)</f>
        <v>0.9</v>
      </c>
      <c r="AJ223" s="443">
        <f ca="1">_xll.BDH(AJ$5,"PX_LAST",$AE223)</f>
        <v>1.44</v>
      </c>
      <c r="AK223" s="443">
        <f ca="1">_xll.BDH(AK$5,"PX_LAST",$AE223)</f>
        <v>1.72</v>
      </c>
      <c r="AL223" s="444">
        <f t="shared" ca="1" si="40"/>
        <v>0.74000000000000021</v>
      </c>
      <c r="AM223" s="444">
        <f t="shared" ca="1" si="41"/>
        <v>0.35000000000000053</v>
      </c>
      <c r="AN223" s="444">
        <f t="shared" ca="1" si="42"/>
        <v>0.38999999999999968</v>
      </c>
      <c r="AO223" s="444">
        <f t="shared" ca="1" si="43"/>
        <v>-1.9999999999999574E-2</v>
      </c>
      <c r="AP223" s="444">
        <f t="shared" ca="1" si="35"/>
        <v>0.82</v>
      </c>
      <c r="AQ223" s="444">
        <f t="shared" ca="1" si="36"/>
        <v>0.53999999999999992</v>
      </c>
      <c r="AR223" s="444">
        <f t="shared" ca="1" si="37"/>
        <v>0.28000000000000003</v>
      </c>
      <c r="AS223" s="445">
        <f t="shared" ca="1" si="38"/>
        <v>0.12999999999999995</v>
      </c>
    </row>
    <row r="224" spans="31:45">
      <c r="AE224" s="442">
        <f t="shared" ca="1" si="39"/>
        <v>42366</v>
      </c>
      <c r="AF224" s="443">
        <f ca="1">_xll.BDH(AF$5,"PX_LAST",$AE224)</f>
        <v>3.98</v>
      </c>
      <c r="AG224" s="443">
        <f ca="1">_xll.BDH(AG$5,"PX_LAST",$AE224)</f>
        <v>4.33</v>
      </c>
      <c r="AH224" s="443">
        <f ca="1">_xll.BDH(AH$5,"PX_LAST",$AE224)</f>
        <v>4.71</v>
      </c>
      <c r="AI224" s="443">
        <f ca="1">_xll.BDH(AI$5,"PX_LAST",$AE224)</f>
        <v>0.91</v>
      </c>
      <c r="AJ224" s="443">
        <f ca="1">_xll.BDH(AJ$5,"PX_LAST",$AE224)</f>
        <v>1.41</v>
      </c>
      <c r="AK224" s="443">
        <f ca="1">_xll.BDH(AK$5,"PX_LAST",$AE224)</f>
        <v>1.67</v>
      </c>
      <c r="AL224" s="444">
        <f t="shared" ca="1" si="40"/>
        <v>0.73</v>
      </c>
      <c r="AM224" s="444">
        <f t="shared" ca="1" si="41"/>
        <v>0.35000000000000009</v>
      </c>
      <c r="AN224" s="444">
        <f t="shared" ca="1" si="42"/>
        <v>0.37999999999999989</v>
      </c>
      <c r="AO224" s="444">
        <f t="shared" ca="1" si="43"/>
        <v>-1.4999999999999902E-2</v>
      </c>
      <c r="AP224" s="444">
        <f t="shared" ca="1" si="35"/>
        <v>0.7599999999999999</v>
      </c>
      <c r="AQ224" s="444">
        <f t="shared" ca="1" si="36"/>
        <v>0.49999999999999989</v>
      </c>
      <c r="AR224" s="444">
        <f t="shared" ca="1" si="37"/>
        <v>0.26</v>
      </c>
      <c r="AS224" s="445">
        <f t="shared" ca="1" si="38"/>
        <v>0.11999999999999994</v>
      </c>
    </row>
    <row r="225" spans="31:45">
      <c r="AE225" s="442">
        <f t="shared" ca="1" si="39"/>
        <v>42363</v>
      </c>
      <c r="AF225" s="443" t="str">
        <f ca="1">_xll.BDH(AF$5,"PX_LAST",$AE225)</f>
        <v>#N/A N/A</v>
      </c>
      <c r="AG225" s="443" t="str">
        <f ca="1">_xll.BDH(AG$5,"PX_LAST",$AE225)</f>
        <v>#N/A N/A</v>
      </c>
      <c r="AH225" s="443" t="str">
        <f ca="1">_xll.BDH(AH$5,"PX_LAST",$AE225)</f>
        <v>#N/A N/A</v>
      </c>
      <c r="AI225" s="443" t="str">
        <f ca="1">_xll.BDH(AI$5,"PX_LAST",$AE225)</f>
        <v>#N/A N/A</v>
      </c>
      <c r="AJ225" s="443" t="str">
        <f ca="1">_xll.BDH(AJ$5,"PX_LAST",$AE225)</f>
        <v>#N/A N/A</v>
      </c>
      <c r="AK225" s="443" t="str">
        <f ca="1">_xll.BDH(AK$5,"PX_LAST",$AE225)</f>
        <v>#N/A N/A</v>
      </c>
      <c r="AL225" s="444">
        <f t="shared" ca="1" si="40"/>
        <v>0.73</v>
      </c>
      <c r="AM225" s="444">
        <f t="shared" ca="1" si="41"/>
        <v>0.35000000000000009</v>
      </c>
      <c r="AN225" s="444">
        <f t="shared" ca="1" si="42"/>
        <v>0.37999999999999989</v>
      </c>
      <c r="AO225" s="444">
        <f t="shared" ca="1" si="43"/>
        <v>-1.4999999999999902E-2</v>
      </c>
      <c r="AP225" s="444">
        <f t="shared" ca="1" si="35"/>
        <v>0.7599999999999999</v>
      </c>
      <c r="AQ225" s="444">
        <f t="shared" ca="1" si="36"/>
        <v>0.49999999999999989</v>
      </c>
      <c r="AR225" s="444">
        <f t="shared" ca="1" si="37"/>
        <v>0.26</v>
      </c>
      <c r="AS225" s="445">
        <f t="shared" ca="1" si="38"/>
        <v>0.11999999999999994</v>
      </c>
    </row>
    <row r="226" spans="31:45">
      <c r="AE226" s="442">
        <f t="shared" ca="1" si="39"/>
        <v>42362</v>
      </c>
      <c r="AF226" s="443">
        <f ca="1">_xll.BDH(AF$5,"PX_LAST",$AE226)</f>
        <v>3.98</v>
      </c>
      <c r="AG226" s="443">
        <f ca="1">_xll.BDH(AG$5,"PX_LAST",$AE226)</f>
        <v>4.32</v>
      </c>
      <c r="AH226" s="443">
        <f ca="1">_xll.BDH(AH$5,"PX_LAST",$AE226)</f>
        <v>4.71</v>
      </c>
      <c r="AI226" s="443">
        <f ca="1">_xll.BDH(AI$5,"PX_LAST",$AE226)</f>
        <v>0.91</v>
      </c>
      <c r="AJ226" s="443">
        <f ca="1">_xll.BDH(AJ$5,"PX_LAST",$AE226)</f>
        <v>1.4</v>
      </c>
      <c r="AK226" s="443">
        <f ca="1">_xll.BDH(AK$5,"PX_LAST",$AE226)</f>
        <v>1.6800000000000002</v>
      </c>
      <c r="AL226" s="444">
        <f t="shared" ca="1" si="40"/>
        <v>0.73</v>
      </c>
      <c r="AM226" s="444">
        <f t="shared" ca="1" si="41"/>
        <v>0.3400000000000003</v>
      </c>
      <c r="AN226" s="444">
        <f t="shared" ca="1" si="42"/>
        <v>0.38999999999999968</v>
      </c>
      <c r="AO226" s="444">
        <f t="shared" ca="1" si="43"/>
        <v>-2.4999999999999689E-2</v>
      </c>
      <c r="AP226" s="444">
        <f t="shared" ca="1" si="35"/>
        <v>0.77000000000000013</v>
      </c>
      <c r="AQ226" s="444">
        <f t="shared" ca="1" si="36"/>
        <v>0.48999999999999988</v>
      </c>
      <c r="AR226" s="444">
        <f t="shared" ca="1" si="37"/>
        <v>0.28000000000000025</v>
      </c>
      <c r="AS226" s="445">
        <f t="shared" ca="1" si="38"/>
        <v>0.10499999999999982</v>
      </c>
    </row>
    <row r="227" spans="31:45">
      <c r="AE227" s="442">
        <f t="shared" ca="1" si="39"/>
        <v>42361</v>
      </c>
      <c r="AF227" s="443">
        <f ca="1">_xll.BDH(AF$5,"PX_LAST",$AE227)</f>
        <v>3.9699999999999998</v>
      </c>
      <c r="AG227" s="443">
        <f ca="1">_xll.BDH(AG$5,"PX_LAST",$AE227)</f>
        <v>4.3</v>
      </c>
      <c r="AH227" s="443">
        <f ca="1">_xll.BDH(AH$5,"PX_LAST",$AE227)</f>
        <v>4.67</v>
      </c>
      <c r="AI227" s="443">
        <f ca="1">_xll.BDH(AI$5,"PX_LAST",$AE227)</f>
        <v>0.92</v>
      </c>
      <c r="AJ227" s="443">
        <f ca="1">_xll.BDH(AJ$5,"PX_LAST",$AE227)</f>
        <v>1.4</v>
      </c>
      <c r="AK227" s="443">
        <f ca="1">_xll.BDH(AK$5,"PX_LAST",$AE227)</f>
        <v>1.6800000000000002</v>
      </c>
      <c r="AL227" s="444">
        <f t="shared" ca="1" si="40"/>
        <v>0.70000000000000018</v>
      </c>
      <c r="AM227" s="444">
        <f t="shared" ca="1" si="41"/>
        <v>0.33000000000000007</v>
      </c>
      <c r="AN227" s="444">
        <f t="shared" ca="1" si="42"/>
        <v>0.37000000000000011</v>
      </c>
      <c r="AO227" s="444">
        <f t="shared" ca="1" si="43"/>
        <v>-2.0000000000000018E-2</v>
      </c>
      <c r="AP227" s="444">
        <f t="shared" ca="1" si="35"/>
        <v>0.76000000000000012</v>
      </c>
      <c r="AQ227" s="444">
        <f t="shared" ca="1" si="36"/>
        <v>0.47999999999999987</v>
      </c>
      <c r="AR227" s="444">
        <f t="shared" ca="1" si="37"/>
        <v>0.28000000000000025</v>
      </c>
      <c r="AS227" s="445">
        <f t="shared" ca="1" si="38"/>
        <v>9.9999999999999811E-2</v>
      </c>
    </row>
    <row r="228" spans="31:45">
      <c r="AE228" s="442">
        <f t="shared" ca="1" si="39"/>
        <v>42360</v>
      </c>
      <c r="AF228" s="443">
        <f ca="1">_xll.BDH(AF$5,"PX_LAST",$AE228)</f>
        <v>3.9699999999999998</v>
      </c>
      <c r="AG228" s="443">
        <f ca="1">_xll.BDH(AG$5,"PX_LAST",$AE228)</f>
        <v>4.32</v>
      </c>
      <c r="AH228" s="443">
        <f ca="1">_xll.BDH(AH$5,"PX_LAST",$AE228)</f>
        <v>4.6899999999999995</v>
      </c>
      <c r="AI228" s="443">
        <f ca="1">_xll.BDH(AI$5,"PX_LAST",$AE228)</f>
        <v>0.94</v>
      </c>
      <c r="AJ228" s="443">
        <f ca="1">_xll.BDH(AJ$5,"PX_LAST",$AE228)</f>
        <v>1.42</v>
      </c>
      <c r="AK228" s="443">
        <f ca="1">_xll.BDH(AK$5,"PX_LAST",$AE228)</f>
        <v>1.67</v>
      </c>
      <c r="AL228" s="444">
        <f t="shared" ca="1" si="40"/>
        <v>0.71999999999999975</v>
      </c>
      <c r="AM228" s="444">
        <f t="shared" ca="1" si="41"/>
        <v>0.35000000000000053</v>
      </c>
      <c r="AN228" s="444">
        <f t="shared" ca="1" si="42"/>
        <v>0.36999999999999922</v>
      </c>
      <c r="AO228" s="444">
        <f t="shared" ca="1" si="43"/>
        <v>-9.9999999999993427E-3</v>
      </c>
      <c r="AP228" s="444">
        <f t="shared" ca="1" si="35"/>
        <v>0.73</v>
      </c>
      <c r="AQ228" s="444">
        <f t="shared" ca="1" si="36"/>
        <v>0.48</v>
      </c>
      <c r="AR228" s="444">
        <f t="shared" ca="1" si="37"/>
        <v>0.25</v>
      </c>
      <c r="AS228" s="445">
        <f t="shared" ca="1" si="38"/>
        <v>0.11499999999999999</v>
      </c>
    </row>
    <row r="229" spans="31:45">
      <c r="AE229" s="442">
        <f t="shared" ca="1" si="39"/>
        <v>42359</v>
      </c>
      <c r="AF229" s="443">
        <f ca="1">_xll.BDH(AF$5,"PX_LAST",$AE229)</f>
        <v>4</v>
      </c>
      <c r="AG229" s="443">
        <f ca="1">_xll.BDH(AG$5,"PX_LAST",$AE229)</f>
        <v>4.3499999999999996</v>
      </c>
      <c r="AH229" s="443">
        <f ca="1">_xll.BDH(AH$5,"PX_LAST",$AE229)</f>
        <v>4.71</v>
      </c>
      <c r="AI229" s="443">
        <f ca="1">_xll.BDH(AI$5,"PX_LAST",$AE229)</f>
        <v>0.97</v>
      </c>
      <c r="AJ229" s="443">
        <f ca="1">_xll.BDH(AJ$5,"PX_LAST",$AE229)</f>
        <v>1.43</v>
      </c>
      <c r="AK229" s="443">
        <f ca="1">_xll.BDH(AK$5,"PX_LAST",$AE229)</f>
        <v>1.6800000000000002</v>
      </c>
      <c r="AL229" s="444">
        <f t="shared" ca="1" si="40"/>
        <v>0.71</v>
      </c>
      <c r="AM229" s="444">
        <f t="shared" ca="1" si="41"/>
        <v>0.34999999999999964</v>
      </c>
      <c r="AN229" s="444">
        <f t="shared" ca="1" si="42"/>
        <v>0.36000000000000032</v>
      </c>
      <c r="AO229" s="444">
        <f t="shared" ca="1" si="43"/>
        <v>-5.0000000000003375E-3</v>
      </c>
      <c r="AP229" s="444">
        <f t="shared" ca="1" si="35"/>
        <v>0.71000000000000019</v>
      </c>
      <c r="AQ229" s="444">
        <f t="shared" ca="1" si="36"/>
        <v>0.45999999999999996</v>
      </c>
      <c r="AR229" s="444">
        <f t="shared" ca="1" si="37"/>
        <v>0.25000000000000022</v>
      </c>
      <c r="AS229" s="445">
        <f t="shared" ca="1" si="38"/>
        <v>0.10499999999999987</v>
      </c>
    </row>
    <row r="230" spans="31:45">
      <c r="AE230" s="442">
        <f t="shared" ca="1" si="39"/>
        <v>42356</v>
      </c>
      <c r="AF230" s="443">
        <f ca="1">_xll.BDH(AF$5,"PX_LAST",$AE230)</f>
        <v>3.99</v>
      </c>
      <c r="AG230" s="443">
        <f ca="1">_xll.BDH(AG$5,"PX_LAST",$AE230)</f>
        <v>4.33</v>
      </c>
      <c r="AH230" s="443">
        <f ca="1">_xll.BDH(AH$5,"PX_LAST",$AE230)</f>
        <v>4.7300000000000004</v>
      </c>
      <c r="AI230" s="443">
        <f ca="1">_xll.BDH(AI$5,"PX_LAST",$AE230)</f>
        <v>0.97</v>
      </c>
      <c r="AJ230" s="443">
        <f ca="1">_xll.BDH(AJ$5,"PX_LAST",$AE230)</f>
        <v>1.45</v>
      </c>
      <c r="AK230" s="443">
        <f ca="1">_xll.BDH(AK$5,"PX_LAST",$AE230)</f>
        <v>1.6800000000000002</v>
      </c>
      <c r="AL230" s="444">
        <f t="shared" ca="1" si="40"/>
        <v>0.74000000000000021</v>
      </c>
      <c r="AM230" s="444">
        <f t="shared" ca="1" si="41"/>
        <v>0.33999999999999986</v>
      </c>
      <c r="AN230" s="444">
        <f t="shared" ca="1" si="42"/>
        <v>0.40000000000000036</v>
      </c>
      <c r="AO230" s="444">
        <f t="shared" ca="1" si="43"/>
        <v>-3.0000000000000249E-2</v>
      </c>
      <c r="AP230" s="444">
        <f t="shared" ca="1" si="35"/>
        <v>0.71000000000000019</v>
      </c>
      <c r="AQ230" s="444">
        <f t="shared" ca="1" si="36"/>
        <v>0.48</v>
      </c>
      <c r="AR230" s="444">
        <f t="shared" ca="1" si="37"/>
        <v>0.2300000000000002</v>
      </c>
      <c r="AS230" s="445">
        <f t="shared" ca="1" si="38"/>
        <v>0.12499999999999989</v>
      </c>
    </row>
    <row r="231" spans="31:45">
      <c r="AE231" s="442">
        <f t="shared" ca="1" si="39"/>
        <v>42355</v>
      </c>
      <c r="AF231" s="443">
        <f ca="1">_xll.BDH(AF$5,"PX_LAST",$AE231)</f>
        <v>3.92</v>
      </c>
      <c r="AG231" s="443">
        <f ca="1">_xll.BDH(AG$5,"PX_LAST",$AE231)</f>
        <v>4.41</v>
      </c>
      <c r="AH231" s="443">
        <f ca="1">_xll.BDH(AH$5,"PX_LAST",$AE231)</f>
        <v>4.8100000000000005</v>
      </c>
      <c r="AI231" s="443">
        <f ca="1">_xll.BDH(AI$5,"PX_LAST",$AE231)</f>
        <v>0.81</v>
      </c>
      <c r="AJ231" s="443">
        <f ca="1">_xll.BDH(AJ$5,"PX_LAST",$AE231)</f>
        <v>1.42</v>
      </c>
      <c r="AK231" s="443">
        <f ca="1">_xll.BDH(AK$5,"PX_LAST",$AE231)</f>
        <v>1.73</v>
      </c>
      <c r="AL231" s="444">
        <f t="shared" ca="1" si="40"/>
        <v>0.89000000000000057</v>
      </c>
      <c r="AM231" s="444">
        <f t="shared" ca="1" si="41"/>
        <v>0.49000000000000021</v>
      </c>
      <c r="AN231" s="444">
        <f t="shared" ca="1" si="42"/>
        <v>0.40000000000000036</v>
      </c>
      <c r="AO231" s="444">
        <f t="shared" ca="1" si="43"/>
        <v>4.4999999999999929E-2</v>
      </c>
      <c r="AP231" s="444">
        <f t="shared" ca="1" si="35"/>
        <v>0.91999999999999993</v>
      </c>
      <c r="AQ231" s="444">
        <f t="shared" ca="1" si="36"/>
        <v>0.60999999999999988</v>
      </c>
      <c r="AR231" s="444">
        <f t="shared" ca="1" si="37"/>
        <v>0.31000000000000005</v>
      </c>
      <c r="AS231" s="445">
        <f t="shared" ca="1" si="38"/>
        <v>0.14999999999999991</v>
      </c>
    </row>
    <row r="232" spans="31:45">
      <c r="AE232" s="442">
        <f t="shared" ca="1" si="39"/>
        <v>42354</v>
      </c>
      <c r="AF232" s="443">
        <f ca="1">_xll.BDH(AF$5,"PX_LAST",$AE232)</f>
        <v>4.01</v>
      </c>
      <c r="AG232" s="443">
        <f ca="1">_xll.BDH(AG$5,"PX_LAST",$AE232)</f>
        <v>4.41</v>
      </c>
      <c r="AH232" s="443">
        <f ca="1">_xll.BDH(AH$5,"PX_LAST",$AE232)</f>
        <v>4.82</v>
      </c>
      <c r="AI232" s="443">
        <f ca="1">_xll.BDH(AI$5,"PX_LAST",$AE232)</f>
        <v>0.96</v>
      </c>
      <c r="AJ232" s="443">
        <f ca="1">_xll.BDH(AJ$5,"PX_LAST",$AE232)</f>
        <v>1.48</v>
      </c>
      <c r="AK232" s="443">
        <f ca="1">_xll.BDH(AK$5,"PX_LAST",$AE232)</f>
        <v>1.73</v>
      </c>
      <c r="AL232" s="444">
        <f t="shared" ca="1" si="40"/>
        <v>0.8100000000000005</v>
      </c>
      <c r="AM232" s="444">
        <f t="shared" ca="1" si="41"/>
        <v>0.40000000000000036</v>
      </c>
      <c r="AN232" s="444">
        <f t="shared" ca="1" si="42"/>
        <v>0.41000000000000014</v>
      </c>
      <c r="AO232" s="444">
        <f t="shared" ca="1" si="43"/>
        <v>-4.9999999999998934E-3</v>
      </c>
      <c r="AP232" s="444">
        <f t="shared" ca="1" si="35"/>
        <v>0.77</v>
      </c>
      <c r="AQ232" s="444">
        <f t="shared" ca="1" si="36"/>
        <v>0.52</v>
      </c>
      <c r="AR232" s="444">
        <f t="shared" ca="1" si="37"/>
        <v>0.25</v>
      </c>
      <c r="AS232" s="445">
        <f t="shared" ca="1" si="38"/>
        <v>0.13500000000000001</v>
      </c>
    </row>
    <row r="233" spans="31:45">
      <c r="AE233" s="442">
        <f t="shared" ca="1" si="39"/>
        <v>42353</v>
      </c>
      <c r="AF233" s="443">
        <f ca="1">_xll.BDH(AF$5,"PX_LAST",$AE233)</f>
        <v>4.03</v>
      </c>
      <c r="AG233" s="443">
        <f ca="1">_xll.BDH(AG$5,"PX_LAST",$AE233)</f>
        <v>4.43</v>
      </c>
      <c r="AH233" s="443">
        <f ca="1">_xll.BDH(AH$5,"PX_LAST",$AE233)</f>
        <v>4.82</v>
      </c>
      <c r="AI233" s="443">
        <f ca="1">_xll.BDH(AI$5,"PX_LAST",$AE233)</f>
        <v>0.97</v>
      </c>
      <c r="AJ233" s="443">
        <f ca="1">_xll.BDH(AJ$5,"PX_LAST",$AE233)</f>
        <v>1.49</v>
      </c>
      <c r="AK233" s="443">
        <f ca="1">_xll.BDH(AK$5,"PX_LAST",$AE233)</f>
        <v>1.74</v>
      </c>
      <c r="AL233" s="444">
        <f t="shared" ca="1" si="40"/>
        <v>0.79</v>
      </c>
      <c r="AM233" s="444">
        <f t="shared" ca="1" si="41"/>
        <v>0.39999999999999947</v>
      </c>
      <c r="AN233" s="444">
        <f t="shared" ca="1" si="42"/>
        <v>0.39000000000000057</v>
      </c>
      <c r="AO233" s="444">
        <f t="shared" ca="1" si="43"/>
        <v>4.9999999999994493E-3</v>
      </c>
      <c r="AP233" s="444">
        <f t="shared" ca="1" si="35"/>
        <v>0.77</v>
      </c>
      <c r="AQ233" s="444">
        <f t="shared" ca="1" si="36"/>
        <v>0.52</v>
      </c>
      <c r="AR233" s="444">
        <f t="shared" ca="1" si="37"/>
        <v>0.25</v>
      </c>
      <c r="AS233" s="445">
        <f t="shared" ca="1" si="38"/>
        <v>0.13500000000000001</v>
      </c>
    </row>
    <row r="234" spans="31:45">
      <c r="AE234" s="442">
        <f t="shared" ca="1" si="39"/>
        <v>42352</v>
      </c>
      <c r="AF234" s="443">
        <f ca="1">_xll.BDH(AF$5,"PX_LAST",$AE234)</f>
        <v>4.04</v>
      </c>
      <c r="AG234" s="443">
        <f ca="1">_xll.BDH(AG$5,"PX_LAST",$AE234)</f>
        <v>4.4400000000000004</v>
      </c>
      <c r="AH234" s="443">
        <f ca="1">_xll.BDH(AH$5,"PX_LAST",$AE234)</f>
        <v>4.82</v>
      </c>
      <c r="AI234" s="443">
        <f ca="1">_xll.BDH(AI$5,"PX_LAST",$AE234)</f>
        <v>0.96</v>
      </c>
      <c r="AJ234" s="443">
        <f ca="1">_xll.BDH(AJ$5,"PX_LAST",$AE234)</f>
        <v>1.52</v>
      </c>
      <c r="AK234" s="443">
        <f ca="1">_xll.BDH(AK$5,"PX_LAST",$AE234)</f>
        <v>1.77</v>
      </c>
      <c r="AL234" s="444">
        <f t="shared" ca="1" si="40"/>
        <v>0.78000000000000025</v>
      </c>
      <c r="AM234" s="444">
        <f t="shared" ca="1" si="41"/>
        <v>0.40000000000000036</v>
      </c>
      <c r="AN234" s="444">
        <f t="shared" ca="1" si="42"/>
        <v>0.37999999999999989</v>
      </c>
      <c r="AO234" s="444">
        <f t="shared" ca="1" si="43"/>
        <v>1.0000000000000231E-2</v>
      </c>
      <c r="AP234" s="444">
        <f t="shared" ca="1" si="35"/>
        <v>0.81</v>
      </c>
      <c r="AQ234" s="444">
        <f t="shared" ca="1" si="36"/>
        <v>0.56000000000000005</v>
      </c>
      <c r="AR234" s="444">
        <f t="shared" ca="1" si="37"/>
        <v>0.25</v>
      </c>
      <c r="AS234" s="445">
        <f t="shared" ca="1" si="38"/>
        <v>0.15500000000000003</v>
      </c>
    </row>
    <row r="235" spans="31:45">
      <c r="AE235" s="442">
        <f t="shared" ca="1" si="39"/>
        <v>42349</v>
      </c>
      <c r="AF235" s="443">
        <f ca="1">_xll.BDH(AF$5,"PX_LAST",$AE235)</f>
        <v>3.92</v>
      </c>
      <c r="AG235" s="443">
        <f ca="1">_xll.BDH(AG$5,"PX_LAST",$AE235)</f>
        <v>4.33</v>
      </c>
      <c r="AH235" s="443">
        <f ca="1">_xll.BDH(AH$5,"PX_LAST",$AE235)</f>
        <v>4.76</v>
      </c>
      <c r="AI235" s="443">
        <f ca="1">_xll.BDH(AI$5,"PX_LAST",$AE235)</f>
        <v>0.81</v>
      </c>
      <c r="AJ235" s="443">
        <f ca="1">_xll.BDH(AJ$5,"PX_LAST",$AE235)</f>
        <v>1.3599999999999999</v>
      </c>
      <c r="AK235" s="443">
        <f ca="1">_xll.BDH(AK$5,"PX_LAST",$AE235)</f>
        <v>1.6800000000000002</v>
      </c>
      <c r="AL235" s="444">
        <f t="shared" ca="1" si="40"/>
        <v>0.83999999999999986</v>
      </c>
      <c r="AM235" s="444">
        <f t="shared" ca="1" si="41"/>
        <v>0.41000000000000014</v>
      </c>
      <c r="AN235" s="444">
        <f t="shared" ca="1" si="42"/>
        <v>0.42999999999999972</v>
      </c>
      <c r="AO235" s="444">
        <f t="shared" ca="1" si="43"/>
        <v>-9.9999999999997868E-3</v>
      </c>
      <c r="AP235" s="444">
        <f t="shared" ca="1" si="35"/>
        <v>0.87000000000000011</v>
      </c>
      <c r="AQ235" s="444">
        <f t="shared" ca="1" si="36"/>
        <v>0.54999999999999982</v>
      </c>
      <c r="AR235" s="444">
        <f t="shared" ca="1" si="37"/>
        <v>0.32000000000000028</v>
      </c>
      <c r="AS235" s="445">
        <f t="shared" ca="1" si="38"/>
        <v>0.11499999999999977</v>
      </c>
    </row>
    <row r="236" spans="31:45">
      <c r="AE236" s="442">
        <f t="shared" ca="1" si="39"/>
        <v>42348</v>
      </c>
      <c r="AF236" s="443">
        <f ca="1">_xll.BDH(AF$5,"PX_LAST",$AE236)</f>
        <v>4</v>
      </c>
      <c r="AG236" s="443">
        <f ca="1">_xll.BDH(AG$5,"PX_LAST",$AE236)</f>
        <v>4.41</v>
      </c>
      <c r="AH236" s="443">
        <f ca="1">_xll.BDH(AH$5,"PX_LAST",$AE236)</f>
        <v>4.82</v>
      </c>
      <c r="AI236" s="443">
        <f ca="1">_xll.BDH(AI$5,"PX_LAST",$AE236)</f>
        <v>0.94</v>
      </c>
      <c r="AJ236" s="443">
        <f ca="1">_xll.BDH(AJ$5,"PX_LAST",$AE236)</f>
        <v>1.51</v>
      </c>
      <c r="AK236" s="443">
        <f ca="1">_xll.BDH(AK$5,"PX_LAST",$AE236)</f>
        <v>1.78</v>
      </c>
      <c r="AL236" s="444">
        <f t="shared" ca="1" si="40"/>
        <v>0.82000000000000028</v>
      </c>
      <c r="AM236" s="444">
        <f t="shared" ca="1" si="41"/>
        <v>0.41000000000000014</v>
      </c>
      <c r="AN236" s="444">
        <f t="shared" ca="1" si="42"/>
        <v>0.41000000000000014</v>
      </c>
      <c r="AO236" s="444">
        <f t="shared" ca="1" si="43"/>
        <v>0</v>
      </c>
      <c r="AP236" s="444">
        <f t="shared" ca="1" si="35"/>
        <v>0.84000000000000008</v>
      </c>
      <c r="AQ236" s="444">
        <f t="shared" ca="1" si="36"/>
        <v>0.57000000000000006</v>
      </c>
      <c r="AR236" s="444">
        <f t="shared" ca="1" si="37"/>
        <v>0.27</v>
      </c>
      <c r="AS236" s="445">
        <f t="shared" ca="1" si="38"/>
        <v>0.15000000000000002</v>
      </c>
    </row>
    <row r="237" spans="31:45">
      <c r="AE237" s="442">
        <f t="shared" ca="1" si="39"/>
        <v>42347</v>
      </c>
      <c r="AF237" s="443">
        <f ca="1">_xll.BDH(AF$5,"PX_LAST",$AE237)</f>
        <v>3.9699999999999998</v>
      </c>
      <c r="AG237" s="443">
        <f ca="1">_xll.BDH(AG$5,"PX_LAST",$AE237)</f>
        <v>4.3899999999999997</v>
      </c>
      <c r="AH237" s="443">
        <f ca="1">_xll.BDH(AH$5,"PX_LAST",$AE237)</f>
        <v>4.8100000000000005</v>
      </c>
      <c r="AI237" s="443">
        <f ca="1">_xll.BDH(AI$5,"PX_LAST",$AE237)</f>
        <v>0.91</v>
      </c>
      <c r="AJ237" s="443">
        <f ca="1">_xll.BDH(AJ$5,"PX_LAST",$AE237)</f>
        <v>1.49</v>
      </c>
      <c r="AK237" s="443">
        <f ca="1">_xll.BDH(AK$5,"PX_LAST",$AE237)</f>
        <v>1.75</v>
      </c>
      <c r="AL237" s="444">
        <f t="shared" ca="1" si="40"/>
        <v>0.84000000000000075</v>
      </c>
      <c r="AM237" s="444">
        <f t="shared" ca="1" si="41"/>
        <v>0.41999999999999993</v>
      </c>
      <c r="AN237" s="444">
        <f t="shared" ca="1" si="42"/>
        <v>0.42000000000000082</v>
      </c>
      <c r="AO237" s="444">
        <f t="shared" ca="1" si="43"/>
        <v>-4.4408920985006262E-16</v>
      </c>
      <c r="AP237" s="444">
        <f t="shared" ca="1" si="35"/>
        <v>0.84</v>
      </c>
      <c r="AQ237" s="444">
        <f t="shared" ca="1" si="36"/>
        <v>0.57999999999999996</v>
      </c>
      <c r="AR237" s="444">
        <f t="shared" ca="1" si="37"/>
        <v>0.26</v>
      </c>
      <c r="AS237" s="445">
        <f t="shared" ca="1" si="38"/>
        <v>0.15999999999999998</v>
      </c>
    </row>
    <row r="238" spans="31:45">
      <c r="AE238" s="442">
        <f t="shared" ca="1" si="39"/>
        <v>42346</v>
      </c>
      <c r="AF238" s="443" t="str">
        <f ca="1">_xll.BDH(AF$5,"PX_LAST",$AE238)</f>
        <v>#N/A N/A</v>
      </c>
      <c r="AG238" s="443" t="str">
        <f ca="1">_xll.BDH(AG$5,"PX_LAST",$AE238)</f>
        <v>#N/A N/A</v>
      </c>
      <c r="AH238" s="443" t="str">
        <f ca="1">_xll.BDH(AH$5,"PX_LAST",$AE238)</f>
        <v>#N/A N/A</v>
      </c>
      <c r="AI238" s="443" t="str">
        <f ca="1">_xll.BDH(AI$5,"PX_LAST",$AE238)</f>
        <v>#N/A N/A</v>
      </c>
      <c r="AJ238" s="443" t="str">
        <f ca="1">_xll.BDH(AJ$5,"PX_LAST",$AE238)</f>
        <v>#N/A N/A</v>
      </c>
      <c r="AK238" s="443" t="str">
        <f ca="1">_xll.BDH(AK$5,"PX_LAST",$AE238)</f>
        <v>#N/A N/A</v>
      </c>
      <c r="AL238" s="444">
        <f t="shared" ca="1" si="40"/>
        <v>0.84000000000000075</v>
      </c>
      <c r="AM238" s="444">
        <f t="shared" ca="1" si="41"/>
        <v>0.41999999999999993</v>
      </c>
      <c r="AN238" s="444">
        <f t="shared" ca="1" si="42"/>
        <v>0.42000000000000082</v>
      </c>
      <c r="AO238" s="444">
        <f t="shared" ca="1" si="43"/>
        <v>-4.4408920985006262E-16</v>
      </c>
      <c r="AP238" s="444">
        <f t="shared" ca="1" si="35"/>
        <v>0.84</v>
      </c>
      <c r="AQ238" s="444">
        <f t="shared" ca="1" si="36"/>
        <v>0.57999999999999996</v>
      </c>
      <c r="AR238" s="444">
        <f t="shared" ca="1" si="37"/>
        <v>0.26</v>
      </c>
      <c r="AS238" s="445">
        <f t="shared" ca="1" si="38"/>
        <v>0.15999999999999998</v>
      </c>
    </row>
    <row r="239" spans="31:45">
      <c r="AE239" s="442">
        <f t="shared" ca="1" si="39"/>
        <v>42345</v>
      </c>
      <c r="AF239" s="443">
        <f ca="1">_xll.BDH(AF$5,"PX_LAST",$AE239)</f>
        <v>3.98</v>
      </c>
      <c r="AG239" s="443">
        <f ca="1">_xll.BDH(AG$5,"PX_LAST",$AE239)</f>
        <v>4.3600000000000003</v>
      </c>
      <c r="AH239" s="443">
        <f ca="1">_xll.BDH(AH$5,"PX_LAST",$AE239)</f>
        <v>4.78</v>
      </c>
      <c r="AI239" s="443">
        <f ca="1">_xll.BDH(AI$5,"PX_LAST",$AE239)</f>
        <v>0.84</v>
      </c>
      <c r="AJ239" s="443">
        <f ca="1">_xll.BDH(AJ$5,"PX_LAST",$AE239)</f>
        <v>1.47</v>
      </c>
      <c r="AK239" s="443">
        <f ca="1">_xll.BDH(AK$5,"PX_LAST",$AE239)</f>
        <v>1.76</v>
      </c>
      <c r="AL239" s="444">
        <f t="shared" ca="1" si="40"/>
        <v>0.80000000000000027</v>
      </c>
      <c r="AM239" s="444">
        <f t="shared" ca="1" si="41"/>
        <v>0.38000000000000034</v>
      </c>
      <c r="AN239" s="444">
        <f t="shared" ca="1" si="42"/>
        <v>0.41999999999999993</v>
      </c>
      <c r="AO239" s="444">
        <f t="shared" ca="1" si="43"/>
        <v>-1.9999999999999796E-2</v>
      </c>
      <c r="AP239" s="444">
        <f t="shared" ca="1" si="35"/>
        <v>0.92</v>
      </c>
      <c r="AQ239" s="444">
        <f t="shared" ca="1" si="36"/>
        <v>0.63</v>
      </c>
      <c r="AR239" s="444">
        <f t="shared" ca="1" si="37"/>
        <v>0.29000000000000004</v>
      </c>
      <c r="AS239" s="445">
        <f t="shared" ca="1" si="38"/>
        <v>0.16999999999999998</v>
      </c>
    </row>
    <row r="240" spans="31:45">
      <c r="AE240" s="442">
        <f t="shared" ca="1" si="39"/>
        <v>42342</v>
      </c>
      <c r="AF240" s="443">
        <f ca="1">_xll.BDH(AF$5,"PX_LAST",$AE240)</f>
        <v>3.9699999999999998</v>
      </c>
      <c r="AG240" s="443">
        <f ca="1">_xll.BDH(AG$5,"PX_LAST",$AE240)</f>
        <v>4.3499999999999996</v>
      </c>
      <c r="AH240" s="443">
        <f ca="1">_xll.BDH(AH$5,"PX_LAST",$AE240)</f>
        <v>4.79</v>
      </c>
      <c r="AI240" s="443">
        <f ca="1">_xll.BDH(AI$5,"PX_LAST",$AE240)</f>
        <v>0.84</v>
      </c>
      <c r="AJ240" s="443">
        <f ca="1">_xll.BDH(AJ$5,"PX_LAST",$AE240)</f>
        <v>1.44</v>
      </c>
      <c r="AK240" s="443">
        <f ca="1">_xll.BDH(AK$5,"PX_LAST",$AE240)</f>
        <v>1.74</v>
      </c>
      <c r="AL240" s="444">
        <f t="shared" ca="1" si="40"/>
        <v>0.82000000000000028</v>
      </c>
      <c r="AM240" s="444">
        <f t="shared" ca="1" si="41"/>
        <v>0.37999999999999989</v>
      </c>
      <c r="AN240" s="444">
        <f t="shared" ca="1" si="42"/>
        <v>0.44000000000000039</v>
      </c>
      <c r="AO240" s="444">
        <f t="shared" ca="1" si="43"/>
        <v>-3.0000000000000249E-2</v>
      </c>
      <c r="AP240" s="444">
        <f t="shared" ca="1" si="35"/>
        <v>0.9</v>
      </c>
      <c r="AQ240" s="444">
        <f t="shared" ca="1" si="36"/>
        <v>0.6</v>
      </c>
      <c r="AR240" s="444">
        <f t="shared" ca="1" si="37"/>
        <v>0.30000000000000004</v>
      </c>
      <c r="AS240" s="445">
        <f t="shared" ca="1" si="38"/>
        <v>0.14999999999999997</v>
      </c>
    </row>
    <row r="241" spans="31:45">
      <c r="AE241" s="442">
        <f t="shared" ca="1" si="39"/>
        <v>42341</v>
      </c>
      <c r="AF241" s="443">
        <f ca="1">_xll.BDH(AF$5,"PX_LAST",$AE241)</f>
        <v>3.95</v>
      </c>
      <c r="AG241" s="443">
        <f ca="1">_xll.BDH(AG$5,"PX_LAST",$AE241)</f>
        <v>4.34</v>
      </c>
      <c r="AH241" s="443">
        <f ca="1">_xll.BDH(AH$5,"PX_LAST",$AE241)</f>
        <v>4.7699999999999996</v>
      </c>
      <c r="AI241" s="443">
        <f ca="1">_xll.BDH(AI$5,"PX_LAST",$AE241)</f>
        <v>0.83</v>
      </c>
      <c r="AJ241" s="443">
        <f ca="1">_xll.BDH(AJ$5,"PX_LAST",$AE241)</f>
        <v>1.42</v>
      </c>
      <c r="AK241" s="443">
        <f ca="1">_xll.BDH(AK$5,"PX_LAST",$AE241)</f>
        <v>1.73</v>
      </c>
      <c r="AL241" s="444">
        <f t="shared" ca="1" si="40"/>
        <v>0.8199999999999994</v>
      </c>
      <c r="AM241" s="444">
        <f t="shared" ca="1" si="41"/>
        <v>0.38999999999999968</v>
      </c>
      <c r="AN241" s="444">
        <f t="shared" ca="1" si="42"/>
        <v>0.42999999999999972</v>
      </c>
      <c r="AO241" s="444">
        <f t="shared" ca="1" si="43"/>
        <v>-2.0000000000000018E-2</v>
      </c>
      <c r="AP241" s="444">
        <f t="shared" ca="1" si="35"/>
        <v>0.9</v>
      </c>
      <c r="AQ241" s="444">
        <f t="shared" ca="1" si="36"/>
        <v>0.59</v>
      </c>
      <c r="AR241" s="444">
        <f t="shared" ca="1" si="37"/>
        <v>0.31000000000000005</v>
      </c>
      <c r="AS241" s="445">
        <f t="shared" ca="1" si="38"/>
        <v>0.13999999999999996</v>
      </c>
    </row>
    <row r="242" spans="31:45">
      <c r="AE242" s="442">
        <f t="shared" ca="1" si="39"/>
        <v>42340</v>
      </c>
      <c r="AF242" s="443">
        <f ca="1">_xll.BDH(AF$5,"PX_LAST",$AE242)</f>
        <v>3.92</v>
      </c>
      <c r="AG242" s="443">
        <f ca="1">_xll.BDH(AG$5,"PX_LAST",$AE242)</f>
        <v>4.3099999999999996</v>
      </c>
      <c r="AH242" s="443">
        <f ca="1">_xll.BDH(AH$5,"PX_LAST",$AE242)</f>
        <v>4.7300000000000004</v>
      </c>
      <c r="AI242" s="443">
        <f ca="1">_xll.BDH(AI$5,"PX_LAST",$AE242)</f>
        <v>0.79</v>
      </c>
      <c r="AJ242" s="443">
        <f ca="1">_xll.BDH(AJ$5,"PX_LAST",$AE242)</f>
        <v>1.3599999999999999</v>
      </c>
      <c r="AK242" s="443">
        <f ca="1">_xll.BDH(AK$5,"PX_LAST",$AE242)</f>
        <v>1.6800000000000002</v>
      </c>
      <c r="AL242" s="444">
        <f t="shared" ca="1" si="40"/>
        <v>0.8100000000000005</v>
      </c>
      <c r="AM242" s="444">
        <f t="shared" ca="1" si="41"/>
        <v>0.38999999999999968</v>
      </c>
      <c r="AN242" s="444">
        <f t="shared" ca="1" si="42"/>
        <v>0.42000000000000082</v>
      </c>
      <c r="AO242" s="444">
        <f t="shared" ca="1" si="43"/>
        <v>-1.5000000000000568E-2</v>
      </c>
      <c r="AP242" s="444">
        <f t="shared" ca="1" si="35"/>
        <v>0.89000000000000012</v>
      </c>
      <c r="AQ242" s="444">
        <f t="shared" ca="1" si="36"/>
        <v>0.56999999999999984</v>
      </c>
      <c r="AR242" s="444">
        <f t="shared" ca="1" si="37"/>
        <v>0.32000000000000028</v>
      </c>
      <c r="AS242" s="445">
        <f t="shared" ca="1" si="38"/>
        <v>0.12499999999999978</v>
      </c>
    </row>
    <row r="243" spans="31:45">
      <c r="AE243" s="442">
        <f t="shared" ca="1" si="39"/>
        <v>42339</v>
      </c>
      <c r="AF243" s="443">
        <f ca="1">_xll.BDH(AF$5,"PX_LAST",$AE243)</f>
        <v>3.89</v>
      </c>
      <c r="AG243" s="443">
        <f ca="1">_xll.BDH(AG$5,"PX_LAST",$AE243)</f>
        <v>4.26</v>
      </c>
      <c r="AH243" s="443">
        <f ca="1">_xll.BDH(AH$5,"PX_LAST",$AE243)</f>
        <v>4.7300000000000004</v>
      </c>
      <c r="AI243" s="443">
        <f ca="1">_xll.BDH(AI$5,"PX_LAST",$AE243)</f>
        <v>0.78</v>
      </c>
      <c r="AJ243" s="443">
        <f ca="1">_xll.BDH(AJ$5,"PX_LAST",$AE243)</f>
        <v>1.3599999999999999</v>
      </c>
      <c r="AK243" s="443">
        <f ca="1">_xll.BDH(AK$5,"PX_LAST",$AE243)</f>
        <v>1.67</v>
      </c>
      <c r="AL243" s="444">
        <f t="shared" ca="1" si="40"/>
        <v>0.8400000000000003</v>
      </c>
      <c r="AM243" s="444">
        <f t="shared" ca="1" si="41"/>
        <v>0.36999999999999966</v>
      </c>
      <c r="AN243" s="444">
        <f t="shared" ca="1" si="42"/>
        <v>0.47000000000000064</v>
      </c>
      <c r="AO243" s="444">
        <f t="shared" ca="1" si="43"/>
        <v>-5.0000000000000488E-2</v>
      </c>
      <c r="AP243" s="444">
        <f t="shared" ca="1" si="35"/>
        <v>0.8899999999999999</v>
      </c>
      <c r="AQ243" s="444">
        <f t="shared" ca="1" si="36"/>
        <v>0.57999999999999985</v>
      </c>
      <c r="AR243" s="444">
        <f t="shared" ca="1" si="37"/>
        <v>0.31000000000000005</v>
      </c>
      <c r="AS243" s="445">
        <f t="shared" ca="1" si="38"/>
        <v>0.1349999999999999</v>
      </c>
    </row>
    <row r="244" spans="31:45">
      <c r="AE244" s="442">
        <f t="shared" ca="1" si="39"/>
        <v>42338</v>
      </c>
      <c r="AF244" s="443">
        <f ca="1">_xll.BDH(AF$5,"PX_LAST",$AE244)</f>
        <v>3.93</v>
      </c>
      <c r="AG244" s="443">
        <f ca="1">_xll.BDH(AG$5,"PX_LAST",$AE244)</f>
        <v>4.3099999999999996</v>
      </c>
      <c r="AH244" s="443">
        <f ca="1">_xll.BDH(AH$5,"PX_LAST",$AE244)</f>
        <v>4.75</v>
      </c>
      <c r="AI244" s="443">
        <f ca="1">_xll.BDH(AI$5,"PX_LAST",$AE244)</f>
        <v>0.71</v>
      </c>
      <c r="AJ244" s="443">
        <f ca="1">_xll.BDH(AJ$5,"PX_LAST",$AE244)</f>
        <v>1.3599999999999999</v>
      </c>
      <c r="AK244" s="443">
        <f ca="1">_xll.BDH(AK$5,"PX_LAST",$AE244)</f>
        <v>1.7</v>
      </c>
      <c r="AL244" s="444">
        <f t="shared" ca="1" si="40"/>
        <v>0.81999999999999984</v>
      </c>
      <c r="AM244" s="444">
        <f t="shared" ca="1" si="41"/>
        <v>0.37999999999999945</v>
      </c>
      <c r="AN244" s="444">
        <f t="shared" ca="1" si="42"/>
        <v>0.44000000000000039</v>
      </c>
      <c r="AO244" s="444">
        <f t="shared" ca="1" si="43"/>
        <v>-3.0000000000000471E-2</v>
      </c>
      <c r="AP244" s="444">
        <f t="shared" ca="1" si="35"/>
        <v>0.99</v>
      </c>
      <c r="AQ244" s="444">
        <f t="shared" ca="1" si="36"/>
        <v>0.64999999999999991</v>
      </c>
      <c r="AR244" s="444">
        <f t="shared" ca="1" si="37"/>
        <v>0.34000000000000008</v>
      </c>
      <c r="AS244" s="445">
        <f t="shared" ca="1" si="38"/>
        <v>0.15499999999999992</v>
      </c>
    </row>
    <row r="245" spans="31:45">
      <c r="AE245" s="442">
        <f t="shared" ca="1" si="39"/>
        <v>42335</v>
      </c>
      <c r="AF245" s="443">
        <f ca="1">_xll.BDH(AF$5,"PX_LAST",$AE245)</f>
        <v>3.91</v>
      </c>
      <c r="AG245" s="443">
        <f ca="1">_xll.BDH(AG$5,"PX_LAST",$AE245)</f>
        <v>4.3</v>
      </c>
      <c r="AH245" s="443">
        <f ca="1">_xll.BDH(AH$5,"PX_LAST",$AE245)</f>
        <v>4.7300000000000004</v>
      </c>
      <c r="AI245" s="443">
        <f ca="1">_xll.BDH(AI$5,"PX_LAST",$AE245)</f>
        <v>0.66</v>
      </c>
      <c r="AJ245" s="443">
        <f ca="1">_xll.BDH(AJ$5,"PX_LAST",$AE245)</f>
        <v>1.31</v>
      </c>
      <c r="AK245" s="443">
        <f ca="1">_xll.BDH(AK$5,"PX_LAST",$AE245)</f>
        <v>1.6400000000000001</v>
      </c>
      <c r="AL245" s="444">
        <f t="shared" ca="1" si="40"/>
        <v>0.82000000000000028</v>
      </c>
      <c r="AM245" s="444">
        <f t="shared" ca="1" si="41"/>
        <v>0.38999999999999968</v>
      </c>
      <c r="AN245" s="444">
        <f t="shared" ca="1" si="42"/>
        <v>0.4300000000000006</v>
      </c>
      <c r="AO245" s="444">
        <f t="shared" ca="1" si="43"/>
        <v>-2.0000000000000462E-2</v>
      </c>
      <c r="AP245" s="444">
        <f t="shared" ca="1" si="35"/>
        <v>0.98000000000000009</v>
      </c>
      <c r="AQ245" s="444">
        <f t="shared" ca="1" si="36"/>
        <v>0.65</v>
      </c>
      <c r="AR245" s="444">
        <f t="shared" ca="1" si="37"/>
        <v>0.33000000000000007</v>
      </c>
      <c r="AS245" s="445">
        <f t="shared" ca="1" si="38"/>
        <v>0.15999999999999998</v>
      </c>
    </row>
    <row r="246" spans="31:45">
      <c r="AE246" s="442">
        <f t="shared" ca="1" si="39"/>
        <v>42334</v>
      </c>
      <c r="AF246" s="443">
        <f ca="1">_xll.BDH(AF$5,"PX_LAST",$AE246)</f>
        <v>3.89</v>
      </c>
      <c r="AG246" s="443">
        <f ca="1">_xll.BDH(AG$5,"PX_LAST",$AE246)</f>
        <v>4.28</v>
      </c>
      <c r="AH246" s="443">
        <f ca="1">_xll.BDH(AH$5,"PX_LAST",$AE246)</f>
        <v>4.7</v>
      </c>
      <c r="AI246" s="443">
        <f ca="1">_xll.BDH(AI$5,"PX_LAST",$AE246)</f>
        <v>0.63</v>
      </c>
      <c r="AJ246" s="443">
        <f ca="1">_xll.BDH(AJ$5,"PX_LAST",$AE246)</f>
        <v>1.27</v>
      </c>
      <c r="AK246" s="443">
        <f ca="1">_xll.BDH(AK$5,"PX_LAST",$AE246)</f>
        <v>1.65</v>
      </c>
      <c r="AL246" s="444">
        <f t="shared" ca="1" si="40"/>
        <v>0.81</v>
      </c>
      <c r="AM246" s="444">
        <f t="shared" ca="1" si="41"/>
        <v>0.39000000000000012</v>
      </c>
      <c r="AN246" s="444">
        <f t="shared" ca="1" si="42"/>
        <v>0.41999999999999993</v>
      </c>
      <c r="AO246" s="444">
        <f t="shared" ca="1" si="43"/>
        <v>-1.4999999999999902E-2</v>
      </c>
      <c r="AP246" s="444">
        <f t="shared" ca="1" si="35"/>
        <v>1.02</v>
      </c>
      <c r="AQ246" s="444">
        <f t="shared" ca="1" si="36"/>
        <v>0.64</v>
      </c>
      <c r="AR246" s="444">
        <f t="shared" ca="1" si="37"/>
        <v>0.37999999999999989</v>
      </c>
      <c r="AS246" s="445">
        <f t="shared" ca="1" si="38"/>
        <v>0.13000000000000006</v>
      </c>
    </row>
    <row r="247" spans="31:45">
      <c r="AE247" s="442">
        <f t="shared" ca="1" si="39"/>
        <v>42333</v>
      </c>
      <c r="AF247" s="443">
        <f ca="1">_xll.BDH(AF$5,"PX_LAST",$AE247)</f>
        <v>3.86</v>
      </c>
      <c r="AG247" s="443">
        <f ca="1">_xll.BDH(AG$5,"PX_LAST",$AE247)</f>
        <v>4.25</v>
      </c>
      <c r="AH247" s="443">
        <f ca="1">_xll.BDH(AH$5,"PX_LAST",$AE247)</f>
        <v>4.6399999999999997</v>
      </c>
      <c r="AI247" s="443">
        <f ca="1">_xll.BDH(AI$5,"PX_LAST",$AE247)</f>
        <v>0.62</v>
      </c>
      <c r="AJ247" s="443">
        <f ca="1">_xll.BDH(AJ$5,"PX_LAST",$AE247)</f>
        <v>1.25</v>
      </c>
      <c r="AK247" s="443">
        <f ca="1">_xll.BDH(AK$5,"PX_LAST",$AE247)</f>
        <v>1.63</v>
      </c>
      <c r="AL247" s="444">
        <f t="shared" ca="1" si="40"/>
        <v>0.7799999999999998</v>
      </c>
      <c r="AM247" s="444">
        <f t="shared" ca="1" si="41"/>
        <v>0.39000000000000012</v>
      </c>
      <c r="AN247" s="444">
        <f t="shared" ca="1" si="42"/>
        <v>0.38999999999999968</v>
      </c>
      <c r="AO247" s="444">
        <f t="shared" ca="1" si="43"/>
        <v>2.2204460492503131E-16</v>
      </c>
      <c r="AP247" s="444">
        <f t="shared" ca="1" si="35"/>
        <v>1.0099999999999998</v>
      </c>
      <c r="AQ247" s="444">
        <f t="shared" ca="1" si="36"/>
        <v>0.63</v>
      </c>
      <c r="AR247" s="444">
        <f t="shared" ca="1" si="37"/>
        <v>0.37999999999999989</v>
      </c>
      <c r="AS247" s="445">
        <f t="shared" ca="1" si="38"/>
        <v>0.12500000000000006</v>
      </c>
    </row>
    <row r="248" spans="31:45">
      <c r="AE248" s="442">
        <f t="shared" ca="1" si="39"/>
        <v>42332</v>
      </c>
      <c r="AF248" s="443">
        <f ca="1">_xll.BDH(AF$5,"PX_LAST",$AE248)</f>
        <v>3.9</v>
      </c>
      <c r="AG248" s="443">
        <f ca="1">_xll.BDH(AG$5,"PX_LAST",$AE248)</f>
        <v>4.29</v>
      </c>
      <c r="AH248" s="443">
        <f ca="1">_xll.BDH(AH$5,"PX_LAST",$AE248)</f>
        <v>4.7</v>
      </c>
      <c r="AI248" s="443">
        <f ca="1">_xll.BDH(AI$5,"PX_LAST",$AE248)</f>
        <v>0.68</v>
      </c>
      <c r="AJ248" s="443">
        <f ca="1">_xll.BDH(AJ$5,"PX_LAST",$AE248)</f>
        <v>1.27</v>
      </c>
      <c r="AK248" s="443">
        <f ca="1">_xll.BDH(AK$5,"PX_LAST",$AE248)</f>
        <v>1.67</v>
      </c>
      <c r="AL248" s="444">
        <f t="shared" ca="1" si="40"/>
        <v>0.80000000000000027</v>
      </c>
      <c r="AM248" s="444">
        <f t="shared" ca="1" si="41"/>
        <v>0.39000000000000012</v>
      </c>
      <c r="AN248" s="444">
        <f t="shared" ca="1" si="42"/>
        <v>0.41000000000000014</v>
      </c>
      <c r="AO248" s="444">
        <f t="shared" ca="1" si="43"/>
        <v>-1.0000000000000009E-2</v>
      </c>
      <c r="AP248" s="444">
        <f t="shared" ca="1" si="35"/>
        <v>0.98999999999999988</v>
      </c>
      <c r="AQ248" s="444">
        <f t="shared" ca="1" si="36"/>
        <v>0.59</v>
      </c>
      <c r="AR248" s="444">
        <f t="shared" ca="1" si="37"/>
        <v>0.39999999999999991</v>
      </c>
      <c r="AS248" s="445">
        <f t="shared" ca="1" si="38"/>
        <v>9.5000000000000029E-2</v>
      </c>
    </row>
    <row r="249" spans="31:45">
      <c r="AE249" s="442">
        <f t="shared" ca="1" si="39"/>
        <v>42331</v>
      </c>
      <c r="AF249" s="443">
        <f ca="1">_xll.BDH(AF$5,"PX_LAST",$AE249)</f>
        <v>3.92</v>
      </c>
      <c r="AG249" s="443">
        <f ca="1">_xll.BDH(AG$5,"PX_LAST",$AE249)</f>
        <v>4.33</v>
      </c>
      <c r="AH249" s="443">
        <f ca="1">_xll.BDH(AH$5,"PX_LAST",$AE249)</f>
        <v>4.74</v>
      </c>
      <c r="AI249" s="443">
        <f ca="1">_xll.BDH(AI$5,"PX_LAST",$AE249)</f>
        <v>0.68</v>
      </c>
      <c r="AJ249" s="443">
        <f ca="1">_xll.BDH(AJ$5,"PX_LAST",$AE249)</f>
        <v>1.28</v>
      </c>
      <c r="AK249" s="443">
        <f ca="1">_xll.BDH(AK$5,"PX_LAST",$AE249)</f>
        <v>1.72</v>
      </c>
      <c r="AL249" s="444">
        <f t="shared" ca="1" si="40"/>
        <v>0.82000000000000028</v>
      </c>
      <c r="AM249" s="444">
        <f t="shared" ca="1" si="41"/>
        <v>0.41000000000000014</v>
      </c>
      <c r="AN249" s="444">
        <f t="shared" ca="1" si="42"/>
        <v>0.41000000000000014</v>
      </c>
      <c r="AO249" s="444">
        <f t="shared" ca="1" si="43"/>
        <v>0</v>
      </c>
      <c r="AP249" s="444">
        <f t="shared" ca="1" si="35"/>
        <v>1.04</v>
      </c>
      <c r="AQ249" s="444">
        <f t="shared" ca="1" si="36"/>
        <v>0.6</v>
      </c>
      <c r="AR249" s="444">
        <f t="shared" ca="1" si="37"/>
        <v>0.43999999999999995</v>
      </c>
      <c r="AS249" s="445">
        <f t="shared" ca="1" si="38"/>
        <v>8.0000000000000016E-2</v>
      </c>
    </row>
    <row r="250" spans="31:45">
      <c r="AE250" s="442">
        <f t="shared" ca="1" si="39"/>
        <v>42328</v>
      </c>
      <c r="AF250" s="443">
        <f ca="1">_xll.BDH(AF$5,"PX_LAST",$AE250)</f>
        <v>3.91</v>
      </c>
      <c r="AG250" s="443">
        <f ca="1">_xll.BDH(AG$5,"PX_LAST",$AE250)</f>
        <v>4.33</v>
      </c>
      <c r="AH250" s="443">
        <f ca="1">_xll.BDH(AH$5,"PX_LAST",$AE250)</f>
        <v>4.74</v>
      </c>
      <c r="AI250" s="443">
        <f ca="1">_xll.BDH(AI$5,"PX_LAST",$AE250)</f>
        <v>0.74</v>
      </c>
      <c r="AJ250" s="443">
        <f ca="1">_xll.BDH(AJ$5,"PX_LAST",$AE250)</f>
        <v>1.3</v>
      </c>
      <c r="AK250" s="443">
        <f ca="1">_xll.BDH(AK$5,"PX_LAST",$AE250)</f>
        <v>1.74</v>
      </c>
      <c r="AL250" s="444">
        <f t="shared" ca="1" si="40"/>
        <v>0.83000000000000007</v>
      </c>
      <c r="AM250" s="444">
        <f t="shared" ca="1" si="41"/>
        <v>0.41999999999999993</v>
      </c>
      <c r="AN250" s="444">
        <f t="shared" ca="1" si="42"/>
        <v>0.41000000000000014</v>
      </c>
      <c r="AO250" s="444">
        <f t="shared" ca="1" si="43"/>
        <v>4.9999999999998934E-3</v>
      </c>
      <c r="AP250" s="444">
        <f t="shared" ca="1" si="35"/>
        <v>1</v>
      </c>
      <c r="AQ250" s="444">
        <f t="shared" ca="1" si="36"/>
        <v>0.56000000000000005</v>
      </c>
      <c r="AR250" s="444">
        <f t="shared" ca="1" si="37"/>
        <v>0.43999999999999995</v>
      </c>
      <c r="AS250" s="445">
        <f t="shared" ca="1" si="38"/>
        <v>6.0000000000000053E-2</v>
      </c>
    </row>
    <row r="251" spans="31:45">
      <c r="AE251" s="442">
        <f t="shared" ca="1" si="39"/>
        <v>42327</v>
      </c>
      <c r="AF251" s="443">
        <f ca="1">_xll.BDH(AF$5,"PX_LAST",$AE251)</f>
        <v>3.91</v>
      </c>
      <c r="AG251" s="443">
        <f ca="1">_xll.BDH(AG$5,"PX_LAST",$AE251)</f>
        <v>4.34</v>
      </c>
      <c r="AH251" s="443">
        <f ca="1">_xll.BDH(AH$5,"PX_LAST",$AE251)</f>
        <v>4.75</v>
      </c>
      <c r="AI251" s="443">
        <f ca="1">_xll.BDH(AI$5,"PX_LAST",$AE251)</f>
        <v>0.74</v>
      </c>
      <c r="AJ251" s="443">
        <f ca="1">_xll.BDH(AJ$5,"PX_LAST",$AE251)</f>
        <v>1.3</v>
      </c>
      <c r="AK251" s="443">
        <f ca="1">_xll.BDH(AK$5,"PX_LAST",$AE251)</f>
        <v>1.73</v>
      </c>
      <c r="AL251" s="444">
        <f t="shared" ca="1" si="40"/>
        <v>0.83999999999999986</v>
      </c>
      <c r="AM251" s="444">
        <f t="shared" ca="1" si="41"/>
        <v>0.42999999999999972</v>
      </c>
      <c r="AN251" s="444">
        <f t="shared" ca="1" si="42"/>
        <v>0.41000000000000014</v>
      </c>
      <c r="AO251" s="444">
        <f t="shared" ca="1" si="43"/>
        <v>9.9999999999997868E-3</v>
      </c>
      <c r="AP251" s="444">
        <f t="shared" ca="1" si="35"/>
        <v>0.99</v>
      </c>
      <c r="AQ251" s="444">
        <f t="shared" ca="1" si="36"/>
        <v>0.56000000000000005</v>
      </c>
      <c r="AR251" s="444">
        <f t="shared" ca="1" si="37"/>
        <v>0.42999999999999994</v>
      </c>
      <c r="AS251" s="445">
        <f t="shared" ca="1" si="38"/>
        <v>6.5000000000000058E-2</v>
      </c>
    </row>
    <row r="252" spans="31:45">
      <c r="AE252" s="442">
        <f t="shared" ca="1" si="39"/>
        <v>42326</v>
      </c>
      <c r="AF252" s="443">
        <f ca="1">_xll.BDH(AF$5,"PX_LAST",$AE252)</f>
        <v>3.91</v>
      </c>
      <c r="AG252" s="443">
        <f ca="1">_xll.BDH(AG$5,"PX_LAST",$AE252)</f>
        <v>4.3600000000000003</v>
      </c>
      <c r="AH252" s="443">
        <f ca="1">_xll.BDH(AH$5,"PX_LAST",$AE252)</f>
        <v>4.76</v>
      </c>
      <c r="AI252" s="443">
        <f ca="1">_xll.BDH(AI$5,"PX_LAST",$AE252)</f>
        <v>0.74</v>
      </c>
      <c r="AJ252" s="443">
        <f ca="1">_xll.BDH(AJ$5,"PX_LAST",$AE252)</f>
        <v>1.29</v>
      </c>
      <c r="AK252" s="443">
        <f ca="1">_xll.BDH(AK$5,"PX_LAST",$AE252)</f>
        <v>1.73</v>
      </c>
      <c r="AL252" s="444">
        <f t="shared" ca="1" si="40"/>
        <v>0.84999999999999964</v>
      </c>
      <c r="AM252" s="444">
        <f t="shared" ca="1" si="41"/>
        <v>0.45000000000000018</v>
      </c>
      <c r="AN252" s="444">
        <f t="shared" ca="1" si="42"/>
        <v>0.39999999999999947</v>
      </c>
      <c r="AO252" s="444">
        <f t="shared" ca="1" si="43"/>
        <v>2.5000000000000355E-2</v>
      </c>
      <c r="AP252" s="444">
        <f t="shared" ca="1" si="35"/>
        <v>0.99</v>
      </c>
      <c r="AQ252" s="444">
        <f t="shared" ca="1" si="36"/>
        <v>0.55000000000000004</v>
      </c>
      <c r="AR252" s="444">
        <f t="shared" ca="1" si="37"/>
        <v>0.43999999999999995</v>
      </c>
      <c r="AS252" s="445">
        <f t="shared" ca="1" si="38"/>
        <v>5.5000000000000049E-2</v>
      </c>
    </row>
    <row r="253" spans="31:45">
      <c r="AE253" s="442">
        <f t="shared" ca="1" si="39"/>
        <v>42325</v>
      </c>
      <c r="AF253" s="443">
        <f ca="1">_xll.BDH(AF$5,"PX_LAST",$AE253)</f>
        <v>3.9</v>
      </c>
      <c r="AG253" s="443">
        <f ca="1">_xll.BDH(AG$5,"PX_LAST",$AE253)</f>
        <v>4.37</v>
      </c>
      <c r="AH253" s="443">
        <f ca="1">_xll.BDH(AH$5,"PX_LAST",$AE253)</f>
        <v>4.75</v>
      </c>
      <c r="AI253" s="443">
        <f ca="1">_xll.BDH(AI$5,"PX_LAST",$AE253)</f>
        <v>0.79</v>
      </c>
      <c r="AJ253" s="443">
        <f ca="1">_xll.BDH(AJ$5,"PX_LAST",$AE253)</f>
        <v>1.3</v>
      </c>
      <c r="AK253" s="443">
        <f ca="1">_xll.BDH(AK$5,"PX_LAST",$AE253)</f>
        <v>1.74</v>
      </c>
      <c r="AL253" s="444">
        <f t="shared" ca="1" si="40"/>
        <v>0.85000000000000009</v>
      </c>
      <c r="AM253" s="444">
        <f t="shared" ca="1" si="41"/>
        <v>0.4700000000000002</v>
      </c>
      <c r="AN253" s="444">
        <f t="shared" ca="1" si="42"/>
        <v>0.37999999999999989</v>
      </c>
      <c r="AO253" s="444">
        <f t="shared" ca="1" si="43"/>
        <v>4.5000000000000151E-2</v>
      </c>
      <c r="AP253" s="444">
        <f t="shared" ca="1" si="35"/>
        <v>0.95</v>
      </c>
      <c r="AQ253" s="444">
        <f t="shared" ca="1" si="36"/>
        <v>0.51</v>
      </c>
      <c r="AR253" s="444">
        <f t="shared" ca="1" si="37"/>
        <v>0.43999999999999995</v>
      </c>
      <c r="AS253" s="445">
        <f t="shared" ca="1" si="38"/>
        <v>3.5000000000000031E-2</v>
      </c>
    </row>
    <row r="254" spans="31:45">
      <c r="AE254" s="442">
        <f t="shared" ca="1" si="39"/>
        <v>42324</v>
      </c>
      <c r="AF254" s="443">
        <f ca="1">_xll.BDH(AF$5,"PX_LAST",$AE254)</f>
        <v>3.91</v>
      </c>
      <c r="AG254" s="443">
        <f ca="1">_xll.BDH(AG$5,"PX_LAST",$AE254)</f>
        <v>4.37</v>
      </c>
      <c r="AH254" s="443">
        <f ca="1">_xll.BDH(AH$5,"PX_LAST",$AE254)</f>
        <v>4.75</v>
      </c>
      <c r="AI254" s="443">
        <f ca="1">_xll.BDH(AI$5,"PX_LAST",$AE254)</f>
        <v>0.77</v>
      </c>
      <c r="AJ254" s="443">
        <f ca="1">_xll.BDH(AJ$5,"PX_LAST",$AE254)</f>
        <v>1.29</v>
      </c>
      <c r="AK254" s="443">
        <f ca="1">_xll.BDH(AK$5,"PX_LAST",$AE254)</f>
        <v>1.72</v>
      </c>
      <c r="AL254" s="444">
        <f t="shared" ca="1" si="40"/>
        <v>0.83999999999999986</v>
      </c>
      <c r="AM254" s="444">
        <f t="shared" ca="1" si="41"/>
        <v>0.45999999999999996</v>
      </c>
      <c r="AN254" s="444">
        <f t="shared" ca="1" si="42"/>
        <v>0.37999999999999989</v>
      </c>
      <c r="AO254" s="444">
        <f t="shared" ca="1" si="43"/>
        <v>4.0000000000000036E-2</v>
      </c>
      <c r="AP254" s="444">
        <f t="shared" ca="1" si="35"/>
        <v>0.95</v>
      </c>
      <c r="AQ254" s="444">
        <f t="shared" ca="1" si="36"/>
        <v>0.52</v>
      </c>
      <c r="AR254" s="444">
        <f t="shared" ca="1" si="37"/>
        <v>0.42999999999999994</v>
      </c>
      <c r="AS254" s="445">
        <f t="shared" ca="1" si="38"/>
        <v>4.500000000000004E-2</v>
      </c>
    </row>
    <row r="255" spans="31:45">
      <c r="AE255" s="442">
        <f t="shared" ca="1" si="39"/>
        <v>42321</v>
      </c>
      <c r="AF255" s="443">
        <f ca="1">_xll.BDH(AF$5,"PX_LAST",$AE255)</f>
        <v>3.91</v>
      </c>
      <c r="AG255" s="443">
        <f ca="1">_xll.BDH(AG$5,"PX_LAST",$AE255)</f>
        <v>4.37</v>
      </c>
      <c r="AH255" s="443">
        <f ca="1">_xll.BDH(AH$5,"PX_LAST",$AE255)</f>
        <v>4.74</v>
      </c>
      <c r="AI255" s="443">
        <f ca="1">_xll.BDH(AI$5,"PX_LAST",$AE255)</f>
        <v>0.86</v>
      </c>
      <c r="AJ255" s="443">
        <f ca="1">_xll.BDH(AJ$5,"PX_LAST",$AE255)</f>
        <v>1.31</v>
      </c>
      <c r="AK255" s="443">
        <f ca="1">_xll.BDH(AK$5,"PX_LAST",$AE255)</f>
        <v>1.69</v>
      </c>
      <c r="AL255" s="444">
        <f t="shared" ca="1" si="40"/>
        <v>0.83000000000000007</v>
      </c>
      <c r="AM255" s="444">
        <f t="shared" ca="1" si="41"/>
        <v>0.45999999999999996</v>
      </c>
      <c r="AN255" s="444">
        <f t="shared" ca="1" si="42"/>
        <v>0.37000000000000011</v>
      </c>
      <c r="AO255" s="444">
        <f t="shared" ca="1" si="43"/>
        <v>4.4999999999999929E-2</v>
      </c>
      <c r="AP255" s="444">
        <f t="shared" ca="1" si="35"/>
        <v>0.83</v>
      </c>
      <c r="AQ255" s="444">
        <f t="shared" ca="1" si="36"/>
        <v>0.45000000000000007</v>
      </c>
      <c r="AR255" s="444">
        <f t="shared" ca="1" si="37"/>
        <v>0.37999999999999989</v>
      </c>
      <c r="AS255" s="445">
        <f t="shared" ca="1" si="38"/>
        <v>3.5000000000000087E-2</v>
      </c>
    </row>
    <row r="256" spans="31:45">
      <c r="AE256" s="442">
        <f t="shared" ca="1" si="39"/>
        <v>42320</v>
      </c>
      <c r="AF256" s="443">
        <f ca="1">_xll.BDH(AF$5,"PX_LAST",$AE256)</f>
        <v>3.95</v>
      </c>
      <c r="AG256" s="443">
        <f ca="1">_xll.BDH(AG$5,"PX_LAST",$AE256)</f>
        <v>4.41</v>
      </c>
      <c r="AH256" s="443">
        <f ca="1">_xll.BDH(AH$5,"PX_LAST",$AE256)</f>
        <v>4.78</v>
      </c>
      <c r="AI256" s="443">
        <f ca="1">_xll.BDH(AI$5,"PX_LAST",$AE256)</f>
        <v>0.9</v>
      </c>
      <c r="AJ256" s="443">
        <f ca="1">_xll.BDH(AJ$5,"PX_LAST",$AE256)</f>
        <v>1.38</v>
      </c>
      <c r="AK256" s="443">
        <f ca="1">_xll.BDH(AK$5,"PX_LAST",$AE256)</f>
        <v>1.7</v>
      </c>
      <c r="AL256" s="444">
        <f t="shared" ca="1" si="40"/>
        <v>0.83000000000000007</v>
      </c>
      <c r="AM256" s="444">
        <f t="shared" ca="1" si="41"/>
        <v>0.45999999999999996</v>
      </c>
      <c r="AN256" s="444">
        <f t="shared" ca="1" si="42"/>
        <v>0.37000000000000011</v>
      </c>
      <c r="AO256" s="444">
        <f t="shared" ca="1" si="43"/>
        <v>4.4999999999999929E-2</v>
      </c>
      <c r="AP256" s="444">
        <f t="shared" ca="1" si="35"/>
        <v>0.79999999999999993</v>
      </c>
      <c r="AQ256" s="444">
        <f t="shared" ca="1" si="36"/>
        <v>0.47999999999999987</v>
      </c>
      <c r="AR256" s="444">
        <f t="shared" ca="1" si="37"/>
        <v>0.32000000000000006</v>
      </c>
      <c r="AS256" s="445">
        <f t="shared" ca="1" si="38"/>
        <v>7.9999999999999905E-2</v>
      </c>
    </row>
    <row r="257" spans="31:45">
      <c r="AE257" s="442">
        <f t="shared" ca="1" si="39"/>
        <v>42319</v>
      </c>
      <c r="AF257" s="443">
        <f ca="1">_xll.BDH(AF$5,"PX_LAST",$AE257)</f>
        <v>3.95</v>
      </c>
      <c r="AG257" s="443">
        <f ca="1">_xll.BDH(AG$5,"PX_LAST",$AE257)</f>
        <v>4.4000000000000004</v>
      </c>
      <c r="AH257" s="443">
        <f ca="1">_xll.BDH(AH$5,"PX_LAST",$AE257)</f>
        <v>4.8100000000000005</v>
      </c>
      <c r="AI257" s="443">
        <f ca="1">_xll.BDH(AI$5,"PX_LAST",$AE257)</f>
        <v>0.9</v>
      </c>
      <c r="AJ257" s="443">
        <f ca="1">_xll.BDH(AJ$5,"PX_LAST",$AE257)</f>
        <v>1.38</v>
      </c>
      <c r="AK257" s="443">
        <f ca="1">_xll.BDH(AK$5,"PX_LAST",$AE257)</f>
        <v>1.72</v>
      </c>
      <c r="AL257" s="444">
        <f t="shared" ca="1" si="40"/>
        <v>0.86000000000000032</v>
      </c>
      <c r="AM257" s="444">
        <f t="shared" ca="1" si="41"/>
        <v>0.45000000000000018</v>
      </c>
      <c r="AN257" s="444">
        <f t="shared" ca="1" si="42"/>
        <v>0.41000000000000014</v>
      </c>
      <c r="AO257" s="444">
        <f t="shared" ca="1" si="43"/>
        <v>2.0000000000000018E-2</v>
      </c>
      <c r="AP257" s="444">
        <f t="shared" ca="1" si="35"/>
        <v>0.82</v>
      </c>
      <c r="AQ257" s="444">
        <f t="shared" ca="1" si="36"/>
        <v>0.47999999999999987</v>
      </c>
      <c r="AR257" s="444">
        <f t="shared" ca="1" si="37"/>
        <v>0.34000000000000008</v>
      </c>
      <c r="AS257" s="445">
        <f t="shared" ca="1" si="38"/>
        <v>6.9999999999999896E-2</v>
      </c>
    </row>
    <row r="258" spans="31:45">
      <c r="AE258" s="442">
        <f t="shared" ca="1" si="39"/>
        <v>42318</v>
      </c>
      <c r="AF258" s="443">
        <f ca="1">_xll.BDH(AF$5,"PX_LAST",$AE258)</f>
        <v>3.96</v>
      </c>
      <c r="AG258" s="443">
        <f ca="1">_xll.BDH(AG$5,"PX_LAST",$AE258)</f>
        <v>4.4400000000000004</v>
      </c>
      <c r="AH258" s="443">
        <f ca="1">_xll.BDH(AH$5,"PX_LAST",$AE258)</f>
        <v>4.84</v>
      </c>
      <c r="AI258" s="443">
        <f ca="1">_xll.BDH(AI$5,"PX_LAST",$AE258)</f>
        <v>0.91</v>
      </c>
      <c r="AJ258" s="443">
        <f ca="1">_xll.BDH(AJ$5,"PX_LAST",$AE258)</f>
        <v>1.42</v>
      </c>
      <c r="AK258" s="443">
        <f ca="1">_xll.BDH(AK$5,"PX_LAST",$AE258)</f>
        <v>1.76</v>
      </c>
      <c r="AL258" s="444">
        <f t="shared" ca="1" si="40"/>
        <v>0.87999999999999989</v>
      </c>
      <c r="AM258" s="444">
        <f t="shared" ca="1" si="41"/>
        <v>0.48000000000000043</v>
      </c>
      <c r="AN258" s="444">
        <f t="shared" ca="1" si="42"/>
        <v>0.39999999999999947</v>
      </c>
      <c r="AO258" s="444">
        <f t="shared" ca="1" si="43"/>
        <v>4.000000000000048E-2</v>
      </c>
      <c r="AP258" s="444">
        <f t="shared" ca="1" si="35"/>
        <v>0.85</v>
      </c>
      <c r="AQ258" s="444">
        <f t="shared" ca="1" si="36"/>
        <v>0.5099999999999999</v>
      </c>
      <c r="AR258" s="444">
        <f t="shared" ca="1" si="37"/>
        <v>0.34000000000000008</v>
      </c>
      <c r="AS258" s="445">
        <f t="shared" ca="1" si="38"/>
        <v>8.4999999999999909E-2</v>
      </c>
    </row>
    <row r="259" spans="31:45">
      <c r="AE259" s="442">
        <f t="shared" ca="1" si="39"/>
        <v>42317</v>
      </c>
      <c r="AF259" s="443">
        <f ca="1">_xll.BDH(AF$5,"PX_LAST",$AE259)</f>
        <v>3.98</v>
      </c>
      <c r="AG259" s="443">
        <f ca="1">_xll.BDH(AG$5,"PX_LAST",$AE259)</f>
        <v>4.46</v>
      </c>
      <c r="AH259" s="443">
        <f ca="1">_xll.BDH(AH$5,"PX_LAST",$AE259)</f>
        <v>4.84</v>
      </c>
      <c r="AI259" s="443">
        <f ca="1">_xll.BDH(AI$5,"PX_LAST",$AE259)</f>
        <v>0.89</v>
      </c>
      <c r="AJ259" s="443">
        <f ca="1">_xll.BDH(AJ$5,"PX_LAST",$AE259)</f>
        <v>1.41</v>
      </c>
      <c r="AK259" s="443">
        <f ca="1">_xll.BDH(AK$5,"PX_LAST",$AE259)</f>
        <v>1.78</v>
      </c>
      <c r="AL259" s="444">
        <f t="shared" ca="1" si="40"/>
        <v>0.85999999999999988</v>
      </c>
      <c r="AM259" s="444">
        <f t="shared" ca="1" si="41"/>
        <v>0.48</v>
      </c>
      <c r="AN259" s="444">
        <f t="shared" ca="1" si="42"/>
        <v>0.37999999999999989</v>
      </c>
      <c r="AO259" s="444">
        <f t="shared" ca="1" si="43"/>
        <v>5.0000000000000044E-2</v>
      </c>
      <c r="AP259" s="444">
        <f t="shared" ca="1" si="35"/>
        <v>0.89</v>
      </c>
      <c r="AQ259" s="444">
        <f t="shared" ca="1" si="36"/>
        <v>0.51999999999999991</v>
      </c>
      <c r="AR259" s="444">
        <f t="shared" ca="1" si="37"/>
        <v>0.37000000000000011</v>
      </c>
      <c r="AS259" s="445">
        <f t="shared" ca="1" si="38"/>
        <v>7.49999999999999E-2</v>
      </c>
    </row>
    <row r="260" spans="31:45">
      <c r="AE260" s="442">
        <f t="shared" ca="1" si="39"/>
        <v>42314</v>
      </c>
      <c r="AF260" s="443">
        <f ca="1">_xll.BDH(AF$5,"PX_LAST",$AE260)</f>
        <v>3.98</v>
      </c>
      <c r="AG260" s="443">
        <f ca="1">_xll.BDH(AG$5,"PX_LAST",$AE260)</f>
        <v>4.45</v>
      </c>
      <c r="AH260" s="443">
        <f ca="1">_xll.BDH(AH$5,"PX_LAST",$AE260)</f>
        <v>4.83</v>
      </c>
      <c r="AI260" s="443">
        <f ca="1">_xll.BDH(AI$5,"PX_LAST",$AE260)</f>
        <v>0.88</v>
      </c>
      <c r="AJ260" s="443">
        <f ca="1">_xll.BDH(AJ$5,"PX_LAST",$AE260)</f>
        <v>1.4</v>
      </c>
      <c r="AK260" s="443">
        <f ca="1">_xll.BDH(AK$5,"PX_LAST",$AE260)</f>
        <v>1.79</v>
      </c>
      <c r="AL260" s="444">
        <f t="shared" ca="1" si="40"/>
        <v>0.85000000000000009</v>
      </c>
      <c r="AM260" s="444">
        <f t="shared" ca="1" si="41"/>
        <v>0.4700000000000002</v>
      </c>
      <c r="AN260" s="444">
        <f t="shared" ca="1" si="42"/>
        <v>0.37999999999999989</v>
      </c>
      <c r="AO260" s="444">
        <f t="shared" ca="1" si="43"/>
        <v>4.5000000000000151E-2</v>
      </c>
      <c r="AP260" s="444">
        <f t="shared" ca="1" si="35"/>
        <v>0.91</v>
      </c>
      <c r="AQ260" s="444">
        <f t="shared" ca="1" si="36"/>
        <v>0.51999999999999991</v>
      </c>
      <c r="AR260" s="444">
        <f t="shared" ca="1" si="37"/>
        <v>0.39000000000000012</v>
      </c>
      <c r="AS260" s="445">
        <f t="shared" ca="1" si="38"/>
        <v>6.4999999999999891E-2</v>
      </c>
    </row>
    <row r="261" spans="31:45">
      <c r="AE261" s="442">
        <f t="shared" ca="1" si="39"/>
        <v>42313</v>
      </c>
      <c r="AF261" s="443">
        <f ca="1">_xll.BDH(AF$5,"PX_LAST",$AE261)</f>
        <v>3.92</v>
      </c>
      <c r="AG261" s="443">
        <f ca="1">_xll.BDH(AG$5,"PX_LAST",$AE261)</f>
        <v>4.3600000000000003</v>
      </c>
      <c r="AH261" s="443">
        <f ca="1">_xll.BDH(AH$5,"PX_LAST",$AE261)</f>
        <v>4.76</v>
      </c>
      <c r="AI261" s="443">
        <f ca="1">_xll.BDH(AI$5,"PX_LAST",$AE261)</f>
        <v>0.91</v>
      </c>
      <c r="AJ261" s="443">
        <f ca="1">_xll.BDH(AJ$5,"PX_LAST",$AE261)</f>
        <v>1.37</v>
      </c>
      <c r="AK261" s="443">
        <f ca="1">_xll.BDH(AK$5,"PX_LAST",$AE261)</f>
        <v>1.76</v>
      </c>
      <c r="AL261" s="444">
        <f t="shared" ca="1" si="40"/>
        <v>0.83999999999999986</v>
      </c>
      <c r="AM261" s="444">
        <f t="shared" ca="1" si="41"/>
        <v>0.44000000000000039</v>
      </c>
      <c r="AN261" s="444">
        <f t="shared" ca="1" si="42"/>
        <v>0.39999999999999947</v>
      </c>
      <c r="AO261" s="444">
        <f t="shared" ca="1" si="43"/>
        <v>2.0000000000000462E-2</v>
      </c>
      <c r="AP261" s="444">
        <f t="shared" ca="1" si="35"/>
        <v>0.85</v>
      </c>
      <c r="AQ261" s="444">
        <f t="shared" ca="1" si="36"/>
        <v>0.46000000000000008</v>
      </c>
      <c r="AR261" s="444">
        <f t="shared" ca="1" si="37"/>
        <v>0.3899999999999999</v>
      </c>
      <c r="AS261" s="445">
        <f t="shared" ca="1" si="38"/>
        <v>3.5000000000000087E-2</v>
      </c>
    </row>
    <row r="262" spans="31:45">
      <c r="AE262" s="442">
        <f t="shared" ca="1" si="39"/>
        <v>42312</v>
      </c>
      <c r="AF262" s="443">
        <f ca="1">_xll.BDH(AF$5,"PX_LAST",$AE262)</f>
        <v>3.89</v>
      </c>
      <c r="AG262" s="443">
        <f ca="1">_xll.BDH(AG$5,"PX_LAST",$AE262)</f>
        <v>4.34</v>
      </c>
      <c r="AH262" s="443">
        <f ca="1">_xll.BDH(AH$5,"PX_LAST",$AE262)</f>
        <v>4.74</v>
      </c>
      <c r="AI262" s="443">
        <f ca="1">_xll.BDH(AI$5,"PX_LAST",$AE262)</f>
        <v>0.91</v>
      </c>
      <c r="AJ262" s="443">
        <f ca="1">_xll.BDH(AJ$5,"PX_LAST",$AE262)</f>
        <v>1.38</v>
      </c>
      <c r="AK262" s="443">
        <f ca="1">_xll.BDH(AK$5,"PX_LAST",$AE262)</f>
        <v>1.76</v>
      </c>
      <c r="AL262" s="444">
        <f t="shared" ca="1" si="40"/>
        <v>0.85000000000000009</v>
      </c>
      <c r="AM262" s="444">
        <f t="shared" ca="1" si="41"/>
        <v>0.44999999999999973</v>
      </c>
      <c r="AN262" s="444">
        <f t="shared" ca="1" si="42"/>
        <v>0.40000000000000036</v>
      </c>
      <c r="AO262" s="444">
        <f t="shared" ca="1" si="43"/>
        <v>2.4999999999999689E-2</v>
      </c>
      <c r="AP262" s="444">
        <f t="shared" ca="1" si="35"/>
        <v>0.85</v>
      </c>
      <c r="AQ262" s="444">
        <f t="shared" ca="1" si="36"/>
        <v>0.46999999999999986</v>
      </c>
      <c r="AR262" s="444">
        <f t="shared" ca="1" si="37"/>
        <v>0.38000000000000012</v>
      </c>
      <c r="AS262" s="445">
        <f t="shared" ca="1" si="38"/>
        <v>4.4999999999999873E-2</v>
      </c>
    </row>
    <row r="263" spans="31:45">
      <c r="AE263" s="442">
        <f t="shared" ca="1" si="39"/>
        <v>42311</v>
      </c>
      <c r="AF263" s="443">
        <f ca="1">_xll.BDH(AF$5,"PX_LAST",$AE263)</f>
        <v>3.9</v>
      </c>
      <c r="AG263" s="443">
        <f ca="1">_xll.BDH(AG$5,"PX_LAST",$AE263)</f>
        <v>4.32</v>
      </c>
      <c r="AH263" s="443">
        <f ca="1">_xll.BDH(AH$5,"PX_LAST",$AE263)</f>
        <v>4.7300000000000004</v>
      </c>
      <c r="AI263" s="443">
        <f ca="1">_xll.BDH(AI$5,"PX_LAST",$AE263)</f>
        <v>0.92</v>
      </c>
      <c r="AJ263" s="443">
        <f ca="1">_xll.BDH(AJ$5,"PX_LAST",$AE263)</f>
        <v>1.38</v>
      </c>
      <c r="AK263" s="443">
        <f ca="1">_xll.BDH(AK$5,"PX_LAST",$AE263)</f>
        <v>1.76</v>
      </c>
      <c r="AL263" s="444">
        <f t="shared" ca="1" si="40"/>
        <v>0.83000000000000052</v>
      </c>
      <c r="AM263" s="444">
        <f t="shared" ca="1" si="41"/>
        <v>0.42000000000000037</v>
      </c>
      <c r="AN263" s="444">
        <f t="shared" ca="1" si="42"/>
        <v>0.41000000000000014</v>
      </c>
      <c r="AO263" s="444">
        <f t="shared" ca="1" si="43"/>
        <v>5.0000000000001155E-3</v>
      </c>
      <c r="AP263" s="444">
        <f ca="1">IFERROR(AK263-AI263,AP262)</f>
        <v>0.84</v>
      </c>
      <c r="AQ263" s="444">
        <f t="shared" ref="AQ263:AR267" ca="1" si="44">IFERROR(AJ263-AI263,AQ262)</f>
        <v>0.45999999999999985</v>
      </c>
      <c r="AR263" s="444">
        <f t="shared" ca="1" si="44"/>
        <v>0.38000000000000012</v>
      </c>
      <c r="AS263" s="445">
        <f ca="1">(AQ263-AR263)/2</f>
        <v>3.9999999999999869E-2</v>
      </c>
    </row>
    <row r="264" spans="31:45">
      <c r="AE264" s="442">
        <f ca="1">WORKDAY(AE263,-1)</f>
        <v>42310</v>
      </c>
      <c r="AF264" s="443">
        <f ca="1">_xll.BDH(AF$5,"PX_LAST",$AE264)</f>
        <v>3.94</v>
      </c>
      <c r="AG264" s="443">
        <f ca="1">_xll.BDH(AG$5,"PX_LAST",$AE264)</f>
        <v>4.3499999999999996</v>
      </c>
      <c r="AH264" s="443">
        <f ca="1">_xll.BDH(AH$5,"PX_LAST",$AE264)</f>
        <v>4.76</v>
      </c>
      <c r="AI264" s="443">
        <f ca="1">_xll.BDH(AI$5,"PX_LAST",$AE264)</f>
        <v>0.91</v>
      </c>
      <c r="AJ264" s="443">
        <f ca="1">_xll.BDH(AJ$5,"PX_LAST",$AE264)</f>
        <v>1.38</v>
      </c>
      <c r="AK264" s="443">
        <f ca="1">_xll.BDH(AK$5,"PX_LAST",$AE264)</f>
        <v>1.79</v>
      </c>
      <c r="AL264" s="444">
        <f t="shared" ca="1" si="40"/>
        <v>0.81999999999999984</v>
      </c>
      <c r="AM264" s="444">
        <f t="shared" ca="1" si="41"/>
        <v>0.4099999999999997</v>
      </c>
      <c r="AN264" s="444">
        <f t="shared" ca="1" si="42"/>
        <v>0.41000000000000014</v>
      </c>
      <c r="AO264" s="444">
        <f t="shared" ca="1" si="43"/>
        <v>-2.2204460492503131E-16</v>
      </c>
      <c r="AP264" s="444">
        <f ca="1">IFERROR(AK264-AI264,AP263)</f>
        <v>0.88</v>
      </c>
      <c r="AQ264" s="444">
        <f t="shared" ca="1" si="44"/>
        <v>0.46999999999999986</v>
      </c>
      <c r="AR264" s="444">
        <f t="shared" ca="1" si="44"/>
        <v>0.41000000000000014</v>
      </c>
      <c r="AS264" s="445">
        <f ca="1">(AQ264-AR264)/2</f>
        <v>2.999999999999986E-2</v>
      </c>
    </row>
    <row r="265" spans="31:45">
      <c r="AE265" s="442">
        <f ca="1">WORKDAY(AE264,-1)</f>
        <v>42307</v>
      </c>
      <c r="AF265" s="443">
        <f ca="1">_xll.BDH(AF$5,"PX_LAST",$AE265)</f>
        <v>3.91</v>
      </c>
      <c r="AG265" s="443">
        <f ca="1">_xll.BDH(AG$5,"PX_LAST",$AE265)</f>
        <v>4.2699999999999996</v>
      </c>
      <c r="AH265" s="443">
        <f ca="1">_xll.BDH(AH$5,"PX_LAST",$AE265)</f>
        <v>4.71</v>
      </c>
      <c r="AI265" s="443">
        <f ca="1">_xll.BDH(AI$5,"PX_LAST",$AE265)</f>
        <v>0.96</v>
      </c>
      <c r="AJ265" s="443">
        <f ca="1">_xll.BDH(AJ$5,"PX_LAST",$AE265)</f>
        <v>1.4</v>
      </c>
      <c r="AK265" s="443">
        <f ca="1">_xll.BDH(AK$5,"PX_LAST",$AE265)</f>
        <v>1.8199999999999998</v>
      </c>
      <c r="AL265" s="444">
        <f t="shared" ca="1" si="40"/>
        <v>0.79999999999999982</v>
      </c>
      <c r="AM265" s="444">
        <f t="shared" ca="1" si="41"/>
        <v>0.35999999999999943</v>
      </c>
      <c r="AN265" s="444">
        <f t="shared" ca="1" si="42"/>
        <v>0.44000000000000039</v>
      </c>
      <c r="AO265" s="444">
        <f t="shared" ca="1" si="43"/>
        <v>-4.000000000000048E-2</v>
      </c>
      <c r="AP265" s="444">
        <f ca="1">IFERROR(AK265-AI265,AP264)</f>
        <v>0.85999999999999988</v>
      </c>
      <c r="AQ265" s="444">
        <f t="shared" ca="1" si="44"/>
        <v>0.43999999999999995</v>
      </c>
      <c r="AR265" s="444">
        <f t="shared" ca="1" si="44"/>
        <v>0.41999999999999993</v>
      </c>
      <c r="AS265" s="445">
        <f ca="1">(AQ265-AR265)/2</f>
        <v>1.0000000000000009E-2</v>
      </c>
    </row>
    <row r="266" spans="31:45">
      <c r="AE266" s="442">
        <f ca="1">WORKDAY(AE265,-1)</f>
        <v>42306</v>
      </c>
      <c r="AF266" s="443">
        <f ca="1">_xll.BDH(AF$5,"PX_LAST",$AE266)</f>
        <v>3.87</v>
      </c>
      <c r="AG266" s="443">
        <f ca="1">_xll.BDH(AG$5,"PX_LAST",$AE266)</f>
        <v>4.22</v>
      </c>
      <c r="AH266" s="443">
        <f ca="1">_xll.BDH(AH$5,"PX_LAST",$AE266)</f>
        <v>4.67</v>
      </c>
      <c r="AI266" s="443">
        <f ca="1">_xll.BDH(AI$5,"PX_LAST",$AE266)</f>
        <v>0.95</v>
      </c>
      <c r="AJ266" s="443">
        <f ca="1">_xll.BDH(AJ$5,"PX_LAST",$AE266)</f>
        <v>1.38</v>
      </c>
      <c r="AK266" s="443">
        <f ca="1">_xll.BDH(AK$5,"PX_LAST",$AE266)</f>
        <v>1.79</v>
      </c>
      <c r="AL266" s="444">
        <f t="shared" ca="1" si="40"/>
        <v>0.79999999999999982</v>
      </c>
      <c r="AM266" s="444">
        <f t="shared" ca="1" si="41"/>
        <v>0.34999999999999964</v>
      </c>
      <c r="AN266" s="444">
        <f t="shared" ca="1" si="42"/>
        <v>0.45000000000000018</v>
      </c>
      <c r="AO266" s="444">
        <f t="shared" ca="1" si="43"/>
        <v>-5.0000000000000266E-2</v>
      </c>
      <c r="AP266" s="444">
        <f ca="1">IFERROR(AK266-AI266,AP265)</f>
        <v>0.84000000000000008</v>
      </c>
      <c r="AQ266" s="444">
        <f t="shared" ca="1" si="44"/>
        <v>0.42999999999999994</v>
      </c>
      <c r="AR266" s="444">
        <f t="shared" ca="1" si="44"/>
        <v>0.41000000000000014</v>
      </c>
      <c r="AS266" s="445">
        <f ca="1">(AQ266-AR266)/2</f>
        <v>9.9999999999998979E-3</v>
      </c>
    </row>
    <row r="267" spans="31:45">
      <c r="AE267" s="442">
        <f ca="1">WORKDAY(AE266,-1)</f>
        <v>42305</v>
      </c>
      <c r="AF267" s="443">
        <f ca="1">_xll.BDH(AF$5,"PX_LAST",$AE267)</f>
        <v>3.84</v>
      </c>
      <c r="AG267" s="443">
        <f ca="1">_xll.BDH(AG$5,"PX_LAST",$AE267)</f>
        <v>4.17</v>
      </c>
      <c r="AH267" s="443">
        <f ca="1">_xll.BDH(AH$5,"PX_LAST",$AE267)</f>
        <v>4.62</v>
      </c>
      <c r="AI267" s="443">
        <f ca="1">_xll.BDH(AI$5,"PX_LAST",$AE267)</f>
        <v>0.91</v>
      </c>
      <c r="AJ267" s="443">
        <f ca="1">_xll.BDH(AJ$5,"PX_LAST",$AE267)</f>
        <v>1.37</v>
      </c>
      <c r="AK267" s="443">
        <f ca="1">_xll.BDH(AK$5,"PX_LAST",$AE267)</f>
        <v>1.76</v>
      </c>
      <c r="AL267" s="444">
        <f ca="1">IFERROR(AH267-AF267,AL266)</f>
        <v>0.78000000000000025</v>
      </c>
      <c r="AM267" s="444">
        <f ca="1">IFERROR(AG267-AF267,AM266)</f>
        <v>0.33000000000000007</v>
      </c>
      <c r="AN267" s="444">
        <f ca="1">IFERROR(AH267-AG267,AN266)</f>
        <v>0.45000000000000018</v>
      </c>
      <c r="AO267" s="444">
        <f ca="1">(AM267-AN267)/2</f>
        <v>-6.0000000000000053E-2</v>
      </c>
      <c r="AP267" s="444">
        <f ca="1">IFERROR(AK267-AI267,AP266)</f>
        <v>0.85</v>
      </c>
      <c r="AQ267" s="444">
        <f t="shared" ca="1" si="44"/>
        <v>0.46000000000000008</v>
      </c>
      <c r="AR267" s="444">
        <f t="shared" ca="1" si="44"/>
        <v>0.3899999999999999</v>
      </c>
      <c r="AS267" s="445">
        <f ca="1">(AQ267-AR267)/2</f>
        <v>3.5000000000000087E-2</v>
      </c>
    </row>
    <row r="268" spans="31:45">
      <c r="AE268" s="442"/>
      <c r="AF268" s="443"/>
      <c r="AG268" s="443"/>
      <c r="AH268" s="443"/>
      <c r="AI268" s="443"/>
      <c r="AJ268" s="443"/>
      <c r="AK268" s="443"/>
      <c r="AL268" s="444"/>
      <c r="AM268" s="444"/>
      <c r="AN268" s="444"/>
      <c r="AO268" s="444"/>
      <c r="AP268" s="444"/>
      <c r="AQ268" s="444"/>
      <c r="AR268" s="444"/>
      <c r="AS268" s="445"/>
    </row>
    <row r="269" spans="31:45">
      <c r="AE269" s="442"/>
      <c r="AF269" s="443"/>
      <c r="AG269" s="443"/>
      <c r="AH269" s="443"/>
      <c r="AI269" s="443"/>
      <c r="AJ269" s="443"/>
      <c r="AK269" s="443"/>
      <c r="AL269" s="444"/>
      <c r="AM269" s="444"/>
      <c r="AN269" s="444"/>
      <c r="AO269" s="444"/>
      <c r="AP269" s="444"/>
      <c r="AQ269" s="444"/>
      <c r="AR269" s="444"/>
      <c r="AS269" s="445"/>
    </row>
    <row r="270" spans="31:45">
      <c r="AE270" s="442"/>
      <c r="AF270" s="443"/>
      <c r="AG270" s="443"/>
      <c r="AH270" s="443"/>
      <c r="AI270" s="443"/>
      <c r="AJ270" s="443"/>
      <c r="AK270" s="443"/>
      <c r="AL270" s="444"/>
      <c r="AM270" s="444"/>
      <c r="AN270" s="444"/>
      <c r="AO270" s="444"/>
      <c r="AP270" s="444"/>
      <c r="AQ270" s="444"/>
      <c r="AR270" s="444"/>
      <c r="AS270" s="445"/>
    </row>
    <row r="271" spans="31:45">
      <c r="AE271" s="442"/>
      <c r="AF271" s="443"/>
      <c r="AG271" s="443"/>
      <c r="AH271" s="443"/>
      <c r="AI271" s="443"/>
      <c r="AJ271" s="443"/>
      <c r="AK271" s="443"/>
      <c r="AL271" s="444"/>
      <c r="AM271" s="444"/>
      <c r="AN271" s="444"/>
      <c r="AO271" s="444"/>
      <c r="AP271" s="444"/>
      <c r="AQ271" s="444"/>
      <c r="AR271" s="444"/>
      <c r="AS271" s="445"/>
    </row>
    <row r="272" spans="31:45">
      <c r="AE272" s="442"/>
      <c r="AF272" s="443"/>
      <c r="AG272" s="443"/>
      <c r="AH272" s="443"/>
      <c r="AI272" s="443"/>
      <c r="AJ272" s="443"/>
      <c r="AK272" s="443"/>
      <c r="AL272" s="444"/>
      <c r="AM272" s="444"/>
      <c r="AN272" s="444"/>
      <c r="AO272" s="444"/>
      <c r="AP272" s="444"/>
      <c r="AQ272" s="444"/>
      <c r="AR272" s="444"/>
      <c r="AS272" s="445"/>
    </row>
    <row r="273" spans="31:45">
      <c r="AE273" s="442"/>
      <c r="AF273" s="443"/>
      <c r="AG273" s="443"/>
      <c r="AH273" s="443"/>
      <c r="AI273" s="443"/>
      <c r="AJ273" s="443"/>
      <c r="AK273" s="443"/>
      <c r="AL273" s="444"/>
      <c r="AM273" s="444"/>
      <c r="AN273" s="444"/>
      <c r="AO273" s="444"/>
      <c r="AP273" s="444"/>
      <c r="AQ273" s="444"/>
      <c r="AR273" s="444"/>
      <c r="AS273" s="445"/>
    </row>
    <row r="274" spans="31:45">
      <c r="AE274" s="442"/>
      <c r="AF274" s="443"/>
      <c r="AG274" s="443"/>
      <c r="AH274" s="443"/>
      <c r="AI274" s="443"/>
      <c r="AJ274" s="443"/>
      <c r="AK274" s="443"/>
      <c r="AL274" s="444"/>
      <c r="AM274" s="444"/>
      <c r="AN274" s="444"/>
      <c r="AO274" s="444"/>
      <c r="AP274" s="444"/>
      <c r="AQ274" s="444"/>
      <c r="AR274" s="444"/>
      <c r="AS274" s="445"/>
    </row>
    <row r="275" spans="31:45">
      <c r="AE275" s="442"/>
      <c r="AF275" s="443"/>
      <c r="AG275" s="443"/>
      <c r="AH275" s="443"/>
      <c r="AI275" s="443"/>
      <c r="AJ275" s="443"/>
      <c r="AK275" s="443"/>
      <c r="AL275" s="444"/>
      <c r="AM275" s="444"/>
      <c r="AN275" s="444"/>
      <c r="AO275" s="444"/>
      <c r="AP275" s="444"/>
      <c r="AQ275" s="444"/>
      <c r="AR275" s="444"/>
      <c r="AS275" s="445"/>
    </row>
    <row r="276" spans="31:45">
      <c r="AE276" s="442"/>
      <c r="AF276" s="443"/>
      <c r="AG276" s="443"/>
      <c r="AH276" s="443"/>
      <c r="AI276" s="443"/>
      <c r="AJ276" s="443"/>
      <c r="AK276" s="443"/>
      <c r="AL276" s="444"/>
      <c r="AM276" s="444"/>
      <c r="AN276" s="444"/>
      <c r="AO276" s="444"/>
      <c r="AP276" s="444"/>
      <c r="AQ276" s="444"/>
      <c r="AR276" s="444"/>
      <c r="AS276" s="445"/>
    </row>
    <row r="277" spans="31:45">
      <c r="AE277" s="442"/>
      <c r="AF277" s="443"/>
      <c r="AG277" s="443"/>
      <c r="AH277" s="443"/>
      <c r="AI277" s="443"/>
      <c r="AJ277" s="443"/>
      <c r="AK277" s="443"/>
      <c r="AL277" s="444"/>
      <c r="AM277" s="444"/>
      <c r="AN277" s="444"/>
      <c r="AO277" s="444"/>
      <c r="AP277" s="444"/>
      <c r="AQ277" s="444"/>
      <c r="AR277" s="444"/>
      <c r="AS277" s="445"/>
    </row>
    <row r="278" spans="31:45">
      <c r="AE278" s="442"/>
      <c r="AF278" s="443"/>
      <c r="AG278" s="443"/>
      <c r="AH278" s="443"/>
      <c r="AI278" s="443"/>
      <c r="AJ278" s="443"/>
      <c r="AK278" s="443"/>
      <c r="AL278" s="444"/>
      <c r="AM278" s="444"/>
      <c r="AN278" s="444"/>
      <c r="AO278" s="444"/>
      <c r="AP278" s="444"/>
      <c r="AQ278" s="444"/>
      <c r="AR278" s="444"/>
      <c r="AS278" s="445"/>
    </row>
    <row r="279" spans="31:45">
      <c r="AE279" s="442"/>
      <c r="AF279" s="443"/>
      <c r="AG279" s="443"/>
      <c r="AH279" s="443"/>
      <c r="AI279" s="443"/>
      <c r="AJ279" s="443"/>
      <c r="AK279" s="443"/>
      <c r="AL279" s="444"/>
      <c r="AM279" s="444"/>
      <c r="AN279" s="444"/>
      <c r="AO279" s="444"/>
      <c r="AP279" s="444"/>
      <c r="AQ279" s="444"/>
      <c r="AR279" s="444"/>
      <c r="AS279" s="445"/>
    </row>
    <row r="280" spans="31:45">
      <c r="AE280" s="442"/>
      <c r="AF280" s="443"/>
      <c r="AG280" s="443"/>
      <c r="AH280" s="443"/>
      <c r="AI280" s="443"/>
      <c r="AJ280" s="443"/>
      <c r="AK280" s="443"/>
      <c r="AL280" s="444"/>
      <c r="AM280" s="444"/>
      <c r="AN280" s="444"/>
      <c r="AO280" s="444"/>
      <c r="AP280" s="444"/>
      <c r="AQ280" s="444"/>
      <c r="AR280" s="444"/>
      <c r="AS280" s="445"/>
    </row>
    <row r="281" spans="31:45">
      <c r="AE281" s="442"/>
      <c r="AF281" s="443"/>
      <c r="AG281" s="443"/>
      <c r="AH281" s="443"/>
      <c r="AI281" s="443"/>
      <c r="AJ281" s="443"/>
      <c r="AK281" s="443"/>
      <c r="AL281" s="444"/>
      <c r="AM281" s="444"/>
      <c r="AN281" s="444"/>
      <c r="AO281" s="444"/>
      <c r="AP281" s="444"/>
      <c r="AQ281" s="444"/>
      <c r="AR281" s="444"/>
      <c r="AS281" s="445"/>
    </row>
    <row r="282" spans="31:45">
      <c r="AE282" s="442"/>
      <c r="AF282" s="443"/>
      <c r="AG282" s="443"/>
      <c r="AH282" s="443"/>
      <c r="AI282" s="443"/>
      <c r="AJ282" s="443"/>
      <c r="AK282" s="443"/>
      <c r="AL282" s="444"/>
      <c r="AM282" s="444"/>
      <c r="AN282" s="444"/>
      <c r="AO282" s="444"/>
      <c r="AP282" s="444"/>
      <c r="AQ282" s="444"/>
      <c r="AR282" s="444"/>
      <c r="AS282" s="445"/>
    </row>
    <row r="283" spans="31:45">
      <c r="AE283" s="442"/>
      <c r="AF283" s="443"/>
      <c r="AG283" s="443"/>
      <c r="AH283" s="443"/>
      <c r="AI283" s="443"/>
      <c r="AJ283" s="443"/>
      <c r="AK283" s="443"/>
      <c r="AL283" s="444"/>
      <c r="AM283" s="444"/>
      <c r="AN283" s="444"/>
      <c r="AO283" s="444"/>
      <c r="AP283" s="444"/>
      <c r="AQ283" s="444"/>
      <c r="AR283" s="444"/>
      <c r="AS283" s="445"/>
    </row>
    <row r="284" spans="31:45">
      <c r="AE284" s="442"/>
      <c r="AF284" s="443"/>
      <c r="AG284" s="443"/>
      <c r="AH284" s="443"/>
      <c r="AI284" s="443"/>
      <c r="AJ284" s="443"/>
      <c r="AK284" s="443"/>
      <c r="AL284" s="444"/>
      <c r="AM284" s="444"/>
      <c r="AN284" s="444"/>
      <c r="AO284" s="444"/>
      <c r="AP284" s="444"/>
      <c r="AQ284" s="444"/>
      <c r="AR284" s="444"/>
      <c r="AS284" s="445"/>
    </row>
    <row r="285" spans="31:45">
      <c r="AE285" s="442"/>
      <c r="AF285" s="443"/>
      <c r="AG285" s="443"/>
      <c r="AH285" s="443"/>
      <c r="AI285" s="443"/>
      <c r="AJ285" s="443"/>
      <c r="AK285" s="443"/>
      <c r="AL285" s="444"/>
      <c r="AM285" s="444"/>
      <c r="AN285" s="444"/>
      <c r="AO285" s="444"/>
      <c r="AP285" s="444"/>
      <c r="AQ285" s="444"/>
      <c r="AR285" s="444"/>
      <c r="AS285" s="445"/>
    </row>
    <row r="286" spans="31:45">
      <c r="AE286" s="442"/>
      <c r="AF286" s="443"/>
      <c r="AG286" s="443"/>
      <c r="AH286" s="443"/>
      <c r="AI286" s="443"/>
      <c r="AJ286" s="443"/>
      <c r="AK286" s="443"/>
      <c r="AL286" s="444"/>
      <c r="AM286" s="444"/>
      <c r="AN286" s="444"/>
      <c r="AO286" s="444"/>
      <c r="AP286" s="444"/>
      <c r="AQ286" s="444"/>
      <c r="AR286" s="444"/>
      <c r="AS286" s="445"/>
    </row>
    <row r="287" spans="31:45">
      <c r="AE287" s="442"/>
      <c r="AF287" s="443"/>
      <c r="AG287" s="443"/>
      <c r="AH287" s="443"/>
      <c r="AI287" s="443"/>
      <c r="AJ287" s="443"/>
      <c r="AK287" s="443"/>
      <c r="AL287" s="444"/>
      <c r="AM287" s="444"/>
      <c r="AN287" s="444"/>
      <c r="AO287" s="444"/>
      <c r="AP287" s="444"/>
      <c r="AQ287" s="444"/>
      <c r="AR287" s="444"/>
      <c r="AS287" s="445"/>
    </row>
    <row r="288" spans="31:45">
      <c r="AE288" s="442"/>
      <c r="AF288" s="443"/>
      <c r="AG288" s="443"/>
      <c r="AH288" s="443"/>
      <c r="AI288" s="443"/>
      <c r="AJ288" s="443"/>
      <c r="AK288" s="443"/>
      <c r="AL288" s="444"/>
      <c r="AM288" s="444"/>
      <c r="AN288" s="444"/>
      <c r="AO288" s="444"/>
      <c r="AP288" s="444"/>
      <c r="AQ288" s="444"/>
      <c r="AR288" s="444"/>
      <c r="AS288" s="445"/>
    </row>
    <row r="289" spans="31:45">
      <c r="AE289" s="442"/>
      <c r="AF289" s="443"/>
      <c r="AG289" s="443"/>
      <c r="AH289" s="443"/>
      <c r="AI289" s="443"/>
      <c r="AJ289" s="443"/>
      <c r="AK289" s="443"/>
      <c r="AL289" s="444"/>
      <c r="AM289" s="444"/>
      <c r="AN289" s="444"/>
      <c r="AO289" s="444"/>
      <c r="AP289" s="444"/>
      <c r="AQ289" s="444"/>
      <c r="AR289" s="444"/>
      <c r="AS289" s="445"/>
    </row>
    <row r="290" spans="31:45">
      <c r="AE290" s="442"/>
      <c r="AF290" s="443"/>
      <c r="AG290" s="443"/>
      <c r="AH290" s="443"/>
      <c r="AI290" s="443"/>
      <c r="AJ290" s="443"/>
      <c r="AK290" s="443"/>
      <c r="AL290" s="444"/>
      <c r="AM290" s="444"/>
      <c r="AN290" s="444"/>
      <c r="AO290" s="444"/>
      <c r="AP290" s="444"/>
      <c r="AQ290" s="444"/>
      <c r="AR290" s="444"/>
      <c r="AS290" s="445"/>
    </row>
    <row r="291" spans="31:45">
      <c r="AE291" s="442"/>
      <c r="AF291" s="443"/>
      <c r="AG291" s="443"/>
      <c r="AH291" s="443"/>
      <c r="AI291" s="443"/>
      <c r="AJ291" s="443"/>
      <c r="AK291" s="443"/>
      <c r="AL291" s="444"/>
      <c r="AM291" s="444"/>
      <c r="AN291" s="444"/>
      <c r="AO291" s="444"/>
      <c r="AP291" s="444"/>
      <c r="AQ291" s="444"/>
      <c r="AR291" s="444"/>
      <c r="AS291" s="445"/>
    </row>
    <row r="292" spans="31:45">
      <c r="AE292" s="442"/>
      <c r="AF292" s="443"/>
      <c r="AG292" s="443"/>
      <c r="AH292" s="443"/>
      <c r="AI292" s="443"/>
      <c r="AJ292" s="443"/>
      <c r="AK292" s="443"/>
      <c r="AL292" s="444"/>
      <c r="AM292" s="444"/>
      <c r="AN292" s="444"/>
      <c r="AO292" s="444"/>
      <c r="AP292" s="444"/>
      <c r="AQ292" s="444"/>
      <c r="AR292" s="444"/>
      <c r="AS292" s="445"/>
    </row>
    <row r="293" spans="31:45">
      <c r="AE293" s="442"/>
      <c r="AF293" s="443"/>
      <c r="AG293" s="443"/>
      <c r="AH293" s="443"/>
      <c r="AI293" s="443"/>
      <c r="AJ293" s="443"/>
      <c r="AK293" s="443"/>
      <c r="AL293" s="444"/>
      <c r="AM293" s="444"/>
      <c r="AN293" s="444"/>
      <c r="AO293" s="444"/>
      <c r="AP293" s="444"/>
      <c r="AQ293" s="444"/>
      <c r="AR293" s="444"/>
      <c r="AS293" s="445"/>
    </row>
    <row r="294" spans="31:45">
      <c r="AE294" s="442"/>
      <c r="AF294" s="443"/>
      <c r="AG294" s="443"/>
      <c r="AH294" s="443"/>
      <c r="AI294" s="443"/>
      <c r="AJ294" s="443"/>
      <c r="AK294" s="443"/>
      <c r="AL294" s="444"/>
      <c r="AM294" s="444"/>
      <c r="AN294" s="444"/>
      <c r="AO294" s="444"/>
      <c r="AP294" s="444"/>
      <c r="AQ294" s="444"/>
      <c r="AR294" s="444"/>
      <c r="AS294" s="445"/>
    </row>
    <row r="295" spans="31:45">
      <c r="AE295" s="442"/>
      <c r="AF295" s="443"/>
      <c r="AG295" s="443"/>
      <c r="AH295" s="443"/>
      <c r="AI295" s="443"/>
      <c r="AJ295" s="443"/>
      <c r="AK295" s="443"/>
      <c r="AL295" s="444"/>
      <c r="AM295" s="444"/>
      <c r="AN295" s="444"/>
      <c r="AO295" s="444"/>
      <c r="AP295" s="444"/>
      <c r="AQ295" s="444"/>
      <c r="AR295" s="444"/>
      <c r="AS295" s="445"/>
    </row>
    <row r="296" spans="31:45">
      <c r="AE296" s="442"/>
      <c r="AF296" s="443"/>
      <c r="AG296" s="443"/>
      <c r="AH296" s="443"/>
      <c r="AI296" s="443"/>
      <c r="AJ296" s="443"/>
      <c r="AK296" s="443"/>
      <c r="AL296" s="444"/>
      <c r="AM296" s="444"/>
      <c r="AN296" s="444"/>
      <c r="AO296" s="444"/>
      <c r="AP296" s="444"/>
      <c r="AQ296" s="444"/>
      <c r="AR296" s="444"/>
      <c r="AS296" s="445"/>
    </row>
    <row r="297" spans="31:45">
      <c r="AE297" s="442"/>
      <c r="AF297" s="443"/>
      <c r="AG297" s="443"/>
      <c r="AH297" s="443"/>
      <c r="AI297" s="443"/>
      <c r="AJ297" s="443"/>
      <c r="AK297" s="443"/>
      <c r="AL297" s="444"/>
      <c r="AM297" s="444"/>
      <c r="AN297" s="444"/>
      <c r="AO297" s="444"/>
      <c r="AP297" s="444"/>
      <c r="AQ297" s="444"/>
      <c r="AR297" s="444"/>
      <c r="AS297" s="445"/>
    </row>
    <row r="298" spans="31:45">
      <c r="AE298" s="442"/>
      <c r="AF298" s="443"/>
      <c r="AG298" s="443"/>
      <c r="AH298" s="443"/>
      <c r="AI298" s="443"/>
      <c r="AJ298" s="443"/>
      <c r="AK298" s="443"/>
      <c r="AL298" s="444"/>
      <c r="AM298" s="444"/>
      <c r="AN298" s="444"/>
      <c r="AO298" s="444"/>
      <c r="AP298" s="444"/>
      <c r="AQ298" s="444"/>
      <c r="AR298" s="444"/>
      <c r="AS298" s="445"/>
    </row>
    <row r="299" spans="31:45">
      <c r="AE299" s="442"/>
      <c r="AF299" s="443"/>
      <c r="AG299" s="443"/>
      <c r="AH299" s="443"/>
      <c r="AI299" s="443"/>
      <c r="AJ299" s="443"/>
      <c r="AK299" s="443"/>
      <c r="AL299" s="444"/>
      <c r="AM299" s="444"/>
      <c r="AN299" s="444"/>
      <c r="AO299" s="444"/>
      <c r="AP299" s="444"/>
      <c r="AQ299" s="444"/>
      <c r="AR299" s="444"/>
      <c r="AS299" s="445"/>
    </row>
    <row r="300" spans="31:45">
      <c r="AE300" s="442"/>
      <c r="AF300" s="443"/>
      <c r="AG300" s="443"/>
      <c r="AH300" s="443"/>
      <c r="AI300" s="443"/>
      <c r="AJ300" s="443"/>
      <c r="AK300" s="443"/>
      <c r="AL300" s="444"/>
      <c r="AM300" s="444"/>
      <c r="AN300" s="444"/>
      <c r="AO300" s="444"/>
      <c r="AP300" s="444"/>
      <c r="AQ300" s="444"/>
      <c r="AR300" s="444"/>
      <c r="AS300" s="445"/>
    </row>
    <row r="301" spans="31:45">
      <c r="AE301" s="442"/>
      <c r="AF301" s="443"/>
      <c r="AG301" s="443"/>
      <c r="AH301" s="443"/>
      <c r="AI301" s="443"/>
      <c r="AJ301" s="443"/>
      <c r="AK301" s="443"/>
      <c r="AL301" s="444"/>
      <c r="AM301" s="444"/>
      <c r="AN301" s="444"/>
      <c r="AO301" s="444"/>
      <c r="AP301" s="444"/>
      <c r="AQ301" s="444"/>
      <c r="AR301" s="444"/>
      <c r="AS301" s="445"/>
    </row>
    <row r="302" spans="31:45">
      <c r="AE302" s="442"/>
      <c r="AF302" s="443"/>
      <c r="AG302" s="443"/>
      <c r="AH302" s="443"/>
      <c r="AI302" s="443"/>
      <c r="AJ302" s="443"/>
      <c r="AK302" s="443"/>
      <c r="AL302" s="444"/>
      <c r="AM302" s="444"/>
      <c r="AN302" s="444"/>
      <c r="AO302" s="444"/>
      <c r="AP302" s="444"/>
      <c r="AQ302" s="444"/>
      <c r="AR302" s="444"/>
      <c r="AS302" s="445"/>
    </row>
    <row r="303" spans="31:45">
      <c r="AE303" s="442"/>
      <c r="AF303" s="443"/>
      <c r="AG303" s="443"/>
      <c r="AH303" s="443"/>
      <c r="AI303" s="443"/>
      <c r="AJ303" s="443"/>
      <c r="AK303" s="443"/>
      <c r="AL303" s="444"/>
      <c r="AM303" s="444"/>
      <c r="AN303" s="444"/>
      <c r="AO303" s="444"/>
      <c r="AP303" s="444"/>
      <c r="AQ303" s="444"/>
      <c r="AR303" s="444"/>
      <c r="AS303" s="445"/>
    </row>
    <row r="304" spans="31:45">
      <c r="AE304" s="442"/>
      <c r="AF304" s="443"/>
      <c r="AG304" s="443"/>
      <c r="AH304" s="443"/>
      <c r="AI304" s="443"/>
      <c r="AJ304" s="443"/>
      <c r="AK304" s="443"/>
      <c r="AL304" s="444"/>
      <c r="AM304" s="444"/>
      <c r="AN304" s="444"/>
      <c r="AO304" s="444"/>
      <c r="AP304" s="444"/>
      <c r="AQ304" s="444"/>
      <c r="AR304" s="444"/>
      <c r="AS304" s="445"/>
    </row>
    <row r="305" spans="31:45">
      <c r="AE305" s="442"/>
      <c r="AF305" s="443"/>
      <c r="AG305" s="443"/>
      <c r="AH305" s="443"/>
      <c r="AI305" s="443"/>
      <c r="AJ305" s="443"/>
      <c r="AK305" s="443"/>
      <c r="AL305" s="444"/>
      <c r="AM305" s="444"/>
      <c r="AN305" s="444"/>
      <c r="AO305" s="444"/>
      <c r="AP305" s="444"/>
      <c r="AQ305" s="444"/>
      <c r="AR305" s="444"/>
      <c r="AS305" s="445"/>
    </row>
    <row r="306" spans="31:45">
      <c r="AE306" s="442"/>
      <c r="AF306" s="443"/>
      <c r="AG306" s="443"/>
      <c r="AH306" s="443"/>
      <c r="AI306" s="443"/>
      <c r="AJ306" s="443"/>
      <c r="AK306" s="443"/>
      <c r="AL306" s="444"/>
      <c r="AM306" s="444"/>
      <c r="AN306" s="444"/>
      <c r="AO306" s="444"/>
      <c r="AP306" s="444"/>
      <c r="AQ306" s="444"/>
      <c r="AR306" s="444"/>
      <c r="AS306" s="445"/>
    </row>
    <row r="307" spans="31:45">
      <c r="AE307" s="442"/>
      <c r="AF307" s="443"/>
      <c r="AG307" s="443"/>
      <c r="AH307" s="443"/>
      <c r="AI307" s="443"/>
      <c r="AJ307" s="443"/>
      <c r="AK307" s="443"/>
      <c r="AL307" s="444"/>
      <c r="AM307" s="444"/>
      <c r="AN307" s="444"/>
      <c r="AO307" s="444"/>
      <c r="AP307" s="444"/>
      <c r="AQ307" s="444"/>
      <c r="AR307" s="444"/>
      <c r="AS307" s="445"/>
    </row>
    <row r="308" spans="31:45">
      <c r="AE308" s="442"/>
      <c r="AF308" s="443"/>
      <c r="AG308" s="443"/>
      <c r="AH308" s="443"/>
      <c r="AI308" s="443"/>
      <c r="AJ308" s="443"/>
      <c r="AK308" s="443"/>
      <c r="AL308" s="444"/>
      <c r="AM308" s="444"/>
      <c r="AN308" s="444"/>
      <c r="AO308" s="444"/>
      <c r="AP308" s="444"/>
      <c r="AQ308" s="444"/>
      <c r="AR308" s="444"/>
      <c r="AS308" s="445"/>
    </row>
    <row r="309" spans="31:45">
      <c r="AE309" s="442"/>
      <c r="AF309" s="443"/>
      <c r="AG309" s="443"/>
      <c r="AH309" s="443"/>
      <c r="AI309" s="443"/>
      <c r="AJ309" s="443"/>
      <c r="AK309" s="443"/>
      <c r="AL309" s="444"/>
      <c r="AM309" s="444"/>
      <c r="AN309" s="444"/>
      <c r="AO309" s="444"/>
      <c r="AP309" s="444"/>
      <c r="AQ309" s="444"/>
      <c r="AR309" s="444"/>
      <c r="AS309" s="445"/>
    </row>
    <row r="310" spans="31:45">
      <c r="AE310" s="442"/>
      <c r="AF310" s="443"/>
      <c r="AG310" s="443"/>
      <c r="AH310" s="443"/>
      <c r="AI310" s="443"/>
      <c r="AJ310" s="443"/>
      <c r="AK310" s="443"/>
      <c r="AL310" s="444"/>
      <c r="AM310" s="444"/>
      <c r="AN310" s="444"/>
      <c r="AO310" s="444"/>
      <c r="AP310" s="444"/>
      <c r="AQ310" s="444"/>
      <c r="AR310" s="444"/>
      <c r="AS310" s="445"/>
    </row>
    <row r="311" spans="31:45">
      <c r="AE311" s="442"/>
      <c r="AF311" s="443"/>
      <c r="AG311" s="443"/>
      <c r="AH311" s="443"/>
      <c r="AI311" s="443"/>
      <c r="AJ311" s="443"/>
      <c r="AK311" s="443"/>
      <c r="AL311" s="444"/>
      <c r="AM311" s="444"/>
      <c r="AN311" s="444"/>
      <c r="AO311" s="444"/>
      <c r="AP311" s="444"/>
      <c r="AQ311" s="444"/>
      <c r="AR311" s="444"/>
      <c r="AS311" s="445"/>
    </row>
    <row r="312" spans="31:45">
      <c r="AE312" s="442"/>
      <c r="AF312" s="443"/>
      <c r="AG312" s="443"/>
      <c r="AH312" s="443"/>
      <c r="AI312" s="443"/>
      <c r="AJ312" s="443"/>
      <c r="AK312" s="443"/>
      <c r="AL312" s="444"/>
      <c r="AM312" s="444"/>
      <c r="AN312" s="444"/>
      <c r="AO312" s="444"/>
      <c r="AP312" s="444"/>
      <c r="AQ312" s="444"/>
      <c r="AR312" s="444"/>
      <c r="AS312" s="445"/>
    </row>
    <row r="313" spans="31:45">
      <c r="AE313" s="442"/>
      <c r="AF313" s="443"/>
      <c r="AG313" s="443"/>
      <c r="AH313" s="443"/>
      <c r="AI313" s="443"/>
      <c r="AJ313" s="443"/>
      <c r="AK313" s="443"/>
      <c r="AL313" s="444"/>
      <c r="AM313" s="444"/>
      <c r="AN313" s="444"/>
      <c r="AO313" s="444"/>
      <c r="AP313" s="444"/>
      <c r="AQ313" s="444"/>
      <c r="AR313" s="444"/>
      <c r="AS313" s="445"/>
    </row>
    <row r="314" spans="31:45">
      <c r="AE314" s="442"/>
      <c r="AF314" s="443"/>
      <c r="AG314" s="443"/>
      <c r="AH314" s="443"/>
      <c r="AI314" s="443"/>
      <c r="AJ314" s="443"/>
      <c r="AK314" s="443"/>
      <c r="AL314" s="444"/>
      <c r="AM314" s="444"/>
      <c r="AN314" s="444"/>
      <c r="AO314" s="444"/>
      <c r="AP314" s="444"/>
      <c r="AQ314" s="444"/>
      <c r="AR314" s="444"/>
      <c r="AS314" s="445"/>
    </row>
    <row r="315" spans="31:45">
      <c r="AE315" s="442"/>
      <c r="AF315" s="443"/>
      <c r="AG315" s="443"/>
      <c r="AH315" s="443"/>
      <c r="AI315" s="443"/>
      <c r="AJ315" s="443"/>
      <c r="AK315" s="443"/>
      <c r="AL315" s="444"/>
      <c r="AM315" s="444"/>
      <c r="AN315" s="444"/>
      <c r="AO315" s="444"/>
      <c r="AP315" s="444"/>
      <c r="AQ315" s="444"/>
      <c r="AR315" s="444"/>
      <c r="AS315" s="445"/>
    </row>
    <row r="316" spans="31:45">
      <c r="AE316" s="442"/>
      <c r="AF316" s="443"/>
      <c r="AG316" s="443"/>
      <c r="AH316" s="443"/>
      <c r="AI316" s="443"/>
      <c r="AJ316" s="443"/>
      <c r="AK316" s="443"/>
      <c r="AL316" s="444"/>
      <c r="AM316" s="444"/>
      <c r="AN316" s="444"/>
      <c r="AO316" s="444"/>
      <c r="AP316" s="444"/>
      <c r="AQ316" s="444"/>
      <c r="AR316" s="444"/>
      <c r="AS316" s="445"/>
    </row>
    <row r="317" spans="31:45">
      <c r="AE317" s="442"/>
      <c r="AF317" s="443"/>
      <c r="AG317" s="443"/>
      <c r="AH317" s="443"/>
      <c r="AI317" s="443"/>
      <c r="AJ317" s="443"/>
      <c r="AK317" s="443"/>
      <c r="AL317" s="444"/>
      <c r="AM317" s="444"/>
      <c r="AN317" s="444"/>
      <c r="AO317" s="444"/>
      <c r="AP317" s="444"/>
      <c r="AQ317" s="444"/>
      <c r="AR317" s="444"/>
      <c r="AS317" s="445"/>
    </row>
    <row r="318" spans="31:45">
      <c r="AE318" s="442"/>
      <c r="AF318" s="443"/>
      <c r="AG318" s="443"/>
      <c r="AH318" s="443"/>
      <c r="AI318" s="443"/>
      <c r="AJ318" s="443"/>
      <c r="AK318" s="443"/>
      <c r="AL318" s="444"/>
      <c r="AM318" s="444"/>
      <c r="AN318" s="444"/>
      <c r="AO318" s="444"/>
      <c r="AP318" s="444"/>
      <c r="AQ318" s="444"/>
      <c r="AR318" s="444"/>
      <c r="AS318" s="445"/>
    </row>
    <row r="319" spans="31:45">
      <c r="AE319" s="442"/>
      <c r="AF319" s="443"/>
      <c r="AG319" s="443"/>
      <c r="AH319" s="443"/>
      <c r="AI319" s="443"/>
      <c r="AJ319" s="443"/>
      <c r="AK319" s="443"/>
      <c r="AL319" s="444"/>
      <c r="AM319" s="444"/>
      <c r="AN319" s="444"/>
      <c r="AO319" s="444"/>
      <c r="AP319" s="444"/>
      <c r="AQ319" s="444"/>
      <c r="AR319" s="444"/>
      <c r="AS319" s="445"/>
    </row>
    <row r="320" spans="31:45">
      <c r="AE320" s="442"/>
      <c r="AF320" s="443"/>
      <c r="AG320" s="443"/>
      <c r="AH320" s="443"/>
      <c r="AI320" s="443"/>
      <c r="AJ320" s="443"/>
      <c r="AK320" s="443"/>
      <c r="AL320" s="444"/>
      <c r="AM320" s="444"/>
      <c r="AN320" s="444"/>
      <c r="AO320" s="444"/>
      <c r="AP320" s="444"/>
      <c r="AQ320" s="444"/>
      <c r="AR320" s="444"/>
      <c r="AS320" s="445"/>
    </row>
    <row r="321" spans="31:45">
      <c r="AE321" s="442"/>
      <c r="AF321" s="443"/>
      <c r="AG321" s="443"/>
      <c r="AH321" s="443"/>
      <c r="AI321" s="443"/>
      <c r="AJ321" s="443"/>
      <c r="AK321" s="443"/>
      <c r="AL321" s="444"/>
      <c r="AM321" s="444"/>
      <c r="AN321" s="444"/>
      <c r="AO321" s="444"/>
      <c r="AP321" s="444"/>
      <c r="AQ321" s="444"/>
      <c r="AR321" s="444"/>
      <c r="AS321" s="445"/>
    </row>
    <row r="322" spans="31:45">
      <c r="AE322" s="442"/>
      <c r="AF322" s="443"/>
      <c r="AG322" s="443"/>
      <c r="AH322" s="443"/>
      <c r="AI322" s="443"/>
      <c r="AJ322" s="443"/>
      <c r="AK322" s="443"/>
      <c r="AL322" s="444"/>
      <c r="AM322" s="444"/>
      <c r="AN322" s="444"/>
      <c r="AO322" s="444"/>
      <c r="AP322" s="444"/>
      <c r="AQ322" s="444"/>
      <c r="AR322" s="444"/>
      <c r="AS322" s="445"/>
    </row>
    <row r="323" spans="31:45">
      <c r="AE323" s="442"/>
      <c r="AF323" s="443"/>
      <c r="AG323" s="443"/>
      <c r="AH323" s="443"/>
      <c r="AI323" s="443"/>
      <c r="AJ323" s="443"/>
      <c r="AK323" s="443"/>
      <c r="AL323" s="444"/>
      <c r="AM323" s="444"/>
      <c r="AN323" s="444"/>
      <c r="AO323" s="444"/>
      <c r="AP323" s="444"/>
      <c r="AQ323" s="444"/>
      <c r="AR323" s="444"/>
      <c r="AS323" s="445"/>
    </row>
    <row r="324" spans="31:45">
      <c r="AE324" s="442"/>
      <c r="AF324" s="443"/>
      <c r="AG324" s="443"/>
      <c r="AH324" s="443"/>
      <c r="AI324" s="443"/>
      <c r="AJ324" s="443"/>
      <c r="AK324" s="443"/>
      <c r="AL324" s="444"/>
      <c r="AM324" s="444"/>
      <c r="AN324" s="444"/>
      <c r="AO324" s="444"/>
      <c r="AP324" s="444"/>
      <c r="AQ324" s="444"/>
      <c r="AR324" s="444"/>
      <c r="AS324" s="445"/>
    </row>
    <row r="325" spans="31:45">
      <c r="AE325" s="442"/>
      <c r="AF325" s="443"/>
      <c r="AG325" s="443"/>
      <c r="AH325" s="443"/>
      <c r="AI325" s="443"/>
      <c r="AJ325" s="443"/>
      <c r="AK325" s="443"/>
      <c r="AL325" s="444"/>
      <c r="AM325" s="444"/>
      <c r="AN325" s="444"/>
      <c r="AO325" s="444"/>
      <c r="AP325" s="444"/>
      <c r="AQ325" s="444"/>
      <c r="AR325" s="444"/>
      <c r="AS325" s="445"/>
    </row>
    <row r="326" spans="31:45">
      <c r="AE326" s="442"/>
      <c r="AF326" s="443"/>
      <c r="AG326" s="443"/>
      <c r="AH326" s="443"/>
      <c r="AI326" s="443"/>
      <c r="AJ326" s="443"/>
      <c r="AK326" s="443"/>
      <c r="AL326" s="444"/>
      <c r="AM326" s="444"/>
      <c r="AN326" s="444"/>
      <c r="AO326" s="444"/>
      <c r="AP326" s="444"/>
      <c r="AQ326" s="444"/>
      <c r="AR326" s="444"/>
      <c r="AS326" s="445"/>
    </row>
    <row r="327" spans="31:45">
      <c r="AE327" s="442"/>
      <c r="AF327" s="443"/>
      <c r="AG327" s="443"/>
      <c r="AH327" s="443"/>
      <c r="AI327" s="443"/>
      <c r="AJ327" s="443"/>
      <c r="AK327" s="443"/>
      <c r="AL327" s="444"/>
      <c r="AM327" s="444"/>
      <c r="AN327" s="444"/>
      <c r="AO327" s="444"/>
      <c r="AP327" s="444"/>
      <c r="AQ327" s="444"/>
      <c r="AR327" s="444"/>
      <c r="AS327" s="445"/>
    </row>
    <row r="328" spans="31:45">
      <c r="AE328" s="442"/>
      <c r="AF328" s="443"/>
      <c r="AG328" s="443"/>
      <c r="AH328" s="443"/>
      <c r="AI328" s="443"/>
      <c r="AJ328" s="443"/>
      <c r="AK328" s="443"/>
      <c r="AL328" s="444"/>
      <c r="AM328" s="444"/>
      <c r="AN328" s="444"/>
      <c r="AO328" s="444"/>
      <c r="AP328" s="444"/>
      <c r="AQ328" s="444"/>
      <c r="AR328" s="444"/>
      <c r="AS328" s="445"/>
    </row>
    <row r="329" spans="31:45">
      <c r="AE329" s="442"/>
      <c r="AF329" s="443"/>
      <c r="AG329" s="443"/>
      <c r="AH329" s="443"/>
      <c r="AI329" s="443"/>
      <c r="AJ329" s="443"/>
      <c r="AK329" s="443"/>
      <c r="AL329" s="444"/>
      <c r="AM329" s="444"/>
      <c r="AN329" s="444"/>
      <c r="AO329" s="444"/>
      <c r="AP329" s="444"/>
      <c r="AQ329" s="444"/>
      <c r="AR329" s="444"/>
      <c r="AS329" s="445"/>
    </row>
    <row r="330" spans="31:45">
      <c r="AE330" s="442"/>
      <c r="AF330" s="443"/>
      <c r="AG330" s="443"/>
      <c r="AH330" s="443"/>
      <c r="AI330" s="443"/>
      <c r="AJ330" s="443"/>
      <c r="AK330" s="443"/>
      <c r="AL330" s="444"/>
      <c r="AM330" s="444"/>
      <c r="AN330" s="444"/>
      <c r="AO330" s="444"/>
      <c r="AP330" s="444"/>
      <c r="AQ330" s="444"/>
      <c r="AR330" s="444"/>
      <c r="AS330" s="445"/>
    </row>
    <row r="331" spans="31:45">
      <c r="AE331" s="442"/>
      <c r="AF331" s="443"/>
      <c r="AG331" s="443"/>
      <c r="AH331" s="443"/>
      <c r="AI331" s="443"/>
      <c r="AJ331" s="443"/>
      <c r="AK331" s="443"/>
      <c r="AL331" s="444"/>
      <c r="AM331" s="444"/>
      <c r="AN331" s="444"/>
      <c r="AO331" s="444"/>
      <c r="AP331" s="444"/>
      <c r="AQ331" s="444"/>
      <c r="AR331" s="444"/>
      <c r="AS331" s="445"/>
    </row>
    <row r="332" spans="31:45">
      <c r="AE332" s="442"/>
      <c r="AF332" s="443"/>
      <c r="AG332" s="443"/>
      <c r="AH332" s="443"/>
      <c r="AI332" s="443"/>
      <c r="AJ332" s="443"/>
      <c r="AK332" s="443"/>
      <c r="AL332" s="444"/>
      <c r="AM332" s="444"/>
      <c r="AN332" s="444"/>
      <c r="AO332" s="444"/>
      <c r="AP332" s="444"/>
      <c r="AQ332" s="444"/>
      <c r="AR332" s="444"/>
      <c r="AS332" s="445"/>
    </row>
    <row r="333" spans="31:45">
      <c r="AE333" s="442"/>
      <c r="AF333" s="443"/>
      <c r="AG333" s="443"/>
      <c r="AH333" s="443"/>
      <c r="AI333" s="443"/>
      <c r="AJ333" s="443"/>
      <c r="AK333" s="443"/>
      <c r="AL333" s="444"/>
      <c r="AM333" s="444"/>
      <c r="AN333" s="444"/>
      <c r="AO333" s="444"/>
      <c r="AP333" s="444"/>
      <c r="AQ333" s="444"/>
      <c r="AR333" s="444"/>
      <c r="AS333" s="445"/>
    </row>
    <row r="334" spans="31:45">
      <c r="AE334" s="442"/>
      <c r="AF334" s="443"/>
      <c r="AG334" s="443"/>
      <c r="AH334" s="443"/>
      <c r="AI334" s="443"/>
      <c r="AJ334" s="443"/>
      <c r="AK334" s="443"/>
      <c r="AL334" s="444"/>
      <c r="AM334" s="444"/>
      <c r="AN334" s="444"/>
      <c r="AO334" s="444"/>
      <c r="AP334" s="444"/>
      <c r="AQ334" s="444"/>
      <c r="AR334" s="444"/>
      <c r="AS334" s="445"/>
    </row>
    <row r="335" spans="31:45">
      <c r="AE335" s="442"/>
      <c r="AF335" s="443"/>
      <c r="AG335" s="443"/>
      <c r="AH335" s="443"/>
      <c r="AI335" s="443"/>
      <c r="AJ335" s="443"/>
      <c r="AK335" s="443"/>
      <c r="AL335" s="444"/>
      <c r="AM335" s="444"/>
      <c r="AN335" s="444"/>
      <c r="AO335" s="444"/>
      <c r="AP335" s="444"/>
      <c r="AQ335" s="444"/>
      <c r="AR335" s="444"/>
      <c r="AS335" s="445"/>
    </row>
    <row r="336" spans="31:45">
      <c r="AE336" s="442"/>
      <c r="AF336" s="443"/>
      <c r="AG336" s="443"/>
      <c r="AH336" s="443"/>
      <c r="AI336" s="443"/>
      <c r="AJ336" s="443"/>
      <c r="AK336" s="443"/>
      <c r="AL336" s="444"/>
      <c r="AM336" s="444"/>
      <c r="AN336" s="444"/>
      <c r="AO336" s="444"/>
      <c r="AP336" s="444"/>
      <c r="AQ336" s="444"/>
      <c r="AR336" s="444"/>
      <c r="AS336" s="445"/>
    </row>
    <row r="337" spans="31:45">
      <c r="AE337" s="442"/>
      <c r="AF337" s="443"/>
      <c r="AG337" s="443"/>
      <c r="AH337" s="443"/>
      <c r="AI337" s="443"/>
      <c r="AJ337" s="443"/>
      <c r="AK337" s="443"/>
      <c r="AL337" s="444"/>
      <c r="AM337" s="444"/>
      <c r="AN337" s="444"/>
      <c r="AO337" s="444"/>
      <c r="AP337" s="444"/>
      <c r="AQ337" s="444"/>
      <c r="AR337" s="444"/>
      <c r="AS337" s="445"/>
    </row>
    <row r="338" spans="31:45">
      <c r="AE338" s="442"/>
      <c r="AF338" s="443"/>
      <c r="AG338" s="443"/>
      <c r="AH338" s="443"/>
      <c r="AI338" s="443"/>
      <c r="AJ338" s="443"/>
      <c r="AK338" s="443"/>
      <c r="AL338" s="444"/>
      <c r="AM338" s="444"/>
      <c r="AN338" s="444"/>
      <c r="AO338" s="444"/>
      <c r="AP338" s="444"/>
      <c r="AQ338" s="444"/>
      <c r="AR338" s="444"/>
      <c r="AS338" s="445"/>
    </row>
    <row r="339" spans="31:45">
      <c r="AE339" s="442"/>
      <c r="AF339" s="443"/>
      <c r="AG339" s="443"/>
      <c r="AH339" s="443"/>
      <c r="AI339" s="443"/>
      <c r="AJ339" s="443"/>
      <c r="AK339" s="443"/>
      <c r="AL339" s="444"/>
      <c r="AM339" s="444"/>
      <c r="AN339" s="444"/>
      <c r="AO339" s="444"/>
      <c r="AP339" s="444"/>
      <c r="AQ339" s="444"/>
      <c r="AR339" s="444"/>
      <c r="AS339" s="445"/>
    </row>
    <row r="340" spans="31:45">
      <c r="AE340" s="442"/>
      <c r="AF340" s="443"/>
      <c r="AG340" s="443"/>
      <c r="AH340" s="443"/>
      <c r="AI340" s="443"/>
      <c r="AJ340" s="443"/>
      <c r="AK340" s="443"/>
      <c r="AL340" s="444"/>
      <c r="AM340" s="444"/>
      <c r="AN340" s="444"/>
      <c r="AO340" s="444"/>
      <c r="AP340" s="444"/>
      <c r="AQ340" s="444"/>
      <c r="AR340" s="444"/>
      <c r="AS340" s="445"/>
    </row>
    <row r="341" spans="31:45">
      <c r="AE341" s="442"/>
      <c r="AF341" s="443"/>
      <c r="AG341" s="443"/>
      <c r="AH341" s="443"/>
      <c r="AI341" s="443"/>
      <c r="AJ341" s="443"/>
      <c r="AK341" s="443"/>
      <c r="AL341" s="444"/>
      <c r="AM341" s="444"/>
      <c r="AN341" s="444"/>
      <c r="AO341" s="444"/>
      <c r="AP341" s="444"/>
      <c r="AQ341" s="444"/>
      <c r="AR341" s="444"/>
      <c r="AS341" s="445"/>
    </row>
    <row r="342" spans="31:45">
      <c r="AE342" s="442"/>
      <c r="AF342" s="443"/>
      <c r="AG342" s="443"/>
      <c r="AH342" s="443"/>
      <c r="AI342" s="443"/>
      <c r="AJ342" s="443"/>
      <c r="AK342" s="443"/>
      <c r="AL342" s="444"/>
      <c r="AM342" s="444"/>
      <c r="AN342" s="444"/>
      <c r="AO342" s="444"/>
      <c r="AP342" s="444"/>
      <c r="AQ342" s="444"/>
      <c r="AR342" s="444"/>
      <c r="AS342" s="445"/>
    </row>
    <row r="343" spans="31:45">
      <c r="AE343" s="442"/>
      <c r="AF343" s="443"/>
      <c r="AG343" s="443"/>
      <c r="AH343" s="443"/>
      <c r="AI343" s="443"/>
      <c r="AJ343" s="443"/>
      <c r="AK343" s="443"/>
      <c r="AL343" s="444"/>
      <c r="AM343" s="444"/>
      <c r="AN343" s="444"/>
      <c r="AO343" s="444"/>
      <c r="AP343" s="444"/>
      <c r="AQ343" s="444"/>
      <c r="AR343" s="444"/>
      <c r="AS343" s="445"/>
    </row>
    <row r="344" spans="31:45">
      <c r="AE344" s="442"/>
      <c r="AF344" s="443"/>
      <c r="AG344" s="443"/>
      <c r="AH344" s="443"/>
      <c r="AI344" s="443"/>
      <c r="AJ344" s="443"/>
      <c r="AK344" s="443"/>
      <c r="AL344" s="444"/>
      <c r="AM344" s="444"/>
      <c r="AN344" s="444"/>
      <c r="AO344" s="444"/>
      <c r="AP344" s="444"/>
      <c r="AQ344" s="444"/>
      <c r="AR344" s="444"/>
      <c r="AS344" s="445"/>
    </row>
    <row r="345" spans="31:45">
      <c r="AE345" s="442"/>
      <c r="AF345" s="443"/>
      <c r="AG345" s="443"/>
      <c r="AH345" s="443"/>
      <c r="AI345" s="443"/>
      <c r="AJ345" s="443"/>
      <c r="AK345" s="443"/>
      <c r="AL345" s="444"/>
      <c r="AM345" s="444"/>
      <c r="AN345" s="444"/>
      <c r="AO345" s="444"/>
      <c r="AP345" s="444"/>
      <c r="AQ345" s="444"/>
      <c r="AR345" s="444"/>
      <c r="AS345" s="445"/>
    </row>
    <row r="346" spans="31:45">
      <c r="AE346" s="442"/>
      <c r="AF346" s="443"/>
      <c r="AG346" s="443"/>
      <c r="AH346" s="443"/>
      <c r="AI346" s="443"/>
      <c r="AJ346" s="443"/>
      <c r="AK346" s="443"/>
      <c r="AL346" s="444"/>
      <c r="AM346" s="444"/>
      <c r="AN346" s="444"/>
      <c r="AO346" s="444"/>
      <c r="AP346" s="444"/>
      <c r="AQ346" s="444"/>
      <c r="AR346" s="444"/>
      <c r="AS346" s="445"/>
    </row>
    <row r="347" spans="31:45">
      <c r="AE347" s="442"/>
      <c r="AF347" s="443"/>
      <c r="AG347" s="443"/>
      <c r="AH347" s="443"/>
      <c r="AI347" s="443"/>
      <c r="AJ347" s="443"/>
      <c r="AK347" s="443"/>
      <c r="AL347" s="444"/>
      <c r="AM347" s="444"/>
      <c r="AN347" s="444"/>
      <c r="AO347" s="444"/>
      <c r="AP347" s="444"/>
      <c r="AQ347" s="444"/>
      <c r="AR347" s="444"/>
      <c r="AS347" s="445"/>
    </row>
    <row r="348" spans="31:45">
      <c r="AE348" s="442"/>
      <c r="AF348" s="443"/>
      <c r="AG348" s="443"/>
      <c r="AH348" s="443"/>
      <c r="AI348" s="443"/>
      <c r="AJ348" s="443"/>
      <c r="AK348" s="443"/>
      <c r="AL348" s="444"/>
      <c r="AM348" s="444"/>
      <c r="AN348" s="444"/>
      <c r="AO348" s="444"/>
      <c r="AP348" s="444"/>
      <c r="AQ348" s="444"/>
      <c r="AR348" s="444"/>
      <c r="AS348" s="445"/>
    </row>
    <row r="349" spans="31:45">
      <c r="AE349" s="442"/>
      <c r="AF349" s="443"/>
      <c r="AG349" s="443"/>
      <c r="AH349" s="443"/>
      <c r="AI349" s="443"/>
      <c r="AJ349" s="443"/>
      <c r="AK349" s="443"/>
      <c r="AL349" s="444"/>
      <c r="AM349" s="444"/>
      <c r="AN349" s="444"/>
      <c r="AO349" s="444"/>
      <c r="AP349" s="444"/>
      <c r="AQ349" s="444"/>
      <c r="AR349" s="444"/>
      <c r="AS349" s="445"/>
    </row>
    <row r="350" spans="31:45">
      <c r="AE350" s="442"/>
      <c r="AF350" s="443"/>
      <c r="AG350" s="443"/>
      <c r="AH350" s="443"/>
      <c r="AI350" s="443"/>
      <c r="AJ350" s="443"/>
      <c r="AK350" s="443"/>
      <c r="AL350" s="444"/>
      <c r="AM350" s="444"/>
      <c r="AN350" s="444"/>
      <c r="AO350" s="444"/>
      <c r="AP350" s="444"/>
      <c r="AQ350" s="444"/>
      <c r="AR350" s="444"/>
      <c r="AS350" s="445"/>
    </row>
    <row r="351" spans="31:45">
      <c r="AE351" s="442"/>
      <c r="AF351" s="443"/>
      <c r="AG351" s="443"/>
      <c r="AH351" s="443"/>
      <c r="AI351" s="443"/>
      <c r="AJ351" s="443"/>
      <c r="AK351" s="443"/>
      <c r="AL351" s="444"/>
      <c r="AM351" s="444"/>
      <c r="AN351" s="444"/>
      <c r="AO351" s="444"/>
      <c r="AP351" s="444"/>
      <c r="AQ351" s="444"/>
      <c r="AR351" s="444"/>
      <c r="AS351" s="445"/>
    </row>
    <row r="352" spans="31:45">
      <c r="AE352" s="442"/>
      <c r="AF352" s="443"/>
      <c r="AG352" s="443"/>
      <c r="AH352" s="443"/>
      <c r="AI352" s="443"/>
      <c r="AJ352" s="443"/>
      <c r="AK352" s="443"/>
      <c r="AL352" s="444"/>
      <c r="AM352" s="444"/>
      <c r="AN352" s="444"/>
      <c r="AO352" s="444"/>
      <c r="AP352" s="444"/>
      <c r="AQ352" s="444"/>
      <c r="AR352" s="444"/>
      <c r="AS352" s="445"/>
    </row>
    <row r="353" spans="31:45">
      <c r="AE353" s="442"/>
      <c r="AF353" s="443"/>
      <c r="AG353" s="443"/>
      <c r="AH353" s="443"/>
      <c r="AI353" s="443"/>
      <c r="AJ353" s="443"/>
      <c r="AK353" s="443"/>
      <c r="AL353" s="444"/>
      <c r="AM353" s="444"/>
      <c r="AN353" s="444"/>
      <c r="AO353" s="444"/>
      <c r="AP353" s="444"/>
      <c r="AQ353" s="444"/>
      <c r="AR353" s="444"/>
      <c r="AS353" s="445"/>
    </row>
    <row r="354" spans="31:45">
      <c r="AE354" s="442"/>
      <c r="AF354" s="443"/>
      <c r="AG354" s="443"/>
      <c r="AH354" s="443"/>
      <c r="AI354" s="443"/>
      <c r="AJ354" s="443"/>
      <c r="AK354" s="443"/>
      <c r="AL354" s="444"/>
      <c r="AM354" s="444"/>
      <c r="AN354" s="444"/>
      <c r="AO354" s="444"/>
      <c r="AP354" s="444"/>
      <c r="AQ354" s="444"/>
      <c r="AR354" s="444"/>
      <c r="AS354" s="445"/>
    </row>
    <row r="355" spans="31:45">
      <c r="AE355" s="442"/>
      <c r="AF355" s="443"/>
      <c r="AG355" s="443"/>
      <c r="AH355" s="443"/>
      <c r="AI355" s="443"/>
      <c r="AJ355" s="443"/>
      <c r="AK355" s="443"/>
      <c r="AL355" s="444"/>
      <c r="AM355" s="444"/>
      <c r="AN355" s="444"/>
      <c r="AO355" s="444"/>
      <c r="AP355" s="444"/>
      <c r="AQ355" s="444"/>
      <c r="AR355" s="444"/>
      <c r="AS355" s="445"/>
    </row>
    <row r="356" spans="31:45">
      <c r="AE356" s="442"/>
      <c r="AF356" s="443"/>
      <c r="AG356" s="443"/>
      <c r="AH356" s="443"/>
      <c r="AI356" s="443"/>
      <c r="AJ356" s="443"/>
      <c r="AK356" s="443"/>
      <c r="AL356" s="444"/>
      <c r="AM356" s="444"/>
      <c r="AN356" s="444"/>
      <c r="AO356" s="444"/>
      <c r="AP356" s="444"/>
      <c r="AQ356" s="444"/>
      <c r="AR356" s="444"/>
      <c r="AS356" s="445"/>
    </row>
    <row r="357" spans="31:45">
      <c r="AE357" s="442"/>
      <c r="AF357" s="443"/>
      <c r="AG357" s="443"/>
      <c r="AH357" s="443"/>
      <c r="AI357" s="443"/>
      <c r="AJ357" s="443"/>
      <c r="AK357" s="443"/>
      <c r="AL357" s="444"/>
      <c r="AM357" s="444"/>
      <c r="AN357" s="444"/>
      <c r="AO357" s="444"/>
      <c r="AP357" s="444"/>
      <c r="AQ357" s="444"/>
      <c r="AR357" s="444"/>
      <c r="AS357" s="445"/>
    </row>
    <row r="358" spans="31:45">
      <c r="AE358" s="442"/>
      <c r="AF358" s="443"/>
      <c r="AG358" s="443"/>
      <c r="AH358" s="443"/>
      <c r="AI358" s="443"/>
      <c r="AJ358" s="443"/>
      <c r="AK358" s="443"/>
      <c r="AL358" s="444"/>
      <c r="AM358" s="444"/>
      <c r="AN358" s="444"/>
      <c r="AO358" s="444"/>
      <c r="AP358" s="444"/>
      <c r="AQ358" s="444"/>
      <c r="AR358" s="444"/>
      <c r="AS358" s="445"/>
    </row>
    <row r="359" spans="31:45">
      <c r="AE359" s="442"/>
      <c r="AF359" s="443"/>
      <c r="AG359" s="443"/>
      <c r="AH359" s="443"/>
      <c r="AI359" s="443"/>
      <c r="AJ359" s="443"/>
      <c r="AK359" s="443"/>
      <c r="AL359" s="444"/>
      <c r="AM359" s="444"/>
      <c r="AN359" s="444"/>
      <c r="AO359" s="444"/>
      <c r="AP359" s="444"/>
      <c r="AQ359" s="444"/>
      <c r="AR359" s="444"/>
      <c r="AS359" s="445"/>
    </row>
    <row r="360" spans="31:45">
      <c r="AE360" s="442"/>
      <c r="AF360" s="443"/>
      <c r="AG360" s="443"/>
      <c r="AH360" s="443"/>
      <c r="AI360" s="443"/>
      <c r="AJ360" s="443"/>
      <c r="AK360" s="443"/>
      <c r="AL360" s="444"/>
      <c r="AM360" s="444"/>
      <c r="AN360" s="444"/>
      <c r="AO360" s="444"/>
      <c r="AP360" s="444"/>
      <c r="AQ360" s="444"/>
      <c r="AR360" s="444"/>
      <c r="AS360" s="445"/>
    </row>
    <row r="361" spans="31:45">
      <c r="AE361" s="442"/>
      <c r="AF361" s="443"/>
      <c r="AG361" s="443"/>
      <c r="AH361" s="443"/>
      <c r="AI361" s="443"/>
      <c r="AJ361" s="443"/>
      <c r="AK361" s="443"/>
      <c r="AL361" s="444"/>
      <c r="AM361" s="444"/>
      <c r="AN361" s="444"/>
      <c r="AO361" s="444"/>
      <c r="AP361" s="444"/>
      <c r="AQ361" s="444"/>
      <c r="AR361" s="444"/>
      <c r="AS361" s="445"/>
    </row>
    <row r="362" spans="31:45">
      <c r="AE362" s="442"/>
      <c r="AF362" s="443"/>
      <c r="AG362" s="443"/>
      <c r="AH362" s="443"/>
      <c r="AI362" s="443"/>
      <c r="AJ362" s="443"/>
      <c r="AK362" s="443"/>
      <c r="AL362" s="444"/>
      <c r="AM362" s="444"/>
      <c r="AN362" s="444"/>
      <c r="AO362" s="444"/>
      <c r="AP362" s="444"/>
      <c r="AQ362" s="444"/>
      <c r="AR362" s="444"/>
      <c r="AS362" s="445"/>
    </row>
    <row r="363" spans="31:45">
      <c r="AE363" s="442"/>
      <c r="AF363" s="443"/>
      <c r="AG363" s="443"/>
      <c r="AH363" s="443"/>
      <c r="AI363" s="443"/>
      <c r="AJ363" s="443"/>
      <c r="AK363" s="443"/>
      <c r="AL363" s="444"/>
      <c r="AM363" s="444"/>
      <c r="AN363" s="444"/>
      <c r="AO363" s="444"/>
      <c r="AP363" s="444"/>
      <c r="AQ363" s="444"/>
      <c r="AR363" s="444"/>
      <c r="AS363" s="445"/>
    </row>
    <row r="364" spans="31:45">
      <c r="AE364" s="442"/>
      <c r="AF364" s="443"/>
      <c r="AG364" s="443"/>
      <c r="AH364" s="443"/>
      <c r="AI364" s="443"/>
      <c r="AJ364" s="443"/>
      <c r="AK364" s="443"/>
      <c r="AL364" s="444"/>
      <c r="AM364" s="444"/>
      <c r="AN364" s="444"/>
      <c r="AO364" s="444"/>
      <c r="AP364" s="444"/>
      <c r="AQ364" s="444"/>
      <c r="AR364" s="444"/>
      <c r="AS364" s="445"/>
    </row>
    <row r="365" spans="31:45">
      <c r="AE365" s="442"/>
      <c r="AF365" s="443"/>
      <c r="AG365" s="443"/>
      <c r="AH365" s="443"/>
      <c r="AI365" s="443"/>
      <c r="AJ365" s="443"/>
      <c r="AK365" s="443"/>
      <c r="AL365" s="444"/>
      <c r="AM365" s="444"/>
      <c r="AN365" s="444"/>
      <c r="AO365" s="444"/>
      <c r="AP365" s="444"/>
      <c r="AQ365" s="444"/>
      <c r="AR365" s="444"/>
      <c r="AS365" s="445"/>
    </row>
    <row r="366" spans="31:45">
      <c r="AE366" s="442"/>
      <c r="AF366" s="443"/>
      <c r="AG366" s="443"/>
      <c r="AH366" s="443"/>
      <c r="AI366" s="443"/>
      <c r="AJ366" s="443"/>
      <c r="AK366" s="443"/>
      <c r="AL366" s="444"/>
      <c r="AM366" s="444"/>
      <c r="AN366" s="444"/>
      <c r="AO366" s="444"/>
      <c r="AP366" s="444"/>
      <c r="AQ366" s="444"/>
      <c r="AR366" s="444"/>
      <c r="AS366" s="445"/>
    </row>
    <row r="367" spans="31:45">
      <c r="AE367" s="442"/>
      <c r="AF367" s="443"/>
      <c r="AG367" s="443"/>
      <c r="AH367" s="443"/>
      <c r="AI367" s="443"/>
      <c r="AJ367" s="443"/>
      <c r="AK367" s="443"/>
      <c r="AL367" s="444"/>
      <c r="AM367" s="444"/>
      <c r="AN367" s="444"/>
      <c r="AO367" s="444"/>
      <c r="AP367" s="444"/>
      <c r="AQ367" s="444"/>
      <c r="AR367" s="444"/>
      <c r="AS367" s="445"/>
    </row>
    <row r="368" spans="31:45">
      <c r="AE368" s="442"/>
      <c r="AF368" s="443"/>
      <c r="AG368" s="443"/>
      <c r="AH368" s="443"/>
      <c r="AI368" s="443"/>
      <c r="AJ368" s="443"/>
      <c r="AK368" s="443"/>
      <c r="AL368" s="444"/>
      <c r="AM368" s="444"/>
      <c r="AN368" s="444"/>
      <c r="AO368" s="444"/>
      <c r="AP368" s="444"/>
      <c r="AQ368" s="444"/>
      <c r="AR368" s="444"/>
      <c r="AS368" s="445"/>
    </row>
    <row r="369" spans="31:45">
      <c r="AE369" s="442"/>
      <c r="AF369" s="443"/>
      <c r="AG369" s="443"/>
      <c r="AH369" s="443"/>
      <c r="AI369" s="443"/>
      <c r="AJ369" s="443"/>
      <c r="AK369" s="443"/>
      <c r="AL369" s="444"/>
      <c r="AM369" s="444"/>
      <c r="AN369" s="444"/>
      <c r="AO369" s="444"/>
      <c r="AP369" s="444"/>
      <c r="AQ369" s="444"/>
      <c r="AR369" s="444"/>
      <c r="AS369" s="445"/>
    </row>
    <row r="370" spans="31:45">
      <c r="AE370" s="442"/>
      <c r="AF370" s="443"/>
      <c r="AG370" s="443"/>
      <c r="AH370" s="443"/>
      <c r="AI370" s="443"/>
      <c r="AJ370" s="443"/>
      <c r="AK370" s="443"/>
      <c r="AL370" s="444"/>
      <c r="AM370" s="444"/>
      <c r="AN370" s="444"/>
      <c r="AO370" s="444"/>
      <c r="AP370" s="444"/>
      <c r="AQ370" s="444"/>
      <c r="AR370" s="444"/>
      <c r="AS370" s="445"/>
    </row>
    <row r="371" spans="31:45">
      <c r="AE371" s="442"/>
      <c r="AF371" s="443"/>
      <c r="AG371" s="443"/>
      <c r="AH371" s="443"/>
      <c r="AI371" s="443"/>
      <c r="AJ371" s="443"/>
      <c r="AK371" s="443"/>
      <c r="AL371" s="444"/>
      <c r="AM371" s="444"/>
      <c r="AN371" s="444"/>
      <c r="AO371" s="444"/>
      <c r="AP371" s="444"/>
      <c r="AQ371" s="444"/>
      <c r="AR371" s="444"/>
      <c r="AS371" s="445"/>
    </row>
    <row r="372" spans="31:45">
      <c r="AE372" s="442"/>
      <c r="AF372" s="443"/>
      <c r="AG372" s="443"/>
      <c r="AH372" s="443"/>
      <c r="AI372" s="443"/>
      <c r="AJ372" s="443"/>
      <c r="AK372" s="443"/>
      <c r="AL372" s="444"/>
      <c r="AM372" s="444"/>
      <c r="AN372" s="444"/>
      <c r="AO372" s="444"/>
      <c r="AP372" s="444"/>
      <c r="AQ372" s="444"/>
      <c r="AR372" s="444"/>
      <c r="AS372" s="445"/>
    </row>
    <row r="373" spans="31:45">
      <c r="AE373" s="442"/>
      <c r="AF373" s="443"/>
      <c r="AG373" s="443"/>
      <c r="AH373" s="443"/>
      <c r="AI373" s="443"/>
      <c r="AJ373" s="443"/>
      <c r="AK373" s="443"/>
      <c r="AL373" s="444"/>
      <c r="AM373" s="444"/>
      <c r="AN373" s="444"/>
      <c r="AO373" s="444"/>
      <c r="AP373" s="444"/>
      <c r="AQ373" s="444"/>
      <c r="AR373" s="444"/>
      <c r="AS373" s="445"/>
    </row>
    <row r="374" spans="31:45">
      <c r="AE374" s="442"/>
      <c r="AF374" s="443"/>
      <c r="AG374" s="443"/>
      <c r="AH374" s="443"/>
      <c r="AI374" s="443"/>
      <c r="AJ374" s="443"/>
      <c r="AK374" s="443"/>
      <c r="AL374" s="444"/>
      <c r="AM374" s="444"/>
      <c r="AN374" s="444"/>
      <c r="AO374" s="444"/>
      <c r="AP374" s="444"/>
      <c r="AQ374" s="444"/>
      <c r="AR374" s="444"/>
      <c r="AS374" s="445"/>
    </row>
    <row r="375" spans="31:45">
      <c r="AE375" s="442"/>
      <c r="AF375" s="443"/>
      <c r="AG375" s="443"/>
      <c r="AH375" s="443"/>
      <c r="AI375" s="443"/>
      <c r="AJ375" s="443"/>
      <c r="AK375" s="443"/>
      <c r="AL375" s="444"/>
      <c r="AM375" s="444"/>
      <c r="AN375" s="444"/>
      <c r="AO375" s="444"/>
      <c r="AP375" s="444"/>
      <c r="AQ375" s="444"/>
      <c r="AR375" s="444"/>
      <c r="AS375" s="445"/>
    </row>
    <row r="376" spans="31:45">
      <c r="AE376" s="442"/>
      <c r="AF376" s="443"/>
      <c r="AG376" s="443"/>
      <c r="AH376" s="443"/>
      <c r="AI376" s="443"/>
      <c r="AJ376" s="443"/>
      <c r="AK376" s="443"/>
      <c r="AL376" s="444"/>
      <c r="AM376" s="444"/>
      <c r="AN376" s="444"/>
      <c r="AO376" s="444"/>
      <c r="AP376" s="444"/>
      <c r="AQ376" s="444"/>
      <c r="AR376" s="444"/>
      <c r="AS376" s="445"/>
    </row>
    <row r="377" spans="31:45">
      <c r="AE377" s="442"/>
      <c r="AF377" s="443"/>
      <c r="AG377" s="443"/>
      <c r="AH377" s="443"/>
      <c r="AI377" s="443"/>
      <c r="AJ377" s="443"/>
      <c r="AK377" s="443"/>
      <c r="AL377" s="444"/>
      <c r="AM377" s="444"/>
      <c r="AN377" s="444"/>
      <c r="AO377" s="444"/>
      <c r="AP377" s="444"/>
      <c r="AQ377" s="444"/>
      <c r="AR377" s="444"/>
      <c r="AS377" s="445"/>
    </row>
    <row r="378" spans="31:45">
      <c r="AE378" s="442"/>
      <c r="AF378" s="443"/>
      <c r="AG378" s="443"/>
      <c r="AH378" s="443"/>
      <c r="AI378" s="443"/>
      <c r="AJ378" s="443"/>
      <c r="AK378" s="443"/>
      <c r="AL378" s="444"/>
      <c r="AM378" s="444"/>
      <c r="AN378" s="444"/>
      <c r="AO378" s="444"/>
      <c r="AP378" s="444"/>
      <c r="AQ378" s="444"/>
      <c r="AR378" s="444"/>
      <c r="AS378" s="445"/>
    </row>
    <row r="379" spans="31:45">
      <c r="AE379" s="442"/>
      <c r="AF379" s="443"/>
      <c r="AG379" s="443"/>
      <c r="AH379" s="443"/>
      <c r="AI379" s="443"/>
      <c r="AJ379" s="443"/>
      <c r="AK379" s="443"/>
      <c r="AL379" s="444"/>
      <c r="AM379" s="444"/>
      <c r="AN379" s="444"/>
      <c r="AO379" s="444"/>
      <c r="AP379" s="444"/>
      <c r="AQ379" s="444"/>
      <c r="AR379" s="444"/>
      <c r="AS379" s="445"/>
    </row>
    <row r="380" spans="31:45">
      <c r="AE380" s="442"/>
      <c r="AF380" s="443"/>
      <c r="AG380" s="443"/>
      <c r="AH380" s="443"/>
      <c r="AI380" s="443"/>
      <c r="AJ380" s="443"/>
      <c r="AK380" s="443"/>
      <c r="AL380" s="444"/>
      <c r="AM380" s="444"/>
      <c r="AN380" s="444"/>
      <c r="AO380" s="444"/>
      <c r="AP380" s="444"/>
      <c r="AQ380" s="444"/>
      <c r="AR380" s="444"/>
      <c r="AS380" s="445"/>
    </row>
    <row r="381" spans="31:45">
      <c r="AE381" s="442"/>
      <c r="AF381" s="443"/>
      <c r="AG381" s="443"/>
      <c r="AH381" s="443"/>
      <c r="AI381" s="443"/>
      <c r="AJ381" s="443"/>
      <c r="AK381" s="443"/>
      <c r="AL381" s="444"/>
      <c r="AM381" s="444"/>
      <c r="AN381" s="444"/>
      <c r="AO381" s="444"/>
      <c r="AP381" s="444"/>
      <c r="AQ381" s="444"/>
      <c r="AR381" s="444"/>
      <c r="AS381" s="445"/>
    </row>
    <row r="382" spans="31:45">
      <c r="AE382" s="442"/>
      <c r="AF382" s="443"/>
      <c r="AG382" s="443"/>
      <c r="AH382" s="443"/>
      <c r="AI382" s="443"/>
      <c r="AJ382" s="443"/>
      <c r="AK382" s="443"/>
      <c r="AL382" s="444"/>
      <c r="AM382" s="444"/>
      <c r="AN382" s="444"/>
      <c r="AO382" s="444"/>
      <c r="AP382" s="444"/>
      <c r="AQ382" s="444"/>
      <c r="AR382" s="444"/>
      <c r="AS382" s="445"/>
    </row>
    <row r="383" spans="31:45">
      <c r="AE383" s="442"/>
      <c r="AF383" s="443"/>
      <c r="AG383" s="443"/>
      <c r="AH383" s="443"/>
      <c r="AI383" s="443"/>
      <c r="AJ383" s="443"/>
      <c r="AK383" s="443"/>
      <c r="AL383" s="444"/>
      <c r="AM383" s="444"/>
      <c r="AN383" s="444"/>
      <c r="AO383" s="444"/>
      <c r="AP383" s="444"/>
      <c r="AQ383" s="444"/>
      <c r="AR383" s="444"/>
      <c r="AS383" s="445"/>
    </row>
    <row r="384" spans="31:45">
      <c r="AE384" s="442"/>
      <c r="AF384" s="443"/>
      <c r="AG384" s="443"/>
      <c r="AH384" s="443"/>
      <c r="AI384" s="443"/>
      <c r="AJ384" s="443"/>
      <c r="AK384" s="443"/>
      <c r="AL384" s="444"/>
      <c r="AM384" s="444"/>
      <c r="AN384" s="444"/>
      <c r="AO384" s="444"/>
      <c r="AP384" s="444"/>
      <c r="AQ384" s="444"/>
      <c r="AR384" s="444"/>
      <c r="AS384" s="445"/>
    </row>
    <row r="385" spans="31:45">
      <c r="AE385" s="442"/>
      <c r="AF385" s="443"/>
      <c r="AG385" s="443"/>
      <c r="AH385" s="443"/>
      <c r="AI385" s="443"/>
      <c r="AJ385" s="443"/>
      <c r="AK385" s="443"/>
      <c r="AL385" s="444"/>
      <c r="AM385" s="444"/>
      <c r="AN385" s="444"/>
      <c r="AO385" s="444"/>
      <c r="AP385" s="444"/>
      <c r="AQ385" s="444"/>
      <c r="AR385" s="444"/>
      <c r="AS385" s="445"/>
    </row>
    <row r="386" spans="31:45">
      <c r="AE386" s="442"/>
      <c r="AF386" s="443"/>
      <c r="AG386" s="443"/>
      <c r="AH386" s="443"/>
      <c r="AI386" s="443"/>
      <c r="AJ386" s="443"/>
      <c r="AK386" s="443"/>
      <c r="AL386" s="444"/>
      <c r="AM386" s="444"/>
      <c r="AN386" s="444"/>
      <c r="AO386" s="444"/>
      <c r="AP386" s="444"/>
      <c r="AQ386" s="444"/>
      <c r="AR386" s="444"/>
      <c r="AS386" s="445"/>
    </row>
    <row r="387" spans="31:45">
      <c r="AE387" s="442"/>
      <c r="AF387" s="443"/>
      <c r="AG387" s="443"/>
      <c r="AH387" s="443"/>
      <c r="AI387" s="443"/>
      <c r="AJ387" s="443"/>
      <c r="AK387" s="443"/>
      <c r="AL387" s="444"/>
      <c r="AM387" s="444"/>
      <c r="AN387" s="444"/>
      <c r="AO387" s="444"/>
      <c r="AP387" s="444"/>
      <c r="AQ387" s="444"/>
      <c r="AR387" s="444"/>
      <c r="AS387" s="445"/>
    </row>
    <row r="388" spans="31:45">
      <c r="AE388" s="442"/>
      <c r="AF388" s="443"/>
      <c r="AG388" s="443"/>
      <c r="AH388" s="443"/>
      <c r="AI388" s="443"/>
      <c r="AJ388" s="443"/>
      <c r="AK388" s="443"/>
      <c r="AL388" s="444"/>
      <c r="AM388" s="444"/>
      <c r="AN388" s="444"/>
      <c r="AO388" s="444"/>
      <c r="AP388" s="444"/>
      <c r="AQ388" s="444"/>
      <c r="AR388" s="444"/>
      <c r="AS388" s="445"/>
    </row>
    <row r="389" spans="31:45">
      <c r="AE389" s="442"/>
      <c r="AF389" s="443"/>
      <c r="AG389" s="443"/>
      <c r="AH389" s="443"/>
      <c r="AI389" s="443"/>
      <c r="AJ389" s="443"/>
      <c r="AK389" s="443"/>
      <c r="AL389" s="444"/>
      <c r="AM389" s="444"/>
      <c r="AN389" s="444"/>
      <c r="AO389" s="444"/>
      <c r="AP389" s="444"/>
      <c r="AQ389" s="444"/>
      <c r="AR389" s="444"/>
      <c r="AS389" s="445"/>
    </row>
    <row r="390" spans="31:45">
      <c r="AE390" s="442"/>
      <c r="AF390" s="443"/>
      <c r="AG390" s="443"/>
      <c r="AH390" s="443"/>
      <c r="AI390" s="443"/>
      <c r="AJ390" s="443"/>
      <c r="AK390" s="443"/>
      <c r="AL390" s="444"/>
      <c r="AM390" s="444"/>
      <c r="AN390" s="444"/>
      <c r="AO390" s="444"/>
      <c r="AP390" s="444"/>
      <c r="AQ390" s="444"/>
      <c r="AR390" s="444"/>
      <c r="AS390" s="445"/>
    </row>
    <row r="391" spans="31:45">
      <c r="AE391" s="442"/>
      <c r="AF391" s="443"/>
      <c r="AG391" s="443"/>
      <c r="AH391" s="443"/>
      <c r="AI391" s="443"/>
      <c r="AJ391" s="443"/>
      <c r="AK391" s="443"/>
      <c r="AL391" s="444"/>
      <c r="AM391" s="444"/>
      <c r="AN391" s="444"/>
      <c r="AO391" s="444"/>
      <c r="AP391" s="444"/>
      <c r="AQ391" s="444"/>
      <c r="AR391" s="444"/>
      <c r="AS391" s="445"/>
    </row>
    <row r="392" spans="31:45">
      <c r="AE392" s="442"/>
      <c r="AF392" s="443"/>
      <c r="AG392" s="443"/>
      <c r="AH392" s="443"/>
      <c r="AI392" s="443"/>
      <c r="AJ392" s="443"/>
      <c r="AK392" s="443"/>
      <c r="AL392" s="444"/>
      <c r="AM392" s="444"/>
      <c r="AN392" s="444"/>
      <c r="AO392" s="444"/>
      <c r="AP392" s="444"/>
      <c r="AQ392" s="444"/>
      <c r="AR392" s="444"/>
      <c r="AS392" s="445"/>
    </row>
    <row r="393" spans="31:45">
      <c r="AE393" s="442"/>
      <c r="AF393" s="443"/>
      <c r="AG393" s="443"/>
      <c r="AH393" s="443"/>
      <c r="AI393" s="443"/>
      <c r="AJ393" s="443"/>
      <c r="AK393" s="443"/>
      <c r="AL393" s="444"/>
      <c r="AM393" s="444"/>
      <c r="AN393" s="444"/>
      <c r="AO393" s="444"/>
      <c r="AP393" s="444"/>
      <c r="AQ393" s="444"/>
      <c r="AR393" s="444"/>
      <c r="AS393" s="445"/>
    </row>
    <row r="394" spans="31:45">
      <c r="AE394" s="442"/>
      <c r="AF394" s="443"/>
      <c r="AG394" s="443"/>
      <c r="AH394" s="443"/>
      <c r="AI394" s="443"/>
      <c r="AJ394" s="443"/>
      <c r="AK394" s="443"/>
      <c r="AL394" s="444"/>
      <c r="AM394" s="444"/>
      <c r="AN394" s="444"/>
      <c r="AO394" s="444"/>
      <c r="AP394" s="444"/>
      <c r="AQ394" s="444"/>
      <c r="AR394" s="444"/>
      <c r="AS394" s="445"/>
    </row>
    <row r="395" spans="31:45">
      <c r="AE395" s="442"/>
      <c r="AF395" s="443"/>
      <c r="AG395" s="443"/>
      <c r="AH395" s="443"/>
      <c r="AI395" s="443"/>
      <c r="AJ395" s="443"/>
      <c r="AK395" s="443"/>
      <c r="AL395" s="444"/>
      <c r="AM395" s="444"/>
      <c r="AN395" s="444"/>
      <c r="AO395" s="444"/>
      <c r="AP395" s="444"/>
      <c r="AQ395" s="444"/>
      <c r="AR395" s="444"/>
      <c r="AS395" s="445"/>
    </row>
    <row r="396" spans="31:45">
      <c r="AE396" s="442"/>
      <c r="AF396" s="443"/>
      <c r="AG396" s="443"/>
      <c r="AH396" s="443"/>
      <c r="AI396" s="443"/>
      <c r="AJ396" s="443"/>
      <c r="AK396" s="443"/>
      <c r="AL396" s="444"/>
      <c r="AM396" s="444"/>
      <c r="AN396" s="444"/>
      <c r="AO396" s="444"/>
      <c r="AP396" s="444"/>
      <c r="AQ396" s="444"/>
      <c r="AR396" s="444"/>
      <c r="AS396" s="445"/>
    </row>
    <row r="397" spans="31:45">
      <c r="AE397" s="442"/>
      <c r="AF397" s="443"/>
      <c r="AG397" s="443"/>
      <c r="AH397" s="443"/>
      <c r="AI397" s="443"/>
      <c r="AJ397" s="443"/>
      <c r="AK397" s="443"/>
      <c r="AL397" s="444"/>
      <c r="AM397" s="444"/>
      <c r="AN397" s="444"/>
      <c r="AO397" s="444"/>
      <c r="AP397" s="444"/>
      <c r="AQ397" s="444"/>
      <c r="AR397" s="444"/>
      <c r="AS397" s="445"/>
    </row>
    <row r="398" spans="31:45">
      <c r="AE398" s="442"/>
      <c r="AF398" s="443"/>
      <c r="AG398" s="443"/>
      <c r="AH398" s="443"/>
      <c r="AI398" s="443"/>
      <c r="AJ398" s="443"/>
      <c r="AK398" s="443"/>
      <c r="AL398" s="444"/>
      <c r="AM398" s="444"/>
      <c r="AN398" s="444"/>
      <c r="AO398" s="444"/>
      <c r="AP398" s="444"/>
      <c r="AQ398" s="444"/>
      <c r="AR398" s="444"/>
      <c r="AS398" s="445"/>
    </row>
    <row r="399" spans="31:45">
      <c r="AE399" s="442"/>
      <c r="AF399" s="443"/>
      <c r="AG399" s="443"/>
      <c r="AH399" s="443"/>
      <c r="AI399" s="443"/>
      <c r="AJ399" s="443"/>
      <c r="AK399" s="443"/>
      <c r="AL399" s="444"/>
      <c r="AM399" s="444"/>
      <c r="AN399" s="444"/>
      <c r="AO399" s="444"/>
      <c r="AP399" s="444"/>
      <c r="AQ399" s="444"/>
      <c r="AR399" s="444"/>
      <c r="AS399" s="445"/>
    </row>
    <row r="400" spans="31:45">
      <c r="AE400" s="442"/>
      <c r="AF400" s="443"/>
      <c r="AG400" s="443"/>
      <c r="AH400" s="443"/>
      <c r="AI400" s="443"/>
      <c r="AJ400" s="443"/>
      <c r="AK400" s="443"/>
      <c r="AL400" s="444"/>
      <c r="AM400" s="444"/>
      <c r="AN400" s="444"/>
      <c r="AO400" s="444"/>
      <c r="AP400" s="444"/>
      <c r="AQ400" s="444"/>
      <c r="AR400" s="444"/>
      <c r="AS400" s="445"/>
    </row>
    <row r="401" spans="31:45">
      <c r="AE401" s="442"/>
      <c r="AF401" s="443"/>
      <c r="AG401" s="443"/>
      <c r="AH401" s="443"/>
      <c r="AI401" s="443"/>
      <c r="AJ401" s="443"/>
      <c r="AK401" s="443"/>
      <c r="AL401" s="444"/>
      <c r="AM401" s="444"/>
      <c r="AN401" s="444"/>
      <c r="AO401" s="444"/>
      <c r="AP401" s="444"/>
      <c r="AQ401" s="444"/>
      <c r="AR401" s="444"/>
      <c r="AS401" s="445"/>
    </row>
    <row r="402" spans="31:45">
      <c r="AE402" s="442"/>
      <c r="AF402" s="443"/>
      <c r="AG402" s="443"/>
      <c r="AH402" s="443"/>
      <c r="AI402" s="443"/>
      <c r="AJ402" s="443"/>
      <c r="AK402" s="443"/>
      <c r="AL402" s="444"/>
      <c r="AM402" s="444"/>
      <c r="AN402" s="444"/>
      <c r="AO402" s="444"/>
      <c r="AP402" s="444"/>
      <c r="AQ402" s="444"/>
      <c r="AR402" s="444"/>
      <c r="AS402" s="445"/>
    </row>
    <row r="403" spans="31:45">
      <c r="AE403" s="442"/>
      <c r="AF403" s="443"/>
      <c r="AG403" s="443"/>
      <c r="AH403" s="443"/>
      <c r="AI403" s="443"/>
      <c r="AJ403" s="443"/>
      <c r="AK403" s="443"/>
      <c r="AL403" s="444"/>
      <c r="AM403" s="444"/>
      <c r="AN403" s="444"/>
      <c r="AO403" s="444"/>
      <c r="AP403" s="444"/>
      <c r="AQ403" s="444"/>
      <c r="AR403" s="444"/>
      <c r="AS403" s="445"/>
    </row>
    <row r="404" spans="31:45">
      <c r="AE404" s="442"/>
      <c r="AF404" s="443"/>
      <c r="AG404" s="443"/>
      <c r="AH404" s="443"/>
      <c r="AI404" s="443"/>
      <c r="AJ404" s="443"/>
      <c r="AK404" s="443"/>
      <c r="AL404" s="444"/>
      <c r="AM404" s="444"/>
      <c r="AN404" s="444"/>
      <c r="AO404" s="444"/>
      <c r="AP404" s="444"/>
      <c r="AQ404" s="444"/>
      <c r="AR404" s="444"/>
      <c r="AS404" s="445"/>
    </row>
    <row r="405" spans="31:45">
      <c r="AE405" s="442"/>
      <c r="AF405" s="443"/>
      <c r="AG405" s="443"/>
      <c r="AH405" s="443"/>
      <c r="AI405" s="443"/>
      <c r="AJ405" s="443"/>
      <c r="AK405" s="443"/>
      <c r="AL405" s="444"/>
      <c r="AM405" s="444"/>
      <c r="AN405" s="444"/>
      <c r="AO405" s="444"/>
      <c r="AP405" s="444"/>
      <c r="AQ405" s="444"/>
      <c r="AR405" s="444"/>
      <c r="AS405" s="445"/>
    </row>
    <row r="406" spans="31:45">
      <c r="AE406" s="442"/>
      <c r="AF406" s="443"/>
      <c r="AG406" s="443"/>
      <c r="AH406" s="443"/>
      <c r="AI406" s="443"/>
      <c r="AJ406" s="443"/>
      <c r="AK406" s="443"/>
      <c r="AL406" s="444"/>
      <c r="AM406" s="444"/>
      <c r="AN406" s="444"/>
      <c r="AO406" s="444"/>
      <c r="AP406" s="444"/>
      <c r="AQ406" s="444"/>
      <c r="AR406" s="444"/>
      <c r="AS406" s="445"/>
    </row>
    <row r="407" spans="31:45">
      <c r="AE407" s="442"/>
      <c r="AF407" s="443"/>
      <c r="AG407" s="443"/>
      <c r="AH407" s="443"/>
      <c r="AI407" s="443"/>
      <c r="AJ407" s="443"/>
      <c r="AK407" s="443"/>
      <c r="AL407" s="444"/>
      <c r="AM407" s="444"/>
      <c r="AN407" s="444"/>
      <c r="AO407" s="444"/>
      <c r="AP407" s="444"/>
      <c r="AQ407" s="444"/>
      <c r="AR407" s="444"/>
      <c r="AS407" s="445"/>
    </row>
    <row r="408" spans="31:45">
      <c r="AE408" s="442"/>
      <c r="AF408" s="443"/>
      <c r="AG408" s="443"/>
      <c r="AH408" s="443"/>
      <c r="AI408" s="443"/>
      <c r="AJ408" s="443"/>
      <c r="AK408" s="443"/>
      <c r="AL408" s="444"/>
      <c r="AM408" s="444"/>
      <c r="AN408" s="444"/>
      <c r="AO408" s="444"/>
      <c r="AP408" s="444"/>
      <c r="AQ408" s="444"/>
      <c r="AR408" s="444"/>
      <c r="AS408" s="445"/>
    </row>
    <row r="409" spans="31:45">
      <c r="AE409" s="442"/>
      <c r="AF409" s="443"/>
      <c r="AG409" s="443"/>
      <c r="AH409" s="443"/>
      <c r="AI409" s="443"/>
      <c r="AJ409" s="443"/>
      <c r="AK409" s="443"/>
      <c r="AL409" s="444"/>
      <c r="AM409" s="444"/>
      <c r="AN409" s="444"/>
      <c r="AO409" s="444"/>
      <c r="AP409" s="444"/>
      <c r="AQ409" s="444"/>
      <c r="AR409" s="444"/>
      <c r="AS409" s="445"/>
    </row>
    <row r="410" spans="31:45">
      <c r="AE410" s="442"/>
      <c r="AF410" s="443"/>
      <c r="AG410" s="443"/>
      <c r="AH410" s="443"/>
      <c r="AI410" s="443"/>
      <c r="AJ410" s="443"/>
      <c r="AK410" s="443"/>
      <c r="AL410" s="444"/>
      <c r="AM410" s="444"/>
      <c r="AN410" s="444"/>
      <c r="AO410" s="444"/>
      <c r="AP410" s="444"/>
      <c r="AQ410" s="444"/>
      <c r="AR410" s="444"/>
      <c r="AS410" s="445"/>
    </row>
    <row r="411" spans="31:45">
      <c r="AE411" s="442"/>
      <c r="AF411" s="443"/>
      <c r="AG411" s="443"/>
      <c r="AH411" s="443"/>
      <c r="AI411" s="443"/>
      <c r="AJ411" s="443"/>
      <c r="AK411" s="443"/>
      <c r="AL411" s="444"/>
      <c r="AM411" s="444"/>
      <c r="AN411" s="444"/>
      <c r="AO411" s="444"/>
      <c r="AP411" s="444"/>
      <c r="AQ411" s="444"/>
      <c r="AR411" s="444"/>
      <c r="AS411" s="445"/>
    </row>
    <row r="412" spans="31:45">
      <c r="AE412" s="442"/>
      <c r="AF412" s="443"/>
      <c r="AG412" s="443"/>
      <c r="AH412" s="443"/>
      <c r="AI412" s="443"/>
      <c r="AJ412" s="443"/>
      <c r="AK412" s="443"/>
      <c r="AL412" s="444"/>
      <c r="AM412" s="444"/>
      <c r="AN412" s="444"/>
      <c r="AO412" s="444"/>
      <c r="AP412" s="444"/>
      <c r="AQ412" s="444"/>
      <c r="AR412" s="444"/>
      <c r="AS412" s="445"/>
    </row>
    <row r="413" spans="31:45">
      <c r="AE413" s="442"/>
      <c r="AF413" s="443"/>
      <c r="AG413" s="443"/>
      <c r="AH413" s="443"/>
      <c r="AI413" s="443"/>
      <c r="AJ413" s="443"/>
      <c r="AK413" s="443"/>
      <c r="AL413" s="444"/>
      <c r="AM413" s="444"/>
      <c r="AN413" s="444"/>
      <c r="AO413" s="444"/>
      <c r="AP413" s="444"/>
      <c r="AQ413" s="444"/>
      <c r="AR413" s="444"/>
      <c r="AS413" s="445"/>
    </row>
    <row r="414" spans="31:45">
      <c r="AE414" s="442"/>
      <c r="AF414" s="443"/>
      <c r="AG414" s="443"/>
      <c r="AH414" s="443"/>
      <c r="AI414" s="443"/>
      <c r="AJ414" s="443"/>
      <c r="AK414" s="443"/>
      <c r="AL414" s="444"/>
      <c r="AM414" s="444"/>
      <c r="AN414" s="444"/>
      <c r="AO414" s="444"/>
      <c r="AP414" s="444"/>
      <c r="AQ414" s="444"/>
      <c r="AR414" s="444"/>
      <c r="AS414" s="445"/>
    </row>
    <row r="415" spans="31:45">
      <c r="AE415" s="442"/>
      <c r="AF415" s="443"/>
      <c r="AG415" s="443"/>
      <c r="AH415" s="443"/>
      <c r="AI415" s="443"/>
      <c r="AJ415" s="443"/>
      <c r="AK415" s="443"/>
      <c r="AL415" s="444"/>
      <c r="AM415" s="444"/>
      <c r="AN415" s="444"/>
      <c r="AO415" s="444"/>
      <c r="AP415" s="444"/>
      <c r="AQ415" s="444"/>
      <c r="AR415" s="444"/>
      <c r="AS415" s="445"/>
    </row>
    <row r="416" spans="31:45">
      <c r="AE416" s="442"/>
      <c r="AF416" s="443"/>
      <c r="AG416" s="443"/>
      <c r="AH416" s="443"/>
      <c r="AI416" s="443"/>
      <c r="AJ416" s="443"/>
      <c r="AK416" s="443"/>
      <c r="AL416" s="444"/>
      <c r="AM416" s="444"/>
      <c r="AN416" s="444"/>
      <c r="AO416" s="444"/>
      <c r="AP416" s="444"/>
      <c r="AQ416" s="444"/>
      <c r="AR416" s="444"/>
      <c r="AS416" s="445"/>
    </row>
    <row r="417" spans="31:45">
      <c r="AE417" s="442"/>
      <c r="AF417" s="443"/>
      <c r="AG417" s="443"/>
      <c r="AH417" s="443"/>
      <c r="AI417" s="443"/>
      <c r="AJ417" s="443"/>
      <c r="AK417" s="443"/>
      <c r="AL417" s="444"/>
      <c r="AM417" s="444"/>
      <c r="AN417" s="444"/>
      <c r="AO417" s="444"/>
      <c r="AP417" s="444"/>
      <c r="AQ417" s="444"/>
      <c r="AR417" s="444"/>
      <c r="AS417" s="445"/>
    </row>
    <row r="418" spans="31:45">
      <c r="AE418" s="442"/>
      <c r="AF418" s="443"/>
      <c r="AG418" s="443"/>
      <c r="AH418" s="443"/>
      <c r="AI418" s="443"/>
      <c r="AJ418" s="443"/>
      <c r="AK418" s="443"/>
      <c r="AL418" s="444"/>
      <c r="AM418" s="444"/>
      <c r="AN418" s="444"/>
      <c r="AO418" s="444"/>
      <c r="AP418" s="444"/>
      <c r="AQ418" s="444"/>
      <c r="AR418" s="444"/>
      <c r="AS418" s="445"/>
    </row>
    <row r="419" spans="31:45">
      <c r="AE419" s="442"/>
      <c r="AF419" s="443"/>
      <c r="AG419" s="443"/>
      <c r="AH419" s="443"/>
      <c r="AI419" s="443"/>
      <c r="AJ419" s="443"/>
      <c r="AK419" s="443"/>
      <c r="AL419" s="444"/>
      <c r="AM419" s="444"/>
      <c r="AN419" s="444"/>
      <c r="AO419" s="444"/>
      <c r="AP419" s="444"/>
      <c r="AQ419" s="444"/>
      <c r="AR419" s="444"/>
      <c r="AS419" s="445"/>
    </row>
    <row r="420" spans="31:45">
      <c r="AE420" s="442"/>
      <c r="AF420" s="443"/>
      <c r="AG420" s="443"/>
      <c r="AH420" s="443"/>
      <c r="AI420" s="443"/>
      <c r="AJ420" s="443"/>
      <c r="AK420" s="443"/>
      <c r="AL420" s="444"/>
      <c r="AM420" s="444"/>
      <c r="AN420" s="444"/>
      <c r="AO420" s="444"/>
      <c r="AP420" s="444"/>
      <c r="AQ420" s="444"/>
      <c r="AR420" s="444"/>
      <c r="AS420" s="445"/>
    </row>
    <row r="421" spans="31:45">
      <c r="AE421" s="442"/>
      <c r="AF421" s="443"/>
      <c r="AG421" s="443"/>
      <c r="AH421" s="443"/>
      <c r="AI421" s="443"/>
      <c r="AJ421" s="443"/>
      <c r="AK421" s="443"/>
      <c r="AL421" s="444"/>
      <c r="AM421" s="444"/>
      <c r="AN421" s="444"/>
      <c r="AO421" s="444"/>
      <c r="AP421" s="444"/>
      <c r="AQ421" s="444"/>
      <c r="AR421" s="444"/>
      <c r="AS421" s="445"/>
    </row>
    <row r="422" spans="31:45">
      <c r="AE422" s="442"/>
      <c r="AF422" s="443"/>
      <c r="AG422" s="443"/>
      <c r="AH422" s="443"/>
      <c r="AI422" s="443"/>
      <c r="AJ422" s="443"/>
      <c r="AK422" s="443"/>
      <c r="AL422" s="444"/>
      <c r="AM422" s="444"/>
      <c r="AN422" s="444"/>
      <c r="AO422" s="444"/>
      <c r="AP422" s="444"/>
      <c r="AQ422" s="444"/>
      <c r="AR422" s="444"/>
      <c r="AS422" s="445"/>
    </row>
    <row r="423" spans="31:45">
      <c r="AE423" s="442"/>
      <c r="AF423" s="443"/>
      <c r="AG423" s="443"/>
      <c r="AH423" s="443"/>
      <c r="AI423" s="443"/>
      <c r="AJ423" s="443"/>
      <c r="AK423" s="443"/>
      <c r="AL423" s="444"/>
      <c r="AM423" s="444"/>
      <c r="AN423" s="444"/>
      <c r="AO423" s="444"/>
      <c r="AP423" s="444"/>
      <c r="AQ423" s="444"/>
      <c r="AR423" s="444"/>
      <c r="AS423" s="445"/>
    </row>
    <row r="424" spans="31:45">
      <c r="AE424" s="442"/>
      <c r="AF424" s="443"/>
      <c r="AG424" s="443"/>
      <c r="AH424" s="443"/>
      <c r="AI424" s="443"/>
      <c r="AJ424" s="443"/>
      <c r="AK424" s="443"/>
      <c r="AL424" s="444"/>
      <c r="AM424" s="444"/>
      <c r="AN424" s="444"/>
      <c r="AO424" s="444"/>
      <c r="AP424" s="444"/>
      <c r="AQ424" s="444"/>
      <c r="AR424" s="444"/>
      <c r="AS424" s="445"/>
    </row>
    <row r="425" spans="31:45">
      <c r="AE425" s="442"/>
      <c r="AF425" s="443"/>
      <c r="AG425" s="443"/>
      <c r="AH425" s="443"/>
      <c r="AI425" s="443"/>
      <c r="AJ425" s="443"/>
      <c r="AK425" s="443"/>
      <c r="AL425" s="444"/>
      <c r="AM425" s="444"/>
      <c r="AN425" s="444"/>
      <c r="AO425" s="444"/>
      <c r="AP425" s="444"/>
      <c r="AQ425" s="444"/>
      <c r="AR425" s="444"/>
      <c r="AS425" s="445"/>
    </row>
    <row r="426" spans="31:45">
      <c r="AE426" s="442"/>
      <c r="AF426" s="443"/>
      <c r="AG426" s="443"/>
      <c r="AH426" s="443"/>
      <c r="AI426" s="443"/>
      <c r="AJ426" s="443"/>
      <c r="AK426" s="443"/>
      <c r="AL426" s="444"/>
      <c r="AM426" s="444"/>
      <c r="AN426" s="444"/>
      <c r="AO426" s="444"/>
      <c r="AP426" s="444"/>
      <c r="AQ426" s="444"/>
      <c r="AR426" s="444"/>
      <c r="AS426" s="445"/>
    </row>
    <row r="427" spans="31:45">
      <c r="AE427" s="442"/>
      <c r="AF427" s="443"/>
      <c r="AG427" s="443"/>
      <c r="AH427" s="443"/>
      <c r="AI427" s="443"/>
      <c r="AJ427" s="443"/>
      <c r="AK427" s="443"/>
      <c r="AL427" s="444"/>
      <c r="AM427" s="444"/>
      <c r="AN427" s="444"/>
      <c r="AO427" s="444"/>
      <c r="AP427" s="444"/>
      <c r="AQ427" s="444"/>
      <c r="AR427" s="444"/>
      <c r="AS427" s="445"/>
    </row>
    <row r="428" spans="31:45">
      <c r="AE428" s="442"/>
      <c r="AF428" s="443"/>
      <c r="AG428" s="443"/>
      <c r="AH428" s="443"/>
      <c r="AI428" s="443"/>
      <c r="AJ428" s="443"/>
      <c r="AK428" s="443"/>
      <c r="AL428" s="444"/>
      <c r="AM428" s="444"/>
      <c r="AN428" s="444"/>
      <c r="AO428" s="444"/>
      <c r="AP428" s="444"/>
      <c r="AQ428" s="444"/>
      <c r="AR428" s="444"/>
      <c r="AS428" s="445"/>
    </row>
    <row r="429" spans="31:45">
      <c r="AE429" s="442"/>
      <c r="AF429" s="443"/>
      <c r="AG429" s="443"/>
      <c r="AH429" s="443"/>
      <c r="AI429" s="443"/>
      <c r="AJ429" s="443"/>
      <c r="AK429" s="443"/>
      <c r="AL429" s="444"/>
      <c r="AM429" s="444"/>
      <c r="AN429" s="444"/>
      <c r="AO429" s="444"/>
      <c r="AP429" s="444"/>
      <c r="AQ429" s="444"/>
      <c r="AR429" s="444"/>
      <c r="AS429" s="445"/>
    </row>
    <row r="430" spans="31:45">
      <c r="AE430" s="442"/>
      <c r="AF430" s="443"/>
      <c r="AG430" s="443"/>
      <c r="AH430" s="443"/>
      <c r="AI430" s="443"/>
      <c r="AJ430" s="443"/>
      <c r="AK430" s="443"/>
      <c r="AL430" s="444"/>
      <c r="AM430" s="444"/>
      <c r="AN430" s="444"/>
      <c r="AO430" s="444"/>
      <c r="AP430" s="444"/>
      <c r="AQ430" s="444"/>
      <c r="AR430" s="444"/>
      <c r="AS430" s="445"/>
    </row>
    <row r="431" spans="31:45">
      <c r="AE431" s="442"/>
      <c r="AF431" s="443"/>
      <c r="AG431" s="443"/>
      <c r="AH431" s="443"/>
      <c r="AI431" s="443"/>
      <c r="AJ431" s="443"/>
      <c r="AK431" s="443"/>
      <c r="AL431" s="444"/>
      <c r="AM431" s="444"/>
      <c r="AN431" s="444"/>
      <c r="AO431" s="444"/>
      <c r="AP431" s="444"/>
      <c r="AQ431" s="444"/>
      <c r="AR431" s="444"/>
      <c r="AS431" s="445"/>
    </row>
    <row r="432" spans="31:45">
      <c r="AE432" s="442"/>
      <c r="AF432" s="443"/>
      <c r="AG432" s="443"/>
      <c r="AH432" s="443"/>
      <c r="AI432" s="443"/>
      <c r="AJ432" s="443"/>
      <c r="AK432" s="443"/>
      <c r="AL432" s="444"/>
      <c r="AM432" s="444"/>
      <c r="AN432" s="444"/>
      <c r="AO432" s="444"/>
      <c r="AP432" s="444"/>
      <c r="AQ432" s="444"/>
      <c r="AR432" s="444"/>
      <c r="AS432" s="445"/>
    </row>
    <row r="433" spans="31:45">
      <c r="AE433" s="442"/>
      <c r="AF433" s="443"/>
      <c r="AG433" s="443"/>
      <c r="AH433" s="443"/>
      <c r="AI433" s="443"/>
      <c r="AJ433" s="443"/>
      <c r="AK433" s="443"/>
      <c r="AL433" s="444"/>
      <c r="AM433" s="444"/>
      <c r="AN433" s="444"/>
      <c r="AO433" s="444"/>
      <c r="AP433" s="444"/>
      <c r="AQ433" s="444"/>
      <c r="AR433" s="444"/>
      <c r="AS433" s="445"/>
    </row>
    <row r="434" spans="31:45">
      <c r="AE434" s="442"/>
      <c r="AF434" s="443"/>
      <c r="AG434" s="443"/>
      <c r="AH434" s="443"/>
      <c r="AI434" s="443"/>
      <c r="AJ434" s="443"/>
      <c r="AK434" s="443"/>
      <c r="AL434" s="444"/>
      <c r="AM434" s="444"/>
      <c r="AN434" s="444"/>
      <c r="AO434" s="444"/>
      <c r="AP434" s="444"/>
      <c r="AQ434" s="444"/>
      <c r="AR434" s="444"/>
      <c r="AS434" s="445"/>
    </row>
    <row r="435" spans="31:45">
      <c r="AE435" s="442"/>
      <c r="AF435" s="443"/>
      <c r="AG435" s="443"/>
      <c r="AH435" s="443"/>
      <c r="AI435" s="443"/>
      <c r="AJ435" s="443"/>
      <c r="AK435" s="443"/>
      <c r="AL435" s="444"/>
      <c r="AM435" s="444"/>
      <c r="AN435" s="444"/>
      <c r="AO435" s="444"/>
      <c r="AP435" s="444"/>
      <c r="AQ435" s="444"/>
      <c r="AR435" s="444"/>
      <c r="AS435" s="445"/>
    </row>
    <row r="436" spans="31:45">
      <c r="AE436" s="442"/>
      <c r="AF436" s="443"/>
      <c r="AG436" s="443"/>
      <c r="AH436" s="443"/>
      <c r="AI436" s="443"/>
      <c r="AJ436" s="443"/>
      <c r="AK436" s="443"/>
      <c r="AL436" s="444"/>
      <c r="AM436" s="444"/>
      <c r="AN436" s="444"/>
      <c r="AO436" s="444"/>
      <c r="AP436" s="444"/>
      <c r="AQ436" s="444"/>
      <c r="AR436" s="444"/>
      <c r="AS436" s="445"/>
    </row>
    <row r="437" spans="31:45">
      <c r="AE437" s="442"/>
      <c r="AF437" s="443"/>
      <c r="AG437" s="443"/>
      <c r="AH437" s="443"/>
      <c r="AI437" s="443"/>
      <c r="AJ437" s="443"/>
      <c r="AK437" s="443"/>
      <c r="AL437" s="444"/>
      <c r="AM437" s="444"/>
      <c r="AN437" s="444"/>
      <c r="AO437" s="444"/>
      <c r="AP437" s="444"/>
      <c r="AQ437" s="444"/>
      <c r="AR437" s="444"/>
      <c r="AS437" s="445"/>
    </row>
    <row r="438" spans="31:45">
      <c r="AE438" s="442"/>
      <c r="AF438" s="443"/>
      <c r="AG438" s="443"/>
      <c r="AH438" s="443"/>
      <c r="AI438" s="443"/>
      <c r="AJ438" s="443"/>
      <c r="AK438" s="443"/>
      <c r="AL438" s="444"/>
      <c r="AM438" s="444"/>
      <c r="AN438" s="444"/>
      <c r="AO438" s="444"/>
      <c r="AP438" s="444"/>
      <c r="AQ438" s="444"/>
      <c r="AR438" s="444"/>
      <c r="AS438" s="445"/>
    </row>
    <row r="439" spans="31:45">
      <c r="AE439" s="442"/>
      <c r="AF439" s="443"/>
      <c r="AG439" s="443"/>
      <c r="AH439" s="443"/>
      <c r="AI439" s="443"/>
      <c r="AJ439" s="443"/>
      <c r="AK439" s="443"/>
      <c r="AL439" s="444"/>
      <c r="AM439" s="444"/>
      <c r="AN439" s="444"/>
      <c r="AO439" s="444"/>
      <c r="AP439" s="444"/>
      <c r="AQ439" s="444"/>
      <c r="AR439" s="444"/>
      <c r="AS439" s="445"/>
    </row>
    <row r="440" spans="31:45">
      <c r="AE440" s="442"/>
      <c r="AF440" s="443"/>
      <c r="AG440" s="443"/>
      <c r="AH440" s="443"/>
      <c r="AI440" s="443"/>
      <c r="AJ440" s="443"/>
      <c r="AK440" s="443"/>
      <c r="AL440" s="444"/>
      <c r="AM440" s="444"/>
      <c r="AN440" s="444"/>
      <c r="AO440" s="444"/>
      <c r="AP440" s="444"/>
      <c r="AQ440" s="444"/>
      <c r="AR440" s="444"/>
      <c r="AS440" s="445"/>
    </row>
    <row r="441" spans="31:45">
      <c r="AE441" s="442"/>
      <c r="AF441" s="443"/>
      <c r="AG441" s="443"/>
      <c r="AH441" s="443"/>
      <c r="AI441" s="443"/>
      <c r="AJ441" s="443"/>
      <c r="AK441" s="443"/>
      <c r="AL441" s="444"/>
      <c r="AM441" s="444"/>
      <c r="AN441" s="444"/>
      <c r="AO441" s="444"/>
      <c r="AP441" s="444"/>
      <c r="AQ441" s="444"/>
      <c r="AR441" s="444"/>
      <c r="AS441" s="445"/>
    </row>
    <row r="442" spans="31:45">
      <c r="AE442" s="442"/>
      <c r="AF442" s="443"/>
      <c r="AG442" s="443"/>
      <c r="AH442" s="443"/>
      <c r="AI442" s="443"/>
      <c r="AJ442" s="443"/>
      <c r="AK442" s="443"/>
      <c r="AL442" s="444"/>
      <c r="AM442" s="444"/>
      <c r="AN442" s="444"/>
      <c r="AO442" s="444"/>
      <c r="AP442" s="444"/>
      <c r="AQ442" s="444"/>
      <c r="AR442" s="444"/>
      <c r="AS442" s="445"/>
    </row>
    <row r="443" spans="31:45">
      <c r="AE443" s="442"/>
      <c r="AF443" s="443"/>
      <c r="AG443" s="443"/>
      <c r="AH443" s="443"/>
      <c r="AI443" s="443"/>
      <c r="AJ443" s="443"/>
      <c r="AK443" s="443"/>
      <c r="AL443" s="444"/>
      <c r="AM443" s="444"/>
      <c r="AN443" s="444"/>
      <c r="AO443" s="444"/>
      <c r="AP443" s="444"/>
      <c r="AQ443" s="444"/>
      <c r="AR443" s="444"/>
      <c r="AS443" s="445"/>
    </row>
    <row r="444" spans="31:45">
      <c r="AE444" s="442"/>
      <c r="AF444" s="443"/>
      <c r="AG444" s="443"/>
      <c r="AH444" s="443"/>
      <c r="AI444" s="443"/>
      <c r="AJ444" s="443"/>
      <c r="AK444" s="443"/>
      <c r="AL444" s="444"/>
      <c r="AM444" s="444"/>
      <c r="AN444" s="444"/>
      <c r="AO444" s="444"/>
      <c r="AP444" s="444"/>
      <c r="AQ444" s="444"/>
      <c r="AR444" s="444"/>
      <c r="AS444" s="445"/>
    </row>
    <row r="445" spans="31:45">
      <c r="AE445" s="442"/>
      <c r="AF445" s="443"/>
      <c r="AG445" s="443"/>
      <c r="AH445" s="443"/>
      <c r="AI445" s="443"/>
      <c r="AJ445" s="443"/>
      <c r="AK445" s="443"/>
      <c r="AL445" s="444"/>
      <c r="AM445" s="444"/>
      <c r="AN445" s="444"/>
      <c r="AO445" s="444"/>
      <c r="AP445" s="444"/>
      <c r="AQ445" s="444"/>
      <c r="AR445" s="444"/>
      <c r="AS445" s="445"/>
    </row>
    <row r="446" spans="31:45">
      <c r="AE446" s="442"/>
      <c r="AF446" s="443"/>
      <c r="AG446" s="443"/>
      <c r="AH446" s="443"/>
      <c r="AI446" s="443"/>
      <c r="AJ446" s="443"/>
      <c r="AK446" s="443"/>
      <c r="AL446" s="444"/>
      <c r="AM446" s="444"/>
      <c r="AN446" s="444"/>
      <c r="AO446" s="444"/>
      <c r="AP446" s="444"/>
      <c r="AQ446" s="444"/>
      <c r="AR446" s="444"/>
      <c r="AS446" s="445"/>
    </row>
    <row r="447" spans="31:45">
      <c r="AE447" s="442"/>
      <c r="AF447" s="443"/>
      <c r="AG447" s="443"/>
      <c r="AH447" s="443"/>
      <c r="AI447" s="443"/>
      <c r="AJ447" s="443"/>
      <c r="AK447" s="443"/>
      <c r="AL447" s="444"/>
      <c r="AM447" s="444"/>
      <c r="AN447" s="444"/>
      <c r="AO447" s="444"/>
      <c r="AP447" s="444"/>
      <c r="AQ447" s="444"/>
      <c r="AR447" s="444"/>
      <c r="AS447" s="445"/>
    </row>
    <row r="448" spans="31:45">
      <c r="AE448" s="442"/>
      <c r="AF448" s="443"/>
      <c r="AG448" s="443"/>
      <c r="AH448" s="443"/>
      <c r="AI448" s="443"/>
      <c r="AJ448" s="443"/>
      <c r="AK448" s="443"/>
      <c r="AL448" s="444"/>
      <c r="AM448" s="444"/>
      <c r="AN448" s="444"/>
      <c r="AO448" s="444"/>
      <c r="AP448" s="444"/>
      <c r="AQ448" s="444"/>
      <c r="AR448" s="444"/>
      <c r="AS448" s="445"/>
    </row>
    <row r="449" spans="31:45">
      <c r="AE449" s="442"/>
      <c r="AF449" s="443"/>
      <c r="AG449" s="443"/>
      <c r="AH449" s="443"/>
      <c r="AI449" s="443"/>
      <c r="AJ449" s="443"/>
      <c r="AK449" s="443"/>
      <c r="AL449" s="444"/>
      <c r="AM449" s="444"/>
      <c r="AN449" s="444"/>
      <c r="AO449" s="444"/>
      <c r="AP449" s="444"/>
      <c r="AQ449" s="444"/>
      <c r="AR449" s="444"/>
      <c r="AS449" s="445"/>
    </row>
    <row r="450" spans="31:45">
      <c r="AE450" s="442"/>
      <c r="AF450" s="443"/>
      <c r="AG450" s="443"/>
      <c r="AH450" s="443"/>
      <c r="AI450" s="443"/>
      <c r="AJ450" s="443"/>
      <c r="AK450" s="443"/>
      <c r="AL450" s="444"/>
      <c r="AM450" s="444"/>
      <c r="AN450" s="444"/>
      <c r="AO450" s="444"/>
      <c r="AP450" s="444"/>
      <c r="AQ450" s="444"/>
      <c r="AR450" s="444"/>
      <c r="AS450" s="445"/>
    </row>
    <row r="451" spans="31:45">
      <c r="AE451" s="442"/>
      <c r="AF451" s="443"/>
      <c r="AG451" s="443"/>
      <c r="AH451" s="443"/>
      <c r="AI451" s="443"/>
      <c r="AJ451" s="443"/>
      <c r="AK451" s="443"/>
      <c r="AL451" s="444"/>
      <c r="AM451" s="444"/>
      <c r="AN451" s="444"/>
      <c r="AO451" s="444"/>
      <c r="AP451" s="444"/>
      <c r="AQ451" s="444"/>
      <c r="AR451" s="444"/>
      <c r="AS451" s="445"/>
    </row>
    <row r="452" spans="31:45">
      <c r="AE452" s="442"/>
      <c r="AF452" s="443"/>
      <c r="AG452" s="443"/>
      <c r="AH452" s="443"/>
      <c r="AI452" s="443"/>
      <c r="AJ452" s="443"/>
      <c r="AK452" s="443"/>
      <c r="AL452" s="444"/>
      <c r="AM452" s="444"/>
      <c r="AN452" s="444"/>
      <c r="AO452" s="444"/>
      <c r="AP452" s="444"/>
      <c r="AQ452" s="444"/>
      <c r="AR452" s="444"/>
      <c r="AS452" s="445"/>
    </row>
    <row r="453" spans="31:45">
      <c r="AE453" s="442"/>
      <c r="AF453" s="443"/>
      <c r="AG453" s="443"/>
      <c r="AH453" s="443"/>
      <c r="AI453" s="443"/>
      <c r="AJ453" s="443"/>
      <c r="AK453" s="443"/>
      <c r="AL453" s="444"/>
      <c r="AM453" s="444"/>
      <c r="AN453" s="444"/>
      <c r="AO453" s="444"/>
      <c r="AP453" s="444"/>
      <c r="AQ453" s="444"/>
      <c r="AR453" s="444"/>
      <c r="AS453" s="445"/>
    </row>
    <row r="454" spans="31:45">
      <c r="AE454" s="442"/>
      <c r="AF454" s="443"/>
      <c r="AG454" s="443"/>
      <c r="AH454" s="443"/>
      <c r="AI454" s="443"/>
      <c r="AJ454" s="443"/>
      <c r="AK454" s="443"/>
      <c r="AL454" s="444"/>
      <c r="AM454" s="444"/>
      <c r="AN454" s="444"/>
      <c r="AO454" s="444"/>
      <c r="AP454" s="444"/>
      <c r="AQ454" s="444"/>
      <c r="AR454" s="444"/>
      <c r="AS454" s="445"/>
    </row>
    <row r="455" spans="31:45">
      <c r="AE455" s="442"/>
      <c r="AF455" s="443"/>
      <c r="AG455" s="443"/>
      <c r="AH455" s="443"/>
      <c r="AI455" s="443"/>
      <c r="AJ455" s="443"/>
      <c r="AK455" s="443"/>
      <c r="AL455" s="444"/>
      <c r="AM455" s="444"/>
      <c r="AN455" s="444"/>
      <c r="AO455" s="444"/>
      <c r="AP455" s="444"/>
      <c r="AQ455" s="444"/>
      <c r="AR455" s="444"/>
      <c r="AS455" s="445"/>
    </row>
    <row r="456" spans="31:45">
      <c r="AE456" s="442"/>
      <c r="AF456" s="443"/>
      <c r="AG456" s="443"/>
      <c r="AH456" s="443"/>
      <c r="AI456" s="443"/>
      <c r="AJ456" s="443"/>
      <c r="AK456" s="443"/>
      <c r="AL456" s="444"/>
      <c r="AM456" s="444"/>
      <c r="AN456" s="444"/>
      <c r="AO456" s="444"/>
      <c r="AP456" s="444"/>
      <c r="AQ456" s="444"/>
      <c r="AR456" s="444"/>
      <c r="AS456" s="445"/>
    </row>
    <row r="457" spans="31:45">
      <c r="AE457" s="442"/>
      <c r="AF457" s="443"/>
      <c r="AG457" s="443"/>
      <c r="AH457" s="443"/>
      <c r="AI457" s="443"/>
      <c r="AJ457" s="443"/>
      <c r="AK457" s="443"/>
      <c r="AL457" s="444"/>
      <c r="AM457" s="444"/>
      <c r="AN457" s="444"/>
      <c r="AO457" s="444"/>
      <c r="AP457" s="444"/>
      <c r="AQ457" s="444"/>
      <c r="AR457" s="444"/>
      <c r="AS457" s="445"/>
    </row>
    <row r="458" spans="31:45">
      <c r="AE458" s="442"/>
      <c r="AF458" s="443"/>
      <c r="AG458" s="443"/>
      <c r="AH458" s="443"/>
      <c r="AI458" s="443"/>
      <c r="AJ458" s="443"/>
      <c r="AK458" s="443"/>
      <c r="AL458" s="444"/>
      <c r="AM458" s="444"/>
      <c r="AN458" s="444"/>
      <c r="AO458" s="444"/>
      <c r="AP458" s="444"/>
      <c r="AQ458" s="444"/>
      <c r="AR458" s="444"/>
      <c r="AS458" s="445"/>
    </row>
    <row r="459" spans="31:45">
      <c r="AE459" s="442"/>
      <c r="AF459" s="443"/>
      <c r="AG459" s="443"/>
      <c r="AH459" s="443"/>
      <c r="AI459" s="443"/>
      <c r="AJ459" s="443"/>
      <c r="AK459" s="443"/>
      <c r="AL459" s="444"/>
      <c r="AM459" s="444"/>
      <c r="AN459" s="444"/>
      <c r="AO459" s="444"/>
      <c r="AP459" s="444"/>
      <c r="AQ459" s="444"/>
      <c r="AR459" s="444"/>
      <c r="AS459" s="445"/>
    </row>
    <row r="460" spans="31:45">
      <c r="AE460" s="442"/>
      <c r="AF460" s="443"/>
      <c r="AG460" s="443"/>
      <c r="AH460" s="443"/>
      <c r="AI460" s="443"/>
      <c r="AJ460" s="443"/>
      <c r="AK460" s="443"/>
      <c r="AL460" s="444"/>
      <c r="AM460" s="444"/>
      <c r="AN460" s="444"/>
      <c r="AO460" s="444"/>
      <c r="AP460" s="444"/>
      <c r="AQ460" s="444"/>
      <c r="AR460" s="444"/>
      <c r="AS460" s="445"/>
    </row>
    <row r="461" spans="31:45">
      <c r="AE461" s="442"/>
      <c r="AF461" s="443"/>
      <c r="AG461" s="443"/>
      <c r="AH461" s="443"/>
      <c r="AI461" s="443"/>
      <c r="AJ461" s="443"/>
      <c r="AK461" s="443"/>
      <c r="AL461" s="444"/>
      <c r="AM461" s="444"/>
      <c r="AN461" s="444"/>
      <c r="AO461" s="444"/>
      <c r="AP461" s="444"/>
      <c r="AQ461" s="444"/>
      <c r="AR461" s="444"/>
      <c r="AS461" s="445"/>
    </row>
    <row r="462" spans="31:45">
      <c r="AE462" s="442"/>
      <c r="AF462" s="443"/>
      <c r="AG462" s="443"/>
      <c r="AH462" s="443"/>
      <c r="AI462" s="443"/>
      <c r="AJ462" s="443"/>
      <c r="AK462" s="443"/>
      <c r="AL462" s="444"/>
      <c r="AM462" s="444"/>
      <c r="AN462" s="444"/>
      <c r="AO462" s="444"/>
      <c r="AP462" s="444"/>
      <c r="AQ462" s="444"/>
      <c r="AR462" s="444"/>
      <c r="AS462" s="445"/>
    </row>
    <row r="463" spans="31:45">
      <c r="AE463" s="442"/>
      <c r="AF463" s="443"/>
      <c r="AG463" s="443"/>
      <c r="AH463" s="443"/>
      <c r="AI463" s="443"/>
      <c r="AJ463" s="443"/>
      <c r="AK463" s="443"/>
      <c r="AL463" s="444"/>
      <c r="AM463" s="444"/>
      <c r="AN463" s="444"/>
      <c r="AO463" s="444"/>
      <c r="AP463" s="444"/>
      <c r="AQ463" s="444"/>
      <c r="AR463" s="444"/>
      <c r="AS463" s="445"/>
    </row>
    <row r="464" spans="31:45">
      <c r="AE464" s="442"/>
      <c r="AF464" s="443"/>
      <c r="AG464" s="443"/>
      <c r="AH464" s="443"/>
      <c r="AI464" s="443"/>
      <c r="AJ464" s="443"/>
      <c r="AK464" s="443"/>
      <c r="AL464" s="444"/>
      <c r="AM464" s="444"/>
      <c r="AN464" s="444"/>
      <c r="AO464" s="444"/>
      <c r="AP464" s="444"/>
      <c r="AQ464" s="444"/>
      <c r="AR464" s="444"/>
      <c r="AS464" s="445"/>
    </row>
    <row r="465" spans="31:45">
      <c r="AE465" s="442"/>
      <c r="AF465" s="443"/>
      <c r="AG465" s="443"/>
      <c r="AH465" s="443"/>
      <c r="AI465" s="443"/>
      <c r="AJ465" s="443"/>
      <c r="AK465" s="443"/>
      <c r="AL465" s="444"/>
      <c r="AM465" s="444"/>
      <c r="AN465" s="444"/>
      <c r="AO465" s="444"/>
      <c r="AP465" s="444"/>
      <c r="AQ465" s="444"/>
      <c r="AR465" s="444"/>
      <c r="AS465" s="445"/>
    </row>
    <row r="466" spans="31:45">
      <c r="AE466" s="442"/>
      <c r="AF466" s="443"/>
      <c r="AG466" s="443"/>
      <c r="AH466" s="443"/>
      <c r="AI466" s="443"/>
      <c r="AJ466" s="443"/>
      <c r="AK466" s="443"/>
      <c r="AL466" s="444"/>
      <c r="AM466" s="444"/>
      <c r="AN466" s="444"/>
      <c r="AO466" s="444"/>
      <c r="AP466" s="444"/>
      <c r="AQ466" s="444"/>
      <c r="AR466" s="444"/>
      <c r="AS466" s="445"/>
    </row>
    <row r="467" spans="31:45">
      <c r="AE467" s="442"/>
      <c r="AF467" s="443"/>
      <c r="AG467" s="443"/>
      <c r="AH467" s="443"/>
      <c r="AI467" s="443"/>
      <c r="AJ467" s="443"/>
      <c r="AK467" s="443"/>
      <c r="AL467" s="444"/>
      <c r="AM467" s="444"/>
      <c r="AN467" s="444"/>
      <c r="AO467" s="444"/>
      <c r="AP467" s="444"/>
      <c r="AQ467" s="444"/>
      <c r="AR467" s="444"/>
      <c r="AS467" s="445"/>
    </row>
    <row r="468" spans="31:45">
      <c r="AE468" s="442"/>
      <c r="AF468" s="443"/>
      <c r="AG468" s="443"/>
      <c r="AH468" s="443"/>
      <c r="AI468" s="443"/>
      <c r="AJ468" s="443"/>
      <c r="AK468" s="443"/>
      <c r="AL468" s="444"/>
      <c r="AM468" s="444"/>
      <c r="AN468" s="444"/>
      <c r="AO468" s="444"/>
      <c r="AP468" s="444"/>
      <c r="AQ468" s="444"/>
      <c r="AR468" s="444"/>
      <c r="AS468" s="445"/>
    </row>
    <row r="469" spans="31:45">
      <c r="AE469" s="442"/>
      <c r="AF469" s="443"/>
      <c r="AG469" s="443"/>
      <c r="AH469" s="443"/>
      <c r="AI469" s="443"/>
      <c r="AJ469" s="443"/>
      <c r="AK469" s="443"/>
      <c r="AL469" s="444"/>
      <c r="AM469" s="444"/>
      <c r="AN469" s="444"/>
      <c r="AO469" s="444"/>
      <c r="AP469" s="444"/>
      <c r="AQ469" s="444"/>
      <c r="AR469" s="444"/>
      <c r="AS469" s="445"/>
    </row>
    <row r="470" spans="31:45">
      <c r="AE470" s="442"/>
      <c r="AF470" s="443"/>
      <c r="AG470" s="443"/>
      <c r="AH470" s="443"/>
      <c r="AI470" s="443"/>
      <c r="AJ470" s="443"/>
      <c r="AK470" s="443"/>
      <c r="AL470" s="444"/>
      <c r="AM470" s="444"/>
      <c r="AN470" s="444"/>
      <c r="AO470" s="444"/>
      <c r="AP470" s="444"/>
      <c r="AQ470" s="444"/>
      <c r="AR470" s="444"/>
      <c r="AS470" s="445"/>
    </row>
    <row r="471" spans="31:45">
      <c r="AE471" s="442"/>
      <c r="AF471" s="443"/>
      <c r="AG471" s="443"/>
      <c r="AH471" s="443"/>
      <c r="AI471" s="443"/>
      <c r="AJ471" s="443"/>
      <c r="AK471" s="443"/>
      <c r="AL471" s="444"/>
      <c r="AM471" s="444"/>
      <c r="AN471" s="444"/>
      <c r="AO471" s="444"/>
      <c r="AP471" s="444"/>
      <c r="AQ471" s="444"/>
      <c r="AR471" s="444"/>
      <c r="AS471" s="445"/>
    </row>
    <row r="472" spans="31:45">
      <c r="AE472" s="442"/>
      <c r="AF472" s="443"/>
      <c r="AG472" s="443"/>
      <c r="AH472" s="443"/>
      <c r="AI472" s="443"/>
      <c r="AJ472" s="443"/>
      <c r="AK472" s="443"/>
      <c r="AL472" s="444"/>
      <c r="AM472" s="444"/>
      <c r="AN472" s="444"/>
      <c r="AO472" s="444"/>
      <c r="AP472" s="444"/>
      <c r="AQ472" s="444"/>
      <c r="AR472" s="444"/>
      <c r="AS472" s="445"/>
    </row>
    <row r="473" spans="31:45">
      <c r="AE473" s="442"/>
      <c r="AF473" s="443"/>
      <c r="AG473" s="443"/>
      <c r="AH473" s="443"/>
      <c r="AI473" s="443"/>
      <c r="AJ473" s="443"/>
      <c r="AK473" s="443"/>
      <c r="AL473" s="444"/>
      <c r="AM473" s="444"/>
      <c r="AN473" s="444"/>
      <c r="AO473" s="444"/>
      <c r="AP473" s="444"/>
      <c r="AQ473" s="444"/>
      <c r="AR473" s="444"/>
      <c r="AS473" s="445"/>
    </row>
    <row r="474" spans="31:45">
      <c r="AE474" s="442"/>
      <c r="AF474" s="443"/>
      <c r="AG474" s="443"/>
      <c r="AH474" s="443"/>
      <c r="AI474" s="443"/>
      <c r="AJ474" s="443"/>
      <c r="AK474" s="443"/>
      <c r="AL474" s="444"/>
      <c r="AM474" s="444"/>
      <c r="AN474" s="444"/>
      <c r="AO474" s="444"/>
      <c r="AP474" s="444"/>
      <c r="AQ474" s="444"/>
      <c r="AR474" s="444"/>
      <c r="AS474" s="445"/>
    </row>
    <row r="475" spans="31:45">
      <c r="AE475" s="442"/>
      <c r="AF475" s="443"/>
      <c r="AG475" s="443"/>
      <c r="AH475" s="443"/>
      <c r="AI475" s="443"/>
      <c r="AJ475" s="443"/>
      <c r="AK475" s="443"/>
      <c r="AL475" s="444"/>
      <c r="AM475" s="444"/>
      <c r="AN475" s="444"/>
      <c r="AO475" s="444"/>
      <c r="AP475" s="444"/>
      <c r="AQ475" s="444"/>
      <c r="AR475" s="444"/>
      <c r="AS475" s="445"/>
    </row>
    <row r="476" spans="31:45">
      <c r="AE476" s="442"/>
      <c r="AF476" s="443"/>
      <c r="AG476" s="443"/>
      <c r="AH476" s="443"/>
      <c r="AI476" s="443"/>
      <c r="AJ476" s="443"/>
      <c r="AK476" s="443"/>
      <c r="AL476" s="444"/>
      <c r="AM476" s="444"/>
      <c r="AN476" s="444"/>
      <c r="AO476" s="444"/>
      <c r="AP476" s="444"/>
      <c r="AQ476" s="444"/>
      <c r="AR476" s="444"/>
      <c r="AS476" s="445"/>
    </row>
    <row r="477" spans="31:45">
      <c r="AE477" s="442"/>
      <c r="AF477" s="443"/>
      <c r="AG477" s="443"/>
      <c r="AH477" s="443"/>
      <c r="AI477" s="443"/>
      <c r="AJ477" s="443"/>
      <c r="AK477" s="443"/>
      <c r="AL477" s="444"/>
      <c r="AM477" s="444"/>
      <c r="AN477" s="444"/>
      <c r="AO477" s="444"/>
      <c r="AP477" s="444"/>
      <c r="AQ477" s="444"/>
      <c r="AR477" s="444"/>
      <c r="AS477" s="445"/>
    </row>
    <row r="478" spans="31:45">
      <c r="AE478" s="442"/>
      <c r="AF478" s="443"/>
      <c r="AG478" s="443"/>
      <c r="AH478" s="443"/>
      <c r="AI478" s="443"/>
      <c r="AJ478" s="443"/>
      <c r="AK478" s="443"/>
      <c r="AL478" s="444"/>
      <c r="AM478" s="444"/>
      <c r="AN478" s="444"/>
      <c r="AO478" s="444"/>
      <c r="AP478" s="444"/>
      <c r="AQ478" s="444"/>
      <c r="AR478" s="444"/>
      <c r="AS478" s="445"/>
    </row>
    <row r="479" spans="31:45">
      <c r="AE479" s="442"/>
      <c r="AF479" s="443"/>
      <c r="AG479" s="443"/>
      <c r="AH479" s="443"/>
      <c r="AI479" s="443"/>
      <c r="AJ479" s="443"/>
      <c r="AK479" s="443"/>
      <c r="AL479" s="444"/>
      <c r="AM479" s="444"/>
      <c r="AN479" s="444"/>
      <c r="AO479" s="444"/>
      <c r="AP479" s="444"/>
      <c r="AQ479" s="444"/>
      <c r="AR479" s="444"/>
      <c r="AS479" s="445"/>
    </row>
    <row r="480" spans="31:45">
      <c r="AE480" s="442"/>
      <c r="AF480" s="443"/>
      <c r="AG480" s="443"/>
      <c r="AH480" s="443"/>
      <c r="AI480" s="443"/>
      <c r="AJ480" s="443"/>
      <c r="AK480" s="443"/>
      <c r="AL480" s="444"/>
      <c r="AM480" s="444"/>
      <c r="AN480" s="444"/>
      <c r="AO480" s="444"/>
      <c r="AP480" s="444"/>
      <c r="AQ480" s="444"/>
      <c r="AR480" s="444"/>
      <c r="AS480" s="445"/>
    </row>
    <row r="481" spans="31:45">
      <c r="AE481" s="442"/>
      <c r="AF481" s="443"/>
      <c r="AG481" s="443"/>
      <c r="AH481" s="443"/>
      <c r="AI481" s="443"/>
      <c r="AJ481" s="443"/>
      <c r="AK481" s="443"/>
      <c r="AL481" s="444"/>
      <c r="AM481" s="444"/>
      <c r="AN481" s="444"/>
      <c r="AO481" s="444"/>
      <c r="AP481" s="444"/>
      <c r="AQ481" s="444"/>
      <c r="AR481" s="444"/>
      <c r="AS481" s="445"/>
    </row>
    <row r="482" spans="31:45">
      <c r="AE482" s="442"/>
      <c r="AF482" s="443"/>
      <c r="AG482" s="443"/>
      <c r="AH482" s="443"/>
      <c r="AI482" s="443"/>
      <c r="AJ482" s="443"/>
      <c r="AK482" s="443"/>
      <c r="AL482" s="444"/>
      <c r="AM482" s="444"/>
      <c r="AN482" s="444"/>
      <c r="AO482" s="444"/>
      <c r="AP482" s="444"/>
      <c r="AQ482" s="444"/>
      <c r="AR482" s="444"/>
      <c r="AS482" s="445"/>
    </row>
    <row r="483" spans="31:45">
      <c r="AE483" s="442"/>
      <c r="AF483" s="443"/>
      <c r="AG483" s="443"/>
      <c r="AH483" s="443"/>
      <c r="AI483" s="443"/>
      <c r="AJ483" s="443"/>
      <c r="AK483" s="443"/>
      <c r="AL483" s="444"/>
      <c r="AM483" s="444"/>
      <c r="AN483" s="444"/>
      <c r="AO483" s="444"/>
      <c r="AP483" s="444"/>
      <c r="AQ483" s="444"/>
      <c r="AR483" s="444"/>
      <c r="AS483" s="445"/>
    </row>
    <row r="484" spans="31:45">
      <c r="AE484" s="442"/>
      <c r="AF484" s="443"/>
      <c r="AG484" s="443"/>
      <c r="AH484" s="443"/>
      <c r="AI484" s="443"/>
      <c r="AJ484" s="443"/>
      <c r="AK484" s="443"/>
      <c r="AL484" s="444"/>
      <c r="AM484" s="444"/>
      <c r="AN484" s="444"/>
      <c r="AO484" s="444"/>
      <c r="AP484" s="444"/>
      <c r="AQ484" s="444"/>
      <c r="AR484" s="444"/>
      <c r="AS484" s="445"/>
    </row>
    <row r="485" spans="31:45">
      <c r="AE485" s="442"/>
      <c r="AF485" s="443"/>
      <c r="AG485" s="443"/>
      <c r="AH485" s="443"/>
      <c r="AI485" s="443"/>
      <c r="AJ485" s="443"/>
      <c r="AK485" s="443"/>
      <c r="AL485" s="444"/>
      <c r="AM485" s="444"/>
      <c r="AN485" s="444"/>
      <c r="AO485" s="444"/>
      <c r="AP485" s="444"/>
      <c r="AQ485" s="444"/>
      <c r="AR485" s="444"/>
      <c r="AS485" s="445"/>
    </row>
    <row r="486" spans="31:45">
      <c r="AE486" s="442"/>
      <c r="AF486" s="443"/>
      <c r="AG486" s="443"/>
      <c r="AH486" s="443"/>
      <c r="AI486" s="443"/>
      <c r="AJ486" s="443"/>
      <c r="AK486" s="443"/>
      <c r="AL486" s="444"/>
      <c r="AM486" s="444"/>
      <c r="AN486" s="444"/>
      <c r="AO486" s="444"/>
      <c r="AP486" s="444"/>
      <c r="AQ486" s="444"/>
      <c r="AR486" s="444"/>
      <c r="AS486" s="445"/>
    </row>
    <row r="487" spans="31:45">
      <c r="AE487" s="442"/>
      <c r="AF487" s="443"/>
      <c r="AG487" s="443"/>
      <c r="AH487" s="443"/>
      <c r="AI487" s="443"/>
      <c r="AJ487" s="443"/>
      <c r="AK487" s="443"/>
      <c r="AL487" s="444"/>
      <c r="AM487" s="444"/>
      <c r="AN487" s="444"/>
      <c r="AO487" s="444"/>
      <c r="AP487" s="444"/>
      <c r="AQ487" s="444"/>
      <c r="AR487" s="444"/>
      <c r="AS487" s="445"/>
    </row>
    <row r="488" spans="31:45">
      <c r="AE488" s="442"/>
      <c r="AF488" s="443"/>
      <c r="AG488" s="443"/>
      <c r="AH488" s="443"/>
      <c r="AI488" s="443"/>
      <c r="AJ488" s="443"/>
      <c r="AK488" s="443"/>
      <c r="AL488" s="444"/>
      <c r="AM488" s="444"/>
      <c r="AN488" s="444"/>
      <c r="AO488" s="444"/>
      <c r="AP488" s="444"/>
      <c r="AQ488" s="444"/>
      <c r="AR488" s="444"/>
      <c r="AS488" s="445"/>
    </row>
    <row r="489" spans="31:45">
      <c r="AE489" s="442"/>
      <c r="AF489" s="443"/>
      <c r="AG489" s="443"/>
      <c r="AH489" s="443"/>
      <c r="AI489" s="443"/>
      <c r="AJ489" s="443"/>
      <c r="AK489" s="443"/>
      <c r="AL489" s="444"/>
      <c r="AM489" s="444"/>
      <c r="AN489" s="444"/>
      <c r="AO489" s="444"/>
      <c r="AP489" s="444"/>
      <c r="AQ489" s="444"/>
      <c r="AR489" s="444"/>
      <c r="AS489" s="445"/>
    </row>
    <row r="490" spans="31:45">
      <c r="AE490" s="442"/>
      <c r="AF490" s="443"/>
      <c r="AG490" s="443"/>
      <c r="AH490" s="443"/>
      <c r="AI490" s="443"/>
      <c r="AJ490" s="443"/>
      <c r="AK490" s="443"/>
      <c r="AL490" s="444"/>
      <c r="AM490" s="444"/>
      <c r="AN490" s="444"/>
      <c r="AO490" s="444"/>
      <c r="AP490" s="444"/>
      <c r="AQ490" s="444"/>
      <c r="AR490" s="444"/>
      <c r="AS490" s="445"/>
    </row>
    <row r="491" spans="31:45">
      <c r="AE491" s="442"/>
      <c r="AF491" s="443"/>
      <c r="AG491" s="443"/>
      <c r="AH491" s="443"/>
      <c r="AI491" s="443"/>
      <c r="AJ491" s="443"/>
      <c r="AK491" s="443"/>
      <c r="AL491" s="444"/>
      <c r="AM491" s="444"/>
      <c r="AN491" s="444"/>
      <c r="AO491" s="444"/>
      <c r="AP491" s="444"/>
      <c r="AQ491" s="444"/>
      <c r="AR491" s="444"/>
      <c r="AS491" s="445"/>
    </row>
    <row r="492" spans="31:45">
      <c r="AE492" s="442"/>
      <c r="AF492" s="443"/>
      <c r="AG492" s="443"/>
      <c r="AH492" s="443"/>
      <c r="AI492" s="443"/>
      <c r="AJ492" s="443"/>
      <c r="AK492" s="443"/>
      <c r="AL492" s="444"/>
      <c r="AM492" s="444"/>
      <c r="AN492" s="444"/>
      <c r="AO492" s="444"/>
      <c r="AP492" s="444"/>
      <c r="AQ492" s="444"/>
      <c r="AR492" s="444"/>
      <c r="AS492" s="445"/>
    </row>
    <row r="493" spans="31:45">
      <c r="AE493" s="442"/>
      <c r="AF493" s="443"/>
      <c r="AG493" s="443"/>
      <c r="AH493" s="443"/>
      <c r="AI493" s="443"/>
      <c r="AJ493" s="443"/>
      <c r="AK493" s="443"/>
      <c r="AL493" s="444"/>
      <c r="AM493" s="444"/>
      <c r="AN493" s="444"/>
      <c r="AO493" s="444"/>
      <c r="AP493" s="444"/>
      <c r="AQ493" s="444"/>
      <c r="AR493" s="444"/>
      <c r="AS493" s="445"/>
    </row>
    <row r="494" spans="31:45">
      <c r="AE494" s="442"/>
      <c r="AF494" s="443"/>
      <c r="AG494" s="443"/>
      <c r="AH494" s="443"/>
      <c r="AI494" s="443"/>
      <c r="AJ494" s="443"/>
      <c r="AK494" s="443"/>
      <c r="AL494" s="444"/>
      <c r="AM494" s="444"/>
      <c r="AN494" s="444"/>
      <c r="AO494" s="444"/>
      <c r="AP494" s="444"/>
      <c r="AQ494" s="444"/>
      <c r="AR494" s="444"/>
      <c r="AS494" s="445"/>
    </row>
    <row r="495" spans="31:45">
      <c r="AE495" s="442"/>
      <c r="AF495" s="443"/>
      <c r="AG495" s="443"/>
      <c r="AH495" s="443"/>
      <c r="AI495" s="443"/>
      <c r="AJ495" s="443"/>
      <c r="AK495" s="443"/>
      <c r="AL495" s="444"/>
      <c r="AM495" s="444"/>
      <c r="AN495" s="444"/>
      <c r="AO495" s="444"/>
      <c r="AP495" s="444"/>
      <c r="AQ495" s="444"/>
      <c r="AR495" s="444"/>
      <c r="AS495" s="445"/>
    </row>
    <row r="496" spans="31:45">
      <c r="AE496" s="442"/>
      <c r="AF496" s="443"/>
      <c r="AG496" s="443"/>
      <c r="AH496" s="443"/>
      <c r="AI496" s="443"/>
      <c r="AJ496" s="443"/>
      <c r="AK496" s="443"/>
      <c r="AL496" s="444"/>
      <c r="AM496" s="444"/>
      <c r="AN496" s="444"/>
      <c r="AO496" s="444"/>
      <c r="AP496" s="444"/>
      <c r="AQ496" s="444"/>
      <c r="AR496" s="444"/>
      <c r="AS496" s="445"/>
    </row>
    <row r="497" spans="31:45">
      <c r="AE497" s="442"/>
      <c r="AF497" s="443"/>
      <c r="AG497" s="443"/>
      <c r="AH497" s="443"/>
      <c r="AI497" s="443"/>
      <c r="AJ497" s="443"/>
      <c r="AK497" s="443"/>
      <c r="AL497" s="444"/>
      <c r="AM497" s="444"/>
      <c r="AN497" s="444"/>
      <c r="AO497" s="444"/>
      <c r="AP497" s="444"/>
      <c r="AQ497" s="444"/>
      <c r="AR497" s="444"/>
      <c r="AS497" s="445"/>
    </row>
    <row r="498" spans="31:45">
      <c r="AE498" s="442"/>
      <c r="AF498" s="443"/>
      <c r="AG498" s="443"/>
      <c r="AH498" s="443"/>
      <c r="AI498" s="443"/>
      <c r="AJ498" s="443"/>
      <c r="AK498" s="443"/>
      <c r="AL498" s="444"/>
      <c r="AM498" s="444"/>
      <c r="AN498" s="444"/>
      <c r="AO498" s="444"/>
      <c r="AP498" s="444"/>
      <c r="AQ498" s="444"/>
      <c r="AR498" s="444"/>
      <c r="AS498" s="445"/>
    </row>
    <row r="499" spans="31:45">
      <c r="AE499" s="442"/>
      <c r="AF499" s="443"/>
      <c r="AG499" s="443"/>
      <c r="AH499" s="443"/>
      <c r="AI499" s="443"/>
      <c r="AJ499" s="443"/>
      <c r="AK499" s="443"/>
      <c r="AL499" s="444"/>
      <c r="AM499" s="444"/>
      <c r="AN499" s="444"/>
      <c r="AO499" s="444"/>
      <c r="AP499" s="444"/>
      <c r="AQ499" s="444"/>
      <c r="AR499" s="444"/>
      <c r="AS499" s="445"/>
    </row>
    <row r="500" spans="31:45">
      <c r="AE500" s="442"/>
      <c r="AF500" s="443"/>
      <c r="AG500" s="443"/>
      <c r="AH500" s="443"/>
      <c r="AI500" s="443"/>
      <c r="AJ500" s="443"/>
      <c r="AK500" s="443"/>
      <c r="AL500" s="444"/>
      <c r="AM500" s="444"/>
      <c r="AN500" s="444"/>
      <c r="AO500" s="444"/>
      <c r="AP500" s="444"/>
      <c r="AQ500" s="444"/>
      <c r="AR500" s="444"/>
      <c r="AS500" s="445"/>
    </row>
    <row r="501" spans="31:45">
      <c r="AE501" s="442"/>
      <c r="AF501" s="443"/>
      <c r="AG501" s="443"/>
      <c r="AH501" s="443"/>
      <c r="AI501" s="443"/>
      <c r="AJ501" s="443"/>
      <c r="AK501" s="443"/>
      <c r="AL501" s="444"/>
      <c r="AM501" s="444"/>
      <c r="AN501" s="444"/>
      <c r="AO501" s="444"/>
      <c r="AP501" s="444"/>
      <c r="AQ501" s="444"/>
      <c r="AR501" s="444"/>
      <c r="AS501" s="445"/>
    </row>
    <row r="502" spans="31:45">
      <c r="AE502" s="442"/>
      <c r="AF502" s="443"/>
      <c r="AG502" s="443"/>
      <c r="AH502" s="443"/>
      <c r="AI502" s="443"/>
      <c r="AJ502" s="443"/>
      <c r="AK502" s="443"/>
      <c r="AL502" s="444"/>
      <c r="AM502" s="444"/>
      <c r="AN502" s="444"/>
      <c r="AO502" s="444"/>
      <c r="AP502" s="444"/>
      <c r="AQ502" s="444"/>
      <c r="AR502" s="444"/>
      <c r="AS502" s="445"/>
    </row>
    <row r="503" spans="31:45">
      <c r="AE503" s="442"/>
      <c r="AF503" s="443"/>
      <c r="AG503" s="443"/>
      <c r="AH503" s="443"/>
      <c r="AI503" s="443"/>
      <c r="AJ503" s="443"/>
      <c r="AK503" s="443"/>
      <c r="AL503" s="444"/>
      <c r="AM503" s="444"/>
      <c r="AN503" s="444"/>
      <c r="AO503" s="444"/>
      <c r="AP503" s="444"/>
      <c r="AQ503" s="444"/>
      <c r="AR503" s="444"/>
      <c r="AS503" s="445"/>
    </row>
    <row r="504" spans="31:45">
      <c r="AE504" s="442"/>
      <c r="AF504" s="443"/>
      <c r="AG504" s="443"/>
      <c r="AH504" s="443"/>
      <c r="AI504" s="443"/>
      <c r="AJ504" s="443"/>
      <c r="AK504" s="443"/>
      <c r="AL504" s="444"/>
      <c r="AM504" s="444"/>
      <c r="AN504" s="444"/>
      <c r="AO504" s="444"/>
      <c r="AP504" s="444"/>
      <c r="AQ504" s="444"/>
      <c r="AR504" s="444"/>
      <c r="AS504" s="445"/>
    </row>
    <row r="505" spans="31:45">
      <c r="AE505" s="442"/>
      <c r="AF505" s="443"/>
      <c r="AG505" s="443"/>
      <c r="AH505" s="443"/>
      <c r="AI505" s="443"/>
      <c r="AJ505" s="443"/>
      <c r="AK505" s="443"/>
      <c r="AL505" s="444"/>
      <c r="AM505" s="444"/>
      <c r="AN505" s="444"/>
      <c r="AO505" s="444"/>
      <c r="AP505" s="444"/>
      <c r="AQ505" s="444"/>
      <c r="AR505" s="444"/>
      <c r="AS505" s="445"/>
    </row>
    <row r="506" spans="31:45">
      <c r="AE506" s="442"/>
      <c r="AF506" s="443"/>
      <c r="AG506" s="443"/>
      <c r="AH506" s="443"/>
      <c r="AI506" s="443"/>
      <c r="AJ506" s="443"/>
      <c r="AK506" s="443"/>
      <c r="AL506" s="444"/>
      <c r="AM506" s="444"/>
      <c r="AN506" s="444"/>
      <c r="AO506" s="444"/>
      <c r="AP506" s="444"/>
      <c r="AQ506" s="444"/>
      <c r="AR506" s="444"/>
      <c r="AS506" s="445"/>
    </row>
    <row r="507" spans="31:45">
      <c r="AE507" s="442"/>
      <c r="AF507" s="443"/>
      <c r="AG507" s="443"/>
      <c r="AH507" s="443"/>
      <c r="AI507" s="443"/>
      <c r="AJ507" s="443"/>
      <c r="AK507" s="443"/>
      <c r="AL507" s="444"/>
      <c r="AM507" s="444"/>
      <c r="AN507" s="444"/>
      <c r="AO507" s="444"/>
      <c r="AP507" s="444"/>
      <c r="AQ507" s="444"/>
      <c r="AR507" s="444"/>
      <c r="AS507" s="445"/>
    </row>
    <row r="508" spans="31:45">
      <c r="AE508" s="442"/>
      <c r="AF508" s="443"/>
      <c r="AG508" s="443"/>
      <c r="AH508" s="443"/>
      <c r="AI508" s="443"/>
      <c r="AJ508" s="443"/>
      <c r="AK508" s="443"/>
      <c r="AL508" s="444"/>
      <c r="AM508" s="444"/>
      <c r="AN508" s="444"/>
      <c r="AO508" s="444"/>
      <c r="AP508" s="444"/>
      <c r="AQ508" s="444"/>
      <c r="AR508" s="444"/>
      <c r="AS508" s="445"/>
    </row>
    <row r="509" spans="31:45">
      <c r="AE509" s="442"/>
      <c r="AF509" s="443"/>
      <c r="AG509" s="443"/>
      <c r="AH509" s="443"/>
      <c r="AI509" s="443"/>
      <c r="AJ509" s="443"/>
      <c r="AK509" s="443"/>
      <c r="AL509" s="444"/>
      <c r="AM509" s="444"/>
      <c r="AN509" s="444"/>
      <c r="AO509" s="444"/>
      <c r="AP509" s="444"/>
      <c r="AQ509" s="444"/>
      <c r="AR509" s="444"/>
      <c r="AS509" s="445"/>
    </row>
    <row r="510" spans="31:45">
      <c r="AE510" s="442"/>
      <c r="AF510" s="443"/>
      <c r="AG510" s="443"/>
      <c r="AH510" s="443"/>
      <c r="AI510" s="443"/>
      <c r="AJ510" s="443"/>
      <c r="AK510" s="443"/>
      <c r="AL510" s="444"/>
      <c r="AM510" s="444"/>
      <c r="AN510" s="444"/>
      <c r="AO510" s="444"/>
      <c r="AP510" s="444"/>
      <c r="AQ510" s="444"/>
      <c r="AR510" s="444"/>
      <c r="AS510" s="445"/>
    </row>
    <row r="511" spans="31:45">
      <c r="AE511" s="442"/>
      <c r="AF511" s="443"/>
      <c r="AG511" s="443"/>
      <c r="AH511" s="443"/>
      <c r="AI511" s="443"/>
      <c r="AJ511" s="443"/>
      <c r="AK511" s="443"/>
      <c r="AL511" s="444"/>
      <c r="AM511" s="444"/>
      <c r="AN511" s="444"/>
      <c r="AO511" s="444"/>
      <c r="AP511" s="444"/>
      <c r="AQ511" s="444"/>
      <c r="AR511" s="444"/>
      <c r="AS511" s="445"/>
    </row>
    <row r="512" spans="31:45">
      <c r="AE512" s="442"/>
      <c r="AF512" s="443"/>
      <c r="AG512" s="443"/>
      <c r="AH512" s="443"/>
      <c r="AI512" s="443"/>
      <c r="AJ512" s="443"/>
      <c r="AK512" s="443"/>
      <c r="AL512" s="444"/>
      <c r="AM512" s="444"/>
      <c r="AN512" s="444"/>
      <c r="AO512" s="444"/>
      <c r="AP512" s="444"/>
      <c r="AQ512" s="444"/>
      <c r="AR512" s="444"/>
      <c r="AS512" s="445"/>
    </row>
    <row r="513" spans="31:45">
      <c r="AE513" s="442"/>
      <c r="AF513" s="443"/>
      <c r="AG513" s="443"/>
      <c r="AH513" s="443"/>
      <c r="AI513" s="443"/>
      <c r="AJ513" s="443"/>
      <c r="AK513" s="443"/>
      <c r="AL513" s="444"/>
      <c r="AM513" s="444"/>
      <c r="AN513" s="444"/>
      <c r="AO513" s="444"/>
      <c r="AP513" s="444"/>
      <c r="AQ513" s="444"/>
      <c r="AR513" s="444"/>
      <c r="AS513" s="445"/>
    </row>
    <row r="514" spans="31:45">
      <c r="AE514" s="442"/>
      <c r="AF514" s="443"/>
      <c r="AG514" s="443"/>
      <c r="AH514" s="443"/>
      <c r="AI514" s="443"/>
      <c r="AJ514" s="443"/>
      <c r="AK514" s="443"/>
      <c r="AL514" s="444"/>
      <c r="AM514" s="444"/>
      <c r="AN514" s="444"/>
      <c r="AO514" s="444"/>
      <c r="AP514" s="444"/>
      <c r="AQ514" s="444"/>
      <c r="AR514" s="444"/>
      <c r="AS514" s="445"/>
    </row>
    <row r="515" spans="31:45">
      <c r="AE515" s="442"/>
      <c r="AF515" s="443"/>
      <c r="AG515" s="443"/>
      <c r="AH515" s="443"/>
      <c r="AI515" s="443"/>
      <c r="AJ515" s="443"/>
      <c r="AK515" s="443"/>
      <c r="AL515" s="444"/>
      <c r="AM515" s="444"/>
      <c r="AN515" s="444"/>
      <c r="AO515" s="444"/>
      <c r="AP515" s="444"/>
      <c r="AQ515" s="444"/>
      <c r="AR515" s="444"/>
      <c r="AS515" s="445"/>
    </row>
    <row r="516" spans="31:45">
      <c r="AE516" s="442"/>
      <c r="AF516" s="443"/>
      <c r="AG516" s="443"/>
      <c r="AH516" s="443"/>
      <c r="AI516" s="443"/>
      <c r="AJ516" s="443"/>
      <c r="AK516" s="443"/>
      <c r="AL516" s="444"/>
      <c r="AM516" s="444"/>
      <c r="AN516" s="444"/>
      <c r="AO516" s="444"/>
      <c r="AP516" s="444"/>
      <c r="AQ516" s="444"/>
      <c r="AR516" s="444"/>
      <c r="AS516" s="445"/>
    </row>
    <row r="517" spans="31:45">
      <c r="AE517" s="442"/>
      <c r="AF517" s="443"/>
      <c r="AG517" s="443"/>
      <c r="AH517" s="443"/>
      <c r="AI517" s="443"/>
      <c r="AJ517" s="443"/>
      <c r="AK517" s="443"/>
      <c r="AL517" s="444"/>
      <c r="AM517" s="444"/>
      <c r="AN517" s="444"/>
      <c r="AO517" s="444"/>
      <c r="AP517" s="444"/>
      <c r="AQ517" s="444"/>
      <c r="AR517" s="444"/>
      <c r="AS517" s="445"/>
    </row>
    <row r="518" spans="31:45">
      <c r="AE518" s="442"/>
      <c r="AF518" s="443"/>
      <c r="AG518" s="443"/>
      <c r="AH518" s="443"/>
      <c r="AI518" s="443"/>
      <c r="AJ518" s="443"/>
      <c r="AK518" s="443"/>
      <c r="AL518" s="444"/>
      <c r="AM518" s="444"/>
      <c r="AN518" s="444"/>
      <c r="AO518" s="444"/>
      <c r="AP518" s="444"/>
      <c r="AQ518" s="444"/>
      <c r="AR518" s="444"/>
      <c r="AS518" s="445"/>
    </row>
    <row r="519" spans="31:45">
      <c r="AE519" s="442"/>
      <c r="AF519" s="443"/>
      <c r="AG519" s="443"/>
      <c r="AH519" s="443"/>
      <c r="AI519" s="443"/>
      <c r="AJ519" s="443"/>
      <c r="AK519" s="443"/>
      <c r="AL519" s="444"/>
      <c r="AM519" s="444"/>
      <c r="AN519" s="444"/>
      <c r="AO519" s="444"/>
      <c r="AP519" s="444"/>
      <c r="AQ519" s="444"/>
      <c r="AR519" s="444"/>
      <c r="AS519" s="445"/>
    </row>
    <row r="520" spans="31:45">
      <c r="AE520" s="442"/>
      <c r="AF520" s="443"/>
      <c r="AG520" s="443"/>
      <c r="AH520" s="443"/>
      <c r="AI520" s="443"/>
      <c r="AJ520" s="443"/>
      <c r="AK520" s="443"/>
      <c r="AL520" s="444"/>
      <c r="AM520" s="444"/>
      <c r="AN520" s="444"/>
      <c r="AO520" s="444"/>
      <c r="AP520" s="444"/>
      <c r="AQ520" s="444"/>
      <c r="AR520" s="444"/>
      <c r="AS520" s="445"/>
    </row>
    <row r="521" spans="31:45">
      <c r="AE521" s="442"/>
      <c r="AF521" s="443"/>
      <c r="AG521" s="443"/>
      <c r="AH521" s="443"/>
      <c r="AI521" s="443"/>
      <c r="AJ521" s="443"/>
      <c r="AK521" s="443"/>
      <c r="AL521" s="444"/>
      <c r="AM521" s="444"/>
      <c r="AN521" s="444"/>
      <c r="AO521" s="444"/>
      <c r="AP521" s="444"/>
      <c r="AQ521" s="444"/>
      <c r="AR521" s="444"/>
      <c r="AS521" s="445"/>
    </row>
    <row r="522" spans="31:45">
      <c r="AE522" s="442"/>
      <c r="AF522" s="443"/>
      <c r="AG522" s="443"/>
      <c r="AH522" s="443"/>
      <c r="AI522" s="443"/>
      <c r="AJ522" s="443"/>
      <c r="AK522" s="443"/>
      <c r="AL522" s="444"/>
      <c r="AM522" s="444"/>
      <c r="AN522" s="444"/>
      <c r="AO522" s="444"/>
      <c r="AP522" s="444"/>
      <c r="AQ522" s="444"/>
      <c r="AR522" s="444"/>
      <c r="AS522" s="445"/>
    </row>
    <row r="523" spans="31:45">
      <c r="AE523" s="442"/>
      <c r="AF523" s="443"/>
      <c r="AG523" s="443"/>
      <c r="AH523" s="443"/>
      <c r="AI523" s="443"/>
      <c r="AJ523" s="443"/>
      <c r="AK523" s="443"/>
      <c r="AL523" s="444"/>
      <c r="AM523" s="444"/>
      <c r="AN523" s="444"/>
      <c r="AO523" s="444"/>
      <c r="AP523" s="444"/>
      <c r="AQ523" s="444"/>
      <c r="AR523" s="444"/>
      <c r="AS523" s="445"/>
    </row>
    <row r="524" spans="31:45">
      <c r="AE524" s="442"/>
      <c r="AF524" s="443"/>
      <c r="AG524" s="443"/>
      <c r="AH524" s="443"/>
      <c r="AI524" s="443"/>
      <c r="AJ524" s="443"/>
      <c r="AK524" s="443"/>
      <c r="AL524" s="444"/>
      <c r="AM524" s="444"/>
      <c r="AN524" s="444"/>
      <c r="AO524" s="444"/>
      <c r="AP524" s="444"/>
      <c r="AQ524" s="444"/>
      <c r="AR524" s="444"/>
      <c r="AS524" s="445"/>
    </row>
    <row r="525" spans="31:45">
      <c r="AE525" s="442"/>
      <c r="AF525" s="443"/>
      <c r="AG525" s="443"/>
      <c r="AH525" s="443"/>
      <c r="AI525" s="443"/>
      <c r="AJ525" s="443"/>
      <c r="AK525" s="443"/>
      <c r="AL525" s="444"/>
      <c r="AM525" s="444"/>
      <c r="AN525" s="444"/>
      <c r="AO525" s="444"/>
      <c r="AP525" s="444"/>
      <c r="AQ525" s="444"/>
      <c r="AR525" s="444"/>
      <c r="AS525" s="445"/>
    </row>
    <row r="526" spans="31:45">
      <c r="AE526" s="442"/>
      <c r="AF526" s="443"/>
      <c r="AG526" s="443"/>
      <c r="AH526" s="443"/>
      <c r="AI526" s="443"/>
      <c r="AJ526" s="443"/>
      <c r="AK526" s="443"/>
      <c r="AL526" s="444"/>
      <c r="AM526" s="444"/>
      <c r="AN526" s="444"/>
      <c r="AO526" s="444"/>
      <c r="AP526" s="444"/>
      <c r="AQ526" s="444"/>
      <c r="AR526" s="444"/>
      <c r="AS526" s="445"/>
    </row>
    <row r="527" spans="31:45">
      <c r="AE527" s="442"/>
      <c r="AF527" s="443"/>
      <c r="AG527" s="443"/>
      <c r="AH527" s="443"/>
      <c r="AI527" s="443"/>
      <c r="AJ527" s="443"/>
      <c r="AK527" s="443"/>
      <c r="AL527" s="444"/>
      <c r="AM527" s="444"/>
      <c r="AN527" s="444"/>
      <c r="AO527" s="444"/>
      <c r="AP527" s="444"/>
      <c r="AQ527" s="444"/>
      <c r="AR527" s="444"/>
      <c r="AS527" s="445"/>
    </row>
    <row r="528" spans="31:45">
      <c r="AE528" s="442"/>
      <c r="AF528" s="443"/>
      <c r="AG528" s="443"/>
      <c r="AH528" s="443"/>
      <c r="AI528" s="443"/>
      <c r="AJ528" s="443"/>
      <c r="AK528" s="443"/>
      <c r="AL528" s="444"/>
      <c r="AM528" s="444"/>
      <c r="AN528" s="444"/>
      <c r="AO528" s="444"/>
      <c r="AP528" s="444"/>
      <c r="AQ528" s="444"/>
      <c r="AR528" s="444"/>
      <c r="AS528" s="445"/>
    </row>
    <row r="529" spans="31:45">
      <c r="AE529" s="442"/>
      <c r="AF529" s="443"/>
      <c r="AG529" s="443"/>
      <c r="AH529" s="443"/>
      <c r="AI529" s="443"/>
      <c r="AJ529" s="443"/>
      <c r="AK529" s="443"/>
      <c r="AL529" s="444"/>
      <c r="AM529" s="444"/>
      <c r="AN529" s="444"/>
      <c r="AO529" s="444"/>
      <c r="AP529" s="444"/>
      <c r="AQ529" s="444"/>
      <c r="AR529" s="444"/>
      <c r="AS529" s="445"/>
    </row>
    <row r="530" spans="31:45">
      <c r="AE530" s="442"/>
      <c r="AF530" s="443"/>
      <c r="AG530" s="443"/>
      <c r="AH530" s="443"/>
      <c r="AI530" s="443"/>
      <c r="AJ530" s="443"/>
      <c r="AK530" s="443"/>
      <c r="AL530" s="444"/>
      <c r="AM530" s="444"/>
      <c r="AN530" s="444"/>
      <c r="AO530" s="444"/>
      <c r="AP530" s="444"/>
      <c r="AQ530" s="444"/>
      <c r="AR530" s="444"/>
      <c r="AS530" s="445"/>
    </row>
    <row r="531" spans="31:45">
      <c r="AE531" s="442"/>
      <c r="AF531" s="443"/>
      <c r="AG531" s="443"/>
      <c r="AH531" s="443"/>
      <c r="AI531" s="443"/>
      <c r="AJ531" s="443"/>
      <c r="AK531" s="443"/>
      <c r="AL531" s="444"/>
      <c r="AM531" s="444"/>
      <c r="AN531" s="444"/>
      <c r="AO531" s="444"/>
      <c r="AP531" s="444"/>
      <c r="AQ531" s="444"/>
      <c r="AR531" s="444"/>
      <c r="AS531" s="445"/>
    </row>
    <row r="532" spans="31:45">
      <c r="AE532" s="442"/>
      <c r="AF532" s="443"/>
      <c r="AG532" s="443"/>
      <c r="AH532" s="443"/>
      <c r="AI532" s="443"/>
      <c r="AJ532" s="443"/>
      <c r="AK532" s="443"/>
      <c r="AL532" s="444"/>
      <c r="AM532" s="444"/>
      <c r="AN532" s="444"/>
      <c r="AO532" s="444"/>
      <c r="AP532" s="444"/>
      <c r="AQ532" s="444"/>
      <c r="AR532" s="444"/>
      <c r="AS532" s="445"/>
    </row>
    <row r="533" spans="31:45">
      <c r="AE533" s="442"/>
      <c r="AF533" s="443"/>
      <c r="AG533" s="443"/>
      <c r="AH533" s="443"/>
      <c r="AI533" s="443"/>
      <c r="AJ533" s="443"/>
      <c r="AK533" s="443"/>
      <c r="AL533" s="444"/>
      <c r="AM533" s="444"/>
      <c r="AN533" s="444"/>
      <c r="AO533" s="444"/>
      <c r="AP533" s="444"/>
      <c r="AQ533" s="444"/>
      <c r="AR533" s="444"/>
      <c r="AS533" s="445"/>
    </row>
    <row r="534" spans="31:45">
      <c r="AE534" s="442"/>
      <c r="AF534" s="443"/>
      <c r="AG534" s="443"/>
      <c r="AH534" s="443"/>
      <c r="AI534" s="443"/>
      <c r="AJ534" s="443"/>
      <c r="AK534" s="443"/>
      <c r="AL534" s="444"/>
      <c r="AM534" s="444"/>
      <c r="AN534" s="444"/>
      <c r="AO534" s="444"/>
      <c r="AP534" s="444"/>
      <c r="AQ534" s="444"/>
      <c r="AR534" s="444"/>
      <c r="AS534" s="445"/>
    </row>
    <row r="535" spans="31:45">
      <c r="AE535" s="442"/>
      <c r="AF535" s="443"/>
      <c r="AG535" s="443"/>
      <c r="AH535" s="443"/>
      <c r="AI535" s="443"/>
      <c r="AJ535" s="443"/>
      <c r="AK535" s="443"/>
      <c r="AL535" s="444"/>
      <c r="AM535" s="444"/>
      <c r="AN535" s="444"/>
      <c r="AO535" s="444"/>
      <c r="AP535" s="444"/>
      <c r="AQ535" s="444"/>
      <c r="AR535" s="444"/>
      <c r="AS535" s="445"/>
    </row>
    <row r="536" spans="31:45">
      <c r="AE536" s="442"/>
      <c r="AF536" s="443"/>
      <c r="AG536" s="443"/>
      <c r="AH536" s="443"/>
      <c r="AI536" s="443"/>
      <c r="AJ536" s="443"/>
      <c r="AK536" s="443"/>
      <c r="AL536" s="444"/>
      <c r="AM536" s="444"/>
      <c r="AN536" s="444"/>
      <c r="AO536" s="444"/>
      <c r="AP536" s="444"/>
      <c r="AQ536" s="444"/>
      <c r="AR536" s="444"/>
      <c r="AS536" s="445"/>
    </row>
    <row r="537" spans="31:45">
      <c r="AE537" s="442"/>
      <c r="AF537" s="443"/>
      <c r="AG537" s="443"/>
      <c r="AH537" s="443"/>
      <c r="AI537" s="443"/>
      <c r="AJ537" s="443"/>
      <c r="AK537" s="443"/>
      <c r="AL537" s="444"/>
      <c r="AM537" s="444"/>
      <c r="AN537" s="444"/>
      <c r="AO537" s="444"/>
      <c r="AP537" s="444"/>
      <c r="AQ537" s="444"/>
      <c r="AR537" s="444"/>
      <c r="AS537" s="445"/>
    </row>
    <row r="538" spans="31:45">
      <c r="AE538" s="442"/>
      <c r="AF538" s="443"/>
      <c r="AG538" s="443"/>
      <c r="AH538" s="443"/>
      <c r="AI538" s="443"/>
      <c r="AJ538" s="443"/>
      <c r="AK538" s="443"/>
      <c r="AL538" s="444"/>
      <c r="AM538" s="444"/>
      <c r="AN538" s="444"/>
      <c r="AO538" s="444"/>
      <c r="AP538" s="444"/>
      <c r="AQ538" s="444"/>
      <c r="AR538" s="444"/>
      <c r="AS538" s="445"/>
    </row>
    <row r="539" spans="31:45">
      <c r="AE539" s="442"/>
      <c r="AF539" s="443"/>
      <c r="AG539" s="443"/>
      <c r="AH539" s="443"/>
      <c r="AI539" s="443"/>
      <c r="AJ539" s="443"/>
      <c r="AK539" s="443"/>
      <c r="AL539" s="444"/>
      <c r="AM539" s="444"/>
      <c r="AN539" s="444"/>
      <c r="AO539" s="444"/>
      <c r="AP539" s="444"/>
      <c r="AQ539" s="444"/>
      <c r="AR539" s="444"/>
      <c r="AS539" s="445"/>
    </row>
    <row r="540" spans="31:45">
      <c r="AE540" s="442"/>
      <c r="AF540" s="443"/>
      <c r="AG540" s="443"/>
      <c r="AH540" s="443"/>
      <c r="AI540" s="443"/>
      <c r="AJ540" s="443"/>
      <c r="AK540" s="443"/>
      <c r="AL540" s="444"/>
      <c r="AM540" s="444"/>
      <c r="AN540" s="444"/>
      <c r="AO540" s="444"/>
      <c r="AP540" s="444"/>
      <c r="AQ540" s="444"/>
      <c r="AR540" s="444"/>
      <c r="AS540" s="445"/>
    </row>
    <row r="541" spans="31:45">
      <c r="AE541" s="442"/>
      <c r="AF541" s="443"/>
      <c r="AG541" s="443"/>
      <c r="AH541" s="443"/>
      <c r="AI541" s="443"/>
      <c r="AJ541" s="443"/>
      <c r="AK541" s="443"/>
      <c r="AL541" s="444"/>
      <c r="AM541" s="444"/>
      <c r="AN541" s="444"/>
      <c r="AO541" s="444"/>
      <c r="AP541" s="444"/>
      <c r="AQ541" s="444"/>
      <c r="AR541" s="444"/>
      <c r="AS541" s="445"/>
    </row>
    <row r="542" spans="31:45">
      <c r="AE542" s="442"/>
      <c r="AF542" s="443"/>
      <c r="AG542" s="443"/>
      <c r="AH542" s="443"/>
      <c r="AI542" s="443"/>
      <c r="AJ542" s="443"/>
      <c r="AK542" s="443"/>
      <c r="AL542" s="444"/>
      <c r="AM542" s="444"/>
      <c r="AN542" s="444"/>
      <c r="AO542" s="444"/>
      <c r="AP542" s="444"/>
      <c r="AQ542" s="444"/>
      <c r="AR542" s="444"/>
      <c r="AS542" s="445"/>
    </row>
    <row r="543" spans="31:45">
      <c r="AE543" s="442"/>
      <c r="AF543" s="443"/>
      <c r="AG543" s="443"/>
      <c r="AH543" s="443"/>
      <c r="AI543" s="443"/>
      <c r="AJ543" s="443"/>
      <c r="AK543" s="443"/>
      <c r="AL543" s="444"/>
      <c r="AM543" s="444"/>
      <c r="AN543" s="444"/>
      <c r="AO543" s="444"/>
      <c r="AP543" s="444"/>
      <c r="AQ543" s="444"/>
      <c r="AR543" s="444"/>
      <c r="AS543" s="445"/>
    </row>
    <row r="544" spans="31:45">
      <c r="AE544" s="442"/>
      <c r="AF544" s="443"/>
      <c r="AG544" s="443"/>
      <c r="AH544" s="443"/>
      <c r="AI544" s="443"/>
      <c r="AJ544" s="443"/>
      <c r="AK544" s="443"/>
      <c r="AL544" s="444"/>
      <c r="AM544" s="444"/>
      <c r="AN544" s="444"/>
      <c r="AO544" s="444"/>
      <c r="AP544" s="444"/>
      <c r="AQ544" s="444"/>
      <c r="AR544" s="444"/>
      <c r="AS544" s="445"/>
    </row>
    <row r="545" spans="31:45">
      <c r="AE545" s="442"/>
      <c r="AF545" s="443"/>
      <c r="AG545" s="443"/>
      <c r="AH545" s="443"/>
      <c r="AI545" s="443"/>
      <c r="AJ545" s="443"/>
      <c r="AK545" s="443"/>
      <c r="AL545" s="444"/>
      <c r="AM545" s="444"/>
      <c r="AN545" s="444"/>
      <c r="AO545" s="444"/>
      <c r="AP545" s="444"/>
      <c r="AQ545" s="444"/>
      <c r="AR545" s="444"/>
      <c r="AS545" s="445"/>
    </row>
    <row r="546" spans="31:45">
      <c r="AE546" s="442"/>
      <c r="AF546" s="443"/>
      <c r="AG546" s="443"/>
      <c r="AH546" s="443"/>
      <c r="AI546" s="443"/>
      <c r="AJ546" s="443"/>
      <c r="AK546" s="443"/>
      <c r="AL546" s="444"/>
      <c r="AM546" s="444"/>
      <c r="AN546" s="444"/>
      <c r="AO546" s="444"/>
      <c r="AP546" s="444"/>
      <c r="AQ546" s="444"/>
      <c r="AR546" s="444"/>
      <c r="AS546" s="445"/>
    </row>
    <row r="547" spans="31:45">
      <c r="AE547" s="442"/>
      <c r="AF547" s="443"/>
      <c r="AG547" s="443"/>
      <c r="AH547" s="443"/>
      <c r="AI547" s="443"/>
      <c r="AJ547" s="443"/>
      <c r="AK547" s="443"/>
      <c r="AL547" s="444"/>
      <c r="AM547" s="444"/>
      <c r="AN547" s="444"/>
      <c r="AO547" s="444"/>
      <c r="AP547" s="444"/>
      <c r="AQ547" s="444"/>
      <c r="AR547" s="444"/>
      <c r="AS547" s="445"/>
    </row>
    <row r="548" spans="31:45">
      <c r="AE548" s="442"/>
      <c r="AF548" s="443"/>
      <c r="AG548" s="443"/>
      <c r="AH548" s="443"/>
      <c r="AI548" s="443"/>
      <c r="AJ548" s="443"/>
      <c r="AK548" s="443"/>
      <c r="AL548" s="444"/>
      <c r="AM548" s="444"/>
      <c r="AN548" s="444"/>
      <c r="AO548" s="444"/>
      <c r="AP548" s="444"/>
      <c r="AQ548" s="444"/>
      <c r="AR548" s="444"/>
      <c r="AS548" s="445"/>
    </row>
    <row r="549" spans="31:45">
      <c r="AE549" s="442"/>
      <c r="AF549" s="443"/>
      <c r="AG549" s="443"/>
      <c r="AH549" s="443"/>
      <c r="AI549" s="443"/>
      <c r="AJ549" s="443"/>
      <c r="AK549" s="443"/>
      <c r="AL549" s="444"/>
      <c r="AM549" s="444"/>
      <c r="AN549" s="444"/>
      <c r="AO549" s="444"/>
      <c r="AP549" s="444"/>
      <c r="AQ549" s="444"/>
      <c r="AR549" s="444"/>
      <c r="AS549" s="445"/>
    </row>
    <row r="550" spans="31:45">
      <c r="AE550" s="442"/>
      <c r="AF550" s="443"/>
      <c r="AG550" s="443"/>
      <c r="AH550" s="443"/>
      <c r="AI550" s="443"/>
      <c r="AJ550" s="443"/>
      <c r="AK550" s="443"/>
      <c r="AL550" s="444"/>
      <c r="AM550" s="444"/>
      <c r="AN550" s="444"/>
      <c r="AO550" s="444"/>
      <c r="AP550" s="444"/>
      <c r="AQ550" s="444"/>
      <c r="AR550" s="444"/>
      <c r="AS550" s="445"/>
    </row>
    <row r="551" spans="31:45">
      <c r="AE551" s="442"/>
      <c r="AF551" s="443"/>
      <c r="AG551" s="443"/>
      <c r="AH551" s="443"/>
      <c r="AI551" s="443"/>
      <c r="AJ551" s="443"/>
      <c r="AK551" s="443"/>
      <c r="AL551" s="444"/>
      <c r="AM551" s="444"/>
      <c r="AN551" s="444"/>
      <c r="AO551" s="444"/>
      <c r="AP551" s="444"/>
      <c r="AQ551" s="444"/>
      <c r="AR551" s="444"/>
      <c r="AS551" s="445"/>
    </row>
    <row r="552" spans="31:45">
      <c r="AE552" s="442"/>
      <c r="AF552" s="443"/>
      <c r="AG552" s="443"/>
      <c r="AH552" s="443"/>
      <c r="AI552" s="443"/>
      <c r="AJ552" s="443"/>
      <c r="AK552" s="443"/>
      <c r="AL552" s="444"/>
      <c r="AM552" s="444"/>
      <c r="AN552" s="444"/>
      <c r="AO552" s="444"/>
      <c r="AP552" s="444"/>
      <c r="AQ552" s="444"/>
      <c r="AR552" s="444"/>
      <c r="AS552" s="445"/>
    </row>
    <row r="553" spans="31:45">
      <c r="AE553" s="442"/>
      <c r="AF553" s="443"/>
      <c r="AG553" s="443"/>
      <c r="AH553" s="443"/>
      <c r="AI553" s="443"/>
      <c r="AJ553" s="443"/>
      <c r="AK553" s="443"/>
      <c r="AL553" s="444"/>
      <c r="AM553" s="444"/>
      <c r="AN553" s="444"/>
      <c r="AO553" s="444"/>
      <c r="AP553" s="444"/>
      <c r="AQ553" s="444"/>
      <c r="AR553" s="444"/>
      <c r="AS553" s="445"/>
    </row>
    <row r="554" spans="31:45">
      <c r="AE554" s="442"/>
      <c r="AF554" s="443"/>
      <c r="AG554" s="443"/>
      <c r="AH554" s="443"/>
      <c r="AI554" s="443"/>
      <c r="AJ554" s="443"/>
      <c r="AK554" s="443"/>
      <c r="AL554" s="444"/>
      <c r="AM554" s="444"/>
      <c r="AN554" s="444"/>
      <c r="AO554" s="444"/>
      <c r="AP554" s="444"/>
      <c r="AQ554" s="444"/>
      <c r="AR554" s="444"/>
      <c r="AS554" s="445"/>
    </row>
    <row r="555" spans="31:45">
      <c r="AE555" s="442"/>
      <c r="AF555" s="443"/>
      <c r="AG555" s="443"/>
      <c r="AH555" s="443"/>
      <c r="AI555" s="443"/>
      <c r="AJ555" s="443"/>
      <c r="AK555" s="443"/>
      <c r="AL555" s="444"/>
      <c r="AM555" s="444"/>
      <c r="AN555" s="444"/>
      <c r="AO555" s="444"/>
      <c r="AP555" s="444"/>
      <c r="AQ555" s="444"/>
      <c r="AR555" s="444"/>
      <c r="AS555" s="445"/>
    </row>
    <row r="556" spans="31:45">
      <c r="AE556" s="442"/>
      <c r="AF556" s="443"/>
      <c r="AG556" s="443"/>
      <c r="AH556" s="443"/>
      <c r="AI556" s="443"/>
      <c r="AJ556" s="443"/>
      <c r="AK556" s="443"/>
      <c r="AL556" s="444"/>
      <c r="AM556" s="444"/>
      <c r="AN556" s="444"/>
      <c r="AO556" s="444"/>
      <c r="AP556" s="444"/>
      <c r="AQ556" s="444"/>
      <c r="AR556" s="444"/>
      <c r="AS556" s="445"/>
    </row>
    <row r="557" spans="31:45">
      <c r="AE557" s="442"/>
      <c r="AF557" s="443"/>
      <c r="AG557" s="443"/>
      <c r="AH557" s="443"/>
      <c r="AI557" s="443"/>
      <c r="AJ557" s="443"/>
      <c r="AK557" s="443"/>
      <c r="AL557" s="444"/>
      <c r="AM557" s="444"/>
      <c r="AN557" s="444"/>
      <c r="AO557" s="444"/>
      <c r="AP557" s="444"/>
      <c r="AQ557" s="444"/>
      <c r="AR557" s="444"/>
      <c r="AS557" s="445"/>
    </row>
    <row r="558" spans="31:45">
      <c r="AE558" s="442"/>
      <c r="AF558" s="443"/>
      <c r="AG558" s="443"/>
      <c r="AH558" s="443"/>
      <c r="AI558" s="443"/>
      <c r="AJ558" s="443"/>
      <c r="AK558" s="443"/>
      <c r="AL558" s="444"/>
      <c r="AM558" s="444"/>
      <c r="AN558" s="444"/>
      <c r="AO558" s="444"/>
      <c r="AP558" s="444"/>
      <c r="AQ558" s="444"/>
      <c r="AR558" s="444"/>
      <c r="AS558" s="445"/>
    </row>
    <row r="559" spans="31:45">
      <c r="AE559" s="442"/>
      <c r="AF559" s="443"/>
      <c r="AG559" s="443"/>
      <c r="AH559" s="443"/>
      <c r="AI559" s="443"/>
      <c r="AJ559" s="443"/>
      <c r="AK559" s="443"/>
      <c r="AL559" s="444"/>
      <c r="AM559" s="444"/>
      <c r="AN559" s="444"/>
      <c r="AO559" s="444"/>
      <c r="AP559" s="444"/>
      <c r="AQ559" s="444"/>
      <c r="AR559" s="444"/>
      <c r="AS559" s="445"/>
    </row>
    <row r="560" spans="31:45">
      <c r="AE560" s="442"/>
      <c r="AF560" s="443"/>
      <c r="AG560" s="443"/>
      <c r="AH560" s="443"/>
      <c r="AI560" s="443"/>
      <c r="AJ560" s="443"/>
      <c r="AK560" s="443"/>
      <c r="AL560" s="444"/>
      <c r="AM560" s="444"/>
      <c r="AN560" s="444"/>
      <c r="AO560" s="444"/>
      <c r="AP560" s="444"/>
      <c r="AQ560" s="444"/>
      <c r="AR560" s="444"/>
      <c r="AS560" s="445"/>
    </row>
    <row r="561" spans="31:45">
      <c r="AE561" s="442"/>
      <c r="AF561" s="443"/>
      <c r="AG561" s="443"/>
      <c r="AH561" s="443"/>
      <c r="AI561" s="443"/>
      <c r="AJ561" s="443"/>
      <c r="AK561" s="443"/>
      <c r="AL561" s="444"/>
      <c r="AM561" s="444"/>
      <c r="AN561" s="444"/>
      <c r="AO561" s="444"/>
      <c r="AP561" s="444"/>
      <c r="AQ561" s="444"/>
      <c r="AR561" s="444"/>
      <c r="AS561" s="445"/>
    </row>
    <row r="562" spans="31:45">
      <c r="AE562" s="442"/>
      <c r="AF562" s="443"/>
      <c r="AG562" s="443"/>
      <c r="AH562" s="443"/>
      <c r="AI562" s="443"/>
      <c r="AJ562" s="443"/>
      <c r="AK562" s="443"/>
      <c r="AL562" s="444"/>
      <c r="AM562" s="444"/>
      <c r="AN562" s="444"/>
      <c r="AO562" s="444"/>
      <c r="AP562" s="444"/>
      <c r="AQ562" s="444"/>
      <c r="AR562" s="444"/>
      <c r="AS562" s="445"/>
    </row>
    <row r="563" spans="31:45">
      <c r="AE563" s="442"/>
      <c r="AF563" s="443"/>
      <c r="AG563" s="443"/>
      <c r="AH563" s="443"/>
      <c r="AI563" s="443"/>
      <c r="AJ563" s="443"/>
      <c r="AK563" s="443"/>
      <c r="AL563" s="444"/>
      <c r="AM563" s="444"/>
      <c r="AN563" s="444"/>
      <c r="AO563" s="444"/>
      <c r="AP563" s="444"/>
      <c r="AQ563" s="444"/>
      <c r="AR563" s="444"/>
      <c r="AS563" s="445"/>
    </row>
    <row r="564" spans="31:45">
      <c r="AE564" s="442"/>
      <c r="AF564" s="443"/>
      <c r="AG564" s="443"/>
      <c r="AH564" s="443"/>
      <c r="AI564" s="443"/>
      <c r="AJ564" s="443"/>
      <c r="AK564" s="443"/>
      <c r="AL564" s="444"/>
      <c r="AM564" s="444"/>
      <c r="AN564" s="444"/>
      <c r="AO564" s="444"/>
      <c r="AP564" s="444"/>
      <c r="AQ564" s="444"/>
      <c r="AR564" s="444"/>
      <c r="AS564" s="445"/>
    </row>
    <row r="565" spans="31:45">
      <c r="AE565" s="442"/>
      <c r="AF565" s="443"/>
      <c r="AG565" s="443"/>
      <c r="AH565" s="443"/>
      <c r="AI565" s="443"/>
      <c r="AJ565" s="443"/>
      <c r="AK565" s="443"/>
      <c r="AL565" s="444"/>
      <c r="AM565" s="444"/>
      <c r="AN565" s="444"/>
      <c r="AO565" s="444"/>
      <c r="AP565" s="444"/>
      <c r="AQ565" s="444"/>
      <c r="AR565" s="444"/>
      <c r="AS565" s="445"/>
    </row>
    <row r="566" spans="31:45">
      <c r="AE566" s="442"/>
      <c r="AF566" s="443"/>
      <c r="AG566" s="443"/>
      <c r="AH566" s="443"/>
      <c r="AI566" s="443"/>
      <c r="AJ566" s="443"/>
      <c r="AK566" s="443"/>
      <c r="AL566" s="444"/>
      <c r="AM566" s="444"/>
      <c r="AN566" s="444"/>
      <c r="AO566" s="444"/>
      <c r="AP566" s="444"/>
      <c r="AQ566" s="444"/>
      <c r="AR566" s="444"/>
      <c r="AS566" s="445"/>
    </row>
    <row r="567" spans="31:45">
      <c r="AE567" s="442"/>
      <c r="AF567" s="443"/>
      <c r="AG567" s="443"/>
      <c r="AH567" s="443"/>
      <c r="AI567" s="443"/>
      <c r="AJ567" s="443"/>
      <c r="AK567" s="443"/>
      <c r="AL567" s="444"/>
      <c r="AM567" s="444"/>
      <c r="AN567" s="444"/>
      <c r="AO567" s="444"/>
      <c r="AP567" s="444"/>
      <c r="AQ567" s="444"/>
      <c r="AR567" s="444"/>
      <c r="AS567" s="445"/>
    </row>
    <row r="568" spans="31:45">
      <c r="AE568" s="442"/>
      <c r="AF568" s="443"/>
      <c r="AG568" s="443"/>
      <c r="AH568" s="443"/>
      <c r="AI568" s="443"/>
      <c r="AJ568" s="443"/>
      <c r="AK568" s="443"/>
      <c r="AL568" s="444"/>
      <c r="AM568" s="444"/>
      <c r="AN568" s="444"/>
      <c r="AO568" s="444"/>
      <c r="AP568" s="444"/>
      <c r="AQ568" s="444"/>
      <c r="AR568" s="444"/>
      <c r="AS568" s="445"/>
    </row>
    <row r="569" spans="31:45">
      <c r="AE569" s="442"/>
      <c r="AF569" s="443"/>
      <c r="AG569" s="443"/>
      <c r="AH569" s="443"/>
      <c r="AI569" s="443"/>
      <c r="AJ569" s="443"/>
      <c r="AK569" s="443"/>
      <c r="AL569" s="444"/>
      <c r="AM569" s="444"/>
      <c r="AN569" s="444"/>
      <c r="AO569" s="444"/>
      <c r="AP569" s="444"/>
      <c r="AQ569" s="444"/>
      <c r="AR569" s="444"/>
      <c r="AS569" s="445"/>
    </row>
    <row r="570" spans="31:45">
      <c r="AE570" s="442"/>
      <c r="AF570" s="443"/>
      <c r="AG570" s="443"/>
      <c r="AH570" s="443"/>
      <c r="AI570" s="443"/>
      <c r="AJ570" s="443"/>
      <c r="AK570" s="443"/>
      <c r="AL570" s="444"/>
      <c r="AM570" s="444"/>
      <c r="AN570" s="444"/>
      <c r="AO570" s="444"/>
      <c r="AP570" s="444"/>
      <c r="AQ570" s="444"/>
      <c r="AR570" s="444"/>
      <c r="AS570" s="445"/>
    </row>
    <row r="571" spans="31:45">
      <c r="AE571" s="442"/>
      <c r="AF571" s="443"/>
      <c r="AG571" s="443"/>
      <c r="AH571" s="443"/>
      <c r="AI571" s="443"/>
      <c r="AJ571" s="443"/>
      <c r="AK571" s="443"/>
      <c r="AL571" s="444"/>
      <c r="AM571" s="444"/>
      <c r="AN571" s="444"/>
      <c r="AO571" s="444"/>
      <c r="AP571" s="444"/>
      <c r="AQ571" s="444"/>
      <c r="AR571" s="444"/>
      <c r="AS571" s="445"/>
    </row>
    <row r="572" spans="31:45">
      <c r="AE572" s="442"/>
      <c r="AF572" s="443"/>
      <c r="AG572" s="443"/>
      <c r="AH572" s="443"/>
      <c r="AI572" s="443"/>
      <c r="AJ572" s="443"/>
      <c r="AK572" s="443"/>
      <c r="AL572" s="444"/>
      <c r="AM572" s="444"/>
      <c r="AN572" s="444"/>
      <c r="AO572" s="444"/>
      <c r="AP572" s="444"/>
      <c r="AQ572" s="444"/>
      <c r="AR572" s="444"/>
      <c r="AS572" s="445"/>
    </row>
    <row r="573" spans="31:45">
      <c r="AE573" s="442"/>
      <c r="AF573" s="443"/>
      <c r="AG573" s="443"/>
      <c r="AH573" s="443"/>
      <c r="AI573" s="443"/>
      <c r="AJ573" s="443"/>
      <c r="AK573" s="443"/>
      <c r="AL573" s="444"/>
      <c r="AM573" s="444"/>
      <c r="AN573" s="444"/>
      <c r="AO573" s="444"/>
      <c r="AP573" s="444"/>
      <c r="AQ573" s="444"/>
      <c r="AR573" s="444"/>
      <c r="AS573" s="445"/>
    </row>
    <row r="574" spans="31:45">
      <c r="AE574" s="442"/>
      <c r="AF574" s="443"/>
      <c r="AG574" s="443"/>
      <c r="AH574" s="443"/>
      <c r="AI574" s="443"/>
      <c r="AJ574" s="443"/>
      <c r="AK574" s="443"/>
      <c r="AL574" s="444"/>
      <c r="AM574" s="444"/>
      <c r="AN574" s="444"/>
      <c r="AO574" s="444"/>
      <c r="AP574" s="444"/>
      <c r="AQ574" s="444"/>
      <c r="AR574" s="444"/>
      <c r="AS574" s="445"/>
    </row>
    <row r="575" spans="31:45">
      <c r="AE575" s="442"/>
      <c r="AF575" s="443"/>
      <c r="AG575" s="443"/>
      <c r="AH575" s="443"/>
      <c r="AI575" s="443"/>
      <c r="AJ575" s="443"/>
      <c r="AK575" s="443"/>
      <c r="AL575" s="444"/>
      <c r="AM575" s="444"/>
      <c r="AN575" s="444"/>
      <c r="AO575" s="444"/>
      <c r="AP575" s="444"/>
      <c r="AQ575" s="444"/>
      <c r="AR575" s="444"/>
      <c r="AS575" s="445"/>
    </row>
    <row r="576" spans="31:45">
      <c r="AE576" s="442"/>
      <c r="AF576" s="443"/>
      <c r="AG576" s="443"/>
      <c r="AH576" s="443"/>
      <c r="AI576" s="443"/>
      <c r="AJ576" s="443"/>
      <c r="AK576" s="443"/>
      <c r="AL576" s="444"/>
      <c r="AM576" s="444"/>
      <c r="AN576" s="444"/>
      <c r="AO576" s="444"/>
      <c r="AP576" s="444"/>
      <c r="AQ576" s="444"/>
      <c r="AR576" s="444"/>
      <c r="AS576" s="445"/>
    </row>
    <row r="577" spans="31:45">
      <c r="AE577" s="442"/>
      <c r="AF577" s="443"/>
      <c r="AG577" s="443"/>
      <c r="AH577" s="443"/>
      <c r="AI577" s="443"/>
      <c r="AJ577" s="443"/>
      <c r="AK577" s="443"/>
      <c r="AL577" s="444"/>
      <c r="AM577" s="444"/>
      <c r="AN577" s="444"/>
      <c r="AO577" s="444"/>
      <c r="AP577" s="444"/>
      <c r="AQ577" s="444"/>
      <c r="AR577" s="444"/>
      <c r="AS577" s="445"/>
    </row>
    <row r="578" spans="31:45">
      <c r="AE578" s="442"/>
      <c r="AF578" s="443"/>
      <c r="AG578" s="443"/>
      <c r="AH578" s="443"/>
      <c r="AI578" s="443"/>
      <c r="AJ578" s="443"/>
      <c r="AK578" s="443"/>
      <c r="AL578" s="444"/>
      <c r="AM578" s="444"/>
      <c r="AN578" s="444"/>
      <c r="AO578" s="444"/>
      <c r="AP578" s="444"/>
      <c r="AQ578" s="444"/>
      <c r="AR578" s="444"/>
      <c r="AS578" s="445"/>
    </row>
    <row r="579" spans="31:45">
      <c r="AE579" s="442"/>
      <c r="AF579" s="443"/>
      <c r="AG579" s="443"/>
      <c r="AH579" s="443"/>
      <c r="AI579" s="443"/>
      <c r="AJ579" s="443"/>
      <c r="AK579" s="443"/>
      <c r="AL579" s="444"/>
      <c r="AM579" s="444"/>
      <c r="AN579" s="444"/>
      <c r="AO579" s="444"/>
      <c r="AP579" s="444"/>
      <c r="AQ579" s="444"/>
      <c r="AR579" s="444"/>
      <c r="AS579" s="445"/>
    </row>
    <row r="580" spans="31:45">
      <c r="AE580" s="442"/>
      <c r="AF580" s="443"/>
      <c r="AG580" s="443"/>
      <c r="AH580" s="443"/>
      <c r="AI580" s="443"/>
      <c r="AJ580" s="443"/>
      <c r="AK580" s="443"/>
      <c r="AL580" s="444"/>
      <c r="AM580" s="444"/>
      <c r="AN580" s="444"/>
      <c r="AO580" s="444"/>
      <c r="AP580" s="444"/>
      <c r="AQ580" s="444"/>
      <c r="AR580" s="444"/>
      <c r="AS580" s="445"/>
    </row>
    <row r="581" spans="31:45">
      <c r="AE581" s="442"/>
      <c r="AF581" s="443"/>
      <c r="AG581" s="443"/>
      <c r="AH581" s="443"/>
      <c r="AI581" s="443"/>
      <c r="AJ581" s="443"/>
      <c r="AK581" s="443"/>
      <c r="AL581" s="444"/>
      <c r="AM581" s="444"/>
      <c r="AN581" s="444"/>
      <c r="AO581" s="444"/>
      <c r="AP581" s="444"/>
      <c r="AQ581" s="444"/>
      <c r="AR581" s="444"/>
      <c r="AS581" s="445"/>
    </row>
    <row r="582" spans="31:45">
      <c r="AE582" s="442"/>
      <c r="AF582" s="443"/>
      <c r="AG582" s="443"/>
      <c r="AH582" s="443"/>
      <c r="AI582" s="443"/>
      <c r="AJ582" s="443"/>
      <c r="AK582" s="443"/>
      <c r="AL582" s="444"/>
      <c r="AM582" s="444"/>
      <c r="AN582" s="444"/>
      <c r="AO582" s="444"/>
      <c r="AP582" s="444"/>
      <c r="AQ582" s="444"/>
      <c r="AR582" s="444"/>
      <c r="AS582" s="445"/>
    </row>
    <row r="583" spans="31:45">
      <c r="AE583" s="442"/>
      <c r="AF583" s="443"/>
      <c r="AG583" s="443"/>
      <c r="AH583" s="443"/>
      <c r="AI583" s="443"/>
      <c r="AJ583" s="443"/>
      <c r="AK583" s="443"/>
      <c r="AL583" s="444"/>
      <c r="AM583" s="444"/>
      <c r="AN583" s="444"/>
      <c r="AO583" s="444"/>
      <c r="AP583" s="444"/>
      <c r="AQ583" s="444"/>
      <c r="AR583" s="444"/>
      <c r="AS583" s="445"/>
    </row>
    <row r="584" spans="31:45">
      <c r="AE584" s="442"/>
      <c r="AF584" s="443"/>
      <c r="AG584" s="443"/>
      <c r="AH584" s="443"/>
      <c r="AI584" s="443"/>
      <c r="AJ584" s="443"/>
      <c r="AK584" s="443"/>
      <c r="AL584" s="444"/>
      <c r="AM584" s="444"/>
      <c r="AN584" s="444"/>
      <c r="AO584" s="444"/>
      <c r="AP584" s="444"/>
      <c r="AQ584" s="444"/>
      <c r="AR584" s="444"/>
      <c r="AS584" s="445"/>
    </row>
    <row r="585" spans="31:45">
      <c r="AE585" s="442"/>
      <c r="AF585" s="443"/>
      <c r="AG585" s="443"/>
      <c r="AH585" s="443"/>
      <c r="AI585" s="443"/>
      <c r="AJ585" s="443"/>
      <c r="AK585" s="443"/>
      <c r="AL585" s="444"/>
      <c r="AM585" s="444"/>
      <c r="AN585" s="444"/>
      <c r="AO585" s="444"/>
      <c r="AP585" s="444"/>
      <c r="AQ585" s="444"/>
      <c r="AR585" s="444"/>
      <c r="AS585" s="445"/>
    </row>
    <row r="586" spans="31:45">
      <c r="AE586" s="442"/>
      <c r="AF586" s="443"/>
      <c r="AG586" s="443"/>
      <c r="AH586" s="443"/>
      <c r="AI586" s="443"/>
      <c r="AJ586" s="443"/>
      <c r="AK586" s="443"/>
      <c r="AL586" s="444"/>
      <c r="AM586" s="444"/>
      <c r="AN586" s="444"/>
      <c r="AO586" s="444"/>
      <c r="AP586" s="444"/>
      <c r="AQ586" s="444"/>
      <c r="AR586" s="444"/>
      <c r="AS586" s="445"/>
    </row>
    <row r="587" spans="31:45">
      <c r="AE587" s="442"/>
      <c r="AF587" s="443"/>
      <c r="AG587" s="443"/>
      <c r="AH587" s="443"/>
      <c r="AI587" s="443"/>
      <c r="AJ587" s="443"/>
      <c r="AK587" s="443"/>
      <c r="AL587" s="444"/>
      <c r="AM587" s="444"/>
      <c r="AN587" s="444"/>
      <c r="AO587" s="444"/>
      <c r="AP587" s="444"/>
      <c r="AQ587" s="444"/>
      <c r="AR587" s="444"/>
      <c r="AS587" s="445"/>
    </row>
    <row r="588" spans="31:45">
      <c r="AE588" s="442"/>
      <c r="AF588" s="443"/>
      <c r="AG588" s="443"/>
      <c r="AH588" s="443"/>
      <c r="AI588" s="443"/>
      <c r="AJ588" s="443"/>
      <c r="AK588" s="443"/>
      <c r="AL588" s="444"/>
      <c r="AM588" s="444"/>
      <c r="AN588" s="444"/>
      <c r="AO588" s="444"/>
      <c r="AP588" s="444"/>
      <c r="AQ588" s="444"/>
      <c r="AR588" s="444"/>
      <c r="AS588" s="445"/>
    </row>
    <row r="589" spans="31:45">
      <c r="AE589" s="442"/>
      <c r="AF589" s="443"/>
      <c r="AG589" s="443"/>
      <c r="AH589" s="443"/>
      <c r="AI589" s="443"/>
      <c r="AJ589" s="443"/>
      <c r="AK589" s="443"/>
      <c r="AL589" s="444"/>
      <c r="AM589" s="444"/>
      <c r="AN589" s="444"/>
      <c r="AO589" s="444"/>
      <c r="AP589" s="444"/>
      <c r="AQ589" s="444"/>
      <c r="AR589" s="444"/>
      <c r="AS589" s="445"/>
    </row>
    <row r="590" spans="31:45">
      <c r="AE590" s="442"/>
      <c r="AF590" s="443"/>
      <c r="AG590" s="443"/>
      <c r="AH590" s="443"/>
      <c r="AI590" s="443"/>
      <c r="AJ590" s="443"/>
      <c r="AK590" s="443"/>
      <c r="AL590" s="444"/>
      <c r="AM590" s="444"/>
      <c r="AN590" s="444"/>
      <c r="AO590" s="444"/>
      <c r="AP590" s="444"/>
      <c r="AQ590" s="444"/>
      <c r="AR590" s="444"/>
      <c r="AS590" s="445"/>
    </row>
    <row r="591" spans="31:45">
      <c r="AE591" s="442"/>
      <c r="AF591" s="443"/>
      <c r="AG591" s="443"/>
      <c r="AH591" s="443"/>
      <c r="AI591" s="443"/>
      <c r="AJ591" s="443"/>
      <c r="AK591" s="443"/>
      <c r="AL591" s="444"/>
      <c r="AM591" s="444"/>
      <c r="AN591" s="444"/>
      <c r="AO591" s="444"/>
      <c r="AP591" s="444"/>
      <c r="AQ591" s="444"/>
      <c r="AR591" s="444"/>
      <c r="AS591" s="445"/>
    </row>
    <row r="592" spans="31:45">
      <c r="AE592" s="442"/>
      <c r="AF592" s="443"/>
      <c r="AG592" s="443"/>
      <c r="AH592" s="443"/>
      <c r="AI592" s="443"/>
      <c r="AJ592" s="443"/>
      <c r="AK592" s="443"/>
      <c r="AL592" s="444"/>
      <c r="AM592" s="444"/>
      <c r="AN592" s="444"/>
      <c r="AO592" s="444"/>
      <c r="AP592" s="444"/>
      <c r="AQ592" s="444"/>
      <c r="AR592" s="444"/>
      <c r="AS592" s="445"/>
    </row>
    <row r="593" spans="31:45">
      <c r="AE593" s="442"/>
      <c r="AF593" s="443"/>
      <c r="AG593" s="443"/>
      <c r="AH593" s="443"/>
      <c r="AI593" s="443"/>
      <c r="AJ593" s="443"/>
      <c r="AK593" s="443"/>
      <c r="AL593" s="444"/>
      <c r="AM593" s="444"/>
      <c r="AN593" s="444"/>
      <c r="AO593" s="444"/>
      <c r="AP593" s="444"/>
      <c r="AQ593" s="444"/>
      <c r="AR593" s="444"/>
      <c r="AS593" s="445"/>
    </row>
    <row r="594" spans="31:45">
      <c r="AE594" s="442"/>
      <c r="AF594" s="443"/>
      <c r="AG594" s="443"/>
      <c r="AH594" s="443"/>
      <c r="AI594" s="443"/>
      <c r="AJ594" s="443"/>
      <c r="AK594" s="443"/>
      <c r="AL594" s="444"/>
      <c r="AM594" s="444"/>
      <c r="AN594" s="444"/>
      <c r="AO594" s="444"/>
      <c r="AP594" s="444"/>
      <c r="AQ594" s="444"/>
      <c r="AR594" s="444"/>
      <c r="AS594" s="445"/>
    </row>
    <row r="595" spans="31:45">
      <c r="AE595" s="442"/>
      <c r="AF595" s="443"/>
      <c r="AG595" s="443"/>
      <c r="AH595" s="443"/>
      <c r="AI595" s="443"/>
      <c r="AJ595" s="443"/>
      <c r="AK595" s="443"/>
      <c r="AL595" s="444"/>
      <c r="AM595" s="444"/>
      <c r="AN595" s="444"/>
      <c r="AO595" s="444"/>
      <c r="AP595" s="444"/>
      <c r="AQ595" s="444"/>
      <c r="AR595" s="444"/>
      <c r="AS595" s="445"/>
    </row>
    <row r="596" spans="31:45">
      <c r="AE596" s="442"/>
      <c r="AF596" s="443"/>
      <c r="AG596" s="443"/>
      <c r="AH596" s="443"/>
      <c r="AI596" s="443"/>
      <c r="AJ596" s="443"/>
      <c r="AK596" s="443"/>
      <c r="AL596" s="444"/>
      <c r="AM596" s="444"/>
      <c r="AN596" s="444"/>
      <c r="AO596" s="444"/>
      <c r="AP596" s="444"/>
      <c r="AQ596" s="444"/>
      <c r="AR596" s="444"/>
      <c r="AS596" s="445"/>
    </row>
    <row r="597" spans="31:45">
      <c r="AE597" s="442"/>
      <c r="AF597" s="443"/>
      <c r="AG597" s="443"/>
      <c r="AH597" s="443"/>
      <c r="AI597" s="443"/>
      <c r="AJ597" s="443"/>
      <c r="AK597" s="443"/>
      <c r="AL597" s="444"/>
      <c r="AM597" s="444"/>
      <c r="AN597" s="444"/>
      <c r="AO597" s="444"/>
      <c r="AP597" s="444"/>
      <c r="AQ597" s="444"/>
      <c r="AR597" s="444"/>
      <c r="AS597" s="445"/>
    </row>
    <row r="598" spans="31:45">
      <c r="AE598" s="442"/>
      <c r="AF598" s="443"/>
      <c r="AG598" s="443"/>
      <c r="AH598" s="443"/>
      <c r="AI598" s="443"/>
      <c r="AJ598" s="443"/>
      <c r="AK598" s="443"/>
      <c r="AL598" s="444"/>
      <c r="AM598" s="444"/>
      <c r="AN598" s="444"/>
      <c r="AO598" s="444"/>
      <c r="AP598" s="444"/>
      <c r="AQ598" s="444"/>
      <c r="AR598" s="444"/>
      <c r="AS598" s="445"/>
    </row>
    <row r="599" spans="31:45">
      <c r="AE599" s="442"/>
      <c r="AF599" s="443"/>
      <c r="AG599" s="443"/>
      <c r="AH599" s="443"/>
      <c r="AI599" s="443"/>
      <c r="AJ599" s="443"/>
      <c r="AK599" s="443"/>
      <c r="AL599" s="444"/>
      <c r="AM599" s="444"/>
      <c r="AN599" s="444"/>
      <c r="AO599" s="444"/>
      <c r="AP599" s="444"/>
      <c r="AQ599" s="444"/>
      <c r="AR599" s="444"/>
      <c r="AS599" s="445"/>
    </row>
    <row r="600" spans="31:45">
      <c r="AE600" s="442"/>
      <c r="AF600" s="443"/>
      <c r="AG600" s="443"/>
      <c r="AH600" s="443"/>
      <c r="AI600" s="443"/>
      <c r="AJ600" s="443"/>
      <c r="AK600" s="443"/>
      <c r="AL600" s="444"/>
      <c r="AM600" s="444"/>
      <c r="AN600" s="444"/>
      <c r="AO600" s="444"/>
      <c r="AP600" s="444"/>
      <c r="AQ600" s="444"/>
      <c r="AR600" s="444"/>
      <c r="AS600" s="445"/>
    </row>
    <row r="601" spans="31:45">
      <c r="AE601" s="442"/>
      <c r="AF601" s="443"/>
      <c r="AG601" s="443"/>
      <c r="AH601" s="443"/>
      <c r="AI601" s="443"/>
      <c r="AJ601" s="443"/>
      <c r="AK601" s="443"/>
      <c r="AL601" s="444"/>
      <c r="AM601" s="444"/>
      <c r="AN601" s="444"/>
      <c r="AO601" s="444"/>
      <c r="AP601" s="444"/>
      <c r="AQ601" s="444"/>
      <c r="AR601" s="444"/>
      <c r="AS601" s="445"/>
    </row>
    <row r="602" spans="31:45">
      <c r="AE602" s="442"/>
      <c r="AF602" s="443"/>
      <c r="AG602" s="443"/>
      <c r="AH602" s="443"/>
      <c r="AI602" s="443"/>
      <c r="AJ602" s="443"/>
      <c r="AK602" s="443"/>
      <c r="AL602" s="444"/>
      <c r="AM602" s="444"/>
      <c r="AN602" s="444"/>
      <c r="AO602" s="444"/>
      <c r="AP602" s="444"/>
      <c r="AQ602" s="444"/>
      <c r="AR602" s="444"/>
      <c r="AS602" s="445"/>
    </row>
    <row r="603" spans="31:45">
      <c r="AE603" s="442"/>
      <c r="AF603" s="443"/>
      <c r="AG603" s="443"/>
      <c r="AH603" s="443"/>
      <c r="AI603" s="443"/>
      <c r="AJ603" s="443"/>
      <c r="AK603" s="443"/>
      <c r="AL603" s="444"/>
      <c r="AM603" s="444"/>
      <c r="AN603" s="444"/>
      <c r="AO603" s="444"/>
      <c r="AP603" s="444"/>
      <c r="AQ603" s="444"/>
      <c r="AR603" s="444"/>
      <c r="AS603" s="445"/>
    </row>
    <row r="604" spans="31:45">
      <c r="AE604" s="442"/>
      <c r="AF604" s="443"/>
      <c r="AG604" s="443"/>
      <c r="AH604" s="443"/>
      <c r="AI604" s="443"/>
      <c r="AJ604" s="443"/>
      <c r="AK604" s="443"/>
      <c r="AL604" s="444"/>
      <c r="AM604" s="444"/>
      <c r="AN604" s="444"/>
      <c r="AO604" s="444"/>
      <c r="AP604" s="444"/>
      <c r="AQ604" s="444"/>
      <c r="AR604" s="444"/>
      <c r="AS604" s="445"/>
    </row>
    <row r="605" spans="31:45">
      <c r="AE605" s="442"/>
      <c r="AF605" s="443"/>
      <c r="AG605" s="443"/>
      <c r="AH605" s="443"/>
      <c r="AI605" s="443"/>
      <c r="AJ605" s="443"/>
      <c r="AK605" s="443"/>
      <c r="AL605" s="444"/>
      <c r="AM605" s="444"/>
      <c r="AN605" s="444"/>
      <c r="AO605" s="444"/>
      <c r="AP605" s="444"/>
      <c r="AQ605" s="444"/>
      <c r="AR605" s="444"/>
      <c r="AS605" s="445"/>
    </row>
    <row r="606" spans="31:45">
      <c r="AE606" s="442"/>
      <c r="AF606" s="443"/>
      <c r="AG606" s="443"/>
      <c r="AH606" s="443"/>
      <c r="AI606" s="443"/>
      <c r="AJ606" s="443"/>
      <c r="AK606" s="443"/>
      <c r="AL606" s="444"/>
      <c r="AM606" s="444"/>
      <c r="AN606" s="444"/>
      <c r="AO606" s="444"/>
      <c r="AP606" s="444"/>
      <c r="AQ606" s="444"/>
      <c r="AR606" s="444"/>
      <c r="AS606" s="445"/>
    </row>
    <row r="607" spans="31:45">
      <c r="AE607" s="442"/>
      <c r="AF607" s="443"/>
      <c r="AG607" s="443"/>
      <c r="AH607" s="443"/>
      <c r="AI607" s="443"/>
      <c r="AJ607" s="443"/>
      <c r="AK607" s="443"/>
      <c r="AL607" s="444"/>
      <c r="AM607" s="444"/>
      <c r="AN607" s="444"/>
      <c r="AO607" s="444"/>
      <c r="AP607" s="444"/>
      <c r="AQ607" s="444"/>
      <c r="AR607" s="444"/>
      <c r="AS607" s="445"/>
    </row>
    <row r="608" spans="31:45">
      <c r="AE608" s="442"/>
      <c r="AF608" s="443"/>
      <c r="AG608" s="443"/>
      <c r="AH608" s="443"/>
      <c r="AI608" s="443"/>
      <c r="AJ608" s="443"/>
      <c r="AK608" s="443"/>
      <c r="AL608" s="444"/>
      <c r="AM608" s="444"/>
      <c r="AN608" s="444"/>
      <c r="AO608" s="444"/>
      <c r="AP608" s="444"/>
      <c r="AQ608" s="444"/>
      <c r="AR608" s="444"/>
      <c r="AS608" s="445"/>
    </row>
    <row r="609" spans="31:45">
      <c r="AE609" s="442"/>
      <c r="AF609" s="443"/>
      <c r="AG609" s="443"/>
      <c r="AH609" s="443"/>
      <c r="AI609" s="443"/>
      <c r="AJ609" s="443"/>
      <c r="AK609" s="443"/>
      <c r="AL609" s="444"/>
      <c r="AM609" s="444"/>
      <c r="AN609" s="444"/>
      <c r="AO609" s="444"/>
      <c r="AP609" s="444"/>
      <c r="AQ609" s="444"/>
      <c r="AR609" s="444"/>
      <c r="AS609" s="445"/>
    </row>
    <row r="610" spans="31:45">
      <c r="AE610" s="442"/>
      <c r="AF610" s="443"/>
      <c r="AG610" s="443"/>
      <c r="AH610" s="443"/>
      <c r="AI610" s="443"/>
      <c r="AJ610" s="443"/>
      <c r="AK610" s="443"/>
      <c r="AL610" s="444"/>
      <c r="AM610" s="444"/>
      <c r="AN610" s="444"/>
      <c r="AO610" s="444"/>
      <c r="AP610" s="444"/>
      <c r="AQ610" s="444"/>
      <c r="AR610" s="444"/>
      <c r="AS610" s="445"/>
    </row>
    <row r="611" spans="31:45">
      <c r="AE611" s="442"/>
      <c r="AF611" s="443"/>
      <c r="AG611" s="443"/>
      <c r="AH611" s="443"/>
      <c r="AI611" s="443"/>
      <c r="AJ611" s="443"/>
      <c r="AK611" s="443"/>
      <c r="AL611" s="444"/>
      <c r="AM611" s="444"/>
      <c r="AN611" s="444"/>
      <c r="AO611" s="444"/>
      <c r="AP611" s="444"/>
      <c r="AQ611" s="444"/>
      <c r="AR611" s="444"/>
      <c r="AS611" s="445"/>
    </row>
    <row r="612" spans="31:45">
      <c r="AE612" s="442"/>
      <c r="AF612" s="443"/>
      <c r="AG612" s="443"/>
      <c r="AH612" s="443"/>
      <c r="AI612" s="443"/>
      <c r="AJ612" s="443"/>
      <c r="AK612" s="443"/>
      <c r="AL612" s="444"/>
      <c r="AM612" s="444"/>
      <c r="AN612" s="444"/>
      <c r="AO612" s="444"/>
      <c r="AP612" s="444"/>
      <c r="AQ612" s="444"/>
      <c r="AR612" s="444"/>
      <c r="AS612" s="445"/>
    </row>
    <row r="613" spans="31:45">
      <c r="AE613" s="442"/>
      <c r="AF613" s="443"/>
      <c r="AG613" s="443"/>
      <c r="AH613" s="443"/>
      <c r="AI613" s="443"/>
      <c r="AJ613" s="443"/>
      <c r="AK613" s="443"/>
      <c r="AL613" s="444"/>
      <c r="AM613" s="444"/>
      <c r="AN613" s="444"/>
      <c r="AO613" s="444"/>
      <c r="AP613" s="444"/>
      <c r="AQ613" s="444"/>
      <c r="AR613" s="444"/>
      <c r="AS613" s="445"/>
    </row>
    <row r="614" spans="31:45">
      <c r="AE614" s="442"/>
      <c r="AF614" s="443"/>
      <c r="AG614" s="443"/>
      <c r="AH614" s="443"/>
      <c r="AI614" s="443"/>
      <c r="AJ614" s="443"/>
      <c r="AK614" s="443"/>
      <c r="AL614" s="444"/>
      <c r="AM614" s="444"/>
      <c r="AN614" s="444"/>
      <c r="AO614" s="444"/>
      <c r="AP614" s="444"/>
      <c r="AQ614" s="444"/>
      <c r="AR614" s="444"/>
      <c r="AS614" s="445"/>
    </row>
    <row r="615" spans="31:45">
      <c r="AE615" s="442"/>
      <c r="AF615" s="443"/>
      <c r="AG615" s="443"/>
      <c r="AH615" s="443"/>
      <c r="AI615" s="443"/>
      <c r="AJ615" s="443"/>
      <c r="AK615" s="443"/>
      <c r="AL615" s="444"/>
      <c r="AM615" s="444"/>
      <c r="AN615" s="444"/>
      <c r="AO615" s="444"/>
      <c r="AP615" s="444"/>
      <c r="AQ615" s="444"/>
      <c r="AR615" s="444"/>
      <c r="AS615" s="445"/>
    </row>
    <row r="616" spans="31:45">
      <c r="AE616" s="442"/>
      <c r="AF616" s="443"/>
      <c r="AG616" s="443"/>
      <c r="AH616" s="443"/>
      <c r="AI616" s="443"/>
      <c r="AJ616" s="443"/>
      <c r="AK616" s="443"/>
      <c r="AL616" s="444"/>
      <c r="AM616" s="444"/>
      <c r="AN616" s="444"/>
      <c r="AO616" s="444"/>
      <c r="AP616" s="444"/>
      <c r="AQ616" s="444"/>
      <c r="AR616" s="444"/>
      <c r="AS616" s="445"/>
    </row>
    <row r="617" spans="31:45">
      <c r="AE617" s="442"/>
      <c r="AF617" s="443"/>
      <c r="AG617" s="443"/>
      <c r="AH617" s="443"/>
      <c r="AI617" s="443"/>
      <c r="AJ617" s="443"/>
      <c r="AK617" s="443"/>
      <c r="AL617" s="444"/>
      <c r="AM617" s="444"/>
      <c r="AN617" s="444"/>
      <c r="AO617" s="444"/>
      <c r="AP617" s="444"/>
      <c r="AQ617" s="444"/>
      <c r="AR617" s="444"/>
      <c r="AS617" s="445"/>
    </row>
    <row r="618" spans="31:45">
      <c r="AE618" s="442"/>
      <c r="AF618" s="443"/>
      <c r="AG618" s="443"/>
      <c r="AH618" s="443"/>
      <c r="AI618" s="443"/>
      <c r="AJ618" s="443"/>
      <c r="AK618" s="443"/>
      <c r="AL618" s="444"/>
      <c r="AM618" s="444"/>
      <c r="AN618" s="444"/>
      <c r="AO618" s="444"/>
      <c r="AP618" s="444"/>
      <c r="AQ618" s="444"/>
      <c r="AR618" s="444"/>
      <c r="AS618" s="445"/>
    </row>
    <row r="619" spans="31:45">
      <c r="AE619" s="442"/>
      <c r="AF619" s="443"/>
      <c r="AG619" s="443"/>
      <c r="AH619" s="443"/>
      <c r="AI619" s="443"/>
      <c r="AJ619" s="443"/>
      <c r="AK619" s="443"/>
      <c r="AL619" s="444"/>
      <c r="AM619" s="444"/>
      <c r="AN619" s="444"/>
      <c r="AO619" s="444"/>
      <c r="AP619" s="444"/>
      <c r="AQ619" s="444"/>
      <c r="AR619" s="444"/>
      <c r="AS619" s="445"/>
    </row>
    <row r="620" spans="31:45">
      <c r="AE620" s="442"/>
      <c r="AF620" s="443"/>
      <c r="AG620" s="443"/>
      <c r="AH620" s="443"/>
      <c r="AI620" s="443"/>
      <c r="AJ620" s="443"/>
      <c r="AK620" s="443"/>
      <c r="AL620" s="444"/>
      <c r="AM620" s="444"/>
      <c r="AN620" s="444"/>
      <c r="AO620" s="444"/>
      <c r="AP620" s="444"/>
      <c r="AQ620" s="444"/>
      <c r="AR620" s="444"/>
      <c r="AS620" s="445"/>
    </row>
    <row r="621" spans="31:45">
      <c r="AE621" s="442"/>
      <c r="AF621" s="443"/>
      <c r="AG621" s="443"/>
      <c r="AH621" s="443"/>
      <c r="AI621" s="443"/>
      <c r="AJ621" s="443"/>
      <c r="AK621" s="443"/>
      <c r="AL621" s="444"/>
      <c r="AM621" s="444"/>
      <c r="AN621" s="444"/>
      <c r="AO621" s="444"/>
      <c r="AP621" s="444"/>
      <c r="AQ621" s="444"/>
      <c r="AR621" s="444"/>
      <c r="AS621" s="445"/>
    </row>
    <row r="622" spans="31:45">
      <c r="AE622" s="442"/>
      <c r="AF622" s="443"/>
      <c r="AG622" s="443"/>
      <c r="AH622" s="443"/>
      <c r="AI622" s="443"/>
      <c r="AJ622" s="443"/>
      <c r="AK622" s="443"/>
      <c r="AL622" s="444"/>
      <c r="AM622" s="444"/>
      <c r="AN622" s="444"/>
      <c r="AO622" s="444"/>
      <c r="AP622" s="444"/>
      <c r="AQ622" s="444"/>
      <c r="AR622" s="444"/>
      <c r="AS622" s="445"/>
    </row>
    <row r="623" spans="31:45">
      <c r="AE623" s="442"/>
      <c r="AF623" s="443"/>
      <c r="AG623" s="443"/>
      <c r="AH623" s="443"/>
      <c r="AI623" s="443"/>
      <c r="AJ623" s="443"/>
      <c r="AK623" s="443"/>
      <c r="AL623" s="444"/>
      <c r="AM623" s="444"/>
      <c r="AN623" s="444"/>
      <c r="AO623" s="444"/>
      <c r="AP623" s="444"/>
      <c r="AQ623" s="444"/>
      <c r="AR623" s="444"/>
      <c r="AS623" s="445"/>
    </row>
    <row r="624" spans="31:45">
      <c r="AE624" s="442"/>
      <c r="AF624" s="443"/>
      <c r="AG624" s="443"/>
      <c r="AH624" s="443"/>
      <c r="AI624" s="443"/>
      <c r="AJ624" s="443"/>
      <c r="AK624" s="443"/>
      <c r="AL624" s="444"/>
      <c r="AM624" s="444"/>
      <c r="AN624" s="444"/>
      <c r="AO624" s="444"/>
      <c r="AP624" s="444"/>
      <c r="AQ624" s="444"/>
      <c r="AR624" s="444"/>
      <c r="AS624" s="445"/>
    </row>
    <row r="625" spans="31:45">
      <c r="AE625" s="442"/>
      <c r="AF625" s="443"/>
      <c r="AG625" s="443"/>
      <c r="AH625" s="443"/>
      <c r="AI625" s="443"/>
      <c r="AJ625" s="443"/>
      <c r="AK625" s="443"/>
      <c r="AL625" s="444"/>
      <c r="AM625" s="444"/>
      <c r="AN625" s="444"/>
      <c r="AO625" s="444"/>
      <c r="AP625" s="444"/>
      <c r="AQ625" s="444"/>
      <c r="AR625" s="444"/>
      <c r="AS625" s="445"/>
    </row>
    <row r="626" spans="31:45">
      <c r="AE626" s="442"/>
      <c r="AF626" s="443"/>
      <c r="AG626" s="443"/>
      <c r="AH626" s="443"/>
      <c r="AI626" s="443"/>
      <c r="AJ626" s="443"/>
      <c r="AK626" s="443"/>
      <c r="AL626" s="444"/>
      <c r="AM626" s="444"/>
      <c r="AN626" s="444"/>
      <c r="AO626" s="444"/>
      <c r="AP626" s="444"/>
      <c r="AQ626" s="444"/>
      <c r="AR626" s="444"/>
      <c r="AS626" s="445"/>
    </row>
    <row r="627" spans="31:45">
      <c r="AE627" s="442"/>
      <c r="AF627" s="443"/>
      <c r="AG627" s="443"/>
      <c r="AH627" s="443"/>
      <c r="AI627" s="443"/>
      <c r="AJ627" s="443"/>
      <c r="AK627" s="443"/>
      <c r="AL627" s="444"/>
      <c r="AM627" s="444"/>
      <c r="AN627" s="444"/>
      <c r="AO627" s="444"/>
      <c r="AP627" s="444"/>
      <c r="AQ627" s="444"/>
      <c r="AR627" s="444"/>
      <c r="AS627" s="445"/>
    </row>
    <row r="628" spans="31:45">
      <c r="AE628" s="442"/>
      <c r="AF628" s="443"/>
      <c r="AG628" s="443"/>
      <c r="AH628" s="443"/>
      <c r="AI628" s="443"/>
      <c r="AJ628" s="443"/>
      <c r="AK628" s="443"/>
      <c r="AL628" s="444"/>
      <c r="AM628" s="444"/>
      <c r="AN628" s="444"/>
      <c r="AO628" s="444"/>
      <c r="AP628" s="444"/>
      <c r="AQ628" s="444"/>
      <c r="AR628" s="444"/>
      <c r="AS628" s="445"/>
    </row>
    <row r="629" spans="31:45">
      <c r="AE629" s="442"/>
      <c r="AF629" s="443"/>
      <c r="AG629" s="443"/>
      <c r="AH629" s="443"/>
      <c r="AI629" s="443"/>
      <c r="AJ629" s="443"/>
      <c r="AK629" s="443"/>
      <c r="AL629" s="444"/>
      <c r="AM629" s="444"/>
      <c r="AN629" s="444"/>
      <c r="AO629" s="444"/>
      <c r="AP629" s="444"/>
      <c r="AQ629" s="444"/>
      <c r="AR629" s="444"/>
      <c r="AS629" s="445"/>
    </row>
    <row r="630" spans="31:45">
      <c r="AE630" s="442"/>
      <c r="AF630" s="443"/>
      <c r="AG630" s="443"/>
      <c r="AH630" s="443"/>
      <c r="AI630" s="443"/>
      <c r="AJ630" s="443"/>
      <c r="AK630" s="443"/>
      <c r="AL630" s="444"/>
      <c r="AM630" s="444"/>
      <c r="AN630" s="444"/>
      <c r="AO630" s="444"/>
      <c r="AP630" s="444"/>
      <c r="AQ630" s="444"/>
      <c r="AR630" s="444"/>
      <c r="AS630" s="445"/>
    </row>
    <row r="631" spans="31:45">
      <c r="AE631" s="442"/>
      <c r="AF631" s="443"/>
      <c r="AG631" s="443"/>
      <c r="AH631" s="443"/>
      <c r="AI631" s="443"/>
      <c r="AJ631" s="443"/>
      <c r="AK631" s="443"/>
      <c r="AL631" s="444"/>
      <c r="AM631" s="444"/>
      <c r="AN631" s="444"/>
      <c r="AO631" s="444"/>
      <c r="AP631" s="444"/>
      <c r="AQ631" s="444"/>
      <c r="AR631" s="444"/>
      <c r="AS631" s="445"/>
    </row>
    <row r="632" spans="31:45">
      <c r="AE632" s="442"/>
      <c r="AF632" s="443"/>
      <c r="AG632" s="443"/>
      <c r="AH632" s="443"/>
      <c r="AI632" s="443"/>
      <c r="AJ632" s="443"/>
      <c r="AK632" s="443"/>
      <c r="AL632" s="444"/>
      <c r="AM632" s="444"/>
      <c r="AN632" s="444"/>
      <c r="AO632" s="444"/>
      <c r="AP632" s="444"/>
      <c r="AQ632" s="444"/>
      <c r="AR632" s="444"/>
      <c r="AS632" s="445"/>
    </row>
    <row r="633" spans="31:45">
      <c r="AE633" s="442"/>
      <c r="AF633" s="443"/>
      <c r="AG633" s="443"/>
      <c r="AH633" s="443"/>
      <c r="AI633" s="443"/>
      <c r="AJ633" s="443"/>
      <c r="AK633" s="443"/>
      <c r="AL633" s="444"/>
      <c r="AM633" s="444"/>
      <c r="AN633" s="444"/>
      <c r="AO633" s="444"/>
      <c r="AP633" s="444"/>
      <c r="AQ633" s="444"/>
      <c r="AR633" s="444"/>
      <c r="AS633" s="445"/>
    </row>
    <row r="634" spans="31:45">
      <c r="AE634" s="442"/>
      <c r="AF634" s="443"/>
      <c r="AG634" s="443"/>
      <c r="AH634" s="443"/>
      <c r="AI634" s="443"/>
      <c r="AJ634" s="443"/>
      <c r="AK634" s="443"/>
      <c r="AL634" s="444"/>
      <c r="AM634" s="444"/>
      <c r="AN634" s="444"/>
      <c r="AO634" s="444"/>
      <c r="AP634" s="444"/>
      <c r="AQ634" s="444"/>
      <c r="AR634" s="444"/>
      <c r="AS634" s="445"/>
    </row>
    <row r="635" spans="31:45">
      <c r="AE635" s="442"/>
      <c r="AF635" s="443"/>
      <c r="AG635" s="443"/>
      <c r="AH635" s="443"/>
      <c r="AI635" s="443"/>
      <c r="AJ635" s="443"/>
      <c r="AK635" s="443"/>
      <c r="AL635" s="444"/>
      <c r="AM635" s="444"/>
      <c r="AN635" s="444"/>
      <c r="AO635" s="444"/>
      <c r="AP635" s="444"/>
      <c r="AQ635" s="444"/>
      <c r="AR635" s="444"/>
      <c r="AS635" s="445"/>
    </row>
    <row r="636" spans="31:45">
      <c r="AE636" s="442"/>
      <c r="AF636" s="443"/>
      <c r="AG636" s="443"/>
      <c r="AH636" s="443"/>
      <c r="AI636" s="443"/>
      <c r="AJ636" s="443"/>
      <c r="AK636" s="443"/>
      <c r="AL636" s="444"/>
      <c r="AM636" s="444"/>
      <c r="AN636" s="444"/>
      <c r="AO636" s="444"/>
      <c r="AP636" s="444"/>
      <c r="AQ636" s="444"/>
      <c r="AR636" s="444"/>
      <c r="AS636" s="445"/>
    </row>
    <row r="637" spans="31:45">
      <c r="AE637" s="442"/>
      <c r="AF637" s="443"/>
      <c r="AG637" s="443"/>
      <c r="AH637" s="443"/>
      <c r="AI637" s="443"/>
      <c r="AJ637" s="443"/>
      <c r="AK637" s="443"/>
      <c r="AL637" s="444"/>
      <c r="AM637" s="444"/>
      <c r="AN637" s="444"/>
      <c r="AO637" s="444"/>
      <c r="AP637" s="444"/>
      <c r="AQ637" s="444"/>
      <c r="AR637" s="444"/>
      <c r="AS637" s="445"/>
    </row>
    <row r="638" spans="31:45">
      <c r="AE638" s="442"/>
      <c r="AF638" s="443"/>
      <c r="AG638" s="443"/>
      <c r="AH638" s="443"/>
      <c r="AI638" s="443"/>
      <c r="AJ638" s="443"/>
      <c r="AK638" s="443"/>
      <c r="AL638" s="444"/>
      <c r="AM638" s="444"/>
      <c r="AN638" s="444"/>
      <c r="AO638" s="444"/>
      <c r="AP638" s="444"/>
      <c r="AQ638" s="444"/>
      <c r="AR638" s="444"/>
      <c r="AS638" s="445"/>
    </row>
    <row r="639" spans="31:45">
      <c r="AE639" s="442"/>
      <c r="AF639" s="443"/>
      <c r="AG639" s="443"/>
      <c r="AH639" s="443"/>
      <c r="AI639" s="443"/>
      <c r="AJ639" s="443"/>
      <c r="AK639" s="443"/>
      <c r="AL639" s="444"/>
      <c r="AM639" s="444"/>
      <c r="AN639" s="444"/>
      <c r="AO639" s="444"/>
      <c r="AP639" s="444"/>
      <c r="AQ639" s="444"/>
      <c r="AR639" s="444"/>
      <c r="AS639" s="445"/>
    </row>
    <row r="640" spans="31:45">
      <c r="AE640" s="442"/>
      <c r="AF640" s="443"/>
      <c r="AG640" s="443"/>
      <c r="AH640" s="443"/>
      <c r="AI640" s="443"/>
      <c r="AJ640" s="443"/>
      <c r="AK640" s="443"/>
      <c r="AL640" s="444"/>
      <c r="AM640" s="444"/>
      <c r="AN640" s="444"/>
      <c r="AO640" s="444"/>
      <c r="AP640" s="444"/>
      <c r="AQ640" s="444"/>
      <c r="AR640" s="444"/>
      <c r="AS640" s="445"/>
    </row>
    <row r="641" spans="31:45">
      <c r="AE641" s="442"/>
      <c r="AF641" s="443"/>
      <c r="AG641" s="443"/>
      <c r="AH641" s="443"/>
      <c r="AI641" s="443"/>
      <c r="AJ641" s="443"/>
      <c r="AK641" s="443"/>
      <c r="AL641" s="444"/>
      <c r="AM641" s="444"/>
      <c r="AN641" s="444"/>
      <c r="AO641" s="444"/>
      <c r="AP641" s="444"/>
      <c r="AQ641" s="444"/>
      <c r="AR641" s="444"/>
      <c r="AS641" s="445"/>
    </row>
    <row r="642" spans="31:45">
      <c r="AE642" s="442"/>
      <c r="AF642" s="443"/>
      <c r="AG642" s="443"/>
      <c r="AH642" s="443"/>
      <c r="AI642" s="443"/>
      <c r="AJ642" s="443"/>
      <c r="AK642" s="443"/>
      <c r="AL642" s="444"/>
      <c r="AM642" s="444"/>
      <c r="AN642" s="444"/>
      <c r="AO642" s="444"/>
      <c r="AP642" s="444"/>
      <c r="AQ642" s="444"/>
      <c r="AR642" s="444"/>
      <c r="AS642" s="445"/>
    </row>
    <row r="643" spans="31:45">
      <c r="AE643" s="442"/>
      <c r="AF643" s="443"/>
      <c r="AG643" s="443"/>
      <c r="AH643" s="443"/>
      <c r="AI643" s="443"/>
      <c r="AJ643" s="443"/>
      <c r="AK643" s="443"/>
      <c r="AL643" s="444"/>
      <c r="AM643" s="444"/>
      <c r="AN643" s="444"/>
      <c r="AO643" s="444"/>
      <c r="AP643" s="444"/>
      <c r="AQ643" s="444"/>
      <c r="AR643" s="444"/>
      <c r="AS643" s="445"/>
    </row>
    <row r="644" spans="31:45">
      <c r="AE644" s="442" t="e">
        <f>WORKDAY(AE643,-1)</f>
        <v>#NUM!</v>
      </c>
      <c r="AF644" s="443" t="e">
        <f>_xll.BDH(AF$5,"PX_LAST",$AE644)</f>
        <v>#NUM!</v>
      </c>
      <c r="AG644" s="443" t="e">
        <f>_xll.BDH(AG$5,"PX_LAST",$AE644)</f>
        <v>#NUM!</v>
      </c>
      <c r="AH644" s="443" t="e">
        <f>_xll.BDH(AH$5,"PX_LAST",$AE644)</f>
        <v>#NUM!</v>
      </c>
      <c r="AI644" s="443" t="e">
        <f>_xll.BDH(AI$5,"PX_LAST",$AE644)</f>
        <v>#NUM!</v>
      </c>
      <c r="AJ644" s="443" t="e">
        <f>_xll.BDH(AJ$5,"PX_LAST",$AE644)</f>
        <v>#NUM!</v>
      </c>
      <c r="AK644" s="443" t="e">
        <f>_xll.BDH(AK$5,"PX_LAST",$AE644)</f>
        <v>#NUM!</v>
      </c>
      <c r="AL644" s="444">
        <f>IFERROR(AH644-AF644,AL643)</f>
        <v>0</v>
      </c>
      <c r="AM644" s="444">
        <f>IFERROR(AG644-AF644,AM643)</f>
        <v>0</v>
      </c>
      <c r="AN644" s="444">
        <f>IFERROR(AH644-AG644,AN643)</f>
        <v>0</v>
      </c>
      <c r="AO644" s="444">
        <f>(AM644-AN644)/2</f>
        <v>0</v>
      </c>
      <c r="AP644" s="444">
        <f>IFERROR(AK644-AI644,AP643)</f>
        <v>0</v>
      </c>
      <c r="AQ644" s="444">
        <f>IFERROR(AJ644-AI644,AQ643)</f>
        <v>0</v>
      </c>
      <c r="AR644" s="444">
        <f>IFERROR(AK644-AJ644,AR643)</f>
        <v>0</v>
      </c>
      <c r="AS644" s="445">
        <f>(AQ644-AR644)/2</f>
        <v>0</v>
      </c>
    </row>
    <row r="645" spans="31:45">
      <c r="AE645" s="442"/>
      <c r="AF645" s="443"/>
      <c r="AG645" s="443"/>
      <c r="AH645" s="443"/>
      <c r="AI645" s="443"/>
      <c r="AJ645" s="443"/>
      <c r="AK645" s="443"/>
      <c r="AL645" s="444"/>
      <c r="AM645" s="444"/>
      <c r="AN645" s="444"/>
      <c r="AO645" s="444"/>
      <c r="AP645" s="444"/>
      <c r="AQ645" s="444"/>
      <c r="AR645" s="444"/>
      <c r="AS645" s="445"/>
    </row>
    <row r="646" spans="31:45">
      <c r="AE646" s="442"/>
      <c r="AF646" s="443"/>
      <c r="AG646" s="443"/>
      <c r="AH646" s="443"/>
      <c r="AI646" s="443"/>
      <c r="AJ646" s="443"/>
      <c r="AK646" s="443"/>
      <c r="AL646" s="444"/>
      <c r="AM646" s="444"/>
      <c r="AN646" s="444"/>
      <c r="AO646" s="444"/>
      <c r="AP646" s="444"/>
      <c r="AQ646" s="444"/>
      <c r="AR646" s="444"/>
      <c r="AS646" s="445"/>
    </row>
    <row r="647" spans="31:45">
      <c r="AE647" s="442"/>
      <c r="AF647" s="443"/>
      <c r="AG647" s="443"/>
      <c r="AH647" s="443"/>
      <c r="AI647" s="443"/>
      <c r="AJ647" s="443"/>
      <c r="AK647" s="443"/>
      <c r="AL647" s="444"/>
      <c r="AM647" s="444"/>
      <c r="AN647" s="444"/>
      <c r="AO647" s="444"/>
      <c r="AP647" s="444"/>
      <c r="AQ647" s="444"/>
      <c r="AR647" s="444"/>
      <c r="AS647" s="445"/>
    </row>
    <row r="648" spans="31:45">
      <c r="AE648" s="442"/>
      <c r="AF648" s="443"/>
      <c r="AG648" s="443"/>
      <c r="AH648" s="443"/>
      <c r="AI648" s="443"/>
      <c r="AJ648" s="443"/>
      <c r="AK648" s="443"/>
      <c r="AL648" s="444"/>
      <c r="AM648" s="444"/>
      <c r="AN648" s="444"/>
      <c r="AO648" s="444"/>
      <c r="AP648" s="444"/>
      <c r="AQ648" s="444"/>
      <c r="AR648" s="444"/>
      <c r="AS648" s="445"/>
    </row>
    <row r="649" spans="31:45">
      <c r="AE649" s="442"/>
      <c r="AF649" s="443"/>
      <c r="AG649" s="443"/>
      <c r="AH649" s="443"/>
      <c r="AI649" s="443"/>
      <c r="AJ649" s="443"/>
      <c r="AK649" s="443"/>
      <c r="AL649" s="444"/>
      <c r="AM649" s="444"/>
      <c r="AN649" s="444"/>
      <c r="AO649" s="444"/>
      <c r="AP649" s="444"/>
      <c r="AQ649" s="444"/>
      <c r="AR649" s="444"/>
      <c r="AS649" s="445"/>
    </row>
    <row r="650" spans="31:45">
      <c r="AE650" s="442"/>
      <c r="AF650" s="443"/>
      <c r="AG650" s="443"/>
      <c r="AH650" s="443"/>
      <c r="AI650" s="443"/>
      <c r="AJ650" s="443"/>
      <c r="AK650" s="443"/>
      <c r="AL650" s="444"/>
      <c r="AM650" s="444"/>
      <c r="AN650" s="444"/>
      <c r="AO650" s="444"/>
      <c r="AP650" s="444"/>
      <c r="AQ650" s="444"/>
      <c r="AR650" s="444"/>
      <c r="AS650" s="445"/>
    </row>
    <row r="651" spans="31:45">
      <c r="AE651" s="442"/>
      <c r="AF651" s="443"/>
      <c r="AG651" s="443"/>
      <c r="AH651" s="443"/>
      <c r="AI651" s="443"/>
      <c r="AJ651" s="443"/>
      <c r="AK651" s="443"/>
      <c r="AL651" s="444"/>
      <c r="AM651" s="444"/>
      <c r="AN651" s="444"/>
      <c r="AO651" s="444"/>
      <c r="AP651" s="444"/>
      <c r="AQ651" s="444"/>
      <c r="AR651" s="444"/>
      <c r="AS651" s="445"/>
    </row>
    <row r="652" spans="31:45">
      <c r="AE652" s="442"/>
      <c r="AF652" s="443"/>
      <c r="AG652" s="443"/>
      <c r="AH652" s="443"/>
      <c r="AI652" s="443"/>
      <c r="AJ652" s="443"/>
      <c r="AK652" s="443"/>
      <c r="AL652" s="444"/>
      <c r="AM652" s="444"/>
      <c r="AN652" s="444"/>
      <c r="AO652" s="444"/>
      <c r="AP652" s="444"/>
      <c r="AQ652" s="444"/>
      <c r="AR652" s="444"/>
      <c r="AS652" s="445"/>
    </row>
    <row r="653" spans="31:45">
      <c r="AE653" s="442"/>
      <c r="AF653" s="443"/>
      <c r="AG653" s="443"/>
      <c r="AH653" s="443"/>
      <c r="AI653" s="443"/>
      <c r="AJ653" s="443"/>
      <c r="AK653" s="443"/>
      <c r="AL653" s="444"/>
      <c r="AM653" s="444"/>
      <c r="AN653" s="444"/>
      <c r="AO653" s="444"/>
      <c r="AP653" s="444"/>
      <c r="AQ653" s="444"/>
      <c r="AR653" s="444"/>
      <c r="AS653" s="445"/>
    </row>
    <row r="654" spans="31:45">
      <c r="AE654" s="442"/>
      <c r="AF654" s="443"/>
      <c r="AG654" s="443"/>
      <c r="AH654" s="443"/>
      <c r="AI654" s="443"/>
      <c r="AJ654" s="443"/>
      <c r="AK654" s="443"/>
      <c r="AL654" s="444"/>
      <c r="AM654" s="444"/>
      <c r="AN654" s="444"/>
      <c r="AO654" s="444"/>
      <c r="AP654" s="444"/>
      <c r="AQ654" s="444"/>
      <c r="AR654" s="444"/>
      <c r="AS654" s="445"/>
    </row>
    <row r="655" spans="31:45">
      <c r="AE655" s="442"/>
      <c r="AF655" s="443"/>
      <c r="AG655" s="443"/>
      <c r="AH655" s="443"/>
      <c r="AI655" s="443"/>
      <c r="AJ655" s="443"/>
      <c r="AK655" s="443"/>
      <c r="AL655" s="444"/>
      <c r="AM655" s="444"/>
      <c r="AN655" s="444"/>
      <c r="AO655" s="444"/>
      <c r="AP655" s="444"/>
      <c r="AQ655" s="444"/>
      <c r="AR655" s="444"/>
      <c r="AS655" s="445"/>
    </row>
    <row r="656" spans="31:45">
      <c r="AE656" s="442"/>
      <c r="AF656" s="443"/>
      <c r="AG656" s="443"/>
      <c r="AH656" s="443"/>
      <c r="AI656" s="443"/>
      <c r="AJ656" s="443"/>
      <c r="AK656" s="443"/>
      <c r="AL656" s="444"/>
      <c r="AM656" s="444"/>
      <c r="AN656" s="444"/>
      <c r="AO656" s="444"/>
      <c r="AP656" s="444"/>
      <c r="AQ656" s="444"/>
      <c r="AR656" s="444"/>
      <c r="AS656" s="445"/>
    </row>
    <row r="657" spans="31:45">
      <c r="AE657" s="442"/>
      <c r="AF657" s="443"/>
      <c r="AG657" s="443"/>
      <c r="AH657" s="443"/>
      <c r="AI657" s="443"/>
      <c r="AJ657" s="443"/>
      <c r="AK657" s="443"/>
      <c r="AL657" s="444"/>
      <c r="AM657" s="444"/>
      <c r="AN657" s="444"/>
      <c r="AO657" s="444"/>
      <c r="AP657" s="444"/>
      <c r="AQ657" s="444"/>
      <c r="AR657" s="444"/>
      <c r="AS657" s="445"/>
    </row>
    <row r="658" spans="31:45">
      <c r="AE658" s="442"/>
      <c r="AF658" s="443"/>
      <c r="AG658" s="443"/>
      <c r="AH658" s="443"/>
      <c r="AI658" s="443"/>
      <c r="AJ658" s="443"/>
      <c r="AK658" s="443"/>
      <c r="AL658" s="444"/>
      <c r="AM658" s="444"/>
      <c r="AN658" s="444"/>
      <c r="AO658" s="444"/>
      <c r="AP658" s="444"/>
      <c r="AQ658" s="444"/>
      <c r="AR658" s="444"/>
      <c r="AS658" s="445"/>
    </row>
    <row r="659" spans="31:45">
      <c r="AE659" s="442"/>
      <c r="AF659" s="443"/>
      <c r="AG659" s="443"/>
      <c r="AH659" s="443"/>
      <c r="AI659" s="443"/>
      <c r="AJ659" s="443"/>
      <c r="AK659" s="443"/>
      <c r="AL659" s="444"/>
      <c r="AM659" s="444"/>
      <c r="AN659" s="444"/>
      <c r="AO659" s="444"/>
      <c r="AP659" s="444"/>
      <c r="AQ659" s="444"/>
      <c r="AR659" s="444"/>
      <c r="AS659" s="445"/>
    </row>
    <row r="660" spans="31:45">
      <c r="AE660" s="442"/>
      <c r="AF660" s="443"/>
      <c r="AG660" s="443"/>
      <c r="AH660" s="443"/>
      <c r="AI660" s="443"/>
      <c r="AJ660" s="443"/>
      <c r="AK660" s="443"/>
      <c r="AL660" s="444"/>
      <c r="AM660" s="444"/>
      <c r="AN660" s="444"/>
      <c r="AO660" s="444"/>
      <c r="AP660" s="444"/>
      <c r="AQ660" s="444"/>
      <c r="AR660" s="444"/>
      <c r="AS660" s="445"/>
    </row>
    <row r="661" spans="31:45">
      <c r="AE661" s="442"/>
      <c r="AF661" s="443"/>
      <c r="AG661" s="443"/>
      <c r="AH661" s="443"/>
      <c r="AI661" s="443"/>
      <c r="AJ661" s="443"/>
      <c r="AK661" s="443"/>
      <c r="AL661" s="444"/>
      <c r="AM661" s="444"/>
      <c r="AN661" s="444"/>
      <c r="AO661" s="444"/>
      <c r="AP661" s="444"/>
      <c r="AQ661" s="444"/>
      <c r="AR661" s="444"/>
      <c r="AS661" s="445"/>
    </row>
    <row r="662" spans="31:45">
      <c r="AE662" s="442"/>
      <c r="AF662" s="443"/>
      <c r="AG662" s="443"/>
      <c r="AH662" s="443"/>
      <c r="AI662" s="443"/>
      <c r="AJ662" s="443"/>
      <c r="AK662" s="443"/>
      <c r="AL662" s="444"/>
      <c r="AM662" s="444"/>
      <c r="AN662" s="444"/>
      <c r="AO662" s="444"/>
      <c r="AP662" s="444"/>
      <c r="AQ662" s="444"/>
      <c r="AR662" s="444"/>
      <c r="AS662" s="445"/>
    </row>
    <row r="663" spans="31:45">
      <c r="AE663" s="442"/>
      <c r="AF663" s="443"/>
      <c r="AG663" s="443"/>
      <c r="AH663" s="443"/>
      <c r="AI663" s="443"/>
      <c r="AJ663" s="443"/>
      <c r="AK663" s="443"/>
      <c r="AL663" s="444"/>
      <c r="AM663" s="444"/>
      <c r="AN663" s="444"/>
      <c r="AO663" s="444"/>
      <c r="AP663" s="444"/>
      <c r="AQ663" s="444"/>
      <c r="AR663" s="444"/>
      <c r="AS663" s="445"/>
    </row>
    <row r="664" spans="31:45">
      <c r="AE664" s="442"/>
      <c r="AF664" s="443"/>
      <c r="AG664" s="443"/>
      <c r="AH664" s="443"/>
      <c r="AI664" s="443"/>
      <c r="AJ664" s="443"/>
      <c r="AK664" s="443"/>
      <c r="AL664" s="444"/>
      <c r="AM664" s="444"/>
      <c r="AN664" s="444"/>
      <c r="AO664" s="444"/>
      <c r="AP664" s="444"/>
      <c r="AQ664" s="444"/>
      <c r="AR664" s="444"/>
      <c r="AS664" s="445"/>
    </row>
    <row r="665" spans="31:45">
      <c r="AE665" s="442"/>
      <c r="AF665" s="443"/>
      <c r="AG665" s="443"/>
      <c r="AH665" s="443"/>
      <c r="AI665" s="443"/>
      <c r="AJ665" s="443"/>
      <c r="AK665" s="443"/>
      <c r="AL665" s="444"/>
      <c r="AM665" s="444"/>
      <c r="AN665" s="444"/>
      <c r="AO665" s="444"/>
      <c r="AP665" s="444"/>
      <c r="AQ665" s="444"/>
      <c r="AR665" s="444"/>
      <c r="AS665" s="445"/>
    </row>
    <row r="666" spans="31:45">
      <c r="AE666" s="442"/>
      <c r="AF666" s="443"/>
      <c r="AG666" s="443"/>
      <c r="AH666" s="443"/>
      <c r="AI666" s="443"/>
      <c r="AJ666" s="443"/>
      <c r="AK666" s="443"/>
      <c r="AL666" s="444"/>
      <c r="AM666" s="444"/>
      <c r="AN666" s="444"/>
      <c r="AO666" s="444"/>
      <c r="AP666" s="444"/>
      <c r="AQ666" s="444"/>
      <c r="AR666" s="444"/>
      <c r="AS666" s="445"/>
    </row>
    <row r="667" spans="31:45">
      <c r="AE667" s="442"/>
      <c r="AF667" s="443"/>
      <c r="AG667" s="443"/>
      <c r="AH667" s="443"/>
      <c r="AI667" s="443"/>
      <c r="AJ667" s="443"/>
      <c r="AK667" s="443"/>
      <c r="AL667" s="444"/>
      <c r="AM667" s="444"/>
      <c r="AN667" s="444"/>
      <c r="AO667" s="444"/>
      <c r="AP667" s="444"/>
      <c r="AQ667" s="444"/>
      <c r="AR667" s="444"/>
      <c r="AS667" s="445"/>
    </row>
    <row r="668" spans="31:45">
      <c r="AE668" s="442"/>
      <c r="AF668" s="443"/>
      <c r="AG668" s="443"/>
      <c r="AH668" s="443"/>
      <c r="AI668" s="443"/>
      <c r="AJ668" s="443"/>
      <c r="AK668" s="443"/>
      <c r="AL668" s="444"/>
      <c r="AM668" s="444"/>
      <c r="AN668" s="444"/>
      <c r="AO668" s="444"/>
      <c r="AP668" s="444"/>
      <c r="AQ668" s="444"/>
      <c r="AR668" s="444"/>
      <c r="AS668" s="445"/>
    </row>
    <row r="669" spans="31:45">
      <c r="AE669" s="442"/>
      <c r="AF669" s="443"/>
      <c r="AG669" s="443"/>
      <c r="AH669" s="443"/>
      <c r="AI669" s="443"/>
      <c r="AJ669" s="443"/>
      <c r="AK669" s="443"/>
      <c r="AL669" s="444"/>
      <c r="AM669" s="444"/>
      <c r="AN669" s="444"/>
      <c r="AO669" s="444"/>
      <c r="AP669" s="444"/>
      <c r="AQ669" s="444"/>
      <c r="AR669" s="444"/>
      <c r="AS669" s="445"/>
    </row>
    <row r="670" spans="31:45">
      <c r="AE670" s="442"/>
      <c r="AF670" s="443"/>
      <c r="AG670" s="443"/>
      <c r="AH670" s="443"/>
      <c r="AI670" s="443"/>
      <c r="AJ670" s="443"/>
      <c r="AK670" s="443"/>
      <c r="AL670" s="444"/>
      <c r="AM670" s="444"/>
      <c r="AN670" s="444"/>
      <c r="AO670" s="444"/>
      <c r="AP670" s="444"/>
      <c r="AQ670" s="444"/>
      <c r="AR670" s="444"/>
      <c r="AS670" s="445"/>
    </row>
    <row r="671" spans="31:45">
      <c r="AE671" s="442"/>
      <c r="AF671" s="443"/>
      <c r="AG671" s="443"/>
      <c r="AH671" s="443"/>
      <c r="AI671" s="443"/>
      <c r="AJ671" s="443"/>
      <c r="AK671" s="443"/>
      <c r="AL671" s="444"/>
      <c r="AM671" s="444"/>
      <c r="AN671" s="444"/>
      <c r="AO671" s="444"/>
      <c r="AP671" s="444"/>
      <c r="AQ671" s="444"/>
      <c r="AR671" s="444"/>
      <c r="AS671" s="445"/>
    </row>
    <row r="672" spans="31:45">
      <c r="AE672" s="442"/>
      <c r="AF672" s="443"/>
      <c r="AG672" s="443"/>
      <c r="AH672" s="443"/>
      <c r="AI672" s="443"/>
      <c r="AJ672" s="443"/>
      <c r="AK672" s="443"/>
      <c r="AL672" s="444"/>
      <c r="AM672" s="444"/>
      <c r="AN672" s="444"/>
      <c r="AO672" s="444"/>
      <c r="AP672" s="444"/>
      <c r="AQ672" s="444"/>
      <c r="AR672" s="444"/>
      <c r="AS672" s="445"/>
    </row>
    <row r="673" spans="31:45">
      <c r="AE673" s="442"/>
      <c r="AF673" s="443"/>
      <c r="AG673" s="443"/>
      <c r="AH673" s="443"/>
      <c r="AI673" s="443"/>
      <c r="AJ673" s="443"/>
      <c r="AK673" s="443"/>
      <c r="AL673" s="444"/>
      <c r="AM673" s="444"/>
      <c r="AN673" s="444"/>
      <c r="AO673" s="444"/>
      <c r="AP673" s="444"/>
      <c r="AQ673" s="444"/>
      <c r="AR673" s="444"/>
      <c r="AS673" s="445"/>
    </row>
    <row r="674" spans="31:45">
      <c r="AE674" s="442"/>
      <c r="AF674" s="443"/>
      <c r="AG674" s="443"/>
      <c r="AH674" s="443"/>
      <c r="AI674" s="443"/>
      <c r="AJ674" s="443"/>
      <c r="AK674" s="443"/>
      <c r="AL674" s="444"/>
      <c r="AM674" s="444"/>
      <c r="AN674" s="444"/>
      <c r="AO674" s="444"/>
      <c r="AP674" s="444"/>
      <c r="AQ674" s="444"/>
      <c r="AR674" s="444"/>
      <c r="AS674" s="445"/>
    </row>
    <row r="675" spans="31:45">
      <c r="AE675" s="442"/>
      <c r="AF675" s="443"/>
      <c r="AG675" s="443"/>
      <c r="AH675" s="443"/>
      <c r="AI675" s="443"/>
      <c r="AJ675" s="443"/>
      <c r="AK675" s="443"/>
      <c r="AL675" s="444"/>
      <c r="AM675" s="444"/>
      <c r="AN675" s="444"/>
      <c r="AO675" s="444"/>
      <c r="AP675" s="444"/>
      <c r="AQ675" s="444"/>
      <c r="AR675" s="444"/>
      <c r="AS675" s="445"/>
    </row>
    <row r="676" spans="31:45">
      <c r="AE676" s="442"/>
      <c r="AF676" s="443"/>
      <c r="AG676" s="443"/>
      <c r="AH676" s="443"/>
      <c r="AI676" s="443"/>
      <c r="AJ676" s="443"/>
      <c r="AK676" s="443"/>
      <c r="AL676" s="444"/>
      <c r="AM676" s="444"/>
      <c r="AN676" s="444"/>
      <c r="AO676" s="444"/>
      <c r="AP676" s="444"/>
      <c r="AQ676" s="444"/>
      <c r="AR676" s="444"/>
      <c r="AS676" s="445"/>
    </row>
    <row r="677" spans="31:45">
      <c r="AE677" s="442"/>
      <c r="AF677" s="443"/>
      <c r="AG677" s="443"/>
      <c r="AH677" s="443"/>
      <c r="AI677" s="443"/>
      <c r="AJ677" s="443"/>
      <c r="AK677" s="443"/>
      <c r="AL677" s="444"/>
      <c r="AM677" s="444"/>
      <c r="AN677" s="444"/>
      <c r="AO677" s="444"/>
      <c r="AP677" s="444"/>
      <c r="AQ677" s="444"/>
      <c r="AR677" s="444"/>
      <c r="AS677" s="445"/>
    </row>
    <row r="678" spans="31:45">
      <c r="AE678" s="442"/>
      <c r="AF678" s="443"/>
      <c r="AG678" s="443"/>
      <c r="AH678" s="443"/>
      <c r="AI678" s="443"/>
      <c r="AJ678" s="443"/>
      <c r="AK678" s="443"/>
      <c r="AL678" s="444"/>
      <c r="AM678" s="444"/>
      <c r="AN678" s="444"/>
      <c r="AO678" s="444"/>
      <c r="AP678" s="444"/>
      <c r="AQ678" s="444"/>
      <c r="AR678" s="444"/>
      <c r="AS678" s="445"/>
    </row>
    <row r="679" spans="31:45">
      <c r="AE679" s="442"/>
      <c r="AF679" s="443"/>
      <c r="AG679" s="443"/>
      <c r="AH679" s="443"/>
      <c r="AI679" s="443"/>
      <c r="AJ679" s="443"/>
      <c r="AK679" s="443"/>
      <c r="AL679" s="444"/>
      <c r="AM679" s="444"/>
      <c r="AN679" s="444"/>
      <c r="AO679" s="444"/>
      <c r="AP679" s="444"/>
      <c r="AQ679" s="444"/>
      <c r="AR679" s="444"/>
      <c r="AS679" s="445"/>
    </row>
    <row r="680" spans="31:45">
      <c r="AE680" s="442"/>
      <c r="AF680" s="443"/>
      <c r="AG680" s="443"/>
      <c r="AH680" s="443"/>
      <c r="AI680" s="443"/>
      <c r="AJ680" s="443"/>
      <c r="AK680" s="443"/>
      <c r="AL680" s="444"/>
      <c r="AM680" s="444"/>
      <c r="AN680" s="444"/>
      <c r="AO680" s="444"/>
      <c r="AP680" s="444"/>
      <c r="AQ680" s="444"/>
      <c r="AR680" s="444"/>
      <c r="AS680" s="445"/>
    </row>
    <row r="681" spans="31:45">
      <c r="AE681" s="442"/>
      <c r="AF681" s="443"/>
      <c r="AG681" s="443"/>
      <c r="AH681" s="443"/>
      <c r="AI681" s="443"/>
      <c r="AJ681" s="443"/>
      <c r="AK681" s="443"/>
      <c r="AL681" s="444"/>
      <c r="AM681" s="444"/>
      <c r="AN681" s="444"/>
      <c r="AO681" s="444"/>
      <c r="AP681" s="444"/>
      <c r="AQ681" s="444"/>
      <c r="AR681" s="444"/>
      <c r="AS681" s="445"/>
    </row>
    <row r="682" spans="31:45">
      <c r="AE682" s="442"/>
      <c r="AF682" s="443"/>
      <c r="AG682" s="443"/>
      <c r="AH682" s="443"/>
      <c r="AI682" s="443"/>
      <c r="AJ682" s="443"/>
      <c r="AK682" s="443"/>
      <c r="AL682" s="444"/>
      <c r="AM682" s="444"/>
      <c r="AN682" s="444"/>
      <c r="AO682" s="444"/>
      <c r="AP682" s="444"/>
      <c r="AQ682" s="444"/>
      <c r="AR682" s="444"/>
      <c r="AS682" s="445"/>
    </row>
    <row r="683" spans="31:45">
      <c r="AE683" s="442"/>
      <c r="AF683" s="443"/>
      <c r="AG683" s="443"/>
      <c r="AH683" s="443"/>
      <c r="AI683" s="443"/>
      <c r="AJ683" s="443"/>
      <c r="AK683" s="443"/>
      <c r="AL683" s="444"/>
      <c r="AM683" s="444"/>
      <c r="AN683" s="444"/>
      <c r="AO683" s="444"/>
      <c r="AP683" s="444"/>
      <c r="AQ683" s="444"/>
      <c r="AR683" s="444"/>
      <c r="AS683" s="445"/>
    </row>
    <row r="684" spans="31:45">
      <c r="AE684" s="442"/>
      <c r="AF684" s="443"/>
      <c r="AG684" s="443"/>
      <c r="AH684" s="443"/>
      <c r="AI684" s="443"/>
      <c r="AJ684" s="443"/>
      <c r="AK684" s="443"/>
      <c r="AL684" s="444"/>
      <c r="AM684" s="444"/>
      <c r="AN684" s="444"/>
      <c r="AO684" s="444"/>
      <c r="AP684" s="444"/>
      <c r="AQ684" s="444"/>
      <c r="AR684" s="444"/>
      <c r="AS684" s="445"/>
    </row>
    <row r="685" spans="31:45">
      <c r="AE685" s="442"/>
      <c r="AF685" s="443"/>
      <c r="AG685" s="443"/>
      <c r="AH685" s="443"/>
      <c r="AI685" s="443"/>
      <c r="AJ685" s="443"/>
      <c r="AK685" s="443"/>
      <c r="AL685" s="444"/>
      <c r="AM685" s="444"/>
      <c r="AN685" s="444"/>
      <c r="AO685" s="444"/>
      <c r="AP685" s="444"/>
      <c r="AQ685" s="444"/>
      <c r="AR685" s="444"/>
      <c r="AS685" s="445"/>
    </row>
    <row r="686" spans="31:45">
      <c r="AE686" s="442"/>
      <c r="AF686" s="443"/>
      <c r="AG686" s="443"/>
      <c r="AH686" s="443"/>
      <c r="AI686" s="443"/>
      <c r="AJ686" s="443"/>
      <c r="AK686" s="443"/>
      <c r="AL686" s="444"/>
      <c r="AM686" s="444"/>
      <c r="AN686" s="444"/>
      <c r="AO686" s="444"/>
      <c r="AP686" s="444"/>
      <c r="AQ686" s="444"/>
      <c r="AR686" s="444"/>
      <c r="AS686" s="445"/>
    </row>
    <row r="687" spans="31:45">
      <c r="AE687" s="442"/>
      <c r="AF687" s="443"/>
      <c r="AG687" s="443"/>
      <c r="AH687" s="443"/>
      <c r="AI687" s="443"/>
      <c r="AJ687" s="443"/>
      <c r="AK687" s="443"/>
      <c r="AL687" s="444"/>
      <c r="AM687" s="444"/>
      <c r="AN687" s="444"/>
      <c r="AO687" s="444"/>
      <c r="AP687" s="444"/>
      <c r="AQ687" s="444"/>
      <c r="AR687" s="444"/>
      <c r="AS687" s="445"/>
    </row>
    <row r="688" spans="31:45">
      <c r="AE688" s="442"/>
      <c r="AF688" s="443"/>
      <c r="AG688" s="443"/>
      <c r="AH688" s="443"/>
      <c r="AI688" s="443"/>
      <c r="AJ688" s="443"/>
      <c r="AK688" s="443"/>
      <c r="AL688" s="444"/>
      <c r="AM688" s="444"/>
      <c r="AN688" s="444"/>
      <c r="AO688" s="444"/>
      <c r="AP688" s="444"/>
      <c r="AQ688" s="444"/>
      <c r="AR688" s="444"/>
      <c r="AS688" s="445"/>
    </row>
    <row r="689" spans="31:45">
      <c r="AE689" s="442"/>
      <c r="AF689" s="443"/>
      <c r="AG689" s="443"/>
      <c r="AH689" s="443"/>
      <c r="AI689" s="443"/>
      <c r="AJ689" s="443"/>
      <c r="AK689" s="443"/>
      <c r="AL689" s="444"/>
      <c r="AM689" s="444"/>
      <c r="AN689" s="444"/>
      <c r="AO689" s="444"/>
      <c r="AP689" s="444"/>
      <c r="AQ689" s="444"/>
      <c r="AR689" s="444"/>
      <c r="AS689" s="445"/>
    </row>
    <row r="690" spans="31:45">
      <c r="AE690" s="442"/>
      <c r="AF690" s="443"/>
      <c r="AG690" s="443"/>
      <c r="AH690" s="443"/>
      <c r="AI690" s="443"/>
      <c r="AJ690" s="443"/>
      <c r="AK690" s="443"/>
      <c r="AL690" s="444"/>
      <c r="AM690" s="444"/>
      <c r="AN690" s="444"/>
      <c r="AO690" s="444"/>
      <c r="AP690" s="444"/>
      <c r="AQ690" s="444"/>
      <c r="AR690" s="444"/>
      <c r="AS690" s="445"/>
    </row>
    <row r="691" spans="31:45">
      <c r="AE691" s="442"/>
      <c r="AF691" s="443"/>
      <c r="AG691" s="443"/>
      <c r="AH691" s="443"/>
      <c r="AI691" s="443"/>
      <c r="AJ691" s="443"/>
      <c r="AK691" s="443"/>
      <c r="AL691" s="444"/>
      <c r="AM691" s="444"/>
      <c r="AN691" s="444"/>
      <c r="AO691" s="444"/>
      <c r="AP691" s="444"/>
      <c r="AQ691" s="444"/>
      <c r="AR691" s="444"/>
      <c r="AS691" s="445"/>
    </row>
    <row r="692" spans="31:45">
      <c r="AE692" s="442"/>
      <c r="AF692" s="443"/>
      <c r="AG692" s="443"/>
      <c r="AH692" s="443"/>
      <c r="AI692" s="443"/>
      <c r="AJ692" s="443"/>
      <c r="AK692" s="443"/>
      <c r="AL692" s="444"/>
      <c r="AM692" s="444"/>
      <c r="AN692" s="444"/>
      <c r="AO692" s="444"/>
      <c r="AP692" s="444"/>
      <c r="AQ692" s="444"/>
      <c r="AR692" s="444"/>
      <c r="AS692" s="445"/>
    </row>
    <row r="693" spans="31:45">
      <c r="AE693" s="442"/>
      <c r="AF693" s="443"/>
      <c r="AG693" s="443"/>
      <c r="AH693" s="443"/>
      <c r="AI693" s="443"/>
      <c r="AJ693" s="443"/>
      <c r="AK693" s="443"/>
      <c r="AL693" s="444"/>
      <c r="AM693" s="444"/>
      <c r="AN693" s="444"/>
      <c r="AO693" s="444"/>
      <c r="AP693" s="444"/>
      <c r="AQ693" s="444"/>
      <c r="AR693" s="444"/>
      <c r="AS693" s="445"/>
    </row>
    <row r="694" spans="31:45">
      <c r="AE694" s="442"/>
      <c r="AF694" s="443"/>
      <c r="AG694" s="443"/>
      <c r="AH694" s="443"/>
      <c r="AI694" s="443"/>
      <c r="AJ694" s="443"/>
      <c r="AK694" s="443"/>
      <c r="AL694" s="444"/>
      <c r="AM694" s="444"/>
      <c r="AN694" s="444"/>
      <c r="AO694" s="444"/>
      <c r="AP694" s="444"/>
      <c r="AQ694" s="444"/>
      <c r="AR694" s="444"/>
      <c r="AS694" s="445"/>
    </row>
    <row r="695" spans="31:45">
      <c r="AE695" s="442"/>
      <c r="AF695" s="443"/>
      <c r="AG695" s="443"/>
      <c r="AH695" s="443"/>
      <c r="AI695" s="443"/>
      <c r="AJ695" s="443"/>
      <c r="AK695" s="443"/>
      <c r="AL695" s="444"/>
      <c r="AM695" s="444"/>
      <c r="AN695" s="444"/>
      <c r="AO695" s="444"/>
      <c r="AP695" s="444"/>
      <c r="AQ695" s="444"/>
      <c r="AR695" s="444"/>
      <c r="AS695" s="445"/>
    </row>
    <row r="696" spans="31:45">
      <c r="AE696" s="442"/>
      <c r="AF696" s="443"/>
      <c r="AG696" s="443"/>
      <c r="AH696" s="443"/>
      <c r="AI696" s="443"/>
      <c r="AJ696" s="443"/>
      <c r="AK696" s="443"/>
      <c r="AL696" s="444"/>
      <c r="AM696" s="444"/>
      <c r="AN696" s="444"/>
      <c r="AO696" s="444"/>
      <c r="AP696" s="444"/>
      <c r="AQ696" s="444"/>
      <c r="AR696" s="444"/>
      <c r="AS696" s="445"/>
    </row>
    <row r="697" spans="31:45">
      <c r="AE697" s="442"/>
      <c r="AF697" s="443"/>
      <c r="AG697" s="443"/>
      <c r="AH697" s="443"/>
      <c r="AI697" s="443"/>
      <c r="AJ697" s="443"/>
      <c r="AK697" s="443"/>
      <c r="AL697" s="444"/>
      <c r="AM697" s="444"/>
      <c r="AN697" s="444"/>
      <c r="AO697" s="444"/>
      <c r="AP697" s="444"/>
      <c r="AQ697" s="444"/>
      <c r="AR697" s="444"/>
      <c r="AS697" s="445"/>
    </row>
    <row r="698" spans="31:45">
      <c r="AE698" s="442"/>
      <c r="AF698" s="443"/>
      <c r="AG698" s="443"/>
      <c r="AH698" s="443"/>
      <c r="AI698" s="443"/>
      <c r="AJ698" s="443"/>
      <c r="AK698" s="443"/>
      <c r="AL698" s="444"/>
      <c r="AM698" s="444"/>
      <c r="AN698" s="444"/>
      <c r="AO698" s="444"/>
      <c r="AP698" s="444"/>
      <c r="AQ698" s="444"/>
      <c r="AR698" s="444"/>
      <c r="AS698" s="445"/>
    </row>
    <row r="699" spans="31:45">
      <c r="AE699" s="442"/>
      <c r="AF699" s="443"/>
      <c r="AG699" s="443"/>
      <c r="AH699" s="443"/>
      <c r="AI699" s="443"/>
      <c r="AJ699" s="443"/>
      <c r="AK699" s="443"/>
      <c r="AL699" s="444"/>
      <c r="AM699" s="444"/>
      <c r="AN699" s="444"/>
      <c r="AO699" s="444"/>
      <c r="AP699" s="444"/>
      <c r="AQ699" s="444"/>
      <c r="AR699" s="444"/>
      <c r="AS699" s="445"/>
    </row>
    <row r="700" spans="31:45">
      <c r="AE700" s="442"/>
      <c r="AF700" s="443"/>
      <c r="AG700" s="443"/>
      <c r="AH700" s="443"/>
      <c r="AI700" s="443"/>
      <c r="AJ700" s="443"/>
      <c r="AK700" s="443"/>
      <c r="AL700" s="444"/>
      <c r="AM700" s="444"/>
      <c r="AN700" s="444"/>
      <c r="AO700" s="444"/>
      <c r="AP700" s="444"/>
      <c r="AQ700" s="444"/>
      <c r="AR700" s="444"/>
      <c r="AS700" s="445"/>
    </row>
    <row r="701" spans="31:45">
      <c r="AE701" s="442"/>
      <c r="AF701" s="443"/>
      <c r="AG701" s="443"/>
      <c r="AH701" s="443"/>
      <c r="AI701" s="443"/>
      <c r="AJ701" s="443"/>
      <c r="AK701" s="443"/>
      <c r="AL701" s="444"/>
      <c r="AM701" s="444"/>
      <c r="AN701" s="444"/>
      <c r="AO701" s="444"/>
      <c r="AP701" s="444"/>
      <c r="AQ701" s="444"/>
      <c r="AR701" s="444"/>
      <c r="AS701" s="445"/>
    </row>
    <row r="702" spans="31:45">
      <c r="AE702" s="442"/>
      <c r="AF702" s="443"/>
      <c r="AG702" s="443"/>
      <c r="AH702" s="443"/>
      <c r="AI702" s="443"/>
      <c r="AJ702" s="443"/>
      <c r="AK702" s="443"/>
      <c r="AL702" s="444"/>
      <c r="AM702" s="444"/>
      <c r="AN702" s="444"/>
      <c r="AO702" s="444"/>
      <c r="AP702" s="444"/>
      <c r="AQ702" s="444"/>
      <c r="AR702" s="444"/>
      <c r="AS702" s="445"/>
    </row>
    <row r="703" spans="31:45">
      <c r="AE703" s="442"/>
      <c r="AF703" s="443"/>
      <c r="AG703" s="443"/>
      <c r="AH703" s="443"/>
      <c r="AI703" s="443"/>
      <c r="AJ703" s="443"/>
      <c r="AK703" s="443"/>
      <c r="AL703" s="444"/>
      <c r="AM703" s="444"/>
      <c r="AN703" s="444"/>
      <c r="AO703" s="444"/>
      <c r="AP703" s="444"/>
      <c r="AQ703" s="444"/>
      <c r="AR703" s="444"/>
      <c r="AS703" s="445"/>
    </row>
    <row r="704" spans="31:45">
      <c r="AE704" s="442"/>
      <c r="AF704" s="443"/>
      <c r="AG704" s="443"/>
      <c r="AH704" s="443"/>
      <c r="AI704" s="443"/>
      <c r="AJ704" s="443"/>
      <c r="AK704" s="443"/>
      <c r="AL704" s="444"/>
      <c r="AM704" s="444"/>
      <c r="AN704" s="444"/>
      <c r="AO704" s="444"/>
      <c r="AP704" s="444"/>
      <c r="AQ704" s="444"/>
      <c r="AR704" s="444"/>
      <c r="AS704" s="445"/>
    </row>
    <row r="705" spans="31:45">
      <c r="AE705" s="442"/>
      <c r="AF705" s="443"/>
      <c r="AG705" s="443"/>
      <c r="AH705" s="443"/>
      <c r="AI705" s="443"/>
      <c r="AJ705" s="443"/>
      <c r="AK705" s="443"/>
      <c r="AL705" s="444"/>
      <c r="AM705" s="444"/>
      <c r="AN705" s="444"/>
      <c r="AO705" s="444"/>
      <c r="AP705" s="444"/>
      <c r="AQ705" s="444"/>
      <c r="AR705" s="444"/>
      <c r="AS705" s="445"/>
    </row>
    <row r="706" spans="31:45">
      <c r="AE706" s="442"/>
      <c r="AF706" s="443"/>
      <c r="AG706" s="443"/>
      <c r="AH706" s="443"/>
      <c r="AI706" s="443"/>
      <c r="AJ706" s="443"/>
      <c r="AK706" s="443"/>
      <c r="AL706" s="444"/>
      <c r="AM706" s="444"/>
      <c r="AN706" s="444"/>
      <c r="AO706" s="444"/>
      <c r="AP706" s="444"/>
      <c r="AQ706" s="444"/>
      <c r="AR706" s="444"/>
      <c r="AS706" s="445"/>
    </row>
    <row r="707" spans="31:45">
      <c r="AE707" s="442"/>
      <c r="AF707" s="443"/>
      <c r="AG707" s="443"/>
      <c r="AH707" s="443"/>
      <c r="AI707" s="443"/>
      <c r="AJ707" s="443"/>
      <c r="AK707" s="443"/>
      <c r="AL707" s="444"/>
      <c r="AM707" s="444"/>
      <c r="AN707" s="444"/>
      <c r="AO707" s="444"/>
      <c r="AP707" s="444"/>
      <c r="AQ707" s="444"/>
      <c r="AR707" s="444"/>
      <c r="AS707" s="445"/>
    </row>
    <row r="708" spans="31:45">
      <c r="AE708" s="442"/>
      <c r="AF708" s="443"/>
      <c r="AG708" s="443"/>
      <c r="AH708" s="443"/>
      <c r="AI708" s="443"/>
      <c r="AJ708" s="443"/>
      <c r="AK708" s="443"/>
      <c r="AL708" s="444"/>
      <c r="AM708" s="444"/>
      <c r="AN708" s="444"/>
      <c r="AO708" s="444"/>
      <c r="AP708" s="444"/>
      <c r="AQ708" s="444"/>
      <c r="AR708" s="444"/>
      <c r="AS708" s="445"/>
    </row>
    <row r="709" spans="31:45">
      <c r="AE709" s="442"/>
      <c r="AF709" s="443"/>
      <c r="AG709" s="443"/>
      <c r="AH709" s="443"/>
      <c r="AI709" s="443"/>
      <c r="AJ709" s="443"/>
      <c r="AK709" s="443"/>
      <c r="AL709" s="444"/>
      <c r="AM709" s="444"/>
      <c r="AN709" s="444"/>
      <c r="AO709" s="444"/>
      <c r="AP709" s="444"/>
      <c r="AQ709" s="444"/>
      <c r="AR709" s="444"/>
      <c r="AS709" s="445"/>
    </row>
    <row r="710" spans="31:45">
      <c r="AE710" s="442"/>
      <c r="AF710" s="443"/>
      <c r="AG710" s="443"/>
      <c r="AH710" s="443"/>
      <c r="AI710" s="443"/>
      <c r="AJ710" s="443"/>
      <c r="AK710" s="443"/>
      <c r="AL710" s="444"/>
      <c r="AM710" s="444"/>
      <c r="AN710" s="444"/>
      <c r="AO710" s="444"/>
      <c r="AP710" s="444"/>
      <c r="AQ710" s="444"/>
      <c r="AR710" s="444"/>
      <c r="AS710" s="445"/>
    </row>
    <row r="711" spans="31:45">
      <c r="AE711" s="442"/>
      <c r="AF711" s="443"/>
      <c r="AG711" s="443"/>
      <c r="AH711" s="443"/>
      <c r="AI711" s="443"/>
      <c r="AJ711" s="443"/>
      <c r="AK711" s="443"/>
      <c r="AL711" s="444"/>
      <c r="AM711" s="444"/>
      <c r="AN711" s="444"/>
      <c r="AO711" s="444"/>
      <c r="AP711" s="444"/>
      <c r="AQ711" s="444"/>
      <c r="AR711" s="444"/>
      <c r="AS711" s="445"/>
    </row>
    <row r="712" spans="31:45">
      <c r="AE712" s="442"/>
      <c r="AF712" s="443"/>
      <c r="AG712" s="443"/>
      <c r="AH712" s="443"/>
      <c r="AI712" s="443"/>
      <c r="AJ712" s="443"/>
      <c r="AK712" s="443"/>
      <c r="AL712" s="444"/>
      <c r="AM712" s="444"/>
      <c r="AN712" s="444"/>
      <c r="AO712" s="444"/>
      <c r="AP712" s="444"/>
      <c r="AQ712" s="444"/>
      <c r="AR712" s="444"/>
      <c r="AS712" s="445"/>
    </row>
    <row r="713" spans="31:45">
      <c r="AE713" s="442"/>
      <c r="AF713" s="443"/>
      <c r="AG713" s="443"/>
      <c r="AH713" s="443"/>
      <c r="AI713" s="443"/>
      <c r="AJ713" s="443"/>
      <c r="AK713" s="443"/>
      <c r="AL713" s="444"/>
      <c r="AM713" s="444"/>
      <c r="AN713" s="444"/>
      <c r="AO713" s="444"/>
      <c r="AP713" s="444"/>
      <c r="AQ713" s="444"/>
      <c r="AR713" s="444"/>
      <c r="AS713" s="445"/>
    </row>
    <row r="714" spans="31:45">
      <c r="AE714" s="442"/>
      <c r="AF714" s="443"/>
      <c r="AG714" s="443"/>
      <c r="AH714" s="443"/>
      <c r="AI714" s="443"/>
      <c r="AJ714" s="443"/>
      <c r="AK714" s="443"/>
      <c r="AL714" s="444"/>
      <c r="AM714" s="444"/>
      <c r="AN714" s="444"/>
      <c r="AO714" s="444"/>
      <c r="AP714" s="444"/>
      <c r="AQ714" s="444"/>
      <c r="AR714" s="444"/>
      <c r="AS714" s="445"/>
    </row>
    <row r="715" spans="31:45">
      <c r="AE715" s="442"/>
      <c r="AF715" s="443"/>
      <c r="AG715" s="443"/>
      <c r="AH715" s="443"/>
      <c r="AI715" s="443"/>
      <c r="AJ715" s="443"/>
      <c r="AK715" s="443"/>
      <c r="AL715" s="444"/>
      <c r="AM715" s="444"/>
      <c r="AN715" s="444"/>
      <c r="AO715" s="444"/>
      <c r="AP715" s="444"/>
      <c r="AQ715" s="444"/>
      <c r="AR715" s="444"/>
      <c r="AS715" s="445"/>
    </row>
    <row r="716" spans="31:45">
      <c r="AE716" s="442"/>
      <c r="AF716" s="443"/>
      <c r="AG716" s="443"/>
      <c r="AH716" s="443"/>
      <c r="AI716" s="443"/>
      <c r="AJ716" s="443"/>
      <c r="AK716" s="443"/>
      <c r="AL716" s="444"/>
      <c r="AM716" s="444"/>
      <c r="AN716" s="444"/>
      <c r="AO716" s="444"/>
      <c r="AP716" s="444"/>
      <c r="AQ716" s="444"/>
      <c r="AR716" s="444"/>
      <c r="AS716" s="445"/>
    </row>
    <row r="717" spans="31:45">
      <c r="AE717" s="442"/>
      <c r="AF717" s="443"/>
      <c r="AG717" s="443"/>
      <c r="AH717" s="443"/>
      <c r="AI717" s="443"/>
      <c r="AJ717" s="443"/>
      <c r="AK717" s="443"/>
      <c r="AL717" s="444"/>
      <c r="AM717" s="444"/>
      <c r="AN717" s="444"/>
      <c r="AO717" s="444"/>
      <c r="AP717" s="444"/>
      <c r="AQ717" s="444"/>
      <c r="AR717" s="444"/>
      <c r="AS717" s="445"/>
    </row>
  </sheetData>
  <mergeCells count="18">
    <mergeCell ref="B2:X2"/>
    <mergeCell ref="B4:X4"/>
    <mergeCell ref="C6:W6"/>
    <mergeCell ref="C7:I7"/>
    <mergeCell ref="J7:P7"/>
    <mergeCell ref="Q7:W7"/>
    <mergeCell ref="AP4:AS4"/>
    <mergeCell ref="B28:H28"/>
    <mergeCell ref="C43:W43"/>
    <mergeCell ref="C44:I44"/>
    <mergeCell ref="J44:P44"/>
    <mergeCell ref="Q44:W44"/>
    <mergeCell ref="B35:H35"/>
    <mergeCell ref="B66:H66"/>
    <mergeCell ref="B73:H73"/>
    <mergeCell ref="AF4:AH4"/>
    <mergeCell ref="AI4:AK4"/>
    <mergeCell ref="AL4:AO4"/>
  </mergeCells>
  <conditionalFormatting sqref="C12:C14">
    <cfRule type="colorScale" priority="26">
      <colorScale>
        <cfvo type="min"/>
        <cfvo type="max"/>
        <color rgb="FFFCFCFF"/>
        <color rgb="FF63BE7B"/>
      </colorScale>
    </cfRule>
  </conditionalFormatting>
  <conditionalFormatting sqref="D12:D14">
    <cfRule type="colorScale" priority="25">
      <colorScale>
        <cfvo type="min"/>
        <cfvo type="max"/>
        <color rgb="FFFCFCFF"/>
        <color rgb="FF63BE7B"/>
      </colorScale>
    </cfRule>
  </conditionalFormatting>
  <conditionalFormatting sqref="E12:E14">
    <cfRule type="colorScale" priority="24">
      <colorScale>
        <cfvo type="min"/>
        <cfvo type="max"/>
        <color rgb="FFFCFCFF"/>
        <color rgb="FF63BE7B"/>
      </colorScale>
    </cfRule>
  </conditionalFormatting>
  <conditionalFormatting sqref="F12:F14">
    <cfRule type="colorScale" priority="23">
      <colorScale>
        <cfvo type="min"/>
        <cfvo type="max"/>
        <color rgb="FFFCFCFF"/>
        <color rgb="FF63BE7B"/>
      </colorScale>
    </cfRule>
  </conditionalFormatting>
  <conditionalFormatting sqref="G12:G14">
    <cfRule type="colorScale" priority="22">
      <colorScale>
        <cfvo type="min"/>
        <cfvo type="max"/>
        <color rgb="FFFCFCFF"/>
        <color rgb="FF63BE7B"/>
      </colorScale>
    </cfRule>
  </conditionalFormatting>
  <conditionalFormatting sqref="H12:H14">
    <cfRule type="colorScale" priority="21">
      <colorScale>
        <cfvo type="min"/>
        <cfvo type="max"/>
        <color rgb="FFFCFCFF"/>
        <color rgb="FF63BE7B"/>
      </colorScale>
    </cfRule>
  </conditionalFormatting>
  <conditionalFormatting sqref="I12:I14">
    <cfRule type="colorScale" priority="20">
      <colorScale>
        <cfvo type="min"/>
        <cfvo type="max"/>
        <color rgb="FFFCFCFF"/>
        <color rgb="FF63BE7B"/>
      </colorScale>
    </cfRule>
  </conditionalFormatting>
  <conditionalFormatting sqref="J12:J14">
    <cfRule type="colorScale" priority="19">
      <colorScale>
        <cfvo type="min"/>
        <cfvo type="max"/>
        <color rgb="FFFCFCFF"/>
        <color rgb="FF63BE7B"/>
      </colorScale>
    </cfRule>
  </conditionalFormatting>
  <conditionalFormatting sqref="K12:K14">
    <cfRule type="colorScale" priority="18">
      <colorScale>
        <cfvo type="min"/>
        <cfvo type="max"/>
        <color rgb="FFFCFCFF"/>
        <color rgb="FF63BE7B"/>
      </colorScale>
    </cfRule>
  </conditionalFormatting>
  <conditionalFormatting sqref="L12:L14">
    <cfRule type="colorScale" priority="17">
      <colorScale>
        <cfvo type="min"/>
        <cfvo type="max"/>
        <color rgb="FFFCFCFF"/>
        <color rgb="FF63BE7B"/>
      </colorScale>
    </cfRule>
  </conditionalFormatting>
  <conditionalFormatting sqref="M12:M14">
    <cfRule type="colorScale" priority="16">
      <colorScale>
        <cfvo type="min"/>
        <cfvo type="max"/>
        <color rgb="FFFCFCFF"/>
        <color rgb="FF63BE7B"/>
      </colorScale>
    </cfRule>
  </conditionalFormatting>
  <conditionalFormatting sqref="N12:N14">
    <cfRule type="colorScale" priority="15">
      <colorScale>
        <cfvo type="min"/>
        <cfvo type="max"/>
        <color rgb="FFFCFCFF"/>
        <color rgb="FF63BE7B"/>
      </colorScale>
    </cfRule>
  </conditionalFormatting>
  <conditionalFormatting sqref="O12:O14">
    <cfRule type="colorScale" priority="14">
      <colorScale>
        <cfvo type="min"/>
        <cfvo type="max"/>
        <color rgb="FFFCFCFF"/>
        <color rgb="FF63BE7B"/>
      </colorScale>
    </cfRule>
  </conditionalFormatting>
  <conditionalFormatting sqref="P12:P14">
    <cfRule type="colorScale" priority="13">
      <colorScale>
        <cfvo type="min"/>
        <cfvo type="max"/>
        <color rgb="FFFCFCFF"/>
        <color rgb="FF63BE7B"/>
      </colorScale>
    </cfRule>
  </conditionalFormatting>
  <conditionalFormatting sqref="Q12:Q14">
    <cfRule type="colorScale" priority="12">
      <colorScale>
        <cfvo type="min"/>
        <cfvo type="max"/>
        <color rgb="FFFCFCFF"/>
        <color rgb="FF63BE7B"/>
      </colorScale>
    </cfRule>
  </conditionalFormatting>
  <conditionalFormatting sqref="R12:R14">
    <cfRule type="colorScale" priority="11">
      <colorScale>
        <cfvo type="min"/>
        <cfvo type="max"/>
        <color rgb="FFFCFCFF"/>
        <color rgb="FF63BE7B"/>
      </colorScale>
    </cfRule>
  </conditionalFormatting>
  <conditionalFormatting sqref="S12:S14">
    <cfRule type="colorScale" priority="10">
      <colorScale>
        <cfvo type="min"/>
        <cfvo type="max"/>
        <color rgb="FFFCFCFF"/>
        <color rgb="FF63BE7B"/>
      </colorScale>
    </cfRule>
  </conditionalFormatting>
  <conditionalFormatting sqref="T12:T14">
    <cfRule type="colorScale" priority="9">
      <colorScale>
        <cfvo type="min"/>
        <cfvo type="max"/>
        <color rgb="FFFCFCFF"/>
        <color rgb="FF63BE7B"/>
      </colorScale>
    </cfRule>
  </conditionalFormatting>
  <conditionalFormatting sqref="U12:U14">
    <cfRule type="colorScale" priority="8">
      <colorScale>
        <cfvo type="min"/>
        <cfvo type="max"/>
        <color rgb="FFFCFCFF"/>
        <color rgb="FF63BE7B"/>
      </colorScale>
    </cfRule>
  </conditionalFormatting>
  <conditionalFormatting sqref="V12:V14">
    <cfRule type="colorScale" priority="7">
      <colorScale>
        <cfvo type="min"/>
        <cfvo type="max"/>
        <color rgb="FFFCFCFF"/>
        <color rgb="FF63BE7B"/>
      </colorScale>
    </cfRule>
  </conditionalFormatting>
  <conditionalFormatting sqref="W12:W14">
    <cfRule type="colorScale" priority="6">
      <colorScale>
        <cfvo type="min"/>
        <cfvo type="max"/>
        <color rgb="FFFCFCFF"/>
        <color rgb="FF63BE7B"/>
      </colorScale>
    </cfRule>
  </conditionalFormatting>
  <conditionalFormatting sqref="C9:C10">
    <cfRule type="colorScale" priority="153">
      <colorScale>
        <cfvo type="min"/>
        <cfvo type="max"/>
        <color rgb="FFFCFCFF"/>
        <color rgb="FF63BE7B"/>
      </colorScale>
    </cfRule>
  </conditionalFormatting>
  <conditionalFormatting sqref="D9:D10">
    <cfRule type="colorScale" priority="154">
      <colorScale>
        <cfvo type="min"/>
        <cfvo type="max"/>
        <color rgb="FFFCFCFF"/>
        <color rgb="FF63BE7B"/>
      </colorScale>
    </cfRule>
  </conditionalFormatting>
  <conditionalFormatting sqref="E9:E10">
    <cfRule type="colorScale" priority="155">
      <colorScale>
        <cfvo type="min"/>
        <cfvo type="max"/>
        <color rgb="FFFCFCFF"/>
        <color rgb="FF63BE7B"/>
      </colorScale>
    </cfRule>
  </conditionalFormatting>
  <conditionalFormatting sqref="F9:F10">
    <cfRule type="colorScale" priority="156">
      <colorScale>
        <cfvo type="min"/>
        <cfvo type="max"/>
        <color rgb="FFFCFCFF"/>
        <color rgb="FF63BE7B"/>
      </colorScale>
    </cfRule>
  </conditionalFormatting>
  <conditionalFormatting sqref="G9:G10">
    <cfRule type="colorScale" priority="157">
      <colorScale>
        <cfvo type="min"/>
        <cfvo type="max"/>
        <color rgb="FFFCFCFF"/>
        <color rgb="FF63BE7B"/>
      </colorScale>
    </cfRule>
  </conditionalFormatting>
  <conditionalFormatting sqref="H9:H10">
    <cfRule type="colorScale" priority="158">
      <colorScale>
        <cfvo type="min"/>
        <cfvo type="max"/>
        <color rgb="FFFCFCFF"/>
        <color rgb="FF63BE7B"/>
      </colorScale>
    </cfRule>
  </conditionalFormatting>
  <conditionalFormatting sqref="I9:I10">
    <cfRule type="colorScale" priority="159">
      <colorScale>
        <cfvo type="min"/>
        <cfvo type="max"/>
        <color rgb="FFFCFCFF"/>
        <color rgb="FF63BE7B"/>
      </colorScale>
    </cfRule>
  </conditionalFormatting>
  <conditionalFormatting sqref="J9:J10">
    <cfRule type="colorScale" priority="160">
      <colorScale>
        <cfvo type="min"/>
        <cfvo type="max"/>
        <color rgb="FFFCFCFF"/>
        <color rgb="FF63BE7B"/>
      </colorScale>
    </cfRule>
  </conditionalFormatting>
  <conditionalFormatting sqref="K9:K10">
    <cfRule type="colorScale" priority="161">
      <colorScale>
        <cfvo type="min"/>
        <cfvo type="max"/>
        <color rgb="FFFCFCFF"/>
        <color rgb="FF63BE7B"/>
      </colorScale>
    </cfRule>
  </conditionalFormatting>
  <conditionalFormatting sqref="L9:L10">
    <cfRule type="colorScale" priority="162">
      <colorScale>
        <cfvo type="min"/>
        <cfvo type="max"/>
        <color rgb="FFFCFCFF"/>
        <color rgb="FF63BE7B"/>
      </colorScale>
    </cfRule>
  </conditionalFormatting>
  <conditionalFormatting sqref="M9:M10">
    <cfRule type="colorScale" priority="163">
      <colorScale>
        <cfvo type="min"/>
        <cfvo type="max"/>
        <color rgb="FFFCFCFF"/>
        <color rgb="FF63BE7B"/>
      </colorScale>
    </cfRule>
  </conditionalFormatting>
  <conditionalFormatting sqref="N9:N10">
    <cfRule type="colorScale" priority="164">
      <colorScale>
        <cfvo type="min"/>
        <cfvo type="max"/>
        <color rgb="FFFCFCFF"/>
        <color rgb="FF63BE7B"/>
      </colorScale>
    </cfRule>
  </conditionalFormatting>
  <conditionalFormatting sqref="O9:O10">
    <cfRule type="colorScale" priority="165">
      <colorScale>
        <cfvo type="min"/>
        <cfvo type="max"/>
        <color rgb="FFFCFCFF"/>
        <color rgb="FF63BE7B"/>
      </colorScale>
    </cfRule>
  </conditionalFormatting>
  <conditionalFormatting sqref="P9:P10">
    <cfRule type="colorScale" priority="166">
      <colorScale>
        <cfvo type="min"/>
        <cfvo type="max"/>
        <color rgb="FFFCFCFF"/>
        <color rgb="FF63BE7B"/>
      </colorScale>
    </cfRule>
  </conditionalFormatting>
  <conditionalFormatting sqref="Q9:Q10">
    <cfRule type="colorScale" priority="167">
      <colorScale>
        <cfvo type="min"/>
        <cfvo type="max"/>
        <color rgb="FFFCFCFF"/>
        <color rgb="FF63BE7B"/>
      </colorScale>
    </cfRule>
  </conditionalFormatting>
  <conditionalFormatting sqref="R9:R10">
    <cfRule type="colorScale" priority="168">
      <colorScale>
        <cfvo type="min"/>
        <cfvo type="max"/>
        <color rgb="FFFCFCFF"/>
        <color rgb="FF63BE7B"/>
      </colorScale>
    </cfRule>
  </conditionalFormatting>
  <conditionalFormatting sqref="S9:S10">
    <cfRule type="colorScale" priority="169">
      <colorScale>
        <cfvo type="min"/>
        <cfvo type="max"/>
        <color rgb="FFFCFCFF"/>
        <color rgb="FF63BE7B"/>
      </colorScale>
    </cfRule>
  </conditionalFormatting>
  <conditionalFormatting sqref="T9:T10">
    <cfRule type="colorScale" priority="170">
      <colorScale>
        <cfvo type="min"/>
        <cfvo type="max"/>
        <color rgb="FFFCFCFF"/>
        <color rgb="FF63BE7B"/>
      </colorScale>
    </cfRule>
  </conditionalFormatting>
  <conditionalFormatting sqref="U9:U10">
    <cfRule type="colorScale" priority="171">
      <colorScale>
        <cfvo type="min"/>
        <cfvo type="max"/>
        <color rgb="FFFCFCFF"/>
        <color rgb="FF63BE7B"/>
      </colorScale>
    </cfRule>
  </conditionalFormatting>
  <conditionalFormatting sqref="V9:V10">
    <cfRule type="colorScale" priority="172">
      <colorScale>
        <cfvo type="min"/>
        <cfvo type="max"/>
        <color rgb="FFFCFCFF"/>
        <color rgb="FF63BE7B"/>
      </colorScale>
    </cfRule>
  </conditionalFormatting>
  <conditionalFormatting sqref="W9:W10">
    <cfRule type="colorScale" priority="173">
      <colorScale>
        <cfvo type="min"/>
        <cfvo type="max"/>
        <color rgb="FFFCFCFF"/>
        <color rgb="FF63BE7B"/>
      </colorScale>
    </cfRule>
  </conditionalFormatting>
  <conditionalFormatting sqref="C11">
    <cfRule type="colorScale" priority="174">
      <colorScale>
        <cfvo type="min"/>
        <cfvo type="max"/>
        <color rgb="FFFCFCFF"/>
        <color rgb="FF63BE7B"/>
      </colorScale>
    </cfRule>
  </conditionalFormatting>
  <conditionalFormatting sqref="D11">
    <cfRule type="colorScale" priority="175">
      <colorScale>
        <cfvo type="min"/>
        <cfvo type="max"/>
        <color rgb="FFFCFCFF"/>
        <color rgb="FF63BE7B"/>
      </colorScale>
    </cfRule>
  </conditionalFormatting>
  <conditionalFormatting sqref="E11">
    <cfRule type="colorScale" priority="176">
      <colorScale>
        <cfvo type="min"/>
        <cfvo type="max"/>
        <color rgb="FFFCFCFF"/>
        <color rgb="FF63BE7B"/>
      </colorScale>
    </cfRule>
  </conditionalFormatting>
  <conditionalFormatting sqref="F11">
    <cfRule type="colorScale" priority="177">
      <colorScale>
        <cfvo type="min"/>
        <cfvo type="max"/>
        <color rgb="FFFCFCFF"/>
        <color rgb="FF63BE7B"/>
      </colorScale>
    </cfRule>
  </conditionalFormatting>
  <conditionalFormatting sqref="G11">
    <cfRule type="colorScale" priority="178">
      <colorScale>
        <cfvo type="min"/>
        <cfvo type="max"/>
        <color rgb="FFFCFCFF"/>
        <color rgb="FF63BE7B"/>
      </colorScale>
    </cfRule>
  </conditionalFormatting>
  <conditionalFormatting sqref="H11">
    <cfRule type="colorScale" priority="179">
      <colorScale>
        <cfvo type="min"/>
        <cfvo type="max"/>
        <color rgb="FFFCFCFF"/>
        <color rgb="FF63BE7B"/>
      </colorScale>
    </cfRule>
  </conditionalFormatting>
  <conditionalFormatting sqref="I11">
    <cfRule type="colorScale" priority="180">
      <colorScale>
        <cfvo type="min"/>
        <cfvo type="max"/>
        <color rgb="FFFCFCFF"/>
        <color rgb="FF63BE7B"/>
      </colorScale>
    </cfRule>
  </conditionalFormatting>
  <conditionalFormatting sqref="J11">
    <cfRule type="colorScale" priority="181">
      <colorScale>
        <cfvo type="min"/>
        <cfvo type="max"/>
        <color rgb="FFFCFCFF"/>
        <color rgb="FF63BE7B"/>
      </colorScale>
    </cfRule>
  </conditionalFormatting>
  <conditionalFormatting sqref="K11">
    <cfRule type="colorScale" priority="182">
      <colorScale>
        <cfvo type="min"/>
        <cfvo type="max"/>
        <color rgb="FFFCFCFF"/>
        <color rgb="FF63BE7B"/>
      </colorScale>
    </cfRule>
  </conditionalFormatting>
  <conditionalFormatting sqref="L11">
    <cfRule type="colorScale" priority="183">
      <colorScale>
        <cfvo type="min"/>
        <cfvo type="max"/>
        <color rgb="FFFCFCFF"/>
        <color rgb="FF63BE7B"/>
      </colorScale>
    </cfRule>
  </conditionalFormatting>
  <conditionalFormatting sqref="M11">
    <cfRule type="colorScale" priority="184">
      <colorScale>
        <cfvo type="min"/>
        <cfvo type="max"/>
        <color rgb="FFFCFCFF"/>
        <color rgb="FF63BE7B"/>
      </colorScale>
    </cfRule>
  </conditionalFormatting>
  <conditionalFormatting sqref="N11">
    <cfRule type="colorScale" priority="185">
      <colorScale>
        <cfvo type="min"/>
        <cfvo type="max"/>
        <color rgb="FFFCFCFF"/>
        <color rgb="FF63BE7B"/>
      </colorScale>
    </cfRule>
  </conditionalFormatting>
  <conditionalFormatting sqref="O11">
    <cfRule type="colorScale" priority="186">
      <colorScale>
        <cfvo type="min"/>
        <cfvo type="max"/>
        <color rgb="FFFCFCFF"/>
        <color rgb="FF63BE7B"/>
      </colorScale>
    </cfRule>
  </conditionalFormatting>
  <conditionalFormatting sqref="P11">
    <cfRule type="colorScale" priority="187">
      <colorScale>
        <cfvo type="min"/>
        <cfvo type="max"/>
        <color rgb="FFFCFCFF"/>
        <color rgb="FF63BE7B"/>
      </colorScale>
    </cfRule>
  </conditionalFormatting>
  <conditionalFormatting sqref="Q11">
    <cfRule type="colorScale" priority="188">
      <colorScale>
        <cfvo type="min"/>
        <cfvo type="max"/>
        <color rgb="FFFCFCFF"/>
        <color rgb="FF63BE7B"/>
      </colorScale>
    </cfRule>
  </conditionalFormatting>
  <conditionalFormatting sqref="R11">
    <cfRule type="colorScale" priority="189">
      <colorScale>
        <cfvo type="min"/>
        <cfvo type="max"/>
        <color rgb="FFFCFCFF"/>
        <color rgb="FF63BE7B"/>
      </colorScale>
    </cfRule>
  </conditionalFormatting>
  <conditionalFormatting sqref="S11">
    <cfRule type="colorScale" priority="190">
      <colorScale>
        <cfvo type="min"/>
        <cfvo type="max"/>
        <color rgb="FFFCFCFF"/>
        <color rgb="FF63BE7B"/>
      </colorScale>
    </cfRule>
  </conditionalFormatting>
  <conditionalFormatting sqref="T11">
    <cfRule type="colorScale" priority="191">
      <colorScale>
        <cfvo type="min"/>
        <cfvo type="max"/>
        <color rgb="FFFCFCFF"/>
        <color rgb="FF63BE7B"/>
      </colorScale>
    </cfRule>
  </conditionalFormatting>
  <conditionalFormatting sqref="U11">
    <cfRule type="colorScale" priority="192">
      <colorScale>
        <cfvo type="min"/>
        <cfvo type="max"/>
        <color rgb="FFFCFCFF"/>
        <color rgb="FF63BE7B"/>
      </colorScale>
    </cfRule>
  </conditionalFormatting>
  <conditionalFormatting sqref="V11">
    <cfRule type="colorScale" priority="193">
      <colorScale>
        <cfvo type="min"/>
        <cfvo type="max"/>
        <color rgb="FFFCFCFF"/>
        <color rgb="FF63BE7B"/>
      </colorScale>
    </cfRule>
  </conditionalFormatting>
  <conditionalFormatting sqref="W11">
    <cfRule type="colorScale" priority="194">
      <colorScale>
        <cfvo type="min"/>
        <cfvo type="max"/>
        <color rgb="FFFCFCFF"/>
        <color rgb="FF63BE7B"/>
      </colorScale>
    </cfRule>
  </conditionalFormatting>
  <conditionalFormatting sqref="C46:C49">
    <cfRule type="colorScale" priority="195">
      <colorScale>
        <cfvo type="min"/>
        <cfvo type="max"/>
        <color rgb="FFFCFCFF"/>
        <color rgb="FFF8696B"/>
      </colorScale>
    </cfRule>
  </conditionalFormatting>
  <conditionalFormatting sqref="D46:D49">
    <cfRule type="colorScale" priority="197">
      <colorScale>
        <cfvo type="min"/>
        <cfvo type="max"/>
        <color rgb="FFFCFCFF"/>
        <color rgb="FFF8696B"/>
      </colorScale>
    </cfRule>
  </conditionalFormatting>
  <conditionalFormatting sqref="I46:I49">
    <cfRule type="colorScale" priority="199">
      <colorScale>
        <cfvo type="min"/>
        <cfvo type="max"/>
        <color rgb="FFFCFCFF"/>
        <color rgb="FFF8696B"/>
      </colorScale>
    </cfRule>
  </conditionalFormatting>
  <conditionalFormatting sqref="E46:E49">
    <cfRule type="colorScale" priority="201">
      <colorScale>
        <cfvo type="min"/>
        <cfvo type="max"/>
        <color rgb="FFFCFCFF"/>
        <color rgb="FFF8696B"/>
      </colorScale>
    </cfRule>
  </conditionalFormatting>
  <conditionalFormatting sqref="F46:F49">
    <cfRule type="colorScale" priority="203">
      <colorScale>
        <cfvo type="min"/>
        <cfvo type="max"/>
        <color rgb="FFFCFCFF"/>
        <color rgb="FFF8696B"/>
      </colorScale>
    </cfRule>
  </conditionalFormatting>
  <conditionalFormatting sqref="G46:G49">
    <cfRule type="colorScale" priority="205">
      <colorScale>
        <cfvo type="min"/>
        <cfvo type="max"/>
        <color rgb="FFFCFCFF"/>
        <color rgb="FFF8696B"/>
      </colorScale>
    </cfRule>
  </conditionalFormatting>
  <conditionalFormatting sqref="H46:H49">
    <cfRule type="colorScale" priority="207">
      <colorScale>
        <cfvo type="min"/>
        <cfvo type="max"/>
        <color rgb="FFFCFCFF"/>
        <color rgb="FFF8696B"/>
      </colorScale>
    </cfRule>
  </conditionalFormatting>
  <conditionalFormatting sqref="J46:J49">
    <cfRule type="colorScale" priority="209">
      <colorScale>
        <cfvo type="min"/>
        <cfvo type="max"/>
        <color rgb="FFFCFCFF"/>
        <color rgb="FFF8696B"/>
      </colorScale>
    </cfRule>
  </conditionalFormatting>
  <conditionalFormatting sqref="K46:K49">
    <cfRule type="colorScale" priority="211">
      <colorScale>
        <cfvo type="min"/>
        <cfvo type="max"/>
        <color rgb="FFFCFCFF"/>
        <color rgb="FFF8696B"/>
      </colorScale>
    </cfRule>
  </conditionalFormatting>
  <conditionalFormatting sqref="P46:P49">
    <cfRule type="colorScale" priority="213">
      <colorScale>
        <cfvo type="min"/>
        <cfvo type="max"/>
        <color rgb="FFFCFCFF"/>
        <color rgb="FFF8696B"/>
      </colorScale>
    </cfRule>
  </conditionalFormatting>
  <conditionalFormatting sqref="L46:L49">
    <cfRule type="colorScale" priority="215">
      <colorScale>
        <cfvo type="min"/>
        <cfvo type="max"/>
        <color rgb="FFFCFCFF"/>
        <color rgb="FFF8696B"/>
      </colorScale>
    </cfRule>
  </conditionalFormatting>
  <conditionalFormatting sqref="M46:M49">
    <cfRule type="colorScale" priority="217">
      <colorScale>
        <cfvo type="min"/>
        <cfvo type="max"/>
        <color rgb="FFFCFCFF"/>
        <color rgb="FFF8696B"/>
      </colorScale>
    </cfRule>
  </conditionalFormatting>
  <conditionalFormatting sqref="N46:N49">
    <cfRule type="colorScale" priority="219">
      <colorScale>
        <cfvo type="min"/>
        <cfvo type="max"/>
        <color rgb="FFFCFCFF"/>
        <color rgb="FFF8696B"/>
      </colorScale>
    </cfRule>
  </conditionalFormatting>
  <conditionalFormatting sqref="O46:O49">
    <cfRule type="colorScale" priority="221">
      <colorScale>
        <cfvo type="min"/>
        <cfvo type="max"/>
        <color rgb="FFFCFCFF"/>
        <color rgb="FFF8696B"/>
      </colorScale>
    </cfRule>
  </conditionalFormatting>
  <conditionalFormatting sqref="Q46:Q49">
    <cfRule type="colorScale" priority="223">
      <colorScale>
        <cfvo type="min"/>
        <cfvo type="max"/>
        <color rgb="FFFCFCFF"/>
        <color rgb="FFF8696B"/>
      </colorScale>
    </cfRule>
  </conditionalFormatting>
  <conditionalFormatting sqref="R46:R49">
    <cfRule type="colorScale" priority="225">
      <colorScale>
        <cfvo type="min"/>
        <cfvo type="max"/>
        <color rgb="FFFCFCFF"/>
        <color rgb="FFF8696B"/>
      </colorScale>
    </cfRule>
  </conditionalFormatting>
  <conditionalFormatting sqref="W46:W49">
    <cfRule type="colorScale" priority="227">
      <colorScale>
        <cfvo type="min"/>
        <cfvo type="max"/>
        <color rgb="FFFCFCFF"/>
        <color rgb="FFF8696B"/>
      </colorScale>
    </cfRule>
  </conditionalFormatting>
  <conditionalFormatting sqref="S46:S49">
    <cfRule type="colorScale" priority="229">
      <colorScale>
        <cfvo type="min"/>
        <cfvo type="max"/>
        <color rgb="FFFCFCFF"/>
        <color rgb="FFF8696B"/>
      </colorScale>
    </cfRule>
  </conditionalFormatting>
  <conditionalFormatting sqref="T46:T49">
    <cfRule type="colorScale" priority="231">
      <colorScale>
        <cfvo type="min"/>
        <cfvo type="max"/>
        <color rgb="FFFCFCFF"/>
        <color rgb="FFF8696B"/>
      </colorScale>
    </cfRule>
  </conditionalFormatting>
  <conditionalFormatting sqref="U46:U49">
    <cfRule type="colorScale" priority="233">
      <colorScale>
        <cfvo type="min"/>
        <cfvo type="max"/>
        <color rgb="FFFCFCFF"/>
        <color rgb="FFF8696B"/>
      </colorScale>
    </cfRule>
  </conditionalFormatting>
  <conditionalFormatting sqref="V46:V49">
    <cfRule type="colorScale" priority="235">
      <colorScale>
        <cfvo type="min"/>
        <cfvo type="max"/>
        <color rgb="FFFCFCFF"/>
        <color rgb="FFF8696B"/>
      </colorScale>
    </cfRule>
  </conditionalFormatting>
  <conditionalFormatting sqref="E30:E32">
    <cfRule type="colorScale" priority="236">
      <colorScale>
        <cfvo type="min"/>
        <cfvo type="max"/>
        <color rgb="FFFCFCFF"/>
        <color rgb="FF63BE7B"/>
      </colorScale>
    </cfRule>
    <cfRule type="colorScale" priority="2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8:E70">
    <cfRule type="colorScale" priority="2">
      <colorScale>
        <cfvo type="min"/>
        <cfvo type="max"/>
        <color rgb="FFFCFCFF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8:E70">
    <cfRule type="colorScale" priority="1">
      <colorScale>
        <cfvo type="min"/>
        <cfvo type="max"/>
        <color rgb="FFFCFCFF"/>
        <color rgb="FFF8696B"/>
      </colorScale>
    </cfRule>
  </conditionalFormatting>
  <pageMargins left="0.25" right="0.25" top="0.75" bottom="0.75" header="0.3" footer="0.3"/>
  <pageSetup scale="62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95"/>
  <sheetViews>
    <sheetView topLeftCell="A82" workbookViewId="0">
      <selection activeCell="G32" sqref="G32"/>
    </sheetView>
  </sheetViews>
  <sheetFormatPr baseColWidth="10" defaultColWidth="11.42578125" defaultRowHeight="12.75"/>
  <sheetData>
    <row r="1" spans="1:3">
      <c r="A1" t="s">
        <v>208</v>
      </c>
      <c r="B1" t="s">
        <v>165</v>
      </c>
      <c r="C1" t="s">
        <v>38</v>
      </c>
    </row>
    <row r="2" spans="1:3">
      <c r="A2" s="167">
        <v>42705</v>
      </c>
      <c r="B2" s="167">
        <v>42719</v>
      </c>
    </row>
    <row r="3" spans="1:3">
      <c r="A3" s="167">
        <v>42675</v>
      </c>
      <c r="B3" s="167">
        <v>42691</v>
      </c>
    </row>
    <row r="4" spans="1:3">
      <c r="A4" s="167">
        <v>42644</v>
      </c>
      <c r="B4" s="167">
        <v>42661</v>
      </c>
    </row>
    <row r="5" spans="1:3">
      <c r="A5" s="167">
        <v>42614</v>
      </c>
      <c r="B5" s="167">
        <v>42628</v>
      </c>
    </row>
    <row r="6" spans="1:3">
      <c r="A6" s="167">
        <v>42583</v>
      </c>
      <c r="B6" s="167">
        <v>42593</v>
      </c>
    </row>
    <row r="7" spans="1:3">
      <c r="A7" s="167">
        <v>42552</v>
      </c>
      <c r="B7" s="167">
        <v>42565</v>
      </c>
    </row>
    <row r="8" spans="1:3">
      <c r="A8" s="167">
        <v>42522</v>
      </c>
      <c r="B8" s="167">
        <v>42537</v>
      </c>
    </row>
    <row r="9" spans="1:3">
      <c r="A9" s="167">
        <v>42491</v>
      </c>
      <c r="B9" s="167">
        <v>42507</v>
      </c>
    </row>
    <row r="10" spans="1:3">
      <c r="A10" s="167">
        <v>42461</v>
      </c>
      <c r="B10" s="167">
        <v>42472</v>
      </c>
    </row>
    <row r="11" spans="1:3">
      <c r="A11" s="167">
        <v>42430</v>
      </c>
      <c r="B11" s="167">
        <v>42446</v>
      </c>
    </row>
    <row r="12" spans="1:3">
      <c r="A12" s="167">
        <v>42401</v>
      </c>
      <c r="B12" s="167">
        <v>42411</v>
      </c>
    </row>
    <row r="13" spans="1:3">
      <c r="A13" s="167">
        <v>42370</v>
      </c>
      <c r="B13" s="167">
        <v>42383</v>
      </c>
    </row>
    <row r="14" spans="1:3">
      <c r="A14" s="167">
        <v>42339</v>
      </c>
      <c r="B14" s="167">
        <v>42355</v>
      </c>
    </row>
    <row r="15" spans="1:3">
      <c r="A15" s="167">
        <v>42309</v>
      </c>
      <c r="B15" s="167">
        <v>42320</v>
      </c>
    </row>
    <row r="16" spans="1:3">
      <c r="A16" s="167">
        <v>42278</v>
      </c>
      <c r="B16" s="167">
        <v>42292</v>
      </c>
    </row>
    <row r="17" spans="1:3">
      <c r="A17" s="167">
        <v>42248</v>
      </c>
      <c r="B17" s="167">
        <v>42262</v>
      </c>
    </row>
    <row r="18" spans="1:3">
      <c r="A18" s="167">
        <v>42217</v>
      </c>
      <c r="B18" s="167">
        <v>42229</v>
      </c>
    </row>
    <row r="19" spans="1:3">
      <c r="A19" s="167">
        <v>42186</v>
      </c>
      <c r="B19" s="167">
        <v>42199</v>
      </c>
    </row>
    <row r="20" spans="1:3">
      <c r="A20" s="167">
        <v>42156</v>
      </c>
      <c r="B20" s="167">
        <v>42166</v>
      </c>
    </row>
    <row r="21" spans="1:3">
      <c r="A21" s="167">
        <v>42125</v>
      </c>
      <c r="B21" s="167">
        <v>42138</v>
      </c>
    </row>
    <row r="22" spans="1:3">
      <c r="A22" s="167">
        <v>42095</v>
      </c>
      <c r="B22" s="167">
        <v>42110</v>
      </c>
    </row>
    <row r="23" spans="1:3">
      <c r="A23" s="167">
        <v>42064</v>
      </c>
      <c r="B23" s="167">
        <v>42082</v>
      </c>
    </row>
    <row r="24" spans="1:3">
      <c r="A24" s="167">
        <v>42036</v>
      </c>
      <c r="B24" s="167">
        <v>42047</v>
      </c>
    </row>
    <row r="25" spans="1:3">
      <c r="A25" s="167">
        <v>42005</v>
      </c>
      <c r="B25" s="167">
        <v>42019</v>
      </c>
    </row>
    <row r="26" spans="1:3">
      <c r="A26" s="167">
        <v>41974</v>
      </c>
      <c r="B26" s="167">
        <v>41984</v>
      </c>
    </row>
    <row r="27" spans="1:3">
      <c r="A27" s="167">
        <v>41944</v>
      </c>
      <c r="B27" s="167">
        <v>41961</v>
      </c>
    </row>
    <row r="28" spans="1:3">
      <c r="A28" s="167">
        <v>41913</v>
      </c>
      <c r="B28" s="167">
        <v>41928</v>
      </c>
      <c r="C28">
        <v>3</v>
      </c>
    </row>
    <row r="29" spans="1:3">
      <c r="A29" s="167">
        <v>41883</v>
      </c>
      <c r="B29" s="167">
        <v>41893</v>
      </c>
      <c r="C29">
        <v>3.25</v>
      </c>
    </row>
    <row r="30" spans="1:3">
      <c r="A30" s="167">
        <v>41852</v>
      </c>
      <c r="B30" s="167">
        <v>41865</v>
      </c>
      <c r="C30">
        <v>3.5</v>
      </c>
    </row>
    <row r="31" spans="1:3">
      <c r="A31" s="167">
        <v>41821</v>
      </c>
      <c r="B31" s="167">
        <v>41835</v>
      </c>
      <c r="C31">
        <v>3.75</v>
      </c>
    </row>
    <row r="32" spans="1:3">
      <c r="A32" s="167">
        <v>41791</v>
      </c>
      <c r="B32" s="167">
        <v>41802</v>
      </c>
      <c r="C32">
        <v>4</v>
      </c>
    </row>
    <row r="33" spans="1:3">
      <c r="A33" s="167">
        <v>41760</v>
      </c>
      <c r="B33" s="167">
        <v>41774</v>
      </c>
      <c r="C33">
        <v>4</v>
      </c>
    </row>
    <row r="34" spans="1:3">
      <c r="A34" s="167">
        <v>41730</v>
      </c>
      <c r="B34" s="167">
        <v>41746</v>
      </c>
      <c r="C34">
        <v>4</v>
      </c>
    </row>
    <row r="35" spans="1:3">
      <c r="A35" s="167">
        <v>41699</v>
      </c>
      <c r="B35" s="167">
        <v>41711</v>
      </c>
      <c r="C35">
        <v>4</v>
      </c>
    </row>
    <row r="36" spans="1:3">
      <c r="A36" s="167">
        <v>41671</v>
      </c>
      <c r="B36" s="167">
        <v>41688</v>
      </c>
      <c r="C36">
        <v>4.25</v>
      </c>
    </row>
    <row r="37" spans="1:3">
      <c r="A37" s="167">
        <v>41640</v>
      </c>
      <c r="B37" s="167">
        <v>41655</v>
      </c>
      <c r="C37">
        <v>4.5</v>
      </c>
    </row>
    <row r="38" spans="1:3">
      <c r="A38" s="167">
        <v>41609</v>
      </c>
      <c r="B38" s="167">
        <v>41620</v>
      </c>
      <c r="C38">
        <v>4.5</v>
      </c>
    </row>
    <row r="39" spans="1:3">
      <c r="A39" s="167">
        <v>41579</v>
      </c>
      <c r="B39" s="167">
        <v>41597</v>
      </c>
      <c r="C39">
        <v>4.5</v>
      </c>
    </row>
    <row r="40" spans="1:3">
      <c r="A40" s="167">
        <v>41548</v>
      </c>
      <c r="B40" s="167">
        <v>41564</v>
      </c>
      <c r="C40">
        <v>4.75</v>
      </c>
    </row>
    <row r="41" spans="1:3">
      <c r="A41" s="167">
        <v>41518</v>
      </c>
      <c r="B41" s="167">
        <v>41529</v>
      </c>
      <c r="C41">
        <v>5</v>
      </c>
    </row>
    <row r="42" spans="1:3">
      <c r="A42" s="167">
        <v>41487</v>
      </c>
      <c r="B42" s="167">
        <v>41499</v>
      </c>
      <c r="C42">
        <v>5</v>
      </c>
    </row>
    <row r="43" spans="1:3">
      <c r="A43" s="167">
        <v>41456</v>
      </c>
      <c r="B43" s="167">
        <v>41466</v>
      </c>
      <c r="C43">
        <v>5</v>
      </c>
    </row>
    <row r="44" spans="1:3">
      <c r="A44" s="167">
        <v>41426</v>
      </c>
      <c r="B44" s="167">
        <v>41438</v>
      </c>
      <c r="C44">
        <v>5</v>
      </c>
    </row>
    <row r="45" spans="1:3">
      <c r="A45" s="167">
        <v>41395</v>
      </c>
      <c r="B45" s="167">
        <v>41410</v>
      </c>
      <c r="C45">
        <v>5</v>
      </c>
    </row>
    <row r="46" spans="1:3">
      <c r="A46" s="167">
        <v>41365</v>
      </c>
      <c r="B46" s="167">
        <v>41375</v>
      </c>
      <c r="C46">
        <v>5</v>
      </c>
    </row>
    <row r="47" spans="1:3">
      <c r="A47" s="167">
        <v>41334</v>
      </c>
      <c r="B47" s="167">
        <v>41347</v>
      </c>
      <c r="C47">
        <v>5</v>
      </c>
    </row>
    <row r="48" spans="1:3">
      <c r="A48" s="167">
        <v>41306</v>
      </c>
      <c r="B48" s="167">
        <v>41319</v>
      </c>
      <c r="C48">
        <v>5</v>
      </c>
    </row>
    <row r="49" spans="1:3">
      <c r="A49" s="167">
        <v>41275</v>
      </c>
      <c r="B49" s="167">
        <v>41291</v>
      </c>
      <c r="C49">
        <v>5</v>
      </c>
    </row>
    <row r="50" spans="1:3">
      <c r="A50" s="167">
        <v>41244</v>
      </c>
      <c r="B50" s="167">
        <v>41256</v>
      </c>
      <c r="C50">
        <v>5</v>
      </c>
    </row>
    <row r="51" spans="1:3">
      <c r="A51" s="167">
        <v>41214</v>
      </c>
      <c r="B51" s="167">
        <v>41226</v>
      </c>
      <c r="C51">
        <v>5</v>
      </c>
    </row>
    <row r="52" spans="1:3">
      <c r="A52" s="167">
        <v>41183</v>
      </c>
      <c r="B52" s="167">
        <v>41200</v>
      </c>
      <c r="C52">
        <v>5</v>
      </c>
    </row>
    <row r="53" spans="1:3">
      <c r="A53" s="167">
        <v>41153</v>
      </c>
      <c r="B53" s="167">
        <v>41165</v>
      </c>
      <c r="C53">
        <v>5</v>
      </c>
    </row>
    <row r="54" spans="1:3">
      <c r="A54" s="167">
        <v>41122</v>
      </c>
      <c r="B54" s="167">
        <v>41137</v>
      </c>
      <c r="C54">
        <v>5</v>
      </c>
    </row>
    <row r="55" spans="1:3">
      <c r="A55" s="167">
        <v>41091</v>
      </c>
      <c r="B55" s="167">
        <v>41102</v>
      </c>
      <c r="C55">
        <v>5</v>
      </c>
    </row>
    <row r="56" spans="1:3">
      <c r="A56" s="167">
        <v>41061</v>
      </c>
      <c r="B56" s="167">
        <v>41074</v>
      </c>
      <c r="C56">
        <v>5</v>
      </c>
    </row>
    <row r="57" spans="1:3">
      <c r="A57" s="167">
        <v>41030</v>
      </c>
      <c r="B57" s="167">
        <v>41046</v>
      </c>
      <c r="C57">
        <v>5</v>
      </c>
    </row>
    <row r="58" spans="1:3">
      <c r="A58" s="167">
        <v>41000</v>
      </c>
      <c r="B58" s="167">
        <v>41016</v>
      </c>
      <c r="C58">
        <v>5</v>
      </c>
    </row>
    <row r="59" spans="1:3">
      <c r="A59" s="167">
        <v>40969</v>
      </c>
      <c r="B59" s="167">
        <v>40983</v>
      </c>
      <c r="C59">
        <v>5</v>
      </c>
    </row>
    <row r="60" spans="1:3">
      <c r="A60" s="167">
        <v>40940</v>
      </c>
      <c r="B60" s="167">
        <v>40953</v>
      </c>
      <c r="C60">
        <v>5</v>
      </c>
    </row>
    <row r="61" spans="1:3">
      <c r="A61" s="167">
        <v>40909</v>
      </c>
      <c r="B61" s="167">
        <v>40920</v>
      </c>
      <c r="C61">
        <v>5</v>
      </c>
    </row>
    <row r="62" spans="1:3">
      <c r="A62" s="167">
        <v>40878</v>
      </c>
      <c r="B62" s="167">
        <v>40890</v>
      </c>
      <c r="C62">
        <v>5.25</v>
      </c>
    </row>
    <row r="63" spans="1:3">
      <c r="A63" s="167">
        <v>40848</v>
      </c>
      <c r="B63" s="167">
        <v>40862</v>
      </c>
      <c r="C63">
        <v>5.25</v>
      </c>
    </row>
    <row r="64" spans="1:3">
      <c r="A64" s="167">
        <v>40817</v>
      </c>
      <c r="B64" s="167">
        <v>40829</v>
      </c>
      <c r="C64">
        <v>5.25</v>
      </c>
    </row>
    <row r="65" spans="1:3">
      <c r="A65" s="167">
        <v>40787</v>
      </c>
      <c r="B65" s="167">
        <v>40801</v>
      </c>
      <c r="C65">
        <v>5.25</v>
      </c>
    </row>
    <row r="66" spans="1:3">
      <c r="A66" s="167">
        <v>40756</v>
      </c>
      <c r="B66" s="167">
        <v>40773</v>
      </c>
      <c r="C66">
        <v>5.25</v>
      </c>
    </row>
    <row r="67" spans="1:3">
      <c r="A67" s="167">
        <v>40725</v>
      </c>
      <c r="B67" s="167">
        <v>40738</v>
      </c>
      <c r="C67">
        <v>5.25</v>
      </c>
    </row>
    <row r="68" spans="1:3">
      <c r="A68" s="167">
        <v>40695</v>
      </c>
      <c r="B68" s="167">
        <v>40708</v>
      </c>
      <c r="C68">
        <v>5.25</v>
      </c>
    </row>
    <row r="69" spans="1:3">
      <c r="A69" s="167">
        <v>40664</v>
      </c>
      <c r="B69" s="167">
        <v>40675</v>
      </c>
      <c r="C69">
        <v>5</v>
      </c>
    </row>
    <row r="70" spans="1:3">
      <c r="A70" s="167">
        <v>40634</v>
      </c>
      <c r="B70" s="167">
        <v>40645</v>
      </c>
      <c r="C70">
        <v>4.5</v>
      </c>
    </row>
    <row r="71" spans="1:3">
      <c r="A71" s="167">
        <v>40603</v>
      </c>
      <c r="B71" s="167">
        <v>40619</v>
      </c>
      <c r="C71">
        <v>4</v>
      </c>
    </row>
    <row r="72" spans="1:3">
      <c r="A72" s="167">
        <v>40575</v>
      </c>
      <c r="B72" s="167">
        <v>40591</v>
      </c>
      <c r="C72">
        <v>3.5</v>
      </c>
    </row>
    <row r="73" spans="1:3">
      <c r="A73" s="167">
        <v>40544</v>
      </c>
      <c r="B73" s="167">
        <v>40556</v>
      </c>
      <c r="C73">
        <v>3.25</v>
      </c>
    </row>
    <row r="74" spans="1:3">
      <c r="A74" s="167">
        <v>40513</v>
      </c>
      <c r="B74" s="167">
        <v>40528</v>
      </c>
      <c r="C74">
        <v>3.25</v>
      </c>
    </row>
    <row r="75" spans="1:3">
      <c r="A75" s="167">
        <v>40483</v>
      </c>
      <c r="B75" s="167">
        <v>40498</v>
      </c>
      <c r="C75">
        <v>3</v>
      </c>
    </row>
    <row r="76" spans="1:3">
      <c r="A76" s="167">
        <v>40452</v>
      </c>
      <c r="B76" s="167">
        <v>40465</v>
      </c>
      <c r="C76">
        <v>2.75</v>
      </c>
    </row>
    <row r="77" spans="1:3">
      <c r="A77" s="167">
        <v>40422</v>
      </c>
      <c r="B77" s="167">
        <v>40437</v>
      </c>
      <c r="C77">
        <v>2.5</v>
      </c>
    </row>
    <row r="78" spans="1:3">
      <c r="A78" s="167">
        <v>40391</v>
      </c>
      <c r="B78" s="167">
        <v>40402</v>
      </c>
      <c r="C78">
        <v>2</v>
      </c>
    </row>
    <row r="79" spans="1:3">
      <c r="A79" s="167">
        <v>40360</v>
      </c>
      <c r="B79" s="167">
        <v>40374</v>
      </c>
      <c r="C79">
        <v>1.5</v>
      </c>
    </row>
    <row r="80" spans="1:3">
      <c r="A80" s="167">
        <v>40330</v>
      </c>
      <c r="B80" s="167">
        <v>40344</v>
      </c>
      <c r="C80">
        <v>1</v>
      </c>
    </row>
    <row r="81" spans="1:3">
      <c r="A81" s="167">
        <v>40299</v>
      </c>
      <c r="B81" s="167">
        <v>40311</v>
      </c>
      <c r="C81">
        <v>0.5</v>
      </c>
    </row>
    <row r="82" spans="1:3">
      <c r="A82" s="167">
        <v>40269</v>
      </c>
      <c r="B82" s="167">
        <v>40283</v>
      </c>
      <c r="C82">
        <v>0.5</v>
      </c>
    </row>
    <row r="83" spans="1:3">
      <c r="A83" s="167">
        <v>40238</v>
      </c>
      <c r="B83" s="167">
        <v>40255</v>
      </c>
      <c r="C83">
        <v>0.5</v>
      </c>
    </row>
    <row r="84" spans="1:3">
      <c r="A84" s="167">
        <v>40210</v>
      </c>
      <c r="B84" s="167">
        <v>40220</v>
      </c>
      <c r="C84">
        <v>0.5</v>
      </c>
    </row>
    <row r="85" spans="1:3">
      <c r="A85" s="167">
        <v>40179</v>
      </c>
      <c r="B85" s="167">
        <v>40192</v>
      </c>
      <c r="C85">
        <v>0.5</v>
      </c>
    </row>
    <row r="86" spans="1:3">
      <c r="A86" s="167">
        <v>40148</v>
      </c>
      <c r="B86" s="167">
        <v>40162</v>
      </c>
      <c r="C86">
        <v>0.5</v>
      </c>
    </row>
    <row r="87" spans="1:3">
      <c r="A87" s="167">
        <v>40118</v>
      </c>
      <c r="B87" s="167">
        <v>40129</v>
      </c>
      <c r="C87">
        <v>0.5</v>
      </c>
    </row>
    <row r="88" spans="1:3">
      <c r="A88" s="167">
        <v>40087</v>
      </c>
      <c r="B88" s="167">
        <v>40099</v>
      </c>
      <c r="C88">
        <v>0.5</v>
      </c>
    </row>
    <row r="89" spans="1:3">
      <c r="A89" s="167">
        <v>40057</v>
      </c>
      <c r="B89" s="167">
        <v>40064</v>
      </c>
      <c r="C89">
        <v>0.5</v>
      </c>
    </row>
    <row r="90" spans="1:3">
      <c r="A90" s="167">
        <v>40026</v>
      </c>
      <c r="B90" s="167">
        <v>40038</v>
      </c>
      <c r="C90">
        <v>0.5</v>
      </c>
    </row>
    <row r="91" spans="1:3">
      <c r="A91" s="167">
        <v>39995</v>
      </c>
      <c r="B91" s="167">
        <v>40003</v>
      </c>
      <c r="C91">
        <v>0.5</v>
      </c>
    </row>
    <row r="92" spans="1:3">
      <c r="A92" s="167">
        <v>39965</v>
      </c>
      <c r="B92" s="167">
        <v>39980</v>
      </c>
      <c r="C92">
        <v>0.75</v>
      </c>
    </row>
    <row r="93" spans="1:3">
      <c r="A93" s="167">
        <v>39934</v>
      </c>
      <c r="B93" s="167">
        <v>39940</v>
      </c>
      <c r="C93">
        <v>1.25</v>
      </c>
    </row>
    <row r="94" spans="1:3">
      <c r="A94" s="167">
        <v>39904</v>
      </c>
      <c r="B94" s="167">
        <v>39912</v>
      </c>
      <c r="C94">
        <v>1.75</v>
      </c>
    </row>
    <row r="95" spans="1:3">
      <c r="A95" s="167">
        <v>39873</v>
      </c>
      <c r="B95" s="167">
        <v>39884</v>
      </c>
      <c r="C95">
        <v>2.25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A128"/>
  <sheetViews>
    <sheetView topLeftCell="A81" workbookViewId="0">
      <selection activeCell="A36" sqref="A36:A128"/>
    </sheetView>
  </sheetViews>
  <sheetFormatPr baseColWidth="10" defaultColWidth="11.42578125" defaultRowHeight="12.75"/>
  <sheetData>
    <row r="1" spans="1:1">
      <c r="A1" s="249" t="s">
        <v>231</v>
      </c>
    </row>
    <row r="2" spans="1:1">
      <c r="A2" s="250">
        <v>39448</v>
      </c>
    </row>
    <row r="3" spans="1:1">
      <c r="A3" s="251">
        <v>39528</v>
      </c>
    </row>
    <row r="4" spans="1:1">
      <c r="A4" s="250">
        <v>39569</v>
      </c>
    </row>
    <row r="5" spans="1:1">
      <c r="A5" s="251">
        <v>39589</v>
      </c>
    </row>
    <row r="6" spans="1:1">
      <c r="A6" s="250">
        <v>39645</v>
      </c>
    </row>
    <row r="7" spans="1:1">
      <c r="A7" s="251">
        <v>39675</v>
      </c>
    </row>
    <row r="8" spans="1:1">
      <c r="A8" s="250">
        <v>39680</v>
      </c>
    </row>
    <row r="9" spans="1:1">
      <c r="A9" s="251">
        <v>39709</v>
      </c>
    </row>
    <row r="10" spans="1:1">
      <c r="A10" s="250">
        <v>39710</v>
      </c>
    </row>
    <row r="11" spans="1:1">
      <c r="A11" s="251">
        <v>39752</v>
      </c>
    </row>
    <row r="12" spans="1:1">
      <c r="A12" s="250">
        <v>39790</v>
      </c>
    </row>
    <row r="13" spans="1:1">
      <c r="A13" s="251">
        <v>39807</v>
      </c>
    </row>
    <row r="14" spans="1:1">
      <c r="A14" s="250">
        <v>39813</v>
      </c>
    </row>
    <row r="15" spans="1:1">
      <c r="A15" s="251">
        <v>39814</v>
      </c>
    </row>
    <row r="16" spans="1:1">
      <c r="A16" s="250">
        <v>39913</v>
      </c>
    </row>
    <row r="17" spans="1:1">
      <c r="A17" s="251">
        <v>39934</v>
      </c>
    </row>
    <row r="18" spans="1:1">
      <c r="A18" s="250">
        <v>39954</v>
      </c>
    </row>
    <row r="19" spans="1:1">
      <c r="A19" s="251">
        <v>39993</v>
      </c>
    </row>
    <row r="20" spans="1:1">
      <c r="A20" s="250">
        <v>40010</v>
      </c>
    </row>
    <row r="21" spans="1:1">
      <c r="A21" s="251">
        <v>40045</v>
      </c>
    </row>
    <row r="22" spans="1:1">
      <c r="A22" s="250">
        <v>40074</v>
      </c>
    </row>
    <row r="23" spans="1:1">
      <c r="A23" s="251">
        <v>40098</v>
      </c>
    </row>
    <row r="24" spans="1:1">
      <c r="A24" s="250">
        <v>40155</v>
      </c>
    </row>
    <row r="25" spans="1:1">
      <c r="A25" s="251">
        <v>40172</v>
      </c>
    </row>
    <row r="26" spans="1:1">
      <c r="A26" s="250">
        <v>40178</v>
      </c>
    </row>
    <row r="27" spans="1:1">
      <c r="A27" s="251">
        <v>40179</v>
      </c>
    </row>
    <row r="28" spans="1:1">
      <c r="A28" s="250">
        <v>40270</v>
      </c>
    </row>
    <row r="29" spans="1:1">
      <c r="A29" s="251">
        <v>40319</v>
      </c>
    </row>
    <row r="30" spans="1:1">
      <c r="A30" s="250">
        <v>40357</v>
      </c>
    </row>
    <row r="31" spans="1:1">
      <c r="A31" s="251">
        <v>40375</v>
      </c>
    </row>
    <row r="32" spans="1:1">
      <c r="A32" s="250">
        <v>40410</v>
      </c>
    </row>
    <row r="33" spans="1:1">
      <c r="A33" s="251">
        <v>40438</v>
      </c>
    </row>
    <row r="34" spans="1:1">
      <c r="A34" s="250">
        <v>40441</v>
      </c>
    </row>
    <row r="35" spans="1:1">
      <c r="A35" s="251">
        <v>40462</v>
      </c>
    </row>
    <row r="36" spans="1:1">
      <c r="A36" s="250">
        <v>40483</v>
      </c>
    </row>
    <row r="37" spans="1:1">
      <c r="A37" s="251">
        <v>40520</v>
      </c>
    </row>
    <row r="38" spans="1:1">
      <c r="A38" s="250">
        <v>40543</v>
      </c>
    </row>
    <row r="39" spans="1:1">
      <c r="A39" s="251">
        <v>40655</v>
      </c>
    </row>
    <row r="40" spans="1:1">
      <c r="A40" s="250">
        <v>40721</v>
      </c>
    </row>
    <row r="41" spans="1:1">
      <c r="A41" s="251">
        <v>40770</v>
      </c>
    </row>
    <row r="42" spans="1:1">
      <c r="A42" s="250">
        <v>40805</v>
      </c>
    </row>
    <row r="43" spans="1:1">
      <c r="A43" s="251">
        <v>40826</v>
      </c>
    </row>
    <row r="44" spans="1:1">
      <c r="A44" s="250">
        <v>40847</v>
      </c>
    </row>
    <row r="45" spans="1:1">
      <c r="A45" s="251">
        <v>40848</v>
      </c>
    </row>
    <row r="46" spans="1:1">
      <c r="A46" s="250">
        <v>40885</v>
      </c>
    </row>
    <row r="47" spans="1:1">
      <c r="A47" s="251">
        <v>40902</v>
      </c>
    </row>
    <row r="48" spans="1:1">
      <c r="A48" s="250">
        <v>40908</v>
      </c>
    </row>
    <row r="49" spans="1:1">
      <c r="A49" s="251">
        <v>41005</v>
      </c>
    </row>
    <row r="50" spans="1:1">
      <c r="A50" s="250">
        <v>41030</v>
      </c>
    </row>
    <row r="51" spans="1:1">
      <c r="A51" s="251">
        <v>41050</v>
      </c>
    </row>
    <row r="52" spans="1:1">
      <c r="A52" s="250">
        <v>41092</v>
      </c>
    </row>
    <row r="53" spans="1:1">
      <c r="A53" s="251">
        <v>41106</v>
      </c>
    </row>
    <row r="54" spans="1:1">
      <c r="A54" s="250">
        <v>41136</v>
      </c>
    </row>
    <row r="55" spans="1:1">
      <c r="A55" s="251">
        <v>41169</v>
      </c>
    </row>
    <row r="56" spans="1:1">
      <c r="A56" s="250">
        <v>41170</v>
      </c>
    </row>
    <row r="57" spans="1:1">
      <c r="A57" s="251">
        <v>41171</v>
      </c>
    </row>
    <row r="58" spans="1:1">
      <c r="A58" s="250">
        <v>41197</v>
      </c>
    </row>
    <row r="59" spans="1:1">
      <c r="A59" s="251">
        <v>41214</v>
      </c>
    </row>
    <row r="60" spans="1:1">
      <c r="A60" s="250">
        <v>41215</v>
      </c>
    </row>
    <row r="61" spans="1:1">
      <c r="A61" s="251">
        <v>41268</v>
      </c>
    </row>
    <row r="62" spans="1:1">
      <c r="A62" s="251">
        <v>41274</v>
      </c>
    </row>
    <row r="63" spans="1:1">
      <c r="A63" s="250">
        <v>41275</v>
      </c>
    </row>
    <row r="64" spans="1:1">
      <c r="A64" s="251">
        <v>41362</v>
      </c>
    </row>
    <row r="65" spans="1:1">
      <c r="A65" s="250">
        <v>41363</v>
      </c>
    </row>
    <row r="66" spans="1:1">
      <c r="A66" s="251">
        <v>41364</v>
      </c>
    </row>
    <row r="67" spans="1:1">
      <c r="A67" s="250">
        <v>41395</v>
      </c>
    </row>
    <row r="68" spans="1:1">
      <c r="A68" s="251">
        <v>41415</v>
      </c>
    </row>
    <row r="69" spans="1:1">
      <c r="A69" s="250">
        <v>41454</v>
      </c>
    </row>
    <row r="70" spans="1:1">
      <c r="A70" s="251">
        <v>41471</v>
      </c>
    </row>
    <row r="71" spans="1:1">
      <c r="A71" s="250">
        <v>41501</v>
      </c>
    </row>
    <row r="72" spans="1:1">
      <c r="A72" s="251">
        <v>41535</v>
      </c>
    </row>
    <row r="73" spans="1:1">
      <c r="A73" s="250">
        <v>41536</v>
      </c>
    </row>
    <row r="74" spans="1:1">
      <c r="A74" s="251">
        <v>41537</v>
      </c>
    </row>
    <row r="75" spans="1:1">
      <c r="A75" s="250">
        <v>41559</v>
      </c>
    </row>
    <row r="76" spans="1:1">
      <c r="A76" s="251">
        <v>41578</v>
      </c>
    </row>
    <row r="77" spans="1:1">
      <c r="A77" s="250">
        <v>41579</v>
      </c>
    </row>
    <row r="78" spans="1:1">
      <c r="A78" s="251">
        <v>41616</v>
      </c>
    </row>
    <row r="79" spans="1:1">
      <c r="A79" s="250">
        <v>41633</v>
      </c>
    </row>
    <row r="80" spans="1:1">
      <c r="A80" s="251">
        <v>41639</v>
      </c>
    </row>
    <row r="81" spans="1:1">
      <c r="A81" s="251">
        <v>41640</v>
      </c>
    </row>
    <row r="82" spans="1:1">
      <c r="A82" s="251">
        <v>41747</v>
      </c>
    </row>
    <row r="83" spans="1:1">
      <c r="A83" s="251">
        <v>41760</v>
      </c>
    </row>
    <row r="84" spans="1:1">
      <c r="A84" s="251">
        <v>41780</v>
      </c>
    </row>
    <row r="85" spans="1:1">
      <c r="A85" s="251">
        <v>41819</v>
      </c>
    </row>
    <row r="86" spans="1:1">
      <c r="A86" s="251">
        <v>41836</v>
      </c>
    </row>
    <row r="87" spans="1:1">
      <c r="A87" s="251">
        <v>41866</v>
      </c>
    </row>
    <row r="88" spans="1:1">
      <c r="A88" s="251">
        <v>41900</v>
      </c>
    </row>
    <row r="89" spans="1:1">
      <c r="A89" s="251">
        <v>41901</v>
      </c>
    </row>
    <row r="90" spans="1:1">
      <c r="A90" s="251">
        <v>41924</v>
      </c>
    </row>
    <row r="91" spans="1:1">
      <c r="A91" s="251">
        <v>41943</v>
      </c>
    </row>
    <row r="92" spans="1:1">
      <c r="A92" s="251">
        <v>41944</v>
      </c>
    </row>
    <row r="93" spans="1:1">
      <c r="A93" s="251">
        <v>41981</v>
      </c>
    </row>
    <row r="94" spans="1:1">
      <c r="A94" s="251">
        <v>41998</v>
      </c>
    </row>
    <row r="95" spans="1:1">
      <c r="A95" s="251">
        <v>42004</v>
      </c>
    </row>
    <row r="96" spans="1:1">
      <c r="A96" s="287">
        <v>42005</v>
      </c>
    </row>
    <row r="97" spans="1:1">
      <c r="A97" s="287">
        <v>42097</v>
      </c>
    </row>
    <row r="98" spans="1:1">
      <c r="A98" s="287">
        <v>42098</v>
      </c>
    </row>
    <row r="99" spans="1:1">
      <c r="A99" s="287">
        <v>42099</v>
      </c>
    </row>
    <row r="100" spans="1:1">
      <c r="A100" s="287">
        <v>42125</v>
      </c>
    </row>
    <row r="101" spans="1:1">
      <c r="A101" s="287">
        <v>42145</v>
      </c>
    </row>
    <row r="102" spans="1:1">
      <c r="A102" s="287">
        <v>42184</v>
      </c>
    </row>
    <row r="103" spans="1:1">
      <c r="A103" s="287">
        <v>42201</v>
      </c>
    </row>
    <row r="104" spans="1:1">
      <c r="A104" s="287">
        <v>42231</v>
      </c>
    </row>
    <row r="105" spans="1:1">
      <c r="A105" s="287">
        <v>42265</v>
      </c>
    </row>
    <row r="106" spans="1:1">
      <c r="A106" s="287">
        <v>42266</v>
      </c>
    </row>
    <row r="107" spans="1:1">
      <c r="A107" s="287">
        <v>42289</v>
      </c>
    </row>
    <row r="108" spans="1:1">
      <c r="A108" s="287">
        <v>42308</v>
      </c>
    </row>
    <row r="109" spans="1:1">
      <c r="A109" s="287">
        <v>42309</v>
      </c>
    </row>
    <row r="110" spans="1:1">
      <c r="A110" s="287">
        <v>42346</v>
      </c>
    </row>
    <row r="111" spans="1:1">
      <c r="A111" s="287">
        <v>42363</v>
      </c>
    </row>
    <row r="112" spans="1:1">
      <c r="A112" s="287">
        <v>42369</v>
      </c>
    </row>
    <row r="113" spans="1:1">
      <c r="A113" s="527">
        <v>42370</v>
      </c>
    </row>
    <row r="114" spans="1:1">
      <c r="A114" s="527">
        <v>42454</v>
      </c>
    </row>
    <row r="115" spans="1:1">
      <c r="A115" s="527">
        <v>42455</v>
      </c>
    </row>
    <row r="116" spans="1:1">
      <c r="A116" s="527">
        <v>42456</v>
      </c>
    </row>
    <row r="117" spans="1:1">
      <c r="A117" s="527">
        <v>42491</v>
      </c>
    </row>
    <row r="118" spans="1:1">
      <c r="A118" s="527">
        <v>42511</v>
      </c>
    </row>
    <row r="119" spans="1:1">
      <c r="A119" s="527">
        <v>42548</v>
      </c>
    </row>
    <row r="120" spans="1:1">
      <c r="A120" s="527">
        <v>42567</v>
      </c>
    </row>
    <row r="121" spans="1:1">
      <c r="A121" s="527">
        <v>42597</v>
      </c>
    </row>
    <row r="122" spans="1:1">
      <c r="A122" s="527">
        <v>42631</v>
      </c>
    </row>
    <row r="123" spans="1:1">
      <c r="A123" s="527">
        <v>42632</v>
      </c>
    </row>
    <row r="124" spans="1:1">
      <c r="A124" s="527">
        <v>42653</v>
      </c>
    </row>
    <row r="125" spans="1:1">
      <c r="A125" s="527">
        <v>42674</v>
      </c>
    </row>
    <row r="126" spans="1:1">
      <c r="A126" s="527">
        <v>42675</v>
      </c>
    </row>
    <row r="127" spans="1:1">
      <c r="A127" s="527">
        <v>42712</v>
      </c>
    </row>
    <row r="128" spans="1:1">
      <c r="A128" s="527">
        <v>42729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0"/>
  <sheetViews>
    <sheetView topLeftCell="A4" workbookViewId="0">
      <selection activeCell="C24" sqref="C24"/>
    </sheetView>
  </sheetViews>
  <sheetFormatPr baseColWidth="10" defaultColWidth="11.42578125" defaultRowHeight="12.75"/>
  <cols>
    <col min="1" max="1" width="19.42578125" bestFit="1" customWidth="1"/>
    <col min="2" max="2" width="15.5703125" bestFit="1" customWidth="1"/>
    <col min="3" max="3" width="16.5703125" bestFit="1" customWidth="1"/>
  </cols>
  <sheetData>
    <row r="1" spans="1:3" ht="15">
      <c r="A1" s="289" t="s">
        <v>202</v>
      </c>
      <c r="B1" s="289" t="s">
        <v>225</v>
      </c>
      <c r="C1" s="289" t="s">
        <v>276</v>
      </c>
    </row>
    <row r="2" spans="1:3">
      <c r="A2" t="s">
        <v>29</v>
      </c>
      <c r="B2" t="s">
        <v>190</v>
      </c>
      <c r="C2" s="290">
        <f>_xll.BDP(B2,$C$1)/100</f>
        <v>2.7827340648898962E-3</v>
      </c>
    </row>
    <row r="3" spans="1:3">
      <c r="A3" t="s">
        <v>27</v>
      </c>
      <c r="B3" t="s">
        <v>189</v>
      </c>
      <c r="C3" s="290">
        <f>_xll.BDP(B3,$C$1)/100</f>
        <v>3.730957245174582E-3</v>
      </c>
    </row>
    <row r="4" spans="1:3">
      <c r="A4" t="s">
        <v>188</v>
      </c>
      <c r="B4" t="s">
        <v>191</v>
      </c>
      <c r="C4" s="290">
        <f>_xll.BDP(B4,$C$1)/100</f>
        <v>8.5376401937819705E-3</v>
      </c>
    </row>
    <row r="5" spans="1:3">
      <c r="A5" t="s">
        <v>28</v>
      </c>
      <c r="B5" t="s">
        <v>192</v>
      </c>
      <c r="C5" s="290">
        <f>_xll.BDP(B5,$C$1)/100</f>
        <v>1.0056659494569575E-2</v>
      </c>
    </row>
    <row r="6" spans="1:3">
      <c r="A6" s="216" t="s">
        <v>398</v>
      </c>
      <c r="B6" t="s">
        <v>186</v>
      </c>
      <c r="C6" s="290">
        <f>_xll.BDP(B6,$C$1)/100</f>
        <v>6.6721833260105987E-3</v>
      </c>
    </row>
    <row r="7" spans="1:3">
      <c r="A7" s="216" t="s">
        <v>401</v>
      </c>
      <c r="B7" t="s">
        <v>193</v>
      </c>
      <c r="C7" s="290">
        <f>_xll.BDP(B7,$C$1)/100</f>
        <v>1.2622852273548006E-2</v>
      </c>
    </row>
    <row r="8" spans="1:3">
      <c r="A8" s="216" t="s">
        <v>402</v>
      </c>
      <c r="B8" t="s">
        <v>194</v>
      </c>
      <c r="C8" s="290">
        <f>_xll.BDP(B8,$C$1)/100</f>
        <v>1.7745628091203461E-2</v>
      </c>
    </row>
    <row r="9" spans="1:3">
      <c r="A9" s="216" t="s">
        <v>403</v>
      </c>
      <c r="B9" t="s">
        <v>195</v>
      </c>
      <c r="C9" s="290">
        <f>_xll.BDP(B9,$C$1)/100</f>
        <v>2.4554135706806878E-2</v>
      </c>
    </row>
    <row r="10" spans="1:3">
      <c r="A10" t="s">
        <v>49</v>
      </c>
      <c r="B10" t="s">
        <v>196</v>
      </c>
      <c r="C10" s="290">
        <f>_xll.BDP(B10,$C$1)/100</f>
        <v>7.674352268525482E-3</v>
      </c>
    </row>
    <row r="11" spans="1:3">
      <c r="A11" t="s">
        <v>62</v>
      </c>
      <c r="B11" t="s">
        <v>197</v>
      </c>
      <c r="C11" s="290">
        <f>_xll.BDP(B11,$C$1)/100</f>
        <v>1.1507762536227239E-2</v>
      </c>
    </row>
    <row r="12" spans="1:3">
      <c r="A12" t="s">
        <v>67</v>
      </c>
      <c r="B12" t="s">
        <v>203</v>
      </c>
      <c r="C12" s="290">
        <f>_xll.BDP(B12,$C$1)/100</f>
        <v>1.620356685907089E-2</v>
      </c>
    </row>
    <row r="13" spans="1:3">
      <c r="A13" t="s">
        <v>71</v>
      </c>
      <c r="B13" t="s">
        <v>204</v>
      </c>
      <c r="C13" s="290">
        <f>_xll.BDP(B13,$C$1)/100</f>
        <v>3.101371774436441E-2</v>
      </c>
    </row>
    <row r="14" spans="1:3">
      <c r="A14" t="s">
        <v>565</v>
      </c>
      <c r="B14" t="s">
        <v>198</v>
      </c>
      <c r="C14" s="290">
        <f>_xll.BDP(B14,$C$1)/100</f>
        <v>6.8465253565573999E-3</v>
      </c>
    </row>
    <row r="15" spans="1:3">
      <c r="A15" t="s">
        <v>566</v>
      </c>
      <c r="B15" t="s">
        <v>199</v>
      </c>
      <c r="C15" s="290">
        <f>_xll.BDP(B15,$C$1)/100</f>
        <v>8.0885723964807896E-3</v>
      </c>
    </row>
    <row r="16" spans="1:3">
      <c r="A16" t="s">
        <v>567</v>
      </c>
      <c r="B16" t="s">
        <v>200</v>
      </c>
      <c r="C16" s="290">
        <f>_xll.BDP(B16,$C$1)/100</f>
        <v>8.7211409158004915E-3</v>
      </c>
    </row>
    <row r="17" spans="1:3">
      <c r="A17" t="s">
        <v>568</v>
      </c>
      <c r="B17" t="s">
        <v>201</v>
      </c>
      <c r="C17" s="290">
        <f>_xll.BDP(B17,$C$1)/100</f>
        <v>1.1927198058600198E-2</v>
      </c>
    </row>
    <row r="18" spans="1:3">
      <c r="A18" t="s">
        <v>564</v>
      </c>
      <c r="B18" s="216" t="s">
        <v>573</v>
      </c>
      <c r="C18" s="290">
        <f>_xll.BDP(B18,$C$1)/100</f>
        <v>2.1026951824470879E-2</v>
      </c>
    </row>
    <row r="19" spans="1:3">
      <c r="A19" t="s">
        <v>563</v>
      </c>
      <c r="B19" s="216" t="s">
        <v>574</v>
      </c>
      <c r="C19" s="290">
        <f>_xll.BDP(B19,$C$1)/100</f>
        <v>1.984981598442034E-2</v>
      </c>
    </row>
    <row r="20" spans="1:3">
      <c r="A20" t="s">
        <v>562</v>
      </c>
      <c r="B20" s="216" t="s">
        <v>575</v>
      </c>
      <c r="C20" s="290">
        <f>_xll.BDP(B20,$C$1)/100</f>
        <v>1.7307721645920548E-2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BB45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20" sqref="E20"/>
    </sheetView>
  </sheetViews>
  <sheetFormatPr baseColWidth="10" defaultColWidth="11.42578125" defaultRowHeight="12.75"/>
  <cols>
    <col min="1" max="1" width="14.140625" bestFit="1" customWidth="1"/>
    <col min="2" max="2" width="10.5703125" bestFit="1" customWidth="1"/>
    <col min="3" max="3" width="11.5703125" bestFit="1" customWidth="1"/>
    <col min="4" max="4" width="9.5703125" bestFit="1" customWidth="1"/>
    <col min="5" max="12" width="10.7109375" bestFit="1" customWidth="1"/>
    <col min="13" max="15" width="10.5703125" bestFit="1" customWidth="1"/>
    <col min="16" max="16" width="9.7109375" customWidth="1"/>
    <col min="17" max="17" width="18.28515625" customWidth="1"/>
    <col min="18" max="22" width="10.5703125" bestFit="1" customWidth="1"/>
    <col min="23" max="23" width="9.85546875" customWidth="1"/>
    <col min="24" max="24" width="4.7109375" customWidth="1"/>
    <col min="25" max="25" width="4.5703125" bestFit="1" customWidth="1"/>
    <col min="26" max="33" width="4.7109375" bestFit="1" customWidth="1"/>
    <col min="34" max="35" width="4.5703125" bestFit="1" customWidth="1"/>
    <col min="36" max="43" width="4.7109375" bestFit="1" customWidth="1"/>
    <col min="44" max="44" width="4.5703125" bestFit="1" customWidth="1"/>
    <col min="45" max="54" width="7" customWidth="1"/>
  </cols>
  <sheetData>
    <row r="1" spans="1:54">
      <c r="C1" s="595" t="s">
        <v>537</v>
      </c>
      <c r="D1" s="595"/>
      <c r="E1" s="595"/>
      <c r="F1" s="595"/>
      <c r="G1" s="595"/>
      <c r="H1" s="595"/>
      <c r="I1" s="595"/>
      <c r="J1" s="595"/>
      <c r="K1" s="595"/>
      <c r="L1" s="595"/>
      <c r="M1" s="594" t="s">
        <v>35</v>
      </c>
      <c r="N1" s="595"/>
      <c r="O1" s="595"/>
      <c r="P1" s="595"/>
      <c r="Q1" s="595"/>
      <c r="R1" s="595"/>
      <c r="S1" s="595"/>
      <c r="T1" s="595"/>
      <c r="U1" s="595"/>
      <c r="V1" s="595"/>
      <c r="W1" s="128"/>
      <c r="X1" s="128"/>
      <c r="Y1" s="594" t="s">
        <v>532</v>
      </c>
      <c r="Z1" s="595"/>
      <c r="AA1" s="595"/>
      <c r="AB1" s="595"/>
      <c r="AC1" s="595"/>
      <c r="AD1" s="595"/>
      <c r="AE1" s="595"/>
      <c r="AF1" s="595"/>
      <c r="AG1" s="595"/>
      <c r="AH1" s="595"/>
      <c r="AI1" s="594" t="s">
        <v>531</v>
      </c>
      <c r="AJ1" s="595"/>
      <c r="AK1" s="595"/>
      <c r="AL1" s="595"/>
      <c r="AM1" s="595"/>
      <c r="AN1" s="595"/>
      <c r="AO1" s="595"/>
      <c r="AP1" s="595"/>
      <c r="AQ1" s="595"/>
      <c r="AR1" s="595"/>
      <c r="AS1" s="594" t="s">
        <v>533</v>
      </c>
      <c r="AT1" s="595"/>
      <c r="AU1" s="595"/>
      <c r="AV1" s="595"/>
      <c r="AW1" s="595"/>
      <c r="AX1" s="595"/>
      <c r="AY1" s="595"/>
      <c r="AZ1" s="595"/>
      <c r="BA1" s="595"/>
      <c r="BB1" s="595"/>
    </row>
    <row r="2" spans="1:54">
      <c r="C2" s="344" t="s">
        <v>489</v>
      </c>
      <c r="D2" s="344" t="s">
        <v>490</v>
      </c>
      <c r="E2" s="344" t="s">
        <v>491</v>
      </c>
      <c r="F2" s="344" t="s">
        <v>492</v>
      </c>
      <c r="G2" s="344" t="s">
        <v>493</v>
      </c>
      <c r="H2" s="344" t="s">
        <v>494</v>
      </c>
      <c r="I2" s="344" t="s">
        <v>495</v>
      </c>
      <c r="J2" s="344" t="s">
        <v>496</v>
      </c>
      <c r="K2" s="344" t="s">
        <v>497</v>
      </c>
      <c r="L2" s="344" t="s">
        <v>498</v>
      </c>
      <c r="M2" s="344" t="s">
        <v>489</v>
      </c>
      <c r="N2" s="344" t="s">
        <v>490</v>
      </c>
      <c r="O2" s="344" t="s">
        <v>491</v>
      </c>
      <c r="P2" s="344" t="s">
        <v>492</v>
      </c>
      <c r="Q2" s="344" t="s">
        <v>493</v>
      </c>
      <c r="R2" s="344" t="s">
        <v>494</v>
      </c>
      <c r="S2" s="344" t="s">
        <v>495</v>
      </c>
      <c r="T2" s="344" t="s">
        <v>496</v>
      </c>
      <c r="U2" s="344" t="s">
        <v>497</v>
      </c>
      <c r="V2" s="344" t="s">
        <v>498</v>
      </c>
      <c r="W2" s="485" t="s">
        <v>535</v>
      </c>
      <c r="X2" s="485" t="s">
        <v>530</v>
      </c>
      <c r="Y2" s="344" t="s">
        <v>489</v>
      </c>
      <c r="Z2" s="344" t="s">
        <v>490</v>
      </c>
      <c r="AA2" s="344" t="s">
        <v>491</v>
      </c>
      <c r="AB2" s="344" t="s">
        <v>492</v>
      </c>
      <c r="AC2" s="344" t="s">
        <v>493</v>
      </c>
      <c r="AD2" s="344" t="s">
        <v>494</v>
      </c>
      <c r="AE2" s="344" t="s">
        <v>495</v>
      </c>
      <c r="AF2" s="344" t="s">
        <v>496</v>
      </c>
      <c r="AG2" s="344" t="s">
        <v>497</v>
      </c>
      <c r="AH2" s="344" t="s">
        <v>498</v>
      </c>
      <c r="AI2" s="344" t="s">
        <v>489</v>
      </c>
      <c r="AJ2" s="344" t="s">
        <v>490</v>
      </c>
      <c r="AK2" s="344" t="s">
        <v>491</v>
      </c>
      <c r="AL2" s="344" t="s">
        <v>492</v>
      </c>
      <c r="AM2" s="344" t="s">
        <v>493</v>
      </c>
      <c r="AN2" s="344" t="s">
        <v>494</v>
      </c>
      <c r="AO2" s="344" t="s">
        <v>495</v>
      </c>
      <c r="AP2" s="344" t="s">
        <v>496</v>
      </c>
      <c r="AQ2" s="344" t="s">
        <v>497</v>
      </c>
      <c r="AR2" s="344" t="s">
        <v>498</v>
      </c>
      <c r="AS2" s="344" t="s">
        <v>489</v>
      </c>
      <c r="AT2" s="344" t="s">
        <v>490</v>
      </c>
      <c r="AU2" s="344" t="s">
        <v>491</v>
      </c>
      <c r="AV2" s="344" t="s">
        <v>492</v>
      </c>
      <c r="AW2" s="344" t="s">
        <v>493</v>
      </c>
      <c r="AX2" s="344" t="s">
        <v>494</v>
      </c>
      <c r="AY2" s="344" t="s">
        <v>495</v>
      </c>
      <c r="AZ2" s="344" t="s">
        <v>496</v>
      </c>
      <c r="BA2" s="344" t="s">
        <v>497</v>
      </c>
      <c r="BB2" s="344" t="s">
        <v>498</v>
      </c>
    </row>
    <row r="3" spans="1:54">
      <c r="A3" s="595" t="s">
        <v>529</v>
      </c>
      <c r="B3" s="480">
        <f ca="1">HPR!R8</f>
        <v>42670</v>
      </c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3">
        <f>HPR!$C$2</f>
        <v>3.5</v>
      </c>
      <c r="N3" s="473">
        <f>HPR!$C$2</f>
        <v>3.5</v>
      </c>
      <c r="O3" s="473">
        <f>HPR!$C$2</f>
        <v>3.5</v>
      </c>
      <c r="P3" s="473">
        <f>HPR!$C$2</f>
        <v>3.5</v>
      </c>
      <c r="Q3" s="473">
        <f>HPR!$C$2</f>
        <v>3.5</v>
      </c>
      <c r="R3" s="473">
        <f>HPR!$C$2</f>
        <v>3.5</v>
      </c>
      <c r="S3" s="473">
        <f>HPR!$C$2</f>
        <v>3.5</v>
      </c>
      <c r="T3" s="473">
        <f>HPR!$C$2</f>
        <v>3.5</v>
      </c>
      <c r="U3" s="473">
        <f>HPR!$C$2</f>
        <v>3.5</v>
      </c>
      <c r="V3" s="473">
        <f>HPR!$C$2</f>
        <v>3.5</v>
      </c>
      <c r="Y3" s="238"/>
      <c r="Z3" s="238"/>
      <c r="AA3" s="238"/>
      <c r="AB3" s="238"/>
      <c r="AC3" s="238"/>
      <c r="AD3" s="238"/>
      <c r="AE3" s="238"/>
      <c r="AF3" s="238"/>
      <c r="AG3" s="238"/>
      <c r="AH3" s="238"/>
    </row>
    <row r="4" spans="1:54">
      <c r="A4" s="595"/>
      <c r="B4" s="475">
        <f ca="1">HPR!R9</f>
        <v>42691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 s="238">
        <f>M3+C4/100</f>
        <v>3.5</v>
      </c>
      <c r="N4">
        <f t="shared" ref="N4:V4" si="0">N3+D4/100</f>
        <v>3.5</v>
      </c>
      <c r="O4">
        <f t="shared" si="0"/>
        <v>3.5</v>
      </c>
      <c r="P4">
        <f t="shared" si="0"/>
        <v>3.5</v>
      </c>
      <c r="Q4">
        <f t="shared" si="0"/>
        <v>3.5</v>
      </c>
      <c r="R4">
        <f t="shared" si="0"/>
        <v>3.5</v>
      </c>
      <c r="S4">
        <f t="shared" si="0"/>
        <v>3.5</v>
      </c>
      <c r="T4">
        <f t="shared" si="0"/>
        <v>3.5</v>
      </c>
      <c r="U4">
        <f t="shared" si="0"/>
        <v>3.5</v>
      </c>
      <c r="V4">
        <f t="shared" si="0"/>
        <v>3.5</v>
      </c>
      <c r="W4">
        <f ca="1">B4-B3-2</f>
        <v>19</v>
      </c>
      <c r="X4">
        <f ca="1">SUM($W$4:$W4)</f>
        <v>19</v>
      </c>
      <c r="Y4" s="238">
        <f ca="1">(1+M3/100/360)^$W4</f>
        <v>1.001848839432484</v>
      </c>
      <c r="Z4" s="238">
        <f t="shared" ref="Y4:AG19" ca="1" si="1">(1+N3/100/360)^$W4</f>
        <v>1.001848839432484</v>
      </c>
      <c r="AA4" s="238">
        <f t="shared" ca="1" si="1"/>
        <v>1.001848839432484</v>
      </c>
      <c r="AB4" s="238">
        <f t="shared" ca="1" si="1"/>
        <v>1.001848839432484</v>
      </c>
      <c r="AC4" s="238">
        <f t="shared" ca="1" si="1"/>
        <v>1.001848839432484</v>
      </c>
      <c r="AD4" s="238">
        <f t="shared" ca="1" si="1"/>
        <v>1.001848839432484</v>
      </c>
      <c r="AE4" s="238">
        <f t="shared" ca="1" si="1"/>
        <v>1.001848839432484</v>
      </c>
      <c r="AF4" s="238">
        <f t="shared" ca="1" si="1"/>
        <v>1.001848839432484</v>
      </c>
      <c r="AG4" s="238">
        <f t="shared" ca="1" si="1"/>
        <v>1.001848839432484</v>
      </c>
      <c r="AH4" s="238">
        <f ca="1">(1+V3/100/360)^$W4</f>
        <v>1.001848839432484</v>
      </c>
      <c r="AI4" s="238">
        <f ca="1">PRODUCT(Y$4:Y4)</f>
        <v>1.001848839432484</v>
      </c>
      <c r="AJ4" s="238">
        <f ca="1">PRODUCT(Z$4:Z4)</f>
        <v>1.001848839432484</v>
      </c>
      <c r="AK4" s="238">
        <f ca="1">PRODUCT(AA$4:AA4)</f>
        <v>1.001848839432484</v>
      </c>
      <c r="AL4" s="238">
        <f ca="1">PRODUCT(AB$4:AB4)</f>
        <v>1.001848839432484</v>
      </c>
      <c r="AM4" s="238">
        <f ca="1">PRODUCT(AC$4:AC4)</f>
        <v>1.001848839432484</v>
      </c>
      <c r="AN4" s="238">
        <f ca="1">PRODUCT(AD$4:AD4)</f>
        <v>1.001848839432484</v>
      </c>
      <c r="AO4" s="238">
        <f ca="1">PRODUCT(AE$4:AE4)</f>
        <v>1.001848839432484</v>
      </c>
      <c r="AP4" s="238">
        <f ca="1">PRODUCT(AF$4:AF4)</f>
        <v>1.001848839432484</v>
      </c>
      <c r="AQ4" s="238">
        <f ca="1">PRODUCT(AG$4:AG4)</f>
        <v>1.001848839432484</v>
      </c>
      <c r="AR4" s="238">
        <f ca="1">PRODUCT(AH$4:AH4)</f>
        <v>1.001848839432484</v>
      </c>
      <c r="AS4" s="238">
        <f ca="1">(AI4-1)*100*360/$X4</f>
        <v>3.5030641878644966</v>
      </c>
      <c r="AT4" s="238">
        <f t="shared" ref="AT4:BB4" ca="1" si="2">(AJ4-1)*100*360/$X4</f>
        <v>3.5030641878644966</v>
      </c>
      <c r="AU4" s="238">
        <f t="shared" ca="1" si="2"/>
        <v>3.5030641878644966</v>
      </c>
      <c r="AV4" s="238">
        <f t="shared" ca="1" si="2"/>
        <v>3.5030641878644966</v>
      </c>
      <c r="AW4" s="238">
        <f t="shared" ca="1" si="2"/>
        <v>3.5030641878644966</v>
      </c>
      <c r="AX4" s="238">
        <f t="shared" ca="1" si="2"/>
        <v>3.5030641878644966</v>
      </c>
      <c r="AY4" s="238">
        <f t="shared" ca="1" si="2"/>
        <v>3.5030641878644966</v>
      </c>
      <c r="AZ4" s="238">
        <f t="shared" ca="1" si="2"/>
        <v>3.5030641878644966</v>
      </c>
      <c r="BA4" s="238">
        <f t="shared" ca="1" si="2"/>
        <v>3.5030641878644966</v>
      </c>
      <c r="BB4" s="238">
        <f t="shared" ca="1" si="2"/>
        <v>3.5030641878644966</v>
      </c>
    </row>
    <row r="5" spans="1:54">
      <c r="A5" s="595"/>
      <c r="B5" s="475">
        <f ca="1">HPR!R10</f>
        <v>42719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 s="238">
        <f t="shared" ref="M5:M28" si="3">M4+C5/100</f>
        <v>3.5</v>
      </c>
      <c r="N5">
        <f t="shared" ref="N5:N28" si="4">N4+D5/100</f>
        <v>3.5</v>
      </c>
      <c r="O5">
        <f t="shared" ref="O5:O28" si="5">O4+E5/100</f>
        <v>3.5</v>
      </c>
      <c r="P5">
        <f t="shared" ref="P5:P28" si="6">P4+F5/100</f>
        <v>3.5</v>
      </c>
      <c r="Q5">
        <f t="shared" ref="Q5:Q28" si="7">Q4+G5/100</f>
        <v>3.5</v>
      </c>
      <c r="R5">
        <f t="shared" ref="R5:R28" si="8">R4+H5/100</f>
        <v>3.5</v>
      </c>
      <c r="S5">
        <f t="shared" ref="S5:S28" si="9">S4+I5/100</f>
        <v>3.5</v>
      </c>
      <c r="T5">
        <f t="shared" ref="T5:T28" si="10">T4+J5/100</f>
        <v>3.5</v>
      </c>
      <c r="U5">
        <f t="shared" ref="U5:U28" si="11">U4+K5/100</f>
        <v>3.5</v>
      </c>
      <c r="V5">
        <f t="shared" ref="V5:V28" si="12">V4+L5/100</f>
        <v>3.5</v>
      </c>
      <c r="W5">
        <f t="shared" ref="W5:W28" ca="1" si="13">B5-B4</f>
        <v>28</v>
      </c>
      <c r="X5">
        <f ca="1">SUM($W$4:$W5)</f>
        <v>47</v>
      </c>
      <c r="Y5" s="238">
        <f ca="1">(1+M4/100/360)^$W5</f>
        <v>1.0027257981512299</v>
      </c>
      <c r="Z5" s="238">
        <f t="shared" ca="1" si="1"/>
        <v>1.0027257981512299</v>
      </c>
      <c r="AA5" s="238">
        <f t="shared" ca="1" si="1"/>
        <v>1.0027257981512299</v>
      </c>
      <c r="AB5" s="238">
        <f t="shared" ca="1" si="1"/>
        <v>1.0027257981512299</v>
      </c>
      <c r="AC5" s="238">
        <f t="shared" ca="1" si="1"/>
        <v>1.0027257981512299</v>
      </c>
      <c r="AD5" s="238">
        <f t="shared" ca="1" si="1"/>
        <v>1.0027257981512299</v>
      </c>
      <c r="AE5" s="238">
        <f t="shared" ca="1" si="1"/>
        <v>1.0027257981512299</v>
      </c>
      <c r="AF5" s="238">
        <f t="shared" ca="1" si="1"/>
        <v>1.0027257981512299</v>
      </c>
      <c r="AG5" s="238">
        <f t="shared" ca="1" si="1"/>
        <v>1.0027257981512299</v>
      </c>
      <c r="AH5" s="238">
        <f t="shared" ref="AH5:AH28" ca="1" si="14">(1+V4/100/360)^$W5</f>
        <v>1.0027257981512299</v>
      </c>
      <c r="AI5" s="238">
        <f ca="1">PRODUCT(Y$4:Y5)</f>
        <v>1.0045796771468209</v>
      </c>
      <c r="AJ5" s="238">
        <f ca="1">PRODUCT(Z$4:Z5)</f>
        <v>1.0045796771468209</v>
      </c>
      <c r="AK5" s="238">
        <f ca="1">PRODUCT(AA$4:AA5)</f>
        <v>1.0045796771468209</v>
      </c>
      <c r="AL5" s="238">
        <f ca="1">PRODUCT(AB$4:AB5)</f>
        <v>1.0045796771468209</v>
      </c>
      <c r="AM5" s="238">
        <f ca="1">PRODUCT(AC$4:AC5)</f>
        <v>1.0045796771468209</v>
      </c>
      <c r="AN5" s="238">
        <f ca="1">PRODUCT(AD$4:AD5)</f>
        <v>1.0045796771468209</v>
      </c>
      <c r="AO5" s="238">
        <f ca="1">PRODUCT(AE$4:AE5)</f>
        <v>1.0045796771468209</v>
      </c>
      <c r="AP5" s="238">
        <f ca="1">PRODUCT(AF$4:AF5)</f>
        <v>1.0045796771468209</v>
      </c>
      <c r="AQ5" s="238">
        <f ca="1">PRODUCT(AG$4:AG5)</f>
        <v>1.0045796771468209</v>
      </c>
      <c r="AR5" s="238">
        <f ca="1">PRODUCT(AH$4:AH5)</f>
        <v>1.0045796771468209</v>
      </c>
      <c r="AS5" s="238">
        <f t="shared" ref="AS5:AS28" ca="1" si="15">(AI5-1)*100*360/$X5</f>
        <v>3.5078378145862583</v>
      </c>
      <c r="AT5" s="238">
        <f t="shared" ref="AT5:AT28" ca="1" si="16">(AJ5-1)*100*360/$X5</f>
        <v>3.5078378145862583</v>
      </c>
      <c r="AU5" s="238">
        <f t="shared" ref="AU5:AU28" ca="1" si="17">(AK5-1)*100*360/$X5</f>
        <v>3.5078378145862583</v>
      </c>
      <c r="AV5" s="238">
        <f t="shared" ref="AV5:AV28" ca="1" si="18">(AL5-1)*100*360/$X5</f>
        <v>3.5078378145862583</v>
      </c>
      <c r="AW5" s="238">
        <f t="shared" ref="AW5:AW28" ca="1" si="19">(AM5-1)*100*360/$X5</f>
        <v>3.5078378145862583</v>
      </c>
      <c r="AX5" s="238">
        <f t="shared" ref="AX5:AX28" ca="1" si="20">(AN5-1)*100*360/$X5</f>
        <v>3.5078378145862583</v>
      </c>
      <c r="AY5" s="238">
        <f t="shared" ref="AY5:AY28" ca="1" si="21">(AO5-1)*100*360/$X5</f>
        <v>3.5078378145862583</v>
      </c>
      <c r="AZ5" s="238">
        <f t="shared" ref="AZ5:AZ28" ca="1" si="22">(AP5-1)*100*360/$X5</f>
        <v>3.5078378145862583</v>
      </c>
      <c r="BA5" s="238">
        <f t="shared" ref="BA5:BA28" ca="1" si="23">(AQ5-1)*100*360/$X5</f>
        <v>3.5078378145862583</v>
      </c>
      <c r="BB5" s="238">
        <f t="shared" ref="BB5:BB27" ca="1" si="24">(AR5-1)*100*360/$X5</f>
        <v>3.5078378145862583</v>
      </c>
    </row>
    <row r="6" spans="1:54">
      <c r="A6" s="595"/>
      <c r="B6" s="475">
        <f ca="1">HPR!R11</f>
        <v>42750</v>
      </c>
      <c r="C6">
        <v>0</v>
      </c>
      <c r="D6">
        <v>0</v>
      </c>
      <c r="E6">
        <v>0</v>
      </c>
      <c r="F6">
        <v>-25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 s="238">
        <f t="shared" si="3"/>
        <v>3.5</v>
      </c>
      <c r="N6">
        <f t="shared" si="4"/>
        <v>3.5</v>
      </c>
      <c r="O6">
        <f t="shared" si="5"/>
        <v>3.5</v>
      </c>
      <c r="P6">
        <f t="shared" si="6"/>
        <v>3.25</v>
      </c>
      <c r="Q6">
        <f t="shared" si="7"/>
        <v>3.5</v>
      </c>
      <c r="R6">
        <f t="shared" si="8"/>
        <v>3.5</v>
      </c>
      <c r="S6">
        <f t="shared" si="9"/>
        <v>3.5</v>
      </c>
      <c r="T6">
        <f t="shared" si="10"/>
        <v>3.5</v>
      </c>
      <c r="U6">
        <f t="shared" si="11"/>
        <v>3.5</v>
      </c>
      <c r="V6">
        <f t="shared" si="12"/>
        <v>3.5</v>
      </c>
      <c r="W6">
        <f t="shared" ca="1" si="13"/>
        <v>31</v>
      </c>
      <c r="X6">
        <f ca="1">SUM($W$4:$W6)</f>
        <v>78</v>
      </c>
      <c r="Y6" s="238">
        <f ca="1">(1+M5/100/360)^$W6</f>
        <v>1.0030182882770542</v>
      </c>
      <c r="Z6" s="238">
        <f t="shared" ca="1" si="1"/>
        <v>1.0030182882770542</v>
      </c>
      <c r="AA6" s="238">
        <f t="shared" ca="1" si="1"/>
        <v>1.0030182882770542</v>
      </c>
      <c r="AB6" s="238">
        <f t="shared" ca="1" si="1"/>
        <v>1.0030182882770542</v>
      </c>
      <c r="AC6" s="238">
        <f t="shared" ca="1" si="1"/>
        <v>1.0030182882770542</v>
      </c>
      <c r="AD6" s="238">
        <f t="shared" ca="1" si="1"/>
        <v>1.0030182882770542</v>
      </c>
      <c r="AE6" s="238">
        <f t="shared" ca="1" si="1"/>
        <v>1.0030182882770542</v>
      </c>
      <c r="AF6" s="238">
        <f t="shared" ca="1" si="1"/>
        <v>1.0030182882770542</v>
      </c>
      <c r="AG6" s="238">
        <f t="shared" ca="1" si="1"/>
        <v>1.0030182882770542</v>
      </c>
      <c r="AH6" s="238">
        <f t="shared" ca="1" si="14"/>
        <v>1.0030182882770542</v>
      </c>
      <c r="AI6" s="238">
        <f ca="1">PRODUCT(Y$4:Y6)</f>
        <v>1.0076117882097202</v>
      </c>
      <c r="AJ6" s="238">
        <f ca="1">PRODUCT(Z$4:Z6)</f>
        <v>1.0076117882097202</v>
      </c>
      <c r="AK6" s="238">
        <f ca="1">PRODUCT(AA$4:AA6)</f>
        <v>1.0076117882097202</v>
      </c>
      <c r="AL6" s="238">
        <f ca="1">PRODUCT(AB$4:AB6)</f>
        <v>1.0076117882097202</v>
      </c>
      <c r="AM6" s="238">
        <f ca="1">PRODUCT(AC$4:AC6)</f>
        <v>1.0076117882097202</v>
      </c>
      <c r="AN6" s="238">
        <f ca="1">PRODUCT(AD$4:AD6)</f>
        <v>1.0076117882097202</v>
      </c>
      <c r="AO6" s="238">
        <f ca="1">PRODUCT(AE$4:AE6)</f>
        <v>1.0076117882097202</v>
      </c>
      <c r="AP6" s="238">
        <f ca="1">PRODUCT(AF$4:AF6)</f>
        <v>1.0076117882097202</v>
      </c>
      <c r="AQ6" s="238">
        <f ca="1">PRODUCT(AG$4:AG6)</f>
        <v>1.0076117882097202</v>
      </c>
      <c r="AR6" s="238">
        <f ca="1">PRODUCT(AH$4:AH6)</f>
        <v>1.0076117882097202</v>
      </c>
      <c r="AS6" s="238">
        <f t="shared" ca="1" si="15"/>
        <v>3.5131330198708586</v>
      </c>
      <c r="AT6" s="238">
        <f t="shared" ca="1" si="16"/>
        <v>3.5131330198708586</v>
      </c>
      <c r="AU6" s="238">
        <f t="shared" ca="1" si="17"/>
        <v>3.5131330198708586</v>
      </c>
      <c r="AV6" s="238">
        <f t="shared" ca="1" si="18"/>
        <v>3.5131330198708586</v>
      </c>
      <c r="AW6" s="238">
        <f t="shared" ca="1" si="19"/>
        <v>3.5131330198708586</v>
      </c>
      <c r="AX6" s="238">
        <f t="shared" ca="1" si="20"/>
        <v>3.5131330198708586</v>
      </c>
      <c r="AY6" s="238">
        <f t="shared" ca="1" si="21"/>
        <v>3.5131330198708586</v>
      </c>
      <c r="AZ6" s="238">
        <f t="shared" ca="1" si="22"/>
        <v>3.5131330198708586</v>
      </c>
      <c r="BA6" s="238">
        <f t="shared" ca="1" si="23"/>
        <v>3.5131330198708586</v>
      </c>
      <c r="BB6" s="238">
        <f t="shared" ca="1" si="24"/>
        <v>3.5131330198708586</v>
      </c>
    </row>
    <row r="7" spans="1:54">
      <c r="A7" s="595"/>
      <c r="B7" s="475">
        <f ca="1">HPR!R12</f>
        <v>42781</v>
      </c>
      <c r="C7">
        <v>0</v>
      </c>
      <c r="D7">
        <v>0</v>
      </c>
      <c r="E7">
        <v>-25</v>
      </c>
      <c r="F7">
        <v>0</v>
      </c>
      <c r="G7">
        <v>0</v>
      </c>
      <c r="H7">
        <v>0</v>
      </c>
      <c r="I7">
        <v>0</v>
      </c>
      <c r="J7">
        <v>0</v>
      </c>
      <c r="K7">
        <v>-25</v>
      </c>
      <c r="L7">
        <v>0</v>
      </c>
      <c r="M7" s="238">
        <f t="shared" si="3"/>
        <v>3.5</v>
      </c>
      <c r="N7">
        <f t="shared" si="4"/>
        <v>3.5</v>
      </c>
      <c r="O7">
        <f t="shared" si="5"/>
        <v>3.25</v>
      </c>
      <c r="P7">
        <f t="shared" si="6"/>
        <v>3.25</v>
      </c>
      <c r="Q7">
        <f t="shared" si="7"/>
        <v>3.5</v>
      </c>
      <c r="R7">
        <f t="shared" si="8"/>
        <v>3.5</v>
      </c>
      <c r="S7">
        <f t="shared" si="9"/>
        <v>3.5</v>
      </c>
      <c r="T7">
        <f t="shared" si="10"/>
        <v>3.5</v>
      </c>
      <c r="U7">
        <f t="shared" si="11"/>
        <v>3.25</v>
      </c>
      <c r="V7">
        <f t="shared" si="12"/>
        <v>3.5</v>
      </c>
      <c r="W7">
        <f t="shared" ca="1" si="13"/>
        <v>31</v>
      </c>
      <c r="X7">
        <f ca="1">SUM($W$4:$W7)</f>
        <v>109</v>
      </c>
      <c r="Y7" s="238">
        <f t="shared" ca="1" si="1"/>
        <v>1.0030182882770542</v>
      </c>
      <c r="Z7" s="238">
        <f t="shared" ca="1" si="1"/>
        <v>1.0030182882770542</v>
      </c>
      <c r="AA7" s="238">
        <f t="shared" ca="1" si="1"/>
        <v>1.0030182882770542</v>
      </c>
      <c r="AB7" s="238">
        <f t="shared" ca="1" si="1"/>
        <v>1.0028024042063719</v>
      </c>
      <c r="AC7" s="238">
        <f t="shared" ca="1" si="1"/>
        <v>1.0030182882770542</v>
      </c>
      <c r="AD7" s="238">
        <f t="shared" ca="1" si="1"/>
        <v>1.0030182882770542</v>
      </c>
      <c r="AE7" s="238">
        <f t="shared" ca="1" si="1"/>
        <v>1.0030182882770542</v>
      </c>
      <c r="AF7" s="238">
        <f t="shared" ca="1" si="1"/>
        <v>1.0030182882770542</v>
      </c>
      <c r="AG7" s="238">
        <f t="shared" ca="1" si="1"/>
        <v>1.0030182882770542</v>
      </c>
      <c r="AH7" s="238">
        <f t="shared" ca="1" si="14"/>
        <v>1.0030182882770542</v>
      </c>
      <c r="AI7" s="238">
        <f ca="1">PRODUCT(Y$4:Y7)</f>
        <v>1.0106530510578953</v>
      </c>
      <c r="AJ7" s="238">
        <f ca="1">PRODUCT(Z$4:Z7)</f>
        <v>1.0106530510578953</v>
      </c>
      <c r="AK7" s="238">
        <f ca="1">PRODUCT(AA$4:AA7)</f>
        <v>1.0106530510578953</v>
      </c>
      <c r="AL7" s="238">
        <f ca="1">PRODUCT(AB$4:AB7)</f>
        <v>1.0104355237233891</v>
      </c>
      <c r="AM7" s="238">
        <f ca="1">PRODUCT(AC$4:AC7)</f>
        <v>1.0106530510578953</v>
      </c>
      <c r="AN7" s="238">
        <f ca="1">PRODUCT(AD$4:AD7)</f>
        <v>1.0106530510578953</v>
      </c>
      <c r="AO7" s="238">
        <f ca="1">PRODUCT(AE$4:AE7)</f>
        <v>1.0106530510578953</v>
      </c>
      <c r="AP7" s="238">
        <f ca="1">PRODUCT(AF$4:AF7)</f>
        <v>1.0106530510578953</v>
      </c>
      <c r="AQ7" s="238">
        <f ca="1">PRODUCT(AG$4:AG7)</f>
        <v>1.0106530510578953</v>
      </c>
      <c r="AR7" s="238">
        <f ca="1">PRODUCT(AH$4:AH7)</f>
        <v>1.0106530510578953</v>
      </c>
      <c r="AS7" s="238">
        <f t="shared" ca="1" si="15"/>
        <v>3.518438881506694</v>
      </c>
      <c r="AT7" s="238">
        <f t="shared" ca="1" si="16"/>
        <v>3.518438881506694</v>
      </c>
      <c r="AU7" s="238">
        <f t="shared" ca="1" si="17"/>
        <v>3.518438881506694</v>
      </c>
      <c r="AV7" s="238">
        <f t="shared" ca="1" si="18"/>
        <v>3.4465949912110698</v>
      </c>
      <c r="AW7" s="238">
        <f t="shared" ca="1" si="19"/>
        <v>3.518438881506694</v>
      </c>
      <c r="AX7" s="238">
        <f t="shared" ca="1" si="20"/>
        <v>3.518438881506694</v>
      </c>
      <c r="AY7" s="238">
        <f t="shared" ca="1" si="21"/>
        <v>3.518438881506694</v>
      </c>
      <c r="AZ7" s="238">
        <f t="shared" ca="1" si="22"/>
        <v>3.518438881506694</v>
      </c>
      <c r="BA7" s="238">
        <f t="shared" ca="1" si="23"/>
        <v>3.518438881506694</v>
      </c>
      <c r="BB7" s="238">
        <f t="shared" ca="1" si="24"/>
        <v>3.518438881506694</v>
      </c>
    </row>
    <row r="8" spans="1:54">
      <c r="A8" s="595"/>
      <c r="B8" s="475">
        <f ca="1">HPR!R13</f>
        <v>42809</v>
      </c>
      <c r="C8">
        <v>0</v>
      </c>
      <c r="D8">
        <v>0</v>
      </c>
      <c r="E8">
        <v>0</v>
      </c>
      <c r="F8">
        <v>-25</v>
      </c>
      <c r="G8">
        <v>0</v>
      </c>
      <c r="H8">
        <v>0</v>
      </c>
      <c r="I8">
        <v>0</v>
      </c>
      <c r="J8">
        <v>0</v>
      </c>
      <c r="K8">
        <v>0</v>
      </c>
      <c r="L8">
        <v>-25</v>
      </c>
      <c r="M8" s="238">
        <f t="shared" si="3"/>
        <v>3.5</v>
      </c>
      <c r="N8">
        <f t="shared" si="4"/>
        <v>3.5</v>
      </c>
      <c r="O8">
        <f t="shared" si="5"/>
        <v>3.25</v>
      </c>
      <c r="P8">
        <f t="shared" si="6"/>
        <v>3</v>
      </c>
      <c r="Q8">
        <f t="shared" si="7"/>
        <v>3.5</v>
      </c>
      <c r="R8">
        <f t="shared" si="8"/>
        <v>3.5</v>
      </c>
      <c r="S8">
        <f t="shared" si="9"/>
        <v>3.5</v>
      </c>
      <c r="T8">
        <f t="shared" si="10"/>
        <v>3.5</v>
      </c>
      <c r="U8">
        <f t="shared" si="11"/>
        <v>3.25</v>
      </c>
      <c r="V8">
        <f t="shared" si="12"/>
        <v>3.25</v>
      </c>
      <c r="W8">
        <f t="shared" ca="1" si="13"/>
        <v>28</v>
      </c>
      <c r="X8">
        <f ca="1">SUM($W$4:$W8)</f>
        <v>137</v>
      </c>
      <c r="Y8" s="238">
        <f t="shared" ca="1" si="1"/>
        <v>1.0027257981512299</v>
      </c>
      <c r="Z8" s="238">
        <f t="shared" ca="1" si="1"/>
        <v>1.0027257981512299</v>
      </c>
      <c r="AA8" s="238">
        <f t="shared" ca="1" si="1"/>
        <v>1.0025308609186903</v>
      </c>
      <c r="AB8" s="238">
        <f t="shared" ca="1" si="1"/>
        <v>1.0025308609186903</v>
      </c>
      <c r="AC8" s="238">
        <f t="shared" ca="1" si="1"/>
        <v>1.0027257981512299</v>
      </c>
      <c r="AD8" s="238">
        <f t="shared" ca="1" si="1"/>
        <v>1.0027257981512299</v>
      </c>
      <c r="AE8" s="238">
        <f t="shared" ca="1" si="1"/>
        <v>1.0027257981512299</v>
      </c>
      <c r="AF8" s="238">
        <f t="shared" ca="1" si="1"/>
        <v>1.0027257981512299</v>
      </c>
      <c r="AG8" s="238">
        <f t="shared" ca="1" si="1"/>
        <v>1.0025308609186903</v>
      </c>
      <c r="AH8" s="238">
        <f t="shared" ca="1" si="14"/>
        <v>1.0027257981512299</v>
      </c>
      <c r="AI8" s="238">
        <f ca="1">PRODUCT(Y$4:Y8)</f>
        <v>1.0134078872760037</v>
      </c>
      <c r="AJ8" s="238">
        <f ca="1">PRODUCT(Z$4:Z8)</f>
        <v>1.0134078872760037</v>
      </c>
      <c r="AK8" s="238">
        <f ca="1">PRODUCT(AA$4:AA8)</f>
        <v>1.0132108733671727</v>
      </c>
      <c r="AL8" s="238">
        <f ca="1">PRODUCT(AB$4:AB8)</f>
        <v>1.012992795501237</v>
      </c>
      <c r="AM8" s="238">
        <f ca="1">PRODUCT(AC$4:AC8)</f>
        <v>1.0134078872760037</v>
      </c>
      <c r="AN8" s="238">
        <f ca="1">PRODUCT(AD$4:AD8)</f>
        <v>1.0134078872760037</v>
      </c>
      <c r="AO8" s="238">
        <f ca="1">PRODUCT(AE$4:AE8)</f>
        <v>1.0134078872760037</v>
      </c>
      <c r="AP8" s="238">
        <f ca="1">PRODUCT(AF$4:AF8)</f>
        <v>1.0134078872760037</v>
      </c>
      <c r="AQ8" s="238">
        <f ca="1">PRODUCT(AG$4:AG8)</f>
        <v>1.0132108733671727</v>
      </c>
      <c r="AR8" s="238">
        <f ca="1">PRODUCT(AH$4:AH8)</f>
        <v>1.0134078872760037</v>
      </c>
      <c r="AS8" s="238">
        <f t="shared" ca="1" si="15"/>
        <v>3.5232404520885705</v>
      </c>
      <c r="AT8" s="238">
        <f t="shared" ca="1" si="16"/>
        <v>3.5232404520885705</v>
      </c>
      <c r="AU8" s="238">
        <f t="shared" ca="1" si="17"/>
        <v>3.4714703738556127</v>
      </c>
      <c r="AV8" s="238">
        <f t="shared" ca="1" si="18"/>
        <v>3.4141652412009629</v>
      </c>
      <c r="AW8" s="238">
        <f t="shared" ca="1" si="19"/>
        <v>3.5232404520885705</v>
      </c>
      <c r="AX8" s="238">
        <f t="shared" ca="1" si="20"/>
        <v>3.5232404520885705</v>
      </c>
      <c r="AY8" s="238">
        <f t="shared" ca="1" si="21"/>
        <v>3.5232404520885705</v>
      </c>
      <c r="AZ8" s="238">
        <f t="shared" ca="1" si="22"/>
        <v>3.5232404520885705</v>
      </c>
      <c r="BA8" s="238">
        <f t="shared" ca="1" si="23"/>
        <v>3.4714703738556127</v>
      </c>
      <c r="BB8" s="238">
        <f t="shared" ca="1" si="24"/>
        <v>3.5232404520885705</v>
      </c>
    </row>
    <row r="9" spans="1:54">
      <c r="A9" s="595"/>
      <c r="B9" s="475">
        <f ca="1">HPR!R14</f>
        <v>42840</v>
      </c>
      <c r="C9">
        <v>0</v>
      </c>
      <c r="D9">
        <v>0</v>
      </c>
      <c r="E9">
        <v>-25</v>
      </c>
      <c r="F9">
        <v>0</v>
      </c>
      <c r="G9">
        <v>0</v>
      </c>
      <c r="H9">
        <v>-25</v>
      </c>
      <c r="I9">
        <v>0</v>
      </c>
      <c r="J9">
        <v>0</v>
      </c>
      <c r="K9">
        <v>-25</v>
      </c>
      <c r="L9">
        <v>0</v>
      </c>
      <c r="M9" s="238">
        <f t="shared" si="3"/>
        <v>3.5</v>
      </c>
      <c r="N9">
        <f t="shared" si="4"/>
        <v>3.5</v>
      </c>
      <c r="O9">
        <f t="shared" si="5"/>
        <v>3</v>
      </c>
      <c r="P9">
        <f t="shared" si="6"/>
        <v>3</v>
      </c>
      <c r="Q9">
        <f t="shared" si="7"/>
        <v>3.5</v>
      </c>
      <c r="R9">
        <f t="shared" si="8"/>
        <v>3.25</v>
      </c>
      <c r="S9">
        <f t="shared" si="9"/>
        <v>3.5</v>
      </c>
      <c r="T9">
        <f t="shared" si="10"/>
        <v>3.5</v>
      </c>
      <c r="U9">
        <f t="shared" si="11"/>
        <v>3</v>
      </c>
      <c r="V9">
        <f t="shared" si="12"/>
        <v>3.25</v>
      </c>
      <c r="W9">
        <f t="shared" ca="1" si="13"/>
        <v>31</v>
      </c>
      <c r="X9">
        <f ca="1">SUM($W$4:$W9)</f>
        <v>168</v>
      </c>
      <c r="Y9" s="238">
        <f t="shared" ca="1" si="1"/>
        <v>1.0030182882770542</v>
      </c>
      <c r="Z9" s="238">
        <f t="shared" ca="1" si="1"/>
        <v>1.0030182882770542</v>
      </c>
      <c r="AA9" s="238">
        <f t="shared" ca="1" si="1"/>
        <v>1.0028024042063719</v>
      </c>
      <c r="AB9" s="238">
        <f t="shared" ca="1" si="1"/>
        <v>1.002586565102793</v>
      </c>
      <c r="AC9" s="238">
        <f t="shared" ca="1" si="1"/>
        <v>1.0030182882770542</v>
      </c>
      <c r="AD9" s="238">
        <f t="shared" ca="1" si="1"/>
        <v>1.0030182882770542</v>
      </c>
      <c r="AE9" s="238">
        <f t="shared" ca="1" si="1"/>
        <v>1.0030182882770542</v>
      </c>
      <c r="AF9" s="238">
        <f t="shared" ca="1" si="1"/>
        <v>1.0030182882770542</v>
      </c>
      <c r="AG9" s="238">
        <f t="shared" ca="1" si="1"/>
        <v>1.0028024042063719</v>
      </c>
      <c r="AH9" s="238">
        <f t="shared" ca="1" si="14"/>
        <v>1.0028024042063719</v>
      </c>
      <c r="AI9" s="238">
        <f ca="1">PRODUCT(Y$4:Y9)</f>
        <v>1.0164666444220432</v>
      </c>
      <c r="AJ9" s="238">
        <f ca="1">PRODUCT(Z$4:Z9)</f>
        <v>1.0164666444220432</v>
      </c>
      <c r="AK9" s="238">
        <f ca="1">PRODUCT(AA$4:AA9)</f>
        <v>1.0160502997806387</v>
      </c>
      <c r="AL9" s="238">
        <f ca="1">PRODUCT(AB$4:AB9)</f>
        <v>1.0156129673154612</v>
      </c>
      <c r="AM9" s="238">
        <f ca="1">PRODUCT(AC$4:AC9)</f>
        <v>1.0164666444220432</v>
      </c>
      <c r="AN9" s="238">
        <f ca="1">PRODUCT(AD$4:AD9)</f>
        <v>1.0164666444220432</v>
      </c>
      <c r="AO9" s="238">
        <f ca="1">PRODUCT(AE$4:AE9)</f>
        <v>1.0164666444220432</v>
      </c>
      <c r="AP9" s="238">
        <f ca="1">PRODUCT(AF$4:AF9)</f>
        <v>1.0164666444220432</v>
      </c>
      <c r="AQ9" s="238">
        <f ca="1">PRODUCT(AG$4:AG9)</f>
        <v>1.0160502997806387</v>
      </c>
      <c r="AR9" s="238">
        <f ca="1">PRODUCT(AH$4:AH9)</f>
        <v>1.0162478658020764</v>
      </c>
      <c r="AS9" s="238">
        <f t="shared" ca="1" si="15"/>
        <v>3.5285666618663898</v>
      </c>
      <c r="AT9" s="238">
        <f t="shared" ca="1" si="16"/>
        <v>3.5285666618663898</v>
      </c>
      <c r="AU9" s="238">
        <f t="shared" ca="1" si="17"/>
        <v>3.4393499529939979</v>
      </c>
      <c r="AV9" s="238">
        <f t="shared" ca="1" si="18"/>
        <v>3.3456358533131239</v>
      </c>
      <c r="AW9" s="238">
        <f t="shared" ca="1" si="19"/>
        <v>3.5285666618663898</v>
      </c>
      <c r="AX9" s="238">
        <f t="shared" ca="1" si="20"/>
        <v>3.5285666618663898</v>
      </c>
      <c r="AY9" s="238">
        <f t="shared" ca="1" si="21"/>
        <v>3.5285666618663898</v>
      </c>
      <c r="AZ9" s="238">
        <f t="shared" ca="1" si="22"/>
        <v>3.5285666618663898</v>
      </c>
      <c r="BA9" s="238">
        <f t="shared" ca="1" si="23"/>
        <v>3.4393499529939979</v>
      </c>
      <c r="BB9" s="238">
        <f t="shared" ca="1" si="24"/>
        <v>3.4816855290163669</v>
      </c>
    </row>
    <row r="10" spans="1:54">
      <c r="A10" s="595"/>
      <c r="B10" s="476">
        <f ca="1">EDATE(B9,1)</f>
        <v>42870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-25</v>
      </c>
      <c r="M10" s="238">
        <f t="shared" si="3"/>
        <v>3.5</v>
      </c>
      <c r="N10">
        <f t="shared" si="4"/>
        <v>3.5</v>
      </c>
      <c r="O10">
        <f t="shared" si="5"/>
        <v>3</v>
      </c>
      <c r="P10">
        <f t="shared" si="6"/>
        <v>3</v>
      </c>
      <c r="Q10">
        <f t="shared" si="7"/>
        <v>3.5</v>
      </c>
      <c r="R10">
        <f t="shared" si="8"/>
        <v>3.25</v>
      </c>
      <c r="S10">
        <f t="shared" si="9"/>
        <v>3.5</v>
      </c>
      <c r="T10">
        <f t="shared" si="10"/>
        <v>3.5</v>
      </c>
      <c r="U10">
        <f t="shared" si="11"/>
        <v>3</v>
      </c>
      <c r="V10">
        <f t="shared" si="12"/>
        <v>3</v>
      </c>
      <c r="W10">
        <f t="shared" ca="1" si="13"/>
        <v>30</v>
      </c>
      <c r="X10">
        <f ca="1">SUM($W$4:$W10)</f>
        <v>198</v>
      </c>
      <c r="Y10" s="238">
        <f t="shared" ca="1" si="1"/>
        <v>1.0029207820899066</v>
      </c>
      <c r="Z10" s="238">
        <f t="shared" ca="1" si="1"/>
        <v>1.0029207820899066</v>
      </c>
      <c r="AA10" s="238">
        <f t="shared" ca="1" si="1"/>
        <v>1.002503023184194</v>
      </c>
      <c r="AB10" s="238">
        <f t="shared" ca="1" si="1"/>
        <v>1.002503023184194</v>
      </c>
      <c r="AC10" s="238">
        <f t="shared" ca="1" si="1"/>
        <v>1.0029207820899066</v>
      </c>
      <c r="AD10" s="238">
        <f t="shared" ca="1" si="1"/>
        <v>1.002711881605949</v>
      </c>
      <c r="AE10" s="238">
        <f t="shared" ca="1" si="1"/>
        <v>1.0029207820899066</v>
      </c>
      <c r="AF10" s="238">
        <f t="shared" ca="1" si="1"/>
        <v>1.0029207820899066</v>
      </c>
      <c r="AG10" s="238">
        <f t="shared" ca="1" si="1"/>
        <v>1.002503023184194</v>
      </c>
      <c r="AH10" s="238">
        <f t="shared" ca="1" si="14"/>
        <v>1.002711881605949</v>
      </c>
      <c r="AI10" s="238">
        <f ca="1">PRODUCT(Y$4:Y10)</f>
        <v>1.0194355219920586</v>
      </c>
      <c r="AJ10" s="238">
        <f ca="1">PRODUCT(Z$4:Z10)</f>
        <v>1.0194355219920586</v>
      </c>
      <c r="AK10" s="238">
        <f ca="1">PRODUCT(AA$4:AA10)</f>
        <v>1.018593497237297</v>
      </c>
      <c r="AL10" s="238">
        <f ca="1">PRODUCT(AB$4:AB10)</f>
        <v>1.01815507011882</v>
      </c>
      <c r="AM10" s="238">
        <f ca="1">PRODUCT(AC$4:AC10)</f>
        <v>1.0194355219920586</v>
      </c>
      <c r="AN10" s="238">
        <f ca="1">PRODUCT(AD$4:AD10)</f>
        <v>1.0192231816181121</v>
      </c>
      <c r="AO10" s="238">
        <f ca="1">PRODUCT(AE$4:AE10)</f>
        <v>1.0194355219920586</v>
      </c>
      <c r="AP10" s="238">
        <f ca="1">PRODUCT(AF$4:AF10)</f>
        <v>1.0194355219920586</v>
      </c>
      <c r="AQ10" s="238">
        <f ca="1">PRODUCT(AG$4:AG10)</f>
        <v>1.018593497237297</v>
      </c>
      <c r="AR10" s="238">
        <f ca="1">PRODUCT(AH$4:AH10)</f>
        <v>1.01900380969643</v>
      </c>
      <c r="AS10" s="238">
        <f t="shared" ca="1" si="15"/>
        <v>3.5337312712833744</v>
      </c>
      <c r="AT10" s="238">
        <f t="shared" ca="1" si="16"/>
        <v>3.5337312712833744</v>
      </c>
      <c r="AU10" s="238">
        <f t="shared" ca="1" si="17"/>
        <v>3.3806358613267227</v>
      </c>
      <c r="AV10" s="238">
        <f t="shared" ca="1" si="18"/>
        <v>3.3009218397854556</v>
      </c>
      <c r="AW10" s="238">
        <f t="shared" ca="1" si="19"/>
        <v>3.5337312712833744</v>
      </c>
      <c r="AX10" s="238">
        <f t="shared" ca="1" si="20"/>
        <v>3.4951239305658355</v>
      </c>
      <c r="AY10" s="238">
        <f t="shared" ca="1" si="21"/>
        <v>3.5337312712833744</v>
      </c>
      <c r="AZ10" s="238">
        <f t="shared" ca="1" si="22"/>
        <v>3.5337312712833744</v>
      </c>
      <c r="BA10" s="238">
        <f t="shared" ca="1" si="23"/>
        <v>3.3806358613267227</v>
      </c>
      <c r="BB10" s="238">
        <f t="shared" ca="1" si="24"/>
        <v>3.4552381266236378</v>
      </c>
    </row>
    <row r="11" spans="1:54">
      <c r="A11" s="595"/>
      <c r="B11" s="476">
        <f t="shared" ref="B11:B28" ca="1" si="25">EDATE(B10,1)</f>
        <v>42901</v>
      </c>
      <c r="C11">
        <v>0</v>
      </c>
      <c r="D11">
        <v>0</v>
      </c>
      <c r="E11">
        <v>0</v>
      </c>
      <c r="F11">
        <v>0</v>
      </c>
      <c r="G11">
        <v>0</v>
      </c>
      <c r="H11">
        <v>-25</v>
      </c>
      <c r="I11">
        <v>0</v>
      </c>
      <c r="J11">
        <v>0</v>
      </c>
      <c r="K11">
        <v>-25</v>
      </c>
      <c r="L11">
        <v>0</v>
      </c>
      <c r="M11" s="238">
        <f t="shared" si="3"/>
        <v>3.5</v>
      </c>
      <c r="N11">
        <f t="shared" si="4"/>
        <v>3.5</v>
      </c>
      <c r="O11">
        <f t="shared" si="5"/>
        <v>3</v>
      </c>
      <c r="P11">
        <f t="shared" si="6"/>
        <v>3</v>
      </c>
      <c r="Q11">
        <f t="shared" si="7"/>
        <v>3.5</v>
      </c>
      <c r="R11">
        <f t="shared" si="8"/>
        <v>3</v>
      </c>
      <c r="S11">
        <f t="shared" si="9"/>
        <v>3.5</v>
      </c>
      <c r="T11">
        <f t="shared" si="10"/>
        <v>3.5</v>
      </c>
      <c r="U11">
        <f t="shared" si="11"/>
        <v>2.75</v>
      </c>
      <c r="V11">
        <f t="shared" si="12"/>
        <v>3</v>
      </c>
      <c r="W11">
        <f t="shared" ca="1" si="13"/>
        <v>31</v>
      </c>
      <c r="X11">
        <f ca="1">SUM($W$4:$W11)</f>
        <v>229</v>
      </c>
      <c r="Y11" s="238">
        <f t="shared" ca="1" si="1"/>
        <v>1.0030182882770542</v>
      </c>
      <c r="Z11" s="238">
        <f t="shared" ca="1" si="1"/>
        <v>1.0030182882770542</v>
      </c>
      <c r="AA11" s="238">
        <f t="shared" ca="1" si="1"/>
        <v>1.002586565102793</v>
      </c>
      <c r="AB11" s="238">
        <f t="shared" ca="1" si="1"/>
        <v>1.002586565102793</v>
      </c>
      <c r="AC11" s="238">
        <f t="shared" ca="1" si="1"/>
        <v>1.0030182882770542</v>
      </c>
      <c r="AD11" s="238">
        <f t="shared" ca="1" si="1"/>
        <v>1.0028024042063719</v>
      </c>
      <c r="AE11" s="238">
        <f t="shared" ca="1" si="1"/>
        <v>1.0030182882770542</v>
      </c>
      <c r="AF11" s="238">
        <f t="shared" ca="1" si="1"/>
        <v>1.0030182882770542</v>
      </c>
      <c r="AG11" s="238">
        <f t="shared" ca="1" si="1"/>
        <v>1.002586565102793</v>
      </c>
      <c r="AH11" s="238">
        <f t="shared" ca="1" si="14"/>
        <v>1.002586565102793</v>
      </c>
      <c r="AI11" s="238">
        <f ca="1">PRODUCT(Y$4:Y11)</f>
        <v>1.0225124722772998</v>
      </c>
      <c r="AJ11" s="238">
        <f ca="1">PRODUCT(Z$4:Z11)</f>
        <v>1.0225124722772998</v>
      </c>
      <c r="AK11" s="238">
        <f ca="1">PRODUCT(AA$4:AA11)</f>
        <v>1.0212281556311829</v>
      </c>
      <c r="AL11" s="238">
        <f ca="1">PRODUCT(AB$4:AB11)</f>
        <v>1.0207885944924211</v>
      </c>
      <c r="AM11" s="238">
        <f ca="1">PRODUCT(AC$4:AC11)</f>
        <v>1.0225124722772998</v>
      </c>
      <c r="AN11" s="238">
        <f ca="1">PRODUCT(AD$4:AD11)</f>
        <v>1.0220794569495104</v>
      </c>
      <c r="AO11" s="238">
        <f ca="1">PRODUCT(AE$4:AE11)</f>
        <v>1.0225124722772998</v>
      </c>
      <c r="AP11" s="238">
        <f ca="1">PRODUCT(AF$4:AF11)</f>
        <v>1.0225124722772998</v>
      </c>
      <c r="AQ11" s="238">
        <f ca="1">PRODUCT(AG$4:AG11)</f>
        <v>1.0212281556311829</v>
      </c>
      <c r="AR11" s="238">
        <f ca="1">PRODUCT(AH$4:AH11)</f>
        <v>1.0216395293902039</v>
      </c>
      <c r="AS11" s="238">
        <f t="shared" ca="1" si="15"/>
        <v>3.5390786112785708</v>
      </c>
      <c r="AT11" s="238">
        <f t="shared" ca="1" si="16"/>
        <v>3.5390786112785708</v>
      </c>
      <c r="AU11" s="238">
        <f t="shared" ca="1" si="17"/>
        <v>3.3371773044654272</v>
      </c>
      <c r="AV11" s="238">
        <f t="shared" ca="1" si="18"/>
        <v>3.2680759900749328</v>
      </c>
      <c r="AW11" s="238">
        <f t="shared" ca="1" si="19"/>
        <v>3.5390786112785708</v>
      </c>
      <c r="AX11" s="238">
        <f t="shared" ca="1" si="20"/>
        <v>3.4710063326741261</v>
      </c>
      <c r="AY11" s="238">
        <f t="shared" ca="1" si="21"/>
        <v>3.5390786112785708</v>
      </c>
      <c r="AZ11" s="238">
        <f t="shared" ca="1" si="22"/>
        <v>3.5390786112785708</v>
      </c>
      <c r="BA11" s="238">
        <f t="shared" ca="1" si="23"/>
        <v>3.3371773044654272</v>
      </c>
      <c r="BB11" s="238">
        <f t="shared" ca="1" si="24"/>
        <v>3.401847415053882</v>
      </c>
    </row>
    <row r="12" spans="1:54">
      <c r="A12" s="595"/>
      <c r="B12" s="476">
        <f t="shared" ca="1" si="25"/>
        <v>42931</v>
      </c>
      <c r="C12">
        <v>0</v>
      </c>
      <c r="D12">
        <v>-25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 s="238">
        <f t="shared" si="3"/>
        <v>3.5</v>
      </c>
      <c r="N12">
        <f t="shared" si="4"/>
        <v>3.25</v>
      </c>
      <c r="O12">
        <f t="shared" si="5"/>
        <v>3</v>
      </c>
      <c r="P12">
        <f t="shared" si="6"/>
        <v>3</v>
      </c>
      <c r="Q12">
        <f t="shared" si="7"/>
        <v>3.5</v>
      </c>
      <c r="R12">
        <f t="shared" si="8"/>
        <v>3</v>
      </c>
      <c r="S12">
        <f t="shared" si="9"/>
        <v>3.5</v>
      </c>
      <c r="T12">
        <f t="shared" si="10"/>
        <v>3.5</v>
      </c>
      <c r="U12">
        <f t="shared" si="11"/>
        <v>2.75</v>
      </c>
      <c r="V12">
        <f t="shared" si="12"/>
        <v>3</v>
      </c>
      <c r="W12">
        <f t="shared" ca="1" si="13"/>
        <v>30</v>
      </c>
      <c r="X12">
        <f ca="1">SUM($W$4:$W12)</f>
        <v>259</v>
      </c>
      <c r="Y12" s="238">
        <f t="shared" ca="1" si="1"/>
        <v>1.0029207820899066</v>
      </c>
      <c r="Z12" s="238">
        <f t="shared" ca="1" si="1"/>
        <v>1.0029207820899066</v>
      </c>
      <c r="AA12" s="238">
        <f t="shared" ca="1" si="1"/>
        <v>1.002503023184194</v>
      </c>
      <c r="AB12" s="238">
        <f t="shared" ca="1" si="1"/>
        <v>1.002503023184194</v>
      </c>
      <c r="AC12" s="238">
        <f t="shared" ca="1" si="1"/>
        <v>1.0029207820899066</v>
      </c>
      <c r="AD12" s="238">
        <f t="shared" ca="1" si="1"/>
        <v>1.002503023184194</v>
      </c>
      <c r="AE12" s="238">
        <f t="shared" ca="1" si="1"/>
        <v>1.0029207820899066</v>
      </c>
      <c r="AF12" s="238">
        <f t="shared" ca="1" si="1"/>
        <v>1.0029207820899066</v>
      </c>
      <c r="AG12" s="238">
        <f t="shared" ca="1" si="1"/>
        <v>1.0022942068164586</v>
      </c>
      <c r="AH12" s="238">
        <f t="shared" ca="1" si="14"/>
        <v>1.002503023184194</v>
      </c>
      <c r="AI12" s="238">
        <f ca="1">PRODUCT(Y$4:Y12)</f>
        <v>1.0254990083930335</v>
      </c>
      <c r="AJ12" s="238">
        <f ca="1">PRODUCT(Z$4:Z12)</f>
        <v>1.0254990083930335</v>
      </c>
      <c r="AK12" s="238">
        <f ca="1">PRODUCT(AA$4:AA12)</f>
        <v>1.0237843133810793</v>
      </c>
      <c r="AL12" s="238">
        <f ca="1">PRODUCT(AB$4:AB12)</f>
        <v>1.0233436520105965</v>
      </c>
      <c r="AM12" s="238">
        <f ca="1">PRODUCT(AC$4:AC12)</f>
        <v>1.0254990083930335</v>
      </c>
      <c r="AN12" s="238">
        <f ca="1">PRODUCT(AD$4:AD12)</f>
        <v>1.0246377455263436</v>
      </c>
      <c r="AO12" s="238">
        <f ca="1">PRODUCT(AE$4:AE12)</f>
        <v>1.0254990083930335</v>
      </c>
      <c r="AP12" s="238">
        <f ca="1">PRODUCT(AF$4:AF12)</f>
        <v>1.0254990083930335</v>
      </c>
      <c r="AQ12" s="238">
        <f ca="1">PRODUCT(AG$4:AG12)</f>
        <v>1.0235710642269915</v>
      </c>
      <c r="AR12" s="238">
        <f ca="1">PRODUCT(AH$4:AH12)</f>
        <v>1.0241967168181567</v>
      </c>
      <c r="AS12" s="238">
        <f t="shared" ca="1" si="15"/>
        <v>3.5442637148618048</v>
      </c>
      <c r="AT12" s="238">
        <f t="shared" ca="1" si="16"/>
        <v>3.5442637148618048</v>
      </c>
      <c r="AU12" s="238">
        <f t="shared" ca="1" si="17"/>
        <v>3.3059277286442321</v>
      </c>
      <c r="AV12" s="238">
        <f t="shared" ca="1" si="18"/>
        <v>3.2446774995423731</v>
      </c>
      <c r="AW12" s="238">
        <f t="shared" ca="1" si="19"/>
        <v>3.5442637148618048</v>
      </c>
      <c r="AX12" s="238">
        <f t="shared" ca="1" si="20"/>
        <v>3.4245515017311523</v>
      </c>
      <c r="AY12" s="238">
        <f t="shared" ca="1" si="21"/>
        <v>3.5442637148618048</v>
      </c>
      <c r="AZ12" s="238">
        <f t="shared" ca="1" si="22"/>
        <v>3.5442637148618048</v>
      </c>
      <c r="BA12" s="238">
        <f t="shared" ca="1" si="23"/>
        <v>3.2762869195818318</v>
      </c>
      <c r="BB12" s="238">
        <f t="shared" ca="1" si="24"/>
        <v>3.3632502141067251</v>
      </c>
    </row>
    <row r="13" spans="1:54">
      <c r="A13" s="595"/>
      <c r="B13" s="476">
        <f t="shared" ca="1" si="25"/>
        <v>42962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 s="238">
        <f t="shared" si="3"/>
        <v>3.5</v>
      </c>
      <c r="N13">
        <f t="shared" si="4"/>
        <v>3.25</v>
      </c>
      <c r="O13">
        <f t="shared" si="5"/>
        <v>3</v>
      </c>
      <c r="P13">
        <f t="shared" si="6"/>
        <v>3</v>
      </c>
      <c r="Q13">
        <f t="shared" si="7"/>
        <v>3.5</v>
      </c>
      <c r="R13">
        <f t="shared" si="8"/>
        <v>3</v>
      </c>
      <c r="S13">
        <f t="shared" si="9"/>
        <v>3.5</v>
      </c>
      <c r="T13">
        <f t="shared" si="10"/>
        <v>3.5</v>
      </c>
      <c r="U13">
        <f t="shared" si="11"/>
        <v>2.75</v>
      </c>
      <c r="V13">
        <f t="shared" si="12"/>
        <v>3</v>
      </c>
      <c r="W13">
        <f t="shared" ca="1" si="13"/>
        <v>31</v>
      </c>
      <c r="X13">
        <f ca="1">SUM($W$4:$W13)</f>
        <v>290</v>
      </c>
      <c r="Y13" s="238">
        <f t="shared" ca="1" si="1"/>
        <v>1.0030182882770542</v>
      </c>
      <c r="Z13" s="238">
        <f t="shared" ca="1" si="1"/>
        <v>1.0028024042063719</v>
      </c>
      <c r="AA13" s="238">
        <f t="shared" ca="1" si="1"/>
        <v>1.002586565102793</v>
      </c>
      <c r="AB13" s="238">
        <f t="shared" ca="1" si="1"/>
        <v>1.002586565102793</v>
      </c>
      <c r="AC13" s="238">
        <f t="shared" ca="1" si="1"/>
        <v>1.0030182882770542</v>
      </c>
      <c r="AD13" s="238">
        <f t="shared" ca="1" si="1"/>
        <v>1.002586565102793</v>
      </c>
      <c r="AE13" s="238">
        <f t="shared" ca="1" si="1"/>
        <v>1.0030182882770542</v>
      </c>
      <c r="AF13" s="238">
        <f t="shared" ca="1" si="1"/>
        <v>1.0030182882770542</v>
      </c>
      <c r="AG13" s="238">
        <f t="shared" ca="1" si="1"/>
        <v>1.0023707709572571</v>
      </c>
      <c r="AH13" s="238">
        <f t="shared" ca="1" si="14"/>
        <v>1.002586565102793</v>
      </c>
      <c r="AI13" s="238">
        <f ca="1">PRODUCT(Y$4:Y13)</f>
        <v>1.028594260028197</v>
      </c>
      <c r="AJ13" s="238">
        <f ca="1">PRODUCT(Z$4:Z13)</f>
        <v>1.0283728711277844</v>
      </c>
      <c r="AK13" s="238">
        <f ca="1">PRODUCT(AA$4:AA13)</f>
        <v>1.0264323981588577</v>
      </c>
      <c r="AL13" s="238">
        <f ca="1">PRODUCT(AB$4:AB13)</f>
        <v>1.0259905969890519</v>
      </c>
      <c r="AM13" s="238">
        <f ca="1">PRODUCT(AC$4:AC13)</f>
        <v>1.028594260028197</v>
      </c>
      <c r="AN13" s="238">
        <f ca="1">PRODUCT(AD$4:AD13)</f>
        <v>1.0272880377619265</v>
      </c>
      <c r="AO13" s="238">
        <f ca="1">PRODUCT(AE$4:AE13)</f>
        <v>1.028594260028197</v>
      </c>
      <c r="AP13" s="238">
        <f ca="1">PRODUCT(AF$4:AF13)</f>
        <v>1.028594260028197</v>
      </c>
      <c r="AQ13" s="238">
        <f ca="1">PRODUCT(AG$4:AG13)</f>
        <v>1.0259977167787497</v>
      </c>
      <c r="AR13" s="238">
        <f ca="1">PRODUCT(AH$4:AH13)</f>
        <v>1.0268458683042736</v>
      </c>
      <c r="AS13" s="238">
        <f t="shared" ca="1" si="15"/>
        <v>3.5496322793623842</v>
      </c>
      <c r="AT13" s="238">
        <f t="shared" ca="1" si="16"/>
        <v>3.5221495193111689</v>
      </c>
      <c r="AU13" s="238">
        <f t="shared" ca="1" si="17"/>
        <v>3.2812632197202629</v>
      </c>
      <c r="AV13" s="238">
        <f t="shared" ca="1" si="18"/>
        <v>3.2264189365719633</v>
      </c>
      <c r="AW13" s="238">
        <f t="shared" ca="1" si="19"/>
        <v>3.5496322793623842</v>
      </c>
      <c r="AX13" s="238">
        <f t="shared" ca="1" si="20"/>
        <v>3.3874805497563876</v>
      </c>
      <c r="AY13" s="238">
        <f t="shared" ca="1" si="21"/>
        <v>3.5496322793623842</v>
      </c>
      <c r="AZ13" s="238">
        <f t="shared" ca="1" si="22"/>
        <v>3.5496322793623842</v>
      </c>
      <c r="BA13" s="238">
        <f t="shared" ca="1" si="23"/>
        <v>3.2273027725344501</v>
      </c>
      <c r="BB13" s="238">
        <f t="shared" ca="1" si="24"/>
        <v>3.3325905481167228</v>
      </c>
    </row>
    <row r="14" spans="1:54">
      <c r="A14" s="595"/>
      <c r="B14" s="476">
        <f t="shared" ca="1" si="25"/>
        <v>42993</v>
      </c>
      <c r="C14">
        <v>0</v>
      </c>
      <c r="D14">
        <v>-25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-25</v>
      </c>
      <c r="M14" s="238">
        <f t="shared" si="3"/>
        <v>3.5</v>
      </c>
      <c r="N14">
        <f t="shared" si="4"/>
        <v>3</v>
      </c>
      <c r="O14">
        <f t="shared" si="5"/>
        <v>3</v>
      </c>
      <c r="P14">
        <f t="shared" si="6"/>
        <v>3</v>
      </c>
      <c r="Q14">
        <f t="shared" si="7"/>
        <v>3.5</v>
      </c>
      <c r="R14">
        <f t="shared" si="8"/>
        <v>3</v>
      </c>
      <c r="S14">
        <f t="shared" si="9"/>
        <v>3.5</v>
      </c>
      <c r="T14">
        <f t="shared" si="10"/>
        <v>3.5</v>
      </c>
      <c r="U14">
        <f t="shared" si="11"/>
        <v>2.75</v>
      </c>
      <c r="V14">
        <f t="shared" si="12"/>
        <v>2.75</v>
      </c>
      <c r="W14">
        <f t="shared" ca="1" si="13"/>
        <v>31</v>
      </c>
      <c r="X14">
        <f ca="1">SUM($W$4:$W14)</f>
        <v>321</v>
      </c>
      <c r="Y14" s="238">
        <f t="shared" ca="1" si="1"/>
        <v>1.0030182882770542</v>
      </c>
      <c r="Z14" s="238">
        <f t="shared" ca="1" si="1"/>
        <v>1.0028024042063719</v>
      </c>
      <c r="AA14" s="238">
        <f t="shared" ca="1" si="1"/>
        <v>1.002586565102793</v>
      </c>
      <c r="AB14" s="238">
        <f t="shared" ca="1" si="1"/>
        <v>1.002586565102793</v>
      </c>
      <c r="AC14" s="238">
        <f t="shared" ca="1" si="1"/>
        <v>1.0030182882770542</v>
      </c>
      <c r="AD14" s="238">
        <f t="shared" ca="1" si="1"/>
        <v>1.002586565102793</v>
      </c>
      <c r="AE14" s="238">
        <f t="shared" ca="1" si="1"/>
        <v>1.0030182882770542</v>
      </c>
      <c r="AF14" s="238">
        <f t="shared" ca="1" si="1"/>
        <v>1.0030182882770542</v>
      </c>
      <c r="AG14" s="238">
        <f t="shared" ca="1" si="1"/>
        <v>1.0023707709572571</v>
      </c>
      <c r="AH14" s="238">
        <f t="shared" ca="1" si="14"/>
        <v>1.002586565102793</v>
      </c>
      <c r="AI14" s="238">
        <f ca="1">PRODUCT(Y$4:Y14)</f>
        <v>1.0316988540250853</v>
      </c>
      <c r="AJ14" s="238">
        <f ca="1">PRODUCT(Z$4:Z14)</f>
        <v>1.0312547875875517</v>
      </c>
      <c r="AK14" s="238">
        <f ca="1">PRODUCT(AA$4:AA14)</f>
        <v>1.0290873323803116</v>
      </c>
      <c r="AL14" s="238">
        <f ca="1">PRODUCT(AB$4:AB14)</f>
        <v>1.0286443884630176</v>
      </c>
      <c r="AM14" s="238">
        <f ca="1">PRODUCT(AC$4:AC14)</f>
        <v>1.0316988540250853</v>
      </c>
      <c r="AN14" s="238">
        <f ca="1">PRODUCT(AD$4:AD14)</f>
        <v>1.029945185150918</v>
      </c>
      <c r="AO14" s="238">
        <f ca="1">PRODUCT(AE$4:AE14)</f>
        <v>1.0316988540250853</v>
      </c>
      <c r="AP14" s="238">
        <f ca="1">PRODUCT(AF$4:AF14)</f>
        <v>1.0316988540250853</v>
      </c>
      <c r="AQ14" s="238">
        <f ca="1">PRODUCT(AG$4:AG14)</f>
        <v>1.0284301223679009</v>
      </c>
      <c r="AR14" s="238">
        <f ca="1">PRODUCT(AH$4:AH14)</f>
        <v>1.0295018719931766</v>
      </c>
      <c r="AS14" s="238">
        <f t="shared" ca="1" si="15"/>
        <v>3.5550116663647087</v>
      </c>
      <c r="AT14" s="238">
        <f t="shared" ca="1" si="16"/>
        <v>3.5052098229029989</v>
      </c>
      <c r="AU14" s="238">
        <f t="shared" ca="1" si="17"/>
        <v>3.262130734240551</v>
      </c>
      <c r="AV14" s="238">
        <f t="shared" ca="1" si="18"/>
        <v>3.2124547808991748</v>
      </c>
      <c r="AW14" s="238">
        <f t="shared" ca="1" si="19"/>
        <v>3.5550116663647087</v>
      </c>
      <c r="AX14" s="238">
        <f t="shared" ca="1" si="20"/>
        <v>3.3583385215982848</v>
      </c>
      <c r="AY14" s="238">
        <f t="shared" ca="1" si="21"/>
        <v>3.5550116663647087</v>
      </c>
      <c r="AZ14" s="238">
        <f t="shared" ca="1" si="22"/>
        <v>3.5550116663647087</v>
      </c>
      <c r="BA14" s="238">
        <f t="shared" ca="1" si="23"/>
        <v>3.1884249384561731</v>
      </c>
      <c r="BB14" s="238">
        <f t="shared" ca="1" si="24"/>
        <v>3.3086211581132581</v>
      </c>
    </row>
    <row r="15" spans="1:54">
      <c r="A15" s="595"/>
      <c r="B15" s="476">
        <f t="shared" ca="1" si="25"/>
        <v>43023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-25</v>
      </c>
      <c r="J15">
        <v>0</v>
      </c>
      <c r="K15">
        <v>0</v>
      </c>
      <c r="L15">
        <v>0</v>
      </c>
      <c r="M15" s="238">
        <f t="shared" si="3"/>
        <v>3.5</v>
      </c>
      <c r="N15">
        <f t="shared" si="4"/>
        <v>3</v>
      </c>
      <c r="O15">
        <f t="shared" si="5"/>
        <v>3</v>
      </c>
      <c r="P15">
        <f t="shared" si="6"/>
        <v>3</v>
      </c>
      <c r="Q15">
        <f t="shared" si="7"/>
        <v>3.5</v>
      </c>
      <c r="R15">
        <f t="shared" si="8"/>
        <v>3</v>
      </c>
      <c r="S15">
        <f t="shared" si="9"/>
        <v>3.25</v>
      </c>
      <c r="T15">
        <f t="shared" si="10"/>
        <v>3.5</v>
      </c>
      <c r="U15">
        <f t="shared" si="11"/>
        <v>2.75</v>
      </c>
      <c r="V15">
        <f t="shared" si="12"/>
        <v>2.75</v>
      </c>
      <c r="W15">
        <f t="shared" ca="1" si="13"/>
        <v>30</v>
      </c>
      <c r="X15">
        <f ca="1">SUM($W$4:$W15)</f>
        <v>351</v>
      </c>
      <c r="Y15" s="238">
        <f t="shared" ca="1" si="1"/>
        <v>1.0029207820899066</v>
      </c>
      <c r="Z15" s="238">
        <f t="shared" ca="1" si="1"/>
        <v>1.002503023184194</v>
      </c>
      <c r="AA15" s="238">
        <f t="shared" ca="1" si="1"/>
        <v>1.002503023184194</v>
      </c>
      <c r="AB15" s="238">
        <f t="shared" ca="1" si="1"/>
        <v>1.002503023184194</v>
      </c>
      <c r="AC15" s="238">
        <f t="shared" ca="1" si="1"/>
        <v>1.0029207820899066</v>
      </c>
      <c r="AD15" s="238">
        <f t="shared" ca="1" si="1"/>
        <v>1.002503023184194</v>
      </c>
      <c r="AE15" s="238">
        <f t="shared" ca="1" si="1"/>
        <v>1.0029207820899066</v>
      </c>
      <c r="AF15" s="238">
        <f t="shared" ca="1" si="1"/>
        <v>1.0029207820899066</v>
      </c>
      <c r="AG15" s="238">
        <f t="shared" ca="1" si="1"/>
        <v>1.0022942068164586</v>
      </c>
      <c r="AH15" s="238">
        <f t="shared" ca="1" si="14"/>
        <v>1.0022942068164586</v>
      </c>
      <c r="AI15" s="238">
        <f ca="1">PRODUCT(Y$4:Y15)</f>
        <v>1.034712221560099</v>
      </c>
      <c r="AJ15" s="238">
        <f ca="1">PRODUCT(Z$4:Z15)</f>
        <v>1.0338360422296944</v>
      </c>
      <c r="AK15" s="238">
        <f ca="1">PRODUCT(AA$4:AA15)</f>
        <v>1.0316631618318199</v>
      </c>
      <c r="AL15" s="238">
        <f ca="1">PRODUCT(AB$4:AB15)</f>
        <v>1.0312191092156318</v>
      </c>
      <c r="AM15" s="238">
        <f ca="1">PRODUCT(AC$4:AC15)</f>
        <v>1.034712221560099</v>
      </c>
      <c r="AN15" s="238">
        <f ca="1">PRODUCT(AD$4:AD15)</f>
        <v>1.0325231618277999</v>
      </c>
      <c r="AO15" s="238">
        <f ca="1">PRODUCT(AE$4:AE15)</f>
        <v>1.034712221560099</v>
      </c>
      <c r="AP15" s="238">
        <f ca="1">PRODUCT(AF$4:AF15)</f>
        <v>1.034712221560099</v>
      </c>
      <c r="AQ15" s="238">
        <f ca="1">PRODUCT(AG$4:AG15)</f>
        <v>1.0307895537648888</v>
      </c>
      <c r="AR15" s="238">
        <f ca="1">PRODUCT(AH$4:AH15)</f>
        <v>1.0318637622054603</v>
      </c>
      <c r="AS15" s="238">
        <f t="shared" ca="1" si="15"/>
        <v>3.5602278523178472</v>
      </c>
      <c r="AT15" s="238">
        <f t="shared" ca="1" si="16"/>
        <v>3.4703633056096805</v>
      </c>
      <c r="AU15" s="238">
        <f t="shared" ca="1" si="17"/>
        <v>3.2475037776225579</v>
      </c>
      <c r="AV15" s="238">
        <f t="shared" ca="1" si="18"/>
        <v>3.201959919551975</v>
      </c>
      <c r="AW15" s="238">
        <f t="shared" ca="1" si="19"/>
        <v>3.5602278523178472</v>
      </c>
      <c r="AX15" s="238">
        <f t="shared" ca="1" si="20"/>
        <v>3.335708905415375</v>
      </c>
      <c r="AY15" s="238">
        <f t="shared" ca="1" si="21"/>
        <v>3.5602278523178472</v>
      </c>
      <c r="AZ15" s="238">
        <f t="shared" ca="1" si="22"/>
        <v>3.5602278523178472</v>
      </c>
      <c r="BA15" s="238">
        <f t="shared" ca="1" si="23"/>
        <v>3.157902950245004</v>
      </c>
      <c r="BB15" s="238">
        <f t="shared" ca="1" si="24"/>
        <v>3.2680781749190033</v>
      </c>
    </row>
    <row r="16" spans="1:54">
      <c r="A16" s="595"/>
      <c r="B16" s="477">
        <f t="shared" ca="1" si="25"/>
        <v>43054</v>
      </c>
      <c r="C16">
        <v>25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-25</v>
      </c>
      <c r="M16" s="238">
        <f t="shared" si="3"/>
        <v>3.75</v>
      </c>
      <c r="N16">
        <f t="shared" si="4"/>
        <v>3</v>
      </c>
      <c r="O16">
        <f t="shared" si="5"/>
        <v>3</v>
      </c>
      <c r="P16">
        <f t="shared" si="6"/>
        <v>3</v>
      </c>
      <c r="Q16">
        <f t="shared" si="7"/>
        <v>3.5</v>
      </c>
      <c r="R16">
        <f t="shared" si="8"/>
        <v>3</v>
      </c>
      <c r="S16">
        <f t="shared" si="9"/>
        <v>3.25</v>
      </c>
      <c r="T16">
        <f t="shared" si="10"/>
        <v>3.5</v>
      </c>
      <c r="U16">
        <f t="shared" si="11"/>
        <v>2.75</v>
      </c>
      <c r="V16">
        <f t="shared" si="12"/>
        <v>2.5</v>
      </c>
      <c r="W16">
        <f t="shared" ca="1" si="13"/>
        <v>31</v>
      </c>
      <c r="X16">
        <f ca="1">SUM($W$4:$W16)</f>
        <v>382</v>
      </c>
      <c r="Y16" s="238">
        <f t="shared" ca="1" si="1"/>
        <v>1.0030182882770542</v>
      </c>
      <c r="Z16" s="238">
        <f t="shared" ca="1" si="1"/>
        <v>1.002586565102793</v>
      </c>
      <c r="AA16" s="238">
        <f t="shared" ca="1" si="1"/>
        <v>1.002586565102793</v>
      </c>
      <c r="AB16" s="238">
        <f t="shared" ca="1" si="1"/>
        <v>1.002586565102793</v>
      </c>
      <c r="AC16" s="238">
        <f t="shared" ca="1" si="1"/>
        <v>1.0030182882770542</v>
      </c>
      <c r="AD16" s="238">
        <f t="shared" ca="1" si="1"/>
        <v>1.002586565102793</v>
      </c>
      <c r="AE16" s="238">
        <f t="shared" ca="1" si="1"/>
        <v>1.0028024042063719</v>
      </c>
      <c r="AF16" s="238">
        <f t="shared" ca="1" si="1"/>
        <v>1.0030182882770542</v>
      </c>
      <c r="AG16" s="238">
        <f t="shared" ca="1" si="1"/>
        <v>1.0023707709572571</v>
      </c>
      <c r="AH16" s="238">
        <f t="shared" ca="1" si="14"/>
        <v>1.0023707709572571</v>
      </c>
      <c r="AI16" s="238">
        <f ca="1">PRODUCT(Y$4:Y16)</f>
        <v>1.0378352813285585</v>
      </c>
      <c r="AJ16" s="238">
        <f ca="1">PRODUCT(Z$4:Z16)</f>
        <v>1.0365101264585352</v>
      </c>
      <c r="AK16" s="238">
        <f ca="1">PRODUCT(AA$4:AA16)</f>
        <v>1.0343316257640511</v>
      </c>
      <c r="AL16" s="238">
        <f ca="1">PRODUCT(AB$4:AB16)</f>
        <v>1.0338864245768622</v>
      </c>
      <c r="AM16" s="238">
        <f ca="1">PRODUCT(AC$4:AC16)</f>
        <v>1.0378352813285585</v>
      </c>
      <c r="AN16" s="238">
        <f ca="1">PRODUCT(AD$4:AD16)</f>
        <v>1.0351938502060092</v>
      </c>
      <c r="AO16" s="238">
        <f ca="1">PRODUCT(AE$4:AE16)</f>
        <v>1.0376119034421833</v>
      </c>
      <c r="AP16" s="238">
        <f ca="1">PRODUCT(AF$4:AF16)</f>
        <v>1.0378352813285585</v>
      </c>
      <c r="AQ16" s="238">
        <f ca="1">PRODUCT(AG$4:AG16)</f>
        <v>1.0332333197019987</v>
      </c>
      <c r="AR16" s="238">
        <f ca="1">PRODUCT(AH$4:AH16)</f>
        <v>1.0343100748447431</v>
      </c>
      <c r="AS16" s="238">
        <f t="shared" ca="1" si="15"/>
        <v>3.5656286068798599</v>
      </c>
      <c r="AT16" s="238">
        <f t="shared" ca="1" si="16"/>
        <v>3.4407449018514886</v>
      </c>
      <c r="AU16" s="238">
        <f t="shared" ca="1" si="17"/>
        <v>3.2354411714812583</v>
      </c>
      <c r="AV16" s="238">
        <f t="shared" ca="1" si="18"/>
        <v>3.1934850386571703</v>
      </c>
      <c r="AW16" s="238">
        <f t="shared" ca="1" si="19"/>
        <v>3.5656286068798599</v>
      </c>
      <c r="AX16" s="238">
        <f t="shared" ca="1" si="20"/>
        <v>3.3166979251736399</v>
      </c>
      <c r="AY16" s="238">
        <f t="shared" ca="1" si="21"/>
        <v>3.5445772877450277</v>
      </c>
      <c r="AZ16" s="238">
        <f t="shared" ca="1" si="22"/>
        <v>3.5656286068798599</v>
      </c>
      <c r="BA16" s="238">
        <f t="shared" ca="1" si="23"/>
        <v>3.1319358881464763</v>
      </c>
      <c r="BB16" s="238">
        <f t="shared" ca="1" si="24"/>
        <v>3.2334101947925462</v>
      </c>
    </row>
    <row r="17" spans="1:54">
      <c r="A17" s="595"/>
      <c r="B17" s="477">
        <f t="shared" ca="1" si="25"/>
        <v>43084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-25</v>
      </c>
      <c r="J17">
        <v>0</v>
      </c>
      <c r="K17">
        <v>0</v>
      </c>
      <c r="L17">
        <v>0</v>
      </c>
      <c r="M17" s="238">
        <f t="shared" si="3"/>
        <v>3.75</v>
      </c>
      <c r="N17">
        <f t="shared" si="4"/>
        <v>3</v>
      </c>
      <c r="O17">
        <f t="shared" si="5"/>
        <v>3</v>
      </c>
      <c r="P17">
        <f t="shared" si="6"/>
        <v>3</v>
      </c>
      <c r="Q17">
        <f t="shared" si="7"/>
        <v>3.5</v>
      </c>
      <c r="R17">
        <f t="shared" si="8"/>
        <v>3</v>
      </c>
      <c r="S17">
        <f t="shared" si="9"/>
        <v>3</v>
      </c>
      <c r="T17">
        <f t="shared" si="10"/>
        <v>3.5</v>
      </c>
      <c r="U17">
        <f t="shared" si="11"/>
        <v>2.75</v>
      </c>
      <c r="V17">
        <f t="shared" si="12"/>
        <v>2.5</v>
      </c>
      <c r="W17">
        <f t="shared" ca="1" si="13"/>
        <v>30</v>
      </c>
      <c r="X17">
        <f ca="1">SUM($W$4:$W17)</f>
        <v>412</v>
      </c>
      <c r="Y17" s="238">
        <f t="shared" ca="1" si="1"/>
        <v>1.003129724644247</v>
      </c>
      <c r="Z17" s="238">
        <f t="shared" ca="1" si="1"/>
        <v>1.002503023184194</v>
      </c>
      <c r="AA17" s="238">
        <f t="shared" ca="1" si="1"/>
        <v>1.002503023184194</v>
      </c>
      <c r="AB17" s="238">
        <f t="shared" ca="1" si="1"/>
        <v>1.002503023184194</v>
      </c>
      <c r="AC17" s="238">
        <f t="shared" ca="1" si="1"/>
        <v>1.0029207820899066</v>
      </c>
      <c r="AD17" s="238">
        <f t="shared" ca="1" si="1"/>
        <v>1.002503023184194</v>
      </c>
      <c r="AE17" s="238">
        <f t="shared" ca="1" si="1"/>
        <v>1.002711881605949</v>
      </c>
      <c r="AF17" s="238">
        <f t="shared" ca="1" si="1"/>
        <v>1.0029207820899066</v>
      </c>
      <c r="AG17" s="238">
        <f t="shared" ca="1" si="1"/>
        <v>1.0022942068164586</v>
      </c>
      <c r="AH17" s="238">
        <f t="shared" ca="1" si="14"/>
        <v>1.0020854324945823</v>
      </c>
      <c r="AI17" s="238">
        <f ca="1">PRODUCT(Y$4:Y17)</f>
        <v>1.0410834199852015</v>
      </c>
      <c r="AJ17" s="238">
        <f ca="1">PRODUCT(Z$4:Z17)</f>
        <v>1.0391045353357129</v>
      </c>
      <c r="AK17" s="238">
        <f ca="1">PRODUCT(AA$4:AA17)</f>
        <v>1.0369205818034837</v>
      </c>
      <c r="AL17" s="238">
        <f ca="1">PRODUCT(AB$4:AB17)</f>
        <v>1.0364742662674016</v>
      </c>
      <c r="AM17" s="238">
        <f ca="1">PRODUCT(AC$4:AC17)</f>
        <v>1.0408665720305361</v>
      </c>
      <c r="AN17" s="238">
        <f ca="1">PRODUCT(AD$4:AD17)</f>
        <v>1.03778496441321</v>
      </c>
      <c r="AO17" s="238">
        <f ca="1">PRODUCT(AE$4:AE17)</f>
        <v>1.040425784077242</v>
      </c>
      <c r="AP17" s="238">
        <f ca="1">PRODUCT(AF$4:AF17)</f>
        <v>1.0408665720305361</v>
      </c>
      <c r="AQ17" s="238">
        <f ca="1">PRODUCT(AG$4:AG17)</f>
        <v>1.0356037706270513</v>
      </c>
      <c r="AR17" s="238">
        <f ca="1">PRODUCT(AH$4:AH17)</f>
        <v>1.0364670586842981</v>
      </c>
      <c r="AS17" s="238">
        <f t="shared" ca="1" si="15"/>
        <v>3.5898133967651784</v>
      </c>
      <c r="AT17" s="238">
        <f t="shared" ca="1" si="16"/>
        <v>3.4169011458389908</v>
      </c>
      <c r="AU17" s="238">
        <f t="shared" ca="1" si="17"/>
        <v>3.2260702546733313</v>
      </c>
      <c r="AV17" s="238">
        <f t="shared" ca="1" si="18"/>
        <v>3.1870718097729536</v>
      </c>
      <c r="AW17" s="238">
        <f t="shared" ca="1" si="19"/>
        <v>3.5708655172313115</v>
      </c>
      <c r="AX17" s="238">
        <f t="shared" ca="1" si="20"/>
        <v>3.3015988322222327</v>
      </c>
      <c r="AY17" s="238">
        <f t="shared" ca="1" si="21"/>
        <v>3.5323500650017241</v>
      </c>
      <c r="AZ17" s="238">
        <f t="shared" ca="1" si="22"/>
        <v>3.5708655172313115</v>
      </c>
      <c r="BA17" s="238">
        <f t="shared" ca="1" si="23"/>
        <v>3.1110090839171067</v>
      </c>
      <c r="BB17" s="238">
        <f t="shared" ca="1" si="24"/>
        <v>3.1864420209580877</v>
      </c>
    </row>
    <row r="18" spans="1:54">
      <c r="A18" s="595"/>
      <c r="B18" s="477">
        <f t="shared" ca="1" si="25"/>
        <v>43115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 s="238">
        <f t="shared" si="3"/>
        <v>3.75</v>
      </c>
      <c r="N18">
        <f t="shared" si="4"/>
        <v>3</v>
      </c>
      <c r="O18">
        <f t="shared" si="5"/>
        <v>3</v>
      </c>
      <c r="P18">
        <f t="shared" si="6"/>
        <v>3</v>
      </c>
      <c r="Q18">
        <f t="shared" si="7"/>
        <v>3.5</v>
      </c>
      <c r="R18">
        <f t="shared" si="8"/>
        <v>3</v>
      </c>
      <c r="S18">
        <f t="shared" si="9"/>
        <v>3</v>
      </c>
      <c r="T18">
        <f t="shared" si="10"/>
        <v>3.5</v>
      </c>
      <c r="U18">
        <f t="shared" si="11"/>
        <v>2.75</v>
      </c>
      <c r="V18">
        <f t="shared" si="12"/>
        <v>2.5</v>
      </c>
      <c r="W18">
        <f t="shared" ca="1" si="13"/>
        <v>31</v>
      </c>
      <c r="X18">
        <f ca="1">SUM($W$4:$W18)</f>
        <v>443</v>
      </c>
      <c r="Y18" s="238">
        <f t="shared" ca="1" si="1"/>
        <v>1.0032342173238975</v>
      </c>
      <c r="Z18" s="238">
        <f t="shared" ca="1" si="1"/>
        <v>1.002586565102793</v>
      </c>
      <c r="AA18" s="238">
        <f t="shared" ca="1" si="1"/>
        <v>1.002586565102793</v>
      </c>
      <c r="AB18" s="238">
        <f t="shared" ca="1" si="1"/>
        <v>1.002586565102793</v>
      </c>
      <c r="AC18" s="238">
        <f t="shared" ca="1" si="1"/>
        <v>1.0030182882770542</v>
      </c>
      <c r="AD18" s="238">
        <f t="shared" ca="1" si="1"/>
        <v>1.002586565102793</v>
      </c>
      <c r="AE18" s="238">
        <f t="shared" ca="1" si="1"/>
        <v>1.002586565102793</v>
      </c>
      <c r="AF18" s="238">
        <f t="shared" ca="1" si="1"/>
        <v>1.0030182882770542</v>
      </c>
      <c r="AG18" s="238">
        <f t="shared" ca="1" si="1"/>
        <v>1.0023707709572571</v>
      </c>
      <c r="AH18" s="238">
        <f t="shared" ca="1" si="14"/>
        <v>1.0021550217607276</v>
      </c>
      <c r="AI18" s="238">
        <f ca="1">PRODUCT(Y$4:Y18)</f>
        <v>1.0444505100177401</v>
      </c>
      <c r="AJ18" s="238">
        <f ca="1">PRODUCT(Z$4:Z18)</f>
        <v>1.0417922468649661</v>
      </c>
      <c r="AK18" s="238">
        <f ca="1">PRODUCT(AA$4:AA18)</f>
        <v>1.0396026443947444</v>
      </c>
      <c r="AL18" s="238">
        <f ca="1">PRODUCT(AB$4:AB18)</f>
        <v>1.0391551744344718</v>
      </c>
      <c r="AM18" s="238">
        <f ca="1">PRODUCT(AC$4:AC18)</f>
        <v>1.0440082074028734</v>
      </c>
      <c r="AN18" s="238">
        <f ca="1">PRODUCT(AD$4:AD18)</f>
        <v>1.0404692627863645</v>
      </c>
      <c r="AO18" s="238">
        <f ca="1">PRODUCT(AE$4:AE18)</f>
        <v>1.0431169131023821</v>
      </c>
      <c r="AP18" s="238">
        <f ca="1">PRODUCT(AF$4:AF18)</f>
        <v>1.0440082074028734</v>
      </c>
      <c r="AQ18" s="238">
        <f ca="1">PRODUCT(AG$4:AG18)</f>
        <v>1.03805894996968</v>
      </c>
      <c r="AR18" s="238">
        <f ca="1">PRODUCT(AH$4:AH18)</f>
        <v>1.0387006677500401</v>
      </c>
      <c r="AS18" s="238">
        <f t="shared" ca="1" si="15"/>
        <v>3.6122310623897178</v>
      </c>
      <c r="AT18" s="238">
        <f t="shared" ca="1" si="16"/>
        <v>3.3962096775141735</v>
      </c>
      <c r="AU18" s="238">
        <f t="shared" ca="1" si="17"/>
        <v>3.2182735851259534</v>
      </c>
      <c r="AV18" s="238">
        <f t="shared" ca="1" si="18"/>
        <v>3.181910337790034</v>
      </c>
      <c r="AW18" s="238">
        <f t="shared" ca="1" si="19"/>
        <v>3.576287734770748</v>
      </c>
      <c r="AX18" s="238">
        <f t="shared" ca="1" si="20"/>
        <v>3.2886985560025352</v>
      </c>
      <c r="AY18" s="238">
        <f t="shared" ca="1" si="21"/>
        <v>3.5038574981619752</v>
      </c>
      <c r="AZ18" s="238">
        <f t="shared" ca="1" si="22"/>
        <v>3.576287734770748</v>
      </c>
      <c r="BA18" s="238">
        <f t="shared" ca="1" si="23"/>
        <v>3.0928266341049171</v>
      </c>
      <c r="BB18" s="238">
        <f t="shared" ca="1" si="24"/>
        <v>3.1449752573396021</v>
      </c>
    </row>
    <row r="19" spans="1:54">
      <c r="A19" s="595"/>
      <c r="B19" s="477">
        <f t="shared" ca="1" si="25"/>
        <v>43146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 s="238">
        <f t="shared" si="3"/>
        <v>3.75</v>
      </c>
      <c r="N19">
        <f t="shared" si="4"/>
        <v>3</v>
      </c>
      <c r="O19">
        <f t="shared" si="5"/>
        <v>3</v>
      </c>
      <c r="P19">
        <f t="shared" si="6"/>
        <v>3</v>
      </c>
      <c r="Q19">
        <f t="shared" si="7"/>
        <v>3.5</v>
      </c>
      <c r="R19">
        <f t="shared" si="8"/>
        <v>3</v>
      </c>
      <c r="S19">
        <f t="shared" si="9"/>
        <v>3</v>
      </c>
      <c r="T19">
        <f t="shared" si="10"/>
        <v>3.5</v>
      </c>
      <c r="U19">
        <f t="shared" si="11"/>
        <v>2.75</v>
      </c>
      <c r="V19">
        <f t="shared" si="12"/>
        <v>2.5</v>
      </c>
      <c r="W19">
        <f t="shared" ca="1" si="13"/>
        <v>31</v>
      </c>
      <c r="X19">
        <f ca="1">SUM($W$4:$W19)</f>
        <v>474</v>
      </c>
      <c r="Y19" s="238">
        <f t="shared" ca="1" si="1"/>
        <v>1.0032342173238975</v>
      </c>
      <c r="Z19" s="238">
        <f t="shared" ca="1" si="1"/>
        <v>1.002586565102793</v>
      </c>
      <c r="AA19" s="238">
        <f t="shared" ca="1" si="1"/>
        <v>1.002586565102793</v>
      </c>
      <c r="AB19" s="238">
        <f t="shared" ca="1" si="1"/>
        <v>1.002586565102793</v>
      </c>
      <c r="AC19" s="238">
        <f t="shared" ca="1" si="1"/>
        <v>1.0030182882770542</v>
      </c>
      <c r="AD19" s="238">
        <f t="shared" ca="1" si="1"/>
        <v>1.002586565102793</v>
      </c>
      <c r="AE19" s="238">
        <f t="shared" ca="1" si="1"/>
        <v>1.002586565102793</v>
      </c>
      <c r="AF19" s="238">
        <f t="shared" ca="1" si="1"/>
        <v>1.0030182882770542</v>
      </c>
      <c r="AG19" s="238">
        <f t="shared" ca="1" si="1"/>
        <v>1.0023707709572571</v>
      </c>
      <c r="AH19" s="238">
        <f t="shared" ca="1" si="14"/>
        <v>1.0021550217607276</v>
      </c>
      <c r="AI19" s="238">
        <f ca="1">PRODUCT(Y$4:Y19)</f>
        <v>1.0478284899511932</v>
      </c>
      <c r="AJ19" s="238">
        <f ca="1">PRODUCT(Z$4:Z19)</f>
        <v>1.0444869103350674</v>
      </c>
      <c r="AK19" s="238">
        <f ca="1">PRODUCT(AA$4:AA19)</f>
        <v>1.042291644315507</v>
      </c>
      <c r="AL19" s="238">
        <f ca="1">PRODUCT(AB$4:AB19)</f>
        <v>1.0418430169450508</v>
      </c>
      <c r="AM19" s="238">
        <f ca="1">PRODUCT(AC$4:AC19)</f>
        <v>1.0471593251364257</v>
      </c>
      <c r="AN19" s="238">
        <f ca="1">PRODUCT(AD$4:AD19)</f>
        <v>1.0431605042720165</v>
      </c>
      <c r="AO19" s="238">
        <f ca="1">PRODUCT(AE$4:AE19)</f>
        <v>1.0458150029079458</v>
      </c>
      <c r="AP19" s="238">
        <f ca="1">PRODUCT(AF$4:AF19)</f>
        <v>1.0471593251364257</v>
      </c>
      <c r="AQ19" s="238">
        <f ca="1">PRODUCT(AG$4:AG19)</f>
        <v>1.0405199499801889</v>
      </c>
      <c r="AR19" s="238">
        <f ca="1">PRODUCT(AH$4:AH19)</f>
        <v>1.0409390902919238</v>
      </c>
      <c r="AS19" s="238">
        <f t="shared" ca="1" si="15"/>
        <v>3.6325435405969486</v>
      </c>
      <c r="AT19" s="238">
        <f t="shared" ca="1" si="16"/>
        <v>3.3787526836760016</v>
      </c>
      <c r="AU19" s="238">
        <f t="shared" ca="1" si="17"/>
        <v>3.2120236188992681</v>
      </c>
      <c r="AV19" s="238">
        <f t="shared" ca="1" si="18"/>
        <v>3.1779506540544888</v>
      </c>
      <c r="AW19" s="238">
        <f t="shared" ca="1" si="19"/>
        <v>3.5817208964373974</v>
      </c>
      <c r="AX19" s="238">
        <f t="shared" ca="1" si="20"/>
        <v>3.2780129826847939</v>
      </c>
      <c r="AY19" s="238">
        <f t="shared" ca="1" si="21"/>
        <v>3.479620474021202</v>
      </c>
      <c r="AZ19" s="238">
        <f t="shared" ca="1" si="22"/>
        <v>3.5817208964373974</v>
      </c>
      <c r="BA19" s="238">
        <f t="shared" ca="1" si="23"/>
        <v>3.0774645554573872</v>
      </c>
      <c r="BB19" s="238">
        <f t="shared" ca="1" si="24"/>
        <v>3.1092979968549703</v>
      </c>
    </row>
    <row r="20" spans="1:54">
      <c r="A20" s="595"/>
      <c r="B20" s="477">
        <f t="shared" ca="1" si="25"/>
        <v>43174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-25</v>
      </c>
      <c r="K20">
        <v>0</v>
      </c>
      <c r="L20">
        <v>0</v>
      </c>
      <c r="M20" s="238">
        <f t="shared" si="3"/>
        <v>3.75</v>
      </c>
      <c r="N20">
        <f t="shared" si="4"/>
        <v>3</v>
      </c>
      <c r="O20">
        <f t="shared" si="5"/>
        <v>3</v>
      </c>
      <c r="P20">
        <f t="shared" si="6"/>
        <v>3</v>
      </c>
      <c r="Q20">
        <f t="shared" si="7"/>
        <v>3.5</v>
      </c>
      <c r="R20">
        <f t="shared" si="8"/>
        <v>3</v>
      </c>
      <c r="S20">
        <f t="shared" si="9"/>
        <v>3</v>
      </c>
      <c r="T20">
        <f t="shared" si="10"/>
        <v>3.25</v>
      </c>
      <c r="U20">
        <f t="shared" si="11"/>
        <v>2.75</v>
      </c>
      <c r="V20">
        <f t="shared" si="12"/>
        <v>2.5</v>
      </c>
      <c r="W20">
        <f t="shared" ca="1" si="13"/>
        <v>28</v>
      </c>
      <c r="X20">
        <f ca="1">SUM($W$4:$W20)</f>
        <v>502</v>
      </c>
      <c r="Y20" s="238">
        <f t="shared" ref="Y20:Y28" ca="1" si="26">(1+M19/100/360)^$W20</f>
        <v>1.0029207719343745</v>
      </c>
      <c r="Z20" s="238">
        <f t="shared" ref="Z20:Z28" ca="1" si="27">(1+N19/100/360)^$W20</f>
        <v>1.0023359602301558</v>
      </c>
      <c r="AA20" s="238">
        <f t="shared" ref="AA20:AA28" ca="1" si="28">(1+O19/100/360)^$W20</f>
        <v>1.0023359602301558</v>
      </c>
      <c r="AB20" s="238">
        <f t="shared" ref="AB20:AB28" ca="1" si="29">(1+P19/100/360)^$W20</f>
        <v>1.0023359602301558</v>
      </c>
      <c r="AC20" s="238">
        <f t="shared" ref="AC20:AC28" ca="1" si="30">(1+Q19/100/360)^$W20</f>
        <v>1.0027257981512299</v>
      </c>
      <c r="AD20" s="238">
        <f t="shared" ref="AD20:AD28" ca="1" si="31">(1+R19/100/360)^$W20</f>
        <v>1.0023359602301558</v>
      </c>
      <c r="AE20" s="238">
        <f t="shared" ref="AE20:AE28" ca="1" si="32">(1+S19/100/360)^$W20</f>
        <v>1.0023359602301558</v>
      </c>
      <c r="AF20" s="238">
        <f t="shared" ref="AF20:AF28" ca="1" si="33">(1+T19/100/360)^$W20</f>
        <v>1.0027257981512299</v>
      </c>
      <c r="AG20" s="238">
        <f t="shared" ref="AG20:AG28" ca="1" si="34">(1+U19/100/360)^$W20</f>
        <v>1.002141096079024</v>
      </c>
      <c r="AH20" s="238">
        <f t="shared" ca="1" si="14"/>
        <v>1.0019462684587128</v>
      </c>
      <c r="AI20" s="238">
        <f ca="1">PRODUCT(Y$4:Y20)</f>
        <v>1.0508889579966805</v>
      </c>
      <c r="AJ20" s="238">
        <f ca="1">PRODUCT(Z$4:Z20)</f>
        <v>1.0469267902185284</v>
      </c>
      <c r="AK20" s="238">
        <f ca="1">PRODUCT(AA$4:AA20)</f>
        <v>1.0447263961448519</v>
      </c>
      <c r="AL20" s="238">
        <f ca="1">PRODUCT(AB$4:AB20)</f>
        <v>1.0442767207987</v>
      </c>
      <c r="AM20" s="238">
        <f ca="1">PRODUCT(AC$4:AC20)</f>
        <v>1.0500136700889258</v>
      </c>
      <c r="AN20" s="238">
        <f ca="1">PRODUCT(AD$4:AD20)</f>
        <v>1.0455972857236651</v>
      </c>
      <c r="AO20" s="238">
        <f ca="1">PRODUCT(AE$4:AE20)</f>
        <v>1.0482579851628391</v>
      </c>
      <c r="AP20" s="238">
        <f ca="1">PRODUCT(AF$4:AF20)</f>
        <v>1.0500136700889258</v>
      </c>
      <c r="AQ20" s="238">
        <f ca="1">PRODUCT(AG$4:AG20)</f>
        <v>1.0427478031652377</v>
      </c>
      <c r="AR20" s="238">
        <f ca="1">PRODUCT(AH$4:AH20)</f>
        <v>1.0429650372108001</v>
      </c>
      <c r="AS20" s="238">
        <f t="shared" ca="1" si="15"/>
        <v>3.6494073463754919</v>
      </c>
      <c r="AT20" s="238">
        <f t="shared" ca="1" si="16"/>
        <v>3.3652678244363003</v>
      </c>
      <c r="AU20" s="238">
        <f t="shared" ca="1" si="17"/>
        <v>3.2074706398698538</v>
      </c>
      <c r="AV20" s="238">
        <f t="shared" ca="1" si="18"/>
        <v>3.1752230054844652</v>
      </c>
      <c r="AW20" s="238">
        <f t="shared" ca="1" si="19"/>
        <v>3.5866376956201744</v>
      </c>
      <c r="AX20" s="238">
        <f t="shared" ca="1" si="20"/>
        <v>3.2699248726134305</v>
      </c>
      <c r="AY20" s="238">
        <f t="shared" ca="1" si="21"/>
        <v>3.4607320037095755</v>
      </c>
      <c r="AZ20" s="238">
        <f t="shared" ca="1" si="22"/>
        <v>3.5866376956201744</v>
      </c>
      <c r="BA20" s="238">
        <f t="shared" ca="1" si="23"/>
        <v>3.0655795098576868</v>
      </c>
      <c r="BB20" s="238">
        <f t="shared" ca="1" si="24"/>
        <v>3.0811580469896516</v>
      </c>
    </row>
    <row r="21" spans="1:54">
      <c r="A21" s="595"/>
      <c r="B21" s="477">
        <f t="shared" ca="1" si="25"/>
        <v>43205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 s="238">
        <f t="shared" si="3"/>
        <v>3.75</v>
      </c>
      <c r="N21">
        <f t="shared" si="4"/>
        <v>3</v>
      </c>
      <c r="O21">
        <f t="shared" si="5"/>
        <v>3</v>
      </c>
      <c r="P21">
        <f t="shared" si="6"/>
        <v>3</v>
      </c>
      <c r="Q21">
        <f t="shared" si="7"/>
        <v>3.5</v>
      </c>
      <c r="R21">
        <f t="shared" si="8"/>
        <v>3</v>
      </c>
      <c r="S21">
        <f t="shared" si="9"/>
        <v>3</v>
      </c>
      <c r="T21">
        <f t="shared" si="10"/>
        <v>3.25</v>
      </c>
      <c r="U21">
        <f t="shared" si="11"/>
        <v>2.75</v>
      </c>
      <c r="V21">
        <f t="shared" si="12"/>
        <v>2.5</v>
      </c>
      <c r="W21">
        <f t="shared" ca="1" si="13"/>
        <v>31</v>
      </c>
      <c r="X21">
        <f ca="1">SUM($W$4:$W21)</f>
        <v>533</v>
      </c>
      <c r="Y21" s="238">
        <f t="shared" ca="1" si="26"/>
        <v>1.0032342173238975</v>
      </c>
      <c r="Z21" s="238">
        <f t="shared" ca="1" si="27"/>
        <v>1.002586565102793</v>
      </c>
      <c r="AA21" s="238">
        <f t="shared" ca="1" si="28"/>
        <v>1.002586565102793</v>
      </c>
      <c r="AB21" s="238">
        <f t="shared" ca="1" si="29"/>
        <v>1.002586565102793</v>
      </c>
      <c r="AC21" s="238">
        <f t="shared" ca="1" si="30"/>
        <v>1.0030182882770542</v>
      </c>
      <c r="AD21" s="238">
        <f t="shared" ca="1" si="31"/>
        <v>1.002586565102793</v>
      </c>
      <c r="AE21" s="238">
        <f t="shared" ca="1" si="32"/>
        <v>1.002586565102793</v>
      </c>
      <c r="AF21" s="238">
        <f t="shared" ca="1" si="33"/>
        <v>1.0028024042063719</v>
      </c>
      <c r="AG21" s="238">
        <f t="shared" ca="1" si="34"/>
        <v>1.0023707709572571</v>
      </c>
      <c r="AH21" s="238">
        <f t="shared" ca="1" si="14"/>
        <v>1.0021550217607276</v>
      </c>
      <c r="AI21" s="238">
        <f ca="1">PRODUCT(Y$4:Y21)</f>
        <v>1.054287761270126</v>
      </c>
      <c r="AJ21" s="238">
        <f ca="1">PRODUCT(Z$4:Z21)</f>
        <v>1.0496347345192867</v>
      </c>
      <c r="AK21" s="238">
        <f ca="1">PRODUCT(AA$4:AA21)</f>
        <v>1.0474286489830869</v>
      </c>
      <c r="AL21" s="238">
        <f ca="1">PRODUCT(AB$4:AB21)</f>
        <v>1.046977810522377</v>
      </c>
      <c r="AM21" s="238">
        <f ca="1">PRODUCT(AC$4:AC21)</f>
        <v>1.0531829140401019</v>
      </c>
      <c r="AN21" s="238">
        <f ca="1">PRODUCT(AD$4:AD21)</f>
        <v>1.048301791174493</v>
      </c>
      <c r="AO21" s="238">
        <f ca="1">PRODUCT(AE$4:AE21)</f>
        <v>1.0509693726859854</v>
      </c>
      <c r="AP21" s="238">
        <f ca="1">PRODUCT(AF$4:AF21)</f>
        <v>1.0529562328147311</v>
      </c>
      <c r="AQ21" s="238">
        <f ca="1">PRODUCT(AG$4:AG21)</f>
        <v>1.0452199193727256</v>
      </c>
      <c r="AR21" s="238">
        <f ca="1">PRODUCT(AH$4:AH21)</f>
        <v>1.0452126495616674</v>
      </c>
      <c r="AS21" s="238">
        <f t="shared" ca="1" si="15"/>
        <v>3.6667155829728646</v>
      </c>
      <c r="AT21" s="238">
        <f t="shared" ca="1" si="16"/>
        <v>3.3524398549612022</v>
      </c>
      <c r="AU21" s="238">
        <f t="shared" ca="1" si="17"/>
        <v>3.2034359538295063</v>
      </c>
      <c r="AV21" s="238">
        <f t="shared" ca="1" si="18"/>
        <v>3.1729853260892558</v>
      </c>
      <c r="AW21" s="238">
        <f t="shared" ca="1" si="19"/>
        <v>3.5920917550537861</v>
      </c>
      <c r="AX21" s="238">
        <f t="shared" ca="1" si="20"/>
        <v>3.2624099104723197</v>
      </c>
      <c r="AY21" s="238">
        <f t="shared" ca="1" si="21"/>
        <v>3.4425842714736885</v>
      </c>
      <c r="AZ21" s="238">
        <f t="shared" ca="1" si="22"/>
        <v>3.5767812032463748</v>
      </c>
      <c r="BA21" s="238">
        <f t="shared" ca="1" si="23"/>
        <v>3.0542534660752767</v>
      </c>
      <c r="BB21" s="238">
        <f t="shared" ca="1" si="24"/>
        <v>3.053762446941886</v>
      </c>
    </row>
    <row r="22" spans="1:54">
      <c r="A22" s="595"/>
      <c r="B22" s="478">
        <f t="shared" ca="1" si="25"/>
        <v>43235</v>
      </c>
      <c r="C22">
        <v>25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-25</v>
      </c>
      <c r="K22">
        <v>0</v>
      </c>
      <c r="L22">
        <v>0</v>
      </c>
      <c r="M22" s="238">
        <f t="shared" si="3"/>
        <v>4</v>
      </c>
      <c r="N22">
        <f t="shared" si="4"/>
        <v>3</v>
      </c>
      <c r="O22">
        <f t="shared" si="5"/>
        <v>3</v>
      </c>
      <c r="P22">
        <f t="shared" si="6"/>
        <v>3</v>
      </c>
      <c r="Q22">
        <f t="shared" si="7"/>
        <v>3.5</v>
      </c>
      <c r="R22">
        <f t="shared" si="8"/>
        <v>3</v>
      </c>
      <c r="S22">
        <f t="shared" si="9"/>
        <v>3</v>
      </c>
      <c r="T22">
        <f t="shared" si="10"/>
        <v>3</v>
      </c>
      <c r="U22">
        <f t="shared" si="11"/>
        <v>2.75</v>
      </c>
      <c r="V22">
        <f t="shared" si="12"/>
        <v>2.5</v>
      </c>
      <c r="W22">
        <f t="shared" ca="1" si="13"/>
        <v>30</v>
      </c>
      <c r="X22">
        <f ca="1">SUM($W$4:$W22)</f>
        <v>563</v>
      </c>
      <c r="Y22" s="238">
        <f t="shared" ca="1" si="26"/>
        <v>1.003129724644247</v>
      </c>
      <c r="Z22" s="238">
        <f t="shared" ca="1" si="27"/>
        <v>1.002503023184194</v>
      </c>
      <c r="AA22" s="238">
        <f t="shared" ca="1" si="28"/>
        <v>1.002503023184194</v>
      </c>
      <c r="AB22" s="238">
        <f t="shared" ca="1" si="29"/>
        <v>1.002503023184194</v>
      </c>
      <c r="AC22" s="238">
        <f t="shared" ca="1" si="30"/>
        <v>1.0029207820899066</v>
      </c>
      <c r="AD22" s="238">
        <f t="shared" ca="1" si="31"/>
        <v>1.002503023184194</v>
      </c>
      <c r="AE22" s="238">
        <f t="shared" ca="1" si="32"/>
        <v>1.002503023184194</v>
      </c>
      <c r="AF22" s="238">
        <f t="shared" ca="1" si="33"/>
        <v>1.002711881605949</v>
      </c>
      <c r="AG22" s="238">
        <f t="shared" ca="1" si="34"/>
        <v>1.0022942068164586</v>
      </c>
      <c r="AH22" s="238">
        <f t="shared" ca="1" si="14"/>
        <v>1.0020854324945823</v>
      </c>
      <c r="AI22" s="238">
        <f ca="1">PRODUCT(Y$4:Y22)</f>
        <v>1.0575873916587011</v>
      </c>
      <c r="AJ22" s="238">
        <f ca="1">PRODUCT(Z$4:Z22)</f>
        <v>1.0522619945947238</v>
      </c>
      <c r="AK22" s="238">
        <f ca="1">PRODUCT(AA$4:AA22)</f>
        <v>1.0500503871752807</v>
      </c>
      <c r="AL22" s="238">
        <f ca="1">PRODUCT(AB$4:AB22)</f>
        <v>1.0495984202554514</v>
      </c>
      <c r="AM22" s="238">
        <f ca="1">PRODUCT(AC$4:AC22)</f>
        <v>1.056259031832826</v>
      </c>
      <c r="AN22" s="238">
        <f ca="1">PRODUCT(AD$4:AD22)</f>
        <v>1.0509257148618349</v>
      </c>
      <c r="AO22" s="238">
        <f ca="1">PRODUCT(AE$4:AE22)</f>
        <v>1.0535999733916963</v>
      </c>
      <c r="AP22" s="238">
        <f ca="1">PRODUCT(AF$4:AF22)</f>
        <v>1.0558117254543706</v>
      </c>
      <c r="AQ22" s="238">
        <f ca="1">PRODUCT(AG$4:AG22)</f>
        <v>1.0476178700364489</v>
      </c>
      <c r="AR22" s="238">
        <f ca="1">PRODUCT(AH$4:AH22)</f>
        <v>1.0473923699848118</v>
      </c>
      <c r="AS22" s="238">
        <f t="shared" ca="1" si="15"/>
        <v>3.6823198929187195</v>
      </c>
      <c r="AT22" s="238">
        <f t="shared" ca="1" si="16"/>
        <v>3.3417971676910425</v>
      </c>
      <c r="AU22" s="238">
        <f t="shared" ca="1" si="17"/>
        <v>3.2003799969984077</v>
      </c>
      <c r="AV22" s="238">
        <f t="shared" ca="1" si="18"/>
        <v>3.1714798031904952</v>
      </c>
      <c r="AW22" s="238">
        <f t="shared" ca="1" si="19"/>
        <v>3.5973803658645394</v>
      </c>
      <c r="AX22" s="238">
        <f t="shared" ca="1" si="20"/>
        <v>3.2563512167425541</v>
      </c>
      <c r="AY22" s="238">
        <f t="shared" ca="1" si="21"/>
        <v>3.4273517621688581</v>
      </c>
      <c r="AZ22" s="238">
        <f t="shared" ca="1" si="22"/>
        <v>3.5687781818070028</v>
      </c>
      <c r="BA22" s="238">
        <f t="shared" ca="1" si="23"/>
        <v>3.0448371604123632</v>
      </c>
      <c r="BB22" s="238">
        <f t="shared" ca="1" si="24"/>
        <v>3.0304179741620318</v>
      </c>
    </row>
    <row r="23" spans="1:54">
      <c r="A23" s="595"/>
      <c r="B23" s="478">
        <f t="shared" ca="1" si="25"/>
        <v>43266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 s="238">
        <f t="shared" si="3"/>
        <v>4</v>
      </c>
      <c r="N23">
        <f t="shared" si="4"/>
        <v>3</v>
      </c>
      <c r="O23">
        <f t="shared" si="5"/>
        <v>3</v>
      </c>
      <c r="P23">
        <f t="shared" si="6"/>
        <v>3</v>
      </c>
      <c r="Q23">
        <f t="shared" si="7"/>
        <v>3.5</v>
      </c>
      <c r="R23">
        <f t="shared" si="8"/>
        <v>3</v>
      </c>
      <c r="S23">
        <f t="shared" si="9"/>
        <v>3</v>
      </c>
      <c r="T23">
        <f t="shared" si="10"/>
        <v>3</v>
      </c>
      <c r="U23">
        <f t="shared" si="11"/>
        <v>2.75</v>
      </c>
      <c r="V23">
        <f t="shared" si="12"/>
        <v>2.5</v>
      </c>
      <c r="W23">
        <f t="shared" ca="1" si="13"/>
        <v>31</v>
      </c>
      <c r="X23">
        <f ca="1">SUM($W$4:$W23)</f>
        <v>594</v>
      </c>
      <c r="Y23" s="238">
        <f t="shared" ca="1" si="26"/>
        <v>1.0034501913559641</v>
      </c>
      <c r="Z23" s="238">
        <f t="shared" ca="1" si="27"/>
        <v>1.002586565102793</v>
      </c>
      <c r="AA23" s="238">
        <f t="shared" ca="1" si="28"/>
        <v>1.002586565102793</v>
      </c>
      <c r="AB23" s="238">
        <f t="shared" ca="1" si="29"/>
        <v>1.002586565102793</v>
      </c>
      <c r="AC23" s="238">
        <f t="shared" ca="1" si="30"/>
        <v>1.0030182882770542</v>
      </c>
      <c r="AD23" s="238">
        <f t="shared" ca="1" si="31"/>
        <v>1.002586565102793</v>
      </c>
      <c r="AE23" s="238">
        <f t="shared" ca="1" si="32"/>
        <v>1.002586565102793</v>
      </c>
      <c r="AF23" s="238">
        <f t="shared" ca="1" si="33"/>
        <v>1.002586565102793</v>
      </c>
      <c r="AG23" s="238">
        <f t="shared" ca="1" si="34"/>
        <v>1.0023707709572571</v>
      </c>
      <c r="AH23" s="238">
        <f t="shared" ca="1" si="14"/>
        <v>1.0021550217607276</v>
      </c>
      <c r="AI23" s="238">
        <f ca="1">PRODUCT(Y$4:Y23)</f>
        <v>1.0612362705355787</v>
      </c>
      <c r="AJ23" s="238">
        <f ca="1">PRODUCT(Z$4:Z23)</f>
        <v>1.0549837387489378</v>
      </c>
      <c r="AK23" s="238">
        <f ca="1">PRODUCT(AA$4:AA23)</f>
        <v>1.0527664108629224</v>
      </c>
      <c r="AL23" s="238">
        <f ca="1">PRODUCT(AB$4:AB23)</f>
        <v>1.0523132749012307</v>
      </c>
      <c r="AM23" s="238">
        <f ca="1">PRODUCT(AC$4:AC23)</f>
        <v>1.0594471260861396</v>
      </c>
      <c r="AN23" s="238">
        <f ca="1">PRODUCT(AD$4:AD23)</f>
        <v>1.0536440026415244</v>
      </c>
      <c r="AO23" s="238">
        <f ca="1">PRODUCT(AE$4:AE23)</f>
        <v>1.0563251783151748</v>
      </c>
      <c r="AP23" s="238">
        <f ca="1">PRODUCT(AF$4:AF23)</f>
        <v>1.0585426512185505</v>
      </c>
      <c r="AQ23" s="238">
        <f ca="1">PRODUCT(AG$4:AG23)</f>
        <v>1.0501015320570348</v>
      </c>
      <c r="AR23" s="238">
        <f ca="1">PRODUCT(AH$4:AH23)</f>
        <v>1.049649523334149</v>
      </c>
      <c r="AS23" s="238">
        <f t="shared" ca="1" si="15"/>
        <v>3.7112891233684042</v>
      </c>
      <c r="AT23" s="238">
        <f t="shared" ca="1" si="16"/>
        <v>3.3323478029659275</v>
      </c>
      <c r="AU23" s="238">
        <f t="shared" ca="1" si="17"/>
        <v>3.1979642947225724</v>
      </c>
      <c r="AV23" s="238">
        <f t="shared" ca="1" si="18"/>
        <v>3.1705015091654984</v>
      </c>
      <c r="AW23" s="238">
        <f t="shared" ca="1" si="19"/>
        <v>3.6028561264327004</v>
      </c>
      <c r="AX23" s="238">
        <f t="shared" ca="1" si="20"/>
        <v>3.2511516752439005</v>
      </c>
      <c r="AY23" s="238">
        <f t="shared" ca="1" si="21"/>
        <v>3.4136471706166547</v>
      </c>
      <c r="AZ23" s="238">
        <f t="shared" ca="1" si="22"/>
        <v>3.5480394677909399</v>
      </c>
      <c r="BA23" s="238">
        <f t="shared" ca="1" si="23"/>
        <v>3.036456488305141</v>
      </c>
      <c r="BB23" s="238">
        <f t="shared" ca="1" si="24"/>
        <v>3.0090620202514522</v>
      </c>
    </row>
    <row r="24" spans="1:54">
      <c r="A24" s="595"/>
      <c r="B24" s="478">
        <f t="shared" ca="1" si="25"/>
        <v>43296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 s="238">
        <f t="shared" si="3"/>
        <v>4</v>
      </c>
      <c r="N24">
        <f t="shared" si="4"/>
        <v>3</v>
      </c>
      <c r="O24">
        <f t="shared" si="5"/>
        <v>3</v>
      </c>
      <c r="P24">
        <f t="shared" si="6"/>
        <v>3</v>
      </c>
      <c r="Q24">
        <f t="shared" si="7"/>
        <v>3.5</v>
      </c>
      <c r="R24">
        <f t="shared" si="8"/>
        <v>3</v>
      </c>
      <c r="S24">
        <f t="shared" si="9"/>
        <v>3</v>
      </c>
      <c r="T24">
        <f t="shared" si="10"/>
        <v>3</v>
      </c>
      <c r="U24">
        <f t="shared" si="11"/>
        <v>2.75</v>
      </c>
      <c r="V24">
        <f t="shared" si="12"/>
        <v>2.5</v>
      </c>
      <c r="W24">
        <f t="shared" ca="1" si="13"/>
        <v>30</v>
      </c>
      <c r="X24">
        <f ca="1">SUM($W$4:$W24)</f>
        <v>624</v>
      </c>
      <c r="Y24" s="238">
        <f t="shared" ca="1" si="26"/>
        <v>1.0033387092771555</v>
      </c>
      <c r="Z24" s="238">
        <f t="shared" ca="1" si="27"/>
        <v>1.002503023184194</v>
      </c>
      <c r="AA24" s="238">
        <f t="shared" ca="1" si="28"/>
        <v>1.002503023184194</v>
      </c>
      <c r="AB24" s="238">
        <f t="shared" ca="1" si="29"/>
        <v>1.002503023184194</v>
      </c>
      <c r="AC24" s="238">
        <f t="shared" ca="1" si="30"/>
        <v>1.0029207820899066</v>
      </c>
      <c r="AD24" s="238">
        <f t="shared" ca="1" si="31"/>
        <v>1.002503023184194</v>
      </c>
      <c r="AE24" s="238">
        <f t="shared" ca="1" si="32"/>
        <v>1.002503023184194</v>
      </c>
      <c r="AF24" s="238">
        <f t="shared" ca="1" si="33"/>
        <v>1.002503023184194</v>
      </c>
      <c r="AG24" s="238">
        <f t="shared" ca="1" si="34"/>
        <v>1.0022942068164586</v>
      </c>
      <c r="AH24" s="238">
        <f t="shared" ca="1" si="14"/>
        <v>1.0020854324945823</v>
      </c>
      <c r="AI24" s="238">
        <f ca="1">PRODUCT(Y$4:Y24)</f>
        <v>1.0647794299172697</v>
      </c>
      <c r="AJ24" s="238">
        <f ca="1">PRODUCT(Z$4:Z24)</f>
        <v>1.0576243875059741</v>
      </c>
      <c r="AK24" s="238">
        <f ca="1">PRODUCT(AA$4:AA24)</f>
        <v>1.0554015095968532</v>
      </c>
      <c r="AL24" s="238">
        <f ca="1">PRODUCT(AB$4:AB24)</f>
        <v>1.0549472394253436</v>
      </c>
      <c r="AM24" s="238">
        <f ca="1">PRODUCT(AC$4:AC24)</f>
        <v>1.0625415402772149</v>
      </c>
      <c r="AN24" s="238">
        <f ca="1">PRODUCT(AD$4:AD24)</f>
        <v>1.0562812980080232</v>
      </c>
      <c r="AO24" s="238">
        <f ca="1">PRODUCT(AE$4:AE24)</f>
        <v>1.0589691847265457</v>
      </c>
      <c r="AP24" s="238">
        <f ca="1">PRODUCT(AF$4:AF24)</f>
        <v>1.0611922080160088</v>
      </c>
      <c r="AQ24" s="238">
        <f ca="1">PRODUCT(AG$4:AG24)</f>
        <v>1.0525106821498538</v>
      </c>
      <c r="AR24" s="238">
        <f ca="1">PRODUCT(AH$4:AH24)</f>
        <v>1.0518384965580327</v>
      </c>
      <c r="AS24" s="238">
        <f t="shared" ca="1" si="15"/>
        <v>3.7372748029194063</v>
      </c>
      <c r="AT24" s="238">
        <f t="shared" ca="1" si="16"/>
        <v>3.3244838945754283</v>
      </c>
      <c r="AU24" s="238">
        <f t="shared" ca="1" si="17"/>
        <v>3.1962409382799919</v>
      </c>
      <c r="AV24" s="238">
        <f t="shared" ca="1" si="18"/>
        <v>3.1700330437698248</v>
      </c>
      <c r="AW24" s="238">
        <f t="shared" ca="1" si="19"/>
        <v>3.6081657852239379</v>
      </c>
      <c r="AX24" s="238">
        <f t="shared" ca="1" si="20"/>
        <v>3.2469979620013372</v>
      </c>
      <c r="AY24" s="238">
        <f t="shared" ca="1" si="21"/>
        <v>3.4020683496084039</v>
      </c>
      <c r="AZ24" s="238">
        <f t="shared" ca="1" si="22"/>
        <v>3.5303196932312755</v>
      </c>
      <c r="BA24" s="238">
        <f t="shared" ca="1" si="23"/>
        <v>3.0294624317223331</v>
      </c>
      <c r="BB24" s="238">
        <f t="shared" ca="1" si="24"/>
        <v>2.9906824937326584</v>
      </c>
    </row>
    <row r="25" spans="1:54">
      <c r="A25" s="595"/>
      <c r="B25" s="478">
        <f t="shared" ca="1" si="25"/>
        <v>43327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 s="238">
        <f t="shared" si="3"/>
        <v>4</v>
      </c>
      <c r="N25">
        <f t="shared" si="4"/>
        <v>3</v>
      </c>
      <c r="O25">
        <f t="shared" si="5"/>
        <v>3</v>
      </c>
      <c r="P25">
        <f t="shared" si="6"/>
        <v>3</v>
      </c>
      <c r="Q25">
        <f t="shared" si="7"/>
        <v>3.5</v>
      </c>
      <c r="R25">
        <f t="shared" si="8"/>
        <v>3</v>
      </c>
      <c r="S25">
        <f t="shared" si="9"/>
        <v>3</v>
      </c>
      <c r="T25">
        <f t="shared" si="10"/>
        <v>3</v>
      </c>
      <c r="U25">
        <f t="shared" si="11"/>
        <v>2.75</v>
      </c>
      <c r="V25">
        <f t="shared" si="12"/>
        <v>2.5</v>
      </c>
      <c r="W25">
        <f t="shared" ca="1" si="13"/>
        <v>31</v>
      </c>
      <c r="X25">
        <f ca="1">SUM($W$4:$W25)</f>
        <v>655</v>
      </c>
      <c r="Y25" s="238">
        <f t="shared" ca="1" si="26"/>
        <v>1.0034501913559641</v>
      </c>
      <c r="Z25" s="238">
        <f t="shared" ca="1" si="27"/>
        <v>1.002586565102793</v>
      </c>
      <c r="AA25" s="238">
        <f t="shared" ca="1" si="28"/>
        <v>1.002586565102793</v>
      </c>
      <c r="AB25" s="238">
        <f t="shared" ca="1" si="29"/>
        <v>1.002586565102793</v>
      </c>
      <c r="AC25" s="238">
        <f t="shared" ca="1" si="30"/>
        <v>1.0030182882770542</v>
      </c>
      <c r="AD25" s="238">
        <f t="shared" ca="1" si="31"/>
        <v>1.002586565102793</v>
      </c>
      <c r="AE25" s="238">
        <f t="shared" ca="1" si="32"/>
        <v>1.002586565102793</v>
      </c>
      <c r="AF25" s="238">
        <f t="shared" ca="1" si="33"/>
        <v>1.002586565102793</v>
      </c>
      <c r="AG25" s="238">
        <f t="shared" ca="1" si="34"/>
        <v>1.0023707709572571</v>
      </c>
      <c r="AH25" s="238">
        <f t="shared" ca="1" si="14"/>
        <v>1.0021550217607276</v>
      </c>
      <c r="AI25" s="238">
        <f ca="1">PRODUCT(Y$4:Y25)</f>
        <v>1.0684531227023788</v>
      </c>
      <c r="AJ25" s="238">
        <f ca="1">PRODUCT(Z$4:Z25)</f>
        <v>1.0603600018385599</v>
      </c>
      <c r="AK25" s="238">
        <f ca="1">PRODUCT(AA$4:AA25)</f>
        <v>1.0581313743110115</v>
      </c>
      <c r="AL25" s="238">
        <f ca="1">PRODUCT(AB$4:AB25)</f>
        <v>1.057675929140129</v>
      </c>
      <c r="AM25" s="238">
        <f ca="1">PRODUCT(AC$4:AC25)</f>
        <v>1.0657485969521168</v>
      </c>
      <c r="AN25" s="238">
        <f ca="1">PRODUCT(AD$4:AD25)</f>
        <v>1.0590134383521836</v>
      </c>
      <c r="AO25" s="238">
        <f ca="1">PRODUCT(AE$4:AE25)</f>
        <v>1.0617082774646924</v>
      </c>
      <c r="AP25" s="238">
        <f ca="1">PRODUCT(AF$4:AF25)</f>
        <v>1.0639370507486188</v>
      </c>
      <c r="AQ25" s="238">
        <f ca="1">PRODUCT(AG$4:AG25)</f>
        <v>1.0550059439072976</v>
      </c>
      <c r="AR25" s="238">
        <f ca="1">PRODUCT(AH$4:AH25)</f>
        <v>1.0541052314068862</v>
      </c>
      <c r="AS25" s="238">
        <f t="shared" ca="1" si="15"/>
        <v>3.7623090340238732</v>
      </c>
      <c r="AT25" s="238">
        <f t="shared" ca="1" si="16"/>
        <v>3.3174962842567295</v>
      </c>
      <c r="AU25" s="238">
        <f t="shared" ca="1" si="17"/>
        <v>3.1950068323609346</v>
      </c>
      <c r="AV25" s="238">
        <f t="shared" ca="1" si="18"/>
        <v>3.1699747313658673</v>
      </c>
      <c r="AW25" s="238">
        <f t="shared" ca="1" si="19"/>
        <v>3.6136633439331352</v>
      </c>
      <c r="AX25" s="238">
        <f t="shared" ca="1" si="20"/>
        <v>3.2434866880589484</v>
      </c>
      <c r="AY25" s="238">
        <f t="shared" ca="1" si="21"/>
        <v>3.3915999827922554</v>
      </c>
      <c r="AZ25" s="238">
        <f t="shared" ca="1" si="22"/>
        <v>3.5140974457256116</v>
      </c>
      <c r="BA25" s="238">
        <f t="shared" ca="1" si="23"/>
        <v>3.0232274513934576</v>
      </c>
      <c r="BB25" s="238">
        <f ca="1">(AR25-1)*100*360/$X25</f>
        <v>2.9737226422105376</v>
      </c>
    </row>
    <row r="26" spans="1:54">
      <c r="A26" s="595"/>
      <c r="B26" s="478">
        <f t="shared" ca="1" si="25"/>
        <v>43358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 s="238">
        <f t="shared" si="3"/>
        <v>4</v>
      </c>
      <c r="N26">
        <f t="shared" si="4"/>
        <v>3</v>
      </c>
      <c r="O26">
        <f t="shared" si="5"/>
        <v>3</v>
      </c>
      <c r="P26">
        <f t="shared" si="6"/>
        <v>3</v>
      </c>
      <c r="Q26">
        <f t="shared" si="7"/>
        <v>3.5</v>
      </c>
      <c r="R26">
        <f t="shared" si="8"/>
        <v>3</v>
      </c>
      <c r="S26">
        <f t="shared" si="9"/>
        <v>3</v>
      </c>
      <c r="T26">
        <f t="shared" si="10"/>
        <v>3</v>
      </c>
      <c r="U26">
        <f t="shared" si="11"/>
        <v>2.75</v>
      </c>
      <c r="V26">
        <f t="shared" si="12"/>
        <v>2.5</v>
      </c>
      <c r="W26">
        <f t="shared" ca="1" si="13"/>
        <v>31</v>
      </c>
      <c r="X26">
        <f ca="1">SUM($W$4:$W26)</f>
        <v>686</v>
      </c>
      <c r="Y26" s="238">
        <f t="shared" ca="1" si="26"/>
        <v>1.0034501913559641</v>
      </c>
      <c r="Z26" s="238">
        <f t="shared" ca="1" si="27"/>
        <v>1.002586565102793</v>
      </c>
      <c r="AA26" s="238">
        <f t="shared" ca="1" si="28"/>
        <v>1.002586565102793</v>
      </c>
      <c r="AB26" s="238">
        <f t="shared" ca="1" si="29"/>
        <v>1.002586565102793</v>
      </c>
      <c r="AC26" s="238">
        <f t="shared" ca="1" si="30"/>
        <v>1.0030182882770542</v>
      </c>
      <c r="AD26" s="238">
        <f t="shared" ca="1" si="31"/>
        <v>1.002586565102793</v>
      </c>
      <c r="AE26" s="238">
        <f t="shared" ca="1" si="32"/>
        <v>1.002586565102793</v>
      </c>
      <c r="AF26" s="238">
        <f t="shared" ca="1" si="33"/>
        <v>1.002586565102793</v>
      </c>
      <c r="AG26" s="238">
        <f t="shared" ca="1" si="34"/>
        <v>1.0023707709572571</v>
      </c>
      <c r="AH26" s="238">
        <f t="shared" ca="1" si="14"/>
        <v>1.0021550217607276</v>
      </c>
      <c r="AI26" s="238">
        <f ca="1">PRODUCT(Y$4:Y26)</f>
        <v>1.0721394904305794</v>
      </c>
      <c r="AJ26" s="238">
        <f ca="1">PRODUCT(Z$4:Z26)</f>
        <v>1.0631026920157132</v>
      </c>
      <c r="AK26" s="238">
        <f ca="1">PRODUCT(AA$4:AA26)</f>
        <v>1.0608682999979746</v>
      </c>
      <c r="AL26" s="238">
        <f ca="1">PRODUCT(AB$4:AB26)</f>
        <v>1.060411676788507</v>
      </c>
      <c r="AM26" s="238">
        <f ca="1">PRODUCT(AC$4:AC26)</f>
        <v>1.0689653334485842</v>
      </c>
      <c r="AN26" s="238">
        <f ca="1">PRODUCT(AD$4:AD26)</f>
        <v>1.0617526455552142</v>
      </c>
      <c r="AO26" s="238">
        <f ca="1">PRODUCT(AE$4:AE26)</f>
        <v>1.064454455044529</v>
      </c>
      <c r="AP26" s="238">
        <f ca="1">PRODUCT(AF$4:AF26)</f>
        <v>1.0666889931956536</v>
      </c>
      <c r="AQ26" s="238">
        <f ca="1">PRODUCT(AG$4:AG26)</f>
        <v>1.0575071213588467</v>
      </c>
      <c r="AR26" s="238">
        <f ca="1">PRODUCT(AH$4:AH26)</f>
        <v>1.0563768511186649</v>
      </c>
      <c r="AS26" s="238">
        <f t="shared" ca="1" si="15"/>
        <v>3.7857458534997952</v>
      </c>
      <c r="AT26" s="238">
        <f t="shared" ca="1" si="16"/>
        <v>3.3115115343522947</v>
      </c>
      <c r="AU26" s="238">
        <f t="shared" ca="1" si="17"/>
        <v>3.1942548103893382</v>
      </c>
      <c r="AV26" s="238">
        <f t="shared" ca="1" si="18"/>
        <v>3.1702920763647988</v>
      </c>
      <c r="AW26" s="238">
        <f t="shared" ca="1" si="19"/>
        <v>3.6191720177099604</v>
      </c>
      <c r="AX26" s="238">
        <f t="shared" ca="1" si="20"/>
        <v>3.2406636151424366</v>
      </c>
      <c r="AY26" s="238">
        <f t="shared" ca="1" si="21"/>
        <v>3.3824495358644939</v>
      </c>
      <c r="AZ26" s="238">
        <f t="shared" ca="1" si="22"/>
        <v>3.4997139286348817</v>
      </c>
      <c r="BA26" s="238">
        <f t="shared" ca="1" si="23"/>
        <v>3.0178664269948721</v>
      </c>
      <c r="BB26" s="238">
        <f t="shared" ca="1" si="24"/>
        <v>2.9585519537491765</v>
      </c>
    </row>
    <row r="27" spans="1:54">
      <c r="A27" s="595"/>
      <c r="B27" s="478">
        <f t="shared" ca="1" si="25"/>
        <v>43388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 s="238">
        <f t="shared" si="3"/>
        <v>4</v>
      </c>
      <c r="N27">
        <f t="shared" si="4"/>
        <v>3</v>
      </c>
      <c r="O27">
        <f t="shared" si="5"/>
        <v>3</v>
      </c>
      <c r="P27">
        <f t="shared" si="6"/>
        <v>3</v>
      </c>
      <c r="Q27">
        <f t="shared" si="7"/>
        <v>3.5</v>
      </c>
      <c r="R27">
        <f t="shared" si="8"/>
        <v>3</v>
      </c>
      <c r="S27">
        <f t="shared" si="9"/>
        <v>3</v>
      </c>
      <c r="T27">
        <f t="shared" si="10"/>
        <v>3</v>
      </c>
      <c r="U27">
        <f t="shared" si="11"/>
        <v>2.75</v>
      </c>
      <c r="V27">
        <f t="shared" si="12"/>
        <v>2.5</v>
      </c>
      <c r="W27">
        <f t="shared" ca="1" si="13"/>
        <v>30</v>
      </c>
      <c r="X27">
        <f ca="1">SUM($W$4:$W27)</f>
        <v>716</v>
      </c>
      <c r="Y27" s="238">
        <f t="shared" ca="1" si="26"/>
        <v>1.0033387092771555</v>
      </c>
      <c r="Z27" s="238">
        <f t="shared" ca="1" si="27"/>
        <v>1.002503023184194</v>
      </c>
      <c r="AA27" s="238">
        <f t="shared" ca="1" si="28"/>
        <v>1.002503023184194</v>
      </c>
      <c r="AB27" s="238">
        <f t="shared" ca="1" si="29"/>
        <v>1.002503023184194</v>
      </c>
      <c r="AC27" s="238">
        <f t="shared" ca="1" si="30"/>
        <v>1.0029207820899066</v>
      </c>
      <c r="AD27" s="238">
        <f t="shared" ca="1" si="31"/>
        <v>1.002503023184194</v>
      </c>
      <c r="AE27" s="238">
        <f t="shared" ca="1" si="32"/>
        <v>1.002503023184194</v>
      </c>
      <c r="AF27" s="238">
        <f t="shared" ca="1" si="33"/>
        <v>1.002503023184194</v>
      </c>
      <c r="AG27" s="238">
        <f t="shared" ca="1" si="34"/>
        <v>1.0022942068164586</v>
      </c>
      <c r="AH27" s="238">
        <f t="shared" ca="1" si="14"/>
        <v>1.0020854324945823</v>
      </c>
      <c r="AI27" s="238">
        <f ca="1">PRODUCT(Y$4:Y27)</f>
        <v>1.0757190524936848</v>
      </c>
      <c r="AJ27" s="238">
        <f ca="1">PRODUCT(Z$4:Z27)</f>
        <v>1.0657636627010076</v>
      </c>
      <c r="AK27" s="238">
        <f ca="1">PRODUCT(AA$4:AA27)</f>
        <v>1.063523677948246</v>
      </c>
      <c r="AL27" s="238">
        <f ca="1">PRODUCT(AB$4:AB27)</f>
        <v>1.0630659118002987</v>
      </c>
      <c r="AM27" s="238">
        <f ca="1">PRODUCT(AC$4:AC27)</f>
        <v>1.072087548249252</v>
      </c>
      <c r="AN27" s="238">
        <f ca="1">PRODUCT(AD$4:AD27)</f>
        <v>1.0644102370429183</v>
      </c>
      <c r="AO27" s="238">
        <f ca="1">PRODUCT(AE$4:AE27)</f>
        <v>1.067118809224024</v>
      </c>
      <c r="AP27" s="238">
        <f ca="1">PRODUCT(AF$4:AF27)</f>
        <v>1.0693589404759469</v>
      </c>
      <c r="AQ27" s="238">
        <f ca="1">PRODUCT(AG$4:AG27)</f>
        <v>1.0599332614051218</v>
      </c>
      <c r="AR27" s="238">
        <f ca="1">PRODUCT(AH$4:AH27)</f>
        <v>1.0585798537305122</v>
      </c>
      <c r="AS27" s="238">
        <f t="shared" ca="1" si="15"/>
        <v>3.8071031980064993</v>
      </c>
      <c r="AT27" s="238">
        <f t="shared" ca="1" si="16"/>
        <v>3.3065528732350207</v>
      </c>
      <c r="AU27" s="238">
        <f t="shared" ca="1" si="17"/>
        <v>3.1939279415319208</v>
      </c>
      <c r="AV27" s="238">
        <f t="shared" ca="1" si="18"/>
        <v>3.1709117664954678</v>
      </c>
      <c r="AW27" s="238">
        <f t="shared" ca="1" si="19"/>
        <v>3.6245135991244024</v>
      </c>
      <c r="AX27" s="238">
        <f t="shared" ca="1" si="20"/>
        <v>3.2385035384707503</v>
      </c>
      <c r="AY27" s="238">
        <f t="shared" ca="1" si="21"/>
        <v>3.3746887319341687</v>
      </c>
      <c r="AZ27" s="238">
        <f t="shared" ca="1" si="22"/>
        <v>3.4873210295168846</v>
      </c>
      <c r="BA27" s="238">
        <f t="shared" ca="1" si="23"/>
        <v>3.0134042047267937</v>
      </c>
      <c r="BB27" s="238">
        <f t="shared" ca="1" si="24"/>
        <v>2.945355774159832</v>
      </c>
    </row>
    <row r="28" spans="1:54">
      <c r="A28" s="595"/>
      <c r="B28" s="479">
        <f t="shared" ca="1" si="25"/>
        <v>43419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 s="238">
        <f t="shared" si="3"/>
        <v>4</v>
      </c>
      <c r="N28">
        <f t="shared" si="4"/>
        <v>3</v>
      </c>
      <c r="O28">
        <f t="shared" si="5"/>
        <v>3</v>
      </c>
      <c r="P28">
        <f t="shared" si="6"/>
        <v>3</v>
      </c>
      <c r="Q28">
        <f t="shared" si="7"/>
        <v>3.5</v>
      </c>
      <c r="R28">
        <f t="shared" si="8"/>
        <v>3</v>
      </c>
      <c r="S28">
        <f t="shared" si="9"/>
        <v>3</v>
      </c>
      <c r="T28">
        <f t="shared" si="10"/>
        <v>3</v>
      </c>
      <c r="U28">
        <f t="shared" si="11"/>
        <v>2.75</v>
      </c>
      <c r="V28">
        <f t="shared" si="12"/>
        <v>2.5</v>
      </c>
      <c r="W28">
        <f t="shared" ca="1" si="13"/>
        <v>31</v>
      </c>
      <c r="X28">
        <f ca="1">SUM($W$4:$W28)</f>
        <v>747</v>
      </c>
      <c r="Y28" s="238">
        <f t="shared" ca="1" si="26"/>
        <v>1.0034501913559641</v>
      </c>
      <c r="Z28" s="238">
        <f t="shared" ca="1" si="27"/>
        <v>1.002586565102793</v>
      </c>
      <c r="AA28" s="238">
        <f t="shared" ca="1" si="28"/>
        <v>1.002586565102793</v>
      </c>
      <c r="AB28" s="238">
        <f t="shared" ca="1" si="29"/>
        <v>1.002586565102793</v>
      </c>
      <c r="AC28" s="238">
        <f t="shared" ca="1" si="30"/>
        <v>1.0030182882770542</v>
      </c>
      <c r="AD28" s="238">
        <f t="shared" ca="1" si="31"/>
        <v>1.002586565102793</v>
      </c>
      <c r="AE28" s="238">
        <f t="shared" ca="1" si="32"/>
        <v>1.002586565102793</v>
      </c>
      <c r="AF28" s="238">
        <f t="shared" ca="1" si="33"/>
        <v>1.002586565102793</v>
      </c>
      <c r="AG28" s="238">
        <f t="shared" ca="1" si="34"/>
        <v>1.0023707709572571</v>
      </c>
      <c r="AH28" s="238">
        <f t="shared" ca="1" si="14"/>
        <v>1.0021550217607276</v>
      </c>
      <c r="AI28" s="238">
        <f ca="1">PRODUCT(Y$4:Y28)</f>
        <v>1.0794304890700446</v>
      </c>
      <c r="AJ28" s="238">
        <f ca="1">PRODUCT(Z$4:Z28)</f>
        <v>1.0685203297987749</v>
      </c>
      <c r="AK28" s="238">
        <f ca="1">PRODUCT(AA$4:AA28)</f>
        <v>1.066274551179621</v>
      </c>
      <c r="AL28" s="238">
        <f ca="1">PRODUCT(AB$4:AB28)</f>
        <v>1.0658156009897302</v>
      </c>
      <c r="AM28" s="238">
        <f ca="1">PRODUCT(AC$4:AC28)</f>
        <v>1.0753234175281086</v>
      </c>
      <c r="AN28" s="238">
        <f ca="1">PRODUCT(AD$4:AD28)</f>
        <v>1.0671634034171091</v>
      </c>
      <c r="AO28" s="238">
        <f ca="1">PRODUCT(AE$4:AE28)</f>
        <v>1.0698789814964969</v>
      </c>
      <c r="AP28" s="238">
        <f ca="1">PRODUCT(AF$4:AF28)</f>
        <v>1.0721249069937417</v>
      </c>
      <c r="AQ28" s="238">
        <f ca="1">PRODUCT(AG$4:AG28)</f>
        <v>1.0624461203978919</v>
      </c>
      <c r="AR28" s="238">
        <f ca="1">PRODUCT(AH$4:AH28)</f>
        <v>1.0608611163507693</v>
      </c>
      <c r="AS28" s="238">
        <f t="shared" ca="1" si="15"/>
        <v>3.8279753768696181</v>
      </c>
      <c r="AT28" s="238">
        <f t="shared" ca="1" si="16"/>
        <v>3.3021845686156563</v>
      </c>
      <c r="AU28" s="238">
        <f t="shared" ca="1" si="17"/>
        <v>3.1939542737166744</v>
      </c>
      <c r="AV28" s="238">
        <f t="shared" ca="1" si="18"/>
        <v>3.1718361922761527</v>
      </c>
      <c r="AW28" s="238">
        <f t="shared" ca="1" si="19"/>
        <v>3.6300442182220993</v>
      </c>
      <c r="AX28" s="238">
        <f t="shared" ca="1" si="20"/>
        <v>3.2367905261257413</v>
      </c>
      <c r="AY28" s="238">
        <f t="shared" ca="1" si="21"/>
        <v>3.3676617588673179</v>
      </c>
      <c r="AZ28" s="238">
        <f t="shared" ca="1" si="22"/>
        <v>3.475899132228518</v>
      </c>
      <c r="BA28" s="238">
        <f t="shared" ca="1" si="23"/>
        <v>3.0094515854405728</v>
      </c>
      <c r="BB28" s="238">
        <f ca="1">(AR28-1)*100*360/$X28</f>
        <v>2.9330658482298455</v>
      </c>
    </row>
    <row r="29" spans="1:54"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</row>
    <row r="30" spans="1:54">
      <c r="A30" s="128"/>
      <c r="B30" s="128"/>
      <c r="C30" s="595" t="s">
        <v>536</v>
      </c>
      <c r="D30" s="595"/>
      <c r="E30" s="595"/>
      <c r="F30" s="595"/>
      <c r="G30" s="595"/>
      <c r="H30" s="595"/>
      <c r="I30" s="595"/>
      <c r="J30" s="595"/>
      <c r="K30" s="595"/>
      <c r="L30" s="595"/>
      <c r="O30" s="257"/>
      <c r="P30" s="257"/>
      <c r="Q30" s="257"/>
      <c r="R30" s="489" t="s">
        <v>409</v>
      </c>
      <c r="S30" s="489" t="s">
        <v>410</v>
      </c>
      <c r="T30" s="489" t="s">
        <v>411</v>
      </c>
      <c r="U30" s="489" t="s">
        <v>412</v>
      </c>
      <c r="V30" s="489" t="s">
        <v>413</v>
      </c>
      <c r="W30" s="489" t="s">
        <v>414</v>
      </c>
    </row>
    <row r="31" spans="1:54">
      <c r="A31" s="344" t="s">
        <v>534</v>
      </c>
      <c r="B31" s="344" t="s">
        <v>530</v>
      </c>
      <c r="C31" s="344" t="s">
        <v>489</v>
      </c>
      <c r="D31" s="344" t="s">
        <v>490</v>
      </c>
      <c r="E31" s="344" t="s">
        <v>491</v>
      </c>
      <c r="F31" s="344" t="s">
        <v>492</v>
      </c>
      <c r="G31" s="344" t="s">
        <v>493</v>
      </c>
      <c r="H31" s="344" t="s">
        <v>494</v>
      </c>
      <c r="I31" s="344" t="s">
        <v>495</v>
      </c>
      <c r="J31" s="344" t="s">
        <v>496</v>
      </c>
      <c r="K31" s="344" t="s">
        <v>497</v>
      </c>
      <c r="L31" s="344" t="s">
        <v>498</v>
      </c>
      <c r="M31" s="485" t="s">
        <v>11</v>
      </c>
      <c r="N31">
        <v>3</v>
      </c>
      <c r="O31" s="257" t="s">
        <v>489</v>
      </c>
      <c r="P31" s="257" t="str">
        <f>+SUM(C4:C12) &amp; "pb"</f>
        <v>0pb</v>
      </c>
      <c r="Q31" s="257" t="str">
        <f>+C4 &amp; "/" &amp; C5 &amp; "/" &amp; C6 &amp; "/" &amp; C7 &amp; "/" &amp; C8 &amp; "/" &amp; C9 &amp; "/" &amp; C10 &amp; "/" &amp; C11 &amp; "/" &amp; C12</f>
        <v>0/0/0/0/0/0/0/0/0</v>
      </c>
      <c r="R31" s="490">
        <f t="shared" ref="R31:W31" ca="1" si="35">+VLOOKUP(R$30,$A$32:$L$37,$N31,FALSE)</f>
        <v>3.5165561564101071</v>
      </c>
      <c r="S31" s="490">
        <f t="shared" ca="1" si="35"/>
        <v>3.5318375811638134</v>
      </c>
      <c r="T31" s="490">
        <f t="shared" ca="1" si="35"/>
        <v>3.5477273048621787</v>
      </c>
      <c r="U31" s="490">
        <f t="shared" ca="1" si="35"/>
        <v>3.5637122100997911</v>
      </c>
      <c r="V31" s="490">
        <f t="shared" ca="1" si="35"/>
        <v>3.6765983126052393</v>
      </c>
      <c r="W31" s="490">
        <f t="shared" ca="1" si="35"/>
        <v>3.7127397720755795</v>
      </c>
    </row>
    <row r="32" spans="1:54">
      <c r="A32" s="344" t="s">
        <v>409</v>
      </c>
      <c r="B32" s="344">
        <f>VLOOKUP(A32,Zero_swap_CL!$D$3:$J$18,7,0)</f>
        <v>98</v>
      </c>
      <c r="C32" s="484">
        <f ca="1">Lin_Interp($B32,$X$4:$X$28,AS$4:AS$28)+$M32/100</f>
        <v>3.5165561564101071</v>
      </c>
      <c r="D32" s="484">
        <f ca="1">Lin_Interp($B32,$X$4:$X$28,AT$4:AT$28)+$M32/100</f>
        <v>3.5165561564101071</v>
      </c>
      <c r="E32" s="484">
        <f ca="1">Lin_Interp($B32,$X$4:$X$28,AU$4:AU$28)+$M32/100</f>
        <v>3.5165561564101071</v>
      </c>
      <c r="F32" s="484">
        <f ca="1">Lin_Interp($B32,$X$4:$X$28,AV$4:AV$28)+$M32/100</f>
        <v>3.4702052594451884</v>
      </c>
      <c r="G32" s="484">
        <f ca="1">Lin_Interp($B32,$X$4:$X$28,AW$4:AW$28)+$M32/100</f>
        <v>3.5165561564101071</v>
      </c>
      <c r="H32" s="484">
        <f ca="1">Lin_Interp($B32,$X$4:$X$28,AX$4:AX$28)+$M32/100</f>
        <v>3.5165561564101071</v>
      </c>
      <c r="I32" s="484">
        <f ca="1">Lin_Interp($B32,$X$4:$X$28,AY$4:AY$28)+$M32/100</f>
        <v>3.5165561564101071</v>
      </c>
      <c r="J32" s="484">
        <f ca="1">Lin_Interp($B32,$X$4:$X$28,AZ$4:AZ$28)+$M32/100</f>
        <v>3.5165561564101071</v>
      </c>
      <c r="K32" s="484">
        <f ca="1">Lin_Interp($B32,$X$4:$X$28,BA$4:BA$28)+$M32/100</f>
        <v>3.5165561564101071</v>
      </c>
      <c r="L32" s="484">
        <f ca="1">Lin_Interp($B32,$X$4:$X$28,BB$4:BB$28)+$M32/100</f>
        <v>3.5165561564101071</v>
      </c>
      <c r="M32" s="486">
        <f>2*$M$38</f>
        <v>0</v>
      </c>
      <c r="N32" s="488">
        <f>+N31+1</f>
        <v>4</v>
      </c>
      <c r="O32" s="257" t="s">
        <v>490</v>
      </c>
      <c r="P32" s="257" t="str">
        <f>+SUM(D4:D12) &amp; "pb"</f>
        <v>-25pb</v>
      </c>
      <c r="Q32" s="257" t="str">
        <f>+D4 &amp; "/" &amp; D5 &amp; "/" &amp; D6 &amp; "/" &amp; D7 &amp; "/" &amp; D8 &amp; "/" &amp; D9 &amp; "/" &amp; D10 &amp; "/" &amp; D11 &amp; "/" &amp; D12</f>
        <v>0/0/0/0/0/0/0/0/-25</v>
      </c>
      <c r="R32" s="490">
        <f t="shared" ref="R32:W40" ca="1" si="36">+VLOOKUP(R$30,$A$32:$L$37,$N32,FALSE)</f>
        <v>3.5165561564101071</v>
      </c>
      <c r="S32" s="490">
        <f t="shared" ca="1" si="36"/>
        <v>3.5318375811638134</v>
      </c>
      <c r="T32" s="490">
        <f t="shared" ca="1" si="36"/>
        <v>3.5299964919259108</v>
      </c>
      <c r="U32" s="490">
        <f t="shared" ca="1" si="36"/>
        <v>3.4512546580237502</v>
      </c>
      <c r="V32" s="490">
        <f t="shared" ca="1" si="36"/>
        <v>3.3456994863567679</v>
      </c>
      <c r="W32" s="490">
        <f t="shared" ca="1" si="36"/>
        <v>3.2226328043559516</v>
      </c>
    </row>
    <row r="33" spans="1:23">
      <c r="A33" s="344" t="s">
        <v>410</v>
      </c>
      <c r="B33" s="344">
        <f>VLOOKUP(A33,Zero_swap_CL!$D$3:$J$18,7,0)</f>
        <v>187</v>
      </c>
      <c r="C33" s="484">
        <f ca="1">Lin_Interp($B33,$X$4:$X$28,AS$4:AS$28)+$M33/100</f>
        <v>3.5318375811638134</v>
      </c>
      <c r="D33" s="484">
        <f ca="1">Lin_Interp($B33,$X$4:$X$28,AT$4:AT$28)+$M33/100</f>
        <v>3.5318375811638134</v>
      </c>
      <c r="E33" s="484">
        <f ca="1">Lin_Interp($B33,$X$4:$X$28,AU$4:AU$28)+$M33/100</f>
        <v>3.4021643616047235</v>
      </c>
      <c r="F33" s="484">
        <f ca="1">Lin_Interp($B33,$X$4:$X$28,AV$4:AV$28)+$M33/100</f>
        <v>3.3173169780789338</v>
      </c>
      <c r="G33" s="484">
        <f ca="1">Lin_Interp($B33,$X$4:$X$28,AW$4:AW$28)+$M33/100</f>
        <v>3.5318375811638134</v>
      </c>
      <c r="H33" s="484">
        <f ca="1">Lin_Interp($B33,$X$4:$X$28,AX$4:AX$28)+$M33/100</f>
        <v>3.5073862653760388</v>
      </c>
      <c r="I33" s="484">
        <f ca="1">Lin_Interp($B33,$X$4:$X$28,AY$4:AY$28)+$M33/100</f>
        <v>3.5318375811638134</v>
      </c>
      <c r="J33" s="484">
        <f ca="1">Lin_Interp($B33,$X$4:$X$28,AZ$4:AZ$28)+$M33/100</f>
        <v>3.5318375811638134</v>
      </c>
      <c r="K33" s="484">
        <f ca="1">Lin_Interp($B33,$X$4:$X$28,BA$4:BA$28)+$M33/100</f>
        <v>3.4021643616047235</v>
      </c>
      <c r="L33" s="484">
        <f ca="1">Lin_Interp($B33,$X$4:$X$28,BB$4:BB$28)+$M33/100</f>
        <v>3.464935507500972</v>
      </c>
      <c r="M33" s="486">
        <f>3*$M$38</f>
        <v>0</v>
      </c>
      <c r="N33" s="488">
        <f t="shared" ref="N33:N40" si="37">+N32+1</f>
        <v>5</v>
      </c>
      <c r="O33" s="257" t="s">
        <v>491</v>
      </c>
      <c r="P33" s="257" t="str">
        <f>+SUM(E4:E12) &amp; "pb"</f>
        <v>-50pb</v>
      </c>
      <c r="Q33" s="257" t="str">
        <f>+E4 &amp; "/" &amp; E5 &amp; "/" &amp; E6 &amp; "/" &amp; E7 &amp; "/" &amp; E8 &amp; "/" &amp; E9 &amp; "/" &amp; E10 &amp; "/" &amp; E11 &amp; "/" &amp; E12</f>
        <v>0/0/0/-25/0/-25/0/0/0</v>
      </c>
      <c r="R33" s="490">
        <f t="shared" ca="1" si="36"/>
        <v>3.5165561564101071</v>
      </c>
      <c r="S33" s="490">
        <f t="shared" ca="1" si="36"/>
        <v>3.4021643616047235</v>
      </c>
      <c r="T33" s="490">
        <f t="shared" ca="1" si="36"/>
        <v>3.2900151422416712</v>
      </c>
      <c r="U33" s="490">
        <f t="shared" ca="1" si="36"/>
        <v>3.239721451079784</v>
      </c>
      <c r="V33" s="490">
        <f t="shared" ca="1" si="36"/>
        <v>3.2015005145031439</v>
      </c>
      <c r="W33" s="490">
        <f t="shared" ca="1" si="36"/>
        <v>3.1180492455418207</v>
      </c>
    </row>
    <row r="34" spans="1:23">
      <c r="A34" s="344" t="s">
        <v>411</v>
      </c>
      <c r="B34" s="344">
        <f>VLOOKUP(A34,Zero_swap_CL!$D$3:$J$18,7,0)</f>
        <v>279</v>
      </c>
      <c r="C34" s="484">
        <f ca="1">Lin_Interp($B34,$X$4:$X$28,AS$4:AS$28)+$M34/100</f>
        <v>3.5477273048621787</v>
      </c>
      <c r="D34" s="484">
        <f ca="1">Lin_Interp($B34,$X$4:$X$28,AT$4:AT$28)+$M34/100</f>
        <v>3.5299964919259108</v>
      </c>
      <c r="E34" s="484">
        <f ca="1">Lin_Interp($B34,$X$4:$X$28,AU$4:AU$28)+$M34/100</f>
        <v>3.2900151422416712</v>
      </c>
      <c r="F34" s="484">
        <f ca="1">Lin_Interp($B34,$X$4:$X$28,AV$4:AV$28)+$M34/100</f>
        <v>3.2328977814969475</v>
      </c>
      <c r="G34" s="484">
        <f ca="1">Lin_Interp($B34,$X$4:$X$28,AW$4:AW$28)+$M34/100</f>
        <v>3.5477273048621787</v>
      </c>
      <c r="H34" s="484">
        <f ca="1">Lin_Interp($B34,$X$4:$X$28,AX$4:AX$28)+$M34/100</f>
        <v>3.4006347585216266</v>
      </c>
      <c r="I34" s="484">
        <f ca="1">Lin_Interp($B34,$X$4:$X$28,AY$4:AY$28)+$M34/100</f>
        <v>3.5477273048621787</v>
      </c>
      <c r="J34" s="484">
        <f ca="1">Lin_Interp($B34,$X$4:$X$28,AZ$4:AZ$28)+$M34/100</f>
        <v>3.5477273048621787</v>
      </c>
      <c r="K34" s="484">
        <f ca="1">Lin_Interp($B34,$X$4:$X$28,BA$4:BA$28)+$M34/100</f>
        <v>3.244684244067392</v>
      </c>
      <c r="L34" s="484">
        <f ca="1">Lin_Interp($B34,$X$4:$X$28,BB$4:BB$28)+$M34/100</f>
        <v>3.3434697844357557</v>
      </c>
      <c r="M34" s="486">
        <f>5*$M$38</f>
        <v>0</v>
      </c>
      <c r="N34" s="488">
        <f t="shared" si="37"/>
        <v>6</v>
      </c>
      <c r="O34" s="257" t="s">
        <v>492</v>
      </c>
      <c r="P34" s="257" t="str">
        <f>+SUM(F4:F12) &amp; "pb"</f>
        <v>-50pb</v>
      </c>
      <c r="Q34" s="257" t="str">
        <f>+F4 &amp; "/" &amp; F5 &amp; "/" &amp; F6 &amp; "/" &amp; F7 &amp; "/" &amp; F8 &amp; "/" &amp; F9 &amp; "/" &amp; F10 &amp; "/" &amp; F11 &amp; "/" &amp; F12</f>
        <v>0/0/-25/0/-25/0/0/0/0</v>
      </c>
      <c r="R34" s="490">
        <f t="shared" ca="1" si="36"/>
        <v>3.4702052594451884</v>
      </c>
      <c r="S34" s="490">
        <f t="shared" ca="1" si="36"/>
        <v>3.3173169780789338</v>
      </c>
      <c r="T34" s="490">
        <f t="shared" ca="1" si="36"/>
        <v>3.2328977814969475</v>
      </c>
      <c r="U34" s="490">
        <f t="shared" ca="1" si="36"/>
        <v>3.1964922544585526</v>
      </c>
      <c r="V34" s="490">
        <f t="shared" ca="1" si="36"/>
        <v>3.1720318282533739</v>
      </c>
      <c r="W34" s="490">
        <f t="shared" ca="1" si="36"/>
        <v>3.0966559338088562</v>
      </c>
    </row>
    <row r="35" spans="1:23">
      <c r="A35" s="344" t="s">
        <v>412</v>
      </c>
      <c r="B35" s="344">
        <f>VLOOKUP(A35,Zero_swap_CL!$D$3:$J$18,7,0)</f>
        <v>371</v>
      </c>
      <c r="C35" s="484">
        <f ca="1">Lin_Interp($B35,$X$4:$X$28,AS$4:AS$28)+$M35/100</f>
        <v>3.5637122100997911</v>
      </c>
      <c r="D35" s="484">
        <f ca="1">Lin_Interp($B35,$X$4:$X$28,AT$4:AT$28)+$M35/100</f>
        <v>3.4512546580237502</v>
      </c>
      <c r="E35" s="484">
        <f ca="1">Lin_Interp($B35,$X$4:$X$28,AU$4:AU$28)+$M35/100</f>
        <v>3.239721451079784</v>
      </c>
      <c r="F35" s="484">
        <f ca="1">Lin_Interp($B35,$X$4:$X$28,AV$4:AV$28)+$M35/100</f>
        <v>3.1964922544585526</v>
      </c>
      <c r="G35" s="484">
        <f ca="1">Lin_Interp($B35,$X$4:$X$28,AW$4:AW$28)+$M35/100</f>
        <v>3.5637122100997911</v>
      </c>
      <c r="H35" s="484">
        <f ca="1">Lin_Interp($B35,$X$4:$X$28,AX$4:AX$28)+$M35/100</f>
        <v>3.3234437568723201</v>
      </c>
      <c r="I35" s="484">
        <f ca="1">Lin_Interp($B35,$X$4:$X$28,AY$4:AY$28)+$M35/100</f>
        <v>3.5501307138837701</v>
      </c>
      <c r="J35" s="484">
        <f ca="1">Lin_Interp($B35,$X$4:$X$28,AZ$4:AZ$28)+$M35/100</f>
        <v>3.5637122100997911</v>
      </c>
      <c r="K35" s="484">
        <f ca="1">Lin_Interp($B35,$X$4:$X$28,BA$4:BA$28)+$M35/100</f>
        <v>3.1411500069556313</v>
      </c>
      <c r="L35" s="484">
        <f ca="1">Lin_Interp($B35,$X$4:$X$28,BB$4:BB$28)+$M35/100</f>
        <v>3.2457117361277406</v>
      </c>
      <c r="M35" s="486">
        <f>7*$M$38</f>
        <v>0</v>
      </c>
      <c r="N35" s="488">
        <f t="shared" si="37"/>
        <v>7</v>
      </c>
      <c r="O35" s="257" t="s">
        <v>493</v>
      </c>
      <c r="P35" s="257" t="str">
        <f>+SUM(G4:G12) &amp; "pb"</f>
        <v>0pb</v>
      </c>
      <c r="Q35" s="257" t="str">
        <f>+G4 &amp; "/" &amp; G5 &amp; "/" &amp; G6 &amp; "/" &amp; G7 &amp; "/" &amp; G8 &amp; "/" &amp; G9 &amp; "/" &amp; G10 &amp; "/" &amp; G11 &amp; "/" &amp; G12</f>
        <v>0/0/0/0/0/0/0/0/0</v>
      </c>
      <c r="R35" s="490">
        <f t="shared" ca="1" si="36"/>
        <v>3.5165561564101071</v>
      </c>
      <c r="S35" s="490">
        <f t="shared" ca="1" si="36"/>
        <v>3.5318375811638134</v>
      </c>
      <c r="T35" s="490">
        <f t="shared" ca="1" si="36"/>
        <v>3.5477273048621787</v>
      </c>
      <c r="U35" s="490">
        <f t="shared" ca="1" si="36"/>
        <v>3.5637122100997911</v>
      </c>
      <c r="V35" s="490">
        <f t="shared" ca="1" si="36"/>
        <v>3.5954412085672631</v>
      </c>
      <c r="W35" s="490">
        <f t="shared" ca="1" si="36"/>
        <v>3.5306325111486903</v>
      </c>
    </row>
    <row r="36" spans="1:23">
      <c r="A36" s="344" t="s">
        <v>413</v>
      </c>
      <c r="B36" s="344">
        <f>VLOOKUP(A36,Zero_swap_CL!$D$3:$J$18,7,0)</f>
        <v>552</v>
      </c>
      <c r="C36" s="484">
        <f ca="1">Lin_Interp($B36,$X$4:$X$28,AS$4:AS$28)+$M36/100</f>
        <v>3.6765983126052393</v>
      </c>
      <c r="D36" s="484">
        <f ca="1">Lin_Interp($B36,$X$4:$X$28,AT$4:AT$28)+$M36/100</f>
        <v>3.3456994863567679</v>
      </c>
      <c r="E36" s="484">
        <f ca="1">Lin_Interp($B36,$X$4:$X$28,AU$4:AU$28)+$M36/100</f>
        <v>3.2015005145031439</v>
      </c>
      <c r="F36" s="484">
        <f ca="1">Lin_Interp($B36,$X$4:$X$28,AV$4:AV$28)+$M36/100</f>
        <v>3.1720318282533739</v>
      </c>
      <c r="G36" s="484">
        <f ca="1">Lin_Interp($B36,$X$4:$X$28,AW$4:AW$28)+$M36/100</f>
        <v>3.5954412085672631</v>
      </c>
      <c r="H36" s="484">
        <f ca="1">Lin_Interp($B36,$X$4:$X$28,AX$4:AX$28)+$M36/100</f>
        <v>3.2585727377768015</v>
      </c>
      <c r="I36" s="484">
        <f ca="1">Lin_Interp($B36,$X$4:$X$28,AY$4:AY$28)+$M36/100</f>
        <v>3.4329370155806291</v>
      </c>
      <c r="J36" s="484">
        <f ca="1">Lin_Interp($B36,$X$4:$X$28,AZ$4:AZ$28)+$M36/100</f>
        <v>3.5717126230014391</v>
      </c>
      <c r="K36" s="484">
        <f ca="1">Lin_Interp($B36,$X$4:$X$28,BA$4:BA$28)+$M36/100</f>
        <v>3.048289805822098</v>
      </c>
      <c r="L36" s="484">
        <f ca="1">Lin_Interp($B36,$X$4:$X$28,BB$4:BB$28)+$M36/100</f>
        <v>3.0389776141813116</v>
      </c>
      <c r="M36" s="486">
        <f>10*$M$38</f>
        <v>0</v>
      </c>
      <c r="N36" s="488">
        <f t="shared" si="37"/>
        <v>8</v>
      </c>
      <c r="O36" s="257" t="s">
        <v>494</v>
      </c>
      <c r="P36" s="257" t="str">
        <f>+SUM(H4:H12) &amp; "pb"</f>
        <v>-50pb</v>
      </c>
      <c r="Q36" s="257" t="str">
        <f>+H4 &amp; "/" &amp; H5 &amp; "/" &amp; H6 &amp; "/" &amp; H7 &amp; "/" &amp; H8 &amp; "/" &amp; H9 &amp; "/" &amp; H10 &amp; "/" &amp; H11 &amp; "/" &amp; H12</f>
        <v>0/0/0/0/0/-25/0/-25/0</v>
      </c>
      <c r="R36" s="490">
        <f t="shared" ca="1" si="36"/>
        <v>3.5165561564101071</v>
      </c>
      <c r="S36" s="490">
        <f t="shared" ca="1" si="36"/>
        <v>3.5073862653760388</v>
      </c>
      <c r="T36" s="490">
        <f t="shared" ca="1" si="36"/>
        <v>3.4006347585216266</v>
      </c>
      <c r="U36" s="490">
        <f t="shared" ca="1" si="36"/>
        <v>3.3234437568723201</v>
      </c>
      <c r="V36" s="490">
        <f t="shared" ca="1" si="36"/>
        <v>3.2585727377768015</v>
      </c>
      <c r="W36" s="490">
        <f t="shared" ca="1" si="36"/>
        <v>3.1594620495097647</v>
      </c>
    </row>
    <row r="37" spans="1:23">
      <c r="A37" s="344" t="s">
        <v>414</v>
      </c>
      <c r="B37" s="344">
        <f>VLOOKUP(A37,Zero_swap_CL!$D$3:$J$18,7,0)</f>
        <v>736</v>
      </c>
      <c r="C37" s="487">
        <f ca="1">((1+(Lin_Interp($B37,$X$4:$X$28,AS$4:AS$28))/100*$B37/360)^(360/2/$B37)-1)*100*2+$M37/100</f>
        <v>3.7127397720755795</v>
      </c>
      <c r="D37" s="487">
        <f ca="1">((1+(Lin_Interp($B37,$X$4:$X$28,AT$4:AT$28))/100*$B37/360)^(360/2/$B37)-1)*100*2+$M37/100</f>
        <v>3.2226328043559516</v>
      </c>
      <c r="E37" s="487">
        <f ca="1">((1+(Lin_Interp($B37,$X$4:$X$28,AU$4:AU$28))/100*$B37/360)^(360/2/$B37)-1)*100*2+$M37/100</f>
        <v>3.1180492455418207</v>
      </c>
      <c r="F37" s="487">
        <f ca="1">((1+(Lin_Interp($B37,$X$4:$X$28,AV$4:AV$28))/100*$B37/360)^(360/2/$B37)-1)*100*2+$M37/100</f>
        <v>3.0966559338088562</v>
      </c>
      <c r="G37" s="487">
        <f ca="1">((1+(Lin_Interp($B37,$X$4:$X$28,AW$4:AW$28))/100*$B37/360)^(360/2/$B37)-1)*100*2+$M37/100</f>
        <v>3.5306325111486903</v>
      </c>
      <c r="H37" s="487">
        <f ca="1">((1+(Lin_Interp($B37,$X$4:$X$28,AX$4:AX$28))/100*$B37/360)^(360/2/$B37)-1)*100*2+$M37/100</f>
        <v>3.1594620495097647</v>
      </c>
      <c r="I37" s="487">
        <f ca="1">((1+(Lin_Interp($B37,$X$4:$X$28,AY$4:AY$28))/100*$B37/360)^(360/2/$B37)-1)*100*2+$M37/100</f>
        <v>3.2858231682842742</v>
      </c>
      <c r="J37" s="487">
        <f ca="1">((1+(Lin_Interp($B37,$X$4:$X$28,AZ$4:AZ$28))/100*$B37/360)^(360/2/$B37)-1)*100*2+$M37/100</f>
        <v>3.3901474392692421</v>
      </c>
      <c r="K37" s="487">
        <f ca="1">((1+(Lin_Interp($B37,$X$4:$X$28,BA$4:BA$28))/100*$B37/360)^(360/2/$B37)-1)*100*2+$M37/100</f>
        <v>2.9432695560344779</v>
      </c>
      <c r="L37" s="487">
        <f ca="1">((1+(Lin_Interp($B37,$X$4:$X$28,BB$4:BB$28))/100*$B37/360)^(360/2/$B37)-1)*100*2+$M37/100</f>
        <v>2.873044523591517</v>
      </c>
      <c r="M37" s="486">
        <f>10*$M$38</f>
        <v>0</v>
      </c>
      <c r="N37" s="488">
        <f t="shared" si="37"/>
        <v>9</v>
      </c>
      <c r="O37" s="257" t="s">
        <v>495</v>
      </c>
      <c r="P37" s="257" t="str">
        <f>+SUM(I4:I12) &amp; "pb"</f>
        <v>0pb</v>
      </c>
      <c r="Q37" s="257" t="str">
        <f>+I4 &amp; "/" &amp; I5 &amp; "/" &amp; I6 &amp; "/" &amp; I7 &amp; "/" &amp; I8 &amp; "/" &amp; I9 &amp; "/" &amp; I10 &amp; "/" &amp; I11 &amp; "/" &amp; I12</f>
        <v>0/0/0/0/0/0/0/0/0</v>
      </c>
      <c r="R37" s="490">
        <f t="shared" ca="1" si="36"/>
        <v>3.5165561564101071</v>
      </c>
      <c r="S37" s="490">
        <f t="shared" ca="1" si="36"/>
        <v>3.5318375811638134</v>
      </c>
      <c r="T37" s="490">
        <f t="shared" ca="1" si="36"/>
        <v>3.5477273048621787</v>
      </c>
      <c r="U37" s="490">
        <f t="shared" ca="1" si="36"/>
        <v>3.5501307138837701</v>
      </c>
      <c r="V37" s="490">
        <f t="shared" ca="1" si="36"/>
        <v>3.4329370155806291</v>
      </c>
      <c r="W37" s="490">
        <f t="shared" ca="1" si="36"/>
        <v>3.2858231682842742</v>
      </c>
    </row>
    <row r="38" spans="1:23">
      <c r="M38" s="541">
        <v>0</v>
      </c>
      <c r="N38" s="488">
        <f t="shared" si="37"/>
        <v>10</v>
      </c>
      <c r="O38" s="257" t="s">
        <v>496</v>
      </c>
      <c r="P38" s="257" t="str">
        <f>+SUM(J4:J12) &amp; "pb"</f>
        <v>0pb</v>
      </c>
      <c r="Q38" s="257" t="str">
        <f>+J4 &amp; "/" &amp; J5 &amp; "/" &amp; J6 &amp; "/" &amp; J7 &amp; "/" &amp; J8 &amp; "/" &amp; J9 &amp; "/" &amp; J10 &amp; "/" &amp; J11 &amp; "/" &amp; J12</f>
        <v>0/0/0/0/0/0/0/0/0</v>
      </c>
      <c r="R38" s="490">
        <f t="shared" ca="1" si="36"/>
        <v>3.5165561564101071</v>
      </c>
      <c r="S38" s="490">
        <f t="shared" ca="1" si="36"/>
        <v>3.5318375811638134</v>
      </c>
      <c r="T38" s="490">
        <f t="shared" ca="1" si="36"/>
        <v>3.5477273048621787</v>
      </c>
      <c r="U38" s="490">
        <f t="shared" ca="1" si="36"/>
        <v>3.5637122100997911</v>
      </c>
      <c r="V38" s="490">
        <f t="shared" ca="1" si="36"/>
        <v>3.5717126230014391</v>
      </c>
      <c r="W38" s="490">
        <f t="shared" ca="1" si="36"/>
        <v>3.3901474392692421</v>
      </c>
    </row>
    <row r="39" spans="1:23">
      <c r="B39" s="344" t="s">
        <v>185</v>
      </c>
      <c r="C39" s="593" t="s">
        <v>538</v>
      </c>
      <c r="D39" s="593"/>
      <c r="E39" s="593"/>
      <c r="F39" s="593"/>
      <c r="G39" s="593"/>
      <c r="H39" s="593"/>
      <c r="I39" s="593"/>
      <c r="J39" s="593"/>
      <c r="K39" s="593"/>
      <c r="L39" s="593"/>
      <c r="N39" s="488">
        <f t="shared" si="37"/>
        <v>11</v>
      </c>
      <c r="O39" s="257" t="s">
        <v>497</v>
      </c>
      <c r="P39" s="257" t="str">
        <f>+SUM(K4:K12) &amp; "pb"</f>
        <v>-75pb</v>
      </c>
      <c r="Q39" s="257" t="str">
        <f>+K4 &amp; "/" &amp; K5 &amp; "/" &amp; K6 &amp; "/" &amp; K7 &amp; "/" &amp; K8 &amp; "/" &amp; K9 &amp; "/" &amp; K10 &amp; "/" &amp; K11 &amp; "/" &amp; K12</f>
        <v>0/0/0/-25/0/-25/0/-25/0</v>
      </c>
      <c r="R39" s="490">
        <f t="shared" ca="1" si="36"/>
        <v>3.5165561564101071</v>
      </c>
      <c r="S39" s="490">
        <f t="shared" ca="1" si="36"/>
        <v>3.4021643616047235</v>
      </c>
      <c r="T39" s="490">
        <f t="shared" ca="1" si="36"/>
        <v>3.244684244067392</v>
      </c>
      <c r="U39" s="490">
        <f t="shared" ca="1" si="36"/>
        <v>3.1411500069556313</v>
      </c>
      <c r="V39" s="490">
        <f t="shared" ca="1" si="36"/>
        <v>3.048289805822098</v>
      </c>
      <c r="W39" s="490">
        <f t="shared" ca="1" si="36"/>
        <v>2.9432695560344779</v>
      </c>
    </row>
    <row r="40" spans="1:23">
      <c r="A40" s="344" t="s">
        <v>409</v>
      </c>
      <c r="B40">
        <f ca="1">VLOOKUP($A40,Zero_swap_CL!$D$3:$E$18,2,0)</f>
        <v>3.49</v>
      </c>
      <c r="C40" s="481">
        <f ca="1">($B40-C32)*100</f>
        <v>-2.655615641010689</v>
      </c>
      <c r="D40" s="481">
        <f t="shared" ref="D40:L40" ca="1" si="38">($B40-D32)*100</f>
        <v>-2.655615641010689</v>
      </c>
      <c r="E40" s="481">
        <f t="shared" ca="1" si="38"/>
        <v>-2.655615641010689</v>
      </c>
      <c r="F40" s="481">
        <f t="shared" ca="1" si="38"/>
        <v>1.9794740554811785</v>
      </c>
      <c r="G40" s="481">
        <f t="shared" ca="1" si="38"/>
        <v>-2.655615641010689</v>
      </c>
      <c r="H40" s="481">
        <f t="shared" ca="1" si="38"/>
        <v>-2.655615641010689</v>
      </c>
      <c r="I40" s="481">
        <f t="shared" ca="1" si="38"/>
        <v>-2.655615641010689</v>
      </c>
      <c r="J40" s="481">
        <f t="shared" ca="1" si="38"/>
        <v>-2.655615641010689</v>
      </c>
      <c r="K40" s="481">
        <f t="shared" ca="1" si="38"/>
        <v>-2.655615641010689</v>
      </c>
      <c r="L40" s="481">
        <f t="shared" ca="1" si="38"/>
        <v>-2.655615641010689</v>
      </c>
      <c r="N40" s="488">
        <f t="shared" si="37"/>
        <v>12</v>
      </c>
      <c r="O40" s="257" t="s">
        <v>498</v>
      </c>
      <c r="P40" s="257" t="str">
        <f>+SUM(L4:L12) &amp; "pb"</f>
        <v>-50pb</v>
      </c>
      <c r="Q40" s="257" t="str">
        <f>+L4 &amp; "/" &amp; L5 &amp; "/" &amp; L6 &amp; "/" &amp; L7 &amp; "/" &amp; L8 &amp; "/" &amp; L9 &amp; "/" &amp; L10 &amp; "/" &amp; L11 &amp; "/" &amp; L12</f>
        <v>0/0/0/0/-25/0/-25/0/0</v>
      </c>
      <c r="R40" s="490">
        <f t="shared" ca="1" si="36"/>
        <v>3.5165561564101071</v>
      </c>
      <c r="S40" s="490">
        <f t="shared" ca="1" si="36"/>
        <v>3.464935507500972</v>
      </c>
      <c r="T40" s="490">
        <f t="shared" ca="1" si="36"/>
        <v>3.3434697844357557</v>
      </c>
      <c r="U40" s="490">
        <f t="shared" ca="1" si="36"/>
        <v>3.2457117361277406</v>
      </c>
      <c r="V40" s="490">
        <f t="shared" ca="1" si="36"/>
        <v>3.0389776141813116</v>
      </c>
      <c r="W40" s="490">
        <f t="shared" ca="1" si="36"/>
        <v>2.873044523591517</v>
      </c>
    </row>
    <row r="41" spans="1:23">
      <c r="A41" s="344" t="s">
        <v>410</v>
      </c>
      <c r="B41">
        <f ca="1">VLOOKUP($A41,Zero_swap_CL!$D$3:$E$18,2,0)</f>
        <v>3.39</v>
      </c>
      <c r="C41" s="481">
        <f ca="1">($B41-C33)*100</f>
        <v>-14.183758116381329</v>
      </c>
      <c r="D41" s="481">
        <f t="shared" ref="D41:L41" ca="1" si="39">($B41-D33)*100</f>
        <v>-14.183758116381329</v>
      </c>
      <c r="E41" s="481">
        <f t="shared" ca="1" si="39"/>
        <v>-1.2164361604723339</v>
      </c>
      <c r="F41" s="481">
        <f t="shared" ca="1" si="39"/>
        <v>7.2683021921066349</v>
      </c>
      <c r="G41" s="481">
        <f t="shared" ca="1" si="39"/>
        <v>-14.183758116381329</v>
      </c>
      <c r="H41" s="481">
        <f t="shared" ca="1" si="39"/>
        <v>-11.738626537603869</v>
      </c>
      <c r="I41" s="481">
        <f t="shared" ca="1" si="39"/>
        <v>-14.183758116381329</v>
      </c>
      <c r="J41" s="481">
        <f t="shared" ca="1" si="39"/>
        <v>-14.183758116381329</v>
      </c>
      <c r="K41" s="481">
        <f t="shared" ca="1" si="39"/>
        <v>-1.2164361604723339</v>
      </c>
      <c r="L41" s="481">
        <f t="shared" ca="1" si="39"/>
        <v>-7.4935507500971887</v>
      </c>
      <c r="N41" s="484"/>
    </row>
    <row r="42" spans="1:23">
      <c r="A42" s="344" t="s">
        <v>411</v>
      </c>
      <c r="B42">
        <f ca="1">VLOOKUP($A42,Zero_swap_CL!$D$3:$E$18,2,0)</f>
        <v>3.36</v>
      </c>
      <c r="C42" s="481">
        <f t="shared" ref="C42:L42" ca="1" si="40">($B42-C34)*100</f>
        <v>-18.772730486217881</v>
      </c>
      <c r="D42" s="481">
        <f t="shared" ca="1" si="40"/>
        <v>-16.999649192591093</v>
      </c>
      <c r="E42" s="481">
        <f t="shared" ca="1" si="40"/>
        <v>6.9984857758328634</v>
      </c>
      <c r="F42" s="481">
        <f t="shared" ca="1" si="40"/>
        <v>12.710221850305237</v>
      </c>
      <c r="G42" s="481">
        <f t="shared" ca="1" si="40"/>
        <v>-18.772730486217881</v>
      </c>
      <c r="H42" s="481">
        <f t="shared" ca="1" si="40"/>
        <v>-4.0634758521626679</v>
      </c>
      <c r="I42" s="481">
        <f t="shared" ca="1" si="40"/>
        <v>-18.772730486217881</v>
      </c>
      <c r="J42" s="481">
        <f t="shared" ca="1" si="40"/>
        <v>-18.772730486217881</v>
      </c>
      <c r="K42" s="481">
        <f t="shared" ca="1" si="40"/>
        <v>11.53157559326079</v>
      </c>
      <c r="L42" s="481">
        <f t="shared" ca="1" si="40"/>
        <v>1.6530215564244166</v>
      </c>
      <c r="N42" s="484"/>
    </row>
    <row r="43" spans="1:23">
      <c r="A43" s="344" t="s">
        <v>412</v>
      </c>
      <c r="B43">
        <f ca="1">VLOOKUP($A43,Zero_swap_CL!$D$3:$E$18,2,0)</f>
        <v>3.33</v>
      </c>
      <c r="C43" s="481">
        <f t="shared" ref="C43:L43" ca="1" si="41">($B43-C35)*100</f>
        <v>-23.371221009979102</v>
      </c>
      <c r="D43" s="481">
        <f t="shared" ca="1" si="41"/>
        <v>-12.125465802375013</v>
      </c>
      <c r="E43" s="481">
        <f t="shared" ca="1" si="41"/>
        <v>9.0278548920216029</v>
      </c>
      <c r="F43" s="481">
        <f t="shared" ca="1" si="41"/>
        <v>13.350774554144751</v>
      </c>
      <c r="G43" s="481">
        <f t="shared" ca="1" si="41"/>
        <v>-23.371221009979102</v>
      </c>
      <c r="H43" s="481">
        <f t="shared" ca="1" si="41"/>
        <v>0.65562431276799948</v>
      </c>
      <c r="I43" s="481">
        <f t="shared" ca="1" si="41"/>
        <v>-22.013071388377004</v>
      </c>
      <c r="J43" s="481">
        <f t="shared" ca="1" si="41"/>
        <v>-23.371221009979102</v>
      </c>
      <c r="K43" s="481">
        <f t="shared" ca="1" si="41"/>
        <v>18.884999304436878</v>
      </c>
      <c r="L43" s="481">
        <f t="shared" ca="1" si="41"/>
        <v>8.4288263872259517</v>
      </c>
      <c r="N43" s="484"/>
    </row>
    <row r="44" spans="1:23">
      <c r="A44" s="344" t="s">
        <v>413</v>
      </c>
      <c r="B44">
        <f ca="1">VLOOKUP($A44,Zero_swap_CL!$D$3:$E$18,2,0)</f>
        <v>3.29</v>
      </c>
      <c r="C44" s="481">
        <f t="shared" ref="C44:L44" ca="1" si="42">($B44-C36)*100</f>
        <v>-38.659831260523923</v>
      </c>
      <c r="D44" s="481">
        <f t="shared" ca="1" si="42"/>
        <v>-5.5699486356767913</v>
      </c>
      <c r="E44" s="481">
        <f t="shared" ca="1" si="42"/>
        <v>8.8499485496856156</v>
      </c>
      <c r="F44" s="481">
        <f t="shared" ca="1" si="42"/>
        <v>11.79681717466261</v>
      </c>
      <c r="G44" s="481">
        <f t="shared" ca="1" si="42"/>
        <v>-30.544120856726309</v>
      </c>
      <c r="H44" s="481">
        <f t="shared" ca="1" si="42"/>
        <v>3.1427262223198582</v>
      </c>
      <c r="I44" s="481">
        <f t="shared" ca="1" si="42"/>
        <v>-14.29370155806291</v>
      </c>
      <c r="J44" s="481">
        <f t="shared" ca="1" si="42"/>
        <v>-28.171262300143908</v>
      </c>
      <c r="K44" s="481">
        <f t="shared" ca="1" si="42"/>
        <v>24.171019417790205</v>
      </c>
      <c r="L44" s="481">
        <f t="shared" ca="1" si="42"/>
        <v>25.102238581868839</v>
      </c>
      <c r="N44" s="484"/>
    </row>
    <row r="45" spans="1:23">
      <c r="A45" s="344" t="s">
        <v>414</v>
      </c>
      <c r="B45">
        <f ca="1">VLOOKUP($A45,Zero_swap_CL!$D$3:$E$18,2,0)</f>
        <v>3.24</v>
      </c>
      <c r="C45" s="481">
        <f t="shared" ref="C45:L45" ca="1" si="43">($B45-C37)*100</f>
        <v>-47.273977207557927</v>
      </c>
      <c r="D45" s="481">
        <f t="shared" ca="1" si="43"/>
        <v>1.736719564404865</v>
      </c>
      <c r="E45" s="481">
        <f t="shared" ca="1" si="43"/>
        <v>12.195075445817949</v>
      </c>
      <c r="F45" s="481">
        <f t="shared" ca="1" si="43"/>
        <v>14.334406619114404</v>
      </c>
      <c r="G45" s="481">
        <f t="shared" ca="1" si="43"/>
        <v>-29.063251114869004</v>
      </c>
      <c r="H45" s="481">
        <f t="shared" ca="1" si="43"/>
        <v>8.0537950490235488</v>
      </c>
      <c r="I45" s="481">
        <f t="shared" ca="1" si="43"/>
        <v>-4.5823168284274018</v>
      </c>
      <c r="J45" s="481">
        <f t="shared" ca="1" si="43"/>
        <v>-15.01474392692419</v>
      </c>
      <c r="K45" s="481">
        <f t="shared" ca="1" si="43"/>
        <v>29.673044396552228</v>
      </c>
      <c r="L45" s="481">
        <f t="shared" ca="1" si="43"/>
        <v>36.695547640848325</v>
      </c>
      <c r="N45" s="484"/>
    </row>
  </sheetData>
  <mergeCells count="8">
    <mergeCell ref="C39:L39"/>
    <mergeCell ref="Y1:AH1"/>
    <mergeCell ref="AI1:AR1"/>
    <mergeCell ref="AS1:BB1"/>
    <mergeCell ref="A3:A28"/>
    <mergeCell ref="C30:L30"/>
    <mergeCell ref="C1:L1"/>
    <mergeCell ref="M1:V1"/>
  </mergeCells>
  <conditionalFormatting sqref="C4:L28">
    <cfRule type="colorScale" priority="2">
      <colorScale>
        <cfvo type="min"/>
        <cfvo type="max"/>
        <color rgb="FFFCFCFF"/>
        <color rgb="FFF8696B"/>
      </colorScale>
    </cfRule>
  </conditionalFormatting>
  <conditionalFormatting sqref="C40:L45">
    <cfRule type="colorScale" priority="23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V100"/>
  <sheetViews>
    <sheetView workbookViewId="0"/>
  </sheetViews>
  <sheetFormatPr baseColWidth="10" defaultColWidth="11.42578125" defaultRowHeight="12.75"/>
  <cols>
    <col min="1" max="1" width="14.5703125" bestFit="1" customWidth="1"/>
    <col min="2" max="2" width="4.140625" customWidth="1"/>
    <col min="3" max="3" width="22.5703125" bestFit="1" customWidth="1"/>
    <col min="4" max="4" width="25.28515625" bestFit="1" customWidth="1"/>
    <col min="5" max="5" width="12.42578125" bestFit="1" customWidth="1"/>
    <col min="6" max="6" width="7.85546875" bestFit="1" customWidth="1"/>
    <col min="7" max="7" width="10.140625" bestFit="1" customWidth="1"/>
    <col min="8" max="8" width="14.85546875" bestFit="1" customWidth="1"/>
    <col min="9" max="9" width="12.28515625" bestFit="1" customWidth="1"/>
    <col min="10" max="10" width="12.140625" bestFit="1" customWidth="1"/>
    <col min="11" max="11" width="26.140625" bestFit="1" customWidth="1"/>
    <col min="12" max="12" width="12.140625" bestFit="1" customWidth="1"/>
    <col min="13" max="13" width="27" bestFit="1" customWidth="1"/>
    <col min="15" max="15" width="23.85546875" bestFit="1" customWidth="1"/>
    <col min="16" max="17" width="27" bestFit="1" customWidth="1"/>
    <col min="18" max="20" width="26.140625" bestFit="1" customWidth="1"/>
    <col min="21" max="21" width="26.140625" customWidth="1"/>
    <col min="22" max="22" width="26.140625" bestFit="1" customWidth="1"/>
  </cols>
  <sheetData>
    <row r="1" spans="1:19" ht="15">
      <c r="A1" s="306" t="s">
        <v>342</v>
      </c>
      <c r="C1" s="306" t="s">
        <v>225</v>
      </c>
      <c r="D1" s="306" t="s">
        <v>279</v>
      </c>
      <c r="E1" s="306" t="s">
        <v>280</v>
      </c>
      <c r="F1" s="306" t="s">
        <v>281</v>
      </c>
      <c r="G1" s="306" t="s">
        <v>233</v>
      </c>
      <c r="H1" s="306" t="s">
        <v>282</v>
      </c>
      <c r="I1" s="306" t="s">
        <v>283</v>
      </c>
      <c r="J1" s="306" t="s">
        <v>284</v>
      </c>
      <c r="K1" s="306" t="s">
        <v>319</v>
      </c>
      <c r="L1" s="306" t="s">
        <v>284</v>
      </c>
      <c r="M1" s="306" t="s">
        <v>312</v>
      </c>
      <c r="O1" s="230" t="s">
        <v>225</v>
      </c>
      <c r="P1" s="230" t="s">
        <v>187</v>
      </c>
      <c r="Q1" s="230" t="s">
        <v>226</v>
      </c>
      <c r="R1" s="230" t="s">
        <v>230</v>
      </c>
      <c r="S1" s="230" t="s">
        <v>304</v>
      </c>
    </row>
    <row r="2" spans="1:19">
      <c r="A2" s="344"/>
      <c r="C2" s="303" t="s">
        <v>471</v>
      </c>
      <c r="D2" s="257"/>
      <c r="E2" s="301">
        <f ca="1">IF(_xll.BDH(C2,"PX_LAST",fechaHoy)="#N/A N/A",_xll.BDH("CHOVCHOV Index","PX_LAST",siguienteHabil(fechaHoy,-1)),_xll.BDH(C2,"PX_LAST",fechaHoy))</f>
        <v>3.5</v>
      </c>
      <c r="F2" s="257"/>
      <c r="G2" s="257"/>
      <c r="H2" s="257"/>
      <c r="I2" s="305"/>
      <c r="J2" s="302">
        <v>1</v>
      </c>
      <c r="K2" s="300">
        <f t="shared" ref="K2:K7" ca="1" si="0">((1+E2/100*J2/360)^(360/J2)-1)*100</f>
        <v>3.5617946923420796</v>
      </c>
      <c r="L2" s="302">
        <f>J2</f>
        <v>1</v>
      </c>
      <c r="M2" s="300">
        <f t="shared" ref="M2:M7" ca="1" si="1">((1+E2/100*J2/360)^(365/J2)-1)*100</f>
        <v>3.6121470212073792</v>
      </c>
      <c r="O2" s="128" t="s">
        <v>227</v>
      </c>
      <c r="P2" s="238">
        <f>_xll.BDP($O2,P$1)</f>
        <v>3.5</v>
      </c>
      <c r="Q2">
        <v>1</v>
      </c>
      <c r="R2" s="240">
        <f t="shared" ref="R2:R7" si="2">100*((1+P2/100*Q2/360)^(365/Q2)-1)</f>
        <v>3.6121470212073792</v>
      </c>
      <c r="S2" s="240">
        <f t="shared" ref="S2:S7" si="3">100*((1+P2/100*Q2/360)^(360/Q2)-1)</f>
        <v>3.5617946923420796</v>
      </c>
    </row>
    <row r="3" spans="1:19">
      <c r="A3" t="s">
        <v>322</v>
      </c>
      <c r="C3" s="257" t="str">
        <f>A3&amp;" "&amp;$A$2&amp;" Curncy"</f>
        <v>CHSWPC  Curncy</v>
      </c>
      <c r="D3" s="257" t="s">
        <v>409</v>
      </c>
      <c r="E3" s="304">
        <f ca="1">_xll.BDH(C3,"PX_LAST",fechaHoy)</f>
        <v>3.49</v>
      </c>
      <c r="F3" s="257" t="s">
        <v>285</v>
      </c>
      <c r="G3" s="534">
        <f ca="1">+WORKDAY(TODAY(),2,Feriados!$A$2:$A$128)</f>
        <v>42676</v>
      </c>
      <c r="H3" s="257">
        <f t="shared" ref="H3:H18" si="4">IF(RIGHT(D3,1)="M",SUBSTITUTE(D3,"M",""),12*SUBSTITUTE(D3,"Y",""))+0</f>
        <v>3</v>
      </c>
      <c r="I3" s="305">
        <f ca="1">_xll.BDP($C3,"DAYS_TO_MTY_TDY")+TODAY()</f>
        <v>42768</v>
      </c>
      <c r="J3" s="302">
        <f>_xll.BDP($C3,"DAYS_TO_MTY_TDY")</f>
        <v>98</v>
      </c>
      <c r="K3" s="300">
        <f t="shared" ca="1" si="0"/>
        <v>3.5345572963960237</v>
      </c>
      <c r="L3" s="302">
        <f t="shared" ref="L3:L18" si="5">J3</f>
        <v>98</v>
      </c>
      <c r="M3" s="342">
        <f t="shared" ca="1" si="1"/>
        <v>3.5845179516566628</v>
      </c>
      <c r="O3" s="128" t="s">
        <v>209</v>
      </c>
      <c r="P3" s="238">
        <f>_xll.BDP($O3,P$1)</f>
        <v>3.48</v>
      </c>
      <c r="Q3" s="238">
        <f ca="1">_xll.BDP($O3,Q$1)-G3</f>
        <v>92</v>
      </c>
      <c r="R3" s="240">
        <f t="shared" ca="1" si="2"/>
        <v>3.5751618026699239</v>
      </c>
      <c r="S3" s="240">
        <f t="shared" ca="1" si="3"/>
        <v>3.5253337589474798</v>
      </c>
    </row>
    <row r="4" spans="1:19">
      <c r="A4" t="s">
        <v>323</v>
      </c>
      <c r="C4" s="257" t="str">
        <f t="shared" ref="C4:C18" si="6">A4&amp;" "&amp;$A$2&amp;" Curncy"</f>
        <v>CHSWPF  Curncy</v>
      </c>
      <c r="D4" s="257" t="s">
        <v>410</v>
      </c>
      <c r="E4" s="304">
        <f ca="1">_xll.BDH(C4,"PX_LAST",fechaHoy)</f>
        <v>3.39</v>
      </c>
      <c r="F4" s="257" t="s">
        <v>285</v>
      </c>
      <c r="G4" s="534">
        <f ca="1">+WORKDAY(TODAY(),2,Feriados!$A$2:$A$128)</f>
        <v>42676</v>
      </c>
      <c r="H4" s="257">
        <f t="shared" si="4"/>
        <v>6</v>
      </c>
      <c r="I4" s="305">
        <f ca="1">_xll.BDP($C4,"DAYS_TO_MTY_TDY")+TODAY()</f>
        <v>42857</v>
      </c>
      <c r="J4" s="302">
        <f>_xll.BDP($C4,"DAYS_TO_MTY_TDY")</f>
        <v>187</v>
      </c>
      <c r="K4" s="300">
        <f t="shared" ca="1" si="0"/>
        <v>3.4176008851394934</v>
      </c>
      <c r="L4" s="302">
        <f t="shared" si="5"/>
        <v>187</v>
      </c>
      <c r="M4" s="342">
        <f t="shared" ca="1" si="1"/>
        <v>3.4658808555941389</v>
      </c>
      <c r="O4" s="128" t="s">
        <v>210</v>
      </c>
      <c r="P4" s="238">
        <f>_xll.BDP($O4,P$1)</f>
        <v>3.4</v>
      </c>
      <c r="Q4" s="238">
        <f ca="1">_xll.BDP($O4,Q$1)-G4</f>
        <v>181</v>
      </c>
      <c r="R4" s="240">
        <f t="shared" ca="1" si="2"/>
        <v>3.4771775701274876</v>
      </c>
      <c r="S4" s="240">
        <f t="shared" ca="1" si="3"/>
        <v>3.428737642689228</v>
      </c>
    </row>
    <row r="5" spans="1:19">
      <c r="A5" t="s">
        <v>324</v>
      </c>
      <c r="C5" s="257" t="str">
        <f t="shared" si="6"/>
        <v>CHSWPI  Curncy</v>
      </c>
      <c r="D5" s="257" t="s">
        <v>411</v>
      </c>
      <c r="E5" s="304">
        <f ca="1">_xll.BDH(C5,"PX_LAST",fechaHoy)</f>
        <v>3.36</v>
      </c>
      <c r="F5" s="257" t="s">
        <v>285</v>
      </c>
      <c r="G5" s="534">
        <f ca="1">+WORKDAY(TODAY(),2,Feriados!$A$2:$A$128)</f>
        <v>42676</v>
      </c>
      <c r="H5" s="257">
        <f t="shared" si="4"/>
        <v>9</v>
      </c>
      <c r="I5" s="305">
        <f ca="1">_xll.BDP($C5,"DAYS_TO_MTY_TDY")+TODAY()</f>
        <v>42949</v>
      </c>
      <c r="J5" s="302">
        <f>_xll.BDP($C5,"DAYS_TO_MTY_TDY")</f>
        <v>279</v>
      </c>
      <c r="K5" s="300">
        <f t="shared" ca="1" si="0"/>
        <v>3.372623421755061</v>
      </c>
      <c r="L5" s="302">
        <f t="shared" si="5"/>
        <v>279</v>
      </c>
      <c r="M5" s="342">
        <f t="shared" ca="1" si="1"/>
        <v>3.420257553903272</v>
      </c>
      <c r="O5" s="128" t="s">
        <v>211</v>
      </c>
      <c r="P5" s="238">
        <f>_xll.BDP($O5,P$1)</f>
        <v>3.36</v>
      </c>
      <c r="Q5" s="238">
        <f ca="1">_xll.BDP($O5,Q$1)-G5</f>
        <v>273</v>
      </c>
      <c r="R5" s="240">
        <f t="shared" ca="1" si="2"/>
        <v>3.4212111226534336</v>
      </c>
      <c r="S5" s="240">
        <f t="shared" ca="1" si="3"/>
        <v>3.3735634946743476</v>
      </c>
    </row>
    <row r="6" spans="1:19">
      <c r="A6" t="s">
        <v>325</v>
      </c>
      <c r="C6" s="257" t="str">
        <f t="shared" si="6"/>
        <v>CHSWP1  Curncy</v>
      </c>
      <c r="D6" s="257" t="s">
        <v>412</v>
      </c>
      <c r="E6" s="304">
        <f ca="1">_xll.BDH(C6,"PX_LAST",fechaHoy)</f>
        <v>3.33</v>
      </c>
      <c r="F6" s="257" t="s">
        <v>285</v>
      </c>
      <c r="G6" s="534">
        <f ca="1">+WORKDAY(TODAY(),2,Feriados!$A$2:$A$128)</f>
        <v>42676</v>
      </c>
      <c r="H6" s="257">
        <f t="shared" si="4"/>
        <v>12</v>
      </c>
      <c r="I6" s="305">
        <f ca="1">_xll.BDP($C6,"DAYS_TO_MTY_TDY")+TODAY()</f>
        <v>43041</v>
      </c>
      <c r="J6" s="302">
        <f>_xll.BDP($C6,"DAYS_TO_MTY_TDY")</f>
        <v>371</v>
      </c>
      <c r="K6" s="300">
        <f t="shared" ca="1" si="0"/>
        <v>3.3283254762153103</v>
      </c>
      <c r="L6" s="302">
        <f t="shared" si="5"/>
        <v>371</v>
      </c>
      <c r="M6" s="342">
        <f t="shared" ca="1" si="1"/>
        <v>3.3753237968446648</v>
      </c>
      <c r="O6" s="128" t="s">
        <v>212</v>
      </c>
      <c r="P6" s="238">
        <f>_xll.BDP($O6,P$1)</f>
        <v>3.33</v>
      </c>
      <c r="Q6" s="238">
        <f ca="1">_xll.BDP($O6,Q$1)-G6</f>
        <v>365</v>
      </c>
      <c r="R6" s="240">
        <f t="shared" ca="1" si="2"/>
        <v>3.3762499999999918</v>
      </c>
      <c r="S6" s="240">
        <f t="shared" ca="1" si="3"/>
        <v>3.329238576281579</v>
      </c>
    </row>
    <row r="7" spans="1:19">
      <c r="A7" t="s">
        <v>326</v>
      </c>
      <c r="C7" s="257" t="str">
        <f t="shared" si="6"/>
        <v>CHSWP1F  Curncy</v>
      </c>
      <c r="D7" s="257" t="s">
        <v>413</v>
      </c>
      <c r="E7" s="304">
        <f ca="1">_xll.BDH(C7,"PX_LAST",fechaHoy)</f>
        <v>3.29</v>
      </c>
      <c r="F7" s="257" t="s">
        <v>285</v>
      </c>
      <c r="G7" s="534">
        <f ca="1">+WORKDAY(TODAY(),2,Feriados!$A$2:$A$128)</f>
        <v>42676</v>
      </c>
      <c r="H7" s="257">
        <f t="shared" si="4"/>
        <v>18</v>
      </c>
      <c r="I7" s="305">
        <f ca="1">_xll.BDP($C7,"DAYS_TO_MTY_TDY")+TODAY()</f>
        <v>43222</v>
      </c>
      <c r="J7" s="302">
        <f>_xll.BDP($C7,"DAYS_TO_MTY_TDY")</f>
        <v>552</v>
      </c>
      <c r="K7" s="300">
        <f t="shared" ca="1" si="0"/>
        <v>3.261771186516782</v>
      </c>
      <c r="L7" s="302">
        <f t="shared" si="5"/>
        <v>552</v>
      </c>
      <c r="M7" s="342">
        <f t="shared" ca="1" si="1"/>
        <v>3.3078147517463297</v>
      </c>
      <c r="O7" s="128" t="s">
        <v>213</v>
      </c>
      <c r="P7" s="238">
        <f>_xll.BDP($O7,P$1)</f>
        <v>3.2701199999999999</v>
      </c>
      <c r="Q7" s="238">
        <f ca="1">_xll.BDP($O7,Q$1)-G7</f>
        <v>546</v>
      </c>
      <c r="R7" s="240">
        <f t="shared" ca="1" si="2"/>
        <v>3.2888654171615572</v>
      </c>
      <c r="S7" s="240">
        <f t="shared" ca="1" si="3"/>
        <v>3.2430897382780932</v>
      </c>
    </row>
    <row r="8" spans="1:19">
      <c r="A8" t="s">
        <v>327</v>
      </c>
      <c r="C8" s="257" t="str">
        <f t="shared" si="6"/>
        <v>CHSWP2  Curncy</v>
      </c>
      <c r="D8" s="257" t="s">
        <v>414</v>
      </c>
      <c r="E8" s="304">
        <f ca="1">_xll.BDH(C8,"PX_LAST",fechaHoy)</f>
        <v>3.24</v>
      </c>
      <c r="F8" s="257" t="s">
        <v>286</v>
      </c>
      <c r="G8" s="534">
        <f ca="1">+WORKDAY(TODAY(),2,Feriados!$A$2:$A$128)</f>
        <v>42676</v>
      </c>
      <c r="H8" s="257">
        <f t="shared" si="4"/>
        <v>24</v>
      </c>
      <c r="I8" s="305">
        <f ca="1">_xll.BDP($C8,"DAYS_TO_MTY_TDY")+TODAY()</f>
        <v>43406</v>
      </c>
      <c r="J8" s="302">
        <f>_xll.BDP($C8,"DAYS_TO_MTY_TDY")</f>
        <v>736</v>
      </c>
      <c r="K8" s="296">
        <f ca="1">ZeroRate_Bootstrapping(G8,H8,E8,$J$3:J7,$K$3:K7, 360)</f>
        <v>3.2642728130013698</v>
      </c>
      <c r="L8" s="302">
        <f t="shared" si="5"/>
        <v>736</v>
      </c>
      <c r="M8" s="296">
        <f ca="1">ZeroRate_Bootstrapping(G8,H8,E8,$J$3:J7,$M$3:M7,365)</f>
        <v>3.3103522531328355</v>
      </c>
      <c r="O8" s="128" t="s">
        <v>214</v>
      </c>
      <c r="P8" s="238">
        <f>_xll.BDP($O8,P$1)</f>
        <v>3.2379699999999998</v>
      </c>
      <c r="Q8" s="238">
        <f ca="1">_xll.BDP($O8,Q$1)-G8</f>
        <v>733</v>
      </c>
      <c r="R8" s="239">
        <f ca="1">100*(((1+P8/100/2)^(Q8/180))^(365/Q8)-1)</f>
        <v>3.3102592507819217</v>
      </c>
      <c r="S8" s="239">
        <f ca="1">100*(((1+P8/100/2)^(Q8/180))^(360/Q8)-1)</f>
        <v>3.2641811243022456</v>
      </c>
    </row>
    <row r="9" spans="1:19">
      <c r="A9" t="s">
        <v>328</v>
      </c>
      <c r="C9" s="257" t="str">
        <f t="shared" si="6"/>
        <v>CHSWP3  Curncy</v>
      </c>
      <c r="D9" s="257" t="s">
        <v>415</v>
      </c>
      <c r="E9" s="304">
        <f ca="1">_xll.BDH(C9,"PX_LAST",fechaHoy)</f>
        <v>3.33</v>
      </c>
      <c r="F9" s="257" t="s">
        <v>286</v>
      </c>
      <c r="G9" s="534">
        <f ca="1">+WORKDAY(TODAY(),2,Feriados!$A$2:$A$128)</f>
        <v>42676</v>
      </c>
      <c r="H9" s="257">
        <f t="shared" si="4"/>
        <v>36</v>
      </c>
      <c r="I9" s="305">
        <f ca="1">_xll.BDP($C9,"DAYS_TO_MTY_TDY")+TODAY()</f>
        <v>43771</v>
      </c>
      <c r="J9" s="302">
        <f>_xll.BDP($C9,"DAYS_TO_MTY_TDY")</f>
        <v>1101</v>
      </c>
      <c r="K9" s="296">
        <f ca="1">ZeroRate_Bootstrapping(G9,H9,E9,$J$3:J8,$K$3:K8, 360)</f>
        <v>3.3597449502294414</v>
      </c>
      <c r="L9" s="302">
        <f t="shared" si="5"/>
        <v>1101</v>
      </c>
      <c r="M9" s="296">
        <f ca="1">ZeroRate_Bootstrapping(G9,H9,E9,$J$3:J8,$M$3:M8,365)</f>
        <v>3.4071942067617598</v>
      </c>
      <c r="O9" s="128" t="s">
        <v>215</v>
      </c>
      <c r="P9" s="238">
        <f>_xll.BDP($O9,P$1)</f>
        <v>3.3317199999999998</v>
      </c>
      <c r="Q9" s="238">
        <f ca="1">_xll.BDP($O9,Q$1)-G9</f>
        <v>1097</v>
      </c>
      <c r="R9" s="239">
        <f t="shared" ref="R9:R18" ca="1" si="7">100*(((1+P9/100/2)^(Q9/180))^(365/Q9)-1)</f>
        <v>3.4069162204916736</v>
      </c>
      <c r="S9" s="239">
        <f t="shared" ref="S9:S18" ca="1" si="8">100*(((1+P9/100/2)^(Q9/180))^(360/Q9)-1)</f>
        <v>3.3594708953959884</v>
      </c>
    </row>
    <row r="10" spans="1:19">
      <c r="A10" t="s">
        <v>329</v>
      </c>
      <c r="C10" s="257" t="str">
        <f t="shared" si="6"/>
        <v>CHSWP4  Curncy</v>
      </c>
      <c r="D10" s="257" t="s">
        <v>416</v>
      </c>
      <c r="E10" s="304">
        <f ca="1">_xll.BDH(C10,"PX_LAST",fechaHoy)</f>
        <v>3.45</v>
      </c>
      <c r="F10" s="257" t="s">
        <v>286</v>
      </c>
      <c r="G10" s="534">
        <f ca="1">+WORKDAY(TODAY(),2,Feriados!$A$2:$A$128)</f>
        <v>42676</v>
      </c>
      <c r="H10" s="257">
        <f t="shared" si="4"/>
        <v>48</v>
      </c>
      <c r="I10" s="305">
        <f ca="1">_xll.BDP($C10,"DAYS_TO_MTY_TDY")+TODAY()</f>
        <v>44137</v>
      </c>
      <c r="J10" s="302">
        <f>_xll.BDP($C10,"DAYS_TO_MTY_TDY")</f>
        <v>1467</v>
      </c>
      <c r="K10" s="296">
        <f ca="1">ZeroRate_Bootstrapping(G10,H10,E10,$J$3:J9,$K$3:K9, 360)</f>
        <v>3.4880659578104662</v>
      </c>
      <c r="L10" s="302">
        <f t="shared" si="5"/>
        <v>1467</v>
      </c>
      <c r="M10" s="296">
        <f ca="1">ZeroRate_Bootstrapping(G10,H10,E10,$J$3:J9,$M$3:M9,365)</f>
        <v>3.5373582947383317</v>
      </c>
      <c r="O10" s="128" t="s">
        <v>216</v>
      </c>
      <c r="P10" s="238">
        <f>_xll.BDP($O10,P$1)</f>
        <v>3.4473199999999999</v>
      </c>
      <c r="Q10" s="238">
        <f ca="1">_xll.BDP($O10,Q$1)-G10</f>
        <v>1461</v>
      </c>
      <c r="R10" s="239">
        <f t="shared" ca="1" si="7"/>
        <v>3.5261637833596371</v>
      </c>
      <c r="S10" s="239">
        <f t="shared" ca="1" si="8"/>
        <v>3.477030037955986</v>
      </c>
    </row>
    <row r="11" spans="1:19">
      <c r="A11" t="s">
        <v>330</v>
      </c>
      <c r="C11" s="257" t="str">
        <f t="shared" si="6"/>
        <v>CHSWP5  Curncy</v>
      </c>
      <c r="D11" s="257" t="s">
        <v>417</v>
      </c>
      <c r="E11" s="304">
        <f ca="1">_xll.BDH(C11,"PX_LAST",fechaHoy)</f>
        <v>3.58</v>
      </c>
      <c r="F11" s="257" t="s">
        <v>286</v>
      </c>
      <c r="G11" s="534">
        <f ca="1">+WORKDAY(TODAY(),2,Feriados!$A$2:$A$128)</f>
        <v>42676</v>
      </c>
      <c r="H11" s="257">
        <f t="shared" si="4"/>
        <v>60</v>
      </c>
      <c r="I11" s="305">
        <f ca="1">_xll.BDP($C11,"DAYS_TO_MTY_TDY")+TODAY()</f>
        <v>44502</v>
      </c>
      <c r="J11" s="302">
        <f>_xll.BDP($C11,"DAYS_TO_MTY_TDY")</f>
        <v>1832</v>
      </c>
      <c r="K11" s="296">
        <f ca="1">ZeroRate_Bootstrapping(G11,H11,E11,$J$3:J10,$K$3:K10, 360)</f>
        <v>3.6291618310676892</v>
      </c>
      <c r="L11" s="302">
        <f t="shared" si="5"/>
        <v>1832</v>
      </c>
      <c r="M11" s="296">
        <f ca="1">ZeroRate_Bootstrapping(G11,H11,E11,$J$3:J10,$M$3:M10,365)</f>
        <v>3.6804833211842762</v>
      </c>
      <c r="O11" s="128" t="s">
        <v>217</v>
      </c>
      <c r="P11" s="238">
        <f>_xll.BDP($O11,P$1)</f>
        <v>3.5968200000000001</v>
      </c>
      <c r="Q11" s="238">
        <f ca="1">_xll.BDP($O11,Q$1)-G11</f>
        <v>1826</v>
      </c>
      <c r="R11" s="239">
        <f t="shared" ca="1" si="7"/>
        <v>3.6804843004197396</v>
      </c>
      <c r="S11" s="239">
        <f t="shared" ca="1" si="8"/>
        <v>3.6291627852810038</v>
      </c>
    </row>
    <row r="12" spans="1:19">
      <c r="A12" t="s">
        <v>331</v>
      </c>
      <c r="C12" s="257" t="str">
        <f t="shared" si="6"/>
        <v>CHSWP6  Curncy</v>
      </c>
      <c r="D12" s="257" t="s">
        <v>418</v>
      </c>
      <c r="E12" s="304">
        <f ca="1">_xll.BDH(C12,"PX_LAST",fechaHoy)</f>
        <v>3.66</v>
      </c>
      <c r="F12" s="257" t="s">
        <v>286</v>
      </c>
      <c r="G12" s="534">
        <f ca="1">+WORKDAY(TODAY(),2,Feriados!$A$2:$A$128)</f>
        <v>42676</v>
      </c>
      <c r="H12" s="257">
        <f t="shared" si="4"/>
        <v>72</v>
      </c>
      <c r="I12" s="305">
        <f ca="1">_xll.BDP($C12,"DAYS_TO_MTY_TDY")+TODAY()</f>
        <v>44867</v>
      </c>
      <c r="J12" s="302">
        <f>_xll.BDP($C12,"DAYS_TO_MTY_TDY")</f>
        <v>2197</v>
      </c>
      <c r="K12" s="296">
        <f ca="1">ZeroRate_Bootstrapping(G12,H12,E12,$J$3:J11,$K$3:K11, 360)</f>
        <v>3.7162459258652421</v>
      </c>
      <c r="L12" s="302">
        <f t="shared" si="5"/>
        <v>2197</v>
      </c>
      <c r="M12" s="296">
        <f ca="1">ZeroRate_Bootstrapping(G12,H12,E12,$J$3:J11,$M$3:M11,365)</f>
        <v>3.7688211584484743</v>
      </c>
      <c r="O12" s="128" t="s">
        <v>218</v>
      </c>
      <c r="P12" s="238">
        <f>_xll.BDP($O12,P$1)</f>
        <v>3.7154799999999999</v>
      </c>
      <c r="Q12" s="238">
        <f ca="1">_xll.BDP($O12,Q$1)-G12</f>
        <v>2191</v>
      </c>
      <c r="R12" s="239">
        <f t="shared" ca="1" si="7"/>
        <v>3.8030533403226485</v>
      </c>
      <c r="S12" s="239">
        <f t="shared" ca="1" si="8"/>
        <v>3.7499919790760172</v>
      </c>
    </row>
    <row r="13" spans="1:19">
      <c r="A13" t="s">
        <v>332</v>
      </c>
      <c r="C13" s="257" t="str">
        <f t="shared" si="6"/>
        <v>CHSWP7  Curncy</v>
      </c>
      <c r="D13" s="257" t="s">
        <v>419</v>
      </c>
      <c r="E13" s="304">
        <f ca="1">_xll.BDH(C13,"PX_LAST",fechaHoy)</f>
        <v>3.79</v>
      </c>
      <c r="F13" s="257" t="s">
        <v>286</v>
      </c>
      <c r="G13" s="534">
        <f ca="1">+WORKDAY(TODAY(),2,Feriados!$A$2:$A$128)</f>
        <v>42676</v>
      </c>
      <c r="H13" s="257">
        <f t="shared" si="4"/>
        <v>84</v>
      </c>
      <c r="I13" s="305">
        <f ca="1">_xll.BDP($C13,"DAYS_TO_MTY_TDY")+TODAY()</f>
        <v>45232</v>
      </c>
      <c r="J13" s="302">
        <f>_xll.BDP($C13,"DAYS_TO_MTY_TDY")</f>
        <v>2562</v>
      </c>
      <c r="K13" s="296">
        <f ca="1">ZeroRate_Bootstrapping(G13,H13,E13,$J$3:J12,$K$3:K12, 360)</f>
        <v>3.8628949213097674</v>
      </c>
      <c r="L13" s="302">
        <f t="shared" si="5"/>
        <v>2562</v>
      </c>
      <c r="M13" s="296">
        <f ca="1">ZeroRate_Bootstrapping(G13,H13,E13,$J$3:J12,$M$3:M12,365)</f>
        <v>3.9175837712231423</v>
      </c>
      <c r="O13" s="128" t="s">
        <v>219</v>
      </c>
      <c r="P13" s="238">
        <f>_xll.BDP($O13,P$1)</f>
        <v>3.8136700000000001</v>
      </c>
      <c r="Q13" s="238">
        <f ca="1">_xll.BDP($O13,Q$1)-G13</f>
        <v>2556</v>
      </c>
      <c r="R13" s="239">
        <f t="shared" ca="1" si="7"/>
        <v>3.904533531034482</v>
      </c>
      <c r="S13" s="239">
        <f t="shared" ca="1" si="8"/>
        <v>3.8500301971722495</v>
      </c>
    </row>
    <row r="14" spans="1:19">
      <c r="A14" t="s">
        <v>333</v>
      </c>
      <c r="C14" s="257" t="str">
        <f t="shared" si="6"/>
        <v>CHSWP8  Curncy</v>
      </c>
      <c r="D14" s="257" t="s">
        <v>420</v>
      </c>
      <c r="E14" s="304">
        <f ca="1">_xll.BDH(C14,"PX_LAST",fechaHoy)</f>
        <v>3.89</v>
      </c>
      <c r="F14" s="257" t="s">
        <v>286</v>
      </c>
      <c r="G14" s="534">
        <f ca="1">+WORKDAY(TODAY(),2,Feriados!$A$2:$A$128)</f>
        <v>42676</v>
      </c>
      <c r="H14" s="257">
        <f t="shared" si="4"/>
        <v>96</v>
      </c>
      <c r="I14" s="305">
        <f ca="1">_xll.BDP($C14,"DAYS_TO_MTY_TDY")+TODAY()</f>
        <v>45598</v>
      </c>
      <c r="J14" s="302">
        <f>_xll.BDP($C14,"DAYS_TO_MTY_TDY")</f>
        <v>2928</v>
      </c>
      <c r="K14" s="296">
        <f ca="1">ZeroRate_Bootstrapping(G14,H14,E14,$J$3:J13,$K$3:K13, 360)</f>
        <v>3.9768251133844701</v>
      </c>
      <c r="L14" s="302">
        <f t="shared" si="5"/>
        <v>2928</v>
      </c>
      <c r="M14" s="296">
        <f ca="1">ZeroRate_Bootstrapping(G14,H14,E14,$J$3:J13,$M$3:M13,365)</f>
        <v>4.0331580271203462</v>
      </c>
      <c r="O14" s="128" t="s">
        <v>220</v>
      </c>
      <c r="P14" s="238">
        <f>_xll.BDP($O14,P$1)</f>
        <v>3.9371999999999998</v>
      </c>
      <c r="Q14" s="238">
        <f ca="1">_xll.BDP($O14,Q$1)-G14</f>
        <v>2924</v>
      </c>
      <c r="R14" s="239">
        <f t="shared" ca="1" si="7"/>
        <v>4.0322742144926371</v>
      </c>
      <c r="S14" s="239">
        <f t="shared" ca="1" si="8"/>
        <v>3.9759538596000121</v>
      </c>
    </row>
    <row r="15" spans="1:19">
      <c r="A15" t="s">
        <v>334</v>
      </c>
      <c r="C15" s="257" t="str">
        <f t="shared" si="6"/>
        <v>CHSWP9  Curncy</v>
      </c>
      <c r="D15" s="257" t="s">
        <v>421</v>
      </c>
      <c r="E15" s="304">
        <f ca="1">_xll.BDH(C15,"PX_LAST",fechaHoy)</f>
        <v>3.9699999999999998</v>
      </c>
      <c r="F15" s="257" t="s">
        <v>286</v>
      </c>
      <c r="G15" s="534">
        <f ca="1">+WORKDAY(TODAY(),2,Feriados!$A$2:$A$128)</f>
        <v>42676</v>
      </c>
      <c r="H15" s="257">
        <f t="shared" si="4"/>
        <v>108</v>
      </c>
      <c r="I15" s="305">
        <f ca="1">_xll.BDP($C15,"DAYS_TO_MTY_TDY")+TODAY()</f>
        <v>45963</v>
      </c>
      <c r="J15" s="302">
        <f>_xll.BDP($C15,"DAYS_TO_MTY_TDY")</f>
        <v>3293</v>
      </c>
      <c r="K15" s="296">
        <f ca="1">ZeroRate_Bootstrapping(G15,H15,E15,$J$3:J14,$K$3:K14, 360)</f>
        <v>4.0689662588091506</v>
      </c>
      <c r="L15" s="302">
        <f t="shared" si="5"/>
        <v>3293</v>
      </c>
      <c r="M15" s="296">
        <f ca="1">ZeroRate_Bootstrapping(G15,H15,E15,$J$3:J14,$M$3:M14,365)</f>
        <v>4.1266300987228561</v>
      </c>
      <c r="O15" s="128" t="s">
        <v>221</v>
      </c>
      <c r="P15" s="238">
        <f>_xll.BDP($O15,P$1)</f>
        <v>4.0275499999999997</v>
      </c>
      <c r="Q15" s="238">
        <f ca="1">_xll.BDP($O15,Q$1)-G15</f>
        <v>3288</v>
      </c>
      <c r="R15" s="239">
        <f t="shared" ca="1" si="7"/>
        <v>4.1257542826579341</v>
      </c>
      <c r="S15" s="239">
        <f t="shared" ca="1" si="8"/>
        <v>4.0681028975062317</v>
      </c>
    </row>
    <row r="16" spans="1:19">
      <c r="A16" t="s">
        <v>335</v>
      </c>
      <c r="C16" s="257" t="str">
        <f t="shared" si="6"/>
        <v>CHSWP10  Curncy</v>
      </c>
      <c r="D16" s="257" t="s">
        <v>422</v>
      </c>
      <c r="E16" s="304">
        <f ca="1">_xll.BDH(C16,"PX_LAST",fechaHoy)</f>
        <v>4.04</v>
      </c>
      <c r="F16" s="257" t="s">
        <v>286</v>
      </c>
      <c r="G16" s="534">
        <f ca="1">+WORKDAY(TODAY(),2,Feriados!$A$2:$A$128)</f>
        <v>42676</v>
      </c>
      <c r="H16" s="257">
        <f t="shared" si="4"/>
        <v>120</v>
      </c>
      <c r="I16" s="305">
        <f ca="1">_xll.BDP($C16,"DAYS_TO_MTY_TDY")+TODAY()</f>
        <v>46328</v>
      </c>
      <c r="J16" s="302">
        <f>_xll.BDP($C16,"DAYS_TO_MTY_TDY")</f>
        <v>3658</v>
      </c>
      <c r="K16" s="296">
        <f ca="1">ZeroRate_Bootstrapping(G16,H16,E16,$J$3:J15,$K$3:K15, 360)</f>
        <v>4.1508424014773286</v>
      </c>
      <c r="L16" s="302">
        <f t="shared" si="5"/>
        <v>3658</v>
      </c>
      <c r="M16" s="296">
        <f ca="1">ZeroRate_Bootstrapping(G16,H16,E16,$J$3:J15,$M$3:M15,365)</f>
        <v>4.2096898600879014</v>
      </c>
      <c r="O16" s="128" t="s">
        <v>222</v>
      </c>
      <c r="P16" s="238">
        <f>_xll.BDP($O16,P$1)</f>
        <v>4.0954499999999996</v>
      </c>
      <c r="Q16" s="238">
        <f ca="1">_xll.BDP($O16,Q$1)-G16</f>
        <v>3652</v>
      </c>
      <c r="R16" s="239">
        <f t="shared" ca="1" si="7"/>
        <v>4.1960346053747655</v>
      </c>
      <c r="S16" s="239">
        <f t="shared" ca="1" si="8"/>
        <v>4.1373817767562215</v>
      </c>
    </row>
    <row r="17" spans="1:22">
      <c r="A17" t="s">
        <v>336</v>
      </c>
      <c r="C17" s="257" t="str">
        <f t="shared" si="6"/>
        <v>CHSWP15  Curncy</v>
      </c>
      <c r="D17" s="257" t="s">
        <v>423</v>
      </c>
      <c r="E17" s="304">
        <f ca="1">_xll.BDH(C17,"PX_LAST",fechaHoy)</f>
        <v>4.2</v>
      </c>
      <c r="F17" s="257" t="s">
        <v>286</v>
      </c>
      <c r="G17" s="534">
        <f ca="1">+WORKDAY(TODAY(),2,Feriados!$A$2:$A$128)</f>
        <v>42676</v>
      </c>
      <c r="H17" s="257">
        <f t="shared" si="4"/>
        <v>180</v>
      </c>
      <c r="I17" s="305">
        <f ca="1">_xll.BDP($C17,"DAYS_TO_MTY_TDY")+TODAY()</f>
        <v>48154</v>
      </c>
      <c r="J17" s="302">
        <f>_xll.BDP($C17,"DAYS_TO_MTY_TDY")</f>
        <v>5484</v>
      </c>
      <c r="K17" s="296">
        <f ca="1">ZeroRate_Bootstrapping(G17,H17,E17,$J$3:J16,$K$3:K16, 360)</f>
        <v>4.3205055788429991</v>
      </c>
      <c r="L17" s="302">
        <f t="shared" si="5"/>
        <v>5484</v>
      </c>
      <c r="M17" s="296">
        <f ca="1">ZeroRate_Bootstrapping(G17,H17,E17,$J$3:J16,$M$3:M16,365)</f>
        <v>4.381809299457311</v>
      </c>
      <c r="O17" s="128" t="s">
        <v>223</v>
      </c>
      <c r="P17" s="238">
        <f>_xll.BDP($O17,P$1)</f>
        <v>4.2643000000000004</v>
      </c>
      <c r="Q17" s="238">
        <f ca="1">_xll.BDP($O17,Q$1)-G17</f>
        <v>5478</v>
      </c>
      <c r="R17" s="239">
        <f t="shared" ca="1" si="7"/>
        <v>4.3709080613667517</v>
      </c>
      <c r="S17" s="239">
        <f t="shared" ca="1" si="8"/>
        <v>4.3097606362249907</v>
      </c>
    </row>
    <row r="18" spans="1:22">
      <c r="A18" t="s">
        <v>337</v>
      </c>
      <c r="C18" s="257" t="str">
        <f t="shared" si="6"/>
        <v>CHSWP20  Curncy</v>
      </c>
      <c r="D18" s="257" t="s">
        <v>424</v>
      </c>
      <c r="E18" s="304">
        <f ca="1">_xll.BDH(C18,"PX_LAST",fechaHoy)</f>
        <v>4.2699999999999996</v>
      </c>
      <c r="F18" s="257" t="s">
        <v>286</v>
      </c>
      <c r="G18" s="534">
        <f ca="1">+WORKDAY(TODAY(),2,Feriados!$A$2:$A$128)</f>
        <v>42676</v>
      </c>
      <c r="H18" s="257">
        <f t="shared" si="4"/>
        <v>240</v>
      </c>
      <c r="I18" s="305">
        <f ca="1">_xll.BDP($C18,"DAYS_TO_MTY_TDY")+TODAY()</f>
        <v>49981</v>
      </c>
      <c r="J18" s="302">
        <f>_xll.BDP($C18,"DAYS_TO_MTY_TDY")</f>
        <v>7311</v>
      </c>
      <c r="K18" s="296">
        <f ca="1">ZeroRate_Bootstrapping(G18,H18,E18,$J$3:J17,$K$3:K17, 360)</f>
        <v>4.4166427455945811</v>
      </c>
      <c r="L18" s="302">
        <f t="shared" si="5"/>
        <v>7311</v>
      </c>
      <c r="M18" s="296">
        <f ca="1">ZeroRate_Bootstrapping(G18,H18,E18,$J$3:J17,$M$3:M17,365)</f>
        <v>4.4793388754447934</v>
      </c>
      <c r="O18" s="128" t="s">
        <v>224</v>
      </c>
      <c r="P18" s="238">
        <f>_xll.BDP($O18,P$1)</f>
        <v>4.3954899999999997</v>
      </c>
      <c r="Q18" s="238">
        <f ca="1">_xll.BDP($O18,Q$1)-G18</f>
        <v>7305</v>
      </c>
      <c r="R18" s="239">
        <f t="shared" ca="1" si="7"/>
        <v>4.5068806603341782</v>
      </c>
      <c r="S18" s="239">
        <f t="shared" ca="1" si="8"/>
        <v>4.4437908308502694</v>
      </c>
    </row>
    <row r="19" spans="1:22">
      <c r="K19" s="482">
        <f ca="1">100*(((1+K8/100)^(J8/360)-1)*(360/J8))</f>
        <v>3.3199447843892926</v>
      </c>
      <c r="L19" s="483"/>
      <c r="M19" s="482">
        <f ca="1">((1+M8/100)^(L8/365)^(360/2/L8)-1)*100*2</f>
        <v>3.2380602266567138</v>
      </c>
    </row>
    <row r="20" spans="1:22">
      <c r="G20" s="167"/>
      <c r="K20" s="483"/>
      <c r="L20" s="483"/>
      <c r="M20" s="482">
        <f ca="1">((1+M9/100)^(L9/365)^(360/2/L9)-1)*100*2</f>
        <v>3.331989561732307</v>
      </c>
    </row>
    <row r="21" spans="1:22" ht="13.5" thickBot="1">
      <c r="M21" s="482"/>
    </row>
    <row r="22" spans="1:22" ht="15.75" thickBot="1">
      <c r="C22" s="306" t="s">
        <v>225</v>
      </c>
      <c r="D22" s="306" t="s">
        <v>279</v>
      </c>
      <c r="E22" s="306" t="s">
        <v>280</v>
      </c>
      <c r="F22" s="306" t="s">
        <v>281</v>
      </c>
      <c r="G22" s="306" t="s">
        <v>233</v>
      </c>
      <c r="H22" s="306" t="s">
        <v>282</v>
      </c>
      <c r="I22" s="306" t="s">
        <v>283</v>
      </c>
      <c r="J22" s="306" t="s">
        <v>284</v>
      </c>
      <c r="K22" s="306" t="s">
        <v>318</v>
      </c>
      <c r="L22" s="306" t="s">
        <v>284</v>
      </c>
      <c r="M22" s="306" t="s">
        <v>313</v>
      </c>
      <c r="O22" s="366" t="s">
        <v>284</v>
      </c>
      <c r="P22" s="367" t="s">
        <v>319</v>
      </c>
      <c r="Q22" s="367" t="s">
        <v>312</v>
      </c>
      <c r="R22" s="367" t="s">
        <v>267</v>
      </c>
      <c r="S22" s="367" t="s">
        <v>318</v>
      </c>
      <c r="T22" s="367" t="s">
        <v>313</v>
      </c>
      <c r="U22" s="367" t="s">
        <v>338</v>
      </c>
      <c r="V22" s="368" t="s">
        <v>321</v>
      </c>
    </row>
    <row r="23" spans="1:22">
      <c r="C23" s="303" t="s">
        <v>287</v>
      </c>
      <c r="E23" s="301" t="e">
        <f ca="1">100*((1+E2/100)/(1+Inflation_FWD!$P$2/100)^12-1)</f>
        <v>#N/A</v>
      </c>
      <c r="F23" s="257"/>
      <c r="G23" s="257"/>
      <c r="H23" s="257"/>
      <c r="I23" s="305"/>
      <c r="J23" s="302">
        <v>1</v>
      </c>
      <c r="K23" s="300">
        <f ca="1">Lin_Interp($J23,$O$23:$O$94,$S$23:$S$94)</f>
        <v>1.1862685644626225</v>
      </c>
      <c r="L23" s="302">
        <f>J23</f>
        <v>1</v>
      </c>
      <c r="M23" s="300">
        <f ca="1">Lin_Interp($L23,$O$23:$O$94,$T$23:$T$94)</f>
        <v>1.2028432144622903</v>
      </c>
      <c r="O23" s="361">
        <v>1</v>
      </c>
      <c r="P23" s="362">
        <f ca="1">Lin_Interp($O23,Zero_swap_CL!$J$2:$J$18,Zero_swap_CL!$K$2:$K$18)</f>
        <v>3.5617946923420796</v>
      </c>
      <c r="Q23" s="362">
        <f ca="1">Lin_Interp($O23,Zero_swap_CL!$L$2:$L$18,Zero_swap_CL!$M$2:$M$18)</f>
        <v>3.6121470212073792</v>
      </c>
      <c r="R23" s="363">
        <f ca="1">(Geom_Interp($O23,Inflation_FWD!$J$2:$J$20,Inflation_FWD!$C$2:$C$20)/CLFCLPt)-1</f>
        <v>6.446158640383004E-5</v>
      </c>
      <c r="S23" s="364">
        <f ca="1">100*(((1+P23/100)^($O23/360)/(1+$R23))^(360/$O23)-1)</f>
        <v>1.1862685644626225</v>
      </c>
      <c r="T23" s="364">
        <f ca="1">100*(((1+Q23/100)^($O23/365)/(1+$R23))^(365/$O23)-1)</f>
        <v>1.2028432144622903</v>
      </c>
      <c r="U23" s="362">
        <f ca="1">P23-S23</f>
        <v>2.3755261278794571</v>
      </c>
      <c r="V23" s="362">
        <f ca="1">Q23-T23</f>
        <v>2.4093038067450889</v>
      </c>
    </row>
    <row r="24" spans="1:22">
      <c r="C24" s="257" t="s">
        <v>288</v>
      </c>
      <c r="D24" s="257" t="s">
        <v>409</v>
      </c>
      <c r="E24" s="304">
        <f ca="1">_xll.BDH(C24,"PX_LAST",fechaHoy)</f>
        <v>1.18</v>
      </c>
      <c r="F24" s="257" t="s">
        <v>285</v>
      </c>
      <c r="G24" s="534">
        <f ca="1">+WORKDAY(TODAY(),2,Feriados!$A$2:$A$128)</f>
        <v>42676</v>
      </c>
      <c r="H24" s="257">
        <f t="shared" ref="H24:H39" si="9">IF(RIGHT(D24,1)="M",SUBSTITUTE(D24,"M",""),12*SUBSTITUTE(D24,"Y",""))+0</f>
        <v>3</v>
      </c>
      <c r="I24" s="305">
        <f t="shared" ref="I24:J26" ca="1" si="10">+I3</f>
        <v>42768</v>
      </c>
      <c r="J24" s="302">
        <f t="shared" si="10"/>
        <v>98</v>
      </c>
      <c r="K24" s="300">
        <f ca="1">Lin_Interp($J24,$O$23:$O$94,$S$23:$S$94)</f>
        <v>1.6186859103308038</v>
      </c>
      <c r="L24" s="302">
        <f t="shared" ref="L24:L39" si="11">J24</f>
        <v>98</v>
      </c>
      <c r="M24" s="300">
        <f ca="1">Lin_Interp($L24,$O$23:$O$94,$T$23:$T$94)</f>
        <v>1.6413514103892624</v>
      </c>
      <c r="O24" s="357">
        <v>5</v>
      </c>
      <c r="P24" s="358">
        <f ca="1">Lin_Interp($O24,Zero_swap_CL!$J$2:$J$18,Zero_swap_CL!$K$2:$K$18)</f>
        <v>3.5606715007566754</v>
      </c>
      <c r="Q24" s="358">
        <f ca="1">Lin_Interp($O24,Zero_swap_CL!$L$2:$L$18,Zero_swap_CL!$M$2:$M$18)</f>
        <v>3.6110076781331228</v>
      </c>
      <c r="R24" s="359">
        <f ca="1">(Geom_Interp($O24,Inflation_FWD!$J$2:$J$20,Inflation_FWD!$C$2:$C$20)/CLFCLPt)-1</f>
        <v>3.2234948765919036E-4</v>
      </c>
      <c r="S24" s="360">
        <f t="shared" ref="S24:S67" ca="1" si="12">100*(((1+P24/100)^($O24/360)/(1+$R24))^(360/$O24)-1)</f>
        <v>1.1851711369190721</v>
      </c>
      <c r="T24" s="360">
        <f t="shared" ref="T24:T67" ca="1" si="13">100*(((1+Q24/100)^($O24/365)/(1+$R24))^(365/$O24)-1)</f>
        <v>1.2017303646426614</v>
      </c>
      <c r="U24" s="358">
        <f t="shared" ref="U24:U94" ca="1" si="14">P24-S24</f>
        <v>2.3755003638376033</v>
      </c>
      <c r="V24" s="358">
        <f t="shared" ref="V24:V94" ca="1" si="15">Q24-T24</f>
        <v>2.4092773134904615</v>
      </c>
    </row>
    <row r="25" spans="1:22">
      <c r="C25" s="257" t="s">
        <v>289</v>
      </c>
      <c r="D25" s="257" t="s">
        <v>410</v>
      </c>
      <c r="E25" s="304">
        <f ca="1">_xll.BDH(C25,"PX_LAST",fechaHoy)</f>
        <v>1.73</v>
      </c>
      <c r="F25" s="257" t="s">
        <v>285</v>
      </c>
      <c r="G25" s="534">
        <f ca="1">+WORKDAY(TODAY(),2,Feriados!$A$2:$A$128)</f>
        <v>42676</v>
      </c>
      <c r="H25" s="257">
        <f t="shared" si="9"/>
        <v>6</v>
      </c>
      <c r="I25" s="305">
        <f t="shared" ca="1" si="10"/>
        <v>42857</v>
      </c>
      <c r="J25" s="302">
        <f t="shared" si="10"/>
        <v>187</v>
      </c>
      <c r="K25" s="300">
        <f ca="1">Lin_Interp($J25,$O$23:$O$94,$S$23:$S$94)</f>
        <v>1.1652506307835542</v>
      </c>
      <c r="L25" s="302">
        <f t="shared" si="11"/>
        <v>187</v>
      </c>
      <c r="M25" s="300">
        <f ca="1">Lin_Interp($L25,$O$23:$O$94,$T$23:$T$94)</f>
        <v>1.1815304887254729</v>
      </c>
      <c r="O25" s="357">
        <v>10</v>
      </c>
      <c r="P25" s="358">
        <f ca="1">Lin_Interp($O25,Zero_swap_CL!$J$2:$J$18,Zero_swap_CL!$K$2:$K$18)</f>
        <v>3.5592675112749199</v>
      </c>
      <c r="Q25" s="358">
        <f ca="1">Lin_Interp($O25,Zero_swap_CL!$L$2:$L$18,Zero_swap_CL!$M$2:$M$18)</f>
        <v>3.6095834992903022</v>
      </c>
      <c r="R25" s="359">
        <f ca="1">(Geom_Interp($O25,Inflation_FWD!$J$2:$J$20,Inflation_FWD!$C$2:$C$20)/CLFCLPt)-1</f>
        <v>6.4480288451052026E-4</v>
      </c>
      <c r="S25" s="360">
        <f t="shared" ca="1" si="12"/>
        <v>1.1837993524969503</v>
      </c>
      <c r="T25" s="360">
        <f t="shared" ca="1" si="13"/>
        <v>1.2003393023770181</v>
      </c>
      <c r="U25" s="358">
        <f t="shared" ca="1" si="14"/>
        <v>2.3754681587779696</v>
      </c>
      <c r="V25" s="358">
        <f t="shared" ca="1" si="15"/>
        <v>2.4092441969132841</v>
      </c>
    </row>
    <row r="26" spans="1:22">
      <c r="C26" s="257" t="s">
        <v>290</v>
      </c>
      <c r="D26" s="257" t="s">
        <v>411</v>
      </c>
      <c r="E26" s="304">
        <f ca="1">_xll.BDH(C26,"PX_LAST",fechaHoy)</f>
        <v>0.89</v>
      </c>
      <c r="F26" s="257" t="s">
        <v>285</v>
      </c>
      <c r="G26" s="534">
        <f ca="1">+WORKDAY(TODAY(),2,Feriados!$A$2:$A$128)</f>
        <v>42676</v>
      </c>
      <c r="H26" s="257">
        <f t="shared" si="9"/>
        <v>9</v>
      </c>
      <c r="I26" s="305">
        <f t="shared" ca="1" si="10"/>
        <v>42949</v>
      </c>
      <c r="J26" s="302">
        <f t="shared" si="10"/>
        <v>279</v>
      </c>
      <c r="K26" s="300">
        <f ca="1">Lin_Interp($J26,$O$23:$O$94,$S$23:$S$94)</f>
        <v>0.8556391624730475</v>
      </c>
      <c r="L26" s="302">
        <f t="shared" si="11"/>
        <v>279</v>
      </c>
      <c r="M26" s="300">
        <f ca="1">Lin_Interp($L26,$O$23:$O$94,$T$23:$T$94)</f>
        <v>0.8675744478402625</v>
      </c>
      <c r="O26" s="357">
        <v>15</v>
      </c>
      <c r="P26" s="358">
        <f ca="1">Lin_Interp($O26,Zero_swap_CL!$J$2:$J$18,Zero_swap_CL!$K$2:$K$18)</f>
        <v>3.5578635217931645</v>
      </c>
      <c r="Q26" s="358">
        <f ca="1">Lin_Interp($O26,Zero_swap_CL!$L$2:$L$18,Zero_swap_CL!$M$2:$M$18)</f>
        <v>3.608159320447482</v>
      </c>
      <c r="R26" s="359">
        <f ca="1">(Geom_Interp($O26,Inflation_FWD!$J$2:$J$20,Inflation_FWD!$C$2:$C$20)/CLFCLPt)-1</f>
        <v>1.0721853274884285E-3</v>
      </c>
      <c r="S26" s="360">
        <f t="shared" ca="1" si="12"/>
        <v>0.92845117462927451</v>
      </c>
      <c r="T26" s="360">
        <f t="shared" ca="1" si="13"/>
        <v>0.9414068455595892</v>
      </c>
      <c r="U26" s="358">
        <f t="shared" ca="1" si="14"/>
        <v>2.6294123471638899</v>
      </c>
      <c r="V26" s="358">
        <f t="shared" ca="1" si="15"/>
        <v>2.6667524748878928</v>
      </c>
    </row>
    <row r="27" spans="1:22">
      <c r="C27" s="257" t="s">
        <v>291</v>
      </c>
      <c r="D27" s="257" t="s">
        <v>412</v>
      </c>
      <c r="E27" s="304">
        <f ca="1">_xll.BDH(C27,"PX_LAST",fechaHoy)</f>
        <v>0.77</v>
      </c>
      <c r="F27" s="257" t="s">
        <v>285</v>
      </c>
      <c r="G27" s="534">
        <f ca="1">+WORKDAY(TODAY(),2,Feriados!$A$2:$A$128)</f>
        <v>42676</v>
      </c>
      <c r="H27" s="257">
        <f t="shared" si="9"/>
        <v>12</v>
      </c>
      <c r="I27" s="533">
        <f t="shared" ref="I27:I39" ca="1" si="16">+I6</f>
        <v>43041</v>
      </c>
      <c r="J27" s="302">
        <f>+J6</f>
        <v>371</v>
      </c>
      <c r="K27" s="300">
        <f ca="1">Lin_Interp($J27,$O$23:$O$94,$S$23:$S$94)</f>
        <v>0.53918157319153392</v>
      </c>
      <c r="L27" s="302">
        <f t="shared" si="11"/>
        <v>371</v>
      </c>
      <c r="M27" s="300">
        <f ca="1">Lin_Interp($L27,$O$23:$O$94,$T$23:$T$94)</f>
        <v>0.54669066699741586</v>
      </c>
      <c r="O27" s="357">
        <v>20</v>
      </c>
      <c r="P27" s="365">
        <f ca="1">Lin_Interp($O27,Zero_swap_CL!$J$2:$J$18,Zero_swap_CL!$K$2:$K$18)</f>
        <v>3.556459532311409</v>
      </c>
      <c r="Q27" s="358">
        <f ca="1">Lin_Interp($O27,Zero_swap_CL!$L$2:$L$18,Zero_swap_CL!$M$2:$M$18)</f>
        <v>3.6067351416046614</v>
      </c>
      <c r="R27" s="359">
        <f ca="1">(Geom_Interp($O27,Inflation_FWD!$J$2:$J$20,Inflation_FWD!$C$2:$C$20)/CLFCLPt)-1</f>
        <v>1.6570757132936542E-3</v>
      </c>
      <c r="S27" s="360">
        <f t="shared" ca="1" si="12"/>
        <v>0.51573573230561109</v>
      </c>
      <c r="T27" s="360">
        <f t="shared" ca="1" si="13"/>
        <v>0.52291743224175402</v>
      </c>
      <c r="U27" s="358">
        <f t="shared" ca="1" si="14"/>
        <v>3.0407238000057979</v>
      </c>
      <c r="V27" s="358">
        <f t="shared" ca="1" si="15"/>
        <v>3.0838177093629073</v>
      </c>
    </row>
    <row r="28" spans="1:22">
      <c r="C28" s="257" t="s">
        <v>292</v>
      </c>
      <c r="D28" s="257" t="s">
        <v>413</v>
      </c>
      <c r="E28" s="304">
        <f ca="1">_xll.BDH(C28,"PX_LAST",fechaHoy)</f>
        <v>0.77</v>
      </c>
      <c r="F28" s="257" t="s">
        <v>285</v>
      </c>
      <c r="G28" s="534">
        <f ca="1">+WORKDAY(TODAY(),2,Feriados!$A$2:$A$128)</f>
        <v>42676</v>
      </c>
      <c r="H28" s="257">
        <f t="shared" si="9"/>
        <v>18</v>
      </c>
      <c r="I28" s="533">
        <f t="shared" ca="1" si="16"/>
        <v>43222</v>
      </c>
      <c r="J28" s="302">
        <f t="shared" ref="J28:J39" si="17">+J7</f>
        <v>552</v>
      </c>
      <c r="K28" s="323">
        <f ca="1">((1+E28/100*J28/360)^(360/J28)-1)*100</f>
        <v>0.76842726234949144</v>
      </c>
      <c r="L28" s="302">
        <f t="shared" si="11"/>
        <v>552</v>
      </c>
      <c r="M28" s="323">
        <f ca="1">((1+E28/100*J28/360)^(365/J28)-1)*100</f>
        <v>0.77914133371124183</v>
      </c>
      <c r="O28" s="357">
        <v>25</v>
      </c>
      <c r="P28" s="362">
        <f ca="1">Lin_Interp($O28,Zero_swap_CL!$J$2:$J$18,Zero_swap_CL!$K$2:$K$18)</f>
        <v>3.5550555428296535</v>
      </c>
      <c r="Q28" s="358">
        <f ca="1">Lin_Interp($O28,Zero_swap_CL!$L$2:$L$18,Zero_swap_CL!$M$2:$M$18)</f>
        <v>3.6053109627618412</v>
      </c>
      <c r="R28" s="359">
        <f ca="1">(Geom_Interp($O28,Inflation_FWD!$J$2:$J$20,Inflation_FWD!$C$2:$C$20)/CLFCLPt)-1</f>
        <v>2.2423078294635523E-3</v>
      </c>
      <c r="S28" s="360">
        <f t="shared" ca="1" si="12"/>
        <v>0.26837321095025679</v>
      </c>
      <c r="T28" s="360">
        <f t="shared" ca="1" si="13"/>
        <v>0.27210569243225624</v>
      </c>
      <c r="U28" s="358">
        <f t="shared" ca="1" si="14"/>
        <v>3.2866823318793967</v>
      </c>
      <c r="V28" s="358">
        <f t="shared" ca="1" si="15"/>
        <v>3.3332052703295849</v>
      </c>
    </row>
    <row r="29" spans="1:22">
      <c r="C29" s="257" t="s">
        <v>293</v>
      </c>
      <c r="D29" s="257" t="s">
        <v>414</v>
      </c>
      <c r="E29" s="304">
        <f ca="1">_xll.BDH(C29,"PX_LAST",fechaHoy)</f>
        <v>0.55000000000000004</v>
      </c>
      <c r="F29" s="257" t="s">
        <v>286</v>
      </c>
      <c r="G29" s="534">
        <f ca="1">+WORKDAY(TODAY(),2,Feriados!$A$2:$A$128)</f>
        <v>42676</v>
      </c>
      <c r="H29" s="257">
        <f t="shared" si="9"/>
        <v>24</v>
      </c>
      <c r="I29" s="533">
        <f t="shared" ca="1" si="16"/>
        <v>43406</v>
      </c>
      <c r="J29" s="302">
        <f t="shared" si="17"/>
        <v>736</v>
      </c>
      <c r="K29" s="296">
        <f ca="1">ZeroRate_Bootstrapping(G29,H29,E29,$J$24:J28,$K$24:K28, 360)</f>
        <v>0.55028137156433921</v>
      </c>
      <c r="L29" s="302">
        <f t="shared" si="11"/>
        <v>736</v>
      </c>
      <c r="M29" s="296">
        <f ca="1">ZeroRate_Bootstrapping(G29,H29,E29,$J$24:J28,$M$24:M28,365)</f>
        <v>0.55794544833204629</v>
      </c>
      <c r="O29" s="357">
        <v>30</v>
      </c>
      <c r="P29" s="358">
        <f ca="1">Lin_Interp($O29,Zero_swap_CL!$J$2:$J$18,Zero_swap_CL!$K$2:$K$18)</f>
        <v>3.5536515533478981</v>
      </c>
      <c r="Q29" s="358">
        <f ca="1">Lin_Interp($O29,Zero_swap_CL!$L$2:$L$18,Zero_swap_CL!$M$2:$M$18)</f>
        <v>3.6038867839190205</v>
      </c>
      <c r="R29" s="359">
        <f ca="1">(Geom_Interp($O29,Inflation_FWD!$J$2:$J$20,Inflation_FWD!$C$2:$C$20)/CLFCLPt)-1</f>
        <v>2.8278818756592994E-3</v>
      </c>
      <c r="S29" s="360">
        <f t="shared" ca="1" si="12"/>
        <v>0.10335073274325701</v>
      </c>
      <c r="T29" s="360">
        <f t="shared" ca="1" si="13"/>
        <v>0.10478692161626224</v>
      </c>
      <c r="U29" s="358">
        <f t="shared" ca="1" si="14"/>
        <v>3.450300820604641</v>
      </c>
      <c r="V29" s="358">
        <f t="shared" ca="1" si="15"/>
        <v>3.4990998623027583</v>
      </c>
    </row>
    <row r="30" spans="1:22">
      <c r="C30" s="257" t="s">
        <v>294</v>
      </c>
      <c r="D30" s="257" t="s">
        <v>415</v>
      </c>
      <c r="E30" s="304">
        <f ca="1">_xll.BDH(C30,"PX_LAST",fechaHoy)</f>
        <v>0.53</v>
      </c>
      <c r="F30" s="257" t="s">
        <v>286</v>
      </c>
      <c r="G30" s="534">
        <f ca="1">+WORKDAY(TODAY(),2,Feriados!$A$2:$A$128)</f>
        <v>42676</v>
      </c>
      <c r="H30" s="257">
        <f t="shared" si="9"/>
        <v>36</v>
      </c>
      <c r="I30" s="533">
        <f t="shared" ca="1" si="16"/>
        <v>43771</v>
      </c>
      <c r="J30" s="302">
        <f t="shared" si="17"/>
        <v>1101</v>
      </c>
      <c r="K30" s="296">
        <f ca="1">ZeroRate_Bootstrapping(G30,H30,E30,$J$24:J29,$K$24:K29, 360)</f>
        <v>0.52998753898238404</v>
      </c>
      <c r="L30" s="302">
        <f t="shared" si="11"/>
        <v>1101</v>
      </c>
      <c r="M30" s="296">
        <f ca="1">ZeroRate_Bootstrapping(G30,H30,E30,$J$24:J29,$M$24:M29,365)</f>
        <v>0.5373682180667011</v>
      </c>
      <c r="O30" s="357">
        <v>35</v>
      </c>
      <c r="P30" s="358">
        <f ca="1">Lin_Interp($O30,Zero_swap_CL!$J$2:$J$18,Zero_swap_CL!$K$2:$K$18)</f>
        <v>3.5522475638661426</v>
      </c>
      <c r="Q30" s="358">
        <f ca="1">Lin_Interp($O30,Zero_swap_CL!$L$2:$L$18,Zero_swap_CL!$M$2:$M$18)</f>
        <v>3.6024626050762003</v>
      </c>
      <c r="R30" s="359">
        <f ca="1">(Geom_Interp($O30,Inflation_FWD!$J$2:$J$20,Inflation_FWD!$C$2:$C$20)/CLFCLPt)-1</f>
        <v>3.4137980516584232E-3</v>
      </c>
      <c r="S30" s="360">
        <f t="shared" ca="1" si="12"/>
        <v>-1.4743490389057534E-2</v>
      </c>
      <c r="T30" s="360">
        <f t="shared" ca="1" si="13"/>
        <v>-1.4948234695044693E-2</v>
      </c>
      <c r="U30" s="358">
        <f t="shared" ca="1" si="14"/>
        <v>3.5669910542552001</v>
      </c>
      <c r="V30" s="358">
        <f t="shared" ca="1" si="15"/>
        <v>3.617410839771245</v>
      </c>
    </row>
    <row r="31" spans="1:22">
      <c r="C31" s="303" t="s">
        <v>295</v>
      </c>
      <c r="D31" s="257" t="s">
        <v>416</v>
      </c>
      <c r="E31" s="304">
        <f ca="1">_xll.BDH(C31,"PX_LAST",fechaHoy)</f>
        <v>0.64</v>
      </c>
      <c r="F31" s="257" t="s">
        <v>286</v>
      </c>
      <c r="G31" s="534">
        <f ca="1">+WORKDAY(TODAY(),2,Feriados!$A$2:$A$128)</f>
        <v>42676</v>
      </c>
      <c r="H31" s="257">
        <f t="shared" si="9"/>
        <v>48</v>
      </c>
      <c r="I31" s="533">
        <f t="shared" ca="1" si="16"/>
        <v>44137</v>
      </c>
      <c r="J31" s="302">
        <f t="shared" si="17"/>
        <v>1467</v>
      </c>
      <c r="K31" s="296">
        <f ca="1">ZeroRate_Bootstrapping(G31,H31,E31,$J$24:J30,$K$24:K30, 360)</f>
        <v>0.6414805588858371</v>
      </c>
      <c r="L31" s="302">
        <f t="shared" si="11"/>
        <v>1467</v>
      </c>
      <c r="M31" s="296">
        <f ca="1">ZeroRate_Bootstrapping(G31,H31,E31,$J$24:J30,$M$24:M30,365)</f>
        <v>0.6504189213893744</v>
      </c>
      <c r="O31" s="357">
        <v>40</v>
      </c>
      <c r="P31" s="358">
        <f ca="1">Lin_Interp($O31,Zero_swap_CL!$J$2:$J$18,Zero_swap_CL!$K$2:$K$18)</f>
        <v>3.5508435743843871</v>
      </c>
      <c r="Q31" s="358">
        <f ca="1">Lin_Interp($O31,Zero_swap_CL!$L$2:$L$18,Zero_swap_CL!$M$2:$M$18)</f>
        <v>3.6010384262333797</v>
      </c>
      <c r="R31" s="359">
        <f ca="1">(Geom_Interp($O31,Inflation_FWD!$J$2:$J$20,Inflation_FWD!$C$2:$C$20)/CLFCLPt)-1</f>
        <v>4.000056557354803E-3</v>
      </c>
      <c r="S31" s="360">
        <f t="shared" ca="1" si="12"/>
        <v>-0.10356134340178125</v>
      </c>
      <c r="T31" s="360">
        <f t="shared" ca="1" si="13"/>
        <v>-0.10499892830444502</v>
      </c>
      <c r="U31" s="358">
        <f t="shared" ca="1" si="14"/>
        <v>3.6544049177861684</v>
      </c>
      <c r="V31" s="358">
        <f t="shared" ca="1" si="15"/>
        <v>3.7060373545378247</v>
      </c>
    </row>
    <row r="32" spans="1:22">
      <c r="C32" s="257" t="s">
        <v>296</v>
      </c>
      <c r="D32" s="257" t="s">
        <v>417</v>
      </c>
      <c r="E32" s="304">
        <f ca="1">_xll.BDH(C32,"PX_LAST",fechaHoy)</f>
        <v>0.77</v>
      </c>
      <c r="F32" s="257" t="s">
        <v>286</v>
      </c>
      <c r="G32" s="534">
        <f ca="1">+WORKDAY(TODAY(),2,Feriados!$A$2:$A$128)</f>
        <v>42676</v>
      </c>
      <c r="H32" s="257">
        <f t="shared" si="9"/>
        <v>60</v>
      </c>
      <c r="I32" s="533">
        <f t="shared" ca="1" si="16"/>
        <v>44502</v>
      </c>
      <c r="J32" s="302">
        <f t="shared" si="17"/>
        <v>1832</v>
      </c>
      <c r="K32" s="296">
        <f ca="1">ZeroRate_Bootstrapping(G32,H32,E32,$J$24:J31,$K$24:K31, 360)</f>
        <v>0.77402005222380721</v>
      </c>
      <c r="L32" s="302">
        <f t="shared" si="11"/>
        <v>1832</v>
      </c>
      <c r="M32" s="296">
        <f ca="1">ZeroRate_Bootstrapping(G32,H32,E32,$J$24:J31,$M$24:M31,365)</f>
        <v>0.78481240329477031</v>
      </c>
      <c r="O32" s="357">
        <v>45</v>
      </c>
      <c r="P32" s="358">
        <f ca="1">Lin_Interp($O32,Zero_swap_CL!$J$2:$J$18,Zero_swap_CL!$K$2:$K$18)</f>
        <v>3.5494395849026317</v>
      </c>
      <c r="Q32" s="358">
        <f ca="1">Lin_Interp($O32,Zero_swap_CL!$L$2:$L$18,Zero_swap_CL!$M$2:$M$18)</f>
        <v>3.5996142473905595</v>
      </c>
      <c r="R32" s="359">
        <f ca="1">(Geom_Interp($O32,Inflation_FWD!$J$2:$J$20,Inflation_FWD!$C$2:$C$20)/CLFCLPt)-1</f>
        <v>4.3765448401886786E-3</v>
      </c>
      <c r="S32" s="360">
        <f t="shared" ca="1" si="12"/>
        <v>-5.6973517491898384E-3</v>
      </c>
      <c r="T32" s="360">
        <f t="shared" ca="1" si="13"/>
        <v>-5.7764672755977742E-3</v>
      </c>
      <c r="U32" s="358">
        <f t="shared" ca="1" si="14"/>
        <v>3.5551369366518215</v>
      </c>
      <c r="V32" s="358">
        <f t="shared" ca="1" si="15"/>
        <v>3.6053907146661572</v>
      </c>
    </row>
    <row r="33" spans="3:22">
      <c r="C33" s="257" t="s">
        <v>297</v>
      </c>
      <c r="D33" s="257" t="s">
        <v>418</v>
      </c>
      <c r="E33" s="304">
        <f ca="1">_xll.BDH(C33,"PX_LAST",fechaHoy)</f>
        <v>0.85</v>
      </c>
      <c r="F33" s="257" t="s">
        <v>286</v>
      </c>
      <c r="G33" s="534">
        <f ca="1">+WORKDAY(TODAY(),2,Feriados!$A$2:$A$128)</f>
        <v>42676</v>
      </c>
      <c r="H33" s="257">
        <f t="shared" si="9"/>
        <v>72</v>
      </c>
      <c r="I33" s="533">
        <f t="shared" ca="1" si="16"/>
        <v>44867</v>
      </c>
      <c r="J33" s="302">
        <f t="shared" si="17"/>
        <v>2197</v>
      </c>
      <c r="K33" s="296">
        <f ca="1">ZeroRate_Bootstrapping(G33,H33,E33,$J$24:J32,$K$24:K32, 360)</f>
        <v>0.85593568498387007</v>
      </c>
      <c r="L33" s="302">
        <f t="shared" si="11"/>
        <v>2197</v>
      </c>
      <c r="M33" s="296">
        <f ca="1">ZeroRate_Bootstrapping(G33,H33,E33,$J$24:J32,$M$24:M32,365)</f>
        <v>0.86787511617888613</v>
      </c>
      <c r="O33" s="357">
        <v>50</v>
      </c>
      <c r="P33" s="358">
        <f ca="1">Lin_Interp($O33,Zero_swap_CL!$J$2:$J$18,Zero_swap_CL!$K$2:$K$18)</f>
        <v>3.5480355954208762</v>
      </c>
      <c r="Q33" s="358">
        <f ca="1">Lin_Interp($O33,Zero_swap_CL!$L$2:$L$18,Zero_swap_CL!$M$2:$M$18)</f>
        <v>3.5981900685477388</v>
      </c>
      <c r="R33" s="359">
        <f ca="1">(Geom_Interp($O33,Inflation_FWD!$J$2:$J$20,Inflation_FWD!$C$2:$C$20)/CLFCLPt)-1</f>
        <v>4.4379694145402215E-3</v>
      </c>
      <c r="S33" s="360">
        <f t="shared" ca="1" si="12"/>
        <v>0.29871990896239708</v>
      </c>
      <c r="T33" s="360">
        <f t="shared" ca="1" si="13"/>
        <v>0.30287508548441089</v>
      </c>
      <c r="U33" s="358">
        <f t="shared" ca="1" si="14"/>
        <v>3.2493156864584791</v>
      </c>
      <c r="V33" s="358">
        <f t="shared" ca="1" si="15"/>
        <v>3.2953149830633279</v>
      </c>
    </row>
    <row r="34" spans="3:22">
      <c r="C34" s="257" t="s">
        <v>298</v>
      </c>
      <c r="D34" s="257" t="s">
        <v>419</v>
      </c>
      <c r="E34" s="304">
        <f ca="1">_xll.BDH(C34,"PX_LAST",fechaHoy)</f>
        <v>0.93</v>
      </c>
      <c r="F34" s="257" t="s">
        <v>286</v>
      </c>
      <c r="G34" s="534">
        <f ca="1">+WORKDAY(TODAY(),2,Feriados!$A$2:$A$128)</f>
        <v>42676</v>
      </c>
      <c r="H34" s="257">
        <f t="shared" si="9"/>
        <v>84</v>
      </c>
      <c r="I34" s="533">
        <f t="shared" ca="1" si="16"/>
        <v>45232</v>
      </c>
      <c r="J34" s="302">
        <f t="shared" si="17"/>
        <v>2562</v>
      </c>
      <c r="K34" s="296">
        <f ca="1">ZeroRate_Bootstrapping(G34,H34,E34,$J$24:J33,$K$24:K33, 360)</f>
        <v>0.93839568278280028</v>
      </c>
      <c r="L34" s="302">
        <f t="shared" si="11"/>
        <v>2562</v>
      </c>
      <c r="M34" s="296">
        <f ca="1">ZeroRate_Bootstrapping(G34,H34,E34,$J$24:J33,$M$24:M33,365)</f>
        <v>0.95149076329919735</v>
      </c>
      <c r="O34" s="357">
        <v>55</v>
      </c>
      <c r="P34" s="358">
        <f ca="1">Lin_Interp($O34,Zero_swap_CL!$J$2:$J$18,Zero_swap_CL!$K$2:$K$18)</f>
        <v>3.5466316059391207</v>
      </c>
      <c r="Q34" s="358">
        <f ca="1">Lin_Interp($O34,Zero_swap_CL!$L$2:$L$18,Zero_swap_CL!$M$2:$M$18)</f>
        <v>3.5967658897049186</v>
      </c>
      <c r="R34" s="359">
        <f ca="1">(Geom_Interp($O34,Inflation_FWD!$J$2:$J$20,Inflation_FWD!$C$2:$C$20)/CLFCLPt)-1</f>
        <v>4.499397745429512E-3</v>
      </c>
      <c r="S34" s="360">
        <f t="shared" ca="1" si="12"/>
        <v>0.54822987635314568</v>
      </c>
      <c r="T34" s="360">
        <f t="shared" ca="1" si="13"/>
        <v>0.55586531608187162</v>
      </c>
      <c r="U34" s="358">
        <f t="shared" ca="1" si="14"/>
        <v>2.9984017295859751</v>
      </c>
      <c r="V34" s="358">
        <f t="shared" ca="1" si="15"/>
        <v>3.040900573623047</v>
      </c>
    </row>
    <row r="35" spans="3:22">
      <c r="C35" s="257" t="s">
        <v>299</v>
      </c>
      <c r="D35" s="257" t="s">
        <v>420</v>
      </c>
      <c r="E35" s="304">
        <f ca="1">_xll.BDH(C35,"PX_LAST",fechaHoy)</f>
        <v>1.01</v>
      </c>
      <c r="F35" s="257" t="s">
        <v>286</v>
      </c>
      <c r="G35" s="534">
        <f ca="1">+WORKDAY(TODAY(),2,Feriados!$A$2:$A$128)</f>
        <v>42676</v>
      </c>
      <c r="H35" s="257">
        <f t="shared" si="9"/>
        <v>96</v>
      </c>
      <c r="I35" s="533">
        <f t="shared" ca="1" si="16"/>
        <v>45598</v>
      </c>
      <c r="J35" s="302">
        <f t="shared" si="17"/>
        <v>2928</v>
      </c>
      <c r="K35" s="296">
        <f ca="1">ZeroRate_Bootstrapping(G35,H35,E35,$J$24:J34,$K$24:K34, 360)</f>
        <v>1.0214797895474765</v>
      </c>
      <c r="L35" s="302">
        <f t="shared" si="11"/>
        <v>2928</v>
      </c>
      <c r="M35" s="296">
        <f ca="1">ZeroRate_Bootstrapping(G35,H35,E35,$J$24:J34,$M$24:M34,365)</f>
        <v>1.0357402254730612</v>
      </c>
      <c r="O35" s="357">
        <v>60</v>
      </c>
      <c r="P35" s="358">
        <f ca="1">Lin_Interp($O35,Zero_swap_CL!$J$2:$J$18,Zero_swap_CL!$K$2:$K$18)</f>
        <v>3.5452276164573653</v>
      </c>
      <c r="Q35" s="358">
        <f ca="1">Lin_Interp($O35,Zero_swap_CL!$L$2:$L$18,Zero_swap_CL!$M$2:$M$18)</f>
        <v>3.595341710862098</v>
      </c>
      <c r="R35" s="359">
        <f ca="1">(Geom_Interp($O35,Inflation_FWD!$J$2:$J$20,Inflation_FWD!$C$2:$C$20)/CLFCLPt)-1</f>
        <v>4.560829833085922E-3</v>
      </c>
      <c r="S35" s="360">
        <f t="shared" ca="1" si="12"/>
        <v>0.75640121804618765</v>
      </c>
      <c r="T35" s="360">
        <f t="shared" ca="1" si="13"/>
        <v>0.76694698640680237</v>
      </c>
      <c r="U35" s="358">
        <f t="shared" ca="1" si="14"/>
        <v>2.7888263984111776</v>
      </c>
      <c r="V35" s="358">
        <f t="shared" ca="1" si="15"/>
        <v>2.8283947244552956</v>
      </c>
    </row>
    <row r="36" spans="3:22">
      <c r="C36" s="257" t="s">
        <v>300</v>
      </c>
      <c r="D36" s="257" t="s">
        <v>421</v>
      </c>
      <c r="E36" s="304">
        <f ca="1">_xll.BDH(C36,"PX_LAST",fechaHoy)</f>
        <v>1.0900000000000001</v>
      </c>
      <c r="F36" s="257" t="s">
        <v>286</v>
      </c>
      <c r="G36" s="534">
        <f ca="1">+WORKDAY(TODAY(),2,Feriados!$A$2:$A$128)</f>
        <v>42676</v>
      </c>
      <c r="H36" s="257">
        <f t="shared" si="9"/>
        <v>108</v>
      </c>
      <c r="I36" s="533">
        <f t="shared" ca="1" si="16"/>
        <v>45963</v>
      </c>
      <c r="J36" s="302">
        <f t="shared" si="17"/>
        <v>3293</v>
      </c>
      <c r="K36" s="296">
        <f ca="1">ZeroRate_Bootstrapping(G36,H36,E36,$J$24:J35,$K$24:K35, 360)</f>
        <v>1.1052958943630189</v>
      </c>
      <c r="L36" s="302">
        <f t="shared" si="11"/>
        <v>3293</v>
      </c>
      <c r="M36" s="296">
        <f ca="1">ZeroRate_Bootstrapping(G36,H36,E36,$J$24:J35,$M$24:M35,365)</f>
        <v>1.1207329279298874</v>
      </c>
      <c r="O36" s="357">
        <v>65</v>
      </c>
      <c r="P36" s="358">
        <f ca="1">Lin_Interp($O36,Zero_swap_CL!$J$2:$J$18,Zero_swap_CL!$K$2:$K$18)</f>
        <v>3.5438236269756098</v>
      </c>
      <c r="Q36" s="358">
        <f ca="1">Lin_Interp($O36,Zero_swap_CL!$L$2:$L$18,Zero_swap_CL!$M$2:$M$18)</f>
        <v>3.5939175320192778</v>
      </c>
      <c r="R36" s="359">
        <f ca="1">(Geom_Interp($O36,Inflation_FWD!$J$2:$J$20,Inflation_FWD!$C$2:$C$20)/CLFCLPt)-1</f>
        <v>4.622265677739934E-3</v>
      </c>
      <c r="S36" s="360">
        <f t="shared" ca="1" si="12"/>
        <v>0.93267222933930416</v>
      </c>
      <c r="T36" s="360">
        <f t="shared" ca="1" si="13"/>
        <v>0.94568708160014392</v>
      </c>
      <c r="U36" s="358">
        <f t="shared" ca="1" si="14"/>
        <v>2.6111513976363057</v>
      </c>
      <c r="V36" s="358">
        <f t="shared" ca="1" si="15"/>
        <v>2.6482304504191339</v>
      </c>
    </row>
    <row r="37" spans="3:22">
      <c r="C37" s="257" t="s">
        <v>301</v>
      </c>
      <c r="D37" s="257" t="s">
        <v>422</v>
      </c>
      <c r="E37" s="304">
        <f ca="1">_xll.BDH(C37,"PX_LAST",fechaHoy)</f>
        <v>1.1499999999999999</v>
      </c>
      <c r="F37" s="257" t="s">
        <v>286</v>
      </c>
      <c r="G37" s="534">
        <f ca="1">+WORKDAY(TODAY(),2,Feriados!$A$2:$A$128)</f>
        <v>42676</v>
      </c>
      <c r="H37" s="257">
        <f t="shared" si="9"/>
        <v>120</v>
      </c>
      <c r="I37" s="533">
        <f t="shared" ca="1" si="16"/>
        <v>46328</v>
      </c>
      <c r="J37" s="302">
        <f t="shared" si="17"/>
        <v>3658</v>
      </c>
      <c r="K37" s="296">
        <f ca="1">ZeroRate_Bootstrapping(G37,H37,E37,$J$24:J36,$K$24:K36, 360)</f>
        <v>1.168397667958313</v>
      </c>
      <c r="L37" s="302">
        <f t="shared" si="11"/>
        <v>3658</v>
      </c>
      <c r="M37" s="296">
        <f ca="1">ZeroRate_Bootstrapping(G37,H37,E37,$J$24:J36,$M$24:M36,365)</f>
        <v>1.1847211604710584</v>
      </c>
      <c r="O37" s="357">
        <v>70</v>
      </c>
      <c r="P37" s="358">
        <f ca="1">Lin_Interp($O37,Zero_swap_CL!$J$2:$J$18,Zero_swap_CL!$K$2:$K$18)</f>
        <v>3.5424196374938544</v>
      </c>
      <c r="Q37" s="358">
        <f ca="1">Lin_Interp($O37,Zero_swap_CL!$L$2:$L$18,Zero_swap_CL!$M$2:$M$18)</f>
        <v>3.5924933531764571</v>
      </c>
      <c r="R37" s="359">
        <f ca="1">(Geom_Interp($O37,Inflation_FWD!$J$2:$J$20,Inflation_FWD!$C$2:$C$20)/CLFCLPt)-1</f>
        <v>4.6837052796204759E-3</v>
      </c>
      <c r="S37" s="360">
        <f t="shared" ca="1" si="12"/>
        <v>1.0838112719237625</v>
      </c>
      <c r="T37" s="360">
        <f t="shared" ca="1" si="13"/>
        <v>1.098946628957842</v>
      </c>
      <c r="U37" s="358">
        <f t="shared" ca="1" si="14"/>
        <v>2.4586083655700919</v>
      </c>
      <c r="V37" s="358">
        <f t="shared" ca="1" si="15"/>
        <v>2.4935467242186151</v>
      </c>
    </row>
    <row r="38" spans="3:22">
      <c r="C38" s="257" t="s">
        <v>302</v>
      </c>
      <c r="D38" s="257" t="s">
        <v>423</v>
      </c>
      <c r="E38" s="304">
        <f ca="1">_xll.BDH(C38,"PX_LAST",fechaHoy)</f>
        <v>1.2</v>
      </c>
      <c r="F38" s="257" t="s">
        <v>286</v>
      </c>
      <c r="G38" s="534">
        <f ca="1">+WORKDAY(TODAY(),2,Feriados!$A$2:$A$128)</f>
        <v>42676</v>
      </c>
      <c r="H38" s="257">
        <f t="shared" si="9"/>
        <v>180</v>
      </c>
      <c r="I38" s="533">
        <f t="shared" ca="1" si="16"/>
        <v>48154</v>
      </c>
      <c r="J38" s="302">
        <f t="shared" si="17"/>
        <v>5484</v>
      </c>
      <c r="K38" s="296">
        <f ca="1">ZeroRate_Bootstrapping(G38,H38,E38,$J$24:J37,$K$24:K37, 360)</f>
        <v>1.2119230366690041</v>
      </c>
      <c r="L38" s="302">
        <f t="shared" si="11"/>
        <v>5484</v>
      </c>
      <c r="M38" s="296">
        <f ca="1">ZeroRate_Bootstrapping(G38,H38,E38,$J$24:J37,$M$24:M37,365)</f>
        <v>1.2288584134276801</v>
      </c>
      <c r="O38" s="357">
        <v>75</v>
      </c>
      <c r="P38" s="358">
        <f ca="1">Lin_Interp($O38,Zero_swap_CL!$J$2:$J$18,Zero_swap_CL!$K$2:$K$18)</f>
        <v>3.5410156480120989</v>
      </c>
      <c r="Q38" s="358">
        <f ca="1">Lin_Interp($O38,Zero_swap_CL!$L$2:$L$18,Zero_swap_CL!$M$2:$M$18)</f>
        <v>3.5910691743336369</v>
      </c>
      <c r="R38" s="359">
        <f ca="1">(Geom_Interp($O38,Inflation_FWD!$J$2:$J$20,Inflation_FWD!$C$2:$C$20)/CLFCLPt)-1</f>
        <v>4.747600303535382E-3</v>
      </c>
      <c r="S38" s="360">
        <f t="shared" ca="1" si="12"/>
        <v>1.2136130280942625</v>
      </c>
      <c r="T38" s="360">
        <f t="shared" ca="1" si="13"/>
        <v>1.2305720645902296</v>
      </c>
      <c r="U38" s="358">
        <f t="shared" ca="1" si="14"/>
        <v>2.3274026199178364</v>
      </c>
      <c r="V38" s="358">
        <f t="shared" ca="1" si="15"/>
        <v>2.3604971097434073</v>
      </c>
    </row>
    <row r="39" spans="3:22">
      <c r="C39" s="257" t="s">
        <v>303</v>
      </c>
      <c r="D39" s="257" t="s">
        <v>424</v>
      </c>
      <c r="E39" s="304">
        <f ca="1">_xll.BDH(C39,"PX_LAST",fechaHoy)</f>
        <v>1.26</v>
      </c>
      <c r="F39" s="257" t="s">
        <v>286</v>
      </c>
      <c r="G39" s="534">
        <f ca="1">+WORKDAY(TODAY(),2,Feriados!$A$2:$A$128)</f>
        <v>42676</v>
      </c>
      <c r="H39" s="257">
        <f t="shared" si="9"/>
        <v>240</v>
      </c>
      <c r="I39" s="533">
        <f t="shared" ca="1" si="16"/>
        <v>49981</v>
      </c>
      <c r="J39" s="302">
        <f t="shared" si="17"/>
        <v>7311</v>
      </c>
      <c r="K39" s="296">
        <f ca="1">ZeroRate_Bootstrapping(G39,H39,E39,$J$24:J38,$K$24:K38, 360)</f>
        <v>1.2823917782683134</v>
      </c>
      <c r="L39" s="302">
        <f t="shared" si="11"/>
        <v>7311</v>
      </c>
      <c r="M39" s="296">
        <f ca="1">ZeroRate_Bootstrapping(G39,H39,E39,$J$24:J38,$M$24:M38,365)</f>
        <v>1.3003180699184478</v>
      </c>
      <c r="O39" s="357">
        <v>80</v>
      </c>
      <c r="P39" s="358">
        <f ca="1">Lin_Interp($O39,Zero_swap_CL!$J$2:$J$18,Zero_swap_CL!$K$2:$K$18)</f>
        <v>3.5396116585303434</v>
      </c>
      <c r="Q39" s="358">
        <f ca="1">Lin_Interp($O39,Zero_swap_CL!$L$2:$L$18,Zero_swap_CL!$M$2:$M$18)</f>
        <v>3.5896449954908163</v>
      </c>
      <c r="R39" s="359">
        <f ca="1">(Geom_Interp($O39,Inflation_FWD!$J$2:$J$20,Inflation_FWD!$C$2:$C$20)/CLFCLPt)-1</f>
        <v>4.8213067328033432E-3</v>
      </c>
      <c r="S39" s="360">
        <f t="shared" ca="1" si="12"/>
        <v>1.3227041796667338</v>
      </c>
      <c r="T39" s="360">
        <f t="shared" ca="1" si="13"/>
        <v>1.3411977301500677</v>
      </c>
      <c r="U39" s="358">
        <f t="shared" ca="1" si="14"/>
        <v>2.2169074788636096</v>
      </c>
      <c r="V39" s="358">
        <f t="shared" ca="1" si="15"/>
        <v>2.2484472653407486</v>
      </c>
    </row>
    <row r="40" spans="3:22">
      <c r="O40" s="357">
        <v>85</v>
      </c>
      <c r="P40" s="358">
        <f ca="1">Lin_Interp($O40,Zero_swap_CL!$J$2:$J$18,Zero_swap_CL!$K$2:$K$18)</f>
        <v>3.538207669048588</v>
      </c>
      <c r="Q40" s="358">
        <f ca="1">Lin_Interp($O40,Zero_swap_CL!$L$2:$L$18,Zero_swap_CL!$M$2:$M$18)</f>
        <v>3.5882208166479961</v>
      </c>
      <c r="R40" s="359">
        <f ca="1">(Geom_Interp($O40,Inflation_FWD!$J$2:$J$20,Inflation_FWD!$C$2:$C$20)/CLFCLPt)-1</f>
        <v>4.8950185690386228E-3</v>
      </c>
      <c r="S40" s="360">
        <f t="shared" ca="1" si="12"/>
        <v>1.4188969100092041</v>
      </c>
      <c r="T40" s="360">
        <f t="shared" ca="1" si="13"/>
        <v>1.4387449128829388</v>
      </c>
      <c r="U40" s="358">
        <f t="shared" ca="1" si="14"/>
        <v>2.1193107590393838</v>
      </c>
      <c r="V40" s="358">
        <f t="shared" ca="1" si="15"/>
        <v>2.1494759037650573</v>
      </c>
    </row>
    <row r="41" spans="3:22">
      <c r="O41" s="357">
        <v>90</v>
      </c>
      <c r="P41" s="358">
        <f ca="1">Lin_Interp($O41,Zero_swap_CL!$J$2:$J$18,Zero_swap_CL!$K$2:$K$18)</f>
        <v>3.5368036795668325</v>
      </c>
      <c r="Q41" s="358">
        <f ca="1">Lin_Interp($O41,Zero_swap_CL!$L$2:$L$18,Zero_swap_CL!$M$2:$M$18)</f>
        <v>3.5867966378051754</v>
      </c>
      <c r="R41" s="359">
        <f ca="1">(Geom_Interp($O41,Inflation_FWD!$J$2:$J$20,Inflation_FWD!$C$2:$C$20)/CLFCLPt)-1</f>
        <v>4.9687358126386805E-3</v>
      </c>
      <c r="S41" s="360">
        <f t="shared" ca="1" si="12"/>
        <v>1.5043252701326892</v>
      </c>
      <c r="T41" s="360">
        <f t="shared" ca="1" si="13"/>
        <v>1.5253772334317794</v>
      </c>
      <c r="U41" s="358">
        <f t="shared" ca="1" si="14"/>
        <v>2.0324784094341433</v>
      </c>
      <c r="V41" s="358">
        <f t="shared" ca="1" si="15"/>
        <v>2.061419404373396</v>
      </c>
    </row>
    <row r="42" spans="3:22" ht="15">
      <c r="C42" s="306" t="s">
        <v>309</v>
      </c>
      <c r="D42" s="306" t="s">
        <v>310</v>
      </c>
      <c r="E42" s="306" t="s">
        <v>308</v>
      </c>
      <c r="K42" s="317"/>
      <c r="O42" s="357">
        <v>100</v>
      </c>
      <c r="P42" s="358">
        <f ca="1">Lin_Interp($O42,Zero_swap_CL!$J$2:$J$18,Zero_swap_CL!$K$2:$K$18)</f>
        <v>3.5319290624352027</v>
      </c>
      <c r="Q42" s="358">
        <f ca="1">Lin_Interp($O42,Zero_swap_CL!$L$2:$L$18,Zero_swap_CL!$M$2:$M$18)</f>
        <v>3.5818519494979544</v>
      </c>
      <c r="R42" s="359">
        <f ca="1">(Geom_Interp($O42,Inflation_FWD!$J$2:$J$20,Inflation_FWD!$C$2:$C$20)/CLFCLPt)-1</f>
        <v>5.1161865235174186E-3</v>
      </c>
      <c r="S42" s="360">
        <f t="shared" ca="1" si="12"/>
        <v>1.6472760703803324</v>
      </c>
      <c r="T42" s="360">
        <f t="shared" ca="1" si="13"/>
        <v>1.6703449546286331</v>
      </c>
      <c r="U42" s="358">
        <f t="shared" ca="1" si="14"/>
        <v>1.8846529920548702</v>
      </c>
      <c r="V42" s="358">
        <f t="shared" ca="1" si="15"/>
        <v>1.9115069948693213</v>
      </c>
    </row>
    <row r="43" spans="3:22">
      <c r="C43" s="257" t="str">
        <f t="shared" ref="C43:C58" si="18">D24</f>
        <v>3M</v>
      </c>
      <c r="D43" s="257">
        <f t="shared" ref="D43:D58" si="19">J24</f>
        <v>98</v>
      </c>
      <c r="E43" s="257">
        <f t="shared" ref="E43:E58" ca="1" si="20">E3-E24</f>
        <v>2.3100000000000005</v>
      </c>
      <c r="O43" s="357">
        <v>110</v>
      </c>
      <c r="P43" s="358">
        <f ca="1">Lin_Interp($O43,Zero_swap_CL!$J$2:$J$18,Zero_swap_CL!$K$2:$K$18)</f>
        <v>3.518787892631098</v>
      </c>
      <c r="Q43" s="358">
        <f ca="1">Lin_Interp($O43,Zero_swap_CL!$L$2:$L$18,Zero_swap_CL!$M$2:$M$18)</f>
        <v>3.5685219387044125</v>
      </c>
      <c r="R43" s="359">
        <f ca="1">(Geom_Interp($O43,Inflation_FWD!$J$2:$J$20,Inflation_FWD!$C$2:$C$20)/CLFCLPt)-1</f>
        <v>5.3802788612400398E-3</v>
      </c>
      <c r="S43" s="360">
        <f t="shared" ca="1" si="12"/>
        <v>1.7167648569197835</v>
      </c>
      <c r="T43" s="360">
        <f t="shared" ca="1" si="13"/>
        <v>1.7408152738225713</v>
      </c>
      <c r="U43" s="358">
        <f t="shared" ca="1" si="14"/>
        <v>1.8020230357113145</v>
      </c>
      <c r="V43" s="358">
        <f t="shared" ca="1" si="15"/>
        <v>1.8277066648818412</v>
      </c>
    </row>
    <row r="44" spans="3:22">
      <c r="C44" s="257" t="str">
        <f t="shared" si="18"/>
        <v>6M</v>
      </c>
      <c r="D44" s="257">
        <f t="shared" si="19"/>
        <v>187</v>
      </c>
      <c r="E44" s="257">
        <f t="shared" ca="1" si="20"/>
        <v>1.6600000000000001</v>
      </c>
      <c r="O44" s="357">
        <v>120</v>
      </c>
      <c r="P44" s="358">
        <f ca="1">Lin_Interp($O44,Zero_swap_CL!$J$2:$J$18,Zero_swap_CL!$K$2:$K$18)</f>
        <v>3.5056467228269939</v>
      </c>
      <c r="Q44" s="358">
        <f ca="1">Lin_Interp($O44,Zero_swap_CL!$L$2:$L$18,Zero_swap_CL!$M$2:$M$18)</f>
        <v>3.5551919279108706</v>
      </c>
      <c r="R44" s="359">
        <f ca="1">(Geom_Interp($O44,Inflation_FWD!$J$2:$J$20,Inflation_FWD!$C$2:$C$20)/CLFCLPt)-1</f>
        <v>5.7611047555845563E-3</v>
      </c>
      <c r="S44" s="360">
        <f t="shared" ca="1" si="12"/>
        <v>1.7371422007504966</v>
      </c>
      <c r="T44" s="360">
        <f t="shared" ca="1" si="13"/>
        <v>1.761480613654709</v>
      </c>
      <c r="U44" s="358">
        <f t="shared" ca="1" si="14"/>
        <v>1.7685045220764972</v>
      </c>
      <c r="V44" s="358">
        <f t="shared" ca="1" si="15"/>
        <v>1.7937113142561616</v>
      </c>
    </row>
    <row r="45" spans="3:22">
      <c r="C45" s="257" t="str">
        <f t="shared" si="18"/>
        <v>9M</v>
      </c>
      <c r="D45" s="257">
        <f t="shared" si="19"/>
        <v>279</v>
      </c>
      <c r="E45" s="257">
        <f t="shared" ca="1" si="20"/>
        <v>2.4699999999999998</v>
      </c>
      <c r="O45" s="357">
        <v>130</v>
      </c>
      <c r="P45" s="358">
        <f ca="1">Lin_Interp($O45,Zero_swap_CL!$J$2:$J$18,Zero_swap_CL!$K$2:$K$18)</f>
        <v>3.4925055530228892</v>
      </c>
      <c r="Q45" s="358">
        <f ca="1">Lin_Interp($O45,Zero_swap_CL!$L$2:$L$18,Zero_swap_CL!$M$2:$M$18)</f>
        <v>3.5418619171173282</v>
      </c>
      <c r="R45" s="359">
        <f ca="1">(Geom_Interp($O45,Inflation_FWD!$J$2:$J$20,Inflation_FWD!$C$2:$C$20)/CLFCLPt)-1</f>
        <v>6.1420749021736665E-3</v>
      </c>
      <c r="S45" s="360">
        <f t="shared" ca="1" si="12"/>
        <v>1.7523987504503014</v>
      </c>
      <c r="T45" s="360">
        <f t="shared" ca="1" si="13"/>
        <v>1.7769528169531812</v>
      </c>
      <c r="U45" s="358">
        <f t="shared" ca="1" si="14"/>
        <v>1.7401068025725879</v>
      </c>
      <c r="V45" s="358">
        <f t="shared" ca="1" si="15"/>
        <v>1.764909100164147</v>
      </c>
    </row>
    <row r="46" spans="3:22">
      <c r="C46" s="257" t="str">
        <f t="shared" si="18"/>
        <v>1Y</v>
      </c>
      <c r="D46" s="257">
        <f t="shared" si="19"/>
        <v>371</v>
      </c>
      <c r="E46" s="257">
        <f t="shared" ca="1" si="20"/>
        <v>2.56</v>
      </c>
      <c r="O46" s="357">
        <v>140</v>
      </c>
      <c r="P46" s="358">
        <f ca="1">Lin_Interp($O46,Zero_swap_CL!$J$2:$J$18,Zero_swap_CL!$K$2:$K$18)</f>
        <v>3.4793643832187846</v>
      </c>
      <c r="Q46" s="358">
        <f ca="1">Lin_Interp($O46,Zero_swap_CL!$L$2:$L$18,Zero_swap_CL!$M$2:$M$18)</f>
        <v>3.5285319063237863</v>
      </c>
      <c r="R46" s="359">
        <f ca="1">(Geom_Interp($O46,Inflation_FWD!$J$2:$J$20,Inflation_FWD!$C$2:$C$20)/CLFCLPt)-1</f>
        <v>6.5871978675093867E-3</v>
      </c>
      <c r="S46" s="360">
        <f t="shared" ca="1" si="12"/>
        <v>1.7469909537740191</v>
      </c>
      <c r="T46" s="360">
        <f t="shared" ca="1" si="13"/>
        <v>1.7714686082941578</v>
      </c>
      <c r="U46" s="358">
        <f t="shared" ca="1" si="14"/>
        <v>1.7323734294447655</v>
      </c>
      <c r="V46" s="358">
        <f t="shared" ca="1" si="15"/>
        <v>1.7570632980296286</v>
      </c>
    </row>
    <row r="47" spans="3:22">
      <c r="C47" s="257" t="str">
        <f t="shared" si="18"/>
        <v>18M</v>
      </c>
      <c r="D47" s="257">
        <f t="shared" si="19"/>
        <v>552</v>
      </c>
      <c r="E47" s="257">
        <f t="shared" ca="1" si="20"/>
        <v>2.52</v>
      </c>
      <c r="O47" s="357">
        <v>150</v>
      </c>
      <c r="P47" s="358">
        <f ca="1">Lin_Interp($O47,Zero_swap_CL!$J$2:$J$18,Zero_swap_CL!$K$2:$K$18)</f>
        <v>3.46622321341468</v>
      </c>
      <c r="Q47" s="358">
        <f ca="1">Lin_Interp($O47,Zero_swap_CL!$L$2:$L$18,Zero_swap_CL!$M$2:$M$18)</f>
        <v>3.5152018955302444</v>
      </c>
      <c r="R47" s="359">
        <f ca="1">(Geom_Interp($O47,Inflation_FWD!$J$2:$J$20,Inflation_FWD!$C$2:$C$20)/CLFCLPt)-1</f>
        <v>7.0599633599288669E-3</v>
      </c>
      <c r="S47" s="360">
        <f t="shared" ca="1" si="12"/>
        <v>1.7339256816699011</v>
      </c>
      <c r="T47" s="360">
        <f t="shared" ca="1" si="13"/>
        <v>1.758218693337299</v>
      </c>
      <c r="U47" s="358">
        <f t="shared" ca="1" si="14"/>
        <v>1.7322975317447789</v>
      </c>
      <c r="V47" s="358">
        <f t="shared" ca="1" si="15"/>
        <v>1.7569832021929455</v>
      </c>
    </row>
    <row r="48" spans="3:22">
      <c r="C48" s="257" t="str">
        <f t="shared" si="18"/>
        <v>2Y</v>
      </c>
      <c r="D48" s="257">
        <f t="shared" si="19"/>
        <v>736</v>
      </c>
      <c r="E48" s="257">
        <f t="shared" ca="1" si="20"/>
        <v>2.6900000000000004</v>
      </c>
      <c r="O48" s="357">
        <v>160</v>
      </c>
      <c r="P48" s="358">
        <f ca="1">Lin_Interp($O48,Zero_swap_CL!$J$2:$J$18,Zero_swap_CL!$K$2:$K$18)</f>
        <v>3.4530820436105758</v>
      </c>
      <c r="Q48" s="358">
        <f ca="1">Lin_Interp($O48,Zero_swap_CL!$L$2:$L$18,Zero_swap_CL!$M$2:$M$18)</f>
        <v>3.5018718847367025</v>
      </c>
      <c r="R48" s="359">
        <f ca="1">(Geom_Interp($O48,Inflation_FWD!$J$2:$J$20,Inflation_FWD!$C$2:$C$20)/CLFCLPt)-1</f>
        <v>7.532950896907975E-3</v>
      </c>
      <c r="S48" s="360">
        <f t="shared" ca="1" si="12"/>
        <v>1.720878456780861</v>
      </c>
      <c r="T48" s="360">
        <f t="shared" ca="1" si="13"/>
        <v>1.7449870811066193</v>
      </c>
      <c r="U48" s="358">
        <f t="shared" ca="1" si="14"/>
        <v>1.7322035868297148</v>
      </c>
      <c r="V48" s="358">
        <f t="shared" ca="1" si="15"/>
        <v>1.7568848036300833</v>
      </c>
    </row>
    <row r="49" spans="3:22">
      <c r="C49" s="257" t="str">
        <f t="shared" si="18"/>
        <v>3Y</v>
      </c>
      <c r="D49" s="257">
        <f t="shared" si="19"/>
        <v>1101</v>
      </c>
      <c r="E49" s="257">
        <f t="shared" ca="1" si="20"/>
        <v>2.8</v>
      </c>
      <c r="O49" s="357">
        <v>170</v>
      </c>
      <c r="P49" s="358">
        <f ca="1">Lin_Interp($O49,Zero_swap_CL!$J$2:$J$18,Zero_swap_CL!$K$2:$K$18)</f>
        <v>3.4399408738064712</v>
      </c>
      <c r="Q49" s="358">
        <f ca="1">Lin_Interp($O49,Zero_swap_CL!$L$2:$L$18,Zero_swap_CL!$M$2:$M$18)</f>
        <v>3.4885418739431602</v>
      </c>
      <c r="R49" s="359">
        <f ca="1">(Geom_Interp($O49,Inflation_FWD!$J$2:$J$20,Inflation_FWD!$C$2:$C$20)/CLFCLPt)-1</f>
        <v>8.8726592118260061E-3</v>
      </c>
      <c r="S49" s="360">
        <f t="shared" ca="1" si="12"/>
        <v>1.5229485784385099</v>
      </c>
      <c r="T49" s="360">
        <f t="shared" ca="1" si="13"/>
        <v>1.5442632764351982</v>
      </c>
      <c r="U49" s="358">
        <f t="shared" ca="1" si="14"/>
        <v>1.9169922953679612</v>
      </c>
      <c r="V49" s="358">
        <f t="shared" ca="1" si="15"/>
        <v>1.9442785975079619</v>
      </c>
    </row>
    <row r="50" spans="3:22">
      <c r="C50" s="257" t="str">
        <f t="shared" si="18"/>
        <v>4Y</v>
      </c>
      <c r="D50" s="257">
        <f t="shared" si="19"/>
        <v>1467</v>
      </c>
      <c r="E50" s="257">
        <f t="shared" ca="1" si="20"/>
        <v>2.81</v>
      </c>
      <c r="O50" s="357">
        <v>180</v>
      </c>
      <c r="P50" s="358">
        <f ca="1">Lin_Interp($O50,Zero_swap_CL!$J$2:$J$18,Zero_swap_CL!$K$2:$K$18)</f>
        <v>3.4267997040023666</v>
      </c>
      <c r="Q50" s="358">
        <f ca="1">Lin_Interp($O50,Zero_swap_CL!$L$2:$L$18,Zero_swap_CL!$M$2:$M$18)</f>
        <v>3.4752118631496183</v>
      </c>
      <c r="R50" s="359">
        <f ca="1">(Geom_Interp($O50,Inflation_FWD!$J$2:$J$20,Inflation_FWD!$C$2:$C$20)/CLFCLPt)-1</f>
        <v>1.0431178140763553E-2</v>
      </c>
      <c r="S50" s="360">
        <f t="shared" ca="1" si="12"/>
        <v>1.3023708922482724</v>
      </c>
      <c r="T50" s="360">
        <f t="shared" ca="1" si="13"/>
        <v>1.3205783605202859</v>
      </c>
      <c r="U50" s="358">
        <f t="shared" ca="1" si="14"/>
        <v>2.1244288117540941</v>
      </c>
      <c r="V50" s="358">
        <f t="shared" ca="1" si="15"/>
        <v>2.1546335026293324</v>
      </c>
    </row>
    <row r="51" spans="3:22">
      <c r="C51" s="257" t="str">
        <f t="shared" si="18"/>
        <v>5Y</v>
      </c>
      <c r="D51" s="257">
        <f t="shared" si="19"/>
        <v>1832</v>
      </c>
      <c r="E51" s="257">
        <f t="shared" ca="1" si="20"/>
        <v>2.81</v>
      </c>
      <c r="O51" s="357">
        <v>190</v>
      </c>
      <c r="P51" s="358">
        <f ca="1">Lin_Interp($O51,Zero_swap_CL!$J$2:$J$18,Zero_swap_CL!$K$2:$K$18)</f>
        <v>3.4161342287247836</v>
      </c>
      <c r="Q51" s="358">
        <f ca="1">Lin_Interp($O51,Zero_swap_CL!$L$2:$L$18,Zero_swap_CL!$M$2:$M$18)</f>
        <v>3.4643931392346543</v>
      </c>
      <c r="R51" s="359">
        <f ca="1">(Geom_Interp($O51,Inflation_FWD!$J$2:$J$20,Inflation_FWD!$C$2:$C$20)/CLFCLPt)-1</f>
        <v>1.199210468896772E-2</v>
      </c>
      <c r="S51" s="360">
        <f t="shared" ca="1" si="12"/>
        <v>1.1064848044415321</v>
      </c>
      <c r="T51" s="360">
        <f t="shared" ca="1" si="13"/>
        <v>1.1219385436705531</v>
      </c>
      <c r="U51" s="358">
        <f t="shared" ca="1" si="14"/>
        <v>2.3096494242832515</v>
      </c>
      <c r="V51" s="358">
        <f t="shared" ca="1" si="15"/>
        <v>2.3424545955641012</v>
      </c>
    </row>
    <row r="52" spans="3:22">
      <c r="C52" s="257" t="str">
        <f t="shared" si="18"/>
        <v>6Y</v>
      </c>
      <c r="D52" s="257">
        <f t="shared" si="19"/>
        <v>2197</v>
      </c>
      <c r="E52" s="257">
        <f t="shared" ca="1" si="20"/>
        <v>2.81</v>
      </c>
      <c r="O52" s="357">
        <v>200</v>
      </c>
      <c r="P52" s="358">
        <f ca="1">Lin_Interp($O52,Zero_swap_CL!$J$2:$J$18,Zero_swap_CL!$K$2:$K$18)</f>
        <v>3.4112453740090847</v>
      </c>
      <c r="Q52" s="358">
        <f ca="1">Lin_Interp($O52,Zero_swap_CL!$L$2:$L$18,Zero_swap_CL!$M$2:$M$18)</f>
        <v>3.4594340847030383</v>
      </c>
      <c r="R52" s="359">
        <f ca="1">(Geom_Interp($O52,Inflation_FWD!$J$2:$J$20,Inflation_FWD!$C$2:$C$20)/CLFCLPt)-1</f>
        <v>1.3081139402257413E-2</v>
      </c>
      <c r="S52" s="360">
        <f t="shared" ca="1" si="12"/>
        <v>1.0201837375619194</v>
      </c>
      <c r="T52" s="360">
        <f t="shared" ca="1" si="13"/>
        <v>1.0344260078368084</v>
      </c>
      <c r="U52" s="358">
        <f t="shared" ca="1" si="14"/>
        <v>2.3910616364471653</v>
      </c>
      <c r="V52" s="358">
        <f t="shared" ca="1" si="15"/>
        <v>2.4250080768662299</v>
      </c>
    </row>
    <row r="53" spans="3:22">
      <c r="C53" s="257" t="str">
        <f t="shared" si="18"/>
        <v>7Y</v>
      </c>
      <c r="D53" s="257">
        <f t="shared" si="19"/>
        <v>2562</v>
      </c>
      <c r="E53" s="257">
        <f t="shared" ca="1" si="20"/>
        <v>2.86</v>
      </c>
      <c r="O53" s="357">
        <v>210</v>
      </c>
      <c r="P53" s="358">
        <f ca="1">Lin_Interp($O53,Zero_swap_CL!$J$2:$J$18,Zero_swap_CL!$K$2:$K$18)</f>
        <v>3.4063565192933853</v>
      </c>
      <c r="Q53" s="358">
        <f ca="1">Lin_Interp($O53,Zero_swap_CL!$L$2:$L$18,Zero_swap_CL!$M$2:$M$18)</f>
        <v>3.4544750301714222</v>
      </c>
      <c r="R53" s="359">
        <f ca="1">(Geom_Interp($O53,Inflation_FWD!$J$2:$J$20,Inflation_FWD!$C$2:$C$20)/CLFCLPt)-1</f>
        <v>1.3854927115295013E-2</v>
      </c>
      <c r="S53" s="360">
        <f t="shared" ca="1" si="12"/>
        <v>0.99572242843140035</v>
      </c>
      <c r="T53" s="360">
        <f t="shared" ca="1" si="13"/>
        <v>1.0096215123577723</v>
      </c>
      <c r="U53" s="358">
        <f t="shared" ca="1" si="14"/>
        <v>2.410634090861985</v>
      </c>
      <c r="V53" s="358">
        <f t="shared" ca="1" si="15"/>
        <v>2.4448535178136499</v>
      </c>
    </row>
    <row r="54" spans="3:22">
      <c r="C54" s="257" t="str">
        <f t="shared" si="18"/>
        <v>8Y</v>
      </c>
      <c r="D54" s="257">
        <f t="shared" si="19"/>
        <v>2928</v>
      </c>
      <c r="E54" s="257">
        <f t="shared" ca="1" si="20"/>
        <v>2.88</v>
      </c>
      <c r="O54" s="357">
        <v>220</v>
      </c>
      <c r="P54" s="358">
        <f ca="1">Lin_Interp($O54,Zero_swap_CL!$J$2:$J$18,Zero_swap_CL!$K$2:$K$18)</f>
        <v>3.401467664577686</v>
      </c>
      <c r="Q54" s="358">
        <f ca="1">Lin_Interp($O54,Zero_swap_CL!$L$2:$L$18,Zero_swap_CL!$M$2:$M$18)</f>
        <v>3.4495159756398062</v>
      </c>
      <c r="R54" s="359">
        <f ca="1">(Geom_Interp($O54,Inflation_FWD!$J$2:$J$20,Inflation_FWD!$C$2:$C$20)/CLFCLPt)-1</f>
        <v>1.4629305844591656E-2</v>
      </c>
      <c r="S54" s="360">
        <f t="shared" ca="1" si="12"/>
        <v>0.97305581525615192</v>
      </c>
      <c r="T54" s="360">
        <f t="shared" ca="1" si="13"/>
        <v>0.98663696394389877</v>
      </c>
      <c r="U54" s="358">
        <f t="shared" ca="1" si="14"/>
        <v>2.4284118493215341</v>
      </c>
      <c r="V54" s="358">
        <f t="shared" ca="1" si="15"/>
        <v>2.4628790116959074</v>
      </c>
    </row>
    <row r="55" spans="3:22">
      <c r="C55" s="257" t="str">
        <f t="shared" si="18"/>
        <v>9Y</v>
      </c>
      <c r="D55" s="257">
        <f t="shared" si="19"/>
        <v>3293</v>
      </c>
      <c r="E55" s="257">
        <f t="shared" ca="1" si="20"/>
        <v>2.88</v>
      </c>
      <c r="O55" s="357">
        <v>230</v>
      </c>
      <c r="P55" s="358">
        <f ca="1">Lin_Interp($O55,Zero_swap_CL!$J$2:$J$18,Zero_swap_CL!$K$2:$K$18)</f>
        <v>3.3965788098619871</v>
      </c>
      <c r="Q55" s="358">
        <f ca="1">Lin_Interp($O55,Zero_swap_CL!$L$2:$L$18,Zero_swap_CL!$M$2:$M$18)</f>
        <v>3.4445569211081901</v>
      </c>
      <c r="R55" s="359">
        <f ca="1">(Geom_Interp($O55,Inflation_FWD!$J$2:$J$20,Inflation_FWD!$C$2:$C$20)/CLFCLPt)-1</f>
        <v>1.5404061945123892E-2</v>
      </c>
      <c r="S55" s="360">
        <f t="shared" ca="1" si="12"/>
        <v>0.95198270756249315</v>
      </c>
      <c r="T55" s="360">
        <f t="shared" ca="1" si="13"/>
        <v>0.96526833395926825</v>
      </c>
      <c r="U55" s="358">
        <f t="shared" ca="1" si="14"/>
        <v>2.444596102299494</v>
      </c>
      <c r="V55" s="358">
        <f t="shared" ca="1" si="15"/>
        <v>2.4792885871489219</v>
      </c>
    </row>
    <row r="56" spans="3:22">
      <c r="C56" s="257" t="str">
        <f t="shared" si="18"/>
        <v>10Y</v>
      </c>
      <c r="D56" s="257">
        <f t="shared" si="19"/>
        <v>3658</v>
      </c>
      <c r="E56" s="257">
        <f t="shared" ca="1" si="20"/>
        <v>2.89</v>
      </c>
      <c r="O56" s="357">
        <v>240</v>
      </c>
      <c r="P56" s="358">
        <f ca="1">Lin_Interp($O56,Zero_swap_CL!$J$2:$J$18,Zero_swap_CL!$K$2:$K$18)</f>
        <v>3.3916899551462878</v>
      </c>
      <c r="Q56" s="358">
        <f ca="1">Lin_Interp($O56,Zero_swap_CL!$L$2:$L$18,Zero_swap_CL!$M$2:$M$18)</f>
        <v>3.4395978665765745</v>
      </c>
      <c r="R56" s="359">
        <f ca="1">(Geom_Interp($O56,Inflation_FWD!$J$2:$J$20,Inflation_FWD!$C$2:$C$20)/CLFCLPt)-1</f>
        <v>1.617919537821022E-2</v>
      </c>
      <c r="S56" s="360">
        <f t="shared" ca="1" si="12"/>
        <v>0.9323035661243706</v>
      </c>
      <c r="T56" s="360">
        <f t="shared" ca="1" si="13"/>
        <v>0.94531327168174695</v>
      </c>
      <c r="U56" s="358">
        <f t="shared" ca="1" si="14"/>
        <v>2.4593863890219172</v>
      </c>
      <c r="V56" s="358">
        <f t="shared" ca="1" si="15"/>
        <v>2.4942845948948276</v>
      </c>
    </row>
    <row r="57" spans="3:22">
      <c r="C57" s="257" t="str">
        <f t="shared" si="18"/>
        <v>15Y</v>
      </c>
      <c r="D57" s="257">
        <f t="shared" si="19"/>
        <v>5484</v>
      </c>
      <c r="E57" s="257">
        <f t="shared" ca="1" si="20"/>
        <v>3</v>
      </c>
      <c r="O57" s="357">
        <v>250</v>
      </c>
      <c r="P57" s="358">
        <f ca="1">Lin_Interp($O57,Zero_swap_CL!$J$2:$J$18,Zero_swap_CL!$K$2:$K$18)</f>
        <v>3.3868011004305885</v>
      </c>
      <c r="Q57" s="358">
        <f ca="1">Lin_Interp($O57,Zero_swap_CL!$L$2:$L$18,Zero_swap_CL!$M$2:$M$18)</f>
        <v>3.4346388120449585</v>
      </c>
      <c r="R57" s="359">
        <f ca="1">(Geom_Interp($O57,Inflation_FWD!$J$2:$J$20,Inflation_FWD!$C$2:$C$20)/CLFCLPt)-1</f>
        <v>1.695492052829084E-2</v>
      </c>
      <c r="S57" s="360">
        <f t="shared" ca="1" si="12"/>
        <v>0.91382019166232897</v>
      </c>
      <c r="T57" s="360">
        <f t="shared" ca="1" si="13"/>
        <v>0.92657078820030936</v>
      </c>
      <c r="U57" s="358">
        <f t="shared" ca="1" si="14"/>
        <v>2.4729809087682595</v>
      </c>
      <c r="V57" s="358">
        <f t="shared" ca="1" si="15"/>
        <v>2.5080680238446491</v>
      </c>
    </row>
    <row r="58" spans="3:22">
      <c r="C58" s="257" t="str">
        <f t="shared" si="18"/>
        <v>20Y</v>
      </c>
      <c r="D58" s="257">
        <f t="shared" si="19"/>
        <v>7311</v>
      </c>
      <c r="E58" s="257">
        <f t="shared" ca="1" si="20"/>
        <v>3.01</v>
      </c>
      <c r="O58" s="357">
        <v>260</v>
      </c>
      <c r="P58" s="358">
        <f ca="1">Lin_Interp($O58,Zero_swap_CL!$J$2:$J$18,Zero_swap_CL!$K$2:$K$18)</f>
        <v>3.3819122457148896</v>
      </c>
      <c r="Q58" s="358">
        <f ca="1">Lin_Interp($O58,Zero_swap_CL!$L$2:$L$18,Zero_swap_CL!$M$2:$M$18)</f>
        <v>3.4296797575133424</v>
      </c>
      <c r="R58" s="359">
        <f ca="1">(Geom_Interp($O58,Inflation_FWD!$J$2:$J$20,Inflation_FWD!$C$2:$C$20)/CLFCLPt)-1</f>
        <v>1.7752724905540473E-2</v>
      </c>
      <c r="S58" s="360">
        <f t="shared" ca="1" si="12"/>
        <v>0.89344496740111357</v>
      </c>
      <c r="T58" s="360">
        <f t="shared" ca="1" si="13"/>
        <v>0.90590998650312837</v>
      </c>
      <c r="U58" s="358">
        <f t="shared" ca="1" si="14"/>
        <v>2.488467278313776</v>
      </c>
      <c r="V58" s="358">
        <f t="shared" ca="1" si="15"/>
        <v>2.523769771010214</v>
      </c>
    </row>
    <row r="59" spans="3:22">
      <c r="O59" s="357">
        <v>270</v>
      </c>
      <c r="P59" s="358">
        <f ca="1">Lin_Interp($O59,Zero_swap_CL!$J$2:$J$18,Zero_swap_CL!$K$2:$K$18)</f>
        <v>3.3770233909991902</v>
      </c>
      <c r="Q59" s="358">
        <f ca="1">Lin_Interp($O59,Zero_swap_CL!$L$2:$L$18,Zero_swap_CL!$M$2:$M$18)</f>
        <v>3.4247207029817264</v>
      </c>
      <c r="R59" s="359">
        <f ca="1">(Geom_Interp($O59,Inflation_FWD!$J$2:$J$20,Inflation_FWD!$C$2:$C$20)/CLFCLPt)-1</f>
        <v>1.8560371265479603E-2</v>
      </c>
      <c r="S59" s="360">
        <f t="shared" ca="1" si="12"/>
        <v>0.87301214897208546</v>
      </c>
      <c r="T59" s="360">
        <f t="shared" ca="1" si="13"/>
        <v>0.88519083844387225</v>
      </c>
      <c r="U59" s="358">
        <f t="shared" ca="1" si="14"/>
        <v>2.5040112420271048</v>
      </c>
      <c r="V59" s="358">
        <f t="shared" ca="1" si="15"/>
        <v>2.5395298645378541</v>
      </c>
    </row>
    <row r="60" spans="3:22">
      <c r="O60" s="357">
        <v>280</v>
      </c>
      <c r="P60" s="358">
        <f ca="1">Lin_Interp($O60,Zero_swap_CL!$J$2:$J$18,Zero_swap_CL!$K$2:$K$18)</f>
        <v>3.3721419223470201</v>
      </c>
      <c r="Q60" s="358">
        <f ca="1">Lin_Interp($O60,Zero_swap_CL!$L$2:$L$18,Zero_swap_CL!$M$2:$M$18)</f>
        <v>3.4197691435004609</v>
      </c>
      <c r="R60" s="359">
        <f ca="1">(Geom_Interp($O60,Inflation_FWD!$J$2:$J$20,Inflation_FWD!$C$2:$C$20)/CLFCLPt)-1</f>
        <v>1.9368658540080075E-2</v>
      </c>
      <c r="S60" s="360">
        <f t="shared" ca="1" si="12"/>
        <v>0.85370883063982106</v>
      </c>
      <c r="T60" s="360">
        <f t="shared" ca="1" si="13"/>
        <v>0.86561707110652808</v>
      </c>
      <c r="U60" s="358">
        <f t="shared" ca="1" si="14"/>
        <v>2.5184330917071991</v>
      </c>
      <c r="V60" s="358">
        <f t="shared" ca="1" si="15"/>
        <v>2.5541520723939328</v>
      </c>
    </row>
    <row r="61" spans="3:22">
      <c r="D61" t="s">
        <v>523</v>
      </c>
      <c r="E61" t="s">
        <v>524</v>
      </c>
      <c r="F61" t="s">
        <v>525</v>
      </c>
      <c r="G61" t="s">
        <v>526</v>
      </c>
      <c r="H61" t="s">
        <v>527</v>
      </c>
      <c r="I61" t="s">
        <v>528</v>
      </c>
      <c r="L61" s="216" t="s">
        <v>522</v>
      </c>
      <c r="O61" s="357">
        <v>290</v>
      </c>
      <c r="P61" s="358">
        <f ca="1">Lin_Interp($O61,Zero_swap_CL!$J$2:$J$18,Zero_swap_CL!$K$2:$K$18)</f>
        <v>3.3673269282666127</v>
      </c>
      <c r="Q61" s="358">
        <f ca="1">Lin_Interp($O61,Zero_swap_CL!$L$2:$L$18,Zero_swap_CL!$M$2:$M$18)</f>
        <v>3.4148850394723516</v>
      </c>
      <c r="R61" s="359">
        <f ca="1">(Geom_Interp($O61,Inflation_FWD!$J$2:$J$20,Inflation_FWD!$C$2:$C$20)/CLFCLPt)-1</f>
        <v>2.0173555256350673E-2</v>
      </c>
      <c r="S61" s="360">
        <f t="shared" ca="1" si="12"/>
        <v>0.83597105685082607</v>
      </c>
      <c r="T61" s="360">
        <f t="shared" ca="1" si="13"/>
        <v>0.84763085017882656</v>
      </c>
      <c r="U61" s="358">
        <f t="shared" ca="1" si="14"/>
        <v>2.5313558714157867</v>
      </c>
      <c r="V61" s="358">
        <f t="shared" ca="1" si="15"/>
        <v>2.567254189293525</v>
      </c>
    </row>
    <row r="62" spans="3:22">
      <c r="D62">
        <v>1</v>
      </c>
      <c r="E62" t="s">
        <v>499</v>
      </c>
      <c r="F62" s="432">
        <v>0.03</v>
      </c>
      <c r="G62" s="432">
        <v>3.0499999999999999E-2</v>
      </c>
      <c r="H62">
        <v>3</v>
      </c>
      <c r="I62" s="471">
        <v>0.99992000000000003</v>
      </c>
      <c r="O62" s="357">
        <v>300</v>
      </c>
      <c r="P62" s="358">
        <f ca="1">Lin_Interp($O62,Zero_swap_CL!$J$2:$J$18,Zero_swap_CL!$K$2:$K$18)</f>
        <v>3.3625119341862049</v>
      </c>
      <c r="Q62" s="358">
        <f ca="1">Lin_Interp($O62,Zero_swap_CL!$L$2:$L$18,Zero_swap_CL!$M$2:$M$18)</f>
        <v>3.4100009354442422</v>
      </c>
      <c r="R62" s="359">
        <f ca="1">(Geom_Interp($O62,Inflation_FWD!$J$2:$J$20,Inflation_FWD!$C$2:$C$20)/CLFCLPt)-1</f>
        <v>2.0973034803626334E-2</v>
      </c>
      <c r="S62" s="360">
        <f t="shared" ca="1" si="12"/>
        <v>0.81982255110746305</v>
      </c>
      <c r="T62" s="360">
        <f t="shared" ca="1" si="13"/>
        <v>0.83125619388340066</v>
      </c>
      <c r="U62" s="358">
        <f t="shared" ca="1" si="14"/>
        <v>2.5426893830787418</v>
      </c>
      <c r="V62" s="358">
        <f t="shared" ca="1" si="15"/>
        <v>2.5787447415608415</v>
      </c>
    </row>
    <row r="63" spans="3:22">
      <c r="D63">
        <v>94</v>
      </c>
      <c r="E63" t="s">
        <v>500</v>
      </c>
      <c r="F63" s="432">
        <v>3.2899999999999999E-2</v>
      </c>
      <c r="G63" s="432">
        <v>3.3300000000000003E-2</v>
      </c>
      <c r="H63">
        <v>3.29</v>
      </c>
      <c r="I63" s="471">
        <v>0.99148000000000003</v>
      </c>
      <c r="J63" s="257" t="s">
        <v>409</v>
      </c>
      <c r="K63" s="470">
        <f ca="1">1/(1+K3/100)^(J3/360)</f>
        <v>0.99058885554517873</v>
      </c>
      <c r="L63" s="239">
        <f ca="1">(1/K63-1)*360/J3*100</f>
        <v>3.4900000000000251</v>
      </c>
      <c r="M63">
        <f ca="1">1/(1+M3/100)^(J3/365)</f>
        <v>0.99058885554517873</v>
      </c>
      <c r="N63">
        <f ca="1">K63-M63</f>
        <v>0</v>
      </c>
      <c r="O63" s="357">
        <v>310</v>
      </c>
      <c r="P63" s="358">
        <f ca="1">Lin_Interp($O63,Zero_swap_CL!$J$2:$J$18,Zero_swap_CL!$K$2:$K$18)</f>
        <v>3.357696940105797</v>
      </c>
      <c r="Q63" s="358">
        <f ca="1">Lin_Interp($O63,Zero_swap_CL!$L$2:$L$18,Zero_swap_CL!$M$2:$M$18)</f>
        <v>3.4051168314161324</v>
      </c>
      <c r="R63" s="359">
        <f ca="1">(Geom_Interp($O63,Inflation_FWD!$J$2:$J$20,Inflation_FWD!$C$2:$C$20)/CLFCLPt)-1</f>
        <v>2.1773140879146169E-2</v>
      </c>
      <c r="S63" s="360">
        <f t="shared" ca="1" si="12"/>
        <v>0.80441505684194503</v>
      </c>
      <c r="T63" s="360">
        <f t="shared" ca="1" si="13"/>
        <v>0.8156329578057564</v>
      </c>
      <c r="U63" s="358">
        <f t="shared" ca="1" si="14"/>
        <v>2.553281883263852</v>
      </c>
      <c r="V63" s="358">
        <f t="shared" ca="1" si="15"/>
        <v>2.589483873610376</v>
      </c>
    </row>
    <row r="64" spans="3:22">
      <c r="D64">
        <v>185</v>
      </c>
      <c r="E64" t="s">
        <v>501</v>
      </c>
      <c r="F64" s="432">
        <v>3.5400000000000001E-2</v>
      </c>
      <c r="G64" s="432">
        <v>3.5700000000000003E-2</v>
      </c>
      <c r="H64">
        <v>3.54</v>
      </c>
      <c r="I64" s="471">
        <v>0.98212999999999995</v>
      </c>
      <c r="J64" s="257" t="s">
        <v>410</v>
      </c>
      <c r="K64" s="470">
        <f t="shared" ref="K64:K78" ca="1" si="21">1/(1+K4/100)^(J4/360)</f>
        <v>0.98269555027265709</v>
      </c>
      <c r="L64" s="239">
        <f t="shared" ref="L64:L78" ca="1" si="22">(1/K64-1)*360/J4*100</f>
        <v>3.3900000000000019</v>
      </c>
      <c r="M64">
        <f t="shared" ref="M64:M78" ca="1" si="23">1/(1+M4/100)^(J4/365)</f>
        <v>0.98269555027265709</v>
      </c>
      <c r="N64">
        <f t="shared" ref="N64:N78" ca="1" si="24">K64-M64</f>
        <v>0</v>
      </c>
      <c r="O64" s="357">
        <v>320</v>
      </c>
      <c r="P64" s="358">
        <f ca="1">Lin_Interp($O64,Zero_swap_CL!$J$2:$J$18,Zero_swap_CL!$K$2:$K$18)</f>
        <v>3.3528819460253896</v>
      </c>
      <c r="Q64" s="358">
        <f ca="1">Lin_Interp($O64,Zero_swap_CL!$L$2:$L$18,Zero_swap_CL!$M$2:$M$18)</f>
        <v>3.4002327273880231</v>
      </c>
      <c r="R64" s="359">
        <f ca="1">(Geom_Interp($O64,Inflation_FWD!$J$2:$J$20,Inflation_FWD!$C$2:$C$20)/CLFCLPt)-1</f>
        <v>2.2557940221752837E-2</v>
      </c>
      <c r="S64" s="360">
        <f t="shared" ca="1" si="12"/>
        <v>0.79144584483503699</v>
      </c>
      <c r="T64" s="360">
        <f t="shared" ca="1" si="13"/>
        <v>0.80248216937830463</v>
      </c>
      <c r="U64" s="358">
        <f t="shared" ca="1" si="14"/>
        <v>2.5614361011903526</v>
      </c>
      <c r="V64" s="358">
        <f t="shared" ca="1" si="15"/>
        <v>2.5977505580097184</v>
      </c>
    </row>
    <row r="65" spans="4:22">
      <c r="D65">
        <v>276</v>
      </c>
      <c r="E65" t="s">
        <v>502</v>
      </c>
      <c r="F65" s="432">
        <v>3.6900000000000002E-2</v>
      </c>
      <c r="G65" s="432">
        <v>3.7100000000000001E-2</v>
      </c>
      <c r="H65">
        <v>3.69</v>
      </c>
      <c r="I65" s="471">
        <v>0.97248999999999997</v>
      </c>
      <c r="J65" s="257" t="s">
        <v>411</v>
      </c>
      <c r="K65" s="470">
        <f t="shared" ca="1" si="21"/>
        <v>0.97462087248060503</v>
      </c>
      <c r="L65" s="239">
        <f t="shared" ca="1" si="22"/>
        <v>3.3600000000000083</v>
      </c>
      <c r="M65">
        <f t="shared" ca="1" si="23"/>
        <v>0.97462087248060503</v>
      </c>
      <c r="N65">
        <f t="shared" ca="1" si="24"/>
        <v>0</v>
      </c>
      <c r="O65" s="357">
        <v>330</v>
      </c>
      <c r="P65" s="358">
        <f ca="1">Lin_Interp($O65,Zero_swap_CL!$J$2:$J$18,Zero_swap_CL!$K$2:$K$18)</f>
        <v>3.3480669519449817</v>
      </c>
      <c r="Q65" s="358">
        <f ca="1">Lin_Interp($O65,Zero_swap_CL!$L$2:$L$18,Zero_swap_CL!$M$2:$M$18)</f>
        <v>3.3953486233599137</v>
      </c>
      <c r="R65" s="359">
        <f ca="1">(Geom_Interp($O65,Inflation_FWD!$J$2:$J$20,Inflation_FWD!$C$2:$C$20)/CLFCLPt)-1</f>
        <v>2.3319423829995634E-2</v>
      </c>
      <c r="S65" s="360">
        <f t="shared" ca="1" si="12"/>
        <v>0.78154910059429206</v>
      </c>
      <c r="T65" s="360">
        <f t="shared" ca="1" si="13"/>
        <v>0.79244687849044926</v>
      </c>
      <c r="U65" s="358">
        <f t="shared" ca="1" si="14"/>
        <v>2.5665178513506897</v>
      </c>
      <c r="V65" s="358">
        <f t="shared" ca="1" si="15"/>
        <v>2.6029017448694645</v>
      </c>
    </row>
    <row r="66" spans="4:22">
      <c r="D66">
        <v>370</v>
      </c>
      <c r="E66" t="s">
        <v>503</v>
      </c>
      <c r="F66" s="432">
        <v>3.7600000000000001E-2</v>
      </c>
      <c r="G66" s="432">
        <v>3.7600000000000001E-2</v>
      </c>
      <c r="H66">
        <v>3.76</v>
      </c>
      <c r="I66" s="471">
        <v>0.96279000000000003</v>
      </c>
      <c r="J66" s="257" t="s">
        <v>412</v>
      </c>
      <c r="K66" s="470">
        <f t="shared" ca="1" si="21"/>
        <v>0.96682111634000201</v>
      </c>
      <c r="L66" s="239">
        <f t="shared" ca="1" si="22"/>
        <v>3.3300000000000005</v>
      </c>
      <c r="M66">
        <f t="shared" ca="1" si="23"/>
        <v>0.96682111634000201</v>
      </c>
      <c r="N66">
        <f t="shared" ca="1" si="24"/>
        <v>0</v>
      </c>
      <c r="O66" s="357">
        <v>340</v>
      </c>
      <c r="P66" s="358">
        <f ca="1">Lin_Interp($O66,Zero_swap_CL!$J$2:$J$18,Zero_swap_CL!$K$2:$K$18)</f>
        <v>3.3432519578645743</v>
      </c>
      <c r="Q66" s="358">
        <f ca="1">Lin_Interp($O66,Zero_swap_CL!$L$2:$L$18,Zero_swap_CL!$M$2:$M$18)</f>
        <v>3.3904645193318044</v>
      </c>
      <c r="R66" s="359">
        <f ca="1">(Geom_Interp($O66,Inflation_FWD!$J$2:$J$20,Inflation_FWD!$C$2:$C$20)/CLFCLPt)-1</f>
        <v>2.4081474503695466E-2</v>
      </c>
      <c r="S66" s="360">
        <f t="shared" ca="1" si="12"/>
        <v>0.77195901791455857</v>
      </c>
      <c r="T66" s="360">
        <f t="shared" ca="1" si="13"/>
        <v>0.78272255216136344</v>
      </c>
      <c r="U66" s="358">
        <f t="shared" ca="1" si="14"/>
        <v>2.5712929399500157</v>
      </c>
      <c r="V66" s="358">
        <f t="shared" ca="1" si="15"/>
        <v>2.6077419671704409</v>
      </c>
    </row>
    <row r="67" spans="4:22">
      <c r="D67">
        <v>552</v>
      </c>
      <c r="E67" t="s">
        <v>504</v>
      </c>
      <c r="F67" s="432">
        <v>3.9600000000000003E-2</v>
      </c>
      <c r="G67" s="432">
        <v>3.9199999999999999E-2</v>
      </c>
      <c r="H67">
        <v>3.96</v>
      </c>
      <c r="I67" s="471">
        <v>0.94276000000000004</v>
      </c>
      <c r="J67" s="257" t="s">
        <v>413</v>
      </c>
      <c r="K67" s="470">
        <f t="shared" ca="1" si="21"/>
        <v>0.95197598481915624</v>
      </c>
      <c r="L67" s="239">
        <f t="shared" ca="1" si="22"/>
        <v>3.2900000000000054</v>
      </c>
      <c r="M67">
        <f t="shared" ca="1" si="23"/>
        <v>0.95197598481915646</v>
      </c>
      <c r="N67">
        <f t="shared" ca="1" si="24"/>
        <v>0</v>
      </c>
      <c r="O67" s="357">
        <v>350</v>
      </c>
      <c r="P67" s="358">
        <f ca="1">Lin_Interp($O67,Zero_swap_CL!$J$2:$J$18,Zero_swap_CL!$K$2:$K$18)</f>
        <v>3.3384369637841664</v>
      </c>
      <c r="Q67" s="358">
        <f ca="1">Lin_Interp($O67,Zero_swap_CL!$L$2:$L$18,Zero_swap_CL!$M$2:$M$18)</f>
        <v>3.3855804153036946</v>
      </c>
      <c r="R67" s="359">
        <f ca="1">(Geom_Interp($O67,Inflation_FWD!$J$2:$J$20,Inflation_FWD!$C$2:$C$20)/CLFCLPt)-1</f>
        <v>2.5325449591770743E-2</v>
      </c>
      <c r="S67" s="360">
        <f t="shared" ca="1" si="12"/>
        <v>0.71399326791645734</v>
      </c>
      <c r="T67" s="360">
        <f t="shared" ca="1" si="13"/>
        <v>0.7239456736193306</v>
      </c>
      <c r="U67" s="358">
        <f t="shared" ca="1" si="14"/>
        <v>2.6244436958677091</v>
      </c>
      <c r="V67" s="358">
        <f t="shared" ca="1" si="15"/>
        <v>2.661634741684364</v>
      </c>
    </row>
    <row r="68" spans="4:22">
      <c r="D68">
        <v>734</v>
      </c>
      <c r="E68" t="s">
        <v>505</v>
      </c>
      <c r="F68" s="432">
        <v>4.0899999999999999E-2</v>
      </c>
      <c r="G68" s="432">
        <v>4.0099999999999997E-2</v>
      </c>
      <c r="H68">
        <v>4.04</v>
      </c>
      <c r="I68" s="471">
        <v>0.92301999999999995</v>
      </c>
      <c r="J68" s="257" t="s">
        <v>414</v>
      </c>
      <c r="K68" s="470">
        <f ca="1">1/(1+K8/100)^(J8/360)</f>
        <v>0.93643969271497229</v>
      </c>
      <c r="L68" s="239">
        <f t="shared" ca="1" si="22"/>
        <v>3.3199447843892926</v>
      </c>
      <c r="M68">
        <f t="shared" ca="1" si="23"/>
        <v>0.93643969273844341</v>
      </c>
      <c r="N68">
        <f t="shared" ca="1" si="24"/>
        <v>-2.3471113941297972E-11</v>
      </c>
      <c r="O68" s="357">
        <v>360</v>
      </c>
      <c r="P68" s="358">
        <f ca="1">Lin_Interp($O68,Zero_swap_CL!$J$2:$J$18,Zero_swap_CL!$K$2:$K$18)</f>
        <v>3.3336219697037586</v>
      </c>
      <c r="Q68" s="358">
        <f ca="1">Lin_Interp($O68,Zero_swap_CL!$L$2:$L$18,Zero_swap_CL!$M$2:$M$18)</f>
        <v>3.3806963112755852</v>
      </c>
      <c r="R68" s="359">
        <f ca="1">(Geom_Interp($O68,Inflation_FWD!$J$2:$J$20,Inflation_FWD!$C$2:$C$20)/CLFCLPt)-1</f>
        <v>2.6892355942824464E-2</v>
      </c>
      <c r="S68" s="360">
        <f t="shared" ref="S68:S80" ca="1" si="25">100*(((1+P68/100)^($O68/360)/(1+$R68))^(360/$O68)-1)</f>
        <v>0.62751112294499034</v>
      </c>
      <c r="T68" s="360">
        <f t="shared" ref="T68:T80" ca="1" si="26">100*(((1+Q68/100)^($O68/365)/(1+$R68))^(365/$O68)-1)</f>
        <v>0.63625423685225169</v>
      </c>
      <c r="U68" s="358">
        <f t="shared" ref="U68:U80" ca="1" si="27">P68-S68</f>
        <v>2.7061108467587682</v>
      </c>
      <c r="V68" s="358">
        <f t="shared" ref="V68:V80" ca="1" si="28">Q68-T68</f>
        <v>2.7444420744233335</v>
      </c>
    </row>
    <row r="69" spans="4:22">
      <c r="D69">
        <v>916</v>
      </c>
      <c r="E69" t="s">
        <v>506</v>
      </c>
      <c r="F69" s="432">
        <v>4.24E-2</v>
      </c>
      <c r="G69" s="432">
        <v>4.1099999999999998E-2</v>
      </c>
      <c r="H69">
        <v>4.1399999999999997</v>
      </c>
      <c r="I69" s="471">
        <v>0.90254000000000001</v>
      </c>
      <c r="J69" s="257" t="s">
        <v>415</v>
      </c>
      <c r="K69" s="470">
        <f t="shared" ca="1" si="21"/>
        <v>0.90387535755009307</v>
      </c>
      <c r="L69" s="239">
        <f t="shared" ca="1" si="22"/>
        <v>3.4772936930430252</v>
      </c>
      <c r="M69">
        <f t="shared" ca="1" si="23"/>
        <v>0.90387535761423821</v>
      </c>
      <c r="N69">
        <f t="shared" ca="1" si="24"/>
        <v>-6.4145133649162744E-11</v>
      </c>
      <c r="O69" s="357">
        <v>370</v>
      </c>
      <c r="P69" s="358">
        <f ca="1">Lin_Interp($O69,Zero_swap_CL!$J$2:$J$18,Zero_swap_CL!$K$2:$K$18)</f>
        <v>3.3288069756233511</v>
      </c>
      <c r="Q69" s="358">
        <f ca="1">Lin_Interp($O69,Zero_swap_CL!$L$2:$L$18,Zero_swap_CL!$M$2:$M$18)</f>
        <v>3.3758122072474759</v>
      </c>
      <c r="R69" s="359">
        <f ca="1">(Geom_Interp($O69,Inflation_FWD!$J$2:$J$20,Inflation_FWD!$C$2:$C$20)/CLFCLPt)-1</f>
        <v>2.8461656846274774E-2</v>
      </c>
      <c r="S69" s="360">
        <f t="shared" ca="1" si="25"/>
        <v>0.54551857807252357</v>
      </c>
      <c r="T69" s="360">
        <f t="shared" ca="1" si="26"/>
        <v>0.55311614195485692</v>
      </c>
      <c r="U69" s="358">
        <f t="shared" ca="1" si="27"/>
        <v>2.7832883975508276</v>
      </c>
      <c r="V69" s="358">
        <f t="shared" ca="1" si="28"/>
        <v>2.822696065292619</v>
      </c>
    </row>
    <row r="70" spans="4:22">
      <c r="D70" s="127">
        <v>1098</v>
      </c>
      <c r="E70" t="s">
        <v>507</v>
      </c>
      <c r="F70" s="432">
        <v>4.3999999999999997E-2</v>
      </c>
      <c r="G70" s="432">
        <v>4.2200000000000001E-2</v>
      </c>
      <c r="H70">
        <v>4.2300000000000004</v>
      </c>
      <c r="I70" s="471">
        <v>0.88166999999999995</v>
      </c>
      <c r="J70" s="257" t="s">
        <v>416</v>
      </c>
      <c r="K70" s="470">
        <f t="shared" ca="1" si="21"/>
        <v>0.86960523785267974</v>
      </c>
      <c r="L70" s="239">
        <f t="shared" ca="1" si="22"/>
        <v>3.6796828313032917</v>
      </c>
      <c r="M70">
        <f t="shared" ca="1" si="23"/>
        <v>0.86960523806771073</v>
      </c>
      <c r="N70">
        <f t="shared" ca="1" si="24"/>
        <v>-2.1503099301156681E-10</v>
      </c>
      <c r="O70" s="357">
        <v>380</v>
      </c>
      <c r="P70" s="358">
        <f ca="1">Lin_Interp($O70,Zero_swap_CL!$J$2:$J$18,Zero_swap_CL!$K$2:$K$18)</f>
        <v>3.325016146893284</v>
      </c>
      <c r="Q70" s="358">
        <f ca="1">Lin_Interp($O70,Zero_swap_CL!$L$2:$L$18,Zero_swap_CL!$M$2:$M$18)</f>
        <v>3.3719669934972338</v>
      </c>
      <c r="R70" s="359">
        <f ca="1">(Geom_Interp($O70,Inflation_FWD!$J$2:$J$20,Inflation_FWD!$C$2:$C$20)/CLFCLPt)-1</f>
        <v>2.988732179464737E-2</v>
      </c>
      <c r="S70" s="360">
        <f t="shared" ca="1" si="25"/>
        <v>0.48214852926262708</v>
      </c>
      <c r="T70" s="360">
        <f t="shared" ca="1" si="26"/>
        <v>0.48886139238044635</v>
      </c>
      <c r="U70" s="358">
        <f t="shared" ca="1" si="27"/>
        <v>2.8428676176306569</v>
      </c>
      <c r="V70" s="358">
        <f t="shared" ca="1" si="28"/>
        <v>2.8831056011167875</v>
      </c>
    </row>
    <row r="71" spans="4:22">
      <c r="D71" s="127">
        <v>1280</v>
      </c>
      <c r="E71" t="s">
        <v>508</v>
      </c>
      <c r="F71" s="432">
        <v>4.5400000000000003E-2</v>
      </c>
      <c r="G71" s="127">
        <v>4.2999999999999997E-2</v>
      </c>
      <c r="H71">
        <v>4.3</v>
      </c>
      <c r="I71" s="471">
        <v>0.86109999999999998</v>
      </c>
      <c r="J71" s="257" t="s">
        <v>417</v>
      </c>
      <c r="K71" s="470">
        <f t="shared" ca="1" si="21"/>
        <v>0.83409188494864051</v>
      </c>
      <c r="L71" s="239">
        <f t="shared" ca="1" si="22"/>
        <v>3.9086858330935179</v>
      </c>
      <c r="M71">
        <f t="shared" ca="1" si="23"/>
        <v>0.83409188540451551</v>
      </c>
      <c r="N71">
        <f t="shared" ca="1" si="24"/>
        <v>-4.5587500441257589E-10</v>
      </c>
      <c r="O71" s="357">
        <v>390</v>
      </c>
      <c r="P71" s="358">
        <f ca="1">Lin_Interp($O71,Zero_swap_CL!$J$2:$J$18,Zero_swap_CL!$K$2:$K$18)</f>
        <v>3.3213391143132549</v>
      </c>
      <c r="Q71" s="358">
        <f ca="1">Lin_Interp($O71,Zero_swap_CL!$L$2:$L$18,Zero_swap_CL!$M$2:$M$18)</f>
        <v>3.3682372120000883</v>
      </c>
      <c r="R71" s="359">
        <f ca="1">(Geom_Interp($O71,Inflation_FWD!$J$2:$J$20,Inflation_FWD!$C$2:$C$20)/CLFCLPt)-1</f>
        <v>3.0730223910727883E-2</v>
      </c>
      <c r="S71" s="360">
        <f t="shared" ca="1" si="25"/>
        <v>0.47457318940093973</v>
      </c>
      <c r="T71" s="360">
        <f t="shared" ca="1" si="26"/>
        <v>0.48118034408788368</v>
      </c>
      <c r="U71" s="358">
        <f t="shared" ca="1" si="27"/>
        <v>2.8467659249123152</v>
      </c>
      <c r="V71" s="358">
        <f t="shared" ca="1" si="28"/>
        <v>2.8870568679122046</v>
      </c>
    </row>
    <row r="72" spans="4:22">
      <c r="D72" s="127">
        <v>1463</v>
      </c>
      <c r="E72" t="s">
        <v>509</v>
      </c>
      <c r="F72" s="432">
        <v>4.6699999999999998E-2</v>
      </c>
      <c r="G72" s="127">
        <v>4.3700000000000003E-2</v>
      </c>
      <c r="H72">
        <v>4.37</v>
      </c>
      <c r="I72" s="471">
        <v>0.84057000000000004</v>
      </c>
      <c r="J72" s="257" t="s">
        <v>418</v>
      </c>
      <c r="K72" s="470">
        <f t="shared" ca="1" si="21"/>
        <v>0.80036957165044886</v>
      </c>
      <c r="L72" s="239">
        <f t="shared" ca="1" si="22"/>
        <v>4.0870374118044639</v>
      </c>
      <c r="M72">
        <f t="shared" ca="1" si="23"/>
        <v>0.80036957221667893</v>
      </c>
      <c r="N72">
        <f t="shared" ca="1" si="24"/>
        <v>-5.6623006283729183E-10</v>
      </c>
      <c r="O72" s="357">
        <v>400</v>
      </c>
      <c r="P72" s="358">
        <f ca="1">Lin_Interp($O72,Zero_swap_CL!$J$2:$J$18,Zero_swap_CL!$K$2:$K$18)</f>
        <v>3.3176620817332259</v>
      </c>
      <c r="Q72" s="358">
        <f ca="1">Lin_Interp($O72,Zero_swap_CL!$L$2:$L$18,Zero_swap_CL!$M$2:$M$18)</f>
        <v>3.3645074305029428</v>
      </c>
      <c r="R72" s="359">
        <f ca="1">(Geom_Interp($O72,Inflation_FWD!$J$2:$J$20,Inflation_FWD!$C$2:$C$20)/CLFCLPt)-1</f>
        <v>3.1573815892546486E-2</v>
      </c>
      <c r="S72" s="360">
        <f t="shared" ca="1" si="25"/>
        <v>0.46719824836998214</v>
      </c>
      <c r="T72" s="360">
        <f t="shared" ca="1" si="26"/>
        <v>0.4737024973445747</v>
      </c>
      <c r="U72" s="358">
        <f t="shared" ca="1" si="27"/>
        <v>2.8504638333632437</v>
      </c>
      <c r="V72" s="358">
        <f t="shared" ca="1" si="28"/>
        <v>2.8908049331583681</v>
      </c>
    </row>
    <row r="73" spans="4:22">
      <c r="D73" s="127">
        <v>1646</v>
      </c>
      <c r="E73" t="s">
        <v>510</v>
      </c>
      <c r="F73" s="432">
        <v>4.8000000000000001E-2</v>
      </c>
      <c r="G73" s="127">
        <v>4.4400000000000002E-2</v>
      </c>
      <c r="H73">
        <v>4.43</v>
      </c>
      <c r="I73" s="471">
        <v>0.82003000000000004</v>
      </c>
      <c r="J73" s="257" t="s">
        <v>419</v>
      </c>
      <c r="K73" s="470">
        <f t="shared" ca="1" si="21"/>
        <v>0.76358370884774762</v>
      </c>
      <c r="L73" s="239">
        <f t="shared" ca="1" si="22"/>
        <v>4.3505495684108189</v>
      </c>
      <c r="M73">
        <f t="shared" ca="1" si="23"/>
        <v>0.76358370974685441</v>
      </c>
      <c r="N73">
        <f t="shared" ca="1" si="24"/>
        <v>-8.991067890207205E-10</v>
      </c>
      <c r="O73" s="357">
        <v>410</v>
      </c>
      <c r="P73" s="358">
        <f ca="1">Lin_Interp($O73,Zero_swap_CL!$J$2:$J$18,Zero_swap_CL!$K$2:$K$18)</f>
        <v>3.3139850491531964</v>
      </c>
      <c r="Q73" s="358">
        <f ca="1">Lin_Interp($O73,Zero_swap_CL!$L$2:$L$18,Zero_swap_CL!$M$2:$M$18)</f>
        <v>3.3607776490057968</v>
      </c>
      <c r="R73" s="359">
        <f ca="1">(Geom_Interp($O73,Inflation_FWD!$J$2:$J$20,Inflation_FWD!$C$2:$C$20)/CLFCLPt)-1</f>
        <v>3.2232574429330585E-2</v>
      </c>
      <c r="S73" s="360">
        <f t="shared" ca="1" si="25"/>
        <v>0.47586268518526875</v>
      </c>
      <c r="T73" s="360">
        <f t="shared" ca="1" si="26"/>
        <v>0.48248785767801561</v>
      </c>
      <c r="U73" s="358">
        <f t="shared" ca="1" si="27"/>
        <v>2.8381223639679276</v>
      </c>
      <c r="V73" s="358">
        <f t="shared" ca="1" si="28"/>
        <v>2.8782897913277812</v>
      </c>
    </row>
    <row r="74" spans="4:22">
      <c r="D74" s="127">
        <v>1829</v>
      </c>
      <c r="E74" t="s">
        <v>511</v>
      </c>
      <c r="F74" s="432">
        <v>4.9299999999999997E-2</v>
      </c>
      <c r="G74" s="127">
        <v>4.4900000000000002E-2</v>
      </c>
      <c r="H74">
        <v>4.49</v>
      </c>
      <c r="I74" s="471">
        <v>0.79983000000000004</v>
      </c>
      <c r="J74" s="257" t="s">
        <v>420</v>
      </c>
      <c r="K74" s="470">
        <f t="shared" ca="1" si="21"/>
        <v>0.72819782016274193</v>
      </c>
      <c r="L74" s="239">
        <f t="shared" ca="1" si="22"/>
        <v>4.5891789118778687</v>
      </c>
      <c r="M74">
        <f t="shared" ca="1" si="23"/>
        <v>0.72819782131042332</v>
      </c>
      <c r="N74">
        <f t="shared" ca="1" si="24"/>
        <v>-1.147681394364497E-9</v>
      </c>
      <c r="O74" s="357">
        <v>420</v>
      </c>
      <c r="P74" s="358">
        <f ca="1">Lin_Interp($O74,Zero_swap_CL!$J$2:$J$18,Zero_swap_CL!$K$2:$K$18)</f>
        <v>3.3103080165731673</v>
      </c>
      <c r="Q74" s="358">
        <f ca="1">Lin_Interp($O74,Zero_swap_CL!$L$2:$L$18,Zero_swap_CL!$M$2:$M$18)</f>
        <v>3.3570478675086513</v>
      </c>
      <c r="R74" s="359">
        <f ca="1">(Geom_Interp($O74,Inflation_FWD!$J$2:$J$20,Inflation_FWD!$C$2:$C$20)/CLFCLPt)-1</f>
        <v>3.2613352668692475E-2</v>
      </c>
      <c r="S74" s="360">
        <f t="shared" ca="1" si="25"/>
        <v>0.50716545879216923</v>
      </c>
      <c r="T74" s="360">
        <f t="shared" ca="1" si="26"/>
        <v>0.51422756174024364</v>
      </c>
      <c r="U74" s="358">
        <f t="shared" ca="1" si="27"/>
        <v>2.8031425577809981</v>
      </c>
      <c r="V74" s="358">
        <f t="shared" ca="1" si="28"/>
        <v>2.8428203057684076</v>
      </c>
    </row>
    <row r="75" spans="4:22">
      <c r="D75" s="127">
        <v>2011</v>
      </c>
      <c r="E75" t="s">
        <v>512</v>
      </c>
      <c r="F75" s="432">
        <v>5.04E-2</v>
      </c>
      <c r="G75" s="127">
        <v>4.5400000000000003E-2</v>
      </c>
      <c r="H75">
        <v>4.53</v>
      </c>
      <c r="I75" s="471">
        <v>0.78044999999999998</v>
      </c>
      <c r="J75" s="257" t="s">
        <v>421</v>
      </c>
      <c r="K75" s="470">
        <f t="shared" ca="1" si="21"/>
        <v>0.69431854097559254</v>
      </c>
      <c r="L75" s="239">
        <f t="shared" ca="1" si="22"/>
        <v>4.8130581074645704</v>
      </c>
      <c r="M75">
        <f t="shared" ca="1" si="23"/>
        <v>0.69431854225956369</v>
      </c>
      <c r="N75">
        <f t="shared" ca="1" si="24"/>
        <v>-1.2839711516221541E-9</v>
      </c>
      <c r="O75" s="357">
        <v>430</v>
      </c>
      <c r="P75" s="358">
        <f ca="1">Lin_Interp($O75,Zero_swap_CL!$J$2:$J$18,Zero_swap_CL!$K$2:$K$18)</f>
        <v>3.3066309839931383</v>
      </c>
      <c r="Q75" s="358">
        <f ca="1">Lin_Interp($O75,Zero_swap_CL!$L$2:$L$18,Zero_swap_CL!$M$2:$M$18)</f>
        <v>3.3533180860115057</v>
      </c>
      <c r="R75" s="359">
        <f ca="1">(Geom_Interp($O75,Inflation_FWD!$J$2:$J$20,Inflation_FWD!$C$2:$C$20)/CLFCLPt)-1</f>
        <v>3.2994271372588591E-2</v>
      </c>
      <c r="S75" s="360">
        <f t="shared" ca="1" si="25"/>
        <v>0.53685481378478173</v>
      </c>
      <c r="T75" s="360">
        <f t="shared" ca="1" si="26"/>
        <v>0.54433145227010815</v>
      </c>
      <c r="U75" s="358">
        <f t="shared" ca="1" si="27"/>
        <v>2.7697761702083565</v>
      </c>
      <c r="V75" s="358">
        <f t="shared" ca="1" si="28"/>
        <v>2.8089866337413976</v>
      </c>
    </row>
    <row r="76" spans="4:22">
      <c r="D76" s="127">
        <v>2194</v>
      </c>
      <c r="E76" t="s">
        <v>513</v>
      </c>
      <c r="F76" s="432">
        <v>5.1400000000000001E-2</v>
      </c>
      <c r="G76" s="127">
        <v>4.5699999999999998E-2</v>
      </c>
      <c r="H76">
        <v>4.5599999999999996</v>
      </c>
      <c r="I76" s="471">
        <v>0.76154999999999995</v>
      </c>
      <c r="J76" s="257" t="s">
        <v>422</v>
      </c>
      <c r="K76" s="470">
        <f t="shared" ca="1" si="21"/>
        <v>0.6614948369530671</v>
      </c>
      <c r="L76" s="239">
        <f t="shared" ca="1" si="22"/>
        <v>5.0361381836925245</v>
      </c>
      <c r="M76">
        <f t="shared" ca="1" si="23"/>
        <v>0.66149483835579259</v>
      </c>
      <c r="N76">
        <f t="shared" ca="1" si="24"/>
        <v>-1.4027254913173692E-9</v>
      </c>
      <c r="O76" s="357">
        <v>440</v>
      </c>
      <c r="P76" s="358">
        <f ca="1">Lin_Interp($O76,Zero_swap_CL!$J$2:$J$18,Zero_swap_CL!$K$2:$K$18)</f>
        <v>3.3029539514131088</v>
      </c>
      <c r="Q76" s="358">
        <f ca="1">Lin_Interp($O76,Zero_swap_CL!$L$2:$L$18,Zero_swap_CL!$M$2:$M$18)</f>
        <v>3.3495883045143602</v>
      </c>
      <c r="R76" s="359">
        <f ca="1">(Geom_Interp($O76,Inflation_FWD!$J$2:$J$20,Inflation_FWD!$C$2:$C$20)/CLFCLPt)-1</f>
        <v>3.3355643269181057E-2</v>
      </c>
      <c r="S76" s="360">
        <f t="shared" ca="1" si="25"/>
        <v>0.56660759863182975</v>
      </c>
      <c r="T76" s="360">
        <f t="shared" ca="1" si="26"/>
        <v>0.57449978035273297</v>
      </c>
      <c r="U76" s="358">
        <f t="shared" ca="1" si="27"/>
        <v>2.736346352781279</v>
      </c>
      <c r="V76" s="358">
        <f t="shared" ca="1" si="28"/>
        <v>2.7750885241616272</v>
      </c>
    </row>
    <row r="77" spans="4:22">
      <c r="D77" s="127">
        <v>2376</v>
      </c>
      <c r="E77" t="s">
        <v>514</v>
      </c>
      <c r="F77" s="432">
        <v>5.2299999999999999E-2</v>
      </c>
      <c r="G77" s="127">
        <v>4.5999999999999999E-2</v>
      </c>
      <c r="H77">
        <v>4.59</v>
      </c>
      <c r="I77" s="471">
        <v>0.74333000000000005</v>
      </c>
      <c r="J77" s="257" t="s">
        <v>423</v>
      </c>
      <c r="K77" s="470">
        <f t="shared" ca="1" si="21"/>
        <v>0.52501110930733463</v>
      </c>
      <c r="L77" s="239">
        <f t="shared" ca="1" si="22"/>
        <v>5.9390914643621322</v>
      </c>
      <c r="M77">
        <f t="shared" ca="1" si="23"/>
        <v>0.52501105897143574</v>
      </c>
      <c r="N77">
        <f t="shared" ca="1" si="24"/>
        <v>5.033589889347212E-8</v>
      </c>
      <c r="O77" s="357">
        <v>450</v>
      </c>
      <c r="P77" s="358">
        <f ca="1">Lin_Interp($O77,Zero_swap_CL!$J$2:$J$18,Zero_swap_CL!$K$2:$K$18)</f>
        <v>3.2992769188330797</v>
      </c>
      <c r="Q77" s="358">
        <f ca="1">Lin_Interp($O77,Zero_swap_CL!$L$2:$L$18,Zero_swap_CL!$M$2:$M$18)</f>
        <v>3.3458585230172146</v>
      </c>
      <c r="R77" s="359">
        <f ca="1">(Geom_Interp($O77,Inflation_FWD!$J$2:$J$20,Inflation_FWD!$C$2:$C$20)/CLFCLPt)-1</f>
        <v>3.3539910569903464E-2</v>
      </c>
      <c r="S77" s="360">
        <f t="shared" ca="1" si="25"/>
        <v>0.60868674033378589</v>
      </c>
      <c r="T77" s="360">
        <f t="shared" ca="1" si="26"/>
        <v>0.61716682962023039</v>
      </c>
      <c r="U77" s="358">
        <f t="shared" ca="1" si="27"/>
        <v>2.6905901784992938</v>
      </c>
      <c r="V77" s="358">
        <f t="shared" ca="1" si="28"/>
        <v>2.7286916933969843</v>
      </c>
    </row>
    <row r="78" spans="4:22">
      <c r="D78" s="127">
        <v>2561</v>
      </c>
      <c r="E78" t="s">
        <v>515</v>
      </c>
      <c r="F78" s="432">
        <v>5.33E-2</v>
      </c>
      <c r="G78" s="127">
        <v>4.6199999999999998E-2</v>
      </c>
      <c r="H78">
        <v>4.6100000000000003</v>
      </c>
      <c r="I78" s="471">
        <v>0.72509000000000001</v>
      </c>
      <c r="J78" s="257" t="s">
        <v>424</v>
      </c>
      <c r="K78" s="470">
        <f t="shared" ca="1" si="21"/>
        <v>0.41573650328378747</v>
      </c>
      <c r="L78" s="239">
        <f t="shared" ca="1" si="22"/>
        <v>6.9201627989731662</v>
      </c>
      <c r="M78">
        <f t="shared" ca="1" si="23"/>
        <v>0.41573650853651006</v>
      </c>
      <c r="N78">
        <f t="shared" ca="1" si="24"/>
        <v>-5.2527225902210262E-9</v>
      </c>
      <c r="O78" s="357">
        <v>460</v>
      </c>
      <c r="P78" s="358">
        <f ca="1">Lin_Interp($O78,Zero_swap_CL!$J$2:$J$18,Zero_swap_CL!$K$2:$K$18)</f>
        <v>3.2955998862530507</v>
      </c>
      <c r="Q78" s="358">
        <f ca="1">Lin_Interp($O78,Zero_swap_CL!$L$2:$L$18,Zero_swap_CL!$M$2:$M$18)</f>
        <v>3.3421287415200691</v>
      </c>
      <c r="R78" s="359">
        <f ca="1">(Geom_Interp($O78,Inflation_FWD!$J$2:$J$20,Inflation_FWD!$C$2:$C$20)/CLFCLPt)-1</f>
        <v>3.3724210729050297E-2</v>
      </c>
      <c r="S78" s="360">
        <f t="shared" ca="1" si="25"/>
        <v>0.64879693534185545</v>
      </c>
      <c r="T78" s="360">
        <f t="shared" ca="1" si="26"/>
        <v>0.65783765218370149</v>
      </c>
      <c r="U78" s="358">
        <f t="shared" ca="1" si="27"/>
        <v>2.6468029509111952</v>
      </c>
      <c r="V78" s="358">
        <f t="shared" ca="1" si="28"/>
        <v>2.6842910893363676</v>
      </c>
    </row>
    <row r="79" spans="4:22">
      <c r="D79" s="127">
        <v>2743</v>
      </c>
      <c r="E79" t="s">
        <v>516</v>
      </c>
      <c r="F79" s="432">
        <v>5.4399999999999997E-2</v>
      </c>
      <c r="G79" s="127">
        <v>4.6600000000000003E-2</v>
      </c>
      <c r="H79">
        <v>4.6399999999999997</v>
      </c>
      <c r="I79" s="471">
        <v>0.70689999999999997</v>
      </c>
      <c r="O79" s="357">
        <v>470</v>
      </c>
      <c r="P79" s="358">
        <f ca="1">Lin_Interp($O79,Zero_swap_CL!$J$2:$J$18,Zero_swap_CL!$K$2:$K$18)</f>
        <v>3.2919228536730212</v>
      </c>
      <c r="Q79" s="358">
        <f ca="1">Lin_Interp($O79,Zero_swap_CL!$L$2:$L$18,Zero_swap_CL!$M$2:$M$18)</f>
        <v>3.3383989600229236</v>
      </c>
      <c r="R79" s="359">
        <f ca="1">(Geom_Interp($O79,Inflation_FWD!$J$2:$J$20,Inflation_FWD!$C$2:$C$20)/CLFCLPt)-1</f>
        <v>3.3908543752480425E-2</v>
      </c>
      <c r="S79" s="360">
        <f t="shared" ca="1" si="25"/>
        <v>0.68706265506321973</v>
      </c>
      <c r="T79" s="360">
        <f t="shared" ca="1" si="26"/>
        <v>0.69663842697216261</v>
      </c>
      <c r="U79" s="358">
        <f t="shared" ca="1" si="27"/>
        <v>2.6048601986098014</v>
      </c>
      <c r="V79" s="358">
        <f t="shared" ca="1" si="28"/>
        <v>2.641760533050761</v>
      </c>
    </row>
    <row r="80" spans="4:22">
      <c r="D80" s="127">
        <v>2925</v>
      </c>
      <c r="E80" t="s">
        <v>517</v>
      </c>
      <c r="F80" s="432">
        <v>5.5599999999999997E-2</v>
      </c>
      <c r="G80" s="127">
        <v>4.6899999999999997E-2</v>
      </c>
      <c r="H80">
        <v>4.67</v>
      </c>
      <c r="I80" s="471">
        <v>0.68891999999999998</v>
      </c>
      <c r="O80" s="357">
        <v>480</v>
      </c>
      <c r="P80" s="358">
        <f ca="1">Lin_Interp($O80,Zero_swap_CL!$J$2:$J$18,Zero_swap_CL!$K$2:$K$18)</f>
        <v>3.2882458210929921</v>
      </c>
      <c r="Q80" s="358">
        <f ca="1">Lin_Interp($O80,Zero_swap_CL!$L$2:$L$18,Zero_swap_CL!$M$2:$M$18)</f>
        <v>3.334669178525778</v>
      </c>
      <c r="R80" s="359">
        <f ca="1">(Geom_Interp($O80,Inflation_FWD!$J$2:$J$20,Inflation_FWD!$C$2:$C$20)/CLFCLPt)-1</f>
        <v>3.4343674465517671E-2</v>
      </c>
      <c r="S80" s="360">
        <f t="shared" ca="1" si="25"/>
        <v>0.70528307586905647</v>
      </c>
      <c r="T80" s="360">
        <f t="shared" ca="1" si="26"/>
        <v>0.71511368687857679</v>
      </c>
      <c r="U80" s="358">
        <f t="shared" ca="1" si="27"/>
        <v>2.5829627452239357</v>
      </c>
      <c r="V80" s="358">
        <f t="shared" ca="1" si="28"/>
        <v>2.6195554916472013</v>
      </c>
    </row>
    <row r="81" spans="4:22">
      <c r="D81" s="127">
        <v>3107</v>
      </c>
      <c r="E81" t="s">
        <v>518</v>
      </c>
      <c r="F81" s="432">
        <v>5.67E-2</v>
      </c>
      <c r="G81" s="127">
        <v>4.7199999999999999E-2</v>
      </c>
      <c r="H81">
        <v>4.7</v>
      </c>
      <c r="I81" s="471">
        <v>0.67144000000000004</v>
      </c>
      <c r="O81" s="357">
        <v>490</v>
      </c>
      <c r="P81" s="358">
        <f ca="1">Lin_Interp($O81,Zero_swap_CL!$J$2:$J$18,Zero_swap_CL!$K$2:$K$18)</f>
        <v>3.2845687885129631</v>
      </c>
      <c r="Q81" s="358">
        <f ca="1">Lin_Interp($O81,Zero_swap_CL!$L$2:$L$18,Zero_swap_CL!$M$2:$M$18)</f>
        <v>3.3309393970286325</v>
      </c>
      <c r="R81" s="359">
        <f ca="1">(Geom_Interp($O81,Inflation_FWD!$J$2:$J$20,Inflation_FWD!$C$2:$C$20)/CLFCLPt)-1</f>
        <v>3.4778988307651693E-2</v>
      </c>
      <c r="S81" s="360">
        <f ca="1">100*(((1+P81/100)^($O81/360)/(1+$R81))^(360/$O81)-1)</f>
        <v>0.72261642395730075</v>
      </c>
      <c r="T81" s="360">
        <f ca="1">100*(((1+Q81/100)^($O81/365)/(1+$R81))^(365/$O81)-1)</f>
        <v>0.73268950823885959</v>
      </c>
      <c r="U81" s="358">
        <f ca="1">P81-S81</f>
        <v>2.5619523645556623</v>
      </c>
      <c r="V81" s="358">
        <f ca="1">Q81-T81</f>
        <v>2.5982498887897729</v>
      </c>
    </row>
    <row r="82" spans="4:22">
      <c r="D82" s="127">
        <v>3290</v>
      </c>
      <c r="E82" t="s">
        <v>519</v>
      </c>
      <c r="F82" s="432">
        <v>5.7799999999999997E-2</v>
      </c>
      <c r="G82" s="127">
        <v>4.7500000000000001E-2</v>
      </c>
      <c r="H82">
        <v>4.72</v>
      </c>
      <c r="I82" s="471">
        <v>0.65429999999999999</v>
      </c>
      <c r="O82" s="357">
        <v>500</v>
      </c>
      <c r="P82" s="358">
        <f ca="1">Lin_Interp($O82,Zero_swap_CL!$J$2:$J$18,Zero_swap_CL!$K$2:$K$18)</f>
        <v>3.2808917559329336</v>
      </c>
      <c r="Q82" s="358">
        <f ca="1">Lin_Interp($O82,Zero_swap_CL!$L$2:$L$18,Zero_swap_CL!$M$2:$M$18)</f>
        <v>3.3272096155314865</v>
      </c>
      <c r="R82" s="359">
        <f ca="1">(Geom_Interp($O82,Inflation_FWD!$J$2:$J$20,Inflation_FWD!$C$2:$C$20)/CLFCLPt)-1</f>
        <v>3.5228050117806164E-2</v>
      </c>
      <c r="S82" s="360">
        <f ca="1">100*(((1+P82/100)^($O82/360)/(1+$R82))^(360/$O82)-1)</f>
        <v>0.73816526070038524</v>
      </c>
      <c r="T82" s="360">
        <f ca="1">100*(((1+Q82/100)^($O82/365)/(1+$R82))^(365/$O82)-1)</f>
        <v>0.74845588853662548</v>
      </c>
      <c r="U82" s="358">
        <f ca="1">P82-S82</f>
        <v>2.5427264952325483</v>
      </c>
      <c r="V82" s="358">
        <f ca="1">Q82-T82</f>
        <v>2.5787537269948611</v>
      </c>
    </row>
    <row r="83" spans="4:22">
      <c r="D83" s="127">
        <v>3472</v>
      </c>
      <c r="E83" t="s">
        <v>520</v>
      </c>
      <c r="F83" s="432">
        <v>5.8900000000000001E-2</v>
      </c>
      <c r="G83" s="127">
        <v>4.7800000000000002E-2</v>
      </c>
      <c r="H83">
        <v>4.74</v>
      </c>
      <c r="I83" s="471">
        <v>0.63768000000000002</v>
      </c>
      <c r="M83">
        <f ca="1">Lin_Interp(271,O23:O94,P23:P94)/12</f>
        <v>0.28137793701116443</v>
      </c>
      <c r="O83" s="357">
        <f>J28</f>
        <v>552</v>
      </c>
      <c r="P83" s="358">
        <f ca="1">Lin_Interp($O83,Zero_swap_CL!$J$2:$J$18,Zero_swap_CL!$K$2:$K$18)</f>
        <v>3.261771186516782</v>
      </c>
      <c r="Q83" s="358">
        <f ca="1">Lin_Interp($O83,Zero_swap_CL!$L$2:$L$18,Zero_swap_CL!$M$2:$M$18)</f>
        <v>3.3078147517463297</v>
      </c>
      <c r="R83" s="359"/>
      <c r="S83" s="358">
        <f t="shared" ref="S83:S94" ca="1" si="29">K28</f>
        <v>0.76842726234949144</v>
      </c>
      <c r="T83" s="358">
        <f t="shared" ref="T83:T94" ca="1" si="30">M28</f>
        <v>0.77914133371124183</v>
      </c>
      <c r="U83" s="358">
        <f t="shared" ca="1" si="14"/>
        <v>2.4933439241672906</v>
      </c>
      <c r="V83" s="358">
        <f t="shared" ca="1" si="15"/>
        <v>2.5286734180350878</v>
      </c>
    </row>
    <row r="84" spans="4:22">
      <c r="D84" s="127">
        <v>3655</v>
      </c>
      <c r="E84" t="s">
        <v>521</v>
      </c>
      <c r="F84" s="432">
        <v>0.06</v>
      </c>
      <c r="G84" s="127">
        <v>4.8000000000000001E-2</v>
      </c>
      <c r="H84">
        <v>4.76</v>
      </c>
      <c r="I84" s="471">
        <v>0.62139999999999995</v>
      </c>
      <c r="O84" s="357">
        <f t="shared" ref="O84:O94" si="31">J29</f>
        <v>736</v>
      </c>
      <c r="P84" s="358">
        <f ca="1">Lin_Interp($O84,Zero_swap_CL!$J$2:$J$18,Zero_swap_CL!$K$2:$K$18)</f>
        <v>3.2642728130013698</v>
      </c>
      <c r="Q84" s="358">
        <f ca="1">Lin_Interp($O84,Zero_swap_CL!$L$2:$L$18,Zero_swap_CL!$M$2:$M$18)</f>
        <v>3.3103522531328355</v>
      </c>
      <c r="R84" s="359"/>
      <c r="S84" s="358">
        <f t="shared" ca="1" si="29"/>
        <v>0.55028137156433921</v>
      </c>
      <c r="T84" s="358">
        <f t="shared" ca="1" si="30"/>
        <v>0.55794544833204629</v>
      </c>
      <c r="U84" s="358">
        <f t="shared" ca="1" si="14"/>
        <v>2.7139914414370305</v>
      </c>
      <c r="V84" s="358">
        <f t="shared" ca="1" si="15"/>
        <v>2.7524068048007893</v>
      </c>
    </row>
    <row r="85" spans="4:22">
      <c r="M85" s="167"/>
      <c r="O85" s="357">
        <f t="shared" si="31"/>
        <v>1101</v>
      </c>
      <c r="P85" s="358">
        <f ca="1">Lin_Interp($O85,Zero_swap_CL!$J$2:$J$18,Zero_swap_CL!$K$2:$K$18)</f>
        <v>3.3597449502294414</v>
      </c>
      <c r="Q85" s="358">
        <f ca="1">Lin_Interp($O85,Zero_swap_CL!$L$2:$L$18,Zero_swap_CL!$M$2:$M$18)</f>
        <v>3.4071942067617598</v>
      </c>
      <c r="R85" s="359"/>
      <c r="S85" s="358">
        <f t="shared" ca="1" si="29"/>
        <v>0.52998753898238404</v>
      </c>
      <c r="T85" s="358">
        <f t="shared" ca="1" si="30"/>
        <v>0.5373682180667011</v>
      </c>
      <c r="U85" s="358">
        <f t="shared" ca="1" si="14"/>
        <v>2.8297574112470576</v>
      </c>
      <c r="V85" s="358">
        <f t="shared" ca="1" si="15"/>
        <v>2.8698259886950588</v>
      </c>
    </row>
    <row r="86" spans="4:22">
      <c r="O86" s="357">
        <f t="shared" si="31"/>
        <v>1467</v>
      </c>
      <c r="P86" s="358">
        <f ca="1">Lin_Interp($O86,Zero_swap_CL!$J$2:$J$18,Zero_swap_CL!$K$2:$K$18)</f>
        <v>3.4880659578104662</v>
      </c>
      <c r="Q86" s="358">
        <f ca="1">Lin_Interp($O86,Zero_swap_CL!$L$2:$L$18,Zero_swap_CL!$M$2:$M$18)</f>
        <v>3.5373582947383317</v>
      </c>
      <c r="R86" s="359"/>
      <c r="S86" s="358">
        <f t="shared" ca="1" si="29"/>
        <v>0.6414805588858371</v>
      </c>
      <c r="T86" s="358">
        <f t="shared" ca="1" si="30"/>
        <v>0.6504189213893744</v>
      </c>
      <c r="U86" s="358">
        <f t="shared" ca="1" si="14"/>
        <v>2.846585398924629</v>
      </c>
      <c r="V86" s="358">
        <f t="shared" ca="1" si="15"/>
        <v>2.8869393733489574</v>
      </c>
    </row>
    <row r="87" spans="4:22">
      <c r="O87" s="357">
        <f t="shared" si="31"/>
        <v>1832</v>
      </c>
      <c r="P87" s="358">
        <f ca="1">Lin_Interp($O87,Zero_swap_CL!$J$2:$J$18,Zero_swap_CL!$K$2:$K$18)</f>
        <v>3.6291618310676892</v>
      </c>
      <c r="Q87" s="358">
        <f ca="1">Lin_Interp($O87,Zero_swap_CL!$L$2:$L$18,Zero_swap_CL!$M$2:$M$18)</f>
        <v>3.6804833211842762</v>
      </c>
      <c r="R87" s="359"/>
      <c r="S87" s="358">
        <f t="shared" ca="1" si="29"/>
        <v>0.77402005222380721</v>
      </c>
      <c r="T87" s="358">
        <f t="shared" ca="1" si="30"/>
        <v>0.78481240329477031</v>
      </c>
      <c r="U87" s="358">
        <f t="shared" ca="1" si="14"/>
        <v>2.855141778843882</v>
      </c>
      <c r="V87" s="358">
        <f t="shared" ca="1" si="15"/>
        <v>2.8956709178895057</v>
      </c>
    </row>
    <row r="88" spans="4:22">
      <c r="G88">
        <f ca="1">+(100-E8/2*(K64+K66+K67))/(E8/2+100)</f>
        <v>0.93780340390356665</v>
      </c>
      <c r="O88" s="357">
        <f t="shared" si="31"/>
        <v>2197</v>
      </c>
      <c r="P88" s="358">
        <f ca="1">Lin_Interp($O88,Zero_swap_CL!$J$2:$J$18,Zero_swap_CL!$K$2:$K$18)</f>
        <v>3.7162459258652421</v>
      </c>
      <c r="Q88" s="358">
        <f ca="1">Lin_Interp($O88,Zero_swap_CL!$L$2:$L$18,Zero_swap_CL!$M$2:$M$18)</f>
        <v>3.7688211584484743</v>
      </c>
      <c r="R88" s="359"/>
      <c r="S88" s="358">
        <f t="shared" ca="1" si="29"/>
        <v>0.85593568498387007</v>
      </c>
      <c r="T88" s="358">
        <f t="shared" ca="1" si="30"/>
        <v>0.86787511617888613</v>
      </c>
      <c r="U88" s="358">
        <f t="shared" ca="1" si="14"/>
        <v>2.8603102408813719</v>
      </c>
      <c r="V88" s="358">
        <f t="shared" ca="1" si="15"/>
        <v>2.9009460422695881</v>
      </c>
    </row>
    <row r="89" spans="4:22">
      <c r="O89" s="357">
        <f t="shared" si="31"/>
        <v>2562</v>
      </c>
      <c r="P89" s="358">
        <f ca="1">Lin_Interp($O89,Zero_swap_CL!$J$2:$J$18,Zero_swap_CL!$K$2:$K$18)</f>
        <v>3.8628949213097674</v>
      </c>
      <c r="Q89" s="358">
        <f ca="1">Lin_Interp($O89,Zero_swap_CL!$L$2:$L$18,Zero_swap_CL!$M$2:$M$18)</f>
        <v>3.9175837712231423</v>
      </c>
      <c r="R89" s="359"/>
      <c r="S89" s="358">
        <f t="shared" ca="1" si="29"/>
        <v>0.93839568278280028</v>
      </c>
      <c r="T89" s="358">
        <f t="shared" ca="1" si="30"/>
        <v>0.95149076329919735</v>
      </c>
      <c r="U89" s="358">
        <f t="shared" ca="1" si="14"/>
        <v>2.924499238526967</v>
      </c>
      <c r="V89" s="358">
        <f t="shared" ca="1" si="15"/>
        <v>2.9660930079239449</v>
      </c>
    </row>
    <row r="90" spans="4:22">
      <c r="O90" s="357">
        <f t="shared" si="31"/>
        <v>2928</v>
      </c>
      <c r="P90" s="358">
        <f ca="1">Lin_Interp($O90,Zero_swap_CL!$J$2:$J$18,Zero_swap_CL!$K$2:$K$18)</f>
        <v>3.9768251133844701</v>
      </c>
      <c r="Q90" s="358">
        <f ca="1">Lin_Interp($O90,Zero_swap_CL!$L$2:$L$18,Zero_swap_CL!$M$2:$M$18)</f>
        <v>4.0331580271203462</v>
      </c>
      <c r="R90" s="359"/>
      <c r="S90" s="358">
        <f t="shared" ca="1" si="29"/>
        <v>1.0214797895474765</v>
      </c>
      <c r="T90" s="358">
        <f t="shared" ca="1" si="30"/>
        <v>1.0357402254730612</v>
      </c>
      <c r="U90" s="358">
        <f t="shared" ca="1" si="14"/>
        <v>2.9553453238369936</v>
      </c>
      <c r="V90" s="358">
        <f t="shared" ca="1" si="15"/>
        <v>2.997417801647285</v>
      </c>
    </row>
    <row r="91" spans="4:22">
      <c r="O91" s="357">
        <f t="shared" si="31"/>
        <v>3293</v>
      </c>
      <c r="P91" s="358">
        <f ca="1">Lin_Interp($O91,Zero_swap_CL!$J$2:$J$18,Zero_swap_CL!$K$2:$K$18)</f>
        <v>4.0689662588091506</v>
      </c>
      <c r="Q91" s="358">
        <f ca="1">Lin_Interp($O91,Zero_swap_CL!$L$2:$L$18,Zero_swap_CL!$M$2:$M$18)</f>
        <v>4.1266300987228561</v>
      </c>
      <c r="R91" s="359"/>
      <c r="S91" s="358">
        <f t="shared" ca="1" si="29"/>
        <v>1.1052958943630189</v>
      </c>
      <c r="T91" s="358">
        <f t="shared" ca="1" si="30"/>
        <v>1.1207329279298874</v>
      </c>
      <c r="U91" s="358">
        <f t="shared" ca="1" si="14"/>
        <v>2.9636703644461315</v>
      </c>
      <c r="V91" s="358">
        <f t="shared" ca="1" si="15"/>
        <v>3.0058971707929687</v>
      </c>
    </row>
    <row r="92" spans="4:22">
      <c r="D92" s="257" t="s">
        <v>410</v>
      </c>
      <c r="E92">
        <f ca="1">$E$8*(J4-J2)/360</f>
        <v>1.6739999999999999</v>
      </c>
      <c r="F92" s="470">
        <f ca="1">K64</f>
        <v>0.98269555027265709</v>
      </c>
      <c r="G92">
        <f ca="1">E92*F92</f>
        <v>1.645032351156428</v>
      </c>
      <c r="H92" s="471">
        <v>0.98212999999999995</v>
      </c>
      <c r="I92">
        <f ca="1">H92*E92</f>
        <v>1.6440856199999998</v>
      </c>
      <c r="O92" s="357">
        <f t="shared" si="31"/>
        <v>3658</v>
      </c>
      <c r="P92" s="358">
        <f ca="1">Lin_Interp($O92,Zero_swap_CL!$J$2:$J$18,Zero_swap_CL!$K$2:$K$18)</f>
        <v>4.1508424014773286</v>
      </c>
      <c r="Q92" s="358">
        <f ca="1">Lin_Interp($O92,Zero_swap_CL!$L$2:$L$18,Zero_swap_CL!$M$2:$M$18)</f>
        <v>4.2096898600879014</v>
      </c>
      <c r="R92" s="359"/>
      <c r="S92" s="358">
        <f t="shared" ca="1" si="29"/>
        <v>1.168397667958313</v>
      </c>
      <c r="T92" s="358">
        <f t="shared" ca="1" si="30"/>
        <v>1.1847211604710584</v>
      </c>
      <c r="U92" s="358">
        <f t="shared" ca="1" si="14"/>
        <v>2.9824447335190154</v>
      </c>
      <c r="V92" s="358">
        <f t="shared" ca="1" si="15"/>
        <v>3.024968699616843</v>
      </c>
    </row>
    <row r="93" spans="4:22">
      <c r="D93" s="257" t="s">
        <v>412</v>
      </c>
      <c r="E93">
        <f ca="1">$E$8*(J6-J4)/360</f>
        <v>1.6560000000000001</v>
      </c>
      <c r="F93" s="470">
        <f ca="1">K66</f>
        <v>0.96682111634000201</v>
      </c>
      <c r="G93">
        <f ca="1">E93*F93</f>
        <v>1.6010557686590434</v>
      </c>
      <c r="H93" s="471">
        <v>0.96279000000000003</v>
      </c>
      <c r="I93">
        <f ca="1">H93*E93</f>
        <v>1.5943802400000002</v>
      </c>
      <c r="O93" s="357">
        <f t="shared" si="31"/>
        <v>5484</v>
      </c>
      <c r="P93" s="358">
        <f ca="1">Lin_Interp($O93,Zero_swap_CL!$J$2:$J$18,Zero_swap_CL!$K$2:$K$18)</f>
        <v>4.3205055788429991</v>
      </c>
      <c r="Q93" s="358">
        <f ca="1">Lin_Interp($O93,Zero_swap_CL!$L$2:$L$18,Zero_swap_CL!$M$2:$M$18)</f>
        <v>4.381809299457311</v>
      </c>
      <c r="R93" s="359"/>
      <c r="S93" s="358">
        <f t="shared" ca="1" si="29"/>
        <v>1.2119230366690041</v>
      </c>
      <c r="T93" s="358">
        <f t="shared" ca="1" si="30"/>
        <v>1.2288584134276801</v>
      </c>
      <c r="U93" s="358">
        <f t="shared" ca="1" si="14"/>
        <v>3.1085825421739948</v>
      </c>
      <c r="V93" s="358">
        <f t="shared" ca="1" si="15"/>
        <v>3.1529508860296307</v>
      </c>
    </row>
    <row r="94" spans="4:22">
      <c r="D94" s="257" t="s">
        <v>413</v>
      </c>
      <c r="E94">
        <f ca="1">$E$8*(J7-J6)/360</f>
        <v>1.6290000000000002</v>
      </c>
      <c r="F94" s="470">
        <f ca="1">K67</f>
        <v>0.95197598481915624</v>
      </c>
      <c r="G94">
        <f ca="1">E94*F94</f>
        <v>1.5507688792704057</v>
      </c>
      <c r="H94" s="471">
        <v>0.94276000000000004</v>
      </c>
      <c r="I94">
        <f ca="1">H94*E94</f>
        <v>1.5357560400000003</v>
      </c>
      <c r="O94" s="357">
        <f t="shared" si="31"/>
        <v>7311</v>
      </c>
      <c r="P94" s="358">
        <f ca="1">Lin_Interp($O94,Zero_swap_CL!$J$2:$J$18,Zero_swap_CL!$K$2:$K$18)</f>
        <v>4.4166427455945811</v>
      </c>
      <c r="Q94" s="358">
        <f ca="1">Lin_Interp($O94,Zero_swap_CL!$L$2:$L$18,Zero_swap_CL!$M$2:$M$18)</f>
        <v>4.4793388754447934</v>
      </c>
      <c r="R94" s="359"/>
      <c r="S94" s="358">
        <f t="shared" ca="1" si="29"/>
        <v>1.2823917782683134</v>
      </c>
      <c r="T94" s="358">
        <f t="shared" ca="1" si="30"/>
        <v>1.3003180699184478</v>
      </c>
      <c r="U94" s="358">
        <f t="shared" ca="1" si="14"/>
        <v>3.1342509673262677</v>
      </c>
      <c r="V94" s="358">
        <f t="shared" ca="1" si="15"/>
        <v>3.1790208055263456</v>
      </c>
    </row>
    <row r="95" spans="4:22">
      <c r="D95" s="257" t="s">
        <v>414</v>
      </c>
      <c r="E95">
        <f ca="1">$E$8*(J8-J7)/360</f>
        <v>1.6560000000000001</v>
      </c>
      <c r="F95" s="470">
        <f ca="1">K68</f>
        <v>0.93643969271497229</v>
      </c>
      <c r="G95">
        <f ca="1">(100+E95)*F95</f>
        <v>95.194713402633226</v>
      </c>
      <c r="H95" s="471">
        <v>0.92301999999999995</v>
      </c>
      <c r="I95">
        <f ca="1">(100+E95)*H95</f>
        <v>93.83052112</v>
      </c>
    </row>
    <row r="96" spans="4:22">
      <c r="G96">
        <f ca="1">100-SUM(G92:G95)</f>
        <v>8.4295982808981762E-3</v>
      </c>
      <c r="I96">
        <f ca="1">100-SUM(I92:I95)</f>
        <v>1.3952569799999992</v>
      </c>
    </row>
    <row r="97" spans="4:5">
      <c r="D97" s="257"/>
    </row>
    <row r="98" spans="4:5">
      <c r="D98" s="257"/>
    </row>
    <row r="100" spans="4:5">
      <c r="E100">
        <f ca="1">E8/2</f>
        <v>1.62</v>
      </c>
    </row>
  </sheetData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AP184"/>
  <sheetViews>
    <sheetView zoomScale="85" zoomScaleNormal="85" workbookViewId="0">
      <selection activeCell="F39" sqref="F39"/>
    </sheetView>
  </sheetViews>
  <sheetFormatPr baseColWidth="10" defaultColWidth="11.42578125" defaultRowHeight="12.75"/>
  <cols>
    <col min="1" max="1" width="20.28515625" bestFit="1" customWidth="1"/>
    <col min="2" max="2" width="14.140625" bestFit="1" customWidth="1"/>
    <col min="3" max="3" width="10.28515625" bestFit="1" customWidth="1"/>
    <col min="4" max="4" width="10.5703125" bestFit="1" customWidth="1"/>
    <col min="5" max="5" width="10.85546875" bestFit="1" customWidth="1"/>
    <col min="6" max="6" width="15.7109375" bestFit="1" customWidth="1"/>
    <col min="7" max="7" width="8.42578125" bestFit="1" customWidth="1"/>
    <col min="8" max="8" width="7.85546875" bestFit="1" customWidth="1"/>
    <col min="9" max="9" width="14.28515625" bestFit="1" customWidth="1"/>
    <col min="10" max="10" width="13.85546875" bestFit="1" customWidth="1"/>
    <col min="11" max="11" width="3.5703125" customWidth="1"/>
    <col min="12" max="12" width="16.85546875" bestFit="1" customWidth="1"/>
    <col min="13" max="13" width="9.42578125" bestFit="1" customWidth="1"/>
    <col min="14" max="14" width="9.140625" bestFit="1" customWidth="1"/>
    <col min="15" max="15" width="13.7109375" bestFit="1" customWidth="1"/>
    <col min="16" max="16" width="12.28515625" bestFit="1" customWidth="1"/>
    <col min="17" max="17" width="8.85546875" bestFit="1" customWidth="1"/>
    <col min="18" max="18" width="8.42578125" style="238" bestFit="1" customWidth="1"/>
    <col min="19" max="19" width="25.42578125" bestFit="1" customWidth="1"/>
    <col min="20" max="20" width="21.5703125" bestFit="1" customWidth="1"/>
    <col min="21" max="21" width="14" bestFit="1" customWidth="1"/>
    <col min="23" max="23" width="14.5703125" bestFit="1" customWidth="1"/>
    <col min="24" max="24" width="8.7109375" bestFit="1" customWidth="1"/>
    <col min="25" max="25" width="10.42578125" bestFit="1" customWidth="1"/>
    <col min="26" max="34" width="13.7109375" bestFit="1" customWidth="1"/>
    <col min="35" max="42" width="14.5703125" bestFit="1" customWidth="1"/>
  </cols>
  <sheetData>
    <row r="1" spans="1:42" ht="15">
      <c r="A1" s="248" t="s">
        <v>94</v>
      </c>
      <c r="B1" s="248" t="s">
        <v>233</v>
      </c>
      <c r="C1" s="248" t="s">
        <v>187</v>
      </c>
      <c r="D1" s="248" t="s">
        <v>277</v>
      </c>
      <c r="E1" s="248" t="s">
        <v>237</v>
      </c>
      <c r="F1" s="248" t="s">
        <v>238</v>
      </c>
      <c r="G1" s="248" t="s">
        <v>236</v>
      </c>
      <c r="H1" s="248" t="s">
        <v>94</v>
      </c>
      <c r="I1" s="248" t="s">
        <v>235</v>
      </c>
      <c r="J1" s="248" t="s">
        <v>260</v>
      </c>
      <c r="K1" s="128"/>
      <c r="M1" s="128"/>
      <c r="O1" s="261" t="s">
        <v>234</v>
      </c>
      <c r="P1" s="239">
        <f ca="1">_xll.BDH($A3,"PX_LAST",fechaHoy)</f>
        <v>26254.74</v>
      </c>
      <c r="S1" s="298"/>
      <c r="T1" s="298"/>
      <c r="U1" s="298"/>
    </row>
    <row r="2" spans="1:42" ht="15">
      <c r="A2" s="274" t="s">
        <v>234</v>
      </c>
      <c r="B2" s="253">
        <f ca="1">fechaHoy</f>
        <v>42670</v>
      </c>
      <c r="C2" s="254">
        <f ca="1">_xll.BDH($A2,C$1,B2)</f>
        <v>26254.74</v>
      </c>
      <c r="D2" s="255"/>
      <c r="E2" s="254"/>
      <c r="F2" s="256"/>
      <c r="G2" s="257"/>
      <c r="H2" s="257"/>
      <c r="I2" s="258"/>
      <c r="J2" s="256">
        <v>0</v>
      </c>
      <c r="K2" s="128"/>
      <c r="L2" s="128"/>
      <c r="M2" s="128"/>
      <c r="O2" s="261" t="s">
        <v>396</v>
      </c>
      <c r="P2" s="239" t="e">
        <f ca="1">IF(DAY(fechaHoy)&gt;=9,_xll.BDH("CNPINSMO Index","PX_LAST",DATE(YEAR(fechaHoy),MONTH(fechaHoy),1)-1),_xll.BDH("CNPINSMO Index","PX_LAST",DATE(YEAR(EDATE(fechaHoy,-1)),MONTH(EDATE(fechaHoy,-1)),1)-1))</f>
        <v>#N/A</v>
      </c>
      <c r="S2" s="298"/>
      <c r="T2" s="307"/>
      <c r="U2" s="307"/>
    </row>
    <row r="3" spans="1:42" ht="15">
      <c r="A3" s="261" t="s">
        <v>234</v>
      </c>
      <c r="B3" s="253">
        <f>DATE(YEAR(EDATE(B4,-1)),MONTH(EDATE(B4,-1)),9)</f>
        <v>42683</v>
      </c>
      <c r="C3" s="254">
        <f>_xll.BDH($A3,C$1,B3)</f>
        <v>26276.75</v>
      </c>
      <c r="D3" s="255">
        <f>B3</f>
        <v>42683</v>
      </c>
      <c r="E3" s="254">
        <f>C3</f>
        <v>26276.75</v>
      </c>
      <c r="F3" s="256"/>
      <c r="G3" s="257"/>
      <c r="H3" s="257"/>
      <c r="I3" s="258"/>
      <c r="J3" s="256">
        <f t="shared" ref="J3:J20" ca="1" si="0">B3-fechaHoy</f>
        <v>13</v>
      </c>
      <c r="K3" s="271"/>
      <c r="L3" s="128" t="s">
        <v>232</v>
      </c>
      <c r="U3" s="307"/>
      <c r="Y3" s="447" t="s">
        <v>234</v>
      </c>
      <c r="Z3" s="447" t="s">
        <v>472</v>
      </c>
      <c r="AA3" s="447" t="s">
        <v>473</v>
      </c>
      <c r="AB3" s="447" t="s">
        <v>474</v>
      </c>
      <c r="AC3" s="447" t="s">
        <v>475</v>
      </c>
      <c r="AD3" s="447" t="s">
        <v>476</v>
      </c>
      <c r="AE3" s="447" t="s">
        <v>477</v>
      </c>
      <c r="AF3" s="447" t="s">
        <v>478</v>
      </c>
      <c r="AG3" s="447" t="s">
        <v>479</v>
      </c>
      <c r="AH3" s="447" t="s">
        <v>480</v>
      </c>
      <c r="AI3" s="447" t="s">
        <v>481</v>
      </c>
      <c r="AJ3" s="447" t="s">
        <v>482</v>
      </c>
      <c r="AK3" s="447" t="s">
        <v>483</v>
      </c>
      <c r="AL3" s="447" t="s">
        <v>484</v>
      </c>
      <c r="AM3" s="447" t="s">
        <v>485</v>
      </c>
      <c r="AN3" s="447" t="s">
        <v>486</v>
      </c>
      <c r="AO3" s="447" t="s">
        <v>487</v>
      </c>
      <c r="AP3" s="290"/>
    </row>
    <row r="4" spans="1:42" ht="15">
      <c r="A4" s="465" t="s">
        <v>472</v>
      </c>
      <c r="B4" s="253" t="str">
        <f>_xll.BDP($A4,B$1)</f>
        <v>09-12-2016</v>
      </c>
      <c r="C4" s="254">
        <f>_xll.BDP($A4,C$1)</f>
        <v>26369</v>
      </c>
      <c r="D4" s="255">
        <f>EDATE(D3,1)</f>
        <v>42713</v>
      </c>
      <c r="E4" s="254">
        <f t="shared" ref="E4:E20" si="1">C4*(1+I4)^((DATE(YEAR(B4),MONTH(B4),9)-B4)/G4)</f>
        <v>26369</v>
      </c>
      <c r="F4" s="256">
        <f>B4-D3</f>
        <v>30</v>
      </c>
      <c r="G4" s="259">
        <f t="shared" ref="G4:G20" si="2" xml:space="preserve"> DAY(DATE(YEAR(B4),MONTH(B4),1)-1)</f>
        <v>30</v>
      </c>
      <c r="H4" s="258">
        <f t="shared" ref="H4:H20" si="3">DATE(YEAR(EDATE(B4,-2)),MONTH(EDATE(B4,-2)),1)</f>
        <v>42644</v>
      </c>
      <c r="I4" s="260">
        <f t="shared" ref="I4:I20" si="4">(C4/E3)^(G4/F4)-1</f>
        <v>3.510708135519014E-3</v>
      </c>
      <c r="J4" s="256">
        <f t="shared" ca="1" si="0"/>
        <v>43</v>
      </c>
      <c r="K4" s="271"/>
      <c r="L4" s="128" t="s">
        <v>156</v>
      </c>
      <c r="M4" s="128" t="s">
        <v>187</v>
      </c>
      <c r="N4" s="128" t="s">
        <v>306</v>
      </c>
      <c r="O4" s="428" t="s">
        <v>432</v>
      </c>
      <c r="P4" s="428" t="s">
        <v>433</v>
      </c>
      <c r="Q4" s="428" t="s">
        <v>582</v>
      </c>
      <c r="R4" s="561"/>
      <c r="S4" s="431" t="s">
        <v>434</v>
      </c>
      <c r="T4" s="431" t="s">
        <v>435</v>
      </c>
      <c r="U4" s="307"/>
      <c r="Y4" s="448">
        <f t="shared" ref="Y4:AO4" si="5">VLOOKUP(Y$3,$W$5:$X$22,2,0)</f>
        <v>42683</v>
      </c>
      <c r="Z4" s="448" t="str">
        <f t="shared" si="5"/>
        <v>09-12-2016</v>
      </c>
      <c r="AA4" s="448" t="str">
        <f t="shared" si="5"/>
        <v>09-01-2017</v>
      </c>
      <c r="AB4" s="448" t="str">
        <f t="shared" si="5"/>
        <v>09-02-2017</v>
      </c>
      <c r="AC4" s="448" t="str">
        <f t="shared" si="5"/>
        <v>09-03-2017</v>
      </c>
      <c r="AD4" s="448" t="str">
        <f t="shared" si="5"/>
        <v>07-04-2017</v>
      </c>
      <c r="AE4" s="448" t="str">
        <f t="shared" si="5"/>
        <v>09-05-2017</v>
      </c>
      <c r="AF4" s="448" t="str">
        <f t="shared" si="5"/>
        <v>09-06-2017</v>
      </c>
      <c r="AG4" s="448" t="str">
        <f t="shared" si="5"/>
        <v>07-07-2017</v>
      </c>
      <c r="AH4" s="448" t="str">
        <f t="shared" si="5"/>
        <v>09-08-2017</v>
      </c>
      <c r="AI4" s="448" t="str">
        <f t="shared" si="5"/>
        <v>08-09-2017</v>
      </c>
      <c r="AJ4" s="448" t="str">
        <f t="shared" si="5"/>
        <v>06-10-2017</v>
      </c>
      <c r="AK4" s="448" t="str">
        <f t="shared" si="5"/>
        <v>09-11-2017</v>
      </c>
      <c r="AL4" s="448" t="str">
        <f t="shared" si="5"/>
        <v>07-12-2017</v>
      </c>
      <c r="AM4" s="448" t="str">
        <f t="shared" si="5"/>
        <v>09-01-2018</v>
      </c>
      <c r="AN4" s="448" t="str">
        <f t="shared" si="5"/>
        <v>09-02-2018</v>
      </c>
      <c r="AO4" s="448" t="str">
        <f t="shared" si="5"/>
        <v>09-03-2018</v>
      </c>
      <c r="AP4" s="290"/>
    </row>
    <row r="5" spans="1:42" ht="15">
      <c r="A5" s="261" t="s">
        <v>473</v>
      </c>
      <c r="B5" s="253" t="str">
        <f>_xll.BDP($A5,B$1)</f>
        <v>09-01-2017</v>
      </c>
      <c r="C5" s="254">
        <f>_xll.BDP($A5,C$1)</f>
        <v>26379</v>
      </c>
      <c r="D5" s="255">
        <f t="shared" ref="D5:D20" si="6">EDATE(D4,1)</f>
        <v>42744</v>
      </c>
      <c r="E5" s="254">
        <f t="shared" si="1"/>
        <v>26379</v>
      </c>
      <c r="F5" s="256">
        <f>B5-D4</f>
        <v>31</v>
      </c>
      <c r="G5" s="259">
        <f t="shared" si="2"/>
        <v>31</v>
      </c>
      <c r="H5" s="258">
        <f t="shared" si="3"/>
        <v>42675</v>
      </c>
      <c r="I5" s="260">
        <f t="shared" si="4"/>
        <v>3.7923319048882576E-4</v>
      </c>
      <c r="J5" s="256">
        <f t="shared" ca="1" si="0"/>
        <v>74</v>
      </c>
      <c r="K5" s="271"/>
      <c r="L5" s="563" t="e">
        <f>+_xll.BDH(L$3,M$4:M$4,"01-01-2013","","Dir=V","Dts=S","Sort=A","Quote=C","QtTyp=Y","Days=T","Per=cd","DtFmt=D","UseDPDF=Y","cols=2;rows=45")</f>
        <v>#N/A</v>
      </c>
      <c r="M5">
        <v>0.2</v>
      </c>
      <c r="N5" t="e">
        <f>YEAR(L5)</f>
        <v>#N/A</v>
      </c>
      <c r="O5" s="429" t="e">
        <f>IF(L5&lt;&gt;"",L5,DATE(YEAR(EDATE(O4,1)),MONTH(EDATE(O4,1)),1))</f>
        <v>#N/A</v>
      </c>
      <c r="P5" s="430" t="e">
        <f t="shared" ref="P5:P36" si="7">VLOOKUP(O5,$H:$I,2,0)</f>
        <v>#N/A</v>
      </c>
      <c r="Q5" s="430"/>
      <c r="R5" s="562">
        <v>98.879610118985198</v>
      </c>
      <c r="S5" s="298"/>
      <c r="T5" s="307"/>
      <c r="U5" s="307"/>
      <c r="W5" s="447" t="s">
        <v>234</v>
      </c>
      <c r="X5" s="448">
        <f t="shared" ref="X5:X22" si="8">B3</f>
        <v>42683</v>
      </c>
      <c r="Y5" s="450">
        <f>EDATE(Y4,-1)</f>
        <v>42652</v>
      </c>
      <c r="Z5" s="450">
        <f>EDATE(Z4,-1)</f>
        <v>42683</v>
      </c>
      <c r="AA5" s="450">
        <f t="shared" ref="AA5:AO5" si="9">EDATE(AA4,-1)</f>
        <v>42713</v>
      </c>
      <c r="AB5" s="450">
        <f t="shared" si="9"/>
        <v>42744</v>
      </c>
      <c r="AC5" s="450">
        <f t="shared" si="9"/>
        <v>42775</v>
      </c>
      <c r="AD5" s="450">
        <f t="shared" si="9"/>
        <v>42801</v>
      </c>
      <c r="AE5" s="450">
        <f t="shared" si="9"/>
        <v>42834</v>
      </c>
      <c r="AF5" s="450">
        <f t="shared" si="9"/>
        <v>42864</v>
      </c>
      <c r="AG5" s="450">
        <f t="shared" si="9"/>
        <v>42893</v>
      </c>
      <c r="AH5" s="450">
        <f t="shared" si="9"/>
        <v>42925</v>
      </c>
      <c r="AI5" s="450">
        <f t="shared" si="9"/>
        <v>42955</v>
      </c>
      <c r="AJ5" s="450">
        <f t="shared" si="9"/>
        <v>42984</v>
      </c>
      <c r="AK5" s="450">
        <f t="shared" si="9"/>
        <v>43017</v>
      </c>
      <c r="AL5" s="450">
        <f t="shared" si="9"/>
        <v>43046</v>
      </c>
      <c r="AM5" s="450">
        <f t="shared" si="9"/>
        <v>43078</v>
      </c>
      <c r="AN5" s="450">
        <f t="shared" si="9"/>
        <v>43109</v>
      </c>
      <c r="AO5" s="450">
        <f t="shared" si="9"/>
        <v>43140</v>
      </c>
      <c r="AP5" s="290"/>
    </row>
    <row r="6" spans="1:42" ht="15">
      <c r="A6" s="261" t="s">
        <v>474</v>
      </c>
      <c r="B6" s="253" t="str">
        <f>_xll.BDP($A6,B$1)</f>
        <v>09-02-2017</v>
      </c>
      <c r="C6" s="254">
        <f>_xll.BDP($A6,C$1)</f>
        <v>26391</v>
      </c>
      <c r="D6" s="255">
        <f t="shared" si="6"/>
        <v>42775</v>
      </c>
      <c r="E6" s="254">
        <f t="shared" si="1"/>
        <v>26391</v>
      </c>
      <c r="F6" s="256">
        <f>B6-D5</f>
        <v>31</v>
      </c>
      <c r="G6" s="259">
        <f t="shared" si="2"/>
        <v>31</v>
      </c>
      <c r="H6" s="258">
        <f t="shared" si="3"/>
        <v>42705</v>
      </c>
      <c r="I6" s="260">
        <f t="shared" si="4"/>
        <v>4.5490731263497786E-4</v>
      </c>
      <c r="J6" s="256">
        <f t="shared" ca="1" si="0"/>
        <v>105</v>
      </c>
      <c r="K6" s="271"/>
      <c r="L6" s="167">
        <v>41333</v>
      </c>
      <c r="M6">
        <v>0.1</v>
      </c>
      <c r="N6">
        <f t="shared" ref="N6:N69" si="10">YEAR(L6)</f>
        <v>2013</v>
      </c>
      <c r="O6" s="429">
        <f t="shared" ref="O6:O69" si="11">IF(L6&lt;&gt;"",L6,DATE(YEAR(EDATE(O5,1)),MONTH(EDATE(O5,1)),1))</f>
        <v>41333</v>
      </c>
      <c r="P6" s="430" t="e">
        <f t="shared" si="7"/>
        <v>#N/A</v>
      </c>
      <c r="Q6" s="430">
        <f>+R6/R5-1</f>
        <v>1.1869996468791832E-3</v>
      </c>
      <c r="R6" s="562">
        <v>98.996980181279994</v>
      </c>
      <c r="S6" s="298"/>
      <c r="T6" s="307"/>
      <c r="W6" s="447" t="s">
        <v>472</v>
      </c>
      <c r="X6" s="448" t="str">
        <f t="shared" si="8"/>
        <v>09-12-2016</v>
      </c>
      <c r="Y6" s="449">
        <f>IFERROR((VLOOKUP($X6,$B$3:$C$20,2,0)/VLOOKUP(Y$4,$B$3:$C$20,2,0))-1,"N/A")</f>
        <v>3.510708135519014E-3</v>
      </c>
      <c r="Z6" s="290"/>
      <c r="AA6" s="290"/>
      <c r="AB6" s="290"/>
      <c r="AC6" s="290"/>
      <c r="AD6" s="290"/>
      <c r="AE6" s="290"/>
      <c r="AF6" s="290"/>
      <c r="AG6" s="290"/>
      <c r="AH6" s="290"/>
      <c r="AI6" s="290"/>
      <c r="AJ6" s="290"/>
      <c r="AK6" s="290"/>
      <c r="AL6" s="290"/>
      <c r="AM6" s="290"/>
      <c r="AN6" s="290"/>
      <c r="AO6" s="290"/>
      <c r="AP6" s="290"/>
    </row>
    <row r="7" spans="1:42" ht="15">
      <c r="A7" s="261" t="s">
        <v>475</v>
      </c>
      <c r="B7" s="253" t="str">
        <f>_xll.BDP($A7,B$1)</f>
        <v>09-03-2017</v>
      </c>
      <c r="C7" s="254">
        <f>_xll.BDP($A7,C$1)</f>
        <v>26419</v>
      </c>
      <c r="D7" s="255">
        <f t="shared" si="6"/>
        <v>42803</v>
      </c>
      <c r="E7" s="254">
        <f t="shared" si="1"/>
        <v>26419</v>
      </c>
      <c r="F7" s="256">
        <f>B7-D6</f>
        <v>28</v>
      </c>
      <c r="G7" s="259">
        <f t="shared" si="2"/>
        <v>28</v>
      </c>
      <c r="H7" s="258">
        <f t="shared" si="3"/>
        <v>42736</v>
      </c>
      <c r="I7" s="260">
        <f t="shared" si="4"/>
        <v>1.0609677541586482E-3</v>
      </c>
      <c r="J7" s="256">
        <f t="shared" ca="1" si="0"/>
        <v>133</v>
      </c>
      <c r="K7" s="271"/>
      <c r="L7" s="167">
        <v>41364</v>
      </c>
      <c r="M7">
        <v>0.4</v>
      </c>
      <c r="N7">
        <f t="shared" si="10"/>
        <v>2013</v>
      </c>
      <c r="O7" s="429">
        <f t="shared" si="11"/>
        <v>41364</v>
      </c>
      <c r="P7" s="430" t="e">
        <f t="shared" si="7"/>
        <v>#N/A</v>
      </c>
      <c r="Q7" s="430">
        <f t="shared" ref="Q7:Q49" si="12">+R7/R6-1</f>
        <v>5.5716922162381E-3</v>
      </c>
      <c r="R7" s="562">
        <v>99.548560885187101</v>
      </c>
      <c r="W7" s="447" t="s">
        <v>473</v>
      </c>
      <c r="X7" s="448" t="str">
        <f t="shared" si="8"/>
        <v>09-01-2017</v>
      </c>
      <c r="Y7" s="290">
        <f t="shared" ref="Y7:Y22" si="13">IFERROR((VLOOKUP($X7,$B$3:$C$20,2,0)/VLOOKUP(Y$4,$B$3:$C$20,2,0))^(365/($X7-Y$4))-1,"N/A")</f>
        <v>2.3510781634241917E-2</v>
      </c>
      <c r="Z7" s="449">
        <f>IFERROR((VLOOKUP($X7,$B$3:$C$20,2,0)/VLOOKUP(Z$4,$B$3:$C$20,2,0))-1,"N/A")</f>
        <v>3.7923319048882576E-4</v>
      </c>
      <c r="AA7" s="290"/>
      <c r="AB7" s="290"/>
      <c r="AC7" s="290"/>
      <c r="AD7" s="290"/>
      <c r="AE7" s="290"/>
      <c r="AF7" s="290"/>
      <c r="AG7" s="290"/>
      <c r="AH7" s="290"/>
      <c r="AI7" s="290"/>
      <c r="AJ7" s="290"/>
      <c r="AK7" s="290"/>
      <c r="AL7" s="290"/>
      <c r="AM7" s="290"/>
      <c r="AN7" s="290"/>
      <c r="AO7" s="290"/>
      <c r="AP7" s="290"/>
    </row>
    <row r="8" spans="1:42" ht="15">
      <c r="A8" s="261" t="s">
        <v>476</v>
      </c>
      <c r="B8" s="253" t="str">
        <f>_xll.BDP($A8,B$1)</f>
        <v>07-04-2017</v>
      </c>
      <c r="C8" s="254">
        <f>_xll.BDP($A8,C$1)</f>
        <v>26455</v>
      </c>
      <c r="D8" s="255">
        <f t="shared" si="6"/>
        <v>42834</v>
      </c>
      <c r="E8" s="254">
        <f t="shared" si="1"/>
        <v>26457.484566089228</v>
      </c>
      <c r="F8" s="256">
        <f t="shared" ref="F8:F20" si="14">B8-D7</f>
        <v>29</v>
      </c>
      <c r="G8" s="259">
        <f t="shared" si="2"/>
        <v>31</v>
      </c>
      <c r="H8" s="258">
        <f t="shared" si="3"/>
        <v>42767</v>
      </c>
      <c r="I8" s="260">
        <f t="shared" si="4"/>
        <v>1.4567003326859673E-3</v>
      </c>
      <c r="J8" s="256">
        <f t="shared" ca="1" si="0"/>
        <v>162</v>
      </c>
      <c r="K8" s="271"/>
      <c r="L8" s="167">
        <v>41394</v>
      </c>
      <c r="M8">
        <v>-0.5</v>
      </c>
      <c r="N8">
        <f t="shared" si="10"/>
        <v>2013</v>
      </c>
      <c r="O8" s="429">
        <f t="shared" si="11"/>
        <v>41394</v>
      </c>
      <c r="P8" s="430" t="e">
        <f t="shared" si="7"/>
        <v>#N/A</v>
      </c>
      <c r="Q8" s="430">
        <f t="shared" si="12"/>
        <v>-1.7555301601381856E-3</v>
      </c>
      <c r="R8" s="562">
        <v>99.373800384154805</v>
      </c>
      <c r="W8" s="447" t="s">
        <v>474</v>
      </c>
      <c r="X8" s="448" t="str">
        <f t="shared" si="8"/>
        <v>09-02-2017</v>
      </c>
      <c r="Y8" s="290">
        <f t="shared" si="13"/>
        <v>1.7361617865384815E-2</v>
      </c>
      <c r="Z8" s="290">
        <f t="shared" ref="Z8:Z22" si="15">IFERROR((VLOOKUP($X8,$B$3:$C$20,2,0)/VLOOKUP(Z$4,$B$3:$C$20,2,0))^(365/($X8-Z$4))-1,"N/A")</f>
        <v>4.9217056820149985E-3</v>
      </c>
      <c r="AA8" s="449">
        <f>IFERROR((VLOOKUP($X8,$B$3:$C$20,2,0)/VLOOKUP(AA$4,$B$3:$C$20,2,0))-1,"N/A")</f>
        <v>4.5490731263497786E-4</v>
      </c>
      <c r="AB8" s="290"/>
      <c r="AC8" s="290"/>
      <c r="AD8" s="290"/>
      <c r="AE8" s="290"/>
      <c r="AF8" s="290"/>
      <c r="AG8" s="290"/>
      <c r="AH8" s="290"/>
      <c r="AI8" s="290"/>
      <c r="AJ8" s="290"/>
      <c r="AK8" s="290"/>
      <c r="AL8" s="290"/>
      <c r="AM8" s="290"/>
      <c r="AN8" s="290"/>
      <c r="AO8" s="290"/>
      <c r="AP8" s="290"/>
    </row>
    <row r="9" spans="1:42" ht="15">
      <c r="A9" s="261" t="s">
        <v>477</v>
      </c>
      <c r="B9" s="253" t="str">
        <f>_xll.BDP($A9,B$1)</f>
        <v>09-05-2017</v>
      </c>
      <c r="C9" s="254">
        <f>_xll.BDP($A9,C$1)</f>
        <v>26586</v>
      </c>
      <c r="D9" s="255">
        <f t="shared" si="6"/>
        <v>42864</v>
      </c>
      <c r="E9" s="254">
        <f t="shared" si="1"/>
        <v>26586</v>
      </c>
      <c r="F9" s="256">
        <f t="shared" si="14"/>
        <v>30</v>
      </c>
      <c r="G9" s="259">
        <f t="shared" si="2"/>
        <v>30</v>
      </c>
      <c r="H9" s="258">
        <f t="shared" si="3"/>
        <v>42795</v>
      </c>
      <c r="I9" s="260">
        <f t="shared" si="4"/>
        <v>4.8574320657637227E-3</v>
      </c>
      <c r="J9" s="256">
        <f t="shared" ca="1" si="0"/>
        <v>194</v>
      </c>
      <c r="K9" s="271"/>
      <c r="L9" s="167">
        <v>41425</v>
      </c>
      <c r="M9">
        <v>0</v>
      </c>
      <c r="N9">
        <f t="shared" si="10"/>
        <v>2013</v>
      </c>
      <c r="O9" s="429">
        <f t="shared" si="11"/>
        <v>41425</v>
      </c>
      <c r="P9" s="430" t="e">
        <f t="shared" si="7"/>
        <v>#N/A</v>
      </c>
      <c r="Q9" s="430">
        <f t="shared" si="12"/>
        <v>-5.3202396922358286E-4</v>
      </c>
      <c r="R9" s="562">
        <v>99.320931140437594</v>
      </c>
      <c r="W9" s="447" t="s">
        <v>475</v>
      </c>
      <c r="X9" s="448" t="str">
        <f t="shared" si="8"/>
        <v>09-03-2017</v>
      </c>
      <c r="Y9" s="290">
        <f t="shared" si="13"/>
        <v>1.6557324900656312E-2</v>
      </c>
      <c r="Z9" s="290">
        <f t="shared" si="15"/>
        <v>7.7123126552487431E-3</v>
      </c>
      <c r="AA9" s="290">
        <f t="shared" ref="AA9:AA22" si="16">IFERROR((VLOOKUP($X9,$B$3:$C$20,2,0)/VLOOKUP(AA$4,$B$3:$C$20,2,0))^(365/($X9-AA$4))-1,"N/A")</f>
        <v>9.417823034511219E-3</v>
      </c>
      <c r="AB9" s="449">
        <f>IFERROR((VLOOKUP($X9,$B$3:$C$20,2,0)/VLOOKUP(AB$4,$B$3:$C$20,2,0))-1,"N/A")</f>
        <v>1.0609677541586482E-3</v>
      </c>
      <c r="AC9" s="290"/>
      <c r="AD9" s="290"/>
      <c r="AE9" s="290"/>
      <c r="AF9" s="290"/>
      <c r="AG9" s="290"/>
      <c r="AH9" s="290"/>
      <c r="AI9" s="290"/>
      <c r="AJ9" s="290"/>
      <c r="AK9" s="290"/>
      <c r="AL9" s="290"/>
      <c r="AM9" s="290"/>
      <c r="AN9" s="290"/>
      <c r="AO9" s="290"/>
      <c r="AP9" s="290"/>
    </row>
    <row r="10" spans="1:42" ht="15">
      <c r="A10" s="261" t="s">
        <v>478</v>
      </c>
      <c r="B10" s="253" t="str">
        <f>_xll.BDP($A10,B$1)</f>
        <v>09-06-2017</v>
      </c>
      <c r="C10" s="254">
        <f>_xll.BDP($A10,C$1)</f>
        <v>26649</v>
      </c>
      <c r="D10" s="255">
        <f t="shared" si="6"/>
        <v>42895</v>
      </c>
      <c r="E10" s="254">
        <f t="shared" si="1"/>
        <v>26649</v>
      </c>
      <c r="F10" s="256">
        <f t="shared" si="14"/>
        <v>31</v>
      </c>
      <c r="G10" s="259">
        <f t="shared" si="2"/>
        <v>31</v>
      </c>
      <c r="H10" s="258">
        <f t="shared" si="3"/>
        <v>42826</v>
      </c>
      <c r="I10" s="260">
        <f t="shared" si="4"/>
        <v>2.3696682464455776E-3</v>
      </c>
      <c r="J10" s="256">
        <f t="shared" ca="1" si="0"/>
        <v>225</v>
      </c>
      <c r="K10" s="271"/>
      <c r="L10" s="167">
        <v>41455</v>
      </c>
      <c r="M10">
        <v>0.6</v>
      </c>
      <c r="N10">
        <f t="shared" si="10"/>
        <v>2013</v>
      </c>
      <c r="O10" s="429">
        <f t="shared" si="11"/>
        <v>41455</v>
      </c>
      <c r="P10" s="430" t="e">
        <f t="shared" si="7"/>
        <v>#N/A</v>
      </c>
      <c r="Q10" s="430">
        <f t="shared" si="12"/>
        <v>4.5851842801973852E-3</v>
      </c>
      <c r="R10" s="562">
        <v>99.776335912597304</v>
      </c>
      <c r="W10" s="447" t="s">
        <v>476</v>
      </c>
      <c r="X10" s="448" t="str">
        <f t="shared" si="8"/>
        <v>07-04-2017</v>
      </c>
      <c r="Y10" s="290">
        <f t="shared" si="13"/>
        <v>1.6699244119167567E-2</v>
      </c>
      <c r="Z10" s="290">
        <f t="shared" si="15"/>
        <v>1.003723161297998E-2</v>
      </c>
      <c r="AA10" s="290">
        <f t="shared" si="16"/>
        <v>1.200423057266331E-2</v>
      </c>
      <c r="AB10" s="290">
        <f t="shared" ref="AB10:AB22" si="17">IFERROR((VLOOKUP($X10,$B$3:$C$20,2,0)/VLOOKUP(AB$4,$B$3:$C$20,2,0))^(365/($X10-AB$4))-1,"N/A")</f>
        <v>1.5631059287044557E-2</v>
      </c>
      <c r="AC10" s="449">
        <f>IFERROR((VLOOKUP($X10,$B$3:$C$20,2,0)/VLOOKUP(AC$4,$B$3:$C$20,2,0))-1,"N/A")</f>
        <v>1.3626556644839027E-3</v>
      </c>
      <c r="AD10" s="290"/>
      <c r="AE10" s="290"/>
      <c r="AF10" s="290"/>
      <c r="AG10" s="290"/>
      <c r="AH10" s="290"/>
      <c r="AI10" s="290"/>
      <c r="AJ10" s="290"/>
      <c r="AK10" s="290"/>
      <c r="AL10" s="290"/>
      <c r="AM10" s="290"/>
      <c r="AN10" s="290"/>
      <c r="AO10" s="290"/>
      <c r="AP10" s="290"/>
    </row>
    <row r="11" spans="1:42" ht="15">
      <c r="A11" s="261" t="s">
        <v>479</v>
      </c>
      <c r="B11" s="253" t="str">
        <f>_xll.BDP($A11,B$1)</f>
        <v>07-07-2017</v>
      </c>
      <c r="C11" s="254">
        <f>_xll.BDP($A11,C$1)</f>
        <v>26706</v>
      </c>
      <c r="D11" s="255">
        <f t="shared" si="6"/>
        <v>42925</v>
      </c>
      <c r="E11" s="254">
        <f t="shared" si="1"/>
        <v>26710.076090725965</v>
      </c>
      <c r="F11" s="256">
        <f t="shared" si="14"/>
        <v>28</v>
      </c>
      <c r="G11" s="259">
        <f t="shared" si="2"/>
        <v>30</v>
      </c>
      <c r="H11" s="258">
        <f t="shared" si="3"/>
        <v>42856</v>
      </c>
      <c r="I11" s="260">
        <f t="shared" si="4"/>
        <v>2.2918717672695266E-3</v>
      </c>
      <c r="J11" s="256">
        <f t="shared" ca="1" si="0"/>
        <v>253</v>
      </c>
      <c r="K11" s="271"/>
      <c r="L11" s="167">
        <v>41486</v>
      </c>
      <c r="M11">
        <v>0.3</v>
      </c>
      <c r="N11">
        <f t="shared" si="10"/>
        <v>2013</v>
      </c>
      <c r="O11" s="429">
        <f t="shared" si="11"/>
        <v>41486</v>
      </c>
      <c r="P11" s="430" t="e">
        <f t="shared" si="7"/>
        <v>#N/A</v>
      </c>
      <c r="Q11" s="430">
        <f t="shared" si="12"/>
        <v>5.4266327865182262E-4</v>
      </c>
      <c r="R11" s="562">
        <v>99.830480866175506</v>
      </c>
      <c r="W11" s="447" t="s">
        <v>477</v>
      </c>
      <c r="X11" s="448" t="str">
        <f t="shared" si="8"/>
        <v>09-05-2017</v>
      </c>
      <c r="Y11" s="290">
        <f t="shared" si="13"/>
        <v>2.3874964335881321E-2</v>
      </c>
      <c r="Z11" s="290">
        <f t="shared" si="15"/>
        <v>2.0008293927608722E-2</v>
      </c>
      <c r="AA11" s="290">
        <f t="shared" si="16"/>
        <v>2.406014021742453E-2</v>
      </c>
      <c r="AB11" s="290">
        <f t="shared" si="17"/>
        <v>3.0651696769238956E-2</v>
      </c>
      <c r="AC11" s="290">
        <f t="shared" ref="AC11:AC22" si="18">IFERROR((VLOOKUP($X11,$B$3:$C$20,2,0)/VLOOKUP(AC$4,$B$3:$C$20,2,0))^(365/($X11-AC$4))-1,"N/A")</f>
        <v>3.8424415046992344E-2</v>
      </c>
      <c r="AD11" s="449">
        <f>IFERROR((VLOOKUP($X11,$B$3:$C$20,2,0)/VLOOKUP(AD$4,$B$3:$C$20,2,0))-1,"N/A")</f>
        <v>4.9518049518049168E-3</v>
      </c>
      <c r="AE11" s="290"/>
      <c r="AF11" s="290"/>
      <c r="AG11" s="290"/>
      <c r="AH11" s="290"/>
      <c r="AI11" s="290"/>
      <c r="AJ11" s="290"/>
      <c r="AK11" s="290"/>
      <c r="AL11" s="290"/>
      <c r="AM11" s="290"/>
      <c r="AN11" s="290"/>
      <c r="AO11" s="290"/>
      <c r="AP11" s="290"/>
    </row>
    <row r="12" spans="1:42" ht="15">
      <c r="A12" s="261" t="s">
        <v>480</v>
      </c>
      <c r="B12" s="253" t="str">
        <f>_xll.BDP($A12,B$1)</f>
        <v>09-08-2017</v>
      </c>
      <c r="C12" s="254">
        <f>_xll.BDP($A12,C$1)</f>
        <v>26776</v>
      </c>
      <c r="D12" s="255">
        <f t="shared" si="6"/>
        <v>42956</v>
      </c>
      <c r="E12" s="254">
        <f t="shared" si="1"/>
        <v>26776</v>
      </c>
      <c r="F12" s="256">
        <f t="shared" si="14"/>
        <v>31</v>
      </c>
      <c r="G12" s="259">
        <f t="shared" si="2"/>
        <v>31</v>
      </c>
      <c r="H12" s="258">
        <f t="shared" si="3"/>
        <v>42887</v>
      </c>
      <c r="I12" s="260">
        <f t="shared" si="4"/>
        <v>2.4681288458374695E-3</v>
      </c>
      <c r="J12" s="256">
        <f t="shared" ca="1" si="0"/>
        <v>286</v>
      </c>
      <c r="K12" s="271"/>
      <c r="L12" s="167">
        <v>41517</v>
      </c>
      <c r="M12">
        <v>0.2</v>
      </c>
      <c r="N12">
        <f t="shared" si="10"/>
        <v>2013</v>
      </c>
      <c r="O12" s="429">
        <f t="shared" si="11"/>
        <v>41517</v>
      </c>
      <c r="P12" s="430" t="e">
        <f t="shared" si="7"/>
        <v>#N/A</v>
      </c>
      <c r="Q12" s="430">
        <f t="shared" si="12"/>
        <v>2.8375785745662352E-3</v>
      </c>
      <c r="R12" s="562">
        <v>100.11375769977001</v>
      </c>
      <c r="W12" s="447" t="s">
        <v>478</v>
      </c>
      <c r="X12" s="448" t="str">
        <f t="shared" si="8"/>
        <v>09-06-2017</v>
      </c>
      <c r="Y12" s="290">
        <f t="shared" si="13"/>
        <v>2.4514984209045076E-2</v>
      </c>
      <c r="Z12" s="290">
        <f t="shared" si="15"/>
        <v>2.1409088591767933E-2</v>
      </c>
      <c r="AA12" s="290">
        <f t="shared" si="16"/>
        <v>2.4920934797061145E-2</v>
      </c>
      <c r="AB12" s="290">
        <f t="shared" si="17"/>
        <v>3.0033275672258331E-2</v>
      </c>
      <c r="AC12" s="290">
        <f t="shared" si="18"/>
        <v>3.4988230112831031E-2</v>
      </c>
      <c r="AD12" s="290">
        <f t="shared" ref="AD12:AD22" si="19">IFERROR((VLOOKUP($X12,$B$3:$C$20,2,0)/VLOOKUP(AD$4,$B$3:$C$20,2,0))^(365/($X12-AD$4))-1,"N/A")</f>
        <v>4.3239755260885193E-2</v>
      </c>
      <c r="AE12" s="449">
        <f>IFERROR((VLOOKUP($X12,$B$3:$C$20,2,0)/VLOOKUP(AE$4,$B$3:$C$20,2,0))-1,"N/A")</f>
        <v>2.3696682464455776E-3</v>
      </c>
      <c r="AF12" s="290"/>
      <c r="AG12" s="290"/>
      <c r="AH12" s="290"/>
      <c r="AI12" s="290"/>
      <c r="AJ12" s="290"/>
      <c r="AK12" s="290"/>
      <c r="AL12" s="290"/>
      <c r="AM12" s="290"/>
      <c r="AN12" s="290"/>
      <c r="AO12" s="290"/>
      <c r="AP12" s="290"/>
    </row>
    <row r="13" spans="1:42" ht="15">
      <c r="A13" s="261" t="s">
        <v>481</v>
      </c>
      <c r="B13" s="253" t="str">
        <f>_xll.BDP($A13,B$1)</f>
        <v>08-09-2017</v>
      </c>
      <c r="C13" s="254">
        <f>_xll.BDP($A13,C$1)</f>
        <v>26839</v>
      </c>
      <c r="D13" s="255">
        <f t="shared" si="6"/>
        <v>42987</v>
      </c>
      <c r="E13" s="254">
        <f t="shared" si="1"/>
        <v>26841.102550912648</v>
      </c>
      <c r="F13" s="256">
        <f t="shared" si="14"/>
        <v>30</v>
      </c>
      <c r="G13" s="259">
        <f t="shared" si="2"/>
        <v>31</v>
      </c>
      <c r="H13" s="258">
        <f t="shared" si="3"/>
        <v>42917</v>
      </c>
      <c r="I13" s="260">
        <f t="shared" si="4"/>
        <v>2.4313770134691826E-3</v>
      </c>
      <c r="J13" s="256">
        <f t="shared" ca="1" si="0"/>
        <v>316</v>
      </c>
      <c r="K13" s="271"/>
      <c r="L13" s="167">
        <v>41547</v>
      </c>
      <c r="M13">
        <v>0.5</v>
      </c>
      <c r="N13">
        <f t="shared" si="10"/>
        <v>2013</v>
      </c>
      <c r="O13" s="429">
        <f t="shared" si="11"/>
        <v>41547</v>
      </c>
      <c r="P13" s="430" t="e">
        <f t="shared" si="7"/>
        <v>#N/A</v>
      </c>
      <c r="Q13" s="430">
        <f t="shared" si="12"/>
        <v>4.8844794476845532E-3</v>
      </c>
      <c r="R13" s="562">
        <v>100.602761291685</v>
      </c>
      <c r="W13" s="447" t="s">
        <v>479</v>
      </c>
      <c r="X13" s="448" t="str">
        <f t="shared" si="8"/>
        <v>07-07-2017</v>
      </c>
      <c r="Y13" s="290">
        <f t="shared" si="13"/>
        <v>2.4949343270912916E-2</v>
      </c>
      <c r="Z13" s="290">
        <f t="shared" si="15"/>
        <v>2.2317784193889967E-2</v>
      </c>
      <c r="AA13" s="290">
        <f t="shared" si="16"/>
        <v>2.5440041139763059E-2</v>
      </c>
      <c r="AB13" s="290">
        <f t="shared" si="17"/>
        <v>2.9694533568312531E-2</v>
      </c>
      <c r="AC13" s="290">
        <f t="shared" si="18"/>
        <v>3.3410640540254555E-2</v>
      </c>
      <c r="AD13" s="290">
        <f t="shared" si="19"/>
        <v>3.8602543883950347E-2</v>
      </c>
      <c r="AE13" s="290">
        <f t="shared" ref="AE13:AE22" si="20">IFERROR((VLOOKUP($X13,$B$3:$C$20,2,0)/VLOOKUP(AE$4,$B$3:$C$20,2,0))^(365/($X13-AE$4))-1,"N/A")</f>
        <v>2.8252358762853591E-2</v>
      </c>
      <c r="AF13" s="449">
        <f>IFERROR((VLOOKUP($X13,$B$3:$C$20,2,0)/VLOOKUP(AF$4,$B$3:$C$20,2,0))-1,"N/A")</f>
        <v>2.1389170325341045E-3</v>
      </c>
      <c r="AG13" s="290"/>
      <c r="AH13" s="290"/>
      <c r="AI13" s="290"/>
      <c r="AJ13" s="290"/>
      <c r="AK13" s="290"/>
      <c r="AL13" s="290"/>
      <c r="AM13" s="290"/>
      <c r="AN13" s="290"/>
      <c r="AO13" s="290"/>
      <c r="AP13" s="290"/>
    </row>
    <row r="14" spans="1:42" ht="15">
      <c r="A14" s="261" t="s">
        <v>482</v>
      </c>
      <c r="B14" s="253" t="str">
        <f>_xll.BDP($A14,B$1)</f>
        <v>06-10-2017</v>
      </c>
      <c r="C14" s="254">
        <f>_xll.BDP($A14,C$1)</f>
        <v>26895</v>
      </c>
      <c r="D14" s="255">
        <f t="shared" si="6"/>
        <v>43017</v>
      </c>
      <c r="E14" s="254">
        <f t="shared" si="1"/>
        <v>26900.995282169057</v>
      </c>
      <c r="F14" s="256">
        <f t="shared" si="14"/>
        <v>27</v>
      </c>
      <c r="G14" s="259">
        <f t="shared" si="2"/>
        <v>30</v>
      </c>
      <c r="H14" s="258">
        <f t="shared" si="3"/>
        <v>42948</v>
      </c>
      <c r="I14" s="260">
        <f t="shared" si="4"/>
        <v>2.2313811864771438E-3</v>
      </c>
      <c r="J14" s="256">
        <f t="shared" ca="1" si="0"/>
        <v>344</v>
      </c>
      <c r="K14" s="271"/>
      <c r="L14" s="167">
        <v>41578</v>
      </c>
      <c r="M14">
        <v>0.1</v>
      </c>
      <c r="N14">
        <f t="shared" si="10"/>
        <v>2013</v>
      </c>
      <c r="O14" s="429">
        <f t="shared" si="11"/>
        <v>41578</v>
      </c>
      <c r="P14" s="430" t="e">
        <f t="shared" si="7"/>
        <v>#N/A</v>
      </c>
      <c r="Q14" s="430">
        <f t="shared" si="12"/>
        <v>2.9754237189087984E-3</v>
      </c>
      <c r="R14" s="562">
        <v>100.90209713382001</v>
      </c>
      <c r="W14" s="447" t="s">
        <v>480</v>
      </c>
      <c r="X14" s="448" t="str">
        <f t="shared" si="8"/>
        <v>09-08-2017</v>
      </c>
      <c r="Y14" s="290">
        <f t="shared" si="13"/>
        <v>2.5483495736841943E-2</v>
      </c>
      <c r="Z14" s="290">
        <f t="shared" si="15"/>
        <v>2.3273544283293202E-2</v>
      </c>
      <c r="AA14" s="290">
        <f t="shared" si="16"/>
        <v>2.6051820393852454E-2</v>
      </c>
      <c r="AB14" s="290">
        <f t="shared" si="17"/>
        <v>2.9636564890535899E-2</v>
      </c>
      <c r="AC14" s="290">
        <f t="shared" si="18"/>
        <v>3.2539223562927377E-2</v>
      </c>
      <c r="AD14" s="290">
        <f t="shared" si="19"/>
        <v>3.6139214508831063E-2</v>
      </c>
      <c r="AE14" s="290">
        <f t="shared" si="20"/>
        <v>2.8655486620344783E-2</v>
      </c>
      <c r="AF14" s="290">
        <f t="shared" ref="AF14:AF22" si="21">IFERROR((VLOOKUP($X14,$B$3:$C$20,2,0)/VLOOKUP(AF$4,$B$3:$C$20,2,0))^(365/($X14-AF$4))-1,"N/A")</f>
        <v>2.8856596112816879E-2</v>
      </c>
      <c r="AG14" s="449">
        <f>IFERROR((VLOOKUP($X14,$B$3:$C$20,2,0)/VLOOKUP(AG$4,$B$3:$C$20,2,0))-1,"N/A")</f>
        <v>2.6211338276043161E-3</v>
      </c>
      <c r="AH14" s="290"/>
      <c r="AI14" s="290"/>
      <c r="AJ14" s="290"/>
      <c r="AK14" s="290"/>
      <c r="AL14" s="290"/>
      <c r="AM14" s="290"/>
      <c r="AN14" s="290"/>
      <c r="AO14" s="290"/>
      <c r="AP14" s="290"/>
    </row>
    <row r="15" spans="1:42" ht="15">
      <c r="A15" s="261" t="s">
        <v>483</v>
      </c>
      <c r="B15" s="253" t="str">
        <f>_xll.BDP($A15,B$1)</f>
        <v>09-11-2017</v>
      </c>
      <c r="C15" s="254">
        <f>_xll.BDP($A15,C$1)</f>
        <v>27035</v>
      </c>
      <c r="D15" s="255">
        <f t="shared" si="6"/>
        <v>43048</v>
      </c>
      <c r="E15" s="254">
        <f t="shared" si="1"/>
        <v>27035</v>
      </c>
      <c r="F15" s="256">
        <f t="shared" si="14"/>
        <v>31</v>
      </c>
      <c r="G15" s="259">
        <f t="shared" si="2"/>
        <v>31</v>
      </c>
      <c r="H15" s="258">
        <f t="shared" si="3"/>
        <v>42979</v>
      </c>
      <c r="I15" s="260">
        <f t="shared" si="4"/>
        <v>4.9814037148196988E-3</v>
      </c>
      <c r="J15" s="256">
        <f t="shared" ca="1" si="0"/>
        <v>378</v>
      </c>
      <c r="K15" s="271"/>
      <c r="L15" s="167">
        <v>41608</v>
      </c>
      <c r="M15">
        <v>0.4</v>
      </c>
      <c r="N15">
        <f t="shared" si="10"/>
        <v>2013</v>
      </c>
      <c r="O15" s="429">
        <f t="shared" si="11"/>
        <v>41608</v>
      </c>
      <c r="P15" s="430" t="e">
        <f t="shared" si="7"/>
        <v>#N/A</v>
      </c>
      <c r="Q15" s="430">
        <f t="shared" si="12"/>
        <v>2.448711960419514E-3</v>
      </c>
      <c r="R15" s="562">
        <v>101.149177305903</v>
      </c>
      <c r="W15" s="447" t="s">
        <v>481</v>
      </c>
      <c r="X15" s="448" t="str">
        <f t="shared" si="8"/>
        <v>08-09-2017</v>
      </c>
      <c r="Y15" s="290">
        <f t="shared" si="13"/>
        <v>2.5831666186694413E-2</v>
      </c>
      <c r="Z15" s="290">
        <f t="shared" si="15"/>
        <v>2.3901859771208178E-2</v>
      </c>
      <c r="AA15" s="290">
        <f t="shared" si="16"/>
        <v>2.6417512546464517E-2</v>
      </c>
      <c r="AB15" s="290">
        <f t="shared" si="17"/>
        <v>2.9546809972633037E-2</v>
      </c>
      <c r="AC15" s="290">
        <f t="shared" si="18"/>
        <v>3.1959086636878631E-2</v>
      </c>
      <c r="AD15" s="290">
        <f t="shared" si="19"/>
        <v>3.4745652950795014E-2</v>
      </c>
      <c r="AE15" s="290">
        <f t="shared" si="20"/>
        <v>2.8741533286802623E-2</v>
      </c>
      <c r="AF15" s="290">
        <f t="shared" si="21"/>
        <v>2.8905667964852277E-2</v>
      </c>
      <c r="AG15" s="290">
        <f t="shared" ref="AG15:AG22" si="22">IFERROR((VLOOKUP($X15,$B$3:$C$20,2,0)/VLOOKUP(AG$4,$B$3:$C$20,2,0))^(365/($X15-AG$4))-1,"N/A")</f>
        <v>2.9199860131160271E-2</v>
      </c>
      <c r="AH15" s="449">
        <f>IFERROR((VLOOKUP($X15,$B$3:$C$20,2,0)/VLOOKUP(AH$4,$B$3:$C$20,2,0))-1,"N/A")</f>
        <v>2.352853301464064E-3</v>
      </c>
      <c r="AI15" s="290"/>
      <c r="AJ15" s="290"/>
      <c r="AK15" s="290"/>
      <c r="AL15" s="290"/>
      <c r="AM15" s="290"/>
      <c r="AN15" s="290"/>
      <c r="AO15" s="290"/>
      <c r="AP15" s="290"/>
    </row>
    <row r="16" spans="1:42" ht="15">
      <c r="A16" s="261" t="s">
        <v>484</v>
      </c>
      <c r="B16" s="253" t="str">
        <f>_xll.BDP($A16,B$1)</f>
        <v>07-12-2017</v>
      </c>
      <c r="C16" s="254">
        <f>_xll.BDP($A16,C$1)</f>
        <v>27097</v>
      </c>
      <c r="D16" s="255">
        <f t="shared" si="6"/>
        <v>43078</v>
      </c>
      <c r="E16" s="254">
        <f t="shared" si="1"/>
        <v>27101.434008363682</v>
      </c>
      <c r="F16" s="256">
        <f t="shared" si="14"/>
        <v>28</v>
      </c>
      <c r="G16" s="259">
        <f t="shared" si="2"/>
        <v>30</v>
      </c>
      <c r="H16" s="258">
        <f t="shared" si="3"/>
        <v>43009</v>
      </c>
      <c r="I16" s="260">
        <f t="shared" si="4"/>
        <v>2.457333396104433E-3</v>
      </c>
      <c r="J16" s="256">
        <f t="shared" ca="1" si="0"/>
        <v>406</v>
      </c>
      <c r="K16" s="271"/>
      <c r="L16" s="167">
        <v>41639</v>
      </c>
      <c r="M16">
        <v>0.6</v>
      </c>
      <c r="N16">
        <f t="shared" si="10"/>
        <v>2013</v>
      </c>
      <c r="O16" s="429">
        <f t="shared" si="11"/>
        <v>41639</v>
      </c>
      <c r="P16" s="430" t="e">
        <f t="shared" si="7"/>
        <v>#N/A</v>
      </c>
      <c r="Q16" s="430">
        <f t="shared" si="12"/>
        <v>3.5228143579000282E-3</v>
      </c>
      <c r="R16" s="562">
        <v>101.505507080006</v>
      </c>
      <c r="S16" s="560"/>
      <c r="T16" s="432">
        <f>IF(L16&lt;&gt;"",0,SUM(Q5:Q16))</f>
        <v>0</v>
      </c>
      <c r="W16" s="447" t="s">
        <v>482</v>
      </c>
      <c r="X16" s="448" t="str">
        <f t="shared" si="8"/>
        <v>06-10-2017</v>
      </c>
      <c r="Y16" s="290">
        <f t="shared" si="13"/>
        <v>2.5976353533382568E-2</v>
      </c>
      <c r="Z16" s="290">
        <f t="shared" si="15"/>
        <v>2.4240061027365645E-2</v>
      </c>
      <c r="AA16" s="290">
        <f t="shared" si="16"/>
        <v>2.6534212150795211E-2</v>
      </c>
      <c r="AB16" s="290">
        <f t="shared" si="17"/>
        <v>2.9311897030622092E-2</v>
      </c>
      <c r="AC16" s="290">
        <f t="shared" si="18"/>
        <v>3.1372026305233502E-2</v>
      </c>
      <c r="AD16" s="290">
        <f t="shared" si="19"/>
        <v>3.3634334452651737E-2</v>
      </c>
      <c r="AE16" s="290">
        <f t="shared" si="20"/>
        <v>2.8517772602666636E-2</v>
      </c>
      <c r="AF16" s="290">
        <f t="shared" si="21"/>
        <v>2.8584967982586695E-2</v>
      </c>
      <c r="AG16" s="290">
        <f t="shared" si="22"/>
        <v>2.8689890710258181E-2</v>
      </c>
      <c r="AH16" s="290">
        <f t="shared" ref="AH16:AH22" si="23">IFERROR((VLOOKUP($X16,$B$3:$C$20,2,0)/VLOOKUP(AH$4,$B$3:$C$20,2,0))^(365/($X16-AH$4))-1,"N/A")</f>
        <v>2.8299367493421546E-2</v>
      </c>
      <c r="AI16" s="449">
        <f>IFERROR((VLOOKUP($X16,$B$3:$C$20,2,0)/VLOOKUP(AI$4,$B$3:$C$20,2,0))-1,"N/A")</f>
        <v>2.0865158910541304E-3</v>
      </c>
      <c r="AJ16" s="290"/>
      <c r="AK16" s="290"/>
      <c r="AL16" s="290"/>
      <c r="AM16" s="290"/>
      <c r="AN16" s="290"/>
      <c r="AO16" s="290"/>
      <c r="AP16" s="290"/>
    </row>
    <row r="17" spans="1:42" ht="15">
      <c r="A17" s="261" t="s">
        <v>485</v>
      </c>
      <c r="B17" s="253" t="str">
        <f>_xll.BDP($A17,B$1)</f>
        <v>09-01-2018</v>
      </c>
      <c r="C17" s="254">
        <f>_xll.BDP($A17,C$1)</f>
        <v>27130</v>
      </c>
      <c r="D17" s="255">
        <f t="shared" si="6"/>
        <v>43109</v>
      </c>
      <c r="E17" s="254">
        <f t="shared" si="1"/>
        <v>27130</v>
      </c>
      <c r="F17" s="256">
        <f t="shared" si="14"/>
        <v>31</v>
      </c>
      <c r="G17" s="259">
        <f t="shared" si="2"/>
        <v>31</v>
      </c>
      <c r="H17" s="258">
        <f t="shared" si="3"/>
        <v>43040</v>
      </c>
      <c r="I17" s="260">
        <f t="shared" si="4"/>
        <v>1.0540398573559706E-3</v>
      </c>
      <c r="J17" s="256">
        <f t="shared" ca="1" si="0"/>
        <v>439</v>
      </c>
      <c r="K17" s="271"/>
      <c r="L17" s="167">
        <v>41670</v>
      </c>
      <c r="M17">
        <v>0.2</v>
      </c>
      <c r="N17">
        <f t="shared" si="10"/>
        <v>2014</v>
      </c>
      <c r="O17" s="429">
        <f t="shared" si="11"/>
        <v>41670</v>
      </c>
      <c r="P17" s="430" t="e">
        <f t="shared" si="7"/>
        <v>#N/A</v>
      </c>
      <c r="Q17" s="430">
        <f t="shared" si="12"/>
        <v>1.7906348247858084E-3</v>
      </c>
      <c r="R17" s="562">
        <v>101.687266375891</v>
      </c>
      <c r="S17" s="560">
        <f>+R17/R5-1</f>
        <v>2.8394693845649854E-2</v>
      </c>
      <c r="T17" s="432">
        <f t="shared" ref="T17:T48" si="24">IF(L17&lt;&gt;"",0,SUM(Q6:Q17))</f>
        <v>0</v>
      </c>
      <c r="W17" s="447" t="s">
        <v>483</v>
      </c>
      <c r="X17" s="448" t="str">
        <f t="shared" si="8"/>
        <v>09-11-2017</v>
      </c>
      <c r="Y17" s="290">
        <f t="shared" si="13"/>
        <v>2.8856308333412573E-2</v>
      </c>
      <c r="Z17" s="290">
        <f t="shared" si="15"/>
        <v>2.7549630598874053E-2</v>
      </c>
      <c r="AA17" s="290">
        <f t="shared" si="16"/>
        <v>2.9932288854283007E-2</v>
      </c>
      <c r="AB17" s="290">
        <f t="shared" si="17"/>
        <v>3.2759162198891856E-2</v>
      </c>
      <c r="AC17" s="290">
        <f t="shared" si="18"/>
        <v>3.4934478852421291E-2</v>
      </c>
      <c r="AD17" s="290">
        <f t="shared" si="19"/>
        <v>3.732705101411371E-2</v>
      </c>
      <c r="AE17" s="290">
        <f t="shared" si="20"/>
        <v>3.3780079828598542E-2</v>
      </c>
      <c r="AF17" s="290">
        <f t="shared" si="21"/>
        <v>3.4902159177048642E-2</v>
      </c>
      <c r="AG17" s="290">
        <f t="shared" si="22"/>
        <v>3.6399477576795514E-2</v>
      </c>
      <c r="AH17" s="290">
        <f t="shared" si="23"/>
        <v>3.8930202921144907E-2</v>
      </c>
      <c r="AI17" s="290">
        <f t="shared" ref="AI17:AI22" si="25">IFERROR((VLOOKUP($X17,$B$3:$C$20,2,0)/VLOOKUP(AI$4,$B$3:$C$20,2,0))^(365/($X17-AI$4))-1,"N/A")</f>
        <v>4.3766808726442674E-2</v>
      </c>
      <c r="AJ17" s="449">
        <f>IFERROR((VLOOKUP($X17,$B$3:$C$20,2,0)/VLOOKUP(AJ$4,$B$3:$C$20,2,0))-1,"N/A")</f>
        <v>5.2054285183118498E-3</v>
      </c>
      <c r="AK17" s="290"/>
      <c r="AL17" s="290"/>
      <c r="AM17" s="290"/>
      <c r="AN17" s="290"/>
      <c r="AO17" s="290"/>
      <c r="AP17" s="290"/>
    </row>
    <row r="18" spans="1:42" ht="15">
      <c r="A18" s="261" t="s">
        <v>486</v>
      </c>
      <c r="B18" s="253" t="str">
        <f>_xll.BDP($A18,B$1)</f>
        <v>09-02-2018</v>
      </c>
      <c r="C18" s="254">
        <f>_xll.BDP($A18,C$1)</f>
        <v>27145</v>
      </c>
      <c r="D18" s="255">
        <f t="shared" si="6"/>
        <v>43140</v>
      </c>
      <c r="E18" s="254">
        <f t="shared" si="1"/>
        <v>27145</v>
      </c>
      <c r="F18" s="256">
        <f t="shared" si="14"/>
        <v>31</v>
      </c>
      <c r="G18" s="259">
        <f t="shared" si="2"/>
        <v>31</v>
      </c>
      <c r="H18" s="258">
        <f t="shared" si="3"/>
        <v>43070</v>
      </c>
      <c r="I18" s="260">
        <f t="shared" si="4"/>
        <v>5.5289347585696369E-4</v>
      </c>
      <c r="J18" s="256">
        <f t="shared" ca="1" si="0"/>
        <v>470</v>
      </c>
      <c r="K18" s="271"/>
      <c r="L18" s="167">
        <v>41698</v>
      </c>
      <c r="M18">
        <v>0.5</v>
      </c>
      <c r="N18">
        <f t="shared" si="10"/>
        <v>2014</v>
      </c>
      <c r="O18" s="429">
        <f t="shared" si="11"/>
        <v>41698</v>
      </c>
      <c r="P18" s="430" t="e">
        <f t="shared" si="7"/>
        <v>#N/A</v>
      </c>
      <c r="Q18" s="430">
        <f t="shared" si="12"/>
        <v>4.8639853523710919E-3</v>
      </c>
      <c r="R18" s="562">
        <v>102.18187175006599</v>
      </c>
      <c r="S18" s="560">
        <f t="shared" ref="S18:S49" si="26">+R18/R6-1</f>
        <v>3.217160324440127E-2</v>
      </c>
      <c r="T18" s="432">
        <f t="shared" si="24"/>
        <v>0</v>
      </c>
      <c r="W18" s="447" t="s">
        <v>484</v>
      </c>
      <c r="X18" s="448" t="str">
        <f t="shared" si="8"/>
        <v>07-12-2017</v>
      </c>
      <c r="Y18" s="290">
        <f t="shared" si="13"/>
        <v>2.8959895977823447E-2</v>
      </c>
      <c r="Z18" s="290">
        <f t="shared" si="15"/>
        <v>2.7762379695203565E-2</v>
      </c>
      <c r="AA18" s="290">
        <f t="shared" si="16"/>
        <v>2.9964238942147281E-2</v>
      </c>
      <c r="AB18" s="290">
        <f t="shared" si="17"/>
        <v>3.2531198653175331E-2</v>
      </c>
      <c r="AC18" s="290">
        <f t="shared" si="18"/>
        <v>3.4459342112784785E-2</v>
      </c>
      <c r="AD18" s="290">
        <f t="shared" si="19"/>
        <v>3.6519531673611327E-2</v>
      </c>
      <c r="AE18" s="290">
        <f t="shared" si="20"/>
        <v>3.3321255937968974E-2</v>
      </c>
      <c r="AF18" s="290">
        <f t="shared" si="21"/>
        <v>3.4190618670664197E-2</v>
      </c>
      <c r="AG18" s="290">
        <f t="shared" si="22"/>
        <v>3.5282597762470003E-2</v>
      </c>
      <c r="AH18" s="290">
        <f t="shared" si="23"/>
        <v>3.691267273142862E-2</v>
      </c>
      <c r="AI18" s="290">
        <f t="shared" si="25"/>
        <v>3.9561891714733788E-2</v>
      </c>
      <c r="AJ18" s="290">
        <f>IFERROR((VLOOKUP($X18,$B$3:$C$20,2,0)/VLOOKUP(AJ$4,$B$3:$C$20,2,0))^(365/($X18-AJ$4))-1,"N/A")</f>
        <v>4.5035584575227938E-2</v>
      </c>
      <c r="AK18" s="449">
        <f>IFERROR((VLOOKUP($X18,$B$3:$C$20,2,0)/VLOOKUP(AK$4,$B$3:$C$20,2,0))-1,"N/A")</f>
        <v>2.2933234695765581E-3</v>
      </c>
      <c r="AL18" s="290"/>
      <c r="AM18" s="290"/>
      <c r="AN18" s="290"/>
      <c r="AO18" s="290"/>
      <c r="AP18" s="290"/>
    </row>
    <row r="19" spans="1:42" ht="15">
      <c r="A19" s="261" t="s">
        <v>487</v>
      </c>
      <c r="B19" s="253" t="str">
        <f>_xll.BDP($A19,B$1)</f>
        <v>09-03-2018</v>
      </c>
      <c r="C19" s="254">
        <f>_xll.BDP($A19,C$1)</f>
        <v>27177</v>
      </c>
      <c r="D19" s="255">
        <f t="shared" si="6"/>
        <v>43168</v>
      </c>
      <c r="E19" s="254">
        <f t="shared" si="1"/>
        <v>27177</v>
      </c>
      <c r="F19" s="256">
        <f t="shared" si="14"/>
        <v>28</v>
      </c>
      <c r="G19" s="259">
        <f t="shared" si="2"/>
        <v>28</v>
      </c>
      <c r="H19" s="258">
        <f t="shared" si="3"/>
        <v>43101</v>
      </c>
      <c r="I19" s="260">
        <f t="shared" si="4"/>
        <v>1.1788543009763064E-3</v>
      </c>
      <c r="J19" s="256">
        <f t="shared" ca="1" si="0"/>
        <v>498</v>
      </c>
      <c r="K19" s="271"/>
      <c r="L19" s="167">
        <v>41729</v>
      </c>
      <c r="M19">
        <v>0.8</v>
      </c>
      <c r="N19">
        <f t="shared" si="10"/>
        <v>2014</v>
      </c>
      <c r="O19" s="429">
        <f t="shared" si="11"/>
        <v>41729</v>
      </c>
      <c r="P19" s="430" t="e">
        <f t="shared" si="7"/>
        <v>#N/A</v>
      </c>
      <c r="Q19" s="430">
        <f t="shared" si="12"/>
        <v>8.3777759158190079E-3</v>
      </c>
      <c r="R19" s="562">
        <v>103.037928574247</v>
      </c>
      <c r="S19" s="560">
        <f t="shared" si="26"/>
        <v>3.5051914945152474E-2</v>
      </c>
      <c r="T19" s="432">
        <f t="shared" si="24"/>
        <v>0</v>
      </c>
      <c r="W19" s="447" t="s">
        <v>485</v>
      </c>
      <c r="X19" s="448" t="str">
        <f t="shared" si="8"/>
        <v>09-01-2018</v>
      </c>
      <c r="Y19" s="290">
        <f t="shared" si="13"/>
        <v>2.7758077061270647E-2</v>
      </c>
      <c r="Z19" s="290">
        <f t="shared" si="15"/>
        <v>2.6570690152361243E-2</v>
      </c>
      <c r="AA19" s="290">
        <f t="shared" si="16"/>
        <v>2.8469615982410268E-2</v>
      </c>
      <c r="AB19" s="290">
        <f t="shared" si="17"/>
        <v>3.0640389060107909E-2</v>
      </c>
      <c r="AC19" s="290">
        <f t="shared" si="18"/>
        <v>3.2184142420551121E-2</v>
      </c>
      <c r="AD19" s="290">
        <f t="shared" si="19"/>
        <v>3.3756362647588078E-2</v>
      </c>
      <c r="AE19" s="290">
        <f t="shared" si="20"/>
        <v>3.0636281392408371E-2</v>
      </c>
      <c r="AF19" s="290">
        <f t="shared" si="21"/>
        <v>3.0980983048365607E-2</v>
      </c>
      <c r="AG19" s="290">
        <f t="shared" si="22"/>
        <v>3.1393625935820513E-2</v>
      </c>
      <c r="AH19" s="290">
        <f t="shared" si="23"/>
        <v>3.1829183387451998E-2</v>
      </c>
      <c r="AI19" s="290">
        <f t="shared" si="25"/>
        <v>3.2519072350916334E-2</v>
      </c>
      <c r="AJ19" s="290">
        <f>IFERROR((VLOOKUP($X19,$B$3:$C$20,2,0)/VLOOKUP(AJ$4,$B$3:$C$20,2,0))^(365/($X19-AJ$4))-1,"N/A")</f>
        <v>3.3990183217556424E-2</v>
      </c>
      <c r="AK19" s="290">
        <f>IFERROR((VLOOKUP($X19,$B$3:$C$20,2,0)/VLOOKUP(AK$4,$B$3:$C$20,2,0))^(365/($X19-AK$4))-1,"N/A")</f>
        <v>2.1211143042991321E-2</v>
      </c>
      <c r="AL19" s="449">
        <f>IFERROR((VLOOKUP($X19,$B$3:$C$20,2,0)/VLOOKUP(AL$4,$B$3:$C$20,2,0))-1,"N/A")</f>
        <v>1.2178469941321879E-3</v>
      </c>
      <c r="AM19" s="290"/>
      <c r="AN19" s="290"/>
      <c r="AO19" s="290"/>
      <c r="AP19" s="290"/>
    </row>
    <row r="20" spans="1:42" ht="15">
      <c r="A20" s="261" t="s">
        <v>488</v>
      </c>
      <c r="B20" s="253" t="str">
        <f>_xll.BDP($A20,B$1)</f>
        <v>09-04-2018</v>
      </c>
      <c r="C20" s="254">
        <f>_xll.BDP($A20,C$1)</f>
        <v>27218</v>
      </c>
      <c r="D20" s="255">
        <f t="shared" si="6"/>
        <v>43199</v>
      </c>
      <c r="E20" s="254">
        <f t="shared" si="1"/>
        <v>27218</v>
      </c>
      <c r="F20" s="256">
        <f t="shared" si="14"/>
        <v>31</v>
      </c>
      <c r="G20" s="259">
        <f t="shared" si="2"/>
        <v>31</v>
      </c>
      <c r="H20" s="258">
        <f t="shared" si="3"/>
        <v>43132</v>
      </c>
      <c r="I20" s="260">
        <f t="shared" si="4"/>
        <v>1.5086286197887322E-3</v>
      </c>
      <c r="J20" s="256">
        <f t="shared" ca="1" si="0"/>
        <v>529</v>
      </c>
      <c r="K20" s="271"/>
      <c r="L20" s="167">
        <v>41759</v>
      </c>
      <c r="M20">
        <v>0.6</v>
      </c>
      <c r="N20">
        <f t="shared" si="10"/>
        <v>2014</v>
      </c>
      <c r="O20" s="429">
        <f t="shared" si="11"/>
        <v>41759</v>
      </c>
      <c r="P20" s="430" t="e">
        <f t="shared" si="7"/>
        <v>#N/A</v>
      </c>
      <c r="Q20" s="430">
        <f t="shared" si="12"/>
        <v>6.2062615469720139E-3</v>
      </c>
      <c r="R20" s="562">
        <v>103.677408908237</v>
      </c>
      <c r="S20" s="560">
        <f t="shared" si="26"/>
        <v>4.3307275231957432E-2</v>
      </c>
      <c r="T20" s="432">
        <f t="shared" si="24"/>
        <v>0</v>
      </c>
      <c r="W20" s="447" t="s">
        <v>486</v>
      </c>
      <c r="X20" s="448" t="str">
        <f t="shared" si="8"/>
        <v>09-02-2018</v>
      </c>
      <c r="Y20" s="290">
        <f t="shared" si="13"/>
        <v>2.6303999956422741E-2</v>
      </c>
      <c r="Z20" s="290">
        <f t="shared" si="15"/>
        <v>2.5102355381144692E-2</v>
      </c>
      <c r="AA20" s="290">
        <f t="shared" si="16"/>
        <v>2.6734945467175031E-2</v>
      </c>
      <c r="AB20" s="290">
        <f t="shared" si="17"/>
        <v>2.857034595127117E-2</v>
      </c>
      <c r="AC20" s="290">
        <f t="shared" si="18"/>
        <v>2.9797142418089395E-2</v>
      </c>
      <c r="AD20" s="290">
        <f t="shared" si="19"/>
        <v>3.0982968773021202E-2</v>
      </c>
      <c r="AE20" s="290">
        <f t="shared" si="20"/>
        <v>2.7900082350221123E-2</v>
      </c>
      <c r="AF20" s="290">
        <f t="shared" si="21"/>
        <v>2.7854567195322977E-2</v>
      </c>
      <c r="AG20" s="290">
        <f t="shared" si="22"/>
        <v>2.7804322997081465E-2</v>
      </c>
      <c r="AH20" s="290">
        <f t="shared" si="23"/>
        <v>2.7522588267860026E-2</v>
      </c>
      <c r="AI20" s="290">
        <f t="shared" si="25"/>
        <v>2.7233966983940316E-2</v>
      </c>
      <c r="AJ20" s="290">
        <f>IFERROR((VLOOKUP($X20,$B$3:$C$20,2,0)/VLOOKUP(AJ$4,$B$3:$C$20,2,0))^(365/($X20-AJ$4))-1,"N/A")</f>
        <v>2.7165220474064E-2</v>
      </c>
      <c r="AK20" s="290">
        <f>IFERROR((VLOOKUP($X20,$B$3:$C$20,2,0)/VLOOKUP(AK$4,$B$3:$C$20,2,0))^(365/($X20-AK$4))-1,"N/A")</f>
        <v>1.6240230991550808E-2</v>
      </c>
      <c r="AL20" s="290">
        <f>IFERROR((VLOOKUP($X20,$B$3:$C$20,2,0)/VLOOKUP(AL$4,$B$3:$C$20,2,0))^(365/($X20-AL$4))-1,"N/A")</f>
        <v>1.014476978120582E-2</v>
      </c>
      <c r="AM20" s="449">
        <f>IFERROR((VLOOKUP($X20,$B$3:$C$20,2,0)/VLOOKUP(AM$4,$B$3:$C$20,2,0))-1,"N/A")</f>
        <v>5.5289347585696369E-4</v>
      </c>
      <c r="AN20" s="290"/>
      <c r="AO20" s="290"/>
      <c r="AP20" s="290"/>
    </row>
    <row r="21" spans="1:42" ht="15">
      <c r="L21" s="167">
        <v>41790</v>
      </c>
      <c r="M21">
        <v>0.3</v>
      </c>
      <c r="N21">
        <f t="shared" si="10"/>
        <v>2014</v>
      </c>
      <c r="O21" s="429">
        <f t="shared" si="11"/>
        <v>41790</v>
      </c>
      <c r="P21" s="430" t="e">
        <f t="shared" si="7"/>
        <v>#N/A</v>
      </c>
      <c r="Q21" s="430">
        <f t="shared" si="12"/>
        <v>3.3772654192574247E-3</v>
      </c>
      <c r="R21" s="562">
        <v>104.02755503610101</v>
      </c>
      <c r="S21" s="560">
        <f t="shared" si="26"/>
        <v>4.738803635467681E-2</v>
      </c>
      <c r="T21" s="432">
        <f t="shared" si="24"/>
        <v>0</v>
      </c>
      <c r="W21" s="447" t="s">
        <v>487</v>
      </c>
      <c r="X21" s="448" t="str">
        <f t="shared" si="8"/>
        <v>09-03-2018</v>
      </c>
      <c r="Y21" s="290">
        <f t="shared" si="13"/>
        <v>2.5675790433300927E-2</v>
      </c>
      <c r="Z21" s="290">
        <f t="shared" si="15"/>
        <v>2.4507381477745449E-2</v>
      </c>
      <c r="AA21" s="290">
        <f t="shared" si="16"/>
        <v>2.598764235101525E-2</v>
      </c>
      <c r="AB21" s="290">
        <f t="shared" si="17"/>
        <v>2.763190502892332E-2</v>
      </c>
      <c r="AC21" s="290">
        <f t="shared" si="18"/>
        <v>2.8691472046633137E-2</v>
      </c>
      <c r="AD21" s="290">
        <f t="shared" si="19"/>
        <v>2.9681785485289103E-2</v>
      </c>
      <c r="AE21" s="290">
        <f t="shared" si="20"/>
        <v>2.6749496775489323E-2</v>
      </c>
      <c r="AF21" s="290">
        <f t="shared" si="21"/>
        <v>2.6578129539116535E-2</v>
      </c>
      <c r="AG21" s="290">
        <f t="shared" si="22"/>
        <v>2.6387911366163808E-2</v>
      </c>
      <c r="AH21" s="290">
        <f t="shared" si="23"/>
        <v>2.5923468322420984E-2</v>
      </c>
      <c r="AI21" s="290">
        <f t="shared" si="25"/>
        <v>2.5416335536246892E-2</v>
      </c>
      <c r="AJ21" s="290">
        <f>IFERROR((VLOOKUP($X21,$B$3:$C$20,2,0)/VLOOKUP(AJ$4,$B$3:$C$20,2,0))^(365/($X21-AJ$4))-1,"N/A")</f>
        <v>2.5030072916503165E-2</v>
      </c>
      <c r="AK21" s="290">
        <f>IFERROR((VLOOKUP($X21,$B$3:$C$20,2,0)/VLOOKUP(AK$4,$B$3:$C$20,2,0))^(365/($X21-AK$4))-1,"N/A")</f>
        <v>1.6062022355862515E-2</v>
      </c>
      <c r="AL21" s="290">
        <f>IFERROR((VLOOKUP($X21,$B$3:$C$20,2,0)/VLOOKUP(AL$4,$B$3:$C$20,2,0))^(365/($X21-AL$4))-1,"N/A")</f>
        <v>1.1764560594112572E-2</v>
      </c>
      <c r="AM21" s="290">
        <f>IFERROR((VLOOKUP($X21,$B$3:$C$20,2,0)/VLOOKUP(AM$4,$B$3:$C$20,2,0))^(365/($X21-AM$4))-1,"N/A")</f>
        <v>1.0765651448349844E-2</v>
      </c>
      <c r="AN21" s="449">
        <f>IFERROR((VLOOKUP($X21,$B$3:$C$20,2,0)/VLOOKUP(AN$4,$B$3:$C$20,2,0))-1,"N/A")</f>
        <v>1.1788543009763064E-3</v>
      </c>
      <c r="AO21" s="290"/>
      <c r="AP21" s="290"/>
    </row>
    <row r="22" spans="1:42" ht="15">
      <c r="A22" s="252"/>
      <c r="B22" s="252"/>
      <c r="C22" s="252"/>
      <c r="D22" s="252"/>
      <c r="E22" s="252"/>
      <c r="F22" s="252"/>
      <c r="L22" s="167">
        <v>41820</v>
      </c>
      <c r="M22">
        <v>0.1</v>
      </c>
      <c r="N22">
        <f t="shared" si="10"/>
        <v>2014</v>
      </c>
      <c r="O22" s="429">
        <f t="shared" si="11"/>
        <v>41820</v>
      </c>
      <c r="P22" s="430" t="e">
        <f t="shared" si="7"/>
        <v>#N/A</v>
      </c>
      <c r="Q22" s="430">
        <f t="shared" si="12"/>
        <v>5.1520300403473662E-4</v>
      </c>
      <c r="R22" s="562">
        <v>104.081150344958</v>
      </c>
      <c r="S22" s="560">
        <f t="shared" si="26"/>
        <v>4.3144643396523019E-2</v>
      </c>
      <c r="T22" s="432">
        <f t="shared" si="24"/>
        <v>0</v>
      </c>
      <c r="W22" s="447" t="s">
        <v>488</v>
      </c>
      <c r="X22" s="448" t="str">
        <f t="shared" si="8"/>
        <v>09-04-2018</v>
      </c>
      <c r="Y22" s="290">
        <f t="shared" si="13"/>
        <v>2.520744920507445E-2</v>
      </c>
      <c r="Z22" s="290">
        <f t="shared" si="15"/>
        <v>2.4085156020142273E-2</v>
      </c>
      <c r="AA22" s="290">
        <f t="shared" si="16"/>
        <v>2.5435128235448357E-2</v>
      </c>
      <c r="AB22" s="290">
        <f t="shared" si="17"/>
        <v>2.6917819288228673E-2</v>
      </c>
      <c r="AC22" s="290">
        <f t="shared" si="18"/>
        <v>2.78432023029902E-2</v>
      </c>
      <c r="AD22" s="290">
        <f t="shared" si="19"/>
        <v>2.8682022112693328E-2</v>
      </c>
      <c r="AE22" s="290">
        <f t="shared" si="20"/>
        <v>2.5928110230323043E-2</v>
      </c>
      <c r="AF22" s="290">
        <f t="shared" si="21"/>
        <v>2.5690629410912047E-2</v>
      </c>
      <c r="AG22" s="290">
        <f t="shared" si="22"/>
        <v>2.5431941980377681E-2</v>
      </c>
      <c r="AH22" s="290">
        <f t="shared" si="23"/>
        <v>2.4897411488684629E-2</v>
      </c>
      <c r="AI22" s="290">
        <f t="shared" si="25"/>
        <v>2.4320132995873101E-2</v>
      </c>
      <c r="AJ22" s="290">
        <f>IFERROR((VLOOKUP($X22,$B$3:$C$20,2,0)/VLOOKUP(AJ$4,$B$3:$C$20,2,0))^(365/($X22-AJ$4))-1,"N/A")</f>
        <v>2.3833171452981139E-2</v>
      </c>
      <c r="AK22" s="290">
        <f>IFERROR((VLOOKUP($X22,$B$3:$C$20,2,0)/VLOOKUP(AK$4,$B$3:$C$20,2,0))^(365/($X22-AK$4))-1,"N/A")</f>
        <v>1.6440716109809461E-2</v>
      </c>
      <c r="AL22" s="290">
        <f>IFERROR((VLOOKUP($X22,$B$3:$C$20,2,0)/VLOOKUP(AL$4,$B$3:$C$20,2,0))^(365/($X22-AL$4))-1,"N/A")</f>
        <v>1.3309393060964458E-2</v>
      </c>
      <c r="AM22" s="290">
        <f>IFERROR((VLOOKUP($X22,$B$3:$C$20,2,0)/VLOOKUP(AM$4,$B$3:$C$20,2,0))^(365/($X22-AM$4))-1,"N/A")</f>
        <v>1.3220103522522786E-2</v>
      </c>
      <c r="AN22" s="290">
        <f>IFERROR((VLOOKUP($X22,$B$3:$C$20,2,0)/VLOOKUP(AN$4,$B$3:$C$20,2,0))^(365/($X22-AN$4))-1,"N/A")</f>
        <v>1.6753415897185819E-2</v>
      </c>
      <c r="AO22" s="449">
        <f>IFERROR((VLOOKUP($X22,$B$3:$C$20,2,0)/VLOOKUP(AO$4,$B$3:$C$20,2,0))-1,"N/A")</f>
        <v>1.5086286197887322E-3</v>
      </c>
      <c r="AP22" s="290"/>
    </row>
    <row r="23" spans="1:42" ht="15">
      <c r="A23" s="252"/>
      <c r="B23" s="252"/>
      <c r="D23" s="252"/>
      <c r="E23" s="252"/>
      <c r="F23" s="252"/>
      <c r="L23" s="167">
        <v>41851</v>
      </c>
      <c r="M23">
        <v>0.2</v>
      </c>
      <c r="N23">
        <f t="shared" si="10"/>
        <v>2014</v>
      </c>
      <c r="O23" s="429">
        <f t="shared" si="11"/>
        <v>41851</v>
      </c>
      <c r="P23" s="430" t="e">
        <f t="shared" si="7"/>
        <v>#N/A</v>
      </c>
      <c r="Q23" s="430">
        <f t="shared" si="12"/>
        <v>2.3293432441557904E-3</v>
      </c>
      <c r="R23" s="562">
        <v>104.323591069358</v>
      </c>
      <c r="S23" s="560">
        <f t="shared" si="26"/>
        <v>4.5007398183382286E-2</v>
      </c>
      <c r="T23" s="432">
        <f t="shared" si="24"/>
        <v>0</v>
      </c>
    </row>
    <row r="24" spans="1:42" ht="15.75" thickBot="1">
      <c r="A24" s="465" t="s">
        <v>472</v>
      </c>
      <c r="B24" s="465" t="s">
        <v>453</v>
      </c>
      <c r="C24" s="252"/>
      <c r="D24" s="252"/>
      <c r="E24" s="252"/>
      <c r="F24" s="276"/>
      <c r="L24" s="167">
        <v>41882</v>
      </c>
      <c r="M24">
        <v>0.3</v>
      </c>
      <c r="N24">
        <f t="shared" si="10"/>
        <v>2014</v>
      </c>
      <c r="O24" s="429">
        <f t="shared" si="11"/>
        <v>41882</v>
      </c>
      <c r="P24" s="430" t="e">
        <f t="shared" si="7"/>
        <v>#N/A</v>
      </c>
      <c r="Q24" s="430">
        <f t="shared" si="12"/>
        <v>3.2402044843842237E-3</v>
      </c>
      <c r="R24" s="562">
        <v>104.661620836968</v>
      </c>
      <c r="S24" s="560">
        <f t="shared" si="26"/>
        <v>4.5426954713222667E-2</v>
      </c>
      <c r="T24" s="432">
        <f t="shared" si="24"/>
        <v>0</v>
      </c>
    </row>
    <row r="25" spans="1:42" ht="15" customHeight="1" thickBot="1">
      <c r="A25" s="261" t="s">
        <v>473</v>
      </c>
      <c r="B25" s="261" t="s">
        <v>454</v>
      </c>
      <c r="C25" s="252"/>
      <c r="D25" s="252"/>
      <c r="E25" s="252"/>
      <c r="F25" s="512">
        <v>503</v>
      </c>
      <c r="G25" s="229">
        <v>513</v>
      </c>
      <c r="L25" s="167">
        <v>41912</v>
      </c>
      <c r="M25">
        <v>0.8</v>
      </c>
      <c r="N25">
        <f t="shared" si="10"/>
        <v>2014</v>
      </c>
      <c r="O25" s="429">
        <f t="shared" si="11"/>
        <v>41912</v>
      </c>
      <c r="P25" s="430" t="e">
        <f t="shared" si="7"/>
        <v>#N/A</v>
      </c>
      <c r="Q25" s="430">
        <f t="shared" si="12"/>
        <v>8.3705607315758268E-3</v>
      </c>
      <c r="R25" s="562">
        <v>105.537697290449</v>
      </c>
      <c r="S25" s="560">
        <f t="shared" si="26"/>
        <v>4.9053683372127121E-2</v>
      </c>
      <c r="T25" s="432">
        <f t="shared" si="24"/>
        <v>0</v>
      </c>
      <c r="V25" s="495" t="s">
        <v>544</v>
      </c>
      <c r="W25" s="496" t="s">
        <v>545</v>
      </c>
      <c r="X25" s="497"/>
      <c r="Y25" s="498"/>
      <c r="Z25" s="497"/>
      <c r="AA25" s="499" t="s">
        <v>246</v>
      </c>
      <c r="AB25" s="499" t="s">
        <v>546</v>
      </c>
      <c r="AC25" s="500" t="s">
        <v>548</v>
      </c>
    </row>
    <row r="26" spans="1:42" ht="15">
      <c r="A26" s="261" t="s">
        <v>474</v>
      </c>
      <c r="B26" s="261" t="s">
        <v>455</v>
      </c>
      <c r="C26" s="252"/>
      <c r="D26" s="252"/>
      <c r="E26" s="252"/>
      <c r="F26" s="276">
        <f>F25/$C$5</f>
        <v>1.9068198187952537E-2</v>
      </c>
      <c r="G26" s="276">
        <f>G25/$C$5</f>
        <v>1.9447287615148412E-2</v>
      </c>
      <c r="L26" s="167">
        <v>41943</v>
      </c>
      <c r="M26">
        <v>1</v>
      </c>
      <c r="N26">
        <f t="shared" si="10"/>
        <v>2014</v>
      </c>
      <c r="O26" s="429">
        <f t="shared" si="11"/>
        <v>41943</v>
      </c>
      <c r="P26" s="430" t="e">
        <f t="shared" si="7"/>
        <v>#N/A</v>
      </c>
      <c r="Q26" s="430">
        <f t="shared" si="12"/>
        <v>1.0409996964074741E-2</v>
      </c>
      <c r="R26" s="562">
        <v>106.63634439883801</v>
      </c>
      <c r="S26" s="560">
        <f t="shared" si="26"/>
        <v>5.6829812540100555E-2</v>
      </c>
      <c r="T26" s="432">
        <f t="shared" si="24"/>
        <v>0</v>
      </c>
      <c r="V26" s="501">
        <v>5.8000000000000003E-2</v>
      </c>
      <c r="W26" s="502">
        <v>0</v>
      </c>
      <c r="X26" s="483"/>
      <c r="Y26" s="483"/>
      <c r="Z26" s="483"/>
      <c r="AA26" s="264">
        <f>EDATE(AA27,-1)</f>
        <v>42522</v>
      </c>
      <c r="AB26" s="503">
        <v>7.0000000000000001E-3</v>
      </c>
      <c r="AC26" s="504">
        <v>5.0000000000000001E-3</v>
      </c>
      <c r="AD26" s="505">
        <v>0</v>
      </c>
    </row>
    <row r="27" spans="1:42" ht="15">
      <c r="A27" s="261" t="s">
        <v>475</v>
      </c>
      <c r="B27" s="261" t="s">
        <v>456</v>
      </c>
      <c r="L27" s="167">
        <v>41973</v>
      </c>
      <c r="M27">
        <v>0</v>
      </c>
      <c r="N27">
        <f t="shared" si="10"/>
        <v>2014</v>
      </c>
      <c r="O27" s="429">
        <f t="shared" si="11"/>
        <v>41973</v>
      </c>
      <c r="P27" s="430" t="e">
        <f t="shared" si="7"/>
        <v>#N/A</v>
      </c>
      <c r="Q27" s="430">
        <f t="shared" si="12"/>
        <v>2.4614100797415439E-4</v>
      </c>
      <c r="R27" s="562">
        <v>106.662591976135</v>
      </c>
      <c r="S27" s="560">
        <f t="shared" si="26"/>
        <v>5.4507755941088032E-2</v>
      </c>
      <c r="T27" s="432">
        <f t="shared" si="24"/>
        <v>0</v>
      </c>
      <c r="V27" s="501">
        <v>5.3999999999999999E-2</v>
      </c>
      <c r="W27" s="502">
        <v>0</v>
      </c>
      <c r="X27" s="483"/>
      <c r="Y27" s="483"/>
      <c r="Z27" s="483"/>
      <c r="AA27" s="264">
        <f>EDATE(AA28,-1)</f>
        <v>42552</v>
      </c>
      <c r="AB27" s="503">
        <v>5.0000000000000001E-3</v>
      </c>
      <c r="AC27" s="504">
        <v>7.0000000000000001E-3</v>
      </c>
      <c r="AD27" s="505">
        <v>0</v>
      </c>
    </row>
    <row r="28" spans="1:42" ht="15">
      <c r="A28" s="261" t="s">
        <v>476</v>
      </c>
      <c r="B28" s="261" t="s">
        <v>457</v>
      </c>
      <c r="L28" s="167">
        <v>42004</v>
      </c>
      <c r="M28">
        <v>-0.4</v>
      </c>
      <c r="N28">
        <f t="shared" si="10"/>
        <v>2014</v>
      </c>
      <c r="O28" s="429">
        <f t="shared" si="11"/>
        <v>42004</v>
      </c>
      <c r="P28" s="430" t="e">
        <f t="shared" si="7"/>
        <v>#N/A</v>
      </c>
      <c r="Q28" s="430">
        <f t="shared" si="12"/>
        <v>-4.13080299820201E-3</v>
      </c>
      <c r="R28" s="562">
        <v>106.22198982140399</v>
      </c>
      <c r="S28" s="560">
        <f t="shared" si="26"/>
        <v>4.6465289195398052E-2</v>
      </c>
      <c r="T28" s="432">
        <f t="shared" si="24"/>
        <v>0</v>
      </c>
      <c r="V28" s="501">
        <v>4.3999999999999997E-2</v>
      </c>
      <c r="W28" s="502">
        <v>0</v>
      </c>
      <c r="X28" s="483"/>
      <c r="Y28" s="483"/>
      <c r="Z28" s="483"/>
      <c r="AA28" s="264">
        <f>EDATE(AA29,-1)</f>
        <v>42583</v>
      </c>
      <c r="AB28" s="503">
        <v>4.0000000000000001E-3</v>
      </c>
      <c r="AC28" s="504">
        <v>3.0000000000000001E-3</v>
      </c>
      <c r="AD28" s="505">
        <v>0</v>
      </c>
    </row>
    <row r="29" spans="1:42" ht="15">
      <c r="A29" s="261" t="s">
        <v>477</v>
      </c>
      <c r="B29" s="261" t="s">
        <v>458</v>
      </c>
      <c r="L29" s="167">
        <v>42035</v>
      </c>
      <c r="M29">
        <v>0.1</v>
      </c>
      <c r="N29">
        <f t="shared" si="10"/>
        <v>2015</v>
      </c>
      <c r="O29" s="429">
        <f t="shared" si="11"/>
        <v>42035</v>
      </c>
      <c r="P29" s="430" t="e">
        <f t="shared" si="7"/>
        <v>#N/A</v>
      </c>
      <c r="Q29" s="430">
        <f t="shared" si="12"/>
        <v>7.7417083914799179E-4</v>
      </c>
      <c r="R29" s="562">
        <v>106.30422378839999</v>
      </c>
      <c r="S29" s="560">
        <f t="shared" si="26"/>
        <v>4.5403496200224547E-2</v>
      </c>
      <c r="T29" s="432">
        <f t="shared" si="24"/>
        <v>0</v>
      </c>
      <c r="V29" s="501">
        <v>4.2999999999999997E-2</v>
      </c>
      <c r="W29" s="502">
        <v>0</v>
      </c>
      <c r="X29" s="483"/>
      <c r="Y29" s="483"/>
      <c r="Z29" s="483"/>
      <c r="AA29" s="264">
        <f>EDATE(AA30,-1)</f>
        <v>42614</v>
      </c>
      <c r="AB29" s="503">
        <v>0</v>
      </c>
      <c r="AC29" s="504">
        <v>1E-3</v>
      </c>
      <c r="AD29" s="505">
        <v>0</v>
      </c>
    </row>
    <row r="30" spans="1:42" ht="15">
      <c r="A30" s="261" t="s">
        <v>478</v>
      </c>
      <c r="B30" s="261" t="s">
        <v>459</v>
      </c>
      <c r="J30" s="297"/>
      <c r="L30" s="167">
        <v>42063</v>
      </c>
      <c r="M30">
        <v>0.4</v>
      </c>
      <c r="N30">
        <f t="shared" si="10"/>
        <v>2015</v>
      </c>
      <c r="O30" s="429">
        <f t="shared" si="11"/>
        <v>42063</v>
      </c>
      <c r="P30" s="430" t="e">
        <f t="shared" si="7"/>
        <v>#N/A</v>
      </c>
      <c r="Q30" s="430">
        <f t="shared" si="12"/>
        <v>3.5156731102135019E-3</v>
      </c>
      <c r="R30" s="562">
        <v>106.677954689475</v>
      </c>
      <c r="S30" s="560">
        <f t="shared" si="26"/>
        <v>4.4000788617439834E-2</v>
      </c>
      <c r="T30" s="432">
        <f t="shared" si="24"/>
        <v>0</v>
      </c>
      <c r="V30" s="501">
        <v>4.2000000000000003E-2</v>
      </c>
      <c r="W30" s="502">
        <v>0</v>
      </c>
      <c r="X30" s="483"/>
      <c r="Y30" s="483"/>
      <c r="Z30" s="483"/>
      <c r="AA30" s="264">
        <f>Informe2!B9</f>
        <v>42644</v>
      </c>
      <c r="AB30" s="505">
        <v>0</v>
      </c>
      <c r="AC30" s="505">
        <v>0</v>
      </c>
      <c r="AD30" s="263">
        <f>Informe2!C9</f>
        <v>3.510708135519014E-3</v>
      </c>
    </row>
    <row r="31" spans="1:42" ht="15">
      <c r="A31" s="261" t="s">
        <v>479</v>
      </c>
      <c r="B31" s="261" t="s">
        <v>460</v>
      </c>
      <c r="L31" s="167">
        <v>42094</v>
      </c>
      <c r="M31">
        <v>0.6</v>
      </c>
      <c r="N31">
        <f t="shared" si="10"/>
        <v>2015</v>
      </c>
      <c r="O31" s="429">
        <f t="shared" si="11"/>
        <v>42094</v>
      </c>
      <c r="P31" s="430" t="e">
        <f t="shared" si="7"/>
        <v>#N/A</v>
      </c>
      <c r="Q31" s="430">
        <f t="shared" si="12"/>
        <v>6.2920017697829511E-3</v>
      </c>
      <c r="R31" s="562">
        <v>107.34917256917799</v>
      </c>
      <c r="S31" s="560">
        <f t="shared" si="26"/>
        <v>4.1841330222631479E-2</v>
      </c>
      <c r="T31" s="432">
        <f t="shared" si="24"/>
        <v>0</v>
      </c>
      <c r="V31" s="501">
        <v>0.04</v>
      </c>
      <c r="W31" s="502">
        <v>0</v>
      </c>
      <c r="X31" s="483"/>
      <c r="Y31" s="483"/>
      <c r="Z31" s="483"/>
      <c r="AA31" s="264">
        <f>Informe2!B10</f>
        <v>42675</v>
      </c>
      <c r="AB31" s="505">
        <v>0</v>
      </c>
      <c r="AC31" s="505">
        <v>0</v>
      </c>
      <c r="AD31" s="263">
        <f>Informe2!C10</f>
        <v>3.7923319048882576E-4</v>
      </c>
    </row>
    <row r="32" spans="1:42" ht="15">
      <c r="A32" s="261" t="s">
        <v>480</v>
      </c>
      <c r="B32" s="261" t="s">
        <v>461</v>
      </c>
      <c r="L32" s="167">
        <v>42124</v>
      </c>
      <c r="M32">
        <v>0.6</v>
      </c>
      <c r="N32">
        <f t="shared" si="10"/>
        <v>2015</v>
      </c>
      <c r="O32" s="429">
        <f t="shared" si="11"/>
        <v>42124</v>
      </c>
      <c r="P32" s="430" t="e">
        <f t="shared" si="7"/>
        <v>#N/A</v>
      </c>
      <c r="Q32" s="430">
        <f t="shared" si="12"/>
        <v>5.7521382771168472E-3</v>
      </c>
      <c r="R32" s="562">
        <v>107.96665985372999</v>
      </c>
      <c r="S32" s="560">
        <f t="shared" si="26"/>
        <v>4.1371124053547037E-2</v>
      </c>
      <c r="T32" s="432">
        <f t="shared" si="24"/>
        <v>0</v>
      </c>
      <c r="V32" s="501">
        <v>0.04</v>
      </c>
      <c r="W32" s="502">
        <v>0</v>
      </c>
      <c r="X32" s="483"/>
      <c r="Y32" s="483"/>
      <c r="Z32" s="483"/>
      <c r="AA32" s="264">
        <f>Informe2!B11</f>
        <v>42705</v>
      </c>
      <c r="AB32" s="505">
        <v>0</v>
      </c>
      <c r="AC32" s="505">
        <v>0</v>
      </c>
      <c r="AD32" s="263">
        <f>Informe2!C11</f>
        <v>4.5490731263497786E-4</v>
      </c>
    </row>
    <row r="33" spans="1:30" ht="15">
      <c r="A33" s="261" t="s">
        <v>481</v>
      </c>
      <c r="B33" s="261" t="s">
        <v>462</v>
      </c>
      <c r="L33" s="167">
        <v>42155</v>
      </c>
      <c r="M33">
        <v>0.2</v>
      </c>
      <c r="N33">
        <f t="shared" si="10"/>
        <v>2015</v>
      </c>
      <c r="O33" s="429">
        <f t="shared" si="11"/>
        <v>42155</v>
      </c>
      <c r="P33" s="430" t="e">
        <f t="shared" si="7"/>
        <v>#N/A</v>
      </c>
      <c r="Q33" s="430">
        <f t="shared" si="12"/>
        <v>1.7639320744480269E-3</v>
      </c>
      <c r="R33" s="562">
        <v>108.157105708017</v>
      </c>
      <c r="S33" s="560">
        <f t="shared" si="26"/>
        <v>3.9696700268336604E-2</v>
      </c>
      <c r="T33" s="432">
        <f t="shared" si="24"/>
        <v>0</v>
      </c>
      <c r="V33" s="501">
        <v>3.9E-2</v>
      </c>
      <c r="W33" s="502">
        <v>0</v>
      </c>
      <c r="X33" s="483"/>
      <c r="Y33" s="483"/>
      <c r="Z33" s="483"/>
      <c r="AA33" s="264">
        <f>Informe2!B12</f>
        <v>42736</v>
      </c>
      <c r="AB33" s="505">
        <v>0</v>
      </c>
      <c r="AC33" s="505">
        <v>0</v>
      </c>
      <c r="AD33" s="263">
        <f>Informe2!C12</f>
        <v>1.0609677541586482E-3</v>
      </c>
    </row>
    <row r="34" spans="1:30" ht="15">
      <c r="A34" s="261" t="s">
        <v>482</v>
      </c>
      <c r="B34" s="261" t="s">
        <v>463</v>
      </c>
      <c r="L34" s="167">
        <v>42185</v>
      </c>
      <c r="M34">
        <v>0.5</v>
      </c>
      <c r="N34">
        <f t="shared" si="10"/>
        <v>2015</v>
      </c>
      <c r="O34" s="429">
        <f t="shared" si="11"/>
        <v>42185</v>
      </c>
      <c r="P34" s="430" t="e">
        <f t="shared" si="7"/>
        <v>#N/A</v>
      </c>
      <c r="Q34" s="430">
        <f t="shared" si="12"/>
        <v>4.8409553935964134E-3</v>
      </c>
      <c r="R34" s="562">
        <v>108.68068943225001</v>
      </c>
      <c r="S34" s="560">
        <f t="shared" si="26"/>
        <v>4.4191854836804323E-2</v>
      </c>
      <c r="T34" s="432">
        <f t="shared" si="24"/>
        <v>0</v>
      </c>
      <c r="V34" s="501">
        <v>4.2999999999999997E-2</v>
      </c>
      <c r="W34" s="502">
        <v>0</v>
      </c>
      <c r="X34" s="483"/>
      <c r="Y34" s="483"/>
      <c r="Z34" s="483"/>
      <c r="AA34" s="264">
        <f>Informe2!B13</f>
        <v>42767</v>
      </c>
      <c r="AB34" s="505">
        <v>0</v>
      </c>
      <c r="AC34" s="505">
        <v>0</v>
      </c>
      <c r="AD34" s="263">
        <f>Informe2!C13</f>
        <v>1.4567003326859673E-3</v>
      </c>
    </row>
    <row r="35" spans="1:30" ht="15">
      <c r="A35" s="261" t="s">
        <v>483</v>
      </c>
      <c r="B35" s="261" t="s">
        <v>464</v>
      </c>
      <c r="L35" s="167">
        <v>42216</v>
      </c>
      <c r="M35">
        <v>0.4</v>
      </c>
      <c r="N35">
        <f t="shared" si="10"/>
        <v>2015</v>
      </c>
      <c r="O35" s="429">
        <f t="shared" si="11"/>
        <v>42216</v>
      </c>
      <c r="P35" s="430" t="e">
        <f t="shared" si="7"/>
        <v>#N/A</v>
      </c>
      <c r="Q35" s="430">
        <f t="shared" si="12"/>
        <v>4.2298012804524721E-3</v>
      </c>
      <c r="R35" s="562">
        <v>109.14038715157101</v>
      </c>
      <c r="S35" s="560">
        <f t="shared" si="26"/>
        <v>4.6171685932577144E-2</v>
      </c>
      <c r="T35" s="432">
        <f t="shared" si="24"/>
        <v>0</v>
      </c>
      <c r="V35" s="501">
        <v>4.4999999999999998E-2</v>
      </c>
      <c r="W35" s="502">
        <v>0</v>
      </c>
      <c r="X35" s="483"/>
      <c r="Y35" s="483"/>
      <c r="Z35" s="483"/>
      <c r="AA35" s="264">
        <f>Informe2!B14</f>
        <v>42795</v>
      </c>
      <c r="AB35" s="505">
        <v>0</v>
      </c>
      <c r="AC35" s="505">
        <v>0</v>
      </c>
      <c r="AD35" s="263">
        <f>Informe2!C14</f>
        <v>4.8574320657637227E-3</v>
      </c>
    </row>
    <row r="36" spans="1:30" ht="15">
      <c r="A36" s="261" t="s">
        <v>484</v>
      </c>
      <c r="B36" s="261" t="s">
        <v>465</v>
      </c>
      <c r="L36" s="167">
        <v>42247</v>
      </c>
      <c r="M36">
        <v>0.7</v>
      </c>
      <c r="N36">
        <f t="shared" si="10"/>
        <v>2015</v>
      </c>
      <c r="O36" s="429">
        <f t="shared" si="11"/>
        <v>42247</v>
      </c>
      <c r="P36" s="430" t="e">
        <f t="shared" si="7"/>
        <v>#N/A</v>
      </c>
      <c r="Q36" s="430">
        <f t="shared" si="12"/>
        <v>6.760442900255681E-3</v>
      </c>
      <c r="R36" s="562">
        <v>109.878224507021</v>
      </c>
      <c r="S36" s="560">
        <f t="shared" si="26"/>
        <v>4.9842565291234431E-2</v>
      </c>
      <c r="T36" s="432">
        <f t="shared" si="24"/>
        <v>0</v>
      </c>
      <c r="V36" s="501">
        <v>0</v>
      </c>
      <c r="W36" s="502">
        <v>4.65E-2</v>
      </c>
      <c r="X36" s="483"/>
      <c r="Y36" s="483"/>
      <c r="Z36" s="483"/>
      <c r="AA36" s="264">
        <f>Informe2!B15</f>
        <v>42826</v>
      </c>
      <c r="AB36" s="505">
        <v>0</v>
      </c>
      <c r="AC36" s="505">
        <v>0</v>
      </c>
      <c r="AD36" s="263">
        <f>Informe2!C15</f>
        <v>2.3696682464455776E-3</v>
      </c>
    </row>
    <row r="37" spans="1:30" ht="15">
      <c r="A37" s="261" t="s">
        <v>485</v>
      </c>
      <c r="B37" s="261" t="s">
        <v>466</v>
      </c>
      <c r="L37" s="167">
        <v>42277</v>
      </c>
      <c r="M37">
        <v>0.5</v>
      </c>
      <c r="N37">
        <f t="shared" si="10"/>
        <v>2015</v>
      </c>
      <c r="O37" s="429">
        <f t="shared" si="11"/>
        <v>42277</v>
      </c>
      <c r="P37" s="430" t="e">
        <f t="shared" ref="P37:P68" si="27">VLOOKUP(O37,$H:$I,2,0)</f>
        <v>#N/A</v>
      </c>
      <c r="Q37" s="430">
        <f t="shared" si="12"/>
        <v>5.1143896189829174E-3</v>
      </c>
      <c r="R37" s="562">
        <v>110.44018455779199</v>
      </c>
      <c r="S37" s="560">
        <f t="shared" si="26"/>
        <v>4.6452475212254374E-2</v>
      </c>
      <c r="T37" s="432">
        <f t="shared" si="24"/>
        <v>0</v>
      </c>
      <c r="V37" s="501">
        <v>0</v>
      </c>
      <c r="W37" s="502">
        <v>4.6100000000000002E-2</v>
      </c>
      <c r="X37" s="483"/>
      <c r="Y37" s="483"/>
      <c r="Z37" s="483"/>
      <c r="AA37" s="264">
        <f>Informe2!B16</f>
        <v>42856</v>
      </c>
      <c r="AB37" s="505">
        <v>0</v>
      </c>
      <c r="AC37" s="505">
        <v>0</v>
      </c>
      <c r="AD37" s="263">
        <f>Informe2!C16</f>
        <v>2.2918717672695266E-3</v>
      </c>
    </row>
    <row r="38" spans="1:30" ht="15">
      <c r="A38" s="261" t="s">
        <v>486</v>
      </c>
      <c r="B38" s="261" t="s">
        <v>467</v>
      </c>
      <c r="L38" s="167">
        <v>42308</v>
      </c>
      <c r="M38">
        <v>0.4</v>
      </c>
      <c r="N38">
        <f t="shared" si="10"/>
        <v>2015</v>
      </c>
      <c r="O38" s="429">
        <f t="shared" si="11"/>
        <v>42308</v>
      </c>
      <c r="P38" s="430" t="e">
        <f t="shared" si="27"/>
        <v>#N/A</v>
      </c>
      <c r="Q38" s="430">
        <f t="shared" si="12"/>
        <v>4.0739333822423784E-3</v>
      </c>
      <c r="R38" s="562">
        <v>110.890110512403</v>
      </c>
      <c r="S38" s="560">
        <f t="shared" si="26"/>
        <v>3.9890397008126799E-2</v>
      </c>
      <c r="T38" s="432">
        <f t="shared" si="24"/>
        <v>0</v>
      </c>
      <c r="V38" s="501">
        <v>0</v>
      </c>
      <c r="W38" s="502">
        <v>3.9399999999999998E-2</v>
      </c>
      <c r="X38" s="483"/>
      <c r="Y38" s="483"/>
      <c r="Z38" s="483"/>
      <c r="AA38" s="264">
        <f>Informe2!B17</f>
        <v>42887</v>
      </c>
      <c r="AB38" s="505">
        <v>0</v>
      </c>
      <c r="AC38" s="505">
        <v>0</v>
      </c>
      <c r="AD38" s="263">
        <f>Informe2!C17</f>
        <v>2.4681288458374695E-3</v>
      </c>
    </row>
    <row r="39" spans="1:30" ht="15">
      <c r="A39" s="261" t="s">
        <v>487</v>
      </c>
      <c r="B39" s="261" t="s">
        <v>468</v>
      </c>
      <c r="L39" s="167">
        <v>42338</v>
      </c>
      <c r="M39">
        <v>0</v>
      </c>
      <c r="N39">
        <f t="shared" si="10"/>
        <v>2015</v>
      </c>
      <c r="O39" s="429">
        <f t="shared" si="11"/>
        <v>42338</v>
      </c>
      <c r="P39" s="430" t="e">
        <f t="shared" si="27"/>
        <v>#N/A</v>
      </c>
      <c r="Q39" s="430">
        <f t="shared" si="12"/>
        <v>-2.5924446606784279E-4</v>
      </c>
      <c r="R39" s="562">
        <v>110.861362864911</v>
      </c>
      <c r="S39" s="560">
        <f t="shared" si="26"/>
        <v>3.9364980833350049E-2</v>
      </c>
      <c r="T39" s="432">
        <f t="shared" si="24"/>
        <v>0</v>
      </c>
      <c r="V39" s="501">
        <v>0</v>
      </c>
      <c r="W39" s="502">
        <v>4.0399999999999998E-2</v>
      </c>
      <c r="X39" s="483"/>
      <c r="Y39" s="483"/>
      <c r="Z39" s="483"/>
      <c r="AA39" s="264">
        <f>Informe2!B18</f>
        <v>42917</v>
      </c>
      <c r="AB39" s="505">
        <v>0</v>
      </c>
      <c r="AC39" s="505">
        <v>0</v>
      </c>
      <c r="AD39" s="263">
        <f>Informe2!C18</f>
        <v>2.4313770134691826E-3</v>
      </c>
    </row>
    <row r="40" spans="1:30" ht="15">
      <c r="A40" s="261" t="s">
        <v>488</v>
      </c>
      <c r="B40" s="261" t="s">
        <v>469</v>
      </c>
      <c r="L40" s="167">
        <v>42369</v>
      </c>
      <c r="M40">
        <v>0</v>
      </c>
      <c r="N40">
        <f t="shared" si="10"/>
        <v>2015</v>
      </c>
      <c r="O40" s="429">
        <f t="shared" si="11"/>
        <v>42369</v>
      </c>
      <c r="P40" s="430" t="e">
        <f t="shared" si="27"/>
        <v>#N/A</v>
      </c>
      <c r="Q40" s="430">
        <f t="shared" si="12"/>
        <v>1.0888334628988972E-4</v>
      </c>
      <c r="R40" s="562">
        <v>110.873433821074</v>
      </c>
      <c r="S40" s="560">
        <f t="shared" si="26"/>
        <v>4.3789840573413175E-2</v>
      </c>
      <c r="T40" s="432">
        <f t="shared" si="24"/>
        <v>0</v>
      </c>
      <c r="V40" s="501">
        <v>0</v>
      </c>
      <c r="W40" s="502">
        <v>4.58E-2</v>
      </c>
      <c r="X40" s="483"/>
      <c r="Y40" s="483"/>
      <c r="Z40" s="483"/>
      <c r="AA40" s="264">
        <f>Informe2!B19</f>
        <v>42948</v>
      </c>
      <c r="AB40" s="505">
        <v>0</v>
      </c>
      <c r="AC40" s="505">
        <v>0</v>
      </c>
      <c r="AD40" s="263">
        <f>Informe2!C19</f>
        <v>2.2313811864771438E-3</v>
      </c>
    </row>
    <row r="41" spans="1:30">
      <c r="L41" s="167">
        <v>42400</v>
      </c>
      <c r="M41">
        <v>0.5</v>
      </c>
      <c r="N41">
        <f t="shared" si="10"/>
        <v>2016</v>
      </c>
      <c r="O41" s="429">
        <f t="shared" si="11"/>
        <v>42400</v>
      </c>
      <c r="P41" s="430" t="e">
        <f>VLOOKUP(O41,$H:$I,2,0)</f>
        <v>#N/A</v>
      </c>
      <c r="Q41" s="430">
        <f t="shared" si="12"/>
        <v>4.7002937512425902E-3</v>
      </c>
      <c r="R41" s="562">
        <v>111.394571529242</v>
      </c>
      <c r="S41" s="560">
        <f t="shared" si="26"/>
        <v>4.788471764747948E-2</v>
      </c>
      <c r="T41" s="432">
        <f t="shared" si="24"/>
        <v>0</v>
      </c>
      <c r="V41" s="501">
        <v>0</v>
      </c>
      <c r="W41" s="502">
        <v>4.9200000000000001E-2</v>
      </c>
      <c r="X41" s="483"/>
      <c r="Y41" s="483"/>
      <c r="Z41" s="483"/>
      <c r="AA41" s="264">
        <f>Informe2!B20</f>
        <v>42979</v>
      </c>
      <c r="AB41" s="505">
        <v>0</v>
      </c>
      <c r="AC41" s="505">
        <v>0</v>
      </c>
      <c r="AD41" s="263">
        <f>Informe2!C20</f>
        <v>4.9814037148196988E-3</v>
      </c>
    </row>
    <row r="42" spans="1:30">
      <c r="L42" s="167">
        <v>42429</v>
      </c>
      <c r="M42">
        <v>0.3</v>
      </c>
      <c r="N42">
        <f t="shared" si="10"/>
        <v>2016</v>
      </c>
      <c r="O42" s="429">
        <f t="shared" si="11"/>
        <v>42429</v>
      </c>
      <c r="P42" s="430" t="e">
        <f t="shared" si="27"/>
        <v>#N/A</v>
      </c>
      <c r="Q42" s="430">
        <f t="shared" si="12"/>
        <v>2.7797082422702513E-3</v>
      </c>
      <c r="R42" s="562">
        <v>111.704215937866</v>
      </c>
      <c r="S42" s="560">
        <f t="shared" si="26"/>
        <v>4.7116213120337314E-2</v>
      </c>
      <c r="T42" s="432">
        <f t="shared" si="24"/>
        <v>0</v>
      </c>
      <c r="V42" s="501">
        <v>0</v>
      </c>
      <c r="W42" s="502">
        <v>4.6699999999999998E-2</v>
      </c>
      <c r="X42" s="483"/>
      <c r="Y42" s="483"/>
      <c r="Z42" s="483"/>
      <c r="AA42" s="264">
        <f>Informe2!B21</f>
        <v>43009</v>
      </c>
      <c r="AB42" s="505">
        <v>0</v>
      </c>
      <c r="AC42" s="505">
        <v>0</v>
      </c>
      <c r="AD42" s="263">
        <f>Informe2!C21</f>
        <v>2.457333396104433E-3</v>
      </c>
    </row>
    <row r="43" spans="1:30">
      <c r="L43" s="167">
        <v>42460</v>
      </c>
      <c r="M43">
        <v>0.4</v>
      </c>
      <c r="N43">
        <f t="shared" si="10"/>
        <v>2016</v>
      </c>
      <c r="O43" s="429">
        <f t="shared" si="11"/>
        <v>42460</v>
      </c>
      <c r="P43" s="430" t="e">
        <f t="shared" si="27"/>
        <v>#N/A</v>
      </c>
      <c r="Q43" s="430">
        <f t="shared" si="12"/>
        <v>3.7957631283660476E-3</v>
      </c>
      <c r="R43" s="562">
        <v>112.12821868200599</v>
      </c>
      <c r="S43" s="560">
        <f t="shared" si="26"/>
        <v>4.4518704694703537E-2</v>
      </c>
      <c r="T43" s="432">
        <f t="shared" si="24"/>
        <v>0</v>
      </c>
      <c r="V43" s="501">
        <v>0</v>
      </c>
      <c r="W43" s="502">
        <v>4.5600000000000002E-2</v>
      </c>
      <c r="X43" s="483"/>
      <c r="Y43" s="483"/>
      <c r="Z43" s="483"/>
      <c r="AA43" s="264">
        <f>Informe2!B22</f>
        <v>43040</v>
      </c>
      <c r="AB43" s="505">
        <v>0</v>
      </c>
      <c r="AC43" s="505">
        <v>0</v>
      </c>
      <c r="AD43" s="263">
        <f>Informe2!C22</f>
        <v>1.0540398573559706E-3</v>
      </c>
    </row>
    <row r="44" spans="1:30">
      <c r="L44" s="167">
        <v>42490</v>
      </c>
      <c r="M44">
        <v>0.3</v>
      </c>
      <c r="N44">
        <f t="shared" si="10"/>
        <v>2016</v>
      </c>
      <c r="O44" s="429">
        <f t="shared" si="11"/>
        <v>42490</v>
      </c>
      <c r="P44" s="430" t="e">
        <f t="shared" si="27"/>
        <v>#N/A</v>
      </c>
      <c r="Q44" s="430">
        <f t="shared" si="12"/>
        <v>3.2560004993247293E-3</v>
      </c>
      <c r="R44" s="562">
        <v>112.493308218023</v>
      </c>
      <c r="S44" s="560">
        <f t="shared" si="26"/>
        <v>4.1926353657930848E-2</v>
      </c>
      <c r="T44" s="432">
        <f t="shared" si="24"/>
        <v>0</v>
      </c>
      <c r="V44" s="501">
        <v>0</v>
      </c>
      <c r="W44" s="502">
        <v>4.1000000000000002E-2</v>
      </c>
      <c r="X44" s="483"/>
      <c r="Y44" s="483"/>
      <c r="Z44" s="483"/>
      <c r="AA44" s="264">
        <f>Informe2!B23</f>
        <v>43070</v>
      </c>
      <c r="AB44" s="505">
        <v>0</v>
      </c>
      <c r="AC44" s="505">
        <v>0</v>
      </c>
      <c r="AD44" s="263">
        <f>Informe2!C23</f>
        <v>5.5289347585696369E-4</v>
      </c>
    </row>
    <row r="45" spans="1:30">
      <c r="L45" s="167">
        <v>42521</v>
      </c>
      <c r="M45">
        <v>0.2</v>
      </c>
      <c r="N45">
        <f t="shared" si="10"/>
        <v>2016</v>
      </c>
      <c r="O45" s="429">
        <f t="shared" si="11"/>
        <v>42521</v>
      </c>
      <c r="P45" s="430" t="e">
        <f t="shared" si="27"/>
        <v>#N/A</v>
      </c>
      <c r="Q45" s="430">
        <f t="shared" si="12"/>
        <v>2.2511986866116107E-3</v>
      </c>
      <c r="R45" s="562">
        <v>112.746553005736</v>
      </c>
      <c r="S45" s="560">
        <f t="shared" si="26"/>
        <v>4.2433155618168739E-2</v>
      </c>
      <c r="T45" s="432">
        <f t="shared" si="24"/>
        <v>0</v>
      </c>
      <c r="V45" s="501">
        <v>0</v>
      </c>
      <c r="W45" s="502">
        <v>4.0800000000000003E-2</v>
      </c>
      <c r="X45" s="483"/>
      <c r="Y45" s="483"/>
      <c r="Z45" s="483"/>
      <c r="AA45" s="264">
        <f>Informe2!B24</f>
        <v>43101</v>
      </c>
      <c r="AB45" s="505">
        <v>0</v>
      </c>
      <c r="AC45" s="505">
        <v>0</v>
      </c>
      <c r="AD45" s="263">
        <f>Informe2!C24</f>
        <v>1.1788543009763064E-3</v>
      </c>
    </row>
    <row r="46" spans="1:30">
      <c r="L46" s="167">
        <v>42551</v>
      </c>
      <c r="M46">
        <v>0.4</v>
      </c>
      <c r="N46">
        <f t="shared" si="10"/>
        <v>2016</v>
      </c>
      <c r="O46" s="429">
        <f t="shared" si="11"/>
        <v>42551</v>
      </c>
      <c r="P46" s="430" t="e">
        <f t="shared" si="27"/>
        <v>#N/A</v>
      </c>
      <c r="Q46" s="430">
        <f t="shared" si="12"/>
        <v>4.4943170690923129E-3</v>
      </c>
      <c r="R46" s="562">
        <v>113.253271763391</v>
      </c>
      <c r="S46" s="560">
        <f t="shared" si="26"/>
        <v>4.2073549174450831E-2</v>
      </c>
      <c r="T46" s="432">
        <f t="shared" si="24"/>
        <v>0</v>
      </c>
      <c r="V46" s="501">
        <v>0</v>
      </c>
      <c r="W46" s="502">
        <v>3.7999999999999999E-2</v>
      </c>
      <c r="X46" s="483"/>
      <c r="Y46" s="483"/>
      <c r="Z46" s="483"/>
      <c r="AA46" s="483"/>
      <c r="AB46" s="483"/>
      <c r="AC46" s="506"/>
    </row>
    <row r="47" spans="1:30">
      <c r="L47" s="167">
        <v>42582</v>
      </c>
      <c r="M47">
        <v>0.2</v>
      </c>
      <c r="N47">
        <f t="shared" si="10"/>
        <v>2016</v>
      </c>
      <c r="O47" s="429">
        <f t="shared" si="11"/>
        <v>42582</v>
      </c>
      <c r="P47" s="430" t="e">
        <f t="shared" si="27"/>
        <v>#N/A</v>
      </c>
      <c r="Q47" s="430">
        <f t="shared" si="12"/>
        <v>2.4223798188998114E-3</v>
      </c>
      <c r="R47" s="562">
        <v>113.52761420333501</v>
      </c>
      <c r="S47" s="560">
        <f t="shared" si="26"/>
        <v>4.0198016208895737E-2</v>
      </c>
      <c r="T47" s="432">
        <f t="shared" si="24"/>
        <v>0</v>
      </c>
      <c r="V47" s="501">
        <v>0</v>
      </c>
      <c r="W47" s="502">
        <v>3.5499999999999997E-2</v>
      </c>
      <c r="X47" s="483"/>
      <c r="Y47" s="483"/>
      <c r="Z47" s="483"/>
      <c r="AA47" s="483"/>
      <c r="AB47" s="483"/>
      <c r="AC47" s="506"/>
    </row>
    <row r="48" spans="1:30">
      <c r="L48" s="167">
        <v>42613</v>
      </c>
      <c r="M48">
        <v>0</v>
      </c>
      <c r="N48">
        <f t="shared" si="10"/>
        <v>2016</v>
      </c>
      <c r="O48" s="429">
        <f t="shared" si="11"/>
        <v>42613</v>
      </c>
      <c r="P48" s="430" t="e">
        <f t="shared" si="27"/>
        <v>#N/A</v>
      </c>
      <c r="Q48" s="430">
        <f t="shared" si="12"/>
        <v>4.8208726883824937E-4</v>
      </c>
      <c r="R48" s="562">
        <v>113.58234442080401</v>
      </c>
      <c r="S48" s="560">
        <f t="shared" si="26"/>
        <v>3.3711137310435069E-2</v>
      </c>
      <c r="T48" s="560">
        <f t="shared" si="24"/>
        <v>0</v>
      </c>
      <c r="V48" s="501">
        <v>0</v>
      </c>
      <c r="W48" s="502">
        <v>3.3500000000000002E-2</v>
      </c>
      <c r="X48" s="483"/>
      <c r="Y48" s="483"/>
      <c r="Z48" s="483"/>
      <c r="AA48" s="483"/>
      <c r="AB48" s="483"/>
      <c r="AC48" s="506"/>
    </row>
    <row r="49" spans="12:29" ht="13.5" thickBot="1">
      <c r="L49" s="559">
        <v>42643</v>
      </c>
      <c r="M49">
        <v>0.2</v>
      </c>
      <c r="N49">
        <f t="shared" si="10"/>
        <v>2016</v>
      </c>
      <c r="O49" s="429">
        <f t="shared" si="11"/>
        <v>42643</v>
      </c>
      <c r="P49" s="430" t="e">
        <f t="shared" si="27"/>
        <v>#N/A</v>
      </c>
      <c r="Q49" s="430">
        <f t="shared" si="12"/>
        <v>2.4348298003906699E-3</v>
      </c>
      <c r="R49" s="562">
        <v>113.858898097798</v>
      </c>
      <c r="S49" s="560">
        <f t="shared" si="26"/>
        <v>3.0955340700440814E-2</v>
      </c>
      <c r="T49" s="560">
        <f>IF(L49&lt;&gt;"",0,SUM(Q38:Q49))</f>
        <v>0</v>
      </c>
      <c r="V49" s="507">
        <v>0</v>
      </c>
      <c r="W49" s="508">
        <v>3.1899999999999998E-2</v>
      </c>
      <c r="X49" s="509"/>
      <c r="Y49" s="509"/>
      <c r="Z49" s="509"/>
      <c r="AA49" s="509"/>
      <c r="AB49" s="509"/>
      <c r="AC49" s="510"/>
    </row>
    <row r="50" spans="12:29">
      <c r="L50" s="167"/>
      <c r="N50">
        <f t="shared" si="10"/>
        <v>1900</v>
      </c>
      <c r="O50" s="429">
        <f t="shared" si="11"/>
        <v>42644</v>
      </c>
      <c r="P50" s="430">
        <f>VLOOKUP(O50,$H:$I,2,0)</f>
        <v>3.510708135519014E-3</v>
      </c>
      <c r="Q50" s="430">
        <f t="shared" ref="Q50:Q69" si="28">IF(L50&lt;&gt;"",M50/100,P50)</f>
        <v>3.510708135519014E-3</v>
      </c>
      <c r="R50" s="562">
        <f>IF(L50&lt;&gt;"",0,R49*(1+Q50))</f>
        <v>114.25862345765117</v>
      </c>
      <c r="S50" s="432">
        <f>IF(L50&lt;&gt;"",SUM(Q39:Q50),0)</f>
        <v>0</v>
      </c>
      <c r="T50" s="560">
        <f>IF(L50&lt;&gt;"",0,R50/R38-1)</f>
        <v>3.0377036596707097E-2</v>
      </c>
      <c r="V50" s="432"/>
    </row>
    <row r="51" spans="12:29">
      <c r="L51" s="167"/>
      <c r="N51">
        <f t="shared" si="10"/>
        <v>1900</v>
      </c>
      <c r="O51" s="429">
        <f t="shared" si="11"/>
        <v>42675</v>
      </c>
      <c r="P51" s="430">
        <f t="shared" si="27"/>
        <v>3.7923319048882576E-4</v>
      </c>
      <c r="Q51" s="430">
        <f t="shared" si="28"/>
        <v>3.7923319048882576E-4</v>
      </c>
      <c r="R51" s="562">
        <f t="shared" ref="R51:R76" si="29">IF(L51&lt;&gt;"",0,R50*(1+Q51))</f>
        <v>114.30195411996587</v>
      </c>
      <c r="S51" s="432">
        <f t="shared" ref="S51:S76" si="30">IF(L51&lt;&gt;"",SUM(Q40:Q51),0)</f>
        <v>0</v>
      </c>
      <c r="T51" s="560">
        <f t="shared" ref="T51:T76" si="31">IF(L51&lt;&gt;"",0,R51/R39-1)</f>
        <v>3.1035079906489793E-2</v>
      </c>
      <c r="V51" s="432"/>
    </row>
    <row r="52" spans="12:29">
      <c r="L52" s="167"/>
      <c r="N52">
        <f t="shared" si="10"/>
        <v>1900</v>
      </c>
      <c r="O52" s="429">
        <f t="shared" si="11"/>
        <v>42705</v>
      </c>
      <c r="P52" s="430">
        <f t="shared" si="27"/>
        <v>4.5490731263497786E-4</v>
      </c>
      <c r="Q52" s="430">
        <f t="shared" si="28"/>
        <v>4.5490731263497786E-4</v>
      </c>
      <c r="R52" s="562">
        <f t="shared" si="29"/>
        <v>114.35395091474351</v>
      </c>
      <c r="S52" s="432">
        <f t="shared" si="30"/>
        <v>0</v>
      </c>
      <c r="T52" s="560">
        <f t="shared" si="31"/>
        <v>3.1391803912976357E-2</v>
      </c>
      <c r="V52" s="432"/>
    </row>
    <row r="53" spans="12:29">
      <c r="L53" s="167"/>
      <c r="N53">
        <f t="shared" si="10"/>
        <v>1900</v>
      </c>
      <c r="O53" s="429">
        <f t="shared" si="11"/>
        <v>42736</v>
      </c>
      <c r="P53" s="430">
        <f t="shared" si="27"/>
        <v>1.0609677541586482E-3</v>
      </c>
      <c r="Q53" s="430">
        <f t="shared" si="28"/>
        <v>1.0609677541586482E-3</v>
      </c>
      <c r="R53" s="562">
        <f t="shared" si="29"/>
        <v>114.47527676922469</v>
      </c>
      <c r="S53" s="432">
        <f t="shared" si="30"/>
        <v>0</v>
      </c>
      <c r="T53" s="560">
        <f t="shared" si="31"/>
        <v>2.7655793255365158E-2</v>
      </c>
      <c r="V53" s="432"/>
    </row>
    <row r="54" spans="12:29">
      <c r="L54" s="167"/>
      <c r="N54">
        <f t="shared" si="10"/>
        <v>1900</v>
      </c>
      <c r="O54" s="429">
        <f t="shared" si="11"/>
        <v>42767</v>
      </c>
      <c r="P54" s="430">
        <f t="shared" si="27"/>
        <v>1.4567003326859673E-3</v>
      </c>
      <c r="Q54" s="430">
        <f t="shared" si="28"/>
        <v>1.4567003326859673E-3</v>
      </c>
      <c r="R54" s="562">
        <f t="shared" si="29"/>
        <v>114.64203294297874</v>
      </c>
      <c r="S54" s="432">
        <f t="shared" si="30"/>
        <v>0</v>
      </c>
      <c r="T54" s="560">
        <f t="shared" si="31"/>
        <v>2.6299965318648866E-2</v>
      </c>
      <c r="V54" s="432"/>
    </row>
    <row r="55" spans="12:29">
      <c r="L55" s="167"/>
      <c r="N55">
        <f t="shared" si="10"/>
        <v>1900</v>
      </c>
      <c r="O55" s="429">
        <f t="shared" si="11"/>
        <v>42795</v>
      </c>
      <c r="P55" s="430">
        <f t="shared" si="27"/>
        <v>4.8574320657637227E-3</v>
      </c>
      <c r="Q55" s="430">
        <f t="shared" si="28"/>
        <v>4.8574320657637227E-3</v>
      </c>
      <c r="R55" s="562">
        <f t="shared" si="29"/>
        <v>115.19889882988031</v>
      </c>
      <c r="S55" s="432">
        <f t="shared" si="30"/>
        <v>0</v>
      </c>
      <c r="T55" s="560">
        <f t="shared" si="31"/>
        <v>2.7385435922983037E-2</v>
      </c>
      <c r="V55" s="432"/>
    </row>
    <row r="56" spans="12:29">
      <c r="L56" s="167"/>
      <c r="N56">
        <f t="shared" si="10"/>
        <v>1900</v>
      </c>
      <c r="O56" s="429">
        <f t="shared" si="11"/>
        <v>42826</v>
      </c>
      <c r="P56" s="430">
        <f t="shared" si="27"/>
        <v>2.3696682464455776E-3</v>
      </c>
      <c r="Q56" s="430">
        <f t="shared" si="28"/>
        <v>2.3696682464455776E-3</v>
      </c>
      <c r="R56" s="562">
        <f t="shared" si="29"/>
        <v>115.47188200246298</v>
      </c>
      <c r="S56" s="432">
        <f t="shared" si="30"/>
        <v>0</v>
      </c>
      <c r="T56" s="560">
        <f t="shared" si="31"/>
        <v>2.6477786382343771E-2</v>
      </c>
    </row>
    <row r="57" spans="12:29">
      <c r="L57" s="167"/>
      <c r="N57">
        <f t="shared" si="10"/>
        <v>1900</v>
      </c>
      <c r="O57" s="429">
        <f t="shared" si="11"/>
        <v>42856</v>
      </c>
      <c r="P57" s="430">
        <f t="shared" si="27"/>
        <v>2.2918717672695266E-3</v>
      </c>
      <c r="Q57" s="430">
        <f t="shared" si="28"/>
        <v>2.2918717672695266E-3</v>
      </c>
      <c r="R57" s="562">
        <f t="shared" si="29"/>
        <v>115.7365287487379</v>
      </c>
      <c r="S57" s="432">
        <f t="shared" si="30"/>
        <v>0</v>
      </c>
      <c r="T57" s="560">
        <f t="shared" si="31"/>
        <v>2.6519442619676203E-2</v>
      </c>
    </row>
    <row r="58" spans="12:29">
      <c r="L58" s="167"/>
      <c r="N58">
        <f t="shared" si="10"/>
        <v>1900</v>
      </c>
      <c r="O58" s="429">
        <f t="shared" si="11"/>
        <v>42887</v>
      </c>
      <c r="P58" s="430">
        <f t="shared" si="27"/>
        <v>2.4681288458374695E-3</v>
      </c>
      <c r="Q58" s="430">
        <f t="shared" si="28"/>
        <v>2.4681288458374695E-3</v>
      </c>
      <c r="R58" s="562">
        <f t="shared" si="29"/>
        <v>116.02218141385976</v>
      </c>
      <c r="S58" s="432">
        <f t="shared" si="30"/>
        <v>0</v>
      </c>
      <c r="T58" s="560">
        <f t="shared" si="31"/>
        <v>2.4448827017144126E-2</v>
      </c>
    </row>
    <row r="59" spans="12:29">
      <c r="L59" s="167"/>
      <c r="N59">
        <f t="shared" si="10"/>
        <v>1900</v>
      </c>
      <c r="O59" s="429">
        <f t="shared" si="11"/>
        <v>42917</v>
      </c>
      <c r="P59" s="430">
        <f t="shared" si="27"/>
        <v>2.4313770134691826E-3</v>
      </c>
      <c r="Q59" s="430">
        <f t="shared" si="28"/>
        <v>2.4313770134691826E-3</v>
      </c>
      <c r="R59" s="562">
        <f t="shared" si="29"/>
        <v>116.30427507880196</v>
      </c>
      <c r="S59" s="432">
        <f t="shared" si="30"/>
        <v>0</v>
      </c>
      <c r="T59" s="560">
        <f t="shared" si="31"/>
        <v>2.4458021909046668E-2</v>
      </c>
    </row>
    <row r="60" spans="12:29">
      <c r="L60" s="167"/>
      <c r="N60">
        <f t="shared" si="10"/>
        <v>1900</v>
      </c>
      <c r="O60" s="429">
        <f t="shared" si="11"/>
        <v>42948</v>
      </c>
      <c r="P60" s="430">
        <f t="shared" si="27"/>
        <v>2.2313811864771438E-3</v>
      </c>
      <c r="Q60" s="430">
        <f t="shared" si="28"/>
        <v>2.2313811864771438E-3</v>
      </c>
      <c r="R60" s="562">
        <f t="shared" si="29"/>
        <v>116.56379425011967</v>
      </c>
      <c r="S60" s="432">
        <f t="shared" si="30"/>
        <v>0</v>
      </c>
      <c r="T60" s="560">
        <f t="shared" si="31"/>
        <v>2.6249236573862911E-2</v>
      </c>
    </row>
    <row r="61" spans="12:29">
      <c r="L61" s="167"/>
      <c r="N61">
        <f t="shared" si="10"/>
        <v>1900</v>
      </c>
      <c r="O61" s="429">
        <f t="shared" si="11"/>
        <v>42979</v>
      </c>
      <c r="P61" s="430">
        <f t="shared" si="27"/>
        <v>4.9814037148196988E-3</v>
      </c>
      <c r="Q61" s="430">
        <f t="shared" si="28"/>
        <v>4.9814037148196988E-3</v>
      </c>
      <c r="R61" s="562">
        <f t="shared" si="29"/>
        <v>117.14444556781069</v>
      </c>
      <c r="S61" s="432">
        <f t="shared" si="30"/>
        <v>0</v>
      </c>
      <c r="T61" s="560">
        <f t="shared" si="31"/>
        <v>2.8856308333412795E-2</v>
      </c>
    </row>
    <row r="62" spans="12:29">
      <c r="L62" s="167"/>
      <c r="N62">
        <f t="shared" si="10"/>
        <v>1900</v>
      </c>
      <c r="O62" s="429">
        <f t="shared" si="11"/>
        <v>43009</v>
      </c>
      <c r="P62" s="430">
        <f>VLOOKUP(O62,$H:$I,2,0)</f>
        <v>2.457333396104433E-3</v>
      </c>
      <c r="Q62" s="430">
        <f t="shared" si="28"/>
        <v>2.457333396104433E-3</v>
      </c>
      <c r="R62" s="562">
        <f t="shared" si="29"/>
        <v>117.43230852607262</v>
      </c>
      <c r="S62" s="432">
        <f t="shared" si="30"/>
        <v>0</v>
      </c>
      <c r="T62" s="560">
        <f t="shared" si="31"/>
        <v>2.7776328581428533E-2</v>
      </c>
    </row>
    <row r="63" spans="12:29">
      <c r="L63" s="167"/>
      <c r="N63">
        <f t="shared" si="10"/>
        <v>1900</v>
      </c>
      <c r="O63" s="429">
        <f t="shared" si="11"/>
        <v>43040</v>
      </c>
      <c r="P63" s="430">
        <f t="shared" si="27"/>
        <v>1.0540398573559706E-3</v>
      </c>
      <c r="Q63" s="430">
        <f t="shared" si="28"/>
        <v>1.0540398573559706E-3</v>
      </c>
      <c r="R63" s="562">
        <f t="shared" si="29"/>
        <v>117.55608685980042</v>
      </c>
      <c r="S63" s="432">
        <f t="shared" si="30"/>
        <v>0</v>
      </c>
      <c r="T63" s="560">
        <f t="shared" si="31"/>
        <v>2.8469615982410712E-2</v>
      </c>
    </row>
    <row r="64" spans="12:29">
      <c r="L64" s="167"/>
      <c r="N64">
        <f t="shared" si="10"/>
        <v>1900</v>
      </c>
      <c r="O64" s="429">
        <f t="shared" si="11"/>
        <v>43070</v>
      </c>
      <c r="P64" s="430">
        <f t="shared" si="27"/>
        <v>5.5289347585696369E-4</v>
      </c>
      <c r="Q64" s="430">
        <f t="shared" si="28"/>
        <v>5.5289347585696369E-4</v>
      </c>
      <c r="R64" s="562">
        <f t="shared" si="29"/>
        <v>117.62108285327247</v>
      </c>
      <c r="S64" s="432">
        <f t="shared" si="30"/>
        <v>0</v>
      </c>
      <c r="T64" s="560">
        <f t="shared" si="31"/>
        <v>2.8570345951271614E-2</v>
      </c>
    </row>
    <row r="65" spans="12:20">
      <c r="L65" s="167"/>
      <c r="N65">
        <f t="shared" si="10"/>
        <v>1900</v>
      </c>
      <c r="O65" s="429">
        <f t="shared" si="11"/>
        <v>43101</v>
      </c>
      <c r="P65" s="430">
        <f t="shared" si="27"/>
        <v>1.1788543009763064E-3</v>
      </c>
      <c r="Q65" s="430">
        <f t="shared" si="28"/>
        <v>1.1788543009763064E-3</v>
      </c>
      <c r="R65" s="562">
        <f t="shared" si="29"/>
        <v>117.75974097267954</v>
      </c>
      <c r="S65" s="432">
        <f t="shared" si="30"/>
        <v>0</v>
      </c>
      <c r="T65" s="560">
        <f t="shared" si="31"/>
        <v>2.8691472046633582E-2</v>
      </c>
    </row>
    <row r="66" spans="12:20">
      <c r="L66" s="167"/>
      <c r="N66">
        <f t="shared" si="10"/>
        <v>1900</v>
      </c>
      <c r="O66" s="429">
        <f t="shared" si="11"/>
        <v>43132</v>
      </c>
      <c r="P66" s="430">
        <f t="shared" si="27"/>
        <v>1.5086286197887322E-3</v>
      </c>
      <c r="Q66" s="430">
        <f t="shared" si="28"/>
        <v>1.5086286197887322E-3</v>
      </c>
      <c r="R66" s="562">
        <f t="shared" si="29"/>
        <v>117.93739668816983</v>
      </c>
      <c r="S66" s="432">
        <f t="shared" si="30"/>
        <v>0</v>
      </c>
      <c r="T66" s="560">
        <f t="shared" si="31"/>
        <v>2.8744812531631858E-2</v>
      </c>
    </row>
    <row r="67" spans="12:20">
      <c r="L67" s="167"/>
      <c r="N67">
        <f t="shared" si="10"/>
        <v>1900</v>
      </c>
      <c r="O67" s="429">
        <f t="shared" si="11"/>
        <v>43160</v>
      </c>
      <c r="P67" s="430" t="e">
        <f t="shared" si="27"/>
        <v>#N/A</v>
      </c>
      <c r="Q67" s="430" t="e">
        <f t="shared" si="28"/>
        <v>#N/A</v>
      </c>
      <c r="R67" s="562" t="e">
        <f t="shared" si="29"/>
        <v>#N/A</v>
      </c>
      <c r="S67" s="432">
        <f t="shared" si="30"/>
        <v>0</v>
      </c>
      <c r="T67" s="560" t="e">
        <f t="shared" si="31"/>
        <v>#N/A</v>
      </c>
    </row>
    <row r="68" spans="12:20">
      <c r="L68" s="167"/>
      <c r="N68">
        <f t="shared" si="10"/>
        <v>1900</v>
      </c>
      <c r="O68" s="429">
        <f t="shared" si="11"/>
        <v>43191</v>
      </c>
      <c r="P68" s="430" t="e">
        <f t="shared" si="27"/>
        <v>#N/A</v>
      </c>
      <c r="Q68" s="430" t="e">
        <f t="shared" si="28"/>
        <v>#N/A</v>
      </c>
      <c r="R68" s="562" t="e">
        <f t="shared" si="29"/>
        <v>#N/A</v>
      </c>
      <c r="S68" s="432">
        <f t="shared" si="30"/>
        <v>0</v>
      </c>
      <c r="T68" s="560" t="e">
        <f t="shared" si="31"/>
        <v>#N/A</v>
      </c>
    </row>
    <row r="69" spans="12:20">
      <c r="L69" s="167"/>
      <c r="N69">
        <f t="shared" si="10"/>
        <v>1900</v>
      </c>
      <c r="O69" s="429">
        <f t="shared" si="11"/>
        <v>43221</v>
      </c>
      <c r="P69" s="430" t="e">
        <f t="shared" ref="P69:P76" si="32">VLOOKUP(O69,$H:$I,2,0)</f>
        <v>#N/A</v>
      </c>
      <c r="Q69" s="430" t="e">
        <f t="shared" si="28"/>
        <v>#N/A</v>
      </c>
      <c r="R69" s="562" t="e">
        <f t="shared" si="29"/>
        <v>#N/A</v>
      </c>
      <c r="S69" s="432">
        <f t="shared" si="30"/>
        <v>0</v>
      </c>
      <c r="T69" s="560" t="e">
        <f t="shared" si="31"/>
        <v>#N/A</v>
      </c>
    </row>
    <row r="70" spans="12:20">
      <c r="L70" s="167"/>
      <c r="N70">
        <f t="shared" ref="N70:N76" si="33">YEAR(L70)</f>
        <v>1900</v>
      </c>
      <c r="O70" s="429">
        <f t="shared" ref="O70:O76" si="34">IF(L70&lt;&gt;"",L70,DATE(YEAR(EDATE(O69,1)),MONTH(EDATE(O69,1)),1))</f>
        <v>43252</v>
      </c>
      <c r="P70" s="430" t="e">
        <f t="shared" si="32"/>
        <v>#N/A</v>
      </c>
      <c r="Q70" s="430" t="e">
        <f t="shared" ref="Q70:Q76" si="35">IF(L70&lt;&gt;"",M70/100,P70)</f>
        <v>#N/A</v>
      </c>
      <c r="R70" s="562" t="e">
        <f t="shared" si="29"/>
        <v>#N/A</v>
      </c>
      <c r="S70" s="432">
        <f t="shared" si="30"/>
        <v>0</v>
      </c>
      <c r="T70" s="560" t="e">
        <f t="shared" si="31"/>
        <v>#N/A</v>
      </c>
    </row>
    <row r="71" spans="12:20">
      <c r="L71" s="167"/>
      <c r="N71">
        <f t="shared" si="33"/>
        <v>1900</v>
      </c>
      <c r="O71" s="429">
        <f t="shared" si="34"/>
        <v>43282</v>
      </c>
      <c r="P71" s="430" t="e">
        <f t="shared" si="32"/>
        <v>#N/A</v>
      </c>
      <c r="Q71" s="430" t="e">
        <f t="shared" si="35"/>
        <v>#N/A</v>
      </c>
      <c r="R71" s="562" t="e">
        <f t="shared" si="29"/>
        <v>#N/A</v>
      </c>
      <c r="S71" s="432">
        <f t="shared" si="30"/>
        <v>0</v>
      </c>
      <c r="T71" s="560" t="e">
        <f t="shared" si="31"/>
        <v>#N/A</v>
      </c>
    </row>
    <row r="72" spans="12:20">
      <c r="L72" s="167"/>
      <c r="N72">
        <f t="shared" si="33"/>
        <v>1900</v>
      </c>
      <c r="O72" s="429">
        <f t="shared" si="34"/>
        <v>43313</v>
      </c>
      <c r="P72" s="430" t="e">
        <f t="shared" si="32"/>
        <v>#N/A</v>
      </c>
      <c r="Q72" s="430" t="e">
        <f t="shared" si="35"/>
        <v>#N/A</v>
      </c>
      <c r="R72" s="562" t="e">
        <f t="shared" si="29"/>
        <v>#N/A</v>
      </c>
      <c r="S72" s="432">
        <f t="shared" si="30"/>
        <v>0</v>
      </c>
      <c r="T72" s="560" t="e">
        <f t="shared" si="31"/>
        <v>#N/A</v>
      </c>
    </row>
    <row r="73" spans="12:20">
      <c r="L73" s="167"/>
      <c r="N73">
        <f t="shared" si="33"/>
        <v>1900</v>
      </c>
      <c r="O73" s="429">
        <f t="shared" si="34"/>
        <v>43344</v>
      </c>
      <c r="P73" s="430" t="e">
        <f t="shared" si="32"/>
        <v>#N/A</v>
      </c>
      <c r="Q73" s="430" t="e">
        <f t="shared" si="35"/>
        <v>#N/A</v>
      </c>
      <c r="R73" s="562" t="e">
        <f t="shared" si="29"/>
        <v>#N/A</v>
      </c>
      <c r="S73" s="432">
        <f t="shared" si="30"/>
        <v>0</v>
      </c>
      <c r="T73" s="560" t="e">
        <f t="shared" si="31"/>
        <v>#N/A</v>
      </c>
    </row>
    <row r="74" spans="12:20">
      <c r="L74" s="167"/>
      <c r="N74">
        <f t="shared" si="33"/>
        <v>1900</v>
      </c>
      <c r="O74" s="429">
        <f t="shared" si="34"/>
        <v>43374</v>
      </c>
      <c r="P74" s="430" t="e">
        <f t="shared" si="32"/>
        <v>#N/A</v>
      </c>
      <c r="Q74" s="430" t="e">
        <f t="shared" si="35"/>
        <v>#N/A</v>
      </c>
      <c r="R74" s="562" t="e">
        <f t="shared" si="29"/>
        <v>#N/A</v>
      </c>
      <c r="S74" s="432">
        <f t="shared" si="30"/>
        <v>0</v>
      </c>
      <c r="T74" s="560" t="e">
        <f t="shared" si="31"/>
        <v>#N/A</v>
      </c>
    </row>
    <row r="75" spans="12:20">
      <c r="L75" s="167"/>
      <c r="N75">
        <f t="shared" si="33"/>
        <v>1900</v>
      </c>
      <c r="O75" s="429">
        <f t="shared" si="34"/>
        <v>43405</v>
      </c>
      <c r="P75" s="430" t="e">
        <f t="shared" si="32"/>
        <v>#N/A</v>
      </c>
      <c r="Q75" s="430" t="e">
        <f t="shared" si="35"/>
        <v>#N/A</v>
      </c>
      <c r="R75" s="562" t="e">
        <f t="shared" si="29"/>
        <v>#N/A</v>
      </c>
      <c r="S75" s="432">
        <f t="shared" si="30"/>
        <v>0</v>
      </c>
      <c r="T75" s="560" t="e">
        <f t="shared" si="31"/>
        <v>#N/A</v>
      </c>
    </row>
    <row r="76" spans="12:20">
      <c r="L76" s="167"/>
      <c r="N76">
        <f t="shared" si="33"/>
        <v>1900</v>
      </c>
      <c r="O76" s="429">
        <f t="shared" si="34"/>
        <v>43435</v>
      </c>
      <c r="P76" s="430" t="e">
        <f t="shared" si="32"/>
        <v>#N/A</v>
      </c>
      <c r="Q76" s="430" t="e">
        <f t="shared" si="35"/>
        <v>#N/A</v>
      </c>
      <c r="R76" s="562" t="e">
        <f t="shared" si="29"/>
        <v>#N/A</v>
      </c>
      <c r="S76" s="432">
        <f t="shared" si="30"/>
        <v>0</v>
      </c>
      <c r="T76" s="560" t="e">
        <f t="shared" si="31"/>
        <v>#N/A</v>
      </c>
    </row>
    <row r="77" spans="12:20">
      <c r="L77" s="167"/>
      <c r="O77" s="429"/>
      <c r="P77" s="430"/>
      <c r="Q77" s="430"/>
      <c r="R77" s="562"/>
      <c r="S77" s="432"/>
      <c r="T77" s="432"/>
    </row>
    <row r="78" spans="12:20">
      <c r="L78" s="167"/>
      <c r="O78" s="429"/>
      <c r="P78" s="430"/>
      <c r="Q78" s="430"/>
      <c r="R78" s="562"/>
      <c r="S78" s="432"/>
      <c r="T78" s="432"/>
    </row>
    <row r="79" spans="12:20">
      <c r="L79" s="167"/>
      <c r="O79" s="429"/>
      <c r="P79" s="430"/>
      <c r="Q79" s="430"/>
      <c r="R79" s="562"/>
      <c r="S79" s="432"/>
      <c r="T79" s="432"/>
    </row>
    <row r="80" spans="12:20">
      <c r="L80" s="167"/>
      <c r="O80" s="429"/>
      <c r="P80" s="430"/>
      <c r="Q80" s="430"/>
      <c r="R80" s="562"/>
      <c r="S80" s="432"/>
      <c r="T80" s="432"/>
    </row>
    <row r="81" spans="12:20">
      <c r="L81" s="167"/>
      <c r="O81" s="429"/>
      <c r="P81" s="430"/>
      <c r="Q81" s="430"/>
      <c r="R81" s="562"/>
      <c r="S81" s="432"/>
      <c r="T81" s="432"/>
    </row>
    <row r="82" spans="12:20">
      <c r="L82" s="167"/>
      <c r="O82" s="429"/>
      <c r="P82" s="430"/>
      <c r="Q82" s="430"/>
      <c r="R82" s="562"/>
      <c r="S82" s="432"/>
      <c r="T82" s="432"/>
    </row>
    <row r="83" spans="12:20">
      <c r="L83" s="167"/>
      <c r="O83" s="429"/>
      <c r="P83" s="430"/>
      <c r="Q83" s="430"/>
      <c r="R83" s="562"/>
      <c r="S83" s="432"/>
      <c r="T83" s="432"/>
    </row>
    <row r="84" spans="12:20">
      <c r="L84" s="167"/>
      <c r="O84" s="429"/>
      <c r="P84" s="430"/>
      <c r="Q84" s="430"/>
      <c r="R84" s="562"/>
      <c r="S84" s="432"/>
      <c r="T84" s="432"/>
    </row>
    <row r="85" spans="12:20">
      <c r="L85" s="167"/>
      <c r="O85" s="429"/>
      <c r="P85" s="430"/>
      <c r="Q85" s="430"/>
      <c r="R85" s="562"/>
      <c r="S85" s="432"/>
      <c r="T85" s="432"/>
    </row>
    <row r="86" spans="12:20">
      <c r="L86" s="167"/>
      <c r="O86" s="429"/>
      <c r="P86" s="430"/>
      <c r="Q86" s="430"/>
      <c r="R86" s="562"/>
      <c r="S86" s="432"/>
      <c r="T86" s="432"/>
    </row>
    <row r="87" spans="12:20">
      <c r="L87" s="167"/>
      <c r="O87" s="429"/>
      <c r="P87" s="430"/>
      <c r="Q87" s="430"/>
      <c r="R87" s="562"/>
      <c r="S87" s="432"/>
      <c r="T87" s="432"/>
    </row>
    <row r="88" spans="12:20">
      <c r="L88" s="167"/>
      <c r="O88" s="429"/>
      <c r="P88" s="430"/>
      <c r="Q88" s="430"/>
      <c r="R88" s="562"/>
      <c r="S88" s="432"/>
      <c r="T88" s="432"/>
    </row>
    <row r="89" spans="12:20">
      <c r="L89" s="167"/>
      <c r="O89" s="429"/>
      <c r="P89" s="430"/>
      <c r="Q89" s="430"/>
      <c r="R89" s="562"/>
      <c r="S89" s="432"/>
      <c r="T89" s="432"/>
    </row>
    <row r="90" spans="12:20">
      <c r="L90" s="167"/>
      <c r="O90" s="429"/>
      <c r="P90" s="430"/>
      <c r="Q90" s="430"/>
      <c r="R90" s="562"/>
      <c r="S90" s="432"/>
      <c r="T90" s="432"/>
    </row>
    <row r="91" spans="12:20">
      <c r="L91" s="167"/>
      <c r="O91" s="429"/>
      <c r="P91" s="430"/>
      <c r="Q91" s="430"/>
      <c r="R91" s="562"/>
      <c r="S91" s="432"/>
      <c r="T91" s="432"/>
    </row>
    <row r="92" spans="12:20">
      <c r="L92" s="167"/>
      <c r="O92" s="429"/>
      <c r="P92" s="430"/>
      <c r="Q92" s="430"/>
      <c r="R92" s="562"/>
      <c r="S92" s="432"/>
      <c r="T92" s="432"/>
    </row>
    <row r="93" spans="12:20">
      <c r="L93" s="167"/>
      <c r="O93" s="429"/>
      <c r="P93" s="430"/>
      <c r="Q93" s="430"/>
      <c r="R93" s="562"/>
      <c r="S93" s="432"/>
      <c r="T93" s="432"/>
    </row>
    <row r="94" spans="12:20">
      <c r="L94" s="167"/>
      <c r="O94" s="429"/>
      <c r="P94" s="430"/>
      <c r="Q94" s="430"/>
      <c r="R94" s="562"/>
      <c r="S94" s="432"/>
      <c r="T94" s="432"/>
    </row>
    <row r="95" spans="12:20">
      <c r="L95" s="167"/>
      <c r="O95" s="429"/>
      <c r="P95" s="430"/>
      <c r="Q95" s="430"/>
      <c r="R95" s="562"/>
      <c r="S95" s="432"/>
      <c r="T95" s="432"/>
    </row>
    <row r="96" spans="12:20">
      <c r="L96" s="167"/>
      <c r="O96" s="429"/>
      <c r="P96" s="430"/>
      <c r="Q96" s="430"/>
      <c r="R96" s="562"/>
      <c r="S96" s="432"/>
      <c r="T96" s="432"/>
    </row>
    <row r="97" spans="12:20">
      <c r="L97" s="167"/>
      <c r="O97" s="429"/>
      <c r="P97" s="430"/>
      <c r="Q97" s="430"/>
      <c r="R97" s="562"/>
      <c r="S97" s="432"/>
      <c r="T97" s="432"/>
    </row>
    <row r="98" spans="12:20">
      <c r="L98" s="167"/>
      <c r="O98" s="429"/>
      <c r="P98" s="430"/>
      <c r="Q98" s="430"/>
      <c r="R98" s="562"/>
      <c r="S98" s="432"/>
      <c r="T98" s="432"/>
    </row>
    <row r="99" spans="12:20">
      <c r="L99" s="167"/>
      <c r="O99" s="429"/>
      <c r="P99" s="430"/>
      <c r="Q99" s="430"/>
      <c r="R99" s="562"/>
      <c r="S99" s="432"/>
      <c r="T99" s="432"/>
    </row>
    <row r="100" spans="12:20">
      <c r="L100" s="167"/>
      <c r="O100" s="429"/>
      <c r="P100" s="430"/>
      <c r="Q100" s="430"/>
      <c r="R100" s="562"/>
      <c r="S100" s="432"/>
      <c r="T100" s="432"/>
    </row>
    <row r="101" spans="12:20">
      <c r="L101" s="167"/>
      <c r="O101" s="429"/>
      <c r="P101" s="430"/>
      <c r="Q101" s="430"/>
      <c r="R101" s="562"/>
      <c r="S101" s="432"/>
      <c r="T101" s="432"/>
    </row>
    <row r="102" spans="12:20">
      <c r="L102" s="167"/>
      <c r="O102" s="429"/>
      <c r="P102" s="430"/>
      <c r="Q102" s="430"/>
      <c r="R102" s="562"/>
      <c r="S102" s="432"/>
      <c r="T102" s="432"/>
    </row>
    <row r="103" spans="12:20">
      <c r="L103" s="167"/>
      <c r="O103" s="429"/>
      <c r="P103" s="430"/>
      <c r="Q103" s="430"/>
      <c r="R103" s="562"/>
      <c r="S103" s="432"/>
      <c r="T103" s="432"/>
    </row>
    <row r="104" spans="12:20">
      <c r="L104" s="167"/>
      <c r="O104" s="429"/>
      <c r="P104" s="430"/>
      <c r="Q104" s="430"/>
      <c r="R104" s="562"/>
      <c r="S104" s="432"/>
      <c r="T104" s="432"/>
    </row>
    <row r="105" spans="12:20">
      <c r="L105" s="167"/>
      <c r="O105" s="429"/>
      <c r="P105" s="430"/>
      <c r="Q105" s="430"/>
      <c r="R105" s="562"/>
      <c r="S105" s="432"/>
      <c r="T105" s="432"/>
    </row>
    <row r="106" spans="12:20">
      <c r="L106" s="167"/>
      <c r="O106" s="429"/>
      <c r="P106" s="430"/>
      <c r="Q106" s="430"/>
      <c r="R106" s="562"/>
      <c r="S106" s="432"/>
      <c r="T106" s="432"/>
    </row>
    <row r="107" spans="12:20">
      <c r="L107" s="167"/>
      <c r="O107" s="429"/>
      <c r="P107" s="430"/>
      <c r="Q107" s="430"/>
      <c r="R107" s="562"/>
      <c r="S107" s="432"/>
      <c r="T107" s="432"/>
    </row>
    <row r="108" spans="12:20">
      <c r="L108" s="167"/>
      <c r="O108" s="429"/>
      <c r="P108" s="430"/>
      <c r="Q108" s="430"/>
      <c r="R108" s="562"/>
      <c r="S108" s="432"/>
      <c r="T108" s="432"/>
    </row>
    <row r="109" spans="12:20">
      <c r="L109" s="167"/>
      <c r="O109" s="429"/>
      <c r="P109" s="430"/>
      <c r="Q109" s="430"/>
      <c r="R109" s="562"/>
      <c r="S109" s="432"/>
      <c r="T109" s="432"/>
    </row>
    <row r="110" spans="12:20">
      <c r="L110" s="167"/>
      <c r="O110" s="429"/>
      <c r="P110" s="430"/>
      <c r="Q110" s="430"/>
      <c r="R110" s="562"/>
      <c r="S110" s="432"/>
      <c r="T110" s="432"/>
    </row>
    <row r="111" spans="12:20">
      <c r="L111" s="167"/>
      <c r="O111" s="429"/>
      <c r="P111" s="430"/>
      <c r="Q111" s="430"/>
      <c r="R111" s="562"/>
      <c r="S111" s="432"/>
      <c r="T111" s="432"/>
    </row>
    <row r="112" spans="12:20">
      <c r="L112" s="167"/>
      <c r="O112" s="429"/>
      <c r="P112" s="430"/>
      <c r="Q112" s="430"/>
      <c r="R112" s="562"/>
      <c r="S112" s="432"/>
      <c r="T112" s="432"/>
    </row>
    <row r="113" spans="12:20">
      <c r="L113" s="167"/>
      <c r="O113" s="429"/>
      <c r="P113" s="430"/>
      <c r="Q113" s="430"/>
      <c r="R113" s="562"/>
      <c r="S113" s="432"/>
      <c r="T113" s="432"/>
    </row>
    <row r="114" spans="12:20">
      <c r="L114" s="167"/>
      <c r="O114" s="429"/>
      <c r="P114" s="430"/>
      <c r="Q114" s="430"/>
      <c r="R114" s="562"/>
      <c r="S114" s="432"/>
      <c r="T114" s="432"/>
    </row>
    <row r="115" spans="12:20">
      <c r="L115" s="167"/>
      <c r="O115" s="429"/>
      <c r="P115" s="430"/>
      <c r="Q115" s="430"/>
      <c r="R115" s="562"/>
      <c r="S115" s="432"/>
      <c r="T115" s="432"/>
    </row>
    <row r="116" spans="12:20">
      <c r="L116" s="167"/>
      <c r="O116" s="429"/>
      <c r="P116" s="430"/>
      <c r="Q116" s="430"/>
      <c r="R116" s="562"/>
      <c r="S116" s="432"/>
      <c r="T116" s="432"/>
    </row>
    <row r="117" spans="12:20">
      <c r="L117" s="167"/>
      <c r="O117" s="429"/>
      <c r="P117" s="430"/>
      <c r="Q117" s="430"/>
      <c r="R117" s="562"/>
      <c r="S117" s="432"/>
      <c r="T117" s="432"/>
    </row>
    <row r="118" spans="12:20">
      <c r="L118" s="167"/>
      <c r="O118" s="429"/>
      <c r="P118" s="430"/>
      <c r="Q118" s="430"/>
      <c r="R118" s="562"/>
      <c r="S118" s="432"/>
      <c r="T118" s="432"/>
    </row>
    <row r="119" spans="12:20">
      <c r="L119" s="167"/>
      <c r="O119" s="429"/>
      <c r="P119" s="430"/>
      <c r="Q119" s="430"/>
      <c r="R119" s="562"/>
      <c r="S119" s="432"/>
      <c r="T119" s="432"/>
    </row>
    <row r="120" spans="12:20">
      <c r="L120" s="167"/>
      <c r="O120" s="429"/>
      <c r="P120" s="430"/>
      <c r="Q120" s="430"/>
      <c r="R120" s="562"/>
      <c r="S120" s="432"/>
      <c r="T120" s="432"/>
    </row>
    <row r="121" spans="12:20">
      <c r="L121" s="167"/>
      <c r="O121" s="429"/>
      <c r="P121" s="430"/>
      <c r="Q121" s="430"/>
      <c r="R121" s="562"/>
      <c r="S121" s="432"/>
      <c r="T121" s="432"/>
    </row>
    <row r="122" spans="12:20">
      <c r="L122" s="167"/>
      <c r="O122" s="429"/>
      <c r="P122" s="430"/>
      <c r="Q122" s="430"/>
      <c r="R122" s="562"/>
      <c r="S122" s="432"/>
      <c r="T122" s="432"/>
    </row>
    <row r="123" spans="12:20">
      <c r="L123" s="167"/>
      <c r="O123" s="429"/>
      <c r="P123" s="430"/>
      <c r="Q123" s="430"/>
      <c r="R123" s="562"/>
      <c r="S123" s="432"/>
      <c r="T123" s="432"/>
    </row>
    <row r="124" spans="12:20">
      <c r="L124" s="167"/>
      <c r="O124" s="429"/>
      <c r="P124" s="430"/>
      <c r="Q124" s="430"/>
      <c r="R124" s="562"/>
      <c r="S124" s="432"/>
      <c r="T124" s="432"/>
    </row>
    <row r="125" spans="12:20">
      <c r="L125" s="167"/>
      <c r="O125" s="429"/>
      <c r="P125" s="430"/>
      <c r="Q125" s="430"/>
      <c r="R125" s="562"/>
      <c r="S125" s="432"/>
      <c r="T125" s="432"/>
    </row>
    <row r="126" spans="12:20">
      <c r="L126" s="167"/>
      <c r="O126" s="429"/>
      <c r="P126" s="430"/>
      <c r="Q126" s="430"/>
      <c r="R126" s="562"/>
      <c r="S126" s="432"/>
      <c r="T126" s="432"/>
    </row>
    <row r="127" spans="12:20">
      <c r="L127" s="167"/>
      <c r="O127" s="429"/>
      <c r="P127" s="430"/>
      <c r="Q127" s="430"/>
      <c r="R127" s="562"/>
      <c r="S127" s="432"/>
      <c r="T127" s="432"/>
    </row>
    <row r="128" spans="12:20">
      <c r="L128" s="167"/>
      <c r="O128" s="429"/>
      <c r="P128" s="430"/>
      <c r="Q128" s="430"/>
      <c r="R128" s="562"/>
      <c r="S128" s="432"/>
      <c r="T128" s="432"/>
    </row>
    <row r="129" spans="12:20">
      <c r="L129" s="167"/>
      <c r="O129" s="429"/>
      <c r="P129" s="430"/>
      <c r="Q129" s="430"/>
      <c r="R129" s="562"/>
      <c r="S129" s="432"/>
      <c r="T129" s="432"/>
    </row>
    <row r="130" spans="12:20">
      <c r="L130" s="167"/>
      <c r="O130" s="429"/>
      <c r="P130" s="430"/>
      <c r="Q130" s="430"/>
      <c r="R130" s="562"/>
      <c r="S130" s="432"/>
      <c r="T130" s="432"/>
    </row>
    <row r="131" spans="12:20">
      <c r="L131" s="167"/>
      <c r="O131" s="429"/>
      <c r="P131" s="430"/>
      <c r="Q131" s="430"/>
      <c r="R131" s="562"/>
      <c r="S131" s="432"/>
      <c r="T131" s="432"/>
    </row>
    <row r="132" spans="12:20">
      <c r="L132" s="167"/>
      <c r="O132" s="429"/>
      <c r="P132" s="430"/>
      <c r="Q132" s="430"/>
      <c r="R132" s="562"/>
      <c r="S132" s="432"/>
      <c r="T132" s="432"/>
    </row>
    <row r="133" spans="12:20">
      <c r="L133" s="167"/>
      <c r="O133" s="429"/>
      <c r="P133" s="430"/>
      <c r="Q133" s="430"/>
      <c r="R133" s="562"/>
      <c r="S133" s="432"/>
      <c r="T133" s="432"/>
    </row>
    <row r="134" spans="12:20">
      <c r="L134" s="167"/>
      <c r="O134" s="429"/>
      <c r="P134" s="430"/>
      <c r="Q134" s="430"/>
      <c r="R134" s="562"/>
      <c r="S134" s="432"/>
      <c r="T134" s="432"/>
    </row>
    <row r="135" spans="12:20">
      <c r="L135" s="167"/>
      <c r="O135" s="429"/>
      <c r="P135" s="430"/>
      <c r="Q135" s="430"/>
      <c r="R135" s="562"/>
      <c r="S135" s="432"/>
      <c r="T135" s="432"/>
    </row>
    <row r="136" spans="12:20">
      <c r="L136" s="167"/>
      <c r="O136" s="429"/>
      <c r="P136" s="430"/>
      <c r="Q136" s="430"/>
      <c r="R136" s="562"/>
      <c r="S136" s="432"/>
      <c r="T136" s="432"/>
    </row>
    <row r="137" spans="12:20">
      <c r="L137" s="167"/>
      <c r="O137" s="429"/>
      <c r="P137" s="430"/>
      <c r="Q137" s="430"/>
      <c r="R137" s="562"/>
      <c r="S137" s="432"/>
      <c r="T137" s="432"/>
    </row>
    <row r="138" spans="12:20">
      <c r="L138" s="167"/>
      <c r="O138" s="429"/>
      <c r="P138" s="430"/>
      <c r="Q138" s="430"/>
      <c r="R138" s="562"/>
      <c r="S138" s="432"/>
      <c r="T138" s="432"/>
    </row>
    <row r="139" spans="12:20">
      <c r="L139" s="167"/>
      <c r="O139" s="429"/>
      <c r="P139" s="430"/>
      <c r="Q139" s="430"/>
      <c r="R139" s="562"/>
      <c r="S139" s="432"/>
      <c r="T139" s="432"/>
    </row>
    <row r="140" spans="12:20">
      <c r="L140" s="167"/>
      <c r="O140" s="429"/>
      <c r="P140" s="430"/>
      <c r="Q140" s="430"/>
      <c r="R140" s="562"/>
      <c r="S140" s="432"/>
      <c r="T140" s="432"/>
    </row>
    <row r="141" spans="12:20">
      <c r="L141" s="167"/>
      <c r="O141" s="429"/>
      <c r="P141" s="430"/>
      <c r="Q141" s="430"/>
      <c r="R141" s="562"/>
      <c r="S141" s="432"/>
      <c r="T141" s="432"/>
    </row>
    <row r="142" spans="12:20">
      <c r="L142" s="167"/>
      <c r="O142" s="429"/>
      <c r="P142" s="430"/>
      <c r="Q142" s="430"/>
      <c r="R142" s="562"/>
      <c r="S142" s="432"/>
      <c r="T142" s="432"/>
    </row>
    <row r="143" spans="12:20">
      <c r="L143" s="167"/>
      <c r="O143" s="429"/>
      <c r="P143" s="430"/>
      <c r="Q143" s="430"/>
      <c r="R143" s="562"/>
      <c r="S143" s="432"/>
      <c r="T143" s="432"/>
    </row>
    <row r="144" spans="12:20">
      <c r="L144" s="167"/>
      <c r="O144" s="429"/>
      <c r="P144" s="430"/>
      <c r="Q144" s="430"/>
      <c r="R144" s="562"/>
      <c r="S144" s="432"/>
      <c r="T144" s="432"/>
    </row>
    <row r="145" spans="12:20">
      <c r="L145" s="167"/>
      <c r="O145" s="429"/>
      <c r="P145" s="430"/>
      <c r="Q145" s="430"/>
      <c r="R145" s="562"/>
      <c r="S145" s="432"/>
      <c r="T145" s="432"/>
    </row>
    <row r="146" spans="12:20">
      <c r="L146" s="167"/>
      <c r="O146" s="429"/>
      <c r="P146" s="430"/>
      <c r="Q146" s="430"/>
      <c r="R146" s="562"/>
      <c r="S146" s="432"/>
      <c r="T146" s="432"/>
    </row>
    <row r="147" spans="12:20">
      <c r="L147" s="167"/>
    </row>
    <row r="148" spans="12:20">
      <c r="L148" s="167"/>
    </row>
    <row r="149" spans="12:20">
      <c r="L149" s="167"/>
    </row>
    <row r="150" spans="12:20">
      <c r="L150" s="167"/>
    </row>
    <row r="151" spans="12:20">
      <c r="L151" s="167"/>
    </row>
    <row r="152" spans="12:20">
      <c r="L152" s="167"/>
    </row>
    <row r="153" spans="12:20">
      <c r="L153" s="167"/>
    </row>
    <row r="154" spans="12:20">
      <c r="L154" s="167"/>
    </row>
    <row r="155" spans="12:20">
      <c r="L155" s="167"/>
    </row>
    <row r="156" spans="12:20">
      <c r="L156" s="167"/>
    </row>
    <row r="157" spans="12:20">
      <c r="L157" s="167"/>
    </row>
    <row r="158" spans="12:20">
      <c r="L158" s="167"/>
    </row>
    <row r="159" spans="12:20">
      <c r="L159" s="167"/>
    </row>
    <row r="160" spans="12:20">
      <c r="L160" s="167"/>
    </row>
    <row r="161" spans="12:12">
      <c r="L161" s="167"/>
    </row>
    <row r="162" spans="12:12">
      <c r="L162" s="167"/>
    </row>
    <row r="163" spans="12:12">
      <c r="L163" s="167"/>
    </row>
    <row r="164" spans="12:12">
      <c r="L164" s="167"/>
    </row>
    <row r="165" spans="12:12">
      <c r="L165" s="167"/>
    </row>
    <row r="166" spans="12:12">
      <c r="L166" s="167"/>
    </row>
    <row r="167" spans="12:12">
      <c r="L167" s="167"/>
    </row>
    <row r="168" spans="12:12">
      <c r="L168" s="167"/>
    </row>
    <row r="169" spans="12:12">
      <c r="L169" s="167"/>
    </row>
    <row r="170" spans="12:12">
      <c r="L170" s="167"/>
    </row>
    <row r="171" spans="12:12">
      <c r="L171" s="167"/>
    </row>
    <row r="172" spans="12:12">
      <c r="L172" s="167"/>
    </row>
    <row r="173" spans="12:12">
      <c r="L173" s="167"/>
    </row>
    <row r="174" spans="12:12">
      <c r="L174" s="167"/>
    </row>
    <row r="175" spans="12:12">
      <c r="L175" s="167"/>
    </row>
    <row r="176" spans="12:12">
      <c r="L176" s="167"/>
    </row>
    <row r="177" spans="12:12">
      <c r="L177" s="167"/>
    </row>
    <row r="178" spans="12:12">
      <c r="L178" s="167"/>
    </row>
    <row r="179" spans="12:12">
      <c r="L179" s="167"/>
    </row>
    <row r="180" spans="12:12">
      <c r="L180" s="167"/>
    </row>
    <row r="181" spans="12:12">
      <c r="L181" s="167"/>
    </row>
    <row r="182" spans="12:12">
      <c r="L182" s="167"/>
    </row>
    <row r="183" spans="12:12">
      <c r="L183" s="167"/>
    </row>
    <row r="184" spans="12:12">
      <c r="L184" s="167"/>
    </row>
  </sheetData>
  <conditionalFormatting sqref="Z6:AO6 AO21 AP3:AP22 Y22:AN22 Y7 AA7:AO7 Y8:Z8 AB8:AO8 Y9:AA9 AC9:AO9 Y10:AB10 AD10:AO10 Y11:AC11 AE11:AO11 Y12:AD12 AF12:AO12 Y13:AE13 AG13:AO13 Y14:AF14 AH14:AO14 Y15:AG15 AI15:AO15 Y16:AH16 AJ16:AO16 Y17:AI17 AK17:AO17 Y18:AJ18 AL18:AO18 Y19:AK19 AM19:AO19 Y20:AL20 AN20:AO20 Y21:AM2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:AN22 Y7 AA7:AN7 Y8:Z8 AB8:AN8 Y9:AA9 AC9:AN9 Y10:AB10 AD10:AN10 Y11:AC11 AE11:AN11 Y12:AD12 AF12:AN12 Y13:AE13 AG13:AN13 Y14:AF14 AH14:AN14 Y15:AG15 AI15:AN15 Y16:AH16 AJ16:AN16 Y17:AI17 AK17:AN17 Y18:AJ18 AL18:AN18 Y19:AK19 AM19:AN19 Y20:AL20 AN20 Y21:AM21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Z13:AE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:AE22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I5"/>
  <sheetViews>
    <sheetView workbookViewId="0">
      <selection activeCell="B31" sqref="B31"/>
    </sheetView>
  </sheetViews>
  <sheetFormatPr baseColWidth="10" defaultColWidth="11.42578125" defaultRowHeight="12.75"/>
  <cols>
    <col min="1" max="1" width="26.42578125" bestFit="1" customWidth="1"/>
    <col min="2" max="3" width="10.140625" bestFit="1" customWidth="1"/>
    <col min="4" max="5" width="18" bestFit="1" customWidth="1"/>
    <col min="6" max="6" width="15.7109375" bestFit="1" customWidth="1"/>
    <col min="7" max="7" width="16.85546875" bestFit="1" customWidth="1"/>
    <col min="8" max="8" width="6.7109375" bestFit="1" customWidth="1"/>
    <col min="9" max="9" width="11.5703125" bestFit="1" customWidth="1"/>
  </cols>
  <sheetData>
    <row r="1" spans="1:9" ht="27" thickBot="1">
      <c r="A1" s="514" t="s">
        <v>550</v>
      </c>
      <c r="B1" s="519" t="s">
        <v>551</v>
      </c>
      <c r="C1" s="519" t="s">
        <v>552</v>
      </c>
      <c r="D1" s="520" t="s">
        <v>553</v>
      </c>
      <c r="E1" s="128"/>
      <c r="F1" s="128"/>
      <c r="G1" s="128"/>
      <c r="H1" s="128"/>
      <c r="I1" s="128"/>
    </row>
    <row r="2" spans="1:9" ht="27" thickTop="1">
      <c r="A2" s="517" t="s">
        <v>554</v>
      </c>
      <c r="B2" s="516">
        <v>3.26</v>
      </c>
      <c r="C2" s="516">
        <v>2.95</v>
      </c>
      <c r="D2" s="518">
        <f>100*((1+C2/100)^2/(1+B2/100)-1)</f>
        <v>2.6409306604687321</v>
      </c>
    </row>
    <row r="3" spans="1:9" ht="26.25">
      <c r="A3" s="515" t="s">
        <v>261</v>
      </c>
      <c r="B3" s="516">
        <v>3.46</v>
      </c>
      <c r="C3" s="516">
        <v>3.06</v>
      </c>
      <c r="D3" s="518">
        <f>100*((1+C3/100)^2/(1+B3/100)-1)</f>
        <v>2.6615464913976483</v>
      </c>
    </row>
    <row r="4" spans="1:9" ht="26.25">
      <c r="A4" s="515" t="s">
        <v>555</v>
      </c>
      <c r="B4" s="516">
        <v>3.46</v>
      </c>
      <c r="C4" s="516"/>
      <c r="D4" s="516"/>
    </row>
    <row r="5" spans="1:9" ht="26.25">
      <c r="A5" s="515" t="s">
        <v>556</v>
      </c>
      <c r="B5" s="516">
        <v>3.2</v>
      </c>
      <c r="C5" s="516"/>
      <c r="D5" s="516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11</vt:i4>
      </vt:variant>
    </vt:vector>
  </HeadingPairs>
  <TitlesOfParts>
    <vt:vector size="29" baseType="lpstr">
      <vt:lpstr>HPR</vt:lpstr>
      <vt:lpstr>TransaccionesRFt-1</vt:lpstr>
      <vt:lpstr>TransaccionesRF</vt:lpstr>
      <vt:lpstr>Informe</vt:lpstr>
      <vt:lpstr>Bear</vt:lpstr>
      <vt:lpstr>Base</vt:lpstr>
      <vt:lpstr>Bull</vt:lpstr>
      <vt:lpstr>Informe2</vt:lpstr>
      <vt:lpstr>Informe3</vt:lpstr>
      <vt:lpstr>Informe4</vt:lpstr>
      <vt:lpstr>Informe5</vt:lpstr>
      <vt:lpstr>RPM</vt:lpstr>
      <vt:lpstr>Feriados</vt:lpstr>
      <vt:lpstr>VolIndicesRA</vt:lpstr>
      <vt:lpstr>SimulaSwapCL</vt:lpstr>
      <vt:lpstr>Zero_swap_CL</vt:lpstr>
      <vt:lpstr>Inflation_FWD</vt:lpstr>
      <vt:lpstr>BEI</vt:lpstr>
      <vt:lpstr>Informe!Área_de_impresión</vt:lpstr>
      <vt:lpstr>Informe2!Área_de_impresión</vt:lpstr>
      <vt:lpstr>Informe3!Área_de_impresión</vt:lpstr>
      <vt:lpstr>Informe4!Área_de_impresión</vt:lpstr>
      <vt:lpstr>Informe5!Área_de_impresión</vt:lpstr>
      <vt:lpstr>CLFCLPt</vt:lpstr>
      <vt:lpstr>depCLP120d</vt:lpstr>
      <vt:lpstr>fechaHoy</vt:lpstr>
      <vt:lpstr>probBase</vt:lpstr>
      <vt:lpstr>probBear</vt:lpstr>
      <vt:lpstr>probBull</vt:lpstr>
    </vt:vector>
  </TitlesOfParts>
  <Company>Windows uE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Larre</dc:creator>
  <cp:lastModifiedBy>Natan Goldberger Rico</cp:lastModifiedBy>
  <cp:lastPrinted>2016-10-24T17:58:25Z</cp:lastPrinted>
  <dcterms:created xsi:type="dcterms:W3CDTF">2009-10-14T00:42:37Z</dcterms:created>
  <dcterms:modified xsi:type="dcterms:W3CDTF">2016-10-27T12:59:44Z</dcterms:modified>
</cp:coreProperties>
</file>